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slicerCaches/slicerCache1.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tables/table1.xml" ContentType="application/vnd.openxmlformats-officedocument.spreadsheetml.table+xml"/>
  <Override PartName="/xl/queryTables/queryTable1.xml" ContentType="application/vnd.openxmlformats-officedocument.spreadsheetml.queryTable+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queryTables/queryTable16.xml" ContentType="application/vnd.openxmlformats-officedocument.spreadsheetml.query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queryTables/queryTable17.xml" ContentType="application/vnd.openxmlformats-officedocument.spreadsheetml.queryTable+xml"/>
  <Override PartName="/xl/tables/table28.xml" ContentType="application/vnd.openxmlformats-officedocument.spreadsheetml.table+xml"/>
  <Override PartName="/xl/queryTables/queryTable18.xml" ContentType="application/vnd.openxmlformats-officedocument.spreadsheetml.queryTable+xml"/>
  <Override PartName="/xl/tables/table29.xml" ContentType="application/vnd.openxmlformats-officedocument.spreadsheetml.table+xml"/>
  <Override PartName="/xl/drawings/drawing3.xml" ContentType="application/vnd.openxmlformats-officedocument.drawing+xml"/>
  <Override PartName="/xl/tables/table30.xml" ContentType="application/vnd.openxmlformats-officedocument.spreadsheetml.table+xml"/>
  <Override PartName="/xl/tables/table31.xml" ContentType="application/vnd.openxmlformats-officedocument.spreadsheetml.table+xml"/>
  <Override PartName="/xl/charts/chart3.xml" ContentType="application/vnd.openxmlformats-officedocument.drawingml.chart+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drawings/drawing4.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ables/table38.xml" ContentType="application/vnd.openxmlformats-officedocument.spreadsheetml.table+xml"/>
  <Override PartName="/xl/tables/table39.xml" ContentType="application/vnd.openxmlformats-officedocument.spreadsheetml.table+xml"/>
  <Override PartName="/xl/queryTables/queryTable19.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harki\Desktop\education-research-workflow\10_projects\2026-09-indian-equity-portfolio-monitor\04_deliverables\review\analyst-upgrade-20261007\"/>
    </mc:Choice>
  </mc:AlternateContent>
  <xr:revisionPtr revIDLastSave="0" documentId="8_{40D0FE64-5AF2-4D68-A42E-3C61A9E1E953}" xr6:coauthVersionLast="47" xr6:coauthVersionMax="47" xr10:uidLastSave="{00000000-0000-0000-0000-000000000000}"/>
  <bookViews>
    <workbookView xWindow="-110" yWindow="-110" windowWidth="25820" windowHeight="16220" firstSheet="3" activeTab="3" xr2:uid="{00000000-000D-0000-FFFF-FFFF00000000}"/>
  </bookViews>
  <sheets>
    <sheet name="Performance" sheetId="2" state="hidden" r:id="rId1"/>
    <sheet name="AP_Provenance" sheetId="44" state="hidden" r:id="rId2"/>
    <sheet name="AP_AuditBundle" sheetId="43" state="hidden" r:id="rId3"/>
    <sheet name="Start" sheetId="20" r:id="rId4"/>
    <sheet name="Comparison" sheetId="21" r:id="rId5"/>
    <sheet name="Detail" sheetId="22" r:id="rId6"/>
    <sheet name="Review" sheetId="23" r:id="rId7"/>
    <sheet name="Data Checks" sheetId="24" r:id="rId8"/>
    <sheet name="Snapshot" sheetId="41" r:id="rId9"/>
    <sheet name="AP_RefreshInfo" sheetId="42" state="hidden" r:id="rId10"/>
    <sheet name="AP_LoadedInputs" sheetId="40" state="hidden" r:id="rId11"/>
    <sheet name="AP_AcceptedPrices" sheetId="39" state="hidden" r:id="rId12"/>
    <sheet name="AP_InvestorFlows" sheetId="38" state="hidden" r:id="rId13"/>
    <sheet name="AP_Exceptions" sheetId="37" state="hidden" r:id="rId14"/>
    <sheet name="AP_PortfolioDaily" sheetId="36" state="hidden" r:id="rId15"/>
    <sheet name="AP_HoldingsDaily" sheetId="35" state="hidden" r:id="rId16"/>
    <sheet name="AP_TransactionsClean" sheetId="34" state="hidden" r:id="rId17"/>
    <sheet name="AP_Notes" sheetId="33" r:id="rId18"/>
    <sheet name="AP_Settings" sheetId="32" r:id="rId19"/>
    <sheet name="AP_Calendar" sheetId="31" r:id="rId20"/>
    <sheet name="AP_Actions" sheetId="30" r:id="rId21"/>
    <sheet name="AP_Prices" sheetId="29" r:id="rId22"/>
    <sheet name="AP_Transactions" sheetId="28" r:id="rId23"/>
    <sheet name="AP_Instruments" sheetId="27" r:id="rId24"/>
    <sheet name="AP_Portfolios" sheetId="26" r:id="rId25"/>
    <sheet name="AP_ReturnCalc" sheetId="25" state="hidden" r:id="rId26"/>
    <sheet name="Ledger" sheetId="4" state="hidden" r:id="rId27"/>
    <sheet name="Daily" sheetId="5" state="hidden" r:id="rId28"/>
    <sheet name="History" sheetId="7" state="hidden" r:id="rId29"/>
    <sheet name="Quotes" sheetId="8" state="hidden" r:id="rId30"/>
    <sheet name="FastQuotes" sheetId="12" state="hidden" r:id="rId31"/>
    <sheet name="Checks" sheetId="9" state="hidden" r:id="rId32"/>
    <sheet name="Guide" sheetId="10" state="hidden" r:id="rId33"/>
    <sheet name="Watchlist" sheetId="13" r:id="rId34"/>
    <sheet name="Stock view" sheetId="16" r:id="rId35"/>
    <sheet name="Trade plan" sheetId="15" r:id="rId36"/>
    <sheet name="Headlines" sheetId="17" r:id="rId37"/>
    <sheet name="Holdings" sheetId="3" r:id="rId38"/>
    <sheet name="Transactions" sheetId="6" r:id="rId39"/>
    <sheet name="Portfolio" sheetId="1" r:id="rId40"/>
    <sheet name="Help" sheetId="14" r:id="rId41"/>
    <sheet name="News fixture" sheetId="18" state="hidden" r:id="rId42"/>
    <sheet name="NewsData" sheetId="19" state="hidden" r:id="rId43"/>
  </sheets>
  <definedNames>
    <definedName name="AP_Bind_AcceptedPrices">AP_Provenance!$B$14</definedName>
    <definedName name="AP_Bind_AP_Actions">AP_Provenance!$B$6</definedName>
    <definedName name="AP_Bind_AP_Calendar">AP_Provenance!$B$7</definedName>
    <definedName name="AP_Bind_AP_Instruments">AP_Provenance!$B$3</definedName>
    <definedName name="AP_Bind_AP_Portfolios">AP_Provenance!$B$2</definedName>
    <definedName name="AP_Bind_AP_Prices">AP_Provenance!$B$5</definedName>
    <definedName name="AP_Bind_AP_Settings">AP_Provenance!$B$8</definedName>
    <definedName name="AP_Bind_AP_Transactions">AP_Provenance!$B$4</definedName>
    <definedName name="AP_Bind_Exceptions">AP_Provenance!$B$12</definedName>
    <definedName name="AP_Bind_HoldingsDaily">AP_Provenance!$B$10</definedName>
    <definedName name="AP_Bind_InvestorFlows">AP_Provenance!$B$13</definedName>
    <definedName name="AP_Bind_PortfolioDaily">AP_Provenance!$B$11</definedName>
    <definedName name="AP_Bind_TransactionsClean">AP_Provenance!$B$9</definedName>
    <definedName name="AP_Closing">_xlfn.LAMBDA(_xlpm.pid,IF(AP_PeriodStatus(_xlpm.pid)="OK",_xlfn.XLOOKUP(1,(Out_PortfolioDaily[PortfolioID]=_xlpm.pid)*(Out_PortfolioDaily[Date]=AP_PeriodEnd),Out_PortfolioDaily[ClosingValue],NA()),NA()))</definedName>
    <definedName name="AP_Concentration">_xlfn.LAMBDA(_xlpm.pid,IF(AP_PeriodStatus(_xlpm.pid)&lt;&gt;"OK",NA(),_xlfn.LET(_xlpm.value,AP_Closing(_xlpm.pid),_xlpm.included,_xlfn._xlws.FILTER(AP_Portfolios[PortfolioID],(AP_Portfolios[Include]="Yes")*(AP_Portfolios[Active]="Yes"),""),_xlpm.portfolioMask,IF(_xlpm.pid="__GROUP__",ISNUMBER(_xlfn.XMATCH(Out_HoldingsDaily[PortfolioID],_xlpm.included)),Out_HoldingsDaily[PortfolioID]=_xlpm.pid),_xlpm.ids,_xlfn._xlws.FILTER(AP_Instruments[InstrumentID],AP_Instruments[InstrumentID]&lt;&gt;""),_xlpm.values,_xlfn.MAP(_xlpm.ids,_xlfn.LAMBDA(_xlpm.iid,SUM(_xlfn._xlws.FILTER(Out_HoldingsDaily[MarketValue],_xlpm.portfolioMask*(Out_HoldingsDaily[Date]=AP_PeriodEnd)*(Out_HoldingsDaily[InstrumentID]=_xlpm.iid),0)))),IF(_xlpm.value&gt;0,MAX(_xlpm.values)/_xlpm.value,NA()))))</definedName>
    <definedName name="AP_DateList">_xlfn.ANCHORARRAY(AP_ReturnCalc!$AC$2)</definedName>
    <definedName name="AP_EndCash">_xlfn.LAMBDA(_xlpm.pid,IF(AP_PeriodStatus(_xlpm.pid)="OK",SUMIFS(Out_PortfolioDaily[Cash],Out_PortfolioDaily[PortfolioID],_xlpm.pid,Out_PortfolioDaily[Date],AP_PeriodEnd),NA()))</definedName>
    <definedName name="AP_Funding">_xlfn.LAMBDA(_xlpm.pid,IF(AP_PeriodStatus(_xlpm.pid)="OK",SUMIFS(Out_PortfolioDaily[NetExternalFlow],Out_PortfolioDaily[PortfolioID],_xlpm.pid,Out_PortfolioDaily[Date],"&gt;="&amp;AP_PeriodStart,Out_PortfolioDaily[Date],"&lt;="&amp;AP_PeriodEnd),NA()))</definedName>
    <definedName name="AP_IndividualList">_xlfn.ANCHORARRAY(AP_ReturnCalc!$AA$2)</definedName>
    <definedName name="AP_InputsCurrent">AND(AP_LegacyInputsCurrent,AP_Bind_AP_Portfolios,AP_Bind_AP_Instruments,AP_Bind_AP_Transactions,AP_Bind_AP_Prices,AP_Bind_AP_Actions,AP_Bind_AP_Calendar,AP_Bind_AP_Settings,AP_Bind_TransactionsClean,AP_Bind_HoldingsDaily,AP_Bind_PortfolioDaily,AP_Bind_Exceptions,AP_Bind_InvestorFlows,AP_Bind_AcceptedPrices)</definedName>
    <definedName name="AP_InstrumentList">_xlfn.ANCHORARRAY(AP_ReturnCalc!$AD$2)</definedName>
    <definedName name="AP_LegacyInputsCurrent">AND(IFERROR(AND(ROWS(AP_Portfolios[#All])=ROWS(Out_LoadedPortfolios[#All]),COLUMNS(AP_Portfolios[#All])=COLUMNS(Out_LoadedPortfolios[#All]),AND(EXACT(AP_Portfolios[#All]&amp;"",Out_LoadedPortfolios[#All]&amp;""))),FALSE),IFERROR(AND(ROWS(AP_Instruments[#All])=ROWS(Out_LoadedInstruments[#All]),COLUMNS(AP_Instruments[#All])=COLUMNS(Out_LoadedInstruments[#All]),AND(EXACT(AP_Instruments[#All]&amp;"",Out_LoadedInstruments[#All]&amp;""))),FALSE),IFERROR(AND(ROWS(AP_Transactions[#All])=ROWS(Out_LoadedTransactions[#All]),COLUMNS(AP_Transactions[#All])=COLUMNS(Out_LoadedTransactions[#All]),AND(EXACT(AP_Transactions[#All]&amp;"",Out_LoadedTransactions[#All]&amp;""))),FALSE),IFERROR(AND(ROWS(AP_Prices[#All])=ROWS(Out_LoadedPrices[#All]),COLUMNS(AP_Prices[#All])=COLUMNS(Out_LoadedPrices[#All]),AND(EXACT(AP_Prices[#All]&amp;"",Out_LoadedPrices[#All]&amp;""))),FALSE),IFERROR(AND(ROWS(AP_Actions[#All])=ROWS(Out_LoadedActions[#All]),COLUMNS(AP_Actions[#All])=COLUMNS(Out_LoadedActions[#All]),AND(EXACT(AP_Actions[#All]&amp;"",Out_LoadedActions[#All]&amp;""))),FALSE),IFERROR(AND(ROWS(AP_Calendar[#All])=ROWS(Out_LoadedCalendar[#All]),COLUMNS(AP_Calendar[#All])=COLUMNS(Out_LoadedCalendar[#All]),AND(EXACT(AP_Calendar[#All]&amp;"",Out_LoadedCalendar[#All]&amp;""))),FALSE),IFERROR(AND(ROWS(AP_Settings[#All])=ROWS(Out_LoadedSettings[#All]),COLUMNS(AP_Settings[#All])=COLUMNS(Out_LoadedSettings[#All]),AND(EXACT(AP_Settings[#All]&amp;"",Out_LoadedSettings[#All]&amp;""))),FALSE))</definedName>
    <definedName name="AP_Opening">_xlfn.LAMBDA(_xlpm.pid,IF(AP_PeriodStatus(_xlpm.pid)="OK",_xlfn.XLOOKUP(1,(Out_PortfolioDaily[PortfolioID]=_xlpm.pid)*(Out_PortfolioDaily[Date]=AP_PeriodStart),Out_PortfolioDaily[OpeningValue],NA()),NA()))</definedName>
    <definedName name="AP_PeriodEnd">Comparison!$E$5</definedName>
    <definedName name="AP_PeriodStart">Comparison!$B$5</definedName>
    <definedName name="AP_PeriodStatus">_xlfn.LAMBDA(_xlpm.pid,_xlfn.LET(_xlpm.ds,AP_PeriodStart,_xlpm.de,AP_PeriodEnd,IF(NOT(AP_InputsCurrent),"Inputs edited; Refresh All",IF(OR(NOT(ISNUMBER(_xlpm.ds)),NOT(ISNUMBER(_xlpm.de)),_xlpm.de&lt;_xlpm.ds),"Invalid period",_xlfn.LET(_xlpm.mask,(Out_PortfolioDaily[PortfolioID]=_xlpm.pid)*(Out_PortfolioDaily[Date]&gt;=_xlpm.ds)*(Out_PortfolioDaily[Date]&lt;=_xlpm.de),_xlpm.countRows,SUM(--_xlpm.mask),IF(_xlpm.countRows&lt;&gt;_xlpm.de-_xlpm.ds+1,"Missing selected-period coverage",IF(SUM(--(_xlfn._xlws.FILTER(Out_PortfolioDaily[Status],_xlpm.mask,"Missing")&lt;&gt;"OK"))&gt;0,IFERROR(INDEX(_xlfn._xlws.FILTER(Out_PortfolioDaily[Reason],_xlpm.mask*(Out_PortfolioDaily[Status]&lt;&gt;"OK")),1),"Invalid daily accounting or price coverage"),IF(NOT(AND(ISNUMBER(_xlfn._xlws.FILTER(Out_PortfolioDaily[OpeningValue],_xlpm.mask)),ISNUMBER(_xlfn._xlws.FILTER(Out_PortfolioDaily[ClosingValue],_xlpm.mask)))),"Missing opening or closing value","OK"))))))))</definedName>
    <definedName name="AP_PortfolioList">_xlfn.ANCHORARRAY(AP_ReturnCalc!$AB$2)</definedName>
    <definedName name="AP_SelectedPortfolio">Detail!$B$5</definedName>
    <definedName name="AP_SnapshotPortfolioFilter">#N/A</definedName>
    <definedName name="AP_TWR">_xlfn.LAMBDA(_xlpm.pid,IF(AP_TWRStatus(_xlpm.pid)&lt;&gt;"OK",NA(),_xlfn.LET(_xlpm.mask,(Out_PortfolioDaily[PortfolioID]=_xlpm.pid)*(Out_PortfolioDaily[Date]&gt;=AP_PeriodStart)*(Out_PortfolioDaily[Date]&lt;=AP_PeriodEnd),_xlpm.opening,_xlfn._xlws.FILTER(Out_PortfolioDaily[OpeningValue],_xlpm.mask),_xlpm.openFlows,_xlfn._xlws.FILTER(Out_PortfolioDaily[OpenFlow],_xlpm.mask),_xlpm.closing,_xlfn._xlws.FILTER(Out_PortfolioDaily[ClosingValue],_xlpm.mask),_xlpm.closeFlows,_xlfn._xlws.FILTER(Out_PortfolioDaily[CloseFlow],_xlpm.mask),PRODUCT((_xlpm.closing-_xlpm.closeFlows)/(_xlpm.opening+_xlpm.openFlows))-1)))</definedName>
    <definedName name="AP_TWRStatus">_xlfn.LAMBDA(_xlpm.pid,_xlfn.LET(_xlpm.base,AP_PeriodStatus(_xlpm.pid),IF(_xlpm.base&lt;&gt;"OK",_xlpm.base,_xlfn.LET(_xlpm.mask,(Out_PortfolioDaily[PortfolioID]=_xlpm.pid)*(Out_PortfolioDaily[Date]&gt;=AP_PeriodStart)*(Out_PortfolioDaily[Date]&lt;=AP_PeriodEnd),_xlpm.bad,_xlpm.mask*(Out_PortfolioDaily[ReturnStatus]&lt;&gt;"OK"),IF(SUM(--_xlpm.bad)&gt;0,IFERROR(INDEX(_xlfn._xlws.FILTER(Out_PortfolioDaily[ReturnReason],_xlpm.bad),1),"Invalid invested denominator"),"OK")))))</definedName>
    <definedName name="AP_ValuationDate">Detail!$E$5</definedName>
    <definedName name="AP_XIRR">_xlfn.LAMBDA(_xlpm.pid,IF(AP_XIRRStatus(_xlpm.pid)&lt;&gt;"OK",NA(),_xlfn.LET(_xlpm.schedule,AP_XIRRSchedule(_xlpm.pid),_xlpm.dates,INDEX(_xlpm.schedule,0,1),_xlpm.amounts,INDEX(_xlpm.schedule,0,2),_xlpm.seed,XIRR(_xlpm.amounts,_xlpm.dates),_xlpm.years,(_xlpm.dates-MIN(_xlpm.dates))/365,_xlfn.REDUCE(_xlpm.seed,_xlfn.SEQUENCE(3),_xlfn.LAMBDA(_xlpm.rate,_xlpm.iteration,_xlpm.rate-SUM(_xlpm.amounts/(1+_xlpm.rate)^_xlpm.years)/SUM(-_xlpm.years*_xlpm.amounts/(1+_xlpm.rate)^(_xlpm.years+1)))))))</definedName>
    <definedName name="AP_XIRRSchedule">_xlfn.LAMBDA(_xlpm.pid,IF(AP_PeriodStatus(_xlpm.pid)&lt;&gt;"OK",NA(),_xlfn.LET(_xlpm.ds,AP_PeriodStart,_xlpm.de,AP_PeriodEnd,_xlpm.mask,(Out_InvestorFlows[PortfolioID]=_xlpm.pid)*(Out_InvestorFlows[Date]&gt;=_xlpm.ds)*(Out_InvestorFlows[Date]&lt;=_xlpm.de),_xlpm.flowDates,_xlfn._xlws.FILTER(Out_InvestorFlows[Date],_xlpm.mask,_xlpm.ds),_xlpm.flowValues,_xlfn._xlws.FILTER(Out_InvestorFlows[InvestorFlow],_xlpm.mask,0),_xlpm.rawDates,_xlfn.VSTACK(_xlpm.ds-1,_xlpm.flowDates,_xlpm.de),_xlpm.rawValues,_xlfn.VSTACK(-AP_Opening(_xlpm.pid),_xlpm.flowValues,AP_Closing(_xlpm.pid)),_xlpm.dates,_xlfn._xlws.SORT(_xlfn.UNIQUE(_xlpm.rawDates)),_xlpm.amounts,_xlfn.MAP(_xlpm.dates,_xlfn.LAMBDA(_xlpm.day,SUM(_xlfn._xlws.FILTER(_xlpm.rawValues,_xlpm.rawDates=_xlpm.day)))),_xlpm.nonzero,ABS(_xlpm.amounts)&gt;0.000000000001,_xlfn.HSTACK(_xlfn._xlws.FILTER(_xlpm.dates,_xlpm.nonzero,_xlpm.ds-1),_xlfn._xlws.FILTER(_xlpm.amounts,_xlpm.nonzero,0)))))</definedName>
    <definedName name="AP_XIRRStatus">_xlfn.LAMBDA(_xlpm.pid,_xlfn.LET(_xlpm.base,AP_PeriodStatus(_xlpm.pid),IF(_xlpm.base&lt;&gt;"OK",_xlpm.base,_xlfn.LET(_xlpm.schedule,AP_XIRRSchedule(_xlpm.pid),_xlpm.dates,INDEX(_xlpm.schedule,0,1),_xlpm.amounts,INDEX(_xlpm.schedule,0,2),_xlpm.countRows,ROWS(_xlpm.amounts),IF(OR(_xlpm.countRows&lt;2,MAX(_xlpm.dates)&lt;=MIN(_xlpm.dates)),"Zero-length or empty investor schedule",IF(OR(SUM(--(_xlpm.amounts&lt;0))=0,SUM(--(_xlpm.amounts&gt;0))=0),"Missing sign pair",_xlfn.LET(_xlpm.changes,SUM(--(_xlfn.DROP(SIGN(_xlpm.amounts),1)&lt;&gt;_xlfn.TAKE(SIGN(_xlpm.amounts),_xlpm.countRows-1))),IF(_xlpm.changes&gt;1,"Multiple sign changes; headline XIRR unavailable",IFERROR(IF(ISNUMBER(XIRR(_xlpm.amounts,_xlpm.dates)),"OK","XIRR solver failure"),"XIRR solver failure")))))))))</definedName>
    <definedName name="AvailableDates">History!$A$7:$A$136</definedName>
    <definedName name="ExternalData_1" localSheetId="11" hidden="1">AP_AcceptedPrices!$A$6:$M$792</definedName>
    <definedName name="ExternalData_1" localSheetId="2" hidden="1">AP_AuditBundle!$A$1:$BY$8248</definedName>
    <definedName name="ExternalData_1" localSheetId="13" hidden="1">AP_Exceptions!$A$6:$H$7</definedName>
    <definedName name="ExternalData_1" localSheetId="15" hidden="1">AP_HoldingsDaily!$A$6:$N$4386</definedName>
    <definedName name="ExternalData_1" localSheetId="12" hidden="1">AP_InvestorFlows!$A$6:$H$24</definedName>
    <definedName name="ExternalData_1" localSheetId="10" hidden="1">AP_LoadedInputs!$A$6:$F$10</definedName>
    <definedName name="ExternalData_1" localSheetId="14" hidden="1">AP_PortfolioDaily!$A$6:$U$1831</definedName>
    <definedName name="ExternalData_1" localSheetId="9" hidden="1">AP_RefreshInfo!$A$1:$B$2</definedName>
    <definedName name="ExternalData_1" localSheetId="16" hidden="1">AP_TransactionsClean!$A$6:$X$39</definedName>
    <definedName name="ExternalData_1" localSheetId="30" hidden="1">FastQuotes!$A$6:$G$8</definedName>
    <definedName name="ExternalData_1" localSheetId="26" hidden="1">Ledger!$A$6:$I$42</definedName>
    <definedName name="ExternalData_1" localSheetId="42" hidden="1">NewsData!$A$1:$N$15</definedName>
    <definedName name="ExternalData_1" localSheetId="29" hidden="1">Quotes!$A$6:$D$12</definedName>
    <definedName name="ExternalData_2" localSheetId="10" hidden="1">AP_LoadedInputs!$I$6:$O$9</definedName>
    <definedName name="ExternalData_3" localSheetId="10" hidden="1">AP_LoadedInputs!$R$6:$AD$39</definedName>
    <definedName name="ExternalData_4" localSheetId="10" hidden="1">AP_LoadedInputs!$AG$6:$AO$792</definedName>
    <definedName name="ExternalData_5" localSheetId="10" hidden="1">AP_LoadedInputs!$AR$6:$BA$9</definedName>
    <definedName name="ExternalData_6" localSheetId="10" hidden="1">AP_LoadedInputs!$BD$6:$BE$372</definedName>
    <definedName name="ExternalData_7" localSheetId="10" hidden="1">AP_LoadedInputs!$BH$6:$BI$16</definedName>
    <definedName name="FollowSelection">Watchlist!$N$2</definedName>
    <definedName name="NewsIndustryChoices">Headlines!$J$20:$J$29</definedName>
    <definedName name="NewsMode">Headlines!$C$7</definedName>
    <definedName name="NewsPublisherChoices">Headlines!$J$32:$J$38</definedName>
    <definedName name="PlanStockNames">PlanInputs[Stock / ETF]</definedName>
    <definedName name="_xlnm.Print_Area" localSheetId="31">Checks!$A$1:$F$15</definedName>
    <definedName name="_xlnm.Print_Area" localSheetId="27">Daily!$A$1:$U$20</definedName>
    <definedName name="_xlnm.Print_Area" localSheetId="30">FastQuotes!$A$1:$G$16</definedName>
    <definedName name="_xlnm.Print_Area" localSheetId="32">Guide!$A$1:$N$42</definedName>
    <definedName name="_xlnm.Print_Area" localSheetId="36">Headlines!$B$1:$G$73</definedName>
    <definedName name="_xlnm.Print_Area" localSheetId="40">Help!$B$1:$C$33</definedName>
    <definedName name="_xlnm.Print_Area" localSheetId="28">History!$A$1:$N$23</definedName>
    <definedName name="_xlnm.Print_Area" localSheetId="37">Holdings!$B$1:$M$27</definedName>
    <definedName name="_xlnm.Print_Area" localSheetId="26">Ledger!$A$1:$S$20</definedName>
    <definedName name="_xlnm.Print_Area" localSheetId="0">Performance!$A$1:$P$32</definedName>
    <definedName name="_xlnm.Print_Area" localSheetId="39">Portfolio!$A$1:$P$46</definedName>
    <definedName name="_xlnm.Print_Area" localSheetId="29">Quotes!$A$1:$G$17</definedName>
    <definedName name="_xlnm.Print_Area" localSheetId="34">'Stock view'!$B$1:$L$41</definedName>
    <definedName name="_xlnm.Print_Area" localSheetId="35">'Trade plan'!$B$1:$I$50</definedName>
    <definedName name="_xlnm.Print_Area" localSheetId="38">Transactions!$A$1:$K$23</definedName>
    <definedName name="_xlnm.Print_Area" localSheetId="33">Watchlist!$B$1:$I$21</definedName>
    <definedName name="_xlnm.Print_Titles" localSheetId="40">Help!$1:$7</definedName>
    <definedName name="_xlnm.Print_Titles" localSheetId="35">'Trade plan'!$1:$3</definedName>
    <definedName name="StockChartAverage">INDEX('Stock view'!$O$45:$O$1044,'Stock view'!$A$11):INDEX('Stock view'!$O$45:$O$1044,MAX(1,MIN('Stock view'!$A$10,'Stock view'!$A$2)))</definedName>
    <definedName name="StockChartCloses">INDEX('Stock view'!$N$45:$N$1044,'Stock view'!$A$11):INDEX('Stock view'!$N$45:$N$1044,MAX(1,MIN('Stock view'!$A$10,'Stock view'!$A$2)))</definedName>
    <definedName name="StockChartDates">INDEX('Stock view'!$B$45:$B$1044,'Stock view'!$A$11):INDEX('Stock view'!$B$45:$B$1044,MAX(1,MIN('Stock view'!$A$10,'Stock view'!$A$2)))</definedName>
  </definedNames>
  <calcPr calcId="191029"/>
  <pivotCaches>
    <pivotCache cacheId="5" r:id="rId44"/>
  </pivotCaches>
  <extLst>
    <ext xmlns:x14="http://schemas.microsoft.com/office/spreadsheetml/2009/9/main" uri="{876F7934-8845-4945-9796-88D515C7AA90}">
      <x14:pivotCaches>
        <pivotCache cacheId="4" r:id="rId45"/>
      </x14:pivotCaches>
    </ext>
    <ext xmlns:x14="http://schemas.microsoft.com/office/spreadsheetml/2009/9/main" uri="{BBE1A952-AA13-448e-AADC-164F8A28A991}">
      <x14:slicerCaches>
        <x14:slicerCache r:id="rId46"/>
      </x14:slicerCaches>
    </ext>
    <ext xmlns:x14="http://schemas.microsoft.com/office/spreadsheetml/2009/9/main" uri="{79F54976-1DA5-4618-B147-4CDE4B953A38}">
      <x14:workbookPr/>
    </ext>
    <ext xmlns:x15="http://schemas.microsoft.com/office/spreadsheetml/2010/11/main" uri="{FCE2AD5D-F65C-4FA6-A056-5C36A1767C68}">
      <x15:dataModel>
        <x15:modelTables>
          <x15:modelTable id="AP_ModelSnapshot_9253de1e-43dc-478b-913b-296c3f5ef317" name="AP_ModelSnapshot" connection="Query - AP_ModelSnapshot"/>
          <x15:modelTable id="AP_ModelPortfolios_18b690f0-661e-4b6d-aa00-57a7bebe199e" name="AP_ModelPortfolios" connection="Query - AP_ModelPortfolios"/>
        </x15:modelTables>
        <x15:modelRelationships>
          <x15:modelRelationship fromTable="AP_ModelSnapshot" fromColumn="PortfolioID" toTable="AP_ModelPortfolios" toColumn="PortfolioID"/>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4" l="1"/>
  <c r="J8" i="4"/>
  <c r="J9" i="4"/>
  <c r="J10" i="4"/>
  <c r="J11" i="4"/>
  <c r="J12" i="4"/>
  <c r="J13" i="4"/>
  <c r="J14" i="4"/>
  <c r="M38" i="4" s="1"/>
  <c r="Q38" i="4" s="1"/>
  <c r="S38" i="4" s="1"/>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K7" i="4"/>
  <c r="K8" i="4"/>
  <c r="K9" i="4"/>
  <c r="K10" i="4"/>
  <c r="K11" i="4"/>
  <c r="K12" i="4"/>
  <c r="K13" i="4"/>
  <c r="K14" i="4"/>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L7" i="4"/>
  <c r="L8" i="4"/>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M7" i="4"/>
  <c r="Q7" i="4" s="1"/>
  <c r="S7" i="4" s="1"/>
  <c r="M8" i="4"/>
  <c r="Q8" i="4" s="1"/>
  <c r="S8" i="4" s="1"/>
  <c r="M9" i="4"/>
  <c r="Q9" i="4" s="1"/>
  <c r="S9" i="4" s="1"/>
  <c r="M10" i="4"/>
  <c r="Q10" i="4" s="1"/>
  <c r="S10" i="4" s="1"/>
  <c r="M11" i="4"/>
  <c r="Q11" i="4" s="1"/>
  <c r="S11" i="4" s="1"/>
  <c r="M12" i="4"/>
  <c r="Q12" i="4" s="1"/>
  <c r="S12" i="4" s="1"/>
  <c r="M13" i="4"/>
  <c r="Q13" i="4" s="1"/>
  <c r="S13" i="4" s="1"/>
  <c r="M14" i="4"/>
  <c r="Q14" i="4" s="1"/>
  <c r="S14" i="4" s="1"/>
  <c r="M15" i="4"/>
  <c r="Q15" i="4" s="1"/>
  <c r="S15" i="4" s="1"/>
  <c r="M16" i="4"/>
  <c r="Q16" i="4" s="1"/>
  <c r="S16" i="4" s="1"/>
  <c r="M17" i="4"/>
  <c r="Q17" i="4" s="1"/>
  <c r="S17" i="4" s="1"/>
  <c r="M18" i="4"/>
  <c r="Q18" i="4" s="1"/>
  <c r="S18" i="4" s="1"/>
  <c r="M19" i="4"/>
  <c r="Q19" i="4" s="1"/>
  <c r="S19" i="4" s="1"/>
  <c r="M20" i="4"/>
  <c r="Q20" i="4" s="1"/>
  <c r="S20" i="4" s="1"/>
  <c r="M21" i="4"/>
  <c r="Q21" i="4" s="1"/>
  <c r="S21" i="4" s="1"/>
  <c r="M22" i="4"/>
  <c r="Q22" i="4" s="1"/>
  <c r="S22" i="4" s="1"/>
  <c r="M23" i="4"/>
  <c r="Q23" i="4" s="1"/>
  <c r="S23" i="4" s="1"/>
  <c r="M24" i="4"/>
  <c r="Q24" i="4" s="1"/>
  <c r="S24" i="4" s="1"/>
  <c r="M25" i="4"/>
  <c r="Q25" i="4" s="1"/>
  <c r="S25" i="4" s="1"/>
  <c r="M26" i="4"/>
  <c r="Q26" i="4" s="1"/>
  <c r="S26" i="4" s="1"/>
  <c r="M27" i="4"/>
  <c r="Q27" i="4" s="1"/>
  <c r="S27" i="4" s="1"/>
  <c r="M28" i="4"/>
  <c r="M29" i="4"/>
  <c r="Q29" i="4" s="1"/>
  <c r="S29" i="4" s="1"/>
  <c r="M30" i="4"/>
  <c r="Q30" i="4" s="1"/>
  <c r="S30" i="4" s="1"/>
  <c r="M31" i="4"/>
  <c r="Q31" i="4" s="1"/>
  <c r="S31" i="4" s="1"/>
  <c r="M32" i="4"/>
  <c r="Q32" i="4" s="1"/>
  <c r="S32" i="4" s="1"/>
  <c r="M33" i="4"/>
  <c r="Q33" i="4" s="1"/>
  <c r="S33" i="4" s="1"/>
  <c r="M34" i="4"/>
  <c r="Q34" i="4" s="1"/>
  <c r="S34" i="4" s="1"/>
  <c r="M35" i="4"/>
  <c r="Q35" i="4" s="1"/>
  <c r="S35" i="4" s="1"/>
  <c r="M36" i="4"/>
  <c r="Q36" i="4" s="1"/>
  <c r="S36" i="4" s="1"/>
  <c r="M37" i="4"/>
  <c r="Q37" i="4" s="1"/>
  <c r="S37" i="4" s="1"/>
  <c r="M39" i="4"/>
  <c r="M40" i="4"/>
  <c r="Q40" i="4" s="1"/>
  <c r="M41" i="4"/>
  <c r="M42" i="4"/>
  <c r="N7" i="4"/>
  <c r="N8" i="4"/>
  <c r="N9" i="4"/>
  <c r="N10" i="4"/>
  <c r="N11" i="4"/>
  <c r="N12" i="4"/>
  <c r="N13" i="4"/>
  <c r="N14" i="4"/>
  <c r="N15" i="4"/>
  <c r="N16" i="4"/>
  <c r="N17" i="4"/>
  <c r="N18" i="4"/>
  <c r="N19" i="4"/>
  <c r="N20" i="4"/>
  <c r="O7" i="4"/>
  <c r="O8" i="4"/>
  <c r="O9" i="4"/>
  <c r="O10" i="4"/>
  <c r="O11" i="4"/>
  <c r="N27" i="4" s="1"/>
  <c r="O12" i="4"/>
  <c r="N25" i="4" s="1"/>
  <c r="O13" i="4"/>
  <c r="O14" i="4"/>
  <c r="O15" i="4"/>
  <c r="O16" i="4"/>
  <c r="O17" i="4"/>
  <c r="O18" i="4"/>
  <c r="N28" i="4" s="1"/>
  <c r="O19" i="4"/>
  <c r="N26" i="4" s="1"/>
  <c r="O20" i="4"/>
  <c r="O21" i="4"/>
  <c r="O22" i="4"/>
  <c r="O23" i="4"/>
  <c r="O24" i="4"/>
  <c r="O25" i="4"/>
  <c r="O26" i="4"/>
  <c r="O29" i="4"/>
  <c r="O30" i="4"/>
  <c r="O31" i="4"/>
  <c r="O32" i="4"/>
  <c r="O33" i="4"/>
  <c r="O34" i="4"/>
  <c r="O35" i="4"/>
  <c r="O36" i="4"/>
  <c r="O37" i="4"/>
  <c r="O38" i="4"/>
  <c r="O39" i="4"/>
  <c r="O40" i="4"/>
  <c r="P7" i="4"/>
  <c r="P8" i="4"/>
  <c r="P9" i="4"/>
  <c r="P10" i="4"/>
  <c r="P11" i="4"/>
  <c r="P12" i="4"/>
  <c r="P13" i="4"/>
  <c r="P14" i="4"/>
  <c r="P15" i="4"/>
  <c r="P16" i="4"/>
  <c r="P17" i="4"/>
  <c r="P18" i="4"/>
  <c r="P19" i="4"/>
  <c r="P20" i="4"/>
  <c r="P21" i="4"/>
  <c r="P22" i="4"/>
  <c r="P23" i="4"/>
  <c r="P24" i="4"/>
  <c r="P25" i="4"/>
  <c r="P26" i="4"/>
  <c r="P29" i="4"/>
  <c r="P30" i="4"/>
  <c r="P31" i="4"/>
  <c r="P32" i="4"/>
  <c r="P33" i="4"/>
  <c r="P34" i="4"/>
  <c r="P35" i="4"/>
  <c r="P36" i="4"/>
  <c r="P37" i="4"/>
  <c r="P38" i="4"/>
  <c r="P39" i="4"/>
  <c r="P40" i="4"/>
  <c r="T7" i="4"/>
  <c r="T8" i="4"/>
  <c r="T9" i="4"/>
  <c r="T10" i="4"/>
  <c r="T11" i="4"/>
  <c r="T12" i="4"/>
  <c r="T13" i="4"/>
  <c r="T14" i="4"/>
  <c r="U14" i="4" s="1"/>
  <c r="T15" i="4"/>
  <c r="U15" i="4" s="1"/>
  <c r="T16" i="4"/>
  <c r="U16" i="4" s="1"/>
  <c r="T17" i="4"/>
  <c r="U17" i="4" s="1"/>
  <c r="T18" i="4"/>
  <c r="U18" i="4" s="1"/>
  <c r="T19" i="4"/>
  <c r="U19" i="4" s="1"/>
  <c r="T20" i="4"/>
  <c r="U20" i="4" s="1"/>
  <c r="T21" i="4"/>
  <c r="U21" i="4" s="1"/>
  <c r="T22" i="4"/>
  <c r="U22" i="4" s="1"/>
  <c r="T23" i="4"/>
  <c r="U23" i="4" s="1"/>
  <c r="T24" i="4"/>
  <c r="U24" i="4" s="1"/>
  <c r="T25" i="4"/>
  <c r="U25" i="4" s="1"/>
  <c r="T26" i="4"/>
  <c r="U26" i="4" s="1"/>
  <c r="T27" i="4"/>
  <c r="U27" i="4" s="1"/>
  <c r="T28" i="4"/>
  <c r="U28" i="4" s="1"/>
  <c r="T29" i="4"/>
  <c r="U29" i="4" s="1"/>
  <c r="T30" i="4"/>
  <c r="U30" i="4" s="1"/>
  <c r="T31" i="4"/>
  <c r="U31" i="4" s="1"/>
  <c r="T32" i="4"/>
  <c r="U32" i="4" s="1"/>
  <c r="T33" i="4"/>
  <c r="U33" i="4" s="1"/>
  <c r="T34" i="4"/>
  <c r="U34" i="4" s="1"/>
  <c r="T35" i="4"/>
  <c r="U35" i="4" s="1"/>
  <c r="T36" i="4"/>
  <c r="U36" i="4" s="1"/>
  <c r="T37" i="4"/>
  <c r="U37" i="4" s="1"/>
  <c r="T38" i="4"/>
  <c r="U38" i="4" s="1"/>
  <c r="T39" i="4"/>
  <c r="U39" i="4" s="1"/>
  <c r="T40" i="4"/>
  <c r="U40" i="4" s="1"/>
  <c r="T41" i="4"/>
  <c r="U41" i="4" s="1"/>
  <c r="T42" i="4"/>
  <c r="U42" i="4" s="1"/>
  <c r="U8" i="4"/>
  <c r="U9" i="4"/>
  <c r="U10" i="4"/>
  <c r="U11" i="4"/>
  <c r="U12" i="4"/>
  <c r="U13" i="4"/>
  <c r="F7" i="33"/>
  <c r="F8" i="33"/>
  <c r="B14" i="44" a="1"/>
  <c r="B13" i="44" a="1"/>
  <c r="B12" i="44" a="1"/>
  <c r="B11" i="44" a="1"/>
  <c r="B10" i="44" a="1"/>
  <c r="B9" i="44" a="1"/>
  <c r="B8" i="44" a="1"/>
  <c r="B7" i="44" a="1"/>
  <c r="B6" i="44" a="1"/>
  <c r="B5" i="44" a="1"/>
  <c r="B4" i="44" a="1"/>
  <c r="B3" i="44" a="1"/>
  <c r="B2" i="44" a="1"/>
  <c r="C15" i="20"/>
  <c r="A3" i="41"/>
  <c r="C14" i="20"/>
  <c r="B17" i="24" a="1"/>
  <c r="B16" i="24" a="1"/>
  <c r="B15" i="24"/>
  <c r="B13" i="24" a="1"/>
  <c r="B12" i="24" a="1"/>
  <c r="B11" i="24" a="1"/>
  <c r="B10" i="24" a="1"/>
  <c r="B9" i="24" a="1"/>
  <c r="B8" i="24" a="1"/>
  <c r="B7" i="24" a="1"/>
  <c r="A10" i="23" a="1"/>
  <c r="AD2" i="25" a="1"/>
  <c r="AC2" i="25" a="1"/>
  <c r="AA2" i="25" a="1"/>
  <c r="K32" i="5"/>
  <c r="R32" i="5" s="1"/>
  <c r="K34" i="5"/>
  <c r="R34" i="5" s="1"/>
  <c r="K47" i="5"/>
  <c r="R47" i="5" s="1"/>
  <c r="K60" i="5"/>
  <c r="R60" i="5" s="1"/>
  <c r="K72" i="5"/>
  <c r="R72" i="5" s="1"/>
  <c r="K83" i="5"/>
  <c r="R83" i="5" s="1"/>
  <c r="K96" i="5"/>
  <c r="R96" i="5" s="1"/>
  <c r="K98" i="5"/>
  <c r="R98" i="5" s="1"/>
  <c r="K101" i="5"/>
  <c r="R101" i="5" s="1"/>
  <c r="K111" i="5"/>
  <c r="R111" i="5" s="1"/>
  <c r="K122" i="5"/>
  <c r="R122" i="5" s="1"/>
  <c r="K12" i="3"/>
  <c r="H38" i="1" s="1"/>
  <c r="G40" i="17"/>
  <c r="F40" i="17"/>
  <c r="G39" i="17"/>
  <c r="F39" i="17"/>
  <c r="G38" i="17"/>
  <c r="F38" i="17"/>
  <c r="G37" i="17"/>
  <c r="F37" i="17"/>
  <c r="G36" i="17"/>
  <c r="F36" i="17"/>
  <c r="G35" i="17"/>
  <c r="F35" i="17"/>
  <c r="O2" i="19"/>
  <c r="O3" i="19"/>
  <c r="O4" i="19"/>
  <c r="O5" i="19"/>
  <c r="O6" i="19"/>
  <c r="O7" i="19"/>
  <c r="O8" i="19"/>
  <c r="O9" i="19"/>
  <c r="O10" i="19"/>
  <c r="O11" i="19"/>
  <c r="O12" i="19"/>
  <c r="O13" i="19"/>
  <c r="O14" i="19"/>
  <c r="O15" i="19"/>
  <c r="O16" i="19"/>
  <c r="O17" i="19"/>
  <c r="O18" i="19"/>
  <c r="O19" i="19"/>
  <c r="O20" i="19"/>
  <c r="O21" i="19"/>
  <c r="O22" i="19"/>
  <c r="O23" i="19"/>
  <c r="O24" i="19"/>
  <c r="O25" i="19"/>
  <c r="O26" i="19"/>
  <c r="O27" i="19"/>
  <c r="O28" i="19"/>
  <c r="O29" i="19"/>
  <c r="O30" i="19"/>
  <c r="O31" i="19"/>
  <c r="O32" i="19"/>
  <c r="O33" i="19"/>
  <c r="O34" i="19"/>
  <c r="O35" i="19"/>
  <c r="O36" i="19"/>
  <c r="O37" i="19"/>
  <c r="O38" i="19"/>
  <c r="O39" i="19"/>
  <c r="O40" i="19"/>
  <c r="O41" i="19"/>
  <c r="O42" i="19"/>
  <c r="O43" i="19"/>
  <c r="O44" i="19"/>
  <c r="O45" i="19"/>
  <c r="O46" i="19"/>
  <c r="O47" i="19"/>
  <c r="O48" i="19"/>
  <c r="O49" i="19"/>
  <c r="O50" i="19"/>
  <c r="O51" i="19"/>
  <c r="O52" i="19"/>
  <c r="O53" i="19"/>
  <c r="O54" i="19"/>
  <c r="O55" i="19"/>
  <c r="O56" i="19"/>
  <c r="O57" i="19"/>
  <c r="O58" i="19"/>
  <c r="O59" i="19"/>
  <c r="O60" i="19"/>
  <c r="O61" i="19"/>
  <c r="O62" i="19"/>
  <c r="O63" i="19"/>
  <c r="O64" i="19"/>
  <c r="O65" i="19"/>
  <c r="O66" i="19"/>
  <c r="O67" i="19"/>
  <c r="O68" i="19"/>
  <c r="O69" i="19"/>
  <c r="O70" i="19"/>
  <c r="O71" i="19"/>
  <c r="O72" i="19"/>
  <c r="O73" i="19"/>
  <c r="O74" i="19"/>
  <c r="O75" i="19"/>
  <c r="O76" i="19"/>
  <c r="O77" i="19"/>
  <c r="O78" i="19"/>
  <c r="O79" i="19"/>
  <c r="O80" i="19"/>
  <c r="O81" i="19"/>
  <c r="O82" i="19"/>
  <c r="O83" i="19"/>
  <c r="O84" i="19"/>
  <c r="O85" i="19"/>
  <c r="O86" i="19"/>
  <c r="O87" i="19"/>
  <c r="O88" i="19"/>
  <c r="O89" i="19"/>
  <c r="O90" i="19"/>
  <c r="O91" i="19"/>
  <c r="O92" i="19"/>
  <c r="O93" i="19"/>
  <c r="O94" i="19"/>
  <c r="O95" i="19"/>
  <c r="O96" i="19"/>
  <c r="O97" i="19"/>
  <c r="O98" i="19"/>
  <c r="O99" i="19"/>
  <c r="O100" i="19"/>
  <c r="O101" i="19"/>
  <c r="O102" i="19"/>
  <c r="O103" i="19"/>
  <c r="O104" i="19"/>
  <c r="O105" i="19"/>
  <c r="O106" i="19"/>
  <c r="O107" i="19"/>
  <c r="O108" i="19"/>
  <c r="O109" i="19"/>
  <c r="O110" i="19"/>
  <c r="O111" i="19"/>
  <c r="O112" i="19"/>
  <c r="O113" i="19"/>
  <c r="O114" i="19"/>
  <c r="O115" i="19"/>
  <c r="O116" i="19"/>
  <c r="O117" i="19"/>
  <c r="O118" i="19"/>
  <c r="O119" i="19"/>
  <c r="O120" i="19"/>
  <c r="O121" i="19"/>
  <c r="O122" i="19"/>
  <c r="O123" i="19"/>
  <c r="O124" i="19"/>
  <c r="O125" i="19"/>
  <c r="O126" i="19"/>
  <c r="O127" i="19"/>
  <c r="O128" i="19"/>
  <c r="O129" i="19"/>
  <c r="O130" i="19"/>
  <c r="O131" i="19"/>
  <c r="O132" i="19"/>
  <c r="O133" i="19"/>
  <c r="O134" i="19"/>
  <c r="O135" i="19"/>
  <c r="O136" i="19"/>
  <c r="O137" i="19"/>
  <c r="O138" i="19"/>
  <c r="O139" i="19"/>
  <c r="O140" i="19"/>
  <c r="O141" i="19"/>
  <c r="O142" i="19"/>
  <c r="O143" i="19"/>
  <c r="O144" i="19"/>
  <c r="O145" i="19"/>
  <c r="O146" i="19"/>
  <c r="O147" i="19"/>
  <c r="O148" i="19"/>
  <c r="O149" i="19"/>
  <c r="O150" i="19"/>
  <c r="O151" i="19"/>
  <c r="O152" i="19"/>
  <c r="O153" i="19"/>
  <c r="O154" i="19"/>
  <c r="O155" i="19"/>
  <c r="O156" i="19"/>
  <c r="O157" i="19"/>
  <c r="O158" i="19"/>
  <c r="O159" i="19"/>
  <c r="O160" i="19"/>
  <c r="O161" i="19"/>
  <c r="O162" i="19"/>
  <c r="O163" i="19"/>
  <c r="O164" i="19"/>
  <c r="O165" i="19"/>
  <c r="O166" i="19"/>
  <c r="O167" i="19"/>
  <c r="O168" i="19"/>
  <c r="O169" i="19"/>
  <c r="O170" i="19"/>
  <c r="O171" i="19"/>
  <c r="O172" i="19"/>
  <c r="O173" i="19"/>
  <c r="O174" i="19"/>
  <c r="O175" i="19"/>
  <c r="O176" i="19"/>
  <c r="O177" i="19"/>
  <c r="O178" i="19"/>
  <c r="O179" i="19"/>
  <c r="O180" i="19"/>
  <c r="O181" i="19"/>
  <c r="O182" i="19"/>
  <c r="O183" i="19"/>
  <c r="O184" i="19"/>
  <c r="O185" i="19"/>
  <c r="O186" i="19"/>
  <c r="O187" i="19"/>
  <c r="O188" i="19"/>
  <c r="O189" i="19"/>
  <c r="O190" i="19"/>
  <c r="O191" i="19"/>
  <c r="O192" i="19"/>
  <c r="O193" i="19"/>
  <c r="O194" i="19"/>
  <c r="O195" i="19"/>
  <c r="O196" i="19"/>
  <c r="O197" i="19"/>
  <c r="O198" i="19"/>
  <c r="O199" i="19"/>
  <c r="O200" i="19"/>
  <c r="O201" i="19"/>
  <c r="O202" i="19"/>
  <c r="O203" i="19"/>
  <c r="O204" i="19"/>
  <c r="O205" i="19"/>
  <c r="O206" i="19"/>
  <c r="O207" i="19"/>
  <c r="O208" i="19"/>
  <c r="O209" i="19"/>
  <c r="O210" i="19"/>
  <c r="O211" i="19"/>
  <c r="O212" i="19"/>
  <c r="O213" i="19"/>
  <c r="O214" i="19"/>
  <c r="O215" i="19"/>
  <c r="O216" i="19"/>
  <c r="O217" i="19"/>
  <c r="O218" i="19"/>
  <c r="O219" i="19"/>
  <c r="O220" i="19"/>
  <c r="O221" i="19"/>
  <c r="O222" i="19"/>
  <c r="O223" i="19"/>
  <c r="O224" i="19"/>
  <c r="O225" i="19"/>
  <c r="O226" i="19"/>
  <c r="O227" i="19"/>
  <c r="O228" i="19"/>
  <c r="O229" i="19"/>
  <c r="O230" i="19"/>
  <c r="O231" i="19"/>
  <c r="O232" i="19"/>
  <c r="O233" i="19"/>
  <c r="O234" i="19"/>
  <c r="O235" i="19"/>
  <c r="O236" i="19"/>
  <c r="O237" i="19"/>
  <c r="O238" i="19"/>
  <c r="O239" i="19"/>
  <c r="O240" i="19"/>
  <c r="O241" i="19"/>
  <c r="O242" i="19"/>
  <c r="O243" i="19"/>
  <c r="O244" i="19"/>
  <c r="O245" i="19"/>
  <c r="O246" i="19"/>
  <c r="O247" i="19"/>
  <c r="O248" i="19"/>
  <c r="O249" i="19"/>
  <c r="O250" i="19"/>
  <c r="O251" i="19"/>
  <c r="O252" i="19"/>
  <c r="O253" i="19"/>
  <c r="O254" i="19"/>
  <c r="O255" i="19"/>
  <c r="O256" i="19"/>
  <c r="O257" i="19"/>
  <c r="O258" i="19"/>
  <c r="O259" i="19"/>
  <c r="O260" i="19"/>
  <c r="O261" i="19"/>
  <c r="O262" i="19"/>
  <c r="O263" i="19"/>
  <c r="O264" i="19"/>
  <c r="O265" i="19"/>
  <c r="O266" i="19"/>
  <c r="O267" i="19"/>
  <c r="O268" i="19"/>
  <c r="O269" i="19"/>
  <c r="O270" i="19"/>
  <c r="O271" i="19"/>
  <c r="O272" i="19"/>
  <c r="O273" i="19"/>
  <c r="O274" i="19"/>
  <c r="O275" i="19"/>
  <c r="O276" i="19"/>
  <c r="O277" i="19"/>
  <c r="O278" i="19"/>
  <c r="O279" i="19"/>
  <c r="O280" i="19"/>
  <c r="O281" i="19"/>
  <c r="O282" i="19"/>
  <c r="O283" i="19"/>
  <c r="O284" i="19"/>
  <c r="O285" i="19"/>
  <c r="O286" i="19"/>
  <c r="O287" i="19"/>
  <c r="O288" i="19"/>
  <c r="O289" i="19"/>
  <c r="O290" i="19"/>
  <c r="O291" i="19"/>
  <c r="O292" i="19"/>
  <c r="O293" i="19"/>
  <c r="O294" i="19"/>
  <c r="O295" i="19"/>
  <c r="O296" i="19"/>
  <c r="O297" i="19"/>
  <c r="O298" i="19"/>
  <c r="O299" i="19"/>
  <c r="O300" i="19"/>
  <c r="O301" i="19"/>
  <c r="O302" i="19"/>
  <c r="O303" i="19"/>
  <c r="O304" i="19"/>
  <c r="O305" i="19"/>
  <c r="O306" i="19"/>
  <c r="O307" i="19"/>
  <c r="O308" i="19"/>
  <c r="O309" i="19"/>
  <c r="O310" i="19"/>
  <c r="O311" i="19"/>
  <c r="O312" i="19"/>
  <c r="O313" i="19"/>
  <c r="O314" i="19"/>
  <c r="O315" i="19"/>
  <c r="O316" i="19"/>
  <c r="O317" i="19"/>
  <c r="O318" i="19"/>
  <c r="O319" i="19"/>
  <c r="O320" i="19"/>
  <c r="O321" i="19"/>
  <c r="O322" i="19"/>
  <c r="O323" i="19"/>
  <c r="O324" i="19"/>
  <c r="O325" i="19"/>
  <c r="O326" i="19"/>
  <c r="O327" i="19"/>
  <c r="O328" i="19"/>
  <c r="O329" i="19"/>
  <c r="O330" i="19"/>
  <c r="O331" i="19"/>
  <c r="O332" i="19"/>
  <c r="O333" i="19"/>
  <c r="O334" i="19"/>
  <c r="O335" i="19"/>
  <c r="O336" i="19"/>
  <c r="O337" i="19"/>
  <c r="O338" i="19"/>
  <c r="O339" i="19"/>
  <c r="O340" i="19"/>
  <c r="O341" i="19"/>
  <c r="O342" i="19"/>
  <c r="O343" i="19"/>
  <c r="O344" i="19"/>
  <c r="O345" i="19"/>
  <c r="O346" i="19"/>
  <c r="O347" i="19"/>
  <c r="O348" i="19"/>
  <c r="O349" i="19"/>
  <c r="O350" i="19"/>
  <c r="O351" i="19"/>
  <c r="O352" i="19"/>
  <c r="O353" i="19"/>
  <c r="O354" i="19"/>
  <c r="O355" i="19"/>
  <c r="O356" i="19"/>
  <c r="O357" i="19"/>
  <c r="O358" i="19"/>
  <c r="O359" i="19"/>
  <c r="O360" i="19"/>
  <c r="O361" i="19"/>
  <c r="O362" i="19"/>
  <c r="O363" i="19"/>
  <c r="O364" i="19"/>
  <c r="O365" i="19"/>
  <c r="O366" i="19"/>
  <c r="O367" i="19"/>
  <c r="O368" i="19"/>
  <c r="O369" i="19"/>
  <c r="O370" i="19"/>
  <c r="O371" i="19"/>
  <c r="O372" i="19"/>
  <c r="O373" i="19"/>
  <c r="O374" i="19"/>
  <c r="O375" i="19"/>
  <c r="O376" i="19"/>
  <c r="O377" i="19"/>
  <c r="O378" i="19"/>
  <c r="O379" i="19"/>
  <c r="O380" i="19"/>
  <c r="O381" i="19"/>
  <c r="O382" i="19"/>
  <c r="O383" i="19"/>
  <c r="O384" i="19"/>
  <c r="O385" i="19"/>
  <c r="O386" i="19"/>
  <c r="O387" i="19"/>
  <c r="O388" i="19"/>
  <c r="O389" i="19"/>
  <c r="O390" i="19"/>
  <c r="O391" i="19"/>
  <c r="O392" i="19"/>
  <c r="O393" i="19"/>
  <c r="O394" i="19"/>
  <c r="O395" i="19"/>
  <c r="O396" i="19"/>
  <c r="O397" i="19"/>
  <c r="O398" i="19"/>
  <c r="O399" i="19"/>
  <c r="O400" i="19"/>
  <c r="O401" i="19"/>
  <c r="O402" i="19"/>
  <c r="O403" i="19"/>
  <c r="O404" i="19"/>
  <c r="O405" i="19"/>
  <c r="O406" i="19"/>
  <c r="O407" i="19"/>
  <c r="O408" i="19"/>
  <c r="O409" i="19"/>
  <c r="O410" i="19"/>
  <c r="O411" i="19"/>
  <c r="O412" i="19"/>
  <c r="O413" i="19"/>
  <c r="O414" i="19"/>
  <c r="O415" i="19"/>
  <c r="O416" i="19"/>
  <c r="O417" i="19"/>
  <c r="O418" i="19"/>
  <c r="O419" i="19"/>
  <c r="O420" i="19"/>
  <c r="O421" i="19"/>
  <c r="O422" i="19"/>
  <c r="O423" i="19"/>
  <c r="O424" i="19"/>
  <c r="O425" i="19"/>
  <c r="O426" i="19"/>
  <c r="O427" i="19"/>
  <c r="O428" i="19"/>
  <c r="O429" i="19"/>
  <c r="O430" i="19"/>
  <c r="O431" i="19"/>
  <c r="O432" i="19"/>
  <c r="O433" i="19"/>
  <c r="O434" i="19"/>
  <c r="O435" i="19"/>
  <c r="O436" i="19"/>
  <c r="O437" i="19"/>
  <c r="O438" i="19"/>
  <c r="O439" i="19"/>
  <c r="O440" i="19"/>
  <c r="O441" i="19"/>
  <c r="O442" i="19"/>
  <c r="O443" i="19"/>
  <c r="O444" i="19"/>
  <c r="O445" i="19"/>
  <c r="O446" i="19"/>
  <c r="O447" i="19"/>
  <c r="O448" i="19"/>
  <c r="O449" i="19"/>
  <c r="O450" i="19"/>
  <c r="O451" i="19"/>
  <c r="O452" i="19"/>
  <c r="O453" i="19"/>
  <c r="O454" i="19"/>
  <c r="O455" i="19"/>
  <c r="O456" i="19"/>
  <c r="O457" i="19"/>
  <c r="O458" i="19"/>
  <c r="O459" i="19"/>
  <c r="O460" i="19"/>
  <c r="O461" i="19"/>
  <c r="O462" i="19"/>
  <c r="O463" i="19"/>
  <c r="O464" i="19"/>
  <c r="O465" i="19"/>
  <c r="O466" i="19"/>
  <c r="O467" i="19"/>
  <c r="O468" i="19"/>
  <c r="O469" i="19"/>
  <c r="O470" i="19"/>
  <c r="O471" i="19"/>
  <c r="O472" i="19"/>
  <c r="O473" i="19"/>
  <c r="O474" i="19"/>
  <c r="O475" i="19"/>
  <c r="O476" i="19"/>
  <c r="O477" i="19"/>
  <c r="O478" i="19"/>
  <c r="O479" i="19"/>
  <c r="O480" i="19"/>
  <c r="O481" i="19"/>
  <c r="O482" i="19"/>
  <c r="O483" i="19"/>
  <c r="O484" i="19"/>
  <c r="O485" i="19"/>
  <c r="O486" i="19"/>
  <c r="O487" i="19"/>
  <c r="O488" i="19"/>
  <c r="O489" i="19"/>
  <c r="O490" i="19"/>
  <c r="O491" i="19"/>
  <c r="O492" i="19"/>
  <c r="O493" i="19"/>
  <c r="O494" i="19"/>
  <c r="O495" i="19"/>
  <c r="O496" i="19"/>
  <c r="O497" i="19"/>
  <c r="O498" i="19"/>
  <c r="O499" i="19"/>
  <c r="O500" i="19"/>
  <c r="O501" i="19"/>
  <c r="O502" i="19"/>
  <c r="O503" i="19"/>
  <c r="O504" i="19"/>
  <c r="O505" i="19"/>
  <c r="O506" i="19"/>
  <c r="O507" i="19"/>
  <c r="O508" i="19"/>
  <c r="O509" i="19"/>
  <c r="O510" i="19"/>
  <c r="O511" i="19"/>
  <c r="O512" i="19"/>
  <c r="O513" i="19"/>
  <c r="O514" i="19"/>
  <c r="O515" i="19"/>
  <c r="O516" i="19"/>
  <c r="O517" i="19"/>
  <c r="O518" i="19"/>
  <c r="O519" i="19"/>
  <c r="O520" i="19"/>
  <c r="O521" i="19"/>
  <c r="O522" i="19"/>
  <c r="O523" i="19"/>
  <c r="O524" i="19"/>
  <c r="O525" i="19"/>
  <c r="O526" i="19"/>
  <c r="O527" i="19"/>
  <c r="O528" i="19"/>
  <c r="O529" i="19"/>
  <c r="O530" i="19"/>
  <c r="O531" i="19"/>
  <c r="O532" i="19"/>
  <c r="O533" i="19"/>
  <c r="O534" i="19"/>
  <c r="O535" i="19"/>
  <c r="O536" i="19"/>
  <c r="O537" i="19"/>
  <c r="O538" i="19"/>
  <c r="O539" i="19"/>
  <c r="O540" i="19"/>
  <c r="O541" i="19"/>
  <c r="O542" i="19"/>
  <c r="O543" i="19"/>
  <c r="O544" i="19"/>
  <c r="O545" i="19"/>
  <c r="O546" i="19"/>
  <c r="O547" i="19"/>
  <c r="O548" i="19"/>
  <c r="O549" i="19"/>
  <c r="O550" i="19"/>
  <c r="O551" i="19"/>
  <c r="O552" i="19"/>
  <c r="O553" i="19"/>
  <c r="O554" i="19"/>
  <c r="O555" i="19"/>
  <c r="O556" i="19"/>
  <c r="O557" i="19"/>
  <c r="O558" i="19"/>
  <c r="O559" i="19"/>
  <c r="O560" i="19"/>
  <c r="O561" i="19"/>
  <c r="O562" i="19"/>
  <c r="O563" i="19"/>
  <c r="O564" i="19"/>
  <c r="O565" i="19"/>
  <c r="O566" i="19"/>
  <c r="O567" i="19"/>
  <c r="O568" i="19"/>
  <c r="O569" i="19"/>
  <c r="O570" i="19"/>
  <c r="O571" i="19"/>
  <c r="O572" i="19"/>
  <c r="O573" i="19"/>
  <c r="O574" i="19"/>
  <c r="O575" i="19"/>
  <c r="O576" i="19"/>
  <c r="O577" i="19"/>
  <c r="O578" i="19"/>
  <c r="O579" i="19"/>
  <c r="O580" i="19"/>
  <c r="O581" i="19"/>
  <c r="O582" i="19"/>
  <c r="O583" i="19"/>
  <c r="O584" i="19"/>
  <c r="O585" i="19"/>
  <c r="O586" i="19"/>
  <c r="O587" i="19"/>
  <c r="O588" i="19"/>
  <c r="O589" i="19"/>
  <c r="O590" i="19"/>
  <c r="O591" i="19"/>
  <c r="O592" i="19"/>
  <c r="O593" i="19"/>
  <c r="O594" i="19"/>
  <c r="O595" i="19"/>
  <c r="O596" i="19"/>
  <c r="O597" i="19"/>
  <c r="O598" i="19"/>
  <c r="O599" i="19"/>
  <c r="O600" i="19"/>
  <c r="O601" i="19"/>
  <c r="O602" i="19"/>
  <c r="O603" i="19"/>
  <c r="O604" i="19"/>
  <c r="O605" i="19"/>
  <c r="O606" i="19"/>
  <c r="O607" i="19"/>
  <c r="O608" i="19"/>
  <c r="O609" i="19"/>
  <c r="O610" i="19"/>
  <c r="O611" i="19"/>
  <c r="O612" i="19"/>
  <c r="O613" i="19"/>
  <c r="O614" i="19"/>
  <c r="O615" i="19"/>
  <c r="O616" i="19"/>
  <c r="O617" i="19"/>
  <c r="O618" i="19"/>
  <c r="O619" i="19"/>
  <c r="O620" i="19"/>
  <c r="O621" i="19"/>
  <c r="O622" i="19"/>
  <c r="O623" i="19"/>
  <c r="O624" i="19"/>
  <c r="O625" i="19"/>
  <c r="O626" i="19"/>
  <c r="O627" i="19"/>
  <c r="O628" i="19"/>
  <c r="O629" i="19"/>
  <c r="O630" i="19"/>
  <c r="O631" i="19"/>
  <c r="O632" i="19"/>
  <c r="O633" i="19"/>
  <c r="O634" i="19"/>
  <c r="O635" i="19"/>
  <c r="O636" i="19"/>
  <c r="O637" i="19"/>
  <c r="O638" i="19"/>
  <c r="O639" i="19"/>
  <c r="O640" i="19"/>
  <c r="O641" i="19"/>
  <c r="O642" i="19"/>
  <c r="O643" i="19"/>
  <c r="O644" i="19"/>
  <c r="O645" i="19"/>
  <c r="O646" i="19"/>
  <c r="O647" i="19"/>
  <c r="O648" i="19"/>
  <c r="O649" i="19"/>
  <c r="O650" i="19"/>
  <c r="O651" i="19"/>
  <c r="O652" i="19"/>
  <c r="O653" i="19"/>
  <c r="O654" i="19"/>
  <c r="O655" i="19"/>
  <c r="O656" i="19"/>
  <c r="O657" i="19"/>
  <c r="O658" i="19"/>
  <c r="O659" i="19"/>
  <c r="O660" i="19"/>
  <c r="O661" i="19"/>
  <c r="O662" i="19"/>
  <c r="O663" i="19"/>
  <c r="O664" i="19"/>
  <c r="O665" i="19"/>
  <c r="O666" i="19"/>
  <c r="O667" i="19"/>
  <c r="O668" i="19"/>
  <c r="O669" i="19"/>
  <c r="O670" i="19"/>
  <c r="O671" i="19"/>
  <c r="O672" i="19"/>
  <c r="O673" i="19"/>
  <c r="O674" i="19"/>
  <c r="O675" i="19"/>
  <c r="O676" i="19"/>
  <c r="O677" i="19"/>
  <c r="O678" i="19"/>
  <c r="O679" i="19"/>
  <c r="O680" i="19"/>
  <c r="O681" i="19"/>
  <c r="O682" i="19"/>
  <c r="O683" i="19"/>
  <c r="O684" i="19"/>
  <c r="O685" i="19"/>
  <c r="O686" i="19"/>
  <c r="O687" i="19"/>
  <c r="O688" i="19"/>
  <c r="O689" i="19"/>
  <c r="O690" i="19"/>
  <c r="O691" i="19"/>
  <c r="O692" i="19"/>
  <c r="O693" i="19"/>
  <c r="O694" i="19"/>
  <c r="O695" i="19"/>
  <c r="O696" i="19"/>
  <c r="O697" i="19"/>
  <c r="O698" i="19"/>
  <c r="O699" i="19"/>
  <c r="O700" i="19"/>
  <c r="O701" i="19"/>
  <c r="O702" i="19"/>
  <c r="O703" i="19"/>
  <c r="O704" i="19"/>
  <c r="O705" i="19"/>
  <c r="O706" i="19"/>
  <c r="O707" i="19"/>
  <c r="O708" i="19"/>
  <c r="O709" i="19"/>
  <c r="O710" i="19"/>
  <c r="O711" i="19"/>
  <c r="O712" i="19"/>
  <c r="O713" i="19"/>
  <c r="O714" i="19"/>
  <c r="O715" i="19"/>
  <c r="O716" i="19"/>
  <c r="O717" i="19"/>
  <c r="O718" i="19"/>
  <c r="O719" i="19"/>
  <c r="O720" i="19"/>
  <c r="O721" i="19"/>
  <c r="O722" i="19"/>
  <c r="O723" i="19"/>
  <c r="O724" i="19"/>
  <c r="O725" i="19"/>
  <c r="O726" i="19"/>
  <c r="O727" i="19"/>
  <c r="O728" i="19"/>
  <c r="O729" i="19"/>
  <c r="O730" i="19"/>
  <c r="O731" i="19"/>
  <c r="O732" i="19"/>
  <c r="O733" i="19"/>
  <c r="O734" i="19"/>
  <c r="O735" i="19"/>
  <c r="O736" i="19"/>
  <c r="O737" i="19"/>
  <c r="O738" i="19"/>
  <c r="O739" i="19"/>
  <c r="O740" i="19"/>
  <c r="O741" i="19"/>
  <c r="O742" i="19"/>
  <c r="O743" i="19"/>
  <c r="O744" i="19"/>
  <c r="O745" i="19"/>
  <c r="O746" i="19"/>
  <c r="O747" i="19"/>
  <c r="O748" i="19"/>
  <c r="O749" i="19"/>
  <c r="O750" i="19"/>
  <c r="O751" i="19"/>
  <c r="O752" i="19"/>
  <c r="O753" i="19"/>
  <c r="O754" i="19"/>
  <c r="O755" i="19"/>
  <c r="O756" i="19"/>
  <c r="O757" i="19"/>
  <c r="O758" i="19"/>
  <c r="O759" i="19"/>
  <c r="O760" i="19"/>
  <c r="O761" i="19"/>
  <c r="O762" i="19"/>
  <c r="O763" i="19"/>
  <c r="O764" i="19"/>
  <c r="O765" i="19"/>
  <c r="O766" i="19"/>
  <c r="O767" i="19"/>
  <c r="O768" i="19"/>
  <c r="O769" i="19"/>
  <c r="O770" i="19"/>
  <c r="O771" i="19"/>
  <c r="O772" i="19"/>
  <c r="O773" i="19"/>
  <c r="O774" i="19"/>
  <c r="O775" i="19"/>
  <c r="O776" i="19"/>
  <c r="O777" i="19"/>
  <c r="O778" i="19"/>
  <c r="O779" i="19"/>
  <c r="O780" i="19"/>
  <c r="O781" i="19"/>
  <c r="O782" i="19"/>
  <c r="O783" i="19"/>
  <c r="O784" i="19"/>
  <c r="O785" i="19"/>
  <c r="O786" i="19"/>
  <c r="O787" i="19"/>
  <c r="O788" i="19"/>
  <c r="O789" i="19"/>
  <c r="O790" i="19"/>
  <c r="O791" i="19"/>
  <c r="O792" i="19"/>
  <c r="O793" i="19"/>
  <c r="O794" i="19"/>
  <c r="O795" i="19"/>
  <c r="O796" i="19"/>
  <c r="O797" i="19"/>
  <c r="O798" i="19"/>
  <c r="O799" i="19"/>
  <c r="O800" i="19"/>
  <c r="O801" i="19"/>
  <c r="O802" i="19"/>
  <c r="O803" i="19"/>
  <c r="O804" i="19"/>
  <c r="O805" i="19"/>
  <c r="O806" i="19"/>
  <c r="O807" i="19"/>
  <c r="O808" i="19"/>
  <c r="O809" i="19"/>
  <c r="O810" i="19"/>
  <c r="O811" i="19"/>
  <c r="O812" i="19"/>
  <c r="O813" i="19"/>
  <c r="O814" i="19"/>
  <c r="O815" i="19"/>
  <c r="O816" i="19"/>
  <c r="O817" i="19"/>
  <c r="O818" i="19"/>
  <c r="O819" i="19"/>
  <c r="O820" i="19"/>
  <c r="O821" i="19"/>
  <c r="O822" i="19"/>
  <c r="O823" i="19"/>
  <c r="O824" i="19"/>
  <c r="O825" i="19"/>
  <c r="O826" i="19"/>
  <c r="O827" i="19"/>
  <c r="O828" i="19"/>
  <c r="O829" i="19"/>
  <c r="O830" i="19"/>
  <c r="O831" i="19"/>
  <c r="O832" i="19"/>
  <c r="O833" i="19"/>
  <c r="O834" i="19"/>
  <c r="O835" i="19"/>
  <c r="O836" i="19"/>
  <c r="O837" i="19"/>
  <c r="O838" i="19"/>
  <c r="O839" i="19"/>
  <c r="O840" i="19"/>
  <c r="O841" i="19"/>
  <c r="O842" i="19"/>
  <c r="O843" i="19"/>
  <c r="O844" i="19"/>
  <c r="O845" i="19"/>
  <c r="O846" i="19"/>
  <c r="O847" i="19"/>
  <c r="O848" i="19"/>
  <c r="O849" i="19"/>
  <c r="O850" i="19"/>
  <c r="O851" i="19"/>
  <c r="O852" i="19"/>
  <c r="O853" i="19"/>
  <c r="O854" i="19"/>
  <c r="O855" i="19"/>
  <c r="O856" i="19"/>
  <c r="O857" i="19"/>
  <c r="O858" i="19"/>
  <c r="O859" i="19"/>
  <c r="O860" i="19"/>
  <c r="O861" i="19"/>
  <c r="O862" i="19"/>
  <c r="O863" i="19"/>
  <c r="O864" i="19"/>
  <c r="O865" i="19"/>
  <c r="O866" i="19"/>
  <c r="O867" i="19"/>
  <c r="O868" i="19"/>
  <c r="O869" i="19"/>
  <c r="O870" i="19"/>
  <c r="O871" i="19"/>
  <c r="O872" i="19"/>
  <c r="O873" i="19"/>
  <c r="O874" i="19"/>
  <c r="O875" i="19"/>
  <c r="O876" i="19"/>
  <c r="O877" i="19"/>
  <c r="O878" i="19"/>
  <c r="O879" i="19"/>
  <c r="O880" i="19"/>
  <c r="O881" i="19"/>
  <c r="O882" i="19"/>
  <c r="O883" i="19"/>
  <c r="O884" i="19"/>
  <c r="O885" i="19"/>
  <c r="O886" i="19"/>
  <c r="O887" i="19"/>
  <c r="O888" i="19"/>
  <c r="O889" i="19"/>
  <c r="O890" i="19"/>
  <c r="O891" i="19"/>
  <c r="O892" i="19"/>
  <c r="O893" i="19"/>
  <c r="O894" i="19"/>
  <c r="O895" i="19"/>
  <c r="O896" i="19"/>
  <c r="O897" i="19"/>
  <c r="O898" i="19"/>
  <c r="O899" i="19"/>
  <c r="O900" i="19"/>
  <c r="O901" i="19"/>
  <c r="O902" i="19"/>
  <c r="O903" i="19"/>
  <c r="O904" i="19"/>
  <c r="O905" i="19"/>
  <c r="O906" i="19"/>
  <c r="O907" i="19"/>
  <c r="O908" i="19"/>
  <c r="O909" i="19"/>
  <c r="O910" i="19"/>
  <c r="O911" i="19"/>
  <c r="O912" i="19"/>
  <c r="O913" i="19"/>
  <c r="O914" i="19"/>
  <c r="O915" i="19"/>
  <c r="O916" i="19"/>
  <c r="O917" i="19"/>
  <c r="O918" i="19"/>
  <c r="O919" i="19"/>
  <c r="O920" i="19"/>
  <c r="O921" i="19"/>
  <c r="O922" i="19"/>
  <c r="O923" i="19"/>
  <c r="O924" i="19"/>
  <c r="O925" i="19"/>
  <c r="O926" i="19"/>
  <c r="O927" i="19"/>
  <c r="O928" i="19"/>
  <c r="O929" i="19"/>
  <c r="O930" i="19"/>
  <c r="O931" i="19"/>
  <c r="O932" i="19"/>
  <c r="O933" i="19"/>
  <c r="O934" i="19"/>
  <c r="O935" i="19"/>
  <c r="O936" i="19"/>
  <c r="O937" i="19"/>
  <c r="O938" i="19"/>
  <c r="O939" i="19"/>
  <c r="O940" i="19"/>
  <c r="O941" i="19"/>
  <c r="O942" i="19"/>
  <c r="O943" i="19"/>
  <c r="O944" i="19"/>
  <c r="O945" i="19"/>
  <c r="O946" i="19"/>
  <c r="O947" i="19"/>
  <c r="O948" i="19"/>
  <c r="O949" i="19"/>
  <c r="O950" i="19"/>
  <c r="O951" i="19"/>
  <c r="O952" i="19"/>
  <c r="O953" i="19"/>
  <c r="O954" i="19"/>
  <c r="O955" i="19"/>
  <c r="O956" i="19"/>
  <c r="O957" i="19"/>
  <c r="O958" i="19"/>
  <c r="O959" i="19"/>
  <c r="O960" i="19"/>
  <c r="O961" i="19"/>
  <c r="O962" i="19"/>
  <c r="O963" i="19"/>
  <c r="O964" i="19"/>
  <c r="O965" i="19"/>
  <c r="O966" i="19"/>
  <c r="O967" i="19"/>
  <c r="O968" i="19"/>
  <c r="O969" i="19"/>
  <c r="O970" i="19"/>
  <c r="O971" i="19"/>
  <c r="O972" i="19"/>
  <c r="O973" i="19"/>
  <c r="O974" i="19"/>
  <c r="O975" i="19"/>
  <c r="O976" i="19"/>
  <c r="O977" i="19"/>
  <c r="O978" i="19"/>
  <c r="O979" i="19"/>
  <c r="O980" i="19"/>
  <c r="O981" i="19"/>
  <c r="O982" i="19"/>
  <c r="O983" i="19"/>
  <c r="O984" i="19"/>
  <c r="O985" i="19"/>
  <c r="O986" i="19"/>
  <c r="O987" i="19"/>
  <c r="O988" i="19"/>
  <c r="O989" i="19"/>
  <c r="O990" i="19"/>
  <c r="O991" i="19"/>
  <c r="O992" i="19"/>
  <c r="O993" i="19"/>
  <c r="O994" i="19"/>
  <c r="O995" i="19"/>
  <c r="O996" i="19"/>
  <c r="O997" i="19"/>
  <c r="O998" i="19"/>
  <c r="O999" i="19"/>
  <c r="O1000" i="19"/>
  <c r="O1001" i="19"/>
  <c r="O1002" i="19"/>
  <c r="O1003" i="19"/>
  <c r="O1004" i="19"/>
  <c r="O1005" i="19"/>
  <c r="O1006" i="19"/>
  <c r="O1007" i="19"/>
  <c r="O1008" i="19"/>
  <c r="O1009" i="19"/>
  <c r="O1010" i="19"/>
  <c r="O1011" i="19"/>
  <c r="O1012" i="19"/>
  <c r="O1013" i="19"/>
  <c r="O1014" i="19"/>
  <c r="O1015" i="19"/>
  <c r="O1016" i="19"/>
  <c r="O1017" i="19"/>
  <c r="O1018" i="19"/>
  <c r="O1019" i="19"/>
  <c r="O1020" i="19"/>
  <c r="O1021" i="19"/>
  <c r="O1022" i="19"/>
  <c r="O1023" i="19"/>
  <c r="O1024" i="19"/>
  <c r="O1025" i="19"/>
  <c r="O1026" i="19"/>
  <c r="O1027" i="19"/>
  <c r="O1028" i="19"/>
  <c r="O1029" i="19"/>
  <c r="O1030" i="19"/>
  <c r="O1031" i="19"/>
  <c r="O1032" i="19"/>
  <c r="O1033" i="19"/>
  <c r="O1034" i="19"/>
  <c r="O1035" i="19"/>
  <c r="O1036" i="19"/>
  <c r="O1037" i="19"/>
  <c r="O1038" i="19"/>
  <c r="O1039" i="19"/>
  <c r="O1040" i="19"/>
  <c r="O1041" i="19"/>
  <c r="O1042" i="19"/>
  <c r="O1043" i="19"/>
  <c r="O1044" i="19"/>
  <c r="O1045" i="19"/>
  <c r="O1046" i="19"/>
  <c r="O1047" i="19"/>
  <c r="O1048" i="19"/>
  <c r="O1049" i="19"/>
  <c r="O1050" i="19"/>
  <c r="O1051" i="19"/>
  <c r="O1052" i="19"/>
  <c r="O1053" i="19"/>
  <c r="O1054" i="19"/>
  <c r="O1055" i="19"/>
  <c r="O1056" i="19"/>
  <c r="O1057" i="19"/>
  <c r="O1058" i="19"/>
  <c r="O1059" i="19"/>
  <c r="O1060" i="19"/>
  <c r="O1061" i="19"/>
  <c r="O1062" i="19"/>
  <c r="O1063" i="19"/>
  <c r="O1064" i="19"/>
  <c r="O1065" i="19"/>
  <c r="O1066" i="19"/>
  <c r="O1067" i="19"/>
  <c r="O1068" i="19"/>
  <c r="O1069" i="19"/>
  <c r="O1070" i="19"/>
  <c r="O1071" i="19"/>
  <c r="O1072" i="19"/>
  <c r="O1073" i="19"/>
  <c r="O1074" i="19"/>
  <c r="O1075" i="19"/>
  <c r="O1076" i="19"/>
  <c r="O1077" i="19"/>
  <c r="O1078" i="19"/>
  <c r="O1079" i="19"/>
  <c r="O1080" i="19"/>
  <c r="O1081" i="19"/>
  <c r="O1082" i="19"/>
  <c r="O1083" i="19"/>
  <c r="O1084" i="19"/>
  <c r="O1085" i="19"/>
  <c r="O1086" i="19"/>
  <c r="O1087" i="19"/>
  <c r="O1088" i="19"/>
  <c r="O1089" i="19"/>
  <c r="O1090" i="19"/>
  <c r="O1091" i="19"/>
  <c r="O1092" i="19"/>
  <c r="O1093" i="19"/>
  <c r="O1094" i="19"/>
  <c r="O1095" i="19"/>
  <c r="O1096" i="19"/>
  <c r="O1097" i="19"/>
  <c r="O1098" i="19"/>
  <c r="O1099" i="19"/>
  <c r="O1100" i="19"/>
  <c r="O1101" i="19"/>
  <c r="O1102" i="19"/>
  <c r="O1103" i="19"/>
  <c r="O1104" i="19"/>
  <c r="O1105" i="19"/>
  <c r="O1106" i="19"/>
  <c r="O1107" i="19"/>
  <c r="O1108" i="19"/>
  <c r="O1109" i="19"/>
  <c r="O1110" i="19"/>
  <c r="O1111" i="19"/>
  <c r="O1112" i="19"/>
  <c r="O1113" i="19"/>
  <c r="O1114" i="19"/>
  <c r="O1115" i="19"/>
  <c r="O1116" i="19"/>
  <c r="O1117" i="19"/>
  <c r="O1118" i="19"/>
  <c r="O1119" i="19"/>
  <c r="O1120" i="19"/>
  <c r="O1121" i="19"/>
  <c r="O1122" i="19"/>
  <c r="O1123" i="19"/>
  <c r="O1124" i="19"/>
  <c r="O1125" i="19"/>
  <c r="O1126" i="19"/>
  <c r="O1127" i="19"/>
  <c r="O1128" i="19"/>
  <c r="O1129" i="19"/>
  <c r="O1130" i="19"/>
  <c r="O1131" i="19"/>
  <c r="O1132" i="19"/>
  <c r="O1133" i="19"/>
  <c r="O1134" i="19"/>
  <c r="O1135" i="19"/>
  <c r="O1136" i="19"/>
  <c r="O1137" i="19"/>
  <c r="O1138" i="19"/>
  <c r="O1139" i="19"/>
  <c r="O1140" i="19"/>
  <c r="O1141" i="19"/>
  <c r="O1142" i="19"/>
  <c r="O1143" i="19"/>
  <c r="O1144" i="19"/>
  <c r="O1145" i="19"/>
  <c r="O1146" i="19"/>
  <c r="O1147" i="19"/>
  <c r="O1148" i="19"/>
  <c r="O1149" i="19"/>
  <c r="O1150" i="19"/>
  <c r="O1151" i="19"/>
  <c r="O1152" i="19"/>
  <c r="O1153" i="19"/>
  <c r="O1154" i="19"/>
  <c r="O1155" i="19"/>
  <c r="O1156" i="19"/>
  <c r="O1157" i="19"/>
  <c r="O1158" i="19"/>
  <c r="O1159" i="19"/>
  <c r="O1160" i="19"/>
  <c r="O1161" i="19"/>
  <c r="O1162" i="19"/>
  <c r="O1163" i="19"/>
  <c r="O1164" i="19"/>
  <c r="O1165" i="19"/>
  <c r="O1166" i="19"/>
  <c r="O1167" i="19"/>
  <c r="O1168" i="19"/>
  <c r="O1169" i="19"/>
  <c r="O1170" i="19"/>
  <c r="O1171" i="19"/>
  <c r="O1172" i="19"/>
  <c r="O1173" i="19"/>
  <c r="O1174" i="19"/>
  <c r="O1175" i="19"/>
  <c r="O1176" i="19"/>
  <c r="O1177" i="19"/>
  <c r="O1178" i="19"/>
  <c r="O1179" i="19"/>
  <c r="O1180" i="19"/>
  <c r="O1181" i="19"/>
  <c r="O1182" i="19"/>
  <c r="O1183" i="19"/>
  <c r="O1184" i="19"/>
  <c r="O1185" i="19"/>
  <c r="O1186" i="19"/>
  <c r="O1187" i="19"/>
  <c r="O1188" i="19"/>
  <c r="O1189" i="19"/>
  <c r="O1190" i="19"/>
  <c r="O1191" i="19"/>
  <c r="O1192" i="19"/>
  <c r="O1193" i="19"/>
  <c r="O1194" i="19"/>
  <c r="O1195" i="19"/>
  <c r="O1196" i="19"/>
  <c r="O1197" i="19"/>
  <c r="O1198" i="19"/>
  <c r="O1199" i="19"/>
  <c r="O1200" i="19"/>
  <c r="O1201" i="19"/>
  <c r="O1202" i="19"/>
  <c r="O1203" i="19"/>
  <c r="O1204" i="19"/>
  <c r="O1205" i="19"/>
  <c r="O1206" i="19"/>
  <c r="O1207" i="19"/>
  <c r="O1208" i="19"/>
  <c r="O1209" i="19"/>
  <c r="O1210" i="19"/>
  <c r="O1211" i="19"/>
  <c r="O1212" i="19"/>
  <c r="O1213" i="19"/>
  <c r="O1214" i="19"/>
  <c r="O1215" i="19"/>
  <c r="O1216" i="19"/>
  <c r="O1217" i="19"/>
  <c r="O1218" i="19"/>
  <c r="O1219" i="19"/>
  <c r="O1220" i="19"/>
  <c r="O1221" i="19"/>
  <c r="O1222" i="19"/>
  <c r="O1223" i="19"/>
  <c r="O1224" i="19"/>
  <c r="O1225" i="19"/>
  <c r="O1226" i="19"/>
  <c r="O1227" i="19"/>
  <c r="O1228" i="19"/>
  <c r="O1229" i="19"/>
  <c r="O1230" i="19"/>
  <c r="O1231" i="19"/>
  <c r="O1232" i="19"/>
  <c r="O1233" i="19"/>
  <c r="O1234" i="19"/>
  <c r="O1235" i="19"/>
  <c r="O1236" i="19"/>
  <c r="O1237" i="19"/>
  <c r="O1238" i="19"/>
  <c r="O1239" i="19"/>
  <c r="O1240" i="19"/>
  <c r="O1241" i="19"/>
  <c r="O1242" i="19"/>
  <c r="O1243" i="19"/>
  <c r="O1244" i="19"/>
  <c r="O1245" i="19"/>
  <c r="O1246" i="19"/>
  <c r="O1247" i="19"/>
  <c r="O1248" i="19"/>
  <c r="O1249" i="19"/>
  <c r="O1250" i="19"/>
  <c r="O1251" i="19"/>
  <c r="O1252" i="19"/>
  <c r="O1253" i="19"/>
  <c r="O1254" i="19"/>
  <c r="O1255" i="19"/>
  <c r="O1256" i="19"/>
  <c r="O1257" i="19"/>
  <c r="O1258" i="19"/>
  <c r="O1259" i="19"/>
  <c r="O1260" i="19"/>
  <c r="O1261" i="19"/>
  <c r="O1262" i="19"/>
  <c r="O1263" i="19"/>
  <c r="O1264" i="19"/>
  <c r="O1265" i="19"/>
  <c r="O1266" i="19"/>
  <c r="O1267" i="19"/>
  <c r="O1268" i="19"/>
  <c r="O1269" i="19"/>
  <c r="O1270" i="19"/>
  <c r="O1271" i="19"/>
  <c r="O1272" i="19"/>
  <c r="O1273" i="19"/>
  <c r="O1274" i="19"/>
  <c r="O1275" i="19"/>
  <c r="O1276" i="19"/>
  <c r="O1277" i="19"/>
  <c r="O1278" i="19"/>
  <c r="O1279" i="19"/>
  <c r="O1280" i="19"/>
  <c r="O1281" i="19"/>
  <c r="O1282" i="19"/>
  <c r="O1283" i="19"/>
  <c r="O1284" i="19"/>
  <c r="O1285" i="19"/>
  <c r="O1286" i="19"/>
  <c r="O1287" i="19"/>
  <c r="O1288" i="19"/>
  <c r="O1289" i="19"/>
  <c r="O1290" i="19"/>
  <c r="O1291" i="19"/>
  <c r="O1292" i="19"/>
  <c r="O1293" i="19"/>
  <c r="O1294" i="19"/>
  <c r="O1295" i="19"/>
  <c r="O1296" i="19"/>
  <c r="O1297" i="19"/>
  <c r="O1298" i="19"/>
  <c r="O1299" i="19"/>
  <c r="O1300" i="19"/>
  <c r="O1301" i="19"/>
  <c r="O1302" i="19"/>
  <c r="O1303" i="19"/>
  <c r="O1304" i="19"/>
  <c r="O1305" i="19"/>
  <c r="O1306" i="19"/>
  <c r="O1307" i="19"/>
  <c r="O1308" i="19"/>
  <c r="O1309" i="19"/>
  <c r="O1310" i="19"/>
  <c r="O1311" i="19"/>
  <c r="O1312" i="19"/>
  <c r="O1313" i="19"/>
  <c r="O1314" i="19"/>
  <c r="O1315" i="19"/>
  <c r="O1316" i="19"/>
  <c r="O1317" i="19"/>
  <c r="O1318" i="19"/>
  <c r="O1319" i="19"/>
  <c r="O1320" i="19"/>
  <c r="O1321" i="19"/>
  <c r="O1322" i="19"/>
  <c r="O1323" i="19"/>
  <c r="O1324" i="19"/>
  <c r="O1325" i="19"/>
  <c r="O1326" i="19"/>
  <c r="O1327" i="19"/>
  <c r="O1328" i="19"/>
  <c r="O1329" i="19"/>
  <c r="O1330" i="19"/>
  <c r="O1331" i="19"/>
  <c r="O1332" i="19"/>
  <c r="O1333" i="19"/>
  <c r="O1334" i="19"/>
  <c r="O1335" i="19"/>
  <c r="O1336" i="19"/>
  <c r="O1337" i="19"/>
  <c r="O1338" i="19"/>
  <c r="O1339" i="19"/>
  <c r="O1340" i="19"/>
  <c r="O1341" i="19"/>
  <c r="O1342" i="19"/>
  <c r="O1343" i="19"/>
  <c r="O1344" i="19"/>
  <c r="O1345" i="19"/>
  <c r="O1346" i="19"/>
  <c r="O1347" i="19"/>
  <c r="O1348" i="19"/>
  <c r="O1349" i="19"/>
  <c r="O1350" i="19"/>
  <c r="O1351" i="19"/>
  <c r="O1352" i="19"/>
  <c r="O1353" i="19"/>
  <c r="O1354" i="19"/>
  <c r="O1355" i="19"/>
  <c r="O1356" i="19"/>
  <c r="O1357" i="19"/>
  <c r="O1358" i="19"/>
  <c r="O1359" i="19"/>
  <c r="O1360" i="19"/>
  <c r="O1361" i="19"/>
  <c r="O1362" i="19"/>
  <c r="O1363" i="19"/>
  <c r="O1364" i="19"/>
  <c r="O1365" i="19"/>
  <c r="O1366" i="19"/>
  <c r="O1367" i="19"/>
  <c r="O1368" i="19"/>
  <c r="O1369" i="19"/>
  <c r="O1370" i="19"/>
  <c r="O1371" i="19"/>
  <c r="O1372" i="19"/>
  <c r="O1373" i="19"/>
  <c r="O1374" i="19"/>
  <c r="O1375" i="19"/>
  <c r="O1376" i="19"/>
  <c r="O1377" i="19"/>
  <c r="O1378" i="19"/>
  <c r="O1379" i="19"/>
  <c r="O1380" i="19"/>
  <c r="O1381" i="19"/>
  <c r="O1382" i="19"/>
  <c r="O1383" i="19"/>
  <c r="O1384" i="19"/>
  <c r="O1385" i="19"/>
  <c r="O1386" i="19"/>
  <c r="O1387" i="19"/>
  <c r="O1388" i="19"/>
  <c r="O1389" i="19"/>
  <c r="O1390" i="19"/>
  <c r="O1391" i="19"/>
  <c r="O1392" i="19"/>
  <c r="O1393" i="19"/>
  <c r="O1394" i="19"/>
  <c r="O1395" i="19"/>
  <c r="O1396" i="19"/>
  <c r="O1397" i="19"/>
  <c r="O1398" i="19"/>
  <c r="O1399" i="19"/>
  <c r="O1400" i="19"/>
  <c r="O1401" i="19"/>
  <c r="O1402" i="19"/>
  <c r="O1403" i="19"/>
  <c r="O1404" i="19"/>
  <c r="O1405" i="19"/>
  <c r="O1406" i="19"/>
  <c r="O1407" i="19"/>
  <c r="O1408" i="19"/>
  <c r="O1409" i="19"/>
  <c r="O1410" i="19"/>
  <c r="O1411" i="19"/>
  <c r="O1412" i="19"/>
  <c r="O1413" i="19"/>
  <c r="O1414" i="19"/>
  <c r="O1415" i="19"/>
  <c r="O1416" i="19"/>
  <c r="O1417" i="19"/>
  <c r="O1418" i="19"/>
  <c r="O1419" i="19"/>
  <c r="O1420" i="19"/>
  <c r="O1421" i="19"/>
  <c r="O1422" i="19"/>
  <c r="O1423" i="19"/>
  <c r="O1424" i="19"/>
  <c r="O1425" i="19"/>
  <c r="O1426" i="19"/>
  <c r="O1427" i="19"/>
  <c r="O1428" i="19"/>
  <c r="O1429" i="19"/>
  <c r="O1430" i="19"/>
  <c r="O1431" i="19"/>
  <c r="O1432" i="19"/>
  <c r="O1433" i="19"/>
  <c r="O1434" i="19"/>
  <c r="O1435" i="19"/>
  <c r="O1436" i="19"/>
  <c r="O1437" i="19"/>
  <c r="O1438" i="19"/>
  <c r="O1439" i="19"/>
  <c r="O1440" i="19"/>
  <c r="O1441" i="19"/>
  <c r="O1442" i="19"/>
  <c r="O1443" i="19"/>
  <c r="O1444" i="19"/>
  <c r="O1445" i="19"/>
  <c r="O1446" i="19"/>
  <c r="O1447" i="19"/>
  <c r="O1448" i="19"/>
  <c r="O1449" i="19"/>
  <c r="O1450" i="19"/>
  <c r="O1451" i="19"/>
  <c r="O1452" i="19"/>
  <c r="O1453" i="19"/>
  <c r="O1454" i="19"/>
  <c r="O1455" i="19"/>
  <c r="O1456" i="19"/>
  <c r="O1457" i="19"/>
  <c r="O1458" i="19"/>
  <c r="O1459" i="19"/>
  <c r="O1460" i="19"/>
  <c r="O1461" i="19"/>
  <c r="O1462" i="19"/>
  <c r="O1463" i="19"/>
  <c r="O1464" i="19"/>
  <c r="O1465" i="19"/>
  <c r="O1466" i="19"/>
  <c r="O1467" i="19"/>
  <c r="O1468" i="19"/>
  <c r="O1469" i="19"/>
  <c r="O1470" i="19"/>
  <c r="O1471" i="19"/>
  <c r="O1472" i="19"/>
  <c r="O1473" i="19"/>
  <c r="O1474" i="19"/>
  <c r="O1475" i="19"/>
  <c r="O1476" i="19"/>
  <c r="O1477" i="19"/>
  <c r="O1478" i="19"/>
  <c r="O1479" i="19"/>
  <c r="O1480" i="19"/>
  <c r="O1481" i="19"/>
  <c r="O1482" i="19"/>
  <c r="O1483" i="19"/>
  <c r="O1484" i="19"/>
  <c r="O1485" i="19"/>
  <c r="O1486" i="19"/>
  <c r="O1487" i="19"/>
  <c r="O1488" i="19"/>
  <c r="O1489" i="19"/>
  <c r="O1490" i="19"/>
  <c r="O1491" i="19"/>
  <c r="O1492" i="19"/>
  <c r="O1493" i="19"/>
  <c r="O1494" i="19"/>
  <c r="O1495" i="19"/>
  <c r="O1496" i="19"/>
  <c r="O1497" i="19"/>
  <c r="O1498" i="19"/>
  <c r="O1499" i="19"/>
  <c r="O1500" i="19"/>
  <c r="O1501" i="19"/>
  <c r="O1502" i="19"/>
  <c r="O1503" i="19"/>
  <c r="O1504" i="19"/>
  <c r="O1505" i="19"/>
  <c r="O1506" i="19"/>
  <c r="O1507" i="19"/>
  <c r="O1508" i="19"/>
  <c r="O1509" i="19"/>
  <c r="O1510" i="19"/>
  <c r="O1511" i="19"/>
  <c r="O1512" i="19"/>
  <c r="O1513" i="19"/>
  <c r="O1514" i="19"/>
  <c r="O1515" i="19"/>
  <c r="O1516" i="19"/>
  <c r="O1517" i="19"/>
  <c r="O1518" i="19"/>
  <c r="O1519" i="19"/>
  <c r="O1520" i="19"/>
  <c r="O1521" i="19"/>
  <c r="O1522" i="19"/>
  <c r="O1523" i="19"/>
  <c r="O1524" i="19"/>
  <c r="O1525" i="19"/>
  <c r="O1526" i="19"/>
  <c r="O1527" i="19"/>
  <c r="O1528" i="19"/>
  <c r="O1529" i="19"/>
  <c r="O1530" i="19"/>
  <c r="O1531" i="19"/>
  <c r="O1532" i="19"/>
  <c r="O1533" i="19"/>
  <c r="O1534" i="19"/>
  <c r="O1535" i="19"/>
  <c r="O1536" i="19"/>
  <c r="O1537" i="19"/>
  <c r="O1538" i="19"/>
  <c r="O1539" i="19"/>
  <c r="O1540" i="19"/>
  <c r="O1541" i="19"/>
  <c r="O1542" i="19"/>
  <c r="O1543" i="19"/>
  <c r="O1544" i="19"/>
  <c r="O1545" i="19"/>
  <c r="O1546" i="19"/>
  <c r="O1547" i="19"/>
  <c r="O1548" i="19"/>
  <c r="O1549" i="19"/>
  <c r="O1550" i="19"/>
  <c r="O1551" i="19"/>
  <c r="O1552" i="19"/>
  <c r="O1553" i="19"/>
  <c r="O1554" i="19"/>
  <c r="O1555" i="19"/>
  <c r="O1556" i="19"/>
  <c r="O1557" i="19"/>
  <c r="O1558" i="19"/>
  <c r="O1559" i="19"/>
  <c r="O1560" i="19"/>
  <c r="O1561" i="19"/>
  <c r="O1562" i="19"/>
  <c r="O1563" i="19"/>
  <c r="O1564" i="19"/>
  <c r="O1565" i="19"/>
  <c r="O1566" i="19"/>
  <c r="O1567" i="19"/>
  <c r="O1568" i="19"/>
  <c r="O1569" i="19"/>
  <c r="O1570" i="19"/>
  <c r="O1571" i="19"/>
  <c r="O1572" i="19"/>
  <c r="O1573" i="19"/>
  <c r="O1574" i="19"/>
  <c r="O1575" i="19"/>
  <c r="O1576" i="19"/>
  <c r="O1577" i="19"/>
  <c r="O1578" i="19"/>
  <c r="O1579" i="19"/>
  <c r="O1580" i="19"/>
  <c r="O1581" i="19"/>
  <c r="O1582" i="19"/>
  <c r="O1583" i="19"/>
  <c r="O1584" i="19"/>
  <c r="O1585" i="19"/>
  <c r="O1586" i="19"/>
  <c r="O1587" i="19"/>
  <c r="O1588" i="19"/>
  <c r="O1589" i="19"/>
  <c r="O1590" i="19"/>
  <c r="O1591" i="19"/>
  <c r="O1592" i="19"/>
  <c r="O1593" i="19"/>
  <c r="O1594" i="19"/>
  <c r="O1595" i="19"/>
  <c r="O1596" i="19"/>
  <c r="O1597" i="19"/>
  <c r="O1598" i="19"/>
  <c r="O1599" i="19"/>
  <c r="O1600" i="19"/>
  <c r="O1601" i="19"/>
  <c r="O1602" i="19"/>
  <c r="O1603" i="19"/>
  <c r="O1604" i="19"/>
  <c r="O1605" i="19"/>
  <c r="O1606" i="19"/>
  <c r="O1607" i="19"/>
  <c r="O1608" i="19"/>
  <c r="O1609" i="19"/>
  <c r="O1610" i="19"/>
  <c r="O1611" i="19"/>
  <c r="O1612" i="19"/>
  <c r="O1613" i="19"/>
  <c r="O1614" i="19"/>
  <c r="O1615" i="19"/>
  <c r="O1616" i="19"/>
  <c r="O1617" i="19"/>
  <c r="O1618" i="19"/>
  <c r="O1619" i="19"/>
  <c r="O1620" i="19"/>
  <c r="O1621" i="19"/>
  <c r="O1622" i="19"/>
  <c r="O1623" i="19"/>
  <c r="O1624" i="19"/>
  <c r="O1625" i="19"/>
  <c r="O1626" i="19"/>
  <c r="O1627" i="19"/>
  <c r="O1628" i="19"/>
  <c r="O1629" i="19"/>
  <c r="O1630" i="19"/>
  <c r="O1631" i="19"/>
  <c r="O1632" i="19"/>
  <c r="O1633" i="19"/>
  <c r="O1634" i="19"/>
  <c r="O1635" i="19"/>
  <c r="O1636" i="19"/>
  <c r="O1637" i="19"/>
  <c r="O1638" i="19"/>
  <c r="O1639" i="19"/>
  <c r="O1640" i="19"/>
  <c r="O1641" i="19"/>
  <c r="O1642" i="19"/>
  <c r="O1643" i="19"/>
  <c r="O1644" i="19"/>
  <c r="O1645" i="19"/>
  <c r="O1646" i="19"/>
  <c r="O1647" i="19"/>
  <c r="O1648" i="19"/>
  <c r="O1649" i="19"/>
  <c r="O1650" i="19"/>
  <c r="O1651" i="19"/>
  <c r="O1652" i="19"/>
  <c r="O1653" i="19"/>
  <c r="O1654" i="19"/>
  <c r="O1655" i="19"/>
  <c r="O1656" i="19"/>
  <c r="O1657" i="19"/>
  <c r="O1658" i="19"/>
  <c r="O1659" i="19"/>
  <c r="O1660" i="19"/>
  <c r="O1661" i="19"/>
  <c r="O1662" i="19"/>
  <c r="O1663" i="19"/>
  <c r="O1664" i="19"/>
  <c r="O1665" i="19"/>
  <c r="O1666" i="19"/>
  <c r="O1667" i="19"/>
  <c r="O1668" i="19"/>
  <c r="O1669" i="19"/>
  <c r="O1670" i="19"/>
  <c r="O1671" i="19"/>
  <c r="O1672" i="19"/>
  <c r="O1673" i="19"/>
  <c r="O1674" i="19"/>
  <c r="O1675" i="19"/>
  <c r="O1676" i="19"/>
  <c r="O1677" i="19"/>
  <c r="O1678" i="19"/>
  <c r="O1679" i="19"/>
  <c r="O1680" i="19"/>
  <c r="O1681" i="19"/>
  <c r="O1682" i="19"/>
  <c r="O1683" i="19"/>
  <c r="O1684" i="19"/>
  <c r="O1685" i="19"/>
  <c r="O1686" i="19"/>
  <c r="O1687" i="19"/>
  <c r="O1688" i="19"/>
  <c r="O1689" i="19"/>
  <c r="O1690" i="19"/>
  <c r="O1691" i="19"/>
  <c r="O1692" i="19"/>
  <c r="O1693" i="19"/>
  <c r="O1694" i="19"/>
  <c r="O1695" i="19"/>
  <c r="O1696" i="19"/>
  <c r="O1697" i="19"/>
  <c r="O1698" i="19"/>
  <c r="O1699" i="19"/>
  <c r="O1700" i="19"/>
  <c r="O1701" i="19"/>
  <c r="O1702" i="19"/>
  <c r="O1703" i="19"/>
  <c r="O1704" i="19"/>
  <c r="O1705" i="19"/>
  <c r="O1706" i="19"/>
  <c r="O1707" i="19"/>
  <c r="O1708" i="19"/>
  <c r="O1709" i="19"/>
  <c r="O1710" i="19"/>
  <c r="O1711" i="19"/>
  <c r="O1712" i="19"/>
  <c r="O1713" i="19"/>
  <c r="O1714" i="19"/>
  <c r="O1715" i="19"/>
  <c r="O1716" i="19"/>
  <c r="O1717" i="19"/>
  <c r="O1718" i="19"/>
  <c r="O1719" i="19"/>
  <c r="O1720" i="19"/>
  <c r="O1721" i="19"/>
  <c r="O1722" i="19"/>
  <c r="O1723" i="19"/>
  <c r="O1724" i="19"/>
  <c r="O1725" i="19"/>
  <c r="O1726" i="19"/>
  <c r="O1727" i="19"/>
  <c r="O1728" i="19"/>
  <c r="O1729" i="19"/>
  <c r="O1730" i="19"/>
  <c r="O1731" i="19"/>
  <c r="O1732" i="19"/>
  <c r="O1733" i="19"/>
  <c r="O1734" i="19"/>
  <c r="O1735" i="19"/>
  <c r="O1736" i="19"/>
  <c r="O1737" i="19"/>
  <c r="O1738" i="19"/>
  <c r="O1739" i="19"/>
  <c r="O1740" i="19"/>
  <c r="O1741" i="19"/>
  <c r="O1742" i="19"/>
  <c r="O1743" i="19"/>
  <c r="O1744" i="19"/>
  <c r="O1745" i="19"/>
  <c r="O1746" i="19"/>
  <c r="O1747" i="19"/>
  <c r="O1748" i="19"/>
  <c r="O1749" i="19"/>
  <c r="O1750" i="19"/>
  <c r="O1751" i="19"/>
  <c r="O1752" i="19"/>
  <c r="O1753" i="19"/>
  <c r="O1754" i="19"/>
  <c r="O1755" i="19"/>
  <c r="O1756" i="19"/>
  <c r="O1757" i="19"/>
  <c r="O1758" i="19"/>
  <c r="O1759" i="19"/>
  <c r="O1760" i="19"/>
  <c r="O1761" i="19"/>
  <c r="O1762" i="19"/>
  <c r="O1763" i="19"/>
  <c r="O1764" i="19"/>
  <c r="O1765" i="19"/>
  <c r="O1766" i="19"/>
  <c r="O1767" i="19"/>
  <c r="O1768" i="19"/>
  <c r="O1769" i="19"/>
  <c r="O1770" i="19"/>
  <c r="O1771" i="19"/>
  <c r="O1772" i="19"/>
  <c r="O1773" i="19"/>
  <c r="O1774" i="19"/>
  <c r="O1775" i="19"/>
  <c r="O1776" i="19"/>
  <c r="O1777" i="19"/>
  <c r="O1778" i="19"/>
  <c r="O1779" i="19"/>
  <c r="O1780" i="19"/>
  <c r="O1781" i="19"/>
  <c r="O1782" i="19"/>
  <c r="O1783" i="19"/>
  <c r="O1784" i="19"/>
  <c r="O1785" i="19"/>
  <c r="O1786" i="19"/>
  <c r="O1787" i="19"/>
  <c r="O1788" i="19"/>
  <c r="O1789" i="19"/>
  <c r="O1790" i="19"/>
  <c r="O1791" i="19"/>
  <c r="O1792" i="19"/>
  <c r="O1793" i="19"/>
  <c r="O1794" i="19"/>
  <c r="O1795" i="19"/>
  <c r="O1796" i="19"/>
  <c r="O1797" i="19"/>
  <c r="O1798" i="19"/>
  <c r="O1799" i="19"/>
  <c r="O1800" i="19"/>
  <c r="O1801" i="19"/>
  <c r="O1802" i="19"/>
  <c r="O1803" i="19"/>
  <c r="O1804" i="19"/>
  <c r="O1805" i="19"/>
  <c r="O1806" i="19"/>
  <c r="O1807" i="19"/>
  <c r="O1808" i="19"/>
  <c r="O1809" i="19"/>
  <c r="O1810" i="19"/>
  <c r="O1811" i="19"/>
  <c r="O1812" i="19"/>
  <c r="O1813" i="19"/>
  <c r="O1814" i="19"/>
  <c r="O1815" i="19"/>
  <c r="O1816" i="19"/>
  <c r="O1817" i="19"/>
  <c r="O1818" i="19"/>
  <c r="O1819" i="19"/>
  <c r="O1820" i="19"/>
  <c r="O1821" i="19"/>
  <c r="O1822" i="19"/>
  <c r="O1823" i="19"/>
  <c r="O1824" i="19"/>
  <c r="O1825" i="19"/>
  <c r="O1826" i="19"/>
  <c r="O1827" i="19"/>
  <c r="O1828" i="19"/>
  <c r="O1829" i="19"/>
  <c r="O1830" i="19"/>
  <c r="O1831" i="19"/>
  <c r="O1832" i="19"/>
  <c r="O1833" i="19"/>
  <c r="O1834" i="19"/>
  <c r="O1835" i="19"/>
  <c r="O1836" i="19"/>
  <c r="O1837" i="19"/>
  <c r="O1838" i="19"/>
  <c r="O1839" i="19"/>
  <c r="O1840" i="19"/>
  <c r="O1841" i="19"/>
  <c r="O1842" i="19"/>
  <c r="O1843" i="19"/>
  <c r="O1844" i="19"/>
  <c r="O1845" i="19"/>
  <c r="O1846" i="19"/>
  <c r="O1847" i="19"/>
  <c r="O1848" i="19"/>
  <c r="O1849" i="19"/>
  <c r="O1850" i="19"/>
  <c r="O1851" i="19"/>
  <c r="O1852" i="19"/>
  <c r="O1853" i="19"/>
  <c r="O1854" i="19"/>
  <c r="O1855" i="19"/>
  <c r="O1856" i="19"/>
  <c r="O1857" i="19"/>
  <c r="O1858" i="19"/>
  <c r="O1859" i="19"/>
  <c r="O1860" i="19"/>
  <c r="O1861" i="19"/>
  <c r="O1862" i="19"/>
  <c r="O1863" i="19"/>
  <c r="O1864" i="19"/>
  <c r="O1865" i="19"/>
  <c r="O1866" i="19"/>
  <c r="O1867" i="19"/>
  <c r="O1868" i="19"/>
  <c r="O1869" i="19"/>
  <c r="O1870" i="19"/>
  <c r="O1871" i="19"/>
  <c r="O1872" i="19"/>
  <c r="O1873" i="19"/>
  <c r="O1874" i="19"/>
  <c r="O1875" i="19"/>
  <c r="O1876" i="19"/>
  <c r="O1877" i="19"/>
  <c r="O1878" i="19"/>
  <c r="O1879" i="19"/>
  <c r="O1880" i="19"/>
  <c r="O1881" i="19"/>
  <c r="O1882" i="19"/>
  <c r="O1883" i="19"/>
  <c r="O1884" i="19"/>
  <c r="O1885" i="19"/>
  <c r="O1886" i="19"/>
  <c r="O1887" i="19"/>
  <c r="O1888" i="19"/>
  <c r="O1889" i="19"/>
  <c r="O1890" i="19"/>
  <c r="O1891" i="19"/>
  <c r="O1892" i="19"/>
  <c r="O1893" i="19"/>
  <c r="O1894" i="19"/>
  <c r="O1895" i="19"/>
  <c r="O1896" i="19"/>
  <c r="O1897" i="19"/>
  <c r="O1898" i="19"/>
  <c r="O1899" i="19"/>
  <c r="O1900" i="19"/>
  <c r="O1901" i="19"/>
  <c r="O1902" i="19"/>
  <c r="O1903" i="19"/>
  <c r="O1904" i="19"/>
  <c r="O1905" i="19"/>
  <c r="O1906" i="19"/>
  <c r="O1907" i="19"/>
  <c r="O1908" i="19"/>
  <c r="O1909" i="19"/>
  <c r="O1910" i="19"/>
  <c r="O1911" i="19"/>
  <c r="O1912" i="19"/>
  <c r="O1913" i="19"/>
  <c r="O1914" i="19"/>
  <c r="O1915" i="19"/>
  <c r="O1916" i="19"/>
  <c r="O1917" i="19"/>
  <c r="O1918" i="19"/>
  <c r="O1919" i="19"/>
  <c r="O1920" i="19"/>
  <c r="O1921" i="19"/>
  <c r="O1922" i="19"/>
  <c r="O1923" i="19"/>
  <c r="O1924" i="19"/>
  <c r="O1925" i="19"/>
  <c r="O1926" i="19"/>
  <c r="O1927" i="19"/>
  <c r="O1928" i="19"/>
  <c r="O1929" i="19"/>
  <c r="O1930" i="19"/>
  <c r="O1931" i="19"/>
  <c r="O1932" i="19"/>
  <c r="O1933" i="19"/>
  <c r="O1934" i="19"/>
  <c r="O1935" i="19"/>
  <c r="O1936" i="19"/>
  <c r="O1937" i="19"/>
  <c r="O1938" i="19"/>
  <c r="O1939" i="19"/>
  <c r="O1940" i="19"/>
  <c r="O1941" i="19"/>
  <c r="O1942" i="19"/>
  <c r="O1943" i="19"/>
  <c r="O1944" i="19"/>
  <c r="O1945" i="19"/>
  <c r="O1946" i="19"/>
  <c r="O1947" i="19"/>
  <c r="O1948" i="19"/>
  <c r="O1949" i="19"/>
  <c r="O1950" i="19"/>
  <c r="O1951" i="19"/>
  <c r="O1952" i="19"/>
  <c r="O1953" i="19"/>
  <c r="O1954" i="19"/>
  <c r="O1955" i="19"/>
  <c r="O1956" i="19"/>
  <c r="O1957" i="19"/>
  <c r="O1958" i="19"/>
  <c r="O1959" i="19"/>
  <c r="O1960" i="19"/>
  <c r="O1961" i="19"/>
  <c r="O1962" i="19"/>
  <c r="O1963" i="19"/>
  <c r="O1964" i="19"/>
  <c r="O1965" i="19"/>
  <c r="O1966" i="19"/>
  <c r="O1967" i="19"/>
  <c r="O1968" i="19"/>
  <c r="O1969" i="19"/>
  <c r="O1970" i="19"/>
  <c r="O1971" i="19"/>
  <c r="O1972" i="19"/>
  <c r="O1973" i="19"/>
  <c r="O1974" i="19"/>
  <c r="O1975" i="19"/>
  <c r="O1976" i="19"/>
  <c r="O1977" i="19"/>
  <c r="O1978" i="19"/>
  <c r="O1979" i="19"/>
  <c r="O1980" i="19"/>
  <c r="O1981" i="19"/>
  <c r="O1982" i="19"/>
  <c r="O1983" i="19"/>
  <c r="O1984" i="19"/>
  <c r="O1985" i="19"/>
  <c r="O1986" i="19"/>
  <c r="O1987" i="19"/>
  <c r="O1988" i="19"/>
  <c r="O1989" i="19"/>
  <c r="O1990" i="19"/>
  <c r="O1991" i="19"/>
  <c r="O1992" i="19"/>
  <c r="O1993" i="19"/>
  <c r="O1994" i="19"/>
  <c r="O1995" i="19"/>
  <c r="O1996" i="19"/>
  <c r="O1997" i="19"/>
  <c r="O1998" i="19"/>
  <c r="O1999" i="19"/>
  <c r="O2000" i="19"/>
  <c r="O2001" i="19"/>
  <c r="J12" i="17"/>
  <c r="J8" i="17"/>
  <c r="J7" i="17"/>
  <c r="J6" i="17"/>
  <c r="J4" i="17"/>
  <c r="J3" i="17"/>
  <c r="J2" i="17"/>
  <c r="J38" i="17"/>
  <c r="J37" i="17"/>
  <c r="J36" i="17"/>
  <c r="J35" i="17"/>
  <c r="J34" i="17"/>
  <c r="J33" i="17"/>
  <c r="J11" i="17" s="1"/>
  <c r="A10" i="16"/>
  <c r="A5" i="16"/>
  <c r="A6" i="16" s="1"/>
  <c r="A5" i="15"/>
  <c r="A6" i="15" s="1"/>
  <c r="I36" i="15"/>
  <c r="H47" i="15" s="1"/>
  <c r="I35" i="15"/>
  <c r="F35" i="15" s="1"/>
  <c r="I34" i="15"/>
  <c r="G34" i="15" s="1"/>
  <c r="I33" i="15"/>
  <c r="H44" i="15" s="1"/>
  <c r="I32" i="15"/>
  <c r="C43" i="15" s="1"/>
  <c r="I31" i="15"/>
  <c r="F31" i="15" s="1"/>
  <c r="B4" i="3"/>
  <c r="B15" i="13"/>
  <c r="B13" i="13"/>
  <c r="B12" i="13"/>
  <c r="B11" i="13"/>
  <c r="B10" i="13"/>
  <c r="B9" i="13"/>
  <c r="B8" i="13"/>
  <c r="V11" i="13"/>
  <c r="R12" i="13"/>
  <c r="O8" i="13"/>
  <c r="P8" i="13"/>
  <c r="T13" i="13"/>
  <c r="N10" i="13"/>
  <c r="N9" i="13"/>
  <c r="O12" i="13"/>
  <c r="Q8" i="13"/>
  <c r="O11" i="13"/>
  <c r="O13" i="13"/>
  <c r="N13" i="13"/>
  <c r="P10" i="13"/>
  <c r="N12" i="13"/>
  <c r="S12" i="13"/>
  <c r="S9" i="13"/>
  <c r="R13" i="13"/>
  <c r="N8" i="13"/>
  <c r="W12" i="13"/>
  <c r="F12" i="13" s="1"/>
  <c r="R11" i="13"/>
  <c r="V9" i="13"/>
  <c r="Q9" i="13"/>
  <c r="W13" i="13"/>
  <c r="F13" i="13" s="1"/>
  <c r="S11" i="13"/>
  <c r="V10" i="13"/>
  <c r="S10" i="13"/>
  <c r="W9" i="13"/>
  <c r="F9" i="13" s="1"/>
  <c r="Q11" i="13"/>
  <c r="W8" i="13"/>
  <c r="Q13" i="13"/>
  <c r="R8" i="13"/>
  <c r="T12" i="13"/>
  <c r="V12" i="13"/>
  <c r="S8" i="13"/>
  <c r="Q10" i="13"/>
  <c r="V8" i="13"/>
  <c r="R10" i="13"/>
  <c r="T8" i="13"/>
  <c r="V13" i="13"/>
  <c r="Q12" i="13"/>
  <c r="O9" i="13"/>
  <c r="W11" i="13"/>
  <c r="F11" i="13" s="1"/>
  <c r="T9" i="13"/>
  <c r="R9" i="13"/>
  <c r="W10" i="13"/>
  <c r="F10" i="13" s="1"/>
  <c r="O10" i="13"/>
  <c r="P11" i="13"/>
  <c r="P12" i="13"/>
  <c r="N11" i="13"/>
  <c r="S13" i="13"/>
  <c r="P9" i="13"/>
  <c r="T11" i="13"/>
  <c r="P13" i="13"/>
  <c r="T10" i="13"/>
  <c r="N2" i="13"/>
  <c r="J7" i="6"/>
  <c r="U7" i="4" s="1"/>
  <c r="J8" i="6"/>
  <c r="J9" i="6"/>
  <c r="J10" i="6"/>
  <c r="J11" i="6"/>
  <c r="J12" i="6"/>
  <c r="J13" i="6"/>
  <c r="J14" i="6"/>
  <c r="J15" i="6"/>
  <c r="J16" i="6"/>
  <c r="J17" i="6"/>
  <c r="J18" i="6"/>
  <c r="J19" i="6"/>
  <c r="J20" i="6"/>
  <c r="J21" i="6"/>
  <c r="J22" i="6"/>
  <c r="J23" i="6"/>
  <c r="J24" i="6"/>
  <c r="J25" i="6"/>
  <c r="J26" i="6"/>
  <c r="J27" i="6"/>
  <c r="J28" i="6"/>
  <c r="J29" i="6"/>
  <c r="J30" i="6"/>
  <c r="J31" i="6"/>
  <c r="J32" i="6"/>
  <c r="J33" i="6"/>
  <c r="J34" i="6"/>
  <c r="J35" i="6"/>
  <c r="J36" i="6"/>
  <c r="J37" i="6"/>
  <c r="J38" i="6"/>
  <c r="J39" i="6"/>
  <c r="J40" i="6"/>
  <c r="J41" i="6"/>
  <c r="J42" i="6"/>
  <c r="T136" i="5"/>
  <c r="A61" i="2" s="1"/>
  <c r="R32" i="1" s="1"/>
  <c r="S136" i="5"/>
  <c r="K136" i="5"/>
  <c r="T135" i="5"/>
  <c r="S135" i="5"/>
  <c r="K135" i="5"/>
  <c r="R135" i="5" s="1"/>
  <c r="T134" i="5"/>
  <c r="S134" i="5"/>
  <c r="K134" i="5"/>
  <c r="R134" i="5" s="1"/>
  <c r="T133" i="5"/>
  <c r="S133" i="5"/>
  <c r="K133" i="5"/>
  <c r="R133" i="5" s="1"/>
  <c r="T132" i="5"/>
  <c r="S132" i="5"/>
  <c r="K132" i="5"/>
  <c r="R132" i="5" s="1"/>
  <c r="T131" i="5"/>
  <c r="S131" i="5"/>
  <c r="K131" i="5"/>
  <c r="R131" i="5" s="1"/>
  <c r="T130" i="5"/>
  <c r="S130" i="5"/>
  <c r="K130" i="5"/>
  <c r="R130" i="5" s="1"/>
  <c r="T129" i="5"/>
  <c r="S129" i="5"/>
  <c r="K129" i="5"/>
  <c r="R129" i="5" s="1"/>
  <c r="T128" i="5"/>
  <c r="S128" i="5"/>
  <c r="K128" i="5"/>
  <c r="R128" i="5" s="1"/>
  <c r="T127" i="5"/>
  <c r="S127" i="5"/>
  <c r="K127" i="5"/>
  <c r="R127" i="5" s="1"/>
  <c r="T126" i="5"/>
  <c r="A59" i="2" s="1"/>
  <c r="R30" i="1" s="1"/>
  <c r="S126" i="5"/>
  <c r="K126" i="5"/>
  <c r="R126" i="5" s="1"/>
  <c r="T125" i="5"/>
  <c r="S125" i="5"/>
  <c r="K125" i="5"/>
  <c r="R125" i="5" s="1"/>
  <c r="T124" i="5"/>
  <c r="S124" i="5"/>
  <c r="K124" i="5"/>
  <c r="R124" i="5" s="1"/>
  <c r="T123" i="5"/>
  <c r="S123" i="5"/>
  <c r="K123" i="5"/>
  <c r="R123" i="5" s="1"/>
  <c r="T122" i="5"/>
  <c r="S122" i="5"/>
  <c r="T121" i="5"/>
  <c r="A58" i="2" s="1"/>
  <c r="R29" i="1" s="1"/>
  <c r="S121" i="5"/>
  <c r="K121" i="5"/>
  <c r="R121" i="5" s="1"/>
  <c r="T120" i="5"/>
  <c r="S120" i="5"/>
  <c r="K120" i="5"/>
  <c r="R120" i="5" s="1"/>
  <c r="T119" i="5"/>
  <c r="S119" i="5"/>
  <c r="K119" i="5"/>
  <c r="R119" i="5" s="1"/>
  <c r="T118" i="5"/>
  <c r="S118" i="5"/>
  <c r="K118" i="5"/>
  <c r="R118" i="5" s="1"/>
  <c r="T117" i="5"/>
  <c r="S117" i="5"/>
  <c r="K117" i="5"/>
  <c r="R117" i="5" s="1"/>
  <c r="T116" i="5"/>
  <c r="A57" i="2" s="1"/>
  <c r="R28" i="1" s="1"/>
  <c r="S116" i="5"/>
  <c r="K116" i="5"/>
  <c r="R116" i="5" s="1"/>
  <c r="T115" i="5"/>
  <c r="S115" i="5"/>
  <c r="K115" i="5"/>
  <c r="R115" i="5" s="1"/>
  <c r="T114" i="5"/>
  <c r="S114" i="5"/>
  <c r="K114" i="5"/>
  <c r="R114" i="5" s="1"/>
  <c r="T113" i="5"/>
  <c r="S113" i="5"/>
  <c r="K113" i="5"/>
  <c r="R113" i="5" s="1"/>
  <c r="T112" i="5"/>
  <c r="S112" i="5"/>
  <c r="K112" i="5"/>
  <c r="R112" i="5" s="1"/>
  <c r="T111" i="5"/>
  <c r="S111" i="5"/>
  <c r="T110" i="5"/>
  <c r="S110" i="5"/>
  <c r="K110" i="5"/>
  <c r="R110" i="5" s="1"/>
  <c r="T109" i="5"/>
  <c r="S109" i="5"/>
  <c r="K109" i="5"/>
  <c r="R109" i="5" s="1"/>
  <c r="T108" i="5"/>
  <c r="S108" i="5"/>
  <c r="K108" i="5"/>
  <c r="R108" i="5" s="1"/>
  <c r="T107" i="5"/>
  <c r="S107" i="5"/>
  <c r="K107" i="5"/>
  <c r="R107" i="5" s="1"/>
  <c r="T106" i="5"/>
  <c r="A55" i="2" s="1"/>
  <c r="R26" i="1" s="1"/>
  <c r="S106" i="5"/>
  <c r="K106" i="5"/>
  <c r="R106" i="5" s="1"/>
  <c r="T105" i="5"/>
  <c r="S105" i="5"/>
  <c r="K105" i="5"/>
  <c r="R105" i="5" s="1"/>
  <c r="T104" i="5"/>
  <c r="S104" i="5"/>
  <c r="K104" i="5"/>
  <c r="R104" i="5" s="1"/>
  <c r="T103" i="5"/>
  <c r="S103" i="5"/>
  <c r="K103" i="5"/>
  <c r="R103" i="5" s="1"/>
  <c r="T102" i="5"/>
  <c r="S102" i="5"/>
  <c r="K102" i="5"/>
  <c r="R102" i="5" s="1"/>
  <c r="T101" i="5"/>
  <c r="A54" i="2" s="1"/>
  <c r="R25" i="1" s="1"/>
  <c r="S101" i="5"/>
  <c r="T100" i="5"/>
  <c r="S100" i="5"/>
  <c r="K100" i="5"/>
  <c r="R100" i="5" s="1"/>
  <c r="T99" i="5"/>
  <c r="S99" i="5"/>
  <c r="K99" i="5"/>
  <c r="R99" i="5" s="1"/>
  <c r="T98" i="5"/>
  <c r="S98" i="5"/>
  <c r="T97" i="5"/>
  <c r="S97" i="5"/>
  <c r="K97" i="5"/>
  <c r="R97" i="5" s="1"/>
  <c r="T96" i="5"/>
  <c r="A53" i="2" s="1"/>
  <c r="R24" i="1" s="1"/>
  <c r="S96" i="5"/>
  <c r="T95" i="5"/>
  <c r="S95" i="5"/>
  <c r="K95" i="5"/>
  <c r="R95" i="5" s="1"/>
  <c r="T94" i="5"/>
  <c r="S94" i="5"/>
  <c r="K94" i="5"/>
  <c r="R94" i="5" s="1"/>
  <c r="T93" i="5"/>
  <c r="S93" i="5"/>
  <c r="K93" i="5"/>
  <c r="R93" i="5" s="1"/>
  <c r="T92" i="5"/>
  <c r="S92" i="5"/>
  <c r="K92" i="5"/>
  <c r="R92" i="5" s="1"/>
  <c r="T91" i="5"/>
  <c r="A52" i="2" s="1"/>
  <c r="R23" i="1" s="1"/>
  <c r="S91" i="5"/>
  <c r="K91" i="5"/>
  <c r="R91" i="5" s="1"/>
  <c r="T90" i="5"/>
  <c r="S90" i="5"/>
  <c r="K90" i="5"/>
  <c r="R90" i="5" s="1"/>
  <c r="T89" i="5"/>
  <c r="S89" i="5"/>
  <c r="K89" i="5"/>
  <c r="R89" i="5" s="1"/>
  <c r="T88" i="5"/>
  <c r="S88" i="5"/>
  <c r="K88" i="5"/>
  <c r="R88" i="5" s="1"/>
  <c r="T87" i="5"/>
  <c r="S87" i="5"/>
  <c r="K87" i="5"/>
  <c r="R87" i="5" s="1"/>
  <c r="T86" i="5"/>
  <c r="A51" i="2" s="1"/>
  <c r="R22" i="1" s="1"/>
  <c r="S86" i="5"/>
  <c r="K86" i="5"/>
  <c r="R86" i="5" s="1"/>
  <c r="T85" i="5"/>
  <c r="S85" i="5"/>
  <c r="K85" i="5"/>
  <c r="R85" i="5" s="1"/>
  <c r="T84" i="5"/>
  <c r="S84" i="5"/>
  <c r="K84" i="5"/>
  <c r="R84" i="5" s="1"/>
  <c r="T83" i="5"/>
  <c r="S83" i="5"/>
  <c r="T82" i="5"/>
  <c r="S82" i="5"/>
  <c r="K82" i="5"/>
  <c r="R82" i="5" s="1"/>
  <c r="T81" i="5"/>
  <c r="A50" i="2" s="1"/>
  <c r="R21" i="1" s="1"/>
  <c r="S81" i="5"/>
  <c r="K81" i="5"/>
  <c r="R81" i="5" s="1"/>
  <c r="T80" i="5"/>
  <c r="S80" i="5"/>
  <c r="K80" i="5"/>
  <c r="R80" i="5" s="1"/>
  <c r="T79" i="5"/>
  <c r="S79" i="5"/>
  <c r="K79" i="5"/>
  <c r="R79" i="5" s="1"/>
  <c r="T78" i="5"/>
  <c r="S78" i="5"/>
  <c r="K78" i="5"/>
  <c r="R78" i="5" s="1"/>
  <c r="T77" i="5"/>
  <c r="S77" i="5"/>
  <c r="K77" i="5"/>
  <c r="R77" i="5" s="1"/>
  <c r="T76" i="5"/>
  <c r="A49" i="2" s="1"/>
  <c r="R20" i="1" s="1"/>
  <c r="S76" i="5"/>
  <c r="K76" i="5"/>
  <c r="R76" i="5" s="1"/>
  <c r="T75" i="5"/>
  <c r="S75" i="5"/>
  <c r="K75" i="5"/>
  <c r="R75" i="5" s="1"/>
  <c r="T74" i="5"/>
  <c r="S74" i="5"/>
  <c r="K74" i="5"/>
  <c r="R74" i="5" s="1"/>
  <c r="T73" i="5"/>
  <c r="S73" i="5"/>
  <c r="K73" i="5"/>
  <c r="R73" i="5" s="1"/>
  <c r="T72" i="5"/>
  <c r="S72" i="5"/>
  <c r="T71" i="5"/>
  <c r="S71" i="5"/>
  <c r="K71" i="5"/>
  <c r="R71" i="5" s="1"/>
  <c r="T70" i="5"/>
  <c r="S70" i="5"/>
  <c r="K70" i="5"/>
  <c r="R70" i="5" s="1"/>
  <c r="T69" i="5"/>
  <c r="S69" i="5"/>
  <c r="K69" i="5"/>
  <c r="R69" i="5" s="1"/>
  <c r="T68" i="5"/>
  <c r="S68" i="5"/>
  <c r="K68" i="5"/>
  <c r="R68" i="5" s="1"/>
  <c r="T67" i="5"/>
  <c r="S67" i="5"/>
  <c r="K67" i="5"/>
  <c r="R67" i="5" s="1"/>
  <c r="T66" i="5"/>
  <c r="A47" i="2" s="1"/>
  <c r="R18" i="1" s="1"/>
  <c r="S66" i="5"/>
  <c r="K66" i="5"/>
  <c r="R66" i="5" s="1"/>
  <c r="T65" i="5"/>
  <c r="S65" i="5"/>
  <c r="K65" i="5"/>
  <c r="R65" i="5" s="1"/>
  <c r="T64" i="5"/>
  <c r="S64" i="5"/>
  <c r="K64" i="5"/>
  <c r="R64" i="5" s="1"/>
  <c r="T63" i="5"/>
  <c r="S63" i="5"/>
  <c r="K63" i="5"/>
  <c r="R63" i="5" s="1"/>
  <c r="T62" i="5"/>
  <c r="S62" i="5"/>
  <c r="K62" i="5"/>
  <c r="R62" i="5" s="1"/>
  <c r="T61" i="5"/>
  <c r="A46" i="2" s="1"/>
  <c r="R17" i="1" s="1"/>
  <c r="S61" i="5"/>
  <c r="K61" i="5"/>
  <c r="R61" i="5" s="1"/>
  <c r="T60" i="5"/>
  <c r="S60" i="5"/>
  <c r="T59" i="5"/>
  <c r="S59" i="5"/>
  <c r="K59" i="5"/>
  <c r="R59" i="5" s="1"/>
  <c r="T58" i="5"/>
  <c r="S58" i="5"/>
  <c r="K58" i="5"/>
  <c r="R58" i="5" s="1"/>
  <c r="T57" i="5"/>
  <c r="S57" i="5"/>
  <c r="K57" i="5"/>
  <c r="R57" i="5" s="1"/>
  <c r="T56" i="5"/>
  <c r="A45" i="2" s="1"/>
  <c r="R16" i="1" s="1"/>
  <c r="S56" i="5"/>
  <c r="K56" i="5"/>
  <c r="R56" i="5" s="1"/>
  <c r="T55" i="5"/>
  <c r="S55" i="5"/>
  <c r="K55" i="5"/>
  <c r="R55" i="5" s="1"/>
  <c r="T54" i="5"/>
  <c r="S54" i="5"/>
  <c r="K54" i="5"/>
  <c r="R54" i="5" s="1"/>
  <c r="T53" i="5"/>
  <c r="S53" i="5"/>
  <c r="K53" i="5"/>
  <c r="R53" i="5" s="1"/>
  <c r="T52" i="5"/>
  <c r="S52" i="5"/>
  <c r="K52" i="5"/>
  <c r="R52" i="5" s="1"/>
  <c r="T51" i="5"/>
  <c r="A44" i="2" s="1"/>
  <c r="R15" i="1" s="1"/>
  <c r="S51" i="5"/>
  <c r="K51" i="5"/>
  <c r="R51" i="5" s="1"/>
  <c r="T50" i="5"/>
  <c r="S50" i="5"/>
  <c r="K50" i="5"/>
  <c r="R50" i="5" s="1"/>
  <c r="T49" i="5"/>
  <c r="S49" i="5"/>
  <c r="K49" i="5"/>
  <c r="R49" i="5" s="1"/>
  <c r="T48" i="5"/>
  <c r="S48" i="5"/>
  <c r="K48" i="5"/>
  <c r="R48" i="5" s="1"/>
  <c r="T47" i="5"/>
  <c r="S47" i="5"/>
  <c r="T46" i="5"/>
  <c r="A43" i="2" s="1"/>
  <c r="R14" i="1" s="1"/>
  <c r="S46" i="5"/>
  <c r="K46" i="5"/>
  <c r="R46" i="5" s="1"/>
  <c r="T45" i="5"/>
  <c r="S45" i="5"/>
  <c r="K45" i="5"/>
  <c r="R45" i="5" s="1"/>
  <c r="T44" i="5"/>
  <c r="S44" i="5"/>
  <c r="K44" i="5"/>
  <c r="R44" i="5" s="1"/>
  <c r="T43" i="5"/>
  <c r="S43" i="5"/>
  <c r="K43" i="5"/>
  <c r="R43" i="5" s="1"/>
  <c r="T42" i="5"/>
  <c r="S42" i="5"/>
  <c r="K42" i="5"/>
  <c r="R42" i="5" s="1"/>
  <c r="T41" i="5"/>
  <c r="A42" i="2" s="1"/>
  <c r="R13" i="1" s="1"/>
  <c r="S41" i="5"/>
  <c r="K41" i="5"/>
  <c r="R41" i="5" s="1"/>
  <c r="T40" i="5"/>
  <c r="S40" i="5"/>
  <c r="K40" i="5"/>
  <c r="R40" i="5" s="1"/>
  <c r="T39" i="5"/>
  <c r="S39" i="5"/>
  <c r="K39" i="5"/>
  <c r="R39" i="5" s="1"/>
  <c r="T38" i="5"/>
  <c r="S38" i="5"/>
  <c r="K38" i="5"/>
  <c r="R38" i="5" s="1"/>
  <c r="T37" i="5"/>
  <c r="S37" i="5"/>
  <c r="K37" i="5"/>
  <c r="R37" i="5" s="1"/>
  <c r="T36" i="5"/>
  <c r="A41" i="2" s="1"/>
  <c r="R12" i="1" s="1"/>
  <c r="S36" i="5"/>
  <c r="K36" i="5"/>
  <c r="R36" i="5" s="1"/>
  <c r="T35" i="5"/>
  <c r="S35" i="5"/>
  <c r="K35" i="5"/>
  <c r="R35" i="5" s="1"/>
  <c r="T34" i="5"/>
  <c r="S34" i="5"/>
  <c r="T33" i="5"/>
  <c r="S33" i="5"/>
  <c r="K33" i="5"/>
  <c r="R33" i="5" s="1"/>
  <c r="T32" i="5"/>
  <c r="S32" i="5"/>
  <c r="T31" i="5"/>
  <c r="A40" i="2" s="1"/>
  <c r="R11" i="1" s="1"/>
  <c r="S31" i="5"/>
  <c r="K31" i="5"/>
  <c r="R31" i="5" s="1"/>
  <c r="T30" i="5"/>
  <c r="S30" i="5"/>
  <c r="K30" i="5"/>
  <c r="R30" i="5" s="1"/>
  <c r="T29" i="5"/>
  <c r="S29" i="5"/>
  <c r="K29" i="5"/>
  <c r="R29" i="5" s="1"/>
  <c r="T28" i="5"/>
  <c r="S28" i="5"/>
  <c r="K28" i="5"/>
  <c r="R28" i="5" s="1"/>
  <c r="T27" i="5"/>
  <c r="S27" i="5"/>
  <c r="K27" i="5"/>
  <c r="R27" i="5" s="1"/>
  <c r="T26" i="5"/>
  <c r="A39" i="2" s="1"/>
  <c r="R10" i="1" s="1"/>
  <c r="S26" i="5"/>
  <c r="K26" i="5"/>
  <c r="R26" i="5" s="1"/>
  <c r="T25" i="5"/>
  <c r="S25" i="5"/>
  <c r="K25" i="5"/>
  <c r="R25" i="5" s="1"/>
  <c r="T24" i="5"/>
  <c r="S24" i="5"/>
  <c r="K24" i="5"/>
  <c r="R24" i="5" s="1"/>
  <c r="T23" i="5"/>
  <c r="S23" i="5"/>
  <c r="K23" i="5"/>
  <c r="R23" i="5" s="1"/>
  <c r="T22" i="5"/>
  <c r="S22" i="5"/>
  <c r="K22" i="5"/>
  <c r="R22" i="5" s="1"/>
  <c r="T21" i="5"/>
  <c r="A38" i="2" s="1"/>
  <c r="R9" i="1" s="1"/>
  <c r="S21" i="5"/>
  <c r="K21" i="5"/>
  <c r="R21" i="5" s="1"/>
  <c r="T20" i="5"/>
  <c r="S20" i="5"/>
  <c r="K20" i="5"/>
  <c r="R20" i="5" s="1"/>
  <c r="T19" i="5"/>
  <c r="S19" i="5"/>
  <c r="K19" i="5"/>
  <c r="R19" i="5" s="1"/>
  <c r="T18" i="5"/>
  <c r="S18" i="5"/>
  <c r="K18" i="5"/>
  <c r="R18" i="5" s="1"/>
  <c r="T17" i="5"/>
  <c r="S17" i="5"/>
  <c r="K17" i="5"/>
  <c r="R17" i="5" s="1"/>
  <c r="T16" i="5"/>
  <c r="A37" i="2" s="1"/>
  <c r="R8" i="1" s="1"/>
  <c r="S16" i="5"/>
  <c r="K16" i="5"/>
  <c r="R16" i="5" s="1"/>
  <c r="T15" i="5"/>
  <c r="S15" i="5"/>
  <c r="K15" i="5"/>
  <c r="R15" i="5" s="1"/>
  <c r="T14" i="5"/>
  <c r="S14" i="5"/>
  <c r="K14" i="5"/>
  <c r="R14" i="5" s="1"/>
  <c r="T13" i="5"/>
  <c r="S13" i="5"/>
  <c r="K13" i="5"/>
  <c r="R13" i="5" s="1"/>
  <c r="T12" i="5"/>
  <c r="S12" i="5"/>
  <c r="K12" i="5"/>
  <c r="R12" i="5" s="1"/>
  <c r="T11" i="5"/>
  <c r="A36" i="2" s="1"/>
  <c r="R7" i="1" s="1"/>
  <c r="S11" i="5"/>
  <c r="K11" i="5"/>
  <c r="R11" i="5" s="1"/>
  <c r="T10" i="5"/>
  <c r="S10" i="5"/>
  <c r="K10" i="5"/>
  <c r="R10" i="5" s="1"/>
  <c r="T9" i="5"/>
  <c r="S9" i="5"/>
  <c r="K9" i="5"/>
  <c r="R9" i="5" s="1"/>
  <c r="T8" i="5"/>
  <c r="S8" i="5"/>
  <c r="K8" i="5"/>
  <c r="R8" i="5" s="1"/>
  <c r="T7" i="5"/>
  <c r="S7" i="5"/>
  <c r="Q7" i="5"/>
  <c r="G24" i="3"/>
  <c r="P18" i="5" s="1"/>
  <c r="G21" i="3"/>
  <c r="L12" i="3"/>
  <c r="F12" i="3"/>
  <c r="D38" i="1" s="1"/>
  <c r="E12" i="3"/>
  <c r="L11" i="3"/>
  <c r="F11" i="3"/>
  <c r="D37" i="1" s="1"/>
  <c r="E11" i="3"/>
  <c r="L10" i="3"/>
  <c r="F10" i="3"/>
  <c r="D36" i="1" s="1"/>
  <c r="E10" i="3"/>
  <c r="L9" i="3"/>
  <c r="F9" i="3"/>
  <c r="D35" i="1" s="1"/>
  <c r="E9" i="3"/>
  <c r="L8" i="3"/>
  <c r="F8" i="3"/>
  <c r="D34" i="1" s="1"/>
  <c r="E8" i="3"/>
  <c r="L7" i="3"/>
  <c r="F7" i="3"/>
  <c r="E7" i="3"/>
  <c r="A60" i="2"/>
  <c r="R31" i="1" s="1"/>
  <c r="A56" i="2"/>
  <c r="R27" i="1" s="1"/>
  <c r="A48" i="2"/>
  <c r="R19" i="1" s="1"/>
  <c r="I6" i="2"/>
  <c r="C6" i="2"/>
  <c r="B38" i="1"/>
  <c r="A38" i="1"/>
  <c r="B37" i="1"/>
  <c r="A37" i="1"/>
  <c r="B36" i="1"/>
  <c r="A36" i="1"/>
  <c r="B35" i="1"/>
  <c r="A35" i="1"/>
  <c r="M34" i="1"/>
  <c r="B34" i="1"/>
  <c r="A34" i="1"/>
  <c r="B33" i="1"/>
  <c r="A33" i="1"/>
  <c r="M32" i="1"/>
  <c r="V12" i="1"/>
  <c r="V11" i="1"/>
  <c r="V10" i="1"/>
  <c r="V9" i="1"/>
  <c r="V8" i="1"/>
  <c r="V7" i="1"/>
  <c r="Q39" i="4" l="1"/>
  <c r="S39" i="4" s="1"/>
  <c r="S40" i="4"/>
  <c r="R7" i="4"/>
  <c r="R8" i="4"/>
  <c r="R9" i="4"/>
  <c r="R10" i="4"/>
  <c r="R11" i="4"/>
  <c r="R12" i="4"/>
  <c r="R13" i="4"/>
  <c r="R14" i="4"/>
  <c r="R15" i="4"/>
  <c r="R16" i="4"/>
  <c r="R17" i="4"/>
  <c r="R18" i="4"/>
  <c r="R19" i="4"/>
  <c r="R20" i="4"/>
  <c r="R25" i="4"/>
  <c r="R26" i="4"/>
  <c r="O28" i="4"/>
  <c r="Q28" i="4"/>
  <c r="S28" i="4" s="1"/>
  <c r="Q41" i="4"/>
  <c r="S41" i="4" s="1"/>
  <c r="Q42" i="4"/>
  <c r="S42" i="4" s="1"/>
  <c r="N37" i="4"/>
  <c r="R37" i="4" s="1"/>
  <c r="N21" i="4"/>
  <c r="R21" i="4" s="1"/>
  <c r="N35" i="4"/>
  <c r="R35" i="4" s="1"/>
  <c r="N22" i="4"/>
  <c r="R22" i="4" s="1"/>
  <c r="N41" i="4"/>
  <c r="O41" i="4" s="1"/>
  <c r="N39" i="4"/>
  <c r="R39" i="4" s="1"/>
  <c r="N29" i="4"/>
  <c r="R29" i="4" s="1"/>
  <c r="N33" i="4"/>
  <c r="R33" i="4" s="1"/>
  <c r="N31" i="4"/>
  <c r="R31" i="4" s="1"/>
  <c r="O27" i="4"/>
  <c r="N38" i="4"/>
  <c r="R38" i="4" s="1"/>
  <c r="N23" i="4"/>
  <c r="R23" i="4" s="1"/>
  <c r="N36" i="4"/>
  <c r="R36" i="4" s="1"/>
  <c r="N24" i="4"/>
  <c r="R24" i="4" s="1"/>
  <c r="N42" i="4"/>
  <c r="O42" i="4" s="1"/>
  <c r="N30" i="4"/>
  <c r="R30" i="4" s="1"/>
  <c r="N40" i="4"/>
  <c r="R40" i="4" s="1"/>
  <c r="N32" i="4"/>
  <c r="R32" i="4" s="1"/>
  <c r="N34" i="4"/>
  <c r="R34" i="4" s="1"/>
  <c r="C16" i="20" a="1"/>
  <c r="B22" i="24" a="1"/>
  <c r="A6" i="41" a="1"/>
  <c r="AB2" i="25" a="1"/>
  <c r="A12" i="22" a="1"/>
  <c r="A7" i="23" a="1"/>
  <c r="A9" i="22" a="1"/>
  <c r="H7" i="22" a="1"/>
  <c r="A7" i="21" a="1"/>
  <c r="E7" i="22" a="1"/>
  <c r="B7" i="22" a="1"/>
  <c r="F47" i="5"/>
  <c r="I11" i="3"/>
  <c r="B13" i="5"/>
  <c r="B15" i="5"/>
  <c r="B20" i="5"/>
  <c r="B31" i="5"/>
  <c r="B24" i="5"/>
  <c r="C9" i="5"/>
  <c r="C27" i="5"/>
  <c r="C17" i="5"/>
  <c r="C20" i="5"/>
  <c r="C31" i="5"/>
  <c r="C55" i="5"/>
  <c r="C45" i="5"/>
  <c r="C51" i="5"/>
  <c r="C32" i="5"/>
  <c r="C33" i="5"/>
  <c r="C12" i="5"/>
  <c r="D28" i="5"/>
  <c r="D37" i="5"/>
  <c r="E22" i="5"/>
  <c r="E26" i="5"/>
  <c r="E17" i="5"/>
  <c r="E48" i="5"/>
  <c r="E58" i="5"/>
  <c r="E110" i="5"/>
  <c r="F14" i="5"/>
  <c r="F9" i="5"/>
  <c r="F15" i="5"/>
  <c r="F26" i="5"/>
  <c r="F22" i="5"/>
  <c r="F46" i="5"/>
  <c r="F31" i="5"/>
  <c r="F30" i="5"/>
  <c r="F7" i="5"/>
  <c r="F17" i="5"/>
  <c r="G41" i="5"/>
  <c r="G34" i="5"/>
  <c r="G11" i="5"/>
  <c r="G49" i="5"/>
  <c r="G54" i="5"/>
  <c r="G122" i="5"/>
  <c r="G93" i="5"/>
  <c r="G23" i="5"/>
  <c r="G22" i="5"/>
  <c r="G19" i="5"/>
  <c r="G14" i="5"/>
  <c r="G33" i="5"/>
  <c r="D12" i="3"/>
  <c r="G74" i="5"/>
  <c r="B556" i="16"/>
  <c r="G959" i="16"/>
  <c r="F939" i="16"/>
  <c r="B914" i="16"/>
  <c r="F984" i="16"/>
  <c r="F950" i="16"/>
  <c r="H1040" i="16"/>
  <c r="J5" i="17"/>
  <c r="H988" i="16"/>
  <c r="C964" i="16"/>
  <c r="G923" i="16"/>
  <c r="F1043" i="16"/>
  <c r="H918" i="16"/>
  <c r="G1037" i="16"/>
  <c r="F907" i="16"/>
  <c r="B1022" i="16"/>
  <c r="G845" i="16"/>
  <c r="B1019" i="16"/>
  <c r="E827" i="16"/>
  <c r="H1015" i="16"/>
  <c r="E788" i="16"/>
  <c r="D1012" i="16"/>
  <c r="D731" i="16"/>
  <c r="F1005" i="16"/>
  <c r="H995" i="16"/>
  <c r="D7" i="3"/>
  <c r="C955" i="16"/>
  <c r="C809" i="16"/>
  <c r="D1009" i="16"/>
  <c r="E945" i="16"/>
  <c r="H764" i="16"/>
  <c r="B52" i="5"/>
  <c r="B38" i="5"/>
  <c r="F1002" i="16"/>
  <c r="G934" i="16"/>
  <c r="H687" i="16"/>
  <c r="A21" i="16"/>
  <c r="A22" i="16" s="1"/>
  <c r="H998" i="16"/>
  <c r="H929" i="16"/>
  <c r="B553" i="16"/>
  <c r="A23" i="16"/>
  <c r="C992" i="16"/>
  <c r="B1035" i="16"/>
  <c r="D980" i="16"/>
  <c r="G900" i="16"/>
  <c r="D1032" i="16"/>
  <c r="B976" i="16"/>
  <c r="F891" i="16"/>
  <c r="G1028" i="16"/>
  <c r="G971" i="16"/>
  <c r="D880" i="16"/>
  <c r="G1025" i="16"/>
  <c r="E968" i="16"/>
  <c r="B864" i="16"/>
  <c r="A12" i="16"/>
  <c r="A8" i="16"/>
  <c r="A7" i="16"/>
  <c r="G1043" i="16"/>
  <c r="B1041" i="16"/>
  <c r="H1037" i="16"/>
  <c r="C1035" i="16"/>
  <c r="E1032" i="16"/>
  <c r="H1028" i="16"/>
  <c r="H1025" i="16"/>
  <c r="G1022" i="16"/>
  <c r="C1019" i="16"/>
  <c r="C1016" i="16"/>
  <c r="E1012" i="16"/>
  <c r="E1009" i="16"/>
  <c r="G1005" i="16"/>
  <c r="G1002" i="16"/>
  <c r="B999" i="16"/>
  <c r="B996" i="16"/>
  <c r="D992" i="16"/>
  <c r="B989" i="16"/>
  <c r="G984" i="16"/>
  <c r="E980" i="16"/>
  <c r="C976" i="16"/>
  <c r="H972" i="16"/>
  <c r="F968" i="16"/>
  <c r="D964" i="16"/>
  <c r="H959" i="16"/>
  <c r="D955" i="16"/>
  <c r="G950" i="16"/>
  <c r="H945" i="16"/>
  <c r="G939" i="16"/>
  <c r="H934" i="16"/>
  <c r="B930" i="16"/>
  <c r="H924" i="16"/>
  <c r="B919" i="16"/>
  <c r="C914" i="16"/>
  <c r="G907" i="16"/>
  <c r="H900" i="16"/>
  <c r="G891" i="16"/>
  <c r="D882" i="16"/>
  <c r="C864" i="16"/>
  <c r="H845" i="16"/>
  <c r="F827" i="16"/>
  <c r="D809" i="16"/>
  <c r="F788" i="16"/>
  <c r="B765" i="16"/>
  <c r="E731" i="16"/>
  <c r="B688" i="16"/>
  <c r="B48" i="16"/>
  <c r="D48" i="16" s="1"/>
  <c r="F47" i="16"/>
  <c r="B51" i="16"/>
  <c r="B54" i="16"/>
  <c r="F57" i="16"/>
  <c r="C61" i="16"/>
  <c r="C64" i="16"/>
  <c r="G70" i="16"/>
  <c r="C74" i="16"/>
  <c r="G77" i="16"/>
  <c r="G80" i="16"/>
  <c r="B84" i="16"/>
  <c r="F87" i="16"/>
  <c r="B91" i="16"/>
  <c r="C94" i="16"/>
  <c r="C98" i="16"/>
  <c r="C102" i="16"/>
  <c r="B107" i="16"/>
  <c r="D107" i="16" s="1"/>
  <c r="B111" i="16"/>
  <c r="B119" i="16"/>
  <c r="B124" i="16"/>
  <c r="B128" i="16"/>
  <c r="B132" i="16"/>
  <c r="G135" i="16"/>
  <c r="C152" i="16"/>
  <c r="B157" i="16"/>
  <c r="G47" i="16"/>
  <c r="C51" i="16"/>
  <c r="C54" i="16"/>
  <c r="G57" i="16"/>
  <c r="F67" i="16"/>
  <c r="B71" i="16"/>
  <c r="F74" i="16"/>
  <c r="B81" i="16"/>
  <c r="C84" i="16"/>
  <c r="G87" i="16"/>
  <c r="C91" i="16"/>
  <c r="G102" i="16"/>
  <c r="C107" i="16"/>
  <c r="C111" i="16"/>
  <c r="G115" i="16"/>
  <c r="C119" i="16"/>
  <c r="C124" i="16"/>
  <c r="C128" i="16"/>
  <c r="C48" i="16"/>
  <c r="F54" i="16"/>
  <c r="B58" i="16"/>
  <c r="D58" i="16" s="1"/>
  <c r="F61" i="16"/>
  <c r="B45" i="16"/>
  <c r="B50" i="16"/>
  <c r="D50" i="16" s="1"/>
  <c r="G53" i="16"/>
  <c r="F58" i="16"/>
  <c r="B66" i="16"/>
  <c r="G69" i="16"/>
  <c r="F73" i="16"/>
  <c r="F77" i="16"/>
  <c r="B85" i="16"/>
  <c r="B89" i="16"/>
  <c r="B93" i="16"/>
  <c r="B97" i="16"/>
  <c r="G101" i="16"/>
  <c r="G106" i="16"/>
  <c r="B112" i="16"/>
  <c r="C121" i="16"/>
  <c r="B126" i="16"/>
  <c r="D126" i="16" s="1"/>
  <c r="G130" i="16"/>
  <c r="G139" i="16"/>
  <c r="B144" i="16"/>
  <c r="C148" i="16"/>
  <c r="G152" i="16"/>
  <c r="B165" i="16"/>
  <c r="D165" i="16" s="1"/>
  <c r="G169" i="16"/>
  <c r="F176" i="16"/>
  <c r="H178" i="16"/>
  <c r="C181" i="16"/>
  <c r="E183" i="16"/>
  <c r="G185" i="16"/>
  <c r="B188" i="16"/>
  <c r="D190" i="16"/>
  <c r="F192" i="16"/>
  <c r="H194" i="16"/>
  <c r="C197" i="16"/>
  <c r="E199" i="16"/>
  <c r="G201" i="16"/>
  <c r="B204" i="16"/>
  <c r="D206" i="16"/>
  <c r="F208" i="16"/>
  <c r="H210" i="16"/>
  <c r="C213" i="16"/>
  <c r="E215" i="16"/>
  <c r="G217" i="16"/>
  <c r="B220" i="16"/>
  <c r="D222" i="16"/>
  <c r="F224" i="16"/>
  <c r="H226" i="16"/>
  <c r="C229" i="16"/>
  <c r="E231" i="16"/>
  <c r="B46" i="16"/>
  <c r="C50" i="16"/>
  <c r="G58" i="16"/>
  <c r="F62" i="16"/>
  <c r="C66" i="16"/>
  <c r="G73" i="16"/>
  <c r="B78" i="16"/>
  <c r="F81" i="16"/>
  <c r="C85" i="16"/>
  <c r="C89" i="16"/>
  <c r="C93" i="16"/>
  <c r="C97" i="16"/>
  <c r="G107" i="16"/>
  <c r="C112" i="16"/>
  <c r="G116" i="16"/>
  <c r="G121" i="16"/>
  <c r="C126" i="16"/>
  <c r="B131" i="16"/>
  <c r="G134" i="16"/>
  <c r="B140" i="16"/>
  <c r="C144" i="16"/>
  <c r="B153" i="16"/>
  <c r="G157" i="16"/>
  <c r="G161" i="16"/>
  <c r="C165" i="16"/>
  <c r="B170" i="16"/>
  <c r="D170" i="16" s="1"/>
  <c r="B174" i="16"/>
  <c r="G176" i="16"/>
  <c r="B179" i="16"/>
  <c r="D181" i="16"/>
  <c r="F183" i="16"/>
  <c r="H185" i="16"/>
  <c r="C188" i="16"/>
  <c r="E190" i="16"/>
  <c r="G192" i="16"/>
  <c r="B195" i="16"/>
  <c r="D197" i="16"/>
  <c r="F199" i="16"/>
  <c r="H201" i="16"/>
  <c r="C204" i="16"/>
  <c r="E206" i="16"/>
  <c r="G208" i="16"/>
  <c r="B211" i="16"/>
  <c r="D213" i="16"/>
  <c r="F215" i="16"/>
  <c r="H217" i="16"/>
  <c r="C220" i="16"/>
  <c r="E222" i="16"/>
  <c r="C46" i="16"/>
  <c r="G54" i="16"/>
  <c r="B59" i="16"/>
  <c r="G62" i="16"/>
  <c r="B70" i="16"/>
  <c r="B74" i="16"/>
  <c r="D74" i="16" s="1"/>
  <c r="C78" i="16"/>
  <c r="G81" i="16"/>
  <c r="F85" i="16"/>
  <c r="B102" i="16"/>
  <c r="B108" i="16"/>
  <c r="B122" i="16"/>
  <c r="D122" i="16" s="1"/>
  <c r="C131" i="16"/>
  <c r="B135" i="16"/>
  <c r="C140" i="16"/>
  <c r="G144" i="16"/>
  <c r="G148" i="16"/>
  <c r="C153" i="16"/>
  <c r="B162" i="16"/>
  <c r="G165" i="16"/>
  <c r="C170" i="16"/>
  <c r="C174" i="16"/>
  <c r="H176" i="16"/>
  <c r="C179" i="16"/>
  <c r="E181" i="16"/>
  <c r="F50" i="16"/>
  <c r="B55" i="16"/>
  <c r="C59" i="16"/>
  <c r="F66" i="16"/>
  <c r="C70" i="16"/>
  <c r="G74" i="16"/>
  <c r="B82" i="16"/>
  <c r="G85" i="16"/>
  <c r="F89" i="16"/>
  <c r="F93" i="16"/>
  <c r="G97" i="16"/>
  <c r="B103" i="16"/>
  <c r="C108" i="16"/>
  <c r="G112" i="16"/>
  <c r="B117" i="16"/>
  <c r="C122" i="16"/>
  <c r="G126" i="16"/>
  <c r="C135" i="16"/>
  <c r="G140" i="16"/>
  <c r="B145" i="16"/>
  <c r="G153" i="16"/>
  <c r="B158" i="16"/>
  <c r="C162" i="16"/>
  <c r="G170" i="16"/>
  <c r="F46" i="16"/>
  <c r="G50" i="16"/>
  <c r="C55" i="16"/>
  <c r="F59" i="16"/>
  <c r="B63" i="16"/>
  <c r="G66" i="16"/>
  <c r="F70" i="16"/>
  <c r="B75" i="16"/>
  <c r="F78" i="16"/>
  <c r="C82" i="16"/>
  <c r="G89" i="16"/>
  <c r="G93" i="16"/>
  <c r="B98" i="16"/>
  <c r="G45" i="16"/>
  <c r="F52" i="16"/>
  <c r="B64" i="16"/>
  <c r="B69" i="16"/>
  <c r="G75" i="16"/>
  <c r="C80" i="16"/>
  <c r="C86" i="16"/>
  <c r="B92" i="16"/>
  <c r="G98" i="16"/>
  <c r="G104" i="16"/>
  <c r="G117" i="16"/>
  <c r="B130" i="16"/>
  <c r="C136" i="16"/>
  <c r="B142" i="16"/>
  <c r="C154" i="16"/>
  <c r="G159" i="16"/>
  <c r="C171" i="16"/>
  <c r="E175" i="16"/>
  <c r="C178" i="16"/>
  <c r="H180" i="16"/>
  <c r="H183" i="16"/>
  <c r="E186" i="16"/>
  <c r="B189" i="16"/>
  <c r="F191" i="16"/>
  <c r="C194" i="16"/>
  <c r="G196" i="16"/>
  <c r="D199" i="16"/>
  <c r="C202" i="16"/>
  <c r="G204" i="16"/>
  <c r="D207" i="16"/>
  <c r="H209" i="16"/>
  <c r="E212" i="16"/>
  <c r="B215" i="16"/>
  <c r="F217" i="16"/>
  <c r="E220" i="16"/>
  <c r="B223" i="16"/>
  <c r="E225" i="16"/>
  <c r="H227" i="16"/>
  <c r="D230" i="16"/>
  <c r="G232" i="16"/>
  <c r="B235" i="16"/>
  <c r="D237" i="16"/>
  <c r="F239" i="16"/>
  <c r="H241" i="16"/>
  <c r="C244" i="16"/>
  <c r="E246" i="16"/>
  <c r="G248" i="16"/>
  <c r="B251" i="16"/>
  <c r="D253" i="16"/>
  <c r="F255" i="16"/>
  <c r="H257" i="16"/>
  <c r="C260" i="16"/>
  <c r="E262" i="16"/>
  <c r="G264" i="16"/>
  <c r="B267" i="16"/>
  <c r="D269" i="16"/>
  <c r="F271" i="16"/>
  <c r="H273" i="16"/>
  <c r="C276" i="16"/>
  <c r="E278" i="16"/>
  <c r="G280" i="16"/>
  <c r="B283" i="16"/>
  <c r="D285" i="16"/>
  <c r="F287" i="16"/>
  <c r="H289" i="16"/>
  <c r="C292" i="16"/>
  <c r="E294" i="16"/>
  <c r="G296" i="16"/>
  <c r="B299" i="16"/>
  <c r="D301" i="16"/>
  <c r="F303" i="16"/>
  <c r="H305" i="16"/>
  <c r="C308" i="16"/>
  <c r="E310" i="16"/>
  <c r="G312" i="16"/>
  <c r="B315" i="16"/>
  <c r="D317" i="16"/>
  <c r="F319" i="16"/>
  <c r="H321" i="16"/>
  <c r="C324" i="16"/>
  <c r="E326" i="16"/>
  <c r="G328" i="16"/>
  <c r="B331" i="16"/>
  <c r="D333" i="16"/>
  <c r="F335" i="16"/>
  <c r="H337" i="16"/>
  <c r="C340" i="16"/>
  <c r="E342" i="16"/>
  <c r="G344" i="16"/>
  <c r="B347" i="16"/>
  <c r="D349" i="16"/>
  <c r="F351" i="16"/>
  <c r="G46" i="16"/>
  <c r="G52" i="16"/>
  <c r="C58" i="16"/>
  <c r="F64" i="16"/>
  <c r="C69" i="16"/>
  <c r="B76" i="16"/>
  <c r="F86" i="16"/>
  <c r="C92" i="16"/>
  <c r="B99" i="16"/>
  <c r="B105" i="16"/>
  <c r="G110" i="16"/>
  <c r="G124" i="16"/>
  <c r="C130" i="16"/>
  <c r="G136" i="16"/>
  <c r="C142" i="16"/>
  <c r="G147" i="16"/>
  <c r="G154" i="16"/>
  <c r="B160" i="16"/>
  <c r="G164" i="16"/>
  <c r="F175" i="16"/>
  <c r="D178" i="16"/>
  <c r="B181" i="16"/>
  <c r="B184" i="16"/>
  <c r="F186" i="16"/>
  <c r="C189" i="16"/>
  <c r="G191" i="16"/>
  <c r="D194" i="16"/>
  <c r="H196" i="16"/>
  <c r="G199" i="16"/>
  <c r="D202" i="16"/>
  <c r="H204" i="16"/>
  <c r="E207" i="16"/>
  <c r="B210" i="16"/>
  <c r="F212" i="16"/>
  <c r="C215" i="16"/>
  <c r="B218" i="16"/>
  <c r="F220" i="16"/>
  <c r="C223" i="16"/>
  <c r="F225" i="16"/>
  <c r="B228" i="16"/>
  <c r="E230" i="16"/>
  <c r="H232" i="16"/>
  <c r="C235" i="16"/>
  <c r="E237" i="16"/>
  <c r="G239" i="16"/>
  <c r="B242" i="16"/>
  <c r="D244" i="16"/>
  <c r="F246" i="16"/>
  <c r="H248" i="16"/>
  <c r="C251" i="16"/>
  <c r="E253" i="16"/>
  <c r="G255" i="16"/>
  <c r="B258" i="16"/>
  <c r="D260" i="16"/>
  <c r="F262" i="16"/>
  <c r="H264" i="16"/>
  <c r="C267" i="16"/>
  <c r="E269" i="16"/>
  <c r="G271" i="16"/>
  <c r="B274" i="16"/>
  <c r="D276" i="16"/>
  <c r="F278" i="16"/>
  <c r="H280" i="16"/>
  <c r="C283" i="16"/>
  <c r="E285" i="16"/>
  <c r="G287" i="16"/>
  <c r="B290" i="16"/>
  <c r="D292" i="16"/>
  <c r="F294" i="16"/>
  <c r="H296" i="16"/>
  <c r="C299" i="16"/>
  <c r="E301" i="16"/>
  <c r="G303" i="16"/>
  <c r="B306" i="16"/>
  <c r="D308" i="16"/>
  <c r="F310" i="16"/>
  <c r="H312" i="16"/>
  <c r="C315" i="16"/>
  <c r="E317" i="16"/>
  <c r="G319" i="16"/>
  <c r="B322" i="16"/>
  <c r="D324" i="16"/>
  <c r="F326" i="16"/>
  <c r="H328" i="16"/>
  <c r="C331" i="16"/>
  <c r="E333" i="16"/>
  <c r="G335" i="16"/>
  <c r="B338" i="16"/>
  <c r="D340" i="16"/>
  <c r="F342" i="16"/>
  <c r="H344" i="16"/>
  <c r="C347" i="16"/>
  <c r="E349" i="16"/>
  <c r="G351" i="16"/>
  <c r="B354" i="16"/>
  <c r="D356" i="16"/>
  <c r="F358" i="16"/>
  <c r="G59" i="16"/>
  <c r="G64" i="16"/>
  <c r="F69" i="16"/>
  <c r="C76" i="16"/>
  <c r="F80" i="16"/>
  <c r="G86" i="16"/>
  <c r="C99" i="16"/>
  <c r="C105" i="16"/>
  <c r="G111" i="16"/>
  <c r="B118" i="16"/>
  <c r="B125" i="16"/>
  <c r="B137" i="16"/>
  <c r="B148" i="16"/>
  <c r="B155" i="16"/>
  <c r="C160" i="16"/>
  <c r="G171" i="16"/>
  <c r="G175" i="16"/>
  <c r="E178" i="16"/>
  <c r="F181" i="16"/>
  <c r="C184" i="16"/>
  <c r="G186" i="16"/>
  <c r="D189" i="16"/>
  <c r="H191" i="16"/>
  <c r="E194" i="16"/>
  <c r="B197" i="16"/>
  <c r="H199" i="16"/>
  <c r="E202" i="16"/>
  <c r="B205" i="16"/>
  <c r="F207" i="16"/>
  <c r="C210" i="16"/>
  <c r="G212" i="16"/>
  <c r="D215" i="16"/>
  <c r="C218" i="16"/>
  <c r="G220" i="16"/>
  <c r="D223" i="16"/>
  <c r="G225" i="16"/>
  <c r="C228" i="16"/>
  <c r="F230" i="16"/>
  <c r="B233" i="16"/>
  <c r="D235" i="16"/>
  <c r="F237" i="16"/>
  <c r="H239" i="16"/>
  <c r="C242" i="16"/>
  <c r="E244" i="16"/>
  <c r="G246" i="16"/>
  <c r="B249" i="16"/>
  <c r="D251" i="16"/>
  <c r="F253" i="16"/>
  <c r="H255" i="16"/>
  <c r="C258" i="16"/>
  <c r="E260" i="16"/>
  <c r="G262" i="16"/>
  <c r="B265" i="16"/>
  <c r="D267" i="16"/>
  <c r="F269" i="16"/>
  <c r="H271" i="16"/>
  <c r="C274" i="16"/>
  <c r="E276" i="16"/>
  <c r="G278" i="16"/>
  <c r="B281" i="16"/>
  <c r="D283" i="16"/>
  <c r="F285" i="16"/>
  <c r="H287" i="16"/>
  <c r="C290" i="16"/>
  <c r="E292" i="16"/>
  <c r="G294" i="16"/>
  <c r="B297" i="16"/>
  <c r="D299" i="16"/>
  <c r="F301" i="16"/>
  <c r="H303" i="16"/>
  <c r="C306" i="16"/>
  <c r="E308" i="16"/>
  <c r="G310" i="16"/>
  <c r="B313" i="16"/>
  <c r="D315" i="16"/>
  <c r="F317" i="16"/>
  <c r="H319" i="16"/>
  <c r="C322" i="16"/>
  <c r="E324" i="16"/>
  <c r="G326" i="16"/>
  <c r="B329" i="16"/>
  <c r="D331" i="16"/>
  <c r="F333" i="16"/>
  <c r="H335" i="16"/>
  <c r="C338" i="16"/>
  <c r="E340" i="16"/>
  <c r="G342" i="16"/>
  <c r="B345" i="16"/>
  <c r="D347" i="16"/>
  <c r="F349" i="16"/>
  <c r="B47" i="16"/>
  <c r="B53" i="16"/>
  <c r="B60" i="16"/>
  <c r="B65" i="16"/>
  <c r="C71" i="16"/>
  <c r="C81" i="16"/>
  <c r="B87" i="16"/>
  <c r="F92" i="16"/>
  <c r="B113" i="16"/>
  <c r="C118" i="16"/>
  <c r="C125" i="16"/>
  <c r="G131" i="16"/>
  <c r="C137" i="16"/>
  <c r="G142" i="16"/>
  <c r="B149" i="16"/>
  <c r="C155" i="16"/>
  <c r="B166" i="16"/>
  <c r="B172" i="16"/>
  <c r="H175" i="16"/>
  <c r="F178" i="16"/>
  <c r="G181" i="16"/>
  <c r="D184" i="16"/>
  <c r="H186" i="16"/>
  <c r="E189" i="16"/>
  <c r="B192" i="16"/>
  <c r="F194" i="16"/>
  <c r="E197" i="16"/>
  <c r="B200" i="16"/>
  <c r="F202" i="16"/>
  <c r="C205" i="16"/>
  <c r="G207" i="16"/>
  <c r="D210" i="16"/>
  <c r="H212" i="16"/>
  <c r="G215" i="16"/>
  <c r="D218" i="16"/>
  <c r="H220" i="16"/>
  <c r="E223" i="16"/>
  <c r="H225" i="16"/>
  <c r="D228" i="16"/>
  <c r="G230" i="16"/>
  <c r="C233" i="16"/>
  <c r="E235" i="16"/>
  <c r="G237" i="16"/>
  <c r="B240" i="16"/>
  <c r="D242" i="16"/>
  <c r="F244" i="16"/>
  <c r="H246" i="16"/>
  <c r="C249" i="16"/>
  <c r="E251" i="16"/>
  <c r="G253" i="16"/>
  <c r="B256" i="16"/>
  <c r="D258" i="16"/>
  <c r="F260" i="16"/>
  <c r="H262" i="16"/>
  <c r="C265" i="16"/>
  <c r="E267" i="16"/>
  <c r="G269" i="16"/>
  <c r="B272" i="16"/>
  <c r="D274" i="16"/>
  <c r="F276" i="16"/>
  <c r="H278" i="16"/>
  <c r="C281" i="16"/>
  <c r="E283" i="16"/>
  <c r="G285" i="16"/>
  <c r="B288" i="16"/>
  <c r="D290" i="16"/>
  <c r="F292" i="16"/>
  <c r="H294" i="16"/>
  <c r="C297" i="16"/>
  <c r="E299" i="16"/>
  <c r="G301" i="16"/>
  <c r="B304" i="16"/>
  <c r="D306" i="16"/>
  <c r="F308" i="16"/>
  <c r="H310" i="16"/>
  <c r="C313" i="16"/>
  <c r="E315" i="16"/>
  <c r="G317" i="16"/>
  <c r="C47" i="16"/>
  <c r="C53" i="16"/>
  <c r="C60" i="16"/>
  <c r="C65" i="16"/>
  <c r="F71" i="16"/>
  <c r="F76" i="16"/>
  <c r="C87" i="16"/>
  <c r="G92" i="16"/>
  <c r="G99" i="16"/>
  <c r="G105" i="16"/>
  <c r="C113" i="16"/>
  <c r="C132" i="16"/>
  <c r="G137" i="16"/>
  <c r="B143" i="16"/>
  <c r="C149" i="16"/>
  <c r="G160" i="16"/>
  <c r="C166" i="16"/>
  <c r="C172" i="16"/>
  <c r="B176" i="16"/>
  <c r="G178" i="16"/>
  <c r="H181" i="16"/>
  <c r="E184" i="16"/>
  <c r="B187" i="16"/>
  <c r="F189" i="16"/>
  <c r="C192" i="16"/>
  <c r="G194" i="16"/>
  <c r="F197" i="16"/>
  <c r="C200" i="16"/>
  <c r="G202" i="16"/>
  <c r="D205" i="16"/>
  <c r="H207" i="16"/>
  <c r="E210" i="16"/>
  <c r="B213" i="16"/>
  <c r="F48" i="16"/>
  <c r="G71" i="16"/>
  <c r="G76" i="16"/>
  <c r="F82" i="16"/>
  <c r="B100" i="16"/>
  <c r="B106" i="16"/>
  <c r="G118" i="16"/>
  <c r="G125" i="16"/>
  <c r="B138" i="16"/>
  <c r="C143" i="16"/>
  <c r="G149" i="16"/>
  <c r="G155" i="16"/>
  <c r="B161" i="16"/>
  <c r="C176" i="16"/>
  <c r="D179" i="16"/>
  <c r="B182" i="16"/>
  <c r="F184" i="16"/>
  <c r="C187" i="16"/>
  <c r="G189" i="16"/>
  <c r="D192" i="16"/>
  <c r="C195" i="16"/>
  <c r="G197" i="16"/>
  <c r="D200" i="16"/>
  <c r="H202" i="16"/>
  <c r="E205" i="16"/>
  <c r="B208" i="16"/>
  <c r="F210" i="16"/>
  <c r="E213" i="16"/>
  <c r="B216" i="16"/>
  <c r="F218" i="16"/>
  <c r="C221" i="16"/>
  <c r="G223" i="16"/>
  <c r="C226" i="16"/>
  <c r="F228" i="16"/>
  <c r="B231" i="16"/>
  <c r="E233" i="16"/>
  <c r="G235" i="16"/>
  <c r="B238" i="16"/>
  <c r="D240" i="16"/>
  <c r="G48" i="16"/>
  <c r="F53" i="16"/>
  <c r="F60" i="16"/>
  <c r="F65" i="16"/>
  <c r="B77" i="16"/>
  <c r="G82" i="16"/>
  <c r="B88" i="16"/>
  <c r="B94" i="16"/>
  <c r="C100" i="16"/>
  <c r="C106" i="16"/>
  <c r="G113" i="16"/>
  <c r="G119" i="16"/>
  <c r="C138" i="16"/>
  <c r="G143" i="16"/>
  <c r="B156" i="16"/>
  <c r="C161" i="16"/>
  <c r="G166" i="16"/>
  <c r="G172" i="16"/>
  <c r="D176" i="16"/>
  <c r="E179" i="16"/>
  <c r="B49" i="16"/>
  <c r="F55" i="16"/>
  <c r="G60" i="16"/>
  <c r="G65" i="16"/>
  <c r="B72" i="16"/>
  <c r="C77" i="16"/>
  <c r="B83" i="16"/>
  <c r="C88" i="16"/>
  <c r="G94" i="16"/>
  <c r="G100" i="16"/>
  <c r="B114" i="16"/>
  <c r="B120" i="16"/>
  <c r="B127" i="16"/>
  <c r="G132" i="16"/>
  <c r="G138" i="16"/>
  <c r="C145" i="16"/>
  <c r="B150" i="16"/>
  <c r="C156" i="16"/>
  <c r="B167" i="16"/>
  <c r="B173" i="16"/>
  <c r="E176" i="16"/>
  <c r="F179" i="16"/>
  <c r="D182" i="16"/>
  <c r="H184" i="16"/>
  <c r="E187" i="16"/>
  <c r="B190" i="16"/>
  <c r="H192" i="16"/>
  <c r="E195" i="16"/>
  <c r="B198" i="16"/>
  <c r="C49" i="16"/>
  <c r="G55" i="16"/>
  <c r="B61" i="16"/>
  <c r="B67" i="16"/>
  <c r="C72" i="16"/>
  <c r="C83" i="16"/>
  <c r="F88" i="16"/>
  <c r="G108" i="16"/>
  <c r="C114" i="16"/>
  <c r="C120" i="16"/>
  <c r="C127" i="16"/>
  <c r="B139" i="16"/>
  <c r="C150" i="16"/>
  <c r="G162" i="16"/>
  <c r="C167" i="16"/>
  <c r="C173" i="16"/>
  <c r="B177" i="16"/>
  <c r="G179" i="16"/>
  <c r="E182" i="16"/>
  <c r="B185" i="16"/>
  <c r="F187" i="16"/>
  <c r="G61" i="16"/>
  <c r="C67" i="16"/>
  <c r="F72" i="16"/>
  <c r="G78" i="16"/>
  <c r="G88" i="16"/>
  <c r="B95" i="16"/>
  <c r="B101" i="16"/>
  <c r="B109" i="16"/>
  <c r="G114" i="16"/>
  <c r="G120" i="16"/>
  <c r="G127" i="16"/>
  <c r="B133" i="16"/>
  <c r="C139" i="16"/>
  <c r="G145" i="16"/>
  <c r="G156" i="16"/>
  <c r="B163" i="16"/>
  <c r="G167" i="16"/>
  <c r="C177" i="16"/>
  <c r="H179" i="16"/>
  <c r="F182" i="16"/>
  <c r="F49" i="16"/>
  <c r="B56" i="16"/>
  <c r="G67" i="16"/>
  <c r="G72" i="16"/>
  <c r="F83" i="16"/>
  <c r="B90" i="16"/>
  <c r="C95" i="16"/>
  <c r="C101" i="16"/>
  <c r="C109" i="16"/>
  <c r="B115" i="16"/>
  <c r="B121" i="16"/>
  <c r="C133" i="16"/>
  <c r="G49" i="16"/>
  <c r="C56" i="16"/>
  <c r="B62" i="16"/>
  <c r="B68" i="16"/>
  <c r="B73" i="16"/>
  <c r="B79" i="16"/>
  <c r="G83" i="16"/>
  <c r="C90" i="16"/>
  <c r="G95" i="16"/>
  <c r="C103" i="16"/>
  <c r="C115" i="16"/>
  <c r="G122" i="16"/>
  <c r="G128" i="16"/>
  <c r="G133" i="16"/>
  <c r="B141" i="16"/>
  <c r="C146" i="16"/>
  <c r="B151" i="16"/>
  <c r="C158" i="16"/>
  <c r="C168" i="16"/>
  <c r="E177" i="16"/>
  <c r="C180" i="16"/>
  <c r="H182" i="16"/>
  <c r="E185" i="16"/>
  <c r="D188" i="16"/>
  <c r="H190" i="16"/>
  <c r="E193" i="16"/>
  <c r="B196" i="16"/>
  <c r="F198" i="16"/>
  <c r="C201" i="16"/>
  <c r="G203" i="16"/>
  <c r="F206" i="16"/>
  <c r="C209" i="16"/>
  <c r="G211" i="16"/>
  <c r="D214" i="16"/>
  <c r="H216" i="16"/>
  <c r="F51" i="16"/>
  <c r="F56" i="16"/>
  <c r="C62" i="16"/>
  <c r="C68" i="16"/>
  <c r="C73" i="16"/>
  <c r="C79" i="16"/>
  <c r="F84" i="16"/>
  <c r="F90" i="16"/>
  <c r="B96" i="16"/>
  <c r="G103" i="16"/>
  <c r="F68" i="16"/>
  <c r="G123" i="16"/>
  <c r="B147" i="16"/>
  <c r="B180" i="16"/>
  <c r="C186" i="16"/>
  <c r="E191" i="16"/>
  <c r="F196" i="16"/>
  <c r="F201" i="16"/>
  <c r="G206" i="16"/>
  <c r="E211" i="16"/>
  <c r="C216" i="16"/>
  <c r="F219" i="16"/>
  <c r="H223" i="16"/>
  <c r="C227" i="16"/>
  <c r="H230" i="16"/>
  <c r="C234" i="16"/>
  <c r="C237" i="16"/>
  <c r="H240" i="16"/>
  <c r="G243" i="16"/>
  <c r="C247" i="16"/>
  <c r="B250" i="16"/>
  <c r="H252" i="16"/>
  <c r="D256" i="16"/>
  <c r="C259" i="16"/>
  <c r="B262" i="16"/>
  <c r="E265" i="16"/>
  <c r="D268" i="16"/>
  <c r="C271" i="16"/>
  <c r="F274" i="16"/>
  <c r="E277" i="16"/>
  <c r="D280" i="16"/>
  <c r="G283" i="16"/>
  <c r="F286" i="16"/>
  <c r="E289" i="16"/>
  <c r="H292" i="16"/>
  <c r="G295" i="16"/>
  <c r="F298" i="16"/>
  <c r="B302" i="16"/>
  <c r="H304" i="16"/>
  <c r="G307" i="16"/>
  <c r="C311" i="16"/>
  <c r="B314" i="16"/>
  <c r="H316" i="16"/>
  <c r="C320" i="16"/>
  <c r="H322" i="16"/>
  <c r="F325" i="16"/>
  <c r="D328" i="16"/>
  <c r="E331" i="16"/>
  <c r="C334" i="16"/>
  <c r="H336" i="16"/>
  <c r="F339" i="16"/>
  <c r="D342" i="16"/>
  <c r="E345" i="16"/>
  <c r="C348" i="16"/>
  <c r="H350" i="16"/>
  <c r="E353" i="16"/>
  <c r="H355" i="16"/>
  <c r="D358" i="16"/>
  <c r="G360" i="16"/>
  <c r="B363" i="16"/>
  <c r="D365" i="16"/>
  <c r="F367" i="16"/>
  <c r="H369" i="16"/>
  <c r="C372" i="16"/>
  <c r="E374" i="16"/>
  <c r="G376" i="16"/>
  <c r="B379" i="16"/>
  <c r="D381" i="16"/>
  <c r="F383" i="16"/>
  <c r="H385" i="16"/>
  <c r="C388" i="16"/>
  <c r="E390" i="16"/>
  <c r="G392" i="16"/>
  <c r="B395" i="16"/>
  <c r="D397" i="16"/>
  <c r="F399" i="16"/>
  <c r="H401" i="16"/>
  <c r="C404" i="16"/>
  <c r="E406" i="16"/>
  <c r="G408" i="16"/>
  <c r="B411" i="16"/>
  <c r="D413" i="16"/>
  <c r="F415" i="16"/>
  <c r="H417" i="16"/>
  <c r="C420" i="16"/>
  <c r="E422" i="16"/>
  <c r="G424" i="16"/>
  <c r="B427" i="16"/>
  <c r="D429" i="16"/>
  <c r="F431" i="16"/>
  <c r="H433" i="16"/>
  <c r="C436" i="16"/>
  <c r="E438" i="16"/>
  <c r="G440" i="16"/>
  <c r="B443" i="16"/>
  <c r="D445" i="16"/>
  <c r="F447" i="16"/>
  <c r="H449" i="16"/>
  <c r="C452" i="16"/>
  <c r="E454" i="16"/>
  <c r="G456" i="16"/>
  <c r="B459" i="16"/>
  <c r="D461" i="16"/>
  <c r="F463" i="16"/>
  <c r="H465" i="16"/>
  <c r="C468" i="16"/>
  <c r="G68" i="16"/>
  <c r="G96" i="16"/>
  <c r="B129" i="16"/>
  <c r="C147" i="16"/>
  <c r="B168" i="16"/>
  <c r="D180" i="16"/>
  <c r="D186" i="16"/>
  <c r="E192" i="16"/>
  <c r="H197" i="16"/>
  <c r="B202" i="16"/>
  <c r="H206" i="16"/>
  <c r="F211" i="16"/>
  <c r="D216" i="16"/>
  <c r="G219" i="16"/>
  <c r="B224" i="16"/>
  <c r="D227" i="16"/>
  <c r="C231" i="16"/>
  <c r="D234" i="16"/>
  <c r="H237" i="16"/>
  <c r="B241" i="16"/>
  <c r="H243" i="16"/>
  <c r="D247" i="16"/>
  <c r="C250" i="16"/>
  <c r="B253" i="16"/>
  <c r="E256" i="16"/>
  <c r="D259" i="16"/>
  <c r="C262" i="16"/>
  <c r="F265" i="16"/>
  <c r="E268" i="16"/>
  <c r="D271" i="16"/>
  <c r="G274" i="16"/>
  <c r="F277" i="16"/>
  <c r="E280" i="16"/>
  <c r="H283" i="16"/>
  <c r="G286" i="16"/>
  <c r="F289" i="16"/>
  <c r="B293" i="16"/>
  <c r="H295" i="16"/>
  <c r="G298" i="16"/>
  <c r="C302" i="16"/>
  <c r="B305" i="16"/>
  <c r="H307" i="16"/>
  <c r="D311" i="16"/>
  <c r="C314" i="16"/>
  <c r="B317" i="16"/>
  <c r="D320" i="16"/>
  <c r="B323" i="16"/>
  <c r="G325" i="16"/>
  <c r="E328" i="16"/>
  <c r="F331" i="16"/>
  <c r="D334" i="16"/>
  <c r="B337" i="16"/>
  <c r="G339" i="16"/>
  <c r="H342" i="16"/>
  <c r="F345" i="16"/>
  <c r="D348" i="16"/>
  <c r="B351" i="16"/>
  <c r="F353" i="16"/>
  <c r="B356" i="16"/>
  <c r="E358" i="16"/>
  <c r="H360" i="16"/>
  <c r="C363" i="16"/>
  <c r="E365" i="16"/>
  <c r="G367" i="16"/>
  <c r="B370" i="16"/>
  <c r="D372" i="16"/>
  <c r="F374" i="16"/>
  <c r="H376" i="16"/>
  <c r="C379" i="16"/>
  <c r="E381" i="16"/>
  <c r="G383" i="16"/>
  <c r="B386" i="16"/>
  <c r="D388" i="16"/>
  <c r="F390" i="16"/>
  <c r="H392" i="16"/>
  <c r="C395" i="16"/>
  <c r="E397" i="16"/>
  <c r="G399" i="16"/>
  <c r="B402" i="16"/>
  <c r="D404" i="16"/>
  <c r="F406" i="16"/>
  <c r="H408" i="16"/>
  <c r="C411" i="16"/>
  <c r="E413" i="16"/>
  <c r="G415" i="16"/>
  <c r="B418" i="16"/>
  <c r="D420" i="16"/>
  <c r="F422" i="16"/>
  <c r="H424" i="16"/>
  <c r="C427" i="16"/>
  <c r="E429" i="16"/>
  <c r="G431" i="16"/>
  <c r="B434" i="16"/>
  <c r="D436" i="16"/>
  <c r="F438" i="16"/>
  <c r="H440" i="16"/>
  <c r="C443" i="16"/>
  <c r="E445" i="16"/>
  <c r="G447" i="16"/>
  <c r="C129" i="16"/>
  <c r="G150" i="16"/>
  <c r="G168" i="16"/>
  <c r="E180" i="16"/>
  <c r="D187" i="16"/>
  <c r="B193" i="16"/>
  <c r="C198" i="16"/>
  <c r="B203" i="16"/>
  <c r="B207" i="16"/>
  <c r="H211" i="16"/>
  <c r="E216" i="16"/>
  <c r="H219" i="16"/>
  <c r="C224" i="16"/>
  <c r="E227" i="16"/>
  <c r="D231" i="16"/>
  <c r="E234" i="16"/>
  <c r="C238" i="16"/>
  <c r="C241" i="16"/>
  <c r="B244" i="16"/>
  <c r="E247" i="16"/>
  <c r="D250" i="16"/>
  <c r="C253" i="16"/>
  <c r="F256" i="16"/>
  <c r="E259" i="16"/>
  <c r="D262" i="16"/>
  <c r="G265" i="16"/>
  <c r="F268" i="16"/>
  <c r="E271" i="16"/>
  <c r="H274" i="16"/>
  <c r="G277" i="16"/>
  <c r="F280" i="16"/>
  <c r="B284" i="16"/>
  <c r="H286" i="16"/>
  <c r="G289" i="16"/>
  <c r="C293" i="16"/>
  <c r="B296" i="16"/>
  <c r="H298" i="16"/>
  <c r="D302" i="16"/>
  <c r="C305" i="16"/>
  <c r="B308" i="16"/>
  <c r="E311" i="16"/>
  <c r="D314" i="16"/>
  <c r="C317" i="16"/>
  <c r="E320" i="16"/>
  <c r="C323" i="16"/>
  <c r="H325" i="16"/>
  <c r="F328" i="16"/>
  <c r="G331" i="16"/>
  <c r="E334" i="16"/>
  <c r="C337" i="16"/>
  <c r="H339" i="16"/>
  <c r="B343" i="16"/>
  <c r="G345" i="16"/>
  <c r="E348" i="16"/>
  <c r="C351" i="16"/>
  <c r="G353" i="16"/>
  <c r="C356" i="16"/>
  <c r="G358" i="16"/>
  <c r="B361" i="16"/>
  <c r="D363" i="16"/>
  <c r="F365" i="16"/>
  <c r="H367" i="16"/>
  <c r="C370" i="16"/>
  <c r="E372" i="16"/>
  <c r="G374" i="16"/>
  <c r="B377" i="16"/>
  <c r="D379" i="16"/>
  <c r="F381" i="16"/>
  <c r="H383" i="16"/>
  <c r="C386" i="16"/>
  <c r="E388" i="16"/>
  <c r="G390" i="16"/>
  <c r="B393" i="16"/>
  <c r="D395" i="16"/>
  <c r="F397" i="16"/>
  <c r="H399" i="16"/>
  <c r="C402" i="16"/>
  <c r="E404" i="16"/>
  <c r="G406" i="16"/>
  <c r="B409" i="16"/>
  <c r="D411" i="16"/>
  <c r="F413" i="16"/>
  <c r="H415" i="16"/>
  <c r="C418" i="16"/>
  <c r="B104" i="16"/>
  <c r="C151" i="16"/>
  <c r="B169" i="16"/>
  <c r="F180" i="16"/>
  <c r="G187" i="16"/>
  <c r="C193" i="16"/>
  <c r="D198" i="16"/>
  <c r="C203" i="16"/>
  <c r="C207" i="16"/>
  <c r="B212" i="16"/>
  <c r="F216" i="16"/>
  <c r="D220" i="16"/>
  <c r="D224" i="16"/>
  <c r="F227" i="16"/>
  <c r="F231" i="16"/>
  <c r="F234" i="16"/>
  <c r="D238" i="16"/>
  <c r="D241" i="16"/>
  <c r="G244" i="16"/>
  <c r="F247" i="16"/>
  <c r="E250" i="16"/>
  <c r="H253" i="16"/>
  <c r="G256" i="16"/>
  <c r="F259" i="16"/>
  <c r="B263" i="16"/>
  <c r="H265" i="16"/>
  <c r="G268" i="16"/>
  <c r="C272" i="16"/>
  <c r="B275" i="16"/>
  <c r="H277" i="16"/>
  <c r="D281" i="16"/>
  <c r="C284" i="16"/>
  <c r="B287" i="16"/>
  <c r="E290" i="16"/>
  <c r="D293" i="16"/>
  <c r="C296" i="16"/>
  <c r="F299" i="16"/>
  <c r="E302" i="16"/>
  <c r="D305" i="16"/>
  <c r="G308" i="16"/>
  <c r="F311" i="16"/>
  <c r="E314" i="16"/>
  <c r="H317" i="16"/>
  <c r="F320" i="16"/>
  <c r="D323" i="16"/>
  <c r="B326" i="16"/>
  <c r="C329" i="16"/>
  <c r="H331" i="16"/>
  <c r="F334" i="16"/>
  <c r="D337" i="16"/>
  <c r="B340" i="16"/>
  <c r="C343" i="16"/>
  <c r="H345" i="16"/>
  <c r="F348" i="16"/>
  <c r="D351" i="16"/>
  <c r="H353" i="16"/>
  <c r="E356" i="16"/>
  <c r="H358" i="16"/>
  <c r="C361" i="16"/>
  <c r="E363" i="16"/>
  <c r="G365" i="16"/>
  <c r="B368" i="16"/>
  <c r="D370" i="16"/>
  <c r="F372" i="16"/>
  <c r="H374" i="16"/>
  <c r="C377" i="16"/>
  <c r="E379" i="16"/>
  <c r="G381" i="16"/>
  <c r="B384" i="16"/>
  <c r="D386" i="16"/>
  <c r="F388" i="16"/>
  <c r="H390" i="16"/>
  <c r="C393" i="16"/>
  <c r="C75" i="16"/>
  <c r="C104" i="16"/>
  <c r="G129" i="16"/>
  <c r="G151" i="16"/>
  <c r="C169" i="16"/>
  <c r="G180" i="16"/>
  <c r="H187" i="16"/>
  <c r="D193" i="16"/>
  <c r="E198" i="16"/>
  <c r="D203" i="16"/>
  <c r="C208" i="16"/>
  <c r="C212" i="16"/>
  <c r="G216" i="16"/>
  <c r="B221" i="16"/>
  <c r="E224" i="16"/>
  <c r="G227" i="16"/>
  <c r="G231" i="16"/>
  <c r="G234" i="16"/>
  <c r="E238" i="16"/>
  <c r="E241" i="16"/>
  <c r="H244" i="16"/>
  <c r="G247" i="16"/>
  <c r="F250" i="16"/>
  <c r="B254" i="16"/>
  <c r="H256" i="16"/>
  <c r="G259" i="16"/>
  <c r="C263" i="16"/>
  <c r="B266" i="16"/>
  <c r="H268" i="16"/>
  <c r="D272" i="16"/>
  <c r="C275" i="16"/>
  <c r="B278" i="16"/>
  <c r="E281" i="16"/>
  <c r="D284" i="16"/>
  <c r="C287" i="16"/>
  <c r="F290" i="16"/>
  <c r="E293" i="16"/>
  <c r="D296" i="16"/>
  <c r="G299" i="16"/>
  <c r="F302" i="16"/>
  <c r="E305" i="16"/>
  <c r="H308" i="16"/>
  <c r="G311" i="16"/>
  <c r="F314" i="16"/>
  <c r="B318" i="16"/>
  <c r="G320" i="16"/>
  <c r="E323" i="16"/>
  <c r="C326" i="16"/>
  <c r="D329" i="16"/>
  <c r="B332" i="16"/>
  <c r="G334" i="16"/>
  <c r="E337" i="16"/>
  <c r="F340" i="16"/>
  <c r="D343" i="16"/>
  <c r="B346" i="16"/>
  <c r="G348" i="16"/>
  <c r="E351" i="16"/>
  <c r="C354" i="16"/>
  <c r="F356" i="16"/>
  <c r="B359" i="16"/>
  <c r="D361" i="16"/>
  <c r="F363" i="16"/>
  <c r="H365" i="16"/>
  <c r="C368" i="16"/>
  <c r="E370" i="16"/>
  <c r="G372" i="16"/>
  <c r="B375" i="16"/>
  <c r="D377" i="16"/>
  <c r="F379" i="16"/>
  <c r="H381" i="16"/>
  <c r="C384" i="16"/>
  <c r="E386" i="16"/>
  <c r="G388" i="16"/>
  <c r="B391" i="16"/>
  <c r="C45" i="16"/>
  <c r="F75" i="16"/>
  <c r="G109" i="16"/>
  <c r="B152" i="16"/>
  <c r="B171" i="16"/>
  <c r="C182" i="16"/>
  <c r="E188" i="16"/>
  <c r="F193" i="16"/>
  <c r="G198" i="16"/>
  <c r="E203" i="16"/>
  <c r="D208" i="16"/>
  <c r="D212" i="16"/>
  <c r="B217" i="16"/>
  <c r="D221" i="16"/>
  <c r="G224" i="16"/>
  <c r="E228" i="16"/>
  <c r="H231" i="16"/>
  <c r="H234" i="16"/>
  <c r="F238" i="16"/>
  <c r="F241" i="16"/>
  <c r="B245" i="16"/>
  <c r="H247" i="16"/>
  <c r="G250" i="16"/>
  <c r="C254" i="16"/>
  <c r="B257" i="16"/>
  <c r="H259" i="16"/>
  <c r="D263" i="16"/>
  <c r="C266" i="16"/>
  <c r="B269" i="16"/>
  <c r="E272" i="16"/>
  <c r="D275" i="16"/>
  <c r="C278" i="16"/>
  <c r="F281" i="16"/>
  <c r="E284" i="16"/>
  <c r="D287" i="16"/>
  <c r="G290" i="16"/>
  <c r="F293" i="16"/>
  <c r="E296" i="16"/>
  <c r="H299" i="16"/>
  <c r="G302" i="16"/>
  <c r="F305" i="16"/>
  <c r="B309" i="16"/>
  <c r="H311" i="16"/>
  <c r="G314" i="16"/>
  <c r="C318" i="16"/>
  <c r="H320" i="16"/>
  <c r="F323" i="16"/>
  <c r="D326" i="16"/>
  <c r="E329" i="16"/>
  <c r="C332" i="16"/>
  <c r="H334" i="16"/>
  <c r="F337" i="16"/>
  <c r="G340" i="16"/>
  <c r="E343" i="16"/>
  <c r="C346" i="16"/>
  <c r="H348" i="16"/>
  <c r="H351" i="16"/>
  <c r="D354" i="16"/>
  <c r="G356" i="16"/>
  <c r="C359" i="16"/>
  <c r="E361" i="16"/>
  <c r="G363" i="16"/>
  <c r="B366" i="16"/>
  <c r="D368" i="16"/>
  <c r="F370" i="16"/>
  <c r="H372" i="16"/>
  <c r="C375" i="16"/>
  <c r="E377" i="16"/>
  <c r="G379" i="16"/>
  <c r="B382" i="16"/>
  <c r="D384" i="16"/>
  <c r="F386" i="16"/>
  <c r="H388" i="16"/>
  <c r="C391" i="16"/>
  <c r="E393" i="16"/>
  <c r="G395" i="16"/>
  <c r="B398" i="16"/>
  <c r="D400" i="16"/>
  <c r="F402" i="16"/>
  <c r="H404" i="16"/>
  <c r="C407" i="16"/>
  <c r="E409" i="16"/>
  <c r="G411" i="16"/>
  <c r="B414" i="16"/>
  <c r="D416" i="16"/>
  <c r="F418" i="16"/>
  <c r="H420" i="16"/>
  <c r="C423" i="16"/>
  <c r="F45" i="16"/>
  <c r="F79" i="16"/>
  <c r="B134" i="16"/>
  <c r="B154" i="16"/>
  <c r="G173" i="16"/>
  <c r="G182" i="16"/>
  <c r="F188" i="16"/>
  <c r="G193" i="16"/>
  <c r="H198" i="16"/>
  <c r="F203" i="16"/>
  <c r="E208" i="16"/>
  <c r="F213" i="16"/>
  <c r="C217" i="16"/>
  <c r="E221" i="16"/>
  <c r="H224" i="16"/>
  <c r="G228" i="16"/>
  <c r="B232" i="16"/>
  <c r="F235" i="16"/>
  <c r="G238" i="16"/>
  <c r="G241" i="16"/>
  <c r="C245" i="16"/>
  <c r="B248" i="16"/>
  <c r="H250" i="16"/>
  <c r="D254" i="16"/>
  <c r="C257" i="16"/>
  <c r="B260" i="16"/>
  <c r="E263" i="16"/>
  <c r="D266" i="16"/>
  <c r="C269" i="16"/>
  <c r="F272" i="16"/>
  <c r="E275" i="16"/>
  <c r="D278" i="16"/>
  <c r="G281" i="16"/>
  <c r="F284" i="16"/>
  <c r="E287" i="16"/>
  <c r="H290" i="16"/>
  <c r="G293" i="16"/>
  <c r="F296" i="16"/>
  <c r="B300" i="16"/>
  <c r="H302" i="16"/>
  <c r="G305" i="16"/>
  <c r="C309" i="16"/>
  <c r="B312" i="16"/>
  <c r="H314" i="16"/>
  <c r="D318" i="16"/>
  <c r="B321" i="16"/>
  <c r="G323" i="16"/>
  <c r="H326" i="16"/>
  <c r="F329" i="16"/>
  <c r="D332" i="16"/>
  <c r="B335" i="16"/>
  <c r="G337" i="16"/>
  <c r="H340" i="16"/>
  <c r="F343" i="16"/>
  <c r="D346" i="16"/>
  <c r="B349" i="16"/>
  <c r="B352" i="16"/>
  <c r="E354" i="16"/>
  <c r="H356" i="16"/>
  <c r="D359" i="16"/>
  <c r="F361" i="16"/>
  <c r="H363" i="16"/>
  <c r="C366" i="16"/>
  <c r="E368" i="16"/>
  <c r="G370" i="16"/>
  <c r="B373" i="16"/>
  <c r="D375" i="16"/>
  <c r="F377" i="16"/>
  <c r="H379" i="16"/>
  <c r="C382" i="16"/>
  <c r="E384" i="16"/>
  <c r="G386" i="16"/>
  <c r="B389" i="16"/>
  <c r="D391" i="16"/>
  <c r="F393" i="16"/>
  <c r="H395" i="16"/>
  <c r="C398" i="16"/>
  <c r="E400" i="16"/>
  <c r="G51" i="16"/>
  <c r="G79" i="16"/>
  <c r="B110" i="16"/>
  <c r="C134" i="16"/>
  <c r="C157" i="16"/>
  <c r="G174" i="16"/>
  <c r="B183" i="16"/>
  <c r="G188" i="16"/>
  <c r="H193" i="16"/>
  <c r="B199" i="16"/>
  <c r="H203" i="16"/>
  <c r="H208" i="16"/>
  <c r="G213" i="16"/>
  <c r="D217" i="16"/>
  <c r="F221" i="16"/>
  <c r="B225" i="16"/>
  <c r="H228" i="16"/>
  <c r="C232" i="16"/>
  <c r="H235" i="16"/>
  <c r="H238" i="16"/>
  <c r="E242" i="16"/>
  <c r="D245" i="16"/>
  <c r="C248" i="16"/>
  <c r="F251" i="16"/>
  <c r="E254" i="16"/>
  <c r="D257" i="16"/>
  <c r="G260" i="16"/>
  <c r="F263" i="16"/>
  <c r="E266" i="16"/>
  <c r="H269" i="16"/>
  <c r="G272" i="16"/>
  <c r="F275" i="16"/>
  <c r="B279" i="16"/>
  <c r="H281" i="16"/>
  <c r="G284" i="16"/>
  <c r="C288" i="16"/>
  <c r="B291" i="16"/>
  <c r="H293" i="16"/>
  <c r="D297" i="16"/>
  <c r="C300" i="16"/>
  <c r="B303" i="16"/>
  <c r="E306" i="16"/>
  <c r="D309" i="16"/>
  <c r="C312" i="16"/>
  <c r="F315" i="16"/>
  <c r="E318" i="16"/>
  <c r="C321" i="16"/>
  <c r="H323" i="16"/>
  <c r="B327" i="16"/>
  <c r="G329" i="16"/>
  <c r="E332" i="16"/>
  <c r="C335" i="16"/>
  <c r="D338" i="16"/>
  <c r="B341" i="16"/>
  <c r="G343" i="16"/>
  <c r="E346" i="16"/>
  <c r="C349" i="16"/>
  <c r="C352" i="16"/>
  <c r="F354" i="16"/>
  <c r="B357" i="16"/>
  <c r="E359" i="16"/>
  <c r="G361" i="16"/>
  <c r="B364" i="16"/>
  <c r="D366" i="16"/>
  <c r="F368" i="16"/>
  <c r="H370" i="16"/>
  <c r="C373" i="16"/>
  <c r="E375" i="16"/>
  <c r="G377" i="16"/>
  <c r="B380" i="16"/>
  <c r="D382" i="16"/>
  <c r="F384" i="16"/>
  <c r="H386" i="16"/>
  <c r="C389" i="16"/>
  <c r="E391" i="16"/>
  <c r="B52" i="16"/>
  <c r="B80" i="16"/>
  <c r="C110" i="16"/>
  <c r="B136" i="16"/>
  <c r="B175" i="16"/>
  <c r="C183" i="16"/>
  <c r="H188" i="16"/>
  <c r="B194" i="16"/>
  <c r="C199" i="16"/>
  <c r="D204" i="16"/>
  <c r="B209" i="16"/>
  <c r="H213" i="16"/>
  <c r="E217" i="16"/>
  <c r="G221" i="16"/>
  <c r="C225" i="16"/>
  <c r="B229" i="16"/>
  <c r="D232" i="16"/>
  <c r="B236" i="16"/>
  <c r="B239" i="16"/>
  <c r="F242" i="16"/>
  <c r="E245" i="16"/>
  <c r="D248" i="16"/>
  <c r="G251" i="16"/>
  <c r="F254" i="16"/>
  <c r="E257" i="16"/>
  <c r="H260" i="16"/>
  <c r="G263" i="16"/>
  <c r="F266" i="16"/>
  <c r="B270" i="16"/>
  <c r="H272" i="16"/>
  <c r="G275" i="16"/>
  <c r="C279" i="16"/>
  <c r="B282" i="16"/>
  <c r="H284" i="16"/>
  <c r="D288" i="16"/>
  <c r="C291" i="16"/>
  <c r="B294" i="16"/>
  <c r="E297" i="16"/>
  <c r="D300" i="16"/>
  <c r="C303" i="16"/>
  <c r="F306" i="16"/>
  <c r="E309" i="16"/>
  <c r="D312" i="16"/>
  <c r="G315" i="16"/>
  <c r="F318" i="16"/>
  <c r="D321" i="16"/>
  <c r="B324" i="16"/>
  <c r="C327" i="16"/>
  <c r="H329" i="16"/>
  <c r="F332" i="16"/>
  <c r="C52" i="16"/>
  <c r="G84" i="16"/>
  <c r="B116" i="16"/>
  <c r="C141" i="16"/>
  <c r="G158" i="16"/>
  <c r="C175" i="16"/>
  <c r="D183" i="16"/>
  <c r="H189" i="16"/>
  <c r="D195" i="16"/>
  <c r="E200" i="16"/>
  <c r="E204" i="16"/>
  <c r="D209" i="16"/>
  <c r="B214" i="16"/>
  <c r="E218" i="16"/>
  <c r="H221" i="16"/>
  <c r="D225" i="16"/>
  <c r="D229" i="16"/>
  <c r="E232" i="16"/>
  <c r="C236" i="16"/>
  <c r="C239" i="16"/>
  <c r="G242" i="16"/>
  <c r="F245" i="16"/>
  <c r="E248" i="16"/>
  <c r="H251" i="16"/>
  <c r="G254" i="16"/>
  <c r="F257" i="16"/>
  <c r="B261" i="16"/>
  <c r="H263" i="16"/>
  <c r="G266" i="16"/>
  <c r="C270" i="16"/>
  <c r="B273" i="16"/>
  <c r="H275" i="16"/>
  <c r="D279" i="16"/>
  <c r="C282" i="16"/>
  <c r="B285" i="16"/>
  <c r="E288" i="16"/>
  <c r="D291" i="16"/>
  <c r="C294" i="16"/>
  <c r="F297" i="16"/>
  <c r="E300" i="16"/>
  <c r="D303" i="16"/>
  <c r="G306" i="16"/>
  <c r="F309" i="16"/>
  <c r="E312" i="16"/>
  <c r="H315" i="16"/>
  <c r="G318" i="16"/>
  <c r="E321" i="16"/>
  <c r="F324" i="16"/>
  <c r="D327" i="16"/>
  <c r="B330" i="16"/>
  <c r="G332" i="16"/>
  <c r="E335" i="16"/>
  <c r="F338" i="16"/>
  <c r="D341" i="16"/>
  <c r="B344" i="16"/>
  <c r="G346" i="16"/>
  <c r="H349" i="16"/>
  <c r="E352" i="16"/>
  <c r="H354" i="16"/>
  <c r="D357" i="16"/>
  <c r="G359" i="16"/>
  <c r="B362" i="16"/>
  <c r="D364" i="16"/>
  <c r="F366" i="16"/>
  <c r="H368" i="16"/>
  <c r="C371" i="16"/>
  <c r="G56" i="16"/>
  <c r="C116" i="16"/>
  <c r="B159" i="16"/>
  <c r="D175" i="16"/>
  <c r="G183" i="16"/>
  <c r="C190" i="16"/>
  <c r="F195" i="16"/>
  <c r="F200" i="16"/>
  <c r="F204" i="16"/>
  <c r="E209" i="16"/>
  <c r="C214" i="16"/>
  <c r="G218" i="16"/>
  <c r="B222" i="16"/>
  <c r="B226" i="16"/>
  <c r="E229" i="16"/>
  <c r="F232" i="16"/>
  <c r="D236" i="16"/>
  <c r="D239" i="16"/>
  <c r="H242" i="16"/>
  <c r="G245" i="16"/>
  <c r="F248" i="16"/>
  <c r="B252" i="16"/>
  <c r="H254" i="16"/>
  <c r="G257" i="16"/>
  <c r="C261" i="16"/>
  <c r="B264" i="16"/>
  <c r="H266" i="16"/>
  <c r="D270" i="16"/>
  <c r="C273" i="16"/>
  <c r="B276" i="16"/>
  <c r="E279" i="16"/>
  <c r="D282" i="16"/>
  <c r="C285" i="16"/>
  <c r="F288" i="16"/>
  <c r="E291" i="16"/>
  <c r="D294" i="16"/>
  <c r="G297" i="16"/>
  <c r="F300" i="16"/>
  <c r="E303" i="16"/>
  <c r="H306" i="16"/>
  <c r="B57" i="16"/>
  <c r="B86" i="16"/>
  <c r="G141" i="16"/>
  <c r="C159" i="16"/>
  <c r="D177" i="16"/>
  <c r="G184" i="16"/>
  <c r="F190" i="16"/>
  <c r="G195" i="16"/>
  <c r="G200" i="16"/>
  <c r="F205" i="16"/>
  <c r="F209" i="16"/>
  <c r="E214" i="16"/>
  <c r="H218" i="16"/>
  <c r="C222" i="16"/>
  <c r="D226" i="16"/>
  <c r="F229" i="16"/>
  <c r="D233" i="16"/>
  <c r="E236" i="16"/>
  <c r="E239" i="16"/>
  <c r="B243" i="16"/>
  <c r="H245" i="16"/>
  <c r="D249" i="16"/>
  <c r="C252" i="16"/>
  <c r="B255" i="16"/>
  <c r="E258" i="16"/>
  <c r="D261" i="16"/>
  <c r="C264" i="16"/>
  <c r="F267" i="16"/>
  <c r="E270" i="16"/>
  <c r="D273" i="16"/>
  <c r="G276" i="16"/>
  <c r="F279" i="16"/>
  <c r="E282" i="16"/>
  <c r="H285" i="16"/>
  <c r="G288" i="16"/>
  <c r="F291" i="16"/>
  <c r="B295" i="16"/>
  <c r="H297" i="16"/>
  <c r="G300" i="16"/>
  <c r="C304" i="16"/>
  <c r="B307" i="16"/>
  <c r="H309" i="16"/>
  <c r="C57" i="16"/>
  <c r="G90" i="16"/>
  <c r="C117" i="16"/>
  <c r="C163" i="16"/>
  <c r="F177" i="16"/>
  <c r="C185" i="16"/>
  <c r="G190" i="16"/>
  <c r="H195" i="16"/>
  <c r="H200" i="16"/>
  <c r="G205" i="16"/>
  <c r="G209" i="16"/>
  <c r="F214" i="16"/>
  <c r="B219" i="16"/>
  <c r="F222" i="16"/>
  <c r="E226" i="16"/>
  <c r="G229" i="16"/>
  <c r="F233" i="16"/>
  <c r="F236" i="16"/>
  <c r="C240" i="16"/>
  <c r="C243" i="16"/>
  <c r="B246" i="16"/>
  <c r="E249" i="16"/>
  <c r="D252" i="16"/>
  <c r="C255" i="16"/>
  <c r="F258" i="16"/>
  <c r="E261" i="16"/>
  <c r="D264" i="16"/>
  <c r="G267" i="16"/>
  <c r="F270" i="16"/>
  <c r="E273" i="16"/>
  <c r="H276" i="16"/>
  <c r="G279" i="16"/>
  <c r="F282" i="16"/>
  <c r="B286" i="16"/>
  <c r="H288" i="16"/>
  <c r="G291" i="16"/>
  <c r="C295" i="16"/>
  <c r="B298" i="16"/>
  <c r="H300" i="16"/>
  <c r="G63" i="16"/>
  <c r="C96" i="16"/>
  <c r="G146" i="16"/>
  <c r="C164" i="16"/>
  <c r="B178" i="16"/>
  <c r="B186" i="16"/>
  <c r="D191" i="16"/>
  <c r="E196" i="16"/>
  <c r="E201" i="16"/>
  <c r="C206" i="16"/>
  <c r="D211" i="16"/>
  <c r="H215" i="16"/>
  <c r="E219" i="16"/>
  <c r="F223" i="16"/>
  <c r="B227" i="16"/>
  <c r="G177" i="16"/>
  <c r="C219" i="16"/>
  <c r="F240" i="16"/>
  <c r="C256" i="16"/>
  <c r="F273" i="16"/>
  <c r="C289" i="16"/>
  <c r="F304" i="16"/>
  <c r="H313" i="16"/>
  <c r="E322" i="16"/>
  <c r="D330" i="16"/>
  <c r="F336" i="16"/>
  <c r="H343" i="16"/>
  <c r="C350" i="16"/>
  <c r="E355" i="16"/>
  <c r="F360" i="16"/>
  <c r="G366" i="16"/>
  <c r="F371" i="16"/>
  <c r="C376" i="16"/>
  <c r="G380" i="16"/>
  <c r="D385" i="16"/>
  <c r="H389" i="16"/>
  <c r="C394" i="16"/>
  <c r="C397" i="16"/>
  <c r="H400" i="16"/>
  <c r="G403" i="16"/>
  <c r="B407" i="16"/>
  <c r="B410" i="16"/>
  <c r="H412" i="16"/>
  <c r="C416" i="16"/>
  <c r="C419" i="16"/>
  <c r="H421" i="16"/>
  <c r="F424" i="16"/>
  <c r="E427" i="16"/>
  <c r="B430" i="16"/>
  <c r="F432" i="16"/>
  <c r="C435" i="16"/>
  <c r="G437" i="16"/>
  <c r="D440" i="16"/>
  <c r="H442" i="16"/>
  <c r="G445" i="16"/>
  <c r="D448" i="16"/>
  <c r="G450" i="16"/>
  <c r="C453" i="16"/>
  <c r="F455" i="16"/>
  <c r="B458" i="16"/>
  <c r="E460" i="16"/>
  <c r="H462" i="16"/>
  <c r="D465" i="16"/>
  <c r="G467" i="16"/>
  <c r="C470" i="16"/>
  <c r="E472" i="16"/>
  <c r="G474" i="16"/>
  <c r="B477" i="16"/>
  <c r="D479" i="16"/>
  <c r="F481" i="16"/>
  <c r="H483" i="16"/>
  <c r="C486" i="16"/>
  <c r="E488" i="16"/>
  <c r="G490" i="16"/>
  <c r="B493" i="16"/>
  <c r="D495" i="16"/>
  <c r="F497" i="16"/>
  <c r="H499" i="16"/>
  <c r="C502" i="16"/>
  <c r="E504" i="16"/>
  <c r="G506" i="16"/>
  <c r="B509" i="16"/>
  <c r="D511" i="16"/>
  <c r="F513" i="16"/>
  <c r="H515" i="16"/>
  <c r="C518" i="16"/>
  <c r="E520" i="16"/>
  <c r="G522" i="16"/>
  <c r="B525" i="16"/>
  <c r="D527" i="16"/>
  <c r="F529" i="16"/>
  <c r="H531" i="16"/>
  <c r="C534" i="16"/>
  <c r="E536" i="16"/>
  <c r="G538" i="16"/>
  <c r="B541" i="16"/>
  <c r="D543" i="16"/>
  <c r="F545" i="16"/>
  <c r="H547" i="16"/>
  <c r="C550" i="16"/>
  <c r="E552" i="16"/>
  <c r="G554" i="16"/>
  <c r="B557" i="16"/>
  <c r="D559" i="16"/>
  <c r="F561" i="16"/>
  <c r="H563" i="16"/>
  <c r="C566" i="16"/>
  <c r="E568" i="16"/>
  <c r="G570" i="16"/>
  <c r="B573" i="16"/>
  <c r="D575" i="16"/>
  <c r="F577" i="16"/>
  <c r="H579" i="16"/>
  <c r="C582" i="16"/>
  <c r="E584" i="16"/>
  <c r="G586" i="16"/>
  <c r="B589" i="16"/>
  <c r="D591" i="16"/>
  <c r="F593" i="16"/>
  <c r="H595" i="16"/>
  <c r="C598" i="16"/>
  <c r="E600" i="16"/>
  <c r="G602" i="16"/>
  <c r="B605" i="16"/>
  <c r="D607" i="16"/>
  <c r="F609" i="16"/>
  <c r="H177" i="16"/>
  <c r="D219" i="16"/>
  <c r="G240" i="16"/>
  <c r="G258" i="16"/>
  <c r="G273" i="16"/>
  <c r="D289" i="16"/>
  <c r="G304" i="16"/>
  <c r="B316" i="16"/>
  <c r="F322" i="16"/>
  <c r="E330" i="16"/>
  <c r="G336" i="16"/>
  <c r="C344" i="16"/>
  <c r="D350" i="16"/>
  <c r="F355" i="16"/>
  <c r="H361" i="16"/>
  <c r="H366" i="16"/>
  <c r="G371" i="16"/>
  <c r="D376" i="16"/>
  <c r="H380" i="16"/>
  <c r="E385" i="16"/>
  <c r="B390" i="16"/>
  <c r="D394" i="16"/>
  <c r="G397" i="16"/>
  <c r="B401" i="16"/>
  <c r="H403" i="16"/>
  <c r="D407" i="16"/>
  <c r="C410" i="16"/>
  <c r="B413" i="16"/>
  <c r="E416" i="16"/>
  <c r="D419" i="16"/>
  <c r="B422" i="16"/>
  <c r="B425" i="16"/>
  <c r="F427" i="16"/>
  <c r="C430" i="16"/>
  <c r="G432" i="16"/>
  <c r="D435" i="16"/>
  <c r="H437" i="16"/>
  <c r="E440" i="16"/>
  <c r="D443" i="16"/>
  <c r="H445" i="16"/>
  <c r="E448" i="16"/>
  <c r="H450" i="16"/>
  <c r="D453" i="16"/>
  <c r="G455" i="16"/>
  <c r="C458" i="16"/>
  <c r="F460" i="16"/>
  <c r="B463" i="16"/>
  <c r="E465" i="16"/>
  <c r="H467" i="16"/>
  <c r="D470" i="16"/>
  <c r="F472" i="16"/>
  <c r="H474" i="16"/>
  <c r="C477" i="16"/>
  <c r="E479" i="16"/>
  <c r="G481" i="16"/>
  <c r="B484" i="16"/>
  <c r="D486" i="16"/>
  <c r="F488" i="16"/>
  <c r="H490" i="16"/>
  <c r="C493" i="16"/>
  <c r="E495" i="16"/>
  <c r="G497" i="16"/>
  <c r="B500" i="16"/>
  <c r="D502" i="16"/>
  <c r="F504" i="16"/>
  <c r="H506" i="16"/>
  <c r="C509" i="16"/>
  <c r="E511" i="16"/>
  <c r="G513" i="16"/>
  <c r="B516" i="16"/>
  <c r="D518" i="16"/>
  <c r="F520" i="16"/>
  <c r="H522" i="16"/>
  <c r="C525" i="16"/>
  <c r="E527" i="16"/>
  <c r="G529" i="16"/>
  <c r="B532" i="16"/>
  <c r="D534" i="16"/>
  <c r="F536" i="16"/>
  <c r="H538" i="16"/>
  <c r="C541" i="16"/>
  <c r="E543" i="16"/>
  <c r="G545" i="16"/>
  <c r="B548" i="16"/>
  <c r="D550" i="16"/>
  <c r="F552" i="16"/>
  <c r="H554" i="16"/>
  <c r="C557" i="16"/>
  <c r="E559" i="16"/>
  <c r="G561" i="16"/>
  <c r="B564" i="16"/>
  <c r="D566" i="16"/>
  <c r="F568" i="16"/>
  <c r="H570" i="16"/>
  <c r="C573" i="16"/>
  <c r="E575" i="16"/>
  <c r="G577" i="16"/>
  <c r="B580" i="16"/>
  <c r="D582" i="16"/>
  <c r="F584" i="16"/>
  <c r="H586" i="16"/>
  <c r="C589" i="16"/>
  <c r="E591" i="16"/>
  <c r="G593" i="16"/>
  <c r="B596" i="16"/>
  <c r="D598" i="16"/>
  <c r="F600" i="16"/>
  <c r="H602" i="16"/>
  <c r="C605" i="16"/>
  <c r="E607" i="16"/>
  <c r="G609" i="16"/>
  <c r="D185" i="16"/>
  <c r="G222" i="16"/>
  <c r="D243" i="16"/>
  <c r="H258" i="16"/>
  <c r="E274" i="16"/>
  <c r="H291" i="16"/>
  <c r="C307" i="16"/>
  <c r="C316" i="16"/>
  <c r="G322" i="16"/>
  <c r="F330" i="16"/>
  <c r="E338" i="16"/>
  <c r="D344" i="16"/>
  <c r="E350" i="16"/>
  <c r="G355" i="16"/>
  <c r="C362" i="16"/>
  <c r="B367" i="16"/>
  <c r="H371" i="16"/>
  <c r="E376" i="16"/>
  <c r="B381" i="16"/>
  <c r="F385" i="16"/>
  <c r="C390" i="16"/>
  <c r="E394" i="16"/>
  <c r="H397" i="16"/>
  <c r="C401" i="16"/>
  <c r="B404" i="16"/>
  <c r="E407" i="16"/>
  <c r="D410" i="16"/>
  <c r="C413" i="16"/>
  <c r="F416" i="16"/>
  <c r="E419" i="16"/>
  <c r="C422" i="16"/>
  <c r="C425" i="16"/>
  <c r="G427" i="16"/>
  <c r="D430" i="16"/>
  <c r="H432" i="16"/>
  <c r="E435" i="16"/>
  <c r="B438" i="16"/>
  <c r="F440" i="16"/>
  <c r="E443" i="16"/>
  <c r="B446" i="16"/>
  <c r="F448" i="16"/>
  <c r="B451" i="16"/>
  <c r="E453" i="16"/>
  <c r="H455" i="16"/>
  <c r="D458" i="16"/>
  <c r="G460" i="16"/>
  <c r="C463" i="16"/>
  <c r="F465" i="16"/>
  <c r="B468" i="16"/>
  <c r="E470" i="16"/>
  <c r="G472" i="16"/>
  <c r="B475" i="16"/>
  <c r="D477" i="16"/>
  <c r="F479" i="16"/>
  <c r="H481" i="16"/>
  <c r="C484" i="16"/>
  <c r="E486" i="16"/>
  <c r="G488" i="16"/>
  <c r="B491" i="16"/>
  <c r="D493" i="16"/>
  <c r="F495" i="16"/>
  <c r="H497" i="16"/>
  <c r="C500" i="16"/>
  <c r="E502" i="16"/>
  <c r="G504" i="16"/>
  <c r="B507" i="16"/>
  <c r="D509" i="16"/>
  <c r="F511" i="16"/>
  <c r="H513" i="16"/>
  <c r="C516" i="16"/>
  <c r="E518" i="16"/>
  <c r="G520" i="16"/>
  <c r="B523" i="16"/>
  <c r="D525" i="16"/>
  <c r="F527" i="16"/>
  <c r="H529" i="16"/>
  <c r="C532" i="16"/>
  <c r="E534" i="16"/>
  <c r="G536" i="16"/>
  <c r="B539" i="16"/>
  <c r="D541" i="16"/>
  <c r="F543" i="16"/>
  <c r="H545" i="16"/>
  <c r="C548" i="16"/>
  <c r="E550" i="16"/>
  <c r="G552" i="16"/>
  <c r="B555" i="16"/>
  <c r="D557" i="16"/>
  <c r="F559" i="16"/>
  <c r="H561" i="16"/>
  <c r="C564" i="16"/>
  <c r="E566" i="16"/>
  <c r="G568" i="16"/>
  <c r="B571" i="16"/>
  <c r="D573" i="16"/>
  <c r="F575" i="16"/>
  <c r="H577" i="16"/>
  <c r="C580" i="16"/>
  <c r="E582" i="16"/>
  <c r="G584" i="16"/>
  <c r="B587" i="16"/>
  <c r="D589" i="16"/>
  <c r="F591" i="16"/>
  <c r="H593" i="16"/>
  <c r="F185" i="16"/>
  <c r="H222" i="16"/>
  <c r="E243" i="16"/>
  <c r="B259" i="16"/>
  <c r="B277" i="16"/>
  <c r="B292" i="16"/>
  <c r="D307" i="16"/>
  <c r="D316" i="16"/>
  <c r="G324" i="16"/>
  <c r="G330" i="16"/>
  <c r="G338" i="16"/>
  <c r="E344" i="16"/>
  <c r="F350" i="16"/>
  <c r="C357" i="16"/>
  <c r="D362" i="16"/>
  <c r="C367" i="16"/>
  <c r="B372" i="16"/>
  <c r="F376" i="16"/>
  <c r="C381" i="16"/>
  <c r="G385" i="16"/>
  <c r="D390" i="16"/>
  <c r="F394" i="16"/>
  <c r="D398" i="16"/>
  <c r="D401" i="16"/>
  <c r="F404" i="16"/>
  <c r="F407" i="16"/>
  <c r="E410" i="16"/>
  <c r="G413" i="16"/>
  <c r="G416" i="16"/>
  <c r="F419" i="16"/>
  <c r="D422" i="16"/>
  <c r="D425" i="16"/>
  <c r="H427" i="16"/>
  <c r="E430" i="16"/>
  <c r="B433" i="16"/>
  <c r="F435" i="16"/>
  <c r="C438" i="16"/>
  <c r="B441" i="16"/>
  <c r="F443" i="16"/>
  <c r="C446" i="16"/>
  <c r="G448" i="16"/>
  <c r="C451" i="16"/>
  <c r="F453" i="16"/>
  <c r="B456" i="16"/>
  <c r="E458" i="16"/>
  <c r="H460" i="16"/>
  <c r="D463" i="16"/>
  <c r="G465" i="16"/>
  <c r="D468" i="16"/>
  <c r="F470" i="16"/>
  <c r="H472" i="16"/>
  <c r="C475" i="16"/>
  <c r="E477" i="16"/>
  <c r="G479" i="16"/>
  <c r="B482" i="16"/>
  <c r="D484" i="16"/>
  <c r="F486" i="16"/>
  <c r="H488" i="16"/>
  <c r="C491" i="16"/>
  <c r="E493" i="16"/>
  <c r="G495" i="16"/>
  <c r="B498" i="16"/>
  <c r="D500" i="16"/>
  <c r="F502" i="16"/>
  <c r="H504" i="16"/>
  <c r="C507" i="16"/>
  <c r="E509" i="16"/>
  <c r="G511" i="16"/>
  <c r="B514" i="16"/>
  <c r="D516" i="16"/>
  <c r="F518" i="16"/>
  <c r="H520" i="16"/>
  <c r="C523" i="16"/>
  <c r="E525" i="16"/>
  <c r="G527" i="16"/>
  <c r="B530" i="16"/>
  <c r="D532" i="16"/>
  <c r="F534" i="16"/>
  <c r="H536" i="16"/>
  <c r="C539" i="16"/>
  <c r="E541" i="16"/>
  <c r="G543" i="16"/>
  <c r="B546" i="16"/>
  <c r="D548" i="16"/>
  <c r="F550" i="16"/>
  <c r="H552" i="16"/>
  <c r="C555" i="16"/>
  <c r="E557" i="16"/>
  <c r="G559" i="16"/>
  <c r="B562" i="16"/>
  <c r="D564" i="16"/>
  <c r="F566" i="16"/>
  <c r="H568" i="16"/>
  <c r="C571" i="16"/>
  <c r="E573" i="16"/>
  <c r="G575" i="16"/>
  <c r="B578" i="16"/>
  <c r="D580" i="16"/>
  <c r="F582" i="16"/>
  <c r="H584" i="16"/>
  <c r="C587" i="16"/>
  <c r="E589" i="16"/>
  <c r="G591" i="16"/>
  <c r="B191" i="16"/>
  <c r="F226" i="16"/>
  <c r="F243" i="16"/>
  <c r="F261" i="16"/>
  <c r="C277" i="16"/>
  <c r="G292" i="16"/>
  <c r="E307" i="16"/>
  <c r="E316" i="16"/>
  <c r="H324" i="16"/>
  <c r="H330" i="16"/>
  <c r="H338" i="16"/>
  <c r="F344" i="16"/>
  <c r="G350" i="16"/>
  <c r="E357" i="16"/>
  <c r="E362" i="16"/>
  <c r="D367" i="16"/>
  <c r="D373" i="16"/>
  <c r="H377" i="16"/>
  <c r="E382" i="16"/>
  <c r="B387" i="16"/>
  <c r="F391" i="16"/>
  <c r="G394" i="16"/>
  <c r="E398" i="16"/>
  <c r="E401" i="16"/>
  <c r="G404" i="16"/>
  <c r="G407" i="16"/>
  <c r="F410" i="16"/>
  <c r="H413" i="16"/>
  <c r="H416" i="16"/>
  <c r="G419" i="16"/>
  <c r="G422" i="16"/>
  <c r="E425" i="16"/>
  <c r="B428" i="16"/>
  <c r="F430" i="16"/>
  <c r="C433" i="16"/>
  <c r="G435" i="16"/>
  <c r="D438" i="16"/>
  <c r="C441" i="16"/>
  <c r="G443" i="16"/>
  <c r="D446" i="16"/>
  <c r="H448" i="16"/>
  <c r="D451" i="16"/>
  <c r="G453" i="16"/>
  <c r="C456" i="16"/>
  <c r="F458" i="16"/>
  <c r="B461" i="16"/>
  <c r="E463" i="16"/>
  <c r="B466" i="16"/>
  <c r="E468" i="16"/>
  <c r="G470" i="16"/>
  <c r="B473" i="16"/>
  <c r="D475" i="16"/>
  <c r="F477" i="16"/>
  <c r="H479" i="16"/>
  <c r="C482" i="16"/>
  <c r="E484" i="16"/>
  <c r="G486" i="16"/>
  <c r="B489" i="16"/>
  <c r="D491" i="16"/>
  <c r="F493" i="16"/>
  <c r="H495" i="16"/>
  <c r="C498" i="16"/>
  <c r="E500" i="16"/>
  <c r="G502" i="16"/>
  <c r="B505" i="16"/>
  <c r="D507" i="16"/>
  <c r="F509" i="16"/>
  <c r="H511" i="16"/>
  <c r="C514" i="16"/>
  <c r="E516" i="16"/>
  <c r="G518" i="16"/>
  <c r="B521" i="16"/>
  <c r="D523" i="16"/>
  <c r="F525" i="16"/>
  <c r="H527" i="16"/>
  <c r="C530" i="16"/>
  <c r="E532" i="16"/>
  <c r="G534" i="16"/>
  <c r="B537" i="16"/>
  <c r="D539" i="16"/>
  <c r="F541" i="16"/>
  <c r="H543" i="16"/>
  <c r="C546" i="16"/>
  <c r="E548" i="16"/>
  <c r="C191" i="16"/>
  <c r="G226" i="16"/>
  <c r="C246" i="16"/>
  <c r="G261" i="16"/>
  <c r="D277" i="16"/>
  <c r="D295" i="16"/>
  <c r="F307" i="16"/>
  <c r="F316" i="16"/>
  <c r="B325" i="16"/>
  <c r="H332" i="16"/>
  <c r="B339" i="16"/>
  <c r="C345" i="16"/>
  <c r="D352" i="16"/>
  <c r="F357" i="16"/>
  <c r="F362" i="16"/>
  <c r="E367" i="16"/>
  <c r="E373" i="16"/>
  <c r="B378" i="16"/>
  <c r="F382" i="16"/>
  <c r="C387" i="16"/>
  <c r="G391" i="16"/>
  <c r="H394" i="16"/>
  <c r="F398" i="16"/>
  <c r="F401" i="16"/>
  <c r="B405" i="16"/>
  <c r="H407" i="16"/>
  <c r="G410" i="16"/>
  <c r="C414" i="16"/>
  <c r="B417" i="16"/>
  <c r="H419" i="16"/>
  <c r="H422" i="16"/>
  <c r="F425" i="16"/>
  <c r="C428" i="16"/>
  <c r="G430" i="16"/>
  <c r="D433" i="16"/>
  <c r="H435" i="16"/>
  <c r="G438" i="16"/>
  <c r="D441" i="16"/>
  <c r="H443" i="16"/>
  <c r="E446" i="16"/>
  <c r="B449" i="16"/>
  <c r="E451" i="16"/>
  <c r="H453" i="16"/>
  <c r="D456" i="16"/>
  <c r="G458" i="16"/>
  <c r="C461" i="16"/>
  <c r="G463" i="16"/>
  <c r="C466" i="16"/>
  <c r="F468" i="16"/>
  <c r="H470" i="16"/>
  <c r="C473" i="16"/>
  <c r="E475" i="16"/>
  <c r="G477" i="16"/>
  <c r="B480" i="16"/>
  <c r="D482" i="16"/>
  <c r="F484" i="16"/>
  <c r="H486" i="16"/>
  <c r="C489" i="16"/>
  <c r="E491" i="16"/>
  <c r="G493" i="16"/>
  <c r="B496" i="16"/>
  <c r="D498" i="16"/>
  <c r="F500" i="16"/>
  <c r="H502" i="16"/>
  <c r="C505" i="16"/>
  <c r="E507" i="16"/>
  <c r="G509" i="16"/>
  <c r="B512" i="16"/>
  <c r="D514" i="16"/>
  <c r="F516" i="16"/>
  <c r="H518" i="16"/>
  <c r="C521" i="16"/>
  <c r="E523" i="16"/>
  <c r="G525" i="16"/>
  <c r="B528" i="16"/>
  <c r="D530" i="16"/>
  <c r="F532" i="16"/>
  <c r="H534" i="16"/>
  <c r="C537" i="16"/>
  <c r="E539" i="16"/>
  <c r="G541" i="16"/>
  <c r="B544" i="16"/>
  <c r="D546" i="16"/>
  <c r="F548" i="16"/>
  <c r="H550" i="16"/>
  <c r="C553" i="16"/>
  <c r="E555" i="16"/>
  <c r="G557" i="16"/>
  <c r="B560" i="16"/>
  <c r="D562" i="16"/>
  <c r="F564" i="16"/>
  <c r="H566" i="16"/>
  <c r="C569" i="16"/>
  <c r="E571" i="16"/>
  <c r="G573" i="16"/>
  <c r="B576" i="16"/>
  <c r="D578" i="16"/>
  <c r="F580" i="16"/>
  <c r="H582" i="16"/>
  <c r="C585" i="16"/>
  <c r="C63" i="16"/>
  <c r="C196" i="16"/>
  <c r="H229" i="16"/>
  <c r="D246" i="16"/>
  <c r="H261" i="16"/>
  <c r="H279" i="16"/>
  <c r="E295" i="16"/>
  <c r="G309" i="16"/>
  <c r="G316" i="16"/>
  <c r="C325" i="16"/>
  <c r="B333" i="16"/>
  <c r="C339" i="16"/>
  <c r="D345" i="16"/>
  <c r="F352" i="16"/>
  <c r="G357" i="16"/>
  <c r="G362" i="16"/>
  <c r="G368" i="16"/>
  <c r="F373" i="16"/>
  <c r="C378" i="16"/>
  <c r="G382" i="16"/>
  <c r="D387" i="16"/>
  <c r="H391" i="16"/>
  <c r="E395" i="16"/>
  <c r="G398" i="16"/>
  <c r="G401" i="16"/>
  <c r="C405" i="16"/>
  <c r="B408" i="16"/>
  <c r="H410" i="16"/>
  <c r="D414" i="16"/>
  <c r="C417" i="16"/>
  <c r="B420" i="16"/>
  <c r="B423" i="16"/>
  <c r="G425" i="16"/>
  <c r="D428" i="16"/>
  <c r="H430" i="16"/>
  <c r="E433" i="16"/>
  <c r="B436" i="16"/>
  <c r="H438" i="16"/>
  <c r="E441" i="16"/>
  <c r="B444" i="16"/>
  <c r="F446" i="16"/>
  <c r="C449" i="16"/>
  <c r="F451" i="16"/>
  <c r="B454" i="16"/>
  <c r="E456" i="16"/>
  <c r="H458" i="16"/>
  <c r="E461" i="16"/>
  <c r="H463" i="16"/>
  <c r="D466" i="16"/>
  <c r="G468" i="16"/>
  <c r="B471" i="16"/>
  <c r="D473" i="16"/>
  <c r="F475" i="16"/>
  <c r="H477" i="16"/>
  <c r="C480" i="16"/>
  <c r="E482" i="16"/>
  <c r="G484" i="16"/>
  <c r="B487" i="16"/>
  <c r="D489" i="16"/>
  <c r="F491" i="16"/>
  <c r="H493" i="16"/>
  <c r="C496" i="16"/>
  <c r="E498" i="16"/>
  <c r="G500" i="16"/>
  <c r="B503" i="16"/>
  <c r="D505" i="16"/>
  <c r="F507" i="16"/>
  <c r="H509" i="16"/>
  <c r="C512" i="16"/>
  <c r="E514" i="16"/>
  <c r="G516" i="16"/>
  <c r="B519" i="16"/>
  <c r="D521" i="16"/>
  <c r="F523" i="16"/>
  <c r="H525" i="16"/>
  <c r="C528" i="16"/>
  <c r="E530" i="16"/>
  <c r="G532" i="16"/>
  <c r="B535" i="16"/>
  <c r="D537" i="16"/>
  <c r="F539" i="16"/>
  <c r="H541" i="16"/>
  <c r="C544" i="16"/>
  <c r="E546" i="16"/>
  <c r="G548" i="16"/>
  <c r="B551" i="16"/>
  <c r="F63" i="16"/>
  <c r="D196" i="16"/>
  <c r="B230" i="16"/>
  <c r="B247" i="16"/>
  <c r="E264" i="16"/>
  <c r="B280" i="16"/>
  <c r="F295" i="16"/>
  <c r="B310" i="16"/>
  <c r="H318" i="16"/>
  <c r="D325" i="16"/>
  <c r="C333" i="16"/>
  <c r="D339" i="16"/>
  <c r="F346" i="16"/>
  <c r="G352" i="16"/>
  <c r="H357" i="16"/>
  <c r="H362" i="16"/>
  <c r="B369" i="16"/>
  <c r="G373" i="16"/>
  <c r="D378" i="16"/>
  <c r="H382" i="16"/>
  <c r="E387" i="16"/>
  <c r="B392" i="16"/>
  <c r="F395" i="16"/>
  <c r="H398" i="16"/>
  <c r="D402" i="16"/>
  <c r="D405" i="16"/>
  <c r="C408" i="16"/>
  <c r="E411" i="16"/>
  <c r="E414" i="16"/>
  <c r="D417" i="16"/>
  <c r="E420" i="16"/>
  <c r="D423" i="16"/>
  <c r="H425" i="16"/>
  <c r="E428" i="16"/>
  <c r="B431" i="16"/>
  <c r="F433" i="16"/>
  <c r="E436" i="16"/>
  <c r="B439" i="16"/>
  <c r="F441" i="16"/>
  <c r="C444" i="16"/>
  <c r="G446" i="16"/>
  <c r="D449" i="16"/>
  <c r="G451" i="16"/>
  <c r="C454" i="16"/>
  <c r="F456" i="16"/>
  <c r="C459" i="16"/>
  <c r="F461" i="16"/>
  <c r="B464" i="16"/>
  <c r="E466" i="16"/>
  <c r="H468" i="16"/>
  <c r="C471" i="16"/>
  <c r="E473" i="16"/>
  <c r="G475" i="16"/>
  <c r="B478" i="16"/>
  <c r="D480" i="16"/>
  <c r="F482" i="16"/>
  <c r="H484" i="16"/>
  <c r="C487" i="16"/>
  <c r="F91" i="16"/>
  <c r="B201" i="16"/>
  <c r="C230" i="16"/>
  <c r="F249" i="16"/>
  <c r="F264" i="16"/>
  <c r="C280" i="16"/>
  <c r="C298" i="16"/>
  <c r="C310" i="16"/>
  <c r="B319" i="16"/>
  <c r="E325" i="16"/>
  <c r="G333" i="16"/>
  <c r="E339" i="16"/>
  <c r="H346" i="16"/>
  <c r="H352" i="16"/>
  <c r="B358" i="16"/>
  <c r="C364" i="16"/>
  <c r="C369" i="16"/>
  <c r="H373" i="16"/>
  <c r="E378" i="16"/>
  <c r="B383" i="16"/>
  <c r="F387" i="16"/>
  <c r="C392" i="16"/>
  <c r="B396" i="16"/>
  <c r="B399" i="16"/>
  <c r="E402" i="16"/>
  <c r="E405" i="16"/>
  <c r="D408" i="16"/>
  <c r="F411" i="16"/>
  <c r="F414" i="16"/>
  <c r="E417" i="16"/>
  <c r="F420" i="16"/>
  <c r="E423" i="16"/>
  <c r="B426" i="16"/>
  <c r="F428" i="16"/>
  <c r="C431" i="16"/>
  <c r="G433" i="16"/>
  <c r="F436" i="16"/>
  <c r="C439" i="16"/>
  <c r="G441" i="16"/>
  <c r="D444" i="16"/>
  <c r="H446" i="16"/>
  <c r="E449" i="16"/>
  <c r="H451" i="16"/>
  <c r="D454" i="16"/>
  <c r="H456" i="16"/>
  <c r="D459" i="16"/>
  <c r="G461" i="16"/>
  <c r="C464" i="16"/>
  <c r="F466" i="16"/>
  <c r="B469" i="16"/>
  <c r="D471" i="16"/>
  <c r="F473" i="16"/>
  <c r="H475" i="16"/>
  <c r="C478" i="16"/>
  <c r="E480" i="16"/>
  <c r="G482" i="16"/>
  <c r="B485" i="16"/>
  <c r="D487" i="16"/>
  <c r="F489" i="16"/>
  <c r="H491" i="16"/>
  <c r="C494" i="16"/>
  <c r="E496" i="16"/>
  <c r="G498" i="16"/>
  <c r="B501" i="16"/>
  <c r="D503" i="16"/>
  <c r="F505" i="16"/>
  <c r="H507" i="16"/>
  <c r="C510" i="16"/>
  <c r="E512" i="16"/>
  <c r="G514" i="16"/>
  <c r="B517" i="16"/>
  <c r="G91" i="16"/>
  <c r="D201" i="16"/>
  <c r="G233" i="16"/>
  <c r="G249" i="16"/>
  <c r="D265" i="16"/>
  <c r="G282" i="16"/>
  <c r="D298" i="16"/>
  <c r="D310" i="16"/>
  <c r="C319" i="16"/>
  <c r="E327" i="16"/>
  <c r="H333" i="16"/>
  <c r="C341" i="16"/>
  <c r="E347" i="16"/>
  <c r="B353" i="16"/>
  <c r="C358" i="16"/>
  <c r="E364" i="16"/>
  <c r="D369" i="16"/>
  <c r="B374" i="16"/>
  <c r="F378" i="16"/>
  <c r="C383" i="16"/>
  <c r="G387" i="16"/>
  <c r="D392" i="16"/>
  <c r="C396" i="16"/>
  <c r="C399" i="16"/>
  <c r="G402" i="16"/>
  <c r="F405" i="16"/>
  <c r="E408" i="16"/>
  <c r="H411" i="16"/>
  <c r="G414" i="16"/>
  <c r="F417" i="16"/>
  <c r="G420" i="16"/>
  <c r="F423" i="16"/>
  <c r="C426" i="16"/>
  <c r="G428" i="16"/>
  <c r="D431" i="16"/>
  <c r="C434" i="16"/>
  <c r="G436" i="16"/>
  <c r="D439" i="16"/>
  <c r="H441" i="16"/>
  <c r="E444" i="16"/>
  <c r="B447" i="16"/>
  <c r="F449" i="16"/>
  <c r="B452" i="16"/>
  <c r="F454" i="16"/>
  <c r="B457" i="16"/>
  <c r="E459" i="16"/>
  <c r="H461" i="16"/>
  <c r="D464" i="16"/>
  <c r="G466" i="16"/>
  <c r="C469" i="16"/>
  <c r="E471" i="16"/>
  <c r="G473" i="16"/>
  <c r="B476" i="16"/>
  <c r="D478" i="16"/>
  <c r="F480" i="16"/>
  <c r="H482" i="16"/>
  <c r="C485" i="16"/>
  <c r="E487" i="16"/>
  <c r="G489" i="16"/>
  <c r="B492" i="16"/>
  <c r="D494" i="16"/>
  <c r="F496" i="16"/>
  <c r="H498" i="16"/>
  <c r="C501" i="16"/>
  <c r="E503" i="16"/>
  <c r="G505" i="16"/>
  <c r="B123" i="16"/>
  <c r="H205" i="16"/>
  <c r="H233" i="16"/>
  <c r="H249" i="16"/>
  <c r="H267" i="16"/>
  <c r="H282" i="16"/>
  <c r="E298" i="16"/>
  <c r="B311" i="16"/>
  <c r="D319" i="16"/>
  <c r="F327" i="16"/>
  <c r="B334" i="16"/>
  <c r="E341" i="16"/>
  <c r="F347" i="16"/>
  <c r="C353" i="16"/>
  <c r="F359" i="16"/>
  <c r="F364" i="16"/>
  <c r="E369" i="16"/>
  <c r="C374" i="16"/>
  <c r="G378" i="16"/>
  <c r="D383" i="16"/>
  <c r="H387" i="16"/>
  <c r="E392" i="16"/>
  <c r="D396" i="16"/>
  <c r="D399" i="16"/>
  <c r="H402" i="16"/>
  <c r="G405" i="16"/>
  <c r="F408" i="16"/>
  <c r="B412" i="16"/>
  <c r="H414" i="16"/>
  <c r="G417" i="16"/>
  <c r="B421" i="16"/>
  <c r="G423" i="16"/>
  <c r="D426" i="16"/>
  <c r="H428" i="16"/>
  <c r="E431" i="16"/>
  <c r="D434" i="16"/>
  <c r="H436" i="16"/>
  <c r="E439" i="16"/>
  <c r="B442" i="16"/>
  <c r="F444" i="16"/>
  <c r="C123" i="16"/>
  <c r="B206" i="16"/>
  <c r="B234" i="16"/>
  <c r="E252" i="16"/>
  <c r="B268" i="16"/>
  <c r="F283" i="16"/>
  <c r="B301" i="16"/>
  <c r="F312" i="16"/>
  <c r="E319" i="16"/>
  <c r="G327" i="16"/>
  <c r="D335" i="16"/>
  <c r="F341" i="16"/>
  <c r="G347" i="16"/>
  <c r="D353" i="16"/>
  <c r="H359" i="16"/>
  <c r="G364" i="16"/>
  <c r="F369" i="16"/>
  <c r="D374" i="16"/>
  <c r="H378" i="16"/>
  <c r="E383" i="16"/>
  <c r="B388" i="16"/>
  <c r="F392" i="16"/>
  <c r="E396" i="16"/>
  <c r="E399" i="16"/>
  <c r="B403" i="16"/>
  <c r="H405" i="16"/>
  <c r="C409" i="16"/>
  <c r="C412" i="16"/>
  <c r="B415" i="16"/>
  <c r="D418" i="16"/>
  <c r="C421" i="16"/>
  <c r="H423" i="16"/>
  <c r="E426" i="16"/>
  <c r="B429" i="16"/>
  <c r="H431" i="16"/>
  <c r="E434" i="16"/>
  <c r="B437" i="16"/>
  <c r="F439" i="16"/>
  <c r="C442" i="16"/>
  <c r="G444" i="16"/>
  <c r="D447" i="16"/>
  <c r="B450" i="16"/>
  <c r="E452" i="16"/>
  <c r="B146" i="16"/>
  <c r="G210" i="16"/>
  <c r="G236" i="16"/>
  <c r="F252" i="16"/>
  <c r="C268" i="16"/>
  <c r="C286" i="16"/>
  <c r="C301" i="16"/>
  <c r="D313" i="16"/>
  <c r="B320" i="16"/>
  <c r="H327" i="16"/>
  <c r="B336" i="16"/>
  <c r="G341" i="16"/>
  <c r="H347" i="16"/>
  <c r="G354" i="16"/>
  <c r="B360" i="16"/>
  <c r="H364" i="16"/>
  <c r="G369" i="16"/>
  <c r="F375" i="16"/>
  <c r="C380" i="16"/>
  <c r="G384" i="16"/>
  <c r="D389" i="16"/>
  <c r="D393" i="16"/>
  <c r="F396" i="16"/>
  <c r="B400" i="16"/>
  <c r="C403" i="16"/>
  <c r="B406" i="16"/>
  <c r="D409" i="16"/>
  <c r="D412" i="16"/>
  <c r="C415" i="16"/>
  <c r="E418" i="16"/>
  <c r="D421" i="16"/>
  <c r="B424" i="16"/>
  <c r="F426" i="16"/>
  <c r="C429" i="16"/>
  <c r="B432" i="16"/>
  <c r="F434" i="16"/>
  <c r="C437" i="16"/>
  <c r="G439" i="16"/>
  <c r="D442" i="16"/>
  <c r="H444" i="16"/>
  <c r="E447" i="16"/>
  <c r="C450" i="16"/>
  <c r="F452" i="16"/>
  <c r="B164" i="16"/>
  <c r="H214" i="16"/>
  <c r="E240" i="16"/>
  <c r="E255" i="16"/>
  <c r="B271" i="16"/>
  <c r="B289" i="16"/>
  <c r="E304" i="16"/>
  <c r="G313" i="16"/>
  <c r="D322" i="16"/>
  <c r="C330" i="16"/>
  <c r="E336" i="16"/>
  <c r="C342" i="16"/>
  <c r="B350" i="16"/>
  <c r="D355" i="16"/>
  <c r="E360" i="16"/>
  <c r="E366" i="16"/>
  <c r="E371" i="16"/>
  <c r="B376" i="16"/>
  <c r="F380" i="16"/>
  <c r="C385" i="16"/>
  <c r="G389" i="16"/>
  <c r="B394" i="16"/>
  <c r="B397" i="16"/>
  <c r="G400" i="16"/>
  <c r="F403" i="16"/>
  <c r="H406" i="16"/>
  <c r="H409" i="16"/>
  <c r="G412" i="16"/>
  <c r="B416" i="16"/>
  <c r="B419" i="16"/>
  <c r="G421" i="16"/>
  <c r="E424" i="16"/>
  <c r="D427" i="16"/>
  <c r="H429" i="16"/>
  <c r="G252" i="16"/>
  <c r="H341" i="16"/>
  <c r="H384" i="16"/>
  <c r="E412" i="16"/>
  <c r="E432" i="16"/>
  <c r="C447" i="16"/>
  <c r="D455" i="16"/>
  <c r="D462" i="16"/>
  <c r="D469" i="16"/>
  <c r="E474" i="16"/>
  <c r="B481" i="16"/>
  <c r="F487" i="16"/>
  <c r="E492" i="16"/>
  <c r="D497" i="16"/>
  <c r="C503" i="16"/>
  <c r="C508" i="16"/>
  <c r="G512" i="16"/>
  <c r="D517" i="16"/>
  <c r="F521" i="16"/>
  <c r="H524" i="16"/>
  <c r="C529" i="16"/>
  <c r="E533" i="16"/>
  <c r="G537" i="16"/>
  <c r="B542" i="16"/>
  <c r="D545" i="16"/>
  <c r="F549" i="16"/>
  <c r="E553" i="16"/>
  <c r="E556" i="16"/>
  <c r="C560" i="16"/>
  <c r="C563" i="16"/>
  <c r="G566" i="16"/>
  <c r="H569" i="16"/>
  <c r="H572" i="16"/>
  <c r="F576" i="16"/>
  <c r="F579" i="16"/>
  <c r="D583" i="16"/>
  <c r="D586" i="16"/>
  <c r="G589" i="16"/>
  <c r="F592" i="16"/>
  <c r="D595" i="16"/>
  <c r="H597" i="16"/>
  <c r="G600" i="16"/>
  <c r="D603" i="16"/>
  <c r="H605" i="16"/>
  <c r="E608" i="16"/>
  <c r="B611" i="16"/>
  <c r="D613" i="16"/>
  <c r="F615" i="16"/>
  <c r="H617" i="16"/>
  <c r="C620" i="16"/>
  <c r="E622" i="16"/>
  <c r="G624" i="16"/>
  <c r="B627" i="16"/>
  <c r="D629" i="16"/>
  <c r="F631" i="16"/>
  <c r="H633" i="16"/>
  <c r="C636" i="16"/>
  <c r="E638" i="16"/>
  <c r="G640" i="16"/>
  <c r="B643" i="16"/>
  <c r="D645" i="16"/>
  <c r="F647" i="16"/>
  <c r="H649" i="16"/>
  <c r="C652" i="16"/>
  <c r="E654" i="16"/>
  <c r="G656" i="16"/>
  <c r="B659" i="16"/>
  <c r="D661" i="16"/>
  <c r="F663" i="16"/>
  <c r="H665" i="16"/>
  <c r="C668" i="16"/>
  <c r="E670" i="16"/>
  <c r="G672" i="16"/>
  <c r="B675" i="16"/>
  <c r="D677" i="16"/>
  <c r="F679" i="16"/>
  <c r="H681" i="16"/>
  <c r="C684" i="16"/>
  <c r="E686" i="16"/>
  <c r="G688" i="16"/>
  <c r="B691" i="16"/>
  <c r="D693" i="16"/>
  <c r="F695" i="16"/>
  <c r="H697" i="16"/>
  <c r="C700" i="16"/>
  <c r="E702" i="16"/>
  <c r="G704" i="16"/>
  <c r="B707" i="16"/>
  <c r="D709" i="16"/>
  <c r="F711" i="16"/>
  <c r="H713" i="16"/>
  <c r="C716" i="16"/>
  <c r="E718" i="16"/>
  <c r="G720" i="16"/>
  <c r="B723" i="16"/>
  <c r="D725" i="16"/>
  <c r="F727" i="16"/>
  <c r="H729" i="16"/>
  <c r="C732" i="16"/>
  <c r="E734" i="16"/>
  <c r="G736" i="16"/>
  <c r="B739" i="16"/>
  <c r="D741" i="16"/>
  <c r="F743" i="16"/>
  <c r="H745" i="16"/>
  <c r="C748" i="16"/>
  <c r="E750" i="16"/>
  <c r="G752" i="16"/>
  <c r="B755" i="16"/>
  <c r="D757" i="16"/>
  <c r="F759" i="16"/>
  <c r="H761" i="16"/>
  <c r="C764" i="16"/>
  <c r="E766" i="16"/>
  <c r="G768" i="16"/>
  <c r="B771" i="16"/>
  <c r="D773" i="16"/>
  <c r="F775" i="16"/>
  <c r="H777" i="16"/>
  <c r="C780" i="16"/>
  <c r="E782" i="16"/>
  <c r="G784" i="16"/>
  <c r="B787" i="16"/>
  <c r="D789" i="16"/>
  <c r="F791" i="16"/>
  <c r="H793" i="16"/>
  <c r="C796" i="16"/>
  <c r="E798" i="16"/>
  <c r="G800" i="16"/>
  <c r="B803" i="16"/>
  <c r="D255" i="16"/>
  <c r="B342" i="16"/>
  <c r="B385" i="16"/>
  <c r="F412" i="16"/>
  <c r="G434" i="16"/>
  <c r="H447" i="16"/>
  <c r="E455" i="16"/>
  <c r="E462" i="16"/>
  <c r="E469" i="16"/>
  <c r="F474" i="16"/>
  <c r="C481" i="16"/>
  <c r="G487" i="16"/>
  <c r="F492" i="16"/>
  <c r="E497" i="16"/>
  <c r="F503" i="16"/>
  <c r="D508" i="16"/>
  <c r="H512" i="16"/>
  <c r="E517" i="16"/>
  <c r="G521" i="16"/>
  <c r="B526" i="16"/>
  <c r="D529" i="16"/>
  <c r="F533" i="16"/>
  <c r="H537" i="16"/>
  <c r="C542" i="16"/>
  <c r="E545" i="16"/>
  <c r="G549" i="16"/>
  <c r="F553" i="16"/>
  <c r="F556" i="16"/>
  <c r="D560" i="16"/>
  <c r="D563" i="16"/>
  <c r="B567" i="16"/>
  <c r="B570" i="16"/>
  <c r="F573" i="16"/>
  <c r="G576" i="16"/>
  <c r="G579" i="16"/>
  <c r="E583" i="16"/>
  <c r="E586" i="16"/>
  <c r="H589" i="16"/>
  <c r="G592" i="16"/>
  <c r="E595" i="16"/>
  <c r="B598" i="16"/>
  <c r="H600" i="16"/>
  <c r="E603" i="16"/>
  <c r="B606" i="16"/>
  <c r="F608" i="16"/>
  <c r="C611" i="16"/>
  <c r="E613" i="16"/>
  <c r="G615" i="16"/>
  <c r="B618" i="16"/>
  <c r="D620" i="16"/>
  <c r="F622" i="16"/>
  <c r="H624" i="16"/>
  <c r="C627" i="16"/>
  <c r="E629" i="16"/>
  <c r="G631" i="16"/>
  <c r="B634" i="16"/>
  <c r="D636" i="16"/>
  <c r="F638" i="16"/>
  <c r="H640" i="16"/>
  <c r="C643" i="16"/>
  <c r="E645" i="16"/>
  <c r="G647" i="16"/>
  <c r="B650" i="16"/>
  <c r="D652" i="16"/>
  <c r="F654" i="16"/>
  <c r="H656" i="16"/>
  <c r="C659" i="16"/>
  <c r="E661" i="16"/>
  <c r="G663" i="16"/>
  <c r="B666" i="16"/>
  <c r="D668" i="16"/>
  <c r="F670" i="16"/>
  <c r="H672" i="16"/>
  <c r="C675" i="16"/>
  <c r="E677" i="16"/>
  <c r="G679" i="16"/>
  <c r="B682" i="16"/>
  <c r="D684" i="16"/>
  <c r="F686" i="16"/>
  <c r="H688" i="16"/>
  <c r="C691" i="16"/>
  <c r="E693" i="16"/>
  <c r="G695" i="16"/>
  <c r="B698" i="16"/>
  <c r="D700" i="16"/>
  <c r="F702" i="16"/>
  <c r="H704" i="16"/>
  <c r="C707" i="16"/>
  <c r="E709" i="16"/>
  <c r="G711" i="16"/>
  <c r="B714" i="16"/>
  <c r="D716" i="16"/>
  <c r="F718" i="16"/>
  <c r="H720" i="16"/>
  <c r="C723" i="16"/>
  <c r="E725" i="16"/>
  <c r="G727" i="16"/>
  <c r="B730" i="16"/>
  <c r="D732" i="16"/>
  <c r="F734" i="16"/>
  <c r="H736" i="16"/>
  <c r="C739" i="16"/>
  <c r="E741" i="16"/>
  <c r="G743" i="16"/>
  <c r="B746" i="16"/>
  <c r="D748" i="16"/>
  <c r="F750" i="16"/>
  <c r="H752" i="16"/>
  <c r="C755" i="16"/>
  <c r="E757" i="16"/>
  <c r="G759" i="16"/>
  <c r="B762" i="16"/>
  <c r="D764" i="16"/>
  <c r="F766" i="16"/>
  <c r="H768" i="16"/>
  <c r="C771" i="16"/>
  <c r="E773" i="16"/>
  <c r="G775" i="16"/>
  <c r="B778" i="16"/>
  <c r="D780" i="16"/>
  <c r="F782" i="16"/>
  <c r="H784" i="16"/>
  <c r="C787" i="16"/>
  <c r="E789" i="16"/>
  <c r="G791" i="16"/>
  <c r="B794" i="16"/>
  <c r="D796" i="16"/>
  <c r="F798" i="16"/>
  <c r="H800" i="16"/>
  <c r="C803" i="16"/>
  <c r="G270" i="16"/>
  <c r="B348" i="16"/>
  <c r="E389" i="16"/>
  <c r="D415" i="16"/>
  <c r="H434" i="16"/>
  <c r="B448" i="16"/>
  <c r="C457" i="16"/>
  <c r="F462" i="16"/>
  <c r="F469" i="16"/>
  <c r="C476" i="16"/>
  <c r="D481" i="16"/>
  <c r="H487" i="16"/>
  <c r="G492" i="16"/>
  <c r="F498" i="16"/>
  <c r="G503" i="16"/>
  <c r="E508" i="16"/>
  <c r="B513" i="16"/>
  <c r="F517" i="16"/>
  <c r="H521" i="16"/>
  <c r="C526" i="16"/>
  <c r="E529" i="16"/>
  <c r="G533" i="16"/>
  <c r="B538" i="16"/>
  <c r="D542" i="16"/>
  <c r="F546" i="16"/>
  <c r="H549" i="16"/>
  <c r="G553" i="16"/>
  <c r="G556" i="16"/>
  <c r="E560" i="16"/>
  <c r="E563" i="16"/>
  <c r="C567" i="16"/>
  <c r="C570" i="16"/>
  <c r="H573" i="16"/>
  <c r="H576" i="16"/>
  <c r="E580" i="16"/>
  <c r="F583" i="16"/>
  <c r="F586" i="16"/>
  <c r="B590" i="16"/>
  <c r="H592" i="16"/>
  <c r="F595" i="16"/>
  <c r="E598" i="16"/>
  <c r="B601" i="16"/>
  <c r="F603" i="16"/>
  <c r="C606" i="16"/>
  <c r="G608" i="16"/>
  <c r="D611" i="16"/>
  <c r="F613" i="16"/>
  <c r="H615" i="16"/>
  <c r="C618" i="16"/>
  <c r="E620" i="16"/>
  <c r="G622" i="16"/>
  <c r="B625" i="16"/>
  <c r="D627" i="16"/>
  <c r="F629" i="16"/>
  <c r="H631" i="16"/>
  <c r="C634" i="16"/>
  <c r="E636" i="16"/>
  <c r="G638" i="16"/>
  <c r="B641" i="16"/>
  <c r="D643" i="16"/>
  <c r="F645" i="16"/>
  <c r="H647" i="16"/>
  <c r="C650" i="16"/>
  <c r="E652" i="16"/>
  <c r="G654" i="16"/>
  <c r="B657" i="16"/>
  <c r="D659" i="16"/>
  <c r="F661" i="16"/>
  <c r="H663" i="16"/>
  <c r="C666" i="16"/>
  <c r="E668" i="16"/>
  <c r="G670" i="16"/>
  <c r="B673" i="16"/>
  <c r="D675" i="16"/>
  <c r="F677" i="16"/>
  <c r="H679" i="16"/>
  <c r="C682" i="16"/>
  <c r="E684" i="16"/>
  <c r="G686" i="16"/>
  <c r="B689" i="16"/>
  <c r="D691" i="16"/>
  <c r="F693" i="16"/>
  <c r="H695" i="16"/>
  <c r="C698" i="16"/>
  <c r="E700" i="16"/>
  <c r="G702" i="16"/>
  <c r="B705" i="16"/>
  <c r="D707" i="16"/>
  <c r="F709" i="16"/>
  <c r="H711" i="16"/>
  <c r="C714" i="16"/>
  <c r="E716" i="16"/>
  <c r="G718" i="16"/>
  <c r="B721" i="16"/>
  <c r="D723" i="16"/>
  <c r="F725" i="16"/>
  <c r="H727" i="16"/>
  <c r="C730" i="16"/>
  <c r="E732" i="16"/>
  <c r="G734" i="16"/>
  <c r="B737" i="16"/>
  <c r="D739" i="16"/>
  <c r="F741" i="16"/>
  <c r="H743" i="16"/>
  <c r="C746" i="16"/>
  <c r="E748" i="16"/>
  <c r="G750" i="16"/>
  <c r="B753" i="16"/>
  <c r="D755" i="16"/>
  <c r="F757" i="16"/>
  <c r="H759" i="16"/>
  <c r="C762" i="16"/>
  <c r="E764" i="16"/>
  <c r="G766" i="16"/>
  <c r="B769" i="16"/>
  <c r="D771" i="16"/>
  <c r="F773" i="16"/>
  <c r="H775" i="16"/>
  <c r="C778" i="16"/>
  <c r="E780" i="16"/>
  <c r="G782" i="16"/>
  <c r="B785" i="16"/>
  <c r="D787" i="16"/>
  <c r="F789" i="16"/>
  <c r="H791" i="16"/>
  <c r="C794" i="16"/>
  <c r="H270" i="16"/>
  <c r="G349" i="16"/>
  <c r="F389" i="16"/>
  <c r="E415" i="16"/>
  <c r="B435" i="16"/>
  <c r="C448" i="16"/>
  <c r="D457" i="16"/>
  <c r="G462" i="16"/>
  <c r="G469" i="16"/>
  <c r="D476" i="16"/>
  <c r="E481" i="16"/>
  <c r="B488" i="16"/>
  <c r="H492" i="16"/>
  <c r="B499" i="16"/>
  <c r="H503" i="16"/>
  <c r="F508" i="16"/>
  <c r="C513" i="16"/>
  <c r="G517" i="16"/>
  <c r="B522" i="16"/>
  <c r="D526" i="16"/>
  <c r="F530" i="16"/>
  <c r="H533" i="16"/>
  <c r="C538" i="16"/>
  <c r="E542" i="16"/>
  <c r="G546" i="16"/>
  <c r="B550" i="16"/>
  <c r="H553" i="16"/>
  <c r="H556" i="16"/>
  <c r="F560" i="16"/>
  <c r="F563" i="16"/>
  <c r="D567" i="16"/>
  <c r="D570" i="16"/>
  <c r="B574" i="16"/>
  <c r="B577" i="16"/>
  <c r="G580" i="16"/>
  <c r="G583" i="16"/>
  <c r="D587" i="16"/>
  <c r="C590" i="16"/>
  <c r="B593" i="16"/>
  <c r="G595" i="16"/>
  <c r="F598" i="16"/>
  <c r="C601" i="16"/>
  <c r="G603" i="16"/>
  <c r="D606" i="16"/>
  <c r="H608" i="16"/>
  <c r="E611" i="16"/>
  <c r="G613" i="16"/>
  <c r="B616" i="16"/>
  <c r="D618" i="16"/>
  <c r="F620" i="16"/>
  <c r="H622" i="16"/>
  <c r="C625" i="16"/>
  <c r="E627" i="16"/>
  <c r="G629" i="16"/>
  <c r="B632" i="16"/>
  <c r="D634" i="16"/>
  <c r="F636" i="16"/>
  <c r="H638" i="16"/>
  <c r="C641" i="16"/>
  <c r="E643" i="16"/>
  <c r="G645" i="16"/>
  <c r="B648" i="16"/>
  <c r="D650" i="16"/>
  <c r="F652" i="16"/>
  <c r="H654" i="16"/>
  <c r="C657" i="16"/>
  <c r="E659" i="16"/>
  <c r="G661" i="16"/>
  <c r="B664" i="16"/>
  <c r="D666" i="16"/>
  <c r="F668" i="16"/>
  <c r="H670" i="16"/>
  <c r="C673" i="16"/>
  <c r="E675" i="16"/>
  <c r="G677" i="16"/>
  <c r="B680" i="16"/>
  <c r="D682" i="16"/>
  <c r="F684" i="16"/>
  <c r="H686" i="16"/>
  <c r="C689" i="16"/>
  <c r="E691" i="16"/>
  <c r="G693" i="16"/>
  <c r="B696" i="16"/>
  <c r="D698" i="16"/>
  <c r="F700" i="16"/>
  <c r="H702" i="16"/>
  <c r="C705" i="16"/>
  <c r="E707" i="16"/>
  <c r="G709" i="16"/>
  <c r="B712" i="16"/>
  <c r="D714" i="16"/>
  <c r="F716" i="16"/>
  <c r="H718" i="16"/>
  <c r="C721" i="16"/>
  <c r="E723" i="16"/>
  <c r="G725" i="16"/>
  <c r="B728" i="16"/>
  <c r="D730" i="16"/>
  <c r="F732" i="16"/>
  <c r="H734" i="16"/>
  <c r="C737" i="16"/>
  <c r="E739" i="16"/>
  <c r="G741" i="16"/>
  <c r="B744" i="16"/>
  <c r="D746" i="16"/>
  <c r="F748" i="16"/>
  <c r="H750" i="16"/>
  <c r="C753" i="16"/>
  <c r="E755" i="16"/>
  <c r="G757" i="16"/>
  <c r="B760" i="16"/>
  <c r="D762" i="16"/>
  <c r="F764" i="16"/>
  <c r="H766" i="16"/>
  <c r="C769" i="16"/>
  <c r="E771" i="16"/>
  <c r="G773" i="16"/>
  <c r="B776" i="16"/>
  <c r="D778" i="16"/>
  <c r="F780" i="16"/>
  <c r="D286" i="16"/>
  <c r="B355" i="16"/>
  <c r="G393" i="16"/>
  <c r="G418" i="16"/>
  <c r="D437" i="16"/>
  <c r="G449" i="16"/>
  <c r="E457" i="16"/>
  <c r="E464" i="16"/>
  <c r="H469" i="16"/>
  <c r="E476" i="16"/>
  <c r="B483" i="16"/>
  <c r="C488" i="16"/>
  <c r="B494" i="16"/>
  <c r="C499" i="16"/>
  <c r="B504" i="16"/>
  <c r="G508" i="16"/>
  <c r="D513" i="16"/>
  <c r="H517" i="16"/>
  <c r="C522" i="16"/>
  <c r="E526" i="16"/>
  <c r="G530" i="16"/>
  <c r="B534" i="16"/>
  <c r="D538" i="16"/>
  <c r="F542" i="16"/>
  <c r="H546" i="16"/>
  <c r="G550" i="16"/>
  <c r="B554" i="16"/>
  <c r="F557" i="16"/>
  <c r="G560" i="16"/>
  <c r="G563" i="16"/>
  <c r="E567" i="16"/>
  <c r="E570" i="16"/>
  <c r="C574" i="16"/>
  <c r="C577" i="16"/>
  <c r="H580" i="16"/>
  <c r="H583" i="16"/>
  <c r="E587" i="16"/>
  <c r="D590" i="16"/>
  <c r="C593" i="16"/>
  <c r="C596" i="16"/>
  <c r="G598" i="16"/>
  <c r="D601" i="16"/>
  <c r="H603" i="16"/>
  <c r="E606" i="16"/>
  <c r="B609" i="16"/>
  <c r="F611" i="16"/>
  <c r="H613" i="16"/>
  <c r="C616" i="16"/>
  <c r="E618" i="16"/>
  <c r="G620" i="16"/>
  <c r="B623" i="16"/>
  <c r="D625" i="16"/>
  <c r="F627" i="16"/>
  <c r="H629" i="16"/>
  <c r="C632" i="16"/>
  <c r="E634" i="16"/>
  <c r="G636" i="16"/>
  <c r="B639" i="16"/>
  <c r="D641" i="16"/>
  <c r="F643" i="16"/>
  <c r="H645" i="16"/>
  <c r="C648" i="16"/>
  <c r="E650" i="16"/>
  <c r="G652" i="16"/>
  <c r="B655" i="16"/>
  <c r="D657" i="16"/>
  <c r="F659" i="16"/>
  <c r="H661" i="16"/>
  <c r="C664" i="16"/>
  <c r="E666" i="16"/>
  <c r="G668" i="16"/>
  <c r="B671" i="16"/>
  <c r="D673" i="16"/>
  <c r="F675" i="16"/>
  <c r="H677" i="16"/>
  <c r="C680" i="16"/>
  <c r="E682" i="16"/>
  <c r="G684" i="16"/>
  <c r="B687" i="16"/>
  <c r="D689" i="16"/>
  <c r="F691" i="16"/>
  <c r="H693" i="16"/>
  <c r="C696" i="16"/>
  <c r="E698" i="16"/>
  <c r="G700" i="16"/>
  <c r="B703" i="16"/>
  <c r="D705" i="16"/>
  <c r="F707" i="16"/>
  <c r="H709" i="16"/>
  <c r="C712" i="16"/>
  <c r="E714" i="16"/>
  <c r="G716" i="16"/>
  <c r="B719" i="16"/>
  <c r="D721" i="16"/>
  <c r="F723" i="16"/>
  <c r="H725" i="16"/>
  <c r="C728" i="16"/>
  <c r="E730" i="16"/>
  <c r="G732" i="16"/>
  <c r="B735" i="16"/>
  <c r="D737" i="16"/>
  <c r="F739" i="16"/>
  <c r="H741" i="16"/>
  <c r="C744" i="16"/>
  <c r="E746" i="16"/>
  <c r="G748" i="16"/>
  <c r="B751" i="16"/>
  <c r="D753" i="16"/>
  <c r="F755" i="16"/>
  <c r="H757" i="16"/>
  <c r="E286" i="16"/>
  <c r="C355" i="16"/>
  <c r="H393" i="16"/>
  <c r="H418" i="16"/>
  <c r="E437" i="16"/>
  <c r="D450" i="16"/>
  <c r="F457" i="16"/>
  <c r="F464" i="16"/>
  <c r="B470" i="16"/>
  <c r="F476" i="16"/>
  <c r="C483" i="16"/>
  <c r="D488" i="16"/>
  <c r="E494" i="16"/>
  <c r="D499" i="16"/>
  <c r="C504" i="16"/>
  <c r="H508" i="16"/>
  <c r="E513" i="16"/>
  <c r="B518" i="16"/>
  <c r="D522" i="16"/>
  <c r="F526" i="16"/>
  <c r="H530" i="16"/>
  <c r="C535" i="16"/>
  <c r="E538" i="16"/>
  <c r="G542" i="16"/>
  <c r="B547" i="16"/>
  <c r="C551" i="16"/>
  <c r="C554" i="16"/>
  <c r="H557" i="16"/>
  <c r="H560" i="16"/>
  <c r="E564" i="16"/>
  <c r="F567" i="16"/>
  <c r="F570" i="16"/>
  <c r="D574" i="16"/>
  <c r="D577" i="16"/>
  <c r="B581" i="16"/>
  <c r="B584" i="16"/>
  <c r="F587" i="16"/>
  <c r="E590" i="16"/>
  <c r="D593" i="16"/>
  <c r="D596" i="16"/>
  <c r="H598" i="16"/>
  <c r="E601" i="16"/>
  <c r="B604" i="16"/>
  <c r="F606" i="16"/>
  <c r="C609" i="16"/>
  <c r="G611" i="16"/>
  <c r="B614" i="16"/>
  <c r="D616" i="16"/>
  <c r="F618" i="16"/>
  <c r="H620" i="16"/>
  <c r="C623" i="16"/>
  <c r="E625" i="16"/>
  <c r="G627" i="16"/>
  <c r="B630" i="16"/>
  <c r="D632" i="16"/>
  <c r="F634" i="16"/>
  <c r="H636" i="16"/>
  <c r="C639" i="16"/>
  <c r="E641" i="16"/>
  <c r="G643" i="16"/>
  <c r="B646" i="16"/>
  <c r="D648" i="16"/>
  <c r="F650" i="16"/>
  <c r="H652" i="16"/>
  <c r="C655" i="16"/>
  <c r="E657" i="16"/>
  <c r="G659" i="16"/>
  <c r="B662" i="16"/>
  <c r="D664" i="16"/>
  <c r="F666" i="16"/>
  <c r="H668" i="16"/>
  <c r="C671" i="16"/>
  <c r="E673" i="16"/>
  <c r="G675" i="16"/>
  <c r="B678" i="16"/>
  <c r="D680" i="16"/>
  <c r="F682" i="16"/>
  <c r="H684" i="16"/>
  <c r="C687" i="16"/>
  <c r="E689" i="16"/>
  <c r="G691" i="16"/>
  <c r="B694" i="16"/>
  <c r="D696" i="16"/>
  <c r="F698" i="16"/>
  <c r="H700" i="16"/>
  <c r="C703" i="16"/>
  <c r="E705" i="16"/>
  <c r="G707" i="16"/>
  <c r="B710" i="16"/>
  <c r="D712" i="16"/>
  <c r="F714" i="16"/>
  <c r="H716" i="16"/>
  <c r="C719" i="16"/>
  <c r="E721" i="16"/>
  <c r="G723" i="16"/>
  <c r="B726" i="16"/>
  <c r="D728" i="16"/>
  <c r="F730" i="16"/>
  <c r="H732" i="16"/>
  <c r="C735" i="16"/>
  <c r="E737" i="16"/>
  <c r="G739" i="16"/>
  <c r="B742" i="16"/>
  <c r="D744" i="16"/>
  <c r="F746" i="16"/>
  <c r="H748" i="16"/>
  <c r="C751" i="16"/>
  <c r="E753" i="16"/>
  <c r="G755" i="16"/>
  <c r="B758" i="16"/>
  <c r="D760" i="16"/>
  <c r="H301" i="16"/>
  <c r="C360" i="16"/>
  <c r="G396" i="16"/>
  <c r="E421" i="16"/>
  <c r="F437" i="16"/>
  <c r="E450" i="16"/>
  <c r="G457" i="16"/>
  <c r="G464" i="16"/>
  <c r="F471" i="16"/>
  <c r="G476" i="16"/>
  <c r="D483" i="16"/>
  <c r="E489" i="16"/>
  <c r="F494" i="16"/>
  <c r="E499" i="16"/>
  <c r="D504" i="16"/>
  <c r="B510" i="16"/>
  <c r="F514" i="16"/>
  <c r="C519" i="16"/>
  <c r="E522" i="16"/>
  <c r="G526" i="16"/>
  <c r="B531" i="16"/>
  <c r="D535" i="16"/>
  <c r="F538" i="16"/>
  <c r="H542" i="16"/>
  <c r="C547" i="16"/>
  <c r="D551" i="16"/>
  <c r="D554" i="16"/>
  <c r="B558" i="16"/>
  <c r="B561" i="16"/>
  <c r="G564" i="16"/>
  <c r="G567" i="16"/>
  <c r="D571" i="16"/>
  <c r="E574" i="16"/>
  <c r="E577" i="16"/>
  <c r="C581" i="16"/>
  <c r="C584" i="16"/>
  <c r="G587" i="16"/>
  <c r="F590" i="16"/>
  <c r="E593" i="16"/>
  <c r="E596" i="16"/>
  <c r="B599" i="16"/>
  <c r="F601" i="16"/>
  <c r="C604" i="16"/>
  <c r="G606" i="16"/>
  <c r="D609" i="16"/>
  <c r="H611" i="16"/>
  <c r="C614" i="16"/>
  <c r="E616" i="16"/>
  <c r="G618" i="16"/>
  <c r="B621" i="16"/>
  <c r="D623" i="16"/>
  <c r="F625" i="16"/>
  <c r="H627" i="16"/>
  <c r="C630" i="16"/>
  <c r="E632" i="16"/>
  <c r="G634" i="16"/>
  <c r="B637" i="16"/>
  <c r="D639" i="16"/>
  <c r="F641" i="16"/>
  <c r="H643" i="16"/>
  <c r="C646" i="16"/>
  <c r="E648" i="16"/>
  <c r="G650" i="16"/>
  <c r="B653" i="16"/>
  <c r="D655" i="16"/>
  <c r="F657" i="16"/>
  <c r="H659" i="16"/>
  <c r="C662" i="16"/>
  <c r="E664" i="16"/>
  <c r="G666" i="16"/>
  <c r="B669" i="16"/>
  <c r="D671" i="16"/>
  <c r="F673" i="16"/>
  <c r="H675" i="16"/>
  <c r="C678" i="16"/>
  <c r="E680" i="16"/>
  <c r="G682" i="16"/>
  <c r="B685" i="16"/>
  <c r="D687" i="16"/>
  <c r="F689" i="16"/>
  <c r="H691" i="16"/>
  <c r="C694" i="16"/>
  <c r="E696" i="16"/>
  <c r="G698" i="16"/>
  <c r="B701" i="16"/>
  <c r="D703" i="16"/>
  <c r="F705" i="16"/>
  <c r="H707" i="16"/>
  <c r="C710" i="16"/>
  <c r="E712" i="16"/>
  <c r="G714" i="16"/>
  <c r="B717" i="16"/>
  <c r="D719" i="16"/>
  <c r="F721" i="16"/>
  <c r="H723" i="16"/>
  <c r="C726" i="16"/>
  <c r="E728" i="16"/>
  <c r="G730" i="16"/>
  <c r="B733" i="16"/>
  <c r="D735" i="16"/>
  <c r="F737" i="16"/>
  <c r="H739" i="16"/>
  <c r="C742" i="16"/>
  <c r="E744" i="16"/>
  <c r="G746" i="16"/>
  <c r="B749" i="16"/>
  <c r="D751" i="16"/>
  <c r="F753" i="16"/>
  <c r="H755" i="16"/>
  <c r="C758" i="16"/>
  <c r="D304" i="16"/>
  <c r="D360" i="16"/>
  <c r="H396" i="16"/>
  <c r="F421" i="16"/>
  <c r="H439" i="16"/>
  <c r="F450" i="16"/>
  <c r="H457" i="16"/>
  <c r="H464" i="16"/>
  <c r="G471" i="16"/>
  <c r="H476" i="16"/>
  <c r="E483" i="16"/>
  <c r="H489" i="16"/>
  <c r="G494" i="16"/>
  <c r="F499" i="16"/>
  <c r="E505" i="16"/>
  <c r="D510" i="16"/>
  <c r="H514" i="16"/>
  <c r="D519" i="16"/>
  <c r="F522" i="16"/>
  <c r="H526" i="16"/>
  <c r="C531" i="16"/>
  <c r="E535" i="16"/>
  <c r="G539" i="16"/>
  <c r="B543" i="16"/>
  <c r="D547" i="16"/>
  <c r="E551" i="16"/>
  <c r="E554" i="16"/>
  <c r="C558" i="16"/>
  <c r="C561" i="16"/>
  <c r="H564" i="16"/>
  <c r="H567" i="16"/>
  <c r="F571" i="16"/>
  <c r="F574" i="16"/>
  <c r="C578" i="16"/>
  <c r="D581" i="16"/>
  <c r="D584" i="16"/>
  <c r="H587" i="16"/>
  <c r="G590" i="16"/>
  <c r="B594" i="16"/>
  <c r="F596" i="16"/>
  <c r="C599" i="16"/>
  <c r="G601" i="16"/>
  <c r="D604" i="16"/>
  <c r="H606" i="16"/>
  <c r="E609" i="16"/>
  <c r="B612" i="16"/>
  <c r="D614" i="16"/>
  <c r="F616" i="16"/>
  <c r="H618" i="16"/>
  <c r="C621" i="16"/>
  <c r="E623" i="16"/>
  <c r="G625" i="16"/>
  <c r="B628" i="16"/>
  <c r="D630" i="16"/>
  <c r="F632" i="16"/>
  <c r="H634" i="16"/>
  <c r="C637" i="16"/>
  <c r="E639" i="16"/>
  <c r="G641" i="16"/>
  <c r="B644" i="16"/>
  <c r="D646" i="16"/>
  <c r="F648" i="16"/>
  <c r="H650" i="16"/>
  <c r="C653" i="16"/>
  <c r="E655" i="16"/>
  <c r="G657" i="16"/>
  <c r="B660" i="16"/>
  <c r="D662" i="16"/>
  <c r="F664" i="16"/>
  <c r="H666" i="16"/>
  <c r="C669" i="16"/>
  <c r="E671" i="16"/>
  <c r="G673" i="16"/>
  <c r="B676" i="16"/>
  <c r="D678" i="16"/>
  <c r="F680" i="16"/>
  <c r="H682" i="16"/>
  <c r="C685" i="16"/>
  <c r="E687" i="16"/>
  <c r="G689" i="16"/>
  <c r="B692" i="16"/>
  <c r="D694" i="16"/>
  <c r="F696" i="16"/>
  <c r="H698" i="16"/>
  <c r="C701" i="16"/>
  <c r="E703" i="16"/>
  <c r="G705" i="16"/>
  <c r="B708" i="16"/>
  <c r="D710" i="16"/>
  <c r="F712" i="16"/>
  <c r="H714" i="16"/>
  <c r="C717" i="16"/>
  <c r="E719" i="16"/>
  <c r="G721" i="16"/>
  <c r="B724" i="16"/>
  <c r="D726" i="16"/>
  <c r="F728" i="16"/>
  <c r="H730" i="16"/>
  <c r="C733" i="16"/>
  <c r="E735" i="16"/>
  <c r="G737" i="16"/>
  <c r="B740" i="16"/>
  <c r="D742" i="16"/>
  <c r="F744" i="16"/>
  <c r="H746" i="16"/>
  <c r="C749" i="16"/>
  <c r="E751" i="16"/>
  <c r="E313" i="16"/>
  <c r="B365" i="16"/>
  <c r="C400" i="16"/>
  <c r="C424" i="16"/>
  <c r="B440" i="16"/>
  <c r="D452" i="16"/>
  <c r="F459" i="16"/>
  <c r="B465" i="16"/>
  <c r="H471" i="16"/>
  <c r="E478" i="16"/>
  <c r="F483" i="16"/>
  <c r="B490" i="16"/>
  <c r="H494" i="16"/>
  <c r="G499" i="16"/>
  <c r="H505" i="16"/>
  <c r="E510" i="16"/>
  <c r="B515" i="16"/>
  <c r="E519" i="16"/>
  <c r="G523" i="16"/>
  <c r="B527" i="16"/>
  <c r="D531" i="16"/>
  <c r="F535" i="16"/>
  <c r="H539" i="16"/>
  <c r="C543" i="16"/>
  <c r="E547" i="16"/>
  <c r="F551" i="16"/>
  <c r="F554" i="16"/>
  <c r="D558" i="16"/>
  <c r="D561" i="16"/>
  <c r="B565" i="16"/>
  <c r="B568" i="16"/>
  <c r="G571" i="16"/>
  <c r="G574" i="16"/>
  <c r="E578" i="16"/>
  <c r="E581" i="16"/>
  <c r="B585" i="16"/>
  <c r="B588" i="16"/>
  <c r="H590" i="16"/>
  <c r="C594" i="16"/>
  <c r="G596" i="16"/>
  <c r="D599" i="16"/>
  <c r="H601" i="16"/>
  <c r="E604" i="16"/>
  <c r="B607" i="16"/>
  <c r="H609" i="16"/>
  <c r="C612" i="16"/>
  <c r="E614" i="16"/>
  <c r="G616" i="16"/>
  <c r="B619" i="16"/>
  <c r="D621" i="16"/>
  <c r="F623" i="16"/>
  <c r="H625" i="16"/>
  <c r="C628" i="16"/>
  <c r="E630" i="16"/>
  <c r="G632" i="16"/>
  <c r="B635" i="16"/>
  <c r="D637" i="16"/>
  <c r="F639" i="16"/>
  <c r="H641" i="16"/>
  <c r="C644" i="16"/>
  <c r="E646" i="16"/>
  <c r="G648" i="16"/>
  <c r="B651" i="16"/>
  <c r="D653" i="16"/>
  <c r="F655" i="16"/>
  <c r="H657" i="16"/>
  <c r="C660" i="16"/>
  <c r="E662" i="16"/>
  <c r="G664" i="16"/>
  <c r="B667" i="16"/>
  <c r="D669" i="16"/>
  <c r="F671" i="16"/>
  <c r="H673" i="16"/>
  <c r="C676" i="16"/>
  <c r="E678" i="16"/>
  <c r="G680" i="16"/>
  <c r="B683" i="16"/>
  <c r="D685" i="16"/>
  <c r="F687" i="16"/>
  <c r="H689" i="16"/>
  <c r="C692" i="16"/>
  <c r="E694" i="16"/>
  <c r="G696" i="16"/>
  <c r="B699" i="16"/>
  <c r="F313" i="16"/>
  <c r="C365" i="16"/>
  <c r="F400" i="16"/>
  <c r="D424" i="16"/>
  <c r="C440" i="16"/>
  <c r="G452" i="16"/>
  <c r="G459" i="16"/>
  <c r="C465" i="16"/>
  <c r="B472" i="16"/>
  <c r="F478" i="16"/>
  <c r="G483" i="16"/>
  <c r="C490" i="16"/>
  <c r="B495" i="16"/>
  <c r="H500" i="16"/>
  <c r="B506" i="16"/>
  <c r="F510" i="16"/>
  <c r="C515" i="16"/>
  <c r="F519" i="16"/>
  <c r="H523" i="16"/>
  <c r="C527" i="16"/>
  <c r="E531" i="16"/>
  <c r="G535" i="16"/>
  <c r="B540" i="16"/>
  <c r="D544" i="16"/>
  <c r="F547" i="16"/>
  <c r="G551" i="16"/>
  <c r="D555" i="16"/>
  <c r="E558" i="16"/>
  <c r="E561" i="16"/>
  <c r="C565" i="16"/>
  <c r="C568" i="16"/>
  <c r="H571" i="16"/>
  <c r="H574" i="16"/>
  <c r="F578" i="16"/>
  <c r="F581" i="16"/>
  <c r="D585" i="16"/>
  <c r="C588" i="16"/>
  <c r="B591" i="16"/>
  <c r="D594" i="16"/>
  <c r="H596" i="16"/>
  <c r="E599" i="16"/>
  <c r="B602" i="16"/>
  <c r="F604" i="16"/>
  <c r="C607" i="16"/>
  <c r="B610" i="16"/>
  <c r="D612" i="16"/>
  <c r="F614" i="16"/>
  <c r="H616" i="16"/>
  <c r="C619" i="16"/>
  <c r="E621" i="16"/>
  <c r="G623" i="16"/>
  <c r="B626" i="16"/>
  <c r="D628" i="16"/>
  <c r="F630" i="16"/>
  <c r="H632" i="16"/>
  <c r="C635" i="16"/>
  <c r="E637" i="16"/>
  <c r="G639" i="16"/>
  <c r="B642" i="16"/>
  <c r="D644" i="16"/>
  <c r="F646" i="16"/>
  <c r="H648" i="16"/>
  <c r="C651" i="16"/>
  <c r="E653" i="16"/>
  <c r="G655" i="16"/>
  <c r="B658" i="16"/>
  <c r="D660" i="16"/>
  <c r="F662" i="16"/>
  <c r="H664" i="16"/>
  <c r="C667" i="16"/>
  <c r="E669" i="16"/>
  <c r="G671" i="16"/>
  <c r="B674" i="16"/>
  <c r="D676" i="16"/>
  <c r="F678" i="16"/>
  <c r="H680" i="16"/>
  <c r="C683" i="16"/>
  <c r="E685" i="16"/>
  <c r="G687" i="16"/>
  <c r="B690" i="16"/>
  <c r="D692" i="16"/>
  <c r="F694" i="16"/>
  <c r="H696" i="16"/>
  <c r="C699" i="16"/>
  <c r="E701" i="16"/>
  <c r="G703" i="16"/>
  <c r="B706" i="16"/>
  <c r="D708" i="16"/>
  <c r="F710" i="16"/>
  <c r="H712" i="16"/>
  <c r="C715" i="16"/>
  <c r="E717" i="16"/>
  <c r="G719" i="16"/>
  <c r="B722" i="16"/>
  <c r="D724" i="16"/>
  <c r="F726" i="16"/>
  <c r="H728" i="16"/>
  <c r="C731" i="16"/>
  <c r="E733" i="16"/>
  <c r="F321" i="16"/>
  <c r="B371" i="16"/>
  <c r="D403" i="16"/>
  <c r="G426" i="16"/>
  <c r="E442" i="16"/>
  <c r="H452" i="16"/>
  <c r="H459" i="16"/>
  <c r="H466" i="16"/>
  <c r="C472" i="16"/>
  <c r="G478" i="16"/>
  <c r="D485" i="16"/>
  <c r="D490" i="16"/>
  <c r="C495" i="16"/>
  <c r="D501" i="16"/>
  <c r="C506" i="16"/>
  <c r="G510" i="16"/>
  <c r="D515" i="16"/>
  <c r="G519" i="16"/>
  <c r="B524" i="16"/>
  <c r="D528" i="16"/>
  <c r="F531" i="16"/>
  <c r="H535" i="16"/>
  <c r="C540" i="16"/>
  <c r="E544" i="16"/>
  <c r="G547" i="16"/>
  <c r="H551" i="16"/>
  <c r="F555" i="16"/>
  <c r="F558" i="16"/>
  <c r="C562" i="16"/>
  <c r="D565" i="16"/>
  <c r="D568" i="16"/>
  <c r="B572" i="16"/>
  <c r="B575" i="16"/>
  <c r="G578" i="16"/>
  <c r="G581" i="16"/>
  <c r="E585" i="16"/>
  <c r="D588" i="16"/>
  <c r="C591" i="16"/>
  <c r="E594" i="16"/>
  <c r="B597" i="16"/>
  <c r="F599" i="16"/>
  <c r="C602" i="16"/>
  <c r="G604" i="16"/>
  <c r="F607" i="16"/>
  <c r="C610" i="16"/>
  <c r="E612" i="16"/>
  <c r="G614" i="16"/>
  <c r="B617" i="16"/>
  <c r="D619" i="16"/>
  <c r="F621" i="16"/>
  <c r="H623" i="16"/>
  <c r="C626" i="16"/>
  <c r="E628" i="16"/>
  <c r="G630" i="16"/>
  <c r="B633" i="16"/>
  <c r="D635" i="16"/>
  <c r="F637" i="16"/>
  <c r="H639" i="16"/>
  <c r="C642" i="16"/>
  <c r="E644" i="16"/>
  <c r="G646" i="16"/>
  <c r="B649" i="16"/>
  <c r="D651" i="16"/>
  <c r="F653" i="16"/>
  <c r="H655" i="16"/>
  <c r="C658" i="16"/>
  <c r="E660" i="16"/>
  <c r="G662" i="16"/>
  <c r="B665" i="16"/>
  <c r="D667" i="16"/>
  <c r="F669" i="16"/>
  <c r="H671" i="16"/>
  <c r="C674" i="16"/>
  <c r="G163" i="16"/>
  <c r="G321" i="16"/>
  <c r="D371" i="16"/>
  <c r="E403" i="16"/>
  <c r="H426" i="16"/>
  <c r="F442" i="16"/>
  <c r="B453" i="16"/>
  <c r="B460" i="16"/>
  <c r="B467" i="16"/>
  <c r="D472" i="16"/>
  <c r="H478" i="16"/>
  <c r="E485" i="16"/>
  <c r="E490" i="16"/>
  <c r="D496" i="16"/>
  <c r="E501" i="16"/>
  <c r="D506" i="16"/>
  <c r="H510" i="16"/>
  <c r="E515" i="16"/>
  <c r="H519" i="16"/>
  <c r="C524" i="16"/>
  <c r="E528" i="16"/>
  <c r="G531" i="16"/>
  <c r="B536" i="16"/>
  <c r="D540" i="16"/>
  <c r="F544" i="16"/>
  <c r="H548" i="16"/>
  <c r="B552" i="16"/>
  <c r="G555" i="16"/>
  <c r="G558" i="16"/>
  <c r="E562" i="16"/>
  <c r="E565" i="16"/>
  <c r="B569" i="16"/>
  <c r="C572" i="16"/>
  <c r="C575" i="16"/>
  <c r="H578" i="16"/>
  <c r="H581" i="16"/>
  <c r="F585" i="16"/>
  <c r="E588" i="16"/>
  <c r="H591" i="16"/>
  <c r="F594" i="16"/>
  <c r="C597" i="16"/>
  <c r="G599" i="16"/>
  <c r="D602" i="16"/>
  <c r="H604" i="16"/>
  <c r="G607" i="16"/>
  <c r="D610" i="16"/>
  <c r="F612" i="16"/>
  <c r="H614" i="16"/>
  <c r="C617" i="16"/>
  <c r="E619" i="16"/>
  <c r="G621" i="16"/>
  <c r="B624" i="16"/>
  <c r="D626" i="16"/>
  <c r="F628" i="16"/>
  <c r="H630" i="16"/>
  <c r="C633" i="16"/>
  <c r="E635" i="16"/>
  <c r="G637" i="16"/>
  <c r="B640" i="16"/>
  <c r="D642" i="16"/>
  <c r="F644" i="16"/>
  <c r="H646" i="16"/>
  <c r="C649" i="16"/>
  <c r="E651" i="16"/>
  <c r="G653" i="16"/>
  <c r="B656" i="16"/>
  <c r="D658" i="16"/>
  <c r="F660" i="16"/>
  <c r="H662" i="16"/>
  <c r="C665" i="16"/>
  <c r="E667" i="16"/>
  <c r="G669" i="16"/>
  <c r="B672" i="16"/>
  <c r="D674" i="16"/>
  <c r="F676" i="16"/>
  <c r="C211" i="16"/>
  <c r="B328" i="16"/>
  <c r="G375" i="16"/>
  <c r="C406" i="16"/>
  <c r="F429" i="16"/>
  <c r="G442" i="16"/>
  <c r="G454" i="16"/>
  <c r="C460" i="16"/>
  <c r="C467" i="16"/>
  <c r="H473" i="16"/>
  <c r="B479" i="16"/>
  <c r="F485" i="16"/>
  <c r="F490" i="16"/>
  <c r="G496" i="16"/>
  <c r="F501" i="16"/>
  <c r="E506" i="16"/>
  <c r="B511" i="16"/>
  <c r="F515" i="16"/>
  <c r="B520" i="16"/>
  <c r="D524" i="16"/>
  <c r="F528" i="16"/>
  <c r="H532" i="16"/>
  <c r="C536" i="16"/>
  <c r="E540" i="16"/>
  <c r="G544" i="16"/>
  <c r="B549" i="16"/>
  <c r="C552" i="16"/>
  <c r="H555" i="16"/>
  <c r="H558" i="16"/>
  <c r="F562" i="16"/>
  <c r="F565" i="16"/>
  <c r="D569" i="16"/>
  <c r="D572" i="16"/>
  <c r="H575" i="16"/>
  <c r="B579" i="16"/>
  <c r="B582" i="16"/>
  <c r="G585" i="16"/>
  <c r="F588" i="16"/>
  <c r="B592" i="16"/>
  <c r="G594" i="16"/>
  <c r="D597" i="16"/>
  <c r="H599" i="16"/>
  <c r="E602" i="16"/>
  <c r="D605" i="16"/>
  <c r="H607" i="16"/>
  <c r="E610" i="16"/>
  <c r="G612" i="16"/>
  <c r="B615" i="16"/>
  <c r="D617" i="16"/>
  <c r="F619" i="16"/>
  <c r="H621" i="16"/>
  <c r="C624" i="16"/>
  <c r="E626" i="16"/>
  <c r="G628" i="16"/>
  <c r="B631" i="16"/>
  <c r="D633" i="16"/>
  <c r="F635" i="16"/>
  <c r="H637" i="16"/>
  <c r="C640" i="16"/>
  <c r="E642" i="16"/>
  <c r="G644" i="16"/>
  <c r="B647" i="16"/>
  <c r="D649" i="16"/>
  <c r="F651" i="16"/>
  <c r="H653" i="16"/>
  <c r="C656" i="16"/>
  <c r="E658" i="16"/>
  <c r="G660" i="16"/>
  <c r="B663" i="16"/>
  <c r="D665" i="16"/>
  <c r="F667" i="16"/>
  <c r="H669" i="16"/>
  <c r="C672" i="16"/>
  <c r="E674" i="16"/>
  <c r="B237" i="16"/>
  <c r="D336" i="16"/>
  <c r="E380" i="16"/>
  <c r="G409" i="16"/>
  <c r="D432" i="16"/>
  <c r="F445" i="16"/>
  <c r="C455" i="16"/>
  <c r="C462" i="16"/>
  <c r="F467" i="16"/>
  <c r="D474" i="16"/>
  <c r="H480" i="16"/>
  <c r="B486" i="16"/>
  <c r="D492" i="16"/>
  <c r="C497" i="16"/>
  <c r="B502" i="16"/>
  <c r="B508" i="16"/>
  <c r="F512" i="16"/>
  <c r="C517" i="16"/>
  <c r="E521" i="16"/>
  <c r="G524" i="16"/>
  <c r="B529" i="16"/>
  <c r="D533" i="16"/>
  <c r="F537" i="16"/>
  <c r="H540" i="16"/>
  <c r="C545" i="16"/>
  <c r="E549" i="16"/>
  <c r="D553" i="16"/>
  <c r="D556" i="16"/>
  <c r="H559" i="16"/>
  <c r="B563" i="16"/>
  <c r="B566" i="16"/>
  <c r="G569" i="16"/>
  <c r="G572" i="16"/>
  <c r="E576" i="16"/>
  <c r="E579" i="16"/>
  <c r="C583" i="16"/>
  <c r="C586" i="16"/>
  <c r="F589" i="16"/>
  <c r="E592" i="16"/>
  <c r="C595" i="16"/>
  <c r="G597" i="16"/>
  <c r="D600" i="16"/>
  <c r="C603" i="16"/>
  <c r="G605" i="16"/>
  <c r="D608" i="16"/>
  <c r="H610" i="16"/>
  <c r="C613" i="16"/>
  <c r="E615" i="16"/>
  <c r="G617" i="16"/>
  <c r="B620" i="16"/>
  <c r="D622" i="16"/>
  <c r="F624" i="16"/>
  <c r="H626" i="16"/>
  <c r="C629" i="16"/>
  <c r="E631" i="16"/>
  <c r="G633" i="16"/>
  <c r="B636" i="16"/>
  <c r="D638" i="16"/>
  <c r="F640" i="16"/>
  <c r="H642" i="16"/>
  <c r="C645" i="16"/>
  <c r="E647" i="16"/>
  <c r="G649" i="16"/>
  <c r="B652" i="16"/>
  <c r="D654" i="16"/>
  <c r="F656" i="16"/>
  <c r="H658" i="16"/>
  <c r="C661" i="16"/>
  <c r="E663" i="16"/>
  <c r="G665" i="16"/>
  <c r="G429" i="16"/>
  <c r="G491" i="16"/>
  <c r="G528" i="16"/>
  <c r="B559" i="16"/>
  <c r="H585" i="16"/>
  <c r="B608" i="16"/>
  <c r="F626" i="16"/>
  <c r="H644" i="16"/>
  <c r="C663" i="16"/>
  <c r="E676" i="16"/>
  <c r="G681" i="16"/>
  <c r="D688" i="16"/>
  <c r="H694" i="16"/>
  <c r="B700" i="16"/>
  <c r="C706" i="16"/>
  <c r="B711" i="16"/>
  <c r="H715" i="16"/>
  <c r="H721" i="16"/>
  <c r="H726" i="16"/>
  <c r="G731" i="16"/>
  <c r="E736" i="16"/>
  <c r="B741" i="16"/>
  <c r="F745" i="16"/>
  <c r="C750" i="16"/>
  <c r="F754" i="16"/>
  <c r="H758" i="16"/>
  <c r="E762" i="16"/>
  <c r="D765" i="16"/>
  <c r="C768" i="16"/>
  <c r="F771" i="16"/>
  <c r="E774" i="16"/>
  <c r="D777" i="16"/>
  <c r="G780" i="16"/>
  <c r="E783" i="16"/>
  <c r="C786" i="16"/>
  <c r="H788" i="16"/>
  <c r="B792" i="16"/>
  <c r="G794" i="16"/>
  <c r="D797" i="16"/>
  <c r="H799" i="16"/>
  <c r="E802" i="16"/>
  <c r="B805" i="16"/>
  <c r="D807" i="16"/>
  <c r="F809" i="16"/>
  <c r="H811" i="16"/>
  <c r="C814" i="16"/>
  <c r="E816" i="16"/>
  <c r="G818" i="16"/>
  <c r="B821" i="16"/>
  <c r="D823" i="16"/>
  <c r="F825" i="16"/>
  <c r="H827" i="16"/>
  <c r="C830" i="16"/>
  <c r="E832" i="16"/>
  <c r="G834" i="16"/>
  <c r="B837" i="16"/>
  <c r="D839" i="16"/>
  <c r="F841" i="16"/>
  <c r="H843" i="16"/>
  <c r="C846" i="16"/>
  <c r="E848" i="16"/>
  <c r="G850" i="16"/>
  <c r="B853" i="16"/>
  <c r="D855" i="16"/>
  <c r="F857" i="16"/>
  <c r="H859" i="16"/>
  <c r="C862" i="16"/>
  <c r="E864" i="16"/>
  <c r="G866" i="16"/>
  <c r="B869" i="16"/>
  <c r="D871" i="16"/>
  <c r="F873" i="16"/>
  <c r="H875" i="16"/>
  <c r="C878" i="16"/>
  <c r="E880" i="16"/>
  <c r="G882" i="16"/>
  <c r="B885" i="16"/>
  <c r="D887" i="16"/>
  <c r="F889" i="16"/>
  <c r="H891" i="16"/>
  <c r="C894" i="16"/>
  <c r="E896" i="16"/>
  <c r="G898" i="16"/>
  <c r="B901" i="16"/>
  <c r="D903" i="16"/>
  <c r="F905" i="16"/>
  <c r="H907" i="16"/>
  <c r="C910" i="16"/>
  <c r="E912" i="16"/>
  <c r="G914" i="16"/>
  <c r="B917" i="16"/>
  <c r="D919" i="16"/>
  <c r="F921" i="16"/>
  <c r="H923" i="16"/>
  <c r="C926" i="16"/>
  <c r="E928" i="16"/>
  <c r="G930" i="16"/>
  <c r="B933" i="16"/>
  <c r="D935" i="16"/>
  <c r="F937" i="16"/>
  <c r="H939" i="16"/>
  <c r="C942" i="16"/>
  <c r="E944" i="16"/>
  <c r="G946" i="16"/>
  <c r="B949" i="16"/>
  <c r="D951" i="16"/>
  <c r="F953" i="16"/>
  <c r="H955" i="16"/>
  <c r="C958" i="16"/>
  <c r="E960" i="16"/>
  <c r="G962" i="16"/>
  <c r="B965" i="16"/>
  <c r="D967" i="16"/>
  <c r="F969" i="16"/>
  <c r="H971" i="16"/>
  <c r="C974" i="16"/>
  <c r="E976" i="16"/>
  <c r="G978" i="16"/>
  <c r="B981" i="16"/>
  <c r="D983" i="16"/>
  <c r="F985" i="16"/>
  <c r="H987" i="16"/>
  <c r="C990" i="16"/>
  <c r="E992" i="16"/>
  <c r="G994" i="16"/>
  <c r="B997" i="16"/>
  <c r="D999" i="16"/>
  <c r="F1001" i="16"/>
  <c r="H1003" i="16"/>
  <c r="C1006" i="16"/>
  <c r="E1008" i="16"/>
  <c r="G1010" i="16"/>
  <c r="B1013" i="16"/>
  <c r="D1015" i="16"/>
  <c r="F1017" i="16"/>
  <c r="H1019" i="16"/>
  <c r="C1022" i="16"/>
  <c r="E1024" i="16"/>
  <c r="G1026" i="16"/>
  <c r="B1029" i="16"/>
  <c r="D1031" i="16"/>
  <c r="F1033" i="16"/>
  <c r="H1035" i="16"/>
  <c r="C1038" i="16"/>
  <c r="E1040" i="16"/>
  <c r="G1042" i="16"/>
  <c r="C432" i="16"/>
  <c r="C492" i="16"/>
  <c r="H528" i="16"/>
  <c r="C559" i="16"/>
  <c r="B586" i="16"/>
  <c r="C608" i="16"/>
  <c r="G626" i="16"/>
  <c r="B645" i="16"/>
  <c r="D663" i="16"/>
  <c r="G676" i="16"/>
  <c r="D683" i="16"/>
  <c r="E688" i="16"/>
  <c r="B695" i="16"/>
  <c r="D701" i="16"/>
  <c r="D706" i="16"/>
  <c r="C711" i="16"/>
  <c r="B716" i="16"/>
  <c r="C722" i="16"/>
  <c r="B727" i="16"/>
  <c r="H731" i="16"/>
  <c r="F736" i="16"/>
  <c r="C741" i="16"/>
  <c r="G745" i="16"/>
  <c r="D750" i="16"/>
  <c r="G754" i="16"/>
  <c r="B759" i="16"/>
  <c r="F762" i="16"/>
  <c r="E765" i="16"/>
  <c r="D768" i="16"/>
  <c r="G771" i="16"/>
  <c r="F774" i="16"/>
  <c r="E777" i="16"/>
  <c r="H780" i="16"/>
  <c r="F783" i="16"/>
  <c r="D786" i="16"/>
  <c r="B789" i="16"/>
  <c r="C792" i="16"/>
  <c r="H794" i="16"/>
  <c r="E797" i="16"/>
  <c r="B800" i="16"/>
  <c r="F802" i="16"/>
  <c r="C805" i="16"/>
  <c r="E807" i="16"/>
  <c r="G809" i="16"/>
  <c r="B812" i="16"/>
  <c r="D814" i="16"/>
  <c r="F816" i="16"/>
  <c r="H818" i="16"/>
  <c r="C821" i="16"/>
  <c r="E823" i="16"/>
  <c r="G825" i="16"/>
  <c r="B828" i="16"/>
  <c r="D830" i="16"/>
  <c r="F832" i="16"/>
  <c r="H834" i="16"/>
  <c r="C837" i="16"/>
  <c r="E839" i="16"/>
  <c r="G841" i="16"/>
  <c r="B844" i="16"/>
  <c r="D846" i="16"/>
  <c r="F848" i="16"/>
  <c r="H850" i="16"/>
  <c r="C853" i="16"/>
  <c r="E855" i="16"/>
  <c r="G857" i="16"/>
  <c r="B860" i="16"/>
  <c r="D862" i="16"/>
  <c r="F864" i="16"/>
  <c r="H866" i="16"/>
  <c r="C869" i="16"/>
  <c r="E871" i="16"/>
  <c r="G873" i="16"/>
  <c r="B876" i="16"/>
  <c r="D878" i="16"/>
  <c r="F880" i="16"/>
  <c r="H882" i="16"/>
  <c r="C885" i="16"/>
  <c r="E887" i="16"/>
  <c r="G889" i="16"/>
  <c r="B892" i="16"/>
  <c r="D894" i="16"/>
  <c r="F896" i="16"/>
  <c r="H898" i="16"/>
  <c r="C901" i="16"/>
  <c r="E903" i="16"/>
  <c r="G905" i="16"/>
  <c r="B908" i="16"/>
  <c r="D910" i="16"/>
  <c r="F912" i="16"/>
  <c r="H914" i="16"/>
  <c r="C917" i="16"/>
  <c r="E919" i="16"/>
  <c r="G921" i="16"/>
  <c r="B924" i="16"/>
  <c r="D926" i="16"/>
  <c r="F928" i="16"/>
  <c r="H930" i="16"/>
  <c r="C933" i="16"/>
  <c r="E935" i="16"/>
  <c r="G937" i="16"/>
  <c r="B940" i="16"/>
  <c r="D942" i="16"/>
  <c r="F944" i="16"/>
  <c r="H946" i="16"/>
  <c r="C949" i="16"/>
  <c r="E951" i="16"/>
  <c r="G953" i="16"/>
  <c r="B956" i="16"/>
  <c r="D958" i="16"/>
  <c r="F960" i="16"/>
  <c r="H962" i="16"/>
  <c r="C965" i="16"/>
  <c r="E967" i="16"/>
  <c r="G969" i="16"/>
  <c r="B972" i="16"/>
  <c r="D974" i="16"/>
  <c r="F976" i="16"/>
  <c r="H978" i="16"/>
  <c r="C981" i="16"/>
  <c r="E983" i="16"/>
  <c r="G985" i="16"/>
  <c r="B988" i="16"/>
  <c r="D990" i="16"/>
  <c r="F992" i="16"/>
  <c r="H994" i="16"/>
  <c r="C997" i="16"/>
  <c r="E999" i="16"/>
  <c r="G1001" i="16"/>
  <c r="B1004" i="16"/>
  <c r="D1006" i="16"/>
  <c r="F1008" i="16"/>
  <c r="H1010" i="16"/>
  <c r="C1013" i="16"/>
  <c r="E1015" i="16"/>
  <c r="G1017" i="16"/>
  <c r="B1020" i="16"/>
  <c r="D1022" i="16"/>
  <c r="F1024" i="16"/>
  <c r="H1026" i="16"/>
  <c r="C1029" i="16"/>
  <c r="E1031" i="16"/>
  <c r="G1033" i="16"/>
  <c r="B1036" i="16"/>
  <c r="D1038" i="16"/>
  <c r="F1040" i="16"/>
  <c r="H1042" i="16"/>
  <c r="B445" i="16"/>
  <c r="H496" i="16"/>
  <c r="B533" i="16"/>
  <c r="G562" i="16"/>
  <c r="G588" i="16"/>
  <c r="F610" i="16"/>
  <c r="H628" i="16"/>
  <c r="C647" i="16"/>
  <c r="E665" i="16"/>
  <c r="H676" i="16"/>
  <c r="E683" i="16"/>
  <c r="F688" i="16"/>
  <c r="C695" i="16"/>
  <c r="F701" i="16"/>
  <c r="E706" i="16"/>
  <c r="D711" i="16"/>
  <c r="D717" i="16"/>
  <c r="D722" i="16"/>
  <c r="C727" i="16"/>
  <c r="B732" i="16"/>
  <c r="H737" i="16"/>
  <c r="E742" i="16"/>
  <c r="B747" i="16"/>
  <c r="F751" i="16"/>
  <c r="H754" i="16"/>
  <c r="C759" i="16"/>
  <c r="G762" i="16"/>
  <c r="F765" i="16"/>
  <c r="E768" i="16"/>
  <c r="H771" i="16"/>
  <c r="G774" i="16"/>
  <c r="F777" i="16"/>
  <c r="B781" i="16"/>
  <c r="G783" i="16"/>
  <c r="E786" i="16"/>
  <c r="C789" i="16"/>
  <c r="D792" i="16"/>
  <c r="B795" i="16"/>
  <c r="F797" i="16"/>
  <c r="C800" i="16"/>
  <c r="G802" i="16"/>
  <c r="D805" i="16"/>
  <c r="F807" i="16"/>
  <c r="H809" i="16"/>
  <c r="C812" i="16"/>
  <c r="E814" i="16"/>
  <c r="G816" i="16"/>
  <c r="B819" i="16"/>
  <c r="D821" i="16"/>
  <c r="F823" i="16"/>
  <c r="H825" i="16"/>
  <c r="C828" i="16"/>
  <c r="E830" i="16"/>
  <c r="G832" i="16"/>
  <c r="B835" i="16"/>
  <c r="D837" i="16"/>
  <c r="F839" i="16"/>
  <c r="H841" i="16"/>
  <c r="C844" i="16"/>
  <c r="E846" i="16"/>
  <c r="G848" i="16"/>
  <c r="B851" i="16"/>
  <c r="D853" i="16"/>
  <c r="F855" i="16"/>
  <c r="H857" i="16"/>
  <c r="C860" i="16"/>
  <c r="E862" i="16"/>
  <c r="G864" i="16"/>
  <c r="B867" i="16"/>
  <c r="D869" i="16"/>
  <c r="F871" i="16"/>
  <c r="H873" i="16"/>
  <c r="C876" i="16"/>
  <c r="E878" i="16"/>
  <c r="G880" i="16"/>
  <c r="B883" i="16"/>
  <c r="D885" i="16"/>
  <c r="F887" i="16"/>
  <c r="H889" i="16"/>
  <c r="C892" i="16"/>
  <c r="E894" i="16"/>
  <c r="G896" i="16"/>
  <c r="B899" i="16"/>
  <c r="D901" i="16"/>
  <c r="F903" i="16"/>
  <c r="H905" i="16"/>
  <c r="C908" i="16"/>
  <c r="E910" i="16"/>
  <c r="G912" i="16"/>
  <c r="B915" i="16"/>
  <c r="D917" i="16"/>
  <c r="F919" i="16"/>
  <c r="H921" i="16"/>
  <c r="C924" i="16"/>
  <c r="E926" i="16"/>
  <c r="G928" i="16"/>
  <c r="B931" i="16"/>
  <c r="D933" i="16"/>
  <c r="F935" i="16"/>
  <c r="H937" i="16"/>
  <c r="C940" i="16"/>
  <c r="E942" i="16"/>
  <c r="G944" i="16"/>
  <c r="B947" i="16"/>
  <c r="D949" i="16"/>
  <c r="F951" i="16"/>
  <c r="H953" i="16"/>
  <c r="C956" i="16"/>
  <c r="E958" i="16"/>
  <c r="G960" i="16"/>
  <c r="B963" i="16"/>
  <c r="D965" i="16"/>
  <c r="F967" i="16"/>
  <c r="H969" i="16"/>
  <c r="C972" i="16"/>
  <c r="E974" i="16"/>
  <c r="G976" i="16"/>
  <c r="B979" i="16"/>
  <c r="D981" i="16"/>
  <c r="F983" i="16"/>
  <c r="H985" i="16"/>
  <c r="C988" i="16"/>
  <c r="E990" i="16"/>
  <c r="G992" i="16"/>
  <c r="B995" i="16"/>
  <c r="D997" i="16"/>
  <c r="F999" i="16"/>
  <c r="H1001" i="16"/>
  <c r="C1004" i="16"/>
  <c r="E1006" i="16"/>
  <c r="G1008" i="16"/>
  <c r="B1011" i="16"/>
  <c r="D1013" i="16"/>
  <c r="F1015" i="16"/>
  <c r="H1017" i="16"/>
  <c r="C1020" i="16"/>
  <c r="E1022" i="16"/>
  <c r="G1024" i="16"/>
  <c r="B1027" i="16"/>
  <c r="D1029" i="16"/>
  <c r="F1031" i="16"/>
  <c r="H1033" i="16"/>
  <c r="C1036" i="16"/>
  <c r="E1038" i="16"/>
  <c r="G1040" i="16"/>
  <c r="B1043" i="16"/>
  <c r="C445" i="16"/>
  <c r="B497" i="16"/>
  <c r="C533" i="16"/>
  <c r="H562" i="16"/>
  <c r="H588" i="16"/>
  <c r="G610" i="16"/>
  <c r="B629" i="16"/>
  <c r="D647" i="16"/>
  <c r="F665" i="16"/>
  <c r="B677" i="16"/>
  <c r="F683" i="16"/>
  <c r="C690" i="16"/>
  <c r="D695" i="16"/>
  <c r="G701" i="16"/>
  <c r="F706" i="16"/>
  <c r="E711" i="16"/>
  <c r="F717" i="16"/>
  <c r="E722" i="16"/>
  <c r="D727" i="16"/>
  <c r="D733" i="16"/>
  <c r="B738" i="16"/>
  <c r="F742" i="16"/>
  <c r="C747" i="16"/>
  <c r="G751" i="16"/>
  <c r="B756" i="16"/>
  <c r="D759" i="16"/>
  <c r="H762" i="16"/>
  <c r="G765" i="16"/>
  <c r="F768" i="16"/>
  <c r="B772" i="16"/>
  <c r="H774" i="16"/>
  <c r="G777" i="16"/>
  <c r="C781" i="16"/>
  <c r="H783" i="16"/>
  <c r="F786" i="16"/>
  <c r="G789" i="16"/>
  <c r="E792" i="16"/>
  <c r="C795" i="16"/>
  <c r="G797" i="16"/>
  <c r="D800" i="16"/>
  <c r="H802" i="16"/>
  <c r="E805" i="16"/>
  <c r="G807" i="16"/>
  <c r="B810" i="16"/>
  <c r="D812" i="16"/>
  <c r="F814" i="16"/>
  <c r="H816" i="16"/>
  <c r="C819" i="16"/>
  <c r="E821" i="16"/>
  <c r="G823" i="16"/>
  <c r="B826" i="16"/>
  <c r="D828" i="16"/>
  <c r="F830" i="16"/>
  <c r="H832" i="16"/>
  <c r="C835" i="16"/>
  <c r="E837" i="16"/>
  <c r="G839" i="16"/>
  <c r="B842" i="16"/>
  <c r="D844" i="16"/>
  <c r="F846" i="16"/>
  <c r="H848" i="16"/>
  <c r="C851" i="16"/>
  <c r="E853" i="16"/>
  <c r="G855" i="16"/>
  <c r="B858" i="16"/>
  <c r="D860" i="16"/>
  <c r="F862" i="16"/>
  <c r="H864" i="16"/>
  <c r="C867" i="16"/>
  <c r="E869" i="16"/>
  <c r="G871" i="16"/>
  <c r="B874" i="16"/>
  <c r="D876" i="16"/>
  <c r="F878" i="16"/>
  <c r="H880" i="16"/>
  <c r="C883" i="16"/>
  <c r="E885" i="16"/>
  <c r="G887" i="16"/>
  <c r="B890" i="16"/>
  <c r="D892" i="16"/>
  <c r="F894" i="16"/>
  <c r="H896" i="16"/>
  <c r="C899" i="16"/>
  <c r="E901" i="16"/>
  <c r="G903" i="16"/>
  <c r="B906" i="16"/>
  <c r="D908" i="16"/>
  <c r="F910" i="16"/>
  <c r="H912" i="16"/>
  <c r="C915" i="16"/>
  <c r="E917" i="16"/>
  <c r="G919" i="16"/>
  <c r="B922" i="16"/>
  <c r="D924" i="16"/>
  <c r="F926" i="16"/>
  <c r="H928" i="16"/>
  <c r="C931" i="16"/>
  <c r="E933" i="16"/>
  <c r="G935" i="16"/>
  <c r="B938" i="16"/>
  <c r="D940" i="16"/>
  <c r="F942" i="16"/>
  <c r="H944" i="16"/>
  <c r="C947" i="16"/>
  <c r="E949" i="16"/>
  <c r="G951" i="16"/>
  <c r="B954" i="16"/>
  <c r="D956" i="16"/>
  <c r="F958" i="16"/>
  <c r="H960" i="16"/>
  <c r="C963" i="16"/>
  <c r="E965" i="16"/>
  <c r="G967" i="16"/>
  <c r="B970" i="16"/>
  <c r="D972" i="16"/>
  <c r="F974" i="16"/>
  <c r="H976" i="16"/>
  <c r="C979" i="16"/>
  <c r="E981" i="16"/>
  <c r="G983" i="16"/>
  <c r="B986" i="16"/>
  <c r="D988" i="16"/>
  <c r="F990" i="16"/>
  <c r="H992" i="16"/>
  <c r="C995" i="16"/>
  <c r="E997" i="16"/>
  <c r="G999" i="16"/>
  <c r="B1002" i="16"/>
  <c r="D1004" i="16"/>
  <c r="F1006" i="16"/>
  <c r="H1008" i="16"/>
  <c r="C1011" i="16"/>
  <c r="E1013" i="16"/>
  <c r="G1015" i="16"/>
  <c r="B1018" i="16"/>
  <c r="D1020" i="16"/>
  <c r="F1022" i="16"/>
  <c r="H1024" i="16"/>
  <c r="C1027" i="16"/>
  <c r="E1029" i="16"/>
  <c r="G1031" i="16"/>
  <c r="H454" i="16"/>
  <c r="G501" i="16"/>
  <c r="D536" i="16"/>
  <c r="G565" i="16"/>
  <c r="C592" i="16"/>
  <c r="H612" i="16"/>
  <c r="C631" i="16"/>
  <c r="E649" i="16"/>
  <c r="G667" i="16"/>
  <c r="C677" i="16"/>
  <c r="G683" i="16"/>
  <c r="D690" i="16"/>
  <c r="E695" i="16"/>
  <c r="H701" i="16"/>
  <c r="G706" i="16"/>
  <c r="G712" i="16"/>
  <c r="G717" i="16"/>
  <c r="F722" i="16"/>
  <c r="E727" i="16"/>
  <c r="F733" i="16"/>
  <c r="C738" i="16"/>
  <c r="G742" i="16"/>
  <c r="D747" i="16"/>
  <c r="H751" i="16"/>
  <c r="C756" i="16"/>
  <c r="E759" i="16"/>
  <c r="B763" i="16"/>
  <c r="H765" i="16"/>
  <c r="D769" i="16"/>
  <c r="C772" i="16"/>
  <c r="B775" i="16"/>
  <c r="E778" i="16"/>
  <c r="D781" i="16"/>
  <c r="B784" i="16"/>
  <c r="G786" i="16"/>
  <c r="H789" i="16"/>
  <c r="F792" i="16"/>
  <c r="D795" i="16"/>
  <c r="H797" i="16"/>
  <c r="E800" i="16"/>
  <c r="D803" i="16"/>
  <c r="F805" i="16"/>
  <c r="H807" i="16"/>
  <c r="C810" i="16"/>
  <c r="E812" i="16"/>
  <c r="G814" i="16"/>
  <c r="B817" i="16"/>
  <c r="D819" i="16"/>
  <c r="F821" i="16"/>
  <c r="H823" i="16"/>
  <c r="C826" i="16"/>
  <c r="E828" i="16"/>
  <c r="G830" i="16"/>
  <c r="B833" i="16"/>
  <c r="D835" i="16"/>
  <c r="F837" i="16"/>
  <c r="H839" i="16"/>
  <c r="C842" i="16"/>
  <c r="E844" i="16"/>
  <c r="G846" i="16"/>
  <c r="B849" i="16"/>
  <c r="D851" i="16"/>
  <c r="F853" i="16"/>
  <c r="H855" i="16"/>
  <c r="C858" i="16"/>
  <c r="E860" i="16"/>
  <c r="G862" i="16"/>
  <c r="B865" i="16"/>
  <c r="D867" i="16"/>
  <c r="F869" i="16"/>
  <c r="H871" i="16"/>
  <c r="C874" i="16"/>
  <c r="E876" i="16"/>
  <c r="G878" i="16"/>
  <c r="B881" i="16"/>
  <c r="D883" i="16"/>
  <c r="F885" i="16"/>
  <c r="H887" i="16"/>
  <c r="C890" i="16"/>
  <c r="E892" i="16"/>
  <c r="G894" i="16"/>
  <c r="B897" i="16"/>
  <c r="D899" i="16"/>
  <c r="F901" i="16"/>
  <c r="H903" i="16"/>
  <c r="C906" i="16"/>
  <c r="E908" i="16"/>
  <c r="G910" i="16"/>
  <c r="B913" i="16"/>
  <c r="D915" i="16"/>
  <c r="F917" i="16"/>
  <c r="H919" i="16"/>
  <c r="C922" i="16"/>
  <c r="E924" i="16"/>
  <c r="G926" i="16"/>
  <c r="B929" i="16"/>
  <c r="D931" i="16"/>
  <c r="F933" i="16"/>
  <c r="H935" i="16"/>
  <c r="C938" i="16"/>
  <c r="E940" i="16"/>
  <c r="G942" i="16"/>
  <c r="B945" i="16"/>
  <c r="D947" i="16"/>
  <c r="F949" i="16"/>
  <c r="H951" i="16"/>
  <c r="C954" i="16"/>
  <c r="E956" i="16"/>
  <c r="G958" i="16"/>
  <c r="B961" i="16"/>
  <c r="D963" i="16"/>
  <c r="F965" i="16"/>
  <c r="H967" i="16"/>
  <c r="C970" i="16"/>
  <c r="E972" i="16"/>
  <c r="G974" i="16"/>
  <c r="B977" i="16"/>
  <c r="D979" i="16"/>
  <c r="F981" i="16"/>
  <c r="H983" i="16"/>
  <c r="C986" i="16"/>
  <c r="E988" i="16"/>
  <c r="G990" i="16"/>
  <c r="B455" i="16"/>
  <c r="H501" i="16"/>
  <c r="E537" i="16"/>
  <c r="H565" i="16"/>
  <c r="D592" i="16"/>
  <c r="B613" i="16"/>
  <c r="D631" i="16"/>
  <c r="F649" i="16"/>
  <c r="H667" i="16"/>
  <c r="G678" i="16"/>
  <c r="H683" i="16"/>
  <c r="E690" i="16"/>
  <c r="B697" i="16"/>
  <c r="B702" i="16"/>
  <c r="H706" i="16"/>
  <c r="B713" i="16"/>
  <c r="H717" i="16"/>
  <c r="G722" i="16"/>
  <c r="G728" i="16"/>
  <c r="G733" i="16"/>
  <c r="D738" i="16"/>
  <c r="H742" i="16"/>
  <c r="E747" i="16"/>
  <c r="B752" i="16"/>
  <c r="D756" i="16"/>
  <c r="C760" i="16"/>
  <c r="C763" i="16"/>
  <c r="B766" i="16"/>
  <c r="E769" i="16"/>
  <c r="D772" i="16"/>
  <c r="C775" i="16"/>
  <c r="F778" i="16"/>
  <c r="E781" i="16"/>
  <c r="C784" i="16"/>
  <c r="H786" i="16"/>
  <c r="B790" i="16"/>
  <c r="G792" i="16"/>
  <c r="E795" i="16"/>
  <c r="B798" i="16"/>
  <c r="F800" i="16"/>
  <c r="E803" i="16"/>
  <c r="G805" i="16"/>
  <c r="B808" i="16"/>
  <c r="D810" i="16"/>
  <c r="F812" i="16"/>
  <c r="H814" i="16"/>
  <c r="C817" i="16"/>
  <c r="E819" i="16"/>
  <c r="G821" i="16"/>
  <c r="B824" i="16"/>
  <c r="D826" i="16"/>
  <c r="F828" i="16"/>
  <c r="H830" i="16"/>
  <c r="C833" i="16"/>
  <c r="E835" i="16"/>
  <c r="G837" i="16"/>
  <c r="B840" i="16"/>
  <c r="D842" i="16"/>
  <c r="F844" i="16"/>
  <c r="H846" i="16"/>
  <c r="C849" i="16"/>
  <c r="E851" i="16"/>
  <c r="G853" i="16"/>
  <c r="B856" i="16"/>
  <c r="D858" i="16"/>
  <c r="F860" i="16"/>
  <c r="H862" i="16"/>
  <c r="C865" i="16"/>
  <c r="E867" i="16"/>
  <c r="G869" i="16"/>
  <c r="B872" i="16"/>
  <c r="D874" i="16"/>
  <c r="F876" i="16"/>
  <c r="H878" i="16"/>
  <c r="C881" i="16"/>
  <c r="E883" i="16"/>
  <c r="G885" i="16"/>
  <c r="B888" i="16"/>
  <c r="D890" i="16"/>
  <c r="F892" i="16"/>
  <c r="H894" i="16"/>
  <c r="C897" i="16"/>
  <c r="E899" i="16"/>
  <c r="G901" i="16"/>
  <c r="B904" i="16"/>
  <c r="D906" i="16"/>
  <c r="F908" i="16"/>
  <c r="H910" i="16"/>
  <c r="C913" i="16"/>
  <c r="E915" i="16"/>
  <c r="G917" i="16"/>
  <c r="B920" i="16"/>
  <c r="D922" i="16"/>
  <c r="F924" i="16"/>
  <c r="H926" i="16"/>
  <c r="C929" i="16"/>
  <c r="E931" i="16"/>
  <c r="G933" i="16"/>
  <c r="B936" i="16"/>
  <c r="D938" i="16"/>
  <c r="F940" i="16"/>
  <c r="H942" i="16"/>
  <c r="C945" i="16"/>
  <c r="E947" i="16"/>
  <c r="G949" i="16"/>
  <c r="B952" i="16"/>
  <c r="D954" i="16"/>
  <c r="F956" i="16"/>
  <c r="H958" i="16"/>
  <c r="C961" i="16"/>
  <c r="E963" i="16"/>
  <c r="G965" i="16"/>
  <c r="B968" i="16"/>
  <c r="D970" i="16"/>
  <c r="F972" i="16"/>
  <c r="H974" i="16"/>
  <c r="C977" i="16"/>
  <c r="E979" i="16"/>
  <c r="G981" i="16"/>
  <c r="B984" i="16"/>
  <c r="D986" i="16"/>
  <c r="F988" i="16"/>
  <c r="H990" i="16"/>
  <c r="C993" i="16"/>
  <c r="E995" i="16"/>
  <c r="G997" i="16"/>
  <c r="B1000" i="16"/>
  <c r="D1002" i="16"/>
  <c r="F1004" i="16"/>
  <c r="H1006" i="16"/>
  <c r="C1009" i="16"/>
  <c r="E1011" i="16"/>
  <c r="G1013" i="16"/>
  <c r="B1016" i="16"/>
  <c r="D1018" i="16"/>
  <c r="F1020" i="16"/>
  <c r="H1022" i="16"/>
  <c r="C1025" i="16"/>
  <c r="E1027" i="16"/>
  <c r="G1029" i="16"/>
  <c r="D460" i="16"/>
  <c r="F506" i="16"/>
  <c r="F540" i="16"/>
  <c r="E569" i="16"/>
  <c r="H594" i="16"/>
  <c r="C615" i="16"/>
  <c r="E633" i="16"/>
  <c r="G651" i="16"/>
  <c r="B668" i="16"/>
  <c r="H678" i="16"/>
  <c r="B684" i="16"/>
  <c r="F690" i="16"/>
  <c r="C697" i="16"/>
  <c r="C702" i="16"/>
  <c r="C708" i="16"/>
  <c r="C713" i="16"/>
  <c r="B718" i="16"/>
  <c r="H722" i="16"/>
  <c r="B729" i="16"/>
  <c r="H733" i="16"/>
  <c r="E738" i="16"/>
  <c r="B743" i="16"/>
  <c r="F747" i="16"/>
  <c r="C752" i="16"/>
  <c r="E756" i="16"/>
  <c r="E760" i="16"/>
  <c r="D763" i="16"/>
  <c r="C766" i="16"/>
  <c r="F769" i="16"/>
  <c r="E772" i="16"/>
  <c r="D775" i="16"/>
  <c r="G778" i="16"/>
  <c r="F781" i="16"/>
  <c r="D784" i="16"/>
  <c r="E787" i="16"/>
  <c r="C790" i="16"/>
  <c r="H792" i="16"/>
  <c r="F795" i="16"/>
  <c r="C798" i="16"/>
  <c r="B801" i="16"/>
  <c r="F803" i="16"/>
  <c r="H805" i="16"/>
  <c r="C808" i="16"/>
  <c r="E810" i="16"/>
  <c r="G812" i="16"/>
  <c r="B815" i="16"/>
  <c r="D817" i="16"/>
  <c r="F819" i="16"/>
  <c r="H821" i="16"/>
  <c r="C824" i="16"/>
  <c r="E826" i="16"/>
  <c r="G828" i="16"/>
  <c r="B831" i="16"/>
  <c r="D833" i="16"/>
  <c r="F835" i="16"/>
  <c r="H837" i="16"/>
  <c r="C840" i="16"/>
  <c r="E842" i="16"/>
  <c r="G844" i="16"/>
  <c r="B847" i="16"/>
  <c r="D849" i="16"/>
  <c r="F851" i="16"/>
  <c r="H853" i="16"/>
  <c r="C856" i="16"/>
  <c r="E858" i="16"/>
  <c r="G860" i="16"/>
  <c r="B863" i="16"/>
  <c r="D865" i="16"/>
  <c r="F867" i="16"/>
  <c r="H869" i="16"/>
  <c r="C872" i="16"/>
  <c r="E874" i="16"/>
  <c r="G876" i="16"/>
  <c r="B879" i="16"/>
  <c r="D881" i="16"/>
  <c r="F883" i="16"/>
  <c r="H885" i="16"/>
  <c r="C888" i="16"/>
  <c r="E890" i="16"/>
  <c r="G892" i="16"/>
  <c r="B895" i="16"/>
  <c r="D897" i="16"/>
  <c r="F899" i="16"/>
  <c r="H901" i="16"/>
  <c r="C904" i="16"/>
  <c r="E906" i="16"/>
  <c r="G908" i="16"/>
  <c r="B911" i="16"/>
  <c r="D913" i="16"/>
  <c r="F915" i="16"/>
  <c r="H917" i="16"/>
  <c r="C920" i="16"/>
  <c r="E922" i="16"/>
  <c r="G924" i="16"/>
  <c r="B927" i="16"/>
  <c r="D929" i="16"/>
  <c r="F931" i="16"/>
  <c r="H933" i="16"/>
  <c r="C936" i="16"/>
  <c r="E938" i="16"/>
  <c r="G940" i="16"/>
  <c r="B943" i="16"/>
  <c r="D945" i="16"/>
  <c r="F947" i="16"/>
  <c r="H949" i="16"/>
  <c r="C952" i="16"/>
  <c r="E954" i="16"/>
  <c r="G956" i="16"/>
  <c r="B959" i="16"/>
  <c r="D961" i="16"/>
  <c r="F963" i="16"/>
  <c r="H965" i="16"/>
  <c r="C968" i="16"/>
  <c r="E970" i="16"/>
  <c r="G972" i="16"/>
  <c r="B975" i="16"/>
  <c r="D977" i="16"/>
  <c r="F979" i="16"/>
  <c r="H981" i="16"/>
  <c r="C984" i="16"/>
  <c r="E986" i="16"/>
  <c r="G988" i="16"/>
  <c r="B991" i="16"/>
  <c r="B462" i="16"/>
  <c r="G507" i="16"/>
  <c r="G540" i="16"/>
  <c r="F569" i="16"/>
  <c r="B595" i="16"/>
  <c r="D615" i="16"/>
  <c r="F633" i="16"/>
  <c r="H651" i="16"/>
  <c r="B670" i="16"/>
  <c r="B679" i="16"/>
  <c r="F685" i="16"/>
  <c r="G690" i="16"/>
  <c r="D697" i="16"/>
  <c r="D702" i="16"/>
  <c r="E708" i="16"/>
  <c r="D713" i="16"/>
  <c r="C718" i="16"/>
  <c r="C724" i="16"/>
  <c r="C729" i="16"/>
  <c r="B734" i="16"/>
  <c r="F738" i="16"/>
  <c r="C743" i="16"/>
  <c r="G747" i="16"/>
  <c r="D752" i="16"/>
  <c r="F756" i="16"/>
  <c r="F760" i="16"/>
  <c r="E763" i="16"/>
  <c r="D766" i="16"/>
  <c r="G769" i="16"/>
  <c r="F772" i="16"/>
  <c r="E775" i="16"/>
  <c r="H778" i="16"/>
  <c r="G781" i="16"/>
  <c r="E784" i="16"/>
  <c r="F787" i="16"/>
  <c r="D790" i="16"/>
  <c r="B793" i="16"/>
  <c r="G795" i="16"/>
  <c r="D798" i="16"/>
  <c r="C801" i="16"/>
  <c r="G803" i="16"/>
  <c r="B806" i="16"/>
  <c r="D808" i="16"/>
  <c r="F810" i="16"/>
  <c r="H812" i="16"/>
  <c r="C815" i="16"/>
  <c r="E817" i="16"/>
  <c r="G819" i="16"/>
  <c r="B822" i="16"/>
  <c r="D824" i="16"/>
  <c r="F826" i="16"/>
  <c r="H828" i="16"/>
  <c r="C831" i="16"/>
  <c r="E833" i="16"/>
  <c r="G835" i="16"/>
  <c r="B838" i="16"/>
  <c r="D840" i="16"/>
  <c r="F842" i="16"/>
  <c r="H844" i="16"/>
  <c r="C847" i="16"/>
  <c r="E849" i="16"/>
  <c r="G851" i="16"/>
  <c r="B854" i="16"/>
  <c r="D856" i="16"/>
  <c r="F858" i="16"/>
  <c r="H860" i="16"/>
  <c r="C863" i="16"/>
  <c r="E865" i="16"/>
  <c r="G867" i="16"/>
  <c r="B870" i="16"/>
  <c r="D872" i="16"/>
  <c r="F874" i="16"/>
  <c r="H876" i="16"/>
  <c r="C879" i="16"/>
  <c r="E881" i="16"/>
  <c r="G883" i="16"/>
  <c r="B886" i="16"/>
  <c r="D888" i="16"/>
  <c r="F890" i="16"/>
  <c r="H892" i="16"/>
  <c r="C895" i="16"/>
  <c r="E897" i="16"/>
  <c r="G899" i="16"/>
  <c r="B902" i="16"/>
  <c r="D904" i="16"/>
  <c r="F906" i="16"/>
  <c r="H908" i="16"/>
  <c r="C911" i="16"/>
  <c r="G214" i="16"/>
  <c r="D467" i="16"/>
  <c r="C511" i="16"/>
  <c r="H544" i="16"/>
  <c r="E572" i="16"/>
  <c r="E597" i="16"/>
  <c r="E617" i="16"/>
  <c r="G635" i="16"/>
  <c r="B654" i="16"/>
  <c r="C670" i="16"/>
  <c r="C679" i="16"/>
  <c r="G685" i="16"/>
  <c r="H690" i="16"/>
  <c r="E697" i="16"/>
  <c r="F703" i="16"/>
  <c r="F708" i="16"/>
  <c r="E713" i="16"/>
  <c r="D718" i="16"/>
  <c r="E724" i="16"/>
  <c r="D729" i="16"/>
  <c r="C734" i="16"/>
  <c r="G738" i="16"/>
  <c r="D743" i="16"/>
  <c r="H747" i="16"/>
  <c r="E752" i="16"/>
  <c r="G756" i="16"/>
  <c r="G760" i="16"/>
  <c r="F763" i="16"/>
  <c r="B767" i="16"/>
  <c r="H769" i="16"/>
  <c r="G772" i="16"/>
  <c r="C776" i="16"/>
  <c r="B779" i="16"/>
  <c r="H781" i="16"/>
  <c r="F784" i="16"/>
  <c r="G787" i="16"/>
  <c r="E790" i="16"/>
  <c r="C793" i="16"/>
  <c r="H795" i="16"/>
  <c r="G798" i="16"/>
  <c r="D801" i="16"/>
  <c r="H803" i="16"/>
  <c r="C806" i="16"/>
  <c r="E808" i="16"/>
  <c r="G810" i="16"/>
  <c r="B813" i="16"/>
  <c r="D815" i="16"/>
  <c r="F817" i="16"/>
  <c r="H819" i="16"/>
  <c r="C822" i="16"/>
  <c r="E824" i="16"/>
  <c r="G826" i="16"/>
  <c r="B829" i="16"/>
  <c r="D831" i="16"/>
  <c r="F833" i="16"/>
  <c r="H835" i="16"/>
  <c r="C838" i="16"/>
  <c r="E840" i="16"/>
  <c r="G842" i="16"/>
  <c r="B845" i="16"/>
  <c r="D847" i="16"/>
  <c r="F849" i="16"/>
  <c r="H851" i="16"/>
  <c r="C854" i="16"/>
  <c r="E856" i="16"/>
  <c r="G858" i="16"/>
  <c r="B861" i="16"/>
  <c r="D863" i="16"/>
  <c r="F865" i="16"/>
  <c r="H867" i="16"/>
  <c r="C870" i="16"/>
  <c r="E872" i="16"/>
  <c r="G874" i="16"/>
  <c r="B877" i="16"/>
  <c r="D879" i="16"/>
  <c r="F881" i="16"/>
  <c r="H883" i="16"/>
  <c r="C886" i="16"/>
  <c r="E888" i="16"/>
  <c r="G890" i="16"/>
  <c r="B893" i="16"/>
  <c r="D895" i="16"/>
  <c r="F897" i="16"/>
  <c r="H899" i="16"/>
  <c r="C902" i="16"/>
  <c r="E904" i="16"/>
  <c r="G906" i="16"/>
  <c r="B909" i="16"/>
  <c r="D911" i="16"/>
  <c r="F913" i="16"/>
  <c r="H915" i="16"/>
  <c r="C918" i="16"/>
  <c r="E920" i="16"/>
  <c r="G922" i="16"/>
  <c r="B925" i="16"/>
  <c r="D927" i="16"/>
  <c r="F929" i="16"/>
  <c r="H931" i="16"/>
  <c r="C934" i="16"/>
  <c r="E936" i="16"/>
  <c r="G938" i="16"/>
  <c r="B941" i="16"/>
  <c r="D943" i="16"/>
  <c r="F945" i="16"/>
  <c r="H947" i="16"/>
  <c r="C950" i="16"/>
  <c r="E952" i="16"/>
  <c r="G954" i="16"/>
  <c r="B957" i="16"/>
  <c r="D959" i="16"/>
  <c r="F961" i="16"/>
  <c r="H236" i="16"/>
  <c r="E467" i="16"/>
  <c r="D512" i="16"/>
  <c r="B545" i="16"/>
  <c r="F572" i="16"/>
  <c r="F597" i="16"/>
  <c r="F617" i="16"/>
  <c r="H635" i="16"/>
  <c r="C654" i="16"/>
  <c r="D670" i="16"/>
  <c r="D679" i="16"/>
  <c r="H685" i="16"/>
  <c r="E692" i="16"/>
  <c r="F697" i="16"/>
  <c r="H703" i="16"/>
  <c r="G708" i="16"/>
  <c r="F713" i="16"/>
  <c r="F719" i="16"/>
  <c r="F724" i="16"/>
  <c r="E729" i="16"/>
  <c r="D734" i="16"/>
  <c r="H738" i="16"/>
  <c r="E743" i="16"/>
  <c r="B748" i="16"/>
  <c r="F752" i="16"/>
  <c r="H756" i="16"/>
  <c r="H760" i="16"/>
  <c r="G763" i="16"/>
  <c r="C767" i="16"/>
  <c r="B770" i="16"/>
  <c r="H772" i="16"/>
  <c r="D776" i="16"/>
  <c r="C779" i="16"/>
  <c r="B782" i="16"/>
  <c r="C785" i="16"/>
  <c r="H787" i="16"/>
  <c r="F790" i="16"/>
  <c r="D793" i="16"/>
  <c r="B796" i="16"/>
  <c r="H798" i="16"/>
  <c r="E801" i="16"/>
  <c r="B804" i="16"/>
  <c r="D806" i="16"/>
  <c r="F808" i="16"/>
  <c r="H810" i="16"/>
  <c r="C813" i="16"/>
  <c r="E815" i="16"/>
  <c r="G817" i="16"/>
  <c r="B820" i="16"/>
  <c r="D822" i="16"/>
  <c r="F824" i="16"/>
  <c r="H826" i="16"/>
  <c r="C829" i="16"/>
  <c r="E831" i="16"/>
  <c r="G833" i="16"/>
  <c r="B836" i="16"/>
  <c r="D838" i="16"/>
  <c r="F840" i="16"/>
  <c r="H842" i="16"/>
  <c r="C845" i="16"/>
  <c r="E847" i="16"/>
  <c r="G849" i="16"/>
  <c r="B852" i="16"/>
  <c r="D854" i="16"/>
  <c r="F856" i="16"/>
  <c r="H858" i="16"/>
  <c r="C861" i="16"/>
  <c r="E863" i="16"/>
  <c r="G865" i="16"/>
  <c r="B868" i="16"/>
  <c r="D870" i="16"/>
  <c r="F872" i="16"/>
  <c r="H874" i="16"/>
  <c r="C877" i="16"/>
  <c r="E879" i="16"/>
  <c r="G881" i="16"/>
  <c r="B884" i="16"/>
  <c r="D886" i="16"/>
  <c r="F888" i="16"/>
  <c r="H890" i="16"/>
  <c r="C893" i="16"/>
  <c r="E895" i="16"/>
  <c r="G897" i="16"/>
  <c r="B900" i="16"/>
  <c r="D902" i="16"/>
  <c r="F904" i="16"/>
  <c r="H906" i="16"/>
  <c r="C909" i="16"/>
  <c r="E911" i="16"/>
  <c r="G913" i="16"/>
  <c r="B916" i="16"/>
  <c r="D918" i="16"/>
  <c r="F920" i="16"/>
  <c r="H922" i="16"/>
  <c r="C925" i="16"/>
  <c r="E927" i="16"/>
  <c r="G929" i="16"/>
  <c r="B932" i="16"/>
  <c r="D934" i="16"/>
  <c r="F936" i="16"/>
  <c r="H938" i="16"/>
  <c r="C941" i="16"/>
  <c r="E943" i="16"/>
  <c r="G945" i="16"/>
  <c r="B948" i="16"/>
  <c r="D950" i="16"/>
  <c r="C328" i="16"/>
  <c r="B474" i="16"/>
  <c r="G515" i="16"/>
  <c r="C549" i="16"/>
  <c r="C576" i="16"/>
  <c r="B600" i="16"/>
  <c r="G619" i="16"/>
  <c r="B638" i="16"/>
  <c r="D656" i="16"/>
  <c r="D672" i="16"/>
  <c r="E679" i="16"/>
  <c r="B686" i="16"/>
  <c r="F692" i="16"/>
  <c r="G697" i="16"/>
  <c r="B704" i="16"/>
  <c r="H708" i="16"/>
  <c r="G713" i="16"/>
  <c r="H719" i="16"/>
  <c r="G724" i="16"/>
  <c r="F729" i="16"/>
  <c r="F735" i="16"/>
  <c r="C740" i="16"/>
  <c r="G744" i="16"/>
  <c r="D749" i="16"/>
  <c r="G753" i="16"/>
  <c r="B757" i="16"/>
  <c r="B761" i="16"/>
  <c r="H763" i="16"/>
  <c r="D767" i="16"/>
  <c r="C770" i="16"/>
  <c r="B773" i="16"/>
  <c r="E776" i="16"/>
  <c r="D779" i="16"/>
  <c r="C782" i="16"/>
  <c r="D785" i="16"/>
  <c r="B788" i="16"/>
  <c r="G790" i="16"/>
  <c r="E793" i="16"/>
  <c r="E796" i="16"/>
  <c r="B799" i="16"/>
  <c r="F801" i="16"/>
  <c r="C804" i="16"/>
  <c r="E806" i="16"/>
  <c r="G808" i="16"/>
  <c r="B811" i="16"/>
  <c r="D813" i="16"/>
  <c r="F815" i="16"/>
  <c r="H817" i="16"/>
  <c r="C820" i="16"/>
  <c r="E822" i="16"/>
  <c r="G824" i="16"/>
  <c r="B827" i="16"/>
  <c r="D829" i="16"/>
  <c r="F831" i="16"/>
  <c r="H833" i="16"/>
  <c r="C836" i="16"/>
  <c r="E838" i="16"/>
  <c r="G840" i="16"/>
  <c r="B843" i="16"/>
  <c r="D845" i="16"/>
  <c r="F847" i="16"/>
  <c r="H849" i="16"/>
  <c r="C852" i="16"/>
  <c r="E854" i="16"/>
  <c r="G856" i="16"/>
  <c r="B859" i="16"/>
  <c r="D861" i="16"/>
  <c r="F863" i="16"/>
  <c r="H865" i="16"/>
  <c r="C868" i="16"/>
  <c r="E870" i="16"/>
  <c r="G872" i="16"/>
  <c r="B875" i="16"/>
  <c r="D877" i="16"/>
  <c r="F879" i="16"/>
  <c r="H881" i="16"/>
  <c r="C884" i="16"/>
  <c r="E886" i="16"/>
  <c r="C336" i="16"/>
  <c r="C474" i="16"/>
  <c r="H516" i="16"/>
  <c r="D549" i="16"/>
  <c r="D576" i="16"/>
  <c r="C600" i="16"/>
  <c r="H619" i="16"/>
  <c r="C638" i="16"/>
  <c r="E656" i="16"/>
  <c r="E672" i="16"/>
  <c r="B681" i="16"/>
  <c r="C686" i="16"/>
  <c r="G692" i="16"/>
  <c r="D699" i="16"/>
  <c r="C704" i="16"/>
  <c r="B709" i="16"/>
  <c r="B715" i="16"/>
  <c r="B720" i="16"/>
  <c r="H724" i="16"/>
  <c r="G729" i="16"/>
  <c r="G735" i="16"/>
  <c r="D740" i="16"/>
  <c r="H744" i="16"/>
  <c r="E749" i="16"/>
  <c r="H753" i="16"/>
  <c r="C757" i="16"/>
  <c r="C761" i="16"/>
  <c r="B764" i="16"/>
  <c r="E767" i="16"/>
  <c r="D770" i="16"/>
  <c r="C773" i="16"/>
  <c r="F776" i="16"/>
  <c r="E779" i="16"/>
  <c r="D782" i="16"/>
  <c r="E785" i="16"/>
  <c r="C788" i="16"/>
  <c r="H790" i="16"/>
  <c r="F793" i="16"/>
  <c r="F796" i="16"/>
  <c r="C799" i="16"/>
  <c r="G801" i="16"/>
  <c r="D804" i="16"/>
  <c r="F806" i="16"/>
  <c r="H808" i="16"/>
  <c r="C811" i="16"/>
  <c r="E813" i="16"/>
  <c r="G815" i="16"/>
  <c r="B818" i="16"/>
  <c r="D820" i="16"/>
  <c r="F822" i="16"/>
  <c r="H824" i="16"/>
  <c r="C827" i="16"/>
  <c r="E829" i="16"/>
  <c r="G831" i="16"/>
  <c r="B834" i="16"/>
  <c r="D836" i="16"/>
  <c r="F838" i="16"/>
  <c r="H840" i="16"/>
  <c r="C843" i="16"/>
  <c r="E845" i="16"/>
  <c r="G847" i="16"/>
  <c r="B850" i="16"/>
  <c r="D852" i="16"/>
  <c r="F854" i="16"/>
  <c r="H856" i="16"/>
  <c r="C859" i="16"/>
  <c r="E861" i="16"/>
  <c r="G863" i="16"/>
  <c r="B866" i="16"/>
  <c r="D868" i="16"/>
  <c r="F870" i="16"/>
  <c r="H872" i="16"/>
  <c r="C875" i="16"/>
  <c r="E877" i="16"/>
  <c r="G879" i="16"/>
  <c r="B882" i="16"/>
  <c r="D884" i="16"/>
  <c r="F886" i="16"/>
  <c r="H888" i="16"/>
  <c r="C891" i="16"/>
  <c r="E893" i="16"/>
  <c r="G895" i="16"/>
  <c r="B898" i="16"/>
  <c r="D900" i="16"/>
  <c r="F902" i="16"/>
  <c r="H375" i="16"/>
  <c r="C479" i="16"/>
  <c r="C520" i="16"/>
  <c r="D552" i="16"/>
  <c r="C579" i="16"/>
  <c r="F602" i="16"/>
  <c r="B622" i="16"/>
  <c r="D640" i="16"/>
  <c r="F658" i="16"/>
  <c r="F672" i="16"/>
  <c r="C681" i="16"/>
  <c r="D686" i="16"/>
  <c r="H692" i="16"/>
  <c r="E699" i="16"/>
  <c r="D704" i="16"/>
  <c r="C709" i="16"/>
  <c r="D715" i="16"/>
  <c r="C720" i="16"/>
  <c r="B725" i="16"/>
  <c r="B731" i="16"/>
  <c r="H735" i="16"/>
  <c r="E740" i="16"/>
  <c r="B745" i="16"/>
  <c r="F749" i="16"/>
  <c r="B754" i="16"/>
  <c r="D758" i="16"/>
  <c r="D761" i="16"/>
  <c r="G764" i="16"/>
  <c r="F767" i="16"/>
  <c r="E770" i="16"/>
  <c r="H773" i="16"/>
  <c r="G776" i="16"/>
  <c r="F779" i="16"/>
  <c r="H782" i="16"/>
  <c r="F785" i="16"/>
  <c r="D788" i="16"/>
  <c r="B791" i="16"/>
  <c r="G793" i="16"/>
  <c r="G796" i="16"/>
  <c r="D799" i="16"/>
  <c r="H801" i="16"/>
  <c r="E804" i="16"/>
  <c r="G806" i="16"/>
  <c r="B809" i="16"/>
  <c r="D811" i="16"/>
  <c r="F813" i="16"/>
  <c r="H815" i="16"/>
  <c r="C818" i="16"/>
  <c r="E820" i="16"/>
  <c r="G822" i="16"/>
  <c r="B825" i="16"/>
  <c r="D827" i="16"/>
  <c r="F829" i="16"/>
  <c r="H831" i="16"/>
  <c r="C834" i="16"/>
  <c r="E836" i="16"/>
  <c r="G838" i="16"/>
  <c r="B841" i="16"/>
  <c r="D843" i="16"/>
  <c r="F845" i="16"/>
  <c r="H847" i="16"/>
  <c r="C850" i="16"/>
  <c r="E852" i="16"/>
  <c r="G854" i="16"/>
  <c r="B857" i="16"/>
  <c r="D859" i="16"/>
  <c r="F861" i="16"/>
  <c r="H863" i="16"/>
  <c r="C866" i="16"/>
  <c r="E868" i="16"/>
  <c r="G870" i="16"/>
  <c r="B873" i="16"/>
  <c r="D875" i="16"/>
  <c r="F877" i="16"/>
  <c r="H879" i="16"/>
  <c r="C882" i="16"/>
  <c r="E884" i="16"/>
  <c r="G886" i="16"/>
  <c r="B889" i="16"/>
  <c r="D891" i="16"/>
  <c r="F893" i="16"/>
  <c r="H895" i="16"/>
  <c r="C898" i="16"/>
  <c r="E900" i="16"/>
  <c r="G902" i="16"/>
  <c r="F409" i="16"/>
  <c r="H485" i="16"/>
  <c r="F524" i="16"/>
  <c r="C556" i="16"/>
  <c r="B583" i="16"/>
  <c r="F605" i="16"/>
  <c r="E624" i="16"/>
  <c r="G642" i="16"/>
  <c r="B661" i="16"/>
  <c r="H674" i="16"/>
  <c r="F681" i="16"/>
  <c r="C688" i="16"/>
  <c r="G694" i="16"/>
  <c r="H699" i="16"/>
  <c r="H705" i="16"/>
  <c r="H710" i="16"/>
  <c r="G715" i="16"/>
  <c r="F720" i="16"/>
  <c r="G726" i="16"/>
  <c r="F731" i="16"/>
  <c r="D736" i="16"/>
  <c r="H740" i="16"/>
  <c r="E745" i="16"/>
  <c r="B750" i="16"/>
  <c r="E754" i="16"/>
  <c r="G758" i="16"/>
  <c r="G761" i="16"/>
  <c r="C765" i="16"/>
  <c r="B768" i="16"/>
  <c r="H770" i="16"/>
  <c r="D774" i="16"/>
  <c r="C777" i="16"/>
  <c r="B780" i="16"/>
  <c r="D783" i="16"/>
  <c r="B786" i="16"/>
  <c r="G788" i="16"/>
  <c r="E791" i="16"/>
  <c r="F794" i="16"/>
  <c r="C797" i="16"/>
  <c r="G799" i="16"/>
  <c r="D802" i="16"/>
  <c r="H804" i="16"/>
  <c r="C807" i="16"/>
  <c r="E809" i="16"/>
  <c r="G811" i="16"/>
  <c r="B814" i="16"/>
  <c r="D816" i="16"/>
  <c r="F818" i="16"/>
  <c r="H820" i="16"/>
  <c r="C823" i="16"/>
  <c r="E825" i="16"/>
  <c r="G827" i="16"/>
  <c r="B830" i="16"/>
  <c r="D832" i="16"/>
  <c r="F834" i="16"/>
  <c r="H836" i="16"/>
  <c r="C839" i="16"/>
  <c r="E841" i="16"/>
  <c r="G843" i="16"/>
  <c r="B846" i="16"/>
  <c r="D848" i="16"/>
  <c r="F850" i="16"/>
  <c r="H852" i="16"/>
  <c r="C855" i="16"/>
  <c r="E857" i="16"/>
  <c r="G859" i="16"/>
  <c r="B862" i="16"/>
  <c r="D864" i="16"/>
  <c r="F866" i="16"/>
  <c r="H868" i="16"/>
  <c r="C871" i="16"/>
  <c r="E873" i="16"/>
  <c r="G875" i="16"/>
  <c r="B878" i="16"/>
  <c r="E1043" i="16"/>
  <c r="D1040" i="16"/>
  <c r="F1037" i="16"/>
  <c r="H1034" i="16"/>
  <c r="C1032" i="16"/>
  <c r="F1028" i="16"/>
  <c r="F1025" i="16"/>
  <c r="H1021" i="16"/>
  <c r="H1018" i="16"/>
  <c r="C1015" i="16"/>
  <c r="C1012" i="16"/>
  <c r="B1009" i="16"/>
  <c r="E1005" i="16"/>
  <c r="E1002" i="16"/>
  <c r="G998" i="16"/>
  <c r="G995" i="16"/>
  <c r="B992" i="16"/>
  <c r="G987" i="16"/>
  <c r="E984" i="16"/>
  <c r="C980" i="16"/>
  <c r="H975" i="16"/>
  <c r="F971" i="16"/>
  <c r="D968" i="16"/>
  <c r="B964" i="16"/>
  <c r="F959" i="16"/>
  <c r="B955" i="16"/>
  <c r="E950" i="16"/>
  <c r="D944" i="16"/>
  <c r="E939" i="16"/>
  <c r="F934" i="16"/>
  <c r="E929" i="16"/>
  <c r="F923" i="16"/>
  <c r="G918" i="16"/>
  <c r="H913" i="16"/>
  <c r="E907" i="16"/>
  <c r="F900" i="16"/>
  <c r="E891" i="16"/>
  <c r="C880" i="16"/>
  <c r="H861" i="16"/>
  <c r="F843" i="16"/>
  <c r="D825" i="16"/>
  <c r="B807" i="16"/>
  <c r="H785" i="16"/>
  <c r="F761" i="16"/>
  <c r="E726" i="16"/>
  <c r="E681" i="16"/>
  <c r="E524" i="16"/>
  <c r="A11" i="16"/>
  <c r="D1043" i="16"/>
  <c r="C1040" i="16"/>
  <c r="E1037" i="16"/>
  <c r="G1034" i="16"/>
  <c r="B1032" i="16"/>
  <c r="E1028" i="16"/>
  <c r="E1025" i="16"/>
  <c r="G1021" i="16"/>
  <c r="G1018" i="16"/>
  <c r="B1015" i="16"/>
  <c r="B1012" i="16"/>
  <c r="D1008" i="16"/>
  <c r="D1005" i="16"/>
  <c r="C1002" i="16"/>
  <c r="F998" i="16"/>
  <c r="F995" i="16"/>
  <c r="H991" i="16"/>
  <c r="F987" i="16"/>
  <c r="D984" i="16"/>
  <c r="B980" i="16"/>
  <c r="G975" i="16"/>
  <c r="E971" i="16"/>
  <c r="C967" i="16"/>
  <c r="H963" i="16"/>
  <c r="E959" i="16"/>
  <c r="H954" i="16"/>
  <c r="B950" i="16"/>
  <c r="C944" i="16"/>
  <c r="D939" i="16"/>
  <c r="E934" i="16"/>
  <c r="D928" i="16"/>
  <c r="E923" i="16"/>
  <c r="F918" i="16"/>
  <c r="E913" i="16"/>
  <c r="D907" i="16"/>
  <c r="C900" i="16"/>
  <c r="B891" i="16"/>
  <c r="B880" i="16"/>
  <c r="G861" i="16"/>
  <c r="E843" i="16"/>
  <c r="C825" i="16"/>
  <c r="H806" i="16"/>
  <c r="G785" i="16"/>
  <c r="E761" i="16"/>
  <c r="C725" i="16"/>
  <c r="D681" i="16"/>
  <c r="D520" i="16"/>
  <c r="C1043" i="16"/>
  <c r="B1040" i="16"/>
  <c r="D1037" i="16"/>
  <c r="F1034" i="16"/>
  <c r="H1031" i="16"/>
  <c r="D1028" i="16"/>
  <c r="D1025" i="16"/>
  <c r="F1021" i="16"/>
  <c r="F1018" i="16"/>
  <c r="H1014" i="16"/>
  <c r="H1011" i="16"/>
  <c r="C1008" i="16"/>
  <c r="C1005" i="16"/>
  <c r="E1001" i="16"/>
  <c r="E998" i="16"/>
  <c r="D995" i="16"/>
  <c r="G991" i="16"/>
  <c r="E987" i="16"/>
  <c r="C983" i="16"/>
  <c r="H979" i="16"/>
  <c r="F975" i="16"/>
  <c r="D971" i="16"/>
  <c r="B967" i="16"/>
  <c r="G963" i="16"/>
  <c r="C959" i="16"/>
  <c r="F954" i="16"/>
  <c r="H948" i="16"/>
  <c r="B944" i="16"/>
  <c r="C939" i="16"/>
  <c r="B934" i="16"/>
  <c r="C928" i="16"/>
  <c r="D923" i="16"/>
  <c r="E918" i="16"/>
  <c r="D912" i="16"/>
  <c r="C907" i="16"/>
  <c r="F898" i="16"/>
  <c r="E889" i="16"/>
  <c r="H877" i="16"/>
  <c r="F859" i="16"/>
  <c r="D841" i="16"/>
  <c r="B823" i="16"/>
  <c r="G804" i="16"/>
  <c r="C783" i="16"/>
  <c r="F758" i="16"/>
  <c r="E720" i="16"/>
  <c r="G674" i="16"/>
  <c r="G485" i="16"/>
  <c r="F1042" i="16"/>
  <c r="H1039" i="16"/>
  <c r="C1037" i="16"/>
  <c r="E1034" i="16"/>
  <c r="C1031" i="16"/>
  <c r="C1028" i="16"/>
  <c r="B1025" i="16"/>
  <c r="E1021" i="16"/>
  <c r="E1018" i="16"/>
  <c r="G1014" i="16"/>
  <c r="G1011" i="16"/>
  <c r="B1008" i="16"/>
  <c r="B1005" i="16"/>
  <c r="D1001" i="16"/>
  <c r="D998" i="16"/>
  <c r="F994" i="16"/>
  <c r="F991" i="16"/>
  <c r="D987" i="16"/>
  <c r="B983" i="16"/>
  <c r="G979" i="16"/>
  <c r="E975" i="16"/>
  <c r="C971" i="16"/>
  <c r="H966" i="16"/>
  <c r="F962" i="16"/>
  <c r="B958" i="16"/>
  <c r="E953" i="16"/>
  <c r="G948" i="16"/>
  <c r="H943" i="16"/>
  <c r="B939" i="16"/>
  <c r="H932" i="16"/>
  <c r="B928" i="16"/>
  <c r="C923" i="16"/>
  <c r="B918" i="16"/>
  <c r="C912" i="16"/>
  <c r="B907" i="16"/>
  <c r="E898" i="16"/>
  <c r="D889" i="16"/>
  <c r="G877" i="16"/>
  <c r="E859" i="16"/>
  <c r="C841" i="16"/>
  <c r="H822" i="16"/>
  <c r="F804" i="16"/>
  <c r="B783" i="16"/>
  <c r="E758" i="16"/>
  <c r="D720" i="16"/>
  <c r="F674" i="16"/>
  <c r="G480" i="16"/>
  <c r="E1042" i="16"/>
  <c r="G1039" i="16"/>
  <c r="B1037" i="16"/>
  <c r="D1034" i="16"/>
  <c r="B1031" i="16"/>
  <c r="B1028" i="16"/>
  <c r="D1024" i="16"/>
  <c r="D1021" i="16"/>
  <c r="C1018" i="16"/>
  <c r="F1014" i="16"/>
  <c r="F1011" i="16"/>
  <c r="H1007" i="16"/>
  <c r="H1004" i="16"/>
  <c r="C1001" i="16"/>
  <c r="C998" i="16"/>
  <c r="E994" i="16"/>
  <c r="E991" i="16"/>
  <c r="C987" i="16"/>
  <c r="H982" i="16"/>
  <c r="F978" i="16"/>
  <c r="D975" i="16"/>
  <c r="B971" i="16"/>
  <c r="G966" i="16"/>
  <c r="E962" i="16"/>
  <c r="H957" i="16"/>
  <c r="D953" i="16"/>
  <c r="F948" i="16"/>
  <c r="G943" i="16"/>
  <c r="F938" i="16"/>
  <c r="G932" i="16"/>
  <c r="H927" i="16"/>
  <c r="B923" i="16"/>
  <c r="H916" i="16"/>
  <c r="B912" i="16"/>
  <c r="E905" i="16"/>
  <c r="D898" i="16"/>
  <c r="C889" i="16"/>
  <c r="F875" i="16"/>
  <c r="D857" i="16"/>
  <c r="B839" i="16"/>
  <c r="G820" i="16"/>
  <c r="C802" i="16"/>
  <c r="H779" i="16"/>
  <c r="D754" i="16"/>
  <c r="F715" i="16"/>
  <c r="H660" i="16"/>
  <c r="D406" i="16"/>
  <c r="D1042" i="16"/>
  <c r="F1039" i="16"/>
  <c r="H1036" i="16"/>
  <c r="C1034" i="16"/>
  <c r="H1030" i="16"/>
  <c r="H1027" i="16"/>
  <c r="C1024" i="16"/>
  <c r="C1021" i="16"/>
  <c r="E1017" i="16"/>
  <c r="E1014" i="16"/>
  <c r="D1011" i="16"/>
  <c r="G1007" i="16"/>
  <c r="G1004" i="16"/>
  <c r="B1001" i="16"/>
  <c r="B998" i="16"/>
  <c r="D994" i="16"/>
  <c r="D991" i="16"/>
  <c r="B987" i="16"/>
  <c r="G982" i="16"/>
  <c r="E978" i="16"/>
  <c r="C975" i="16"/>
  <c r="H970" i="16"/>
  <c r="F966" i="16"/>
  <c r="D962" i="16"/>
  <c r="G957" i="16"/>
  <c r="C953" i="16"/>
  <c r="E948" i="16"/>
  <c r="F943" i="16"/>
  <c r="E937" i="16"/>
  <c r="F932" i="16"/>
  <c r="G927" i="16"/>
  <c r="F922" i="16"/>
  <c r="G916" i="16"/>
  <c r="H911" i="16"/>
  <c r="D905" i="16"/>
  <c r="H897" i="16"/>
  <c r="G888" i="16"/>
  <c r="E875" i="16"/>
  <c r="C857" i="16"/>
  <c r="H838" i="16"/>
  <c r="F820" i="16"/>
  <c r="B802" i="16"/>
  <c r="G779" i="16"/>
  <c r="C754" i="16"/>
  <c r="E715" i="16"/>
  <c r="G658" i="16"/>
  <c r="D380" i="16"/>
  <c r="H34" i="15"/>
  <c r="H1044" i="16"/>
  <c r="C1042" i="16"/>
  <c r="E1039" i="16"/>
  <c r="G1036" i="16"/>
  <c r="B1034" i="16"/>
  <c r="G1030" i="16"/>
  <c r="G1027" i="16"/>
  <c r="B1024" i="16"/>
  <c r="B1021" i="16"/>
  <c r="D1017" i="16"/>
  <c r="D1014" i="16"/>
  <c r="F1010" i="16"/>
  <c r="F1007" i="16"/>
  <c r="E1004" i="16"/>
  <c r="H1000" i="16"/>
  <c r="H997" i="16"/>
  <c r="C994" i="16"/>
  <c r="C991" i="16"/>
  <c r="H986" i="16"/>
  <c r="F982" i="16"/>
  <c r="D978" i="16"/>
  <c r="B974" i="16"/>
  <c r="G970" i="16"/>
  <c r="E966" i="16"/>
  <c r="C962" i="16"/>
  <c r="F957" i="16"/>
  <c r="B953" i="16"/>
  <c r="D948" i="16"/>
  <c r="C943" i="16"/>
  <c r="D937" i="16"/>
  <c r="E932" i="16"/>
  <c r="F927" i="16"/>
  <c r="E921" i="16"/>
  <c r="F916" i="16"/>
  <c r="G911" i="16"/>
  <c r="C905" i="16"/>
  <c r="D896" i="16"/>
  <c r="C887" i="16"/>
  <c r="D873" i="16"/>
  <c r="B855" i="16"/>
  <c r="G836" i="16"/>
  <c r="E818" i="16"/>
  <c r="F799" i="16"/>
  <c r="B777" i="16"/>
  <c r="H749" i="16"/>
  <c r="G710" i="16"/>
  <c r="F642" i="16"/>
  <c r="G1044" i="16"/>
  <c r="B1042" i="16"/>
  <c r="D1039" i="16"/>
  <c r="F1036" i="16"/>
  <c r="E1033" i="16"/>
  <c r="F1030" i="16"/>
  <c r="F1027" i="16"/>
  <c r="H1023" i="16"/>
  <c r="H1020" i="16"/>
  <c r="C1017" i="16"/>
  <c r="C1014" i="16"/>
  <c r="E1010" i="16"/>
  <c r="E1007" i="16"/>
  <c r="G1003" i="16"/>
  <c r="G1000" i="16"/>
  <c r="F997" i="16"/>
  <c r="B994" i="16"/>
  <c r="B990" i="16"/>
  <c r="G986" i="16"/>
  <c r="E982" i="16"/>
  <c r="C978" i="16"/>
  <c r="H973" i="16"/>
  <c r="F970" i="16"/>
  <c r="D966" i="16"/>
  <c r="B962" i="16"/>
  <c r="E957" i="16"/>
  <c r="H952" i="16"/>
  <c r="C948" i="16"/>
  <c r="B942" i="16"/>
  <c r="C937" i="16"/>
  <c r="D932" i="16"/>
  <c r="C927" i="16"/>
  <c r="D921" i="16"/>
  <c r="E916" i="16"/>
  <c r="F911" i="16"/>
  <c r="B905" i="16"/>
  <c r="C896" i="16"/>
  <c r="B887" i="16"/>
  <c r="C873" i="16"/>
  <c r="H854" i="16"/>
  <c r="F836" i="16"/>
  <c r="D818" i="16"/>
  <c r="E799" i="16"/>
  <c r="H776" i="16"/>
  <c r="G749" i="16"/>
  <c r="E710" i="16"/>
  <c r="E640" i="16"/>
  <c r="F1044" i="16"/>
  <c r="H1041" i="16"/>
  <c r="C1039" i="16"/>
  <c r="E1036" i="16"/>
  <c r="D1033" i="16"/>
  <c r="E1030" i="16"/>
  <c r="D1027" i="16"/>
  <c r="G1023" i="16"/>
  <c r="G1020" i="16"/>
  <c r="B1017" i="16"/>
  <c r="B1014" i="16"/>
  <c r="D1010" i="16"/>
  <c r="D1007" i="16"/>
  <c r="F1003" i="16"/>
  <c r="F1000" i="16"/>
  <c r="H996" i="16"/>
  <c r="H993" i="16"/>
  <c r="H989" i="16"/>
  <c r="F986" i="16"/>
  <c r="D982" i="16"/>
  <c r="B978" i="16"/>
  <c r="G973" i="16"/>
  <c r="E969" i="16"/>
  <c r="C966" i="16"/>
  <c r="H961" i="16"/>
  <c r="D957" i="16"/>
  <c r="G952" i="16"/>
  <c r="G947" i="16"/>
  <c r="H941" i="16"/>
  <c r="B937" i="16"/>
  <c r="C932" i="16"/>
  <c r="B926" i="16"/>
  <c r="C921" i="16"/>
  <c r="D916" i="16"/>
  <c r="B910" i="16"/>
  <c r="H904" i="16"/>
  <c r="B896" i="16"/>
  <c r="H886" i="16"/>
  <c r="B871" i="16"/>
  <c r="G852" i="16"/>
  <c r="E834" i="16"/>
  <c r="C816" i="16"/>
  <c r="B797" i="16"/>
  <c r="C774" i="16"/>
  <c r="D745" i="16"/>
  <c r="F704" i="16"/>
  <c r="D624" i="16"/>
  <c r="F36" i="15"/>
  <c r="E1044" i="16"/>
  <c r="G1041" i="16"/>
  <c r="B1039" i="16"/>
  <c r="D1036" i="16"/>
  <c r="C1033" i="16"/>
  <c r="D1030" i="16"/>
  <c r="F1026" i="16"/>
  <c r="F1023" i="16"/>
  <c r="E1020" i="16"/>
  <c r="H1016" i="16"/>
  <c r="H1013" i="16"/>
  <c r="C1010" i="16"/>
  <c r="C1007" i="16"/>
  <c r="E1003" i="16"/>
  <c r="E1000" i="16"/>
  <c r="G996" i="16"/>
  <c r="G993" i="16"/>
  <c r="G989" i="16"/>
  <c r="E985" i="16"/>
  <c r="C982" i="16"/>
  <c r="H977" i="16"/>
  <c r="F973" i="16"/>
  <c r="D969" i="16"/>
  <c r="B966" i="16"/>
  <c r="G961" i="16"/>
  <c r="C957" i="16"/>
  <c r="F952" i="16"/>
  <c r="F946" i="16"/>
  <c r="G941" i="16"/>
  <c r="H936" i="16"/>
  <c r="G931" i="16"/>
  <c r="H925" i="16"/>
  <c r="B921" i="16"/>
  <c r="C916" i="16"/>
  <c r="H909" i="16"/>
  <c r="G904" i="16"/>
  <c r="F895" i="16"/>
  <c r="H884" i="16"/>
  <c r="H870" i="16"/>
  <c r="F852" i="16"/>
  <c r="D834" i="16"/>
  <c r="B816" i="16"/>
  <c r="H796" i="16"/>
  <c r="B774" i="16"/>
  <c r="C745" i="16"/>
  <c r="E704" i="16"/>
  <c r="C622" i="16"/>
  <c r="D1044" i="16"/>
  <c r="F1041" i="16"/>
  <c r="H1038" i="16"/>
  <c r="G1035" i="16"/>
  <c r="B1033" i="16"/>
  <c r="C1030" i="16"/>
  <c r="E1026" i="16"/>
  <c r="E1023" i="16"/>
  <c r="G1019" i="16"/>
  <c r="G1016" i="16"/>
  <c r="F1013" i="16"/>
  <c r="B1010" i="16"/>
  <c r="B1007" i="16"/>
  <c r="D1003" i="16"/>
  <c r="D1000" i="16"/>
  <c r="F996" i="16"/>
  <c r="F993" i="16"/>
  <c r="F989" i="16"/>
  <c r="D985" i="16"/>
  <c r="B982" i="16"/>
  <c r="G977" i="16"/>
  <c r="E973" i="16"/>
  <c r="C969" i="16"/>
  <c r="H964" i="16"/>
  <c r="E961" i="16"/>
  <c r="H956" i="16"/>
  <c r="D952" i="16"/>
  <c r="E946" i="16"/>
  <c r="F941" i="16"/>
  <c r="G936" i="16"/>
  <c r="F930" i="16"/>
  <c r="G925" i="16"/>
  <c r="H920" i="16"/>
  <c r="G915" i="16"/>
  <c r="G909" i="16"/>
  <c r="C903" i="16"/>
  <c r="B894" i="16"/>
  <c r="G884" i="16"/>
  <c r="G868" i="16"/>
  <c r="E850" i="16"/>
  <c r="C832" i="16"/>
  <c r="H813" i="16"/>
  <c r="E794" i="16"/>
  <c r="G770" i="16"/>
  <c r="G740" i="16"/>
  <c r="G699" i="16"/>
  <c r="E605" i="16"/>
  <c r="C1044" i="16"/>
  <c r="E1041" i="16"/>
  <c r="G1038" i="16"/>
  <c r="F1035" i="16"/>
  <c r="H1032" i="16"/>
  <c r="B1030" i="16"/>
  <c r="D1026" i="16"/>
  <c r="D1023" i="16"/>
  <c r="F1019" i="16"/>
  <c r="F1016" i="16"/>
  <c r="H1012" i="16"/>
  <c r="H1009" i="16"/>
  <c r="G1006" i="16"/>
  <c r="C1003" i="16"/>
  <c r="C1000" i="16"/>
  <c r="E996" i="16"/>
  <c r="E993" i="16"/>
  <c r="E989" i="16"/>
  <c r="C985" i="16"/>
  <c r="H980" i="16"/>
  <c r="F977" i="16"/>
  <c r="D973" i="16"/>
  <c r="B969" i="16"/>
  <c r="G964" i="16"/>
  <c r="D960" i="16"/>
  <c r="G955" i="16"/>
  <c r="C951" i="16"/>
  <c r="D946" i="16"/>
  <c r="E941" i="16"/>
  <c r="D936" i="16"/>
  <c r="E930" i="16"/>
  <c r="F925" i="16"/>
  <c r="G920" i="16"/>
  <c r="F914" i="16"/>
  <c r="F909" i="16"/>
  <c r="B903" i="16"/>
  <c r="H893" i="16"/>
  <c r="F884" i="16"/>
  <c r="F868" i="16"/>
  <c r="D850" i="16"/>
  <c r="B832" i="16"/>
  <c r="G813" i="16"/>
  <c r="D794" i="16"/>
  <c r="F770" i="16"/>
  <c r="F740" i="16"/>
  <c r="F699" i="16"/>
  <c r="B603" i="16"/>
  <c r="B1044" i="16"/>
  <c r="D1041" i="16"/>
  <c r="F1038" i="16"/>
  <c r="E1035" i="16"/>
  <c r="G1032" i="16"/>
  <c r="H1029" i="16"/>
  <c r="C1026" i="16"/>
  <c r="C1023" i="16"/>
  <c r="E1019" i="16"/>
  <c r="E1016" i="16"/>
  <c r="G1012" i="16"/>
  <c r="G1009" i="16"/>
  <c r="B1006" i="16"/>
  <c r="B1003" i="16"/>
  <c r="H999" i="16"/>
  <c r="D996" i="16"/>
  <c r="D993" i="16"/>
  <c r="D989" i="16"/>
  <c r="B985" i="16"/>
  <c r="G980" i="16"/>
  <c r="E977" i="16"/>
  <c r="C973" i="16"/>
  <c r="H968" i="16"/>
  <c r="F964" i="16"/>
  <c r="C960" i="16"/>
  <c r="F955" i="16"/>
  <c r="B951" i="16"/>
  <c r="C946" i="16"/>
  <c r="D941" i="16"/>
  <c r="C935" i="16"/>
  <c r="D930" i="16"/>
  <c r="E925" i="16"/>
  <c r="D920" i="16"/>
  <c r="E914" i="16"/>
  <c r="E909" i="16"/>
  <c r="H902" i="16"/>
  <c r="G893" i="16"/>
  <c r="F882" i="16"/>
  <c r="E866" i="16"/>
  <c r="C848" i="16"/>
  <c r="H829" i="16"/>
  <c r="F811" i="16"/>
  <c r="D791" i="16"/>
  <c r="H767" i="16"/>
  <c r="C736" i="16"/>
  <c r="C693" i="16"/>
  <c r="G582" i="16"/>
  <c r="H1043" i="16"/>
  <c r="C1041" i="16"/>
  <c r="B1038" i="16"/>
  <c r="D1035" i="16"/>
  <c r="F1032" i="16"/>
  <c r="F1029" i="16"/>
  <c r="B1026" i="16"/>
  <c r="B1023" i="16"/>
  <c r="D1019" i="16"/>
  <c r="D1016" i="16"/>
  <c r="F1012" i="16"/>
  <c r="F1009" i="16"/>
  <c r="H1005" i="16"/>
  <c r="H1002" i="16"/>
  <c r="C999" i="16"/>
  <c r="C996" i="16"/>
  <c r="B993" i="16"/>
  <c r="C989" i="16"/>
  <c r="H984" i="16"/>
  <c r="F980" i="16"/>
  <c r="D976" i="16"/>
  <c r="B973" i="16"/>
  <c r="G968" i="16"/>
  <c r="E964" i="16"/>
  <c r="B960" i="16"/>
  <c r="E955" i="16"/>
  <c r="H950" i="16"/>
  <c r="B946" i="16"/>
  <c r="H940" i="16"/>
  <c r="B935" i="16"/>
  <c r="C930" i="16"/>
  <c r="D925" i="16"/>
  <c r="C919" i="16"/>
  <c r="D914" i="16"/>
  <c r="D909" i="16"/>
  <c r="E902" i="16"/>
  <c r="D893" i="16"/>
  <c r="E882" i="16"/>
  <c r="D866" i="16"/>
  <c r="B848" i="16"/>
  <c r="G829" i="16"/>
  <c r="E811" i="16"/>
  <c r="C791" i="16"/>
  <c r="G767" i="16"/>
  <c r="B736" i="16"/>
  <c r="B693" i="16"/>
  <c r="D579" i="16"/>
  <c r="I12" i="3"/>
  <c r="H58" i="5"/>
  <c r="H35" i="15"/>
  <c r="H45" i="15"/>
  <c r="C46" i="15"/>
  <c r="H46" i="15"/>
  <c r="G31" i="15"/>
  <c r="K35" i="6"/>
  <c r="G35" i="15"/>
  <c r="F43" i="15"/>
  <c r="E43" i="15"/>
  <c r="G43" i="15" s="1"/>
  <c r="D43" i="15"/>
  <c r="I43" i="15" s="1"/>
  <c r="H31" i="15"/>
  <c r="H43" i="15"/>
  <c r="F32" i="15"/>
  <c r="G32" i="15"/>
  <c r="G36" i="15"/>
  <c r="C44" i="15"/>
  <c r="H32" i="15"/>
  <c r="H36" i="15"/>
  <c r="F33" i="15"/>
  <c r="H26" i="5"/>
  <c r="G33" i="15"/>
  <c r="H11" i="5"/>
  <c r="H33" i="15"/>
  <c r="C47" i="15"/>
  <c r="F34" i="15"/>
  <c r="C45" i="15"/>
  <c r="K29" i="6"/>
  <c r="K38" i="6"/>
  <c r="K22" i="6"/>
  <c r="K37" i="6"/>
  <c r="K21" i="6"/>
  <c r="K36" i="6"/>
  <c r="K20" i="6"/>
  <c r="K19" i="6"/>
  <c r="K31" i="6"/>
  <c r="K15" i="6"/>
  <c r="K26" i="6"/>
  <c r="K24" i="6"/>
  <c r="K8" i="6"/>
  <c r="U10" i="13"/>
  <c r="J10" i="13" s="1"/>
  <c r="U11" i="13"/>
  <c r="J11" i="13" s="1"/>
  <c r="U9" i="13"/>
  <c r="J9" i="13" s="1"/>
  <c r="U12" i="13"/>
  <c r="G12" i="13" s="1"/>
  <c r="U13" i="13"/>
  <c r="F8" i="13"/>
  <c r="U8" i="13"/>
  <c r="K39" i="6"/>
  <c r="K23" i="6"/>
  <c r="K7" i="6"/>
  <c r="F133" i="5"/>
  <c r="K34" i="6"/>
  <c r="K18" i="6"/>
  <c r="K33" i="6"/>
  <c r="K17" i="6"/>
  <c r="K32" i="6"/>
  <c r="K16" i="6"/>
  <c r="K30" i="6"/>
  <c r="K14" i="6"/>
  <c r="K11" i="3"/>
  <c r="H37" i="1" s="1"/>
  <c r="K13" i="6"/>
  <c r="K28" i="6"/>
  <c r="K12" i="6"/>
  <c r="F136" i="5"/>
  <c r="K27" i="6"/>
  <c r="K11" i="6"/>
  <c r="K42" i="6"/>
  <c r="K10" i="6"/>
  <c r="C105" i="5"/>
  <c r="K41" i="6"/>
  <c r="K25" i="6"/>
  <c r="K9" i="6"/>
  <c r="K40" i="6"/>
  <c r="D8" i="3"/>
  <c r="M8" i="3" s="1"/>
  <c r="C116" i="5"/>
  <c r="I9" i="3"/>
  <c r="K7" i="5"/>
  <c r="R7" i="5" s="1"/>
  <c r="K8" i="3"/>
  <c r="H34" i="1" s="1"/>
  <c r="K9" i="3"/>
  <c r="H35" i="1" s="1"/>
  <c r="P16" i="5"/>
  <c r="C37" i="2" s="1"/>
  <c r="T8" i="1" s="1"/>
  <c r="B12" i="2"/>
  <c r="C12" i="2" s="1"/>
  <c r="P61" i="5"/>
  <c r="C46" i="2" s="1"/>
  <c r="T17" i="1" s="1"/>
  <c r="P42" i="5"/>
  <c r="V7" i="5"/>
  <c r="H68" i="5"/>
  <c r="H102" i="5"/>
  <c r="D20" i="5"/>
  <c r="H43" i="5"/>
  <c r="P54" i="5"/>
  <c r="H114" i="5"/>
  <c r="D36" i="5"/>
  <c r="D58" i="5"/>
  <c r="D135" i="5"/>
  <c r="H20" i="5"/>
  <c r="D10" i="5"/>
  <c r="D9" i="3"/>
  <c r="B121" i="5"/>
  <c r="B96" i="5"/>
  <c r="B71" i="5"/>
  <c r="B64" i="5"/>
  <c r="B56" i="5"/>
  <c r="B133" i="5"/>
  <c r="B114" i="5"/>
  <c r="B108" i="5"/>
  <c r="B102" i="5"/>
  <c r="B95" i="5"/>
  <c r="B120" i="5"/>
  <c r="B77" i="5"/>
  <c r="B61" i="5"/>
  <c r="B132" i="5"/>
  <c r="B126" i="5"/>
  <c r="B119" i="5"/>
  <c r="B107" i="5"/>
  <c r="B89" i="5"/>
  <c r="B131" i="5"/>
  <c r="B113" i="5"/>
  <c r="B94" i="5"/>
  <c r="B88" i="5"/>
  <c r="B125" i="5"/>
  <c r="B118" i="5"/>
  <c r="B112" i="5"/>
  <c r="B130" i="5"/>
  <c r="B124" i="5"/>
  <c r="B111" i="5"/>
  <c r="B99" i="5"/>
  <c r="B93" i="5"/>
  <c r="B81" i="5"/>
  <c r="B127" i="5"/>
  <c r="B109" i="5"/>
  <c r="B90" i="5"/>
  <c r="B128" i="5"/>
  <c r="B123" i="5"/>
  <c r="B105" i="5"/>
  <c r="B136" i="5"/>
  <c r="B86" i="5"/>
  <c r="B58" i="5"/>
  <c r="B76" i="5"/>
  <c r="B67" i="5"/>
  <c r="B49" i="5"/>
  <c r="B41" i="5"/>
  <c r="B33" i="5"/>
  <c r="B25" i="5"/>
  <c r="B115" i="5"/>
  <c r="B69" i="5"/>
  <c r="B66" i="5"/>
  <c r="B129" i="5"/>
  <c r="B103" i="5"/>
  <c r="B87" i="5"/>
  <c r="B70" i="5"/>
  <c r="B65" i="5"/>
  <c r="B54" i="5"/>
  <c r="B46" i="5"/>
  <c r="B134" i="5"/>
  <c r="B106" i="5"/>
  <c r="B91" i="5"/>
  <c r="B82" i="5"/>
  <c r="B63" i="5"/>
  <c r="B57" i="5"/>
  <c r="B116" i="5"/>
  <c r="B97" i="5"/>
  <c r="B135" i="5"/>
  <c r="B110" i="5"/>
  <c r="B62" i="5"/>
  <c r="B48" i="5"/>
  <c r="B122" i="5"/>
  <c r="B98" i="5"/>
  <c r="B83" i="5"/>
  <c r="B104" i="5"/>
  <c r="B101" i="5"/>
  <c r="B117" i="5"/>
  <c r="B92" i="5"/>
  <c r="B84" i="5"/>
  <c r="B74" i="5"/>
  <c r="B73" i="5"/>
  <c r="B50" i="5"/>
  <c r="B42" i="5"/>
  <c r="B34" i="5"/>
  <c r="B17" i="5"/>
  <c r="B9" i="5"/>
  <c r="B26" i="5"/>
  <c r="B78" i="5"/>
  <c r="B53" i="5"/>
  <c r="B43" i="5"/>
  <c r="B22" i="5"/>
  <c r="B14" i="5"/>
  <c r="B30" i="5"/>
  <c r="B44" i="5"/>
  <c r="B40" i="5"/>
  <c r="B19" i="5"/>
  <c r="B11" i="5"/>
  <c r="B59" i="5"/>
  <c r="B39" i="5"/>
  <c r="B100" i="5"/>
  <c r="B85" i="5"/>
  <c r="B75" i="5"/>
  <c r="B45" i="5"/>
  <c r="B16" i="5"/>
  <c r="B8" i="5"/>
  <c r="B80" i="5"/>
  <c r="B29" i="5"/>
  <c r="B55" i="5"/>
  <c r="B51" i="5"/>
  <c r="B47" i="5"/>
  <c r="B37" i="5"/>
  <c r="B36" i="5"/>
  <c r="B35" i="5"/>
  <c r="B28" i="5"/>
  <c r="B18" i="5"/>
  <c r="B10" i="5"/>
  <c r="B79" i="5"/>
  <c r="B72" i="5"/>
  <c r="B68" i="5"/>
  <c r="B32" i="5"/>
  <c r="B27" i="5"/>
  <c r="P24" i="5"/>
  <c r="D52" i="5"/>
  <c r="D99" i="5"/>
  <c r="D17" i="5"/>
  <c r="G15" i="3"/>
  <c r="H9" i="5"/>
  <c r="E134" i="5"/>
  <c r="E131" i="5"/>
  <c r="E123" i="5"/>
  <c r="E115" i="5"/>
  <c r="E107" i="5"/>
  <c r="E99" i="5"/>
  <c r="E91" i="5"/>
  <c r="E83" i="5"/>
  <c r="E75" i="5"/>
  <c r="E130" i="5"/>
  <c r="E122" i="5"/>
  <c r="E114" i="5"/>
  <c r="E106" i="5"/>
  <c r="E98" i="5"/>
  <c r="E90" i="5"/>
  <c r="E82" i="5"/>
  <c r="E74" i="5"/>
  <c r="E135" i="5"/>
  <c r="E127" i="5"/>
  <c r="E119" i="5"/>
  <c r="E111" i="5"/>
  <c r="E103" i="5"/>
  <c r="E95" i="5"/>
  <c r="E87" i="5"/>
  <c r="E79" i="5"/>
  <c r="E71" i="5"/>
  <c r="E132" i="5"/>
  <c r="E89" i="5"/>
  <c r="E77" i="5"/>
  <c r="E126" i="5"/>
  <c r="E113" i="5"/>
  <c r="E101" i="5"/>
  <c r="E88" i="5"/>
  <c r="E70" i="5"/>
  <c r="E100" i="5"/>
  <c r="E94" i="5"/>
  <c r="E63" i="5"/>
  <c r="E124" i="5"/>
  <c r="E118" i="5"/>
  <c r="E81" i="5"/>
  <c r="E69" i="5"/>
  <c r="E60" i="5"/>
  <c r="E105" i="5"/>
  <c r="E92" i="5"/>
  <c r="E80" i="5"/>
  <c r="E117" i="5"/>
  <c r="E86" i="5"/>
  <c r="E133" i="5"/>
  <c r="E120" i="5"/>
  <c r="E102" i="5"/>
  <c r="E96" i="5"/>
  <c r="E93" i="5"/>
  <c r="E129" i="5"/>
  <c r="E76" i="5"/>
  <c r="E65" i="5"/>
  <c r="E54" i="5"/>
  <c r="E46" i="5"/>
  <c r="E66" i="5"/>
  <c r="E57" i="5"/>
  <c r="E112" i="5"/>
  <c r="E64" i="5"/>
  <c r="E51" i="5"/>
  <c r="E43" i="5"/>
  <c r="E35" i="5"/>
  <c r="E116" i="5"/>
  <c r="E109" i="5"/>
  <c r="E97" i="5"/>
  <c r="E121" i="5"/>
  <c r="E62" i="5"/>
  <c r="E104" i="5"/>
  <c r="E72" i="5"/>
  <c r="E53" i="5"/>
  <c r="E45" i="5"/>
  <c r="E78" i="5"/>
  <c r="E61" i="5"/>
  <c r="E84" i="5"/>
  <c r="E73" i="5"/>
  <c r="E59" i="5"/>
  <c r="E55" i="5"/>
  <c r="E47" i="5"/>
  <c r="E39" i="5"/>
  <c r="E31" i="5"/>
  <c r="E23" i="5"/>
  <c r="E85" i="5"/>
  <c r="E125" i="5"/>
  <c r="E49" i="5"/>
  <c r="E44" i="5"/>
  <c r="E42" i="5"/>
  <c r="E41" i="5"/>
  <c r="E40" i="5"/>
  <c r="E19" i="5"/>
  <c r="E11" i="5"/>
  <c r="E30" i="5"/>
  <c r="E25" i="5"/>
  <c r="E67" i="5"/>
  <c r="E16" i="5"/>
  <c r="E8" i="5"/>
  <c r="E50" i="5"/>
  <c r="E29" i="5"/>
  <c r="E24" i="5"/>
  <c r="E21" i="5"/>
  <c r="E13" i="5"/>
  <c r="E38" i="5"/>
  <c r="E37" i="5"/>
  <c r="E36" i="5"/>
  <c r="E28" i="5"/>
  <c r="E18" i="5"/>
  <c r="E10" i="5"/>
  <c r="E136" i="5"/>
  <c r="E68" i="5"/>
  <c r="E15" i="5"/>
  <c r="E7" i="5"/>
  <c r="E34" i="5"/>
  <c r="E33" i="5"/>
  <c r="E32" i="5"/>
  <c r="E27" i="5"/>
  <c r="E108" i="5"/>
  <c r="E52" i="5"/>
  <c r="E20" i="5"/>
  <c r="E12" i="5"/>
  <c r="B12" i="5"/>
  <c r="P15" i="5"/>
  <c r="P65" i="5"/>
  <c r="H22" i="5"/>
  <c r="P8" i="5"/>
  <c r="E14" i="5"/>
  <c r="H19" i="5"/>
  <c r="P69" i="5"/>
  <c r="D84" i="5"/>
  <c r="E128" i="5"/>
  <c r="H132" i="5"/>
  <c r="I8" i="3"/>
  <c r="G18" i="3"/>
  <c r="F8" i="1" s="1"/>
  <c r="D12" i="5"/>
  <c r="B21" i="5"/>
  <c r="P41" i="5"/>
  <c r="C42" i="2" s="1"/>
  <c r="T13" i="1" s="1"/>
  <c r="P10" i="5"/>
  <c r="H12" i="5"/>
  <c r="B23" i="5"/>
  <c r="H25" i="5"/>
  <c r="H120" i="5"/>
  <c r="D133" i="5"/>
  <c r="D120" i="5"/>
  <c r="D114" i="5"/>
  <c r="D102" i="5"/>
  <c r="D61" i="5"/>
  <c r="D132" i="5"/>
  <c r="D119" i="5"/>
  <c r="D107" i="5"/>
  <c r="D89" i="5"/>
  <c r="D126" i="5"/>
  <c r="D76" i="5"/>
  <c r="D66" i="5"/>
  <c r="D131" i="5"/>
  <c r="D113" i="5"/>
  <c r="D101" i="5"/>
  <c r="D88" i="5"/>
  <c r="D82" i="5"/>
  <c r="D70" i="5"/>
  <c r="D125" i="5"/>
  <c r="D112" i="5"/>
  <c r="D106" i="5"/>
  <c r="D124" i="5"/>
  <c r="D118" i="5"/>
  <c r="D130" i="5"/>
  <c r="D93" i="5"/>
  <c r="D123" i="5"/>
  <c r="D105" i="5"/>
  <c r="D92" i="5"/>
  <c r="D80" i="5"/>
  <c r="D74" i="5"/>
  <c r="D108" i="5"/>
  <c r="D95" i="5"/>
  <c r="D86" i="5"/>
  <c r="D115" i="5"/>
  <c r="D96" i="5"/>
  <c r="D129" i="5"/>
  <c r="D103" i="5"/>
  <c r="D81" i="5"/>
  <c r="D69" i="5"/>
  <c r="D65" i="5"/>
  <c r="D54" i="5"/>
  <c r="D46" i="5"/>
  <c r="D38" i="5"/>
  <c r="D30" i="5"/>
  <c r="D91" i="5"/>
  <c r="D90" i="5"/>
  <c r="D87" i="5"/>
  <c r="D57" i="5"/>
  <c r="D134" i="5"/>
  <c r="D64" i="5"/>
  <c r="D63" i="5"/>
  <c r="D51" i="5"/>
  <c r="D43" i="5"/>
  <c r="D116" i="5"/>
  <c r="D109" i="5"/>
  <c r="D100" i="5"/>
  <c r="D97" i="5"/>
  <c r="D71" i="5"/>
  <c r="D110" i="5"/>
  <c r="D56" i="5"/>
  <c r="D122" i="5"/>
  <c r="D104" i="5"/>
  <c r="D98" i="5"/>
  <c r="D83" i="5"/>
  <c r="D79" i="5"/>
  <c r="D72" i="5"/>
  <c r="D60" i="5"/>
  <c r="D53" i="5"/>
  <c r="D45" i="5"/>
  <c r="D127" i="5"/>
  <c r="D78" i="5"/>
  <c r="D117" i="5"/>
  <c r="D111" i="5"/>
  <c r="D59" i="5"/>
  <c r="D55" i="5"/>
  <c r="D47" i="5"/>
  <c r="D39" i="5"/>
  <c r="D128" i="5"/>
  <c r="D26" i="5"/>
  <c r="D22" i="5"/>
  <c r="D14" i="5"/>
  <c r="D94" i="5"/>
  <c r="D49" i="5"/>
  <c r="D44" i="5"/>
  <c r="D42" i="5"/>
  <c r="D41" i="5"/>
  <c r="D40" i="5"/>
  <c r="D19" i="5"/>
  <c r="D11" i="5"/>
  <c r="D25" i="5"/>
  <c r="D121" i="5"/>
  <c r="D67" i="5"/>
  <c r="D16" i="5"/>
  <c r="D8" i="5"/>
  <c r="D85" i="5"/>
  <c r="D75" i="5"/>
  <c r="D73" i="5"/>
  <c r="D50" i="5"/>
  <c r="D29" i="5"/>
  <c r="D24" i="5"/>
  <c r="D21" i="5"/>
  <c r="D13" i="5"/>
  <c r="D136" i="5"/>
  <c r="D68" i="5"/>
  <c r="D23" i="5"/>
  <c r="D15" i="5"/>
  <c r="D7" i="5"/>
  <c r="D62" i="5"/>
  <c r="D34" i="5"/>
  <c r="D33" i="5"/>
  <c r="D32" i="5"/>
  <c r="D27" i="5"/>
  <c r="D48" i="5"/>
  <c r="D31" i="5"/>
  <c r="B7" i="5"/>
  <c r="H14" i="5"/>
  <c r="H27" i="5"/>
  <c r="D77" i="5"/>
  <c r="D9" i="5"/>
  <c r="H42" i="5"/>
  <c r="E56" i="5"/>
  <c r="H96" i="5"/>
  <c r="P136" i="5"/>
  <c r="P110" i="5"/>
  <c r="P104" i="5"/>
  <c r="P79" i="5"/>
  <c r="P73" i="5"/>
  <c r="P59" i="5"/>
  <c r="P122" i="5"/>
  <c r="P116" i="5"/>
  <c r="C57" i="2" s="1"/>
  <c r="T28" i="1" s="1"/>
  <c r="P97" i="5"/>
  <c r="P91" i="5"/>
  <c r="P128" i="5"/>
  <c r="P103" i="5"/>
  <c r="P64" i="5"/>
  <c r="P135" i="5"/>
  <c r="P134" i="5"/>
  <c r="P121" i="5"/>
  <c r="C58" i="2" s="1"/>
  <c r="T29" i="1" s="1"/>
  <c r="P115" i="5"/>
  <c r="P109" i="5"/>
  <c r="P90" i="5"/>
  <c r="P78" i="5"/>
  <c r="P72" i="5"/>
  <c r="P133" i="5"/>
  <c r="P114" i="5"/>
  <c r="P102" i="5"/>
  <c r="P71" i="5"/>
  <c r="C48" i="2" s="1"/>
  <c r="T19" i="1" s="1"/>
  <c r="P120" i="5"/>
  <c r="P126" i="5"/>
  <c r="C59" i="2" s="1"/>
  <c r="T30" i="1" s="1"/>
  <c r="P132" i="5"/>
  <c r="P119" i="5"/>
  <c r="P113" i="5"/>
  <c r="P107" i="5"/>
  <c r="P101" i="5"/>
  <c r="C54" i="2" s="1"/>
  <c r="T25" i="1" s="1"/>
  <c r="P82" i="5"/>
  <c r="P70" i="5"/>
  <c r="P129" i="5"/>
  <c r="P123" i="5"/>
  <c r="P98" i="5"/>
  <c r="P92" i="5"/>
  <c r="P100" i="5"/>
  <c r="P94" i="5"/>
  <c r="P88" i="5"/>
  <c r="P83" i="5"/>
  <c r="P52" i="5"/>
  <c r="P44" i="5"/>
  <c r="P36" i="5"/>
  <c r="C41" i="2" s="1"/>
  <c r="T12" i="1" s="1"/>
  <c r="P28" i="5"/>
  <c r="P127" i="5"/>
  <c r="P124" i="5"/>
  <c r="P84" i="5"/>
  <c r="P74" i="5"/>
  <c r="P49" i="5"/>
  <c r="P130" i="5"/>
  <c r="P95" i="5"/>
  <c r="P58" i="5"/>
  <c r="P117" i="5"/>
  <c r="P89" i="5"/>
  <c r="P85" i="5"/>
  <c r="P67" i="5"/>
  <c r="P125" i="5"/>
  <c r="P80" i="5"/>
  <c r="P75" i="5"/>
  <c r="P66" i="5"/>
  <c r="C47" i="2" s="1"/>
  <c r="T18" i="1" s="1"/>
  <c r="P51" i="5"/>
  <c r="C44" i="2" s="1"/>
  <c r="T15" i="1" s="1"/>
  <c r="P111" i="5"/>
  <c r="P108" i="5"/>
  <c r="P68" i="5"/>
  <c r="P57" i="5"/>
  <c r="P105" i="5"/>
  <c r="P96" i="5"/>
  <c r="C53" i="2" s="1"/>
  <c r="T24" i="1" s="1"/>
  <c r="P131" i="5"/>
  <c r="P99" i="5"/>
  <c r="P93" i="5"/>
  <c r="P63" i="5"/>
  <c r="P118" i="5"/>
  <c r="P56" i="5"/>
  <c r="C45" i="2" s="1"/>
  <c r="T16" i="1" s="1"/>
  <c r="P53" i="5"/>
  <c r="P45" i="5"/>
  <c r="P37" i="5"/>
  <c r="P35" i="5"/>
  <c r="P20" i="5"/>
  <c r="P12" i="5"/>
  <c r="P46" i="5"/>
  <c r="P34" i="5"/>
  <c r="P33" i="5"/>
  <c r="P27" i="5"/>
  <c r="P17" i="5"/>
  <c r="Q18" i="5" s="1"/>
  <c r="W18" i="5" s="1"/>
  <c r="P9" i="5"/>
  <c r="P112" i="5"/>
  <c r="P32" i="5"/>
  <c r="P106" i="5"/>
  <c r="P55" i="5"/>
  <c r="P47" i="5"/>
  <c r="P31" i="5"/>
  <c r="P22" i="5"/>
  <c r="P14" i="5"/>
  <c r="P77" i="5"/>
  <c r="P26" i="5"/>
  <c r="C39" i="2" s="1"/>
  <c r="T10" i="1" s="1"/>
  <c r="P87" i="5"/>
  <c r="P19" i="5"/>
  <c r="Q19" i="5" s="1"/>
  <c r="W19" i="5" s="1"/>
  <c r="P11" i="5"/>
  <c r="C36" i="2" s="1"/>
  <c r="T7" i="1" s="1"/>
  <c r="P62" i="5"/>
  <c r="P48" i="5"/>
  <c r="P30" i="5"/>
  <c r="W7" i="5"/>
  <c r="P60" i="5"/>
  <c r="P43" i="5"/>
  <c r="P40" i="5"/>
  <c r="P29" i="5"/>
  <c r="P21" i="5"/>
  <c r="P13" i="5"/>
  <c r="P76" i="5"/>
  <c r="C49" i="2" s="1"/>
  <c r="T20" i="1" s="1"/>
  <c r="P39" i="5"/>
  <c r="P86" i="5"/>
  <c r="C51" i="2" s="1"/>
  <c r="T22" i="1" s="1"/>
  <c r="P38" i="5"/>
  <c r="E9" i="5"/>
  <c r="P23" i="5"/>
  <c r="P50" i="5"/>
  <c r="P81" i="5"/>
  <c r="H105" i="5"/>
  <c r="D33" i="1"/>
  <c r="D10" i="3"/>
  <c r="P7" i="5"/>
  <c r="D18" i="5"/>
  <c r="P25" i="5"/>
  <c r="H30" i="5"/>
  <c r="D35" i="5"/>
  <c r="B60" i="5"/>
  <c r="G26" i="5"/>
  <c r="C52" i="5"/>
  <c r="G58" i="5"/>
  <c r="G89" i="5"/>
  <c r="G102" i="5"/>
  <c r="F105" i="5"/>
  <c r="H131" i="5"/>
  <c r="H94" i="5"/>
  <c r="H88" i="5"/>
  <c r="H82" i="5"/>
  <c r="H63" i="5"/>
  <c r="H125" i="5"/>
  <c r="H100" i="5"/>
  <c r="H118" i="5"/>
  <c r="H112" i="5"/>
  <c r="H106" i="5"/>
  <c r="H87" i="5"/>
  <c r="H81" i="5"/>
  <c r="H69" i="5"/>
  <c r="H124" i="5"/>
  <c r="H99" i="5"/>
  <c r="H93" i="5"/>
  <c r="H123" i="5"/>
  <c r="H117" i="5"/>
  <c r="H92" i="5"/>
  <c r="H86" i="5"/>
  <c r="H80" i="5"/>
  <c r="H74" i="5"/>
  <c r="H129" i="5"/>
  <c r="H116" i="5"/>
  <c r="H110" i="5"/>
  <c r="H104" i="5"/>
  <c r="H91" i="5"/>
  <c r="H79" i="5"/>
  <c r="H122" i="5"/>
  <c r="H97" i="5"/>
  <c r="H85" i="5"/>
  <c r="H136" i="5"/>
  <c r="H135" i="5"/>
  <c r="H119" i="5"/>
  <c r="H113" i="5"/>
  <c r="H101" i="5"/>
  <c r="H103" i="5"/>
  <c r="H90" i="5"/>
  <c r="H76" i="5"/>
  <c r="H134" i="5"/>
  <c r="H109" i="5"/>
  <c r="H121" i="5"/>
  <c r="H70" i="5"/>
  <c r="H62" i="5"/>
  <c r="H48" i="5"/>
  <c r="H40" i="5"/>
  <c r="H32" i="5"/>
  <c r="H24" i="5"/>
  <c r="H126" i="5"/>
  <c r="H77" i="5"/>
  <c r="H71" i="5"/>
  <c r="H56" i="5"/>
  <c r="H53" i="5"/>
  <c r="H45" i="5"/>
  <c r="H83" i="5"/>
  <c r="H78" i="5"/>
  <c r="H72" i="5"/>
  <c r="H61" i="5"/>
  <c r="H127" i="5"/>
  <c r="H98" i="5"/>
  <c r="H84" i="5"/>
  <c r="H73" i="5"/>
  <c r="H107" i="5"/>
  <c r="H59" i="5"/>
  <c r="H55" i="5"/>
  <c r="H47" i="5"/>
  <c r="H130" i="5"/>
  <c r="H95" i="5"/>
  <c r="H128" i="5"/>
  <c r="H111" i="5"/>
  <c r="H133" i="5"/>
  <c r="H89" i="5"/>
  <c r="H67" i="5"/>
  <c r="H49" i="5"/>
  <c r="H41" i="5"/>
  <c r="H33" i="5"/>
  <c r="C7" i="5"/>
  <c r="B9" i="9"/>
  <c r="D9" i="9" s="1"/>
  <c r="G9" i="5"/>
  <c r="C15" i="5"/>
  <c r="G17" i="5"/>
  <c r="C23" i="5"/>
  <c r="G31" i="5"/>
  <c r="H60" i="5"/>
  <c r="H66" i="5"/>
  <c r="G99" i="5"/>
  <c r="C123" i="5"/>
  <c r="F12" i="5"/>
  <c r="H17" i="5"/>
  <c r="F20" i="5"/>
  <c r="H31" i="5"/>
  <c r="H52" i="5"/>
  <c r="H64" i="5"/>
  <c r="F72" i="5"/>
  <c r="F108" i="5"/>
  <c r="C10" i="5"/>
  <c r="G12" i="5"/>
  <c r="C18" i="5"/>
  <c r="G20" i="5"/>
  <c r="F23" i="5"/>
  <c r="G27" i="5"/>
  <c r="C28" i="5"/>
  <c r="F32" i="5"/>
  <c r="F33" i="5"/>
  <c r="F34" i="5"/>
  <c r="C35" i="5"/>
  <c r="C36" i="5"/>
  <c r="C37" i="5"/>
  <c r="C47" i="5"/>
  <c r="F96" i="5"/>
  <c r="H108" i="5"/>
  <c r="G114" i="5"/>
  <c r="F120" i="5"/>
  <c r="D11" i="3"/>
  <c r="G7" i="5"/>
  <c r="C13" i="5"/>
  <c r="G15" i="5"/>
  <c r="C21" i="5"/>
  <c r="H23" i="5"/>
  <c r="C24" i="5"/>
  <c r="H34" i="5"/>
  <c r="G35" i="5"/>
  <c r="G46" i="5"/>
  <c r="G47" i="5"/>
  <c r="H51" i="5"/>
  <c r="F55" i="5"/>
  <c r="G133" i="5"/>
  <c r="H7" i="5"/>
  <c r="F10" i="5"/>
  <c r="H15" i="5"/>
  <c r="F18" i="5"/>
  <c r="F28" i="5"/>
  <c r="C29" i="5"/>
  <c r="H35" i="5"/>
  <c r="H36" i="5"/>
  <c r="F37" i="5"/>
  <c r="F38" i="5"/>
  <c r="H46" i="5"/>
  <c r="F54" i="5"/>
  <c r="G57" i="5"/>
  <c r="C80" i="5"/>
  <c r="C8" i="5"/>
  <c r="G10" i="5"/>
  <c r="C16" i="5"/>
  <c r="G18" i="5"/>
  <c r="H28" i="5"/>
  <c r="G37" i="5"/>
  <c r="G38" i="5"/>
  <c r="H57" i="5"/>
  <c r="F80" i="5"/>
  <c r="F124" i="5"/>
  <c r="C134" i="5"/>
  <c r="C126" i="5"/>
  <c r="C118" i="5"/>
  <c r="C110" i="5"/>
  <c r="C102" i="5"/>
  <c r="C94" i="5"/>
  <c r="C86" i="5"/>
  <c r="C78" i="5"/>
  <c r="C70" i="5"/>
  <c r="C133" i="5"/>
  <c r="C125" i="5"/>
  <c r="C117" i="5"/>
  <c r="C109" i="5"/>
  <c r="C101" i="5"/>
  <c r="C93" i="5"/>
  <c r="C85" i="5"/>
  <c r="C77" i="5"/>
  <c r="C69" i="5"/>
  <c r="C130" i="5"/>
  <c r="C122" i="5"/>
  <c r="C114" i="5"/>
  <c r="C106" i="5"/>
  <c r="C98" i="5"/>
  <c r="C90" i="5"/>
  <c r="C82" i="5"/>
  <c r="C74" i="5"/>
  <c r="C108" i="5"/>
  <c r="C95" i="5"/>
  <c r="C83" i="5"/>
  <c r="C120" i="5"/>
  <c r="C132" i="5"/>
  <c r="C119" i="5"/>
  <c r="C107" i="5"/>
  <c r="C89" i="5"/>
  <c r="C76" i="5"/>
  <c r="C66" i="5"/>
  <c r="C58" i="5"/>
  <c r="C100" i="5"/>
  <c r="C87" i="5"/>
  <c r="C75" i="5"/>
  <c r="C63" i="5"/>
  <c r="C124" i="5"/>
  <c r="C111" i="5"/>
  <c r="C99" i="5"/>
  <c r="C81" i="5"/>
  <c r="C68" i="5"/>
  <c r="C121" i="5"/>
  <c r="C96" i="5"/>
  <c r="C136" i="5"/>
  <c r="C131" i="5"/>
  <c r="C67" i="5"/>
  <c r="C49" i="5"/>
  <c r="C115" i="5"/>
  <c r="C129" i="5"/>
  <c r="C103" i="5"/>
  <c r="C65" i="5"/>
  <c r="C54" i="5"/>
  <c r="C46" i="5"/>
  <c r="C38" i="5"/>
  <c r="C30" i="5"/>
  <c r="C112" i="5"/>
  <c r="C91" i="5"/>
  <c r="C57" i="5"/>
  <c r="C64" i="5"/>
  <c r="C135" i="5"/>
  <c r="C88" i="5"/>
  <c r="C62" i="5"/>
  <c r="C48" i="5"/>
  <c r="C56" i="5"/>
  <c r="C113" i="5"/>
  <c r="C104" i="5"/>
  <c r="C79" i="5"/>
  <c r="C72" i="5"/>
  <c r="C61" i="5"/>
  <c r="C60" i="5"/>
  <c r="C127" i="5"/>
  <c r="C92" i="5"/>
  <c r="C84" i="5"/>
  <c r="C73" i="5"/>
  <c r="C50" i="5"/>
  <c r="C42" i="5"/>
  <c r="C34" i="5"/>
  <c r="C26" i="5"/>
  <c r="G136" i="5"/>
  <c r="G128" i="5"/>
  <c r="G120" i="5"/>
  <c r="G112" i="5"/>
  <c r="G104" i="5"/>
  <c r="G96" i="5"/>
  <c r="G88" i="5"/>
  <c r="G80" i="5"/>
  <c r="G72" i="5"/>
  <c r="G135" i="5"/>
  <c r="G127" i="5"/>
  <c r="G119" i="5"/>
  <c r="G111" i="5"/>
  <c r="G103" i="5"/>
  <c r="G95" i="5"/>
  <c r="G87" i="5"/>
  <c r="G79" i="5"/>
  <c r="G71" i="5"/>
  <c r="G132" i="5"/>
  <c r="G124" i="5"/>
  <c r="G116" i="5"/>
  <c r="G108" i="5"/>
  <c r="G100" i="5"/>
  <c r="G92" i="5"/>
  <c r="G84" i="5"/>
  <c r="G76" i="5"/>
  <c r="G68" i="5"/>
  <c r="G113" i="5"/>
  <c r="G101" i="5"/>
  <c r="G70" i="5"/>
  <c r="G131" i="5"/>
  <c r="G94" i="5"/>
  <c r="G125" i="5"/>
  <c r="G75" i="5"/>
  <c r="G118" i="5"/>
  <c r="G106" i="5"/>
  <c r="G81" i="5"/>
  <c r="G69" i="5"/>
  <c r="G60" i="5"/>
  <c r="G130" i="5"/>
  <c r="G105" i="5"/>
  <c r="G65" i="5"/>
  <c r="G123" i="5"/>
  <c r="G117" i="5"/>
  <c r="G129" i="5"/>
  <c r="G98" i="5"/>
  <c r="G110" i="5"/>
  <c r="G91" i="5"/>
  <c r="G73" i="5"/>
  <c r="G126" i="5"/>
  <c r="G107" i="5"/>
  <c r="G90" i="5"/>
  <c r="G66" i="5"/>
  <c r="G64" i="5"/>
  <c r="G51" i="5"/>
  <c r="G134" i="5"/>
  <c r="G109" i="5"/>
  <c r="G97" i="5"/>
  <c r="G121" i="5"/>
  <c r="G63" i="5"/>
  <c r="G62" i="5"/>
  <c r="G48" i="5"/>
  <c r="G40" i="5"/>
  <c r="G32" i="5"/>
  <c r="G82" i="5"/>
  <c r="G77" i="5"/>
  <c r="G56" i="5"/>
  <c r="G53" i="5"/>
  <c r="G50" i="5"/>
  <c r="G42" i="5"/>
  <c r="G59" i="5"/>
  <c r="G55" i="5"/>
  <c r="G52" i="5"/>
  <c r="G44" i="5"/>
  <c r="G36" i="5"/>
  <c r="G28" i="5"/>
  <c r="H10" i="5"/>
  <c r="F13" i="5"/>
  <c r="H18" i="5"/>
  <c r="F21" i="5"/>
  <c r="F24" i="5"/>
  <c r="C25" i="5"/>
  <c r="H37" i="5"/>
  <c r="H38" i="5"/>
  <c r="C39" i="5"/>
  <c r="F45" i="5"/>
  <c r="H54" i="5"/>
  <c r="C59" i="5"/>
  <c r="H75" i="5"/>
  <c r="G85" i="5"/>
  <c r="C97" i="5"/>
  <c r="C11" i="5"/>
  <c r="G13" i="5"/>
  <c r="C19" i="5"/>
  <c r="G21" i="5"/>
  <c r="G24" i="5"/>
  <c r="F29" i="5"/>
  <c r="F39" i="5"/>
  <c r="C40" i="5"/>
  <c r="C41" i="5"/>
  <c r="C44" i="5"/>
  <c r="G45" i="5"/>
  <c r="H50" i="5"/>
  <c r="F59" i="5"/>
  <c r="G61" i="5"/>
  <c r="G115" i="5"/>
  <c r="F8" i="5"/>
  <c r="H13" i="5"/>
  <c r="F16" i="5"/>
  <c r="H21" i="5"/>
  <c r="G29" i="5"/>
  <c r="G39" i="5"/>
  <c r="F65" i="5"/>
  <c r="F67" i="5"/>
  <c r="C71" i="5"/>
  <c r="H115" i="5"/>
  <c r="G8" i="5"/>
  <c r="C14" i="5"/>
  <c r="G16" i="5"/>
  <c r="C22" i="5"/>
  <c r="F25" i="5"/>
  <c r="H29" i="5"/>
  <c r="H39" i="5"/>
  <c r="C43" i="5"/>
  <c r="C53" i="5"/>
  <c r="H65" i="5"/>
  <c r="G67" i="5"/>
  <c r="G78" i="5"/>
  <c r="C128" i="5"/>
  <c r="F135" i="5"/>
  <c r="F126" i="5"/>
  <c r="F119" i="5"/>
  <c r="F107" i="5"/>
  <c r="F76" i="5"/>
  <c r="F66" i="5"/>
  <c r="F58" i="5"/>
  <c r="F113" i="5"/>
  <c r="F101" i="5"/>
  <c r="F88" i="5"/>
  <c r="F131" i="5"/>
  <c r="F100" i="5"/>
  <c r="F94" i="5"/>
  <c r="F82" i="5"/>
  <c r="F63" i="5"/>
  <c r="F125" i="5"/>
  <c r="F112" i="5"/>
  <c r="F87" i="5"/>
  <c r="F75" i="5"/>
  <c r="F111" i="5"/>
  <c r="F99" i="5"/>
  <c r="F93" i="5"/>
  <c r="F68" i="5"/>
  <c r="F130" i="5"/>
  <c r="F123" i="5"/>
  <c r="F117" i="5"/>
  <c r="F86" i="5"/>
  <c r="F129" i="5"/>
  <c r="F116" i="5"/>
  <c r="F104" i="5"/>
  <c r="F98" i="5"/>
  <c r="F79" i="5"/>
  <c r="F132" i="5"/>
  <c r="F114" i="5"/>
  <c r="F89" i="5"/>
  <c r="F115" i="5"/>
  <c r="F102" i="5"/>
  <c r="F118" i="5"/>
  <c r="F103" i="5"/>
  <c r="F81" i="5"/>
  <c r="F69" i="5"/>
  <c r="F57" i="5"/>
  <c r="F91" i="5"/>
  <c r="F90" i="5"/>
  <c r="F64" i="5"/>
  <c r="F51" i="5"/>
  <c r="F43" i="5"/>
  <c r="F35" i="5"/>
  <c r="F27" i="5"/>
  <c r="F134" i="5"/>
  <c r="F109" i="5"/>
  <c r="F97" i="5"/>
  <c r="F70" i="5"/>
  <c r="F121" i="5"/>
  <c r="F106" i="5"/>
  <c r="F71" i="5"/>
  <c r="F62" i="5"/>
  <c r="F48" i="5"/>
  <c r="F110" i="5"/>
  <c r="F77" i="5"/>
  <c r="F56" i="5"/>
  <c r="F122" i="5"/>
  <c r="F83" i="5"/>
  <c r="F78" i="5"/>
  <c r="F61" i="5"/>
  <c r="F60" i="5"/>
  <c r="F127" i="5"/>
  <c r="F84" i="5"/>
  <c r="F73" i="5"/>
  <c r="F50" i="5"/>
  <c r="F92" i="5"/>
  <c r="F95" i="5"/>
  <c r="F85" i="5"/>
  <c r="F74" i="5"/>
  <c r="F128" i="5"/>
  <c r="F52" i="5"/>
  <c r="F44" i="5"/>
  <c r="F36" i="5"/>
  <c r="H8" i="5"/>
  <c r="F11" i="5"/>
  <c r="H16" i="5"/>
  <c r="F19" i="5"/>
  <c r="G25" i="5"/>
  <c r="G30" i="5"/>
  <c r="F40" i="5"/>
  <c r="F41" i="5"/>
  <c r="F42" i="5"/>
  <c r="G43" i="5"/>
  <c r="H44" i="5"/>
  <c r="F49" i="5"/>
  <c r="F53" i="5"/>
  <c r="G83" i="5"/>
  <c r="G86" i="5"/>
  <c r="R28" i="4" l="1"/>
  <c r="P28" i="4"/>
  <c r="R41" i="4"/>
  <c r="P41" i="4"/>
  <c r="P27" i="4"/>
  <c r="R27" i="4"/>
  <c r="R42" i="4"/>
  <c r="P42" i="4"/>
  <c r="A10" i="25" a="1"/>
  <c r="A10" i="21" s="1" a="1"/>
  <c r="D77" i="16"/>
  <c r="D88" i="16"/>
  <c r="D72" i="16"/>
  <c r="D117" i="16"/>
  <c r="D145" i="16"/>
  <c r="D106" i="16"/>
  <c r="D138" i="16"/>
  <c r="D120" i="16"/>
  <c r="D168" i="16"/>
  <c r="D104" i="16"/>
  <c r="D98" i="16"/>
  <c r="D130" i="16"/>
  <c r="D160" i="16"/>
  <c r="D155" i="16"/>
  <c r="D65" i="16"/>
  <c r="D172" i="16"/>
  <c r="H94" i="16"/>
  <c r="H120" i="16"/>
  <c r="D167" i="16"/>
  <c r="D173" i="16"/>
  <c r="D73" i="16"/>
  <c r="H103" i="16"/>
  <c r="D96" i="16"/>
  <c r="D171" i="16"/>
  <c r="D52" i="16"/>
  <c r="D123" i="16"/>
  <c r="D146" i="16"/>
  <c r="C38" i="1"/>
  <c r="G12" i="3"/>
  <c r="M12" i="3"/>
  <c r="J9" i="17"/>
  <c r="J10" i="17" s="1"/>
  <c r="B10" i="17"/>
  <c r="C33" i="1"/>
  <c r="M7" i="3"/>
  <c r="G7" i="3"/>
  <c r="E33" i="1" s="1"/>
  <c r="H46" i="16"/>
  <c r="H171" i="16"/>
  <c r="E171" i="16" s="1"/>
  <c r="H84" i="16"/>
  <c r="H139" i="16"/>
  <c r="H153" i="16"/>
  <c r="H123" i="16"/>
  <c r="E123" i="16" s="1"/>
  <c r="H107" i="16"/>
  <c r="E107" i="16" s="1"/>
  <c r="H75" i="16"/>
  <c r="H59" i="16"/>
  <c r="H86" i="16"/>
  <c r="H70" i="16"/>
  <c r="H159" i="16"/>
  <c r="H127" i="16"/>
  <c r="H111" i="16"/>
  <c r="H95" i="16"/>
  <c r="H79" i="16"/>
  <c r="H63" i="16"/>
  <c r="H54" i="16"/>
  <c r="H119" i="16"/>
  <c r="H144" i="16"/>
  <c r="H112" i="16"/>
  <c r="H96" i="16"/>
  <c r="H80" i="16"/>
  <c r="H64" i="16"/>
  <c r="H48" i="16"/>
  <c r="E48" i="16" s="1"/>
  <c r="H169" i="16"/>
  <c r="H155" i="16"/>
  <c r="E155" i="16" s="1"/>
  <c r="H137" i="16"/>
  <c r="H105" i="16"/>
  <c r="H89" i="16"/>
  <c r="H73" i="16"/>
  <c r="E73" i="16" s="1"/>
  <c r="H130" i="16"/>
  <c r="E130" i="16" s="1"/>
  <c r="H114" i="16"/>
  <c r="H98" i="16"/>
  <c r="H82" i="16"/>
  <c r="H66" i="16"/>
  <c r="H50" i="16"/>
  <c r="D136" i="16"/>
  <c r="D56" i="16"/>
  <c r="D154" i="16"/>
  <c r="D90" i="16"/>
  <c r="D133" i="16"/>
  <c r="D149" i="16"/>
  <c r="D152" i="16"/>
  <c r="D101" i="16"/>
  <c r="H141" i="16"/>
  <c r="H143" i="16"/>
  <c r="H116" i="16"/>
  <c r="H68" i="16"/>
  <c r="H47" i="16"/>
  <c r="D157" i="16"/>
  <c r="H133" i="16"/>
  <c r="E133" i="16" s="1"/>
  <c r="H93" i="16"/>
  <c r="D135" i="16"/>
  <c r="B9" i="17"/>
  <c r="C42" i="15"/>
  <c r="D158" i="16"/>
  <c r="D162" i="16"/>
  <c r="H167" i="16"/>
  <c r="D60" i="16"/>
  <c r="D71" i="16"/>
  <c r="D53" i="16"/>
  <c r="D137" i="16"/>
  <c r="D55" i="16"/>
  <c r="D112" i="16"/>
  <c r="D150" i="16"/>
  <c r="H49" i="16"/>
  <c r="H77" i="16"/>
  <c r="D161" i="16"/>
  <c r="D47" i="16"/>
  <c r="D124" i="16"/>
  <c r="H108" i="16"/>
  <c r="D80" i="16"/>
  <c r="H173" i="16"/>
  <c r="E173" i="16" s="1"/>
  <c r="H71" i="16"/>
  <c r="H125" i="16"/>
  <c r="D75" i="16"/>
  <c r="D102" i="16"/>
  <c r="D143" i="16"/>
  <c r="D118" i="16"/>
  <c r="D97" i="16"/>
  <c r="D86" i="16"/>
  <c r="E86" i="16" s="1"/>
  <c r="D57" i="16"/>
  <c r="D79" i="16"/>
  <c r="E79" i="16" s="1"/>
  <c r="H102" i="16"/>
  <c r="D127" i="16"/>
  <c r="E127" i="16" s="1"/>
  <c r="H132" i="16"/>
  <c r="D63" i="16"/>
  <c r="E63" i="16" s="1"/>
  <c r="D89" i="16"/>
  <c r="E50" i="16"/>
  <c r="D169" i="16"/>
  <c r="E169" i="16" s="1"/>
  <c r="D95" i="16"/>
  <c r="E95" i="16" s="1"/>
  <c r="E120" i="16"/>
  <c r="D132" i="16"/>
  <c r="D103" i="16"/>
  <c r="D174" i="16"/>
  <c r="D68" i="16"/>
  <c r="D139" i="16"/>
  <c r="D114" i="16"/>
  <c r="D156" i="16"/>
  <c r="D92" i="16"/>
  <c r="D83" i="16"/>
  <c r="D105" i="16"/>
  <c r="H154" i="16"/>
  <c r="D99" i="16"/>
  <c r="H128" i="16"/>
  <c r="D134" i="16"/>
  <c r="D147" i="16"/>
  <c r="D151" i="16"/>
  <c r="D100" i="16"/>
  <c r="D64" i="16"/>
  <c r="H91" i="16"/>
  <c r="D159" i="16"/>
  <c r="H83" i="16"/>
  <c r="D82" i="16"/>
  <c r="D87" i="16"/>
  <c r="D144" i="16"/>
  <c r="Q24" i="5"/>
  <c r="W24" i="5" s="1"/>
  <c r="D110" i="16"/>
  <c r="D141" i="16"/>
  <c r="D121" i="16"/>
  <c r="H62" i="16"/>
  <c r="H148" i="16"/>
  <c r="D142" i="16"/>
  <c r="D108" i="16"/>
  <c r="D119" i="16"/>
  <c r="D54" i="16"/>
  <c r="H122" i="16"/>
  <c r="E122" i="16" s="1"/>
  <c r="D45" i="16"/>
  <c r="D111" i="16"/>
  <c r="H51" i="16"/>
  <c r="D128" i="16"/>
  <c r="D46" i="16"/>
  <c r="H118" i="16"/>
  <c r="H57" i="16"/>
  <c r="H136" i="16"/>
  <c r="D125" i="16"/>
  <c r="D51" i="16"/>
  <c r="H72" i="16"/>
  <c r="E72" i="16" s="1"/>
  <c r="D93" i="16"/>
  <c r="D91" i="16"/>
  <c r="D116" i="16"/>
  <c r="H160" i="16"/>
  <c r="H67" i="16"/>
  <c r="D78" i="16"/>
  <c r="D85" i="16"/>
  <c r="D84" i="16"/>
  <c r="H61" i="16"/>
  <c r="D69" i="16"/>
  <c r="D70" i="16"/>
  <c r="D153" i="16"/>
  <c r="H121" i="16"/>
  <c r="H135" i="16"/>
  <c r="H164" i="16"/>
  <c r="H76" i="16"/>
  <c r="Q43" i="5"/>
  <c r="W43" i="5" s="1"/>
  <c r="H151" i="16"/>
  <c r="H109" i="16"/>
  <c r="D166" i="16"/>
  <c r="D59" i="16"/>
  <c r="D66" i="16"/>
  <c r="K20" i="16"/>
  <c r="H20" i="16"/>
  <c r="D20" i="16"/>
  <c r="H110" i="16"/>
  <c r="H106" i="16"/>
  <c r="E106" i="16" s="1"/>
  <c r="H150" i="16"/>
  <c r="H52" i="16"/>
  <c r="E52" i="16" s="1"/>
  <c r="H45" i="16"/>
  <c r="D94" i="16"/>
  <c r="E94" i="16" s="1"/>
  <c r="H152" i="16"/>
  <c r="H129" i="16"/>
  <c r="D148" i="16"/>
  <c r="H140" i="16"/>
  <c r="H69" i="16"/>
  <c r="H88" i="16"/>
  <c r="E88" i="16" s="1"/>
  <c r="H87" i="16"/>
  <c r="H97" i="16"/>
  <c r="D140" i="16"/>
  <c r="H115" i="16"/>
  <c r="H131" i="16"/>
  <c r="H166" i="16"/>
  <c r="E166" i="16" s="1"/>
  <c r="H58" i="16"/>
  <c r="E58" i="16" s="1"/>
  <c r="H81" i="16"/>
  <c r="D109" i="16"/>
  <c r="H163" i="16"/>
  <c r="H113" i="16"/>
  <c r="H142" i="16"/>
  <c r="H165" i="16"/>
  <c r="E165" i="16" s="1"/>
  <c r="H53" i="16"/>
  <c r="D67" i="16"/>
  <c r="H55" i="16"/>
  <c r="H161" i="16"/>
  <c r="H162" i="16"/>
  <c r="D81" i="16"/>
  <c r="H124" i="16"/>
  <c r="D129" i="16"/>
  <c r="H90" i="16"/>
  <c r="D49" i="16"/>
  <c r="H156" i="16"/>
  <c r="H158" i="16"/>
  <c r="H104" i="16"/>
  <c r="H149" i="16"/>
  <c r="H117" i="16"/>
  <c r="D115" i="16"/>
  <c r="H78" i="16"/>
  <c r="H134" i="16"/>
  <c r="H100" i="16"/>
  <c r="H85" i="16"/>
  <c r="H157" i="16"/>
  <c r="H174" i="16"/>
  <c r="H101" i="16"/>
  <c r="D61" i="16"/>
  <c r="D164" i="16"/>
  <c r="H138" i="16"/>
  <c r="H145" i="16"/>
  <c r="E145" i="16" s="1"/>
  <c r="H170" i="16"/>
  <c r="E170" i="16" s="1"/>
  <c r="H147" i="16"/>
  <c r="D163" i="16"/>
  <c r="H172" i="16"/>
  <c r="E172" i="16" s="1"/>
  <c r="D76" i="16"/>
  <c r="H99" i="16"/>
  <c r="D62" i="16"/>
  <c r="H74" i="16"/>
  <c r="E74" i="16" s="1"/>
  <c r="H126" i="16"/>
  <c r="E126" i="16" s="1"/>
  <c r="H56" i="16"/>
  <c r="H65" i="16"/>
  <c r="E65" i="16" s="1"/>
  <c r="H92" i="16"/>
  <c r="D131" i="16"/>
  <c r="H168" i="16"/>
  <c r="E168" i="16" s="1"/>
  <c r="H146" i="16"/>
  <c r="D113" i="16"/>
  <c r="H60" i="16"/>
  <c r="C34" i="1"/>
  <c r="F46" i="15"/>
  <c r="D46" i="15"/>
  <c r="I46" i="15" s="1"/>
  <c r="E46" i="15"/>
  <c r="G46" i="15" s="1"/>
  <c r="F45" i="15"/>
  <c r="E45" i="15"/>
  <c r="G45" i="15" s="1"/>
  <c r="D45" i="15"/>
  <c r="I45" i="15" s="1"/>
  <c r="E44" i="15"/>
  <c r="G44" i="15" s="1"/>
  <c r="F44" i="15"/>
  <c r="D44" i="15"/>
  <c r="I44" i="15" s="1"/>
  <c r="F47" i="15"/>
  <c r="E47" i="15"/>
  <c r="G47" i="15" s="1"/>
  <c r="D47" i="15"/>
  <c r="I47" i="15" s="1"/>
  <c r="Q16" i="5"/>
  <c r="W16" i="5" s="1"/>
  <c r="G8" i="3"/>
  <c r="E34" i="1" s="1"/>
  <c r="D10" i="13"/>
  <c r="E10" i="13" s="1"/>
  <c r="K10" i="13"/>
  <c r="G11" i="13"/>
  <c r="D11" i="13"/>
  <c r="E11" i="13" s="1"/>
  <c r="G10" i="13"/>
  <c r="K11" i="13"/>
  <c r="D12" i="13"/>
  <c r="E12" i="13" s="1"/>
  <c r="K12" i="13"/>
  <c r="Q25" i="5"/>
  <c r="W25" i="5" s="1"/>
  <c r="Q62" i="5"/>
  <c r="W62" i="5" s="1"/>
  <c r="J12" i="13"/>
  <c r="G9" i="13"/>
  <c r="D9" i="13"/>
  <c r="K9" i="13"/>
  <c r="J8" i="13"/>
  <c r="K8" i="13"/>
  <c r="G13" i="13"/>
  <c r="J13" i="13"/>
  <c r="D13" i="13"/>
  <c r="K13" i="13"/>
  <c r="G8" i="13"/>
  <c r="D8" i="13"/>
  <c r="B9" i="16" s="1"/>
  <c r="Q42" i="5"/>
  <c r="W42" i="5" s="1"/>
  <c r="Q65" i="5"/>
  <c r="W65" i="5" s="1"/>
  <c r="Q41" i="5"/>
  <c r="W41" i="5" s="1"/>
  <c r="Q85" i="5"/>
  <c r="W85" i="5" s="1"/>
  <c r="I33" i="5"/>
  <c r="J33" i="5" s="1"/>
  <c r="Q9" i="5"/>
  <c r="W9" i="5" s="1"/>
  <c r="Q111" i="5"/>
  <c r="W111" i="5" s="1"/>
  <c r="Q15" i="5"/>
  <c r="W15" i="5" s="1"/>
  <c r="Q8" i="5"/>
  <c r="W8" i="5" s="1"/>
  <c r="I80" i="5"/>
  <c r="J80" i="5" s="1"/>
  <c r="I14" i="5"/>
  <c r="J14" i="5" s="1"/>
  <c r="I47" i="5"/>
  <c r="J47" i="5" s="1"/>
  <c r="Q70" i="5"/>
  <c r="W70" i="5" s="1"/>
  <c r="Q92" i="5"/>
  <c r="W92" i="5" s="1"/>
  <c r="Q106" i="5"/>
  <c r="W106" i="5" s="1"/>
  <c r="Q119" i="5"/>
  <c r="W119" i="5" s="1"/>
  <c r="Q57" i="5"/>
  <c r="W57" i="5" s="1"/>
  <c r="Q129" i="5"/>
  <c r="W129" i="5" s="1"/>
  <c r="Q14" i="5"/>
  <c r="W14" i="5" s="1"/>
  <c r="Q53" i="5"/>
  <c r="W53" i="5" s="1"/>
  <c r="Q122" i="5"/>
  <c r="W122" i="5" s="1"/>
  <c r="Q48" i="5"/>
  <c r="W48" i="5" s="1"/>
  <c r="Q133" i="5"/>
  <c r="W133" i="5" s="1"/>
  <c r="Q33" i="5"/>
  <c r="W33" i="5" s="1"/>
  <c r="Q84" i="5"/>
  <c r="W84" i="5" s="1"/>
  <c r="Q113" i="5"/>
  <c r="W113" i="5" s="1"/>
  <c r="I121" i="5"/>
  <c r="J121" i="5" s="1"/>
  <c r="C56" i="2"/>
  <c r="T27" i="1" s="1"/>
  <c r="Q52" i="5"/>
  <c r="W52" i="5" s="1"/>
  <c r="Q39" i="5"/>
  <c r="W39" i="5" s="1"/>
  <c r="Q28" i="5"/>
  <c r="W28" i="5" s="1"/>
  <c r="I7" i="5"/>
  <c r="J7" i="5" s="1"/>
  <c r="Q17" i="5"/>
  <c r="W17" i="5" s="1"/>
  <c r="Q11" i="5"/>
  <c r="W11" i="5" s="1"/>
  <c r="Q95" i="5"/>
  <c r="W95" i="5" s="1"/>
  <c r="Q72" i="5"/>
  <c r="W72" i="5" s="1"/>
  <c r="Q73" i="5"/>
  <c r="W73" i="5" s="1"/>
  <c r="Q46" i="5"/>
  <c r="W46" i="5" s="1"/>
  <c r="Q123" i="5"/>
  <c r="W123" i="5" s="1"/>
  <c r="Q23" i="5"/>
  <c r="W23" i="5" s="1"/>
  <c r="Q75" i="5"/>
  <c r="W75" i="5" s="1"/>
  <c r="Q37" i="5"/>
  <c r="W37" i="5" s="1"/>
  <c r="Q96" i="5"/>
  <c r="W96" i="5" s="1"/>
  <c r="Q134" i="5"/>
  <c r="W134" i="5" s="1"/>
  <c r="I55" i="5"/>
  <c r="J55" i="5" s="1"/>
  <c r="I89" i="5"/>
  <c r="J89" i="5" s="1"/>
  <c r="Q44" i="5"/>
  <c r="W44" i="5" s="1"/>
  <c r="Q103" i="5"/>
  <c r="W103" i="5" s="1"/>
  <c r="Q63" i="5"/>
  <c r="W63" i="5" s="1"/>
  <c r="Q93" i="5"/>
  <c r="W93" i="5" s="1"/>
  <c r="Q83" i="5"/>
  <c r="W83" i="5" s="1"/>
  <c r="Q50" i="5"/>
  <c r="W50" i="5" s="1"/>
  <c r="I112" i="5"/>
  <c r="J112" i="5" s="1"/>
  <c r="Q54" i="5"/>
  <c r="W54" i="5" s="1"/>
  <c r="I124" i="5"/>
  <c r="J124" i="5" s="1"/>
  <c r="I75" i="5"/>
  <c r="J75" i="5" s="1"/>
  <c r="Q38" i="5"/>
  <c r="W38" i="5" s="1"/>
  <c r="Q112" i="5"/>
  <c r="W112" i="5" s="1"/>
  <c r="Q124" i="5"/>
  <c r="W124" i="5" s="1"/>
  <c r="I57" i="5"/>
  <c r="J57" i="5" s="1"/>
  <c r="I76" i="5"/>
  <c r="J76" i="5" s="1"/>
  <c r="Q34" i="5"/>
  <c r="W34" i="5" s="1"/>
  <c r="Q131" i="5"/>
  <c r="W131" i="5" s="1"/>
  <c r="Q132" i="5"/>
  <c r="W132" i="5" s="1"/>
  <c r="Q26" i="5"/>
  <c r="W26" i="5" s="1"/>
  <c r="Q105" i="5"/>
  <c r="W105" i="5" s="1"/>
  <c r="Q120" i="5"/>
  <c r="W120" i="5" s="1"/>
  <c r="Q60" i="5"/>
  <c r="W60" i="5" s="1"/>
  <c r="Q27" i="5"/>
  <c r="W27" i="5" s="1"/>
  <c r="Q59" i="5"/>
  <c r="W59" i="5" s="1"/>
  <c r="Q97" i="5"/>
  <c r="W97" i="5" s="1"/>
  <c r="I39" i="5"/>
  <c r="J39" i="5" s="1"/>
  <c r="Q47" i="5"/>
  <c r="W47" i="5" s="1"/>
  <c r="Q68" i="5"/>
  <c r="W68" i="5" s="1"/>
  <c r="I99" i="5"/>
  <c r="J99" i="5" s="1"/>
  <c r="I38" i="5"/>
  <c r="J38" i="5" s="1"/>
  <c r="I31" i="5"/>
  <c r="J31" i="5" s="1"/>
  <c r="Q13" i="5"/>
  <c r="W13" i="5" s="1"/>
  <c r="Q104" i="5"/>
  <c r="W104" i="5" s="1"/>
  <c r="I23" i="5"/>
  <c r="J23" i="5" s="1"/>
  <c r="Q10" i="5"/>
  <c r="W10" i="5" s="1"/>
  <c r="Q74" i="5"/>
  <c r="W74" i="5" s="1"/>
  <c r="Q135" i="5"/>
  <c r="W135" i="5" s="1"/>
  <c r="C43" i="2"/>
  <c r="T14" i="1" s="1"/>
  <c r="Q118" i="5"/>
  <c r="W118" i="5" s="1"/>
  <c r="Q67" i="5"/>
  <c r="W67" i="5" s="1"/>
  <c r="Q32" i="5"/>
  <c r="W32" i="5" s="1"/>
  <c r="Q35" i="5"/>
  <c r="W35" i="5" s="1"/>
  <c r="I120" i="5"/>
  <c r="J120" i="5" s="1"/>
  <c r="Q90" i="5"/>
  <c r="W90" i="5" s="1"/>
  <c r="Q82" i="5"/>
  <c r="W82" i="5" s="1"/>
  <c r="I116" i="5"/>
  <c r="J116" i="5" s="1"/>
  <c r="I25" i="5"/>
  <c r="J25" i="5" s="1"/>
  <c r="Q55" i="5"/>
  <c r="W55" i="5" s="1"/>
  <c r="Q78" i="5"/>
  <c r="W78" i="5" s="1"/>
  <c r="I84" i="5"/>
  <c r="J84" i="5" s="1"/>
  <c r="Q66" i="5"/>
  <c r="W66" i="5" s="1"/>
  <c r="I37" i="5"/>
  <c r="J37" i="5" s="1"/>
  <c r="Q64" i="5"/>
  <c r="W64" i="5" s="1"/>
  <c r="Q45" i="5"/>
  <c r="W45" i="5" s="1"/>
  <c r="Q12" i="5"/>
  <c r="W12" i="5" s="1"/>
  <c r="I91" i="5"/>
  <c r="J91" i="5" s="1"/>
  <c r="Q87" i="5"/>
  <c r="W87" i="5" s="1"/>
  <c r="Q86" i="5"/>
  <c r="W86" i="5" s="1"/>
  <c r="Q114" i="5"/>
  <c r="W114" i="5" s="1"/>
  <c r="Q109" i="5"/>
  <c r="W109" i="5" s="1"/>
  <c r="Q80" i="5"/>
  <c r="W80" i="5" s="1"/>
  <c r="Q115" i="5"/>
  <c r="W115" i="5" s="1"/>
  <c r="C60" i="2"/>
  <c r="T31" i="1" s="1"/>
  <c r="Q110" i="5"/>
  <c r="W110" i="5" s="1"/>
  <c r="I97" i="5"/>
  <c r="J97" i="5" s="1"/>
  <c r="Q98" i="5"/>
  <c r="W98" i="5" s="1"/>
  <c r="I92" i="5"/>
  <c r="J92" i="5" s="1"/>
  <c r="I103" i="5"/>
  <c r="J103" i="5" s="1"/>
  <c r="I68" i="5"/>
  <c r="J68" i="5" s="1"/>
  <c r="Q130" i="5"/>
  <c r="W130" i="5" s="1"/>
  <c r="Q136" i="5"/>
  <c r="W136" i="5" s="1"/>
  <c r="Q101" i="5"/>
  <c r="W101" i="5" s="1"/>
  <c r="I105" i="5"/>
  <c r="J105" i="5" s="1"/>
  <c r="I59" i="5"/>
  <c r="J59" i="5" s="1"/>
  <c r="I111" i="5"/>
  <c r="J111" i="5" s="1"/>
  <c r="I13" i="5"/>
  <c r="J13" i="5" s="1"/>
  <c r="I9" i="5"/>
  <c r="J9" i="5" s="1"/>
  <c r="I27" i="5"/>
  <c r="J27" i="5" s="1"/>
  <c r="I72" i="5"/>
  <c r="J72" i="5" s="1"/>
  <c r="I17" i="5"/>
  <c r="J17" i="5" s="1"/>
  <c r="I65" i="5"/>
  <c r="J65" i="5" s="1"/>
  <c r="I41" i="5"/>
  <c r="J41" i="5" s="1"/>
  <c r="I10" i="5"/>
  <c r="J10" i="5" s="1"/>
  <c r="I15" i="5"/>
  <c r="J15" i="5" s="1"/>
  <c r="I108" i="5"/>
  <c r="J108" i="5" s="1"/>
  <c r="I18" i="5"/>
  <c r="J18" i="5" s="1"/>
  <c r="I132" i="5"/>
  <c r="J132" i="5" s="1"/>
  <c r="I113" i="5"/>
  <c r="J113" i="5" s="1"/>
  <c r="I129" i="5"/>
  <c r="J129" i="5" s="1"/>
  <c r="I100" i="5"/>
  <c r="J100" i="5" s="1"/>
  <c r="I56" i="5"/>
  <c r="J56" i="5" s="1"/>
  <c r="I136" i="5"/>
  <c r="J136" i="5" s="1"/>
  <c r="R136" i="5" s="1"/>
  <c r="F11" i="1" s="1"/>
  <c r="I49" i="5"/>
  <c r="J49" i="5" s="1"/>
  <c r="I62" i="5"/>
  <c r="J62" i="5" s="1"/>
  <c r="I67" i="5"/>
  <c r="J67" i="5" s="1"/>
  <c r="I52" i="5"/>
  <c r="J52" i="5" s="1"/>
  <c r="I36" i="5"/>
  <c r="J36" i="5" s="1"/>
  <c r="I53" i="5"/>
  <c r="J53" i="5" s="1"/>
  <c r="I81" i="5"/>
  <c r="J81" i="5" s="1"/>
  <c r="I73" i="5"/>
  <c r="J73" i="5" s="1"/>
  <c r="I12" i="5"/>
  <c r="J12" i="5" s="1"/>
  <c r="C55" i="2"/>
  <c r="T26" i="1" s="1"/>
  <c r="I45" i="5"/>
  <c r="J45" i="5" s="1"/>
  <c r="I78" i="5"/>
  <c r="J78" i="5" s="1"/>
  <c r="I98" i="5"/>
  <c r="J98" i="5" s="1"/>
  <c r="I88" i="5"/>
  <c r="J88" i="5" s="1"/>
  <c r="I133" i="5"/>
  <c r="J133" i="5" s="1"/>
  <c r="Q40" i="5"/>
  <c r="W40" i="5" s="1"/>
  <c r="Q99" i="5"/>
  <c r="W99" i="5" s="1"/>
  <c r="Q100" i="5"/>
  <c r="W100" i="5" s="1"/>
  <c r="C36" i="1"/>
  <c r="G10" i="3"/>
  <c r="M10" i="3"/>
  <c r="Q116" i="5"/>
  <c r="W116" i="5" s="1"/>
  <c r="I79" i="5"/>
  <c r="J79" i="5" s="1"/>
  <c r="I85" i="5"/>
  <c r="J85" i="5" s="1"/>
  <c r="I26" i="5"/>
  <c r="J26" i="5" s="1"/>
  <c r="I48" i="5"/>
  <c r="J48" i="5" s="1"/>
  <c r="I87" i="5"/>
  <c r="J87" i="5" s="1"/>
  <c r="I123" i="5"/>
  <c r="J123" i="5" s="1"/>
  <c r="I64" i="5"/>
  <c r="J64" i="5" s="1"/>
  <c r="Q20" i="5"/>
  <c r="W20" i="5" s="1"/>
  <c r="I35" i="5"/>
  <c r="J35" i="5" s="1"/>
  <c r="Q102" i="5"/>
  <c r="W102" i="5" s="1"/>
  <c r="Q94" i="5"/>
  <c r="W94" i="5" s="1"/>
  <c r="Q126" i="5"/>
  <c r="W126" i="5" s="1"/>
  <c r="Q127" i="5"/>
  <c r="W127" i="5" s="1"/>
  <c r="Q69" i="5"/>
  <c r="W69" i="5" s="1"/>
  <c r="Q117" i="5"/>
  <c r="W117" i="5" s="1"/>
  <c r="Q76" i="5"/>
  <c r="W76" i="5" s="1"/>
  <c r="Q77" i="5"/>
  <c r="W77" i="5" s="1"/>
  <c r="Q108" i="5"/>
  <c r="W108" i="5" s="1"/>
  <c r="Q49" i="5"/>
  <c r="W49" i="5" s="1"/>
  <c r="Q128" i="5"/>
  <c r="W128" i="5" s="1"/>
  <c r="M41" i="1"/>
  <c r="C50" i="2"/>
  <c r="T21" i="1" s="1"/>
  <c r="Q81" i="5"/>
  <c r="W81" i="5" s="1"/>
  <c r="C38" i="2"/>
  <c r="T9" i="1" s="1"/>
  <c r="Q21" i="5"/>
  <c r="W21" i="5" s="1"/>
  <c r="Q22" i="5"/>
  <c r="W22" i="5" s="1"/>
  <c r="Q125" i="5"/>
  <c r="W125" i="5" s="1"/>
  <c r="Q107" i="5"/>
  <c r="W107" i="5" s="1"/>
  <c r="C52" i="2"/>
  <c r="T23" i="1" s="1"/>
  <c r="Q91" i="5"/>
  <c r="W91" i="5" s="1"/>
  <c r="I22" i="5"/>
  <c r="J22" i="5" s="1"/>
  <c r="I101" i="5"/>
  <c r="J101" i="5" s="1"/>
  <c r="I134" i="5"/>
  <c r="J134" i="5" s="1"/>
  <c r="I102" i="5"/>
  <c r="J102" i="5" s="1"/>
  <c r="G11" i="3"/>
  <c r="M11" i="3"/>
  <c r="C37" i="1"/>
  <c r="Q79" i="5"/>
  <c r="W79" i="5" s="1"/>
  <c r="Q88" i="5"/>
  <c r="W88" i="5" s="1"/>
  <c r="Q89" i="5"/>
  <c r="W89" i="5" s="1"/>
  <c r="I8" i="5"/>
  <c r="J8" i="5" s="1"/>
  <c r="I43" i="5"/>
  <c r="J43" i="5" s="1"/>
  <c r="I104" i="5"/>
  <c r="J104" i="5" s="1"/>
  <c r="I46" i="5"/>
  <c r="J46" i="5" s="1"/>
  <c r="I58" i="5"/>
  <c r="J58" i="5" s="1"/>
  <c r="I118" i="5"/>
  <c r="J118" i="5" s="1"/>
  <c r="I20" i="5"/>
  <c r="J20" i="5" s="1"/>
  <c r="I61" i="5"/>
  <c r="J61" i="5" s="1"/>
  <c r="I29" i="5"/>
  <c r="J29" i="5" s="1"/>
  <c r="I24" i="5"/>
  <c r="J24" i="5" s="1"/>
  <c r="Q29" i="5"/>
  <c r="W29" i="5" s="1"/>
  <c r="Q30" i="5"/>
  <c r="W30" i="5" s="1"/>
  <c r="C40" i="2"/>
  <c r="T11" i="1" s="1"/>
  <c r="Q31" i="5"/>
  <c r="W31" i="5" s="1"/>
  <c r="Q51" i="5"/>
  <c r="W51" i="5" s="1"/>
  <c r="I32" i="5"/>
  <c r="J32" i="5" s="1"/>
  <c r="I16" i="5"/>
  <c r="J16" i="5" s="1"/>
  <c r="I83" i="5"/>
  <c r="J83" i="5" s="1"/>
  <c r="I54" i="5"/>
  <c r="J54" i="5" s="1"/>
  <c r="I86" i="5"/>
  <c r="J86" i="5" s="1"/>
  <c r="I125" i="5"/>
  <c r="J125" i="5" s="1"/>
  <c r="I114" i="5"/>
  <c r="J114" i="5" s="1"/>
  <c r="I122" i="5"/>
  <c r="J122" i="5" s="1"/>
  <c r="I70" i="5"/>
  <c r="J70" i="5" s="1"/>
  <c r="I94" i="5"/>
  <c r="J94" i="5" s="1"/>
  <c r="I128" i="5"/>
  <c r="J128" i="5" s="1"/>
  <c r="I131" i="5"/>
  <c r="J131" i="5" s="1"/>
  <c r="I71" i="5"/>
  <c r="J71" i="5" s="1"/>
  <c r="I110" i="5"/>
  <c r="J110" i="5" s="1"/>
  <c r="I90" i="5"/>
  <c r="J90" i="5" s="1"/>
  <c r="I96" i="5"/>
  <c r="J96" i="5" s="1"/>
  <c r="B8" i="9"/>
  <c r="D8" i="9" s="1"/>
  <c r="I28" i="5"/>
  <c r="J28" i="5" s="1"/>
  <c r="I34" i="5"/>
  <c r="J34" i="5" s="1"/>
  <c r="I135" i="5"/>
  <c r="J135" i="5" s="1"/>
  <c r="I66" i="5"/>
  <c r="J66" i="5" s="1"/>
  <c r="I109" i="5"/>
  <c r="J109" i="5" s="1"/>
  <c r="I107" i="5"/>
  <c r="J107" i="5" s="1"/>
  <c r="I60" i="5"/>
  <c r="J60" i="5" s="1"/>
  <c r="I42" i="5"/>
  <c r="J42" i="5" s="1"/>
  <c r="I69" i="5"/>
  <c r="J69" i="5" s="1"/>
  <c r="I127" i="5"/>
  <c r="J127" i="5" s="1"/>
  <c r="L128" i="5" s="1"/>
  <c r="V128" i="5" s="1"/>
  <c r="I119" i="5"/>
  <c r="J119" i="5" s="1"/>
  <c r="C35" i="1"/>
  <c r="G9" i="3"/>
  <c r="M9" i="3"/>
  <c r="E40" i="1"/>
  <c r="I11" i="5"/>
  <c r="J11" i="5" s="1"/>
  <c r="I50" i="5"/>
  <c r="J50" i="5" s="1"/>
  <c r="I115" i="5"/>
  <c r="J115" i="5" s="1"/>
  <c r="I126" i="5"/>
  <c r="J126" i="5" s="1"/>
  <c r="Q71" i="5"/>
  <c r="W71" i="5" s="1"/>
  <c r="Q121" i="5"/>
  <c r="W121" i="5" s="1"/>
  <c r="I19" i="5"/>
  <c r="J19" i="5" s="1"/>
  <c r="I93" i="5"/>
  <c r="J93" i="5" s="1"/>
  <c r="Q36" i="5"/>
  <c r="W36" i="5" s="1"/>
  <c r="I40" i="5"/>
  <c r="J40" i="5" s="1"/>
  <c r="I74" i="5"/>
  <c r="J74" i="5" s="1"/>
  <c r="I63" i="5"/>
  <c r="J63" i="5" s="1"/>
  <c r="C9" i="2"/>
  <c r="C61" i="2"/>
  <c r="T32" i="1" s="1"/>
  <c r="I51" i="5"/>
  <c r="J51" i="5" s="1"/>
  <c r="I44" i="5"/>
  <c r="J44" i="5" s="1"/>
  <c r="I82" i="5"/>
  <c r="J82" i="5" s="1"/>
  <c r="I77" i="5"/>
  <c r="J77" i="5" s="1"/>
  <c r="Q58" i="5"/>
  <c r="W58" i="5" s="1"/>
  <c r="I30" i="5"/>
  <c r="J30" i="5" s="1"/>
  <c r="Q56" i="5"/>
  <c r="W56" i="5" s="1"/>
  <c r="Q61" i="5"/>
  <c r="W61" i="5" s="1"/>
  <c r="I21" i="5"/>
  <c r="J21" i="5" s="1"/>
  <c r="I117" i="5"/>
  <c r="J117" i="5" s="1"/>
  <c r="I106" i="5"/>
  <c r="J106" i="5" s="1"/>
  <c r="I130" i="5"/>
  <c r="J130" i="5" s="1"/>
  <c r="I95" i="5"/>
  <c r="J95" i="5" s="1"/>
  <c r="E77" i="16" l="1"/>
  <c r="E83" i="16"/>
  <c r="E138" i="16"/>
  <c r="I22" i="17"/>
  <c r="I20" i="17"/>
  <c r="I27" i="17"/>
  <c r="I16" i="17"/>
  <c r="I15" i="17"/>
  <c r="I24" i="17"/>
  <c r="I17" i="17"/>
  <c r="I26" i="17"/>
  <c r="I19" i="17"/>
  <c r="I21" i="17"/>
  <c r="I14" i="17"/>
  <c r="I23" i="17"/>
  <c r="I13" i="17"/>
  <c r="E75" i="16"/>
  <c r="E117" i="16"/>
  <c r="E143" i="16"/>
  <c r="E152" i="16"/>
  <c r="E96" i="16"/>
  <c r="E62" i="16"/>
  <c r="E104" i="16"/>
  <c r="E98" i="16"/>
  <c r="E82" i="16"/>
  <c r="E66" i="16"/>
  <c r="E167" i="16"/>
  <c r="E137" i="16"/>
  <c r="E64" i="16"/>
  <c r="I25" i="17"/>
  <c r="I18" i="17"/>
  <c r="E141" i="16"/>
  <c r="E103" i="16"/>
  <c r="E139" i="16"/>
  <c r="E114" i="16"/>
  <c r="E105" i="16"/>
  <c r="E154" i="16"/>
  <c r="E160" i="16"/>
  <c r="E84" i="16"/>
  <c r="E153" i="16"/>
  <c r="E110" i="16"/>
  <c r="E45" i="16"/>
  <c r="E159" i="16"/>
  <c r="E112" i="16"/>
  <c r="E89" i="16"/>
  <c r="E118" i="16"/>
  <c r="E47" i="16"/>
  <c r="E80" i="16"/>
  <c r="E149" i="16"/>
  <c r="J12" i="3"/>
  <c r="G38" i="1" s="1"/>
  <c r="E38" i="1"/>
  <c r="E71" i="16"/>
  <c r="E144" i="16"/>
  <c r="E119" i="16"/>
  <c r="E54" i="16"/>
  <c r="E111" i="16"/>
  <c r="E51" i="16"/>
  <c r="E128" i="16"/>
  <c r="E46" i="16"/>
  <c r="E57" i="16"/>
  <c r="E136" i="16"/>
  <c r="E93" i="16"/>
  <c r="E116" i="16"/>
  <c r="E70" i="16"/>
  <c r="E135" i="16"/>
  <c r="E161" i="16"/>
  <c r="E151" i="16"/>
  <c r="E59" i="16"/>
  <c r="E150" i="16"/>
  <c r="E97" i="16"/>
  <c r="E124" i="16"/>
  <c r="E90" i="16"/>
  <c r="E156" i="16"/>
  <c r="E158" i="16"/>
  <c r="E134" i="16"/>
  <c r="E100" i="16"/>
  <c r="E157" i="16"/>
  <c r="E174" i="16"/>
  <c r="E101" i="16"/>
  <c r="E61" i="16"/>
  <c r="E56" i="16"/>
  <c r="E92" i="16"/>
  <c r="E146" i="16"/>
  <c r="E60" i="16"/>
  <c r="L103" i="5"/>
  <c r="V103" i="5" s="1"/>
  <c r="F42" i="15"/>
  <c r="E42" i="15"/>
  <c r="B12" i="15" s="1"/>
  <c r="D42" i="15"/>
  <c r="B9" i="15"/>
  <c r="E108" i="16"/>
  <c r="E91" i="16"/>
  <c r="E85" i="16"/>
  <c r="E68" i="16"/>
  <c r="E147" i="16"/>
  <c r="E162" i="16"/>
  <c r="E121" i="16"/>
  <c r="E67" i="16"/>
  <c r="E53" i="16"/>
  <c r="E87" i="16"/>
  <c r="E164" i="16"/>
  <c r="E69" i="16"/>
  <c r="E125" i="16"/>
  <c r="E132" i="16"/>
  <c r="E102" i="16"/>
  <c r="E99" i="16"/>
  <c r="E76" i="16"/>
  <c r="E49" i="16"/>
  <c r="E148" i="16"/>
  <c r="L23" i="5"/>
  <c r="V23" i="5" s="1"/>
  <c r="E55" i="16"/>
  <c r="E140" i="16"/>
  <c r="E109" i="16"/>
  <c r="J8" i="3"/>
  <c r="G34" i="1" s="1"/>
  <c r="E78" i="16"/>
  <c r="E142" i="16"/>
  <c r="E113" i="16"/>
  <c r="E163" i="16"/>
  <c r="E81" i="16"/>
  <c r="E129" i="16"/>
  <c r="A13" i="16"/>
  <c r="E131" i="16"/>
  <c r="L116" i="5"/>
  <c r="V116" i="5" s="1"/>
  <c r="E115" i="16"/>
  <c r="L112" i="5"/>
  <c r="V112" i="5" s="1"/>
  <c r="L45" i="5"/>
  <c r="V45" i="5" s="1"/>
  <c r="L12" i="5"/>
  <c r="V12" i="5" s="1"/>
  <c r="X12" i="13"/>
  <c r="H12" i="13" s="1"/>
  <c r="K21" i="16"/>
  <c r="H21" i="16"/>
  <c r="D21" i="16"/>
  <c r="X10" i="13"/>
  <c r="H10" i="13" s="1"/>
  <c r="L83" i="5"/>
  <c r="V83" i="5" s="1"/>
  <c r="X11" i="13"/>
  <c r="H11" i="13" s="1"/>
  <c r="G42" i="15"/>
  <c r="H9" i="15" s="1"/>
  <c r="L29" i="5"/>
  <c r="V29" i="5" s="1"/>
  <c r="E8" i="13"/>
  <c r="H12" i="15"/>
  <c r="L92" i="5"/>
  <c r="V92" i="5" s="1"/>
  <c r="L131" i="5"/>
  <c r="V131" i="5" s="1"/>
  <c r="L91" i="5"/>
  <c r="V91" i="5" s="1"/>
  <c r="L61" i="5"/>
  <c r="V61" i="5" s="1"/>
  <c r="L37" i="5"/>
  <c r="V37" i="5" s="1"/>
  <c r="L105" i="5"/>
  <c r="V105" i="5" s="1"/>
  <c r="L39" i="5"/>
  <c r="V39" i="5" s="1"/>
  <c r="L35" i="5"/>
  <c r="V35" i="5" s="1"/>
  <c r="L100" i="5"/>
  <c r="V100" i="5" s="1"/>
  <c r="L15" i="5"/>
  <c r="V15" i="5" s="1"/>
  <c r="L81" i="5"/>
  <c r="V81" i="5" s="1"/>
  <c r="E9" i="13"/>
  <c r="X9" i="13"/>
  <c r="H9" i="13" s="1"/>
  <c r="E13" i="13"/>
  <c r="X13" i="13"/>
  <c r="H13" i="13" s="1"/>
  <c r="X8" i="13"/>
  <c r="H8" i="13" s="1"/>
  <c r="L65" i="5"/>
  <c r="V65" i="5" s="1"/>
  <c r="L20" i="5"/>
  <c r="V20" i="5" s="1"/>
  <c r="L84" i="5"/>
  <c r="V84" i="5" s="1"/>
  <c r="L52" i="5"/>
  <c r="V52" i="5" s="1"/>
  <c r="L107" i="5"/>
  <c r="V107" i="5" s="1"/>
  <c r="L36" i="5"/>
  <c r="V36" i="5" s="1"/>
  <c r="L118" i="5"/>
  <c r="V118" i="5" s="1"/>
  <c r="L41" i="5"/>
  <c r="V41" i="5" s="1"/>
  <c r="L70" i="5"/>
  <c r="V70" i="5" s="1"/>
  <c r="L97" i="5"/>
  <c r="V97" i="5" s="1"/>
  <c r="L75" i="5"/>
  <c r="V75" i="5" s="1"/>
  <c r="L129" i="5"/>
  <c r="V129" i="5" s="1"/>
  <c r="L18" i="5"/>
  <c r="V18" i="5" s="1"/>
  <c r="L78" i="5"/>
  <c r="V78" i="5" s="1"/>
  <c r="L136" i="5"/>
  <c r="V136" i="5" s="1"/>
  <c r="L68" i="5"/>
  <c r="V68" i="5" s="1"/>
  <c r="L73" i="5"/>
  <c r="V73" i="5" s="1"/>
  <c r="L26" i="5"/>
  <c r="V26" i="5" s="1"/>
  <c r="L56" i="5"/>
  <c r="V56" i="5" s="1"/>
  <c r="L89" i="5"/>
  <c r="V89" i="5" s="1"/>
  <c r="L121" i="5"/>
  <c r="V121" i="5" s="1"/>
  <c r="L33" i="5"/>
  <c r="V33" i="5" s="1"/>
  <c r="L17" i="5"/>
  <c r="V17" i="5" s="1"/>
  <c r="L64" i="5"/>
  <c r="V64" i="5" s="1"/>
  <c r="L80" i="5"/>
  <c r="V80" i="5" s="1"/>
  <c r="L102" i="5"/>
  <c r="V102" i="5" s="1"/>
  <c r="L9" i="5"/>
  <c r="V9" i="5" s="1"/>
  <c r="L55" i="5"/>
  <c r="V55" i="5" s="1"/>
  <c r="L47" i="5"/>
  <c r="V47" i="5" s="1"/>
  <c r="L111" i="5"/>
  <c r="V111" i="5" s="1"/>
  <c r="L99" i="5"/>
  <c r="V99" i="5" s="1"/>
  <c r="L76" i="5"/>
  <c r="V76" i="5" s="1"/>
  <c r="L72" i="5"/>
  <c r="V72" i="5" s="1"/>
  <c r="L79" i="5"/>
  <c r="V79" i="5" s="1"/>
  <c r="L46" i="5"/>
  <c r="V46" i="5" s="1"/>
  <c r="L120" i="5"/>
  <c r="V120" i="5" s="1"/>
  <c r="L49" i="5"/>
  <c r="V49" i="5" s="1"/>
  <c r="L25" i="5"/>
  <c r="V25" i="5" s="1"/>
  <c r="L13" i="5"/>
  <c r="V13" i="5" s="1"/>
  <c r="L43" i="5"/>
  <c r="V43" i="5" s="1"/>
  <c r="L71" i="5"/>
  <c r="V71" i="5" s="1"/>
  <c r="L135" i="5"/>
  <c r="V135" i="5" s="1"/>
  <c r="L57" i="5"/>
  <c r="V57" i="5" s="1"/>
  <c r="L16" i="5"/>
  <c r="V16" i="5" s="1"/>
  <c r="L62" i="5"/>
  <c r="V62" i="5" s="1"/>
  <c r="L21" i="5"/>
  <c r="V21" i="5" s="1"/>
  <c r="L11" i="5"/>
  <c r="V11" i="5" s="1"/>
  <c r="L31" i="5"/>
  <c r="V31" i="5" s="1"/>
  <c r="L67" i="5"/>
  <c r="V67" i="5" s="1"/>
  <c r="L87" i="5"/>
  <c r="V87" i="5" s="1"/>
  <c r="L59" i="5"/>
  <c r="V59" i="5" s="1"/>
  <c r="L53" i="5"/>
  <c r="V53" i="5" s="1"/>
  <c r="C10" i="2"/>
  <c r="L123" i="5"/>
  <c r="V123" i="5" s="1"/>
  <c r="L122" i="5"/>
  <c r="V122" i="5" s="1"/>
  <c r="L127" i="5"/>
  <c r="V127" i="5" s="1"/>
  <c r="L96" i="5"/>
  <c r="V96" i="5" s="1"/>
  <c r="L51" i="5"/>
  <c r="V51" i="5" s="1"/>
  <c r="L110" i="5"/>
  <c r="V110" i="5" s="1"/>
  <c r="L95" i="5"/>
  <c r="V95" i="5" s="1"/>
  <c r="L119" i="5"/>
  <c r="V119" i="5" s="1"/>
  <c r="L93" i="5"/>
  <c r="V93" i="5" s="1"/>
  <c r="E36" i="1"/>
  <c r="L90" i="5"/>
  <c r="V90" i="5" s="1"/>
  <c r="L50" i="5"/>
  <c r="V50" i="5" s="1"/>
  <c r="L115" i="5"/>
  <c r="V115" i="5" s="1"/>
  <c r="J9" i="3"/>
  <c r="G35" i="1" s="1"/>
  <c r="E35" i="1"/>
  <c r="L44" i="5"/>
  <c r="V44" i="5" s="1"/>
  <c r="L8" i="5"/>
  <c r="V8" i="5" s="1"/>
  <c r="L7" i="5"/>
  <c r="M7" i="5" s="1"/>
  <c r="L133" i="5"/>
  <c r="V133" i="5" s="1"/>
  <c r="E37" i="1"/>
  <c r="J11" i="3"/>
  <c r="G37" i="1" s="1"/>
  <c r="L60" i="5"/>
  <c r="V60" i="5" s="1"/>
  <c r="L42" i="5"/>
  <c r="V42" i="5" s="1"/>
  <c r="L114" i="5"/>
  <c r="V114" i="5" s="1"/>
  <c r="I10" i="3"/>
  <c r="J10" i="3" s="1"/>
  <c r="G36" i="1" s="1"/>
  <c r="K10" i="3"/>
  <c r="H36" i="1" s="1"/>
  <c r="L125" i="5"/>
  <c r="V125" i="5" s="1"/>
  <c r="L10" i="5"/>
  <c r="V10" i="5" s="1"/>
  <c r="L98" i="5"/>
  <c r="V98" i="5" s="1"/>
  <c r="L54" i="5"/>
  <c r="V54" i="5" s="1"/>
  <c r="L66" i="5"/>
  <c r="V66" i="5" s="1"/>
  <c r="L85" i="5"/>
  <c r="V85" i="5" s="1"/>
  <c r="L63" i="5"/>
  <c r="V63" i="5" s="1"/>
  <c r="L134" i="5"/>
  <c r="V134" i="5" s="1"/>
  <c r="L22" i="5"/>
  <c r="V22" i="5" s="1"/>
  <c r="L94" i="5"/>
  <c r="V94" i="5" s="1"/>
  <c r="L48" i="5"/>
  <c r="V48" i="5" s="1"/>
  <c r="L19" i="5"/>
  <c r="V19" i="5" s="1"/>
  <c r="L24" i="5"/>
  <c r="V24" i="5" s="1"/>
  <c r="L126" i="5"/>
  <c r="V126" i="5" s="1"/>
  <c r="L74" i="5"/>
  <c r="V74" i="5" s="1"/>
  <c r="A13" i="1"/>
  <c r="L109" i="5"/>
  <c r="V109" i="5" s="1"/>
  <c r="L27" i="5"/>
  <c r="V27" i="5" s="1"/>
  <c r="L14" i="5"/>
  <c r="V14" i="5" s="1"/>
  <c r="L30" i="5"/>
  <c r="V30" i="5" s="1"/>
  <c r="L132" i="5"/>
  <c r="V132" i="5" s="1"/>
  <c r="L40" i="5"/>
  <c r="V40" i="5" s="1"/>
  <c r="L101" i="5"/>
  <c r="V101" i="5" s="1"/>
  <c r="L34" i="5"/>
  <c r="V34" i="5" s="1"/>
  <c r="L113" i="5"/>
  <c r="V113" i="5" s="1"/>
  <c r="L88" i="5"/>
  <c r="V88" i="5" s="1"/>
  <c r="L124" i="5"/>
  <c r="V124" i="5" s="1"/>
  <c r="L104" i="5"/>
  <c r="V104" i="5" s="1"/>
  <c r="L86" i="5"/>
  <c r="V86" i="5" s="1"/>
  <c r="L28" i="5"/>
  <c r="V28" i="5" s="1"/>
  <c r="L106" i="5"/>
  <c r="V106" i="5" s="1"/>
  <c r="L58" i="5"/>
  <c r="V58" i="5" s="1"/>
  <c r="L130" i="5"/>
  <c r="V130" i="5" s="1"/>
  <c r="L32" i="5"/>
  <c r="V32" i="5" s="1"/>
  <c r="L117" i="5"/>
  <c r="V117" i="5" s="1"/>
  <c r="L69" i="5"/>
  <c r="V69" i="5" s="1"/>
  <c r="I7" i="3"/>
  <c r="J7" i="3" s="1"/>
  <c r="G33" i="1" s="1"/>
  <c r="K7" i="3"/>
  <c r="H33" i="1" s="1"/>
  <c r="G14" i="3"/>
  <c r="G16" i="3" s="1"/>
  <c r="L82" i="5"/>
  <c r="V82" i="5" s="1"/>
  <c r="L108" i="5"/>
  <c r="V108" i="5" s="1"/>
  <c r="L77" i="5"/>
  <c r="V77" i="5" s="1"/>
  <c r="L38" i="5"/>
  <c r="V38" i="5" s="1"/>
  <c r="D22" i="17" l="1"/>
  <c r="C22" i="17"/>
  <c r="B22" i="17"/>
  <c r="G22" i="17"/>
  <c r="F22" i="17"/>
  <c r="E22" i="17"/>
  <c r="B20" i="17"/>
  <c r="G20" i="17"/>
  <c r="F20" i="17"/>
  <c r="E20" i="17"/>
  <c r="D20" i="17"/>
  <c r="C20" i="17"/>
  <c r="G27" i="17"/>
  <c r="F27" i="17"/>
  <c r="E27" i="17"/>
  <c r="D27" i="17"/>
  <c r="C27" i="17"/>
  <c r="B27" i="17"/>
  <c r="G16" i="17"/>
  <c r="F16" i="17"/>
  <c r="E16" i="17"/>
  <c r="D16" i="17"/>
  <c r="C16" i="17"/>
  <c r="B16" i="17"/>
  <c r="B15" i="17"/>
  <c r="D15" i="17"/>
  <c r="C15" i="17"/>
  <c r="G15" i="17"/>
  <c r="F15" i="17"/>
  <c r="E15" i="17"/>
  <c r="F24" i="17"/>
  <c r="B24" i="17"/>
  <c r="G24" i="17"/>
  <c r="E24" i="17"/>
  <c r="C24" i="17"/>
  <c r="D24" i="17"/>
  <c r="E17" i="17"/>
  <c r="F17" i="17"/>
  <c r="B17" i="17"/>
  <c r="D17" i="17"/>
  <c r="C17" i="17"/>
  <c r="G17" i="17"/>
  <c r="B26" i="17"/>
  <c r="G26" i="17"/>
  <c r="C26" i="17"/>
  <c r="E26" i="17"/>
  <c r="F26" i="17"/>
  <c r="D26" i="17"/>
  <c r="G19" i="17"/>
  <c r="F19" i="17"/>
  <c r="C19" i="17"/>
  <c r="E19" i="17"/>
  <c r="D19" i="17"/>
  <c r="B19" i="17"/>
  <c r="F21" i="17"/>
  <c r="D21" i="17"/>
  <c r="B21" i="17"/>
  <c r="E21" i="17"/>
  <c r="G21" i="17"/>
  <c r="C21" i="17"/>
  <c r="D14" i="17"/>
  <c r="G14" i="17"/>
  <c r="E14" i="17"/>
  <c r="B14" i="17"/>
  <c r="F14" i="17"/>
  <c r="C14" i="17"/>
  <c r="F23" i="17"/>
  <c r="D23" i="17"/>
  <c r="C23" i="17"/>
  <c r="B23" i="17"/>
  <c r="E23" i="17"/>
  <c r="G23" i="17"/>
  <c r="C13" i="17"/>
  <c r="D13" i="17"/>
  <c r="E13" i="17"/>
  <c r="F13" i="17"/>
  <c r="G13" i="17"/>
  <c r="B13" i="17"/>
  <c r="F140" i="16"/>
  <c r="O140" i="16" s="1"/>
  <c r="G25" i="17"/>
  <c r="F25" i="17"/>
  <c r="E25" i="17"/>
  <c r="D25" i="17"/>
  <c r="C25" i="17"/>
  <c r="B25" i="17"/>
  <c r="G18" i="17"/>
  <c r="F18" i="17"/>
  <c r="E18" i="17"/>
  <c r="D18" i="17"/>
  <c r="C18" i="17"/>
  <c r="B18" i="17"/>
  <c r="F154" i="16"/>
  <c r="O154" i="16" s="1"/>
  <c r="F144" i="16"/>
  <c r="O144" i="16" s="1"/>
  <c r="E12" i="15"/>
  <c r="H42" i="15"/>
  <c r="I42" i="15"/>
  <c r="E9" i="15"/>
  <c r="F142" i="16"/>
  <c r="O142" i="16" s="1"/>
  <c r="F171" i="16"/>
  <c r="O171" i="16" s="1"/>
  <c r="F99" i="16"/>
  <c r="O99" i="16" s="1"/>
  <c r="F168" i="16"/>
  <c r="O168" i="16" s="1"/>
  <c r="F157" i="16"/>
  <c r="O157" i="16" s="1"/>
  <c r="F152" i="16"/>
  <c r="O152" i="16" s="1"/>
  <c r="F150" i="16"/>
  <c r="O150" i="16" s="1"/>
  <c r="F170" i="16"/>
  <c r="O170" i="16" s="1"/>
  <c r="F167" i="16"/>
  <c r="O167" i="16" s="1"/>
  <c r="F151" i="16"/>
  <c r="O151" i="16" s="1"/>
  <c r="F155" i="16"/>
  <c r="O155" i="16" s="1"/>
  <c r="F133" i="16"/>
  <c r="O133" i="16" s="1"/>
  <c r="F131" i="16"/>
  <c r="O131" i="16" s="1"/>
  <c r="F143" i="16"/>
  <c r="O143" i="16" s="1"/>
  <c r="F135" i="16"/>
  <c r="O135" i="16" s="1"/>
  <c r="F137" i="16"/>
  <c r="O137" i="16" s="1"/>
  <c r="F101" i="16"/>
  <c r="O101" i="16" s="1"/>
  <c r="F125" i="16"/>
  <c r="O125" i="16" s="1"/>
  <c r="F107" i="16"/>
  <c r="O107" i="16" s="1"/>
  <c r="F95" i="16"/>
  <c r="O95" i="16" s="1"/>
  <c r="F94" i="16"/>
  <c r="O94" i="16" s="1"/>
  <c r="F165" i="16"/>
  <c r="O165" i="16" s="1"/>
  <c r="F108" i="16"/>
  <c r="O108" i="16" s="1"/>
  <c r="F172" i="16"/>
  <c r="O172" i="16" s="1"/>
  <c r="F166" i="16"/>
  <c r="O166" i="16" s="1"/>
  <c r="F132" i="16"/>
  <c r="O132" i="16" s="1"/>
  <c r="F162" i="16"/>
  <c r="O162" i="16" s="1"/>
  <c r="F134" i="16"/>
  <c r="O134" i="16" s="1"/>
  <c r="F169" i="16"/>
  <c r="O169" i="16" s="1"/>
  <c r="F136" i="16"/>
  <c r="O136" i="16" s="1"/>
  <c r="F146" i="16"/>
  <c r="O146" i="16" s="1"/>
  <c r="F138" i="16"/>
  <c r="O138" i="16" s="1"/>
  <c r="F147" i="16"/>
  <c r="O147" i="16" s="1"/>
  <c r="F149" i="16"/>
  <c r="O149" i="16" s="1"/>
  <c r="F158" i="16"/>
  <c r="O158" i="16" s="1"/>
  <c r="B14" i="15"/>
  <c r="B22" i="16"/>
  <c r="F104" i="16"/>
  <c r="O104" i="16" s="1"/>
  <c r="F126" i="16"/>
  <c r="O126" i="16" s="1"/>
  <c r="F128" i="16"/>
  <c r="O128" i="16" s="1"/>
  <c r="F127" i="16"/>
  <c r="O127" i="16" s="1"/>
  <c r="F130" i="16"/>
  <c r="O130" i="16" s="1"/>
  <c r="F129" i="16"/>
  <c r="O129" i="16" s="1"/>
  <c r="F103" i="16"/>
  <c r="O103" i="16" s="1"/>
  <c r="F119" i="16"/>
  <c r="O119" i="16" s="1"/>
  <c r="F120" i="16"/>
  <c r="O120" i="16" s="1"/>
  <c r="F117" i="16"/>
  <c r="O117" i="16" s="1"/>
  <c r="F122" i="16"/>
  <c r="O122" i="16" s="1"/>
  <c r="F96" i="16"/>
  <c r="O96" i="16" s="1"/>
  <c r="F163" i="16"/>
  <c r="O163" i="16" s="1"/>
  <c r="F164" i="16"/>
  <c r="O164" i="16" s="1"/>
  <c r="F139" i="16"/>
  <c r="O139" i="16" s="1"/>
  <c r="F109" i="16"/>
  <c r="O109" i="16" s="1"/>
  <c r="F106" i="16"/>
  <c r="O106" i="16" s="1"/>
  <c r="F118" i="16"/>
  <c r="O118" i="16" s="1"/>
  <c r="F161" i="16"/>
  <c r="O161" i="16" s="1"/>
  <c r="F159" i="16"/>
  <c r="O159" i="16" s="1"/>
  <c r="F100" i="16"/>
  <c r="O100" i="16" s="1"/>
  <c r="F121" i="16"/>
  <c r="O121" i="16" s="1"/>
  <c r="F102" i="16"/>
  <c r="O102" i="16" s="1"/>
  <c r="F141" i="16"/>
  <c r="O141" i="16" s="1"/>
  <c r="F145" i="16"/>
  <c r="O145" i="16" s="1"/>
  <c r="F97" i="16"/>
  <c r="O97" i="16" s="1"/>
  <c r="F114" i="16"/>
  <c r="O114" i="16" s="1"/>
  <c r="F113" i="16"/>
  <c r="O113" i="16" s="1"/>
  <c r="F98" i="16"/>
  <c r="O98" i="16" s="1"/>
  <c r="F116" i="16"/>
  <c r="O116" i="16" s="1"/>
  <c r="A24" i="16"/>
  <c r="B12" i="16" s="1"/>
  <c r="O45" i="16"/>
  <c r="O53" i="16"/>
  <c r="O61" i="16"/>
  <c r="O69" i="16"/>
  <c r="O77" i="16"/>
  <c r="O85" i="16"/>
  <c r="O93" i="16"/>
  <c r="O181" i="16"/>
  <c r="O189" i="16"/>
  <c r="O197" i="16"/>
  <c r="O205" i="16"/>
  <c r="O213" i="16"/>
  <c r="O221" i="16"/>
  <c r="O229" i="16"/>
  <c r="O237" i="16"/>
  <c r="O245" i="16"/>
  <c r="O46" i="16"/>
  <c r="O54" i="16"/>
  <c r="O62" i="16"/>
  <c r="O70" i="16"/>
  <c r="O78" i="16"/>
  <c r="O86" i="16"/>
  <c r="O182" i="16"/>
  <c r="O190" i="16"/>
  <c r="O198" i="16"/>
  <c r="O206" i="16"/>
  <c r="O214" i="16"/>
  <c r="O222" i="16"/>
  <c r="O230" i="16"/>
  <c r="O238" i="16"/>
  <c r="N47" i="16"/>
  <c r="N55" i="16"/>
  <c r="N63" i="16"/>
  <c r="N71" i="16"/>
  <c r="N79" i="16"/>
  <c r="N87" i="16"/>
  <c r="N95" i="16"/>
  <c r="N103" i="16"/>
  <c r="N111" i="16"/>
  <c r="N119" i="16"/>
  <c r="N127" i="16"/>
  <c r="N135" i="16"/>
  <c r="N143" i="16"/>
  <c r="N151" i="16"/>
  <c r="N159" i="16"/>
  <c r="N167" i="16"/>
  <c r="N175" i="16"/>
  <c r="N183" i="16"/>
  <c r="N191" i="16"/>
  <c r="N199" i="16"/>
  <c r="N207" i="16"/>
  <c r="N215" i="16"/>
  <c r="N223" i="16"/>
  <c r="N231" i="16"/>
  <c r="N239" i="16"/>
  <c r="N247" i="16"/>
  <c r="N255" i="16"/>
  <c r="N263" i="16"/>
  <c r="N271" i="16"/>
  <c r="N279" i="16"/>
  <c r="N287" i="16"/>
  <c r="N295" i="16"/>
  <c r="N303" i="16"/>
  <c r="N311" i="16"/>
  <c r="N319" i="16"/>
  <c r="N327" i="16"/>
  <c r="N335" i="16"/>
  <c r="N343" i="16"/>
  <c r="N351" i="16"/>
  <c r="N359" i="16"/>
  <c r="N367" i="16"/>
  <c r="N375" i="16"/>
  <c r="N383" i="16"/>
  <c r="N391" i="16"/>
  <c r="N399" i="16"/>
  <c r="N407" i="16"/>
  <c r="N415" i="16"/>
  <c r="N423" i="16"/>
  <c r="N431" i="16"/>
  <c r="N439" i="16"/>
  <c r="N447" i="16"/>
  <c r="N455" i="16"/>
  <c r="N463" i="16"/>
  <c r="N471" i="16"/>
  <c r="N479" i="16"/>
  <c r="N487" i="16"/>
  <c r="N495" i="16"/>
  <c r="N503" i="16"/>
  <c r="N511" i="16"/>
  <c r="N519" i="16"/>
  <c r="N527" i="16"/>
  <c r="N535" i="16"/>
  <c r="N543" i="16"/>
  <c r="N551" i="16"/>
  <c r="N559" i="16"/>
  <c r="N567" i="16"/>
  <c r="N575" i="16"/>
  <c r="N583" i="16"/>
  <c r="N591" i="16"/>
  <c r="N599" i="16"/>
  <c r="N607" i="16"/>
  <c r="O47" i="16"/>
  <c r="O55" i="16"/>
  <c r="O63" i="16"/>
  <c r="O71" i="16"/>
  <c r="O79" i="16"/>
  <c r="O87" i="16"/>
  <c r="O175" i="16"/>
  <c r="O183" i="16"/>
  <c r="O191" i="16"/>
  <c r="O199" i="16"/>
  <c r="O207" i="16"/>
  <c r="O215" i="16"/>
  <c r="O223" i="16"/>
  <c r="O231" i="16"/>
  <c r="O239" i="16"/>
  <c r="O247" i="16"/>
  <c r="O255" i="16"/>
  <c r="O263" i="16"/>
  <c r="O271" i="16"/>
  <c r="O279" i="16"/>
  <c r="O287" i="16"/>
  <c r="N48" i="16"/>
  <c r="N56" i="16"/>
  <c r="N64" i="16"/>
  <c r="N72" i="16"/>
  <c r="N80" i="16"/>
  <c r="N88" i="16"/>
  <c r="N96" i="16"/>
  <c r="O48" i="16"/>
  <c r="O56" i="16"/>
  <c r="O64" i="16"/>
  <c r="O72" i="16"/>
  <c r="O80" i="16"/>
  <c r="O88" i="16"/>
  <c r="O176" i="16"/>
  <c r="O184" i="16"/>
  <c r="O192" i="16"/>
  <c r="O200" i="16"/>
  <c r="O208" i="16"/>
  <c r="O216" i="16"/>
  <c r="O224" i="16"/>
  <c r="O232" i="16"/>
  <c r="O240" i="16"/>
  <c r="O248" i="16"/>
  <c r="O256" i="16"/>
  <c r="O264" i="16"/>
  <c r="O272" i="16"/>
  <c r="O280" i="16"/>
  <c r="O288" i="16"/>
  <c r="O296" i="16"/>
  <c r="O304" i="16"/>
  <c r="O312" i="16"/>
  <c r="O320" i="16"/>
  <c r="O328" i="16"/>
  <c r="O336" i="16"/>
  <c r="O344" i="16"/>
  <c r="O352" i="16"/>
  <c r="O360" i="16"/>
  <c r="O368" i="16"/>
  <c r="O376" i="16"/>
  <c r="O384" i="16"/>
  <c r="O392" i="16"/>
  <c r="O400" i="16"/>
  <c r="O408" i="16"/>
  <c r="O416" i="16"/>
  <c r="O424" i="16"/>
  <c r="O432" i="16"/>
  <c r="O440" i="16"/>
  <c r="O448" i="16"/>
  <c r="O456" i="16"/>
  <c r="O464" i="16"/>
  <c r="O472" i="16"/>
  <c r="O480" i="16"/>
  <c r="O488" i="16"/>
  <c r="O496" i="16"/>
  <c r="O504" i="16"/>
  <c r="O512" i="16"/>
  <c r="O520" i="16"/>
  <c r="O528" i="16"/>
  <c r="O536" i="16"/>
  <c r="O544" i="16"/>
  <c r="O552" i="16"/>
  <c r="O560" i="16"/>
  <c r="O568" i="16"/>
  <c r="O576" i="16"/>
  <c r="O584" i="16"/>
  <c r="O592" i="16"/>
  <c r="O600" i="16"/>
  <c r="O608" i="16"/>
  <c r="O616" i="16"/>
  <c r="O624" i="16"/>
  <c r="O632" i="16"/>
  <c r="O640" i="16"/>
  <c r="O648" i="16"/>
  <c r="O656" i="16"/>
  <c r="O664" i="16"/>
  <c r="O672" i="16"/>
  <c r="O680" i="16"/>
  <c r="O688" i="16"/>
  <c r="O696" i="16"/>
  <c r="B17" i="16"/>
  <c r="O49" i="16"/>
  <c r="O57" i="16"/>
  <c r="O65" i="16"/>
  <c r="O73" i="16"/>
  <c r="O81" i="16"/>
  <c r="O89" i="16"/>
  <c r="O177" i="16"/>
  <c r="O185" i="16"/>
  <c r="O193" i="16"/>
  <c r="O201" i="16"/>
  <c r="O209" i="16"/>
  <c r="O217" i="16"/>
  <c r="O225" i="16"/>
  <c r="O233" i="16"/>
  <c r="O241" i="16"/>
  <c r="O249" i="16"/>
  <c r="O257" i="16"/>
  <c r="O265" i="16"/>
  <c r="O273" i="16"/>
  <c r="O281" i="16"/>
  <c r="O289" i="16"/>
  <c r="O297" i="16"/>
  <c r="O305" i="16"/>
  <c r="O313" i="16"/>
  <c r="O321" i="16"/>
  <c r="O329" i="16"/>
  <c r="O337" i="16"/>
  <c r="O345" i="16"/>
  <c r="O353" i="16"/>
  <c r="O361" i="16"/>
  <c r="O369" i="16"/>
  <c r="O377" i="16"/>
  <c r="O385" i="16"/>
  <c r="O393" i="16"/>
  <c r="O401" i="16"/>
  <c r="O409" i="16"/>
  <c r="O417" i="16"/>
  <c r="O425" i="16"/>
  <c r="O433" i="16"/>
  <c r="O441" i="16"/>
  <c r="O449" i="16"/>
  <c r="O457" i="16"/>
  <c r="O465" i="16"/>
  <c r="O473" i="16"/>
  <c r="O481" i="16"/>
  <c r="O489" i="16"/>
  <c r="O497" i="16"/>
  <c r="O505" i="16"/>
  <c r="O513" i="16"/>
  <c r="O521" i="16"/>
  <c r="O529" i="16"/>
  <c r="O537" i="16"/>
  <c r="O545" i="16"/>
  <c r="O553" i="16"/>
  <c r="O561" i="16"/>
  <c r="O569" i="16"/>
  <c r="O577" i="16"/>
  <c r="O585" i="16"/>
  <c r="O593" i="16"/>
  <c r="O601" i="16"/>
  <c r="O609" i="16"/>
  <c r="O617" i="16"/>
  <c r="O625" i="16"/>
  <c r="O633" i="16"/>
  <c r="O641" i="16"/>
  <c r="O649" i="16"/>
  <c r="O657" i="16"/>
  <c r="O665" i="16"/>
  <c r="O673" i="16"/>
  <c r="O681" i="16"/>
  <c r="O689" i="16"/>
  <c r="O697" i="16"/>
  <c r="N54" i="16"/>
  <c r="O68" i="16"/>
  <c r="O83" i="16"/>
  <c r="N110" i="16"/>
  <c r="N137" i="16"/>
  <c r="N174" i="16"/>
  <c r="O187" i="16"/>
  <c r="N201" i="16"/>
  <c r="O212" i="16"/>
  <c r="O226" i="16"/>
  <c r="N238" i="16"/>
  <c r="N251" i="16"/>
  <c r="N261" i="16"/>
  <c r="N272" i="16"/>
  <c r="N283" i="16"/>
  <c r="N293" i="16"/>
  <c r="O302" i="16"/>
  <c r="N313" i="16"/>
  <c r="N323" i="16"/>
  <c r="O332" i="16"/>
  <c r="N342" i="16"/>
  <c r="N352" i="16"/>
  <c r="O362" i="16"/>
  <c r="N372" i="16"/>
  <c r="O381" i="16"/>
  <c r="O391" i="16"/>
  <c r="N402" i="16"/>
  <c r="O411" i="16"/>
  <c r="N421" i="16"/>
  <c r="O430" i="16"/>
  <c r="N441" i="16"/>
  <c r="N451" i="16"/>
  <c r="O460" i="16"/>
  <c r="N470" i="16"/>
  <c r="N480" i="16"/>
  <c r="O490" i="16"/>
  <c r="N500" i="16"/>
  <c r="O509" i="16"/>
  <c r="O519" i="16"/>
  <c r="N530" i="16"/>
  <c r="O539" i="16"/>
  <c r="N549" i="16"/>
  <c r="O558" i="16"/>
  <c r="N569" i="16"/>
  <c r="N579" i="16"/>
  <c r="O588" i="16"/>
  <c r="N598" i="16"/>
  <c r="N608" i="16"/>
  <c r="N618" i="16"/>
  <c r="N627" i="16"/>
  <c r="N636" i="16"/>
  <c r="N645" i="16"/>
  <c r="N654" i="16"/>
  <c r="N663" i="16"/>
  <c r="N672" i="16"/>
  <c r="N682" i="16"/>
  <c r="N691" i="16"/>
  <c r="N700" i="16"/>
  <c r="N708" i="16"/>
  <c r="N716" i="16"/>
  <c r="N724" i="16"/>
  <c r="N732" i="16"/>
  <c r="N740" i="16"/>
  <c r="N748" i="16"/>
  <c r="N756" i="16"/>
  <c r="N764" i="16"/>
  <c r="N772" i="16"/>
  <c r="N780" i="16"/>
  <c r="N788" i="16"/>
  <c r="N796" i="16"/>
  <c r="N804" i="16"/>
  <c r="N812" i="16"/>
  <c r="N820" i="16"/>
  <c r="N828" i="16"/>
  <c r="N836" i="16"/>
  <c r="N844" i="16"/>
  <c r="N852" i="16"/>
  <c r="N860" i="16"/>
  <c r="N868" i="16"/>
  <c r="N876" i="16"/>
  <c r="J15" i="16"/>
  <c r="N57" i="16"/>
  <c r="N69" i="16"/>
  <c r="N84" i="16"/>
  <c r="N99" i="16"/>
  <c r="N112" i="16"/>
  <c r="N124" i="16"/>
  <c r="N138" i="16"/>
  <c r="N149" i="16"/>
  <c r="N163" i="16"/>
  <c r="N176" i="16"/>
  <c r="N188" i="16"/>
  <c r="N202" i="16"/>
  <c r="N213" i="16"/>
  <c r="N227" i="16"/>
  <c r="N240" i="16"/>
  <c r="O251" i="16"/>
  <c r="O261" i="16"/>
  <c r="N273" i="16"/>
  <c r="O283" i="16"/>
  <c r="O293" i="16"/>
  <c r="O303" i="16"/>
  <c r="N314" i="16"/>
  <c r="O323" i="16"/>
  <c r="N333" i="16"/>
  <c r="O342" i="16"/>
  <c r="N353" i="16"/>
  <c r="N363" i="16"/>
  <c r="O372" i="16"/>
  <c r="N382" i="16"/>
  <c r="N392" i="16"/>
  <c r="O402" i="16"/>
  <c r="N412" i="16"/>
  <c r="O421" i="16"/>
  <c r="O431" i="16"/>
  <c r="N442" i="16"/>
  <c r="O451" i="16"/>
  <c r="N461" i="16"/>
  <c r="O470" i="16"/>
  <c r="N481" i="16"/>
  <c r="N491" i="16"/>
  <c r="O500" i="16"/>
  <c r="N510" i="16"/>
  <c r="N520" i="16"/>
  <c r="O530" i="16"/>
  <c r="N540" i="16"/>
  <c r="O549" i="16"/>
  <c r="O559" i="16"/>
  <c r="N570" i="16"/>
  <c r="O579" i="16"/>
  <c r="N589" i="16"/>
  <c r="O598" i="16"/>
  <c r="N609" i="16"/>
  <c r="O618" i="16"/>
  <c r="O627" i="16"/>
  <c r="O636" i="16"/>
  <c r="O645" i="16"/>
  <c r="O654" i="16"/>
  <c r="O663" i="16"/>
  <c r="N673" i="16"/>
  <c r="O682" i="16"/>
  <c r="O691" i="16"/>
  <c r="O700" i="16"/>
  <c r="O708" i="16"/>
  <c r="O716" i="16"/>
  <c r="O724" i="16"/>
  <c r="O732" i="16"/>
  <c r="O740" i="16"/>
  <c r="O748" i="16"/>
  <c r="O756" i="16"/>
  <c r="O764" i="16"/>
  <c r="O772" i="16"/>
  <c r="O780" i="16"/>
  <c r="O788" i="16"/>
  <c r="O796" i="16"/>
  <c r="O804" i="16"/>
  <c r="O812" i="16"/>
  <c r="O820" i="16"/>
  <c r="O828" i="16"/>
  <c r="O836" i="16"/>
  <c r="O844" i="16"/>
  <c r="O852" i="16"/>
  <c r="O860" i="16"/>
  <c r="O868" i="16"/>
  <c r="O58" i="16"/>
  <c r="N73" i="16"/>
  <c r="N85" i="16"/>
  <c r="N100" i="16"/>
  <c r="N114" i="16"/>
  <c r="N125" i="16"/>
  <c r="N139" i="16"/>
  <c r="N152" i="16"/>
  <c r="N164" i="16"/>
  <c r="N178" i="16"/>
  <c r="N189" i="16"/>
  <c r="N203" i="16"/>
  <c r="N216" i="16"/>
  <c r="N228" i="16"/>
  <c r="N242" i="16"/>
  <c r="O252" i="16"/>
  <c r="O262" i="16"/>
  <c r="O274" i="16"/>
  <c r="O284" i="16"/>
  <c r="O294" i="16"/>
  <c r="N305" i="16"/>
  <c r="N315" i="16"/>
  <c r="O324" i="16"/>
  <c r="N334" i="16"/>
  <c r="N344" i="16"/>
  <c r="O354" i="16"/>
  <c r="N364" i="16"/>
  <c r="O373" i="16"/>
  <c r="O383" i="16"/>
  <c r="N394" i="16"/>
  <c r="O403" i="16"/>
  <c r="N413" i="16"/>
  <c r="O422" i="16"/>
  <c r="N433" i="16"/>
  <c r="N443" i="16"/>
  <c r="O452" i="16"/>
  <c r="N462" i="16"/>
  <c r="N472" i="16"/>
  <c r="O482" i="16"/>
  <c r="F15" i="16"/>
  <c r="N60" i="16"/>
  <c r="O76" i="16"/>
  <c r="N93" i="16"/>
  <c r="N109" i="16"/>
  <c r="N128" i="16"/>
  <c r="N142" i="16"/>
  <c r="N157" i="16"/>
  <c r="N190" i="16"/>
  <c r="N205" i="16"/>
  <c r="O220" i="16"/>
  <c r="N236" i="16"/>
  <c r="N252" i="16"/>
  <c r="N266" i="16"/>
  <c r="O277" i="16"/>
  <c r="N291" i="16"/>
  <c r="N302" i="16"/>
  <c r="N316" i="16"/>
  <c r="O327" i="16"/>
  <c r="O339" i="16"/>
  <c r="O350" i="16"/>
  <c r="O364" i="16"/>
  <c r="N376" i="16"/>
  <c r="N388" i="16"/>
  <c r="O399" i="16"/>
  <c r="O412" i="16"/>
  <c r="N425" i="16"/>
  <c r="O436" i="16"/>
  <c r="N448" i="16"/>
  <c r="N460" i="16"/>
  <c r="N474" i="16"/>
  <c r="N485" i="16"/>
  <c r="N496" i="16"/>
  <c r="O507" i="16"/>
  <c r="N518" i="16"/>
  <c r="N531" i="16"/>
  <c r="O541" i="16"/>
  <c r="N553" i="16"/>
  <c r="N564" i="16"/>
  <c r="O574" i="16"/>
  <c r="O586" i="16"/>
  <c r="N597" i="16"/>
  <c r="N610" i="16"/>
  <c r="N620" i="16"/>
  <c r="N630" i="16"/>
  <c r="N640" i="16"/>
  <c r="N651" i="16"/>
  <c r="N661" i="16"/>
  <c r="N671" i="16"/>
  <c r="N683" i="16"/>
  <c r="N693" i="16"/>
  <c r="N703" i="16"/>
  <c r="N712" i="16"/>
  <c r="N721" i="16"/>
  <c r="N730" i="16"/>
  <c r="N739" i="16"/>
  <c r="N749" i="16"/>
  <c r="N758" i="16"/>
  <c r="N767" i="16"/>
  <c r="N776" i="16"/>
  <c r="N785" i="16"/>
  <c r="N794" i="16"/>
  <c r="N803" i="16"/>
  <c r="N813" i="16"/>
  <c r="N822" i="16"/>
  <c r="N831" i="16"/>
  <c r="N840" i="16"/>
  <c r="N849" i="16"/>
  <c r="N858" i="16"/>
  <c r="N867" i="16"/>
  <c r="O876" i="16"/>
  <c r="O884" i="16"/>
  <c r="O892" i="16"/>
  <c r="O900" i="16"/>
  <c r="O908" i="16"/>
  <c r="O916" i="16"/>
  <c r="O924" i="16"/>
  <c r="O932" i="16"/>
  <c r="O940" i="16"/>
  <c r="O948" i="16"/>
  <c r="O956" i="16"/>
  <c r="O964" i="16"/>
  <c r="O972" i="16"/>
  <c r="O980" i="16"/>
  <c r="O988" i="16"/>
  <c r="O996" i="16"/>
  <c r="O1004" i="16"/>
  <c r="O1012" i="16"/>
  <c r="O1020" i="16"/>
  <c r="O1028" i="16"/>
  <c r="O1036" i="16"/>
  <c r="O1044" i="16"/>
  <c r="J9" i="16"/>
  <c r="O60" i="16"/>
  <c r="N77" i="16"/>
  <c r="N94" i="16"/>
  <c r="N113" i="16"/>
  <c r="N129" i="16"/>
  <c r="N144" i="16"/>
  <c r="N158" i="16"/>
  <c r="N173" i="16"/>
  <c r="N192" i="16"/>
  <c r="N206" i="16"/>
  <c r="N221" i="16"/>
  <c r="O236" i="16"/>
  <c r="N253" i="16"/>
  <c r="O266" i="16"/>
  <c r="N278" i="16"/>
  <c r="O291" i="16"/>
  <c r="N304" i="16"/>
  <c r="O316" i="16"/>
  <c r="N328" i="16"/>
  <c r="N340" i="16"/>
  <c r="O351" i="16"/>
  <c r="N365" i="16"/>
  <c r="N377" i="16"/>
  <c r="O388" i="16"/>
  <c r="N400" i="16"/>
  <c r="O413" i="16"/>
  <c r="N426" i="16"/>
  <c r="N437" i="16"/>
  <c r="N449" i="16"/>
  <c r="O461" i="16"/>
  <c r="O474" i="16"/>
  <c r="O485" i="16"/>
  <c r="N497" i="16"/>
  <c r="N508" i="16"/>
  <c r="O518" i="16"/>
  <c r="O531" i="16"/>
  <c r="N542" i="16"/>
  <c r="N554" i="16"/>
  <c r="O564" i="16"/>
  <c r="O575" i="16"/>
  <c r="N587" i="16"/>
  <c r="O597" i="16"/>
  <c r="O610" i="16"/>
  <c r="O620" i="16"/>
  <c r="O630" i="16"/>
  <c r="N641" i="16"/>
  <c r="O651" i="16"/>
  <c r="O661" i="16"/>
  <c r="O671" i="16"/>
  <c r="O683" i="16"/>
  <c r="O693" i="16"/>
  <c r="O703" i="16"/>
  <c r="O712" i="16"/>
  <c r="O721" i="16"/>
  <c r="O730" i="16"/>
  <c r="O739" i="16"/>
  <c r="O749" i="16"/>
  <c r="O758" i="16"/>
  <c r="O767" i="16"/>
  <c r="O776" i="16"/>
  <c r="O785" i="16"/>
  <c r="O794" i="16"/>
  <c r="O803" i="16"/>
  <c r="O813" i="16"/>
  <c r="O822" i="16"/>
  <c r="O831" i="16"/>
  <c r="O840" i="16"/>
  <c r="O849" i="16"/>
  <c r="O858" i="16"/>
  <c r="O867" i="16"/>
  <c r="N877" i="16"/>
  <c r="N885" i="16"/>
  <c r="N893" i="16"/>
  <c r="N901" i="16"/>
  <c r="N909" i="16"/>
  <c r="N917" i="16"/>
  <c r="N925" i="16"/>
  <c r="N933" i="16"/>
  <c r="N941" i="16"/>
  <c r="N949" i="16"/>
  <c r="N957" i="16"/>
  <c r="N965" i="16"/>
  <c r="N973" i="16"/>
  <c r="N981" i="16"/>
  <c r="N45" i="16"/>
  <c r="N62" i="16"/>
  <c r="N81" i="16"/>
  <c r="N98" i="16"/>
  <c r="N115" i="16"/>
  <c r="N146" i="16"/>
  <c r="N161" i="16"/>
  <c r="O178" i="16"/>
  <c r="N194" i="16"/>
  <c r="N209" i="16"/>
  <c r="N224" i="16"/>
  <c r="N241" i="16"/>
  <c r="N254" i="16"/>
  <c r="O267" i="16"/>
  <c r="N280" i="16"/>
  <c r="O292" i="16"/>
  <c r="O306" i="16"/>
  <c r="O317" i="16"/>
  <c r="N330" i="16"/>
  <c r="N341" i="16"/>
  <c r="N355" i="16"/>
  <c r="N366" i="16"/>
  <c r="O378" i="16"/>
  <c r="O389" i="16"/>
  <c r="N403" i="16"/>
  <c r="O414" i="16"/>
  <c r="N427" i="16"/>
  <c r="N438" i="16"/>
  <c r="O450" i="16"/>
  <c r="O463" i="16"/>
  <c r="O475" i="16"/>
  <c r="O486" i="16"/>
  <c r="O498" i="16"/>
  <c r="N509" i="16"/>
  <c r="N522" i="16"/>
  <c r="O532" i="16"/>
  <c r="O543" i="16"/>
  <c r="N555" i="16"/>
  <c r="O565" i="16"/>
  <c r="N577" i="16"/>
  <c r="N588" i="16"/>
  <c r="N600" i="16"/>
  <c r="O611" i="16"/>
  <c r="F9" i="16"/>
  <c r="O66" i="16"/>
  <c r="N89" i="16"/>
  <c r="N107" i="16"/>
  <c r="N126" i="16"/>
  <c r="N147" i="16"/>
  <c r="N166" i="16"/>
  <c r="N185" i="16"/>
  <c r="N204" i="16"/>
  <c r="N225" i="16"/>
  <c r="N244" i="16"/>
  <c r="O259" i="16"/>
  <c r="N276" i="16"/>
  <c r="N292" i="16"/>
  <c r="N308" i="16"/>
  <c r="N322" i="16"/>
  <c r="N337" i="16"/>
  <c r="N350" i="16"/>
  <c r="O367" i="16"/>
  <c r="N381" i="16"/>
  <c r="O396" i="16"/>
  <c r="O410" i="16"/>
  <c r="O427" i="16"/>
  <c r="O442" i="16"/>
  <c r="N456" i="16"/>
  <c r="O469" i="16"/>
  <c r="N486" i="16"/>
  <c r="N501" i="16"/>
  <c r="O514" i="16"/>
  <c r="O526" i="16"/>
  <c r="N541" i="16"/>
  <c r="N556" i="16"/>
  <c r="O570" i="16"/>
  <c r="O582" i="16"/>
  <c r="N596" i="16"/>
  <c r="N612" i="16"/>
  <c r="N623" i="16"/>
  <c r="N635" i="16"/>
  <c r="N647" i="16"/>
  <c r="N659" i="16"/>
  <c r="N670" i="16"/>
  <c r="N684" i="16"/>
  <c r="N695" i="16"/>
  <c r="N706" i="16"/>
  <c r="N717" i="16"/>
  <c r="N727" i="16"/>
  <c r="N737" i="16"/>
  <c r="N747" i="16"/>
  <c r="N759" i="16"/>
  <c r="N769" i="16"/>
  <c r="N779" i="16"/>
  <c r="N790" i="16"/>
  <c r="N800" i="16"/>
  <c r="N810" i="16"/>
  <c r="N821" i="16"/>
  <c r="N832" i="16"/>
  <c r="N842" i="16"/>
  <c r="N853" i="16"/>
  <c r="N863" i="16"/>
  <c r="N873" i="16"/>
  <c r="O882" i="16"/>
  <c r="O891" i="16"/>
  <c r="O901" i="16"/>
  <c r="O910" i="16"/>
  <c r="O919" i="16"/>
  <c r="O928" i="16"/>
  <c r="O937" i="16"/>
  <c r="O946" i="16"/>
  <c r="O955" i="16"/>
  <c r="O965" i="16"/>
  <c r="O974" i="16"/>
  <c r="O983" i="16"/>
  <c r="N992" i="16"/>
  <c r="O1000" i="16"/>
  <c r="N1009" i="16"/>
  <c r="O1017" i="16"/>
  <c r="N1026" i="16"/>
  <c r="O1034" i="16"/>
  <c r="N1043" i="16"/>
  <c r="N46" i="16"/>
  <c r="N67" i="16"/>
  <c r="N90" i="16"/>
  <c r="N130" i="16"/>
  <c r="N168" i="16"/>
  <c r="N186" i="16"/>
  <c r="O204" i="16"/>
  <c r="N226" i="16"/>
  <c r="O244" i="16"/>
  <c r="N260" i="16"/>
  <c r="O276" i="16"/>
  <c r="N294" i="16"/>
  <c r="O308" i="16"/>
  <c r="O322" i="16"/>
  <c r="N338" i="16"/>
  <c r="N354" i="16"/>
  <c r="N368" i="16"/>
  <c r="O382" i="16"/>
  <c r="N397" i="16"/>
  <c r="N411" i="16"/>
  <c r="N428" i="16"/>
  <c r="O443" i="16"/>
  <c r="N457" i="16"/>
  <c r="O471" i="16"/>
  <c r="O487" i="16"/>
  <c r="O501" i="16"/>
  <c r="N515" i="16"/>
  <c r="O527" i="16"/>
  <c r="O542" i="16"/>
  <c r="O556" i="16"/>
  <c r="N571" i="16"/>
  <c r="O583" i="16"/>
  <c r="O596" i="16"/>
  <c r="O612" i="16"/>
  <c r="O623" i="16"/>
  <c r="O635" i="16"/>
  <c r="O647" i="16"/>
  <c r="O659" i="16"/>
  <c r="O670" i="16"/>
  <c r="O684" i="16"/>
  <c r="O695" i="16"/>
  <c r="O706" i="16"/>
  <c r="O717" i="16"/>
  <c r="O727" i="16"/>
  <c r="O737" i="16"/>
  <c r="O747" i="16"/>
  <c r="O759" i="16"/>
  <c r="O769" i="16"/>
  <c r="O779" i="16"/>
  <c r="O790" i="16"/>
  <c r="O800" i="16"/>
  <c r="O810" i="16"/>
  <c r="O821" i="16"/>
  <c r="O832" i="16"/>
  <c r="O842" i="16"/>
  <c r="O853" i="16"/>
  <c r="O863" i="16"/>
  <c r="O873" i="16"/>
  <c r="N883" i="16"/>
  <c r="N892" i="16"/>
  <c r="N902" i="16"/>
  <c r="N911" i="16"/>
  <c r="N920" i="16"/>
  <c r="N929" i="16"/>
  <c r="N938" i="16"/>
  <c r="N947" i="16"/>
  <c r="N956" i="16"/>
  <c r="N966" i="16"/>
  <c r="N975" i="16"/>
  <c r="N984" i="16"/>
  <c r="O992" i="16"/>
  <c r="N1001" i="16"/>
  <c r="O1009" i="16"/>
  <c r="N1018" i="16"/>
  <c r="O1026" i="16"/>
  <c r="N1035" i="16"/>
  <c r="O1043" i="16"/>
  <c r="N49" i="16"/>
  <c r="O67" i="16"/>
  <c r="O90" i="16"/>
  <c r="N108" i="16"/>
  <c r="N131" i="16"/>
  <c r="N148" i="16"/>
  <c r="N169" i="16"/>
  <c r="O186" i="16"/>
  <c r="N208" i="16"/>
  <c r="O227" i="16"/>
  <c r="N245" i="16"/>
  <c r="O260" i="16"/>
  <c r="N277" i="16"/>
  <c r="O295" i="16"/>
  <c r="N309" i="16"/>
  <c r="N324" i="16"/>
  <c r="O338" i="16"/>
  <c r="O355" i="16"/>
  <c r="N369" i="16"/>
  <c r="N384" i="16"/>
  <c r="O397" i="16"/>
  <c r="N414" i="16"/>
  <c r="O428" i="16"/>
  <c r="N444" i="16"/>
  <c r="N458" i="16"/>
  <c r="N473" i="16"/>
  <c r="N488" i="16"/>
  <c r="N502" i="16"/>
  <c r="O515" i="16"/>
  <c r="N528" i="16"/>
  <c r="N544" i="16"/>
  <c r="N557" i="16"/>
  <c r="O571" i="16"/>
  <c r="N584" i="16"/>
  <c r="O599" i="16"/>
  <c r="N613" i="16"/>
  <c r="N624" i="16"/>
  <c r="N637" i="16"/>
  <c r="N648" i="16"/>
  <c r="N660" i="16"/>
  <c r="N674" i="16"/>
  <c r="N685" i="16"/>
  <c r="N696" i="16"/>
  <c r="N707" i="16"/>
  <c r="N718" i="16"/>
  <c r="N728" i="16"/>
  <c r="N738" i="16"/>
  <c r="N750" i="16"/>
  <c r="N760" i="16"/>
  <c r="N770" i="16"/>
  <c r="N781" i="16"/>
  <c r="N791" i="16"/>
  <c r="N801" i="16"/>
  <c r="N811" i="16"/>
  <c r="N823" i="16"/>
  <c r="N833" i="16"/>
  <c r="N843" i="16"/>
  <c r="N854" i="16"/>
  <c r="N864" i="16"/>
  <c r="N874" i="16"/>
  <c r="O883" i="16"/>
  <c r="O893" i="16"/>
  <c r="O902" i="16"/>
  <c r="O911" i="16"/>
  <c r="O920" i="16"/>
  <c r="O929" i="16"/>
  <c r="O938" i="16"/>
  <c r="O947" i="16"/>
  <c r="O957" i="16"/>
  <c r="O966" i="16"/>
  <c r="O975" i="16"/>
  <c r="O984" i="16"/>
  <c r="N993" i="16"/>
  <c r="O1001" i="16"/>
  <c r="N1010" i="16"/>
  <c r="O1018" i="16"/>
  <c r="N1027" i="16"/>
  <c r="O1035" i="16"/>
  <c r="N1044" i="16"/>
  <c r="N50" i="16"/>
  <c r="N68" i="16"/>
  <c r="N91" i="16"/>
  <c r="N150" i="16"/>
  <c r="N170" i="16"/>
  <c r="N187" i="16"/>
  <c r="N210" i="16"/>
  <c r="O228" i="16"/>
  <c r="N246" i="16"/>
  <c r="N262" i="16"/>
  <c r="O278" i="16"/>
  <c r="N296" i="16"/>
  <c r="O309" i="16"/>
  <c r="N325" i="16"/>
  <c r="N339" i="16"/>
  <c r="N356" i="16"/>
  <c r="N370" i="16"/>
  <c r="N385" i="16"/>
  <c r="N398" i="16"/>
  <c r="O415" i="16"/>
  <c r="N429" i="16"/>
  <c r="O444" i="16"/>
  <c r="O458" i="16"/>
  <c r="N475" i="16"/>
  <c r="N489" i="16"/>
  <c r="O502" i="16"/>
  <c r="N516" i="16"/>
  <c r="N529" i="16"/>
  <c r="N545" i="16"/>
  <c r="O557" i="16"/>
  <c r="N572" i="16"/>
  <c r="N585" i="16"/>
  <c r="N601" i="16"/>
  <c r="O613" i="16"/>
  <c r="N625" i="16"/>
  <c r="O637" i="16"/>
  <c r="N649" i="16"/>
  <c r="O660" i="16"/>
  <c r="O674" i="16"/>
  <c r="O685" i="16"/>
  <c r="N697" i="16"/>
  <c r="O707" i="16"/>
  <c r="O718" i="16"/>
  <c r="O728" i="16"/>
  <c r="O738" i="16"/>
  <c r="O750" i="16"/>
  <c r="O760" i="16"/>
  <c r="O770" i="16"/>
  <c r="O781" i="16"/>
  <c r="O791" i="16"/>
  <c r="O801" i="16"/>
  <c r="O811" i="16"/>
  <c r="O823" i="16"/>
  <c r="O833" i="16"/>
  <c r="O843" i="16"/>
  <c r="O854" i="16"/>
  <c r="O864" i="16"/>
  <c r="O874" i="16"/>
  <c r="N884" i="16"/>
  <c r="N894" i="16"/>
  <c r="N903" i="16"/>
  <c r="N912" i="16"/>
  <c r="N921" i="16"/>
  <c r="N930" i="16"/>
  <c r="N939" i="16"/>
  <c r="N948" i="16"/>
  <c r="N958" i="16"/>
  <c r="N967" i="16"/>
  <c r="N976" i="16"/>
  <c r="N985" i="16"/>
  <c r="O993" i="16"/>
  <c r="N1002" i="16"/>
  <c r="O1010" i="16"/>
  <c r="N1019" i="16"/>
  <c r="O1027" i="16"/>
  <c r="N1036" i="16"/>
  <c r="O50" i="16"/>
  <c r="N70" i="16"/>
  <c r="O91" i="16"/>
  <c r="N132" i="16"/>
  <c r="N153" i="16"/>
  <c r="O188" i="16"/>
  <c r="O210" i="16"/>
  <c r="N229" i="16"/>
  <c r="O246" i="16"/>
  <c r="N264" i="16"/>
  <c r="N281" i="16"/>
  <c r="N297" i="16"/>
  <c r="N310" i="16"/>
  <c r="O325" i="16"/>
  <c r="O340" i="16"/>
  <c r="O356" i="16"/>
  <c r="O370" i="16"/>
  <c r="N386" i="16"/>
  <c r="O398" i="16"/>
  <c r="N416" i="16"/>
  <c r="O429" i="16"/>
  <c r="N445" i="16"/>
  <c r="N459" i="16"/>
  <c r="N476" i="16"/>
  <c r="N490" i="16"/>
  <c r="O503" i="16"/>
  <c r="O516" i="16"/>
  <c r="N532" i="16"/>
  <c r="N546" i="16"/>
  <c r="N558" i="16"/>
  <c r="O572" i="16"/>
  <c r="N586" i="16"/>
  <c r="N602" i="16"/>
  <c r="N614" i="16"/>
  <c r="N626" i="16"/>
  <c r="N638" i="16"/>
  <c r="N650" i="16"/>
  <c r="N662" i="16"/>
  <c r="N675" i="16"/>
  <c r="N686" i="16"/>
  <c r="N698" i="16"/>
  <c r="N709" i="16"/>
  <c r="N719" i="16"/>
  <c r="N729" i="16"/>
  <c r="N741" i="16"/>
  <c r="N751" i="16"/>
  <c r="N761" i="16"/>
  <c r="N771" i="16"/>
  <c r="N782" i="16"/>
  <c r="N792" i="16"/>
  <c r="N802" i="16"/>
  <c r="N814" i="16"/>
  <c r="N824" i="16"/>
  <c r="N834" i="16"/>
  <c r="N845" i="16"/>
  <c r="N52" i="16"/>
  <c r="O82" i="16"/>
  <c r="N116" i="16"/>
  <c r="N140" i="16"/>
  <c r="N171" i="16"/>
  <c r="O196" i="16"/>
  <c r="N222" i="16"/>
  <c r="O253" i="16"/>
  <c r="N275" i="16"/>
  <c r="O299" i="16"/>
  <c r="O319" i="16"/>
  <c r="N345" i="16"/>
  <c r="N362" i="16"/>
  <c r="N387" i="16"/>
  <c r="O406" i="16"/>
  <c r="N430" i="16"/>
  <c r="N452" i="16"/>
  <c r="N469" i="16"/>
  <c r="O493" i="16"/>
  <c r="N513" i="16"/>
  <c r="O534" i="16"/>
  <c r="N552" i="16"/>
  <c r="N574" i="16"/>
  <c r="N594" i="16"/>
  <c r="N615" i="16"/>
  <c r="O631" i="16"/>
  <c r="O650" i="16"/>
  <c r="N667" i="16"/>
  <c r="N681" i="16"/>
  <c r="O701" i="16"/>
  <c r="N715" i="16"/>
  <c r="N733" i="16"/>
  <c r="O745" i="16"/>
  <c r="O762" i="16"/>
  <c r="N777" i="16"/>
  <c r="N793" i="16"/>
  <c r="O807" i="16"/>
  <c r="O824" i="16"/>
  <c r="N838" i="16"/>
  <c r="O851" i="16"/>
  <c r="O866" i="16"/>
  <c r="N880" i="16"/>
  <c r="N891" i="16"/>
  <c r="N905" i="16"/>
  <c r="N916" i="16"/>
  <c r="N928" i="16"/>
  <c r="N942" i="16"/>
  <c r="N953" i="16"/>
  <c r="N964" i="16"/>
  <c r="N978" i="16"/>
  <c r="O989" i="16"/>
  <c r="N1000" i="16"/>
  <c r="N1013" i="16"/>
  <c r="O1023" i="16"/>
  <c r="N1034" i="16"/>
  <c r="O52" i="16"/>
  <c r="N83" i="16"/>
  <c r="N197" i="16"/>
  <c r="N230" i="16"/>
  <c r="O254" i="16"/>
  <c r="O275" i="16"/>
  <c r="N300" i="16"/>
  <c r="N320" i="16"/>
  <c r="N346" i="16"/>
  <c r="O363" i="16"/>
  <c r="O387" i="16"/>
  <c r="O407" i="16"/>
  <c r="N432" i="16"/>
  <c r="N453" i="16"/>
  <c r="O476" i="16"/>
  <c r="N494" i="16"/>
  <c r="N514" i="16"/>
  <c r="O535" i="16"/>
  <c r="O554" i="16"/>
  <c r="N576" i="16"/>
  <c r="O594" i="16"/>
  <c r="O615" i="16"/>
  <c r="N632" i="16"/>
  <c r="N652" i="16"/>
  <c r="O667" i="16"/>
  <c r="O686" i="16"/>
  <c r="N702" i="16"/>
  <c r="O715" i="16"/>
  <c r="O733" i="16"/>
  <c r="N746" i="16"/>
  <c r="N763" i="16"/>
  <c r="O777" i="16"/>
  <c r="O793" i="16"/>
  <c r="N808" i="16"/>
  <c r="N825" i="16"/>
  <c r="O838" i="16"/>
  <c r="N855" i="16"/>
  <c r="N869" i="16"/>
  <c r="O880" i="16"/>
  <c r="O894" i="16"/>
  <c r="O905" i="16"/>
  <c r="O917" i="16"/>
  <c r="O930" i="16"/>
  <c r="O942" i="16"/>
  <c r="O953" i="16"/>
  <c r="O967" i="16"/>
  <c r="O978" i="16"/>
  <c r="N990" i="16"/>
  <c r="O1002" i="16"/>
  <c r="O1013" i="16"/>
  <c r="N1024" i="16"/>
  <c r="N1037" i="16"/>
  <c r="N53" i="16"/>
  <c r="O84" i="16"/>
  <c r="N117" i="16"/>
  <c r="N141" i="16"/>
  <c r="N172" i="16"/>
  <c r="N198" i="16"/>
  <c r="N232" i="16"/>
  <c r="N256" i="16"/>
  <c r="N282" i="16"/>
  <c r="O300" i="16"/>
  <c r="N321" i="16"/>
  <c r="O346" i="16"/>
  <c r="O365" i="16"/>
  <c r="N389" i="16"/>
  <c r="N408" i="16"/>
  <c r="N434" i="16"/>
  <c r="O453" i="16"/>
  <c r="N477" i="16"/>
  <c r="O494" i="16"/>
  <c r="N517" i="16"/>
  <c r="N536" i="16"/>
  <c r="O555" i="16"/>
  <c r="N578" i="16"/>
  <c r="N595" i="16"/>
  <c r="N616" i="16"/>
  <c r="N633" i="16"/>
  <c r="O652" i="16"/>
  <c r="N668" i="16"/>
  <c r="N687" i="16"/>
  <c r="O702" i="16"/>
  <c r="O719" i="16"/>
  <c r="N734" i="16"/>
  <c r="O746" i="16"/>
  <c r="O763" i="16"/>
  <c r="N778" i="16"/>
  <c r="N795" i="16"/>
  <c r="O808" i="16"/>
  <c r="O825" i="16"/>
  <c r="N839" i="16"/>
  <c r="O855" i="16"/>
  <c r="O869" i="16"/>
  <c r="N881" i="16"/>
  <c r="N895" i="16"/>
  <c r="N906" i="16"/>
  <c r="N918" i="16"/>
  <c r="N931" i="16"/>
  <c r="N943" i="16"/>
  <c r="N954" i="16"/>
  <c r="N968" i="16"/>
  <c r="N979" i="16"/>
  <c r="O990" i="16"/>
  <c r="N1003" i="16"/>
  <c r="N1014" i="16"/>
  <c r="O1024" i="16"/>
  <c r="O1037" i="16"/>
  <c r="N58" i="16"/>
  <c r="N86" i="16"/>
  <c r="N118" i="16"/>
  <c r="N145" i="16"/>
  <c r="N177" i="16"/>
  <c r="N200" i="16"/>
  <c r="N233" i="16"/>
  <c r="N257" i="16"/>
  <c r="O282" i="16"/>
  <c r="N301" i="16"/>
  <c r="N326" i="16"/>
  <c r="N347" i="16"/>
  <c r="O366" i="16"/>
  <c r="N390" i="16"/>
  <c r="N409" i="16"/>
  <c r="O434" i="16"/>
  <c r="N454" i="16"/>
  <c r="O477" i="16"/>
  <c r="O495" i="16"/>
  <c r="O517" i="16"/>
  <c r="N537" i="16"/>
  <c r="N560" i="16"/>
  <c r="O578" i="16"/>
  <c r="O595" i="16"/>
  <c r="N617" i="16"/>
  <c r="N634" i="16"/>
  <c r="N653" i="16"/>
  <c r="O668" i="16"/>
  <c r="O687" i="16"/>
  <c r="N704" i="16"/>
  <c r="N720" i="16"/>
  <c r="O734" i="16"/>
  <c r="O751" i="16"/>
  <c r="N765" i="16"/>
  <c r="O778" i="16"/>
  <c r="O795" i="16"/>
  <c r="N809" i="16"/>
  <c r="N826" i="16"/>
  <c r="O839" i="16"/>
  <c r="N856" i="16"/>
  <c r="N870" i="16"/>
  <c r="O881" i="16"/>
  <c r="O895" i="16"/>
  <c r="O906" i="16"/>
  <c r="O918" i="16"/>
  <c r="O931" i="16"/>
  <c r="O943" i="16"/>
  <c r="O954" i="16"/>
  <c r="O968" i="16"/>
  <c r="O979" i="16"/>
  <c r="N991" i="16"/>
  <c r="O1003" i="16"/>
  <c r="O1014" i="16"/>
  <c r="N1025" i="16"/>
  <c r="N1038" i="16"/>
  <c r="N59" i="16"/>
  <c r="N92" i="16"/>
  <c r="N120" i="16"/>
  <c r="N179" i="16"/>
  <c r="O202" i="16"/>
  <c r="N234" i="16"/>
  <c r="N258" i="16"/>
  <c r="N284" i="16"/>
  <c r="O301" i="16"/>
  <c r="O326" i="16"/>
  <c r="O347" i="16"/>
  <c r="N371" i="16"/>
  <c r="O390" i="16"/>
  <c r="N410" i="16"/>
  <c r="N435" i="16"/>
  <c r="O454" i="16"/>
  <c r="N478" i="16"/>
  <c r="N498" i="16"/>
  <c r="N521" i="16"/>
  <c r="N538" i="16"/>
  <c r="N561" i="16"/>
  <c r="N580" i="16"/>
  <c r="O602" i="16"/>
  <c r="N619" i="16"/>
  <c r="O634" i="16"/>
  <c r="O653" i="16"/>
  <c r="N669" i="16"/>
  <c r="N688" i="16"/>
  <c r="O704" i="16"/>
  <c r="O720" i="16"/>
  <c r="N735" i="16"/>
  <c r="N752" i="16"/>
  <c r="O765" i="16"/>
  <c r="O782" i="16"/>
  <c r="N797" i="16"/>
  <c r="O809" i="16"/>
  <c r="O826" i="16"/>
  <c r="N841" i="16"/>
  <c r="O856" i="16"/>
  <c r="O870" i="16"/>
  <c r="N882" i="16"/>
  <c r="N896" i="16"/>
  <c r="N907" i="16"/>
  <c r="N919" i="16"/>
  <c r="N932" i="16"/>
  <c r="N944" i="16"/>
  <c r="N955" i="16"/>
  <c r="N969" i="16"/>
  <c r="N980" i="16"/>
  <c r="O991" i="16"/>
  <c r="N1004" i="16"/>
  <c r="N1015" i="16"/>
  <c r="O1025" i="16"/>
  <c r="O1038" i="16"/>
  <c r="N74" i="16"/>
  <c r="N101" i="16"/>
  <c r="N156" i="16"/>
  <c r="N182" i="16"/>
  <c r="N214" i="16"/>
  <c r="O242" i="16"/>
  <c r="N268" i="16"/>
  <c r="N288" i="16"/>
  <c r="O311" i="16"/>
  <c r="N332" i="16"/>
  <c r="N357" i="16"/>
  <c r="O375" i="16"/>
  <c r="N396" i="16"/>
  <c r="O419" i="16"/>
  <c r="O439" i="16"/>
  <c r="N465" i="16"/>
  <c r="O483" i="16"/>
  <c r="N506" i="16"/>
  <c r="O524" i="16"/>
  <c r="N547" i="16"/>
  <c r="N565" i="16"/>
  <c r="O587" i="16"/>
  <c r="N605" i="16"/>
  <c r="O74" i="16"/>
  <c r="N121" i="16"/>
  <c r="N162" i="16"/>
  <c r="O211" i="16"/>
  <c r="N250" i="16"/>
  <c r="N289" i="16"/>
  <c r="N329" i="16"/>
  <c r="O358" i="16"/>
  <c r="N395" i="16"/>
  <c r="N424" i="16"/>
  <c r="N466" i="16"/>
  <c r="N499" i="16"/>
  <c r="N526" i="16"/>
  <c r="N563" i="16"/>
  <c r="N592" i="16"/>
  <c r="O622" i="16"/>
  <c r="N646" i="16"/>
  <c r="O676" i="16"/>
  <c r="N699" i="16"/>
  <c r="N723" i="16"/>
  <c r="O743" i="16"/>
  <c r="O766" i="16"/>
  <c r="N787" i="16"/>
  <c r="O814" i="16"/>
  <c r="O830" i="16"/>
  <c r="N851" i="16"/>
  <c r="N875" i="16"/>
  <c r="N890" i="16"/>
  <c r="N910" i="16"/>
  <c r="O926" i="16"/>
  <c r="O945" i="16"/>
  <c r="N962" i="16"/>
  <c r="N982" i="16"/>
  <c r="O997" i="16"/>
  <c r="O1015" i="16"/>
  <c r="N1031" i="16"/>
  <c r="N75" i="16"/>
  <c r="N122" i="16"/>
  <c r="N212" i="16"/>
  <c r="O250" i="16"/>
  <c r="N290" i="16"/>
  <c r="O330" i="16"/>
  <c r="O359" i="16"/>
  <c r="O395" i="16"/>
  <c r="O426" i="16"/>
  <c r="O466" i="16"/>
  <c r="O499" i="16"/>
  <c r="N533" i="16"/>
  <c r="O563" i="16"/>
  <c r="N593" i="16"/>
  <c r="O626" i="16"/>
  <c r="O646" i="16"/>
  <c r="N677" i="16"/>
  <c r="O699" i="16"/>
  <c r="O723" i="16"/>
  <c r="N744" i="16"/>
  <c r="N768" i="16"/>
  <c r="O787" i="16"/>
  <c r="N815" i="16"/>
  <c r="O834" i="16"/>
  <c r="N857" i="16"/>
  <c r="O875" i="16"/>
  <c r="O890" i="16"/>
  <c r="O912" i="16"/>
  <c r="N927" i="16"/>
  <c r="N946" i="16"/>
  <c r="O962" i="16"/>
  <c r="O982" i="16"/>
  <c r="N998" i="16"/>
  <c r="N1016" i="16"/>
  <c r="O1031" i="16"/>
  <c r="O75" i="16"/>
  <c r="N217" i="16"/>
  <c r="O258" i="16"/>
  <c r="O290" i="16"/>
  <c r="N331" i="16"/>
  <c r="N360" i="16"/>
  <c r="N401" i="16"/>
  <c r="O435" i="16"/>
  <c r="N467" i="16"/>
  <c r="N504" i="16"/>
  <c r="O533" i="16"/>
  <c r="N566" i="16"/>
  <c r="N603" i="16"/>
  <c r="N628" i="16"/>
  <c r="N655" i="16"/>
  <c r="O677" i="16"/>
  <c r="N701" i="16"/>
  <c r="N725" i="16"/>
  <c r="O744" i="16"/>
  <c r="O768" i="16"/>
  <c r="N789" i="16"/>
  <c r="O815" i="16"/>
  <c r="N835" i="16"/>
  <c r="O857" i="16"/>
  <c r="O877" i="16"/>
  <c r="O896" i="16"/>
  <c r="N913" i="16"/>
  <c r="O927" i="16"/>
  <c r="O949" i="16"/>
  <c r="N963" i="16"/>
  <c r="N983" i="16"/>
  <c r="O998" i="16"/>
  <c r="O1016" i="16"/>
  <c r="N1032" i="16"/>
  <c r="N76" i="16"/>
  <c r="N123" i="16"/>
  <c r="N165" i="16"/>
  <c r="N218" i="16"/>
  <c r="N259" i="16"/>
  <c r="N298" i="16"/>
  <c r="O331" i="16"/>
  <c r="N361" i="16"/>
  <c r="N404" i="16"/>
  <c r="N436" i="16"/>
  <c r="O467" i="16"/>
  <c r="N505" i="16"/>
  <c r="N534" i="16"/>
  <c r="O566" i="16"/>
  <c r="O603" i="16"/>
  <c r="O628" i="16"/>
  <c r="O655" i="16"/>
  <c r="N678" i="16"/>
  <c r="N705" i="16"/>
  <c r="O725" i="16"/>
  <c r="N745" i="16"/>
  <c r="O771" i="16"/>
  <c r="O789" i="16"/>
  <c r="N816" i="16"/>
  <c r="O835" i="16"/>
  <c r="N859" i="16"/>
  <c r="N878" i="16"/>
  <c r="N897" i="16"/>
  <c r="O913" i="16"/>
  <c r="O933" i="16"/>
  <c r="N950" i="16"/>
  <c r="O963" i="16"/>
  <c r="O985" i="16"/>
  <c r="N999" i="16"/>
  <c r="N1017" i="16"/>
  <c r="O1032" i="16"/>
  <c r="N78" i="16"/>
  <c r="O179" i="16"/>
  <c r="O218" i="16"/>
  <c r="N265" i="16"/>
  <c r="O298" i="16"/>
  <c r="O333" i="16"/>
  <c r="O371" i="16"/>
  <c r="O404" i="16"/>
  <c r="O437" i="16"/>
  <c r="N468" i="16"/>
  <c r="O506" i="16"/>
  <c r="O538" i="16"/>
  <c r="O567" i="16"/>
  <c r="N604" i="16"/>
  <c r="N629" i="16"/>
  <c r="N656" i="16"/>
  <c r="O678" i="16"/>
  <c r="O705" i="16"/>
  <c r="N726" i="16"/>
  <c r="O752" i="16"/>
  <c r="N773" i="16"/>
  <c r="O792" i="16"/>
  <c r="O816" i="16"/>
  <c r="N837" i="16"/>
  <c r="O859" i="16"/>
  <c r="O878" i="16"/>
  <c r="O897" i="16"/>
  <c r="N914" i="16"/>
  <c r="N934" i="16"/>
  <c r="O950" i="16"/>
  <c r="O969" i="16"/>
  <c r="N986" i="16"/>
  <c r="O999" i="16"/>
  <c r="O1019" i="16"/>
  <c r="N1033" i="16"/>
  <c r="N82" i="16"/>
  <c r="N133" i="16"/>
  <c r="N180" i="16"/>
  <c r="N219" i="16"/>
  <c r="N267" i="16"/>
  <c r="N299" i="16"/>
  <c r="O334" i="16"/>
  <c r="N373" i="16"/>
  <c r="N405" i="16"/>
  <c r="O438" i="16"/>
  <c r="O468" i="16"/>
  <c r="N507" i="16"/>
  <c r="N539" i="16"/>
  <c r="N568" i="16"/>
  <c r="O604" i="16"/>
  <c r="O629" i="16"/>
  <c r="N657" i="16"/>
  <c r="N679" i="16"/>
  <c r="O709" i="16"/>
  <c r="O726" i="16"/>
  <c r="N753" i="16"/>
  <c r="O773" i="16"/>
  <c r="O797" i="16"/>
  <c r="N817" i="16"/>
  <c r="O837" i="16"/>
  <c r="N861" i="16"/>
  <c r="N879" i="16"/>
  <c r="N898" i="16"/>
  <c r="O914" i="16"/>
  <c r="O934" i="16"/>
  <c r="N951" i="16"/>
  <c r="N970" i="16"/>
  <c r="O986" i="16"/>
  <c r="N1005" i="16"/>
  <c r="N1020" i="16"/>
  <c r="O1033" i="16"/>
  <c r="O92" i="16"/>
  <c r="N134" i="16"/>
  <c r="O180" i="16"/>
  <c r="O219" i="16"/>
  <c r="O268" i="16"/>
  <c r="N306" i="16"/>
  <c r="O335" i="16"/>
  <c r="N374" i="16"/>
  <c r="O405" i="16"/>
  <c r="N440" i="16"/>
  <c r="O478" i="16"/>
  <c r="O508" i="16"/>
  <c r="O540" i="16"/>
  <c r="N573" i="16"/>
  <c r="O605" i="16"/>
  <c r="N631" i="16"/>
  <c r="N658" i="16"/>
  <c r="O679" i="16"/>
  <c r="N710" i="16"/>
  <c r="O729" i="16"/>
  <c r="O753" i="16"/>
  <c r="N774" i="16"/>
  <c r="N798" i="16"/>
  <c r="O817" i="16"/>
  <c r="O841" i="16"/>
  <c r="O861" i="16"/>
  <c r="O879" i="16"/>
  <c r="O898" i="16"/>
  <c r="N915" i="16"/>
  <c r="N935" i="16"/>
  <c r="O951" i="16"/>
  <c r="O970" i="16"/>
  <c r="N987" i="16"/>
  <c r="O1005" i="16"/>
  <c r="N1021" i="16"/>
  <c r="N1039" i="16"/>
  <c r="N97" i="16"/>
  <c r="N136" i="16"/>
  <c r="N181" i="16"/>
  <c r="N220" i="16"/>
  <c r="N269" i="16"/>
  <c r="N307" i="16"/>
  <c r="N336" i="16"/>
  <c r="O374" i="16"/>
  <c r="N406" i="16"/>
  <c r="O445" i="16"/>
  <c r="O479" i="16"/>
  <c r="O510" i="16"/>
  <c r="O546" i="16"/>
  <c r="O573" i="16"/>
  <c r="N606" i="16"/>
  <c r="O638" i="16"/>
  <c r="O658" i="16"/>
  <c r="N680" i="16"/>
  <c r="O710" i="16"/>
  <c r="N731" i="16"/>
  <c r="N754" i="16"/>
  <c r="O774" i="16"/>
  <c r="O798" i="16"/>
  <c r="N818" i="16"/>
  <c r="O845" i="16"/>
  <c r="N862" i="16"/>
  <c r="O885" i="16"/>
  <c r="N899" i="16"/>
  <c r="O915" i="16"/>
  <c r="O935" i="16"/>
  <c r="N952" i="16"/>
  <c r="N971" i="16"/>
  <c r="O987" i="16"/>
  <c r="N1006" i="16"/>
  <c r="O1021" i="16"/>
  <c r="O1039" i="16"/>
  <c r="N184" i="16"/>
  <c r="O234" i="16"/>
  <c r="O269" i="16"/>
  <c r="O307" i="16"/>
  <c r="O341" i="16"/>
  <c r="N378" i="16"/>
  <c r="N417" i="16"/>
  <c r="N446" i="16"/>
  <c r="N482" i="16"/>
  <c r="O511" i="16"/>
  <c r="O547" i="16"/>
  <c r="O580" i="16"/>
  <c r="O606" i="16"/>
  <c r="N639" i="16"/>
  <c r="O662" i="16"/>
  <c r="N689" i="16"/>
  <c r="N711" i="16"/>
  <c r="O731" i="16"/>
  <c r="O754" i="16"/>
  <c r="N775" i="16"/>
  <c r="N799" i="16"/>
  <c r="O818" i="16"/>
  <c r="N846" i="16"/>
  <c r="O862" i="16"/>
  <c r="N886" i="16"/>
  <c r="O899" i="16"/>
  <c r="O921" i="16"/>
  <c r="N936" i="16"/>
  <c r="O952" i="16"/>
  <c r="O971" i="16"/>
  <c r="N988" i="16"/>
  <c r="O1006" i="16"/>
  <c r="N1022" i="16"/>
  <c r="N1040" i="16"/>
  <c r="N193" i="16"/>
  <c r="N235" i="16"/>
  <c r="N270" i="16"/>
  <c r="O310" i="16"/>
  <c r="O343" i="16"/>
  <c r="N379" i="16"/>
  <c r="N418" i="16"/>
  <c r="O446" i="16"/>
  <c r="N483" i="16"/>
  <c r="N512" i="16"/>
  <c r="N548" i="16"/>
  <c r="N581" i="16"/>
  <c r="O607" i="16"/>
  <c r="O639" i="16"/>
  <c r="N664" i="16"/>
  <c r="N690" i="16"/>
  <c r="O711" i="16"/>
  <c r="O735" i="16"/>
  <c r="N755" i="16"/>
  <c r="O775" i="16"/>
  <c r="O799" i="16"/>
  <c r="N819" i="16"/>
  <c r="O846" i="16"/>
  <c r="N865" i="16"/>
  <c r="O886" i="16"/>
  <c r="N900" i="16"/>
  <c r="N922" i="16"/>
  <c r="O936" i="16"/>
  <c r="O958" i="16"/>
  <c r="N972" i="16"/>
  <c r="N989" i="16"/>
  <c r="N1007" i="16"/>
  <c r="O1022" i="16"/>
  <c r="O1040" i="16"/>
  <c r="N51" i="16"/>
  <c r="N102" i="16"/>
  <c r="N154" i="16"/>
  <c r="O194" i="16"/>
  <c r="O235" i="16"/>
  <c r="O270" i="16"/>
  <c r="N312" i="16"/>
  <c r="N348" i="16"/>
  <c r="O379" i="16"/>
  <c r="O418" i="16"/>
  <c r="O447" i="16"/>
  <c r="N484" i="16"/>
  <c r="O522" i="16"/>
  <c r="O548" i="16"/>
  <c r="O581" i="16"/>
  <c r="N611" i="16"/>
  <c r="N642" i="16"/>
  <c r="N665" i="16"/>
  <c r="O690" i="16"/>
  <c r="N713" i="16"/>
  <c r="N736" i="16"/>
  <c r="O755" i="16"/>
  <c r="N783" i="16"/>
  <c r="O802" i="16"/>
  <c r="O819" i="16"/>
  <c r="N847" i="16"/>
  <c r="O865" i="16"/>
  <c r="N887" i="16"/>
  <c r="O903" i="16"/>
  <c r="O922" i="16"/>
  <c r="N937" i="16"/>
  <c r="N959" i="16"/>
  <c r="O973" i="16"/>
  <c r="N994" i="16"/>
  <c r="O1007" i="16"/>
  <c r="N1023" i="16"/>
  <c r="N1041" i="16"/>
  <c r="O51" i="16"/>
  <c r="N104" i="16"/>
  <c r="N195" i="16"/>
  <c r="N237" i="16"/>
  <c r="N274" i="16"/>
  <c r="O314" i="16"/>
  <c r="O348" i="16"/>
  <c r="N380" i="16"/>
  <c r="N419" i="16"/>
  <c r="N450" i="16"/>
  <c r="O484" i="16"/>
  <c r="N523" i="16"/>
  <c r="N550" i="16"/>
  <c r="N582" i="16"/>
  <c r="O614" i="16"/>
  <c r="O642" i="16"/>
  <c r="N666" i="16"/>
  <c r="N692" i="16"/>
  <c r="O713" i="16"/>
  <c r="O736" i="16"/>
  <c r="N757" i="16"/>
  <c r="O783" i="16"/>
  <c r="N805" i="16"/>
  <c r="N827" i="16"/>
  <c r="O847" i="16"/>
  <c r="N866" i="16"/>
  <c r="O887" i="16"/>
  <c r="N904" i="16"/>
  <c r="N923" i="16"/>
  <c r="O939" i="16"/>
  <c r="O959" i="16"/>
  <c r="N974" i="16"/>
  <c r="O994" i="16"/>
  <c r="N1008" i="16"/>
  <c r="N1028" i="16"/>
  <c r="O1041" i="16"/>
  <c r="O59" i="16"/>
  <c r="N105" i="16"/>
  <c r="N155" i="16"/>
  <c r="O195" i="16"/>
  <c r="N243" i="16"/>
  <c r="N285" i="16"/>
  <c r="O315" i="16"/>
  <c r="N349" i="16"/>
  <c r="O380" i="16"/>
  <c r="N420" i="16"/>
  <c r="O455" i="16"/>
  <c r="O491" i="16"/>
  <c r="O523" i="16"/>
  <c r="O550" i="16"/>
  <c r="O589" i="16"/>
  <c r="O619" i="16"/>
  <c r="N643" i="16"/>
  <c r="O666" i="16"/>
  <c r="O692" i="16"/>
  <c r="N714" i="16"/>
  <c r="O741" i="16"/>
  <c r="O757" i="16"/>
  <c r="N784" i="16"/>
  <c r="O805" i="16"/>
  <c r="O827" i="16"/>
  <c r="N848" i="16"/>
  <c r="N871" i="16"/>
  <c r="N888" i="16"/>
  <c r="O904" i="16"/>
  <c r="O923" i="16"/>
  <c r="N940" i="16"/>
  <c r="N960" i="16"/>
  <c r="O976" i="16"/>
  <c r="N995" i="16"/>
  <c r="O1008" i="16"/>
  <c r="N1029" i="16"/>
  <c r="N1042" i="16"/>
  <c r="N160" i="16"/>
  <c r="O386" i="16"/>
  <c r="N562" i="16"/>
  <c r="O698" i="16"/>
  <c r="N829" i="16"/>
  <c r="O925" i="16"/>
  <c r="N1012" i="16"/>
  <c r="N196" i="16"/>
  <c r="N393" i="16"/>
  <c r="O562" i="16"/>
  <c r="O714" i="16"/>
  <c r="O829" i="16"/>
  <c r="N926" i="16"/>
  <c r="O1029" i="16"/>
  <c r="O203" i="16"/>
  <c r="O394" i="16"/>
  <c r="N590" i="16"/>
  <c r="N722" i="16"/>
  <c r="N830" i="16"/>
  <c r="O941" i="16"/>
  <c r="N1030" i="16"/>
  <c r="N211" i="16"/>
  <c r="O420" i="16"/>
  <c r="O590" i="16"/>
  <c r="O722" i="16"/>
  <c r="O848" i="16"/>
  <c r="O944" i="16"/>
  <c r="O1030" i="16"/>
  <c r="O243" i="16"/>
  <c r="N422" i="16"/>
  <c r="O591" i="16"/>
  <c r="N742" i="16"/>
  <c r="N850" i="16"/>
  <c r="N945" i="16"/>
  <c r="O1042" i="16"/>
  <c r="N248" i="16"/>
  <c r="O423" i="16"/>
  <c r="N621" i="16"/>
  <c r="O742" i="16"/>
  <c r="O850" i="16"/>
  <c r="O960" i="16"/>
  <c r="N249" i="16"/>
  <c r="O459" i="16"/>
  <c r="O621" i="16"/>
  <c r="N743" i="16"/>
  <c r="O871" i="16"/>
  <c r="N961" i="16"/>
  <c r="O285" i="16"/>
  <c r="O462" i="16"/>
  <c r="N622" i="16"/>
  <c r="O761" i="16"/>
  <c r="N872" i="16"/>
  <c r="O961" i="16"/>
  <c r="N61" i="16"/>
  <c r="N286" i="16"/>
  <c r="N464" i="16"/>
  <c r="O643" i="16"/>
  <c r="N762" i="16"/>
  <c r="O872" i="16"/>
  <c r="N977" i="16"/>
  <c r="N65" i="16"/>
  <c r="O286" i="16"/>
  <c r="N492" i="16"/>
  <c r="N644" i="16"/>
  <c r="N766" i="16"/>
  <c r="O888" i="16"/>
  <c r="O977" i="16"/>
  <c r="N66" i="16"/>
  <c r="N317" i="16"/>
  <c r="O492" i="16"/>
  <c r="O644" i="16"/>
  <c r="O784" i="16"/>
  <c r="N889" i="16"/>
  <c r="O981" i="16"/>
  <c r="N106" i="16"/>
  <c r="N318" i="16"/>
  <c r="N493" i="16"/>
  <c r="O669" i="16"/>
  <c r="N786" i="16"/>
  <c r="O889" i="16"/>
  <c r="O995" i="16"/>
  <c r="O318" i="16"/>
  <c r="N524" i="16"/>
  <c r="O675" i="16"/>
  <c r="O786" i="16"/>
  <c r="O907" i="16"/>
  <c r="N996" i="16"/>
  <c r="N358" i="16"/>
  <c r="O551" i="16"/>
  <c r="O694" i="16"/>
  <c r="N807" i="16"/>
  <c r="N924" i="16"/>
  <c r="O1011" i="16"/>
  <c r="N806" i="16"/>
  <c r="O806" i="16"/>
  <c r="N908" i="16"/>
  <c r="O909" i="16"/>
  <c r="N997" i="16"/>
  <c r="N1011" i="16"/>
  <c r="O349" i="16"/>
  <c r="O357" i="16"/>
  <c r="N525" i="16"/>
  <c r="N694" i="16"/>
  <c r="O525" i="16"/>
  <c r="N676" i="16"/>
  <c r="F105" i="16"/>
  <c r="O105" i="16" s="1"/>
  <c r="F148" i="16"/>
  <c r="O148" i="16" s="1"/>
  <c r="F111" i="16"/>
  <c r="O111" i="16" s="1"/>
  <c r="F115" i="16"/>
  <c r="O115" i="16" s="1"/>
  <c r="F160" i="16"/>
  <c r="O160" i="16" s="1"/>
  <c r="F156" i="16"/>
  <c r="O156" i="16" s="1"/>
  <c r="F124" i="16"/>
  <c r="O124" i="16" s="1"/>
  <c r="F123" i="16"/>
  <c r="O123" i="16" s="1"/>
  <c r="F173" i="16"/>
  <c r="O173" i="16" s="1"/>
  <c r="F174" i="16"/>
  <c r="O174" i="16" s="1"/>
  <c r="F153" i="16"/>
  <c r="O153" i="16" s="1"/>
  <c r="F110" i="16"/>
  <c r="O110" i="16" s="1"/>
  <c r="F112" i="16"/>
  <c r="O112" i="16" s="1"/>
  <c r="B15" i="15"/>
  <c r="B11" i="16"/>
  <c r="B7" i="9"/>
  <c r="D7" i="9" s="1"/>
  <c r="H11" i="3"/>
  <c r="H9" i="3"/>
  <c r="A8" i="1"/>
  <c r="G19" i="3"/>
  <c r="H12" i="3"/>
  <c r="H7" i="3"/>
  <c r="B13" i="2"/>
  <c r="H10" i="3"/>
  <c r="H8" i="3"/>
  <c r="W13" i="1"/>
  <c r="M8" i="5"/>
  <c r="N7" i="5"/>
  <c r="B10" i="2"/>
  <c r="B15" i="16" l="1"/>
  <c r="N8" i="5"/>
  <c r="O8" i="5" s="1"/>
  <c r="U8" i="5" s="1"/>
  <c r="B10" i="9"/>
  <c r="D10" i="9" s="1"/>
  <c r="O7" i="5"/>
  <c r="U7" i="5" s="1"/>
  <c r="M9" i="5"/>
  <c r="F35" i="1"/>
  <c r="W9" i="1"/>
  <c r="F34" i="1"/>
  <c r="W8" i="1"/>
  <c r="F36" i="1"/>
  <c r="W10" i="1"/>
  <c r="F33" i="1"/>
  <c r="W7" i="1"/>
  <c r="W12" i="1"/>
  <c r="F38" i="1"/>
  <c r="B11" i="9"/>
  <c r="D11" i="9" s="1"/>
  <c r="K8" i="1"/>
  <c r="F37" i="1"/>
  <c r="W11" i="1"/>
  <c r="N9" i="5" l="1"/>
  <c r="O9" i="5" s="1"/>
  <c r="U9" i="5" s="1"/>
  <c r="M10" i="5"/>
  <c r="N10" i="5" l="1"/>
  <c r="O10" i="5" s="1"/>
  <c r="U10" i="5" s="1"/>
  <c r="M11" i="5"/>
  <c r="B36" i="2" l="1"/>
  <c r="S7" i="1" s="1"/>
  <c r="M12" i="5"/>
  <c r="N11" i="5"/>
  <c r="N12" i="5" l="1"/>
  <c r="O12" i="5" s="1"/>
  <c r="U12" i="5" s="1"/>
  <c r="O11" i="5"/>
  <c r="M13" i="5"/>
  <c r="M14" i="5" l="1"/>
  <c r="N13" i="5"/>
  <c r="D36" i="2"/>
  <c r="U11" i="5"/>
  <c r="N14" i="5" l="1"/>
  <c r="O14" i="5" s="1"/>
  <c r="U14" i="5" s="1"/>
  <c r="M15" i="5"/>
  <c r="O13" i="5"/>
  <c r="U13" i="5" s="1"/>
  <c r="M16" i="5" l="1"/>
  <c r="N15" i="5"/>
  <c r="N16" i="5" l="1"/>
  <c r="O16" i="5" s="1"/>
  <c r="B37" i="2"/>
  <c r="S8" i="1" s="1"/>
  <c r="M17" i="5"/>
  <c r="O15" i="5"/>
  <c r="U15" i="5" s="1"/>
  <c r="D37" i="2" l="1"/>
  <c r="U16" i="5"/>
  <c r="M18" i="5"/>
  <c r="N17" i="5"/>
  <c r="N18" i="5" l="1"/>
  <c r="O18" i="5" s="1"/>
  <c r="U18" i="5" s="1"/>
  <c r="O17" i="5"/>
  <c r="U17" i="5" s="1"/>
  <c r="M19" i="5"/>
  <c r="M20" i="5" l="1"/>
  <c r="N19" i="5"/>
  <c r="N20" i="5" s="1"/>
  <c r="O19" i="5" l="1"/>
  <c r="U19" i="5" s="1"/>
  <c r="M21" i="5"/>
  <c r="N21" i="5" s="1"/>
  <c r="O20" i="5"/>
  <c r="U20" i="5" s="1"/>
  <c r="M22" i="5" l="1"/>
  <c r="O21" i="5"/>
  <c r="B38" i="2"/>
  <c r="S9" i="1" s="1"/>
  <c r="M23" i="5" l="1"/>
  <c r="D38" i="2"/>
  <c r="U21" i="5"/>
  <c r="N22" i="5"/>
  <c r="N23" i="5" l="1"/>
  <c r="O23" i="5" s="1"/>
  <c r="U23" i="5" s="1"/>
  <c r="O22" i="5"/>
  <c r="U22" i="5" s="1"/>
  <c r="M24" i="5"/>
  <c r="M25" i="5" l="1"/>
  <c r="N24" i="5"/>
  <c r="N25" i="5" l="1"/>
  <c r="O25" i="5" s="1"/>
  <c r="U25" i="5" s="1"/>
  <c r="M26" i="5"/>
  <c r="O24" i="5"/>
  <c r="U24" i="5" s="1"/>
  <c r="N26" i="5" l="1"/>
  <c r="O26" i="5" s="1"/>
  <c r="M27" i="5"/>
  <c r="B39" i="2"/>
  <c r="S10" i="1" s="1"/>
  <c r="N27" i="5" l="1"/>
  <c r="O27" i="5" s="1"/>
  <c r="U27" i="5" s="1"/>
  <c r="D39" i="2"/>
  <c r="U26" i="5"/>
  <c r="M28" i="5"/>
  <c r="M29" i="5" l="1"/>
  <c r="N28" i="5"/>
  <c r="N29" i="5" l="1"/>
  <c r="O29" i="5" s="1"/>
  <c r="U29" i="5" s="1"/>
  <c r="M30" i="5"/>
  <c r="O28" i="5"/>
  <c r="U28" i="5" s="1"/>
  <c r="N30" i="5" l="1"/>
  <c r="O30" i="5" s="1"/>
  <c r="U30" i="5" s="1"/>
  <c r="M31" i="5"/>
  <c r="N31" i="5" l="1"/>
  <c r="O31" i="5" s="1"/>
  <c r="B40" i="2"/>
  <c r="S11" i="1" s="1"/>
  <c r="M32" i="5"/>
  <c r="N32" i="5" s="1"/>
  <c r="U31" i="5" l="1"/>
  <c r="D40" i="2"/>
  <c r="O32" i="5"/>
  <c r="U32" i="5" s="1"/>
  <c r="M33" i="5"/>
  <c r="M34" i="5" l="1"/>
  <c r="N33" i="5"/>
  <c r="N34" i="5" l="1"/>
  <c r="O34" i="5" s="1"/>
  <c r="U34" i="5" s="1"/>
  <c r="M35" i="5"/>
  <c r="O33" i="5"/>
  <c r="U33" i="5" s="1"/>
  <c r="M36" i="5" l="1"/>
  <c r="N35" i="5"/>
  <c r="N36" i="5" l="1"/>
  <c r="O36" i="5" s="1"/>
  <c r="O35" i="5"/>
  <c r="U35" i="5" s="1"/>
  <c r="B41" i="2"/>
  <c r="S12" i="1" s="1"/>
  <c r="M37" i="5"/>
  <c r="M38" i="5" l="1"/>
  <c r="D41" i="2"/>
  <c r="U36" i="5"/>
  <c r="N37" i="5"/>
  <c r="N38" i="5" s="1"/>
  <c r="O37" i="5" l="1"/>
  <c r="U37" i="5" s="1"/>
  <c r="O38" i="5"/>
  <c r="U38" i="5" s="1"/>
  <c r="M39" i="5"/>
  <c r="M40" i="5" l="1"/>
  <c r="N39" i="5"/>
  <c r="M41" i="5" l="1"/>
  <c r="N40" i="5"/>
  <c r="O39" i="5"/>
  <c r="U39" i="5" s="1"/>
  <c r="N41" i="5" l="1"/>
  <c r="O41" i="5" s="1"/>
  <c r="O40" i="5"/>
  <c r="U40" i="5" s="1"/>
  <c r="B42" i="2"/>
  <c r="S13" i="1" s="1"/>
  <c r="M42" i="5"/>
  <c r="D42" i="2" l="1"/>
  <c r="U41" i="5"/>
  <c r="M43" i="5"/>
  <c r="N42" i="5"/>
  <c r="N43" i="5" l="1"/>
  <c r="O43" i="5" s="1"/>
  <c r="U43" i="5" s="1"/>
  <c r="O42" i="5"/>
  <c r="U42" i="5" s="1"/>
  <c r="M44" i="5"/>
  <c r="N44" i="5" l="1"/>
  <c r="O44" i="5" s="1"/>
  <c r="U44" i="5" s="1"/>
  <c r="M45" i="5"/>
  <c r="M46" i="5" l="1"/>
  <c r="N45" i="5"/>
  <c r="N46" i="5" l="1"/>
  <c r="O46" i="5" s="1"/>
  <c r="M47" i="5"/>
  <c r="B43" i="2"/>
  <c r="S14" i="1" s="1"/>
  <c r="O45" i="5"/>
  <c r="U45" i="5" s="1"/>
  <c r="N47" i="5" l="1"/>
  <c r="O47" i="5" s="1"/>
  <c r="U47" i="5" s="1"/>
  <c r="D43" i="2"/>
  <c r="U46" i="5"/>
  <c r="M48" i="5"/>
  <c r="M49" i="5" l="1"/>
  <c r="N48" i="5"/>
  <c r="N49" i="5" l="1"/>
  <c r="O49" i="5" s="1"/>
  <c r="U49" i="5" s="1"/>
  <c r="O48" i="5"/>
  <c r="U48" i="5" s="1"/>
  <c r="M50" i="5"/>
  <c r="N50" i="5" l="1"/>
  <c r="O50" i="5" s="1"/>
  <c r="U50" i="5" s="1"/>
  <c r="M51" i="5"/>
  <c r="B44" i="2" l="1"/>
  <c r="S15" i="1" s="1"/>
  <c r="M52" i="5"/>
  <c r="N51" i="5"/>
  <c r="N52" i="5" l="1"/>
  <c r="O52" i="5" s="1"/>
  <c r="U52" i="5" s="1"/>
  <c r="M53" i="5"/>
  <c r="O51" i="5"/>
  <c r="N53" i="5" l="1"/>
  <c r="O53" i="5" s="1"/>
  <c r="U53" i="5" s="1"/>
  <c r="U51" i="5"/>
  <c r="D44" i="2"/>
  <c r="M54" i="5"/>
  <c r="M55" i="5" l="1"/>
  <c r="N54" i="5"/>
  <c r="N55" i="5" l="1"/>
  <c r="O55" i="5" s="1"/>
  <c r="U55" i="5" s="1"/>
  <c r="M56" i="5"/>
  <c r="O54" i="5"/>
  <c r="U54" i="5" s="1"/>
  <c r="B45" i="2" l="1"/>
  <c r="S16" i="1" s="1"/>
  <c r="M57" i="5"/>
  <c r="N56" i="5"/>
  <c r="N57" i="5" s="1"/>
  <c r="M58" i="5" l="1"/>
  <c r="N58" i="5" s="1"/>
  <c r="O57" i="5"/>
  <c r="U57" i="5" s="1"/>
  <c r="O56" i="5"/>
  <c r="D45" i="2" l="1"/>
  <c r="U56" i="5"/>
  <c r="O58" i="5"/>
  <c r="U58" i="5" s="1"/>
  <c r="M59" i="5"/>
  <c r="M60" i="5" l="1"/>
  <c r="N59" i="5"/>
  <c r="N60" i="5" l="1"/>
  <c r="O60" i="5" s="1"/>
  <c r="U60" i="5" s="1"/>
  <c r="O59" i="5"/>
  <c r="U59" i="5" s="1"/>
  <c r="M61" i="5"/>
  <c r="B46" i="2" l="1"/>
  <c r="S17" i="1" s="1"/>
  <c r="M62" i="5"/>
  <c r="N61" i="5"/>
  <c r="N62" i="5" l="1"/>
  <c r="O62" i="5" s="1"/>
  <c r="U62" i="5" s="1"/>
  <c r="O61" i="5"/>
  <c r="M63" i="5"/>
  <c r="M64" i="5" l="1"/>
  <c r="U61" i="5"/>
  <c r="D46" i="2"/>
  <c r="N63" i="5"/>
  <c r="N64" i="5" s="1"/>
  <c r="O63" i="5" l="1"/>
  <c r="U63" i="5" s="1"/>
  <c r="M65" i="5"/>
  <c r="N65" i="5" s="1"/>
  <c r="O64" i="5"/>
  <c r="U64" i="5" s="1"/>
  <c r="M66" i="5" l="1"/>
  <c r="O65" i="5"/>
  <c r="U65" i="5" s="1"/>
  <c r="B47" i="2" l="1"/>
  <c r="S18" i="1" s="1"/>
  <c r="M67" i="5"/>
  <c r="N66" i="5"/>
  <c r="N67" i="5" l="1"/>
  <c r="O67" i="5" s="1"/>
  <c r="U67" i="5" s="1"/>
  <c r="O66" i="5"/>
  <c r="M68" i="5"/>
  <c r="M69" i="5" l="1"/>
  <c r="D47" i="2"/>
  <c r="U66" i="5"/>
  <c r="N68" i="5"/>
  <c r="N69" i="5" l="1"/>
  <c r="O69" i="5" s="1"/>
  <c r="U69" i="5" s="1"/>
  <c r="M70" i="5"/>
  <c r="O68" i="5"/>
  <c r="U68" i="5" s="1"/>
  <c r="M71" i="5" l="1"/>
  <c r="N70" i="5"/>
  <c r="N71" i="5" l="1"/>
  <c r="O71" i="5" s="1"/>
  <c r="O70" i="5"/>
  <c r="U70" i="5" s="1"/>
  <c r="B48" i="2"/>
  <c r="S19" i="1" s="1"/>
  <c r="M72" i="5"/>
  <c r="M73" i="5" l="1"/>
  <c r="U71" i="5"/>
  <c r="D48" i="2"/>
  <c r="N72" i="5"/>
  <c r="N73" i="5" l="1"/>
  <c r="O73" i="5" s="1"/>
  <c r="U73" i="5" s="1"/>
  <c r="O72" i="5"/>
  <c r="U72" i="5" s="1"/>
  <c r="M74" i="5"/>
  <c r="N74" i="5" l="1"/>
  <c r="O74" i="5" s="1"/>
  <c r="U74" i="5" s="1"/>
  <c r="M75" i="5"/>
  <c r="M76" i="5" l="1"/>
  <c r="N75" i="5"/>
  <c r="N76" i="5" l="1"/>
  <c r="O76" i="5" s="1"/>
  <c r="O75" i="5"/>
  <c r="U75" i="5" s="1"/>
  <c r="B49" i="2"/>
  <c r="S20" i="1" s="1"/>
  <c r="M77" i="5"/>
  <c r="M78" i="5" l="1"/>
  <c r="D49" i="2"/>
  <c r="U76" i="5"/>
  <c r="N77" i="5"/>
  <c r="N78" i="5" l="1"/>
  <c r="O78" i="5" s="1"/>
  <c r="U78" i="5" s="1"/>
  <c r="O77" i="5"/>
  <c r="U77" i="5" s="1"/>
  <c r="M79" i="5"/>
  <c r="M80" i="5" l="1"/>
  <c r="N79" i="5"/>
  <c r="N80" i="5" l="1"/>
  <c r="O80" i="5" s="1"/>
  <c r="U80" i="5" s="1"/>
  <c r="M81" i="5"/>
  <c r="O79" i="5"/>
  <c r="U79" i="5" s="1"/>
  <c r="B50" i="2" l="1"/>
  <c r="S21" i="1" s="1"/>
  <c r="M82" i="5"/>
  <c r="N81" i="5"/>
  <c r="N82" i="5" l="1"/>
  <c r="O82" i="5" s="1"/>
  <c r="U82" i="5" s="1"/>
  <c r="M83" i="5"/>
  <c r="O81" i="5"/>
  <c r="M84" i="5" l="1"/>
  <c r="D50" i="2"/>
  <c r="U81" i="5"/>
  <c r="N83" i="5"/>
  <c r="N84" i="5" l="1"/>
  <c r="O84" i="5" s="1"/>
  <c r="U84" i="5" s="1"/>
  <c r="M85" i="5"/>
  <c r="O83" i="5"/>
  <c r="U83" i="5" s="1"/>
  <c r="M86" i="5" l="1"/>
  <c r="N85" i="5"/>
  <c r="N86" i="5" s="1"/>
  <c r="B51" i="2" l="1"/>
  <c r="S22" i="1" s="1"/>
  <c r="O86" i="5"/>
  <c r="M87" i="5"/>
  <c r="O85" i="5"/>
  <c r="U85" i="5" s="1"/>
  <c r="M88" i="5" l="1"/>
  <c r="U86" i="5"/>
  <c r="D51" i="2"/>
  <c r="N87" i="5"/>
  <c r="N88" i="5" l="1"/>
  <c r="O88" i="5" s="1"/>
  <c r="U88" i="5" s="1"/>
  <c r="O87" i="5"/>
  <c r="U87" i="5" s="1"/>
  <c r="M89" i="5"/>
  <c r="N89" i="5" l="1"/>
  <c r="O89" i="5" s="1"/>
  <c r="U89" i="5" s="1"/>
  <c r="M90" i="5"/>
  <c r="M91" i="5" l="1"/>
  <c r="N90" i="5"/>
  <c r="N91" i="5" l="1"/>
  <c r="O91" i="5" s="1"/>
  <c r="M92" i="5"/>
  <c r="B52" i="2"/>
  <c r="S23" i="1" s="1"/>
  <c r="O90" i="5"/>
  <c r="U90" i="5" s="1"/>
  <c r="U91" i="5" l="1"/>
  <c r="D52" i="2"/>
  <c r="M93" i="5"/>
  <c r="N92" i="5"/>
  <c r="N93" i="5" l="1"/>
  <c r="O93" i="5" s="1"/>
  <c r="U93" i="5" s="1"/>
  <c r="O92" i="5"/>
  <c r="U92" i="5" s="1"/>
  <c r="M94" i="5"/>
  <c r="M95" i="5" l="1"/>
  <c r="N94" i="5"/>
  <c r="N95" i="5" l="1"/>
  <c r="O95" i="5" s="1"/>
  <c r="U95" i="5" s="1"/>
  <c r="O94" i="5"/>
  <c r="U94" i="5" s="1"/>
  <c r="M96" i="5"/>
  <c r="B53" i="2" l="1"/>
  <c r="S24" i="1" s="1"/>
  <c r="M97" i="5"/>
  <c r="N96" i="5"/>
  <c r="N97" i="5" l="1"/>
  <c r="O97" i="5" s="1"/>
  <c r="U97" i="5" s="1"/>
  <c r="M98" i="5"/>
  <c r="O96" i="5"/>
  <c r="D53" i="2" l="1"/>
  <c r="U96" i="5"/>
  <c r="M99" i="5"/>
  <c r="N98" i="5"/>
  <c r="N99" i="5" l="1"/>
  <c r="O99" i="5" s="1"/>
  <c r="U99" i="5" s="1"/>
  <c r="M100" i="5"/>
  <c r="O98" i="5"/>
  <c r="U98" i="5" s="1"/>
  <c r="M101" i="5" l="1"/>
  <c r="N100" i="5"/>
  <c r="N101" i="5" l="1"/>
  <c r="O101" i="5" s="1"/>
  <c r="B54" i="2"/>
  <c r="S25" i="1" s="1"/>
  <c r="M102" i="5"/>
  <c r="O100" i="5"/>
  <c r="U100" i="5" s="1"/>
  <c r="D54" i="2" l="1"/>
  <c r="U101" i="5"/>
  <c r="M103" i="5"/>
  <c r="N102" i="5"/>
  <c r="N103" i="5" l="1"/>
  <c r="O103" i="5" s="1"/>
  <c r="U103" i="5" s="1"/>
  <c r="O102" i="5"/>
  <c r="U102" i="5" s="1"/>
  <c r="M104" i="5"/>
  <c r="M105" i="5" l="1"/>
  <c r="N104" i="5"/>
  <c r="N105" i="5" l="1"/>
  <c r="M106" i="5"/>
  <c r="O104" i="5"/>
  <c r="U104" i="5" s="1"/>
  <c r="O105" i="5" l="1"/>
  <c r="U105" i="5" s="1"/>
  <c r="N106" i="5"/>
  <c r="O106" i="5" s="1"/>
  <c r="B55" i="2"/>
  <c r="S26" i="1" s="1"/>
  <c r="M107" i="5"/>
  <c r="D55" i="2" l="1"/>
  <c r="U106" i="5"/>
  <c r="M108" i="5"/>
  <c r="N107" i="5"/>
  <c r="N108" i="5" l="1"/>
  <c r="O108" i="5" s="1"/>
  <c r="U108" i="5" s="1"/>
  <c r="M109" i="5"/>
  <c r="O107" i="5"/>
  <c r="U107" i="5" s="1"/>
  <c r="N109" i="5" l="1"/>
  <c r="O109" i="5" s="1"/>
  <c r="U109" i="5" s="1"/>
  <c r="M110" i="5"/>
  <c r="N110" i="5" l="1"/>
  <c r="O110" i="5" s="1"/>
  <c r="U110" i="5" s="1"/>
  <c r="M111" i="5"/>
  <c r="M112" i="5" l="1"/>
  <c r="B56" i="2"/>
  <c r="S27" i="1" s="1"/>
  <c r="N111" i="5"/>
  <c r="N112" i="5" l="1"/>
  <c r="O112" i="5" s="1"/>
  <c r="U112" i="5" s="1"/>
  <c r="O111" i="5"/>
  <c r="M113" i="5"/>
  <c r="M114" i="5" l="1"/>
  <c r="U111" i="5"/>
  <c r="D56" i="2"/>
  <c r="N113" i="5"/>
  <c r="N114" i="5" l="1"/>
  <c r="O114" i="5" s="1"/>
  <c r="U114" i="5" s="1"/>
  <c r="M115" i="5"/>
  <c r="O113" i="5"/>
  <c r="U113" i="5" s="1"/>
  <c r="N115" i="5" l="1"/>
  <c r="O115" i="5" s="1"/>
  <c r="U115" i="5" s="1"/>
  <c r="M116" i="5"/>
  <c r="N116" i="5" l="1"/>
  <c r="O116" i="5" s="1"/>
  <c r="B57" i="2"/>
  <c r="S28" i="1" s="1"/>
  <c r="M117" i="5"/>
  <c r="N117" i="5" l="1"/>
  <c r="D57" i="2"/>
  <c r="U116" i="5"/>
  <c r="M118" i="5"/>
  <c r="N118" i="5" l="1"/>
  <c r="O118" i="5" s="1"/>
  <c r="U118" i="5" s="1"/>
  <c r="O117" i="5"/>
  <c r="U117" i="5" s="1"/>
  <c r="M119" i="5"/>
  <c r="N119" i="5" l="1"/>
  <c r="O119" i="5" s="1"/>
  <c r="U119" i="5" s="1"/>
  <c r="M120" i="5"/>
  <c r="N120" i="5" l="1"/>
  <c r="O120" i="5" s="1"/>
  <c r="U120" i="5" s="1"/>
  <c r="M121" i="5"/>
  <c r="B58" i="2" l="1"/>
  <c r="S29" i="1" s="1"/>
  <c r="M122" i="5"/>
  <c r="N121" i="5"/>
  <c r="N122" i="5" l="1"/>
  <c r="O122" i="5" s="1"/>
  <c r="U122" i="5" s="1"/>
  <c r="O121" i="5"/>
  <c r="M123" i="5"/>
  <c r="M124" i="5" l="1"/>
  <c r="D58" i="2"/>
  <c r="U121" i="5"/>
  <c r="N123" i="5"/>
  <c r="N124" i="5" l="1"/>
  <c r="O124" i="5" s="1"/>
  <c r="U124" i="5" s="1"/>
  <c r="O123" i="5"/>
  <c r="U123" i="5" s="1"/>
  <c r="M125" i="5"/>
  <c r="M126" i="5" l="1"/>
  <c r="N125" i="5"/>
  <c r="N126" i="5" l="1"/>
  <c r="O126" i="5" s="1"/>
  <c r="M127" i="5"/>
  <c r="B59" i="2"/>
  <c r="S30" i="1" s="1"/>
  <c r="O125" i="5"/>
  <c r="U125" i="5" s="1"/>
  <c r="D59" i="2" l="1"/>
  <c r="U126" i="5"/>
  <c r="M128" i="5"/>
  <c r="N127" i="5"/>
  <c r="N128" i="5" l="1"/>
  <c r="O128" i="5" s="1"/>
  <c r="U128" i="5" s="1"/>
  <c r="O127" i="5"/>
  <c r="U127" i="5" s="1"/>
  <c r="M129" i="5"/>
  <c r="M130" i="5" l="1"/>
  <c r="N129" i="5"/>
  <c r="N130" i="5" l="1"/>
  <c r="O130" i="5" s="1"/>
  <c r="U130" i="5" s="1"/>
  <c r="O129" i="5"/>
  <c r="U129" i="5" s="1"/>
  <c r="M131" i="5"/>
  <c r="B60" i="2" l="1"/>
  <c r="S31" i="1" s="1"/>
  <c r="M132" i="5"/>
  <c r="N131" i="5"/>
  <c r="N132" i="5" l="1"/>
  <c r="O132" i="5" s="1"/>
  <c r="U132" i="5" s="1"/>
  <c r="O131" i="5"/>
  <c r="M133" i="5"/>
  <c r="N133" i="5" l="1"/>
  <c r="O133" i="5" s="1"/>
  <c r="U133" i="5" s="1"/>
  <c r="M134" i="5"/>
  <c r="D60" i="2"/>
  <c r="U131" i="5"/>
  <c r="M135" i="5" l="1"/>
  <c r="N134" i="5"/>
  <c r="N135" i="5" l="1"/>
  <c r="O135" i="5" s="1"/>
  <c r="U135" i="5" s="1"/>
  <c r="M136" i="5"/>
  <c r="O134" i="5"/>
  <c r="U134" i="5" s="1"/>
  <c r="A11" i="1" l="1"/>
  <c r="B9" i="2" s="1"/>
  <c r="B61" i="2"/>
  <c r="S32" i="1" s="1"/>
  <c r="N136" i="5"/>
  <c r="O136" i="5" s="1"/>
  <c r="D61" i="2" l="1"/>
  <c r="U136" i="5"/>
  <c r="K11" i="1" s="1"/>
  <c r="B11" i="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3E966C2-B328-4229-B854-A3220831985C}" keepAlive="1" name="Connection" type="5" refreshedVersion="8" saveData="1">
    <dbPr connection="Provider=Microsoft.Mashup.OleDb.1;Data Source=$Workbook$;Location=CleanTransactions;Extended Properties=&quot;&quot;;" command="SELECT * FROM [CleanTransactions]"/>
  </connection>
  <connection id="2" xr16:uid="{B0DD4A80-D3A2-47AF-9BB0-94A878219B57}" keepAlive="1" name="Connection1" type="5" refreshedVersion="8" saveData="1">
    <dbPr connection="Provider=Microsoft.Mashup.OleDb.1;Data Source=$Workbook$;Location=QuoteSnapshot;Extended Properties=&quot;&quot;;" command="SELECT * FROM [QuoteSnapshot]"/>
  </connection>
  <connection id="3" xr16:uid="{20399BE7-F36D-481C-8B51-C7256C523A73}" keepAlive="1" name="Connection10" type="5" refreshedVersion="8" saveData="1">
    <dbPr connection="Provider=Microsoft.Mashup.OleDb.1;Data Source=$Workbook$;Location=AP_Mirror_Portfolios;Extended Properties=&quot;&quot;;" command="SELECT * FROM [AP_Mirror_Portfolios]"/>
  </connection>
  <connection id="4" xr16:uid="{D3826C30-9DC8-4CA0-BD79-1ED390E6DA8D}" keepAlive="1" name="Connection11" type="5" refreshedVersion="8" saveData="1">
    <dbPr connection="Provider=Microsoft.Mashup.OleDb.1;Data Source=$Workbook$;Location=AP_Mirror_Instruments;Extended Properties=&quot;&quot;;" command="SELECT * FROM [AP_Mirror_Instruments]"/>
  </connection>
  <connection id="5" xr16:uid="{F134411B-10EA-4012-82C0-BDF11A06BE22}" keepAlive="1" name="Connection12" type="5" refreshedVersion="8" saveData="1">
    <dbPr connection="Provider=Microsoft.Mashup.OleDb.1;Data Source=$Workbook$;Location=AP_Mirror_Transactions;Extended Properties=&quot;&quot;;" command="SELECT * FROM [AP_Mirror_Transactions]"/>
  </connection>
  <connection id="6" xr16:uid="{E9BD9EDD-80C6-45F1-9664-194A539A38E3}" keepAlive="1" name="Connection13" type="5" refreshedVersion="8" saveData="1">
    <dbPr connection="Provider=Microsoft.Mashup.OleDb.1;Data Source=$Workbook$;Location=AP_Mirror_Prices;Extended Properties=&quot;&quot;;" command="SELECT * FROM [AP_Mirror_Prices]"/>
  </connection>
  <connection id="7" xr16:uid="{9D080669-2B40-4FF0-BFEF-630F2BEFF201}" keepAlive="1" name="Connection14" type="5" refreshedVersion="8" saveData="1">
    <dbPr connection="Provider=Microsoft.Mashup.OleDb.1;Data Source=$Workbook$;Location=AP_Mirror_Actions;Extended Properties=&quot;&quot;;" command="SELECT * FROM [AP_Mirror_Actions]"/>
  </connection>
  <connection id="8" xr16:uid="{6E91E292-DCA3-4E37-84D9-9B2D277D9E6F}" keepAlive="1" name="Connection15" type="5" refreshedVersion="8" saveData="1">
    <dbPr connection="Provider=Microsoft.Mashup.OleDb.1;Data Source=$Workbook$;Location=AP_Mirror_Calendar;Extended Properties=&quot;&quot;;" command="SELECT * FROM [AP_Mirror_Calendar]"/>
  </connection>
  <connection id="9" xr16:uid="{89373F2B-2BCF-4183-92E9-143EBF384ED8}" keepAlive="1" name="Connection16" type="5" refreshedVersion="8" saveData="1">
    <dbPr connection="Provider=Microsoft.Mashup.OleDb.1;Data Source=$Workbook$;Location=AP_Mirror_Settings;Extended Properties=&quot;&quot;;" command="SELECT * FROM [AP_Mirror_Settings]"/>
  </connection>
  <connection id="10" xr16:uid="{07B5D663-9C0E-4EC1-A378-2416A4C7A2D1}" keepAlive="1" name="Connection17" type="5" refreshedVersion="8" saveData="1">
    <dbPr connection="Provider=Microsoft.Mashup.OleDb.1;Data Source=$Workbook$;Location=AP_RefreshInfo;Extended Properties=&quot;&quot;;" command="SELECT * FROM [AP_RefreshInfo]"/>
  </connection>
  <connection id="11" xr16:uid="{D46B0BD3-B84C-4344-B157-3FC314AD7348}" keepAlive="1" name="Connection18" type="5" refreshedVersion="8" saveData="1">
    <dbPr connection="Provider=Microsoft.Mashup.OleDb.1;Data Source=$Workbook$;Location=AP_AuditBundle;Extended Properties=&quot;&quot;;" command="SELECT * FROM [AP_AuditBundle]"/>
  </connection>
  <connection id="12" xr16:uid="{522AD469-8AA8-4A69-9B83-763EC7794CA9}" keepAlive="1" name="Connection2" type="5" refreshedVersion="8" saveData="1">
    <dbPr connection="Provider=Microsoft.Mashup.OleDb.1;Data Source=$Workbook$;Location=FollowedQuotes;Extended Properties=&quot;&quot;;" command="SELECT * FROM [FollowedQuotes]"/>
  </connection>
  <connection id="13" xr16:uid="{7A061605-74F1-49C4-8212-2AE24D2CD864}" keepAlive="1" name="Connection3" type="5" refreshedVersion="8" saveData="1">
    <dbPr connection="Provider=Microsoft.Mashup.OleDb.1;Data Source=$Workbook$;Location=HeadlinesFeed;Extended Properties=&quot;&quot;;" command="SELECT * FROM [HeadlinesFeed]"/>
  </connection>
  <connection id="14" xr16:uid="{CBF3306B-9229-48B4-AD6F-C709B116AB46}" keepAlive="1" name="Connection4" type="5" refreshedVersion="8" saveData="1">
    <dbPr connection="Provider=Microsoft.Mashup.OleDb.1;Data Source=$Workbook$;Location=AP_Out_TransactionsClean;Extended Properties=&quot;&quot;;" command="SELECT * FROM [AP_Out_TransactionsClean]"/>
  </connection>
  <connection id="15" xr16:uid="{A49E66E3-94D5-47C3-9C68-9D7A460FDFE4}" keepAlive="1" name="Connection5" type="5" refreshedVersion="8" saveData="1">
    <dbPr connection="Provider=Microsoft.Mashup.OleDb.1;Data Source=$Workbook$;Location=AP_Out_HoldingsDaily;Extended Properties=&quot;&quot;;" command="SELECT * FROM [AP_Out_HoldingsDaily]"/>
  </connection>
  <connection id="16" xr16:uid="{738708E4-CCA2-491B-ACCB-FBDDED95888A}" keepAlive="1" name="Connection6" type="5" refreshedVersion="8" saveData="1">
    <dbPr connection="Provider=Microsoft.Mashup.OleDb.1;Data Source=$Workbook$;Location=AP_Out_PortfolioDaily;Extended Properties=&quot;&quot;;" command="SELECT * FROM [AP_Out_PortfolioDaily]"/>
  </connection>
  <connection id="17" xr16:uid="{78D9FA39-0ED6-41AF-A5A0-E68AAFE69C69}" keepAlive="1" name="Connection7" type="5" refreshedVersion="8" saveData="1">
    <dbPr connection="Provider=Microsoft.Mashup.OleDb.1;Data Source=$Workbook$;Location=AP_Out_Exceptions;Extended Properties=&quot;&quot;;" command="SELECT * FROM [AP_Out_Exceptions]"/>
  </connection>
  <connection id="18" xr16:uid="{09B455FE-51D3-4006-9CA6-3E155A3FF77D}" keepAlive="1" name="Connection8" type="5" refreshedVersion="8" saveData="1">
    <dbPr connection="Provider=Microsoft.Mashup.OleDb.1;Data Source=$Workbook$;Location=AP_Out_InvestorFlows;Extended Properties=&quot;&quot;;" command="SELECT * FROM [AP_Out_InvestorFlows]"/>
  </connection>
  <connection id="19" xr16:uid="{972EC940-5B84-43B1-B3E9-0B1DC3610D94}" keepAlive="1" name="Connection9" type="5" refreshedVersion="8" saveData="1">
    <dbPr connection="Provider=Microsoft.Mashup.OleDb.1;Data Source=$Workbook$;Location=AP_Out_AcceptedPrices;Extended Properties=&quot;&quot;;" command="SELECT * FROM [AP_Out_AcceptedPrices]"/>
  </connection>
  <connection id="20" xr16:uid="{0B00C431-48EF-4657-A38C-915514CA64DD}" name="Query - AP_ModelPortfolios" description="One loaded snapshot date" type="100" refreshedVersion="8" minRefreshableVersion="5">
    <extLst>
      <ext xmlns:x15="http://schemas.microsoft.com/office/spreadsheetml/2010/11/main" uri="{DE250136-89BD-433C-8126-D09CA5730AF9}">
        <x15:connection id="a5b9a258-ad51-4805-a54f-1a022ace1421"/>
      </ext>
    </extLst>
  </connection>
  <connection id="21" xr16:uid="{47CC8492-F19B-46B0-BECD-B0296A04387B}" name="Query - AP_ModelSnapshot" description="One loaded snapshot date" type="100" refreshedVersion="8" minRefreshableVersion="5">
    <extLst>
      <ext xmlns:x15="http://schemas.microsoft.com/office/spreadsheetml/2010/11/main" uri="{DE250136-89BD-433C-8126-D09CA5730AF9}">
        <x15:connection id="53004815-80c3-445f-8b3e-0a8cfd8abaeb"/>
      </ext>
    </extLst>
  </connection>
  <connection id="22" xr16:uid="{504F69F5-67FF-430D-8674-E670C078D99E}" keepAlive="1" name="ThisWorkbookDataModel" description="Data Mode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<sst xmlns="http://schemas.openxmlformats.org/spreadsheetml/2006/main" count="88319" uniqueCount="1601">
  <si>
    <t>Portfolio</t>
  </si>
  <si>
    <t>Model</t>
  </si>
  <si>
    <t>Valuation date</t>
  </si>
  <si>
    <t>Week</t>
  </si>
  <si>
    <t>Benchmark</t>
  </si>
  <si>
    <t>Asset</t>
  </si>
  <si>
    <t>Weight</t>
  </si>
  <si>
    <t>Total value (INR)</t>
  </si>
  <si>
    <t>Maximum drawdown</t>
  </si>
  <si>
    <t>Refresh: Data &gt; Refresh All</t>
  </si>
  <si>
    <t>Cash</t>
  </si>
  <si>
    <t>Instrument</t>
  </si>
  <si>
    <t>Sector</t>
  </si>
  <si>
    <t>Units</t>
  </si>
  <si>
    <t>Price (INR)</t>
  </si>
  <si>
    <t>Value (INR)</t>
  </si>
  <si>
    <t>Unrealized P&amp;L</t>
  </si>
  <si>
    <t>Realized P&amp;L</t>
  </si>
  <si>
    <t>Prices observed</t>
  </si>
  <si>
    <t>Last quote refresh</t>
  </si>
  <si>
    <t>Live data: not connected</t>
  </si>
  <si>
    <t>Cash (INR)</t>
  </si>
  <si>
    <t>Transaction inputs</t>
  </si>
  <si>
    <t>Performance and risk</t>
  </si>
  <si>
    <t>Synthetic portfolio and benchmark. Historical risk estimates are descriptive, not forecasts.</t>
  </si>
  <si>
    <t>Through</t>
  </si>
  <si>
    <t>Metric</t>
  </si>
  <si>
    <t>Basis</t>
  </si>
  <si>
    <t>Cumulative return</t>
  </si>
  <si>
    <t>Cash-flow-adjusted portfolio; fictional total-return benchmark</t>
  </si>
  <si>
    <t>Annualized volatility</t>
  </si>
  <si>
    <t>Daily sample standard deviation x square root of 252</t>
  </si>
  <si>
    <t>n.a.</t>
  </si>
  <si>
    <t>Peak includes the initial pre-fee index of 100</t>
  </si>
  <si>
    <t>Observations</t>
  </si>
  <si>
    <t>Returns after the initial funded day</t>
  </si>
  <si>
    <t>Cash weight</t>
  </si>
  <si>
    <t>Cash earns no interest in this demonstration</t>
  </si>
  <si>
    <t>Week ending</t>
  </si>
  <si>
    <t>Portfolio index</t>
  </si>
  <si>
    <t>Benchmark index</t>
  </si>
  <si>
    <t>Drawdown</t>
  </si>
  <si>
    <t>Name</t>
  </si>
  <si>
    <t>Price date</t>
  </si>
  <si>
    <t>Cost basis</t>
  </si>
  <si>
    <t>Dividends</t>
  </si>
  <si>
    <t>SYN_BANK</t>
  </si>
  <si>
    <t>Demo Bank</t>
  </si>
  <si>
    <t>Banking</t>
  </si>
  <si>
    <t>SYN_TECH</t>
  </si>
  <si>
    <t>Demo Technology</t>
  </si>
  <si>
    <t>Technology</t>
  </si>
  <si>
    <t>SYN_HEALTH</t>
  </si>
  <si>
    <t>Demo Healthcare</t>
  </si>
  <si>
    <t>Healthcare</t>
  </si>
  <si>
    <t>SYN_INDUSTRY</t>
  </si>
  <si>
    <t>Demo Industry</t>
  </si>
  <si>
    <t>Industrials</t>
  </si>
  <si>
    <t>SYN_BROAD_ETF</t>
  </si>
  <si>
    <t>Demo Broad ETF</t>
  </si>
  <si>
    <t>Diversified equity</t>
  </si>
  <si>
    <t>SYN_BOND_ETF</t>
  </si>
  <si>
    <t>Demo Bond ETF</t>
  </si>
  <si>
    <t>Fixed income</t>
  </si>
  <si>
    <t>Securities</t>
  </si>
  <si>
    <t>Total value</t>
  </si>
  <si>
    <t>Investment gain</t>
  </si>
  <si>
    <t>Fees</t>
  </si>
  <si>
    <t>First funding date</t>
  </si>
  <si>
    <t>Transaction accounting</t>
  </si>
  <si>
    <t>Query output sorted by date and EventID. Cost basis uses weighted-average cost.</t>
  </si>
  <si>
    <t>EventID</t>
  </si>
  <si>
    <t>Date</t>
  </si>
  <si>
    <t>Type</t>
  </si>
  <si>
    <t>Quantity</t>
  </si>
  <si>
    <t>Price</t>
  </si>
  <si>
    <t>Amount</t>
  </si>
  <si>
    <t>UnitsDelta</t>
  </si>
  <si>
    <t>CashDelta</t>
  </si>
  <si>
    <t>ExternalFlow</t>
  </si>
  <si>
    <t>PriorUnits</t>
  </si>
  <si>
    <t>PriorCost</t>
  </si>
  <si>
    <t>CostChange</t>
  </si>
  <si>
    <t>RealizedPnL</t>
  </si>
  <si>
    <t>PositionAfter</t>
  </si>
  <si>
    <t>CostAfter</t>
  </si>
  <si>
    <t>RecordStatus</t>
  </si>
  <si>
    <t>SourceKey</t>
  </si>
  <si>
    <t>InputMatch</t>
  </si>
  <si>
    <t>EVT-0001</t>
  </si>
  <si>
    <t>DEPOSIT</t>
  </si>
  <si>
    <t>CASH</t>
  </si>
  <si>
    <t>EVT-0002</t>
  </si>
  <si>
    <t>BUY</t>
  </si>
  <si>
    <t>EVT-0003</t>
  </si>
  <si>
    <t>EVT-0004</t>
  </si>
  <si>
    <t>EVT-0005</t>
  </si>
  <si>
    <t>EVT-0006</t>
  </si>
  <si>
    <t>EVT-0007</t>
  </si>
  <si>
    <t>EVT-0008</t>
  </si>
  <si>
    <t>Practice</t>
  </si>
  <si>
    <t>EVT-0009</t>
  </si>
  <si>
    <t>EVT-0010</t>
  </si>
  <si>
    <t>EVT-0011</t>
  </si>
  <si>
    <t>EVT-0012</t>
  </si>
  <si>
    <t>EVT-0013</t>
  </si>
  <si>
    <t>EVT-0014</t>
  </si>
  <si>
    <t>EVT-0015</t>
  </si>
  <si>
    <t>EVT-0016</t>
  </si>
  <si>
    <t>EVT-0017</t>
  </si>
  <si>
    <t>EVT-0018</t>
  </si>
  <si>
    <t>EVT-0019</t>
  </si>
  <si>
    <t>EVT-0020</t>
  </si>
  <si>
    <t>EVT-0021</t>
  </si>
  <si>
    <t>SELL</t>
  </si>
  <si>
    <t>EVT-0022</t>
  </si>
  <si>
    <t>EVT-0023</t>
  </si>
  <si>
    <t>SPLIT</t>
  </si>
  <si>
    <t>EVT-0024</t>
  </si>
  <si>
    <t>EVT-0025</t>
  </si>
  <si>
    <t>EVT-0026</t>
  </si>
  <si>
    <t>EVT-0027</t>
  </si>
  <si>
    <t>DIVIDEND</t>
  </si>
  <si>
    <t>EVT-0028</t>
  </si>
  <si>
    <t>EVT-0029</t>
  </si>
  <si>
    <t>FEE</t>
  </si>
  <si>
    <t>EVT-0030</t>
  </si>
  <si>
    <t>EVT-0031</t>
  </si>
  <si>
    <t>WITHDRAW</t>
  </si>
  <si>
    <t>EVT-0032</t>
  </si>
  <si>
    <t>EVT-0033</t>
  </si>
  <si>
    <t>EVT-0034</t>
  </si>
  <si>
    <t>EVT-0035</t>
  </si>
  <si>
    <t>EVT-0036</t>
  </si>
  <si>
    <t>Daily portfolio calculation</t>
  </si>
  <si>
    <t>Daily flows are at the close, except the initial deposit. Prices include explicit synthetic corporate actions.</t>
  </si>
  <si>
    <t>BANK units</t>
  </si>
  <si>
    <t>TECH units</t>
  </si>
  <si>
    <t>HEALTH units</t>
  </si>
  <si>
    <t>INDUSTRY units</t>
  </si>
  <si>
    <t>BROAD_ETF units</t>
  </si>
  <si>
    <t>BOND_ETF units</t>
  </si>
  <si>
    <t>Value</t>
  </si>
  <si>
    <t>External flow</t>
  </si>
  <si>
    <t>Daily return</t>
  </si>
  <si>
    <t>Return index</t>
  </si>
  <si>
    <t>Peak index</t>
  </si>
  <si>
    <t>Benchmark return</t>
  </si>
  <si>
    <t>Investor cash flow</t>
  </si>
  <si>
    <t>Price coverage</t>
  </si>
  <si>
    <t>Chart date</t>
  </si>
  <si>
    <t>Drawdown to date</t>
  </si>
  <si>
    <t>Portfolio risk sample</t>
  </si>
  <si>
    <t>Benchmark risk sample</t>
  </si>
  <si>
    <t>Import state</t>
  </si>
  <si>
    <t>Synthetic price history</t>
  </si>
  <si>
    <t>Fictional prices. Weekday simulation calendar; not NSE trading history.</t>
  </si>
  <si>
    <t>BENCH</t>
  </si>
  <si>
    <t>Stock</t>
  </si>
  <si>
    <t>ETF</t>
  </si>
  <si>
    <t>Source: deterministic synthetic dataset v1.</t>
  </si>
  <si>
    <t>BENCH is a fictional total-return index.</t>
  </si>
  <si>
    <t>Prices are raw: the split and dividend affect the price path.</t>
  </si>
  <si>
    <t>No prices, transactions or names represent actual investments.</t>
  </si>
  <si>
    <t>Synthetic quote snapshot</t>
  </si>
  <si>
    <t>ObservedAt</t>
  </si>
  <si>
    <t>RefreshedAt</t>
  </si>
  <si>
    <t>Accounting checks</t>
  </si>
  <si>
    <t>These checks observe the model. They do not supply its calculations.</t>
  </si>
  <si>
    <t>Check</t>
  </si>
  <si>
    <t>Observed</t>
  </si>
  <si>
    <t>Expected</t>
  </si>
  <si>
    <t>Result</t>
  </si>
  <si>
    <t>Value reconciliation</t>
  </si>
  <si>
    <t>Transaction record issues</t>
  </si>
  <si>
    <t>Price observations per date</t>
  </si>
  <si>
    <t>Allocation incl. cash</t>
  </si>
  <si>
    <t>P&amp;L reconciliation</t>
  </si>
  <si>
    <t>Using the demonstration</t>
  </si>
  <si>
    <t>Standard .xlsx. No Python, macros, add-ins, brokerage account or network connection is needed.</t>
  </si>
  <si>
    <t>Topic</t>
  </si>
  <si>
    <t>Explanation</t>
  </si>
  <si>
    <t>Purpose</t>
  </si>
  <si>
    <t>Explore an auditable portfolio workflow using simulated data. All financial results are synthetic.</t>
  </si>
  <si>
    <t>Start</t>
  </si>
  <si>
    <t>Edit</t>
  </si>
  <si>
    <t>On Import edit or append rows within the DemoEvents table. Choose Data &gt; Refresh All.</t>
  </si>
  <si>
    <t>Refresh</t>
  </si>
  <si>
    <t>CleanTransactions and QuoteSnapshot are local Power Query connections, set to refresh every five minutes while Excel is open.</t>
  </si>
  <si>
    <t>Enable content</t>
  </si>
  <si>
    <t>If Excel asks, enable data connections only for this trusted local demonstration. It makes no network requests.</t>
  </si>
  <si>
    <t>Duplicates</t>
  </si>
  <si>
    <t>Identical repeated rows are ignored. Conflicting records with the same EventID stop the import.</t>
  </si>
  <si>
    <t>Failed import</t>
  </si>
  <si>
    <t>Capacity</t>
  </si>
  <si>
    <t>The demo supports up to 1,000 ledger events and the supplied 130 weekday dates. Extend the model deliberately for longer history.</t>
  </si>
  <si>
    <t>Event fields</t>
  </si>
  <si>
    <t>BUY/SELL: positive Quantity and Price, nonnegative Fees. Cash events use positive Amount. Unused numeric fields are zero.</t>
  </si>
  <si>
    <t>Transfer charges</t>
  </si>
  <si>
    <t>Enter transfer or corporate-action charges as a separate FEE event. Nonzero Fees on DEPOSIT/WITHDRAW/SPLIT/BONUS are rejected.</t>
  </si>
  <si>
    <t>Corporate actions</t>
  </si>
  <si>
    <t>SPLIT/BONUS Quantity is the incremental number of shares, not the split ratio. No cash or cost basis is added.</t>
  </si>
  <si>
    <t>Buys add purchase price plus fees. Sales remove weighted-average cost; sale fees reduce realized profit. This is not tax accounting.</t>
  </si>
  <si>
    <t>Cash flow</t>
  </si>
  <si>
    <t>Deposits/withdrawals are external flows. Trades and retained dividends are internal to the portfolio.</t>
  </si>
  <si>
    <t>(Closing value minus end-of-day external flow) / previous closing value minus 1. Initial funding is at the start of day.</t>
  </si>
  <si>
    <t>First day</t>
  </si>
  <si>
    <t>The first return includes transaction fees: closing value / opening deposit minus 1.</t>
  </si>
  <si>
    <t>Inception</t>
  </si>
  <si>
    <t>Benchmark comparisons and volatility start at the selected portfolio's first deposit. Dates before funding have no return.</t>
  </si>
  <si>
    <t>Money-weighted return</t>
  </si>
  <si>
    <t>XIRR uses dated investor deposits as negatives, withdrawals as positives, and ending value as a terminal receipt.</t>
  </si>
  <si>
    <t>Volatility</t>
  </si>
  <si>
    <t>Sample standard deviation of daily returns after the initial day, annualized with 252. No risk-free rate or Sharpe ratio is assumed.</t>
  </si>
  <si>
    <t>BENCH is a fictional total-return index. It is not NIFTY, SENSEX or an investable security.</t>
  </si>
  <si>
    <t>Decline from the prior high in the cash-flow-adjusted return index, including its initial value of 100.</t>
  </si>
  <si>
    <t>Prices</t>
  </si>
  <si>
    <t>Raw simulated closes include a technology split and a healthcare dividend adjustment. The ledger records their matching events.</t>
  </si>
  <si>
    <t>Observation time</t>
  </si>
  <si>
    <t>ObservedAt is the synthetic closing-price time. RefreshedAt records when the local query ran. Refreshing does not create new market data.</t>
  </si>
  <si>
    <t>Actual investments</t>
  </si>
  <si>
    <t>A broker-export adapter and validated opening balances are still required before importing actual investments.</t>
  </si>
  <si>
    <t>Later live connection</t>
  </si>
  <si>
    <t>Account access, quote/history schemas, corporate-action treatment and benchmark data will be validated before a connected release.</t>
  </si>
  <si>
    <t>Provenance</t>
  </si>
  <si>
    <t>Generated from synthetic-demo-v1.json with a fixed seed. No licensed exchange data or private transactions are included.</t>
  </si>
  <si>
    <t>Try a change</t>
  </si>
  <si>
    <t>Follow</t>
  </si>
  <si>
    <t>Notes</t>
  </si>
  <si>
    <t>Day change</t>
  </si>
  <si>
    <t>Yes</t>
  </si>
  <si>
    <t>Followed example</t>
  </si>
  <si>
    <t>No</t>
  </si>
  <si>
    <t>Followed quote snapshots</t>
  </si>
  <si>
    <t>One-minute query output. Follow flags and notes stay on Watchlist. Synthetic source only.</t>
  </si>
  <si>
    <t>FollowSet</t>
  </si>
  <si>
    <t>Status</t>
  </si>
  <si>
    <t>AttemptedAt</t>
  </si>
  <si>
    <t>SYN_BANK|SYN_TECH|</t>
  </si>
  <si>
    <t>OK</t>
  </si>
  <si>
    <t>SlowPrice</t>
  </si>
  <si>
    <t>SlowObserved</t>
  </si>
  <si>
    <t>SlowRefreshed</t>
  </si>
  <si>
    <t>FastPrice</t>
  </si>
  <si>
    <t>FastObserved</t>
  </si>
  <si>
    <t>FastRefreshed</t>
  </si>
  <si>
    <t>FastKey</t>
  </si>
  <si>
    <t>UseFast</t>
  </si>
  <si>
    <t>FastStatus</t>
  </si>
  <si>
    <t>InputValid</t>
  </si>
  <si>
    <t>Five-minute baseline. Followed stocks have an independent one-minute query on FastQuotes. Synthetic data.</t>
  </si>
  <si>
    <t>Watchlist refresh: Follow = Yes uses the one-minute query; No uses five-minute monitoring. Data &gt; Refresh All updates both.</t>
  </si>
  <si>
    <t>Follow flags and notes are saved inputs. Changed membership is pending until the next followed refresh. All-No is valid.</t>
  </si>
  <si>
    <t>One-minute and five-minute intervals are scheduled refreshes while Excel is open, not guaranteed market-data latency.</t>
  </si>
  <si>
    <t>My watchlist</t>
  </si>
  <si>
    <t>Stock / ETF</t>
  </si>
  <si>
    <t>Updated</t>
  </si>
  <si>
    <t>Price observed</t>
  </si>
  <si>
    <t>Quote source</t>
  </si>
  <si>
    <t>Edit the yellow cells: Follow = Yes for one-minute updates. Add your own notes.</t>
  </si>
  <si>
    <t>Refresh now: Data &gt; Refresh All, or Ctrl+Alt+F5. Keep Excel open and the computer awake.</t>
  </si>
  <si>
    <t>Help and stock codes</t>
  </si>
  <si>
    <t>Using this workbook</t>
  </si>
  <si>
    <t>DEMO DATA | All stocks, prices, portfolios and transactions are fictional.</t>
  </si>
  <si>
    <t>I want to...</t>
  </si>
  <si>
    <t>What to do</t>
  </si>
  <si>
    <t>Follow a stock</t>
  </si>
  <si>
    <t>On Watchlist, choose Yes in Follow. Yes updates every minute; No updates every five minutes.</t>
  </si>
  <si>
    <t>Keep a note</t>
  </si>
  <si>
    <t>Type in the yellow Notes cell. Notes stay with the stock when you sort or refresh.</t>
  </si>
  <si>
    <t>Update now</t>
  </si>
  <si>
    <t>Use Data &gt; Refresh All, or Ctrl+Alt+F5. Both schedules run only while desktop Excel is open and the computer is awake.</t>
  </si>
  <si>
    <t>See my holdings</t>
  </si>
  <si>
    <t>Open Holdings. Its portfolio and valuation date come from the yellow selectors on Portfolio.</t>
  </si>
  <si>
    <t>Record a transaction</t>
  </si>
  <si>
    <t>On Transactions, enter completed buys, sells, cash flows, dividends or fees in the yellow columns. Then Refresh All. This never places an order.</t>
  </si>
  <si>
    <t>Choose account or date</t>
  </si>
  <si>
    <t>On Portfolio, change the yellow portfolio and valuation-date selectors. Both Model and Practice are fictional examples.</t>
  </si>
  <si>
    <t>Read a warning</t>
  </si>
  <si>
    <t>Waiting for update means a Follow change is pending. Using 5-min backup means the faster quote is unavailable. Refresh overdue means the last retrieval is old. Try Refresh All.</t>
  </si>
  <si>
    <t>Understand Updated</t>
  </si>
  <si>
    <t>Updated is the last successful retrieval time. The demo price date is shown above Watchlist. Refreshing the fixture does not create a new market price.</t>
  </si>
  <si>
    <t>Read gains and returns</t>
  </si>
  <si>
    <t>Open P&amp;L is the gain/loss on shares still held. TWR removes external cash-flow effects; XIRR reflects their timing and is annualized. Neither is a forecast.</t>
  </si>
  <si>
    <t>Transaction example</t>
  </si>
  <si>
    <t>BUY: new EventID, Date, Model or Practice, stock code, Quantity, Price, Amount = 0, and Fees. Use a unique EventID for each event.</t>
  </si>
  <si>
    <t>Cash example</t>
  </si>
  <si>
    <t>DEPOSIT: Instrument = CASH, Quantity = 0, Price = 0, positive Amount, Fees = 0. Enter any separate charge as a FEE row.</t>
  </si>
  <si>
    <t>Code for Transactions</t>
  </si>
  <si>
    <t>More detail</t>
  </si>
  <si>
    <t>Right-click any sheet tab &gt; Unhide. Performance has detailed returns; Guide has accounting methods. Ledger, Daily, History, Quotes, FastQuotes and Checks retain the workings.</t>
  </si>
  <si>
    <t>Price details</t>
  </si>
  <si>
    <t>If refresh fails</t>
  </si>
  <si>
    <t>Open Data &gt; Queries &amp; Connections to inspect the error. The workbook may retain a previous quote. Overdue messages update when Excel recalculates.</t>
  </si>
  <si>
    <t>Current limits</t>
  </si>
  <si>
    <t>RawStatus</t>
  </si>
  <si>
    <t>Portfolio history</t>
  </si>
  <si>
    <t>DEMO DATA | Choose the yellow portfolio and date fields. All amounts are in INR.</t>
  </si>
  <si>
    <t>Net cash added (INR)</t>
  </si>
  <si>
    <t>Overall gain / loss (INR)</t>
  </si>
  <si>
    <t>Portfolio return (TWR)</t>
  </si>
  <si>
    <t>Annual return (XIRR)</t>
  </si>
  <si>
    <t>Largest decline from peak</t>
  </si>
  <si>
    <t>Change portfolio or date above. Edit transactions on Transactions, then refresh.</t>
  </si>
  <si>
    <t>Returns use the full history through the selected date. See Help for conventions.</t>
  </si>
  <si>
    <t>On Portfolio choose Model or Practice and a valuation date. Charts and calculations update.</t>
  </si>
  <si>
    <t>Changed or removed inputs that do not match the loaded ledger show Refresh required on Portfolio. Failed queries retain last-good data.</t>
  </si>
  <si>
    <t>Increase a BUY fee on Transactions, refresh, and inspect cash, cost basis and returns. Restore it before comparing with baseline results.</t>
  </si>
  <si>
    <t>My holdings</t>
  </si>
  <si>
    <t>Shares</t>
  </si>
  <si>
    <t>% of portfolio</t>
  </si>
  <si>
    <t>Open P&amp;L (INR)</t>
  </si>
  <si>
    <t>Net cash added</t>
  </si>
  <si>
    <t>Open P&amp;L = gain or loss on shares still held. More accounting detail is available by unhiding columns.</t>
  </si>
  <si>
    <t>My transactions</t>
  </si>
  <si>
    <t>Edit yellow cells, then Data &gt; Refresh All. Record completed transactions only; this sheet does not place orders.</t>
  </si>
  <si>
    <t>Need a stock code or a row example? Open Help.</t>
  </si>
  <si>
    <t>Holdings</t>
  </si>
  <si>
    <t>Transactions</t>
  </si>
  <si>
    <t>Help</t>
  </si>
  <si>
    <t>Watchlist</t>
  </si>
  <si>
    <t>Back to Watchlist</t>
  </si>
  <si>
    <t>On Watchlist, type J:K in the Name Box beside the formula bar. Use Home &gt; Format &gt; Hide &amp; Unhide &gt; Unhide Columns for price dates and quote sources. Hidden column A holds stock codes.</t>
  </si>
  <si>
    <t>Trade plan</t>
  </si>
  <si>
    <t>Review stock</t>
  </si>
  <si>
    <t>DEMO DATA. Example plans and prices are fictional. All amounts are in INR.</t>
  </si>
  <si>
    <t>Quantity (whole shares)</t>
  </si>
  <si>
    <t>Cash needed</t>
  </si>
  <si>
    <t>Net reward / risk</t>
  </si>
  <si>
    <t>Planned loss at stop</t>
  </si>
  <si>
    <t>Net gain at target</t>
  </si>
  <si>
    <t>Current demo price</t>
  </si>
  <si>
    <t>Edit yellow cells in your stock row. Choose a stock above to review its calculated plan.</t>
  </si>
  <si>
    <t>1. Set prices and budgets</t>
  </si>
  <si>
    <t>PlanID</t>
  </si>
  <si>
    <t>Entry</t>
  </si>
  <si>
    <t>Stop</t>
  </si>
  <si>
    <t>Target</t>
  </si>
  <si>
    <t>Risk budget</t>
  </si>
  <si>
    <t>Cash budget</t>
  </si>
  <si>
    <t>Reason / notes</t>
  </si>
  <si>
    <t>Review date</t>
  </si>
  <si>
    <t>PLAN-SYN_BANK</t>
  </si>
  <si>
    <t>Sizing example. Replace these levels.</t>
  </si>
  <si>
    <t>PLAN-SYN_TECH</t>
  </si>
  <si>
    <t>PLAN-SYN_HEALTH</t>
  </si>
  <si>
    <t>PLAN-SYN_INDUSTRY</t>
  </si>
  <si>
    <t>PLAN-SYN_BROAD_ETF</t>
  </si>
  <si>
    <t>PLAN-SYN_BOND_ETF</t>
  </si>
  <si>
    <t>Cash budget caps entry cost. Risk budget caps loss at the stop plus estimated entry and exit charges.</t>
  </si>
  <si>
    <t>A stop is a planned exit level. Gaps, slippage and actual charges can make the loss larger.</t>
  </si>
  <si>
    <t>2. Estimate charges per trade (INR)</t>
  </si>
  <si>
    <t>Entry charges</t>
  </si>
  <si>
    <t>Stop exit charges</t>
  </si>
  <si>
    <t>Target exit charges</t>
  </si>
  <si>
    <t>Loss / share</t>
  </si>
  <si>
    <t>Risk after charges</t>
  </si>
  <si>
    <t>Cash after entry fees</t>
  </si>
  <si>
    <t>Input check</t>
  </si>
  <si>
    <t>Enter total estimated charges for each leg. Enter 0 only when you intend to assume no charges.</t>
  </si>
  <si>
    <t>Risk after charges = risk budget less entry and stop exit charges. Charges are user estimates, not a broker tariff.</t>
  </si>
  <si>
    <t>3. Compare calculated plans</t>
  </si>
  <si>
    <t>Loss at stop</t>
  </si>
  <si>
    <t>Net target gain</t>
  </si>
  <si>
    <t>Reward / risk</t>
  </si>
  <si>
    <t>Plan status</t>
  </si>
  <si>
    <t>Cash budget used</t>
  </si>
  <si>
    <t>Plans stay in this workbook when you refresh or save. Editing a row replaces that draft; no plan history is recorded.</t>
  </si>
  <si>
    <t>Record completed trades on Transactions. Planning a trade does not place an order or change your holdings.</t>
  </si>
  <si>
    <t>Stock view</t>
  </si>
  <si>
    <t>Chart range</t>
  </si>
  <si>
    <t>All closes</t>
  </si>
  <si>
    <t>Current quote (INR)</t>
  </si>
  <si>
    <t>21-session price change</t>
  </si>
  <si>
    <t>63-session price change</t>
  </si>
  <si>
    <t>50-session average</t>
  </si>
  <si>
    <t>200-session average</t>
  </si>
  <si>
    <t>63-session closing range</t>
  </si>
  <si>
    <t>Your current draft</t>
  </si>
  <si>
    <t>From entry</t>
  </si>
  <si>
    <t>From stop</t>
  </si>
  <si>
    <t>From target</t>
  </si>
  <si>
    <t>Edit draft levels on Trade plan. Positive distance means the current quote is above that level.</t>
  </si>
  <si>
    <t>Daily data and calculations below. Closes are adjusted for the documented split only; dividends are excluded.</t>
  </si>
  <si>
    <t>Daily history for the selected stock</t>
  </si>
  <si>
    <t>Index</t>
  </si>
  <si>
    <t>Raw close</t>
  </si>
  <si>
    <t>Split divisor</t>
  </si>
  <si>
    <t>Adjusted close</t>
  </si>
  <si>
    <t>Row status</t>
  </si>
  <si>
    <t>Split date</t>
  </si>
  <si>
    <t>New / old shares</t>
  </si>
  <si>
    <t>Synthetic fixture rule</t>
  </si>
  <si>
    <t>Source: synthetic-demo-v1 notes. Technology split 2 for 1 on 22 June 2026. Earlier prices are divided by 2 after the split takes effect.</t>
  </si>
  <si>
    <t>Healthcare pays a fictional dividend on 24 July. This price chart excludes dividend income and is not total return.</t>
  </si>
  <si>
    <t>History capacity: 1,000 rows. Invalid dates, missing prices and excess rows show a warning. No price is silently filled.</t>
  </si>
  <si>
    <t>Review a stock</t>
  </si>
  <si>
    <t>On Stock view, choose a stock and chart range. Daily price changes exclude dividends and adjust the documented split. Draft levels come from Trade plan. The daily data table is below the chart.</t>
  </si>
  <si>
    <t>Headlines</t>
  </si>
  <si>
    <t>Industry</t>
  </si>
  <si>
    <t>All industries</t>
  </si>
  <si>
    <t>Publisher</t>
  </si>
  <si>
    <t>All publishers</t>
  </si>
  <si>
    <t>News mode</t>
  </si>
  <si>
    <t>Demo</t>
  </si>
  <si>
    <t>Refresh: every 30 minutes or Data &gt; Refresh All</t>
  </si>
  <si>
    <t>Page</t>
  </si>
  <si>
    <t>Published (IST)</t>
  </si>
  <si>
    <t>Headline</t>
  </si>
  <si>
    <t>Matched industry</t>
  </si>
  <si>
    <t>Why it appears</t>
  </si>
  <si>
    <t>Article</t>
  </si>
  <si>
    <t>Filters work immediately on cached items. Change feeds or keywords below, then Refresh All. Headlines are ordered newest first.</t>
  </si>
  <si>
    <t>Demo headlines are fictional. Live RSS is a personal reader; keep Demo selected before sharing this workbook.</t>
  </si>
  <si>
    <t>Followed sources</t>
  </si>
  <si>
    <t>Use Yes / No to follow a feed. Up to six source rows.</t>
  </si>
  <si>
    <t>SourceID</t>
  </si>
  <si>
    <t>Feed URL</t>
  </si>
  <si>
    <t>Enabled</t>
  </si>
  <si>
    <t>Latest attempt</t>
  </si>
  <si>
    <t>Items</t>
  </si>
  <si>
    <t>MINT_INDUSTRY</t>
  </si>
  <si>
    <t>Mint</t>
  </si>
  <si>
    <t>https://www.livemint.com/rss/industry</t>
  </si>
  <si>
    <t>MINT_TECH</t>
  </si>
  <si>
    <t>https://www.livemint.com/rss/technology</t>
  </si>
  <si>
    <t>MINT_MARKETS</t>
  </si>
  <si>
    <t>https://www.livemint.com/rss/markets</t>
  </si>
  <si>
    <t>First live use</t>
  </si>
  <si>
    <t>Choose Live RSS above, then Data &gt; Refresh All. If Excel asks, allow this public web source with Anonymous access and Public privacy. Do not disable privacy checks globally.</t>
  </si>
  <si>
    <t>Before sharing</t>
  </si>
  <si>
    <t>Return to Demo and Refresh All; check that the banner says DEMO. Save the file. This removes live headline records from the current query result.</t>
  </si>
  <si>
    <t>Industry matching rules</t>
  </si>
  <si>
    <t>A whole word or phrase in the title matches an industry. Edit these yellow cells.</t>
  </si>
  <si>
    <t>Keyword</t>
  </si>
  <si>
    <t>Banking/Financials</t>
  </si>
  <si>
    <t>bank</t>
  </si>
  <si>
    <t>Matching is transparent, not exhaustive. Several industries may match one headline. Unclassified items remain visible under All industries or Unclassified.</t>
  </si>
  <si>
    <t>banks</t>
  </si>
  <si>
    <t>banking</t>
  </si>
  <si>
    <t>insurance</t>
  </si>
  <si>
    <t>technology</t>
  </si>
  <si>
    <t>Source health distinguishes failed feeds, empty feeds and skipped invalid items. A failed feed contributes no new articles; successful feeds remain available.</t>
  </si>
  <si>
    <t>software</t>
  </si>
  <si>
    <t>AI</t>
  </si>
  <si>
    <t>semiconductor</t>
  </si>
  <si>
    <t>pharma</t>
  </si>
  <si>
    <t>Published is the article time. Refreshed is the last retrieval attempt. Older articles can remain in a current feed; a recent refresh does not make them new.</t>
  </si>
  <si>
    <t>healthcare</t>
  </si>
  <si>
    <t>hospital</t>
  </si>
  <si>
    <t>Auto</t>
  </si>
  <si>
    <t>auto</t>
  </si>
  <si>
    <t>automaker</t>
  </si>
  <si>
    <t>This reader supports public HTTPS RSS 2.0 feeds with title, link and pubDate. Other publishers may use different formats or terms. Test each new feed before relying on it.</t>
  </si>
  <si>
    <t>electric vehicle</t>
  </si>
  <si>
    <t>Energy</t>
  </si>
  <si>
    <t>oil</t>
  </si>
  <si>
    <t>gas</t>
  </si>
  <si>
    <t>renewable</t>
  </si>
  <si>
    <t>No full articles, sentiment scores, trading signals or news archive are collected. Query failure leaves an older cache; the refresh timestamp and overdue warning reveal its age.</t>
  </si>
  <si>
    <t>Consumer</t>
  </si>
  <si>
    <t>retail</t>
  </si>
  <si>
    <t>consumer</t>
  </si>
  <si>
    <t>FMCG</t>
  </si>
  <si>
    <t>steel</t>
  </si>
  <si>
    <t>Mint permits personal, noncommercial headline reading. Live headlines and paid articles are not cleared for portfolio redistribution.</t>
  </si>
  <si>
    <t>manufacturing</t>
  </si>
  <si>
    <t>Markets</t>
  </si>
  <si>
    <t>Nifty</t>
  </si>
  <si>
    <t>Sensex</t>
  </si>
  <si>
    <t>URL</t>
  </si>
  <si>
    <t>PublishedText</t>
  </si>
  <si>
    <t>DEMO: Banks review deposit growth before quarterly results</t>
  </si>
  <si>
    <t>https://example.invalid/demo/banks</t>
  </si>
  <si>
    <t>Fri, 18 Sep 2026 15:20:00 +0530</t>
  </si>
  <si>
    <t>DEMO: Software firm schedules results and product briefing</t>
  </si>
  <si>
    <t>https://example.invalid/demo/software</t>
  </si>
  <si>
    <t>Fri, 18 Sep 2026 14:50:00 +0530</t>
  </si>
  <si>
    <t>DEMO: Pharma manufacturer announces plant review</t>
  </si>
  <si>
    <t>https://example.invalid/demo/pharma</t>
  </si>
  <si>
    <t>Fri, 18 Sep 2026 14:00:00 +0530</t>
  </si>
  <si>
    <t>DEMO: Steel producers discuss manufacturing demand</t>
  </si>
  <si>
    <t>https://example.invalid/demo/steel</t>
  </si>
  <si>
    <t>Fri, 18 Sep 2026 13:30:00 +0530</t>
  </si>
  <si>
    <t>DEMO: ETF volumes rise during the market session</t>
  </si>
  <si>
    <t>https://example.invalid/demo/etf</t>
  </si>
  <si>
    <t>Fri, 18 Sep 2026 13:00:00 +0530</t>
  </si>
  <si>
    <t>DEMO: Automaker outlines electric vehicle launch calendar</t>
  </si>
  <si>
    <t>https://example.invalid/demo/auto</t>
  </si>
  <si>
    <t>Fri, 18 Sep 2026 12:30:00 +0530</t>
  </si>
  <si>
    <t>DEMO: Oil suppliers review renewable investment plans</t>
  </si>
  <si>
    <t>https://example.invalid/demo/energy</t>
  </si>
  <si>
    <t>Fri, 18 Sep 2026 12:00:00 +0530</t>
  </si>
  <si>
    <t>DEMO: Retail chain describes consumer demand trends</t>
  </si>
  <si>
    <t>https://example.invalid/demo/consumer</t>
  </si>
  <si>
    <t>Fri, 18 Sep 2026 11:30:00 +0530</t>
  </si>
  <si>
    <t>DEMO: AI project links technology and healthcare teams</t>
  </si>
  <si>
    <t>https://example.invalid/demo/multiple</t>
  </si>
  <si>
    <t>Fri, 18 Sep 2026 11:00:00 +0530</t>
  </si>
  <si>
    <t>DEMO: Board meeting scheduled for next month</t>
  </si>
  <si>
    <t>https://example.invalid/demo/unclassified</t>
  </si>
  <si>
    <t>Fri, 18 Sep 2026 10:00:00 +0530</t>
  </si>
  <si>
    <t>https://example.invalid/demo/banks?utm_source=second#top</t>
  </si>
  <si>
    <t>Unclassified</t>
  </si>
  <si>
    <t>RowType</t>
  </si>
  <si>
    <t>PublishedAt</t>
  </si>
  <si>
    <t>Industries</t>
  </si>
  <si>
    <t>MatchReason</t>
  </si>
  <si>
    <t>State</t>
  </si>
  <si>
    <t>ItemCount</t>
  </si>
  <si>
    <t>Rejected</t>
  </si>
  <si>
    <t>Mode</t>
  </si>
  <si>
    <t>SettingsKey</t>
  </si>
  <si>
    <t>Meta</t>
  </si>
  <si>
    <t/>
  </si>
  <si>
    <t>Ready</t>
  </si>
  <si>
    <t>Demo||MINT_INDUSTRY~MINT_TECH~MINT_MARKETS~~~||Mint~Mint~Mint~~~||https://www.livemint.com/rss/industry~https://www.livemint.com/rss/technology~https://www.livemint.com/rss/markets~~~||Yes~Yes~Yes~No~No~No||Banking/Financials~Banking/Financials~Banking/Financials~Banking/Financials~Technology~Technology~Technology~Technology~Healthcare~Healthcare~Healthcare~Auto~Auto~Auto~Energy~Energy~Energy~Consumer~Consumer~Consumer~Industrials~Industrials~Markets~Markets~Markets||bank~banks~banking~insurance~technology~software~AI~semiconductor~pharma~healthcare~hospital~auto~automaker~electric vehicle~oil~gas~renewable~retail~consumer~FMCG~steel~manufacturing~Nifty~Sensex~ETF</t>
  </si>
  <si>
    <t>Feed</t>
  </si>
  <si>
    <t>|Banking/Financials|</t>
  </si>
  <si>
    <t>Title: banks</t>
  </si>
  <si>
    <t>|Technology|</t>
  </si>
  <si>
    <t>Title: software</t>
  </si>
  <si>
    <t>|Healthcare|</t>
  </si>
  <si>
    <t>Title: pharma</t>
  </si>
  <si>
    <t>|Industrials|</t>
  </si>
  <si>
    <t>Title: steel, manufacturing</t>
  </si>
  <si>
    <t>|Markets|</t>
  </si>
  <si>
    <t>Title: ETF</t>
  </si>
  <si>
    <t>|Auto|</t>
  </si>
  <si>
    <t>Title: automaker, electric vehicle</t>
  </si>
  <si>
    <t>|Energy|</t>
  </si>
  <si>
    <t>Title: oil, renewable</t>
  </si>
  <si>
    <t>|Consumer|</t>
  </si>
  <si>
    <t>Title: retail, consumer</t>
  </si>
  <si>
    <t>|Healthcare|Technology|</t>
  </si>
  <si>
    <t>Title: technology, AI, healthcare</t>
  </si>
  <si>
    <t>|Unclassified|</t>
  </si>
  <si>
    <t>No keyword match</t>
  </si>
  <si>
    <t>Sources / rules</t>
  </si>
  <si>
    <t>Mint RSS directory and terms</t>
  </si>
  <si>
    <t>DEMO DATA | Prices as at 18 Sep 2026 15:30 IST. Market prices are not connected.</t>
  </si>
  <si>
    <t>DEMO DATA. Fictional stocks and prices. Market prices are not connected. All price amounts are INR.</t>
  </si>
  <si>
    <t>Read industry news</t>
  </si>
  <si>
    <t>On Headlines, choose an industry and publisher. Filters update immediately; use page 1 after narrowing. News mode Demo is fictional. Live RSS uses Mint feeds every 30 minutes. Feed settings and matching rules are below the reader.</t>
  </si>
  <si>
    <t>Six demo instruments and 130 weekdays. News has a separate Demo / Live RSS selector. Original-plan journal and live market prices remain pending.</t>
  </si>
  <si>
    <t>Portfolio accounting and comparison</t>
  </si>
  <si>
    <t>Compare portfolios over one common period</t>
  </si>
  <si>
    <t>Trace holdings and cash</t>
  </si>
  <si>
    <t>Choose a stable PortfolioID and valuation date. Inspect exact quantities, basis, price dates, unpaid dividends and reasoned unavailable values.</t>
  </si>
  <si>
    <t>Review accounting and price exceptions</t>
  </si>
  <si>
    <t>Fix the owning input, then Refresh All. Notes and legacy draft trade plans do not create completed transactions.</t>
  </si>
  <si>
    <t>Data checks and coverage</t>
  </si>
  <si>
    <t>Terminal validation. Outputs do not depend on this sheet. Synthetic accounting checks do not establish historical-source coverage or user acceptance.</t>
  </si>
  <si>
    <t>ReturnCalc audit</t>
  </si>
  <si>
    <t>One formula layer for gain/loss, geometrically linked TWR and guarded annualized native XIRR. Supporting sheet available through Unhide.</t>
  </si>
  <si>
    <t>AP_Portfolios | editable input</t>
  </si>
  <si>
    <t>Append structured-table rows; retain stable IDs and exact headers. Yellow inputs require Refresh All after edits.</t>
  </si>
  <si>
    <t>PortfolioID</t>
  </si>
  <si>
    <t>PortfolioName</t>
  </si>
  <si>
    <t>Currency</t>
  </si>
  <si>
    <t>InceptionDate</t>
  </si>
  <si>
    <t>Active</t>
  </si>
  <si>
    <t>Include</t>
  </si>
  <si>
    <t>P1</t>
  </si>
  <si>
    <t>INR</t>
  </si>
  <si>
    <t>P2</t>
  </si>
  <si>
    <t>P3</t>
  </si>
  <si>
    <t>AP_Instruments | editable input</t>
  </si>
  <si>
    <t>InstrumentID</t>
  </si>
  <si>
    <t>InstrumentName</t>
  </si>
  <si>
    <t>Symbol</t>
  </si>
  <si>
    <t>Exchange</t>
  </si>
  <si>
    <t>ISIN</t>
  </si>
  <si>
    <t>AssetClass</t>
  </si>
  <si>
    <t>SYNTHETIC</t>
  </si>
  <si>
    <t>AP_Transactions | editable input</t>
  </si>
  <si>
    <t>Sequence</t>
  </si>
  <si>
    <t>TransferID</t>
  </si>
  <si>
    <t>Timing</t>
  </si>
  <si>
    <t>ActionID</t>
  </si>
  <si>
    <t>TRANSFER_OUT</t>
  </si>
  <si>
    <t>TRANSFER_IN</t>
  </si>
  <si>
    <t>AP_Prices | editable input</t>
  </si>
  <si>
    <t>PriceID</t>
  </si>
  <si>
    <t>Close</t>
  </si>
  <si>
    <t>Revision</t>
  </si>
  <si>
    <t>RetrievedAt</t>
  </si>
  <si>
    <t>PriceBasis</t>
  </si>
  <si>
    <t>Unadjusted</t>
  </si>
  <si>
    <t>AP_Actions | editable input</t>
  </si>
  <si>
    <t>ExDate</t>
  </si>
  <si>
    <t>PaymentDate</t>
  </si>
  <si>
    <t>RatioNumerator</t>
  </si>
  <si>
    <t>RatioDenominator</t>
  </si>
  <si>
    <t>CashPerUnit</t>
  </si>
  <si>
    <t>Verified</t>
  </si>
  <si>
    <t>AP_Calendar | editable input</t>
  </si>
  <si>
    <t>IsTradingSession</t>
  </si>
  <si>
    <t>AP_Settings | editable input</t>
  </si>
  <si>
    <t>Setting</t>
  </si>
  <si>
    <t>AcceptedPriceSourceID</t>
  </si>
  <si>
    <t>PriceInputMode</t>
  </si>
  <si>
    <t>Synthetic fixture</t>
  </si>
  <si>
    <t>PriceFolderPath</t>
  </si>
  <si>
    <t>SnapshotDate</t>
  </si>
  <si>
    <t>SourceDataStatus</t>
  </si>
  <si>
    <t>RightsStatus</t>
  </si>
  <si>
    <t>CashTolerance</t>
  </si>
  <si>
    <t>0.01</t>
  </si>
  <si>
    <t>UnitsTolerance</t>
  </si>
  <si>
    <t>0.00000001</t>
  </si>
  <si>
    <t>Durable portfolio and instrument notes</t>
  </si>
  <si>
    <t>One unique PortfolioID + InstrumentID key. Notes remain outside refresh-owned outputs.</t>
  </si>
  <si>
    <t>InvestmentThesis</t>
  </si>
  <si>
    <t>NextReviewDate</t>
  </si>
  <si>
    <t>ReviewNote</t>
  </si>
  <si>
    <t>NoteKey</t>
  </si>
  <si>
    <t>Synthetic accounting example</t>
  </si>
  <si>
    <t>Check partial sale, split and dividend trace</t>
  </si>
  <si>
    <t>Synthetic comparison account</t>
  </si>
  <si>
    <t>Check outgoing transfer and settlement</t>
  </si>
  <si>
    <t>TransactionsClean</t>
  </si>
  <si>
    <t>Loaded native output. Do not edit. Current eligibility is controlled by exact input mirrors.</t>
  </si>
  <si>
    <t>DuplicateCount</t>
  </si>
  <si>
    <t>Reason</t>
  </si>
  <si>
    <t>CashAfter</t>
  </si>
  <si>
    <t>UnitsAfter</t>
  </si>
  <si>
    <t>BasisAfter</t>
  </si>
  <si>
    <t>OPEN</t>
  </si>
  <si>
    <t>CLOSE</t>
  </si>
  <si>
    <t>HoldingsDaily</t>
  </si>
  <si>
    <t>PriceDate</t>
  </si>
  <si>
    <t>PriceAgeDays</t>
  </si>
  <si>
    <t>MarketValue</t>
  </si>
  <si>
    <t>LastKnownValue</t>
  </si>
  <si>
    <t>DividendReceivable</t>
  </si>
  <si>
    <t>UnrealizedPnL</t>
  </si>
  <si>
    <t>PortfolioDaily</t>
  </si>
  <si>
    <t>OpeningValue</t>
  </si>
  <si>
    <t>OpenFlow</t>
  </si>
  <si>
    <t>CloseFlow</t>
  </si>
  <si>
    <t>NetExternalFlow</t>
  </si>
  <si>
    <t>StockValue</t>
  </si>
  <si>
    <t>ClosingValue</t>
  </si>
  <si>
    <t>IncomeAccrued</t>
  </si>
  <si>
    <t>GainLoss</t>
  </si>
  <si>
    <t>DailyReturn</t>
  </si>
  <si>
    <t>ReturnStatus</t>
  </si>
  <si>
    <t>ReturnReason</t>
  </si>
  <si>
    <t>__GROUP__</t>
  </si>
  <si>
    <t>Exceptions</t>
  </si>
  <si>
    <t>Rule</t>
  </si>
  <si>
    <t>Severity</t>
  </si>
  <si>
    <t>RecordID</t>
  </si>
  <si>
    <t>AffectedResult</t>
  </si>
  <si>
    <t>InvestorFlows</t>
  </si>
  <si>
    <t>InvestorFlow</t>
  </si>
  <si>
    <t>__GROUP__|2025-01-01|OPEN</t>
  </si>
  <si>
    <t>GROUP_FLOW</t>
  </si>
  <si>
    <t>AcceptedPrices</t>
  </si>
  <si>
    <t>SupersededCount</t>
  </si>
  <si>
    <t>Exact loaded input mirrors</t>
  </si>
  <si>
    <t>Seven refresh-owned copies arranged horizontally. Notes excluded. Exact dimensions and cell arrays, no weak checksums.</t>
  </si>
  <si>
    <t>Portfolio name</t>
  </si>
  <si>
    <t>Opening INR</t>
  </si>
  <si>
    <t>Closing INR</t>
  </si>
  <si>
    <t>Net funding INR</t>
  </si>
  <si>
    <t>Gain/loss INR</t>
  </si>
  <si>
    <t>TWR</t>
  </si>
  <si>
    <t>TWR status</t>
  </si>
  <si>
    <t>XIRR annualized</t>
  </si>
  <si>
    <t>XIRR status</t>
  </si>
  <si>
    <t>Cash at end INR</t>
  </si>
  <si>
    <t>Largest stock / account</t>
  </si>
  <si>
    <t>Start date</t>
  </si>
  <si>
    <t>End date</t>
  </si>
  <si>
    <t>Known ledger cash</t>
  </si>
  <si>
    <t>Unpaid dividend</t>
  </si>
  <si>
    <t>Eligible total value</t>
  </si>
  <si>
    <t>Stock name</t>
  </si>
  <si>
    <t>Basis INR</t>
  </si>
  <si>
    <t>Price INR</t>
  </si>
  <si>
    <t>Stock value INR</t>
  </si>
  <si>
    <t>Receivable INR</t>
  </si>
  <si>
    <t>Unrealized INR</t>
  </si>
  <si>
    <t>Keyed review note</t>
  </si>
  <si>
    <t>Loaded exception rules</t>
  </si>
  <si>
    <t>Meaning</t>
  </si>
  <si>
    <t>AP_Portfolios</t>
  </si>
  <si>
    <t>Exact headers, dimensions and cell arrays match loaded copy</t>
  </si>
  <si>
    <t>AP_Instruments</t>
  </si>
  <si>
    <t>AP_Transactions</t>
  </si>
  <si>
    <t>AP_Prices</t>
  </si>
  <si>
    <t>AP_Actions</t>
  </si>
  <si>
    <t>AP_Calendar</t>
  </si>
  <si>
    <t>AP_Settings</t>
  </si>
  <si>
    <t>Loaded engine exceptions</t>
  </si>
  <si>
    <t>Affected accounts expose reasoned invalid states.</t>
  </si>
  <si>
    <t>Duplicate note keys</t>
  </si>
  <si>
    <t>Must be zero. Refresh never replaces notes.</t>
  </si>
  <si>
    <t>Snapshot value reconciliation</t>
  </si>
  <si>
    <t>Eligible value = cash + stock + unpaid entitlement; INR 0.01 tolerance.</t>
  </si>
  <si>
    <t>Accounting engine SHA256</t>
  </si>
  <si>
    <t>2EBDA4E458622B3E38E3C52EC5921BF6046F63F2225C2819F1264DE1D081E202</t>
  </si>
  <si>
    <t>Native fixtures bind the frozen engine; integration source adapter has its own recorded hash.</t>
  </si>
  <si>
    <t>1  Compare</t>
  </si>
  <si>
    <t>Set one common start/end. Inspect statuses before comparing or ranking returns.</t>
  </si>
  <si>
    <t>2  Trace</t>
  </si>
  <si>
    <t>Choose an account/date on Detail; inspect quantities, prices, price dates and cash.</t>
  </si>
  <si>
    <t>3  Fix and refresh</t>
  </si>
  <si>
    <t>Edit AP_ normalized inputs, then Data &gt; Refresh All. Exact mirrors block current outputs after edits.</t>
  </si>
  <si>
    <t>4  Keep notes</t>
  </si>
  <si>
    <t>Maintain AP_Notes by stable PortfolioID + InstrumentID. Notes survive refresh and sorting.</t>
  </si>
  <si>
    <t>Price mode</t>
  </si>
  <si>
    <t>Input state</t>
  </si>
  <si>
    <t>Return convention</t>
  </si>
  <si>
    <t>Legacy synthetic tools</t>
  </si>
  <si>
    <t>Preserved v6 tools use a separate synthetic 2026 dataset. They do not feed the new model.</t>
  </si>
  <si>
    <t>Comparison</t>
  </si>
  <si>
    <t>Primary view or editable normalized input</t>
  </si>
  <si>
    <t>Detail</t>
  </si>
  <si>
    <t>Review</t>
  </si>
  <si>
    <t>Data Checks</t>
  </si>
  <si>
    <t>AP_Notes</t>
  </si>
  <si>
    <t>Legacy synthetic dataset; separate from new model</t>
  </si>
  <si>
    <t>Grand Total</t>
  </si>
  <si>
    <t>AP Snapshot value INR</t>
  </si>
  <si>
    <t>AP Snapshot cash INR</t>
  </si>
  <si>
    <t>AP Snapshot receivable INR</t>
  </si>
  <si>
    <t>Editable dates recalculate formula results. Include flags define pooled returns and require Refresh All. Open the linked Snapshot sheet for the separate loaded-date PivotTable.</t>
  </si>
  <si>
    <t>Explore one loaded portfolio snapshot</t>
  </si>
  <si>
    <t>Explore loaded snapshot</t>
  </si>
  <si>
    <t>Back to common-period comparison</t>
  </si>
  <si>
    <t>Snapshot</t>
  </si>
  <si>
    <t>One loaded date; separate native PivotTable and portfolio slicer</t>
  </si>
  <si>
    <t>EngineSuccessAt</t>
  </si>
  <si>
    <t>OutputRows</t>
  </si>
  <si>
    <t>Accounting query success</t>
  </si>
  <si>
    <t>Refresh scope</t>
  </si>
  <si>
    <t>TWR links cash-flow-adjusted days. XIRR is annualized (actual/365); native XIRR seed receives three Newton refinements for numerical agreement.</t>
  </si>
  <si>
    <t>AuditRow</t>
  </si>
  <si>
    <t>AuditTable</t>
  </si>
  <si>
    <t>Source or output</t>
  </si>
  <si>
    <t>Exact equality to captured bundle</t>
  </si>
  <si>
    <t>Captured input/output consistency</t>
  </si>
  <si>
    <t>Seven current inputs and six loaded outputs equal one captured audit bundle; independent mirror refresh cannot certify stale results.</t>
  </si>
  <si>
    <t>Cash reserve</t>
  </si>
  <si>
    <t>P4</t>
  </si>
  <si>
    <t>Balanced example</t>
  </si>
  <si>
    <t>S_ALPHA</t>
  </si>
  <si>
    <t>Synthetic Alpha</t>
  </si>
  <si>
    <t>SYNTHETIC_QA</t>
  </si>
  <si>
    <t>S_BETA</t>
  </si>
  <si>
    <t>Synthetic Beta</t>
  </si>
  <si>
    <t>S_GAMMA</t>
  </si>
  <si>
    <t>Synthetic Gamma</t>
  </si>
  <si>
    <t>SYN_EVENT_P1_2025-01-01_01</t>
  </si>
  <si>
    <t>SYN_EVENT_P2_2025-01-01_01</t>
  </si>
  <si>
    <t>SYN_EVENT_P3_2025-01-01_01</t>
  </si>
  <si>
    <t>SYN_EVENT_P4_2025-01-01_01</t>
  </si>
  <si>
    <t>SYN_EVENT_P1_2025-01-02_01</t>
  </si>
  <si>
    <t>SYN_EVENT_P1_2025-01-02_02</t>
  </si>
  <si>
    <t>SYN_EVENT_P1_2025-01-02_03</t>
  </si>
  <si>
    <t>SYN_EVENT_P2_2025-01-02_01</t>
  </si>
  <si>
    <t>SYN_EVENT_P2_2025-01-02_02</t>
  </si>
  <si>
    <t>SYN_EVENT_P4_2025-01-02_01</t>
  </si>
  <si>
    <t>SYN_EVENT_P4_2025-01-02_02</t>
  </si>
  <si>
    <t>SYN_EVENT_P2_2025-02-03_01</t>
  </si>
  <si>
    <t>SYN_EVENT_P1_2025-03-03_01</t>
  </si>
  <si>
    <t>SYN_EVENT_P2_2025-03-03_01</t>
  </si>
  <si>
    <t>SYN_EVENT_P3_2025-04-01_01</t>
  </si>
  <si>
    <t>SYN_EVENT_P1_2025-05-01_01</t>
  </si>
  <si>
    <t>SYN_EVENT_P4_2025-06-02_01</t>
  </si>
  <si>
    <t>SYN_EVENT_P1_2025-07-01_01</t>
  </si>
  <si>
    <t>SYN_EVENT_P4_2025-08-01_01</t>
  </si>
  <si>
    <t>SYN_EVENT_P1_2025-08-18_01</t>
  </si>
  <si>
    <t>SYN_TRANSFER_20250818</t>
  </si>
  <si>
    <t>SYN_EVENT_P2_2025-08-18_01</t>
  </si>
  <si>
    <t>SYN_EVENT_P2_2025-09-01_01</t>
  </si>
  <si>
    <t>SYN_EVENT_P1_2025-09-10_01</t>
  </si>
  <si>
    <t>SYN_EVENT_P1_2025-09-15_01</t>
  </si>
  <si>
    <t>SYN_DIV_BETA_20250901</t>
  </si>
  <si>
    <t>SYN_EVENT_P1_2025-11-10_01</t>
  </si>
  <si>
    <t>SYN_EVENT_P1_2025-12-15_01</t>
  </si>
  <si>
    <t>SYN_DIV_GAMMA_20251103</t>
  </si>
  <si>
    <t>SYN_EVENT_P1_2025-12-18_01</t>
  </si>
  <si>
    <t>SYN_EVENT_P2_2025-12-18_01</t>
  </si>
  <si>
    <t>SYN_EVENT_P3_2025-12-18_01</t>
  </si>
  <si>
    <t>SYN_EVENT_P1_2025-12-31_01</t>
  </si>
  <si>
    <t>SYN_EVENT_P2_2025-12-31_01</t>
  </si>
  <si>
    <t>SYN_EVENT_P3_2025-12-31_01</t>
  </si>
  <si>
    <t>SYN_EVENT_P4_2025-12-31_01</t>
  </si>
  <si>
    <t>SYN_PRICE_S_ALPHA_2024-12-31</t>
  </si>
  <si>
    <t>SYNTHETIC_FULL_YEAR_2025</t>
  </si>
  <si>
    <t>SYN_PRICE_S_ALPHA_2025-01-01</t>
  </si>
  <si>
    <t>SYN_PRICE_S_ALPHA_2025-01-02</t>
  </si>
  <si>
    <t>SYN_PRICE_S_ALPHA_2025-01-03</t>
  </si>
  <si>
    <t>SYN_PRICE_S_ALPHA_2025-01-06</t>
  </si>
  <si>
    <t>SYN_PRICE_S_ALPHA_2025-01-07</t>
  </si>
  <si>
    <t>SYN_PRICE_S_ALPHA_2025-01-08</t>
  </si>
  <si>
    <t>SYN_PRICE_S_ALPHA_2025-01-09</t>
  </si>
  <si>
    <t>SYN_PRICE_S_ALPHA_2025-01-10</t>
  </si>
  <si>
    <t>SYN_PRICE_S_ALPHA_2025-01-13</t>
  </si>
  <si>
    <t>SYN_PRICE_S_ALPHA_2025-01-14</t>
  </si>
  <si>
    <t>SYN_PRICE_S_ALPHA_2025-01-15</t>
  </si>
  <si>
    <t>SYN_PRICE_S_ALPHA_2025-01-16</t>
  </si>
  <si>
    <t>SYN_PRICE_S_ALPHA_2025-01-17</t>
  </si>
  <si>
    <t>SYN_PRICE_S_ALPHA_2025-01-20</t>
  </si>
  <si>
    <t>SYN_PRICE_S_ALPHA_2025-01-21</t>
  </si>
  <si>
    <t>SYN_PRICE_S_ALPHA_2025-01-22</t>
  </si>
  <si>
    <t>SYN_PRICE_S_ALPHA_2025-01-23</t>
  </si>
  <si>
    <t>SYN_PRICE_S_ALPHA_2025-01-24</t>
  </si>
  <si>
    <t>SYN_PRICE_S_ALPHA_2025-01-27</t>
  </si>
  <si>
    <t>SYN_PRICE_S_ALPHA_2025-01-28</t>
  </si>
  <si>
    <t>SYN_PRICE_S_ALPHA_2025-01-29</t>
  </si>
  <si>
    <t>SYN_PRICE_S_ALPHA_2025-01-30</t>
  </si>
  <si>
    <t>SYN_PRICE_S_ALPHA_2025-01-31</t>
  </si>
  <si>
    <t>SYN_PRICE_S_ALPHA_2025-02-03</t>
  </si>
  <si>
    <t>SYN_PRICE_S_ALPHA_2025-02-04</t>
  </si>
  <si>
    <t>SYN_PRICE_S_ALPHA_2025-02-05</t>
  </si>
  <si>
    <t>SYN_PRICE_S_ALPHA_2025-02-06</t>
  </si>
  <si>
    <t>SYN_PRICE_S_ALPHA_2025-02-07</t>
  </si>
  <si>
    <t>SYN_PRICE_S_ALPHA_2025-02-10</t>
  </si>
  <si>
    <t>SYN_PRICE_S_ALPHA_2025-02-11</t>
  </si>
  <si>
    <t>SYN_PRICE_S_ALPHA_2025-02-12</t>
  </si>
  <si>
    <t>SYN_PRICE_S_ALPHA_2025-02-13</t>
  </si>
  <si>
    <t>SYN_PRICE_S_ALPHA_2025-02-14</t>
  </si>
  <si>
    <t>SYN_PRICE_S_ALPHA_2025-02-17</t>
  </si>
  <si>
    <t>SYN_PRICE_S_ALPHA_2025-02-18</t>
  </si>
  <si>
    <t>SYN_PRICE_S_ALPHA_2025-02-19</t>
  </si>
  <si>
    <t>SYN_PRICE_S_ALPHA_2025-02-20</t>
  </si>
  <si>
    <t>SYN_PRICE_S_ALPHA_2025-02-21</t>
  </si>
  <si>
    <t>SYN_PRICE_S_ALPHA_2025-02-24</t>
  </si>
  <si>
    <t>SYN_PRICE_S_ALPHA_2025-02-25</t>
  </si>
  <si>
    <t>SYN_PRICE_S_ALPHA_2025-02-26</t>
  </si>
  <si>
    <t>SYN_PRICE_S_ALPHA_2025-02-27</t>
  </si>
  <si>
    <t>SYN_PRICE_S_ALPHA_2025-02-28</t>
  </si>
  <si>
    <t>SYN_PRICE_S_ALPHA_2025-03-03</t>
  </si>
  <si>
    <t>SYN_PRICE_S_ALPHA_2025-03-04</t>
  </si>
  <si>
    <t>SYN_PRICE_S_ALPHA_2025-03-05</t>
  </si>
  <si>
    <t>SYN_PRICE_S_ALPHA_2025-03-06</t>
  </si>
  <si>
    <t>SYN_PRICE_S_ALPHA_2025-03-07</t>
  </si>
  <si>
    <t>SYN_PRICE_S_ALPHA_2025-03-10</t>
  </si>
  <si>
    <t>SYN_PRICE_S_ALPHA_2025-03-11</t>
  </si>
  <si>
    <t>SYN_PRICE_S_ALPHA_2025-03-12</t>
  </si>
  <si>
    <t>SYN_PRICE_S_ALPHA_2025-03-13</t>
  </si>
  <si>
    <t>SYN_PRICE_S_ALPHA_2025-03-14</t>
  </si>
  <si>
    <t>SYN_PRICE_S_ALPHA_2025-03-17</t>
  </si>
  <si>
    <t>SYN_PRICE_S_ALPHA_2025-03-18</t>
  </si>
  <si>
    <t>SYN_PRICE_S_ALPHA_2025-03-19</t>
  </si>
  <si>
    <t>SYN_PRICE_S_ALPHA_2025-03-20</t>
  </si>
  <si>
    <t>SYN_PRICE_S_ALPHA_2025-03-21</t>
  </si>
  <si>
    <t>SYN_PRICE_S_ALPHA_2025-03-24</t>
  </si>
  <si>
    <t>SYN_PRICE_S_ALPHA_2025-03-25</t>
  </si>
  <si>
    <t>SYN_PRICE_S_ALPHA_2025-03-26</t>
  </si>
  <si>
    <t>SYN_PRICE_S_ALPHA_2025-03-27</t>
  </si>
  <si>
    <t>SYN_PRICE_S_ALPHA_2025-03-28</t>
  </si>
  <si>
    <t>SYN_PRICE_S_ALPHA_2025-03-31</t>
  </si>
  <si>
    <t>SYN_PRICE_S_ALPHA_2025-04-01</t>
  </si>
  <si>
    <t>SYN_PRICE_S_ALPHA_2025-04-02</t>
  </si>
  <si>
    <t>SYN_PRICE_S_ALPHA_2025-04-03</t>
  </si>
  <si>
    <t>SYN_PRICE_S_ALPHA_2025-04-04</t>
  </si>
  <si>
    <t>SYN_PRICE_S_ALPHA_2025-04-07</t>
  </si>
  <si>
    <t>SYN_PRICE_S_ALPHA_2025-04-08</t>
  </si>
  <si>
    <t>SYN_PRICE_S_ALPHA_2025-04-09</t>
  </si>
  <si>
    <t>SYN_PRICE_S_ALPHA_2025-04-10</t>
  </si>
  <si>
    <t>SYN_PRICE_S_ALPHA_2025-04-11</t>
  </si>
  <si>
    <t>SYN_PRICE_S_ALPHA_2025-04-14</t>
  </si>
  <si>
    <t>SYN_PRICE_S_ALPHA_2025-04-15</t>
  </si>
  <si>
    <t>SYN_PRICE_S_ALPHA_2025-04-16</t>
  </si>
  <si>
    <t>SYN_PRICE_S_ALPHA_2025-04-17</t>
  </si>
  <si>
    <t>SYN_PRICE_S_ALPHA_2025-04-18</t>
  </si>
  <si>
    <t>SYN_PRICE_S_ALPHA_2025-04-21</t>
  </si>
  <si>
    <t>SYN_PRICE_S_ALPHA_2025-04-22</t>
  </si>
  <si>
    <t>SYN_PRICE_S_ALPHA_2025-04-23</t>
  </si>
  <si>
    <t>SYN_PRICE_S_ALPHA_2025-04-24</t>
  </si>
  <si>
    <t>SYN_PRICE_S_ALPHA_2025-04-25</t>
  </si>
  <si>
    <t>SYN_PRICE_S_ALPHA_2025-04-28</t>
  </si>
  <si>
    <t>SYN_PRICE_S_ALPHA_2025-04-29</t>
  </si>
  <si>
    <t>SYN_PRICE_S_ALPHA_2025-04-30</t>
  </si>
  <si>
    <t>SYN_PRICE_S_ALPHA_2025-05-01</t>
  </si>
  <si>
    <t>SYN_PRICE_S_ALPHA_2025-05-02</t>
  </si>
  <si>
    <t>SYN_PRICE_S_ALPHA_2025-05-05</t>
  </si>
  <si>
    <t>SYN_PRICE_S_ALPHA_2025-05-06</t>
  </si>
  <si>
    <t>SYN_PRICE_S_ALPHA_2025-05-07</t>
  </si>
  <si>
    <t>SYN_PRICE_S_ALPHA_2025-05-08</t>
  </si>
  <si>
    <t>SYN_PRICE_S_ALPHA_2025-05-09</t>
  </si>
  <si>
    <t>SYN_PRICE_S_ALPHA_2025-05-12</t>
  </si>
  <si>
    <t>SYN_PRICE_S_ALPHA_2025-05-13</t>
  </si>
  <si>
    <t>SYN_PRICE_S_ALPHA_2025-05-14</t>
  </si>
  <si>
    <t>SYN_PRICE_S_ALPHA_2025-05-15</t>
  </si>
  <si>
    <t>SYN_PRICE_S_ALPHA_2025-05-16</t>
  </si>
  <si>
    <t>SYN_PRICE_S_ALPHA_2025-05-19</t>
  </si>
  <si>
    <t>SYN_PRICE_S_ALPHA_2025-05-20</t>
  </si>
  <si>
    <t>SYN_PRICE_S_ALPHA_2025-05-21</t>
  </si>
  <si>
    <t>SYN_PRICE_S_ALPHA_2025-05-22</t>
  </si>
  <si>
    <t>SYN_PRICE_S_ALPHA_2025-05-23</t>
  </si>
  <si>
    <t>SYN_PRICE_S_ALPHA_2025-05-26</t>
  </si>
  <si>
    <t>SYN_PRICE_S_ALPHA_2025-05-27</t>
  </si>
  <si>
    <t>SYN_PRICE_S_ALPHA_2025-05-28</t>
  </si>
  <si>
    <t>SYN_PRICE_S_ALPHA_2025-05-29</t>
  </si>
  <si>
    <t>SYN_PRICE_S_ALPHA_2025-05-30</t>
  </si>
  <si>
    <t>SYN_PRICE_S_ALPHA_2025-06-02</t>
  </si>
  <si>
    <t>SYN_PRICE_S_ALPHA_2025-06-03</t>
  </si>
  <si>
    <t>SYN_PRICE_S_ALPHA_2025-06-04</t>
  </si>
  <si>
    <t>SYN_PRICE_S_ALPHA_2025-06-05</t>
  </si>
  <si>
    <t>SYN_PRICE_S_ALPHA_2025-06-06</t>
  </si>
  <si>
    <t>SYN_PRICE_S_ALPHA_2025-06-09</t>
  </si>
  <si>
    <t>SYN_PRICE_S_ALPHA_2025-06-10</t>
  </si>
  <si>
    <t>SYN_PRICE_S_ALPHA_2025-06-11</t>
  </si>
  <si>
    <t>SYN_PRICE_S_ALPHA_2025-06-12</t>
  </si>
  <si>
    <t>SYN_PRICE_S_ALPHA_2025-06-13</t>
  </si>
  <si>
    <t>SYN_PRICE_S_ALPHA_2025-06-16</t>
  </si>
  <si>
    <t>SYN_PRICE_S_ALPHA_2025-06-17</t>
  </si>
  <si>
    <t>SYN_PRICE_S_ALPHA_2025-06-18</t>
  </si>
  <si>
    <t>SYN_PRICE_S_ALPHA_2025-06-19</t>
  </si>
  <si>
    <t>SYN_PRICE_S_ALPHA_2025-06-20</t>
  </si>
  <si>
    <t>SYN_PRICE_S_ALPHA_2025-06-23</t>
  </si>
  <si>
    <t>SYN_PRICE_S_ALPHA_2025-06-24</t>
  </si>
  <si>
    <t>SYN_PRICE_S_ALPHA_2025-06-25</t>
  </si>
  <si>
    <t>SYN_PRICE_S_ALPHA_2025-06-26</t>
  </si>
  <si>
    <t>SYN_PRICE_S_ALPHA_2025-06-27</t>
  </si>
  <si>
    <t>SYN_PRICE_S_ALPHA_2025-06-30</t>
  </si>
  <si>
    <t>SYN_PRICE_S_ALPHA_2025-07-01</t>
  </si>
  <si>
    <t>SYN_PRICE_S_ALPHA_2025-07-02</t>
  </si>
  <si>
    <t>SYN_PRICE_S_ALPHA_2025-07-03</t>
  </si>
  <si>
    <t>SYN_PRICE_S_ALPHA_2025-07-04</t>
  </si>
  <si>
    <t>SYN_PRICE_S_ALPHA_2025-07-07</t>
  </si>
  <si>
    <t>SYN_PRICE_S_ALPHA_2025-07-08</t>
  </si>
  <si>
    <t>SYN_PRICE_S_ALPHA_2025-07-09</t>
  </si>
  <si>
    <t>SYN_PRICE_S_ALPHA_2025-07-10</t>
  </si>
  <si>
    <t>SYN_PRICE_S_ALPHA_2025-07-11</t>
  </si>
  <si>
    <t>SYN_PRICE_S_ALPHA_2025-07-14</t>
  </si>
  <si>
    <t>SYN_PRICE_S_ALPHA_2025-07-15</t>
  </si>
  <si>
    <t>SYN_PRICE_S_ALPHA_2025-07-16</t>
  </si>
  <si>
    <t>SYN_PRICE_S_ALPHA_2025-07-17</t>
  </si>
  <si>
    <t>SYN_PRICE_S_ALPHA_2025-07-18</t>
  </si>
  <si>
    <t>SYN_PRICE_S_ALPHA_2025-07-21</t>
  </si>
  <si>
    <t>SYN_PRICE_S_ALPHA_2025-07-22</t>
  </si>
  <si>
    <t>SYN_PRICE_S_ALPHA_2025-07-23</t>
  </si>
  <si>
    <t>SYN_PRICE_S_ALPHA_2025-07-24</t>
  </si>
  <si>
    <t>SYN_PRICE_S_ALPHA_2025-07-25</t>
  </si>
  <si>
    <t>SYN_PRICE_S_ALPHA_2025-07-28</t>
  </si>
  <si>
    <t>SYN_PRICE_S_ALPHA_2025-07-29</t>
  </si>
  <si>
    <t>SYN_PRICE_S_ALPHA_2025-07-30</t>
  </si>
  <si>
    <t>SYN_PRICE_S_ALPHA_2025-07-31</t>
  </si>
  <si>
    <t>SYN_PRICE_S_ALPHA_2025-08-01</t>
  </si>
  <si>
    <t>SYN_PRICE_S_ALPHA_2025-08-04</t>
  </si>
  <si>
    <t>SYN_PRICE_S_ALPHA_2025-08-05</t>
  </si>
  <si>
    <t>SYN_PRICE_S_ALPHA_2025-08-06</t>
  </si>
  <si>
    <t>SYN_PRICE_S_ALPHA_2025-08-07</t>
  </si>
  <si>
    <t>SYN_PRICE_S_ALPHA_2025-08-08</t>
  </si>
  <si>
    <t>SYN_PRICE_S_ALPHA_2025-08-11</t>
  </si>
  <si>
    <t>SYN_PRICE_S_ALPHA_2025-08-12</t>
  </si>
  <si>
    <t>SYN_PRICE_S_ALPHA_2025-08-13</t>
  </si>
  <si>
    <t>SYN_PRICE_S_ALPHA_2025-08-14</t>
  </si>
  <si>
    <t>SYN_PRICE_S_ALPHA_2025-08-15</t>
  </si>
  <si>
    <t>SYN_PRICE_S_ALPHA_2025-08-18</t>
  </si>
  <si>
    <t>SYN_PRICE_S_ALPHA_2025-08-19</t>
  </si>
  <si>
    <t>SYN_PRICE_S_ALPHA_2025-08-20</t>
  </si>
  <si>
    <t>SYN_PRICE_S_ALPHA_2025-08-21</t>
  </si>
  <si>
    <t>SYN_PRICE_S_ALPHA_2025-08-22</t>
  </si>
  <si>
    <t>SYN_PRICE_S_ALPHA_2025-08-25</t>
  </si>
  <si>
    <t>SYN_PRICE_S_ALPHA_2025-08-26</t>
  </si>
  <si>
    <t>SYN_PRICE_S_ALPHA_2025-08-27</t>
  </si>
  <si>
    <t>SYN_PRICE_S_ALPHA_2025-08-28</t>
  </si>
  <si>
    <t>SYN_PRICE_S_ALPHA_2025-08-29</t>
  </si>
  <si>
    <t>SYN_PRICE_S_ALPHA_2025-09-01</t>
  </si>
  <si>
    <t>SYN_PRICE_S_ALPHA_2025-09-02</t>
  </si>
  <si>
    <t>SYN_PRICE_S_ALPHA_2025-09-03</t>
  </si>
  <si>
    <t>SYN_PRICE_S_ALPHA_2025-09-04</t>
  </si>
  <si>
    <t>SYN_PRICE_S_ALPHA_2025-09-05</t>
  </si>
  <si>
    <t>SYN_PRICE_S_ALPHA_2025-09-08</t>
  </si>
  <si>
    <t>SYN_PRICE_S_ALPHA_2025-09-09</t>
  </si>
  <si>
    <t>SYN_PRICE_S_ALPHA_2025-09-10</t>
  </si>
  <si>
    <t>SYN_PRICE_S_ALPHA_2025-09-11</t>
  </si>
  <si>
    <t>SYN_PRICE_S_ALPHA_2025-09-12</t>
  </si>
  <si>
    <t>SYN_PRICE_S_ALPHA_2025-09-15</t>
  </si>
  <si>
    <t>SYN_PRICE_S_ALPHA_2025-09-16</t>
  </si>
  <si>
    <t>SYN_PRICE_S_ALPHA_2025-09-17</t>
  </si>
  <si>
    <t>SYN_PRICE_S_ALPHA_2025-09-18</t>
  </si>
  <si>
    <t>SYN_PRICE_S_ALPHA_2025-09-19</t>
  </si>
  <si>
    <t>SYN_PRICE_S_ALPHA_2025-09-22</t>
  </si>
  <si>
    <t>SYN_PRICE_S_ALPHA_2025-09-23</t>
  </si>
  <si>
    <t>SYN_PRICE_S_ALPHA_2025-09-24</t>
  </si>
  <si>
    <t>SYN_PRICE_S_ALPHA_2025-09-25</t>
  </si>
  <si>
    <t>SYN_PRICE_S_ALPHA_2025-09-26</t>
  </si>
  <si>
    <t>SYN_PRICE_S_ALPHA_2025-09-29</t>
  </si>
  <si>
    <t>SYN_PRICE_S_ALPHA_2025-09-30</t>
  </si>
  <si>
    <t>SYN_PRICE_S_ALPHA_2025-10-01</t>
  </si>
  <si>
    <t>SYN_PRICE_S_ALPHA_2025-10-02</t>
  </si>
  <si>
    <t>SYN_PRICE_S_ALPHA_2025-10-03</t>
  </si>
  <si>
    <t>SYN_PRICE_S_ALPHA_2025-10-06</t>
  </si>
  <si>
    <t>SYN_PRICE_S_ALPHA_2025-10-07</t>
  </si>
  <si>
    <t>SYN_PRICE_S_ALPHA_2025-10-08</t>
  </si>
  <si>
    <t>SYN_PRICE_S_ALPHA_2025-10-09</t>
  </si>
  <si>
    <t>SYN_PRICE_S_ALPHA_2025-10-10</t>
  </si>
  <si>
    <t>SYN_PRICE_S_ALPHA_2025-10-13</t>
  </si>
  <si>
    <t>SYN_PRICE_S_ALPHA_2025-10-14</t>
  </si>
  <si>
    <t>SYN_PRICE_S_ALPHA_2025-10-15</t>
  </si>
  <si>
    <t>SYN_PRICE_S_ALPHA_2025-10-16</t>
  </si>
  <si>
    <t>SYN_PRICE_S_ALPHA_2025-10-17</t>
  </si>
  <si>
    <t>SYN_PRICE_S_ALPHA_2025-10-20</t>
  </si>
  <si>
    <t>SYN_PRICE_S_ALPHA_2025-10-21</t>
  </si>
  <si>
    <t>SYN_PRICE_S_ALPHA_2025-10-22</t>
  </si>
  <si>
    <t>SYN_PRICE_S_ALPHA_2025-10-23</t>
  </si>
  <si>
    <t>SYN_PRICE_S_ALPHA_2025-10-24</t>
  </si>
  <si>
    <t>SYN_PRICE_S_ALPHA_2025-10-27</t>
  </si>
  <si>
    <t>SYN_PRICE_S_ALPHA_2025-10-28</t>
  </si>
  <si>
    <t>SYN_PRICE_S_ALPHA_2025-10-29</t>
  </si>
  <si>
    <t>SYN_PRICE_S_ALPHA_2025-10-30</t>
  </si>
  <si>
    <t>SYN_PRICE_S_ALPHA_2025-10-31</t>
  </si>
  <si>
    <t>SYN_PRICE_S_ALPHA_2025-11-03</t>
  </si>
  <si>
    <t>SYN_PRICE_S_ALPHA_2025-11-04</t>
  </si>
  <si>
    <t>SYN_PRICE_S_ALPHA_2025-11-05</t>
  </si>
  <si>
    <t>SYN_PRICE_S_ALPHA_2025-11-06</t>
  </si>
  <si>
    <t>SYN_PRICE_S_ALPHA_2025-11-07</t>
  </si>
  <si>
    <t>SYN_PRICE_S_ALPHA_2025-11-10</t>
  </si>
  <si>
    <t>SYN_PRICE_S_ALPHA_2025-11-11</t>
  </si>
  <si>
    <t>SYN_PRICE_S_ALPHA_2025-11-12</t>
  </si>
  <si>
    <t>SYN_PRICE_S_ALPHA_2025-11-13</t>
  </si>
  <si>
    <t>SYN_PRICE_S_ALPHA_2025-11-14</t>
  </si>
  <si>
    <t>SYN_PRICE_S_ALPHA_2025-11-17</t>
  </si>
  <si>
    <t>SYN_PRICE_S_ALPHA_2025-11-18</t>
  </si>
  <si>
    <t>SYN_PRICE_S_ALPHA_2025-11-19</t>
  </si>
  <si>
    <t>SYN_PRICE_S_ALPHA_2025-11-20</t>
  </si>
  <si>
    <t>SYN_PRICE_S_ALPHA_2025-11-21</t>
  </si>
  <si>
    <t>SYN_PRICE_S_ALPHA_2025-11-24</t>
  </si>
  <si>
    <t>SYN_PRICE_S_ALPHA_2025-11-25</t>
  </si>
  <si>
    <t>SYN_PRICE_S_ALPHA_2025-11-26</t>
  </si>
  <si>
    <t>SYN_PRICE_S_ALPHA_2025-11-27</t>
  </si>
  <si>
    <t>SYN_PRICE_S_ALPHA_2025-11-28</t>
  </si>
  <si>
    <t>SYN_PRICE_S_ALPHA_2025-12-01</t>
  </si>
  <si>
    <t>SYN_PRICE_S_ALPHA_2025-12-02</t>
  </si>
  <si>
    <t>SYN_PRICE_S_ALPHA_2025-12-03</t>
  </si>
  <si>
    <t>SYN_PRICE_S_ALPHA_2025-12-04</t>
  </si>
  <si>
    <t>SYN_PRICE_S_ALPHA_2025-12-05</t>
  </si>
  <si>
    <t>SYN_PRICE_S_ALPHA_2025-12-08</t>
  </si>
  <si>
    <t>SYN_PRICE_S_ALPHA_2025-12-09</t>
  </si>
  <si>
    <t>SYN_PRICE_S_ALPHA_2025-12-10</t>
  </si>
  <si>
    <t>SYN_PRICE_S_ALPHA_2025-12-11</t>
  </si>
  <si>
    <t>SYN_PRICE_S_ALPHA_2025-12-12</t>
  </si>
  <si>
    <t>SYN_PRICE_S_ALPHA_2025-12-15</t>
  </si>
  <si>
    <t>SYN_PRICE_S_ALPHA_2025-12-16</t>
  </si>
  <si>
    <t>SYN_PRICE_S_ALPHA_2025-12-17</t>
  </si>
  <si>
    <t>SYN_PRICE_S_ALPHA_2025-12-18</t>
  </si>
  <si>
    <t>SYN_PRICE_S_ALPHA_2025-12-19</t>
  </si>
  <si>
    <t>SYN_PRICE_S_ALPHA_2025-12-22</t>
  </si>
  <si>
    <t>SYN_PRICE_S_ALPHA_2025-12-23</t>
  </si>
  <si>
    <t>SYN_PRICE_S_ALPHA_2025-12-24</t>
  </si>
  <si>
    <t>SYN_PRICE_S_ALPHA_2025-12-25</t>
  </si>
  <si>
    <t>SYN_PRICE_S_ALPHA_2025-12-26</t>
  </si>
  <si>
    <t>SYN_PRICE_S_ALPHA_2025-12-29</t>
  </si>
  <si>
    <t>SYN_PRICE_S_ALPHA_2025-12-30</t>
  </si>
  <si>
    <t>SYN_PRICE_S_ALPHA_2025-12-31</t>
  </si>
  <si>
    <t>SYN_PRICE_S_BETA_2024-12-31</t>
  </si>
  <si>
    <t>SYN_PRICE_S_BETA_2025-01-01</t>
  </si>
  <si>
    <t>SYN_PRICE_S_BETA_2025-01-02</t>
  </si>
  <si>
    <t>SYN_PRICE_S_BETA_2025-01-03</t>
  </si>
  <si>
    <t>SYN_PRICE_S_BETA_2025-01-06</t>
  </si>
  <si>
    <t>SYN_PRICE_S_BETA_2025-01-07</t>
  </si>
  <si>
    <t>SYN_PRICE_S_BETA_2025-01-08</t>
  </si>
  <si>
    <t>SYN_PRICE_S_BETA_2025-01-09</t>
  </si>
  <si>
    <t>SYN_PRICE_S_BETA_2025-01-10</t>
  </si>
  <si>
    <t>SYN_PRICE_S_BETA_2025-01-13</t>
  </si>
  <si>
    <t>SYN_PRICE_S_BETA_2025-01-14</t>
  </si>
  <si>
    <t>SYN_PRICE_S_BETA_2025-01-15</t>
  </si>
  <si>
    <t>SYN_PRICE_S_BETA_2025-01-16</t>
  </si>
  <si>
    <t>SYN_PRICE_S_BETA_2025-01-17</t>
  </si>
  <si>
    <t>SYN_PRICE_S_BETA_2025-01-20</t>
  </si>
  <si>
    <t>SYN_PRICE_S_BETA_2025-01-21</t>
  </si>
  <si>
    <t>SYN_PRICE_S_BETA_2025-01-22</t>
  </si>
  <si>
    <t>SYN_PRICE_S_BETA_2025-01-23</t>
  </si>
  <si>
    <t>SYN_PRICE_S_BETA_2025-01-24</t>
  </si>
  <si>
    <t>SYN_PRICE_S_BETA_2025-01-27</t>
  </si>
  <si>
    <t>SYN_PRICE_S_BETA_2025-01-28</t>
  </si>
  <si>
    <t>SYN_PRICE_S_BETA_2025-01-29</t>
  </si>
  <si>
    <t>SYN_PRICE_S_BETA_2025-01-30</t>
  </si>
  <si>
    <t>SYN_PRICE_S_BETA_2025-01-31</t>
  </si>
  <si>
    <t>SYN_PRICE_S_BETA_2025-02-03</t>
  </si>
  <si>
    <t>SYN_PRICE_S_BETA_2025-02-04</t>
  </si>
  <si>
    <t>SYN_PRICE_S_BETA_2025-02-05</t>
  </si>
  <si>
    <t>SYN_PRICE_S_BETA_2025-02-06</t>
  </si>
  <si>
    <t>SYN_PRICE_S_BETA_2025-02-07</t>
  </si>
  <si>
    <t>SYN_PRICE_S_BETA_2025-02-10</t>
  </si>
  <si>
    <t>SYN_PRICE_S_BETA_2025-02-11</t>
  </si>
  <si>
    <t>SYN_PRICE_S_BETA_2025-02-12</t>
  </si>
  <si>
    <t>SYN_PRICE_S_BETA_2025-02-13</t>
  </si>
  <si>
    <t>SYN_PRICE_S_BETA_2025-02-14</t>
  </si>
  <si>
    <t>SYN_PRICE_S_BETA_2025-02-17</t>
  </si>
  <si>
    <t>SYN_PRICE_S_BETA_2025-02-18</t>
  </si>
  <si>
    <t>SYN_PRICE_S_BETA_2025-02-19</t>
  </si>
  <si>
    <t>SYN_PRICE_S_BETA_2025-02-20</t>
  </si>
  <si>
    <t>SYN_PRICE_S_BETA_2025-02-21</t>
  </si>
  <si>
    <t>SYN_PRICE_S_BETA_2025-02-24</t>
  </si>
  <si>
    <t>SYN_PRICE_S_BETA_2025-02-25</t>
  </si>
  <si>
    <t>SYN_PRICE_S_BETA_2025-02-26</t>
  </si>
  <si>
    <t>SYN_PRICE_S_BETA_2025-02-27</t>
  </si>
  <si>
    <t>SYN_PRICE_S_BETA_2025-02-28</t>
  </si>
  <si>
    <t>SYN_PRICE_S_BETA_2025-03-03</t>
  </si>
  <si>
    <t>SYN_PRICE_S_BETA_2025-03-04</t>
  </si>
  <si>
    <t>SYN_PRICE_S_BETA_2025-03-05</t>
  </si>
  <si>
    <t>SYN_PRICE_S_BETA_2025-03-06</t>
  </si>
  <si>
    <t>SYN_PRICE_S_BETA_2025-03-07</t>
  </si>
  <si>
    <t>SYN_PRICE_S_BETA_2025-03-10</t>
  </si>
  <si>
    <t>SYN_PRICE_S_BETA_2025-03-11</t>
  </si>
  <si>
    <t>SYN_PRICE_S_BETA_2025-03-12</t>
  </si>
  <si>
    <t>SYN_PRICE_S_BETA_2025-03-13</t>
  </si>
  <si>
    <t>SYN_PRICE_S_BETA_2025-03-14</t>
  </si>
  <si>
    <t>SYN_PRICE_S_BETA_2025-03-17</t>
  </si>
  <si>
    <t>SYN_PRICE_S_BETA_2025-03-18</t>
  </si>
  <si>
    <t>SYN_PRICE_S_BETA_2025-03-19</t>
  </si>
  <si>
    <t>SYN_PRICE_S_BETA_2025-03-20</t>
  </si>
  <si>
    <t>SYN_PRICE_S_BETA_2025-03-21</t>
  </si>
  <si>
    <t>SYN_PRICE_S_BETA_2025-03-24</t>
  </si>
  <si>
    <t>SYN_PRICE_S_BETA_2025-03-25</t>
  </si>
  <si>
    <t>SYN_PRICE_S_BETA_2025-03-26</t>
  </si>
  <si>
    <t>SYN_PRICE_S_BETA_2025-03-27</t>
  </si>
  <si>
    <t>SYN_PRICE_S_BETA_2025-03-28</t>
  </si>
  <si>
    <t>SYN_PRICE_S_BETA_2025-03-31</t>
  </si>
  <si>
    <t>SYN_PRICE_S_BETA_2025-04-01</t>
  </si>
  <si>
    <t>SYN_PRICE_S_BETA_2025-04-02</t>
  </si>
  <si>
    <t>SYN_PRICE_S_BETA_2025-04-03</t>
  </si>
  <si>
    <t>SYN_PRICE_S_BETA_2025-04-04</t>
  </si>
  <si>
    <t>SYN_PRICE_S_BETA_2025-04-07</t>
  </si>
  <si>
    <t>SYN_PRICE_S_BETA_2025-04-08</t>
  </si>
  <si>
    <t>SYN_PRICE_S_BETA_2025-04-09</t>
  </si>
  <si>
    <t>SYN_PRICE_S_BETA_2025-04-10</t>
  </si>
  <si>
    <t>SYN_PRICE_S_BETA_2025-04-11</t>
  </si>
  <si>
    <t>SYN_PRICE_S_BETA_2025-04-14</t>
  </si>
  <si>
    <t>SYN_PRICE_S_BETA_2025-04-15</t>
  </si>
  <si>
    <t>SYN_PRICE_S_BETA_2025-04-16</t>
  </si>
  <si>
    <t>SYN_PRICE_S_BETA_2025-04-17</t>
  </si>
  <si>
    <t>SYN_PRICE_S_BETA_2025-04-18</t>
  </si>
  <si>
    <t>SYN_PRICE_S_BETA_2025-04-21</t>
  </si>
  <si>
    <t>SYN_PRICE_S_BETA_2025-04-22</t>
  </si>
  <si>
    <t>SYN_PRICE_S_BETA_2025-04-23</t>
  </si>
  <si>
    <t>SYN_PRICE_S_BETA_2025-04-24</t>
  </si>
  <si>
    <t>SYN_PRICE_S_BETA_2025-04-25</t>
  </si>
  <si>
    <t>SYN_PRICE_S_BETA_2025-04-28</t>
  </si>
  <si>
    <t>SYN_PRICE_S_BETA_2025-04-29</t>
  </si>
  <si>
    <t>SYN_PRICE_S_BETA_2025-04-30</t>
  </si>
  <si>
    <t>SYN_PRICE_S_BETA_2025-05-01</t>
  </si>
  <si>
    <t>SYN_PRICE_S_BETA_2025-05-02</t>
  </si>
  <si>
    <t>SYN_PRICE_S_BETA_2025-05-05</t>
  </si>
  <si>
    <t>SYN_PRICE_S_BETA_2025-05-06</t>
  </si>
  <si>
    <t>SYN_PRICE_S_BETA_2025-05-07</t>
  </si>
  <si>
    <t>SYN_PRICE_S_BETA_2025-05-08</t>
  </si>
  <si>
    <t>SYN_PRICE_S_BETA_2025-05-09</t>
  </si>
  <si>
    <t>SYN_PRICE_S_BETA_2025-05-12</t>
  </si>
  <si>
    <t>SYN_PRICE_S_BETA_2025-05-13</t>
  </si>
  <si>
    <t>SYN_PRICE_S_BETA_2025-05-14</t>
  </si>
  <si>
    <t>SYN_PRICE_S_BETA_2025-05-15</t>
  </si>
  <si>
    <t>SYN_PRICE_S_BETA_2025-05-16</t>
  </si>
  <si>
    <t>SYN_PRICE_S_BETA_2025-05-19</t>
  </si>
  <si>
    <t>SYN_PRICE_S_BETA_2025-05-20</t>
  </si>
  <si>
    <t>SYN_PRICE_S_BETA_2025-05-21</t>
  </si>
  <si>
    <t>SYN_PRICE_S_BETA_2025-05-22</t>
  </si>
  <si>
    <t>SYN_PRICE_S_BETA_2025-05-23</t>
  </si>
  <si>
    <t>SYN_PRICE_S_BETA_2025-05-26</t>
  </si>
  <si>
    <t>SYN_PRICE_S_BETA_2025-05-27</t>
  </si>
  <si>
    <t>SYN_PRICE_S_BETA_2025-05-28</t>
  </si>
  <si>
    <t>SYN_PRICE_S_BETA_2025-05-29</t>
  </si>
  <si>
    <t>SYN_PRICE_S_BETA_2025-05-30</t>
  </si>
  <si>
    <t>SYN_PRICE_S_BETA_2025-06-02</t>
  </si>
  <si>
    <t>SYN_PRICE_S_BETA_2025-06-03</t>
  </si>
  <si>
    <t>SYN_PRICE_S_BETA_2025-06-04</t>
  </si>
  <si>
    <t>SYN_PRICE_S_BETA_2025-06-05</t>
  </si>
  <si>
    <t>SYN_PRICE_S_BETA_2025-06-06</t>
  </si>
  <si>
    <t>SYN_PRICE_S_BETA_2025-06-09</t>
  </si>
  <si>
    <t>SYN_PRICE_S_BETA_2025-06-10</t>
  </si>
  <si>
    <t>SYN_PRICE_S_BETA_2025-06-11</t>
  </si>
  <si>
    <t>SYN_PRICE_S_BETA_2025-06-12</t>
  </si>
  <si>
    <t>SYN_PRICE_S_BETA_2025-06-13</t>
  </si>
  <si>
    <t>SYN_PRICE_S_BETA_2025-06-16</t>
  </si>
  <si>
    <t>SYN_PRICE_S_BETA_2025-06-17</t>
  </si>
  <si>
    <t>SYN_PRICE_S_BETA_2025-06-18</t>
  </si>
  <si>
    <t>SYN_PRICE_S_BETA_2025-06-19</t>
  </si>
  <si>
    <t>SYN_PRICE_S_BETA_2025-06-20</t>
  </si>
  <si>
    <t>SYN_PRICE_S_BETA_2025-06-23</t>
  </si>
  <si>
    <t>SYN_PRICE_S_BETA_2025-06-24</t>
  </si>
  <si>
    <t>SYN_PRICE_S_BETA_2025-06-25</t>
  </si>
  <si>
    <t>SYN_PRICE_S_BETA_2025-06-26</t>
  </si>
  <si>
    <t>SYN_PRICE_S_BETA_2025-06-27</t>
  </si>
  <si>
    <t>SYN_PRICE_S_BETA_2025-06-30</t>
  </si>
  <si>
    <t>SYN_PRICE_S_BETA_2025-07-01</t>
  </si>
  <si>
    <t>SYN_PRICE_S_BETA_2025-07-02</t>
  </si>
  <si>
    <t>SYN_PRICE_S_BETA_2025-07-03</t>
  </si>
  <si>
    <t>SYN_PRICE_S_BETA_2025-07-04</t>
  </si>
  <si>
    <t>SYN_PRICE_S_BETA_2025-07-07</t>
  </si>
  <si>
    <t>SYN_PRICE_S_BETA_2025-07-08</t>
  </si>
  <si>
    <t>SYN_PRICE_S_BETA_2025-07-09</t>
  </si>
  <si>
    <t>SYN_PRICE_S_BETA_2025-07-10</t>
  </si>
  <si>
    <t>SYN_PRICE_S_BETA_2025-07-11</t>
  </si>
  <si>
    <t>SYN_PRICE_S_BETA_2025-07-14</t>
  </si>
  <si>
    <t>SYN_PRICE_S_BETA_2025-07-15</t>
  </si>
  <si>
    <t>SYN_PRICE_S_BETA_2025-07-16</t>
  </si>
  <si>
    <t>SYN_PRICE_S_BETA_2025-07-17</t>
  </si>
  <si>
    <t>SYN_PRICE_S_BETA_2025-07-18</t>
  </si>
  <si>
    <t>SYN_PRICE_S_BETA_2025-07-21</t>
  </si>
  <si>
    <t>SYN_PRICE_S_BETA_2025-07-22</t>
  </si>
  <si>
    <t>SYN_PRICE_S_BETA_2025-07-23</t>
  </si>
  <si>
    <t>SYN_PRICE_S_BETA_2025-07-24</t>
  </si>
  <si>
    <t>SYN_PRICE_S_BETA_2025-07-25</t>
  </si>
  <si>
    <t>SYN_PRICE_S_BETA_2025-07-28</t>
  </si>
  <si>
    <t>SYN_PRICE_S_BETA_2025-07-29</t>
  </si>
  <si>
    <t>SYN_PRICE_S_BETA_2025-07-30</t>
  </si>
  <si>
    <t>SYN_PRICE_S_BETA_2025-07-31</t>
  </si>
  <si>
    <t>SYN_PRICE_S_BETA_2025-08-01</t>
  </si>
  <si>
    <t>SYN_PRICE_S_BETA_2025-08-04</t>
  </si>
  <si>
    <t>SYN_PRICE_S_BETA_2025-08-05</t>
  </si>
  <si>
    <t>SYN_PRICE_S_BETA_2025-08-06</t>
  </si>
  <si>
    <t>SYN_PRICE_S_BETA_2025-08-07</t>
  </si>
  <si>
    <t>SYN_PRICE_S_BETA_2025-08-08</t>
  </si>
  <si>
    <t>SYN_PRICE_S_BETA_2025-08-11</t>
  </si>
  <si>
    <t>SYN_PRICE_S_BETA_2025-08-12</t>
  </si>
  <si>
    <t>SYN_PRICE_S_BETA_2025-08-13</t>
  </si>
  <si>
    <t>SYN_PRICE_S_BETA_2025-08-14</t>
  </si>
  <si>
    <t>SYN_PRICE_S_BETA_2025-08-15</t>
  </si>
  <si>
    <t>SYN_PRICE_S_BETA_2025-08-18</t>
  </si>
  <si>
    <t>SYN_PRICE_S_BETA_2025-08-19</t>
  </si>
  <si>
    <t>SYN_PRICE_S_BETA_2025-08-20</t>
  </si>
  <si>
    <t>SYN_PRICE_S_BETA_2025-08-21</t>
  </si>
  <si>
    <t>SYN_PRICE_S_BETA_2025-08-22</t>
  </si>
  <si>
    <t>SYN_PRICE_S_BETA_2025-08-25</t>
  </si>
  <si>
    <t>SYN_PRICE_S_BETA_2025-08-26</t>
  </si>
  <si>
    <t>SYN_PRICE_S_BETA_2025-08-27</t>
  </si>
  <si>
    <t>SYN_PRICE_S_BETA_2025-08-28</t>
  </si>
  <si>
    <t>SYN_PRICE_S_BETA_2025-08-29</t>
  </si>
  <si>
    <t>SYN_PRICE_S_BETA_2025-09-01</t>
  </si>
  <si>
    <t>SYN_PRICE_S_BETA_2025-09-02</t>
  </si>
  <si>
    <t>SYN_PRICE_S_BETA_2025-09-03</t>
  </si>
  <si>
    <t>SYN_PRICE_S_BETA_2025-09-04</t>
  </si>
  <si>
    <t>SYN_PRICE_S_BETA_2025-09-05</t>
  </si>
  <si>
    <t>SYN_PRICE_S_BETA_2025-09-08</t>
  </si>
  <si>
    <t>SYN_PRICE_S_BETA_2025-09-09</t>
  </si>
  <si>
    <t>SYN_PRICE_S_BETA_2025-09-10</t>
  </si>
  <si>
    <t>SYN_PRICE_S_BETA_2025-09-11</t>
  </si>
  <si>
    <t>SYN_PRICE_S_BETA_2025-09-12</t>
  </si>
  <si>
    <t>SYN_PRICE_S_BETA_2025-09-15</t>
  </si>
  <si>
    <t>SYN_PRICE_S_BETA_2025-09-16</t>
  </si>
  <si>
    <t>SYN_PRICE_S_BETA_2025-09-17</t>
  </si>
  <si>
    <t>SYN_PRICE_S_BETA_2025-09-18</t>
  </si>
  <si>
    <t>SYN_PRICE_S_BETA_2025-09-19</t>
  </si>
  <si>
    <t>SYN_PRICE_S_BETA_2025-09-22</t>
  </si>
  <si>
    <t>SYN_PRICE_S_BETA_2025-09-23</t>
  </si>
  <si>
    <t>SYN_PRICE_S_BETA_2025-09-24</t>
  </si>
  <si>
    <t>SYN_PRICE_S_BETA_2025-09-25</t>
  </si>
  <si>
    <t>SYN_PRICE_S_BETA_2025-09-26</t>
  </si>
  <si>
    <t>SYN_PRICE_S_BETA_2025-09-29</t>
  </si>
  <si>
    <t>SYN_PRICE_S_BETA_2025-09-30</t>
  </si>
  <si>
    <t>SYN_PRICE_S_BETA_2025-10-01</t>
  </si>
  <si>
    <t>SYN_PRICE_S_BETA_2025-10-02</t>
  </si>
  <si>
    <t>SYN_PRICE_S_BETA_2025-10-03</t>
  </si>
  <si>
    <t>SYN_PRICE_S_BETA_2025-10-06</t>
  </si>
  <si>
    <t>SYN_PRICE_S_BETA_2025-10-07</t>
  </si>
  <si>
    <t>SYN_PRICE_S_BETA_2025-10-08</t>
  </si>
  <si>
    <t>SYN_PRICE_S_BETA_2025-10-09</t>
  </si>
  <si>
    <t>SYN_PRICE_S_BETA_2025-10-10</t>
  </si>
  <si>
    <t>SYN_PRICE_S_BETA_2025-10-13</t>
  </si>
  <si>
    <t>SYN_PRICE_S_BETA_2025-10-14</t>
  </si>
  <si>
    <t>SYN_PRICE_S_BETA_2025-10-15</t>
  </si>
  <si>
    <t>SYN_PRICE_S_BETA_2025-10-16</t>
  </si>
  <si>
    <t>SYN_PRICE_S_BETA_2025-10-17</t>
  </si>
  <si>
    <t>SYN_PRICE_S_BETA_2025-10-20</t>
  </si>
  <si>
    <t>SYN_PRICE_S_BETA_2025-10-21</t>
  </si>
  <si>
    <t>SYN_PRICE_S_BETA_2025-10-22</t>
  </si>
  <si>
    <t>SYN_PRICE_S_BETA_2025-10-23</t>
  </si>
  <si>
    <t>SYN_PRICE_S_BETA_2025-10-24</t>
  </si>
  <si>
    <t>SYN_PRICE_S_BETA_2025-10-27</t>
  </si>
  <si>
    <t>SYN_PRICE_S_BETA_2025-10-28</t>
  </si>
  <si>
    <t>SYN_PRICE_S_BETA_2025-10-29</t>
  </si>
  <si>
    <t>SYN_PRICE_S_BETA_2025-10-30</t>
  </si>
  <si>
    <t>SYN_PRICE_S_BETA_2025-10-31</t>
  </si>
  <si>
    <t>SYN_PRICE_S_BETA_2025-11-03</t>
  </si>
  <si>
    <t>SYN_PRICE_S_BETA_2025-11-04</t>
  </si>
  <si>
    <t>SYN_PRICE_S_BETA_2025-11-05</t>
  </si>
  <si>
    <t>SYN_PRICE_S_BETA_2025-11-06</t>
  </si>
  <si>
    <t>SYN_PRICE_S_BETA_2025-11-07</t>
  </si>
  <si>
    <t>SYN_PRICE_S_BETA_2025-11-10</t>
  </si>
  <si>
    <t>SYN_PRICE_S_BETA_2025-11-11</t>
  </si>
  <si>
    <t>SYN_PRICE_S_BETA_2025-11-12</t>
  </si>
  <si>
    <t>SYN_PRICE_S_BETA_2025-11-13</t>
  </si>
  <si>
    <t>SYN_PRICE_S_BETA_2025-11-14</t>
  </si>
  <si>
    <t>SYN_PRICE_S_BETA_2025-11-17</t>
  </si>
  <si>
    <t>SYN_PRICE_S_BETA_2025-11-18</t>
  </si>
  <si>
    <t>SYN_PRICE_S_BETA_2025-11-19</t>
  </si>
  <si>
    <t>SYN_PRICE_S_BETA_2025-11-20</t>
  </si>
  <si>
    <t>SYN_PRICE_S_BETA_2025-11-21</t>
  </si>
  <si>
    <t>SYN_PRICE_S_BETA_2025-11-24</t>
  </si>
  <si>
    <t>SYN_PRICE_S_BETA_2025-11-25</t>
  </si>
  <si>
    <t>SYN_PRICE_S_BETA_2025-11-26</t>
  </si>
  <si>
    <t>SYN_PRICE_S_BETA_2025-11-27</t>
  </si>
  <si>
    <t>SYN_PRICE_S_BETA_2025-11-28</t>
  </si>
  <si>
    <t>SYN_PRICE_S_BETA_2025-12-01</t>
  </si>
  <si>
    <t>SYN_PRICE_S_BETA_2025-12-02</t>
  </si>
  <si>
    <t>SYN_PRICE_S_BETA_2025-12-03</t>
  </si>
  <si>
    <t>SYN_PRICE_S_BETA_2025-12-04</t>
  </si>
  <si>
    <t>SYN_PRICE_S_BETA_2025-12-05</t>
  </si>
  <si>
    <t>SYN_PRICE_S_BETA_2025-12-08</t>
  </si>
  <si>
    <t>SYN_PRICE_S_BETA_2025-12-09</t>
  </si>
  <si>
    <t>SYN_PRICE_S_BETA_2025-12-10</t>
  </si>
  <si>
    <t>SYN_PRICE_S_BETA_2025-12-11</t>
  </si>
  <si>
    <t>SYN_PRICE_S_BETA_2025-12-12</t>
  </si>
  <si>
    <t>SYN_PRICE_S_BETA_2025-12-15</t>
  </si>
  <si>
    <t>SYN_PRICE_S_BETA_2025-12-16</t>
  </si>
  <si>
    <t>SYN_PRICE_S_BETA_2025-12-17</t>
  </si>
  <si>
    <t>SYN_PRICE_S_BETA_2025-12-18</t>
  </si>
  <si>
    <t>SYN_PRICE_S_BETA_2025-12-19</t>
  </si>
  <si>
    <t>SYN_PRICE_S_BETA_2025-12-22</t>
  </si>
  <si>
    <t>SYN_PRICE_S_BETA_2025-12-23</t>
  </si>
  <si>
    <t>SYN_PRICE_S_BETA_2025-12-24</t>
  </si>
  <si>
    <t>SYN_PRICE_S_BETA_2025-12-25</t>
  </si>
  <si>
    <t>SYN_PRICE_S_BETA_2025-12-26</t>
  </si>
  <si>
    <t>SYN_PRICE_S_BETA_2025-12-29</t>
  </si>
  <si>
    <t>SYN_PRICE_S_BETA_2025-12-30</t>
  </si>
  <si>
    <t>SYN_PRICE_S_BETA_2025-12-31</t>
  </si>
  <si>
    <t>SYN_PRICE_S_GAMMA_2024-12-31</t>
  </si>
  <si>
    <t>SYN_PRICE_S_GAMMA_2025-01-01</t>
  </si>
  <si>
    <t>SYN_PRICE_S_GAMMA_2025-01-02</t>
  </si>
  <si>
    <t>SYN_PRICE_S_GAMMA_2025-01-03</t>
  </si>
  <si>
    <t>SYN_PRICE_S_GAMMA_2025-01-06</t>
  </si>
  <si>
    <t>SYN_PRICE_S_GAMMA_2025-01-07</t>
  </si>
  <si>
    <t>SYN_PRICE_S_GAMMA_2025-01-08</t>
  </si>
  <si>
    <t>SYN_PRICE_S_GAMMA_2025-01-09</t>
  </si>
  <si>
    <t>SYN_PRICE_S_GAMMA_2025-01-10</t>
  </si>
  <si>
    <t>SYN_PRICE_S_GAMMA_2025-01-13</t>
  </si>
  <si>
    <t>SYN_PRICE_S_GAMMA_2025-01-14</t>
  </si>
  <si>
    <t>SYN_PRICE_S_GAMMA_2025-01-15</t>
  </si>
  <si>
    <t>SYN_PRICE_S_GAMMA_2025-01-16</t>
  </si>
  <si>
    <t>SYN_PRICE_S_GAMMA_2025-01-17</t>
  </si>
  <si>
    <t>SYN_PRICE_S_GAMMA_2025-01-20</t>
  </si>
  <si>
    <t>SYN_PRICE_S_GAMMA_2025-01-21</t>
  </si>
  <si>
    <t>SYN_PRICE_S_GAMMA_2025-01-22</t>
  </si>
  <si>
    <t>SYN_PRICE_S_GAMMA_2025-01-23</t>
  </si>
  <si>
    <t>SYN_PRICE_S_GAMMA_2025-01-24</t>
  </si>
  <si>
    <t>SYN_PRICE_S_GAMMA_2025-01-27</t>
  </si>
  <si>
    <t>SYN_PRICE_S_GAMMA_2025-01-28</t>
  </si>
  <si>
    <t>SYN_PRICE_S_GAMMA_2025-01-29</t>
  </si>
  <si>
    <t>SYN_PRICE_S_GAMMA_2025-01-30</t>
  </si>
  <si>
    <t>SYN_PRICE_S_GAMMA_2025-01-31</t>
  </si>
  <si>
    <t>SYN_PRICE_S_GAMMA_2025-02-03</t>
  </si>
  <si>
    <t>SYN_PRICE_S_GAMMA_2025-02-04</t>
  </si>
  <si>
    <t>SYN_PRICE_S_GAMMA_2025-02-05</t>
  </si>
  <si>
    <t>SYN_PRICE_S_GAMMA_2025-02-06</t>
  </si>
  <si>
    <t>SYN_PRICE_S_GAMMA_2025-02-07</t>
  </si>
  <si>
    <t>SYN_PRICE_S_GAMMA_2025-02-10</t>
  </si>
  <si>
    <t>SYN_PRICE_S_GAMMA_2025-02-11</t>
  </si>
  <si>
    <t>SYN_PRICE_S_GAMMA_2025-02-12</t>
  </si>
  <si>
    <t>SYN_PRICE_S_GAMMA_2025-02-13</t>
  </si>
  <si>
    <t>SYN_PRICE_S_GAMMA_2025-02-14</t>
  </si>
  <si>
    <t>SYN_PRICE_S_GAMMA_2025-02-17</t>
  </si>
  <si>
    <t>SYN_PRICE_S_GAMMA_2025-02-18</t>
  </si>
  <si>
    <t>SYN_PRICE_S_GAMMA_2025-02-19</t>
  </si>
  <si>
    <t>SYN_PRICE_S_GAMMA_2025-02-20</t>
  </si>
  <si>
    <t>SYN_PRICE_S_GAMMA_2025-02-21</t>
  </si>
  <si>
    <t>SYN_PRICE_S_GAMMA_2025-02-24</t>
  </si>
  <si>
    <t>SYN_PRICE_S_GAMMA_2025-02-25</t>
  </si>
  <si>
    <t>SYN_PRICE_S_GAMMA_2025-02-26</t>
  </si>
  <si>
    <t>SYN_PRICE_S_GAMMA_2025-02-27</t>
  </si>
  <si>
    <t>SYN_PRICE_S_GAMMA_2025-02-28</t>
  </si>
  <si>
    <t>SYN_PRICE_S_GAMMA_2025-03-03</t>
  </si>
  <si>
    <t>SYN_PRICE_S_GAMMA_2025-03-04</t>
  </si>
  <si>
    <t>SYN_PRICE_S_GAMMA_2025-03-05</t>
  </si>
  <si>
    <t>SYN_PRICE_S_GAMMA_2025-03-06</t>
  </si>
  <si>
    <t>SYN_PRICE_S_GAMMA_2025-03-07</t>
  </si>
  <si>
    <t>SYN_PRICE_S_GAMMA_2025-03-10</t>
  </si>
  <si>
    <t>SYN_PRICE_S_GAMMA_2025-03-11</t>
  </si>
  <si>
    <t>SYN_PRICE_S_GAMMA_2025-03-12</t>
  </si>
  <si>
    <t>SYN_PRICE_S_GAMMA_2025-03-13</t>
  </si>
  <si>
    <t>SYN_PRICE_S_GAMMA_2025-03-14</t>
  </si>
  <si>
    <t>SYN_PRICE_S_GAMMA_2025-03-17</t>
  </si>
  <si>
    <t>SYN_PRICE_S_GAMMA_2025-03-18</t>
  </si>
  <si>
    <t>SYN_PRICE_S_GAMMA_2025-03-19</t>
  </si>
  <si>
    <t>SYN_PRICE_S_GAMMA_2025-03-20</t>
  </si>
  <si>
    <t>SYN_PRICE_S_GAMMA_2025-03-21</t>
  </si>
  <si>
    <t>SYN_PRICE_S_GAMMA_2025-03-24</t>
  </si>
  <si>
    <t>SYN_PRICE_S_GAMMA_2025-03-25</t>
  </si>
  <si>
    <t>SYN_PRICE_S_GAMMA_2025-03-26</t>
  </si>
  <si>
    <t>SYN_PRICE_S_GAMMA_2025-03-27</t>
  </si>
  <si>
    <t>SYN_PRICE_S_GAMMA_2025-03-28</t>
  </si>
  <si>
    <t>SYN_PRICE_S_GAMMA_2025-03-31</t>
  </si>
  <si>
    <t>SYN_PRICE_S_GAMMA_2025-04-01</t>
  </si>
  <si>
    <t>SYN_PRICE_S_GAMMA_2025-04-02</t>
  </si>
  <si>
    <t>SYN_PRICE_S_GAMMA_2025-04-03</t>
  </si>
  <si>
    <t>SYN_PRICE_S_GAMMA_2025-04-04</t>
  </si>
  <si>
    <t>SYN_PRICE_S_GAMMA_2025-04-07</t>
  </si>
  <si>
    <t>SYN_PRICE_S_GAMMA_2025-04-08</t>
  </si>
  <si>
    <t>SYN_PRICE_S_GAMMA_2025-04-09</t>
  </si>
  <si>
    <t>SYN_PRICE_S_GAMMA_2025-04-10</t>
  </si>
  <si>
    <t>SYN_PRICE_S_GAMMA_2025-04-11</t>
  </si>
  <si>
    <t>SYN_PRICE_S_GAMMA_2025-04-14</t>
  </si>
  <si>
    <t>SYN_PRICE_S_GAMMA_2025-04-15</t>
  </si>
  <si>
    <t>SYN_PRICE_S_GAMMA_2025-04-16</t>
  </si>
  <si>
    <t>SYN_PRICE_S_GAMMA_2025-04-17</t>
  </si>
  <si>
    <t>SYN_PRICE_S_GAMMA_2025-04-18</t>
  </si>
  <si>
    <t>SYN_PRICE_S_GAMMA_2025-04-21</t>
  </si>
  <si>
    <t>SYN_PRICE_S_GAMMA_2025-04-22</t>
  </si>
  <si>
    <t>SYN_PRICE_S_GAMMA_2025-04-23</t>
  </si>
  <si>
    <t>SYN_PRICE_S_GAMMA_2025-04-24</t>
  </si>
  <si>
    <t>SYN_PRICE_S_GAMMA_2025-04-25</t>
  </si>
  <si>
    <t>SYN_PRICE_S_GAMMA_2025-04-28</t>
  </si>
  <si>
    <t>SYN_PRICE_S_GAMMA_2025-04-29</t>
  </si>
  <si>
    <t>SYN_PRICE_S_GAMMA_2025-04-30</t>
  </si>
  <si>
    <t>SYN_PRICE_S_GAMMA_2025-05-01</t>
  </si>
  <si>
    <t>SYN_PRICE_S_GAMMA_2025-05-02</t>
  </si>
  <si>
    <t>SYN_PRICE_S_GAMMA_2025-05-05</t>
  </si>
  <si>
    <t>SYN_PRICE_S_GAMMA_2025-05-06</t>
  </si>
  <si>
    <t>SYN_PRICE_S_GAMMA_2025-05-07</t>
  </si>
  <si>
    <t>SYN_PRICE_S_GAMMA_2025-05-08</t>
  </si>
  <si>
    <t>SYN_PRICE_S_GAMMA_2025-05-09</t>
  </si>
  <si>
    <t>SYN_PRICE_S_GAMMA_2025-05-12</t>
  </si>
  <si>
    <t>SYN_PRICE_S_GAMMA_2025-05-13</t>
  </si>
  <si>
    <t>SYN_PRICE_S_GAMMA_2025-05-14</t>
  </si>
  <si>
    <t>SYN_PRICE_S_GAMMA_2025-05-15</t>
  </si>
  <si>
    <t>SYN_PRICE_S_GAMMA_2025-05-16</t>
  </si>
  <si>
    <t>SYN_PRICE_S_GAMMA_2025-05-19</t>
  </si>
  <si>
    <t>SYN_PRICE_S_GAMMA_2025-05-20</t>
  </si>
  <si>
    <t>SYN_PRICE_S_GAMMA_2025-05-21</t>
  </si>
  <si>
    <t>SYN_PRICE_S_GAMMA_2025-05-22</t>
  </si>
  <si>
    <t>SYN_PRICE_S_GAMMA_2025-05-23</t>
  </si>
  <si>
    <t>SYN_PRICE_S_GAMMA_2025-05-26</t>
  </si>
  <si>
    <t>SYN_PRICE_S_GAMMA_2025-05-27</t>
  </si>
  <si>
    <t>SYN_PRICE_S_GAMMA_2025-05-28</t>
  </si>
  <si>
    <t>SYN_PRICE_S_GAMMA_2025-05-29</t>
  </si>
  <si>
    <t>SYN_PRICE_S_GAMMA_2025-05-30</t>
  </si>
  <si>
    <t>SYN_PRICE_S_GAMMA_2025-06-02</t>
  </si>
  <si>
    <t>SYN_PRICE_S_GAMMA_2025-06-03</t>
  </si>
  <si>
    <t>SYN_PRICE_S_GAMMA_2025-06-04</t>
  </si>
  <si>
    <t>SYN_PRICE_S_GAMMA_2025-06-05</t>
  </si>
  <si>
    <t>SYN_PRICE_S_GAMMA_2025-06-06</t>
  </si>
  <si>
    <t>SYN_PRICE_S_GAMMA_2025-06-09</t>
  </si>
  <si>
    <t>SYN_PRICE_S_GAMMA_2025-06-10</t>
  </si>
  <si>
    <t>SYN_PRICE_S_GAMMA_2025-06-11</t>
  </si>
  <si>
    <t>SYN_PRICE_S_GAMMA_2025-06-12</t>
  </si>
  <si>
    <t>SYN_PRICE_S_GAMMA_2025-06-13</t>
  </si>
  <si>
    <t>SYN_PRICE_S_GAMMA_2025-06-16</t>
  </si>
  <si>
    <t>SYN_PRICE_S_GAMMA_2025-06-17</t>
  </si>
  <si>
    <t>SYN_PRICE_S_GAMMA_2025-06-18</t>
  </si>
  <si>
    <t>SYN_PRICE_S_GAMMA_2025-06-19</t>
  </si>
  <si>
    <t>SYN_PRICE_S_GAMMA_2025-06-20</t>
  </si>
  <si>
    <t>SYN_PRICE_S_GAMMA_2025-06-23</t>
  </si>
  <si>
    <t>SYN_PRICE_S_GAMMA_2025-06-24</t>
  </si>
  <si>
    <t>SYN_PRICE_S_GAMMA_2025-06-25</t>
  </si>
  <si>
    <t>SYN_PRICE_S_GAMMA_2025-06-26</t>
  </si>
  <si>
    <t>SYN_PRICE_S_GAMMA_2025-06-27</t>
  </si>
  <si>
    <t>SYN_PRICE_S_GAMMA_2025-06-30</t>
  </si>
  <si>
    <t>SYN_PRICE_S_GAMMA_2025-07-01</t>
  </si>
  <si>
    <t>SYN_PRICE_S_GAMMA_2025-07-02</t>
  </si>
  <si>
    <t>SYN_PRICE_S_GAMMA_2025-07-03</t>
  </si>
  <si>
    <t>SYN_PRICE_S_GAMMA_2025-07-04</t>
  </si>
  <si>
    <t>SYN_PRICE_S_GAMMA_2025-07-07</t>
  </si>
  <si>
    <t>SYN_PRICE_S_GAMMA_2025-07-08</t>
  </si>
  <si>
    <t>SYN_PRICE_S_GAMMA_2025-07-09</t>
  </si>
  <si>
    <t>SYN_PRICE_S_GAMMA_2025-07-10</t>
  </si>
  <si>
    <t>SYN_PRICE_S_GAMMA_2025-07-11</t>
  </si>
  <si>
    <t>SYN_PRICE_S_GAMMA_2025-07-14</t>
  </si>
  <si>
    <t>SYN_PRICE_S_GAMMA_2025-07-15</t>
  </si>
  <si>
    <t>SYN_PRICE_S_GAMMA_2025-07-16</t>
  </si>
  <si>
    <t>SYN_PRICE_S_GAMMA_2025-07-17</t>
  </si>
  <si>
    <t>SYN_PRICE_S_GAMMA_2025-07-18</t>
  </si>
  <si>
    <t>SYN_PRICE_S_GAMMA_2025-07-21</t>
  </si>
  <si>
    <t>SYN_PRICE_S_GAMMA_2025-07-22</t>
  </si>
  <si>
    <t>SYN_PRICE_S_GAMMA_2025-07-23</t>
  </si>
  <si>
    <t>SYN_PRICE_S_GAMMA_2025-07-24</t>
  </si>
  <si>
    <t>SYN_PRICE_S_GAMMA_2025-07-25</t>
  </si>
  <si>
    <t>SYN_PRICE_S_GAMMA_2025-07-28</t>
  </si>
  <si>
    <t>SYN_PRICE_S_GAMMA_2025-07-29</t>
  </si>
  <si>
    <t>SYN_PRICE_S_GAMMA_2025-07-30</t>
  </si>
  <si>
    <t>SYN_PRICE_S_GAMMA_2025-07-31</t>
  </si>
  <si>
    <t>SYN_PRICE_S_GAMMA_2025-08-01</t>
  </si>
  <si>
    <t>SYN_PRICE_S_GAMMA_2025-08-04</t>
  </si>
  <si>
    <t>SYN_PRICE_S_GAMMA_2025-08-05</t>
  </si>
  <si>
    <t>SYN_PRICE_S_GAMMA_2025-08-06</t>
  </si>
  <si>
    <t>SYN_PRICE_S_GAMMA_2025-08-07</t>
  </si>
  <si>
    <t>SYN_PRICE_S_GAMMA_2025-08-08</t>
  </si>
  <si>
    <t>SYN_PRICE_S_GAMMA_2025-08-11</t>
  </si>
  <si>
    <t>SYN_PRICE_S_GAMMA_2025-08-12</t>
  </si>
  <si>
    <t>SYN_PRICE_S_GAMMA_2025-08-13</t>
  </si>
  <si>
    <t>SYN_PRICE_S_GAMMA_2025-08-14</t>
  </si>
  <si>
    <t>SYN_PRICE_S_GAMMA_2025-08-15</t>
  </si>
  <si>
    <t>SYN_PRICE_S_GAMMA_2025-08-18</t>
  </si>
  <si>
    <t>SYN_PRICE_S_GAMMA_2025-08-19</t>
  </si>
  <si>
    <t>SYN_PRICE_S_GAMMA_2025-08-20</t>
  </si>
  <si>
    <t>SYN_PRICE_S_GAMMA_2025-08-21</t>
  </si>
  <si>
    <t>SYN_PRICE_S_GAMMA_2025-08-22</t>
  </si>
  <si>
    <t>SYN_PRICE_S_GAMMA_2025-08-25</t>
  </si>
  <si>
    <t>SYN_PRICE_S_GAMMA_2025-08-26</t>
  </si>
  <si>
    <t>SYN_PRICE_S_GAMMA_2025-08-27</t>
  </si>
  <si>
    <t>SYN_PRICE_S_GAMMA_2025-08-28</t>
  </si>
  <si>
    <t>SYN_PRICE_S_GAMMA_2025-08-29</t>
  </si>
  <si>
    <t>SYN_PRICE_S_GAMMA_2025-09-01</t>
  </si>
  <si>
    <t>SYN_PRICE_S_GAMMA_2025-09-02</t>
  </si>
  <si>
    <t>SYN_PRICE_S_GAMMA_2025-09-03</t>
  </si>
  <si>
    <t>SYN_PRICE_S_GAMMA_2025-09-04</t>
  </si>
  <si>
    <t>SYN_PRICE_S_GAMMA_2025-09-05</t>
  </si>
  <si>
    <t>SYN_PRICE_S_GAMMA_2025-09-08</t>
  </si>
  <si>
    <t>SYN_PRICE_S_GAMMA_2025-09-09</t>
  </si>
  <si>
    <t>SYN_PRICE_S_GAMMA_2025-09-10</t>
  </si>
  <si>
    <t>SYN_PRICE_S_GAMMA_2025-09-11</t>
  </si>
  <si>
    <t>SYN_PRICE_S_GAMMA_2025-09-12</t>
  </si>
  <si>
    <t>SYN_PRICE_S_GAMMA_2025-09-15</t>
  </si>
  <si>
    <t>SYN_PRICE_S_GAMMA_2025-09-16</t>
  </si>
  <si>
    <t>SYN_PRICE_S_GAMMA_2025-09-17</t>
  </si>
  <si>
    <t>SYN_PRICE_S_GAMMA_2025-09-18</t>
  </si>
  <si>
    <t>SYN_PRICE_S_GAMMA_2025-09-19</t>
  </si>
  <si>
    <t>SYN_PRICE_S_GAMMA_2025-09-22</t>
  </si>
  <si>
    <t>SYN_PRICE_S_GAMMA_2025-09-23</t>
  </si>
  <si>
    <t>SYN_PRICE_S_GAMMA_2025-09-24</t>
  </si>
  <si>
    <t>SYN_PRICE_S_GAMMA_2025-09-25</t>
  </si>
  <si>
    <t>SYN_PRICE_S_GAMMA_2025-09-26</t>
  </si>
  <si>
    <t>SYN_PRICE_S_GAMMA_2025-09-29</t>
  </si>
  <si>
    <t>SYN_PRICE_S_GAMMA_2025-09-30</t>
  </si>
  <si>
    <t>SYN_PRICE_S_GAMMA_2025-10-01</t>
  </si>
  <si>
    <t>SYN_PRICE_S_GAMMA_2025-10-02</t>
  </si>
  <si>
    <t>SYN_PRICE_S_GAMMA_2025-10-03</t>
  </si>
  <si>
    <t>SYN_PRICE_S_GAMMA_2025-10-06</t>
  </si>
  <si>
    <t>SYN_PRICE_S_GAMMA_2025-10-07</t>
  </si>
  <si>
    <t>SYN_PRICE_S_GAMMA_2025-10-08</t>
  </si>
  <si>
    <t>SYN_PRICE_S_GAMMA_2025-10-09</t>
  </si>
  <si>
    <t>SYN_PRICE_S_GAMMA_2025-10-10</t>
  </si>
  <si>
    <t>SYN_PRICE_S_GAMMA_2025-10-13</t>
  </si>
  <si>
    <t>SYN_PRICE_S_GAMMA_2025-10-14</t>
  </si>
  <si>
    <t>SYN_PRICE_S_GAMMA_2025-10-15</t>
  </si>
  <si>
    <t>SYN_PRICE_S_GAMMA_2025-10-16</t>
  </si>
  <si>
    <t>SYN_PRICE_S_GAMMA_2025-10-17</t>
  </si>
  <si>
    <t>SYN_PRICE_S_GAMMA_2025-10-20</t>
  </si>
  <si>
    <t>SYN_PRICE_S_GAMMA_2025-10-21</t>
  </si>
  <si>
    <t>SYN_PRICE_S_GAMMA_2025-10-22</t>
  </si>
  <si>
    <t>SYN_PRICE_S_GAMMA_2025-10-23</t>
  </si>
  <si>
    <t>SYN_PRICE_S_GAMMA_2025-10-24</t>
  </si>
  <si>
    <t>SYN_PRICE_S_GAMMA_2025-10-27</t>
  </si>
  <si>
    <t>SYN_PRICE_S_GAMMA_2025-10-28</t>
  </si>
  <si>
    <t>SYN_PRICE_S_GAMMA_2025-10-29</t>
  </si>
  <si>
    <t>SYN_PRICE_S_GAMMA_2025-10-30</t>
  </si>
  <si>
    <t>SYN_PRICE_S_GAMMA_2025-10-31</t>
  </si>
  <si>
    <t>SYN_PRICE_S_GAMMA_2025-11-03</t>
  </si>
  <si>
    <t>SYN_PRICE_S_GAMMA_2025-11-04</t>
  </si>
  <si>
    <t>SYN_PRICE_S_GAMMA_2025-11-05</t>
  </si>
  <si>
    <t>SYN_PRICE_S_GAMMA_2025-11-06</t>
  </si>
  <si>
    <t>SYN_PRICE_S_GAMMA_2025-11-07</t>
  </si>
  <si>
    <t>SYN_PRICE_S_GAMMA_2025-11-10</t>
  </si>
  <si>
    <t>SYN_PRICE_S_GAMMA_2025-11-11</t>
  </si>
  <si>
    <t>SYN_PRICE_S_GAMMA_2025-11-12</t>
  </si>
  <si>
    <t>SYN_PRICE_S_GAMMA_2025-11-13</t>
  </si>
  <si>
    <t>SYN_PRICE_S_GAMMA_2025-11-14</t>
  </si>
  <si>
    <t>SYN_PRICE_S_GAMMA_2025-11-17</t>
  </si>
  <si>
    <t>SYN_PRICE_S_GAMMA_2025-11-18</t>
  </si>
  <si>
    <t>SYN_PRICE_S_GAMMA_2025-11-19</t>
  </si>
  <si>
    <t>SYN_PRICE_S_GAMMA_2025-11-20</t>
  </si>
  <si>
    <t>SYN_PRICE_S_GAMMA_2025-11-21</t>
  </si>
  <si>
    <t>SYN_PRICE_S_GAMMA_2025-11-24</t>
  </si>
  <si>
    <t>SYN_PRICE_S_GAMMA_2025-11-25</t>
  </si>
  <si>
    <t>SYN_PRICE_S_GAMMA_2025-11-26</t>
  </si>
  <si>
    <t>SYN_PRICE_S_GAMMA_2025-11-27</t>
  </si>
  <si>
    <t>SYN_PRICE_S_GAMMA_2025-11-28</t>
  </si>
  <si>
    <t>SYN_PRICE_S_GAMMA_2025-12-01</t>
  </si>
  <si>
    <t>SYN_PRICE_S_GAMMA_2025-12-02</t>
  </si>
  <si>
    <t>SYN_PRICE_S_GAMMA_2025-12-03</t>
  </si>
  <si>
    <t>SYN_PRICE_S_GAMMA_2025-12-04</t>
  </si>
  <si>
    <t>SYN_PRICE_S_GAMMA_2025-12-05</t>
  </si>
  <si>
    <t>SYN_PRICE_S_GAMMA_2025-12-08</t>
  </si>
  <si>
    <t>SYN_PRICE_S_GAMMA_2025-12-09</t>
  </si>
  <si>
    <t>SYN_PRICE_S_GAMMA_2025-12-10</t>
  </si>
  <si>
    <t>SYN_PRICE_S_GAMMA_2025-12-11</t>
  </si>
  <si>
    <t>SYN_PRICE_S_GAMMA_2025-12-12</t>
  </si>
  <si>
    <t>SYN_PRICE_S_GAMMA_2025-12-15</t>
  </si>
  <si>
    <t>SYN_PRICE_S_GAMMA_2025-12-16</t>
  </si>
  <si>
    <t>SYN_PRICE_S_GAMMA_2025-12-17</t>
  </si>
  <si>
    <t>SYN_PRICE_S_GAMMA_2025-12-18</t>
  </si>
  <si>
    <t>SYN_PRICE_S_GAMMA_2025-12-19</t>
  </si>
  <si>
    <t>SYN_PRICE_S_GAMMA_2025-12-22</t>
  </si>
  <si>
    <t>SYN_PRICE_S_GAMMA_2025-12-23</t>
  </si>
  <si>
    <t>SYN_PRICE_S_GAMMA_2025-12-24</t>
  </si>
  <si>
    <t>SYN_PRICE_S_GAMMA_2025-12-25</t>
  </si>
  <si>
    <t>SYN_PRICE_S_GAMMA_2025-12-26</t>
  </si>
  <si>
    <t>SYN_PRICE_S_GAMMA_2025-12-29</t>
  </si>
  <si>
    <t>SYN_PRICE_S_GAMMA_2025-12-30</t>
  </si>
  <si>
    <t>SYN_PRICE_S_GAMMA_2025-12-31</t>
  </si>
  <si>
    <t>SYN_SPLIT_ALPHA_20250616</t>
  </si>
  <si>
    <t>2025-12-31</t>
  </si>
  <si>
    <t>Fictional full-year 2025 illustration; not observed market data</t>
  </si>
  <si>
    <t>Project-authored synthetic inputs; historical acquisition on hold</t>
  </si>
  <si>
    <t>ObservedDataStatus</t>
  </si>
  <si>
    <t>Historical-data acquisition on hold by owner; this is not historical market data</t>
  </si>
  <si>
    <t>CalendarBasis</t>
  </si>
  <si>
    <t>Monday-Friday synthetic expectation, no exchange holiday verification</t>
  </si>
  <si>
    <t>Review candidate. All accounts, trades, prices, actions and trading-day flags are fictional. Full-year 2025 method illustration, not observed market history or achieved investment performance.</t>
  </si>
  <si>
    <t>Dataset scope</t>
  </si>
  <si>
    <t>1 January to 31 December 2025. Synthetic weekday calendar; historical-data acquisition is on hold.</t>
  </si>
  <si>
    <t>Manual Refresh All; automatic query timers are disabled in this candidate. Wait for every query and inspect errors before using cached results.</t>
  </si>
  <si>
    <t>Dataset basis</t>
  </si>
  <si>
    <t>Full-year invented prices, transactions and actions. No actual investment-performance claim.</t>
  </si>
  <si>
    <t>Historical acquisition</t>
  </si>
  <si>
    <t>On hold</t>
  </si>
  <si>
    <t>Owner approved synthetic delivery. No provider dataset, credential or redistribution permission is implied.</t>
  </si>
  <si>
    <t>__GROUP__|2025-03-03|CLOSE</t>
  </si>
  <si>
    <t>__GROUP__|2025-04-01|CLOSE</t>
  </si>
  <si>
    <t>__GROUP__|2025-05-01|CLOSE</t>
  </si>
  <si>
    <t>__GROUP__|2025-12-18|CLOSE</t>
  </si>
  <si>
    <t>2026-10-07 14:49:31 +05:30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</si>
</sst>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dd\-mmm\-yy"/>
    <numFmt numFmtId="165" formatCode="#,##0.00;\(#,##0.00\);&quot;-&quot;"/>
    <numFmt numFmtId="166" formatCode="#,##0;\(#,##0\);&quot;-&quot;"/>
    <numFmt numFmtId="167" formatCode="0.0%;\(0.0%\);&quot;-&quot;"/>
    <numFmt numFmtId="168" formatCode="dd\-mmm\ hh:mm"/>
    <numFmt numFmtId="169" formatCode="dd/mmm/yy\ hh:mm:ss"/>
    <numFmt numFmtId="170" formatCode="\+0.00%;\-0.00%;&quot;0.00%&quot;"/>
    <numFmt numFmtId="171" formatCode="0&quot; min&quot;"/>
    <numFmt numFmtId="172" formatCode="dd\ mmm\ hh:mm"/>
    <numFmt numFmtId="173" formatCode="dd\ mmm\ yyyy\ hh:mm"/>
    <numFmt numFmtId="174" formatCode="#,##0.00;[Red]\(#,##0.00\);0.00"/>
    <numFmt numFmtId="175" formatCode="dd\ mmm\ yyyy"/>
    <numFmt numFmtId="176" formatCode="0.00&quot;x&quot;"/>
    <numFmt numFmtId="177" formatCode="0.0%"/>
    <numFmt numFmtId="178" formatCode="\+0.0%;\-0.0%;0.0%"/>
    <numFmt numFmtId="179" formatCode="dd\ mmm\ yyyy\ hh:mm:ss"/>
    <numFmt numFmtId="180" formatCode="yyyy/mm/dd"/>
    <numFmt numFmtId="181" formatCode="#,##0.00;[Red]\(#,##0.00\)"/>
    <numFmt numFmtId="182" formatCode="yyyy/mm/dd\ hh:mm:ss"/>
    <numFmt numFmtId="183" formatCode="#,##0;[Red]\(#,##0\)"/>
    <numFmt numFmtId="184" formatCode="0.00%;[Red]\(0.00%\)"/>
    <numFmt numFmtId="185" formatCode="0.########"/>
  </numFmts>
  <fonts count="148" x14ac:knownFonts="1">
    <font>
      <sz val="11"/>
      <name val="Carlito"/>
    </font>
    <font>
      <sz val="10"/>
      <color rgb="FF202A35"/>
      <name val="Arial"/>
    </font>
    <font>
      <b/>
      <sz val="16"/>
      <color rgb="FF213C5A"/>
      <name val="Arial"/>
    </font>
    <font>
      <sz val="10"/>
      <color rgb="FF526171"/>
      <name val="Arial"/>
    </font>
    <font>
      <b/>
      <sz val="10"/>
      <color rgb="FFFFFFFF"/>
      <name val="Arial"/>
    </font>
    <font>
      <sz val="11"/>
      <name val="Arial"/>
    </font>
    <font>
      <sz val="9"/>
      <name val="Carlito"/>
    </font>
    <font>
      <b/>
      <sz val="9"/>
      <color rgb="FFFFFFFF"/>
      <name val="Arial"/>
    </font>
    <font>
      <sz val="8"/>
      <name val="Carlito"/>
    </font>
    <font>
      <sz val="11"/>
      <color rgb="FF202A35"/>
      <name val="Arial"/>
    </font>
    <font>
      <b/>
      <sz val="11"/>
      <color rgb="FFFFFFFF"/>
      <name val="Arial"/>
    </font>
    <font>
      <u/>
      <sz val="11"/>
      <color theme="10"/>
      <name val="Carlito"/>
      <family val="2"/>
    </font>
    <font>
      <sz val="11"/>
      <color rgb="FF172B40"/>
      <name val="Aptos"/>
    </font>
    <font>
      <b/>
      <sz val="21"/>
      <color rgb="FFEEF3F7"/>
      <name val="Aptos"/>
    </font>
    <font>
      <sz val="21"/>
      <color rgb="FFEEF3F7"/>
      <name val="Aptos"/>
    </font>
    <font>
      <u/>
      <sz val="10"/>
      <color rgb="FF6CCAD9"/>
      <name val="Aptos"/>
      <family val="2"/>
    </font>
    <font>
      <sz val="11"/>
      <color rgb="FF6CCAD9"/>
      <name val="Aptos"/>
    </font>
    <font>
      <sz val="11"/>
      <color rgb="FF172B40"/>
      <name val="Aptos"/>
    </font>
    <font>
      <sz val="10"/>
      <color rgb="FF172B40"/>
      <name val="Aptos"/>
    </font>
    <font>
      <b/>
      <sz val="11"/>
      <color rgb="FFFFFFFF"/>
      <name val="Aptos"/>
    </font>
    <font>
      <sz val="11"/>
      <color rgb="FF172B40"/>
      <name val="Aptos"/>
    </font>
    <font>
      <sz val="11"/>
      <color rgb="FF175494"/>
      <name val="Aptos"/>
    </font>
    <font>
      <sz val="11"/>
      <color rgb="FF172B40"/>
      <name val="Aptos"/>
    </font>
    <font>
      <sz val="11"/>
      <color rgb="FF172B40"/>
      <name val="Aptos"/>
    </font>
    <font>
      <sz val="11"/>
      <color rgb="FF172B40"/>
      <name val="Aptos"/>
    </font>
    <font>
      <sz val="11"/>
      <color rgb="FF172B40"/>
      <name val="Aptos"/>
    </font>
    <font>
      <sz val="10"/>
      <color rgb="FF172B40"/>
      <name val="Aptos"/>
    </font>
    <font>
      <sz val="11"/>
      <color rgb="FF175494"/>
      <name val="Aptos"/>
    </font>
    <font>
      <sz val="11"/>
      <color rgb="FF172B40"/>
      <name val="Aptos"/>
    </font>
    <font>
      <sz val="11"/>
      <color rgb="FF175494"/>
      <name val="Aptos"/>
    </font>
    <font>
      <sz val="11"/>
      <color rgb="FF172B40"/>
      <name val="Aptos"/>
    </font>
    <font>
      <sz val="11"/>
      <color rgb="FF172B40"/>
      <name val="Aptos"/>
    </font>
    <font>
      <sz val="11"/>
      <color rgb="FF172B40"/>
      <name val="Aptos"/>
    </font>
    <font>
      <sz val="11"/>
      <color rgb="FF172B40"/>
      <name val="Aptos"/>
    </font>
    <font>
      <sz val="10"/>
      <color rgb="FF172B40"/>
      <name val="Aptos"/>
    </font>
    <font>
      <sz val="11"/>
      <color rgb="FF175494"/>
      <name val="Aptos"/>
    </font>
    <font>
      <sz val="11"/>
      <color rgb="FF172B40"/>
      <name val="Aptos"/>
    </font>
    <font>
      <sz val="11"/>
      <color rgb="FF172B40"/>
      <name val="Aptos"/>
    </font>
    <font>
      <sz val="11"/>
      <color rgb="FF172B40"/>
      <name val="Aptos"/>
    </font>
    <font>
      <sz val="11"/>
      <color rgb="FF172B40"/>
      <name val="Aptos"/>
    </font>
    <font>
      <sz val="11"/>
      <color rgb="FF172B40"/>
      <name val="Aptos"/>
    </font>
    <font>
      <sz val="10"/>
      <color rgb="FF172B40"/>
      <name val="Aptos"/>
    </font>
    <font>
      <sz val="11"/>
      <color rgb="FF172B40"/>
      <name val="Aptos"/>
    </font>
    <font>
      <sz val="11"/>
      <color rgb="FF175494"/>
      <name val="Aptos"/>
    </font>
    <font>
      <sz val="11"/>
      <color rgb="FF172B40"/>
      <name val="Aptos"/>
    </font>
    <font>
      <sz val="11"/>
      <color rgb="FF172B40"/>
      <name val="Aptos"/>
    </font>
    <font>
      <sz val="11"/>
      <color rgb="FF172B40"/>
      <name val="Aptos"/>
    </font>
    <font>
      <sz val="11"/>
      <color rgb="FF172B40"/>
      <name val="Aptos"/>
    </font>
    <font>
      <sz val="10"/>
      <color rgb="FF172B40"/>
      <name val="Aptos"/>
    </font>
    <font>
      <sz val="11"/>
      <color rgb="FF175494"/>
      <name val="Aptos"/>
    </font>
    <font>
      <b/>
      <sz val="11"/>
      <color rgb="FF172B40"/>
      <name val="Aptos"/>
    </font>
    <font>
      <u/>
      <sz val="10"/>
      <color rgb="FF175494"/>
      <name val="Aptos"/>
      <family val="2"/>
    </font>
    <font>
      <sz val="10"/>
      <color rgb="FF172B40"/>
      <name val="Aptos"/>
    </font>
    <font>
      <b/>
      <sz val="21"/>
      <color rgb="FFEEF3F7"/>
      <name val="Aptos"/>
      <family val="2"/>
    </font>
    <font>
      <sz val="21"/>
      <color rgb="FFEEF3F7"/>
      <name val="Aptos"/>
    </font>
    <font>
      <u/>
      <sz val="10"/>
      <color rgb="FF6CCAD9"/>
      <name val="Aptos"/>
      <family val="2"/>
    </font>
    <font>
      <sz val="10"/>
      <color rgb="FF6CCAD9"/>
      <name val="Aptos"/>
    </font>
    <font>
      <b/>
      <sz val="11"/>
      <color rgb="FFFFFFFF"/>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1"/>
      <color rgb="FF172B40"/>
      <name val="Aptos"/>
      <family val="2"/>
    </font>
    <font>
      <sz val="10"/>
      <color rgb="FF172B40"/>
      <name val="Aptos"/>
    </font>
    <font>
      <sz val="10"/>
      <color rgb="FF172B40"/>
      <name val="Aptos"/>
    </font>
    <font>
      <b/>
      <sz val="21"/>
      <color rgb="FFEEF3F7"/>
      <name val="Aptos"/>
    </font>
    <font>
      <sz val="11"/>
      <color rgb="FF6CCAD9"/>
      <name val="Aptos"/>
    </font>
    <font>
      <sz val="10"/>
      <color rgb="FF172B40"/>
      <name val="Aptos"/>
    </font>
    <font>
      <sz val="10"/>
      <color rgb="FF172B40"/>
      <name val="Aptos"/>
      <family val="2"/>
    </font>
    <font>
      <b/>
      <sz val="10"/>
      <color rgb="FFFFFFFF"/>
      <name val="Aptos"/>
      <family val="2"/>
    </font>
    <font>
      <b/>
      <sz val="10"/>
      <color rgb="FFFFFFFF"/>
      <name val="Aptos"/>
      <family val="2"/>
    </font>
    <font>
      <sz val="10"/>
      <color rgb="FF175494"/>
      <name val="Aptos"/>
      <family val="2"/>
    </font>
    <font>
      <sz val="10"/>
      <color rgb="FF175494"/>
      <name val="Aptos"/>
      <family val="2"/>
    </font>
    <font>
      <sz val="10"/>
      <color rgb="FF175494"/>
      <name val="Aptos"/>
      <family val="2"/>
    </font>
    <font>
      <sz val="10"/>
      <color rgb="FF175494"/>
      <name val="Aptos"/>
      <family val="2"/>
    </font>
    <font>
      <sz val="11"/>
      <color rgb="FF172B40"/>
      <name val="Aptos"/>
      <family val="2"/>
    </font>
    <font>
      <sz val="10"/>
      <color rgb="FF172B40"/>
      <name val="Aptos"/>
    </font>
    <font>
      <sz val="11"/>
      <color rgb="FF172B40"/>
      <name val="Aptos"/>
      <family val="2"/>
    </font>
    <font>
      <sz val="21"/>
      <color rgb="FFEEF3F7"/>
      <name val="Aptos"/>
    </font>
    <font>
      <sz val="10"/>
      <color rgb="FF172B40"/>
      <name val="Aptos"/>
    </font>
    <font>
      <sz val="10"/>
      <color rgb="FF172B40"/>
      <name val="Aptos"/>
    </font>
    <font>
      <sz val="10"/>
      <color rgb="FF172B40"/>
      <name val="Aptos"/>
    </font>
    <font>
      <b/>
      <sz val="15"/>
      <color rgb="FF172B40"/>
      <name val="Aptos"/>
    </font>
    <font>
      <b/>
      <sz val="15"/>
      <color rgb="FF172B40"/>
      <name val="Aptos"/>
    </font>
    <font>
      <b/>
      <sz val="10"/>
      <color rgb="FFFFFFFF"/>
      <name val="Aptos"/>
    </font>
    <font>
      <sz val="10"/>
      <color rgb="FFFFFFFF"/>
      <name val="Aptos"/>
    </font>
    <font>
      <sz val="10"/>
      <color rgb="FFFFFFFF"/>
      <name val="Aptos"/>
    </font>
    <font>
      <sz val="10"/>
      <color rgb="FF172B40"/>
      <name val="Aptos"/>
    </font>
    <font>
      <sz val="10"/>
      <color rgb="FF172B40"/>
      <name val="Aptos"/>
    </font>
    <font>
      <sz val="10"/>
      <color rgb="FF172B40"/>
      <name val="Aptos"/>
    </font>
    <font>
      <sz val="10"/>
      <color rgb="FF172B40"/>
      <name val="Aptos"/>
    </font>
    <font>
      <sz val="10"/>
      <color rgb="FF172B40"/>
      <name val="Aptos"/>
    </font>
    <font>
      <sz val="10"/>
      <color rgb="FF172B40"/>
      <name val="Aptos"/>
    </font>
    <font>
      <sz val="10"/>
      <color rgb="FF172B40"/>
      <name val="Aptos"/>
    </font>
    <font>
      <sz val="11"/>
      <color rgb="FF172B40"/>
      <name val="Aptos"/>
    </font>
    <font>
      <b/>
      <sz val="11"/>
      <color rgb="FFFFFFFF"/>
      <name val="Aptos"/>
    </font>
    <font>
      <b/>
      <sz val="11"/>
      <color rgb="FF172B40"/>
      <name val="Aptos"/>
    </font>
    <font>
      <sz val="11"/>
      <color rgb="FF172B40"/>
      <name val="Aptos"/>
    </font>
    <font>
      <b/>
      <sz val="11"/>
      <color rgb="FF172B40"/>
      <name val="Aptos"/>
    </font>
    <font>
      <sz val="11"/>
      <color rgb="FF172B40"/>
      <name val="Aptos"/>
    </font>
    <font>
      <b/>
      <sz val="11"/>
      <color rgb="FF172B40"/>
      <name val="Aptos"/>
    </font>
    <font>
      <sz val="11"/>
      <color rgb="FF172B40"/>
      <name val="Aptos"/>
    </font>
    <font>
      <sz val="11"/>
      <color rgb="FF243746"/>
      <name val="Aptos"/>
    </font>
    <font>
      <b/>
      <sz val="19"/>
      <color rgb="FFEEF3F7"/>
      <name val="Aptos Display"/>
    </font>
    <font>
      <sz val="10"/>
      <color rgb="FF526174"/>
      <name val="Aptos"/>
    </font>
    <font>
      <b/>
      <sz val="11"/>
      <color rgb="FF526174"/>
      <name val="Aptos"/>
    </font>
    <font>
      <b/>
      <sz val="22"/>
      <color rgb="FF243746"/>
      <name val="Aptos"/>
    </font>
    <font>
      <b/>
      <sz val="11"/>
      <color rgb="FF243746"/>
      <name val="Aptos"/>
    </font>
    <font>
      <sz val="10"/>
      <color rgb="FF243746"/>
      <name val="Aptos"/>
      <family val="2"/>
    </font>
    <font>
      <u/>
      <sz val="10"/>
      <color rgb="FF6CCAD9"/>
      <name val="Carlito"/>
      <family val="2"/>
    </font>
    <font>
      <b/>
      <sz val="11"/>
      <color rgb="FF172B40"/>
      <name val="Aptos"/>
      <family val="2"/>
    </font>
    <font>
      <b/>
      <sz val="21"/>
      <color rgb="FF243746"/>
      <name val="Aptos"/>
    </font>
    <font>
      <b/>
      <sz val="16"/>
      <color rgb="FF243746"/>
      <name val="Aptos"/>
      <family val="2"/>
    </font>
    <font>
      <b/>
      <sz val="20"/>
      <color rgb="FFEEF3F7"/>
      <name val="Aptos Display"/>
    </font>
    <font>
      <b/>
      <sz val="14"/>
      <color rgb="FF243746"/>
      <name val="Aptos"/>
    </font>
    <font>
      <sz val="11"/>
      <color rgb="FF243746"/>
      <name val="Aptos"/>
      <family val="2"/>
    </font>
    <font>
      <sz val="11"/>
      <color rgb="FF526174"/>
      <name val="Aptos"/>
      <family val="2"/>
    </font>
    <font>
      <sz val="8"/>
      <name val="Carlito"/>
      <family val="2"/>
    </font>
    <font>
      <sz val="11"/>
      <color rgb="FF175494"/>
      <name val="Aptos"/>
      <family val="2"/>
    </font>
    <font>
      <u/>
      <sz val="11"/>
      <color rgb="FF175494"/>
      <name val="Carlito"/>
      <family val="2"/>
    </font>
    <font>
      <sz val="11"/>
      <color rgb="FF153D2C"/>
      <name val="Aptos"/>
      <family val="2"/>
    </font>
    <font>
      <sz val="20"/>
      <color rgb="FFFFFFFF"/>
      <name val="Aptos"/>
      <family val="2"/>
    </font>
    <font>
      <b/>
      <sz val="11"/>
      <color rgb="FF153D2C"/>
      <name val="Aptos"/>
      <family val="2"/>
    </font>
    <font>
      <sz val="10"/>
      <color rgb="FFFFFFFF"/>
      <name val="Aptos"/>
      <family val="2"/>
    </font>
    <font>
      <sz val="10"/>
      <color rgb="FF153D2C"/>
      <name val="Aptos"/>
      <family val="2"/>
    </font>
    <font>
      <sz val="8"/>
      <color rgb="FF153D2C"/>
      <name val="Aptos"/>
      <family val="2"/>
    </font>
    <font>
      <sz val="11"/>
      <name val="Aptos"/>
      <family val="2"/>
    </font>
    <font>
      <b/>
      <sz val="20"/>
      <color rgb="FFFFFFFF"/>
      <name val="Aptos"/>
      <family val="2"/>
    </font>
    <font>
      <b/>
      <sz val="11"/>
      <color rgb="FFFFFFFF"/>
      <name val="Carlito"/>
      <family val="2"/>
    </font>
  </fonts>
  <fills count="17">
    <fill>
      <patternFill patternType="none"/>
    </fill>
    <fill>
      <patternFill patternType="gray125"/>
    </fill>
    <fill>
      <patternFill patternType="solid">
        <fgColor rgb="FF213C5A"/>
      </patternFill>
    </fill>
    <fill>
      <patternFill patternType="solid">
        <fgColor rgb="FFFFF3CD"/>
      </patternFill>
    </fill>
    <fill>
      <patternFill patternType="solid">
        <fgColor rgb="FF213C5A"/>
        <bgColor indexed="64"/>
      </patternFill>
    </fill>
    <fill>
      <patternFill patternType="solid">
        <fgColor rgb="FFFFF3CD"/>
        <bgColor indexed="64"/>
      </patternFill>
    </fill>
    <fill>
      <patternFill patternType="solid">
        <fgColor rgb="FFFFFFFF"/>
        <bgColor indexed="64"/>
      </patternFill>
    </fill>
    <fill>
      <patternFill patternType="solid">
        <fgColor rgb="FF101D2B"/>
      </patternFill>
    </fill>
    <fill>
      <patternFill patternType="solid">
        <fgColor rgb="FF193B47"/>
      </patternFill>
    </fill>
    <fill>
      <patternFill patternType="solid">
        <fgColor rgb="FFF0F5F7"/>
      </patternFill>
    </fill>
    <fill>
      <patternFill patternType="solid">
        <fgColor rgb="FFEFF5F7"/>
      </patternFill>
    </fill>
    <fill>
      <patternFill patternType="solid">
        <fgColor rgb="FF193D49"/>
      </patternFill>
    </fill>
    <fill>
      <patternFill patternType="solid">
        <fgColor rgb="FFEFF5F7"/>
        <bgColor indexed="64"/>
      </patternFill>
    </fill>
    <fill>
      <patternFill patternType="solid">
        <fgColor rgb="FF153D2C"/>
        <bgColor indexed="64"/>
      </patternFill>
    </fill>
    <fill>
      <patternFill patternType="solid">
        <fgColor rgb="FFF5F3EB"/>
        <bgColor indexed="64"/>
      </patternFill>
    </fill>
    <fill>
      <patternFill patternType="solid">
        <fgColor rgb="FFFFF3CF"/>
        <bgColor indexed="64"/>
      </patternFill>
    </fill>
    <fill>
      <patternFill patternType="solid">
        <fgColor rgb="FF155D2C"/>
        <bgColor indexed="64"/>
      </patternFill>
    </fill>
  </fills>
  <borders count="10">
    <border>
      <left/>
      <right/>
      <top/>
      <bottom/>
      <diagonal/>
    </border>
    <border>
      <left/>
      <right/>
      <top/>
      <bottom style="thin">
        <color rgb="FF213C5A"/>
      </bottom>
      <diagonal/>
    </border>
    <border>
      <left/>
      <right/>
      <top/>
      <bottom style="thin">
        <color rgb="FFD9E1E9"/>
      </bottom>
      <diagonal/>
    </border>
    <border>
      <left/>
      <right/>
      <top/>
      <bottom style="hair">
        <color rgb="FFD9E1E9"/>
      </bottom>
      <diagonal/>
    </border>
    <border>
      <left/>
      <right/>
      <top/>
      <bottom style="thin">
        <color rgb="FFE2E8F0"/>
      </bottom>
      <diagonal/>
    </border>
    <border>
      <left/>
      <right/>
      <top style="thin">
        <color rgb="FFE2E8F0"/>
      </top>
      <bottom style="thin">
        <color rgb="FFE2E8F0"/>
      </bottom>
      <diagonal/>
    </border>
    <border>
      <left/>
      <right/>
      <top style="thin">
        <color rgb="FFE2E8F0"/>
      </top>
      <bottom style="hair">
        <color rgb="FFD9E1E9"/>
      </bottom>
      <diagonal/>
    </border>
    <border>
      <left/>
      <right/>
      <top style="thin">
        <color rgb="FFE2E8F0"/>
      </top>
      <bottom/>
      <diagonal/>
    </border>
    <border>
      <left/>
      <right/>
      <top/>
      <bottom style="hair">
        <color rgb="FFD9E3EA"/>
      </bottom>
      <diagonal/>
    </border>
    <border>
      <left/>
      <right/>
      <top style="hair">
        <color rgb="FFD9E3EA"/>
      </top>
      <bottom/>
      <diagonal/>
    </border>
  </borders>
  <cellStyleXfs count="2">
    <xf numFmtId="0" fontId="0" fillId="0" borderId="0"/>
    <xf numFmtId="0" fontId="11" fillId="0" borderId="0" applyNumberFormat="0" applyFill="0" applyBorder="0" applyAlignment="0" applyProtection="0"/>
  </cellStyleXfs>
  <cellXfs count="261">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1" xfId="0" applyFont="1" applyBorder="1" applyAlignment="1">
      <alignment vertical="center"/>
    </xf>
    <xf numFmtId="0" fontId="0" fillId="0" borderId="1" xfId="0" applyBorder="1"/>
    <xf numFmtId="0" fontId="3" fillId="0" borderId="0" xfId="0" applyFont="1" applyAlignment="1">
      <alignment vertical="center"/>
    </xf>
    <xf numFmtId="0" fontId="4" fillId="2" borderId="0" xfId="0" applyFont="1" applyFill="1" applyAlignment="1">
      <alignment horizontal="center" vertical="center" wrapText="1"/>
    </xf>
    <xf numFmtId="164" fontId="1" fillId="0" borderId="0" xfId="0" applyNumberFormat="1" applyFont="1" applyAlignment="1">
      <alignment vertical="center"/>
    </xf>
    <xf numFmtId="165" fontId="1" fillId="0" borderId="0" xfId="0" applyNumberFormat="1" applyFont="1" applyAlignment="1">
      <alignment vertical="center"/>
    </xf>
    <xf numFmtId="0" fontId="4" fillId="2" borderId="0" xfId="0" applyFont="1" applyFill="1" applyAlignment="1">
      <alignment horizontal="center" wrapText="1"/>
    </xf>
    <xf numFmtId="167" fontId="1" fillId="0" borderId="0" xfId="0" applyNumberFormat="1" applyFont="1" applyAlignment="1">
      <alignment vertical="center"/>
    </xf>
    <xf numFmtId="2" fontId="1" fillId="0" borderId="0" xfId="0" applyNumberFormat="1" applyFont="1" applyAlignment="1">
      <alignment vertical="center"/>
    </xf>
    <xf numFmtId="167" fontId="0" fillId="0" borderId="0" xfId="0" applyNumberFormat="1"/>
    <xf numFmtId="0" fontId="1" fillId="0" borderId="0" xfId="0" applyFont="1" applyAlignment="1">
      <alignment vertical="center" wrapText="1"/>
    </xf>
    <xf numFmtId="0" fontId="5" fillId="0" borderId="0" xfId="0" applyFont="1"/>
    <xf numFmtId="0" fontId="6" fillId="0" borderId="0" xfId="0" applyFont="1"/>
    <xf numFmtId="0" fontId="6" fillId="0" borderId="1" xfId="0" applyFont="1" applyBorder="1"/>
    <xf numFmtId="0" fontId="7" fillId="2" borderId="0" xfId="0" applyFont="1" applyFill="1" applyAlignment="1">
      <alignment horizontal="center" wrapText="1"/>
    </xf>
    <xf numFmtId="167" fontId="1" fillId="0" borderId="0" xfId="0" applyNumberFormat="1" applyFont="1" applyAlignment="1">
      <alignment horizontal="right" vertical="center"/>
    </xf>
    <xf numFmtId="1" fontId="1" fillId="0" borderId="0" xfId="0" applyNumberFormat="1" applyFont="1" applyAlignment="1">
      <alignment horizontal="right" vertical="center"/>
    </xf>
    <xf numFmtId="0" fontId="4" fillId="4" borderId="0" xfId="0" applyFont="1" applyFill="1" applyAlignment="1">
      <alignment horizontal="center" vertical="center" wrapText="1"/>
    </xf>
    <xf numFmtId="15" fontId="1" fillId="0" borderId="0" xfId="0" applyNumberFormat="1" applyFont="1" applyAlignment="1">
      <alignment vertical="center"/>
    </xf>
    <xf numFmtId="15" fontId="0" fillId="0" borderId="0" xfId="0" applyNumberFormat="1"/>
    <xf numFmtId="165" fontId="0" fillId="0" borderId="0" xfId="0" applyNumberFormat="1"/>
    <xf numFmtId="169" fontId="1" fillId="0" borderId="0" xfId="0" applyNumberFormat="1" applyFont="1" applyAlignment="1">
      <alignment vertical="center"/>
    </xf>
    <xf numFmtId="4" fontId="1" fillId="0" borderId="0" xfId="0" applyNumberFormat="1" applyFont="1" applyAlignment="1">
      <alignment vertical="center"/>
    </xf>
    <xf numFmtId="0" fontId="4" fillId="2" borderId="0" xfId="0" applyFont="1" applyFill="1" applyAlignment="1">
      <alignment vertical="center"/>
    </xf>
    <xf numFmtId="0" fontId="4" fillId="4" borderId="0" xfId="0" applyFont="1" applyFill="1" applyAlignment="1">
      <alignment vertical="center"/>
    </xf>
    <xf numFmtId="0" fontId="9" fillId="0" borderId="0" xfId="0" applyFont="1" applyAlignment="1">
      <alignment vertical="center"/>
    </xf>
    <xf numFmtId="173" fontId="9" fillId="0" borderId="0" xfId="0" applyNumberFormat="1" applyFont="1" applyAlignment="1">
      <alignment vertical="center"/>
    </xf>
    <xf numFmtId="0" fontId="9" fillId="0" borderId="3" xfId="0" applyFont="1" applyBorder="1" applyAlignment="1">
      <alignment vertical="center"/>
    </xf>
    <xf numFmtId="173" fontId="9" fillId="0" borderId="3" xfId="0" applyNumberFormat="1" applyFont="1" applyBorder="1" applyAlignment="1">
      <alignment vertical="center"/>
    </xf>
    <xf numFmtId="0" fontId="10" fillId="4" borderId="0" xfId="0" applyFont="1" applyFill="1" applyAlignment="1">
      <alignment horizontal="center" vertical="center" wrapText="1"/>
    </xf>
    <xf numFmtId="0" fontId="12" fillId="0" borderId="0" xfId="0" applyFont="1" applyAlignment="1">
      <alignment vertical="center"/>
    </xf>
    <xf numFmtId="0" fontId="15" fillId="7" borderId="0" xfId="1" applyFont="1" applyFill="1" applyAlignment="1">
      <alignment vertical="center"/>
    </xf>
    <xf numFmtId="0" fontId="16" fillId="7" borderId="0" xfId="0" applyFont="1" applyFill="1" applyAlignment="1">
      <alignment vertical="center"/>
    </xf>
    <xf numFmtId="0" fontId="17" fillId="0" borderId="2" xfId="0" applyFont="1" applyBorder="1" applyAlignment="1">
      <alignment vertical="center"/>
    </xf>
    <xf numFmtId="0" fontId="18" fillId="0" borderId="0" xfId="0" applyFont="1" applyAlignment="1">
      <alignment vertical="center"/>
    </xf>
    <xf numFmtId="0" fontId="19" fillId="8" borderId="0" xfId="0" applyFont="1" applyFill="1" applyAlignment="1">
      <alignment horizontal="center" vertical="center" wrapText="1"/>
    </xf>
    <xf numFmtId="0" fontId="20" fillId="9" borderId="4" xfId="0" applyFont="1" applyFill="1" applyBorder="1" applyAlignment="1">
      <alignment vertical="center"/>
    </xf>
    <xf numFmtId="0" fontId="21" fillId="5" borderId="4" xfId="0" applyFont="1" applyFill="1" applyBorder="1" applyAlignment="1">
      <alignment horizontal="center" vertical="center"/>
    </xf>
    <xf numFmtId="4" fontId="22" fillId="9" borderId="4" xfId="0" applyNumberFormat="1" applyFont="1" applyFill="1" applyBorder="1" applyAlignment="1">
      <alignment horizontal="right" vertical="center"/>
    </xf>
    <xf numFmtId="170" fontId="23" fillId="9" borderId="4" xfId="0" applyNumberFormat="1" applyFont="1" applyFill="1" applyBorder="1" applyAlignment="1">
      <alignment horizontal="right" vertical="center"/>
    </xf>
    <xf numFmtId="171" fontId="24" fillId="9" borderId="4" xfId="0" applyNumberFormat="1" applyFont="1" applyFill="1" applyBorder="1" applyAlignment="1">
      <alignment horizontal="center" vertical="center"/>
    </xf>
    <xf numFmtId="172" fontId="25" fillId="9" borderId="4" xfId="0" applyNumberFormat="1" applyFont="1" applyFill="1" applyBorder="1" applyAlignment="1">
      <alignment vertical="center"/>
    </xf>
    <xf numFmtId="0" fontId="26" fillId="9" borderId="4" xfId="0" applyFont="1" applyFill="1" applyBorder="1" applyAlignment="1">
      <alignment horizontal="left" vertical="center" wrapText="1" indent="1"/>
    </xf>
    <xf numFmtId="0" fontId="27" fillId="5" borderId="4" xfId="0" applyFont="1" applyFill="1" applyBorder="1" applyAlignment="1">
      <alignment vertical="center" wrapText="1"/>
    </xf>
    <xf numFmtId="0" fontId="28" fillId="0" borderId="5" xfId="0" applyFont="1" applyBorder="1" applyAlignment="1">
      <alignment vertical="center"/>
    </xf>
    <xf numFmtId="0" fontId="29" fillId="5" borderId="5" xfId="0" applyFont="1" applyFill="1" applyBorder="1" applyAlignment="1">
      <alignment horizontal="center" vertical="center"/>
    </xf>
    <xf numFmtId="4" fontId="30" fillId="0" borderId="5" xfId="0" applyNumberFormat="1" applyFont="1" applyBorder="1" applyAlignment="1">
      <alignment horizontal="right" vertical="center"/>
    </xf>
    <xf numFmtId="170" fontId="31" fillId="0" borderId="5" xfId="0" applyNumberFormat="1" applyFont="1" applyBorder="1" applyAlignment="1">
      <alignment horizontal="right" vertical="center"/>
    </xf>
    <xf numFmtId="171" fontId="32" fillId="0" borderId="5" xfId="0" applyNumberFormat="1" applyFont="1" applyBorder="1" applyAlignment="1">
      <alignment horizontal="center" vertical="center"/>
    </xf>
    <xf numFmtId="172" fontId="33" fillId="0" borderId="5" xfId="0" applyNumberFormat="1" applyFont="1" applyBorder="1" applyAlignment="1">
      <alignment vertical="center"/>
    </xf>
    <xf numFmtId="0" fontId="34" fillId="0" borderId="5" xfId="0" applyFont="1" applyBorder="1" applyAlignment="1">
      <alignment horizontal="left" vertical="center" wrapText="1" indent="1"/>
    </xf>
    <xf numFmtId="0" fontId="35" fillId="5" borderId="5" xfId="0" applyFont="1" applyFill="1" applyBorder="1" applyAlignment="1">
      <alignment vertical="center" wrapText="1"/>
    </xf>
    <xf numFmtId="0" fontId="36" fillId="9" borderId="5" xfId="0" applyFont="1" applyFill="1" applyBorder="1" applyAlignment="1">
      <alignment vertical="center"/>
    </xf>
    <xf numFmtId="4" fontId="37" fillId="9" borderId="5" xfId="0" applyNumberFormat="1" applyFont="1" applyFill="1" applyBorder="1" applyAlignment="1">
      <alignment horizontal="right" vertical="center"/>
    </xf>
    <xf numFmtId="170" fontId="38" fillId="9" borderId="5" xfId="0" applyNumberFormat="1" applyFont="1" applyFill="1" applyBorder="1" applyAlignment="1">
      <alignment horizontal="right" vertical="center"/>
    </xf>
    <xf numFmtId="171" fontId="39" fillId="9" borderId="5" xfId="0" applyNumberFormat="1" applyFont="1" applyFill="1" applyBorder="1" applyAlignment="1">
      <alignment horizontal="center" vertical="center"/>
    </xf>
    <xf numFmtId="172" fontId="40" fillId="9" borderId="5" xfId="0" applyNumberFormat="1" applyFont="1" applyFill="1" applyBorder="1" applyAlignment="1">
      <alignment vertical="center"/>
    </xf>
    <xf numFmtId="0" fontId="41" fillId="9" borderId="5" xfId="0" applyFont="1" applyFill="1" applyBorder="1" applyAlignment="1">
      <alignment horizontal="left" vertical="center" wrapText="1" indent="1"/>
    </xf>
    <xf numFmtId="0" fontId="42" fillId="0" borderId="6" xfId="0" applyFont="1" applyBorder="1" applyAlignment="1">
      <alignment vertical="center"/>
    </xf>
    <xf numFmtId="0" fontId="43" fillId="5" borderId="6" xfId="0" applyFont="1" applyFill="1" applyBorder="1" applyAlignment="1">
      <alignment horizontal="center" vertical="center"/>
    </xf>
    <xf numFmtId="4" fontId="44" fillId="0" borderId="6" xfId="0" applyNumberFormat="1" applyFont="1" applyBorder="1" applyAlignment="1">
      <alignment horizontal="right" vertical="center"/>
    </xf>
    <xf numFmtId="170" fontId="45" fillId="0" borderId="6" xfId="0" applyNumberFormat="1" applyFont="1" applyBorder="1" applyAlignment="1">
      <alignment horizontal="right" vertical="center"/>
    </xf>
    <xf numFmtId="171" fontId="46" fillId="0" borderId="6" xfId="0" applyNumberFormat="1" applyFont="1" applyBorder="1" applyAlignment="1">
      <alignment horizontal="center" vertical="center"/>
    </xf>
    <xf numFmtId="172" fontId="47" fillId="0" borderId="6" xfId="0" applyNumberFormat="1" applyFont="1" applyBorder="1" applyAlignment="1">
      <alignment vertical="center"/>
    </xf>
    <xf numFmtId="0" fontId="48" fillId="0" borderId="6" xfId="0" applyFont="1" applyBorder="1" applyAlignment="1">
      <alignment horizontal="left" vertical="center" wrapText="1" indent="1"/>
    </xf>
    <xf numFmtId="0" fontId="49" fillId="5" borderId="6" xfId="0" applyFont="1" applyFill="1" applyBorder="1" applyAlignment="1">
      <alignment vertical="center" wrapText="1"/>
    </xf>
    <xf numFmtId="0" fontId="50" fillId="0" borderId="0" xfId="0" applyFont="1" applyAlignment="1">
      <alignment vertical="center"/>
    </xf>
    <xf numFmtId="0" fontId="51" fillId="0" borderId="0" xfId="1" applyFont="1" applyAlignment="1">
      <alignment vertical="center"/>
    </xf>
    <xf numFmtId="0" fontId="52" fillId="0" borderId="0" xfId="0" applyFont="1" applyAlignment="1">
      <alignment vertical="center"/>
    </xf>
    <xf numFmtId="0" fontId="55" fillId="7" borderId="1" xfId="1" applyFont="1" applyFill="1" applyBorder="1" applyAlignment="1">
      <alignment vertical="center"/>
    </xf>
    <xf numFmtId="0" fontId="56" fillId="7" borderId="1" xfId="0" applyFont="1" applyFill="1" applyBorder="1" applyAlignment="1">
      <alignment vertical="center"/>
    </xf>
    <xf numFmtId="0" fontId="57" fillId="8" borderId="0" xfId="0" applyFont="1" applyFill="1" applyAlignment="1">
      <alignment horizontal="center" vertical="center" wrapText="1"/>
    </xf>
    <xf numFmtId="0" fontId="58" fillId="0" borderId="4" xfId="0" applyFont="1" applyBorder="1" applyAlignment="1">
      <alignment vertical="center"/>
    </xf>
    <xf numFmtId="4" fontId="59" fillId="0" borderId="4" xfId="0" applyNumberFormat="1" applyFont="1" applyBorder="1" applyAlignment="1">
      <alignment vertical="center"/>
    </xf>
    <xf numFmtId="164" fontId="60" fillId="0" borderId="4" xfId="0" applyNumberFormat="1" applyFont="1" applyBorder="1" applyAlignment="1">
      <alignment vertical="center"/>
    </xf>
    <xf numFmtId="165" fontId="61" fillId="0" borderId="4" xfId="0" applyNumberFormat="1" applyFont="1" applyBorder="1" applyAlignment="1">
      <alignment vertical="center"/>
    </xf>
    <xf numFmtId="167" fontId="62" fillId="0" borderId="4" xfId="0" applyNumberFormat="1" applyFont="1" applyBorder="1" applyAlignment="1">
      <alignment vertical="center"/>
    </xf>
    <xf numFmtId="0" fontId="63" fillId="0" borderId="4" xfId="0" applyFont="1" applyBorder="1" applyAlignment="1">
      <alignment horizontal="center" vertical="center"/>
    </xf>
    <xf numFmtId="0" fontId="64" fillId="9" borderId="5" xfId="0" applyFont="1" applyFill="1" applyBorder="1" applyAlignment="1">
      <alignment vertical="center"/>
    </xf>
    <xf numFmtId="4" fontId="65" fillId="9" borderId="5" xfId="0" applyNumberFormat="1" applyFont="1" applyFill="1" applyBorder="1" applyAlignment="1">
      <alignment vertical="center"/>
    </xf>
    <xf numFmtId="164" fontId="66" fillId="9" borderId="5" xfId="0" applyNumberFormat="1" applyFont="1" applyFill="1" applyBorder="1" applyAlignment="1">
      <alignment vertical="center"/>
    </xf>
    <xf numFmtId="165" fontId="67" fillId="9" borderId="5" xfId="0" applyNumberFormat="1" applyFont="1" applyFill="1" applyBorder="1" applyAlignment="1">
      <alignment vertical="center"/>
    </xf>
    <xf numFmtId="167" fontId="68" fillId="9" borderId="5" xfId="0" applyNumberFormat="1" applyFont="1" applyFill="1" applyBorder="1" applyAlignment="1">
      <alignment vertical="center"/>
    </xf>
    <xf numFmtId="0" fontId="69" fillId="9" borderId="5" xfId="0" applyFont="1" applyFill="1" applyBorder="1" applyAlignment="1">
      <alignment horizontal="center" vertical="center"/>
    </xf>
    <xf numFmtId="0" fontId="70" fillId="0" borderId="5" xfId="0" applyFont="1" applyBorder="1" applyAlignment="1">
      <alignment vertical="center"/>
    </xf>
    <xf numFmtId="4" fontId="71" fillId="0" borderId="5" xfId="0" applyNumberFormat="1" applyFont="1" applyBorder="1" applyAlignment="1">
      <alignment vertical="center"/>
    </xf>
    <xf numFmtId="164" fontId="72" fillId="0" borderId="5" xfId="0" applyNumberFormat="1" applyFont="1" applyBorder="1" applyAlignment="1">
      <alignment vertical="center"/>
    </xf>
    <xf numFmtId="165" fontId="73" fillId="0" borderId="5" xfId="0" applyNumberFormat="1" applyFont="1" applyBorder="1" applyAlignment="1">
      <alignment vertical="center"/>
    </xf>
    <xf numFmtId="167" fontId="74" fillId="0" borderId="5" xfId="0" applyNumberFormat="1" applyFont="1" applyBorder="1" applyAlignment="1">
      <alignment vertical="center"/>
    </xf>
    <xf numFmtId="0" fontId="75" fillId="0" borderId="5" xfId="0" applyFont="1" applyBorder="1" applyAlignment="1">
      <alignment horizontal="center" vertical="center"/>
    </xf>
    <xf numFmtId="0" fontId="76" fillId="9" borderId="7" xfId="0" applyFont="1" applyFill="1" applyBorder="1" applyAlignment="1">
      <alignment vertical="center"/>
    </xf>
    <xf numFmtId="4" fontId="77" fillId="9" borderId="7" xfId="0" applyNumberFormat="1" applyFont="1" applyFill="1" applyBorder="1" applyAlignment="1">
      <alignment vertical="center"/>
    </xf>
    <xf numFmtId="164" fontId="78" fillId="9" borderId="7" xfId="0" applyNumberFormat="1" applyFont="1" applyFill="1" applyBorder="1" applyAlignment="1">
      <alignment vertical="center"/>
    </xf>
    <xf numFmtId="165" fontId="79" fillId="9" borderId="7" xfId="0" applyNumberFormat="1" applyFont="1" applyFill="1" applyBorder="1" applyAlignment="1">
      <alignment vertical="center"/>
    </xf>
    <xf numFmtId="167" fontId="80" fillId="9" borderId="7" xfId="0" applyNumberFormat="1" applyFont="1" applyFill="1" applyBorder="1" applyAlignment="1">
      <alignment vertical="center"/>
    </xf>
    <xf numFmtId="0" fontId="81" fillId="9" borderId="7" xfId="0" applyFont="1" applyFill="1" applyBorder="1" applyAlignment="1">
      <alignment horizontal="center" vertical="center"/>
    </xf>
    <xf numFmtId="165" fontId="82" fillId="0" borderId="0" xfId="0" applyNumberFormat="1" applyFont="1" applyAlignment="1">
      <alignment vertical="center"/>
    </xf>
    <xf numFmtId="164" fontId="83" fillId="0" borderId="0" xfId="0" applyNumberFormat="1" applyFont="1" applyAlignment="1">
      <alignment vertical="center"/>
    </xf>
    <xf numFmtId="0" fontId="85" fillId="7" borderId="1" xfId="0" applyFont="1" applyFill="1" applyBorder="1"/>
    <xf numFmtId="0" fontId="86" fillId="0" borderId="0" xfId="0" applyFont="1" applyAlignment="1">
      <alignment vertical="center"/>
    </xf>
    <xf numFmtId="0" fontId="87" fillId="0" borderId="0" xfId="0" applyFont="1" applyAlignment="1">
      <alignment vertical="center"/>
    </xf>
    <xf numFmtId="0" fontId="88" fillId="8" borderId="0" xfId="0" applyFont="1" applyFill="1" applyAlignment="1">
      <alignment horizontal="center" vertical="center" wrapText="1"/>
    </xf>
    <xf numFmtId="0" fontId="89" fillId="8" borderId="0" xfId="0" applyFont="1" applyFill="1" applyAlignment="1">
      <alignment horizontal="center" wrapText="1"/>
    </xf>
    <xf numFmtId="0" fontId="90" fillId="5" borderId="0" xfId="0" applyFont="1" applyFill="1" applyAlignment="1">
      <alignment vertical="center"/>
    </xf>
    <xf numFmtId="164" fontId="91" fillId="5" borderId="0" xfId="0" applyNumberFormat="1" applyFont="1" applyFill="1" applyAlignment="1">
      <alignment vertical="center"/>
    </xf>
    <xf numFmtId="0" fontId="92" fillId="5" borderId="0" xfId="0" applyFont="1" applyFill="1" applyAlignment="1">
      <alignment horizontal="left" vertical="center" indent="1"/>
    </xf>
    <xf numFmtId="165" fontId="93" fillId="5" borderId="0" xfId="0" applyNumberFormat="1" applyFont="1" applyFill="1" applyAlignment="1">
      <alignment vertical="center"/>
    </xf>
    <xf numFmtId="0" fontId="94" fillId="6" borderId="0" xfId="0" applyFont="1" applyFill="1" applyAlignment="1">
      <alignment horizontal="left" indent="1"/>
    </xf>
    <xf numFmtId="0" fontId="95" fillId="9" borderId="0" xfId="0" applyFont="1" applyFill="1" applyAlignment="1">
      <alignment vertical="center"/>
    </xf>
    <xf numFmtId="0" fontId="96" fillId="9" borderId="0" xfId="0" applyFont="1" applyFill="1" applyAlignment="1">
      <alignment horizontal="left" indent="1"/>
    </xf>
    <xf numFmtId="0" fontId="98" fillId="3" borderId="0" xfId="0" applyFont="1" applyFill="1" applyAlignment="1">
      <alignment vertical="center"/>
    </xf>
    <xf numFmtId="164" fontId="99" fillId="3" borderId="0" xfId="0" applyNumberFormat="1" applyFont="1" applyFill="1" applyAlignment="1">
      <alignment vertical="center"/>
    </xf>
    <xf numFmtId="0" fontId="100" fillId="0" borderId="0" xfId="0" applyFont="1" applyAlignment="1">
      <alignment vertical="center" wrapText="1"/>
    </xf>
    <xf numFmtId="166" fontId="101" fillId="0" borderId="0" xfId="0" applyNumberFormat="1" applyFont="1" applyAlignment="1">
      <alignment vertical="center"/>
    </xf>
    <xf numFmtId="167" fontId="102" fillId="0" borderId="0" xfId="0" applyNumberFormat="1" applyFont="1" applyAlignment="1">
      <alignment vertical="center"/>
    </xf>
    <xf numFmtId="0" fontId="103" fillId="8" borderId="0" xfId="0" applyFont="1" applyFill="1" applyAlignment="1">
      <alignment horizontal="center" vertical="center" wrapText="1"/>
    </xf>
    <xf numFmtId="0" fontId="104" fillId="8" borderId="0" xfId="0" applyFont="1" applyFill="1" applyAlignment="1">
      <alignment vertical="center"/>
    </xf>
    <xf numFmtId="168" fontId="105" fillId="8" borderId="0" xfId="0" applyNumberFormat="1" applyFont="1" applyFill="1" applyAlignment="1">
      <alignment vertical="center"/>
    </xf>
    <xf numFmtId="166" fontId="106" fillId="0" borderId="0" xfId="0" applyNumberFormat="1" applyFont="1" applyAlignment="1">
      <alignment vertical="center"/>
    </xf>
    <xf numFmtId="167" fontId="107" fillId="0" borderId="0" xfId="0" applyNumberFormat="1" applyFont="1" applyAlignment="1">
      <alignment vertical="center"/>
    </xf>
    <xf numFmtId="168" fontId="108" fillId="0" borderId="0" xfId="0" applyNumberFormat="1" applyFont="1" applyAlignment="1">
      <alignment vertical="center"/>
    </xf>
    <xf numFmtId="166" fontId="109" fillId="9" borderId="0" xfId="0" applyNumberFormat="1" applyFont="1" applyFill="1" applyAlignment="1">
      <alignment vertical="center"/>
    </xf>
    <xf numFmtId="165" fontId="110" fillId="9" borderId="0" xfId="0" applyNumberFormat="1" applyFont="1" applyFill="1" applyAlignment="1">
      <alignment vertical="center"/>
    </xf>
    <xf numFmtId="167" fontId="111" fillId="9" borderId="0" xfId="0" applyNumberFormat="1" applyFont="1" applyFill="1" applyAlignment="1">
      <alignment vertical="center"/>
    </xf>
    <xf numFmtId="168" fontId="112" fillId="9" borderId="0" xfId="0" applyNumberFormat="1" applyFont="1" applyFill="1" applyAlignment="1">
      <alignment vertical="center"/>
    </xf>
    <xf numFmtId="0" fontId="113" fillId="0" borderId="0" xfId="0" applyFont="1"/>
    <xf numFmtId="0" fontId="114" fillId="8" borderId="0" xfId="0" applyFont="1" applyFill="1" applyAlignment="1">
      <alignment vertical="center"/>
    </xf>
    <xf numFmtId="0" fontId="115" fillId="9" borderId="0" xfId="0" applyFont="1" applyFill="1" applyAlignment="1">
      <alignment vertical="center" wrapText="1"/>
    </xf>
    <xf numFmtId="0" fontId="116" fillId="9" borderId="0" xfId="0" applyFont="1" applyFill="1" applyAlignment="1">
      <alignment vertical="center" wrapText="1"/>
    </xf>
    <xf numFmtId="0" fontId="117" fillId="0" borderId="0" xfId="0" applyFont="1" applyAlignment="1">
      <alignment vertical="center" wrapText="1"/>
    </xf>
    <xf numFmtId="0" fontId="118" fillId="0" borderId="0" xfId="0" applyFont="1" applyAlignment="1">
      <alignment vertical="center" wrapText="1"/>
    </xf>
    <xf numFmtId="0" fontId="119" fillId="9" borderId="3" xfId="0" applyFont="1" applyFill="1" applyBorder="1" applyAlignment="1">
      <alignment vertical="center" wrapText="1"/>
    </xf>
    <xf numFmtId="0" fontId="120" fillId="9" borderId="3" xfId="0" applyFont="1" applyFill="1" applyBorder="1" applyAlignment="1">
      <alignment vertical="center" wrapText="1"/>
    </xf>
    <xf numFmtId="0" fontId="121" fillId="0" borderId="0" xfId="0" applyFont="1" applyAlignment="1">
      <alignment vertical="center"/>
    </xf>
    <xf numFmtId="0" fontId="121" fillId="7" borderId="0" xfId="0" applyFont="1" applyFill="1" applyAlignment="1">
      <alignment vertical="center"/>
    </xf>
    <xf numFmtId="0" fontId="122" fillId="7" borderId="0" xfId="0" applyFont="1" applyFill="1" applyAlignment="1">
      <alignment vertical="center"/>
    </xf>
    <xf numFmtId="0" fontId="124" fillId="0" borderId="0" xfId="0" applyFont="1" applyAlignment="1">
      <alignment vertical="center"/>
    </xf>
    <xf numFmtId="0" fontId="126" fillId="0" borderId="0" xfId="0" applyFont="1" applyAlignment="1">
      <alignment vertical="center"/>
    </xf>
    <xf numFmtId="0" fontId="19" fillId="11" borderId="0" xfId="0" applyFont="1" applyFill="1" applyAlignment="1">
      <alignment vertical="center" wrapText="1"/>
    </xf>
    <xf numFmtId="174" fontId="21" fillId="3" borderId="0" xfId="0" applyNumberFormat="1" applyFont="1" applyFill="1" applyAlignment="1">
      <alignment vertical="center" wrapText="1"/>
    </xf>
    <xf numFmtId="0" fontId="21" fillId="3" borderId="0" xfId="0" applyFont="1" applyFill="1" applyAlignment="1">
      <alignment vertical="center" wrapText="1"/>
    </xf>
    <xf numFmtId="175" fontId="21" fillId="3" borderId="0" xfId="0" applyNumberFormat="1" applyFont="1" applyFill="1" applyAlignment="1">
      <alignment vertical="center" wrapText="1"/>
    </xf>
    <xf numFmtId="0" fontId="121" fillId="0" borderId="8" xfId="0" applyFont="1" applyBorder="1" applyAlignment="1">
      <alignment vertical="center"/>
    </xf>
    <xf numFmtId="174" fontId="21" fillId="3" borderId="8" xfId="0" applyNumberFormat="1" applyFont="1" applyFill="1" applyBorder="1" applyAlignment="1">
      <alignment vertical="center" wrapText="1"/>
    </xf>
    <xf numFmtId="0" fontId="21" fillId="3" borderId="8" xfId="0" applyFont="1" applyFill="1" applyBorder="1" applyAlignment="1">
      <alignment vertical="center" wrapText="1"/>
    </xf>
    <xf numFmtId="175" fontId="21" fillId="3" borderId="8" xfId="0" applyNumberFormat="1" applyFont="1" applyFill="1" applyBorder="1" applyAlignment="1">
      <alignment vertical="center" wrapText="1"/>
    </xf>
    <xf numFmtId="0" fontId="121" fillId="0" borderId="0" xfId="0" applyFont="1" applyAlignment="1">
      <alignment vertical="center" wrapText="1"/>
    </xf>
    <xf numFmtId="0" fontId="121" fillId="0" borderId="8" xfId="0" applyFont="1" applyBorder="1" applyAlignment="1">
      <alignment vertical="center" wrapText="1"/>
    </xf>
    <xf numFmtId="174" fontId="21" fillId="3" borderId="0" xfId="0" applyNumberFormat="1" applyFont="1" applyFill="1" applyAlignment="1">
      <alignment horizontal="right" vertical="center" wrapText="1"/>
    </xf>
    <xf numFmtId="174" fontId="21" fillId="3" borderId="8" xfId="0" applyNumberFormat="1" applyFont="1" applyFill="1" applyBorder="1" applyAlignment="1">
      <alignment horizontal="right" vertical="center" wrapText="1"/>
    </xf>
    <xf numFmtId="174" fontId="121" fillId="0" borderId="0" xfId="0" applyNumberFormat="1" applyFont="1" applyAlignment="1">
      <alignment horizontal="right" vertical="center" wrapText="1"/>
    </xf>
    <xf numFmtId="174" fontId="121" fillId="0" borderId="8" xfId="0" applyNumberFormat="1" applyFont="1" applyBorder="1" applyAlignment="1">
      <alignment horizontal="right" vertical="center" wrapText="1"/>
    </xf>
    <xf numFmtId="3" fontId="121" fillId="0" borderId="0" xfId="0" applyNumberFormat="1" applyFont="1" applyAlignment="1">
      <alignment horizontal="right" vertical="center" wrapText="1"/>
    </xf>
    <xf numFmtId="176" fontId="121" fillId="0" borderId="0" xfId="0" applyNumberFormat="1" applyFont="1" applyAlignment="1">
      <alignment horizontal="right" vertical="center" wrapText="1"/>
    </xf>
    <xf numFmtId="3" fontId="121" fillId="0" borderId="8" xfId="0" applyNumberFormat="1" applyFont="1" applyBorder="1" applyAlignment="1">
      <alignment horizontal="right" vertical="center" wrapText="1"/>
    </xf>
    <xf numFmtId="176" fontId="121" fillId="0" borderId="8" xfId="0" applyNumberFormat="1" applyFont="1" applyBorder="1" applyAlignment="1">
      <alignment horizontal="right" vertical="center" wrapText="1"/>
    </xf>
    <xf numFmtId="177" fontId="121" fillId="0" borderId="0" xfId="0" applyNumberFormat="1" applyFont="1" applyAlignment="1">
      <alignment horizontal="right" vertical="center" wrapText="1"/>
    </xf>
    <xf numFmtId="177" fontId="121" fillId="0" borderId="8" xfId="0" applyNumberFormat="1" applyFont="1" applyBorder="1" applyAlignment="1">
      <alignment horizontal="right" vertical="center" wrapText="1"/>
    </xf>
    <xf numFmtId="0" fontId="128" fillId="7" borderId="0" xfId="1" applyFont="1" applyFill="1" applyAlignment="1">
      <alignment vertical="center"/>
    </xf>
    <xf numFmtId="0" fontId="129" fillId="0" borderId="0" xfId="0" applyFont="1" applyAlignment="1">
      <alignment vertical="center" wrapText="1"/>
    </xf>
    <xf numFmtId="0" fontId="12" fillId="0" borderId="0" xfId="0" applyFont="1" applyAlignment="1">
      <alignment vertical="center" wrapText="1"/>
    </xf>
    <xf numFmtId="0" fontId="21" fillId="3" borderId="0" xfId="0" applyFont="1" applyFill="1" applyAlignment="1">
      <alignment vertical="center"/>
    </xf>
    <xf numFmtId="175" fontId="121" fillId="0" borderId="0" xfId="0" applyNumberFormat="1" applyFont="1" applyAlignment="1">
      <alignment vertical="center"/>
    </xf>
    <xf numFmtId="4" fontId="121" fillId="0" borderId="0" xfId="0" applyNumberFormat="1" applyFont="1" applyAlignment="1">
      <alignment vertical="center"/>
    </xf>
    <xf numFmtId="0" fontId="121" fillId="0" borderId="0" xfId="0" applyFont="1" applyAlignment="1">
      <alignment horizontal="left" vertical="center" indent="1"/>
    </xf>
    <xf numFmtId="178" fontId="121" fillId="0" borderId="0" xfId="0" applyNumberFormat="1" applyFont="1" applyAlignment="1">
      <alignment vertical="center"/>
    </xf>
    <xf numFmtId="0" fontId="132" fillId="7" borderId="0" xfId="0" applyFont="1" applyFill="1" applyAlignment="1">
      <alignment vertical="center"/>
    </xf>
    <xf numFmtId="0" fontId="133" fillId="0" borderId="0" xfId="0" applyFont="1" applyAlignment="1">
      <alignment vertical="center"/>
    </xf>
    <xf numFmtId="0" fontId="135" fillId="0" borderId="0" xfId="0" applyFont="1" applyAlignment="1">
      <alignment vertical="center"/>
    </xf>
    <xf numFmtId="173" fontId="0" fillId="0" borderId="0" xfId="0" applyNumberFormat="1"/>
    <xf numFmtId="179" fontId="0" fillId="0" borderId="0" xfId="0" applyNumberFormat="1"/>
    <xf numFmtId="0" fontId="121" fillId="12" borderId="0" xfId="0" applyFont="1" applyFill="1" applyAlignment="1">
      <alignment vertical="center" wrapText="1"/>
    </xf>
    <xf numFmtId="0" fontId="137" fillId="12" borderId="0" xfId="0" applyFont="1" applyFill="1" applyAlignment="1">
      <alignment vertical="center" wrapText="1"/>
    </xf>
    <xf numFmtId="0" fontId="137" fillId="0" borderId="0" xfId="0" applyFont="1" applyAlignment="1">
      <alignment vertical="center" wrapText="1"/>
    </xf>
    <xf numFmtId="0" fontId="127" fillId="12" borderId="0" xfId="0" applyFont="1" applyFill="1" applyAlignment="1">
      <alignment vertical="center" wrapText="1"/>
    </xf>
    <xf numFmtId="0" fontId="127" fillId="0" borderId="0" xfId="0" applyFont="1" applyAlignment="1">
      <alignment vertical="center" wrapText="1"/>
    </xf>
    <xf numFmtId="173" fontId="127" fillId="12" borderId="0" xfId="0" applyNumberFormat="1" applyFont="1" applyFill="1" applyAlignment="1">
      <alignment horizontal="left" vertical="center" wrapText="1"/>
    </xf>
    <xf numFmtId="173" fontId="127" fillId="0" borderId="0" xfId="0" applyNumberFormat="1" applyFont="1" applyAlignment="1">
      <alignment horizontal="left" vertical="center" wrapText="1"/>
    </xf>
    <xf numFmtId="0" fontId="127" fillId="12" borderId="0" xfId="0" applyFont="1" applyFill="1" applyAlignment="1">
      <alignment horizontal="left" vertical="center" wrapText="1" indent="1"/>
    </xf>
    <xf numFmtId="0" fontId="127" fillId="0" borderId="0" xfId="0" applyFont="1" applyAlignment="1">
      <alignment horizontal="left" vertical="center" wrapText="1" indent="1"/>
    </xf>
    <xf numFmtId="0" fontId="138" fillId="0" borderId="0" xfId="1" applyFont="1" applyAlignment="1">
      <alignment vertical="center"/>
    </xf>
    <xf numFmtId="0" fontId="139" fillId="0" borderId="0" xfId="0" applyFont="1"/>
    <xf numFmtId="0" fontId="139" fillId="0" borderId="0" xfId="0" applyFont="1" applyAlignment="1">
      <alignment wrapText="1"/>
    </xf>
    <xf numFmtId="49" fontId="139" fillId="0" borderId="0" xfId="0" applyNumberFormat="1" applyFont="1"/>
    <xf numFmtId="180" fontId="139" fillId="0" borderId="0" xfId="0" applyNumberFormat="1" applyFont="1"/>
    <xf numFmtId="49" fontId="142" fillId="13" borderId="0" xfId="0" applyNumberFormat="1" applyFont="1" applyFill="1"/>
    <xf numFmtId="180" fontId="142" fillId="13" borderId="0" xfId="0" applyNumberFormat="1" applyFont="1" applyFill="1"/>
    <xf numFmtId="180" fontId="143" fillId="0" borderId="0" xfId="0" applyNumberFormat="1" applyFont="1"/>
    <xf numFmtId="49" fontId="143" fillId="15" borderId="0" xfId="0" applyNumberFormat="1" applyFont="1" applyFill="1"/>
    <xf numFmtId="180" fontId="143" fillId="15" borderId="0" xfId="0" applyNumberFormat="1" applyFont="1" applyFill="1"/>
    <xf numFmtId="181" fontId="139" fillId="0" borderId="0" xfId="0" applyNumberFormat="1" applyFont="1"/>
    <xf numFmtId="0" fontId="142" fillId="13" borderId="0" xfId="0" applyFont="1" applyFill="1"/>
    <xf numFmtId="181" fontId="142" fillId="13" borderId="0" xfId="0" applyNumberFormat="1" applyFont="1" applyFill="1"/>
    <xf numFmtId="0" fontId="143" fillId="0" borderId="0" xfId="0" applyFont="1"/>
    <xf numFmtId="181" fontId="143" fillId="0" borderId="0" xfId="0" applyNumberFormat="1" applyFont="1"/>
    <xf numFmtId="0" fontId="143" fillId="15" borderId="0" xfId="0" applyFont="1" applyFill="1"/>
    <xf numFmtId="181" fontId="143" fillId="15" borderId="0" xfId="0" applyNumberFormat="1" applyFont="1" applyFill="1"/>
    <xf numFmtId="182" fontId="139" fillId="0" borderId="0" xfId="0" applyNumberFormat="1" applyFont="1"/>
    <xf numFmtId="182" fontId="142" fillId="13" borderId="0" xfId="0" applyNumberFormat="1" applyFont="1" applyFill="1"/>
    <xf numFmtId="182" fontId="143" fillId="0" borderId="0" xfId="0" applyNumberFormat="1" applyFont="1"/>
    <xf numFmtId="182" fontId="143" fillId="15" borderId="0" xfId="0" applyNumberFormat="1" applyFont="1" applyFill="1"/>
    <xf numFmtId="180" fontId="141" fillId="15" borderId="0" xfId="0" applyNumberFormat="1" applyFont="1" applyFill="1"/>
    <xf numFmtId="183" fontId="139" fillId="0" borderId="0" xfId="0" applyNumberFormat="1" applyFont="1"/>
    <xf numFmtId="184" fontId="139" fillId="0" borderId="0" xfId="0" applyNumberFormat="1" applyFont="1"/>
    <xf numFmtId="0" fontId="141" fillId="15" borderId="0" xfId="0" applyFont="1" applyFill="1"/>
    <xf numFmtId="185" fontId="139" fillId="0" borderId="0" xfId="0" applyNumberFormat="1" applyFont="1"/>
    <xf numFmtId="181" fontId="139" fillId="0" borderId="0" xfId="0" applyNumberFormat="1" applyFont="1" applyAlignment="1">
      <alignment wrapText="1"/>
    </xf>
    <xf numFmtId="0" fontId="11" fillId="0" borderId="0" xfId="1"/>
    <xf numFmtId="0" fontId="57" fillId="16" borderId="0" xfId="0" applyFont="1" applyFill="1" applyAlignment="1">
      <alignment vertical="center" wrapText="1"/>
    </xf>
    <xf numFmtId="183" fontId="57" fillId="16" borderId="0" xfId="0" applyNumberFormat="1" applyFont="1" applyFill="1" applyAlignment="1">
      <alignment vertical="center" wrapText="1"/>
    </xf>
    <xf numFmtId="184" fontId="57" fillId="16" borderId="0" xfId="0" applyNumberFormat="1" applyFont="1" applyFill="1" applyAlignment="1">
      <alignment vertical="center" wrapText="1"/>
    </xf>
    <xf numFmtId="185" fontId="57" fillId="16" borderId="0" xfId="0" applyNumberFormat="1" applyFont="1" applyFill="1" applyAlignment="1">
      <alignment vertical="center" wrapText="1"/>
    </xf>
    <xf numFmtId="181" fontId="57" fillId="16" borderId="0" xfId="0" applyNumberFormat="1" applyFont="1" applyFill="1" applyAlignment="1">
      <alignment vertical="center" wrapText="1"/>
    </xf>
    <xf numFmtId="180" fontId="139" fillId="0" borderId="0" xfId="0" applyNumberFormat="1" applyFont="1" applyAlignment="1">
      <alignment wrapText="1"/>
    </xf>
    <xf numFmtId="0" fontId="144" fillId="0" borderId="0" xfId="0" applyFont="1" applyAlignment="1">
      <alignment wrapText="1"/>
    </xf>
    <xf numFmtId="0" fontId="145" fillId="0" borderId="0" xfId="0" applyFont="1"/>
    <xf numFmtId="181" fontId="0" fillId="0" borderId="0" xfId="0" applyNumberFormat="1"/>
    <xf numFmtId="181" fontId="147" fillId="0" borderId="0" xfId="0" pivotButton="1" applyNumberFormat="1" applyFont="1" applyAlignment="1">
      <alignment wrapText="1"/>
    </xf>
    <xf numFmtId="181" fontId="147" fillId="0" borderId="0" xfId="0" applyNumberFormat="1" applyFont="1" applyAlignment="1">
      <alignment wrapText="1"/>
    </xf>
    <xf numFmtId="0" fontId="139" fillId="0" borderId="0" xfId="0" applyFont="1" applyAlignment="1">
      <alignment wrapText="1"/>
    </xf>
    <xf numFmtId="0" fontId="139" fillId="0" borderId="0" xfId="0" applyFont="1"/>
    <xf numFmtId="0" fontId="140" fillId="13" borderId="0" xfId="0" applyFont="1" applyFill="1"/>
    <xf numFmtId="0" fontId="139" fillId="14" borderId="0" xfId="0" applyFont="1" applyFill="1" applyAlignment="1">
      <alignment wrapText="1"/>
    </xf>
    <xf numFmtId="0" fontId="146" fillId="16" borderId="0" xfId="0" applyFont="1" applyFill="1" applyAlignment="1">
      <alignment vertical="center" wrapText="1"/>
    </xf>
    <xf numFmtId="0" fontId="57" fillId="16" borderId="0" xfId="0" applyFont="1" applyFill="1" applyAlignment="1">
      <alignment vertical="center" wrapText="1"/>
    </xf>
    <xf numFmtId="0" fontId="145" fillId="14" borderId="0" xfId="0" applyFont="1" applyFill="1" applyAlignment="1">
      <alignment wrapText="1"/>
    </xf>
    <xf numFmtId="0" fontId="145" fillId="0" borderId="0" xfId="0" applyFont="1" applyAlignment="1">
      <alignment wrapText="1"/>
    </xf>
    <xf numFmtId="0" fontId="13" fillId="7" borderId="0" xfId="0" applyFont="1" applyFill="1" applyAlignment="1">
      <alignment vertical="center"/>
    </xf>
    <xf numFmtId="0" fontId="14" fillId="7" borderId="0" xfId="0" applyFont="1" applyFill="1" applyAlignment="1">
      <alignment vertical="center"/>
    </xf>
    <xf numFmtId="0" fontId="123" fillId="0" borderId="0" xfId="0" applyFont="1" applyAlignment="1">
      <alignment vertical="center" wrapText="1"/>
    </xf>
    <xf numFmtId="0" fontId="121" fillId="0" borderId="0" xfId="0" applyFont="1" applyAlignment="1">
      <alignment vertical="center" wrapText="1"/>
    </xf>
    <xf numFmtId="4" fontId="121" fillId="0" borderId="0" xfId="0" applyNumberFormat="1" applyFont="1" applyAlignment="1">
      <alignment vertical="center"/>
    </xf>
    <xf numFmtId="0" fontId="121" fillId="0" borderId="0" xfId="0" applyFont="1" applyAlignment="1">
      <alignment vertical="center"/>
    </xf>
    <xf numFmtId="178" fontId="121" fillId="0" borderId="0" xfId="0" applyNumberFormat="1" applyFont="1" applyAlignment="1">
      <alignment vertical="center"/>
    </xf>
    <xf numFmtId="0" fontId="121" fillId="10" borderId="0" xfId="0" applyFont="1" applyFill="1" applyAlignment="1">
      <alignment vertical="center" wrapText="1"/>
    </xf>
    <xf numFmtId="0" fontId="21" fillId="3" borderId="0" xfId="0" applyFont="1" applyFill="1" applyAlignment="1">
      <alignment vertical="center"/>
    </xf>
    <xf numFmtId="0" fontId="123" fillId="0" borderId="0" xfId="0" applyFont="1" applyAlignment="1">
      <alignment vertical="center"/>
    </xf>
    <xf numFmtId="4" fontId="130" fillId="10" borderId="0" xfId="0" applyNumberFormat="1" applyFont="1" applyFill="1" applyAlignment="1">
      <alignment horizontal="right" vertical="center"/>
    </xf>
    <xf numFmtId="0" fontId="130" fillId="10" borderId="0" xfId="0" applyFont="1" applyFill="1" applyAlignment="1">
      <alignment horizontal="right" vertical="center"/>
    </xf>
    <xf numFmtId="178" fontId="130" fillId="10" borderId="0" xfId="0" applyNumberFormat="1" applyFont="1" applyFill="1" applyAlignment="1">
      <alignment horizontal="right" vertical="center"/>
    </xf>
    <xf numFmtId="0" fontId="131" fillId="10" borderId="0" xfId="0" applyFont="1" applyFill="1" applyAlignment="1">
      <alignment horizontal="right" vertical="center"/>
    </xf>
    <xf numFmtId="0" fontId="127" fillId="0" borderId="9" xfId="0" applyFont="1" applyBorder="1" applyAlignment="1">
      <alignment vertical="center"/>
    </xf>
    <xf numFmtId="0" fontId="127" fillId="0" borderId="0" xfId="0" applyFont="1" applyAlignment="1">
      <alignment vertical="center"/>
    </xf>
    <xf numFmtId="3" fontId="125" fillId="10" borderId="0" xfId="0" applyNumberFormat="1" applyFont="1" applyFill="1" applyAlignment="1">
      <alignment vertical="center"/>
    </xf>
    <xf numFmtId="0" fontId="125" fillId="10" borderId="0" xfId="0" applyFont="1" applyFill="1" applyAlignment="1">
      <alignment vertical="center"/>
    </xf>
    <xf numFmtId="174" fontId="125" fillId="10" borderId="0" xfId="0" applyNumberFormat="1" applyFont="1" applyFill="1" applyAlignment="1">
      <alignment vertical="center"/>
    </xf>
    <xf numFmtId="176" fontId="125" fillId="10" borderId="0" xfId="0" applyNumberFormat="1" applyFont="1" applyFill="1" applyAlignment="1">
      <alignment vertical="center"/>
    </xf>
    <xf numFmtId="0" fontId="126" fillId="10" borderId="0" xfId="0" applyFont="1" applyFill="1" applyAlignment="1">
      <alignment vertical="center"/>
    </xf>
    <xf numFmtId="0" fontId="21" fillId="3" borderId="0" xfId="0" applyFont="1" applyFill="1" applyAlignment="1">
      <alignment vertical="center" wrapText="1"/>
    </xf>
    <xf numFmtId="0" fontId="135" fillId="0" borderId="0" xfId="0" applyFont="1" applyAlignment="1">
      <alignment vertical="center" wrapText="1"/>
    </xf>
    <xf numFmtId="0" fontId="134" fillId="0" borderId="0" xfId="0" applyFont="1" applyAlignment="1">
      <alignment vertical="center" wrapText="1"/>
    </xf>
    <xf numFmtId="0" fontId="53" fillId="7" borderId="0" xfId="0" applyFont="1" applyFill="1" applyAlignment="1">
      <alignment vertical="center"/>
    </xf>
    <xf numFmtId="0" fontId="54" fillId="7" borderId="0" xfId="0" applyFont="1" applyFill="1" applyAlignment="1">
      <alignment vertical="center"/>
    </xf>
    <xf numFmtId="0" fontId="84" fillId="7" borderId="0" xfId="0" applyFont="1" applyFill="1" applyAlignment="1">
      <alignment vertical="center"/>
    </xf>
    <xf numFmtId="0" fontId="97" fillId="7" borderId="0" xfId="0" applyFont="1" applyFill="1"/>
    <xf numFmtId="0" fontId="143" fillId="14" borderId="0" xfId="0" applyNumberFormat="1" applyFont="1" applyFill="1"/>
    <xf numFmtId="0" fontId="0" fillId="0" borderId="0" xfId="0" applyNumberFormat="1"/>
    <xf numFmtId="0" fontId="143" fillId="0" borderId="0" xfId="0" applyNumberFormat="1" applyFont="1"/>
  </cellXfs>
  <cellStyles count="2">
    <cellStyle name="Hyperlink" xfId="1" builtinId="8"/>
    <cellStyle name="Normal" xfId="0" builtinId="0"/>
  </cellStyles>
  <dxfs count="343">
    <dxf>
      <font>
        <color rgb="FFFFFFFF"/>
      </font>
    </dxf>
    <dxf>
      <font>
        <color rgb="FFFFFFFF"/>
      </font>
    </dxf>
    <dxf>
      <numFmt numFmtId="179" formatCode="dd\ mmm\ yyyy\ hh:mm:ss"/>
    </dxf>
    <dxf>
      <numFmt numFmtId="173" formatCode="dd\ mmm\ yyyy\ hh:mm"/>
    </dxf>
    <dxf>
      <font>
        <b val="0"/>
        <i val="0"/>
        <strike val="0"/>
        <condense val="0"/>
        <extend val="0"/>
        <outline val="0"/>
        <shadow val="0"/>
        <u val="none"/>
        <vertAlign val="baseline"/>
        <sz val="10"/>
        <color rgb="FF202A35"/>
        <name val="Arial"/>
        <scheme val="none"/>
      </font>
      <numFmt numFmtId="169" formatCode="dd/mmm/yy\ hh:mm:ss"/>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9" formatCode="dd/mmm/yy\ hh:mm:ss"/>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9" formatCode="dd/mmm/yy\ hh:mm:ss"/>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4" formatCode="#,##0.00"/>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9" formatCode="dd/mmm/yy\ hh:mm:ss"/>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9" formatCode="dd/mmm/yy\ hh:mm:ss"/>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5" formatCode="#,##0.00;\(#,##0.00\);&quot;-&quot;"/>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5" formatCode="#,##0.00;\(#,##0.00\);&quot;-&quot;"/>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5" formatCode="#,##0.00;\(#,##0.00\);&quot;-&quot;"/>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5" formatCode="#,##0.00;\(#,##0.00\);&quot;-&quot;"/>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5" formatCode="#,##0.00;\(#,##0.00\);&quot;-&quot;"/>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5" formatCode="#,##0.00;\(#,##0.00\);&quot;-&quot;"/>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5" formatCode="#,##0.00;\(#,##0.00\);&quot;-&quot;"/>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5" formatCode="#,##0.00;\(#,##0.00\);&quot;-&quot;"/>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5" formatCode="#,##0.00;\(#,##0.00\);&quot;-&quot;"/>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5" formatCode="#,##0.00;\(#,##0.00\);&quot;-&quot;"/>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5" formatCode="#,##0.00;\(#,##0.00\);&quot;-&quot;"/>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5" formatCode="#,##0.00;\(#,##0.00\);&quot;-&quot;"/>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5" formatCode="#,##0.00;\(#,##0.00\);&quot;-&quot;"/>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165" formatCode="#,##0.00;\(#,##0.00\);&quot;-&quot;"/>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20" formatCode="dd/mmm/yy"/>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numFmt numFmtId="180" formatCode="yyyy/mm/dd"/>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0" formatCode="General"/>
    </dxf>
    <dxf>
      <font>
        <b/>
        <color rgb="FFA1282F"/>
      </font>
      <fill>
        <patternFill patternType="solid">
          <bgColor rgb="FFFDE9E7"/>
        </patternFill>
      </fill>
    </dxf>
    <dxf>
      <font>
        <b/>
        <color rgb="FFA1282F"/>
      </font>
      <fill>
        <patternFill patternType="solid">
          <bgColor rgb="FFFDE9E7"/>
        </patternFill>
      </fill>
    </dxf>
    <dxf>
      <fill>
        <patternFill>
          <bgColor rgb="FFFFF3CD"/>
        </patternFill>
      </fill>
    </dxf>
    <dxf>
      <fill>
        <patternFill>
          <bgColor rgb="FFFFF3CD"/>
        </patternFill>
      </fill>
    </dxf>
    <dxf>
      <fill>
        <patternFill>
          <bgColor rgb="FFFFF3CD"/>
        </patternFill>
      </fill>
    </dxf>
    <dxf>
      <font>
        <b/>
        <i val="0"/>
        <color rgb="FF9C2029"/>
      </font>
      <fill>
        <patternFill>
          <bgColor rgb="FFFDE9E7"/>
        </patternFill>
      </fill>
    </dxf>
    <dxf>
      <font>
        <b/>
        <color rgb="FFA1282F"/>
      </font>
      <fill>
        <patternFill patternType="solid">
          <bgColor rgb="FFFDE9E7"/>
        </patternFill>
      </fill>
    </dxf>
    <dxf>
      <font>
        <b/>
        <color rgb="FFA1282F"/>
      </font>
      <fill>
        <patternFill patternType="solid">
          <bgColor rgb="FFFDE9E7"/>
        </patternFill>
      </fill>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numFmt numFmtId="180" formatCode="yyyy/mm/dd"/>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180" formatCode="yyyy/mm/dd"/>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0" formatCode="yyyy/mm/dd"/>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numFmt numFmtId="180" formatCode="yyyy/mm/dd"/>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180" formatCode="yyyy/mm/dd"/>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182" formatCode="yyyy/mm/dd\ hh:mm:ss"/>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181" formatCode="#,##0.00;[Red]\(#,##0.00\)"/>
    </dxf>
    <dxf>
      <font>
        <b val="0"/>
        <i val="0"/>
        <strike val="0"/>
        <condense val="0"/>
        <extend val="0"/>
        <outline val="0"/>
        <shadow val="0"/>
        <u val="none"/>
        <vertAlign val="baseline"/>
        <sz val="10"/>
        <color rgb="FF153D2C"/>
        <name val="Aptos"/>
        <family val="2"/>
        <scheme val="none"/>
      </font>
      <numFmt numFmtId="180" formatCode="yyyy/mm/dd"/>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numFmt numFmtId="0" formatCode="Genera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153D2C"/>
        <name val="Aptos"/>
        <family val="2"/>
        <scheme val="none"/>
      </font>
    </dxf>
    <dxf>
      <numFmt numFmtId="0" formatCode="General"/>
    </dxf>
    <dxf>
      <font>
        <b val="0"/>
        <i val="0"/>
        <strike val="0"/>
        <condense val="0"/>
        <extend val="0"/>
        <outline val="0"/>
        <shadow val="0"/>
        <u val="none"/>
        <vertAlign val="baseline"/>
        <sz val="10"/>
        <color rgb="FF153D2C"/>
        <name val="Aptos"/>
        <family val="2"/>
        <scheme val="none"/>
      </font>
      <numFmt numFmtId="0" formatCode="General"/>
      <fill>
        <patternFill patternType="solid">
          <fgColor indexed="64"/>
          <bgColor rgb="FFF5F3EB"/>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color rgb="FF202A35"/>
      </font>
      <fill>
        <patternFill patternType="solid">
          <fgColor indexed="64"/>
          <bgColor rgb="FFFFFFFF"/>
        </patternFill>
      </fill>
      <alignment horizontal="left" vertical="bottom" textRotation="0" wrapText="0" indent="1" justifyLastLine="0" shrinkToFit="0" readingOrder="0"/>
    </dxf>
    <dxf>
      <font>
        <color rgb="FF175494"/>
      </font>
      <fill>
        <patternFill patternType="solid">
          <fgColor indexed="64"/>
          <bgColor rgb="FFFFF3CD"/>
        </patternFill>
      </fill>
    </dxf>
    <dxf>
      <font>
        <color rgb="FF175494"/>
      </font>
      <fill>
        <patternFill patternType="solid">
          <fgColor indexed="64"/>
          <bgColor rgb="FFFFF3CD"/>
        </patternFill>
      </fill>
    </dxf>
    <dxf>
      <font>
        <color rgb="FF175494"/>
      </font>
      <fill>
        <patternFill patternType="solid">
          <fgColor indexed="64"/>
          <bgColor rgb="FFFFF3CD"/>
        </patternFill>
      </fill>
    </dxf>
    <dxf>
      <font>
        <color rgb="FF175494"/>
      </font>
      <fill>
        <patternFill patternType="solid">
          <fgColor indexed="64"/>
          <bgColor rgb="FFFFF3CD"/>
        </patternFill>
      </fill>
    </dxf>
    <dxf>
      <font>
        <color rgb="FF175494"/>
      </font>
      <fill>
        <patternFill patternType="solid">
          <fgColor indexed="64"/>
          <bgColor rgb="FFFFF3CD"/>
        </patternFill>
      </fill>
    </dxf>
    <dxf>
      <font>
        <color rgb="FF175494"/>
      </font>
      <fill>
        <patternFill patternType="solid">
          <fgColor indexed="64"/>
          <bgColor rgb="FFFFF3CD"/>
        </patternFill>
      </fill>
    </dxf>
    <dxf>
      <font>
        <color rgb="FF175494"/>
      </font>
      <fill>
        <patternFill patternType="solid">
          <fgColor indexed="64"/>
          <bgColor rgb="FFFFF3CD"/>
        </patternFill>
      </fill>
      <alignment horizontal="left" vertical="center" textRotation="0" wrapText="0" indent="1" justifyLastLine="0" shrinkToFit="0" readingOrder="0"/>
    </dxf>
    <dxf>
      <font>
        <color rgb="FF175494"/>
      </font>
      <fill>
        <patternFill patternType="solid">
          <fgColor indexed="64"/>
          <bgColor rgb="FFFFF3CD"/>
        </patternFill>
      </fill>
    </dxf>
    <dxf>
      <font>
        <color rgb="FF175494"/>
      </font>
      <fill>
        <patternFill patternType="solid">
          <fgColor indexed="64"/>
          <bgColor rgb="FFFFF3CD"/>
        </patternFill>
      </fill>
    </dxf>
    <dxf>
      <font>
        <color rgb="FFFFFFFF"/>
      </font>
      <fill>
        <patternFill patternType="solid">
          <fgColor indexed="64"/>
          <bgColor rgb="FF213C5A"/>
        </patternFill>
      </fill>
    </dxf>
    <dxf>
      <numFmt numFmtId="177" formatCode="0.0%"/>
      <alignment horizontal="right" vertical="center" textRotation="0" wrapText="1" indent="0" justifyLastLine="0" shrinkToFit="0" readingOrder="0"/>
    </dxf>
    <dxf>
      <numFmt numFmtId="0" formatCode="General"/>
    </dxf>
    <dxf>
      <numFmt numFmtId="176" formatCode="0.00&quot;x&quot;"/>
      <alignment horizontal="right" vertical="center" textRotation="0" wrapText="1" indent="0" justifyLastLine="0" shrinkToFit="0" readingOrder="0"/>
    </dxf>
    <dxf>
      <numFmt numFmtId="174" formatCode="#,##0.00;[Red]\(#,##0.00\);0.00"/>
      <alignment horizontal="right" vertical="center" textRotation="0" wrapText="1" indent="0" justifyLastLine="0" shrinkToFit="0" readingOrder="0"/>
    </dxf>
    <dxf>
      <numFmt numFmtId="174" formatCode="#,##0.00;[Red]\(#,##0.00\);0.00"/>
      <alignment horizontal="right" vertical="center" textRotation="0" wrapText="1" indent="0" justifyLastLine="0" shrinkToFit="0" readingOrder="0"/>
    </dxf>
    <dxf>
      <numFmt numFmtId="174" formatCode="#,##0.00;[Red]\(#,##0.00\);0.00"/>
      <alignment horizontal="right" vertical="center" textRotation="0" wrapText="1" indent="0" justifyLastLine="0" shrinkToFit="0" readingOrder="0"/>
    </dxf>
    <dxf>
      <numFmt numFmtId="3" formatCode="#,##0"/>
      <alignment horizontal="right" vertical="center" textRotation="0" wrapText="1" indent="0" justifyLastLine="0" shrinkToFit="0" readingOrder="0"/>
    </dxf>
    <dxf>
      <numFmt numFmtId="0" formatCode="General"/>
    </dxf>
    <dxf>
      <numFmt numFmtId="174" formatCode="#,##0.00;[Red]\(#,##0.00\);0.00"/>
      <alignment horizontal="right" vertical="center" textRotation="0" wrapText="1" indent="0" justifyLastLine="0" shrinkToFit="0" readingOrder="0"/>
    </dxf>
    <dxf>
      <numFmt numFmtId="174" formatCode="#,##0.00;[Red]\(#,##0.00\);0.00"/>
      <alignment horizontal="right" vertical="center" textRotation="0" wrapText="1" indent="0" justifyLastLine="0" shrinkToFit="0" readingOrder="0"/>
    </dxf>
    <dxf>
      <numFmt numFmtId="174" formatCode="#,##0.00;[Red]\(#,##0.00\);0.00"/>
      <alignment horizontal="right" vertical="center" textRotation="0" wrapText="1" indent="0" justifyLastLine="0" shrinkToFit="0" readingOrder="0"/>
    </dxf>
    <dxf>
      <alignment horizontal="right" vertical="center" textRotation="0" wrapText="1" indent="0" justifyLastLine="0" shrinkToFit="0" readingOrder="0"/>
    </dxf>
    <dxf>
      <alignment horizontal="right" vertical="center" textRotation="0" wrapText="1" indent="0" justifyLastLine="0" shrinkToFit="0" readingOrder="0"/>
    </dxf>
    <dxf>
      <alignment horizontal="right" vertical="center" textRotation="0" wrapText="1" indent="0" justifyLastLine="0" shrinkToFit="0" readingOrder="0"/>
    </dxf>
    <dxf>
      <alignment horizontal="right" vertical="center" textRotation="0" wrapText="1" indent="0" justifyLastLine="0" shrinkToFit="0" readingOrder="0"/>
    </dxf>
    <dxf>
      <alignment horizontal="right" vertical="center" textRotation="0" wrapText="1" indent="0" justifyLastLine="0" shrinkToFit="0" readingOrder="0"/>
    </dxf>
    <dxf>
      <font>
        <color rgb="FF202A35"/>
      </font>
      <numFmt numFmtId="0" formatCode="General"/>
    </dxf>
    <dxf>
      <font>
        <color rgb="FF202A35"/>
      </font>
      <numFmt numFmtId="173" formatCode="dd\ mmm\ yyyy\ hh:mm"/>
    </dxf>
    <dxf>
      <font>
        <color rgb="FF175494"/>
      </font>
      <fill>
        <patternFill patternType="solid">
          <fgColor indexed="64"/>
          <bgColor rgb="FFFFF3CD"/>
        </patternFill>
      </fill>
      <border diagonalUp="0" diagonalDown="0" outline="0">
        <left/>
        <right/>
        <top style="thin">
          <color rgb="FFE2E8F0"/>
        </top>
        <bottom style="thin">
          <color rgb="FFE2E8F0"/>
        </bottom>
      </border>
    </dxf>
    <dxf>
      <font>
        <color rgb="FF202A35"/>
      </font>
      <numFmt numFmtId="0" formatCode="General"/>
      <alignment horizontal="left" vertical="center" textRotation="0" wrapText="1" indent="1" justifyLastLine="0" shrinkToFit="0" readingOrder="0"/>
      <border diagonalUp="0" diagonalDown="0" outline="0">
        <left/>
        <right/>
        <top style="thin">
          <color rgb="FFE2E8F0"/>
        </top>
        <bottom style="thin">
          <color rgb="FFE2E8F0"/>
        </bottom>
      </border>
    </dxf>
    <dxf>
      <font>
        <color rgb="FF202A35"/>
      </font>
      <numFmt numFmtId="172" formatCode="dd\ mmm\ hh:mm"/>
      <border diagonalUp="0" diagonalDown="0" outline="0">
        <left/>
        <right/>
        <top style="thin">
          <color rgb="FFE2E8F0"/>
        </top>
        <bottom style="thin">
          <color rgb="FFE2E8F0"/>
        </bottom>
      </border>
    </dxf>
    <dxf>
      <font>
        <color rgb="FF202A35"/>
      </font>
      <numFmt numFmtId="171" formatCode="0&quot; min&quot;"/>
      <border diagonalUp="0" diagonalDown="0" outline="0">
        <left/>
        <right/>
        <top style="thin">
          <color rgb="FFE2E8F0"/>
        </top>
        <bottom style="thin">
          <color rgb="FFE2E8F0"/>
        </bottom>
      </border>
    </dxf>
    <dxf>
      <font>
        <color rgb="FF202A35"/>
      </font>
      <numFmt numFmtId="170" formatCode="\+0.00%;\-0.00%;&quot;0.00%&quot;"/>
      <alignment horizontal="right" vertical="center" textRotation="0" wrapText="0" indent="0" justifyLastLine="0" shrinkToFit="0" readingOrder="0"/>
      <border diagonalUp="0" diagonalDown="0" outline="0">
        <left/>
        <right/>
        <top style="thin">
          <color rgb="FFE2E8F0"/>
        </top>
        <bottom style="thin">
          <color rgb="FFE2E8F0"/>
        </bottom>
      </border>
    </dxf>
    <dxf>
      <font>
        <color rgb="FF202A35"/>
      </font>
      <numFmt numFmtId="4" formatCode="#,##0.00"/>
      <alignment horizontal="right" vertical="center" textRotation="0" wrapText="0" indent="0" justifyLastLine="0" shrinkToFit="0" readingOrder="0"/>
      <border diagonalUp="0" diagonalDown="0" outline="0">
        <left/>
        <right/>
        <top style="thin">
          <color rgb="FFE2E8F0"/>
        </top>
        <bottom style="thin">
          <color rgb="FFE2E8F0"/>
        </bottom>
      </border>
    </dxf>
    <dxf>
      <font>
        <color rgb="FF175494"/>
      </font>
      <fill>
        <patternFill patternType="solid">
          <fgColor indexed="64"/>
          <bgColor rgb="FFFFF3CD"/>
        </patternFill>
      </fill>
      <border diagonalUp="0" diagonalDown="0">
        <left/>
        <right/>
        <top style="thin">
          <color rgb="FFE2E8F0"/>
        </top>
        <bottom style="thin">
          <color rgb="FFE2E8F0"/>
        </bottom>
        <vertical/>
        <horizontal style="thin">
          <color rgb="FFE2E8F0"/>
        </horizontal>
      </border>
    </dxf>
    <dxf>
      <font>
        <color rgb="FF202A35"/>
      </font>
      <border diagonalUp="0" diagonalDown="0">
        <left/>
        <right/>
        <top style="thin">
          <color rgb="FFE2E8F0"/>
        </top>
        <bottom style="thin">
          <color rgb="FFE2E8F0"/>
        </bottom>
        <vertical/>
        <horizontal style="thin">
          <color rgb="FFE2E8F0"/>
        </horizontal>
      </border>
    </dxf>
    <dxf>
      <font>
        <b val="0"/>
        <i val="0"/>
        <strike val="0"/>
        <condense val="0"/>
        <extend val="0"/>
        <outline val="0"/>
        <shadow val="0"/>
        <u val="none"/>
        <vertAlign val="baseline"/>
        <sz val="10"/>
        <color rgb="FF202A35"/>
        <name val="Arial"/>
        <scheme val="none"/>
      </font>
      <alignment horizontal="general" vertical="center" textRotation="0" wrapText="0" indent="0" justifyLastLine="0" shrinkToFit="0" readingOrder="0"/>
    </dxf>
    <dxf>
      <font>
        <b/>
        <i val="0"/>
        <strike val="0"/>
        <condense val="0"/>
        <extend val="0"/>
        <outline val="0"/>
        <shadow val="0"/>
        <u val="none"/>
        <vertAlign val="baseline"/>
        <sz val="10"/>
        <color rgb="FFFFFFFF"/>
        <name val="Arial"/>
        <scheme val="none"/>
      </font>
      <fill>
        <patternFill patternType="solid">
          <fgColor indexed="64"/>
          <bgColor rgb="FF213C5A"/>
        </patternFill>
      </fill>
      <alignment horizontal="general" vertical="center" textRotation="0" wrapText="0" indent="0" justifyLastLine="0" shrinkToFit="0" readingOrder="0"/>
    </dxf>
    <dxf>
      <font>
        <b val="0"/>
        <i val="0"/>
        <strike val="0"/>
        <condense val="0"/>
        <extend val="0"/>
        <outline val="0"/>
        <shadow val="0"/>
        <u val="none"/>
        <vertAlign val="baseline"/>
        <sz val="10"/>
        <color rgb="FF202A35"/>
        <name val="Arial"/>
        <scheme val="none"/>
      </font>
      <alignment horizontal="general" vertical="center" textRotation="0" wrapText="0" indent="0" justifyLastLine="0" shrinkToFit="0" readingOrder="0"/>
    </dxf>
    <dxf>
      <font>
        <b/>
        <i val="0"/>
        <strike val="0"/>
        <condense val="0"/>
        <extend val="0"/>
        <outline val="0"/>
        <shadow val="0"/>
        <u val="none"/>
        <vertAlign val="baseline"/>
        <sz val="10"/>
        <color rgb="FFFFFFFF"/>
        <name val="Arial"/>
        <scheme val="none"/>
      </font>
      <fill>
        <patternFill patternType="solid">
          <fgColor indexed="64"/>
          <bgColor rgb="FF213C5A"/>
        </patternFill>
      </fill>
      <alignment horizontal="center" vertical="center" textRotation="0" wrapText="1" indent="0" justifyLastLine="0" shrinkToFit="0" readingOrder="0"/>
    </dxf>
    <dxf>
      <font>
        <b val="0"/>
        <i val="0"/>
        <strike val="0"/>
        <condense val="0"/>
        <extend val="0"/>
        <outline val="0"/>
        <shadow val="0"/>
        <u val="none"/>
        <vertAlign val="baseline"/>
        <sz val="10"/>
        <color rgb="FF202A35"/>
        <name val="Arial"/>
        <scheme val="none"/>
      </font>
      <alignment horizontal="general" vertical="center" textRotation="0" wrapText="0" indent="0" justifyLastLine="0" shrinkToFit="0" readingOrder="0"/>
    </dxf>
    <dxf>
      <font>
        <b/>
        <i val="0"/>
        <strike val="0"/>
        <condense val="0"/>
        <extend val="0"/>
        <outline val="0"/>
        <shadow val="0"/>
        <u val="none"/>
        <vertAlign val="baseline"/>
        <sz val="10"/>
        <color rgb="FFFFFFFF"/>
        <name val="Arial"/>
        <scheme val="none"/>
      </font>
      <fill>
        <patternFill patternType="solid">
          <fgColor indexed="64"/>
          <bgColor rgb="FF213C5A"/>
        </patternFill>
      </fill>
      <alignment horizontal="center" vertical="center" textRotation="0" wrapText="1" indent="0" justifyLastLine="0" shrinkToFit="0" readingOrder="0"/>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180" formatCode="yyyy/mm/dd"/>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FFFFFF"/>
        <name val="Aptos"/>
        <family val="2"/>
        <scheme val="none"/>
      </font>
      <numFmt numFmtId="30" formatCode="@"/>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FFFFFF"/>
        <name val="Aptos"/>
        <family val="2"/>
        <scheme val="none"/>
      </font>
      <numFmt numFmtId="30" formatCode="@"/>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181" formatCode="#,##0.00;[Red]\(#,##0.00\)"/>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181" formatCode="#,##0.00;[Red]\(#,##0.00\)"/>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181" formatCode="#,##0.00;[Red]\(#,##0.00\)"/>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181" formatCode="#,##0.00;[Red]\(#,##0.00\)"/>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180" formatCode="yyyy/mm/dd"/>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FFFFFF"/>
        <name val="Aptos"/>
        <family val="2"/>
        <scheme val="none"/>
      </font>
      <numFmt numFmtId="30" formatCode="@"/>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182" formatCode="yyyy/mm/dd\ hh:mm:ss"/>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181" formatCode="#,##0.00;[Red]\(#,##0.00\)"/>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180" formatCode="yyyy/mm/dd"/>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FFFFFF"/>
        <name val="Aptos"/>
        <family val="2"/>
        <scheme val="none"/>
      </font>
      <numFmt numFmtId="30" formatCode="@"/>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181" formatCode="#,##0.00;[Red]\(#,##0.00\)"/>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181" formatCode="#,##0.00;[Red]\(#,##0.00\)"/>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181" formatCode="#,##0.00;[Red]\(#,##0.00\)"/>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180" formatCode="yyyy/mm/dd"/>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180" formatCode="yyyy/mm/dd"/>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181" formatCode="#,##0.00;[Red]\(#,##0.00\)"/>
      <fill>
        <patternFill patternType="solid">
          <fgColor indexed="64"/>
          <bgColor rgb="FFFFF3CF"/>
        </patternFill>
      </fill>
    </dxf>
    <dxf>
      <font>
        <b val="0"/>
        <i val="0"/>
        <strike val="0"/>
        <condense val="0"/>
        <extend val="0"/>
        <outline val="0"/>
        <shadow val="0"/>
        <u val="none"/>
        <vertAlign val="baseline"/>
        <sz val="10"/>
        <color rgb="FFFFFFFF"/>
        <name val="Aptos"/>
        <family val="2"/>
        <scheme val="none"/>
      </font>
      <numFmt numFmtId="181" formatCode="#,##0.00;[Red]\(#,##0.00\)"/>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180" formatCode="yyyy/mm/dd"/>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fill>
        <patternFill patternType="solid">
          <fgColor indexed="64"/>
          <bgColor rgb="FFFFF3CF"/>
        </patternFill>
      </fill>
    </dxf>
    <dxf>
      <font>
        <b val="0"/>
        <i val="0"/>
        <strike val="0"/>
        <outline val="0"/>
        <shadow val="0"/>
        <u val="none"/>
        <vertAlign val="baseline"/>
        <sz val="10"/>
        <color rgb="FFFFFFFF"/>
        <name val="Aptos"/>
        <family val="2"/>
        <scheme val="none"/>
      </font>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FFFFFF"/>
        <name val="Aptos"/>
        <family val="2"/>
        <scheme val="none"/>
      </font>
      <numFmt numFmtId="30" formatCode="@"/>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numFmt numFmtId="180" formatCode="yyyy/mm/dd"/>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153D2C"/>
        <name val="Aptos"/>
        <family val="2"/>
        <scheme val="none"/>
      </font>
      <numFmt numFmtId="30" formatCode="@"/>
      <fill>
        <patternFill patternType="solid">
          <fgColor indexed="64"/>
          <bgColor rgb="FFFFF3CF"/>
        </patternFill>
      </fill>
    </dxf>
    <dxf>
      <font>
        <b val="0"/>
        <i val="0"/>
        <strike val="0"/>
        <condense val="0"/>
        <extend val="0"/>
        <outline val="0"/>
        <shadow val="0"/>
        <u val="none"/>
        <vertAlign val="baseline"/>
        <sz val="10"/>
        <color rgb="FFFFFFFF"/>
        <name val="Aptos"/>
        <family val="2"/>
        <scheme val="none"/>
      </font>
      <numFmt numFmtId="30" formatCode="@"/>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FFFFFF"/>
        <name val="Aptos"/>
        <family val="2"/>
        <scheme val="none"/>
      </font>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FFFFFF"/>
        <name val="Aptos"/>
        <family val="2"/>
        <scheme val="none"/>
      </font>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FFFFFF"/>
        <name val="Aptos"/>
        <family val="2"/>
        <scheme val="none"/>
      </font>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FFFFFF"/>
        <name val="Aptos"/>
        <family val="2"/>
        <scheme val="none"/>
      </font>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FFFFFF"/>
        <name val="Aptos"/>
        <family val="2"/>
        <scheme val="none"/>
      </font>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FFFFFF"/>
        <name val="Aptos"/>
        <family val="2"/>
        <scheme val="none"/>
      </font>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FFFFFF"/>
        <name val="Aptos"/>
        <family val="2"/>
        <scheme val="none"/>
      </font>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FFFFFF"/>
        <name val="Aptos"/>
        <family val="2"/>
        <scheme val="none"/>
      </font>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FFFFFF"/>
        <name val="Aptos"/>
        <family val="2"/>
        <scheme val="none"/>
      </font>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FFFFFF"/>
        <name val="Aptos"/>
        <family val="2"/>
        <scheme val="none"/>
      </font>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FFFFFF"/>
        <name val="Aptos"/>
        <family val="2"/>
        <scheme val="none"/>
      </font>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FFFFFF"/>
        <name val="Aptos"/>
        <family val="2"/>
        <scheme val="none"/>
      </font>
      <fill>
        <patternFill patternType="solid">
          <fgColor indexed="64"/>
          <bgColor rgb="FF153D2C"/>
        </patternFill>
      </fill>
    </dxf>
    <dxf>
      <font>
        <b val="0"/>
        <i val="0"/>
        <strike val="0"/>
        <condense val="0"/>
        <extend val="0"/>
        <outline val="0"/>
        <shadow val="0"/>
        <u val="none"/>
        <vertAlign val="baseline"/>
        <sz val="10"/>
        <color rgb="FF153D2C"/>
        <name val="Aptos"/>
        <family val="2"/>
        <scheme val="none"/>
      </font>
    </dxf>
    <dxf>
      <font>
        <b val="0"/>
        <i val="0"/>
        <strike val="0"/>
        <condense val="0"/>
        <extend val="0"/>
        <outline val="0"/>
        <shadow val="0"/>
        <u val="none"/>
        <vertAlign val="baseline"/>
        <sz val="10"/>
        <color rgb="FFFFFFFF"/>
        <name val="Aptos"/>
        <family val="2"/>
        <scheme val="none"/>
      </font>
      <fill>
        <patternFill patternType="solid">
          <fgColor indexed="64"/>
          <bgColor rgb="FF153D2C"/>
        </patternFill>
      </fill>
    </dxf>
    <dxf>
      <numFmt numFmtId="0" formatCode="General"/>
    </dxf>
    <dxf>
      <font>
        <b/>
        <family val="2"/>
      </font>
    </dxf>
    <dxf>
      <font>
        <b/>
        <family val="2"/>
      </font>
    </dxf>
    <dxf>
      <alignment wrapText="1"/>
    </dxf>
    <dxf>
      <alignment wrapText="1"/>
    </dxf>
    <dxf>
      <numFmt numFmtId="181" formatCode="#,##0.00;[Red]\(#,##0.00\)"/>
    </dxf>
    <dxf>
      <numFmt numFmtId="181" formatCode="#,##0.00;[Red]\(#,##0.00\)"/>
    </dxf>
    <dxf>
      <numFmt numFmtId="181" formatCode="#,##0.00;[Red]\(#,##0.00\)"/>
    </dxf>
    <dxf>
      <numFmt numFmtId="181" formatCode="#,##0.00;[Red]\(#,##0.00\)"/>
    </dxf>
    <dxf>
      <numFmt numFmtId="181" formatCode="#,##0.00;[Red]\(#,##0.00\)"/>
    </dxf>
    <dxf>
      <numFmt numFmtId="181" formatCode="#,##0.00;[Red]\(#,##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pivotCacheDefinition" Target="pivotCache/pivotCacheDefinition2.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pivotCacheDefinition" Target="pivotCache/pivotCacheDefinition1.xml"/><Relationship Id="rId52" Type="http://schemas.openxmlformats.org/officeDocument/2006/relationships/powerPivotData" Target="model/item.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onnections" Target="connections.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microsoft.com/office/2007/relationships/slicerCache" Target="slicerCaches/slicerCach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CA" sz="975">
                <a:latin typeface="Arial"/>
                <a:ea typeface="Arial"/>
                <a:cs typeface="Arial"/>
              </a:rPr>
              <a:t>Cash-flow-adjusted growth (start 100)</a:t>
            </a:r>
          </a:p>
        </c:rich>
      </c:tx>
      <c:overlay val="0"/>
    </c:title>
    <c:autoTitleDeleted val="0"/>
    <c:plotArea>
      <c:layout/>
      <c:lineChart>
        <c:grouping val="standard"/>
        <c:varyColors val="0"/>
        <c:ser>
          <c:idx val="0"/>
          <c:order val="0"/>
          <c:tx>
            <c:v>Portfolio index</c:v>
          </c:tx>
          <c:spPr>
            <a:ln w="19050">
              <a:solidFill>
                <a:srgbClr val="086E76"/>
              </a:solidFill>
              <a:prstDash val="solid"/>
            </a:ln>
          </c:spPr>
          <c:marker>
            <c:symbol val="none"/>
          </c:marker>
          <c:cat>
            <c:strRef>
              <c:f>Performance!$A$36:$A$61</c:f>
              <c:strCache>
                <c:ptCount val="26"/>
                <c:pt idx="0">
                  <c:v>27-Mar</c:v>
                </c:pt>
                <c:pt idx="1">
                  <c:v>03-Apr</c:v>
                </c:pt>
                <c:pt idx="2">
                  <c:v>10-Apr</c:v>
                </c:pt>
                <c:pt idx="3">
                  <c:v>17-Apr</c:v>
                </c:pt>
                <c:pt idx="4">
                  <c:v>24-Apr</c:v>
                </c:pt>
                <c:pt idx="5">
                  <c:v>01-May</c:v>
                </c:pt>
                <c:pt idx="6">
                  <c:v>08-May</c:v>
                </c:pt>
                <c:pt idx="7">
                  <c:v>15-May</c:v>
                </c:pt>
                <c:pt idx="8">
                  <c:v>22-May</c:v>
                </c:pt>
                <c:pt idx="9">
                  <c:v>29-May</c:v>
                </c:pt>
                <c:pt idx="10">
                  <c:v>05-Jun</c:v>
                </c:pt>
                <c:pt idx="11">
                  <c:v>12-Jun</c:v>
                </c:pt>
                <c:pt idx="12">
                  <c:v>19-Jun</c:v>
                </c:pt>
                <c:pt idx="13">
                  <c:v>26-Jun</c:v>
                </c:pt>
                <c:pt idx="14">
                  <c:v>03-Jul</c:v>
                </c:pt>
                <c:pt idx="15">
                  <c:v>10-Jul</c:v>
                </c:pt>
                <c:pt idx="16">
                  <c:v>17-Jul</c:v>
                </c:pt>
                <c:pt idx="17">
                  <c:v>24-Jul</c:v>
                </c:pt>
                <c:pt idx="18">
                  <c:v>31-Jul</c:v>
                </c:pt>
                <c:pt idx="19">
                  <c:v>07-Aug</c:v>
                </c:pt>
                <c:pt idx="20">
                  <c:v>14-Aug</c:v>
                </c:pt>
                <c:pt idx="21">
                  <c:v>21-Aug</c:v>
                </c:pt>
                <c:pt idx="22">
                  <c:v>28-Aug</c:v>
                </c:pt>
                <c:pt idx="23">
                  <c:v>04-Sep</c:v>
                </c:pt>
                <c:pt idx="24">
                  <c:v>11-Sep</c:v>
                </c:pt>
                <c:pt idx="25">
                  <c:v>18-Sep</c:v>
                </c:pt>
              </c:strCache>
            </c:strRef>
          </c:cat>
          <c:val>
            <c:numRef>
              <c:f>Performance!$B$36:$B$61</c:f>
              <c:numCache>
                <c:formatCode>0.00</c:formatCode>
                <c:ptCount val="26"/>
                <c:pt idx="0">
                  <c:v>101.2429504</c:v>
                </c:pt>
                <c:pt idx="1">
                  <c:v>100.03672560000001</c:v>
                </c:pt>
                <c:pt idx="2">
                  <c:v>99.515026400000011</c:v>
                </c:pt>
                <c:pt idx="3">
                  <c:v>99.757746799999993</c:v>
                </c:pt>
                <c:pt idx="4">
                  <c:v>99.390875599999987</c:v>
                </c:pt>
                <c:pt idx="5">
                  <c:v>98.714225090064147</c:v>
                </c:pt>
                <c:pt idx="6">
                  <c:v>98.217545810087017</c:v>
                </c:pt>
                <c:pt idx="7">
                  <c:v>98.661626156553595</c:v>
                </c:pt>
                <c:pt idx="8">
                  <c:v>97.536683763660562</c:v>
                </c:pt>
                <c:pt idx="9">
                  <c:v>97.902007757279236</c:v>
                </c:pt>
                <c:pt idx="10">
                  <c:v>96.849714132091094</c:v>
                </c:pt>
                <c:pt idx="11">
                  <c:v>95.74796749256403</c:v>
                </c:pt>
                <c:pt idx="12">
                  <c:v>97.292863772983949</c:v>
                </c:pt>
                <c:pt idx="13">
                  <c:v>99.15156612612985</c:v>
                </c:pt>
                <c:pt idx="14">
                  <c:v>99.731054603237965</c:v>
                </c:pt>
                <c:pt idx="15">
                  <c:v>100.54808611815967</c:v>
                </c:pt>
                <c:pt idx="16">
                  <c:v>101.68400019915038</c:v>
                </c:pt>
                <c:pt idx="17">
                  <c:v>100.55460269094806</c:v>
                </c:pt>
                <c:pt idx="18">
                  <c:v>101.69615836893909</c:v>
                </c:pt>
                <c:pt idx="19">
                  <c:v>102.84219127019533</c:v>
                </c:pt>
                <c:pt idx="20">
                  <c:v>102.76906414876852</c:v>
                </c:pt>
                <c:pt idx="21">
                  <c:v>100.94956528516305</c:v>
                </c:pt>
                <c:pt idx="22">
                  <c:v>99.090048706669975</c:v>
                </c:pt>
                <c:pt idx="23">
                  <c:v>100.69837048665232</c:v>
                </c:pt>
                <c:pt idx="24">
                  <c:v>101.70966311665187</c:v>
                </c:pt>
                <c:pt idx="25">
                  <c:v>98.282375746643709</c:v>
                </c:pt>
              </c:numCache>
            </c:numRef>
          </c:val>
          <c:smooth val="0"/>
          <c:extLst>
            <c:ext xmlns:c16="http://schemas.microsoft.com/office/drawing/2014/chart" uri="{C3380CC4-5D6E-409C-BE32-E72D297353CC}">
              <c16:uniqueId val="{00000000-0948-46B9-82A8-F1EEAD69164D}"/>
            </c:ext>
          </c:extLst>
        </c:ser>
        <c:ser>
          <c:idx val="1"/>
          <c:order val="1"/>
          <c:tx>
            <c:v>Benchmark index</c:v>
          </c:tx>
          <c:spPr>
            <a:ln w="19050">
              <a:solidFill>
                <a:srgbClr val="A56A17"/>
              </a:solidFill>
              <a:prstDash val="dash"/>
            </a:ln>
          </c:spPr>
          <c:marker>
            <c:symbol val="none"/>
          </c:marker>
          <c:cat>
            <c:strRef>
              <c:f>Performance!$A$36:$A$61</c:f>
              <c:strCache>
                <c:ptCount val="26"/>
                <c:pt idx="0">
                  <c:v>27-Mar</c:v>
                </c:pt>
                <c:pt idx="1">
                  <c:v>03-Apr</c:v>
                </c:pt>
                <c:pt idx="2">
                  <c:v>10-Apr</c:v>
                </c:pt>
                <c:pt idx="3">
                  <c:v>17-Apr</c:v>
                </c:pt>
                <c:pt idx="4">
                  <c:v>24-Apr</c:v>
                </c:pt>
                <c:pt idx="5">
                  <c:v>01-May</c:v>
                </c:pt>
                <c:pt idx="6">
                  <c:v>08-May</c:v>
                </c:pt>
                <c:pt idx="7">
                  <c:v>15-May</c:v>
                </c:pt>
                <c:pt idx="8">
                  <c:v>22-May</c:v>
                </c:pt>
                <c:pt idx="9">
                  <c:v>29-May</c:v>
                </c:pt>
                <c:pt idx="10">
                  <c:v>05-Jun</c:v>
                </c:pt>
                <c:pt idx="11">
                  <c:v>12-Jun</c:v>
                </c:pt>
                <c:pt idx="12">
                  <c:v>19-Jun</c:v>
                </c:pt>
                <c:pt idx="13">
                  <c:v>26-Jun</c:v>
                </c:pt>
                <c:pt idx="14">
                  <c:v>03-Jul</c:v>
                </c:pt>
                <c:pt idx="15">
                  <c:v>10-Jul</c:v>
                </c:pt>
                <c:pt idx="16">
                  <c:v>17-Jul</c:v>
                </c:pt>
                <c:pt idx="17">
                  <c:v>24-Jul</c:v>
                </c:pt>
                <c:pt idx="18">
                  <c:v>31-Jul</c:v>
                </c:pt>
                <c:pt idx="19">
                  <c:v>07-Aug</c:v>
                </c:pt>
                <c:pt idx="20">
                  <c:v>14-Aug</c:v>
                </c:pt>
                <c:pt idx="21">
                  <c:v>21-Aug</c:v>
                </c:pt>
                <c:pt idx="22">
                  <c:v>28-Aug</c:v>
                </c:pt>
                <c:pt idx="23">
                  <c:v>04-Sep</c:v>
                </c:pt>
                <c:pt idx="24">
                  <c:v>11-Sep</c:v>
                </c:pt>
                <c:pt idx="25">
                  <c:v>18-Sep</c:v>
                </c:pt>
              </c:strCache>
            </c:strRef>
          </c:cat>
          <c:val>
            <c:numRef>
              <c:f>Performance!$C$36:$C$61</c:f>
              <c:numCache>
                <c:formatCode>0.00</c:formatCode>
                <c:ptCount val="26"/>
                <c:pt idx="0">
                  <c:v>101.39547570000001</c:v>
                </c:pt>
                <c:pt idx="1">
                  <c:v>99.58256639999999</c:v>
                </c:pt>
                <c:pt idx="2">
                  <c:v>98.5995116</c:v>
                </c:pt>
                <c:pt idx="3">
                  <c:v>98.854471999999987</c:v>
                </c:pt>
                <c:pt idx="4">
                  <c:v>97.328268899999998</c:v>
                </c:pt>
                <c:pt idx="5">
                  <c:v>96.809650199999993</c:v>
                </c:pt>
                <c:pt idx="6">
                  <c:v>95.382601300000005</c:v>
                </c:pt>
                <c:pt idx="7">
                  <c:v>94.821611200000007</c:v>
                </c:pt>
                <c:pt idx="8">
                  <c:v>93.794179999999997</c:v>
                </c:pt>
                <c:pt idx="9">
                  <c:v>94.293305799999999</c:v>
                </c:pt>
                <c:pt idx="10">
                  <c:v>92.373102100000011</c:v>
                </c:pt>
                <c:pt idx="11">
                  <c:v>92.297650999999988</c:v>
                </c:pt>
                <c:pt idx="12">
                  <c:v>94.067238000000003</c:v>
                </c:pt>
                <c:pt idx="13">
                  <c:v>97.057310399999992</c:v>
                </c:pt>
                <c:pt idx="14">
                  <c:v>97.147943299999994</c:v>
                </c:pt>
                <c:pt idx="15">
                  <c:v>97.803045400000002</c:v>
                </c:pt>
                <c:pt idx="16">
                  <c:v>97.566513400000005</c:v>
                </c:pt>
                <c:pt idx="17">
                  <c:v>96.276389600000002</c:v>
                </c:pt>
                <c:pt idx="18">
                  <c:v>97.485243300000008</c:v>
                </c:pt>
                <c:pt idx="19">
                  <c:v>98.759670500000013</c:v>
                </c:pt>
                <c:pt idx="20">
                  <c:v>98.554955800000002</c:v>
                </c:pt>
                <c:pt idx="21">
                  <c:v>97.847237500000006</c:v>
                </c:pt>
                <c:pt idx="22">
                  <c:v>97.370688800000011</c:v>
                </c:pt>
                <c:pt idx="23">
                  <c:v>98.773055299999996</c:v>
                </c:pt>
                <c:pt idx="24">
                  <c:v>100.32490510000001</c:v>
                </c:pt>
                <c:pt idx="25">
                  <c:v>96.624133900000004</c:v>
                </c:pt>
              </c:numCache>
            </c:numRef>
          </c:val>
          <c:smooth val="0"/>
          <c:extLst>
            <c:ext xmlns:c16="http://schemas.microsoft.com/office/drawing/2014/chart" uri="{C3380CC4-5D6E-409C-BE32-E72D297353CC}">
              <c16:uniqueId val="{00000001-0948-46B9-82A8-F1EEAD69164D}"/>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low"/>
        <c:txPr>
          <a:bodyPr anchorCtr="1"/>
          <a:lstStyle/>
          <a:p>
            <a:pPr>
              <a:defRPr sz="675">
                <a:latin typeface="Arial"/>
                <a:ea typeface="Arial"/>
                <a:cs typeface="Arial"/>
              </a:defRPr>
            </a:pPr>
            <a:endParaRPr lang="en-US"/>
          </a:p>
        </c:txPr>
        <c:crossAx val="48672768"/>
        <c:crosses val="autoZero"/>
        <c:auto val="1"/>
        <c:lblAlgn val="ctr"/>
        <c:lblOffset val="100"/>
        <c:tickLblSkip val="2"/>
        <c:noMultiLvlLbl val="1"/>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txPr>
          <a:bodyPr anchorCtr="1"/>
          <a:lstStyle/>
          <a:p>
            <a:pPr>
              <a:defRPr sz="750">
                <a:latin typeface="Arial"/>
                <a:ea typeface="Arial"/>
                <a:cs typeface="Arial"/>
              </a:defRPr>
            </a:pPr>
            <a:endParaRPr lang="en-US"/>
          </a:p>
        </c:txPr>
        <c:crossAx val="48650112"/>
        <c:crosses val="autoZero"/>
        <c:crossBetween val="between"/>
      </c:valAx>
    </c:plotArea>
    <c:legend>
      <c:legendPos val="t"/>
      <c:overlay val="0"/>
      <c:txPr>
        <a:bodyPr anchorCtr="1"/>
        <a:lstStyle/>
        <a:p>
          <a:pPr>
            <a:defRPr sz="750">
              <a:latin typeface="Arial"/>
              <a:ea typeface="Arial"/>
              <a:cs typeface="Arial"/>
            </a:defRPr>
          </a:pPr>
          <a:endParaRPr lang="en-US"/>
        </a:p>
      </c:txPr>
    </c:legend>
    <c:plotVisOnly val="0"/>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CA" sz="975">
                <a:latin typeface="Arial"/>
                <a:ea typeface="Arial"/>
                <a:cs typeface="Arial"/>
              </a:rPr>
              <a:t>Portfolio drawdown</a:t>
            </a:r>
          </a:p>
        </c:rich>
      </c:tx>
      <c:overlay val="0"/>
    </c:title>
    <c:autoTitleDeleted val="0"/>
    <c:plotArea>
      <c:layout/>
      <c:lineChart>
        <c:grouping val="standard"/>
        <c:varyColors val="0"/>
        <c:ser>
          <c:idx val="0"/>
          <c:order val="0"/>
          <c:tx>
            <c:v>Drawdown</c:v>
          </c:tx>
          <c:spPr>
            <a:ln w="19050">
              <a:solidFill>
                <a:srgbClr val="086E76"/>
              </a:solidFill>
              <a:prstDash val="solid"/>
            </a:ln>
          </c:spPr>
          <c:marker>
            <c:symbol val="none"/>
          </c:marker>
          <c:cat>
            <c:strRef>
              <c:f>Performance!$A$36:$A$61</c:f>
              <c:strCache>
                <c:ptCount val="26"/>
                <c:pt idx="0">
                  <c:v>27-Mar</c:v>
                </c:pt>
                <c:pt idx="1">
                  <c:v>03-Apr</c:v>
                </c:pt>
                <c:pt idx="2">
                  <c:v>10-Apr</c:v>
                </c:pt>
                <c:pt idx="3">
                  <c:v>17-Apr</c:v>
                </c:pt>
                <c:pt idx="4">
                  <c:v>24-Apr</c:v>
                </c:pt>
                <c:pt idx="5">
                  <c:v>01-May</c:v>
                </c:pt>
                <c:pt idx="6">
                  <c:v>08-May</c:v>
                </c:pt>
                <c:pt idx="7">
                  <c:v>15-May</c:v>
                </c:pt>
                <c:pt idx="8">
                  <c:v>22-May</c:v>
                </c:pt>
                <c:pt idx="9">
                  <c:v>29-May</c:v>
                </c:pt>
                <c:pt idx="10">
                  <c:v>05-Jun</c:v>
                </c:pt>
                <c:pt idx="11">
                  <c:v>12-Jun</c:v>
                </c:pt>
                <c:pt idx="12">
                  <c:v>19-Jun</c:v>
                </c:pt>
                <c:pt idx="13">
                  <c:v>26-Jun</c:v>
                </c:pt>
                <c:pt idx="14">
                  <c:v>03-Jul</c:v>
                </c:pt>
                <c:pt idx="15">
                  <c:v>10-Jul</c:v>
                </c:pt>
                <c:pt idx="16">
                  <c:v>17-Jul</c:v>
                </c:pt>
                <c:pt idx="17">
                  <c:v>24-Jul</c:v>
                </c:pt>
                <c:pt idx="18">
                  <c:v>31-Jul</c:v>
                </c:pt>
                <c:pt idx="19">
                  <c:v>07-Aug</c:v>
                </c:pt>
                <c:pt idx="20">
                  <c:v>14-Aug</c:v>
                </c:pt>
                <c:pt idx="21">
                  <c:v>21-Aug</c:v>
                </c:pt>
                <c:pt idx="22">
                  <c:v>28-Aug</c:v>
                </c:pt>
                <c:pt idx="23">
                  <c:v>04-Sep</c:v>
                </c:pt>
                <c:pt idx="24">
                  <c:v>11-Sep</c:v>
                </c:pt>
                <c:pt idx="25">
                  <c:v>18-Sep</c:v>
                </c:pt>
              </c:strCache>
            </c:strRef>
          </c:cat>
          <c:val>
            <c:numRef>
              <c:f>Performance!$D$36:$D$61</c:f>
              <c:numCache>
                <c:formatCode>0.0%;\(0.0%\);"-"</c:formatCode>
                <c:ptCount val="26"/>
                <c:pt idx="0">
                  <c:v>0</c:v>
                </c:pt>
                <c:pt idx="1">
                  <c:v>-1.5293302678724197E-2</c:v>
                </c:pt>
                <c:pt idx="2">
                  <c:v>-2.0428623663552137E-2</c:v>
                </c:pt>
                <c:pt idx="3">
                  <c:v>-1.8039417079440567E-2</c:v>
                </c:pt>
                <c:pt idx="4">
                  <c:v>-2.1650696092498367E-2</c:v>
                </c:pt>
                <c:pt idx="5">
                  <c:v>-2.8311272844519508E-2</c:v>
                </c:pt>
                <c:pt idx="6">
                  <c:v>-3.3200311449899322E-2</c:v>
                </c:pt>
                <c:pt idx="7">
                  <c:v>-2.8829027916860595E-2</c:v>
                </c:pt>
                <c:pt idx="8">
                  <c:v>-3.9902344258818001E-2</c:v>
                </c:pt>
                <c:pt idx="9">
                  <c:v>-3.6306295097364272E-2</c:v>
                </c:pt>
                <c:pt idx="10">
                  <c:v>-4.6664496788356491E-2</c:v>
                </c:pt>
                <c:pt idx="11">
                  <c:v>-5.750948684762236E-2</c:v>
                </c:pt>
                <c:pt idx="12">
                  <c:v>-4.2302374610871718E-2</c:v>
                </c:pt>
                <c:pt idx="13">
                  <c:v>-2.4006327389294313E-2</c:v>
                </c:pt>
                <c:pt idx="14">
                  <c:v>-1.8302160434544801E-2</c:v>
                </c:pt>
                <c:pt idx="15">
                  <c:v>-1.0259750011367585E-2</c:v>
                </c:pt>
                <c:pt idx="16">
                  <c:v>-2.939371255505363E-3</c:v>
                </c:pt>
                <c:pt idx="17">
                  <c:v>-1.4013658138645524E-2</c:v>
                </c:pt>
                <c:pt idx="18">
                  <c:v>-2.8201545410746487E-3</c:v>
                </c:pt>
                <c:pt idx="19">
                  <c:v>0</c:v>
                </c:pt>
                <c:pt idx="20">
                  <c:v>-1.6956301323498568E-3</c:v>
                </c:pt>
                <c:pt idx="21">
                  <c:v>-1.9370342669160823E-2</c:v>
                </c:pt>
                <c:pt idx="22">
                  <c:v>-3.7433789500433967E-2</c:v>
                </c:pt>
                <c:pt idx="23">
                  <c:v>-2.1810462827093535E-2</c:v>
                </c:pt>
                <c:pt idx="24">
                  <c:v>-1.1986710318439453E-2</c:v>
                </c:pt>
                <c:pt idx="25">
                  <c:v>-4.527956927956045E-2</c:v>
                </c:pt>
              </c:numCache>
            </c:numRef>
          </c:val>
          <c:smooth val="0"/>
          <c:extLst>
            <c:ext xmlns:c16="http://schemas.microsoft.com/office/drawing/2014/chart" uri="{C3380CC4-5D6E-409C-BE32-E72D297353CC}">
              <c16:uniqueId val="{00000000-B9B1-4182-8402-A4903AD9887B}"/>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low"/>
        <c:txPr>
          <a:bodyPr anchorCtr="1"/>
          <a:lstStyle/>
          <a:p>
            <a:pPr>
              <a:defRPr sz="675">
                <a:latin typeface="Arial"/>
                <a:ea typeface="Arial"/>
                <a:cs typeface="Arial"/>
              </a:defRPr>
            </a:pPr>
            <a:endParaRPr lang="en-US"/>
          </a:p>
        </c:txPr>
        <c:crossAx val="48672768"/>
        <c:crosses val="autoZero"/>
        <c:auto val="1"/>
        <c:lblAlgn val="ctr"/>
        <c:lblOffset val="100"/>
        <c:tickLblSkip val="2"/>
        <c:noMultiLvlLbl val="1"/>
      </c:catAx>
      <c:valAx>
        <c:axId val="48672768"/>
        <c:scaling>
          <c:orientation val="minMax"/>
        </c:scaling>
        <c:delete val="0"/>
        <c:axPos val="l"/>
        <c:majorGridlines>
          <c:spPr>
            <a:ln w="9525">
              <a:solidFill>
                <a:srgbClr val="CCCCCC"/>
              </a:solidFill>
              <a:prstDash val="dash"/>
            </a:ln>
          </c:spPr>
        </c:majorGridlines>
        <c:numFmt formatCode="0.0%;\(0.0%\);&quot;-&quot;" sourceLinked="0"/>
        <c:majorTickMark val="none"/>
        <c:minorTickMark val="none"/>
        <c:tickLblPos val="nextTo"/>
        <c:txPr>
          <a:bodyPr anchorCtr="1"/>
          <a:lstStyle/>
          <a:p>
            <a:pPr>
              <a:defRPr sz="750">
                <a:latin typeface="Arial"/>
                <a:ea typeface="Arial"/>
                <a:cs typeface="Arial"/>
              </a:defRPr>
            </a:pPr>
            <a:endParaRPr lang="en-US"/>
          </a:p>
        </c:txPr>
        <c:crossAx val="48650112"/>
        <c:crosses val="autoZero"/>
        <c:crossBetween val="between"/>
      </c:valAx>
    </c:plotArea>
    <c:legend>
      <c:legendPos val="t"/>
      <c:overlay val="0"/>
      <c:txPr>
        <a:bodyPr anchorCtr="1"/>
        <a:lstStyle/>
        <a:p>
          <a:pPr>
            <a:defRPr sz="750">
              <a:latin typeface="Arial"/>
              <a:ea typeface="Arial"/>
              <a:cs typeface="Arial"/>
            </a:defRPr>
          </a:pPr>
          <a:endParaRPr lang="en-US"/>
        </a:p>
      </c:txPr>
    </c:legend>
    <c:plotVisOnly val="0"/>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CA"/>
              <a:t>Daily closes and 50-session average (INR)</a:t>
            </a:r>
          </a:p>
        </c:rich>
      </c:tx>
      <c:overlay val="0"/>
    </c:title>
    <c:autoTitleDeleted val="0"/>
    <c:plotArea>
      <c:layout/>
      <c:lineChart>
        <c:grouping val="standard"/>
        <c:varyColors val="0"/>
        <c:ser>
          <c:idx val="0"/>
          <c:order val="0"/>
          <c:tx>
            <c:v>Split-adjusted close</c:v>
          </c:tx>
          <c:spPr>
            <a:ln w="25400">
              <a:solidFill>
                <a:srgbClr val="196479"/>
              </a:solidFill>
              <a:prstDash val="solid"/>
            </a:ln>
          </c:spPr>
          <c:marker>
            <c:symbol val="none"/>
          </c:marker>
          <c:cat>
            <c:numRef>
              <c:f>[0]!StockChartDates</c:f>
              <c:numCache>
                <c:formatCode>dd\ mmm\ yyyy</c:formatCode>
                <c:ptCount val="130"/>
                <c:pt idx="0">
                  <c:v>46104</c:v>
                </c:pt>
                <c:pt idx="1">
                  <c:v>46105</c:v>
                </c:pt>
                <c:pt idx="2">
                  <c:v>46106</c:v>
                </c:pt>
                <c:pt idx="3">
                  <c:v>46107</c:v>
                </c:pt>
                <c:pt idx="4">
                  <c:v>46108</c:v>
                </c:pt>
                <c:pt idx="5">
                  <c:v>46111</c:v>
                </c:pt>
                <c:pt idx="6">
                  <c:v>46112</c:v>
                </c:pt>
                <c:pt idx="7">
                  <c:v>46113</c:v>
                </c:pt>
                <c:pt idx="8">
                  <c:v>46114</c:v>
                </c:pt>
                <c:pt idx="9">
                  <c:v>46115</c:v>
                </c:pt>
                <c:pt idx="10">
                  <c:v>46118</c:v>
                </c:pt>
                <c:pt idx="11">
                  <c:v>46119</c:v>
                </c:pt>
                <c:pt idx="12">
                  <c:v>46120</c:v>
                </c:pt>
                <c:pt idx="13">
                  <c:v>46121</c:v>
                </c:pt>
                <c:pt idx="14">
                  <c:v>46122</c:v>
                </c:pt>
                <c:pt idx="15">
                  <c:v>46125</c:v>
                </c:pt>
                <c:pt idx="16">
                  <c:v>46126</c:v>
                </c:pt>
                <c:pt idx="17">
                  <c:v>46127</c:v>
                </c:pt>
                <c:pt idx="18">
                  <c:v>46128</c:v>
                </c:pt>
                <c:pt idx="19">
                  <c:v>46129</c:v>
                </c:pt>
                <c:pt idx="20">
                  <c:v>46132</c:v>
                </c:pt>
                <c:pt idx="21">
                  <c:v>46133</c:v>
                </c:pt>
                <c:pt idx="22">
                  <c:v>46134</c:v>
                </c:pt>
                <c:pt idx="23">
                  <c:v>46135</c:v>
                </c:pt>
                <c:pt idx="24">
                  <c:v>46136</c:v>
                </c:pt>
                <c:pt idx="25">
                  <c:v>46139</c:v>
                </c:pt>
                <c:pt idx="26">
                  <c:v>46140</c:v>
                </c:pt>
                <c:pt idx="27">
                  <c:v>46141</c:v>
                </c:pt>
                <c:pt idx="28">
                  <c:v>46142</c:v>
                </c:pt>
                <c:pt idx="29">
                  <c:v>46143</c:v>
                </c:pt>
                <c:pt idx="30">
                  <c:v>46146</c:v>
                </c:pt>
                <c:pt idx="31">
                  <c:v>46147</c:v>
                </c:pt>
                <c:pt idx="32">
                  <c:v>46148</c:v>
                </c:pt>
                <c:pt idx="33">
                  <c:v>46149</c:v>
                </c:pt>
                <c:pt idx="34">
                  <c:v>46150</c:v>
                </c:pt>
                <c:pt idx="35">
                  <c:v>46153</c:v>
                </c:pt>
                <c:pt idx="36">
                  <c:v>46154</c:v>
                </c:pt>
                <c:pt idx="37">
                  <c:v>46155</c:v>
                </c:pt>
                <c:pt idx="38">
                  <c:v>46156</c:v>
                </c:pt>
                <c:pt idx="39">
                  <c:v>46157</c:v>
                </c:pt>
                <c:pt idx="40">
                  <c:v>46160</c:v>
                </c:pt>
                <c:pt idx="41">
                  <c:v>46161</c:v>
                </c:pt>
                <c:pt idx="42">
                  <c:v>46162</c:v>
                </c:pt>
                <c:pt idx="43">
                  <c:v>46163</c:v>
                </c:pt>
                <c:pt idx="44">
                  <c:v>46164</c:v>
                </c:pt>
                <c:pt idx="45">
                  <c:v>46167</c:v>
                </c:pt>
                <c:pt idx="46">
                  <c:v>46168</c:v>
                </c:pt>
                <c:pt idx="47">
                  <c:v>46169</c:v>
                </c:pt>
                <c:pt idx="48">
                  <c:v>46170</c:v>
                </c:pt>
                <c:pt idx="49">
                  <c:v>46171</c:v>
                </c:pt>
                <c:pt idx="50">
                  <c:v>46174</c:v>
                </c:pt>
                <c:pt idx="51">
                  <c:v>46175</c:v>
                </c:pt>
                <c:pt idx="52">
                  <c:v>46176</c:v>
                </c:pt>
                <c:pt idx="53">
                  <c:v>46177</c:v>
                </c:pt>
                <c:pt idx="54">
                  <c:v>46178</c:v>
                </c:pt>
                <c:pt idx="55">
                  <c:v>46181</c:v>
                </c:pt>
                <c:pt idx="56">
                  <c:v>46182</c:v>
                </c:pt>
                <c:pt idx="57">
                  <c:v>46183</c:v>
                </c:pt>
                <c:pt idx="58">
                  <c:v>46184</c:v>
                </c:pt>
                <c:pt idx="59">
                  <c:v>46185</c:v>
                </c:pt>
                <c:pt idx="60">
                  <c:v>46188</c:v>
                </c:pt>
                <c:pt idx="61">
                  <c:v>46189</c:v>
                </c:pt>
                <c:pt idx="62">
                  <c:v>46190</c:v>
                </c:pt>
                <c:pt idx="63">
                  <c:v>46191</c:v>
                </c:pt>
                <c:pt idx="64">
                  <c:v>46192</c:v>
                </c:pt>
                <c:pt idx="65">
                  <c:v>46195</c:v>
                </c:pt>
                <c:pt idx="66">
                  <c:v>46196</c:v>
                </c:pt>
                <c:pt idx="67">
                  <c:v>46197</c:v>
                </c:pt>
                <c:pt idx="68">
                  <c:v>46198</c:v>
                </c:pt>
                <c:pt idx="69">
                  <c:v>46199</c:v>
                </c:pt>
                <c:pt idx="70">
                  <c:v>46202</c:v>
                </c:pt>
                <c:pt idx="71">
                  <c:v>46203</c:v>
                </c:pt>
                <c:pt idx="72">
                  <c:v>46204</c:v>
                </c:pt>
                <c:pt idx="73">
                  <c:v>46205</c:v>
                </c:pt>
                <c:pt idx="74">
                  <c:v>46206</c:v>
                </c:pt>
                <c:pt idx="75">
                  <c:v>46209</c:v>
                </c:pt>
                <c:pt idx="76">
                  <c:v>46210</c:v>
                </c:pt>
                <c:pt idx="77">
                  <c:v>46211</c:v>
                </c:pt>
                <c:pt idx="78">
                  <c:v>46212</c:v>
                </c:pt>
                <c:pt idx="79">
                  <c:v>46213</c:v>
                </c:pt>
                <c:pt idx="80">
                  <c:v>46216</c:v>
                </c:pt>
                <c:pt idx="81">
                  <c:v>46217</c:v>
                </c:pt>
                <c:pt idx="82">
                  <c:v>46218</c:v>
                </c:pt>
                <c:pt idx="83">
                  <c:v>46219</c:v>
                </c:pt>
                <c:pt idx="84">
                  <c:v>46220</c:v>
                </c:pt>
                <c:pt idx="85">
                  <c:v>46223</c:v>
                </c:pt>
                <c:pt idx="86">
                  <c:v>46224</c:v>
                </c:pt>
                <c:pt idx="87">
                  <c:v>46225</c:v>
                </c:pt>
                <c:pt idx="88">
                  <c:v>46226</c:v>
                </c:pt>
                <c:pt idx="89">
                  <c:v>46227</c:v>
                </c:pt>
                <c:pt idx="90">
                  <c:v>46230</c:v>
                </c:pt>
                <c:pt idx="91">
                  <c:v>46231</c:v>
                </c:pt>
                <c:pt idx="92">
                  <c:v>46232</c:v>
                </c:pt>
                <c:pt idx="93">
                  <c:v>46233</c:v>
                </c:pt>
                <c:pt idx="94">
                  <c:v>46234</c:v>
                </c:pt>
                <c:pt idx="95">
                  <c:v>46237</c:v>
                </c:pt>
                <c:pt idx="96">
                  <c:v>46238</c:v>
                </c:pt>
                <c:pt idx="97">
                  <c:v>46239</c:v>
                </c:pt>
                <c:pt idx="98">
                  <c:v>46240</c:v>
                </c:pt>
                <c:pt idx="99">
                  <c:v>46241</c:v>
                </c:pt>
                <c:pt idx="100">
                  <c:v>46244</c:v>
                </c:pt>
                <c:pt idx="101">
                  <c:v>46245</c:v>
                </c:pt>
                <c:pt idx="102">
                  <c:v>46246</c:v>
                </c:pt>
                <c:pt idx="103">
                  <c:v>46247</c:v>
                </c:pt>
                <c:pt idx="104">
                  <c:v>46248</c:v>
                </c:pt>
                <c:pt idx="105">
                  <c:v>46251</c:v>
                </c:pt>
                <c:pt idx="106">
                  <c:v>46252</c:v>
                </c:pt>
                <c:pt idx="107">
                  <c:v>46253</c:v>
                </c:pt>
                <c:pt idx="108">
                  <c:v>46254</c:v>
                </c:pt>
                <c:pt idx="109">
                  <c:v>46255</c:v>
                </c:pt>
                <c:pt idx="110">
                  <c:v>46258</c:v>
                </c:pt>
                <c:pt idx="111">
                  <c:v>46259</c:v>
                </c:pt>
                <c:pt idx="112">
                  <c:v>46260</c:v>
                </c:pt>
                <c:pt idx="113">
                  <c:v>46261</c:v>
                </c:pt>
                <c:pt idx="114">
                  <c:v>46262</c:v>
                </c:pt>
                <c:pt idx="115">
                  <c:v>46265</c:v>
                </c:pt>
                <c:pt idx="116">
                  <c:v>46266</c:v>
                </c:pt>
                <c:pt idx="117">
                  <c:v>46267</c:v>
                </c:pt>
                <c:pt idx="118">
                  <c:v>46268</c:v>
                </c:pt>
                <c:pt idx="119">
                  <c:v>46269</c:v>
                </c:pt>
                <c:pt idx="120">
                  <c:v>46272</c:v>
                </c:pt>
                <c:pt idx="121">
                  <c:v>46273</c:v>
                </c:pt>
                <c:pt idx="122">
                  <c:v>46274</c:v>
                </c:pt>
                <c:pt idx="123">
                  <c:v>46275</c:v>
                </c:pt>
                <c:pt idx="124">
                  <c:v>46276</c:v>
                </c:pt>
                <c:pt idx="125">
                  <c:v>46279</c:v>
                </c:pt>
                <c:pt idx="126">
                  <c:v>46280</c:v>
                </c:pt>
                <c:pt idx="127">
                  <c:v>46281</c:v>
                </c:pt>
                <c:pt idx="128">
                  <c:v>46282</c:v>
                </c:pt>
                <c:pt idx="129">
                  <c:v>46283</c:v>
                </c:pt>
              </c:numCache>
            </c:numRef>
          </c:cat>
          <c:val>
            <c:numRef>
              <c:f>[0]!StockChartCloses</c:f>
              <c:numCache>
                <c:formatCode>General</c:formatCode>
                <c:ptCount val="130"/>
                <c:pt idx="0">
                  <c:v>550</c:v>
                </c:pt>
                <c:pt idx="1">
                  <c:v>553.26610000000005</c:v>
                </c:pt>
                <c:pt idx="2">
                  <c:v>550.68269999999995</c:v>
                </c:pt>
                <c:pt idx="3">
                  <c:v>554.25819999999999</c:v>
                </c:pt>
                <c:pt idx="4">
                  <c:v>550.76199999999994</c:v>
                </c:pt>
                <c:pt idx="5">
                  <c:v>549.21100000000001</c:v>
                </c:pt>
                <c:pt idx="6">
                  <c:v>554.87429999999995</c:v>
                </c:pt>
                <c:pt idx="7">
                  <c:v>551.06700000000001</c:v>
                </c:pt>
                <c:pt idx="8">
                  <c:v>547.12490000000003</c:v>
                </c:pt>
                <c:pt idx="9">
                  <c:v>550.71010000000001</c:v>
                </c:pt>
                <c:pt idx="10">
                  <c:v>547.25160000000005</c:v>
                </c:pt>
                <c:pt idx="11">
                  <c:v>549.08460000000002</c:v>
                </c:pt>
                <c:pt idx="12">
                  <c:v>544.03899999999999</c:v>
                </c:pt>
                <c:pt idx="13">
                  <c:v>545.40620000000001</c:v>
                </c:pt>
                <c:pt idx="14">
                  <c:v>538.53480000000002</c:v>
                </c:pt>
                <c:pt idx="15">
                  <c:v>525.8261</c:v>
                </c:pt>
                <c:pt idx="16">
                  <c:v>531.84910000000002</c:v>
                </c:pt>
                <c:pt idx="17">
                  <c:v>528.66010000000006</c:v>
                </c:pt>
                <c:pt idx="18">
                  <c:v>528.77170000000001</c:v>
                </c:pt>
                <c:pt idx="19">
                  <c:v>528.05169999999998</c:v>
                </c:pt>
                <c:pt idx="20">
                  <c:v>524.89509999999996</c:v>
                </c:pt>
                <c:pt idx="21">
                  <c:v>522.87310000000002</c:v>
                </c:pt>
                <c:pt idx="22">
                  <c:v>523.24069999999995</c:v>
                </c:pt>
                <c:pt idx="23">
                  <c:v>520.38840000000005</c:v>
                </c:pt>
                <c:pt idx="24">
                  <c:v>521.20579999999995</c:v>
                </c:pt>
                <c:pt idx="25">
                  <c:v>515.25969999999995</c:v>
                </c:pt>
                <c:pt idx="26">
                  <c:v>519.63440000000003</c:v>
                </c:pt>
                <c:pt idx="27">
                  <c:v>518.53510000000006</c:v>
                </c:pt>
                <c:pt idx="28">
                  <c:v>521.17280000000005</c:v>
                </c:pt>
                <c:pt idx="29">
                  <c:v>518.6703</c:v>
                </c:pt>
                <c:pt idx="30">
                  <c:v>517.03390000000002</c:v>
                </c:pt>
                <c:pt idx="31">
                  <c:v>514.4941</c:v>
                </c:pt>
                <c:pt idx="32">
                  <c:v>516.56039999999996</c:v>
                </c:pt>
                <c:pt idx="33">
                  <c:v>508.08049999999997</c:v>
                </c:pt>
                <c:pt idx="34">
                  <c:v>508.28710000000001</c:v>
                </c:pt>
                <c:pt idx="35">
                  <c:v>501.93380000000002</c:v>
                </c:pt>
                <c:pt idx="36">
                  <c:v>502.81389999999999</c:v>
                </c:pt>
                <c:pt idx="37">
                  <c:v>504.68459999999999</c:v>
                </c:pt>
                <c:pt idx="38">
                  <c:v>497.74770000000001</c:v>
                </c:pt>
                <c:pt idx="39">
                  <c:v>498.98099999999999</c:v>
                </c:pt>
                <c:pt idx="40">
                  <c:v>494.25510000000003</c:v>
                </c:pt>
                <c:pt idx="41">
                  <c:v>495.84210000000002</c:v>
                </c:pt>
                <c:pt idx="42">
                  <c:v>500.75130000000001</c:v>
                </c:pt>
                <c:pt idx="43">
                  <c:v>496.73910000000001</c:v>
                </c:pt>
                <c:pt idx="44">
                  <c:v>497.32729999999998</c:v>
                </c:pt>
                <c:pt idx="45">
                  <c:v>505.80930000000001</c:v>
                </c:pt>
                <c:pt idx="46">
                  <c:v>508.1456</c:v>
                </c:pt>
                <c:pt idx="47">
                  <c:v>512.49839999999995</c:v>
                </c:pt>
                <c:pt idx="48">
                  <c:v>512.5412</c:v>
                </c:pt>
                <c:pt idx="49">
                  <c:v>513.9384</c:v>
                </c:pt>
                <c:pt idx="50">
                  <c:v>516.93100000000004</c:v>
                </c:pt>
                <c:pt idx="51">
                  <c:v>519.87350000000004</c:v>
                </c:pt>
                <c:pt idx="52">
                  <c:v>516.7627</c:v>
                </c:pt>
                <c:pt idx="53">
                  <c:v>509.46390000000002</c:v>
                </c:pt>
                <c:pt idx="54">
                  <c:v>512.33979999999997</c:v>
                </c:pt>
                <c:pt idx="55">
                  <c:v>518.87580000000003</c:v>
                </c:pt>
                <c:pt idx="56">
                  <c:v>519.43129999999996</c:v>
                </c:pt>
                <c:pt idx="57">
                  <c:v>515.17070000000001</c:v>
                </c:pt>
                <c:pt idx="58">
                  <c:v>511.01260000000002</c:v>
                </c:pt>
                <c:pt idx="59">
                  <c:v>514.15610000000004</c:v>
                </c:pt>
                <c:pt idx="60">
                  <c:v>513.06899999999996</c:v>
                </c:pt>
                <c:pt idx="61">
                  <c:v>513.77070000000003</c:v>
                </c:pt>
                <c:pt idx="62">
                  <c:v>519.43230000000005</c:v>
                </c:pt>
                <c:pt idx="63">
                  <c:v>516.85400000000004</c:v>
                </c:pt>
                <c:pt idx="64">
                  <c:v>521.60239999999999</c:v>
                </c:pt>
                <c:pt idx="65">
                  <c:v>532.09900000000005</c:v>
                </c:pt>
                <c:pt idx="66">
                  <c:v>536.77200000000005</c:v>
                </c:pt>
                <c:pt idx="67">
                  <c:v>540.55619999999999</c:v>
                </c:pt>
                <c:pt idx="68">
                  <c:v>540.26480000000004</c:v>
                </c:pt>
                <c:pt idx="69">
                  <c:v>548.02260000000001</c:v>
                </c:pt>
                <c:pt idx="70">
                  <c:v>552.14070000000004</c:v>
                </c:pt>
                <c:pt idx="71">
                  <c:v>553.20069999999998</c:v>
                </c:pt>
                <c:pt idx="72">
                  <c:v>557.44799999999998</c:v>
                </c:pt>
                <c:pt idx="73">
                  <c:v>544.41</c:v>
                </c:pt>
                <c:pt idx="74">
                  <c:v>548.6721</c:v>
                </c:pt>
                <c:pt idx="75">
                  <c:v>546.41060000000004</c:v>
                </c:pt>
                <c:pt idx="76">
                  <c:v>549.56830000000002</c:v>
                </c:pt>
                <c:pt idx="77">
                  <c:v>557.16729999999995</c:v>
                </c:pt>
                <c:pt idx="78">
                  <c:v>560.99289999999996</c:v>
                </c:pt>
                <c:pt idx="79">
                  <c:v>562.62850000000003</c:v>
                </c:pt>
                <c:pt idx="80">
                  <c:v>561.23379999999997</c:v>
                </c:pt>
                <c:pt idx="81">
                  <c:v>565.78589999999997</c:v>
                </c:pt>
                <c:pt idx="82">
                  <c:v>569.85739999999998</c:v>
                </c:pt>
                <c:pt idx="83">
                  <c:v>568.24940000000004</c:v>
                </c:pt>
                <c:pt idx="84">
                  <c:v>567.14279999999997</c:v>
                </c:pt>
                <c:pt idx="85">
                  <c:v>571.41039999999998</c:v>
                </c:pt>
                <c:pt idx="86">
                  <c:v>564.03250000000003</c:v>
                </c:pt>
                <c:pt idx="87">
                  <c:v>564.77859999999998</c:v>
                </c:pt>
                <c:pt idx="88">
                  <c:v>560.5222</c:v>
                </c:pt>
                <c:pt idx="89">
                  <c:v>556.10670000000005</c:v>
                </c:pt>
                <c:pt idx="90">
                  <c:v>561.59490000000005</c:v>
                </c:pt>
                <c:pt idx="91">
                  <c:v>556.00930000000005</c:v>
                </c:pt>
                <c:pt idx="92">
                  <c:v>560.43449999999996</c:v>
                </c:pt>
                <c:pt idx="93">
                  <c:v>563.16240000000005</c:v>
                </c:pt>
                <c:pt idx="94">
                  <c:v>568.84029999999996</c:v>
                </c:pt>
                <c:pt idx="95">
                  <c:v>576.98940000000005</c:v>
                </c:pt>
                <c:pt idx="96">
                  <c:v>583.66409999999996</c:v>
                </c:pt>
                <c:pt idx="97">
                  <c:v>591.48059999999998</c:v>
                </c:pt>
                <c:pt idx="98">
                  <c:v>584.34900000000005</c:v>
                </c:pt>
                <c:pt idx="99">
                  <c:v>587.57929999999999</c:v>
                </c:pt>
                <c:pt idx="100">
                  <c:v>580.63750000000005</c:v>
                </c:pt>
                <c:pt idx="101">
                  <c:v>570.89800000000002</c:v>
                </c:pt>
                <c:pt idx="102">
                  <c:v>572.25170000000003</c:v>
                </c:pt>
                <c:pt idx="103">
                  <c:v>578.20389999999998</c:v>
                </c:pt>
                <c:pt idx="104">
                  <c:v>573.64930000000004</c:v>
                </c:pt>
                <c:pt idx="105">
                  <c:v>566.02739999999994</c:v>
                </c:pt>
                <c:pt idx="106">
                  <c:v>565.4402</c:v>
                </c:pt>
                <c:pt idx="107">
                  <c:v>560.97879999999998</c:v>
                </c:pt>
                <c:pt idx="108">
                  <c:v>562.10469999999998</c:v>
                </c:pt>
                <c:pt idx="109">
                  <c:v>557.9701</c:v>
                </c:pt>
                <c:pt idx="110">
                  <c:v>564.97140000000002</c:v>
                </c:pt>
                <c:pt idx="111">
                  <c:v>562.61059999999998</c:v>
                </c:pt>
                <c:pt idx="112">
                  <c:v>557.77480000000003</c:v>
                </c:pt>
                <c:pt idx="113">
                  <c:v>547.86419999999998</c:v>
                </c:pt>
                <c:pt idx="114">
                  <c:v>552.94259999999997</c:v>
                </c:pt>
                <c:pt idx="115">
                  <c:v>555.58169999999996</c:v>
                </c:pt>
                <c:pt idx="116">
                  <c:v>565.8605</c:v>
                </c:pt>
                <c:pt idx="117">
                  <c:v>568.60940000000005</c:v>
                </c:pt>
                <c:pt idx="118">
                  <c:v>569.04150000000004</c:v>
                </c:pt>
                <c:pt idx="119">
                  <c:v>571.2885</c:v>
                </c:pt>
                <c:pt idx="120">
                  <c:v>568.1386</c:v>
                </c:pt>
                <c:pt idx="121">
                  <c:v>562.39089999999999</c:v>
                </c:pt>
                <c:pt idx="122">
                  <c:v>568.76369999999997</c:v>
                </c:pt>
                <c:pt idx="123">
                  <c:v>565.03240000000005</c:v>
                </c:pt>
                <c:pt idx="124">
                  <c:v>567.66480000000001</c:v>
                </c:pt>
                <c:pt idx="125">
                  <c:v>555.49540000000002</c:v>
                </c:pt>
                <c:pt idx="126">
                  <c:v>555.51800000000003</c:v>
                </c:pt>
                <c:pt idx="127">
                  <c:v>554.35239999999999</c:v>
                </c:pt>
                <c:pt idx="128">
                  <c:v>553.55340000000001</c:v>
                </c:pt>
                <c:pt idx="129">
                  <c:v>547.4307</c:v>
                </c:pt>
              </c:numCache>
            </c:numRef>
          </c:val>
          <c:smooth val="0"/>
          <c:extLst>
            <c:ext xmlns:c16="http://schemas.microsoft.com/office/drawing/2014/chart" uri="{C3380CC4-5D6E-409C-BE32-E72D297353CC}">
              <c16:uniqueId val="{00000000-48C4-4B6B-AC23-2166C98975B2}"/>
            </c:ext>
          </c:extLst>
        </c:ser>
        <c:ser>
          <c:idx val="1"/>
          <c:order val="1"/>
          <c:tx>
            <c:v>50-session average</c:v>
          </c:tx>
          <c:spPr>
            <a:ln w="25400">
              <a:solidFill>
                <a:srgbClr val="9C601A"/>
              </a:solidFill>
              <a:prstDash val="dash"/>
            </a:ln>
          </c:spPr>
          <c:marker>
            <c:symbol val="none"/>
          </c:marker>
          <c:cat>
            <c:numRef>
              <c:f>[0]!StockChartDates</c:f>
              <c:numCache>
                <c:formatCode>dd\ mmm\ yyyy</c:formatCode>
                <c:ptCount val="130"/>
                <c:pt idx="0">
                  <c:v>46104</c:v>
                </c:pt>
                <c:pt idx="1">
                  <c:v>46105</c:v>
                </c:pt>
                <c:pt idx="2">
                  <c:v>46106</c:v>
                </c:pt>
                <c:pt idx="3">
                  <c:v>46107</c:v>
                </c:pt>
                <c:pt idx="4">
                  <c:v>46108</c:v>
                </c:pt>
                <c:pt idx="5">
                  <c:v>46111</c:v>
                </c:pt>
                <c:pt idx="6">
                  <c:v>46112</c:v>
                </c:pt>
                <c:pt idx="7">
                  <c:v>46113</c:v>
                </c:pt>
                <c:pt idx="8">
                  <c:v>46114</c:v>
                </c:pt>
                <c:pt idx="9">
                  <c:v>46115</c:v>
                </c:pt>
                <c:pt idx="10">
                  <c:v>46118</c:v>
                </c:pt>
                <c:pt idx="11">
                  <c:v>46119</c:v>
                </c:pt>
                <c:pt idx="12">
                  <c:v>46120</c:v>
                </c:pt>
                <c:pt idx="13">
                  <c:v>46121</c:v>
                </c:pt>
                <c:pt idx="14">
                  <c:v>46122</c:v>
                </c:pt>
                <c:pt idx="15">
                  <c:v>46125</c:v>
                </c:pt>
                <c:pt idx="16">
                  <c:v>46126</c:v>
                </c:pt>
                <c:pt idx="17">
                  <c:v>46127</c:v>
                </c:pt>
                <c:pt idx="18">
                  <c:v>46128</c:v>
                </c:pt>
                <c:pt idx="19">
                  <c:v>46129</c:v>
                </c:pt>
                <c:pt idx="20">
                  <c:v>46132</c:v>
                </c:pt>
                <c:pt idx="21">
                  <c:v>46133</c:v>
                </c:pt>
                <c:pt idx="22">
                  <c:v>46134</c:v>
                </c:pt>
                <c:pt idx="23">
                  <c:v>46135</c:v>
                </c:pt>
                <c:pt idx="24">
                  <c:v>46136</c:v>
                </c:pt>
                <c:pt idx="25">
                  <c:v>46139</c:v>
                </c:pt>
                <c:pt idx="26">
                  <c:v>46140</c:v>
                </c:pt>
                <c:pt idx="27">
                  <c:v>46141</c:v>
                </c:pt>
                <c:pt idx="28">
                  <c:v>46142</c:v>
                </c:pt>
                <c:pt idx="29">
                  <c:v>46143</c:v>
                </c:pt>
                <c:pt idx="30">
                  <c:v>46146</c:v>
                </c:pt>
                <c:pt idx="31">
                  <c:v>46147</c:v>
                </c:pt>
                <c:pt idx="32">
                  <c:v>46148</c:v>
                </c:pt>
                <c:pt idx="33">
                  <c:v>46149</c:v>
                </c:pt>
                <c:pt idx="34">
                  <c:v>46150</c:v>
                </c:pt>
                <c:pt idx="35">
                  <c:v>46153</c:v>
                </c:pt>
                <c:pt idx="36">
                  <c:v>46154</c:v>
                </c:pt>
                <c:pt idx="37">
                  <c:v>46155</c:v>
                </c:pt>
                <c:pt idx="38">
                  <c:v>46156</c:v>
                </c:pt>
                <c:pt idx="39">
                  <c:v>46157</c:v>
                </c:pt>
                <c:pt idx="40">
                  <c:v>46160</c:v>
                </c:pt>
                <c:pt idx="41">
                  <c:v>46161</c:v>
                </c:pt>
                <c:pt idx="42">
                  <c:v>46162</c:v>
                </c:pt>
                <c:pt idx="43">
                  <c:v>46163</c:v>
                </c:pt>
                <c:pt idx="44">
                  <c:v>46164</c:v>
                </c:pt>
                <c:pt idx="45">
                  <c:v>46167</c:v>
                </c:pt>
                <c:pt idx="46">
                  <c:v>46168</c:v>
                </c:pt>
                <c:pt idx="47">
                  <c:v>46169</c:v>
                </c:pt>
                <c:pt idx="48">
                  <c:v>46170</c:v>
                </c:pt>
                <c:pt idx="49">
                  <c:v>46171</c:v>
                </c:pt>
                <c:pt idx="50">
                  <c:v>46174</c:v>
                </c:pt>
                <c:pt idx="51">
                  <c:v>46175</c:v>
                </c:pt>
                <c:pt idx="52">
                  <c:v>46176</c:v>
                </c:pt>
                <c:pt idx="53">
                  <c:v>46177</c:v>
                </c:pt>
                <c:pt idx="54">
                  <c:v>46178</c:v>
                </c:pt>
                <c:pt idx="55">
                  <c:v>46181</c:v>
                </c:pt>
                <c:pt idx="56">
                  <c:v>46182</c:v>
                </c:pt>
                <c:pt idx="57">
                  <c:v>46183</c:v>
                </c:pt>
                <c:pt idx="58">
                  <c:v>46184</c:v>
                </c:pt>
                <c:pt idx="59">
                  <c:v>46185</c:v>
                </c:pt>
                <c:pt idx="60">
                  <c:v>46188</c:v>
                </c:pt>
                <c:pt idx="61">
                  <c:v>46189</c:v>
                </c:pt>
                <c:pt idx="62">
                  <c:v>46190</c:v>
                </c:pt>
                <c:pt idx="63">
                  <c:v>46191</c:v>
                </c:pt>
                <c:pt idx="64">
                  <c:v>46192</c:v>
                </c:pt>
                <c:pt idx="65">
                  <c:v>46195</c:v>
                </c:pt>
                <c:pt idx="66">
                  <c:v>46196</c:v>
                </c:pt>
                <c:pt idx="67">
                  <c:v>46197</c:v>
                </c:pt>
                <c:pt idx="68">
                  <c:v>46198</c:v>
                </c:pt>
                <c:pt idx="69">
                  <c:v>46199</c:v>
                </c:pt>
                <c:pt idx="70">
                  <c:v>46202</c:v>
                </c:pt>
                <c:pt idx="71">
                  <c:v>46203</c:v>
                </c:pt>
                <c:pt idx="72">
                  <c:v>46204</c:v>
                </c:pt>
                <c:pt idx="73">
                  <c:v>46205</c:v>
                </c:pt>
                <c:pt idx="74">
                  <c:v>46206</c:v>
                </c:pt>
                <c:pt idx="75">
                  <c:v>46209</c:v>
                </c:pt>
                <c:pt idx="76">
                  <c:v>46210</c:v>
                </c:pt>
                <c:pt idx="77">
                  <c:v>46211</c:v>
                </c:pt>
                <c:pt idx="78">
                  <c:v>46212</c:v>
                </c:pt>
                <c:pt idx="79">
                  <c:v>46213</c:v>
                </c:pt>
                <c:pt idx="80">
                  <c:v>46216</c:v>
                </c:pt>
                <c:pt idx="81">
                  <c:v>46217</c:v>
                </c:pt>
                <c:pt idx="82">
                  <c:v>46218</c:v>
                </c:pt>
                <c:pt idx="83">
                  <c:v>46219</c:v>
                </c:pt>
                <c:pt idx="84">
                  <c:v>46220</c:v>
                </c:pt>
                <c:pt idx="85">
                  <c:v>46223</c:v>
                </c:pt>
                <c:pt idx="86">
                  <c:v>46224</c:v>
                </c:pt>
                <c:pt idx="87">
                  <c:v>46225</c:v>
                </c:pt>
                <c:pt idx="88">
                  <c:v>46226</c:v>
                </c:pt>
                <c:pt idx="89">
                  <c:v>46227</c:v>
                </c:pt>
                <c:pt idx="90">
                  <c:v>46230</c:v>
                </c:pt>
                <c:pt idx="91">
                  <c:v>46231</c:v>
                </c:pt>
                <c:pt idx="92">
                  <c:v>46232</c:v>
                </c:pt>
                <c:pt idx="93">
                  <c:v>46233</c:v>
                </c:pt>
                <c:pt idx="94">
                  <c:v>46234</c:v>
                </c:pt>
                <c:pt idx="95">
                  <c:v>46237</c:v>
                </c:pt>
                <c:pt idx="96">
                  <c:v>46238</c:v>
                </c:pt>
                <c:pt idx="97">
                  <c:v>46239</c:v>
                </c:pt>
                <c:pt idx="98">
                  <c:v>46240</c:v>
                </c:pt>
                <c:pt idx="99">
                  <c:v>46241</c:v>
                </c:pt>
                <c:pt idx="100">
                  <c:v>46244</c:v>
                </c:pt>
                <c:pt idx="101">
                  <c:v>46245</c:v>
                </c:pt>
                <c:pt idx="102">
                  <c:v>46246</c:v>
                </c:pt>
                <c:pt idx="103">
                  <c:v>46247</c:v>
                </c:pt>
                <c:pt idx="104">
                  <c:v>46248</c:v>
                </c:pt>
                <c:pt idx="105">
                  <c:v>46251</c:v>
                </c:pt>
                <c:pt idx="106">
                  <c:v>46252</c:v>
                </c:pt>
                <c:pt idx="107">
                  <c:v>46253</c:v>
                </c:pt>
                <c:pt idx="108">
                  <c:v>46254</c:v>
                </c:pt>
                <c:pt idx="109">
                  <c:v>46255</c:v>
                </c:pt>
                <c:pt idx="110">
                  <c:v>46258</c:v>
                </c:pt>
                <c:pt idx="111">
                  <c:v>46259</c:v>
                </c:pt>
                <c:pt idx="112">
                  <c:v>46260</c:v>
                </c:pt>
                <c:pt idx="113">
                  <c:v>46261</c:v>
                </c:pt>
                <c:pt idx="114">
                  <c:v>46262</c:v>
                </c:pt>
                <c:pt idx="115">
                  <c:v>46265</c:v>
                </c:pt>
                <c:pt idx="116">
                  <c:v>46266</c:v>
                </c:pt>
                <c:pt idx="117">
                  <c:v>46267</c:v>
                </c:pt>
                <c:pt idx="118">
                  <c:v>46268</c:v>
                </c:pt>
                <c:pt idx="119">
                  <c:v>46269</c:v>
                </c:pt>
                <c:pt idx="120">
                  <c:v>46272</c:v>
                </c:pt>
                <c:pt idx="121">
                  <c:v>46273</c:v>
                </c:pt>
                <c:pt idx="122">
                  <c:v>46274</c:v>
                </c:pt>
                <c:pt idx="123">
                  <c:v>46275</c:v>
                </c:pt>
                <c:pt idx="124">
                  <c:v>46276</c:v>
                </c:pt>
                <c:pt idx="125">
                  <c:v>46279</c:v>
                </c:pt>
                <c:pt idx="126">
                  <c:v>46280</c:v>
                </c:pt>
                <c:pt idx="127">
                  <c:v>46281</c:v>
                </c:pt>
                <c:pt idx="128">
                  <c:v>46282</c:v>
                </c:pt>
                <c:pt idx="129">
                  <c:v>46283</c:v>
                </c:pt>
              </c:numCache>
            </c:numRef>
          </c:cat>
          <c:val>
            <c:numRef>
              <c:f>[0]!StockChartAverage</c:f>
              <c:numCache>
                <c:formatCode>General</c:formatCode>
                <c:ptCount val="13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523.87542800000006</c:v>
                </c:pt>
                <c:pt idx="50">
                  <c:v>523.21404800000005</c:v>
                </c:pt>
                <c:pt idx="51">
                  <c:v>522.54619600000001</c:v>
                </c:pt>
                <c:pt idx="52">
                  <c:v>521.86779600000011</c:v>
                </c:pt>
                <c:pt idx="53">
                  <c:v>520.97191000000009</c:v>
                </c:pt>
                <c:pt idx="54">
                  <c:v>520.20346600000016</c:v>
                </c:pt>
                <c:pt idx="55">
                  <c:v>519.59676200000013</c:v>
                </c:pt>
                <c:pt idx="56">
                  <c:v>518.88790200000005</c:v>
                </c:pt>
                <c:pt idx="57">
                  <c:v>518.16997600000013</c:v>
                </c:pt>
                <c:pt idx="58">
                  <c:v>517.44772999999998</c:v>
                </c:pt>
                <c:pt idx="59">
                  <c:v>516.71665000000007</c:v>
                </c:pt>
                <c:pt idx="60">
                  <c:v>516.03299800000002</c:v>
                </c:pt>
                <c:pt idx="61">
                  <c:v>515.32672000000002</c:v>
                </c:pt>
                <c:pt idx="62">
                  <c:v>514.83458600000006</c:v>
                </c:pt>
                <c:pt idx="63">
                  <c:v>514.26354200000014</c:v>
                </c:pt>
                <c:pt idx="64">
                  <c:v>513.92489400000011</c:v>
                </c:pt>
                <c:pt idx="65">
                  <c:v>514.05035200000009</c:v>
                </c:pt>
                <c:pt idx="66">
                  <c:v>514.14881000000014</c:v>
                </c:pt>
                <c:pt idx="67">
                  <c:v>514.38673200000005</c:v>
                </c:pt>
                <c:pt idx="68">
                  <c:v>514.61659400000008</c:v>
                </c:pt>
                <c:pt idx="69">
                  <c:v>515.01601200000005</c:v>
                </c:pt>
                <c:pt idx="70">
                  <c:v>515.56092400000011</c:v>
                </c:pt>
                <c:pt idx="71">
                  <c:v>516.16747600000008</c:v>
                </c:pt>
                <c:pt idx="72">
                  <c:v>516.85162200000002</c:v>
                </c:pt>
                <c:pt idx="73">
                  <c:v>517.33205399999997</c:v>
                </c:pt>
                <c:pt idx="74">
                  <c:v>517.88138000000004</c:v>
                </c:pt>
                <c:pt idx="75">
                  <c:v>518.50439800000004</c:v>
                </c:pt>
                <c:pt idx="76">
                  <c:v>519.10307599999999</c:v>
                </c:pt>
                <c:pt idx="77">
                  <c:v>519.87572</c:v>
                </c:pt>
                <c:pt idx="78">
                  <c:v>520.67212200000006</c:v>
                </c:pt>
                <c:pt idx="79">
                  <c:v>521.551286</c:v>
                </c:pt>
                <c:pt idx="80">
                  <c:v>522.43528399999991</c:v>
                </c:pt>
                <c:pt idx="81">
                  <c:v>523.46112000000005</c:v>
                </c:pt>
                <c:pt idx="82">
                  <c:v>524.52706000000001</c:v>
                </c:pt>
                <c:pt idx="83">
                  <c:v>525.73043799999994</c:v>
                </c:pt>
                <c:pt idx="84">
                  <c:v>526.90755200000012</c:v>
                </c:pt>
                <c:pt idx="85">
                  <c:v>528.29708400000015</c:v>
                </c:pt>
                <c:pt idx="86">
                  <c:v>529.52145600000006</c:v>
                </c:pt>
                <c:pt idx="87">
                  <c:v>530.72333600000013</c:v>
                </c:pt>
                <c:pt idx="88">
                  <c:v>531.97882600000014</c:v>
                </c:pt>
                <c:pt idx="89">
                  <c:v>533.12134000000015</c:v>
                </c:pt>
                <c:pt idx="90">
                  <c:v>534.46813600000007</c:v>
                </c:pt>
                <c:pt idx="91">
                  <c:v>535.6714800000002</c:v>
                </c:pt>
                <c:pt idx="92">
                  <c:v>536.8651440000001</c:v>
                </c:pt>
                <c:pt idx="93">
                  <c:v>538.19361000000015</c:v>
                </c:pt>
                <c:pt idx="94">
                  <c:v>539.62387000000024</c:v>
                </c:pt>
                <c:pt idx="95">
                  <c:v>541.0474720000002</c:v>
                </c:pt>
                <c:pt idx="96">
                  <c:v>542.55784200000005</c:v>
                </c:pt>
                <c:pt idx="97">
                  <c:v>544.13748599999997</c:v>
                </c:pt>
                <c:pt idx="98">
                  <c:v>545.57364199999995</c:v>
                </c:pt>
                <c:pt idx="99">
                  <c:v>547.04646000000014</c:v>
                </c:pt>
                <c:pt idx="100">
                  <c:v>548.32059000000004</c:v>
                </c:pt>
                <c:pt idx="101">
                  <c:v>549.34108000000003</c:v>
                </c:pt>
                <c:pt idx="102">
                  <c:v>550.45086000000015</c:v>
                </c:pt>
                <c:pt idx="103">
                  <c:v>551.82566000000008</c:v>
                </c:pt>
                <c:pt idx="104">
                  <c:v>553.05185000000017</c:v>
                </c:pt>
                <c:pt idx="105">
                  <c:v>553.99488200000019</c:v>
                </c:pt>
                <c:pt idx="106">
                  <c:v>554.91506000000004</c:v>
                </c:pt>
                <c:pt idx="107">
                  <c:v>555.83122200000003</c:v>
                </c:pt>
                <c:pt idx="108">
                  <c:v>556.85306400000013</c:v>
                </c:pt>
                <c:pt idx="109">
                  <c:v>557.72934399999997</c:v>
                </c:pt>
                <c:pt idx="110">
                  <c:v>558.76739200000009</c:v>
                </c:pt>
                <c:pt idx="111">
                  <c:v>559.74419</c:v>
                </c:pt>
                <c:pt idx="112">
                  <c:v>560.51103999999998</c:v>
                </c:pt>
                <c:pt idx="113">
                  <c:v>561.13124400000004</c:v>
                </c:pt>
                <c:pt idx="114">
                  <c:v>561.75804799999992</c:v>
                </c:pt>
                <c:pt idx="115">
                  <c:v>562.22770199999979</c:v>
                </c:pt>
                <c:pt idx="116">
                  <c:v>562.80947199999991</c:v>
                </c:pt>
                <c:pt idx="117">
                  <c:v>563.3705359999999</c:v>
                </c:pt>
                <c:pt idx="118">
                  <c:v>563.94606999999985</c:v>
                </c:pt>
                <c:pt idx="119">
                  <c:v>564.41138799999999</c:v>
                </c:pt>
                <c:pt idx="120">
                  <c:v>564.7313459999998</c:v>
                </c:pt>
                <c:pt idx="121">
                  <c:v>564.91514999999981</c:v>
                </c:pt>
                <c:pt idx="122">
                  <c:v>565.14146399999981</c:v>
                </c:pt>
                <c:pt idx="123">
                  <c:v>565.55391199999974</c:v>
                </c:pt>
                <c:pt idx="124">
                  <c:v>565.93376599999976</c:v>
                </c:pt>
                <c:pt idx="125">
                  <c:v>566.11546199999975</c:v>
                </c:pt>
                <c:pt idx="126">
                  <c:v>566.2344559999998</c:v>
                </c:pt>
                <c:pt idx="127">
                  <c:v>566.17815799999971</c:v>
                </c:pt>
                <c:pt idx="128">
                  <c:v>566.02936799999986</c:v>
                </c:pt>
                <c:pt idx="129">
                  <c:v>565.72541199999989</c:v>
                </c:pt>
              </c:numCache>
            </c:numRef>
          </c:val>
          <c:smooth val="0"/>
          <c:extLst>
            <c:ext xmlns:c16="http://schemas.microsoft.com/office/drawing/2014/chart" uri="{C3380CC4-5D6E-409C-BE32-E72D297353CC}">
              <c16:uniqueId val="{00000001-48C4-4B6B-AC23-2166C98975B2}"/>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numFmt formatCode="dd\ mmm" sourceLinked="0"/>
        <c:majorTickMark val="none"/>
        <c:minorTickMark val="none"/>
        <c:tickLblPos val="low"/>
        <c:crossAx val="48672768"/>
        <c:crosses val="autoZero"/>
        <c:auto val="0"/>
        <c:lblAlgn val="ctr"/>
        <c:lblOffset val="100"/>
        <c:tickLblSkip val="20"/>
        <c:noMultiLvlLbl val="0"/>
      </c:catAx>
      <c:valAx>
        <c:axId val="48672768"/>
        <c:scaling>
          <c:orientation val="minMax"/>
        </c:scaling>
        <c:delete val="0"/>
        <c:axPos val="l"/>
        <c:majorGridlines>
          <c:spPr>
            <a:ln w="9525">
              <a:solidFill>
                <a:srgbClr val="CCCCCC"/>
              </a:solidFill>
              <a:prstDash val="dash"/>
            </a:ln>
          </c:spPr>
        </c:majorGridlines>
        <c:numFmt formatCode="#,##0.00" sourceLinked="0"/>
        <c:majorTickMark val="none"/>
        <c:minorTickMark val="none"/>
        <c:tickLblPos val="nextTo"/>
        <c:crossAx val="48650112"/>
        <c:crosses val="autoZero"/>
        <c:crossBetween val="between"/>
      </c:valAx>
    </c:plotArea>
    <c:legend>
      <c:legendPos val="t"/>
      <c:overlay val="0"/>
    </c:legend>
    <c:plotVisOnly val="0"/>
    <c:dispBlanksAs val="gap"/>
    <c:showDLblsOverMax val="1"/>
  </c:chart>
  <c:spPr>
    <a:ln w="9525">
      <a:solidFill>
        <a:srgbClr val="D9D9D9"/>
      </a:solidFill>
      <a:prstDash val="solid"/>
    </a:ln>
  </c:spPr>
  <c:txPr>
    <a:bodyPr/>
    <a:lstStyle/>
    <a:p>
      <a:pPr>
        <a:defRPr sz="1000">
          <a:latin typeface="Aptos"/>
          <a:ea typeface="Aptos"/>
          <a:cs typeface="Aptos"/>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CA" sz="975">
                <a:latin typeface="Arial"/>
                <a:ea typeface="Arial"/>
                <a:cs typeface="Arial"/>
              </a:rPr>
              <a:t>Growth after cash-flow adjustment</a:t>
            </a:r>
          </a:p>
        </c:rich>
      </c:tx>
      <c:overlay val="0"/>
    </c:title>
    <c:autoTitleDeleted val="0"/>
    <c:plotArea>
      <c:layout/>
      <c:lineChart>
        <c:grouping val="standard"/>
        <c:varyColors val="0"/>
        <c:ser>
          <c:idx val="0"/>
          <c:order val="0"/>
          <c:tx>
            <c:v>Portfolio</c:v>
          </c:tx>
          <c:spPr>
            <a:ln w="19050">
              <a:solidFill>
                <a:srgbClr val="086E76"/>
              </a:solidFill>
              <a:prstDash val="solid"/>
            </a:ln>
          </c:spPr>
          <c:marker>
            <c:symbol val="none"/>
          </c:marker>
          <c:cat>
            <c:strRef>
              <c:f>Portfolio!$R$7:$R$32</c:f>
              <c:strCache>
                <c:ptCount val="26"/>
                <c:pt idx="0">
                  <c:v>27-Mar</c:v>
                </c:pt>
                <c:pt idx="1">
                  <c:v>03-Apr</c:v>
                </c:pt>
                <c:pt idx="2">
                  <c:v>10-Apr</c:v>
                </c:pt>
                <c:pt idx="3">
                  <c:v>17-Apr</c:v>
                </c:pt>
                <c:pt idx="4">
                  <c:v>24-Apr</c:v>
                </c:pt>
                <c:pt idx="5">
                  <c:v>01-May</c:v>
                </c:pt>
                <c:pt idx="6">
                  <c:v>08-May</c:v>
                </c:pt>
                <c:pt idx="7">
                  <c:v>15-May</c:v>
                </c:pt>
                <c:pt idx="8">
                  <c:v>22-May</c:v>
                </c:pt>
                <c:pt idx="9">
                  <c:v>29-May</c:v>
                </c:pt>
                <c:pt idx="10">
                  <c:v>05-Jun</c:v>
                </c:pt>
                <c:pt idx="11">
                  <c:v>12-Jun</c:v>
                </c:pt>
                <c:pt idx="12">
                  <c:v>19-Jun</c:v>
                </c:pt>
                <c:pt idx="13">
                  <c:v>26-Jun</c:v>
                </c:pt>
                <c:pt idx="14">
                  <c:v>03-Jul</c:v>
                </c:pt>
                <c:pt idx="15">
                  <c:v>10-Jul</c:v>
                </c:pt>
                <c:pt idx="16">
                  <c:v>17-Jul</c:v>
                </c:pt>
                <c:pt idx="17">
                  <c:v>24-Jul</c:v>
                </c:pt>
                <c:pt idx="18">
                  <c:v>31-Jul</c:v>
                </c:pt>
                <c:pt idx="19">
                  <c:v>07-Aug</c:v>
                </c:pt>
                <c:pt idx="20">
                  <c:v>14-Aug</c:v>
                </c:pt>
                <c:pt idx="21">
                  <c:v>21-Aug</c:v>
                </c:pt>
                <c:pt idx="22">
                  <c:v>28-Aug</c:v>
                </c:pt>
                <c:pt idx="23">
                  <c:v>04-Sep</c:v>
                </c:pt>
                <c:pt idx="24">
                  <c:v>11-Sep</c:v>
                </c:pt>
                <c:pt idx="25">
                  <c:v>18-Sep</c:v>
                </c:pt>
              </c:strCache>
            </c:strRef>
          </c:cat>
          <c:val>
            <c:numRef>
              <c:f>Portfolio!$S$7:$S$32</c:f>
              <c:numCache>
                <c:formatCode>General</c:formatCode>
                <c:ptCount val="26"/>
                <c:pt idx="0">
                  <c:v>101.2429504</c:v>
                </c:pt>
                <c:pt idx="1">
                  <c:v>100.03672560000001</c:v>
                </c:pt>
                <c:pt idx="2">
                  <c:v>99.515026400000011</c:v>
                </c:pt>
                <c:pt idx="3">
                  <c:v>99.757746799999993</c:v>
                </c:pt>
                <c:pt idx="4">
                  <c:v>99.390875599999987</c:v>
                </c:pt>
                <c:pt idx="5">
                  <c:v>98.714225090064147</c:v>
                </c:pt>
                <c:pt idx="6">
                  <c:v>98.217545810087017</c:v>
                </c:pt>
                <c:pt idx="7">
                  <c:v>98.661626156553595</c:v>
                </c:pt>
                <c:pt idx="8">
                  <c:v>97.536683763660562</c:v>
                </c:pt>
                <c:pt idx="9">
                  <c:v>97.902007757279236</c:v>
                </c:pt>
                <c:pt idx="10">
                  <c:v>96.849714132091094</c:v>
                </c:pt>
                <c:pt idx="11">
                  <c:v>95.74796749256403</c:v>
                </c:pt>
                <c:pt idx="12">
                  <c:v>97.292863772983949</c:v>
                </c:pt>
                <c:pt idx="13">
                  <c:v>99.15156612612985</c:v>
                </c:pt>
                <c:pt idx="14">
                  <c:v>99.731054603237965</c:v>
                </c:pt>
                <c:pt idx="15">
                  <c:v>100.54808611815967</c:v>
                </c:pt>
                <c:pt idx="16">
                  <c:v>101.68400019915038</c:v>
                </c:pt>
                <c:pt idx="17">
                  <c:v>100.55460269094806</c:v>
                </c:pt>
                <c:pt idx="18">
                  <c:v>101.69615836893909</c:v>
                </c:pt>
                <c:pt idx="19">
                  <c:v>102.84219127019533</c:v>
                </c:pt>
                <c:pt idx="20">
                  <c:v>102.76906414876852</c:v>
                </c:pt>
                <c:pt idx="21">
                  <c:v>100.94956528516305</c:v>
                </c:pt>
                <c:pt idx="22">
                  <c:v>99.090048706669975</c:v>
                </c:pt>
                <c:pt idx="23">
                  <c:v>100.69837048665232</c:v>
                </c:pt>
                <c:pt idx="24">
                  <c:v>101.70966311665187</c:v>
                </c:pt>
                <c:pt idx="25">
                  <c:v>98.282375746643709</c:v>
                </c:pt>
              </c:numCache>
            </c:numRef>
          </c:val>
          <c:smooth val="0"/>
          <c:extLst>
            <c:ext xmlns:c16="http://schemas.microsoft.com/office/drawing/2014/chart" uri="{C3380CC4-5D6E-409C-BE32-E72D297353CC}">
              <c16:uniqueId val="{00000000-469B-4306-9656-4653D63B7D9C}"/>
            </c:ext>
          </c:extLst>
        </c:ser>
        <c:ser>
          <c:idx val="1"/>
          <c:order val="1"/>
          <c:tx>
            <c:v>Benchmark</c:v>
          </c:tx>
          <c:spPr>
            <a:ln w="19050">
              <a:solidFill>
                <a:srgbClr val="A56A17"/>
              </a:solidFill>
              <a:prstDash val="dash"/>
            </a:ln>
          </c:spPr>
          <c:marker>
            <c:symbol val="none"/>
          </c:marker>
          <c:cat>
            <c:strRef>
              <c:f>Portfolio!$R$7:$R$32</c:f>
              <c:strCache>
                <c:ptCount val="26"/>
                <c:pt idx="0">
                  <c:v>27-Mar</c:v>
                </c:pt>
                <c:pt idx="1">
                  <c:v>03-Apr</c:v>
                </c:pt>
                <c:pt idx="2">
                  <c:v>10-Apr</c:v>
                </c:pt>
                <c:pt idx="3">
                  <c:v>17-Apr</c:v>
                </c:pt>
                <c:pt idx="4">
                  <c:v>24-Apr</c:v>
                </c:pt>
                <c:pt idx="5">
                  <c:v>01-May</c:v>
                </c:pt>
                <c:pt idx="6">
                  <c:v>08-May</c:v>
                </c:pt>
                <c:pt idx="7">
                  <c:v>15-May</c:v>
                </c:pt>
                <c:pt idx="8">
                  <c:v>22-May</c:v>
                </c:pt>
                <c:pt idx="9">
                  <c:v>29-May</c:v>
                </c:pt>
                <c:pt idx="10">
                  <c:v>05-Jun</c:v>
                </c:pt>
                <c:pt idx="11">
                  <c:v>12-Jun</c:v>
                </c:pt>
                <c:pt idx="12">
                  <c:v>19-Jun</c:v>
                </c:pt>
                <c:pt idx="13">
                  <c:v>26-Jun</c:v>
                </c:pt>
                <c:pt idx="14">
                  <c:v>03-Jul</c:v>
                </c:pt>
                <c:pt idx="15">
                  <c:v>10-Jul</c:v>
                </c:pt>
                <c:pt idx="16">
                  <c:v>17-Jul</c:v>
                </c:pt>
                <c:pt idx="17">
                  <c:v>24-Jul</c:v>
                </c:pt>
                <c:pt idx="18">
                  <c:v>31-Jul</c:v>
                </c:pt>
                <c:pt idx="19">
                  <c:v>07-Aug</c:v>
                </c:pt>
                <c:pt idx="20">
                  <c:v>14-Aug</c:v>
                </c:pt>
                <c:pt idx="21">
                  <c:v>21-Aug</c:v>
                </c:pt>
                <c:pt idx="22">
                  <c:v>28-Aug</c:v>
                </c:pt>
                <c:pt idx="23">
                  <c:v>04-Sep</c:v>
                </c:pt>
                <c:pt idx="24">
                  <c:v>11-Sep</c:v>
                </c:pt>
                <c:pt idx="25">
                  <c:v>18-Sep</c:v>
                </c:pt>
              </c:strCache>
            </c:strRef>
          </c:cat>
          <c:val>
            <c:numRef>
              <c:f>Portfolio!$T$7:$T$32</c:f>
              <c:numCache>
                <c:formatCode>General</c:formatCode>
                <c:ptCount val="26"/>
                <c:pt idx="0">
                  <c:v>101.39547570000001</c:v>
                </c:pt>
                <c:pt idx="1">
                  <c:v>99.58256639999999</c:v>
                </c:pt>
                <c:pt idx="2">
                  <c:v>98.5995116</c:v>
                </c:pt>
                <c:pt idx="3">
                  <c:v>98.854471999999987</c:v>
                </c:pt>
                <c:pt idx="4">
                  <c:v>97.328268899999998</c:v>
                </c:pt>
                <c:pt idx="5">
                  <c:v>96.809650199999993</c:v>
                </c:pt>
                <c:pt idx="6">
                  <c:v>95.382601300000005</c:v>
                </c:pt>
                <c:pt idx="7">
                  <c:v>94.821611200000007</c:v>
                </c:pt>
                <c:pt idx="8">
                  <c:v>93.794179999999997</c:v>
                </c:pt>
                <c:pt idx="9">
                  <c:v>94.293305799999999</c:v>
                </c:pt>
                <c:pt idx="10">
                  <c:v>92.373102100000011</c:v>
                </c:pt>
                <c:pt idx="11">
                  <c:v>92.297650999999988</c:v>
                </c:pt>
                <c:pt idx="12">
                  <c:v>94.067238000000003</c:v>
                </c:pt>
                <c:pt idx="13">
                  <c:v>97.057310399999992</c:v>
                </c:pt>
                <c:pt idx="14">
                  <c:v>97.147943299999994</c:v>
                </c:pt>
                <c:pt idx="15">
                  <c:v>97.803045400000002</c:v>
                </c:pt>
                <c:pt idx="16">
                  <c:v>97.566513400000005</c:v>
                </c:pt>
                <c:pt idx="17">
                  <c:v>96.276389600000002</c:v>
                </c:pt>
                <c:pt idx="18">
                  <c:v>97.485243300000008</c:v>
                </c:pt>
                <c:pt idx="19">
                  <c:v>98.759670500000013</c:v>
                </c:pt>
                <c:pt idx="20">
                  <c:v>98.554955800000002</c:v>
                </c:pt>
                <c:pt idx="21">
                  <c:v>97.847237500000006</c:v>
                </c:pt>
                <c:pt idx="22">
                  <c:v>97.370688800000011</c:v>
                </c:pt>
                <c:pt idx="23">
                  <c:v>98.773055299999996</c:v>
                </c:pt>
                <c:pt idx="24">
                  <c:v>100.32490510000001</c:v>
                </c:pt>
                <c:pt idx="25">
                  <c:v>96.624133900000004</c:v>
                </c:pt>
              </c:numCache>
            </c:numRef>
          </c:val>
          <c:smooth val="0"/>
          <c:extLst>
            <c:ext xmlns:c16="http://schemas.microsoft.com/office/drawing/2014/chart" uri="{C3380CC4-5D6E-409C-BE32-E72D297353CC}">
              <c16:uniqueId val="{00000001-469B-4306-9656-4653D63B7D9C}"/>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low"/>
        <c:txPr>
          <a:bodyPr anchorCtr="1"/>
          <a:lstStyle/>
          <a:p>
            <a:pPr>
              <a:defRPr sz="675">
                <a:latin typeface="Arial"/>
                <a:ea typeface="Arial"/>
                <a:cs typeface="Arial"/>
              </a:defRPr>
            </a:pPr>
            <a:endParaRPr lang="en-US"/>
          </a:p>
        </c:txPr>
        <c:crossAx val="48672768"/>
        <c:crosses val="autoZero"/>
        <c:auto val="1"/>
        <c:lblAlgn val="ctr"/>
        <c:lblOffset val="100"/>
        <c:tickLblSkip val="2"/>
        <c:noMultiLvlLbl val="1"/>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txPr>
          <a:bodyPr anchorCtr="1"/>
          <a:lstStyle/>
          <a:p>
            <a:pPr>
              <a:defRPr sz="750">
                <a:latin typeface="Arial"/>
                <a:ea typeface="Arial"/>
                <a:cs typeface="Arial"/>
              </a:defRPr>
            </a:pPr>
            <a:endParaRPr lang="en-US"/>
          </a:p>
        </c:txPr>
        <c:crossAx val="48650112"/>
        <c:crosses val="autoZero"/>
        <c:crossBetween val="between"/>
      </c:valAx>
    </c:plotArea>
    <c:legend>
      <c:legendPos val="t"/>
      <c:overlay val="0"/>
      <c:txPr>
        <a:bodyPr anchorCtr="1"/>
        <a:lstStyle/>
        <a:p>
          <a:pPr>
            <a:defRPr sz="750">
              <a:latin typeface="Arial"/>
              <a:ea typeface="Arial"/>
              <a:cs typeface="Arial"/>
            </a:defRPr>
          </a:pPr>
          <a:endParaRPr lang="en-US"/>
        </a:p>
      </c:txPr>
    </c:legend>
    <c:plotVisOnly val="0"/>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CA" sz="975">
                <a:latin typeface="Arial"/>
                <a:ea typeface="Arial"/>
                <a:cs typeface="Arial"/>
              </a:rPr>
              <a:t>Portfolio allocation</a:t>
            </a:r>
          </a:p>
        </c:rich>
      </c:tx>
      <c:overlay val="0"/>
    </c:title>
    <c:autoTitleDeleted val="0"/>
    <c:plotArea>
      <c:layout/>
      <c:barChart>
        <c:barDir val="bar"/>
        <c:grouping val="clustered"/>
        <c:varyColors val="0"/>
        <c:ser>
          <c:idx val="0"/>
          <c:order val="0"/>
          <c:tx>
            <c:v>Weight</c:v>
          </c:tx>
          <c:spPr>
            <a:solidFill>
              <a:srgbClr val="086E76"/>
            </a:solidFill>
          </c:spPr>
          <c:invertIfNegative val="1"/>
          <c:cat>
            <c:strRef>
              <c:f>Portfolio!$V$7:$V$13</c:f>
              <c:strCache>
                <c:ptCount val="7"/>
                <c:pt idx="0">
                  <c:v>Demo Bank</c:v>
                </c:pt>
                <c:pt idx="1">
                  <c:v>Demo Technology</c:v>
                </c:pt>
                <c:pt idx="2">
                  <c:v>Demo Healthcare</c:v>
                </c:pt>
                <c:pt idx="3">
                  <c:v>Demo Industry</c:v>
                </c:pt>
                <c:pt idx="4">
                  <c:v>Demo Broad ETF</c:v>
                </c:pt>
                <c:pt idx="5">
                  <c:v>Demo Bond ETF</c:v>
                </c:pt>
                <c:pt idx="6">
                  <c:v>Cash</c:v>
                </c:pt>
              </c:strCache>
            </c:strRef>
          </c:cat>
          <c:val>
            <c:numRef>
              <c:f>Portfolio!$W$7:$W$13</c:f>
              <c:numCache>
                <c:formatCode>General</c:formatCode>
                <c:ptCount val="7"/>
                <c:pt idx="0">
                  <c:v>9.3504373517351705E-2</c:v>
                </c:pt>
                <c:pt idx="1">
                  <c:v>0.21834388741183458</c:v>
                </c:pt>
                <c:pt idx="2">
                  <c:v>0.13050477431331081</c:v>
                </c:pt>
                <c:pt idx="3">
                  <c:v>0.11184363588596652</c:v>
                </c:pt>
                <c:pt idx="4">
                  <c:v>0.23388323933206587</c:v>
                </c:pt>
                <c:pt idx="5">
                  <c:v>0.11806340425632458</c:v>
                </c:pt>
                <c:pt idx="6">
                  <c:v>9.3856685283145697E-2</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0-9FA2-4351-96F5-F8237BA92587}"/>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txPr>
          <a:bodyPr anchorCtr="1"/>
          <a:lstStyle/>
          <a:p>
            <a:pPr>
              <a:defRPr sz="675">
                <a:latin typeface="Arial"/>
                <a:ea typeface="Arial"/>
                <a:cs typeface="Arial"/>
              </a:defRPr>
            </a:pPr>
            <a:endParaRPr lang="en-US"/>
          </a:p>
        </c:txPr>
        <c:crossAx val="48672768"/>
        <c:crosses val="autoZero"/>
        <c:auto val="1"/>
        <c:lblAlgn val="ctr"/>
        <c:lblOffset val="100"/>
        <c:noMultiLvlLbl val="1"/>
      </c:catAx>
      <c:valAx>
        <c:axId val="48672768"/>
        <c:scaling>
          <c:orientation val="minMax"/>
          <c:min val="0"/>
        </c:scaling>
        <c:delete val="0"/>
        <c:axPos val="b"/>
        <c:majorGridlines>
          <c:spPr>
            <a:ln w="9525">
              <a:solidFill>
                <a:srgbClr val="CCCCCC"/>
              </a:solidFill>
              <a:prstDash val="dash"/>
            </a:ln>
          </c:spPr>
        </c:majorGridlines>
        <c:numFmt formatCode="0.0%;\(0.0%\);&quot;-&quot;" sourceLinked="0"/>
        <c:majorTickMark val="none"/>
        <c:minorTickMark val="none"/>
        <c:tickLblPos val="nextTo"/>
        <c:txPr>
          <a:bodyPr anchorCtr="1"/>
          <a:lstStyle/>
          <a:p>
            <a:pPr>
              <a:defRPr sz="750">
                <a:latin typeface="Arial"/>
                <a:ea typeface="Arial"/>
                <a:cs typeface="Arial"/>
              </a:defRPr>
            </a:pPr>
            <a:endParaRPr lang="en-US"/>
          </a:p>
        </c:txPr>
        <c:crossAx val="48650112"/>
        <c:crosses val="autoZero"/>
        <c:crossBetween val="between"/>
      </c:valAx>
    </c:plotArea>
    <c:plotVisOnly val="0"/>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0</xdr:rowOff>
    </xdr:from>
    <xdr:to>
      <xdr:col>8</xdr:col>
      <xdr:colOff>0</xdr:colOff>
      <xdr:row>32</xdr:row>
      <xdr:rowOff>0</xdr:rowOff>
    </xdr:to>
    <xdr:graphicFrame macro="">
      <xdr:nvGraphicFramePr>
        <xdr:cNvPr id="2" name="Performance_Chart_1" descr="Cash-flow-adjusted growth (start 100). The source table is available on this worksheet or its supporting calculation shee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15</xdr:row>
      <xdr:rowOff>0</xdr:rowOff>
    </xdr:from>
    <xdr:to>
      <xdr:col>16</xdr:col>
      <xdr:colOff>0</xdr:colOff>
      <xdr:row>32</xdr:row>
      <xdr:rowOff>0</xdr:rowOff>
    </xdr:to>
    <xdr:graphicFrame macro="">
      <xdr:nvGraphicFramePr>
        <xdr:cNvPr id="3" name="Performance_Chart_2" descr="Portfolio drawdown. The source table is available on this worksheet or its supporting calculation sheet.">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8</xdr:row>
      <xdr:rowOff>0</xdr:rowOff>
    </xdr:from>
    <xdr:to>
      <xdr:col>7</xdr:col>
      <xdr:colOff>38100</xdr:colOff>
      <xdr:row>14</xdr:row>
      <xdr:rowOff>234950</xdr:rowOff>
    </xdr:to>
    <mc:AlternateContent xmlns:mc="http://schemas.openxmlformats.org/markup-compatibility/2006" xmlns:a14="http://schemas.microsoft.com/office/drawing/2010/main">
      <mc:Choice Requires="a14">
        <xdr:graphicFrame macro="">
          <xdr:nvGraphicFramePr>
            <xdr:cNvPr id="2" name="AP_SnapshotPortfolioSlicer">
              <a:extLst>
                <a:ext uri="{FF2B5EF4-FFF2-40B4-BE49-F238E27FC236}">
                  <a16:creationId xmlns:a16="http://schemas.microsoft.com/office/drawing/2014/main" id="{01AD29F8-3EDA-615C-C388-FF47DDFFCC5A}"/>
                </a:ext>
              </a:extLst>
            </xdr:cNvPr>
            <xdr:cNvGraphicFramePr/>
          </xdr:nvGraphicFramePr>
          <xdr:xfrm>
            <a:off x="0" y="0"/>
            <a:ext cx="0" cy="0"/>
          </xdr:xfrm>
          <a:graphic>
            <a:graphicData uri="http://schemas.microsoft.com/office/drawing/2010/slicer">
              <sle:slicer xmlns:sle="http://schemas.microsoft.com/office/drawing/2010/slicer" name="AP_SnapshotPortfolioSlicer"/>
            </a:graphicData>
          </a:graphic>
        </xdr:graphicFrame>
      </mc:Choice>
      <mc:Fallback xmlns="">
        <xdr:sp macro="" textlink="">
          <xdr:nvSpPr>
            <xdr:cNvPr id="0" name=""/>
            <xdr:cNvSpPr>
              <a:spLocks noTextEdit="1"/>
            </xdr:cNvSpPr>
          </xdr:nvSpPr>
          <xdr:spPr>
            <a:xfrm>
              <a:off x="6946900" y="2235200"/>
              <a:ext cx="2921000" cy="1905000"/>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24</xdr:row>
      <xdr:rowOff>0</xdr:rowOff>
    </xdr:from>
    <xdr:to>
      <xdr:col>12</xdr:col>
      <xdr:colOff>0</xdr:colOff>
      <xdr:row>39</xdr:row>
      <xdr:rowOff>0</xdr:rowOff>
    </xdr:to>
    <xdr:graphicFrame macro="">
      <xdr:nvGraphicFramePr>
        <xdr:cNvPr id="2" name="Chart" descr="Split-adjusted daily closing price and trailing 50-session average in INR for the selected stock and chart range. Daily data and calculation table begins at B44 on this sheet. Dividends excluded. Missing observations are gaps, never zero.">
          <a:extLst>
            <a:ext uri="{FF2B5EF4-FFF2-40B4-BE49-F238E27FC236}">
              <a16:creationId xmlns:a16="http://schemas.microsoft.com/office/drawing/2014/main" id="{49F0818E-76FB-4016-8E2B-5523FD9736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14</xdr:row>
      <xdr:rowOff>0</xdr:rowOff>
    </xdr:from>
    <xdr:to>
      <xdr:col>9</xdr:col>
      <xdr:colOff>0</xdr:colOff>
      <xdr:row>29</xdr:row>
      <xdr:rowOff>0</xdr:rowOff>
    </xdr:to>
    <xdr:graphicFrame macro="">
      <xdr:nvGraphicFramePr>
        <xdr:cNvPr id="2" name="Overview_Chart_1" descr="Growth after cash-flow adjustment. The source table is available on this worksheet or its supporting calculation shee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14</xdr:row>
      <xdr:rowOff>0</xdr:rowOff>
    </xdr:from>
    <xdr:to>
      <xdr:col>16</xdr:col>
      <xdr:colOff>0</xdr:colOff>
      <xdr:row>29</xdr:row>
      <xdr:rowOff>0</xdr:rowOff>
    </xdr:to>
    <xdr:graphicFrame macro="">
      <xdr:nvGraphicFramePr>
        <xdr:cNvPr id="3" name="Overview_Chart_2" descr="Portfolio allocation. The source table is available on this worksheet or its supporting calculation sheet.">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harkirat singh" refreshedDate="46302.619512847225" createdVersion="6" refreshedVersion="8" minRefreshableVersion="3" recordCount="0" supportSubquery="1" supportAdvancedDrill="1" xr:uid="{C08F671F-6E9E-424A-929D-3D09CF3880EF}">
  <cacheSource type="external" connectionId="22"/>
  <cacheFields count="4">
    <cacheField name="[AP_ModelPortfolios].[PortfolioName].[PortfolioName]" caption="PortfolioName" numFmtId="0" hierarchy="1" level="1">
      <sharedItems count="4">
        <s v="Balanced example"/>
        <s v="Cash reserve"/>
        <s v="Model"/>
        <s v="Practice"/>
      </sharedItems>
    </cacheField>
    <cacheField name="[Measures].[AP Snapshot value INR]" caption="AP Snapshot value INR" numFmtId="0" hierarchy="27" level="32767"/>
    <cacheField name="[Measures].[AP Snapshot cash INR]" caption="AP Snapshot cash INR" numFmtId="0" hierarchy="28" level="32767"/>
    <cacheField name="[Measures].[AP Snapshot receivable INR]" caption="AP Snapshot receivable INR" numFmtId="0" hierarchy="29" level="32767"/>
  </cacheFields>
  <cacheHierarchies count="33">
    <cacheHierarchy uniqueName="[AP_ModelPortfolios].[PortfolioID]" caption="PortfolioID" attribute="1" defaultMemberUniqueName="[AP_ModelPortfolios].[PortfolioID].[All]" allUniqueName="[AP_ModelPortfolios].[PortfolioID].[All]" dimensionUniqueName="[AP_ModelPortfolios]" displayFolder="" count="0" memberValueDatatype="130" unbalanced="0"/>
    <cacheHierarchy uniqueName="[AP_ModelPortfolios].[PortfolioName]" caption="PortfolioName" attribute="1" defaultMemberUniqueName="[AP_ModelPortfolios].[PortfolioName].[All]" allUniqueName="[AP_ModelPortfolios].[PortfolioName].[All]" dimensionUniqueName="[AP_ModelPortfolios]" displayFolder="" count="2" memberValueDatatype="130" unbalanced="0">
      <fieldsUsage count="2">
        <fieldUsage x="-1"/>
        <fieldUsage x="0"/>
      </fieldsUsage>
    </cacheHierarchy>
    <cacheHierarchy uniqueName="[AP_ModelPortfolios].[Currency]" caption="Currency" attribute="1" defaultMemberUniqueName="[AP_ModelPortfolios].[Currency].[All]" allUniqueName="[AP_ModelPortfolios].[Currency].[All]" dimensionUniqueName="[AP_ModelPortfolios]" displayFolder="" count="0" memberValueDatatype="130" unbalanced="0"/>
    <cacheHierarchy uniqueName="[AP_ModelPortfolios].[InceptionDate]" caption="InceptionDate" attribute="1" time="1" defaultMemberUniqueName="[AP_ModelPortfolios].[InceptionDate].[All]" allUniqueName="[AP_ModelPortfolios].[InceptionDate].[All]" dimensionUniqueName="[AP_ModelPortfolios]" displayFolder="" count="0" memberValueDatatype="7" unbalanced="0"/>
    <cacheHierarchy uniqueName="[AP_ModelPortfolios].[Active]" caption="Active" attribute="1" defaultMemberUniqueName="[AP_ModelPortfolios].[Active].[All]" allUniqueName="[AP_ModelPortfolios].[Active].[All]" dimensionUniqueName="[AP_ModelPortfolios]" displayFolder="" count="0" memberValueDatatype="130" unbalanced="0"/>
    <cacheHierarchy uniqueName="[AP_ModelPortfolios].[Include]" caption="Include" attribute="1" defaultMemberUniqueName="[AP_ModelPortfolios].[Include].[All]" allUniqueName="[AP_ModelPortfolios].[Include].[All]" dimensionUniqueName="[AP_ModelPortfolios]" displayFolder="" count="0" memberValueDatatype="130" unbalanced="0"/>
    <cacheHierarchy uniqueName="[AP_ModelSnapshot].[PortfolioID]" caption="PortfolioID" attribute="1" defaultMemberUniqueName="[AP_ModelSnapshot].[PortfolioID].[All]" allUniqueName="[AP_ModelSnapshot].[PortfolioID].[All]" dimensionUniqueName="[AP_ModelSnapshot]" displayFolder="" count="0" memberValueDatatype="130" unbalanced="0"/>
    <cacheHierarchy uniqueName="[AP_ModelSnapshot].[Date]" caption="Date" attribute="1" time="1" defaultMemberUniqueName="[AP_ModelSnapshot].[Date].[All]" allUniqueName="[AP_ModelSnapshot].[Date].[All]" dimensionUniqueName="[AP_ModelSnapshot]" displayFolder="" count="0" memberValueDatatype="7" unbalanced="0"/>
    <cacheHierarchy uniqueName="[AP_ModelSnapshot].[OpeningValue]" caption="OpeningValue" attribute="1" defaultMemberUniqueName="[AP_ModelSnapshot].[OpeningValue].[All]" allUniqueName="[AP_ModelSnapshot].[OpeningValue].[All]" dimensionUniqueName="[AP_ModelSnapshot]" displayFolder="" count="0" memberValueDatatype="5" unbalanced="0"/>
    <cacheHierarchy uniqueName="[AP_ModelSnapshot].[OpenFlow]" caption="OpenFlow" attribute="1" defaultMemberUniqueName="[AP_ModelSnapshot].[OpenFlow].[All]" allUniqueName="[AP_ModelSnapshot].[OpenFlow].[All]" dimensionUniqueName="[AP_ModelSnapshot]" displayFolder="" count="0" memberValueDatatype="5" unbalanced="0"/>
    <cacheHierarchy uniqueName="[AP_ModelSnapshot].[CloseFlow]" caption="CloseFlow" attribute="1" defaultMemberUniqueName="[AP_ModelSnapshot].[CloseFlow].[All]" allUniqueName="[AP_ModelSnapshot].[CloseFlow].[All]" dimensionUniqueName="[AP_ModelSnapshot]" displayFolder="" count="0" memberValueDatatype="5" unbalanced="0"/>
    <cacheHierarchy uniqueName="[AP_ModelSnapshot].[NetExternalFlow]" caption="NetExternalFlow" attribute="1" defaultMemberUniqueName="[AP_ModelSnapshot].[NetExternalFlow].[All]" allUniqueName="[AP_ModelSnapshot].[NetExternalFlow].[All]" dimensionUniqueName="[AP_ModelSnapshot]" displayFolder="" count="0" memberValueDatatype="5" unbalanced="0"/>
    <cacheHierarchy uniqueName="[AP_ModelSnapshot].[Cash]" caption="Cash" attribute="1" defaultMemberUniqueName="[AP_ModelSnapshot].[Cash].[All]" allUniqueName="[AP_ModelSnapshot].[Cash].[All]" dimensionUniqueName="[AP_ModelSnapshot]" displayFolder="" count="0" memberValueDatatype="5" unbalanced="0"/>
    <cacheHierarchy uniqueName="[AP_ModelSnapshot].[StockValue]" caption="StockValue" attribute="1" defaultMemberUniqueName="[AP_ModelSnapshot].[StockValue].[All]" allUniqueName="[AP_ModelSnapshot].[StockValue].[All]" dimensionUniqueName="[AP_ModelSnapshot]" displayFolder="" count="0" memberValueDatatype="5" unbalanced="0"/>
    <cacheHierarchy uniqueName="[AP_ModelSnapshot].[DividendReceivable]" caption="DividendReceivable" attribute="1" defaultMemberUniqueName="[AP_ModelSnapshot].[DividendReceivable].[All]" allUniqueName="[AP_ModelSnapshot].[DividendReceivable].[All]" dimensionUniqueName="[AP_ModelSnapshot]" displayFolder="" count="0" memberValueDatatype="5" unbalanced="0"/>
    <cacheHierarchy uniqueName="[AP_ModelSnapshot].[ClosingValue]" caption="ClosingValue" attribute="1" defaultMemberUniqueName="[AP_ModelSnapshot].[ClosingValue].[All]" allUniqueName="[AP_ModelSnapshot].[ClosingValue].[All]" dimensionUniqueName="[AP_ModelSnapshot]" displayFolder="" count="0" memberValueDatatype="5" unbalanced="0"/>
    <cacheHierarchy uniqueName="[AP_ModelSnapshot].[LastKnownValue]" caption="LastKnownValue" attribute="1" defaultMemberUniqueName="[AP_ModelSnapshot].[LastKnownValue].[All]" allUniqueName="[AP_ModelSnapshot].[LastKnownValue].[All]" dimensionUniqueName="[AP_ModelSnapshot]" displayFolder="" count="0" memberValueDatatype="5" unbalanced="0"/>
    <cacheHierarchy uniqueName="[AP_ModelSnapshot].[Basis]" caption="Basis" attribute="1" defaultMemberUniqueName="[AP_ModelSnapshot].[Basis].[All]" allUniqueName="[AP_ModelSnapshot].[Basis].[All]" dimensionUniqueName="[AP_ModelSnapshot]" displayFolder="" count="0" memberValueDatatype="5" unbalanced="0"/>
    <cacheHierarchy uniqueName="[AP_ModelSnapshot].[RealizedPnL]" caption="RealizedPnL" attribute="1" defaultMemberUniqueName="[AP_ModelSnapshot].[RealizedPnL].[All]" allUniqueName="[AP_ModelSnapshot].[RealizedPnL].[All]" dimensionUniqueName="[AP_ModelSnapshot]" displayFolder="" count="0" memberValueDatatype="5" unbalanced="0"/>
    <cacheHierarchy uniqueName="[AP_ModelSnapshot].[Fees]" caption="Fees" attribute="1" defaultMemberUniqueName="[AP_ModelSnapshot].[Fees].[All]" allUniqueName="[AP_ModelSnapshot].[Fees].[All]" dimensionUniqueName="[AP_ModelSnapshot]" displayFolder="" count="0" memberValueDatatype="5" unbalanced="0"/>
    <cacheHierarchy uniqueName="[AP_ModelSnapshot].[IncomeAccrued]" caption="IncomeAccrued" attribute="1" defaultMemberUniqueName="[AP_ModelSnapshot].[IncomeAccrued].[All]" allUniqueName="[AP_ModelSnapshot].[IncomeAccrued].[All]" dimensionUniqueName="[AP_ModelSnapshot]" displayFolder="" count="0" memberValueDatatype="5" unbalanced="0"/>
    <cacheHierarchy uniqueName="[AP_ModelSnapshot].[GainLoss]" caption="GainLoss" attribute="1" defaultMemberUniqueName="[AP_ModelSnapshot].[GainLoss].[All]" allUniqueName="[AP_ModelSnapshot].[GainLoss].[All]" dimensionUniqueName="[AP_ModelSnapshot]" displayFolder="" count="0" memberValueDatatype="5" unbalanced="0"/>
    <cacheHierarchy uniqueName="[AP_ModelSnapshot].[DailyReturn]" caption="DailyReturn" attribute="1" defaultMemberUniqueName="[AP_ModelSnapshot].[DailyReturn].[All]" allUniqueName="[AP_ModelSnapshot].[DailyReturn].[All]" dimensionUniqueName="[AP_ModelSnapshot]" displayFolder="" count="0" memberValueDatatype="5" unbalanced="0"/>
    <cacheHierarchy uniqueName="[AP_ModelSnapshot].[Status]" caption="Status" attribute="1" defaultMemberUniqueName="[AP_ModelSnapshot].[Status].[All]" allUniqueName="[AP_ModelSnapshot].[Status].[All]" dimensionUniqueName="[AP_ModelSnapshot]" displayFolder="" count="0" memberValueDatatype="130" unbalanced="0"/>
    <cacheHierarchy uniqueName="[AP_ModelSnapshot].[Reason]" caption="Reason" attribute="1" defaultMemberUniqueName="[AP_ModelSnapshot].[Reason].[All]" allUniqueName="[AP_ModelSnapshot].[Reason].[All]" dimensionUniqueName="[AP_ModelSnapshot]" displayFolder="" count="0" memberValueDatatype="130" unbalanced="0"/>
    <cacheHierarchy uniqueName="[AP_ModelSnapshot].[ReturnStatus]" caption="ReturnStatus" attribute="1" defaultMemberUniqueName="[AP_ModelSnapshot].[ReturnStatus].[All]" allUniqueName="[AP_ModelSnapshot].[ReturnStatus].[All]" dimensionUniqueName="[AP_ModelSnapshot]" displayFolder="" count="0" memberValueDatatype="130" unbalanced="0"/>
    <cacheHierarchy uniqueName="[AP_ModelSnapshot].[ReturnReason]" caption="ReturnReason" attribute="1" defaultMemberUniqueName="[AP_ModelSnapshot].[ReturnReason].[All]" allUniqueName="[AP_ModelSnapshot].[ReturnReason].[All]" dimensionUniqueName="[AP_ModelSnapshot]" displayFolder="" count="0" memberValueDatatype="130" unbalanced="0"/>
    <cacheHierarchy uniqueName="[Measures].[AP Snapshot value INR]" caption="AP Snapshot value INR" measure="1" displayFolder="" measureGroup="AP_ModelSnapshot" count="0" oneField="1">
      <fieldsUsage count="1">
        <fieldUsage x="1"/>
      </fieldsUsage>
    </cacheHierarchy>
    <cacheHierarchy uniqueName="[Measures].[AP Snapshot cash INR]" caption="AP Snapshot cash INR" measure="1" displayFolder="" measureGroup="AP_ModelSnapshot" count="0" oneField="1">
      <fieldsUsage count="1">
        <fieldUsage x="2"/>
      </fieldsUsage>
    </cacheHierarchy>
    <cacheHierarchy uniqueName="[Measures].[AP Snapshot receivable INR]" caption="AP Snapshot receivable INR" measure="1" displayFolder="" measureGroup="AP_ModelSnapshot" count="0" oneField="1">
      <fieldsUsage count="1">
        <fieldUsage x="3"/>
      </fieldsUsage>
    </cacheHierarchy>
    <cacheHierarchy uniqueName="[Measures].[__XL_Count AP_ModelSnapshot]" caption="__XL_Count AP_ModelSnapshot" measure="1" displayFolder="" measureGroup="AP_ModelSnapshot" count="0" hidden="1"/>
    <cacheHierarchy uniqueName="[Measures].[__XL_Count AP_ModelPortfolios]" caption="__XL_Count AP_ModelPortfolios" measure="1" displayFolder="" measureGroup="AP_ModelPortfolios" count="0" hidden="1"/>
    <cacheHierarchy uniqueName="[Measures].[__No measures defined]" caption="__No measures defined" measure="1" displayFolder="" count="0" hidden="1"/>
  </cacheHierarchies>
  <kpis count="0"/>
  <dimensions count="3">
    <dimension name="AP_ModelPortfolios" uniqueName="[AP_ModelPortfolios]" caption="AP_ModelPortfolios"/>
    <dimension name="AP_ModelSnapshot" uniqueName="[AP_ModelSnapshot]" caption="AP_ModelSnapshot"/>
    <dimension measure="1" name="Measures" uniqueName="[Measures]" caption="Measures"/>
  </dimensions>
  <measureGroups count="2">
    <measureGroup name="AP_ModelPortfolios" caption="AP_ModelPortfolios"/>
    <measureGroup name="AP_ModelSnapshot" caption="AP_ModelSnapshot"/>
  </measureGroups>
  <maps count="3">
    <map measureGroup="0" dimension="0"/>
    <map measureGroup="1" dimension="0"/>
    <map measureGroup="1"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harkirat singh" refreshedDate="46302.619510879631" createdVersion="3" refreshedVersion="8" minRefreshableVersion="3" recordCount="0" supportSubquery="1" supportAdvancedDrill="1" xr:uid="{053F903F-1917-430F-AFE1-1522C0F3D12D}">
  <cacheSource type="external" connectionId="22">
    <extLst>
      <ext xmlns:x14="http://schemas.microsoft.com/office/spreadsheetml/2009/9/main" uri="{F057638F-6D5F-4e77-A914-E7F072B9BCA8}">
        <x14:sourceConnection name="ThisWorkbookDataModel"/>
      </ext>
    </extLst>
  </cacheSource>
  <cacheFields count="0"/>
  <cacheHierarchies count="33">
    <cacheHierarchy uniqueName="[AP_ModelPortfolios].[PortfolioID]" caption="PortfolioID" attribute="1" defaultMemberUniqueName="[AP_ModelPortfolios].[PortfolioID].[All]" allUniqueName="[AP_ModelPortfolios].[PortfolioID].[All]" dimensionUniqueName="[AP_ModelPortfolios]" displayFolder="" count="0" memberValueDatatype="130" unbalanced="0"/>
    <cacheHierarchy uniqueName="[AP_ModelPortfolios].[PortfolioName]" caption="PortfolioName" attribute="1" defaultMemberUniqueName="[AP_ModelPortfolios].[PortfolioName].[All]" allUniqueName="[AP_ModelPortfolios].[PortfolioName].[All]" dimensionUniqueName="[AP_ModelPortfolios]" displayFolder="" count="2" memberValueDatatype="130" unbalanced="0"/>
    <cacheHierarchy uniqueName="[AP_ModelPortfolios].[Currency]" caption="Currency" attribute="1" defaultMemberUniqueName="[AP_ModelPortfolios].[Currency].[All]" allUniqueName="[AP_ModelPortfolios].[Currency].[All]" dimensionUniqueName="[AP_ModelPortfolios]" displayFolder="" count="0" memberValueDatatype="130" unbalanced="0"/>
    <cacheHierarchy uniqueName="[AP_ModelPortfolios].[InceptionDate]" caption="InceptionDate" attribute="1" time="1" defaultMemberUniqueName="[AP_ModelPortfolios].[InceptionDate].[All]" allUniqueName="[AP_ModelPortfolios].[InceptionDate].[All]" dimensionUniqueName="[AP_ModelPortfolios]" displayFolder="" count="0" memberValueDatatype="7" unbalanced="0"/>
    <cacheHierarchy uniqueName="[AP_ModelPortfolios].[Active]" caption="Active" attribute="1" defaultMemberUniqueName="[AP_ModelPortfolios].[Active].[All]" allUniqueName="[AP_ModelPortfolios].[Active].[All]" dimensionUniqueName="[AP_ModelPortfolios]" displayFolder="" count="0" memberValueDatatype="130" unbalanced="0"/>
    <cacheHierarchy uniqueName="[AP_ModelPortfolios].[Include]" caption="Include" attribute="1" defaultMemberUniqueName="[AP_ModelPortfolios].[Include].[All]" allUniqueName="[AP_ModelPortfolios].[Include].[All]" dimensionUniqueName="[AP_ModelPortfolios]" displayFolder="" count="0" memberValueDatatype="130" unbalanced="0"/>
    <cacheHierarchy uniqueName="[AP_ModelSnapshot].[PortfolioID]" caption="PortfolioID" attribute="1" defaultMemberUniqueName="[AP_ModelSnapshot].[PortfolioID].[All]" allUniqueName="[AP_ModelSnapshot].[PortfolioID].[All]" dimensionUniqueName="[AP_ModelSnapshot]" displayFolder="" count="0" memberValueDatatype="130" unbalanced="0"/>
    <cacheHierarchy uniqueName="[AP_ModelSnapshot].[Date]" caption="Date" attribute="1" time="1" defaultMemberUniqueName="[AP_ModelSnapshot].[Date].[All]" allUniqueName="[AP_ModelSnapshot].[Date].[All]" dimensionUniqueName="[AP_ModelSnapshot]" displayFolder="" count="0" memberValueDatatype="7" unbalanced="0"/>
    <cacheHierarchy uniqueName="[AP_ModelSnapshot].[OpeningValue]" caption="OpeningValue" attribute="1" defaultMemberUniqueName="[AP_ModelSnapshot].[OpeningValue].[All]" allUniqueName="[AP_ModelSnapshot].[OpeningValue].[All]" dimensionUniqueName="[AP_ModelSnapshot]" displayFolder="" count="0" memberValueDatatype="5" unbalanced="0"/>
    <cacheHierarchy uniqueName="[AP_ModelSnapshot].[OpenFlow]" caption="OpenFlow" attribute="1" defaultMemberUniqueName="[AP_ModelSnapshot].[OpenFlow].[All]" allUniqueName="[AP_ModelSnapshot].[OpenFlow].[All]" dimensionUniqueName="[AP_ModelSnapshot]" displayFolder="" count="0" memberValueDatatype="5" unbalanced="0"/>
    <cacheHierarchy uniqueName="[AP_ModelSnapshot].[CloseFlow]" caption="CloseFlow" attribute="1" defaultMemberUniqueName="[AP_ModelSnapshot].[CloseFlow].[All]" allUniqueName="[AP_ModelSnapshot].[CloseFlow].[All]" dimensionUniqueName="[AP_ModelSnapshot]" displayFolder="" count="0" memberValueDatatype="5" unbalanced="0"/>
    <cacheHierarchy uniqueName="[AP_ModelSnapshot].[NetExternalFlow]" caption="NetExternalFlow" attribute="1" defaultMemberUniqueName="[AP_ModelSnapshot].[NetExternalFlow].[All]" allUniqueName="[AP_ModelSnapshot].[NetExternalFlow].[All]" dimensionUniqueName="[AP_ModelSnapshot]" displayFolder="" count="0" memberValueDatatype="5" unbalanced="0"/>
    <cacheHierarchy uniqueName="[AP_ModelSnapshot].[Cash]" caption="Cash" attribute="1" defaultMemberUniqueName="[AP_ModelSnapshot].[Cash].[All]" allUniqueName="[AP_ModelSnapshot].[Cash].[All]" dimensionUniqueName="[AP_ModelSnapshot]" displayFolder="" count="0" memberValueDatatype="5" unbalanced="0"/>
    <cacheHierarchy uniqueName="[AP_ModelSnapshot].[StockValue]" caption="StockValue" attribute="1" defaultMemberUniqueName="[AP_ModelSnapshot].[StockValue].[All]" allUniqueName="[AP_ModelSnapshot].[StockValue].[All]" dimensionUniqueName="[AP_ModelSnapshot]" displayFolder="" count="0" memberValueDatatype="5" unbalanced="0"/>
    <cacheHierarchy uniqueName="[AP_ModelSnapshot].[DividendReceivable]" caption="DividendReceivable" attribute="1" defaultMemberUniqueName="[AP_ModelSnapshot].[DividendReceivable].[All]" allUniqueName="[AP_ModelSnapshot].[DividendReceivable].[All]" dimensionUniqueName="[AP_ModelSnapshot]" displayFolder="" count="0" memberValueDatatype="5" unbalanced="0"/>
    <cacheHierarchy uniqueName="[AP_ModelSnapshot].[ClosingValue]" caption="ClosingValue" attribute="1" defaultMemberUniqueName="[AP_ModelSnapshot].[ClosingValue].[All]" allUniqueName="[AP_ModelSnapshot].[ClosingValue].[All]" dimensionUniqueName="[AP_ModelSnapshot]" displayFolder="" count="0" memberValueDatatype="5" unbalanced="0"/>
    <cacheHierarchy uniqueName="[AP_ModelSnapshot].[LastKnownValue]" caption="LastKnownValue" attribute="1" defaultMemberUniqueName="[AP_ModelSnapshot].[LastKnownValue].[All]" allUniqueName="[AP_ModelSnapshot].[LastKnownValue].[All]" dimensionUniqueName="[AP_ModelSnapshot]" displayFolder="" count="0" memberValueDatatype="5" unbalanced="0"/>
    <cacheHierarchy uniqueName="[AP_ModelSnapshot].[Basis]" caption="Basis" attribute="1" defaultMemberUniqueName="[AP_ModelSnapshot].[Basis].[All]" allUniqueName="[AP_ModelSnapshot].[Basis].[All]" dimensionUniqueName="[AP_ModelSnapshot]" displayFolder="" count="0" memberValueDatatype="5" unbalanced="0"/>
    <cacheHierarchy uniqueName="[AP_ModelSnapshot].[RealizedPnL]" caption="RealizedPnL" attribute="1" defaultMemberUniqueName="[AP_ModelSnapshot].[RealizedPnL].[All]" allUniqueName="[AP_ModelSnapshot].[RealizedPnL].[All]" dimensionUniqueName="[AP_ModelSnapshot]" displayFolder="" count="0" memberValueDatatype="5" unbalanced="0"/>
    <cacheHierarchy uniqueName="[AP_ModelSnapshot].[Fees]" caption="Fees" attribute="1" defaultMemberUniqueName="[AP_ModelSnapshot].[Fees].[All]" allUniqueName="[AP_ModelSnapshot].[Fees].[All]" dimensionUniqueName="[AP_ModelSnapshot]" displayFolder="" count="0" memberValueDatatype="5" unbalanced="0"/>
    <cacheHierarchy uniqueName="[AP_ModelSnapshot].[IncomeAccrued]" caption="IncomeAccrued" attribute="1" defaultMemberUniqueName="[AP_ModelSnapshot].[IncomeAccrued].[All]" allUniqueName="[AP_ModelSnapshot].[IncomeAccrued].[All]" dimensionUniqueName="[AP_ModelSnapshot]" displayFolder="" count="0" memberValueDatatype="5" unbalanced="0"/>
    <cacheHierarchy uniqueName="[AP_ModelSnapshot].[GainLoss]" caption="GainLoss" attribute="1" defaultMemberUniqueName="[AP_ModelSnapshot].[GainLoss].[All]" allUniqueName="[AP_ModelSnapshot].[GainLoss].[All]" dimensionUniqueName="[AP_ModelSnapshot]" displayFolder="" count="0" memberValueDatatype="5" unbalanced="0"/>
    <cacheHierarchy uniqueName="[AP_ModelSnapshot].[DailyReturn]" caption="DailyReturn" attribute="1" defaultMemberUniqueName="[AP_ModelSnapshot].[DailyReturn].[All]" allUniqueName="[AP_ModelSnapshot].[DailyReturn].[All]" dimensionUniqueName="[AP_ModelSnapshot]" displayFolder="" count="0" memberValueDatatype="5" unbalanced="0"/>
    <cacheHierarchy uniqueName="[AP_ModelSnapshot].[Status]" caption="Status" attribute="1" defaultMemberUniqueName="[AP_ModelSnapshot].[Status].[All]" allUniqueName="[AP_ModelSnapshot].[Status].[All]" dimensionUniqueName="[AP_ModelSnapshot]" displayFolder="" count="0" memberValueDatatype="130" unbalanced="0"/>
    <cacheHierarchy uniqueName="[AP_ModelSnapshot].[Reason]" caption="Reason" attribute="1" defaultMemberUniqueName="[AP_ModelSnapshot].[Reason].[All]" allUniqueName="[AP_ModelSnapshot].[Reason].[All]" dimensionUniqueName="[AP_ModelSnapshot]" displayFolder="" count="0" memberValueDatatype="130" unbalanced="0"/>
    <cacheHierarchy uniqueName="[AP_ModelSnapshot].[ReturnStatus]" caption="ReturnStatus" attribute="1" defaultMemberUniqueName="[AP_ModelSnapshot].[ReturnStatus].[All]" allUniqueName="[AP_ModelSnapshot].[ReturnStatus].[All]" dimensionUniqueName="[AP_ModelSnapshot]" displayFolder="" count="0" memberValueDatatype="130" unbalanced="0"/>
    <cacheHierarchy uniqueName="[AP_ModelSnapshot].[ReturnReason]" caption="ReturnReason" attribute="1" defaultMemberUniqueName="[AP_ModelSnapshot].[ReturnReason].[All]" allUniqueName="[AP_ModelSnapshot].[ReturnReason].[All]" dimensionUniqueName="[AP_ModelSnapshot]" displayFolder="" count="0" memberValueDatatype="130" unbalanced="0"/>
    <cacheHierarchy uniqueName="[Measures].[AP Snapshot value INR]" caption="AP Snapshot value INR" measure="1" displayFolder="" measureGroup="AP_ModelSnapshot" count="0"/>
    <cacheHierarchy uniqueName="[Measures].[AP Snapshot cash INR]" caption="AP Snapshot cash INR" measure="1" displayFolder="" measureGroup="AP_ModelSnapshot" count="0"/>
    <cacheHierarchy uniqueName="[Measures].[AP Snapshot receivable INR]" caption="AP Snapshot receivable INR" measure="1" displayFolder="" measureGroup="AP_ModelSnapshot" count="0"/>
    <cacheHierarchy uniqueName="[Measures].[__XL_Count AP_ModelSnapshot]" caption="__XL_Count AP_ModelSnapshot" measure="1" displayFolder="" measureGroup="AP_ModelSnapshot" count="0" hidden="1"/>
    <cacheHierarchy uniqueName="[Measures].[__XL_Count AP_ModelPortfolios]" caption="__XL_Count AP_ModelPortfolios" measure="1" displayFolder="" measureGroup="AP_ModelPortfolios"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slicerData="1" pivotCacheId="1773805323"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72AB731-BB0B-45DD-BEFB-3C86D587C32C}" name="AP_SnapshotPivot" cacheId="5" applyNumberFormats="0" applyBorderFormats="0" applyFontFormats="0" applyPatternFormats="0" applyAlignmentFormats="0" applyWidthHeightFormats="1" dataCaption="Values" updatedVersion="8" minRefreshableVersion="3" useAutoFormatting="1" itemPrintTitles="1" createdVersion="6" indent="0" compact="0" compactData="0" multipleFieldFilters="0">
  <location ref="A9:D14" firstHeaderRow="0" firstDataRow="1" firstDataCol="1"/>
  <pivotFields count="4">
    <pivotField axis="axisRow" compact="0" allDrilled="1" outline="0" subtotalTop="0" showAll="0" dataSourceSort="1" defaultSubtotal="0" defaultAttributeDrillState="1">
      <items count="4">
        <item x="0"/>
        <item x="1"/>
        <item x="2"/>
        <item x="3"/>
      </items>
    </pivotField>
    <pivotField dataField="1" compact="0" outline="0" subtotalTop="0" showAll="0" defaultSubtotal="0"/>
    <pivotField dataField="1" compact="0" outline="0" subtotalTop="0" showAll="0" defaultSubtotal="0"/>
    <pivotField dataField="1" compact="0" outline="0" subtotalTop="0" showAll="0" defaultSubtotal="0"/>
  </pivotFields>
  <rowFields count="1">
    <field x="0"/>
  </rowFields>
  <rowItems count="5">
    <i>
      <x/>
    </i>
    <i>
      <x v="1"/>
    </i>
    <i>
      <x v="2"/>
    </i>
    <i>
      <x v="3"/>
    </i>
    <i t="grand">
      <x/>
    </i>
  </rowItems>
  <colFields count="1">
    <field x="-2"/>
  </colFields>
  <colItems count="3">
    <i>
      <x/>
    </i>
    <i i="1">
      <x v="1"/>
    </i>
    <i i="2">
      <x v="2"/>
    </i>
  </colItems>
  <dataFields count="3">
    <dataField fld="1" subtotal="count" baseField="0" baseItem="0"/>
    <dataField fld="2" subtotal="count" baseField="0" baseItem="0"/>
    <dataField fld="3" subtotal="count" baseField="0" baseItem="0"/>
  </dataFields>
  <formats count="12">
    <format dxfId="342">
      <pivotArea type="all" dataOnly="0" outline="0" fieldPosition="0"/>
    </format>
    <format dxfId="341">
      <pivotArea outline="0" collapsedLevelsAreSubtotals="1" fieldPosition="0"/>
    </format>
    <format dxfId="340">
      <pivotArea field="0" type="button" dataOnly="0" labelOnly="1" outline="0" axis="axisRow" fieldPosition="0"/>
    </format>
    <format dxfId="339">
      <pivotArea dataOnly="0" labelOnly="1" fieldPosition="0">
        <references count="1">
          <reference field="0" count="0"/>
        </references>
      </pivotArea>
    </format>
    <format dxfId="338">
      <pivotArea dataOnly="0" labelOnly="1" grandRow="1" outline="0" fieldPosition="0"/>
    </format>
    <format dxfId="337">
      <pivotArea dataOnly="0" labelOnly="1" outline="0" fieldPosition="0">
        <references count="1">
          <reference field="4294967294" count="3">
            <x v="0"/>
            <x v="1"/>
            <x v="2"/>
          </reference>
        </references>
      </pivotArea>
    </format>
    <format dxfId="336">
      <pivotArea field="0" type="button" dataOnly="0" labelOnly="1" outline="0" axis="axisRow" fieldPosition="0"/>
    </format>
    <format dxfId="335">
      <pivotArea dataOnly="0" labelOnly="1" outline="0" fieldPosition="0">
        <references count="1">
          <reference field="4294967294" count="3">
            <x v="0"/>
            <x v="1"/>
            <x v="2"/>
          </reference>
        </references>
      </pivotArea>
    </format>
    <format dxfId="334">
      <pivotArea field="0" type="button" dataOnly="0" labelOnly="1" outline="0" axis="axisRow" fieldPosition="0"/>
    </format>
    <format dxfId="333">
      <pivotArea dataOnly="0" labelOnly="1" outline="0" fieldPosition="0">
        <references count="1">
          <reference field="4294967294" count="3">
            <x v="0"/>
            <x v="1"/>
            <x v="2"/>
          </reference>
        </references>
      </pivotArea>
    </format>
    <format dxfId="1">
      <pivotArea field="0" type="button" dataOnly="0" labelOnly="1" outline="0" axis="axisRow" fieldPosition="0"/>
    </format>
    <format dxfId="0">
      <pivotArea dataOnly="0" labelOnly="1" outline="0" fieldPosition="0">
        <references count="1">
          <reference field="4294967294" count="3">
            <x v="0"/>
            <x v="1"/>
            <x v="2"/>
          </reference>
        </references>
      </pivotArea>
    </format>
  </formats>
  <pivotHierarchies count="33">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4" showRowHeaders="1" showColHeaders="1" showRowStripes="0" showColStripes="0" showLastColumn="1"/>
  <rowHierarchiesUsage count="1">
    <rowHierarchyUsage hierarchyUsage="1"/>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1" xr16:uid="{82278DEA-A40A-4027-A081-5A19216455F5}" autoFormatId="0" applyNumberFormats="0" applyBorderFormats="0" applyFontFormats="1" applyPatternFormats="1" applyAlignmentFormats="0" applyWidthHeightFormats="0">
  <queryTableRefresh nextId="78">
    <queryTableFields count="77">
      <queryTableField id="1" name="EventID" tableColumnId="78"/>
      <queryTableField id="2" name="PortfolioID" tableColumnId="79"/>
      <queryTableField id="3" name="Date" tableColumnId="80"/>
      <queryTableField id="4" name="Sequence" tableColumnId="81"/>
      <queryTableField id="5" name="Type" tableColumnId="82"/>
      <queryTableField id="6" name="InstrumentID" tableColumnId="83"/>
      <queryTableField id="7" name="Quantity" tableColumnId="84"/>
      <queryTableField id="8" name="Price" tableColumnId="85"/>
      <queryTableField id="9" name="Amount" tableColumnId="86"/>
      <queryTableField id="10" name="Fees" tableColumnId="87"/>
      <queryTableField id="11" name="TransferID" tableColumnId="88"/>
      <queryTableField id="12" name="Timing" tableColumnId="89"/>
      <queryTableField id="13" name="ActionID" tableColumnId="90"/>
      <queryTableField id="14" name="DuplicateCount" tableColumnId="91"/>
      <queryTableField id="15" name="Status" tableColumnId="92"/>
      <queryTableField id="16" name="Reason" tableColumnId="93"/>
      <queryTableField id="17" name="UnitsDelta" tableColumnId="94"/>
      <queryTableField id="18" name="CashDelta" tableColumnId="95"/>
      <queryTableField id="19" name="ExternalFlow" tableColumnId="96"/>
      <queryTableField id="20" name="CostChange" tableColumnId="97"/>
      <queryTableField id="21" name="RealizedPnL" tableColumnId="98"/>
      <queryTableField id="22" name="CashAfter" tableColumnId="99"/>
      <queryTableField id="23" name="UnitsAfter" tableColumnId="100"/>
      <queryTableField id="24" name="BasisAfter" tableColumnId="101"/>
      <queryTableField id="25" name="AuditRow" tableColumnId="102"/>
      <queryTableField id="26" name="AuditTable" tableColumnId="103"/>
      <queryTableField id="27" name="Units" tableColumnId="104"/>
      <queryTableField id="28" name="Basis" tableColumnId="105"/>
      <queryTableField id="29" name="PriceDate" tableColumnId="106"/>
      <queryTableField id="30" name="PriceAgeDays" tableColumnId="107"/>
      <queryTableField id="31" name="MarketValue" tableColumnId="108"/>
      <queryTableField id="32" name="LastKnownValue" tableColumnId="109"/>
      <queryTableField id="33" name="DividendReceivable" tableColumnId="110"/>
      <queryTableField id="34" name="UnrealizedPnL" tableColumnId="111"/>
      <queryTableField id="35" name="OpeningValue" tableColumnId="112"/>
      <queryTableField id="36" name="OpenFlow" tableColumnId="113"/>
      <queryTableField id="37" name="CloseFlow" tableColumnId="114"/>
      <queryTableField id="38" name="NetExternalFlow" tableColumnId="115"/>
      <queryTableField id="39" name="Cash" tableColumnId="116"/>
      <queryTableField id="40" name="StockValue" tableColumnId="117"/>
      <queryTableField id="41" name="ClosingValue" tableColumnId="118"/>
      <queryTableField id="42" name="IncomeAccrued" tableColumnId="119"/>
      <queryTableField id="43" name="GainLoss" tableColumnId="120"/>
      <queryTableField id="44" name="DailyReturn" tableColumnId="121"/>
      <queryTableField id="45" name="ReturnStatus" tableColumnId="122"/>
      <queryTableField id="46" name="ReturnReason" tableColumnId="123"/>
      <queryTableField id="47" name="Rule" tableColumnId="124"/>
      <queryTableField id="48" name="Severity" tableColumnId="125"/>
      <queryTableField id="49" name="RecordID" tableColumnId="126"/>
      <queryTableField id="50" name="AffectedResult" tableColumnId="127"/>
      <queryTableField id="51" name="InvestorFlow" tableColumnId="128"/>
      <queryTableField id="52" name="PriceID" tableColumnId="129"/>
      <queryTableField id="53" name="Close" tableColumnId="130"/>
      <queryTableField id="54" name="Currency" tableColumnId="131"/>
      <queryTableField id="55" name="SourceID" tableColumnId="132"/>
      <queryTableField id="56" name="Revision" tableColumnId="133"/>
      <queryTableField id="57" name="RetrievedAt" tableColumnId="134"/>
      <queryTableField id="58" name="PriceBasis" tableColumnId="135"/>
      <queryTableField id="59" name="SupersededCount" tableColumnId="136"/>
      <queryTableField id="60" name="PortfolioName" tableColumnId="137"/>
      <queryTableField id="61" name="InceptionDate" tableColumnId="138"/>
      <queryTableField id="62" name="Active" tableColumnId="139"/>
      <queryTableField id="63" name="Include" tableColumnId="140"/>
      <queryTableField id="64" name="InstrumentName" tableColumnId="141"/>
      <queryTableField id="65" name="Symbol" tableColumnId="142"/>
      <queryTableField id="66" name="Exchange" tableColumnId="143"/>
      <queryTableField id="67" name="ISIN" tableColumnId="144"/>
      <queryTableField id="68" name="AssetClass" tableColumnId="145"/>
      <queryTableField id="69" name="ExDate" tableColumnId="146"/>
      <queryTableField id="70" name="PaymentDate" tableColumnId="147"/>
      <queryTableField id="71" name="RatioNumerator" tableColumnId="148"/>
      <queryTableField id="72" name="RatioDenominator" tableColumnId="149"/>
      <queryTableField id="73" name="CashPerUnit" tableColumnId="150"/>
      <queryTableField id="74" name="Verified" tableColumnId="151"/>
      <queryTableField id="75" name="IsTradingSession" tableColumnId="152"/>
      <queryTableField id="76" name="Setting" tableColumnId="153"/>
      <queryTableField id="77" name="Value" tableColumnId="154"/>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0" xr16:uid="{8AF592C0-6C1D-4426-8F63-839D6F1260E4}" autoFormatId="0" applyNumberFormats="0" applyBorderFormats="0" applyFontFormats="1" applyPatternFormats="1" applyAlignmentFormats="0" applyWidthHeightFormats="0">
  <queryTableRefresh nextId="3">
    <queryTableFields count="2">
      <queryTableField id="1" name="EngineSuccessAt" tableColumnId="3"/>
      <queryTableField id="2" name="OutputRows" tableColumnId="4"/>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3" xr16:uid="{DD3C66BA-3E78-4DBD-9157-61579BA13157}" autoFormatId="0" applyNumberFormats="0" applyBorderFormats="0" applyFontFormats="1" applyPatternFormats="1" applyAlignmentFormats="0" applyWidthHeightFormats="0">
  <queryTableRefresh nextId="7">
    <queryTableFields count="6">
      <queryTableField id="1" name="PortfolioID" tableColumnId="7"/>
      <queryTableField id="2" name="PortfolioName" tableColumnId="8"/>
      <queryTableField id="3" name="Currency" tableColumnId="9"/>
      <queryTableField id="4" name="InceptionDate" tableColumnId="10"/>
      <queryTableField id="5" name="Active" tableColumnId="11"/>
      <queryTableField id="6" name="Include" tableColumnId="12"/>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2" backgroundRefresh="0" connectionId="4" xr16:uid="{0806A02B-8B0D-4D41-ADEC-5AF923FB8CD7}" autoFormatId="0" applyNumberFormats="0" applyBorderFormats="0" applyFontFormats="1" applyPatternFormats="1" applyAlignmentFormats="0" applyWidthHeightFormats="0">
  <queryTableRefresh nextId="8">
    <queryTableFields count="7">
      <queryTableField id="1" name="InstrumentID" tableColumnId="8"/>
      <queryTableField id="2" name="InstrumentName" tableColumnId="9"/>
      <queryTableField id="3" name="Symbol" tableColumnId="10"/>
      <queryTableField id="4" name="Exchange" tableColumnId="11"/>
      <queryTableField id="5" name="ISIN" tableColumnId="12"/>
      <queryTableField id="6" name="AssetClass" tableColumnId="13"/>
      <queryTableField id="7" name="Currency" tableColumnId="14"/>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3" backgroundRefresh="0" connectionId="5" xr16:uid="{BE2F585C-8028-4305-B6C0-87096F568635}" autoFormatId="0" applyNumberFormats="0" applyBorderFormats="0" applyFontFormats="1" applyPatternFormats="1" applyAlignmentFormats="0" applyWidthHeightFormats="0">
  <queryTableRefresh nextId="14">
    <queryTableFields count="13">
      <queryTableField id="1" name="EventID" tableColumnId="14"/>
      <queryTableField id="2" name="PortfolioID" tableColumnId="15"/>
      <queryTableField id="3" name="Date" tableColumnId="16"/>
      <queryTableField id="4" name="Sequence" tableColumnId="17"/>
      <queryTableField id="5" name="Type" tableColumnId="18"/>
      <queryTableField id="6" name="InstrumentID" tableColumnId="19"/>
      <queryTableField id="7" name="Quantity" tableColumnId="20"/>
      <queryTableField id="8" name="Price" tableColumnId="21"/>
      <queryTableField id="9" name="Amount" tableColumnId="22"/>
      <queryTableField id="10" name="Fees" tableColumnId="23"/>
      <queryTableField id="11" name="TransferID" tableColumnId="24"/>
      <queryTableField id="12" name="Timing" tableColumnId="25"/>
      <queryTableField id="13" name="ActionID" tableColumnId="26"/>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4" backgroundRefresh="0" connectionId="6" xr16:uid="{B9BABA6A-014D-40E9-A126-DCA36F2326C4}" autoFormatId="0" applyNumberFormats="0" applyBorderFormats="0" applyFontFormats="1" applyPatternFormats="1" applyAlignmentFormats="0" applyWidthHeightFormats="0">
  <queryTableRefresh nextId="10">
    <queryTableFields count="9">
      <queryTableField id="1" name="PriceID" tableColumnId="10"/>
      <queryTableField id="2" name="InstrumentID" tableColumnId="11"/>
      <queryTableField id="3" name="Date" tableColumnId="12"/>
      <queryTableField id="4" name="Close" tableColumnId="13"/>
      <queryTableField id="5" name="Currency" tableColumnId="14"/>
      <queryTableField id="6" name="SourceID" tableColumnId="15"/>
      <queryTableField id="7" name="Revision" tableColumnId="16"/>
      <queryTableField id="8" name="RetrievedAt" tableColumnId="17"/>
      <queryTableField id="9" name="PriceBasis" tableColumnId="18"/>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ExternalData_5" backgroundRefresh="0" connectionId="7" xr16:uid="{981CFFAF-487F-46A7-96C3-DC5D113D5685}" autoFormatId="0" applyNumberFormats="0" applyBorderFormats="0" applyFontFormats="1" applyPatternFormats="1" applyAlignmentFormats="0" applyWidthHeightFormats="0">
  <queryTableRefresh nextId="11">
    <queryTableFields count="10">
      <queryTableField id="1" name="ActionID" tableColumnId="11"/>
      <queryTableField id="2" name="InstrumentID" tableColumnId="12"/>
      <queryTableField id="3" name="Type" tableColumnId="13"/>
      <queryTableField id="4" name="ExDate" tableColumnId="14"/>
      <queryTableField id="5" name="PaymentDate" tableColumnId="15"/>
      <queryTableField id="6" name="Sequence" tableColumnId="16"/>
      <queryTableField id="7" name="RatioNumerator" tableColumnId="17"/>
      <queryTableField id="8" name="RatioDenominator" tableColumnId="18"/>
      <queryTableField id="9" name="CashPerUnit" tableColumnId="19"/>
      <queryTableField id="10" name="Verified" tableColumnId="20"/>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ExternalData_6" backgroundRefresh="0" connectionId="8" xr16:uid="{28C8CAE8-D6CD-4BD5-B04B-0FD0C8C41B6C}" autoFormatId="0" applyNumberFormats="0" applyBorderFormats="0" applyFontFormats="1" applyPatternFormats="1" applyAlignmentFormats="0" applyWidthHeightFormats="0">
  <queryTableRefresh nextId="3">
    <queryTableFields count="2">
      <queryTableField id="1" name="Date" tableColumnId="3"/>
      <queryTableField id="2" name="IsTradingSession" tableColumnId="4"/>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ExternalData_7" backgroundRefresh="0" connectionId="9" xr16:uid="{E4CE8FC4-8457-4A4B-ABE9-2D0CE2497BBF}" autoFormatId="0" applyNumberFormats="0" applyBorderFormats="0" applyFontFormats="1" applyPatternFormats="1" applyAlignmentFormats="0" applyWidthHeightFormats="0">
  <queryTableRefresh nextId="3">
    <queryTableFields count="2">
      <queryTableField id="1" name="Setting" tableColumnId="3"/>
      <queryTableField id="2" name="Value" tableColumnId="4"/>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9" xr16:uid="{5D968A55-8400-446D-A57F-96BCF33FFD18}" autoFormatId="0" applyNumberFormats="0" applyBorderFormats="0" applyFontFormats="1" applyPatternFormats="1" applyAlignmentFormats="0" applyWidthHeightFormats="0">
  <queryTableRefresh nextId="14">
    <queryTableFields count="13">
      <queryTableField id="1" name="PriceID" tableColumnId="14"/>
      <queryTableField id="2" name="InstrumentID" tableColumnId="15"/>
      <queryTableField id="3" name="Date" tableColumnId="16"/>
      <queryTableField id="4" name="Close" tableColumnId="17"/>
      <queryTableField id="5" name="Currency" tableColumnId="18"/>
      <queryTableField id="6" name="SourceID" tableColumnId="19"/>
      <queryTableField id="7" name="Revision" tableColumnId="20"/>
      <queryTableField id="8" name="RetrievedAt" tableColumnId="21"/>
      <queryTableField id="9" name="PriceBasis" tableColumnId="22"/>
      <queryTableField id="10" name="DuplicateCount" tableColumnId="23"/>
      <queryTableField id="11" name="SupersededCount" tableColumnId="24"/>
      <queryTableField id="12" name="Status" tableColumnId="25"/>
      <queryTableField id="13" name="Reason" tableColumnId="26"/>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8" xr16:uid="{D3631F42-D329-4442-8514-8F6EEE448714}" autoFormatId="0" applyNumberFormats="0" applyBorderFormats="0" applyFontFormats="1" applyPatternFormats="1" applyAlignmentFormats="0" applyWidthHeightFormats="0">
  <queryTableRefresh nextId="9">
    <queryTableFields count="8">
      <queryTableField id="1" name="PortfolioID" tableColumnId="9"/>
      <queryTableField id="2" name="Date" tableColumnId="10"/>
      <queryTableField id="3" name="EventID" tableColumnId="11"/>
      <queryTableField id="4" name="Type" tableColumnId="12"/>
      <queryTableField id="5" name="Timing" tableColumnId="13"/>
      <queryTableField id="6" name="ExternalFlow" tableColumnId="14"/>
      <queryTableField id="7" name="InvestorFlow" tableColumnId="15"/>
      <queryTableField id="8" name="TransferID" tableColumnId="16"/>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7" xr16:uid="{9A27D16A-A5D0-42EF-B7A1-EE2CFA6C7A53}" autoFormatId="0" applyNumberFormats="0" applyBorderFormats="0" applyFontFormats="1" applyPatternFormats="1" applyAlignmentFormats="0" applyWidthHeightFormats="0">
  <queryTableRefresh nextId="9">
    <queryTableFields count="8">
      <queryTableField id="1" name="Rule" tableColumnId="9"/>
      <queryTableField id="2" name="Severity" tableColumnId="10"/>
      <queryTableField id="3" name="PortfolioID" tableColumnId="11"/>
      <queryTableField id="4" name="InstrumentID" tableColumnId="12"/>
      <queryTableField id="5" name="Date" tableColumnId="13"/>
      <queryTableField id="6" name="RecordID" tableColumnId="14"/>
      <queryTableField id="7" name="Reason" tableColumnId="15"/>
      <queryTableField id="8" name="AffectedResult" tableColumnId="16"/>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6" xr16:uid="{4E32AD73-3554-4B4A-9C77-9D935BAE1CE1}" autoFormatId="0" applyNumberFormats="0" applyBorderFormats="0" applyFontFormats="1" applyPatternFormats="1" applyAlignmentFormats="0" applyWidthHeightFormats="0">
  <queryTableRefresh nextId="22">
    <queryTableFields count="21">
      <queryTableField id="1" name="PortfolioID" tableColumnId="22"/>
      <queryTableField id="2" name="Date" tableColumnId="23"/>
      <queryTableField id="3" name="OpeningValue" tableColumnId="24"/>
      <queryTableField id="4" name="OpenFlow" tableColumnId="25"/>
      <queryTableField id="5" name="CloseFlow" tableColumnId="26"/>
      <queryTableField id="6" name="NetExternalFlow" tableColumnId="27"/>
      <queryTableField id="7" name="Cash" tableColumnId="28"/>
      <queryTableField id="8" name="StockValue" tableColumnId="29"/>
      <queryTableField id="9" name="DividendReceivable" tableColumnId="30"/>
      <queryTableField id="10" name="ClosingValue" tableColumnId="31"/>
      <queryTableField id="11" name="LastKnownValue" tableColumnId="32"/>
      <queryTableField id="12" name="Basis" tableColumnId="33"/>
      <queryTableField id="13" name="RealizedPnL" tableColumnId="34"/>
      <queryTableField id="14" name="Fees" tableColumnId="35"/>
      <queryTableField id="15" name="IncomeAccrued" tableColumnId="36"/>
      <queryTableField id="16" name="GainLoss" tableColumnId="37"/>
      <queryTableField id="17" name="DailyReturn" tableColumnId="38"/>
      <queryTableField id="18" name="Status" tableColumnId="39"/>
      <queryTableField id="19" name="Reason" tableColumnId="40"/>
      <queryTableField id="20" name="ReturnStatus" tableColumnId="41"/>
      <queryTableField id="21" name="ReturnReason" tableColumnId="42"/>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5" xr16:uid="{CC4BCB43-561D-4BE1-94CF-C4870076302A}" autoFormatId="0" applyNumberFormats="0" applyBorderFormats="0" applyFontFormats="1" applyPatternFormats="1" applyAlignmentFormats="0" applyWidthHeightFormats="0">
  <queryTableRefresh nextId="15">
    <queryTableFields count="14">
      <queryTableField id="1" name="PortfolioID" tableColumnId="15"/>
      <queryTableField id="2" name="Date" tableColumnId="16"/>
      <queryTableField id="3" name="InstrumentID" tableColumnId="17"/>
      <queryTableField id="4" name="Units" tableColumnId="18"/>
      <queryTableField id="5" name="Basis" tableColumnId="19"/>
      <queryTableField id="6" name="Price" tableColumnId="20"/>
      <queryTableField id="7" name="PriceDate" tableColumnId="21"/>
      <queryTableField id="8" name="PriceAgeDays" tableColumnId="22"/>
      <queryTableField id="9" name="MarketValue" tableColumnId="23"/>
      <queryTableField id="10" name="LastKnownValue" tableColumnId="24"/>
      <queryTableField id="11" name="DividendReceivable" tableColumnId="25"/>
      <queryTableField id="12" name="UnrealizedPnL" tableColumnId="26"/>
      <queryTableField id="13" name="Status" tableColumnId="27"/>
      <queryTableField id="14" name="Reason" tableColumnId="28"/>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4" xr16:uid="{47ED206E-2989-479E-826C-56F389C8BA1E}" autoFormatId="0" applyNumberFormats="0" applyBorderFormats="0" applyFontFormats="1" applyPatternFormats="1" applyAlignmentFormats="0" applyWidthHeightFormats="0">
  <queryTableRefresh nextId="25">
    <queryTableFields count="24">
      <queryTableField id="1" name="EventID" tableColumnId="25"/>
      <queryTableField id="2" name="PortfolioID" tableColumnId="26"/>
      <queryTableField id="3" name="Date" tableColumnId="27"/>
      <queryTableField id="4" name="Sequence" tableColumnId="28"/>
      <queryTableField id="5" name="Type" tableColumnId="29"/>
      <queryTableField id="6" name="InstrumentID" tableColumnId="30"/>
      <queryTableField id="7" name="Quantity" tableColumnId="31"/>
      <queryTableField id="8" name="Price" tableColumnId="32"/>
      <queryTableField id="9" name="Amount" tableColumnId="33"/>
      <queryTableField id="10" name="Fees" tableColumnId="34"/>
      <queryTableField id="11" name="TransferID" tableColumnId="35"/>
      <queryTableField id="12" name="Timing" tableColumnId="36"/>
      <queryTableField id="13" name="ActionID" tableColumnId="37"/>
      <queryTableField id="14" name="DuplicateCount" tableColumnId="38"/>
      <queryTableField id="15" name="Status" tableColumnId="39"/>
      <queryTableField id="16" name="Reason" tableColumnId="40"/>
      <queryTableField id="17" name="UnitsDelta" tableColumnId="41"/>
      <queryTableField id="18" name="CashDelta" tableColumnId="42"/>
      <queryTableField id="19" name="ExternalFlow" tableColumnId="43"/>
      <queryTableField id="20" name="CostChange" tableColumnId="44"/>
      <queryTableField id="21" name="RealizedPnL" tableColumnId="45"/>
      <queryTableField id="22" name="CashAfter" tableColumnId="46"/>
      <queryTableField id="23" name="UnitsAfter" tableColumnId="47"/>
      <queryTableField id="24" name="BasisAfter" tableColumnId="48"/>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ExternalData_1" backgroundRefresh="0" growShrinkType="overwriteClear" adjustColumnWidth="0" connectionId="1" xr16:uid="{F11B7E4A-70E2-41CE-B853-9CFA9B1C208B}" autoFormatId="16" applyNumberFormats="0" applyBorderFormats="0" applyFontFormats="1" applyPatternFormats="1" applyAlignmentFormats="0" applyWidthHeightFormats="0">
  <queryTableRefresh nextId="22" unboundColumnsRight="12">
    <queryTableFields count="21">
      <queryTableField id="1" name="EventID" tableColumnId="10"/>
      <queryTableField id="2" name="Date" tableColumnId="11"/>
      <queryTableField id="3" name="Portfolio" tableColumnId="12"/>
      <queryTableField id="4" name="Type" tableColumnId="13"/>
      <queryTableField id="5" name="Instrument" tableColumnId="14"/>
      <queryTableField id="6" name="Quantity" tableColumnId="15"/>
      <queryTableField id="7" name="Price" tableColumnId="16"/>
      <queryTableField id="8" name="Amount" tableColumnId="17"/>
      <queryTableField id="9" name="Fees" tableColumnId="18"/>
      <queryTableField id="10" dataBound="0" tableColumnId="19"/>
      <queryTableField id="11" dataBound="0" tableColumnId="20"/>
      <queryTableField id="12" dataBound="0" tableColumnId="21"/>
      <queryTableField id="13" dataBound="0" tableColumnId="22"/>
      <queryTableField id="14" dataBound="0" tableColumnId="23"/>
      <queryTableField id="15" dataBound="0" tableColumnId="24"/>
      <queryTableField id="16" dataBound="0" tableColumnId="25"/>
      <queryTableField id="17" dataBound="0" tableColumnId="26"/>
      <queryTableField id="18" dataBound="0" tableColumnId="27"/>
      <queryTableField id="19" dataBound="0" tableColumnId="28"/>
      <queryTableField id="20" dataBound="0" tableColumnId="29"/>
      <queryTableField id="21" dataBound="0" tableColumnId="30"/>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ExternalData_1" backgroundRefresh="0" growShrinkType="overwriteClear" adjustColumnWidth="0" connectionId="2" xr16:uid="{C9CD554C-C56B-45B7-AA44-3C43B8CEB28C}" autoFormatId="16" applyNumberFormats="0" applyBorderFormats="0" applyFontFormats="1" applyPatternFormats="1" applyAlignmentFormats="0" applyWidthHeightFormats="0">
  <queryTableRefresh nextId="5">
    <queryTableFields count="4">
      <queryTableField id="1" name="Instrument" tableColumnId="5"/>
      <queryTableField id="2" name="Price" tableColumnId="6"/>
      <queryTableField id="3" name="ObservedAt" tableColumnId="7"/>
      <queryTableField id="4" name="RefreshedAt" tableColumnId="8"/>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ExternalData_1" backgroundRefresh="0" growShrinkType="overwriteClear" adjustColumnWidth="0" connectionId="12" xr16:uid="{981F230E-11ED-40FA-9929-80CC10B64C48}" autoFormatId="16" applyNumberFormats="0" applyBorderFormats="0" applyFontFormats="1" applyPatternFormats="1" applyAlignmentFormats="0" applyWidthHeightFormats="0">
  <queryTableRefresh nextId="8">
    <queryTableFields count="7">
      <queryTableField id="1" name="Instrument" tableColumnId="8"/>
      <queryTableField id="2" name="Price" tableColumnId="9"/>
      <queryTableField id="3" name="ObservedAt" tableColumnId="10"/>
      <queryTableField id="4" name="RefreshedAt" tableColumnId="11"/>
      <queryTableField id="5" name="FollowSet" tableColumnId="12"/>
      <queryTableField id="6" name="Status" tableColumnId="13"/>
      <queryTableField id="7" name="AttemptedAt" tableColumnId="14"/>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ExternalData_1" backgroundRefresh="0" growShrinkType="overwriteClear" adjustColumnWidth="0" connectionId="13" xr16:uid="{00F61293-2123-40EA-86C3-E31A70D7E173}" autoFormatId="16" applyNumberFormats="0" applyBorderFormats="0" applyFontFormats="1" applyPatternFormats="1" applyAlignmentFormats="0" applyWidthHeightFormats="0">
  <queryTableRefresh nextId="15">
    <queryTableFields count="14">
      <queryTableField id="1" name="RowType" tableColumnId="15"/>
      <queryTableField id="2" name="SourceID" tableColumnId="16"/>
      <queryTableField id="3" name="Publisher" tableColumnId="17"/>
      <queryTableField id="4" name="PublishedAt" tableColumnId="18"/>
      <queryTableField id="5" name="Headline" tableColumnId="19"/>
      <queryTableField id="6" name="Industries" tableColumnId="20"/>
      <queryTableField id="7" name="MatchReason" tableColumnId="21"/>
      <queryTableField id="8" name="URL" tableColumnId="22"/>
      <queryTableField id="9" name="State" tableColumnId="23"/>
      <queryTableField id="10" name="ItemCount" tableColumnId="24"/>
      <queryTableField id="11" name="Rejected" tableColumnId="25"/>
      <queryTableField id="12" name="RefreshedAt" tableColumnId="26"/>
      <queryTableField id="13" name="Mode" tableColumnId="27"/>
      <queryTableField id="14" name="SettingsKey" tableColumnId="28"/>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AP_SnapshotPortfolioFilter" xr10:uid="{1688A71C-A673-4D58-9BE3-68DA315962E8}" sourceName="[AP_ModelPortfolios].[PortfolioName]">
  <pivotTables>
    <pivotTable tabId="41" name="AP_SnapshotPivot"/>
  </pivotTables>
  <data>
    <olap pivotCacheId="1773805323">
      <levels count="2">
        <level uniqueName="[AP_ModelPortfolios].[PortfolioName].[(All)]" sourceCaption="(All)" count="0"/>
        <level uniqueName="[AP_ModelPortfolios].[PortfolioName].[PortfolioName]" sourceCaption="PortfolioName" count="4">
          <ranges>
            <range startItem="0">
              <i n="[AP_ModelPortfolios].[PortfolioName].&amp;[Balanced example]" c="Balanced example"/>
              <i n="[AP_ModelPortfolios].[PortfolioName].&amp;[Cash reserve]" c="Cash reserve"/>
              <i n="[AP_ModelPortfolios].[PortfolioName].&amp;[Model]" c="Model"/>
              <i n="[AP_ModelPortfolios].[PortfolioName].&amp;[Practice]" c="Practice"/>
            </range>
          </ranges>
        </level>
      </levels>
      <selections count="1">
        <selection n="[AP_ModelPortfolios].[PortfolioName].[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P_SnapshotPortfolioSlicer" xr10:uid="{AF8B62F4-79B0-4382-A14D-95BEF1547790}" cache="AP_SnapshotPortfolioFilter" caption="Loaded snapshot portfolios" level="1" rowHeight="241300"/>
</slicers>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24.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2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2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_rels/table39.xml.rels><?xml version="1.0" encoding="UTF-8" standalone="yes"?>
<Relationships xmlns="http://schemas.openxmlformats.org/package/2006/relationships"><Relationship Id="rId1" Type="http://schemas.openxmlformats.org/officeDocument/2006/relationships/queryTable" Target="../queryTables/queryTable1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E64F8905-7E0A-4DED-93B2-71F69D7CCD9D}" name="Out_AuditBundle" displayName="Out_AuditBundle" ref="A1:BY8248" tableType="queryTable" totalsRowShown="0">
  <autoFilter ref="A1:BY8248" xr:uid="{E64F8905-7E0A-4DED-93B2-71F69D7CCD9D}"/>
  <tableColumns count="77">
    <tableColumn id="78" xr3:uid="{FC157951-B82C-4071-B5C1-D8D476765F20}" uniqueName="78" name="EventID" queryTableFieldId="1"/>
    <tableColumn id="79" xr3:uid="{A3949E09-6F4A-46D0-BB0E-7A8EA3C77CBE}" uniqueName="79" name="PortfolioID" queryTableFieldId="2"/>
    <tableColumn id="80" xr3:uid="{C1BE3EC7-EAFD-4012-AC88-78211557907F}" uniqueName="80" name="Date" queryTableFieldId="3"/>
    <tableColumn id="81" xr3:uid="{3B32F986-DC97-4BFD-B8E6-F603AB6DF2AD}" uniqueName="81" name="Sequence" queryTableFieldId="4"/>
    <tableColumn id="82" xr3:uid="{879779DE-98FD-4896-AC6A-2EB365B0A133}" uniqueName="82" name="Type" queryTableFieldId="5"/>
    <tableColumn id="83" xr3:uid="{2726D543-101C-4943-ACBE-6A98FE92A9AD}" uniqueName="83" name="InstrumentID" queryTableFieldId="6"/>
    <tableColumn id="84" xr3:uid="{9139921E-2276-4D73-ADD7-B3592A6A3547}" uniqueName="84" name="Quantity" queryTableFieldId="7"/>
    <tableColumn id="85" xr3:uid="{84D16D37-04E2-482B-A92B-546378F8731A}" uniqueName="85" name="Price" queryTableFieldId="8"/>
    <tableColumn id="86" xr3:uid="{E1FBA3E6-E072-462C-97FC-BFAFCE4F96B8}" uniqueName="86" name="Amount" queryTableFieldId="9"/>
    <tableColumn id="87" xr3:uid="{2CDB9E56-06D1-4883-95DA-0EF6383AF9AE}" uniqueName="87" name="Fees" queryTableFieldId="10"/>
    <tableColumn id="88" xr3:uid="{001DDC3A-CB77-491B-BD23-753622E7B6A9}" uniqueName="88" name="TransferID" queryTableFieldId="11"/>
    <tableColumn id="89" xr3:uid="{FE2B72B5-1F31-4AC4-B1E9-18731CC8E4B2}" uniqueName="89" name="Timing" queryTableFieldId="12"/>
    <tableColumn id="90" xr3:uid="{A807C944-80D7-4F9C-9D11-507FED7CA3BA}" uniqueName="90" name="ActionID" queryTableFieldId="13"/>
    <tableColumn id="91" xr3:uid="{D83CD8CC-2B82-4A23-9CB0-F8EEBE3B37D3}" uniqueName="91" name="DuplicateCount" queryTableFieldId="14"/>
    <tableColumn id="92" xr3:uid="{B4B39F4A-8E57-4D40-9680-E4EC9C023D93}" uniqueName="92" name="Status" queryTableFieldId="15"/>
    <tableColumn id="93" xr3:uid="{0604E41C-EC0E-486D-8FE3-6CA674156FF5}" uniqueName="93" name="Reason" queryTableFieldId="16"/>
    <tableColumn id="94" xr3:uid="{14566F9C-8A77-4AA1-8686-C8371B5159EA}" uniqueName="94" name="UnitsDelta" queryTableFieldId="17"/>
    <tableColumn id="95" xr3:uid="{FE118A63-3B41-4936-BF75-B39A53D61895}" uniqueName="95" name="CashDelta" queryTableFieldId="18"/>
    <tableColumn id="96" xr3:uid="{E40EE85B-81E7-4D91-AB30-15E8F1A7E4BC}" uniqueName="96" name="ExternalFlow" queryTableFieldId="19"/>
    <tableColumn id="97" xr3:uid="{B4909170-6010-46B7-86D1-21ECFCD4E014}" uniqueName="97" name="CostChange" queryTableFieldId="20"/>
    <tableColumn id="98" xr3:uid="{165285FD-5B64-4A64-95FC-40502051C26F}" uniqueName="98" name="RealizedPnL" queryTableFieldId="21"/>
    <tableColumn id="99" xr3:uid="{3D7CDE6E-9D11-4725-B27A-8207495339E1}" uniqueName="99" name="CashAfter" queryTableFieldId="22"/>
    <tableColumn id="100" xr3:uid="{2E94B053-1F79-443B-B671-BF6C6A2D89AD}" uniqueName="100" name="UnitsAfter" queryTableFieldId="23"/>
    <tableColumn id="101" xr3:uid="{E0D7C691-5E3E-4C61-8126-D3B1DFC62028}" uniqueName="101" name="BasisAfter" queryTableFieldId="24"/>
    <tableColumn id="102" xr3:uid="{647C7F65-CCD2-4FF4-8470-1650CCF4AB40}" uniqueName="102" name="AuditRow" queryTableFieldId="25"/>
    <tableColumn id="103" xr3:uid="{B440D193-1AE3-45F9-960D-0245227FDE42}" uniqueName="103" name="AuditTable" queryTableFieldId="26" dataDxfId="181"/>
    <tableColumn id="104" xr3:uid="{682B78FD-98BB-4D7A-856F-FEF9412A6773}" uniqueName="104" name="Units" queryTableFieldId="27"/>
    <tableColumn id="105" xr3:uid="{D1486F6D-4357-4B3D-B10F-DE505B33E128}" uniqueName="105" name="Basis" queryTableFieldId="28"/>
    <tableColumn id="106" xr3:uid="{F6147ED3-3AE8-4A7A-838C-0ABBE21F8C3A}" uniqueName="106" name="PriceDate" queryTableFieldId="29"/>
    <tableColumn id="107" xr3:uid="{9779E82A-610C-4A7C-BC2F-914628D06F5A}" uniqueName="107" name="PriceAgeDays" queryTableFieldId="30"/>
    <tableColumn id="108" xr3:uid="{5E53E2F0-1978-4FF0-9A10-F83B103A2FBB}" uniqueName="108" name="MarketValue" queryTableFieldId="31"/>
    <tableColumn id="109" xr3:uid="{55F035FC-A780-462D-BAB5-56666799BC44}" uniqueName="109" name="LastKnownValue" queryTableFieldId="32"/>
    <tableColumn id="110" xr3:uid="{56E086B5-E00D-4C89-85F5-01260B481249}" uniqueName="110" name="DividendReceivable" queryTableFieldId="33"/>
    <tableColumn id="111" xr3:uid="{9F1E40A7-BA2C-4368-B118-43271890552F}" uniqueName="111" name="UnrealizedPnL" queryTableFieldId="34"/>
    <tableColumn id="112" xr3:uid="{1FD6D538-170D-4174-B93A-223BCF6E8C15}" uniqueName="112" name="OpeningValue" queryTableFieldId="35"/>
    <tableColumn id="113" xr3:uid="{2A3BD214-0D48-4FEC-89C2-CF78F14EA426}" uniqueName="113" name="OpenFlow" queryTableFieldId="36"/>
    <tableColumn id="114" xr3:uid="{5FAD2509-0F33-4086-9232-DFDAA1794A2A}" uniqueName="114" name="CloseFlow" queryTableFieldId="37"/>
    <tableColumn id="115" xr3:uid="{A9A6EA18-DF35-4FE7-A4EB-15C513CC3B2E}" uniqueName="115" name="NetExternalFlow" queryTableFieldId="38"/>
    <tableColumn id="116" xr3:uid="{6D39D69D-3E49-4611-B50A-ED96A9D914A9}" uniqueName="116" name="Cash" queryTableFieldId="39"/>
    <tableColumn id="117" xr3:uid="{F89F073F-EB11-4BF6-B903-E6AF70FFB6D7}" uniqueName="117" name="StockValue" queryTableFieldId="40"/>
    <tableColumn id="118" xr3:uid="{38F3908B-51CB-4614-9E03-749C5AC4EA3A}" uniqueName="118" name="ClosingValue" queryTableFieldId="41"/>
    <tableColumn id="119" xr3:uid="{1A39875F-8E1B-4010-8BB0-588DA3F82413}" uniqueName="119" name="IncomeAccrued" queryTableFieldId="42"/>
    <tableColumn id="120" xr3:uid="{E41015CC-951E-4239-8505-05A3209055CC}" uniqueName="120" name="GainLoss" queryTableFieldId="43"/>
    <tableColumn id="121" xr3:uid="{8F6E67DC-9B47-4C57-AB49-8AA2A238E5BA}" uniqueName="121" name="DailyReturn" queryTableFieldId="44"/>
    <tableColumn id="122" xr3:uid="{49AA6AF3-3F9F-47DD-9C1F-F313AE4660AE}" uniqueName="122" name="ReturnStatus" queryTableFieldId="45"/>
    <tableColumn id="123" xr3:uid="{360819B0-DA52-43B2-8ACD-B6A1D718B8BC}" uniqueName="123" name="ReturnReason" queryTableFieldId="46"/>
    <tableColumn id="124" xr3:uid="{A1A429D2-D7C8-48E3-BAD4-F823251A6517}" uniqueName="124" name="Rule" queryTableFieldId="47"/>
    <tableColumn id="125" xr3:uid="{39B7EFC6-DFCD-48EA-BF5F-2193584372AD}" uniqueName="125" name="Severity" queryTableFieldId="48"/>
    <tableColumn id="126" xr3:uid="{BF417C73-287B-4DF9-9A3D-DC50EE5CC102}" uniqueName="126" name="RecordID" queryTableFieldId="49"/>
    <tableColumn id="127" xr3:uid="{2812E7BB-DA04-4E01-A083-C348C5C784D4}" uniqueName="127" name="AffectedResult" queryTableFieldId="50"/>
    <tableColumn id="128" xr3:uid="{A3E12147-9B61-4233-BDDD-0D51D30DF002}" uniqueName="128" name="InvestorFlow" queryTableFieldId="51"/>
    <tableColumn id="129" xr3:uid="{1ABB8281-C72E-4E6B-8E50-7F71ED531864}" uniqueName="129" name="PriceID" queryTableFieldId="52"/>
    <tableColumn id="130" xr3:uid="{4E78AA09-06C6-41BD-B63D-6226639982B3}" uniqueName="130" name="Close" queryTableFieldId="53"/>
    <tableColumn id="131" xr3:uid="{D3982DEF-5835-4888-91C4-83510C45C82E}" uniqueName="131" name="Currency" queryTableFieldId="54"/>
    <tableColumn id="132" xr3:uid="{D8F5DB17-94DD-449C-95EA-AC16DDB4F629}" uniqueName="132" name="SourceID" queryTableFieldId="55"/>
    <tableColumn id="133" xr3:uid="{10902400-E152-4867-8343-640C9395BDFA}" uniqueName="133" name="Revision" queryTableFieldId="56"/>
    <tableColumn id="134" xr3:uid="{DAAC7B0E-1E2C-45A6-B00D-11DF1388EB2E}" uniqueName="134" name="RetrievedAt" queryTableFieldId="57"/>
    <tableColumn id="135" xr3:uid="{557E6AFE-CFD2-4C4B-A42F-9A8029AEB7B1}" uniqueName="135" name="PriceBasis" queryTableFieldId="58"/>
    <tableColumn id="136" xr3:uid="{62FC12C1-9E8B-44A2-98CF-98D716117FDF}" uniqueName="136" name="SupersededCount" queryTableFieldId="59"/>
    <tableColumn id="137" xr3:uid="{09CAE015-0F0B-44CB-92B1-84E13D5C91B6}" uniqueName="137" name="PortfolioName" queryTableFieldId="60"/>
    <tableColumn id="138" xr3:uid="{038DD0B0-A0FF-4B7D-B6BC-41E7B3A17BAC}" uniqueName="138" name="InceptionDate" queryTableFieldId="61"/>
    <tableColumn id="139" xr3:uid="{E0608007-8C35-4499-A6A2-BF543EFB58D9}" uniqueName="139" name="Active" queryTableFieldId="62"/>
    <tableColumn id="140" xr3:uid="{05650C6B-14BB-4CE3-B2AD-BB878653C0DE}" uniqueName="140" name="Include" queryTableFieldId="63"/>
    <tableColumn id="141" xr3:uid="{3EFA3016-0E6E-4360-8BF3-9F05A049D6A8}" uniqueName="141" name="InstrumentName" queryTableFieldId="64"/>
    <tableColumn id="142" xr3:uid="{E0D51E54-7FEF-446B-BBE2-2C48A169BF40}" uniqueName="142" name="Symbol" queryTableFieldId="65"/>
    <tableColumn id="143" xr3:uid="{919DBDE2-2D99-4D8C-A82E-3F8CF1D805AB}" uniqueName="143" name="Exchange" queryTableFieldId="66"/>
    <tableColumn id="144" xr3:uid="{A2D6C6D9-6BBA-4CCD-8F20-3FE8365F19EE}" uniqueName="144" name="ISIN" queryTableFieldId="67"/>
    <tableColumn id="145" xr3:uid="{92D43CEA-C63A-491D-ACFE-105FD574D66C}" uniqueName="145" name="AssetClass" queryTableFieldId="68"/>
    <tableColumn id="146" xr3:uid="{AA9A4DDE-182D-47A3-8F36-DA5289E5786A}" uniqueName="146" name="ExDate" queryTableFieldId="69"/>
    <tableColumn id="147" xr3:uid="{FCA3069E-0556-4150-B616-85FAB85ED6EC}" uniqueName="147" name="PaymentDate" queryTableFieldId="70"/>
    <tableColumn id="148" xr3:uid="{ABC53D60-35CB-4FD9-8F11-89DF029FA815}" uniqueName="148" name="RatioNumerator" queryTableFieldId="71"/>
    <tableColumn id="149" xr3:uid="{26E77B41-8AB3-4CD9-A6AB-6898714FDD50}" uniqueName="149" name="RatioDenominator" queryTableFieldId="72"/>
    <tableColumn id="150" xr3:uid="{32DFA22F-986A-451B-BA26-08ACEC1AFA27}" uniqueName="150" name="CashPerUnit" queryTableFieldId="73"/>
    <tableColumn id="151" xr3:uid="{643B70D0-A0D4-402E-8A2F-B145325AD375}" uniqueName="151" name="Verified" queryTableFieldId="74"/>
    <tableColumn id="152" xr3:uid="{7DC1578B-B8EA-4CB6-9991-88A592A749D7}" uniqueName="152" name="IsTradingSession" queryTableFieldId="75"/>
    <tableColumn id="153" xr3:uid="{C121121E-3B7E-4E9F-AA16-5E5AA2B5BFDE}" uniqueName="153" name="Setting" queryTableFieldId="76"/>
    <tableColumn id="154" xr3:uid="{8979B595-7FBD-4765-B0D1-31692FE7D940}" uniqueName="154" name="Value" queryTableFieldId="7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ADB420E5-BFBE-4E91-A1A3-C8629CDD2F3F}" name="Out_RefreshInfo" displayName="Out_RefreshInfo" ref="A1:B2" tableType="queryTable" totalsRowShown="0">
  <autoFilter ref="A1:B2" xr:uid="{ADB420E5-BFBE-4E91-A1A3-C8629CDD2F3F}"/>
  <tableColumns count="2">
    <tableColumn id="3" xr3:uid="{85A23C33-F27C-4EF2-B24C-6577CC4451F8}" uniqueName="3" name="EngineSuccessAt" queryTableFieldId="1" dataDxfId="332"/>
    <tableColumn id="4" xr3:uid="{B8798896-BF09-4DB7-8EDB-276B2BE98099}" uniqueName="4" name="OutputRows" queryTableFieldId="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8074913F-480A-4CE2-9087-480536BF1155}" name="Out_LoadedPortfolios" displayName="Out_LoadedPortfolios" ref="A6:F10" tableType="queryTable" totalsRowShown="0" headerRowDxfId="331" dataDxfId="330">
  <autoFilter ref="A6:F10" xr:uid="{8074913F-480A-4CE2-9087-480536BF1155}"/>
  <tableColumns count="6">
    <tableColumn id="7" xr3:uid="{1B6A64F3-E2B8-4EA6-B312-E2A4E42EF8A3}" uniqueName="7" name="PortfolioID" queryTableFieldId="1" dataDxfId="137"/>
    <tableColumn id="8" xr3:uid="{FBCD50C7-2138-47D9-A68A-2F56952DAE7A}" uniqueName="8" name="PortfolioName" queryTableFieldId="2" dataDxfId="136"/>
    <tableColumn id="9" xr3:uid="{E93E7FB7-6CC0-4495-A009-3B0671746928}" uniqueName="9" name="Currency" queryTableFieldId="3" dataDxfId="135"/>
    <tableColumn id="10" xr3:uid="{16639BF6-7330-47DE-B428-C9187F3939C0}" uniqueName="10" name="InceptionDate" queryTableFieldId="4" dataDxfId="134"/>
    <tableColumn id="11" xr3:uid="{5083B4D3-469C-4E1C-A5B3-51D142181C62}" uniqueName="11" name="Active" queryTableFieldId="5" dataDxfId="133"/>
    <tableColumn id="12" xr3:uid="{8402BBFC-57C6-457D-B2C4-95F2181BDBF8}" uniqueName="12" name="Include" queryTableFieldId="6" dataDxfId="132"/>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87F0616C-7702-43E6-848D-3725D7F4F6BF}" name="Out_LoadedInstruments" displayName="Out_LoadedInstruments" ref="I6:O9" tableType="queryTable" totalsRowShown="0" headerRowDxfId="329" dataDxfId="328">
  <autoFilter ref="I6:O9" xr:uid="{87F0616C-7702-43E6-848D-3725D7F4F6BF}"/>
  <tableColumns count="7">
    <tableColumn id="8" xr3:uid="{7939D678-CFD4-48F9-9411-C33BFD5C6128}" uniqueName="8" name="InstrumentID" queryTableFieldId="1" dataDxfId="144"/>
    <tableColumn id="9" xr3:uid="{C9F38DB3-8D87-4387-98C2-F34664FB0AD1}" uniqueName="9" name="InstrumentName" queryTableFieldId="2" dataDxfId="143"/>
    <tableColumn id="10" xr3:uid="{50C183A7-3C1E-4035-9611-BDB5FFEDE1F4}" uniqueName="10" name="Symbol" queryTableFieldId="3" dataDxfId="142"/>
    <tableColumn id="11" xr3:uid="{8AD32258-9771-40D2-B039-F15E824C87B8}" uniqueName="11" name="Exchange" queryTableFieldId="4" dataDxfId="141"/>
    <tableColumn id="12" xr3:uid="{9EEEE36D-EA1C-46AC-B0E0-600B6C65B901}" uniqueName="12" name="ISIN" queryTableFieldId="5" dataDxfId="140"/>
    <tableColumn id="13" xr3:uid="{1B32B229-B182-4485-9F61-26CF95A9DB84}" uniqueName="13" name="AssetClass" queryTableFieldId="6" dataDxfId="139"/>
    <tableColumn id="14" xr3:uid="{B6D362AE-27C1-420C-AB64-3E9A4C3C45A9}" uniqueName="14" name="Currency" queryTableFieldId="7" dataDxfId="138"/>
  </tableColumns>
  <tableStyleInfo name="TableStyleMedium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87971987-6BA6-4986-BA84-A755DCF47608}" name="Out_LoadedTransactions" displayName="Out_LoadedTransactions" ref="R6:AD39" tableType="queryTable" totalsRowShown="0" headerRowDxfId="327" dataDxfId="326">
  <autoFilter ref="R6:AD39" xr:uid="{87971987-6BA6-4986-BA84-A755DCF47608}"/>
  <tableColumns count="13">
    <tableColumn id="14" xr3:uid="{397E2FFD-4FD3-437F-9BE1-5C869877B6C5}" uniqueName="14" name="EventID" queryTableFieldId="1" dataDxfId="157"/>
    <tableColumn id="15" xr3:uid="{A9459E73-977C-42D7-ABB6-B253CB608ED8}" uniqueName="15" name="PortfolioID" queryTableFieldId="2" dataDxfId="156"/>
    <tableColumn id="16" xr3:uid="{7D610D87-1073-4EFC-BA95-2D53DF90AA85}" uniqueName="16" name="Date" queryTableFieldId="3" dataDxfId="155"/>
    <tableColumn id="17" xr3:uid="{63B3150E-5DB6-449E-B952-550A0AEC8CA0}" uniqueName="17" name="Sequence" queryTableFieldId="4" dataDxfId="154"/>
    <tableColumn id="18" xr3:uid="{08838C99-00B5-4050-B24A-E9AF620560F8}" uniqueName="18" name="Type" queryTableFieldId="5" dataDxfId="153"/>
    <tableColumn id="19" xr3:uid="{B16E27D8-0CFC-4A11-8E05-A965566BE47D}" uniqueName="19" name="InstrumentID" queryTableFieldId="6" dataDxfId="152"/>
    <tableColumn id="20" xr3:uid="{986F1138-D748-4AA2-BA50-74CFFB168DD2}" uniqueName="20" name="Quantity" queryTableFieldId="7" dataDxfId="151"/>
    <tableColumn id="21" xr3:uid="{AA1FF54E-9FE7-45BB-B28B-3020647A2F73}" uniqueName="21" name="Price" queryTableFieldId="8" dataDxfId="150"/>
    <tableColumn id="22" xr3:uid="{46EE1631-15B9-4852-9625-F1A2E952E762}" uniqueName="22" name="Amount" queryTableFieldId="9" dataDxfId="149"/>
    <tableColumn id="23" xr3:uid="{AE84EA2D-5662-4F6D-B0DF-1D0FD1714000}" uniqueName="23" name="Fees" queryTableFieldId="10" dataDxfId="148"/>
    <tableColumn id="24" xr3:uid="{7BE656EF-D974-45A0-9ECA-A347493D6D13}" uniqueName="24" name="TransferID" queryTableFieldId="11" dataDxfId="147"/>
    <tableColumn id="25" xr3:uid="{D3B867E3-127F-4941-88F8-660D1BE81E59}" uniqueName="25" name="Timing" queryTableFieldId="12" dataDxfId="146"/>
    <tableColumn id="26" xr3:uid="{5E91B79D-EA29-4CFE-A47E-943A14F76F59}" uniqueName="26" name="ActionID" queryTableFieldId="13" dataDxfId="145"/>
  </tableColumns>
  <tableStyleInfo name="TableStyleMedium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44C92741-F405-4487-BCE4-3A774CEEC1AF}" name="Out_LoadedPrices" displayName="Out_LoadedPrices" ref="AG6:AO792" tableType="queryTable" totalsRowShown="0" headerRowDxfId="325" dataDxfId="324">
  <autoFilter ref="AG6:AO792" xr:uid="{44C92741-F405-4487-BCE4-3A774CEEC1AF}"/>
  <tableColumns count="9">
    <tableColumn id="10" xr3:uid="{CC3DFD86-1CEB-4338-9199-052A7F2C2799}" uniqueName="10" name="PriceID" queryTableFieldId="1" dataDxfId="166"/>
    <tableColumn id="11" xr3:uid="{BB034199-8719-4773-ACD1-1DC7BFC4868A}" uniqueName="11" name="InstrumentID" queryTableFieldId="2" dataDxfId="165"/>
    <tableColumn id="12" xr3:uid="{578E2850-E019-4328-8820-FE72AA2754E3}" uniqueName="12" name="Date" queryTableFieldId="3" dataDxfId="164"/>
    <tableColumn id="13" xr3:uid="{A250BB06-4488-4BAC-80C4-FB3110F36530}" uniqueName="13" name="Close" queryTableFieldId="4" dataDxfId="163"/>
    <tableColumn id="14" xr3:uid="{F2B91940-959A-4A45-8946-B70FC39F651E}" uniqueName="14" name="Currency" queryTableFieldId="5" dataDxfId="162"/>
    <tableColumn id="15" xr3:uid="{BC30CBBC-8B28-4B46-8F6E-73AAE23AE059}" uniqueName="15" name="SourceID" queryTableFieldId="6" dataDxfId="161"/>
    <tableColumn id="16" xr3:uid="{3DF6C905-124E-4CFC-A07B-C0C7DB67C8FB}" uniqueName="16" name="Revision" queryTableFieldId="7" dataDxfId="160"/>
    <tableColumn id="17" xr3:uid="{8121E0DD-E76D-4C8F-A0FC-1D833EC6F714}" uniqueName="17" name="RetrievedAt" queryTableFieldId="8" dataDxfId="159"/>
    <tableColumn id="18" xr3:uid="{DF44C677-65B5-4B88-954A-ABB7FEB35D37}" uniqueName="18" name="PriceBasis" queryTableFieldId="9" dataDxfId="158"/>
  </tableColumns>
  <tableStyleInfo name="TableStyleMedium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F8AC9582-B170-498B-9554-DF60C3519853}" name="Out_LoadedActions" displayName="Out_LoadedActions" ref="AR6:BA9" tableType="queryTable" totalsRowShown="0" headerRowDxfId="323" dataDxfId="322">
  <autoFilter ref="AR6:BA9" xr:uid="{F8AC9582-B170-498B-9554-DF60C3519853}"/>
  <tableColumns count="10">
    <tableColumn id="11" xr3:uid="{86147052-EA70-491E-899D-70BD69D51491}" uniqueName="11" name="ActionID" queryTableFieldId="1" dataDxfId="176"/>
    <tableColumn id="12" xr3:uid="{F8BF9E86-7B07-4859-ACC3-0E4B8095EE50}" uniqueName="12" name="InstrumentID" queryTableFieldId="2" dataDxfId="175"/>
    <tableColumn id="13" xr3:uid="{235D3243-CB4D-4D2C-AC83-AB18559804AB}" uniqueName="13" name="Type" queryTableFieldId="3" dataDxfId="174"/>
    <tableColumn id="14" xr3:uid="{8D61F315-AEDE-492F-8803-8B9B6E7FBE01}" uniqueName="14" name="ExDate" queryTableFieldId="4" dataDxfId="173"/>
    <tableColumn id="15" xr3:uid="{C56ACD69-E46E-4C0D-9350-BEA6DB7E0B60}" uniqueName="15" name="PaymentDate" queryTableFieldId="5" dataDxfId="172"/>
    <tableColumn id="16" xr3:uid="{71CBD01E-A36C-49D5-AD71-A2B19C65D5E5}" uniqueName="16" name="Sequence" queryTableFieldId="6" dataDxfId="171"/>
    <tableColumn id="17" xr3:uid="{7B6B30CB-065D-4426-92D3-DE02156C93AD}" uniqueName="17" name="RatioNumerator" queryTableFieldId="7" dataDxfId="170"/>
    <tableColumn id="18" xr3:uid="{D52A694E-E146-4D43-90EE-E47379A5E80D}" uniqueName="18" name="RatioDenominator" queryTableFieldId="8" dataDxfId="169"/>
    <tableColumn id="19" xr3:uid="{389D2CAC-5010-405E-AC40-685F40C53E7E}" uniqueName="19" name="CashPerUnit" queryTableFieldId="9" dataDxfId="168"/>
    <tableColumn id="20" xr3:uid="{80393587-F8F0-493E-8FFD-F2DE20372D8D}" uniqueName="20" name="Verified" queryTableFieldId="10" dataDxfId="167"/>
  </tableColumns>
  <tableStyleInfo name="TableStyleMedium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106E3D65-BB50-405A-99B9-52E3BDED2DE9}" name="Out_LoadedCalendar" displayName="Out_LoadedCalendar" ref="BD6:BE372" tableType="queryTable" totalsRowShown="0" headerRowDxfId="321" dataDxfId="320">
  <autoFilter ref="BD6:BE372" xr:uid="{106E3D65-BB50-405A-99B9-52E3BDED2DE9}"/>
  <tableColumns count="2">
    <tableColumn id="3" xr3:uid="{0BADE258-0C74-432C-9DCC-99B1E78AF4F2}" uniqueName="3" name="Date" queryTableFieldId="1" dataDxfId="178"/>
    <tableColumn id="4" xr3:uid="{9F31F7B2-B82B-4649-A289-8E7641BB58E2}" uniqueName="4" name="IsTradingSession" queryTableFieldId="2" dataDxfId="177"/>
  </tableColumns>
  <tableStyleInfo name="TableStyleMedium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C25EB6D7-DD20-4954-94B7-031DB25E3FD1}" name="Out_LoadedSettings" displayName="Out_LoadedSettings" ref="BH6:BI16" tableType="queryTable" totalsRowShown="0" headerRowDxfId="319" dataDxfId="318">
  <autoFilter ref="BH6:BI16" xr:uid="{C25EB6D7-DD20-4954-94B7-031DB25E3FD1}"/>
  <tableColumns count="2">
    <tableColumn id="3" xr3:uid="{A8575115-96F1-4039-9F69-270B735F4E65}" uniqueName="3" name="Setting" queryTableFieldId="1" dataDxfId="180"/>
    <tableColumn id="4" xr3:uid="{597A8672-A72C-4AFE-B1DE-F77E895437D9}" uniqueName="4" name="Value" queryTableFieldId="2" dataDxfId="179"/>
  </tableColumns>
  <tableStyleInfo name="TableStyleMedium4"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B951F8A5-7A9E-42B1-A163-DDF35FBEE197}" name="Out_AcceptedPrices" displayName="Out_AcceptedPrices" ref="A6:M792" tableType="queryTable" totalsRowShown="0" headerRowDxfId="317" dataDxfId="316">
  <autoFilter ref="A6:M792" xr:uid="{B951F8A5-7A9E-42B1-A163-DDF35FBEE197}"/>
  <tableColumns count="13">
    <tableColumn id="14" xr3:uid="{B86D073B-62E8-4955-8895-E2F7435DF494}" uniqueName="14" name="PriceID" queryTableFieldId="1" dataDxfId="131"/>
    <tableColumn id="15" xr3:uid="{8C7CA662-0D69-4391-ACF9-03976E90193B}" uniqueName="15" name="InstrumentID" queryTableFieldId="2" dataDxfId="130"/>
    <tableColumn id="16" xr3:uid="{84C32EEA-0238-4C48-A33A-97080F893CDB}" uniqueName="16" name="Date" queryTableFieldId="3" dataDxfId="129"/>
    <tableColumn id="17" xr3:uid="{38295E2B-12DA-4EF6-BEDB-DC64ED32A9E4}" uniqueName="17" name="Close" queryTableFieldId="4" dataDxfId="128"/>
    <tableColumn id="18" xr3:uid="{874404B3-3F17-4E6B-B624-0FED7AD61AE9}" uniqueName="18" name="Currency" queryTableFieldId="5" dataDxfId="127"/>
    <tableColumn id="19" xr3:uid="{81314BDF-90C8-4F44-A843-FBAD741D293D}" uniqueName="19" name="SourceID" queryTableFieldId="6" dataDxfId="126"/>
    <tableColumn id="20" xr3:uid="{E0B30BC1-2CB4-43F7-A1CC-213451C56BDC}" uniqueName="20" name="Revision" queryTableFieldId="7" dataDxfId="125"/>
    <tableColumn id="21" xr3:uid="{B250ABEA-3792-4E87-8AA7-B999C08F33E7}" uniqueName="21" name="RetrievedAt" queryTableFieldId="8" dataDxfId="124"/>
    <tableColumn id="22" xr3:uid="{63A2A60B-E152-4F33-BA6B-4DCD73302F30}" uniqueName="22" name="PriceBasis" queryTableFieldId="9" dataDxfId="123"/>
    <tableColumn id="23" xr3:uid="{24112E6F-529D-4639-A6EA-489478CDCE60}" uniqueName="23" name="DuplicateCount" queryTableFieldId="10" dataDxfId="122"/>
    <tableColumn id="24" xr3:uid="{24E49D14-D69E-45AB-BC97-E5FF347FE3EA}" uniqueName="24" name="SupersededCount" queryTableFieldId="11" dataDxfId="121"/>
    <tableColumn id="25" xr3:uid="{826D84A1-A93D-41EB-85C1-5D478ABEAAFE}" uniqueName="25" name="Status" queryTableFieldId="12" dataDxfId="120"/>
    <tableColumn id="26" xr3:uid="{EE49D3C7-ED7C-46D5-A978-379731CD7BB7}" uniqueName="26" name="Reason" queryTableFieldId="13" dataDxfId="119"/>
  </tableColumns>
  <tableStyleInfo name="TableStyleMedium4"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A97BC5F3-AD07-436C-930E-FCF7A6A9A989}" name="Out_InvestorFlows" displayName="Out_InvestorFlows" ref="A6:H24" tableType="queryTable" totalsRowShown="0" headerRowDxfId="315" dataDxfId="314">
  <autoFilter ref="A6:H24" xr:uid="{A97BC5F3-AD07-436C-930E-FCF7A6A9A989}"/>
  <tableColumns count="8">
    <tableColumn id="9" xr3:uid="{862BB4DB-3130-45A0-8127-927A3C0C3C81}" uniqueName="9" name="PortfolioID" queryTableFieldId="1" dataDxfId="118"/>
    <tableColumn id="10" xr3:uid="{BA3548F6-2626-4DFC-B5E6-8973DC8523CD}" uniqueName="10" name="Date" queryTableFieldId="2" dataDxfId="117"/>
    <tableColumn id="11" xr3:uid="{A40CE46D-3675-45EA-8EAD-1DCFD7A49AF0}" uniqueName="11" name="EventID" queryTableFieldId="3" dataDxfId="116"/>
    <tableColumn id="12" xr3:uid="{A9148265-3700-44CC-B0E5-D65674173798}" uniqueName="12" name="Type" queryTableFieldId="4" dataDxfId="115"/>
    <tableColumn id="13" xr3:uid="{38861A4C-DEF3-4094-A1AD-BE492375496B}" uniqueName="13" name="Timing" queryTableFieldId="5" dataDxfId="114"/>
    <tableColumn id="14" xr3:uid="{5D23E01B-A2C9-491E-BED8-299432B45FC7}" uniqueName="14" name="ExternalFlow" queryTableFieldId="6" dataDxfId="113"/>
    <tableColumn id="15" xr3:uid="{2E933071-5F07-4396-B0DD-C70A789732EC}" uniqueName="15" name="InvestorFlow" queryTableFieldId="7" dataDxfId="112"/>
    <tableColumn id="16" xr3:uid="{34C659D5-6E0D-467C-99B4-322037B6CB58}" uniqueName="16" name="TransferID" queryTableFieldId="8" dataDxfId="111"/>
  </tableColumns>
  <tableStyleInfo name="TableStyleMedium4"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CDDD7C40-C242-4F55-8BB6-B55EC0BC5C75}" name="Out_Exceptions" displayName="Out_Exceptions" ref="A6:H7" tableType="queryTable" insertRow="1" totalsRowShown="0" headerRowDxfId="313" dataDxfId="312">
  <autoFilter ref="A6:H7" xr:uid="{CDDD7C40-C242-4F55-8BB6-B55EC0BC5C75}"/>
  <tableColumns count="8">
    <tableColumn id="9" xr3:uid="{B49F8C5A-944B-44A6-9E85-5EB225754D80}" uniqueName="9" name="Rule" queryTableFieldId="1" dataDxfId="110"/>
    <tableColumn id="10" xr3:uid="{F225EA35-AA82-4927-A125-61390A5AC914}" uniqueName="10" name="Severity" queryTableFieldId="2" dataDxfId="109"/>
    <tableColumn id="11" xr3:uid="{F53BEB91-EA43-44DA-AD9A-769459DA3FB6}" uniqueName="11" name="PortfolioID" queryTableFieldId="3" dataDxfId="108"/>
    <tableColumn id="12" xr3:uid="{E5B8BD69-C285-446E-BAF1-93F62BDC6550}" uniqueName="12" name="InstrumentID" queryTableFieldId="4" dataDxfId="107"/>
    <tableColumn id="13" xr3:uid="{C02A7F45-2133-494E-878B-9D527763370D}" uniqueName="13" name="Date" queryTableFieldId="5" dataDxfId="106"/>
    <tableColumn id="14" xr3:uid="{5228011E-C817-46C8-B85C-069A3620A0AE}" uniqueName="14" name="RecordID" queryTableFieldId="6" dataDxfId="105"/>
    <tableColumn id="15" xr3:uid="{EFC67084-834A-4B80-A676-C4D3EE716506}" uniqueName="15" name="Reason" queryTableFieldId="7" dataDxfId="104"/>
    <tableColumn id="16" xr3:uid="{D930E983-A678-4B96-BEF2-F999C8449E16}" uniqueName="16" name="AffectedResult" queryTableFieldId="8" dataDxfId="103"/>
  </tableColumns>
  <tableStyleInfo name="TableStyleMedium4"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F803DB3-C32E-48A2-8E00-3304EF564205}" name="Out_PortfolioDaily" displayName="Out_PortfolioDaily" ref="A6:U1831" tableType="queryTable" totalsRowShown="0" headerRowDxfId="311" dataDxfId="310">
  <autoFilter ref="A6:U1831" xr:uid="{3F803DB3-C32E-48A2-8E00-3304EF564205}"/>
  <tableColumns count="21">
    <tableColumn id="22" xr3:uid="{EAABBF03-E312-4BB0-90A3-1EEAC8FFED05}" uniqueName="22" name="PortfolioID" queryTableFieldId="1" dataDxfId="102"/>
    <tableColumn id="23" xr3:uid="{2144416B-DA48-4180-996E-6D698E367821}" uniqueName="23" name="Date" queryTableFieldId="2" dataDxfId="101"/>
    <tableColumn id="24" xr3:uid="{EA332C2D-8F65-4E56-AE6F-FA9B7617B07B}" uniqueName="24" name="OpeningValue" queryTableFieldId="3" dataDxfId="100"/>
    <tableColumn id="25" xr3:uid="{DA1147A0-D6BC-4BE8-8646-74A25CF50631}" uniqueName="25" name="OpenFlow" queryTableFieldId="4" dataDxfId="99"/>
    <tableColumn id="26" xr3:uid="{E55659DA-76C7-4DEB-ACB0-2F7A86993215}" uniqueName="26" name="CloseFlow" queryTableFieldId="5" dataDxfId="98"/>
    <tableColumn id="27" xr3:uid="{3659541F-5CA2-4423-8FDC-9900FA7D317C}" uniqueName="27" name="NetExternalFlow" queryTableFieldId="6" dataDxfId="97"/>
    <tableColumn id="28" xr3:uid="{361A90D1-6AC9-4872-8537-629E70714FBE}" uniqueName="28" name="Cash" queryTableFieldId="7" dataDxfId="96"/>
    <tableColumn id="29" xr3:uid="{05B1A69D-4747-45BB-A880-BB6DBD9BBE1B}" uniqueName="29" name="StockValue" queryTableFieldId="8" dataDxfId="95"/>
    <tableColumn id="30" xr3:uid="{3887563C-A691-41FC-BB4E-BF09A00566EB}" uniqueName="30" name="DividendReceivable" queryTableFieldId="9" dataDxfId="94"/>
    <tableColumn id="31" xr3:uid="{9976247B-D9C7-40DA-9036-E2CF678B3967}" uniqueName="31" name="ClosingValue" queryTableFieldId="10" dataDxfId="93"/>
    <tableColumn id="32" xr3:uid="{F2F6FDA2-9CFF-4D72-8195-1DDEB4A03362}" uniqueName="32" name="LastKnownValue" queryTableFieldId="11" dataDxfId="92"/>
    <tableColumn id="33" xr3:uid="{79B85723-C91A-4E73-84DF-B7CEA38C0EDB}" uniqueName="33" name="Basis" queryTableFieldId="12" dataDxfId="91"/>
    <tableColumn id="34" xr3:uid="{45CFC489-3054-434E-9EE3-B6D41CB73412}" uniqueName="34" name="RealizedPnL" queryTableFieldId="13" dataDxfId="90"/>
    <tableColumn id="35" xr3:uid="{E8B5E518-BED5-4156-9698-7CAE331424A0}" uniqueName="35" name="Fees" queryTableFieldId="14" dataDxfId="89"/>
    <tableColumn id="36" xr3:uid="{04ECD010-0AFD-4045-8AF7-FEBD77E0331A}" uniqueName="36" name="IncomeAccrued" queryTableFieldId="15" dataDxfId="88"/>
    <tableColumn id="37" xr3:uid="{8996EC69-F8B2-44F7-9CEF-F531A76CC772}" uniqueName="37" name="GainLoss" queryTableFieldId="16" dataDxfId="87"/>
    <tableColumn id="38" xr3:uid="{EA0EA1DB-5D06-41E8-B9F8-4183A9365D84}" uniqueName="38" name="DailyReturn" queryTableFieldId="17" dataDxfId="86"/>
    <tableColumn id="39" xr3:uid="{13767431-E4C4-44B3-A95D-3FA3AA564ABA}" uniqueName="39" name="Status" queryTableFieldId="18" dataDxfId="85"/>
    <tableColumn id="40" xr3:uid="{5548D384-DB16-40E3-9550-685D82E5855B}" uniqueName="40" name="Reason" queryTableFieldId="19" dataDxfId="84"/>
    <tableColumn id="41" xr3:uid="{E1260FC9-D1DD-4785-857A-5CF4EAC4A335}" uniqueName="41" name="ReturnStatus" queryTableFieldId="20" dataDxfId="83"/>
    <tableColumn id="42" xr3:uid="{4D0B4A70-875C-40A6-BF0E-BA5F98CB300F}" uniqueName="42" name="ReturnReason" queryTableFieldId="21" dataDxfId="82"/>
  </tableColumns>
  <tableStyleInfo name="TableStyleMedium4"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9459D295-409C-4724-A636-8495994E8395}" name="Out_HoldingsDaily" displayName="Out_HoldingsDaily" ref="A6:N4386" tableType="queryTable" totalsRowShown="0" headerRowDxfId="309" dataDxfId="308">
  <autoFilter ref="A6:N4386" xr:uid="{9459D295-409C-4724-A636-8495994E8395}"/>
  <tableColumns count="14">
    <tableColumn id="15" xr3:uid="{5AC04E8E-5BA0-470D-B2F2-49528954FBDA}" uniqueName="15" name="PortfolioID" queryTableFieldId="1" dataDxfId="81"/>
    <tableColumn id="16" xr3:uid="{2A8DFA7D-6BAE-47BE-AF7B-0BBAB8703079}" uniqueName="16" name="Date" queryTableFieldId="2" dataDxfId="80"/>
    <tableColumn id="17" xr3:uid="{2B89D2C9-0000-439C-BDBF-1620ED369DFD}" uniqueName="17" name="InstrumentID" queryTableFieldId="3" dataDxfId="79"/>
    <tableColumn id="18" xr3:uid="{8B315A3F-6E07-4FF4-BA5C-2AD33E6D7947}" uniqueName="18" name="Units" queryTableFieldId="4" dataDxfId="78"/>
    <tableColumn id="19" xr3:uid="{49649D09-6569-42FB-85B1-5DDF2893169C}" uniqueName="19" name="Basis" queryTableFieldId="5" dataDxfId="77"/>
    <tableColumn id="20" xr3:uid="{013F62A5-5FB3-47F0-8719-3AE022EAC53B}" uniqueName="20" name="Price" queryTableFieldId="6" dataDxfId="76"/>
    <tableColumn id="21" xr3:uid="{8B4F7D4C-2FC8-42CA-8017-1B91F80AA3EF}" uniqueName="21" name="PriceDate" queryTableFieldId="7" dataDxfId="75"/>
    <tableColumn id="22" xr3:uid="{19C04333-9DBC-45E6-922F-1FB209F1AA47}" uniqueName="22" name="PriceAgeDays" queryTableFieldId="8" dataDxfId="74"/>
    <tableColumn id="23" xr3:uid="{C1EB8F56-0BFA-403E-9187-0264C02AB463}" uniqueName="23" name="MarketValue" queryTableFieldId="9" dataDxfId="73"/>
    <tableColumn id="24" xr3:uid="{DC12C4FD-338A-41AA-A712-1FD9E1739975}" uniqueName="24" name="LastKnownValue" queryTableFieldId="10" dataDxfId="72"/>
    <tableColumn id="25" xr3:uid="{D242930F-30F0-40EA-AD65-A459DE155162}" uniqueName="25" name="DividendReceivable" queryTableFieldId="11" dataDxfId="71"/>
    <tableColumn id="26" xr3:uid="{BE273494-53C0-45A6-AA7A-36416C571D30}" uniqueName="26" name="UnrealizedPnL" queryTableFieldId="12" dataDxfId="70"/>
    <tableColumn id="27" xr3:uid="{1DEAB72F-141D-4D3C-A6F5-BD264CECFBBF}" uniqueName="27" name="Status" queryTableFieldId="13" dataDxfId="69"/>
    <tableColumn id="28" xr3:uid="{DE33F884-3611-4DB7-BCEA-2032F3B67791}" uniqueName="28" name="Reason" queryTableFieldId="14" dataDxfId="68"/>
  </tableColumns>
  <tableStyleInfo name="TableStyleMedium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38E58A84-03E9-4BC6-80FF-F2687185FE1E}" name="Out_TransactionsClean" displayName="Out_TransactionsClean" ref="A6:X39" tableType="queryTable" totalsRowShown="0" headerRowDxfId="307" dataDxfId="306">
  <autoFilter ref="A6:X39" xr:uid="{38E58A84-03E9-4BC6-80FF-F2687185FE1E}"/>
  <tableColumns count="24">
    <tableColumn id="25" xr3:uid="{3CD36E23-0B3C-4CA0-BA31-C42F7FAD3840}" uniqueName="25" name="EventID" queryTableFieldId="1" dataDxfId="59"/>
    <tableColumn id="26" xr3:uid="{EF43FFFE-7BE8-48A0-BB39-979F51C2E8CC}" uniqueName="26" name="PortfolioID" queryTableFieldId="2" dataDxfId="58"/>
    <tableColumn id="27" xr3:uid="{F6E20349-CF58-4667-ABDB-BF0C631400DB}" uniqueName="27" name="Date" queryTableFieldId="3" dataDxfId="57"/>
    <tableColumn id="28" xr3:uid="{F6486EC9-3B9F-4546-B6FE-DAB360CBE95B}" uniqueName="28" name="Sequence" queryTableFieldId="4" dataDxfId="56"/>
    <tableColumn id="29" xr3:uid="{00A84779-DD82-4F7C-962B-EC2B10EF72C7}" uniqueName="29" name="Type" queryTableFieldId="5" dataDxfId="55"/>
    <tableColumn id="30" xr3:uid="{31787129-6C02-410A-969D-B13B9950806A}" uniqueName="30" name="InstrumentID" queryTableFieldId="6" dataDxfId="54"/>
    <tableColumn id="31" xr3:uid="{AA19998C-7029-4FA6-A08B-CF1514451373}" uniqueName="31" name="Quantity" queryTableFieldId="7" dataDxfId="53"/>
    <tableColumn id="32" xr3:uid="{12C9B7A8-ABC0-4EA1-9141-4390C870D997}" uniqueName="32" name="Price" queryTableFieldId="8" dataDxfId="52"/>
    <tableColumn id="33" xr3:uid="{B91C8DA6-C2DA-49EA-8E6C-7E0678ABCC0E}" uniqueName="33" name="Amount" queryTableFieldId="9" dataDxfId="51"/>
    <tableColumn id="34" xr3:uid="{EA5759D2-6410-458D-B08E-F25C210B8D75}" uniqueName="34" name="Fees" queryTableFieldId="10" dataDxfId="50"/>
    <tableColumn id="35" xr3:uid="{1F272B6A-224F-4F17-B689-841C26A801DD}" uniqueName="35" name="TransferID" queryTableFieldId="11" dataDxfId="49"/>
    <tableColumn id="36" xr3:uid="{45B40BAC-A8D4-4C67-A612-5B3D5AE057C8}" uniqueName="36" name="Timing" queryTableFieldId="12" dataDxfId="48"/>
    <tableColumn id="37" xr3:uid="{CABCEBF5-4975-4719-9F3E-05DE51A7F04A}" uniqueName="37" name="ActionID" queryTableFieldId="13" dataDxfId="47"/>
    <tableColumn id="38" xr3:uid="{7844DE13-7AF0-4665-89AB-7C718C27D3F1}" uniqueName="38" name="DuplicateCount" queryTableFieldId="14" dataDxfId="46"/>
    <tableColumn id="39" xr3:uid="{23F756F1-AE5D-4E9B-B26E-F3A082B39D4D}" uniqueName="39" name="Status" queryTableFieldId="15" dataDxfId="45"/>
    <tableColumn id="40" xr3:uid="{9CC6BA96-615B-4F34-A1C5-546F00F7D847}" uniqueName="40" name="Reason" queryTableFieldId="16" dataDxfId="44"/>
    <tableColumn id="41" xr3:uid="{765E4B32-9F66-412E-A07D-7AD9730C510E}" uniqueName="41" name="UnitsDelta" queryTableFieldId="17" dataDxfId="43"/>
    <tableColumn id="42" xr3:uid="{DB9178C0-9707-4379-8A16-B5D0D900A5BB}" uniqueName="42" name="CashDelta" queryTableFieldId="18" dataDxfId="42"/>
    <tableColumn id="43" xr3:uid="{FD4CE2B0-4067-4C8F-907D-B6374850F3E9}" uniqueName="43" name="ExternalFlow" queryTableFieldId="19" dataDxfId="41"/>
    <tableColumn id="44" xr3:uid="{643066D6-71BE-4E07-9BA8-47ABAA791D0A}" uniqueName="44" name="CostChange" queryTableFieldId="20" dataDxfId="40"/>
    <tableColumn id="45" xr3:uid="{FD93FFF0-1E34-4961-ACAE-00C12A0BE262}" uniqueName="45" name="RealizedPnL" queryTableFieldId="21" dataDxfId="39"/>
    <tableColumn id="46" xr3:uid="{7F29598D-E6F7-4FE2-8EA0-A66BD37B85BF}" uniqueName="46" name="CashAfter" queryTableFieldId="22" dataDxfId="38"/>
    <tableColumn id="47" xr3:uid="{B1F23544-EA6C-460C-A87A-BC7C9385243F}" uniqueName="47" name="UnitsAfter" queryTableFieldId="23" dataDxfId="37"/>
    <tableColumn id="48" xr3:uid="{D0AA652D-0AF5-488F-9C8F-9583798E8AAC}" uniqueName="48" name="BasisAfter" queryTableFieldId="24" dataDxfId="36"/>
  </tableColumns>
  <tableStyleInfo name="TableStyleMedium4"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5B769BDC-CDC6-486F-AA45-BF8F7FACA287}" name="AP_Notes" displayName="AP_Notes" ref="A6:F8" totalsRowShown="0" headerRowDxfId="305" dataDxfId="304">
  <autoFilter ref="A6:F8" xr:uid="{5B769BDC-CDC6-486F-AA45-BF8F7FACA287}"/>
  <tableColumns count="6">
    <tableColumn id="1" xr3:uid="{D1071FA2-DAD3-44D8-9062-9AFAAA826DD1}" name="PortfolioID" dataDxfId="303"/>
    <tableColumn id="2" xr3:uid="{A385AF70-2B1F-4D88-BFE4-7A816497FD3F}" name="InstrumentID" dataDxfId="302"/>
    <tableColumn id="3" xr3:uid="{24C807BC-4689-4D7B-B173-612C71ED1874}" name="InvestmentThesis" dataDxfId="301"/>
    <tableColumn id="4" xr3:uid="{94C8AE2E-D148-4A78-A0C8-5621ACBF87DD}" name="NextReviewDate" dataDxfId="300"/>
    <tableColumn id="5" xr3:uid="{23437DF7-87D8-4BDC-9566-90E1CEFB1F56}" name="ReviewNote" dataDxfId="183"/>
    <tableColumn id="6" xr3:uid="{6A693742-88E5-4FC9-82E2-889CFAC59A4B}" name="NoteKey" dataDxfId="182">
      <calculatedColumnFormula>AP_Notes[[#This Row],[PortfolioID]]&amp;"|"&amp;AP_Notes[[#This Row],[InstrumentID]]</calculatedColumnFormula>
    </tableColumn>
  </tableColumns>
  <tableStyleInfo name="TableStyleMedium4"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25C1B935-46FE-492E-AA6B-CCB57B864751}" name="AP_Settings" displayName="AP_Settings" ref="A6:B16" totalsRowShown="0" headerRowDxfId="299" dataDxfId="298">
  <autoFilter ref="A6:B16" xr:uid="{25C1B935-46FE-492E-AA6B-CCB57B864751}"/>
  <tableColumns count="2">
    <tableColumn id="1" xr3:uid="{73B213A8-A7B2-4590-A8E5-981847D09EC2}" name="Setting" dataDxfId="297"/>
    <tableColumn id="2" xr3:uid="{D1677FF7-B426-4695-89C4-6C63B6187837}" name="Value" dataDxfId="296"/>
  </tableColumns>
  <tableStyleInfo name="TableStyleMedium4"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BFAB9D02-2CFC-4053-A4CE-3369AF1E08A6}" name="AP_Calendar" displayName="AP_Calendar" ref="A6:B372" totalsRowShown="0" headerRowDxfId="295" dataDxfId="294">
  <autoFilter ref="A6:B372" xr:uid="{BFAB9D02-2CFC-4053-A4CE-3369AF1E08A6}"/>
  <tableColumns count="2">
    <tableColumn id="1" xr3:uid="{0180EA3A-5255-4231-B3DF-88028C3E7E78}" name="Date" dataDxfId="293"/>
    <tableColumn id="2" xr3:uid="{165C928B-B508-4D1C-A28B-66314FA464A5}" name="IsTradingSession" dataDxfId="292"/>
  </tableColumns>
  <tableStyleInfo name="TableStyleMedium4"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730861F-DBA2-4E30-8CA2-4DFB35D0E2F3}" name="AP_Actions" displayName="AP_Actions" ref="A6:J9" totalsRowShown="0" headerRowDxfId="291" dataDxfId="290">
  <autoFilter ref="A6:J9" xr:uid="{8730861F-DBA2-4E30-8CA2-4DFB35D0E2F3}"/>
  <tableColumns count="10">
    <tableColumn id="1" xr3:uid="{3930D3C4-7FE5-43E9-BEA3-D332289D4962}" name="ActionID" dataDxfId="289"/>
    <tableColumn id="2" xr3:uid="{181C17CA-5CF6-4121-9017-38DE4A0F2A53}" name="InstrumentID" dataDxfId="288"/>
    <tableColumn id="3" xr3:uid="{9535B0A5-9647-4623-8756-18397C6E868B}" name="Type" dataDxfId="287"/>
    <tableColumn id="4" xr3:uid="{D92D6D59-CF41-45DB-BF89-E0AFFE37F149}" name="ExDate" dataDxfId="286"/>
    <tableColumn id="5" xr3:uid="{2C56164E-433F-43F1-82BC-F986CFFA8676}" name="PaymentDate" dataDxfId="285"/>
    <tableColumn id="6" xr3:uid="{36100477-A8BF-4F3A-8E42-20947A96D1E9}" name="Sequence" dataDxfId="284"/>
    <tableColumn id="7" xr3:uid="{D21CD4E3-2958-4794-B27D-C64E8A2D7941}" name="RatioNumerator" dataDxfId="283"/>
    <tableColumn id="8" xr3:uid="{40A27507-B983-435B-86AE-6F58FE5A6AE2}" name="RatioDenominator" dataDxfId="282"/>
    <tableColumn id="9" xr3:uid="{0F2CABCE-06EA-41DF-ADED-341189433F4D}" name="CashPerUnit" dataDxfId="281"/>
    <tableColumn id="10" xr3:uid="{5F734DE7-8E75-4A02-B6D9-FA3E4FE7CF4F}" name="Verified" dataDxfId="280"/>
  </tableColumns>
  <tableStyleInfo name="TableStyleMedium4"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BF2D5B9-D914-42F0-91D3-40622553160C}" name="AP_Prices" displayName="AP_Prices" ref="A6:I792" totalsRowShown="0" headerRowDxfId="279" dataDxfId="278">
  <autoFilter ref="A6:I792" xr:uid="{CBF2D5B9-D914-42F0-91D3-40622553160C}"/>
  <tableColumns count="9">
    <tableColumn id="1" xr3:uid="{28ADD3AF-B7FC-44D9-BA48-7EAE0E69BA25}" name="PriceID" dataDxfId="277"/>
    <tableColumn id="2" xr3:uid="{3FCB3A8A-6F47-4326-8DD2-6AC062FA0D93}" name="InstrumentID" dataDxfId="276"/>
    <tableColumn id="3" xr3:uid="{739E54FA-706A-4C57-AF07-DA6734E36CA7}" name="Date" dataDxfId="275"/>
    <tableColumn id="4" xr3:uid="{BAC24997-2CE6-4B86-8649-6F715F50792F}" name="Close" dataDxfId="274"/>
    <tableColumn id="5" xr3:uid="{7F3F3DCD-DF6A-4ED3-95D4-8E890D9F78C4}" name="Currency" dataDxfId="273"/>
    <tableColumn id="6" xr3:uid="{69DF79A9-42A9-4913-8D02-83CA7C6C1FB4}" name="SourceID" dataDxfId="272"/>
    <tableColumn id="7" xr3:uid="{6ADE0F69-166B-4252-BBF1-E67E3F11A44F}" name="Revision" dataDxfId="271"/>
    <tableColumn id="8" xr3:uid="{165A5086-B000-47FF-96D4-55064F25F015}" name="RetrievedAt" dataDxfId="270"/>
    <tableColumn id="9" xr3:uid="{10BDA5D1-4F46-4421-AB60-15C0568CAAC5}" name="PriceBasis" dataDxfId="269"/>
  </tableColumns>
  <tableStyleInfo name="TableStyleMedium4"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E0E1018F-6D3E-490A-9FAD-B1ECA91E694D}" name="AP_Transactions" displayName="AP_Transactions" ref="A6:M39" totalsRowShown="0" headerRowDxfId="268" dataDxfId="267">
  <autoFilter ref="A6:M39" xr:uid="{E0E1018F-6D3E-490A-9FAD-B1ECA91E694D}"/>
  <tableColumns count="13">
    <tableColumn id="1" xr3:uid="{5DCF162A-FCD7-4AEA-A3D9-8EE35A57836E}" name="EventID" dataDxfId="266"/>
    <tableColumn id="2" xr3:uid="{19601042-AA01-45A4-AD57-674FCE1AF22A}" name="PortfolioID" dataDxfId="265"/>
    <tableColumn id="3" xr3:uid="{776223B6-CCD4-4A89-B19A-5FCFA0BBCD3C}" name="Date" dataDxfId="264"/>
    <tableColumn id="4" xr3:uid="{8FDBA051-0A93-4AA2-A187-951A4FC862A9}" name="Sequence" dataDxfId="263"/>
    <tableColumn id="5" xr3:uid="{0EB43BD8-202D-4FE6-88C6-F52C4CA85B9C}" name="Type" dataDxfId="262"/>
    <tableColumn id="6" xr3:uid="{2DBA634D-EEBD-473F-9BDC-931A03FEB3DD}" name="InstrumentID" dataDxfId="261"/>
    <tableColumn id="7" xr3:uid="{0FD58759-D257-468D-B0B3-C56F3224450E}" name="Quantity" dataDxfId="260"/>
    <tableColumn id="8" xr3:uid="{BDA70758-2C3C-44C8-BC64-17D64F814A1C}" name="Price" dataDxfId="259"/>
    <tableColumn id="9" xr3:uid="{30F5FA8F-91C6-4342-872E-30DDA96E1956}" name="Amount" dataDxfId="258"/>
    <tableColumn id="10" xr3:uid="{3E5B3455-318D-4911-A7F5-9BBD75EEC1B6}" name="Fees" dataDxfId="257"/>
    <tableColumn id="11" xr3:uid="{C6A76735-5763-46A8-8497-5213B4E7A3AB}" name="TransferID" dataDxfId="256"/>
    <tableColumn id="12" xr3:uid="{6962E0DF-A1E2-4EB3-A545-33EB1F5FA8D4}" name="Timing" dataDxfId="255"/>
    <tableColumn id="13" xr3:uid="{6E1F40F9-2922-42A3-9CB3-BF681D3050F7}" name="ActionID" dataDxfId="254"/>
  </tableColumns>
  <tableStyleInfo name="TableStyleMedium4"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277CFB7-016C-44FB-85FE-DECFB21E3568}" name="AP_Instruments" displayName="AP_Instruments" ref="A6:G9" totalsRowShown="0" headerRowDxfId="253" dataDxfId="252">
  <autoFilter ref="A6:G9" xr:uid="{8277CFB7-016C-44FB-85FE-DECFB21E3568}"/>
  <tableColumns count="7">
    <tableColumn id="1" xr3:uid="{31F4B208-ABD5-45D1-ABB9-BA6B9EADD52E}" name="InstrumentID" dataDxfId="251"/>
    <tableColumn id="2" xr3:uid="{09C0926C-35F1-44B6-AEBD-1652E26707C8}" name="InstrumentName" dataDxfId="250"/>
    <tableColumn id="3" xr3:uid="{F6F94837-9F18-4327-BB1D-02D10C8A0D82}" name="Symbol" dataDxfId="249"/>
    <tableColumn id="4" xr3:uid="{21DB97A2-2F10-4C57-853B-49B43A246B70}" name="Exchange" dataDxfId="248"/>
    <tableColumn id="5" xr3:uid="{EA1343AF-E03F-4A4E-B92B-8983B149979D}" name="ISIN" dataDxfId="247"/>
    <tableColumn id="6" xr3:uid="{C4997FC9-186C-4CA6-B757-5336A17B1057}" name="AssetClass" dataDxfId="246"/>
    <tableColumn id="7" xr3:uid="{552244C5-2C29-47FF-96D7-57F0FE8DAA97}" name="Currency" dataDxfId="245"/>
  </tableColumns>
  <tableStyleInfo name="TableStyleMedium4"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46A0C946-5984-475B-9C1B-34874AABBD3B}" name="AP_Portfolios" displayName="AP_Portfolios" ref="A6:F10" totalsRowShown="0" headerRowDxfId="244" dataDxfId="243">
  <autoFilter ref="A6:F10" xr:uid="{46A0C946-5984-475B-9C1B-34874AABBD3B}"/>
  <tableColumns count="6">
    <tableColumn id="1" xr3:uid="{D44AD147-FF1B-44E7-8470-97B3E40AF415}" name="PortfolioID" dataDxfId="242"/>
    <tableColumn id="2" xr3:uid="{10008318-E1B9-4B87-B4D3-A1FBCB2E31E4}" name="PortfolioName" dataDxfId="241"/>
    <tableColumn id="3" xr3:uid="{E56EA62F-C61E-4926-9FC0-A33C598C8E81}" name="Currency" dataDxfId="240"/>
    <tableColumn id="4" xr3:uid="{DAD2EAC6-9334-4574-8748-BA8E3B2748DB}" name="InceptionDate" dataDxfId="239"/>
    <tableColumn id="5" xr3:uid="{E165C6CE-4979-4762-8DC3-2F2884EDCD07}" name="Active" dataDxfId="238"/>
    <tableColumn id="6" xr3:uid="{ED46B286-F67B-4F96-A923-CCD20FD48695}" name="Include" dataDxfId="237"/>
  </tableColumns>
  <tableStyleInfo name="TableStyleMedium4"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4EB4F3E-7A8A-4141-91B7-5B17A7BBCB8A}" name="LedgerData" displayName="LedgerData" ref="A6:U42" tableType="queryTable" totalsRowShown="0" headerRowDxfId="236" dataDxfId="235">
  <autoFilter ref="A6:U42" xr:uid="{D4EB4F3E-7A8A-4141-91B7-5B17A7BBCB8A}"/>
  <tableColumns count="21">
    <tableColumn id="10" xr3:uid="{FB2B2653-B3E8-45F5-B376-FA0C22515AAE}" uniqueName="10" name="EventID" queryTableFieldId="1" dataDxfId="35"/>
    <tableColumn id="11" xr3:uid="{6AB162C1-8AF8-4D28-AAE5-4042BBE81214}" uniqueName="11" name="Date" queryTableFieldId="2" dataDxfId="34"/>
    <tableColumn id="12" xr3:uid="{5E82F2BF-6199-47D2-B293-564387E2A3DA}" uniqueName="12" name="Portfolio" queryTableFieldId="3" dataDxfId="33"/>
    <tableColumn id="13" xr3:uid="{E170C0B7-549C-44B9-9E6F-99AA0C4365A3}" uniqueName="13" name="Type" queryTableFieldId="4" dataDxfId="32"/>
    <tableColumn id="14" xr3:uid="{DFB95FC0-393B-4287-86F3-386FE55A325E}" uniqueName="14" name="Instrument" queryTableFieldId="5" dataDxfId="31"/>
    <tableColumn id="15" xr3:uid="{69362C25-B9C1-4DE8-8E9D-41E65212956B}" uniqueName="15" name="Quantity" queryTableFieldId="6" dataDxfId="30"/>
    <tableColumn id="16" xr3:uid="{8D876A82-DFCF-421E-8157-53C837941E2A}" uniqueName="16" name="Price" queryTableFieldId="7" dataDxfId="29"/>
    <tableColumn id="17" xr3:uid="{9879E87B-FADB-4E0B-8045-4192BEC2D5DF}" uniqueName="17" name="Amount" queryTableFieldId="8" dataDxfId="28"/>
    <tableColumn id="18" xr3:uid="{F64D3971-D161-48CF-94AA-D1516748942A}" uniqueName="18" name="Fees" queryTableFieldId="9" dataDxfId="27"/>
    <tableColumn id="19" xr3:uid="{9451492C-F0F2-4AD3-8D9C-2E0CE367E084}" uniqueName="19" name="UnitsDelta" queryTableFieldId="10" dataDxfId="26">
      <calculatedColumnFormula>IF(D7="BUY",F7,IF(D7="SELL",-F7,IF(OR(D7="SPLIT",D7="BONUS"),F7,0)))</calculatedColumnFormula>
    </tableColumn>
    <tableColumn id="20" xr3:uid="{6765F6AC-D5A0-42C7-8502-8835EFE4A547}" uniqueName="20" name="CashDelta" queryTableFieldId="11" dataDxfId="25">
      <calculatedColumnFormula>IF(D7="BUY",-F7*G7-I7,IF(D7="SELL",F7*G7-I7,IF(D7="DEPOSIT",H7,IF(D7="WITHDRAW",-H7,IF(D7="DIVIDEND",H7-I7,IF(D7="FEE",-H7-I7,0))))))</calculatedColumnFormula>
    </tableColumn>
    <tableColumn id="21" xr3:uid="{0726D86A-00F4-4914-A936-A88DEB9B78A0}" uniqueName="21" name="ExternalFlow" queryTableFieldId="12" dataDxfId="24">
      <calculatedColumnFormula>IF(D7="DEPOSIT",H7,IF(D7="WITHDRAW",-H7,0))</calculatedColumnFormula>
    </tableColumn>
    <tableColumn id="22" xr3:uid="{B6982EED-6927-404C-9509-AF0AADFA278F}" uniqueName="22" name="PriorUnits" queryTableFieldId="13" dataDxfId="23">
      <calculatedColumnFormula>SUMIFS($J$6:J6,$C$6:C6,C7,$E$6:E6,E7)</calculatedColumnFormula>
    </tableColumn>
    <tableColumn id="23" xr3:uid="{0119933B-B951-4567-843B-DE22DC4E4180}" uniqueName="23" name="PriorCost" queryTableFieldId="14" dataDxfId="22">
      <calculatedColumnFormula>SUMIFS($O$6:O6,$C$6:C6,C7,$E$6:E6,E7)</calculatedColumnFormula>
    </tableColumn>
    <tableColumn id="24" xr3:uid="{37696E9C-9860-407D-B666-BBF7C03A7C24}" uniqueName="24" name="CostChange" queryTableFieldId="15" dataDxfId="21">
      <calculatedColumnFormula>IF(D7="BUY",F7*G7+I7,IF(D7="SELL",IF(M7&gt;0,-F7*N7/M7,NA()),0))</calculatedColumnFormula>
    </tableColumn>
    <tableColumn id="25" xr3:uid="{12E3BBE5-4FD6-48EC-91F2-170554E60EBB}" uniqueName="25" name="RealizedPnL" queryTableFieldId="16" dataDxfId="20">
      <calculatedColumnFormula>IF(D7="SELL",F7*G7-I7+O7,0)</calculatedColumnFormula>
    </tableColumn>
    <tableColumn id="26" xr3:uid="{AA1870BC-55F2-4A54-8A30-F279EC47307B}" uniqueName="26" name="PositionAfter" queryTableFieldId="17" dataDxfId="19">
      <calculatedColumnFormula>M7+J7</calculatedColumnFormula>
    </tableColumn>
    <tableColumn id="27" xr3:uid="{0BC1DF00-3C7E-478A-BCA9-85AE041D371A}" uniqueName="27" name="CostAfter" queryTableFieldId="18" dataDxfId="18">
      <calculatedColumnFormula>N7+O7</calculatedColumnFormula>
    </tableColumn>
    <tableColumn id="28" xr3:uid="{75C0F0E9-40CC-46B9-A0D3-0D6C9FE339E3}" uniqueName="28" name="RecordStatus" queryTableFieldId="19" dataDxfId="17">
      <calculatedColumnFormula>IF(OR(F7&lt;0,G7&lt;0,H7&lt;0,I7&lt;0),"Review negative input",IF(Q7&lt;-0.000001,"Review short position",IF(SUMIFS($K$7:K7,$C$7:C7,C7)&lt;-0.01,"Review negative cash",IF(COUNTIFS(History!$A$7:$A$136,B7)=0,"Review date","OK"))))</calculatedColumnFormula>
    </tableColumn>
    <tableColumn id="29" xr3:uid="{FC363927-7134-4C2C-B874-038FFD2438EA}" uniqueName="29" name="SourceKey" queryTableFieldId="20" dataDxfId="16">
      <calculatedColumnFormula>A7&amp;"|"&amp;TEXT(B7,"yyyy-mm-dd")&amp;"|"&amp;C7&amp;"|"&amp;D7&amp;"|"&amp;E7&amp;"|"&amp;TEXT(F7,"0.##############")&amp;"|"&amp;TEXT(G7,"0.##############")&amp;"|"&amp;TEXT(H7,"0.##############")&amp;"|"&amp;TEXT(I7,"0.##############")</calculatedColumnFormula>
    </tableColumn>
    <tableColumn id="30" xr3:uid="{77778DC5-6A30-4345-98F2-D91613952A87}" uniqueName="30" name="InputMatch" queryTableFieldId="21" dataDxfId="15">
      <calculatedColumnFormula>IF(COUNTIFS(Transactions!$A$7:$A$1006,A7,Transactions!$J$7:$J$1006,T7)&gt;0,"Matched","Refresh required")</calculatedColumnFormula>
    </tableColumn>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DemoHistory" displayName="DemoHistory" ref="A6:H136" totalsRowShown="0">
  <autoFilter ref="A6:H136" xr:uid="{00000000-0009-0000-0100-000001000000}"/>
  <tableColumns count="8">
    <tableColumn id="1" xr3:uid="{00000000-0010-0000-0100-000001000000}" name="Date"/>
    <tableColumn id="2" xr3:uid="{00000000-0010-0000-0100-000002000000}" name="SYN_BANK"/>
    <tableColumn id="3" xr3:uid="{00000000-0010-0000-0100-000003000000}" name="SYN_TECH"/>
    <tableColumn id="4" xr3:uid="{00000000-0010-0000-0100-000004000000}" name="SYN_HEALTH"/>
    <tableColumn id="5" xr3:uid="{00000000-0010-0000-0100-000005000000}" name="SYN_INDUSTRY"/>
    <tableColumn id="6" xr3:uid="{00000000-0010-0000-0100-000006000000}" name="SYN_BROAD_ETF"/>
    <tableColumn id="7" xr3:uid="{00000000-0010-0000-0100-000007000000}" name="SYN_BOND_ETF"/>
    <tableColumn id="8" xr3:uid="{00000000-0010-0000-0100-000008000000}" name="BENCH"/>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DemoInstruments" displayName="DemoInstruments" ref="K6:N12" totalsRowShown="0">
  <autoFilter ref="K6:N12" xr:uid="{00000000-0009-0000-0100-000002000000}"/>
  <tableColumns count="4">
    <tableColumn id="1" xr3:uid="{00000000-0010-0000-0200-000001000000}" name="Instrument"/>
    <tableColumn id="2" xr3:uid="{00000000-0010-0000-0200-000002000000}" name="Name"/>
    <tableColumn id="3" xr3:uid="{00000000-0010-0000-0200-000003000000}" name="Type"/>
    <tableColumn id="4" xr3:uid="{00000000-0010-0000-0200-000004000000}" name="Sector"/>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FA29435-90B0-4B4B-AB9A-8AB05068170A}" name="QuoteData" displayName="QuoteData" ref="A6:D12" tableType="queryTable" totalsRowShown="0" headerRowDxfId="234" dataDxfId="233">
  <autoFilter ref="A6:D12" xr:uid="{CFA29435-90B0-4B4B-AB9A-8AB05068170A}"/>
  <tableColumns count="4">
    <tableColumn id="5" xr3:uid="{F4C86DFC-85D4-408B-80F4-D7ECD77EF137}" uniqueName="5" name="Instrument" queryTableFieldId="1" dataDxfId="14"/>
    <tableColumn id="6" xr3:uid="{28F26D82-30A7-494C-BF1A-9261CED997B7}" uniqueName="6" name="Price" queryTableFieldId="2" dataDxfId="13"/>
    <tableColumn id="7" xr3:uid="{30094E6D-0B34-4F83-8C20-4555F8ED6ED0}" uniqueName="7" name="ObservedAt" queryTableFieldId="3" dataDxfId="12"/>
    <tableColumn id="8" xr3:uid="{9377C797-E50C-4357-AC79-1094489610E8}" uniqueName="8" name="RefreshedAt" queryTableFieldId="4" dataDxfId="11"/>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5B6905A-9E4D-4DD3-82EB-D2BA08EFE3BB}" name="FastQuoteData" displayName="FastQuoteData" ref="A6:G8" tableType="queryTable" totalsRowShown="0" headerRowDxfId="232" dataDxfId="231">
  <autoFilter ref="A6:G8" xr:uid="{35B6905A-9E4D-4DD3-82EB-D2BA08EFE3BB}"/>
  <tableColumns count="7">
    <tableColumn id="8" xr3:uid="{CC432F9B-F43C-41DA-B4DF-402A35A93C97}" uniqueName="8" name="Instrument" queryTableFieldId="1" dataDxfId="10"/>
    <tableColumn id="9" xr3:uid="{EC712DF8-C27E-467A-B642-C59347299E64}" uniqueName="9" name="Price" queryTableFieldId="2" dataDxfId="9"/>
    <tableColumn id="10" xr3:uid="{A1C6B8BF-7280-4CDA-BD0C-1C6D80DA4808}" uniqueName="10" name="ObservedAt" queryTableFieldId="3" dataDxfId="8"/>
    <tableColumn id="11" xr3:uid="{3F1682A9-EFF7-4D81-BF56-5951EBA2731D}" uniqueName="11" name="RefreshedAt" queryTableFieldId="4" dataDxfId="7"/>
    <tableColumn id="12" xr3:uid="{3505A24A-362E-4359-B1A1-40AD6B52A532}" uniqueName="12" name="FollowSet" queryTableFieldId="5" dataDxfId="6"/>
    <tableColumn id="13" xr3:uid="{0C72DF00-BA4E-4428-AD17-F0B1AFB5C902}" uniqueName="13" name="Status" queryTableFieldId="6" dataDxfId="5"/>
    <tableColumn id="14" xr3:uid="{BF378AC3-CB80-4D81-BA83-4FE72D635ED5}" uniqueName="14" name="AttemptedAt" queryTableFieldId="7" dataDxfId="4"/>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E82CF4B-C67E-46CF-9A4A-771E6B083035}" name="WatchSettings" displayName="WatchSettings" ref="A7:K13" totalsRowShown="0">
  <tableColumns count="11">
    <tableColumn id="1" xr3:uid="{15AB808F-CDC4-49E1-8CB1-76B542D80B34}" name="Instrument"/>
    <tableColumn id="2" xr3:uid="{FE160F5A-B16C-4A59-B0E8-E5BF1EE91354}" name="Stock / ETF" dataDxfId="230"/>
    <tableColumn id="3" xr3:uid="{C5EA7075-F9ED-41F9-87DB-8FC24254EEDB}" name="Follow" dataDxfId="229"/>
    <tableColumn id="4" xr3:uid="{F40150C5-9F53-4BA9-8357-5C44E332D57D}" name="Price (INR)" dataDxfId="228">
      <calculatedColumnFormula>IF(NOT(W8),"",IF(U8,Q8,IF(N8&gt;0,N8,"")))</calculatedColumnFormula>
    </tableColumn>
    <tableColumn id="5" xr3:uid="{FE1B6789-FE4B-47EB-A9E2-E0E76D71FC75}" name="Day change" dataDxfId="227">
      <calculatedColumnFormula>IFERROR(IF(ISNUMBER(D8),D8/INDEX(History!$B$135:$G$135,1,MATCH(A8,History!$B$6:$G$6,0))-1,""),"")</calculatedColumnFormula>
    </tableColumn>
    <tableColumn id="6" xr3:uid="{7B79054D-F523-451B-A543-0689AD271388}" name="Refresh" dataDxfId="226">
      <calculatedColumnFormula>IF(W8,IF(C8="Yes",1,5),"")</calculatedColumnFormula>
    </tableColumn>
    <tableColumn id="7" xr3:uid="{1E365BA7-F856-40F7-8540-0801B7C02AC1}" name="Updated" dataDxfId="225">
      <calculatedColumnFormula>IF(NOT(W8),"",IF(U8,S8,IF(P8&gt;0,P8,"")))</calculatedColumnFormula>
    </tableColumn>
    <tableColumn id="8" xr3:uid="{ED12FCD3-1C38-4196-A938-8D94E03E2288}" name="Status" dataDxfId="224">
      <calculatedColumnFormula>IF(X8="Synthetic snapshot","Demo price",IF(X8="Follow change: refresh","Waiting for update",IF(X8="Fast quote unavailable","Using 5-min backup",IF(X8="Fast refresh overdue","1-min update overdue",IF(X8="Unknown demo instrument","Unknown stock code",IF(X8="Duplicate instrument","Duplicate stock",X8))))))</calculatedColumnFormula>
    </tableColumn>
    <tableColumn id="9" xr3:uid="{7DE44557-1968-474B-9208-3747E1214AE1}" name="Notes" dataDxfId="223"/>
    <tableColumn id="10" xr3:uid="{E440578D-D383-4A5A-B51B-4A20D8EDA593}" name="Price observed" dataDxfId="222">
      <calculatedColumnFormula>IF(NOT(W8),"",IF(U8,R8,IF(O8&gt;0,O8,"")))</calculatedColumnFormula>
    </tableColumn>
    <tableColumn id="11" xr3:uid="{529EAB1D-B404-420D-8532-6C583B53AAAB}" name="Quote source" dataDxfId="221">
      <calculatedColumnFormula>IF(NOT(W8),"",IF(U8,"1-min",IF(N8&gt;0,"5-min","None")))</calculatedColumnFormula>
    </tableColumn>
  </tableColumns>
  <tableStyleInfo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52DA505-4343-4B2A-890C-6F642653A0A9}" name="StockDaily" displayName="StockDaily" ref="A44:H1044" totalsRowShown="0">
  <tableColumns count="8">
    <tableColumn id="1" xr3:uid="{956DE890-A82D-4A89-9180-F1DFF1AAB26C}" name="Index"/>
    <tableColumn id="2" xr3:uid="{C3DED93C-6CDC-46F1-A9D4-A5023906325B}" name="Date">
      <calculatedColumnFormula>IF($A45&gt;MIN($A$10,$A$2),"",INDEX(DemoHistory[Date],$A45))</calculatedColumnFormula>
    </tableColumn>
    <tableColumn id="3" xr3:uid="{C10CF6AC-4B06-4FCF-BE65-E0C295577D30}" name="Raw close">
      <calculatedColumnFormula>IF(OR($A45&gt;MIN($A$10,$A$2),$A$5=""),"",INDEX(DemoHistory[],$A45,MATCH($A$5,DemoHistory[#Headers],0)))</calculatedColumnFormula>
    </tableColumn>
    <tableColumn id="4" xr3:uid="{F6CE7F11-B32F-4D08-B664-F710DA8911C7}" name="Split divisor">
      <calculatedColumnFormula>IF($A45&gt;MIN($A$10,$A$2),"",IF(AND($A$12,$A$6=1,B45&lt;$A$7,$A$7&lt;=MAX(DemoHistory[Date])),$A$8,1))</calculatedColumnFormula>
    </tableColumn>
    <tableColumn id="5" xr3:uid="{DC8BF2EA-4BC9-433E-880F-DAB843E8EB89}" name="Adjusted close">
      <calculatedColumnFormula>IF($A45&gt;MIN($A$10,$A$2),"",IF(H45="OK",C45/D45,"n.a."))</calculatedColumnFormula>
    </tableColumn>
    <tableColumn id="6" xr3:uid="{CBB8D3F5-F801-4B86-BFAC-46A16A57D540}" name="50-session average">
      <calculatedColumnFormula>IF($A45&gt;MIN($A$10,$A$2),"",IF($A45&lt;50,"n.a.",IF(COUNT(INDEX(StockDaily[Adjusted close],MAX(1,$A45-50+1)):E45)=50,AVERAGE(INDEX(StockDaily[Adjusted close],MAX(1,$A45-50+1)):E45),"n.a.")))</calculatedColumnFormula>
    </tableColumn>
    <tableColumn id="7" xr3:uid="{312812E8-96C2-439F-89E5-98C4E55A05DD}" name="200-session average">
      <calculatedColumnFormula>IF($A45&gt;MIN($A$10,$A$2),"",IF($A45&lt;200,"n.a.",IF(COUNT(INDEX(StockDaily[Adjusted close],MAX(1,$A45-200+1)):E45)=200,AVERAGE(INDEX(StockDaily[Adjusted close],MAX(1,$A45-200+1)):E45),"n.a.")))</calculatedColumnFormula>
    </tableColumn>
    <tableColumn id="8" xr3:uid="{A6B694EA-3109-4EAF-A197-4D85E964CDC1}" name="Row status">
      <calculatedColumnFormula>IF($A45&gt;MIN($A$10,$A$2),"",IF($A$5="","Choose stock",IF(NOT($A$12),"Check split rule",IF(NOT(ISNUMBER(B45)),"Invalid date",IF(OR(B45&lt;=0,B45&lt;&gt;INT(B45)),"Invalid date",IF(COUNTIFS(DemoHistory[Date],B45)&lt;&gt;1,"Duplicate date",IF(AND($A45&gt;1,B45&lt;=B44),"Dates out of order",IF(NOT(ISNUMBER(C45)),"Missing price",IF(C45&lt;=0,"Nonpositive price","OK")))))))))</calculatedColumnFormula>
    </tableColumn>
  </tableColumns>
  <tableStyleInfo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E71909A-D447-4756-B7A0-3E7902A166CB}" name="StockSplitRules" displayName="StockSplitRules" ref="J44:L45" totalsRowShown="0">
  <tableColumns count="3">
    <tableColumn id="1" xr3:uid="{0398FF2F-5560-4F5F-AA10-5F5080AB07DE}" name="Instrument"/>
    <tableColumn id="2" xr3:uid="{67FCE477-E781-4DA5-A0BD-4953DA873CBF}" name="Split date"/>
    <tableColumn id="3" xr3:uid="{B9B79CEF-00A4-4515-A3AB-1B54ABEF3816}" name="New / old shares"/>
  </tableColumns>
  <tableStyleInfo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BEE1285-8A78-4C5A-B29F-83A37AB29EFF}" name="PlanInputs" displayName="PlanInputs" ref="A19:I25" totalsRowShown="0">
  <tableColumns count="9">
    <tableColumn id="1" xr3:uid="{0A9D3534-50F2-403C-84EC-67E6E0962F45}" name="PlanID"/>
    <tableColumn id="2" xr3:uid="{822AED0D-EE98-490F-98C0-323DAE65EE72}" name="Stock / ETF"/>
    <tableColumn id="3" xr3:uid="{B72DBDE8-3211-4C85-973A-43BB4B7EA1CE}" name="Entry" dataDxfId="220"/>
    <tableColumn id="4" xr3:uid="{2C288B9B-AB5B-4757-B5B4-DCC2FEE53223}" name="Stop" dataDxfId="219"/>
    <tableColumn id="5" xr3:uid="{F3B7FCF7-29B4-4A07-B967-F28EE85308A1}" name="Target" dataDxfId="218"/>
    <tableColumn id="6" xr3:uid="{8101F5BE-960B-49E2-A393-C8B0EC6372F6}" name="Risk budget" dataDxfId="217"/>
    <tableColumn id="7" xr3:uid="{334F4D67-59FB-4FCE-AFAF-800464C7CB74}" name="Cash budget" dataDxfId="216"/>
    <tableColumn id="8" xr3:uid="{2A20698F-C08F-4666-9F56-94D35E639B6A}" name="Reason / notes"/>
    <tableColumn id="9" xr3:uid="{14388BF6-C895-47A5-92E8-27BA1372CC32}" name="Review date"/>
  </tableColumns>
  <tableStyleInfo showFirstColumn="0" showLastColumn="0" showRowStripes="0"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F771C1E-F4DD-45E7-B232-4A9B9D33AA9C}" name="PlanCosts" displayName="PlanCosts" ref="A30:I36" totalsRowShown="0">
  <tableColumns count="9">
    <tableColumn id="1" xr3:uid="{679D8312-E802-4741-A95D-869FEB22F236}" name="PlanID"/>
    <tableColumn id="2" xr3:uid="{183AB363-BEBF-443D-BF34-70904349879F}" name="Stock / ETF"/>
    <tableColumn id="3" xr3:uid="{62FB2F7F-4FD4-45A2-BB37-477694AC4CE9}" name="Entry charges"/>
    <tableColumn id="4" xr3:uid="{E9CAE8A0-A897-4589-80A1-99B09C56D62E}" name="Stop exit charges"/>
    <tableColumn id="5" xr3:uid="{1875E57D-1BDB-4B8D-B44B-97E0C7551396}" name="Target exit charges"/>
    <tableColumn id="6" xr3:uid="{E3961A9D-51F6-489C-97C8-268695D5C4A6}" name="Loss / share" dataDxfId="215">
      <calculatedColumnFormula>IF(I31&lt;&gt;"Valid","n.a.",INDEX(PlanInputs[Entry],MATCH($A31,PlanInputs[PlanID],0))-INDEX(PlanInputs[Stop],MATCH($A31,PlanInputs[PlanID],0)))</calculatedColumnFormula>
    </tableColumn>
    <tableColumn id="7" xr3:uid="{C274EB27-DA49-4683-8E52-5815C1DBD3B9}" name="Risk after charges" dataDxfId="214">
      <calculatedColumnFormula>IF(I31&lt;&gt;"Valid","n.a.",INDEX(PlanInputs[Risk budget],MATCH($A31,PlanInputs[PlanID],0))-C31-D31)</calculatedColumnFormula>
    </tableColumn>
    <tableColumn id="8" xr3:uid="{812C2F90-DFDF-4943-A941-6EE58C24ABAD}" name="Cash after entry fees" dataDxfId="213">
      <calculatedColumnFormula>IF(I31&lt;&gt;"Valid","n.a.",INDEX(PlanInputs[Cash budget],MATCH($A31,PlanInputs[PlanID],0))-C31)</calculatedColumnFormula>
    </tableColumn>
    <tableColumn id="9" xr3:uid="{0A0D891A-1D3B-4ED1-8D00-FC2D4CE31EF8}" name="Input check" dataDxfId="212">
      <calculatedColumnFormula>IF(COUNTIFS(PlanInputs[PlanID],$A31)&lt;&gt;1,"Plan key missing or duplicate",IF(COUNTIFS(PlanCosts[PlanID],$A31)&lt;&gt;1,"Charges key duplicated",IF(OR(COUNT(INDEX(PlanInputs[[Entry]:[Cash budget]],MATCH($A31,PlanInputs[PlanID],0),0))&lt;&gt;5,COUNT(C31:E31)&lt;&gt;3),"Enter all prices, budgets and charges",IF(MIN(C31:E31)&lt;0,"Charges must be zero or positive",IF(OR(INDEX(PlanInputs[Entry],MATCH($A31,PlanInputs[PlanID],0))&lt;=0,INDEX(PlanInputs[Stop],MATCH($A31,PlanInputs[PlanID],0))&lt;=0,INDEX(PlanInputs[Target],MATCH($A31,PlanInputs[PlanID],0))&lt;=0,INDEX(PlanInputs[Risk budget],MATCH($A31,PlanInputs[PlanID],0))&lt;=0,INDEX(PlanInputs[Cash budget],MATCH($A31,PlanInputs[PlanID],0))&lt;=0),"Prices and budgets must be positive",IF(INDEX(PlanInputs[Stop],MATCH($A31,PlanInputs[PlanID],0))&gt;=INDEX(PlanInputs[Entry],MATCH($A31,PlanInputs[PlanID],0)),"Stop must be below entry",IF(INDEX(PlanInputs[Target],MATCH($A31,PlanInputs[PlanID],0))&lt;=INDEX(PlanInputs[Entry],MATCH($A31,PlanInputs[PlanID],0)),"Target must be above entry","Valid")))))))</calculatedColumnFormula>
    </tableColumn>
  </tableColumns>
  <tableStyleInfo showFirstColumn="0" showLastColumn="0" showRowStripes="0"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F6695B5-C967-437F-91A8-8D1AA8D5B002}" name="PlanResults" displayName="PlanResults" ref="A41:I47" totalsRowShown="0">
  <tableColumns count="9">
    <tableColumn id="1" xr3:uid="{FAAC0A2F-936B-4683-9589-5212E0C13B51}" name="PlanID"/>
    <tableColumn id="2" xr3:uid="{1C96C73D-55D5-487F-8508-A32809A5A59F}" name="Stock / ETF"/>
    <tableColumn id="3" xr3:uid="{71EF44C4-99FE-4A09-8B52-DF85130C768D}" name="Quantity" dataDxfId="211">
      <calculatedColumnFormula>IF(COUNTIFS(PlanCosts[PlanID],$A42)&lt;&gt;1,"n.a.",IF(INDEX(PlanCosts[Input check],MATCH($A42,PlanCosts[PlanID],0))&lt;&gt;"Valid","n.a.",MAX(0,ROUNDDOWN(MIN(INDEX(PlanCosts[Risk after charges],MATCH($A42,PlanCosts[PlanID],0))/INDEX(PlanCosts[Loss / share],MATCH($A42,PlanCosts[PlanID],0)),INDEX(PlanCosts[Cash after entry fees],MATCH($A42,PlanCosts[PlanID],0))/INDEX(PlanInputs[Entry],MATCH($A42,PlanInputs[PlanID],0))),0))))</calculatedColumnFormula>
    </tableColumn>
    <tableColumn id="4" xr3:uid="{07AD5F0D-B754-4722-8FB4-21B152EB83F1}" name="Cash needed" dataDxfId="210">
      <calculatedColumnFormula>IF(NOT(ISNUMBER(C42)),"n.a.",IF(C42=0,"n.a.",C42*INDEX(PlanInputs[Entry],MATCH($A42,PlanInputs[PlanID],0))+INDEX(PlanCosts[Entry charges],MATCH($A42,PlanCosts[PlanID],0))))</calculatedColumnFormula>
    </tableColumn>
    <tableColumn id="5" xr3:uid="{EB62AC15-7F38-4154-9BF2-F4AA9F7E785C}" name="Loss at stop" dataDxfId="209">
      <calculatedColumnFormula>IF(NOT(ISNUMBER(C42)),"n.a.",IF(C42=0,"n.a.",C42*INDEX(PlanCosts[Loss / share],MATCH($A42,PlanCosts[PlanID],0))+INDEX(PlanCosts[Entry charges],MATCH($A42,PlanCosts[PlanID],0))+INDEX(PlanCosts[Stop exit charges],MATCH($A42,PlanCosts[PlanID],0))))</calculatedColumnFormula>
    </tableColumn>
    <tableColumn id="6" xr3:uid="{10D7487B-E59F-45E6-8A4A-7F105A170CB6}" name="Net target gain" dataDxfId="208">
      <calculatedColumnFormula>IF(NOT(ISNUMBER(C42)),"n.a.",IF(C42=0,"n.a.",C42*(INDEX(PlanInputs[Target],MATCH($A42,PlanInputs[PlanID],0))-INDEX(PlanInputs[Entry],MATCH($A42,PlanInputs[PlanID],0)))-INDEX(PlanCosts[Entry charges],MATCH($A42,PlanCosts[PlanID],0))-INDEX(PlanCosts[Target exit charges],MATCH($A42,PlanCosts[PlanID],0))))</calculatedColumnFormula>
    </tableColumn>
    <tableColumn id="7" xr3:uid="{4C647C67-03F6-4D81-AE2B-9C24DB2C16D1}" name="Reward / risk" dataDxfId="207">
      <calculatedColumnFormula>IF(NOT(ISNUMBER(E42)),"n.a.",IF(E42&lt;=0,"n.a.",F42/E42))</calculatedColumnFormula>
    </tableColumn>
    <tableColumn id="8" xr3:uid="{FC3E9565-370D-45A7-87C9-77496E3CA816}" name="Plan status" dataDxfId="206">
      <calculatedColumnFormula>IF(COUNTIFS(PlanCosts[PlanID],$A42)&lt;&gt;1,"Charges key missing or duplicate",IF(INDEX(PlanCosts[Input check],MATCH($A42,PlanCosts[PlanID],0))&lt;&gt;"Valid",INDEX(PlanCosts[Input check],MATCH($A42,PlanCosts[PlanID],0)),IF(C42=0,"Budget cannot fund one share",IF(F42&lt;=0,"Target gain consumed by charges","Calculated draft"))))</calculatedColumnFormula>
    </tableColumn>
    <tableColumn id="9" xr3:uid="{7E102019-5622-4170-8FDC-DFF696353601}" name="Cash budget used" dataDxfId="205">
      <calculatedColumnFormula>IF(NOT(ISNUMBER(D42)),"n.a.",D42/INDEX(PlanInputs[Cash budget],MATCH($A42,PlanInputs[PlanID],0)))</calculatedColumnFormula>
    </tableColumn>
  </tableColumns>
  <tableStyleInfo showFirstColumn="0" showLastColumn="0" showRowStripes="0"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1853C2B-F4DE-4A1F-A87F-BB107FFA1C75}" name="NewsSources" displayName="NewsSources" ref="B34:E40" totalsRowShown="0">
  <tableColumns count="4">
    <tableColumn id="1" xr3:uid="{8D94F5D0-8285-436D-B393-084D858A874C}" name="SourceID"/>
    <tableColumn id="2" xr3:uid="{60F05D2B-1AF7-4FE7-89FA-D852C2515D39}" name="Publisher"/>
    <tableColumn id="3" xr3:uid="{0FF1A48F-7B09-4579-8BF4-7977B8017CEC}" name="Feed URL"/>
    <tableColumn id="4" xr3:uid="{3E2115E6-8EEE-4595-AEF9-73B57272CEEE}" name="Enabled"/>
  </tableColumns>
  <tableStyleInfo showFirstColumn="0" showLastColumn="0" showRowStripes="0"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517D63D-141F-491D-B9AC-AF7430E16910}" name="NewsRules" displayName="NewsRules" ref="B48:C73" totalsRowShown="0">
  <tableColumns count="2">
    <tableColumn id="1" xr3:uid="{2E2BD8BF-44A8-4306-BAD4-2D86FB9F531B}" name="Industry"/>
    <tableColumn id="2" xr3:uid="{7DF7AEC6-C453-4AE0-ADDF-890EF63025B2}" name="Keyword"/>
  </tableColumns>
  <tableStyleInfo showFirstColumn="0" showLastColumn="0" showRowStripes="0"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DemoEvents" displayName="DemoEvents" ref="A6:K42" totalsRowShown="0" headerRowDxfId="204">
  <autoFilter ref="A6:K42" xr:uid="{00000000-0009-0000-0100-000003000000}"/>
  <tableColumns count="11">
    <tableColumn id="1" xr3:uid="{00000000-0010-0000-0000-000001000000}" name="EventID" dataDxfId="203"/>
    <tableColumn id="2" xr3:uid="{00000000-0010-0000-0000-000002000000}" name="Date" dataDxfId="202"/>
    <tableColumn id="3" xr3:uid="{00000000-0010-0000-0000-000003000000}" name="Portfolio" dataDxfId="201"/>
    <tableColumn id="4" xr3:uid="{00000000-0010-0000-0000-000004000000}" name="Type" dataDxfId="200"/>
    <tableColumn id="5" xr3:uid="{00000000-0010-0000-0000-000005000000}" name="Instrument" dataDxfId="199"/>
    <tableColumn id="6" xr3:uid="{00000000-0010-0000-0000-000006000000}" name="Quantity" dataDxfId="198"/>
    <tableColumn id="7" xr3:uid="{00000000-0010-0000-0000-000007000000}" name="Price" dataDxfId="197"/>
    <tableColumn id="8" xr3:uid="{00000000-0010-0000-0000-000008000000}" name="Amount" dataDxfId="196"/>
    <tableColumn id="9" xr3:uid="{00000000-0010-0000-0000-000009000000}" name="Fees" dataDxfId="195"/>
    <tableColumn id="10" xr3:uid="{00000000-0010-0000-0000-00000A000000}" name="SourceKey">
      <calculatedColumnFormula>A7&amp;"|"&amp;TEXT(B7,"yyyy-mm-dd")&amp;"|"&amp;C7&amp;"|"&amp;D7&amp;"|"&amp;E7&amp;"|"&amp;TEXT(F7,"0.##############")&amp;"|"&amp;TEXT(G7,"0.##############")&amp;"|"&amp;TEXT(H7,"0.##############")&amp;"|"&amp;TEXT(I7,"0.##############")</calculatedColumnFormula>
    </tableColumn>
    <tableColumn id="11" xr3:uid="{00000000-0010-0000-0000-00000B000000}" name="Import state" dataDxfId="194">
      <calculatedColumnFormula>IF(COUNTIFS(Ledger!$A$7:$A$1006,A7,Ledger!$T$7:$T$1006,J7)=1,"Loaded","Refresh required")</calculatedColumnFormula>
    </tableColumn>
  </tableColumns>
  <tableStyleInfo showFirstColumn="0" showLastColumn="0" showRowStripes="0"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F9274EE-3DFC-4A44-A29E-9FCFE490594A}" name="DemoNews" displayName="DemoNews" ref="A1:D12" totalsRowShown="0">
  <tableColumns count="4">
    <tableColumn id="1" xr3:uid="{126AB155-511F-4384-9B53-CA083EE788A5}" name="SourceID"/>
    <tableColumn id="2" xr3:uid="{F33D5154-5D0F-4B80-82C6-20D07A386832}" name="Headline"/>
    <tableColumn id="3" xr3:uid="{839AFE6B-E4B7-4574-B0B6-3229DFB0E489}" name="URL"/>
    <tableColumn id="4" xr3:uid="{B5B30974-E388-48A2-95F5-6A30B5FC8B28}" name="PublishedText"/>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1A4486A-C8AF-40F7-B80C-845EA7FF626D}" name="NewsCache" displayName="NewsCache" ref="A1:N15" tableType="queryTable" totalsRowShown="0">
  <autoFilter ref="A1:N15" xr:uid="{E1A4486A-C8AF-40F7-B80C-845EA7FF626D}"/>
  <tableColumns count="14">
    <tableColumn id="15" xr3:uid="{331E3DB0-C863-4D2F-AF11-50F0779E741E}" uniqueName="15" name="RowType" queryTableFieldId="1" dataDxfId="193"/>
    <tableColumn id="16" xr3:uid="{95E78393-F1FC-4ED9-90CE-C05C500E4AD4}" uniqueName="16" name="SourceID" queryTableFieldId="2" dataDxfId="192"/>
    <tableColumn id="17" xr3:uid="{DC78752B-444C-4A4C-AA0C-0C70C21DCC71}" uniqueName="17" name="Publisher" queryTableFieldId="3" dataDxfId="191"/>
    <tableColumn id="18" xr3:uid="{EF5BB75F-F5EF-486C-9A6B-6EF0A994FBFD}" uniqueName="18" name="PublishedAt" queryTableFieldId="4" dataDxfId="3"/>
    <tableColumn id="19" xr3:uid="{A21F7ACE-1FB2-41B5-B998-FCF063DB873C}" uniqueName="19" name="Headline" queryTableFieldId="5" dataDxfId="190"/>
    <tableColumn id="20" xr3:uid="{AA624CC4-D643-4B5A-853A-CD8E86AA69F7}" uniqueName="20" name="Industries" queryTableFieldId="6" dataDxfId="189"/>
    <tableColumn id="21" xr3:uid="{029633C3-3605-468C-9054-C95856494AF8}" uniqueName="21" name="MatchReason" queryTableFieldId="7" dataDxfId="188"/>
    <tableColumn id="22" xr3:uid="{79A50400-511E-4C4D-925A-2321B433AE08}" uniqueName="22" name="URL" queryTableFieldId="8" dataDxfId="187"/>
    <tableColumn id="23" xr3:uid="{E9AD4ACA-86F8-4443-99A6-79EEFC7FEBB6}" uniqueName="23" name="State" queryTableFieldId="9" dataDxfId="186"/>
    <tableColumn id="24" xr3:uid="{9118246D-10C1-4ADA-A5B9-F2B34568A011}" uniqueName="24" name="ItemCount" queryTableFieldId="10"/>
    <tableColumn id="25" xr3:uid="{7BF4FE2D-EFCC-4B57-8EDB-87005EDF21B4}" uniqueName="25" name="Rejected" queryTableFieldId="11"/>
    <tableColumn id="26" xr3:uid="{5A60B3DA-ACE3-44BD-8F20-F6AE1D73E030}" uniqueName="26" name="RefreshedAt" queryTableFieldId="12" dataDxfId="2"/>
    <tableColumn id="27" xr3:uid="{812A5AD4-A1A4-4447-B6CD-6758D6EE1E0C}" uniqueName="27" name="Mode" queryTableFieldId="13" dataDxfId="185"/>
    <tableColumn id="28" xr3:uid="{256AD7BE-1152-4D78-BCA4-3A606E85802E}" uniqueName="28" name="SettingsKey" queryTableFieldId="14" dataDxfId="184"/>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7.bin"/><Relationship Id="rId1" Type="http://schemas.openxmlformats.org/officeDocument/2006/relationships/pivotTable" Target="../pivotTables/pivotTable1.xml"/><Relationship Id="rId4" Type="http://schemas.microsoft.com/office/2007/relationships/slicer" Target="../slicers/slicer1.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table" Target="../tables/table4.xml"/><Relationship Id="rId1" Type="http://schemas.openxmlformats.org/officeDocument/2006/relationships/table" Target="../tables/table3.xml"/><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7.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table" Target="../tables/table25.xml"/><Relationship Id="rId1" Type="http://schemas.openxmlformats.org/officeDocument/2006/relationships/printerSettings" Target="../printerSettings/printerSettings10.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11.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1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4.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15.bin"/></Relationships>
</file>

<file path=xl/worksheets/_rels/sheet35.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drawing" Target="../drawings/drawing3.xml"/><Relationship Id="rId1" Type="http://schemas.openxmlformats.org/officeDocument/2006/relationships/printerSettings" Target="../printerSettings/printerSettings16.bin"/><Relationship Id="rId4" Type="http://schemas.openxmlformats.org/officeDocument/2006/relationships/table" Target="../tables/table31.xml"/></Relationships>
</file>

<file path=xl/worksheets/_rels/sheet36.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table" Target="../tables/table32.xml"/><Relationship Id="rId1" Type="http://schemas.openxmlformats.org/officeDocument/2006/relationships/printerSettings" Target="../printerSettings/printerSettings17.bin"/><Relationship Id="rId4" Type="http://schemas.openxmlformats.org/officeDocument/2006/relationships/table" Target="../tables/table34.xml"/></Relationships>
</file>

<file path=xl/worksheets/_rels/sheet37.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printerSettings" Target="../printerSettings/printerSettings18.bin"/><Relationship Id="rId1" Type="http://schemas.openxmlformats.org/officeDocument/2006/relationships/hyperlink" Target="https://www.livemint.com/rss" TargetMode="External"/><Relationship Id="rId4"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20.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2.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3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13C5A"/>
    <pageSetUpPr fitToPage="1"/>
  </sheetPr>
  <dimension ref="A1:T65"/>
  <sheetViews>
    <sheetView showGridLines="0" zoomScale="90" zoomScaleNormal="90" workbookViewId="0"/>
  </sheetViews>
  <sheetFormatPr defaultRowHeight="14.5" x14ac:dyDescent="0.35"/>
  <cols>
    <col min="1" max="1" width="27" customWidth="1"/>
    <col min="2" max="3" width="13" customWidth="1"/>
    <col min="4" max="4" width="45" customWidth="1"/>
    <col min="5" max="16" width="13" customWidth="1"/>
  </cols>
  <sheetData>
    <row r="1" spans="1:20" ht="20" customHeight="1" x14ac:dyDescent="0.35">
      <c r="A1" s="1"/>
      <c r="B1" s="1"/>
      <c r="C1" s="1"/>
      <c r="D1" s="1"/>
      <c r="E1" s="1"/>
      <c r="F1" s="1"/>
      <c r="G1" s="1"/>
      <c r="H1" s="1"/>
      <c r="I1" s="1"/>
      <c r="J1" s="1"/>
      <c r="K1" s="1"/>
      <c r="L1" s="1"/>
      <c r="M1" s="1"/>
      <c r="N1" s="1"/>
      <c r="O1" s="1"/>
      <c r="P1" s="1"/>
    </row>
    <row r="2" spans="1:20" ht="20" customHeight="1" x14ac:dyDescent="0.35">
      <c r="A2" s="2" t="s">
        <v>23</v>
      </c>
      <c r="B2" s="1"/>
      <c r="C2" s="1"/>
      <c r="D2" s="1"/>
      <c r="E2" s="1"/>
      <c r="F2" s="1"/>
      <c r="G2" s="1"/>
      <c r="H2" s="1"/>
      <c r="I2" s="1"/>
      <c r="J2" s="1"/>
      <c r="K2" s="1"/>
      <c r="L2" s="1"/>
      <c r="M2" s="1"/>
      <c r="N2" s="1"/>
      <c r="O2" s="1"/>
      <c r="P2" s="1"/>
    </row>
    <row r="3" spans="1:20" ht="20" customHeight="1" x14ac:dyDescent="0.35">
      <c r="A3" s="3"/>
      <c r="B3" s="3"/>
      <c r="C3" s="3"/>
      <c r="D3" s="3"/>
      <c r="E3" s="3"/>
      <c r="F3" s="3"/>
      <c r="G3" s="3"/>
      <c r="H3" s="3"/>
      <c r="I3" s="3"/>
      <c r="J3" s="3"/>
      <c r="K3" s="3"/>
      <c r="L3" s="3"/>
      <c r="M3" s="3"/>
      <c r="N3" s="3"/>
      <c r="O3" s="3"/>
      <c r="P3" s="3"/>
      <c r="Q3" s="4"/>
      <c r="R3" s="4"/>
      <c r="S3" s="4"/>
      <c r="T3" s="4"/>
    </row>
    <row r="4" spans="1:20" ht="20" customHeight="1" x14ac:dyDescent="0.35">
      <c r="A4" s="5" t="s">
        <v>24</v>
      </c>
      <c r="B4" s="1"/>
      <c r="C4" s="1"/>
      <c r="D4" s="1"/>
      <c r="E4" s="1"/>
      <c r="F4" s="1"/>
      <c r="G4" s="1"/>
      <c r="H4" s="1"/>
      <c r="I4" s="1"/>
      <c r="J4" s="1"/>
      <c r="K4" s="1"/>
      <c r="L4" s="1"/>
      <c r="M4" s="1"/>
      <c r="N4" s="1"/>
      <c r="O4" s="1"/>
      <c r="P4" s="1"/>
    </row>
    <row r="5" spans="1:20" ht="20" customHeight="1" x14ac:dyDescent="0.35">
      <c r="A5" s="1"/>
      <c r="B5" s="1"/>
      <c r="C5" s="1"/>
      <c r="D5" s="1"/>
      <c r="E5" s="1"/>
      <c r="F5" s="1"/>
      <c r="G5" s="1"/>
      <c r="H5" s="1"/>
      <c r="I5" s="1"/>
      <c r="J5" s="1"/>
      <c r="K5" s="1"/>
      <c r="L5" s="1"/>
      <c r="M5" s="1"/>
      <c r="N5" s="1"/>
      <c r="O5" s="1"/>
      <c r="P5" s="1"/>
    </row>
    <row r="6" spans="1:20" ht="20" customHeight="1" x14ac:dyDescent="0.35">
      <c r="A6" s="1" t="s">
        <v>0</v>
      </c>
      <c r="B6" s="1"/>
      <c r="C6" s="1" t="str">
        <f>Portfolio!C5</f>
        <v>Model</v>
      </c>
      <c r="D6" s="1"/>
      <c r="E6" s="1"/>
      <c r="F6" s="1"/>
      <c r="G6" s="1" t="s">
        <v>25</v>
      </c>
      <c r="H6" s="1"/>
      <c r="I6" s="7">
        <f>Portfolio!J5</f>
        <v>46283</v>
      </c>
      <c r="J6" s="1"/>
      <c r="K6" s="1"/>
      <c r="L6" s="1"/>
      <c r="M6" s="1"/>
      <c r="N6" s="1"/>
      <c r="O6" s="1"/>
      <c r="P6" s="1"/>
    </row>
    <row r="7" spans="1:20" ht="20" customHeight="1" x14ac:dyDescent="0.35">
      <c r="A7" s="1"/>
      <c r="B7" s="1"/>
      <c r="C7" s="1"/>
      <c r="D7" s="1"/>
      <c r="E7" s="1"/>
      <c r="F7" s="1"/>
      <c r="G7" s="1"/>
      <c r="H7" s="1"/>
      <c r="I7" s="1"/>
      <c r="J7" s="1"/>
      <c r="K7" s="1"/>
      <c r="L7" s="1"/>
      <c r="M7" s="1"/>
      <c r="N7" s="1"/>
      <c r="O7" s="1"/>
      <c r="P7" s="1"/>
    </row>
    <row r="8" spans="1:20" ht="29" customHeight="1" x14ac:dyDescent="0.35">
      <c r="A8" s="6" t="s">
        <v>26</v>
      </c>
      <c r="B8" s="6" t="s">
        <v>0</v>
      </c>
      <c r="C8" s="6" t="s">
        <v>4</v>
      </c>
      <c r="D8" s="6" t="s">
        <v>27</v>
      </c>
      <c r="E8" s="1"/>
      <c r="F8" s="1"/>
      <c r="G8" s="1"/>
      <c r="H8" s="1"/>
      <c r="I8" s="1"/>
      <c r="J8" s="1"/>
      <c r="K8" s="1"/>
      <c r="L8" s="1"/>
      <c r="M8" s="1"/>
      <c r="N8" s="1"/>
      <c r="O8" s="1"/>
      <c r="P8" s="1"/>
    </row>
    <row r="9" spans="1:20" ht="34" customHeight="1" x14ac:dyDescent="0.35">
      <c r="A9" s="1" t="s">
        <v>28</v>
      </c>
      <c r="B9" s="18">
        <f>Portfolio!A11</f>
        <v>-1.7176242533562869E-2</v>
      </c>
      <c r="C9" s="18">
        <f>IF(Portfolio!$J$5&lt;Holdings!$G$24,"n.a.",INDEX(Daily!$P$7:$P$136,MATCH(Portfolio!$J$5,Daily!$A$7:$A$136,0))/100-1)</f>
        <v>-3.3758660999999912E-2</v>
      </c>
      <c r="D9" s="13" t="s">
        <v>29</v>
      </c>
      <c r="E9" s="1"/>
      <c r="F9" s="1"/>
      <c r="G9" s="1"/>
      <c r="H9" s="1"/>
      <c r="I9" s="1"/>
      <c r="J9" s="1"/>
      <c r="K9" s="1"/>
      <c r="L9" s="1"/>
      <c r="M9" s="1"/>
      <c r="N9" s="1"/>
      <c r="O9" s="1"/>
      <c r="P9" s="1"/>
    </row>
    <row r="10" spans="1:20" ht="34" customHeight="1" x14ac:dyDescent="0.35">
      <c r="A10" s="1" t="s">
        <v>30</v>
      </c>
      <c r="B10" s="18">
        <f>IF(B12&gt;1,STDEV(Daily!$V$7:$V$136)*SQRT(252),"n.a.")</f>
        <v>8.4074113241684026E-2</v>
      </c>
      <c r="C10" s="18">
        <f>IF(B12&gt;1,STDEV(Daily!$W$7:$W$136)*SQRT(252),"n.a.")</f>
        <v>8.9845338829587687E-2</v>
      </c>
      <c r="D10" s="13" t="s">
        <v>31</v>
      </c>
      <c r="E10" s="1"/>
      <c r="F10" s="1"/>
      <c r="G10" s="1"/>
      <c r="H10" s="1"/>
      <c r="I10" s="1"/>
      <c r="J10" s="1"/>
      <c r="K10" s="1"/>
      <c r="L10" s="1"/>
      <c r="M10" s="1"/>
      <c r="N10" s="1"/>
      <c r="O10" s="1"/>
      <c r="P10" s="1"/>
    </row>
    <row r="11" spans="1:20" ht="34" customHeight="1" x14ac:dyDescent="0.35">
      <c r="A11" s="1" t="s">
        <v>8</v>
      </c>
      <c r="B11" s="18">
        <f>Portfolio!K11</f>
        <v>-5.750948684762236E-2</v>
      </c>
      <c r="C11" s="18" t="s">
        <v>32</v>
      </c>
      <c r="D11" s="13" t="s">
        <v>33</v>
      </c>
      <c r="E11" s="1"/>
      <c r="F11" s="1"/>
      <c r="G11" s="1"/>
      <c r="H11" s="1"/>
      <c r="I11" s="1"/>
      <c r="J11" s="1"/>
      <c r="K11" s="1"/>
      <c r="L11" s="1"/>
      <c r="M11" s="1"/>
      <c r="N11" s="1"/>
      <c r="O11" s="1"/>
      <c r="P11" s="1"/>
    </row>
    <row r="12" spans="1:20" ht="34" customHeight="1" x14ac:dyDescent="0.35">
      <c r="A12" s="1" t="s">
        <v>34</v>
      </c>
      <c r="B12" s="19">
        <f>MAX(0,MATCH(Portfolio!$J$5,Daily!$A$7:$A$136,0)-MATCH(Holdings!$G$24,Daily!$A$7:$A$136,0))</f>
        <v>129</v>
      </c>
      <c r="C12" s="19">
        <f>B12</f>
        <v>129</v>
      </c>
      <c r="D12" s="13" t="s">
        <v>35</v>
      </c>
      <c r="E12" s="1"/>
      <c r="F12" s="1"/>
      <c r="G12" s="1"/>
      <c r="H12" s="1"/>
      <c r="I12" s="1"/>
      <c r="J12" s="1"/>
      <c r="K12" s="1"/>
      <c r="L12" s="1"/>
      <c r="M12" s="1"/>
      <c r="N12" s="1"/>
      <c r="O12" s="1"/>
      <c r="P12" s="1"/>
    </row>
    <row r="13" spans="1:20" ht="34" customHeight="1" x14ac:dyDescent="0.35">
      <c r="A13" s="1" t="s">
        <v>36</v>
      </c>
      <c r="B13" s="18">
        <f>IF(Holdings!G16=0,"n.a.",Holdings!G15/Holdings!G16)</f>
        <v>9.3856685283145697E-2</v>
      </c>
      <c r="C13" s="18" t="s">
        <v>32</v>
      </c>
      <c r="D13" s="13" t="s">
        <v>37</v>
      </c>
      <c r="E13" s="1"/>
      <c r="F13" s="1"/>
      <c r="G13" s="1"/>
      <c r="H13" s="1"/>
      <c r="I13" s="1"/>
      <c r="J13" s="1"/>
      <c r="K13" s="1"/>
      <c r="L13" s="1"/>
      <c r="M13" s="1"/>
      <c r="N13" s="1"/>
      <c r="O13" s="1"/>
      <c r="P13" s="1"/>
    </row>
    <row r="14" spans="1:20" ht="20" customHeight="1" x14ac:dyDescent="0.35">
      <c r="A14" s="1"/>
      <c r="B14" s="1"/>
      <c r="C14" s="1"/>
      <c r="D14" s="1"/>
      <c r="E14" s="1"/>
      <c r="F14" s="1"/>
      <c r="G14" s="1"/>
      <c r="H14" s="1"/>
      <c r="I14" s="1"/>
      <c r="J14" s="1"/>
      <c r="K14" s="1"/>
      <c r="L14" s="1"/>
      <c r="M14" s="1"/>
      <c r="N14" s="1"/>
      <c r="O14" s="1"/>
      <c r="P14" s="1"/>
    </row>
    <row r="15" spans="1:20" ht="20" customHeight="1" x14ac:dyDescent="0.35">
      <c r="A15" s="1"/>
      <c r="B15" s="1"/>
      <c r="C15" s="1"/>
      <c r="D15" s="1"/>
      <c r="E15" s="1"/>
      <c r="F15" s="1"/>
      <c r="G15" s="1"/>
      <c r="H15" s="1"/>
      <c r="I15" s="1"/>
      <c r="J15" s="1"/>
      <c r="K15" s="1"/>
      <c r="L15" s="1"/>
      <c r="M15" s="1"/>
      <c r="N15" s="1"/>
      <c r="O15" s="1"/>
      <c r="P15" s="1"/>
    </row>
    <row r="16" spans="1:20" ht="20" customHeight="1" x14ac:dyDescent="0.35">
      <c r="A16" s="1"/>
      <c r="B16" s="1"/>
      <c r="C16" s="1"/>
      <c r="D16" s="1"/>
      <c r="E16" s="1"/>
      <c r="F16" s="1"/>
      <c r="G16" s="1"/>
      <c r="H16" s="1"/>
      <c r="I16" s="1"/>
      <c r="J16" s="1"/>
      <c r="K16" s="1"/>
      <c r="L16" s="1"/>
      <c r="M16" s="1"/>
      <c r="N16" s="1"/>
      <c r="O16" s="1"/>
      <c r="P16" s="1"/>
    </row>
    <row r="17" spans="1:16" ht="20" customHeight="1" x14ac:dyDescent="0.35">
      <c r="A17" s="1"/>
      <c r="B17" s="1"/>
      <c r="C17" s="1"/>
      <c r="D17" s="1"/>
      <c r="E17" s="1"/>
      <c r="F17" s="1"/>
      <c r="G17" s="1"/>
      <c r="H17" s="1"/>
      <c r="I17" s="1"/>
      <c r="J17" s="1"/>
      <c r="K17" s="1"/>
      <c r="L17" s="1"/>
      <c r="M17" s="1"/>
      <c r="N17" s="1"/>
      <c r="O17" s="1"/>
      <c r="P17" s="1"/>
    </row>
    <row r="18" spans="1:16" ht="20" customHeight="1" x14ac:dyDescent="0.35">
      <c r="A18" s="1"/>
      <c r="B18" s="1"/>
      <c r="C18" s="1"/>
      <c r="D18" s="1"/>
      <c r="E18" s="1"/>
      <c r="F18" s="1"/>
      <c r="G18" s="1"/>
      <c r="H18" s="1"/>
      <c r="I18" s="1"/>
      <c r="J18" s="1"/>
      <c r="K18" s="1"/>
      <c r="L18" s="1"/>
      <c r="M18" s="1"/>
      <c r="N18" s="1"/>
      <c r="O18" s="1"/>
      <c r="P18" s="1"/>
    </row>
    <row r="19" spans="1:16" ht="20" customHeight="1" x14ac:dyDescent="0.35">
      <c r="A19" s="1"/>
      <c r="B19" s="1"/>
      <c r="C19" s="1"/>
      <c r="D19" s="1"/>
      <c r="E19" s="1"/>
      <c r="F19" s="1"/>
      <c r="G19" s="1"/>
      <c r="H19" s="1"/>
      <c r="I19" s="1"/>
      <c r="J19" s="1"/>
      <c r="K19" s="1"/>
      <c r="L19" s="1"/>
      <c r="M19" s="1"/>
      <c r="N19" s="1"/>
      <c r="O19" s="1"/>
      <c r="P19" s="1"/>
    </row>
    <row r="20" spans="1:16" ht="20" customHeight="1" x14ac:dyDescent="0.35">
      <c r="A20" s="1"/>
      <c r="B20" s="1"/>
      <c r="C20" s="1"/>
      <c r="D20" s="1"/>
      <c r="E20" s="1"/>
      <c r="F20" s="1"/>
      <c r="G20" s="1"/>
      <c r="H20" s="1"/>
      <c r="I20" s="1"/>
      <c r="J20" s="1"/>
      <c r="K20" s="1"/>
      <c r="L20" s="1"/>
      <c r="M20" s="1"/>
      <c r="N20" s="1"/>
      <c r="O20" s="1"/>
      <c r="P20" s="1"/>
    </row>
    <row r="21" spans="1:16" ht="20" customHeight="1" x14ac:dyDescent="0.35">
      <c r="A21" s="1"/>
      <c r="B21" s="1"/>
      <c r="C21" s="1"/>
      <c r="D21" s="1"/>
      <c r="E21" s="1"/>
      <c r="F21" s="1"/>
      <c r="G21" s="1"/>
      <c r="H21" s="1"/>
      <c r="I21" s="1"/>
      <c r="J21" s="1"/>
      <c r="K21" s="1"/>
      <c r="L21" s="1"/>
      <c r="M21" s="1"/>
      <c r="N21" s="1"/>
      <c r="O21" s="1"/>
      <c r="P21" s="1"/>
    </row>
    <row r="22" spans="1:16" ht="20" customHeight="1" x14ac:dyDescent="0.35">
      <c r="A22" s="1"/>
      <c r="B22" s="1"/>
      <c r="C22" s="1"/>
      <c r="D22" s="1"/>
      <c r="E22" s="1"/>
      <c r="F22" s="1"/>
      <c r="G22" s="1"/>
      <c r="H22" s="1"/>
      <c r="I22" s="1"/>
      <c r="J22" s="1"/>
      <c r="K22" s="1"/>
      <c r="L22" s="1"/>
      <c r="M22" s="1"/>
      <c r="N22" s="1"/>
      <c r="O22" s="1"/>
      <c r="P22" s="1"/>
    </row>
    <row r="23" spans="1:16" ht="20" customHeight="1" x14ac:dyDescent="0.35">
      <c r="A23" s="1"/>
      <c r="B23" s="1"/>
      <c r="C23" s="1"/>
      <c r="D23" s="1"/>
      <c r="E23" s="1"/>
      <c r="F23" s="1"/>
      <c r="G23" s="1"/>
      <c r="H23" s="1"/>
      <c r="I23" s="1"/>
      <c r="J23" s="1"/>
      <c r="K23" s="1"/>
      <c r="L23" s="1"/>
      <c r="M23" s="1"/>
      <c r="N23" s="1"/>
      <c r="O23" s="1"/>
      <c r="P23" s="1"/>
    </row>
    <row r="24" spans="1:16" ht="20" customHeight="1" x14ac:dyDescent="0.35">
      <c r="A24" s="1"/>
      <c r="B24" s="1"/>
      <c r="C24" s="1"/>
      <c r="D24" s="1"/>
      <c r="E24" s="1"/>
      <c r="F24" s="1"/>
      <c r="G24" s="1"/>
      <c r="H24" s="1"/>
      <c r="I24" s="1"/>
      <c r="J24" s="1"/>
      <c r="K24" s="1"/>
      <c r="L24" s="1"/>
      <c r="M24" s="1"/>
      <c r="N24" s="1"/>
      <c r="O24" s="1"/>
      <c r="P24" s="1"/>
    </row>
    <row r="25" spans="1:16" ht="20" customHeight="1" x14ac:dyDescent="0.35">
      <c r="A25" s="1"/>
      <c r="B25" s="1"/>
      <c r="C25" s="1"/>
      <c r="D25" s="1"/>
      <c r="E25" s="1"/>
      <c r="F25" s="1"/>
      <c r="G25" s="1"/>
      <c r="H25" s="1"/>
      <c r="I25" s="1"/>
      <c r="J25" s="1"/>
      <c r="K25" s="1"/>
      <c r="L25" s="1"/>
      <c r="M25" s="1"/>
      <c r="N25" s="1"/>
      <c r="O25" s="1"/>
      <c r="P25" s="1"/>
    </row>
    <row r="26" spans="1:16" ht="20" customHeight="1" x14ac:dyDescent="0.35">
      <c r="A26" s="1"/>
      <c r="B26" s="1"/>
      <c r="C26" s="1"/>
      <c r="D26" s="1"/>
      <c r="E26" s="1"/>
      <c r="F26" s="1"/>
      <c r="G26" s="1"/>
      <c r="H26" s="1"/>
      <c r="I26" s="1"/>
      <c r="J26" s="1"/>
      <c r="K26" s="1"/>
      <c r="L26" s="1"/>
      <c r="M26" s="1"/>
      <c r="N26" s="1"/>
      <c r="O26" s="1"/>
      <c r="P26" s="1"/>
    </row>
    <row r="27" spans="1:16" ht="20" customHeight="1" x14ac:dyDescent="0.35">
      <c r="A27" s="1"/>
      <c r="B27" s="1"/>
      <c r="C27" s="1"/>
      <c r="D27" s="1"/>
      <c r="E27" s="1"/>
      <c r="F27" s="1"/>
      <c r="G27" s="1"/>
      <c r="H27" s="1"/>
      <c r="I27" s="1"/>
      <c r="J27" s="1"/>
      <c r="K27" s="1"/>
      <c r="L27" s="1"/>
      <c r="M27" s="1"/>
      <c r="N27" s="1"/>
      <c r="O27" s="1"/>
      <c r="P27" s="1"/>
    </row>
    <row r="28" spans="1:16" ht="20" customHeight="1" x14ac:dyDescent="0.35">
      <c r="A28" s="1"/>
      <c r="B28" s="1"/>
      <c r="C28" s="1"/>
      <c r="D28" s="1"/>
      <c r="E28" s="1"/>
      <c r="F28" s="1"/>
      <c r="G28" s="1"/>
      <c r="H28" s="1"/>
      <c r="I28" s="1"/>
      <c r="J28" s="1"/>
      <c r="K28" s="1"/>
      <c r="L28" s="1"/>
      <c r="M28" s="1"/>
      <c r="N28" s="1"/>
      <c r="O28" s="1"/>
      <c r="P28" s="1"/>
    </row>
    <row r="29" spans="1:16" ht="20" customHeight="1" x14ac:dyDescent="0.35">
      <c r="A29" s="1"/>
      <c r="B29" s="1"/>
      <c r="C29" s="1"/>
      <c r="D29" s="1"/>
      <c r="E29" s="1"/>
      <c r="F29" s="1"/>
      <c r="G29" s="1"/>
      <c r="H29" s="1"/>
      <c r="I29" s="1"/>
      <c r="J29" s="1"/>
      <c r="K29" s="1"/>
      <c r="L29" s="1"/>
      <c r="M29" s="1"/>
      <c r="N29" s="1"/>
      <c r="O29" s="1"/>
      <c r="P29" s="1"/>
    </row>
    <row r="30" spans="1:16" ht="20" customHeight="1" x14ac:dyDescent="0.35">
      <c r="A30" s="1"/>
      <c r="B30" s="1"/>
      <c r="C30" s="1"/>
      <c r="D30" s="1"/>
      <c r="E30" s="1"/>
      <c r="F30" s="1"/>
      <c r="G30" s="1"/>
      <c r="H30" s="1"/>
      <c r="I30" s="1"/>
      <c r="J30" s="1"/>
      <c r="K30" s="1"/>
      <c r="L30" s="1"/>
      <c r="M30" s="1"/>
      <c r="N30" s="1"/>
      <c r="O30" s="1"/>
      <c r="P30" s="1"/>
    </row>
    <row r="31" spans="1:16" ht="20" customHeight="1" x14ac:dyDescent="0.35">
      <c r="A31" s="1"/>
      <c r="B31" s="1"/>
      <c r="C31" s="1"/>
      <c r="D31" s="1"/>
      <c r="E31" s="1"/>
      <c r="F31" s="1"/>
      <c r="G31" s="1"/>
      <c r="H31" s="1"/>
      <c r="I31" s="1"/>
      <c r="J31" s="1"/>
      <c r="K31" s="1"/>
      <c r="L31" s="1"/>
      <c r="M31" s="1"/>
      <c r="N31" s="1"/>
      <c r="O31" s="1"/>
      <c r="P31" s="1"/>
    </row>
    <row r="32" spans="1:16" ht="20" customHeight="1" x14ac:dyDescent="0.35">
      <c r="A32" s="1"/>
      <c r="B32" s="1"/>
      <c r="C32" s="1"/>
      <c r="D32" s="1"/>
      <c r="E32" s="1"/>
      <c r="F32" s="1"/>
      <c r="G32" s="1"/>
      <c r="H32" s="1"/>
      <c r="I32" s="1"/>
      <c r="J32" s="1"/>
      <c r="K32" s="1"/>
      <c r="L32" s="1"/>
      <c r="M32" s="1"/>
      <c r="N32" s="1"/>
      <c r="O32" s="1"/>
      <c r="P32" s="1"/>
    </row>
    <row r="33" spans="1:16" ht="20" customHeight="1" x14ac:dyDescent="0.35">
      <c r="A33" s="1"/>
      <c r="B33" s="1"/>
      <c r="C33" s="1"/>
      <c r="D33" s="1"/>
      <c r="E33" s="1"/>
      <c r="F33" s="1"/>
      <c r="G33" s="1"/>
      <c r="H33" s="1"/>
      <c r="I33" s="1"/>
      <c r="J33" s="1"/>
      <c r="K33" s="1"/>
      <c r="L33" s="1"/>
      <c r="M33" s="1"/>
      <c r="N33" s="1"/>
      <c r="O33" s="1"/>
      <c r="P33" s="1"/>
    </row>
    <row r="34" spans="1:16" ht="20" customHeight="1" x14ac:dyDescent="0.35">
      <c r="A34" s="1"/>
      <c r="B34" s="1"/>
      <c r="C34" s="1"/>
      <c r="D34" s="1"/>
      <c r="E34" s="1"/>
      <c r="F34" s="1"/>
      <c r="G34" s="1"/>
      <c r="H34" s="1"/>
      <c r="I34" s="1"/>
      <c r="J34" s="1"/>
      <c r="K34" s="1"/>
      <c r="L34" s="1"/>
      <c r="M34" s="1"/>
      <c r="N34" s="1"/>
      <c r="O34" s="1"/>
      <c r="P34" s="1"/>
    </row>
    <row r="35" spans="1:16" ht="29" customHeight="1" x14ac:dyDescent="0.35">
      <c r="A35" s="6" t="s">
        <v>38</v>
      </c>
      <c r="B35" s="6" t="s">
        <v>39</v>
      </c>
      <c r="C35" s="6" t="s">
        <v>40</v>
      </c>
      <c r="D35" s="6" t="s">
        <v>41</v>
      </c>
      <c r="E35" s="1"/>
      <c r="F35" s="1"/>
      <c r="G35" s="1"/>
      <c r="H35" s="1"/>
      <c r="I35" s="1"/>
      <c r="J35" s="1"/>
      <c r="K35" s="1"/>
      <c r="L35" s="1"/>
      <c r="M35" s="1"/>
      <c r="N35" s="1"/>
      <c r="O35" s="1"/>
      <c r="P35" s="1"/>
    </row>
    <row r="36" spans="1:16" ht="20" customHeight="1" x14ac:dyDescent="0.35">
      <c r="A36" s="1" t="str">
        <f>Daily!T11</f>
        <v>27-Mar</v>
      </c>
      <c r="B36" s="11">
        <f>IF(AND(Daily!A11&lt;=Portfolio!$J$5,Daily!A11&gt;=Holdings!$G$24),Daily!M11,NA())</f>
        <v>101.2429504</v>
      </c>
      <c r="C36" s="11">
        <f>IF(AND(Daily!A11&lt;=Portfolio!$J$5,Daily!A11&gt;=Holdings!$G$24),Daily!P11,NA())</f>
        <v>101.39547570000001</v>
      </c>
      <c r="D36" s="10">
        <f>IF(AND(Daily!A11&lt;=Portfolio!$J$5,Daily!A11&gt;=Holdings!$G$24),Daily!O11,NA())</f>
        <v>0</v>
      </c>
      <c r="E36" s="1"/>
      <c r="F36" s="1"/>
      <c r="G36" s="1"/>
      <c r="H36" s="1"/>
      <c r="I36" s="1"/>
      <c r="J36" s="1"/>
      <c r="K36" s="1"/>
      <c r="L36" s="1"/>
      <c r="M36" s="1"/>
      <c r="N36" s="1"/>
      <c r="O36" s="1"/>
      <c r="P36" s="1"/>
    </row>
    <row r="37" spans="1:16" ht="20" customHeight="1" x14ac:dyDescent="0.35">
      <c r="A37" s="1" t="str">
        <f>Daily!T16</f>
        <v>03-Apr</v>
      </c>
      <c r="B37" s="11">
        <f>IF(AND(Daily!A16&lt;=Portfolio!$J$5,Daily!A16&gt;=Holdings!$G$24),Daily!M16,NA())</f>
        <v>100.03672560000001</v>
      </c>
      <c r="C37" s="11">
        <f>IF(AND(Daily!A16&lt;=Portfolio!$J$5,Daily!A16&gt;=Holdings!$G$24),Daily!P16,NA())</f>
        <v>99.58256639999999</v>
      </c>
      <c r="D37" s="10">
        <f>IF(AND(Daily!A16&lt;=Portfolio!$J$5,Daily!A16&gt;=Holdings!$G$24),Daily!O16,NA())</f>
        <v>-1.5293302678724197E-2</v>
      </c>
      <c r="E37" s="1"/>
      <c r="F37" s="1"/>
      <c r="G37" s="1"/>
      <c r="H37" s="1"/>
      <c r="I37" s="1"/>
      <c r="J37" s="1"/>
      <c r="K37" s="1"/>
      <c r="L37" s="1"/>
      <c r="M37" s="1"/>
      <c r="N37" s="1"/>
      <c r="O37" s="1"/>
      <c r="P37" s="1"/>
    </row>
    <row r="38" spans="1:16" ht="20" customHeight="1" x14ac:dyDescent="0.35">
      <c r="A38" s="1" t="str">
        <f>Daily!T21</f>
        <v>10-Apr</v>
      </c>
      <c r="B38" s="11">
        <f>IF(AND(Daily!A21&lt;=Portfolio!$J$5,Daily!A21&gt;=Holdings!$G$24),Daily!M21,NA())</f>
        <v>99.515026400000011</v>
      </c>
      <c r="C38" s="11">
        <f>IF(AND(Daily!A21&lt;=Portfolio!$J$5,Daily!A21&gt;=Holdings!$G$24),Daily!P21,NA())</f>
        <v>98.5995116</v>
      </c>
      <c r="D38" s="10">
        <f>IF(AND(Daily!A21&lt;=Portfolio!$J$5,Daily!A21&gt;=Holdings!$G$24),Daily!O21,NA())</f>
        <v>-2.0428623663552137E-2</v>
      </c>
      <c r="E38" s="1"/>
      <c r="F38" s="1"/>
      <c r="G38" s="1"/>
      <c r="H38" s="1"/>
      <c r="I38" s="1"/>
      <c r="J38" s="1"/>
      <c r="K38" s="1"/>
      <c r="L38" s="1"/>
      <c r="M38" s="1"/>
      <c r="N38" s="1"/>
      <c r="O38" s="1"/>
      <c r="P38" s="1"/>
    </row>
    <row r="39" spans="1:16" ht="20" customHeight="1" x14ac:dyDescent="0.35">
      <c r="A39" s="1" t="str">
        <f>Daily!T26</f>
        <v>17-Apr</v>
      </c>
      <c r="B39" s="11">
        <f>IF(AND(Daily!A26&lt;=Portfolio!$J$5,Daily!A26&gt;=Holdings!$G$24),Daily!M26,NA())</f>
        <v>99.757746799999993</v>
      </c>
      <c r="C39" s="11">
        <f>IF(AND(Daily!A26&lt;=Portfolio!$J$5,Daily!A26&gt;=Holdings!$G$24),Daily!P26,NA())</f>
        <v>98.854471999999987</v>
      </c>
      <c r="D39" s="10">
        <f>IF(AND(Daily!A26&lt;=Portfolio!$J$5,Daily!A26&gt;=Holdings!$G$24),Daily!O26,NA())</f>
        <v>-1.8039417079440567E-2</v>
      </c>
      <c r="E39" s="1"/>
      <c r="F39" s="1"/>
      <c r="G39" s="1"/>
      <c r="H39" s="1"/>
      <c r="I39" s="1"/>
      <c r="J39" s="1"/>
      <c r="K39" s="1"/>
      <c r="L39" s="1"/>
      <c r="M39" s="1"/>
      <c r="N39" s="1"/>
      <c r="O39" s="1"/>
      <c r="P39" s="1"/>
    </row>
    <row r="40" spans="1:16" ht="20" customHeight="1" x14ac:dyDescent="0.35">
      <c r="A40" s="1" t="str">
        <f>Daily!T31</f>
        <v>24-Apr</v>
      </c>
      <c r="B40" s="11">
        <f>IF(AND(Daily!A31&lt;=Portfolio!$J$5,Daily!A31&gt;=Holdings!$G$24),Daily!M31,NA())</f>
        <v>99.390875599999987</v>
      </c>
      <c r="C40" s="11">
        <f>IF(AND(Daily!A31&lt;=Portfolio!$J$5,Daily!A31&gt;=Holdings!$G$24),Daily!P31,NA())</f>
        <v>97.328268899999998</v>
      </c>
      <c r="D40" s="10">
        <f>IF(AND(Daily!A31&lt;=Portfolio!$J$5,Daily!A31&gt;=Holdings!$G$24),Daily!O31,NA())</f>
        <v>-2.1650696092498367E-2</v>
      </c>
      <c r="E40" s="1"/>
      <c r="F40" s="1"/>
      <c r="G40" s="1"/>
      <c r="H40" s="1"/>
      <c r="I40" s="1"/>
      <c r="J40" s="1"/>
      <c r="K40" s="1"/>
      <c r="L40" s="1"/>
      <c r="M40" s="1"/>
      <c r="N40" s="1"/>
      <c r="O40" s="1"/>
      <c r="P40" s="1"/>
    </row>
    <row r="41" spans="1:16" ht="20" customHeight="1" x14ac:dyDescent="0.35">
      <c r="A41" s="1" t="str">
        <f>Daily!T36</f>
        <v>01-May</v>
      </c>
      <c r="B41" s="11">
        <f>IF(AND(Daily!A36&lt;=Portfolio!$J$5,Daily!A36&gt;=Holdings!$G$24),Daily!M36,NA())</f>
        <v>98.714225090064147</v>
      </c>
      <c r="C41" s="11">
        <f>IF(AND(Daily!A36&lt;=Portfolio!$J$5,Daily!A36&gt;=Holdings!$G$24),Daily!P36,NA())</f>
        <v>96.809650199999993</v>
      </c>
      <c r="D41" s="10">
        <f>IF(AND(Daily!A36&lt;=Portfolio!$J$5,Daily!A36&gt;=Holdings!$G$24),Daily!O36,NA())</f>
        <v>-2.8311272844519508E-2</v>
      </c>
      <c r="E41" s="1"/>
      <c r="F41" s="1"/>
      <c r="G41" s="1"/>
      <c r="H41" s="1"/>
      <c r="I41" s="1"/>
      <c r="J41" s="1"/>
      <c r="K41" s="1"/>
      <c r="L41" s="1"/>
      <c r="M41" s="1"/>
      <c r="N41" s="1"/>
      <c r="O41" s="1"/>
      <c r="P41" s="1"/>
    </row>
    <row r="42" spans="1:16" ht="20" customHeight="1" x14ac:dyDescent="0.35">
      <c r="A42" s="1" t="str">
        <f>Daily!T41</f>
        <v>08-May</v>
      </c>
      <c r="B42" s="11">
        <f>IF(AND(Daily!A41&lt;=Portfolio!$J$5,Daily!A41&gt;=Holdings!$G$24),Daily!M41,NA())</f>
        <v>98.217545810087017</v>
      </c>
      <c r="C42" s="11">
        <f>IF(AND(Daily!A41&lt;=Portfolio!$J$5,Daily!A41&gt;=Holdings!$G$24),Daily!P41,NA())</f>
        <v>95.382601300000005</v>
      </c>
      <c r="D42" s="10">
        <f>IF(AND(Daily!A41&lt;=Portfolio!$J$5,Daily!A41&gt;=Holdings!$G$24),Daily!O41,NA())</f>
        <v>-3.3200311449899322E-2</v>
      </c>
      <c r="E42" s="1"/>
      <c r="F42" s="1"/>
      <c r="G42" s="1"/>
      <c r="H42" s="1"/>
      <c r="I42" s="1"/>
      <c r="J42" s="1"/>
      <c r="K42" s="1"/>
      <c r="L42" s="1"/>
      <c r="M42" s="1"/>
      <c r="N42" s="1"/>
      <c r="O42" s="1"/>
      <c r="P42" s="1"/>
    </row>
    <row r="43" spans="1:16" ht="20" customHeight="1" x14ac:dyDescent="0.35">
      <c r="A43" s="1" t="str">
        <f>Daily!T46</f>
        <v>15-May</v>
      </c>
      <c r="B43" s="11">
        <f>IF(AND(Daily!A46&lt;=Portfolio!$J$5,Daily!A46&gt;=Holdings!$G$24),Daily!M46,NA())</f>
        <v>98.661626156553595</v>
      </c>
      <c r="C43" s="11">
        <f>IF(AND(Daily!A46&lt;=Portfolio!$J$5,Daily!A46&gt;=Holdings!$G$24),Daily!P46,NA())</f>
        <v>94.821611200000007</v>
      </c>
      <c r="D43" s="10">
        <f>IF(AND(Daily!A46&lt;=Portfolio!$J$5,Daily!A46&gt;=Holdings!$G$24),Daily!O46,NA())</f>
        <v>-2.8829027916860595E-2</v>
      </c>
      <c r="E43" s="1"/>
      <c r="F43" s="1"/>
      <c r="G43" s="1"/>
      <c r="H43" s="1"/>
      <c r="I43" s="1"/>
      <c r="J43" s="1"/>
      <c r="K43" s="1"/>
      <c r="L43" s="1"/>
      <c r="M43" s="1"/>
      <c r="N43" s="1"/>
      <c r="O43" s="1"/>
      <c r="P43" s="1"/>
    </row>
    <row r="44" spans="1:16" ht="20" customHeight="1" x14ac:dyDescent="0.35">
      <c r="A44" s="1" t="str">
        <f>Daily!T51</f>
        <v>22-May</v>
      </c>
      <c r="B44" s="11">
        <f>IF(AND(Daily!A51&lt;=Portfolio!$J$5,Daily!A51&gt;=Holdings!$G$24),Daily!M51,NA())</f>
        <v>97.536683763660562</v>
      </c>
      <c r="C44" s="11">
        <f>IF(AND(Daily!A51&lt;=Portfolio!$J$5,Daily!A51&gt;=Holdings!$G$24),Daily!P51,NA())</f>
        <v>93.794179999999997</v>
      </c>
      <c r="D44" s="10">
        <f>IF(AND(Daily!A51&lt;=Portfolio!$J$5,Daily!A51&gt;=Holdings!$G$24),Daily!O51,NA())</f>
        <v>-3.9902344258818001E-2</v>
      </c>
      <c r="E44" s="1"/>
      <c r="F44" s="1"/>
      <c r="G44" s="1"/>
      <c r="H44" s="1"/>
      <c r="I44" s="1"/>
      <c r="J44" s="1"/>
      <c r="K44" s="1"/>
      <c r="L44" s="1"/>
      <c r="M44" s="1"/>
      <c r="N44" s="1"/>
      <c r="O44" s="1"/>
      <c r="P44" s="1"/>
    </row>
    <row r="45" spans="1:16" ht="20" customHeight="1" x14ac:dyDescent="0.35">
      <c r="A45" s="1" t="str">
        <f>Daily!T56</f>
        <v>29-May</v>
      </c>
      <c r="B45" s="11">
        <f>IF(AND(Daily!A56&lt;=Portfolio!$J$5,Daily!A56&gt;=Holdings!$G$24),Daily!M56,NA())</f>
        <v>97.902007757279236</v>
      </c>
      <c r="C45" s="11">
        <f>IF(AND(Daily!A56&lt;=Portfolio!$J$5,Daily!A56&gt;=Holdings!$G$24),Daily!P56,NA())</f>
        <v>94.293305799999999</v>
      </c>
      <c r="D45" s="10">
        <f>IF(AND(Daily!A56&lt;=Portfolio!$J$5,Daily!A56&gt;=Holdings!$G$24),Daily!O56,NA())</f>
        <v>-3.6306295097364272E-2</v>
      </c>
      <c r="E45" s="1"/>
      <c r="F45" s="1"/>
      <c r="G45" s="1"/>
      <c r="H45" s="1"/>
      <c r="I45" s="1"/>
      <c r="J45" s="1"/>
      <c r="K45" s="1"/>
      <c r="L45" s="1"/>
      <c r="M45" s="1"/>
      <c r="N45" s="1"/>
      <c r="O45" s="1"/>
      <c r="P45" s="1"/>
    </row>
    <row r="46" spans="1:16" ht="20" customHeight="1" x14ac:dyDescent="0.35">
      <c r="A46" s="1" t="str">
        <f>Daily!T61</f>
        <v>05-Jun</v>
      </c>
      <c r="B46" s="11">
        <f>IF(AND(Daily!A61&lt;=Portfolio!$J$5,Daily!A61&gt;=Holdings!$G$24),Daily!M61,NA())</f>
        <v>96.849714132091094</v>
      </c>
      <c r="C46" s="11">
        <f>IF(AND(Daily!A61&lt;=Portfolio!$J$5,Daily!A61&gt;=Holdings!$G$24),Daily!P61,NA())</f>
        <v>92.373102100000011</v>
      </c>
      <c r="D46" s="10">
        <f>IF(AND(Daily!A61&lt;=Portfolio!$J$5,Daily!A61&gt;=Holdings!$G$24),Daily!O61,NA())</f>
        <v>-4.6664496788356491E-2</v>
      </c>
      <c r="E46" s="1"/>
      <c r="F46" s="1"/>
      <c r="G46" s="1"/>
      <c r="H46" s="1"/>
      <c r="I46" s="1"/>
      <c r="J46" s="1"/>
      <c r="K46" s="1"/>
      <c r="L46" s="1"/>
      <c r="M46" s="1"/>
      <c r="N46" s="1"/>
      <c r="O46" s="1"/>
      <c r="P46" s="1"/>
    </row>
    <row r="47" spans="1:16" ht="20" customHeight="1" x14ac:dyDescent="0.35">
      <c r="A47" s="1" t="str">
        <f>Daily!T66</f>
        <v>12-Jun</v>
      </c>
      <c r="B47" s="11">
        <f>IF(AND(Daily!A66&lt;=Portfolio!$J$5,Daily!A66&gt;=Holdings!$G$24),Daily!M66,NA())</f>
        <v>95.74796749256403</v>
      </c>
      <c r="C47" s="11">
        <f>IF(AND(Daily!A66&lt;=Portfolio!$J$5,Daily!A66&gt;=Holdings!$G$24),Daily!P66,NA())</f>
        <v>92.297650999999988</v>
      </c>
      <c r="D47" s="10">
        <f>IF(AND(Daily!A66&lt;=Portfolio!$J$5,Daily!A66&gt;=Holdings!$G$24),Daily!O66,NA())</f>
        <v>-5.750948684762236E-2</v>
      </c>
      <c r="E47" s="1"/>
      <c r="F47" s="1"/>
      <c r="G47" s="1"/>
      <c r="H47" s="1"/>
      <c r="I47" s="1"/>
      <c r="J47" s="1"/>
      <c r="K47" s="1"/>
      <c r="L47" s="1"/>
      <c r="M47" s="1"/>
      <c r="N47" s="1"/>
      <c r="O47" s="1"/>
      <c r="P47" s="1"/>
    </row>
    <row r="48" spans="1:16" ht="20" customHeight="1" x14ac:dyDescent="0.35">
      <c r="A48" s="1" t="str">
        <f>Daily!T71</f>
        <v>19-Jun</v>
      </c>
      <c r="B48" s="11">
        <f>IF(AND(Daily!A71&lt;=Portfolio!$J$5,Daily!A71&gt;=Holdings!$G$24),Daily!M71,NA())</f>
        <v>97.292863772983949</v>
      </c>
      <c r="C48" s="11">
        <f>IF(AND(Daily!A71&lt;=Portfolio!$J$5,Daily!A71&gt;=Holdings!$G$24),Daily!P71,NA())</f>
        <v>94.067238000000003</v>
      </c>
      <c r="D48" s="10">
        <f>IF(AND(Daily!A71&lt;=Portfolio!$J$5,Daily!A71&gt;=Holdings!$G$24),Daily!O71,NA())</f>
        <v>-4.2302374610871718E-2</v>
      </c>
      <c r="E48" s="1"/>
      <c r="F48" s="1"/>
      <c r="G48" s="1"/>
      <c r="H48" s="1"/>
      <c r="I48" s="1"/>
      <c r="J48" s="1"/>
      <c r="K48" s="1"/>
      <c r="L48" s="1"/>
      <c r="M48" s="1"/>
      <c r="N48" s="1"/>
      <c r="O48" s="1"/>
      <c r="P48" s="1"/>
    </row>
    <row r="49" spans="1:16" ht="20" customHeight="1" x14ac:dyDescent="0.35">
      <c r="A49" s="1" t="str">
        <f>Daily!T76</f>
        <v>26-Jun</v>
      </c>
      <c r="B49" s="11">
        <f>IF(AND(Daily!A76&lt;=Portfolio!$J$5,Daily!A76&gt;=Holdings!$G$24),Daily!M76,NA())</f>
        <v>99.15156612612985</v>
      </c>
      <c r="C49" s="11">
        <f>IF(AND(Daily!A76&lt;=Portfolio!$J$5,Daily!A76&gt;=Holdings!$G$24),Daily!P76,NA())</f>
        <v>97.057310399999992</v>
      </c>
      <c r="D49" s="10">
        <f>IF(AND(Daily!A76&lt;=Portfolio!$J$5,Daily!A76&gt;=Holdings!$G$24),Daily!O76,NA())</f>
        <v>-2.4006327389294313E-2</v>
      </c>
      <c r="E49" s="1"/>
      <c r="F49" s="1"/>
      <c r="G49" s="1"/>
      <c r="H49" s="1"/>
      <c r="I49" s="1"/>
      <c r="J49" s="1"/>
      <c r="K49" s="1"/>
      <c r="L49" s="1"/>
      <c r="M49" s="1"/>
      <c r="N49" s="1"/>
      <c r="O49" s="1"/>
      <c r="P49" s="1"/>
    </row>
    <row r="50" spans="1:16" ht="20" customHeight="1" x14ac:dyDescent="0.35">
      <c r="A50" s="1" t="str">
        <f>Daily!T81</f>
        <v>03-Jul</v>
      </c>
      <c r="B50" s="11">
        <f>IF(AND(Daily!A81&lt;=Portfolio!$J$5,Daily!A81&gt;=Holdings!$G$24),Daily!M81,NA())</f>
        <v>99.731054603237965</v>
      </c>
      <c r="C50" s="11">
        <f>IF(AND(Daily!A81&lt;=Portfolio!$J$5,Daily!A81&gt;=Holdings!$G$24),Daily!P81,NA())</f>
        <v>97.147943299999994</v>
      </c>
      <c r="D50" s="10">
        <f>IF(AND(Daily!A81&lt;=Portfolio!$J$5,Daily!A81&gt;=Holdings!$G$24),Daily!O81,NA())</f>
        <v>-1.8302160434544801E-2</v>
      </c>
      <c r="E50" s="1"/>
      <c r="F50" s="1"/>
      <c r="G50" s="1"/>
      <c r="H50" s="1"/>
      <c r="I50" s="1"/>
      <c r="J50" s="1"/>
      <c r="K50" s="1"/>
      <c r="L50" s="1"/>
      <c r="M50" s="1"/>
      <c r="N50" s="1"/>
      <c r="O50" s="1"/>
      <c r="P50" s="1"/>
    </row>
    <row r="51" spans="1:16" ht="20" customHeight="1" x14ac:dyDescent="0.35">
      <c r="A51" s="1" t="str">
        <f>Daily!T86</f>
        <v>10-Jul</v>
      </c>
      <c r="B51" s="11">
        <f>IF(AND(Daily!A86&lt;=Portfolio!$J$5,Daily!A86&gt;=Holdings!$G$24),Daily!M86,NA())</f>
        <v>100.54808611815967</v>
      </c>
      <c r="C51" s="11">
        <f>IF(AND(Daily!A86&lt;=Portfolio!$J$5,Daily!A86&gt;=Holdings!$G$24),Daily!P86,NA())</f>
        <v>97.803045400000002</v>
      </c>
      <c r="D51" s="10">
        <f>IF(AND(Daily!A86&lt;=Portfolio!$J$5,Daily!A86&gt;=Holdings!$G$24),Daily!O86,NA())</f>
        <v>-1.0259750011367585E-2</v>
      </c>
      <c r="E51" s="1"/>
      <c r="F51" s="1"/>
      <c r="G51" s="1"/>
      <c r="H51" s="1"/>
      <c r="I51" s="1"/>
      <c r="J51" s="1"/>
      <c r="K51" s="1"/>
      <c r="L51" s="1"/>
      <c r="M51" s="1"/>
      <c r="N51" s="1"/>
      <c r="O51" s="1"/>
      <c r="P51" s="1"/>
    </row>
    <row r="52" spans="1:16" ht="20" customHeight="1" x14ac:dyDescent="0.35">
      <c r="A52" s="1" t="str">
        <f>Daily!T91</f>
        <v>17-Jul</v>
      </c>
      <c r="B52" s="11">
        <f>IF(AND(Daily!A91&lt;=Portfolio!$J$5,Daily!A91&gt;=Holdings!$G$24),Daily!M91,NA())</f>
        <v>101.68400019915038</v>
      </c>
      <c r="C52" s="11">
        <f>IF(AND(Daily!A91&lt;=Portfolio!$J$5,Daily!A91&gt;=Holdings!$G$24),Daily!P91,NA())</f>
        <v>97.566513400000005</v>
      </c>
      <c r="D52" s="10">
        <f>IF(AND(Daily!A91&lt;=Portfolio!$J$5,Daily!A91&gt;=Holdings!$G$24),Daily!O91,NA())</f>
        <v>-2.939371255505363E-3</v>
      </c>
      <c r="E52" s="1"/>
      <c r="F52" s="1"/>
      <c r="G52" s="1"/>
      <c r="H52" s="1"/>
      <c r="I52" s="1"/>
      <c r="J52" s="1"/>
      <c r="K52" s="1"/>
      <c r="L52" s="1"/>
      <c r="M52" s="1"/>
      <c r="N52" s="1"/>
      <c r="O52" s="1"/>
      <c r="P52" s="1"/>
    </row>
    <row r="53" spans="1:16" ht="20" customHeight="1" x14ac:dyDescent="0.35">
      <c r="A53" s="1" t="str">
        <f>Daily!T96</f>
        <v>24-Jul</v>
      </c>
      <c r="B53" s="11">
        <f>IF(AND(Daily!A96&lt;=Portfolio!$J$5,Daily!A96&gt;=Holdings!$G$24),Daily!M96,NA())</f>
        <v>100.55460269094806</v>
      </c>
      <c r="C53" s="11">
        <f>IF(AND(Daily!A96&lt;=Portfolio!$J$5,Daily!A96&gt;=Holdings!$G$24),Daily!P96,NA())</f>
        <v>96.276389600000002</v>
      </c>
      <c r="D53" s="10">
        <f>IF(AND(Daily!A96&lt;=Portfolio!$J$5,Daily!A96&gt;=Holdings!$G$24),Daily!O96,NA())</f>
        <v>-1.4013658138645524E-2</v>
      </c>
      <c r="E53" s="1"/>
      <c r="F53" s="1"/>
      <c r="G53" s="1"/>
      <c r="H53" s="1"/>
      <c r="I53" s="1"/>
      <c r="J53" s="1"/>
      <c r="K53" s="1"/>
      <c r="L53" s="1"/>
      <c r="M53" s="1"/>
      <c r="N53" s="1"/>
      <c r="O53" s="1"/>
      <c r="P53" s="1"/>
    </row>
    <row r="54" spans="1:16" ht="20" customHeight="1" x14ac:dyDescent="0.35">
      <c r="A54" s="1" t="str">
        <f>Daily!T101</f>
        <v>31-Jul</v>
      </c>
      <c r="B54" s="11">
        <f>IF(AND(Daily!A101&lt;=Portfolio!$J$5,Daily!A101&gt;=Holdings!$G$24),Daily!M101,NA())</f>
        <v>101.69615836893909</v>
      </c>
      <c r="C54" s="11">
        <f>IF(AND(Daily!A101&lt;=Portfolio!$J$5,Daily!A101&gt;=Holdings!$G$24),Daily!P101,NA())</f>
        <v>97.485243300000008</v>
      </c>
      <c r="D54" s="10">
        <f>IF(AND(Daily!A101&lt;=Portfolio!$J$5,Daily!A101&gt;=Holdings!$G$24),Daily!O101,NA())</f>
        <v>-2.8201545410746487E-3</v>
      </c>
      <c r="E54" s="1"/>
      <c r="F54" s="1"/>
      <c r="G54" s="1"/>
      <c r="H54" s="1"/>
      <c r="I54" s="1"/>
      <c r="J54" s="1"/>
      <c r="K54" s="1"/>
      <c r="L54" s="1"/>
      <c r="M54" s="1"/>
      <c r="N54" s="1"/>
      <c r="O54" s="1"/>
      <c r="P54" s="1"/>
    </row>
    <row r="55" spans="1:16" ht="20" customHeight="1" x14ac:dyDescent="0.35">
      <c r="A55" s="1" t="str">
        <f>Daily!T106</f>
        <v>07-Aug</v>
      </c>
      <c r="B55" s="11">
        <f>IF(AND(Daily!A106&lt;=Portfolio!$J$5,Daily!A106&gt;=Holdings!$G$24),Daily!M106,NA())</f>
        <v>102.84219127019533</v>
      </c>
      <c r="C55" s="11">
        <f>IF(AND(Daily!A106&lt;=Portfolio!$J$5,Daily!A106&gt;=Holdings!$G$24),Daily!P106,NA())</f>
        <v>98.759670500000013</v>
      </c>
      <c r="D55" s="10">
        <f>IF(AND(Daily!A106&lt;=Portfolio!$J$5,Daily!A106&gt;=Holdings!$G$24),Daily!O106,NA())</f>
        <v>0</v>
      </c>
      <c r="E55" s="1"/>
      <c r="F55" s="1"/>
      <c r="G55" s="1"/>
      <c r="H55" s="1"/>
      <c r="I55" s="1"/>
      <c r="J55" s="1"/>
      <c r="K55" s="1"/>
      <c r="L55" s="1"/>
      <c r="M55" s="1"/>
      <c r="N55" s="1"/>
      <c r="O55" s="1"/>
      <c r="P55" s="1"/>
    </row>
    <row r="56" spans="1:16" ht="20" customHeight="1" x14ac:dyDescent="0.35">
      <c r="A56" s="1" t="str">
        <f>Daily!T111</f>
        <v>14-Aug</v>
      </c>
      <c r="B56" s="11">
        <f>IF(AND(Daily!A111&lt;=Portfolio!$J$5,Daily!A111&gt;=Holdings!$G$24),Daily!M111,NA())</f>
        <v>102.76906414876852</v>
      </c>
      <c r="C56" s="11">
        <f>IF(AND(Daily!A111&lt;=Portfolio!$J$5,Daily!A111&gt;=Holdings!$G$24),Daily!P111,NA())</f>
        <v>98.554955800000002</v>
      </c>
      <c r="D56" s="10">
        <f>IF(AND(Daily!A111&lt;=Portfolio!$J$5,Daily!A111&gt;=Holdings!$G$24),Daily!O111,NA())</f>
        <v>-1.6956301323498568E-3</v>
      </c>
      <c r="E56" s="1"/>
      <c r="F56" s="1"/>
      <c r="G56" s="1"/>
      <c r="H56" s="1"/>
      <c r="I56" s="1"/>
      <c r="J56" s="1"/>
      <c r="K56" s="1"/>
      <c r="L56" s="1"/>
      <c r="M56" s="1"/>
      <c r="N56" s="1"/>
      <c r="O56" s="1"/>
      <c r="P56" s="1"/>
    </row>
    <row r="57" spans="1:16" ht="20" customHeight="1" x14ac:dyDescent="0.35">
      <c r="A57" s="1" t="str">
        <f>Daily!T116</f>
        <v>21-Aug</v>
      </c>
      <c r="B57" s="11">
        <f>IF(AND(Daily!A116&lt;=Portfolio!$J$5,Daily!A116&gt;=Holdings!$G$24),Daily!M116,NA())</f>
        <v>100.94956528516305</v>
      </c>
      <c r="C57" s="11">
        <f>IF(AND(Daily!A116&lt;=Portfolio!$J$5,Daily!A116&gt;=Holdings!$G$24),Daily!P116,NA())</f>
        <v>97.847237500000006</v>
      </c>
      <c r="D57" s="10">
        <f>IF(AND(Daily!A116&lt;=Portfolio!$J$5,Daily!A116&gt;=Holdings!$G$24),Daily!O116,NA())</f>
        <v>-1.9370342669160823E-2</v>
      </c>
      <c r="E57" s="1"/>
      <c r="F57" s="1"/>
      <c r="G57" s="1"/>
      <c r="H57" s="1"/>
      <c r="I57" s="1"/>
      <c r="J57" s="1"/>
      <c r="K57" s="1"/>
      <c r="L57" s="1"/>
      <c r="M57" s="1"/>
      <c r="N57" s="1"/>
      <c r="O57" s="1"/>
      <c r="P57" s="1"/>
    </row>
    <row r="58" spans="1:16" ht="20" customHeight="1" x14ac:dyDescent="0.35">
      <c r="A58" s="1" t="str">
        <f>Daily!T121</f>
        <v>28-Aug</v>
      </c>
      <c r="B58" s="11">
        <f>IF(AND(Daily!A121&lt;=Portfolio!$J$5,Daily!A121&gt;=Holdings!$G$24),Daily!M121,NA())</f>
        <v>99.090048706669975</v>
      </c>
      <c r="C58" s="11">
        <f>IF(AND(Daily!A121&lt;=Portfolio!$J$5,Daily!A121&gt;=Holdings!$G$24),Daily!P121,NA())</f>
        <v>97.370688800000011</v>
      </c>
      <c r="D58" s="10">
        <f>IF(AND(Daily!A121&lt;=Portfolio!$J$5,Daily!A121&gt;=Holdings!$G$24),Daily!O121,NA())</f>
        <v>-3.7433789500433967E-2</v>
      </c>
      <c r="E58" s="1"/>
      <c r="F58" s="1"/>
      <c r="G58" s="1"/>
      <c r="H58" s="1"/>
      <c r="I58" s="1"/>
      <c r="J58" s="1"/>
      <c r="K58" s="1"/>
      <c r="L58" s="1"/>
      <c r="M58" s="1"/>
      <c r="N58" s="1"/>
      <c r="O58" s="1"/>
      <c r="P58" s="1"/>
    </row>
    <row r="59" spans="1:16" ht="20" customHeight="1" x14ac:dyDescent="0.35">
      <c r="A59" s="1" t="str">
        <f>Daily!T126</f>
        <v>04-Sep</v>
      </c>
      <c r="B59" s="11">
        <f>IF(AND(Daily!A126&lt;=Portfolio!$J$5,Daily!A126&gt;=Holdings!$G$24),Daily!M126,NA())</f>
        <v>100.69837048665232</v>
      </c>
      <c r="C59" s="11">
        <f>IF(AND(Daily!A126&lt;=Portfolio!$J$5,Daily!A126&gt;=Holdings!$G$24),Daily!P126,NA())</f>
        <v>98.773055299999996</v>
      </c>
      <c r="D59" s="10">
        <f>IF(AND(Daily!A126&lt;=Portfolio!$J$5,Daily!A126&gt;=Holdings!$G$24),Daily!O126,NA())</f>
        <v>-2.1810462827093535E-2</v>
      </c>
      <c r="E59" s="1"/>
      <c r="F59" s="1"/>
      <c r="G59" s="1"/>
      <c r="H59" s="1"/>
      <c r="I59" s="1"/>
      <c r="J59" s="1"/>
      <c r="K59" s="1"/>
      <c r="L59" s="1"/>
      <c r="M59" s="1"/>
      <c r="N59" s="1"/>
      <c r="O59" s="1"/>
      <c r="P59" s="1"/>
    </row>
    <row r="60" spans="1:16" ht="20" customHeight="1" x14ac:dyDescent="0.35">
      <c r="A60" s="1" t="str">
        <f>Daily!T131</f>
        <v>11-Sep</v>
      </c>
      <c r="B60" s="11">
        <f>IF(AND(Daily!A131&lt;=Portfolio!$J$5,Daily!A131&gt;=Holdings!$G$24),Daily!M131,NA())</f>
        <v>101.70966311665187</v>
      </c>
      <c r="C60" s="11">
        <f>IF(AND(Daily!A131&lt;=Portfolio!$J$5,Daily!A131&gt;=Holdings!$G$24),Daily!P131,NA())</f>
        <v>100.32490510000001</v>
      </c>
      <c r="D60" s="10">
        <f>IF(AND(Daily!A131&lt;=Portfolio!$J$5,Daily!A131&gt;=Holdings!$G$24),Daily!O131,NA())</f>
        <v>-1.1986710318439453E-2</v>
      </c>
      <c r="E60" s="1"/>
      <c r="F60" s="1"/>
      <c r="G60" s="1"/>
      <c r="H60" s="1"/>
      <c r="I60" s="1"/>
      <c r="J60" s="1"/>
      <c r="K60" s="1"/>
      <c r="L60" s="1"/>
      <c r="M60" s="1"/>
      <c r="N60" s="1"/>
      <c r="O60" s="1"/>
      <c r="P60" s="1"/>
    </row>
    <row r="61" spans="1:16" ht="20" customHeight="1" x14ac:dyDescent="0.35">
      <c r="A61" s="1" t="str">
        <f>Daily!T136</f>
        <v>18-Sep</v>
      </c>
      <c r="B61" s="11">
        <f>IF(AND(Daily!A136&lt;=Portfolio!$J$5,Daily!A136&gt;=Holdings!$G$24),Daily!M136,NA())</f>
        <v>98.282375746643709</v>
      </c>
      <c r="C61" s="11">
        <f>IF(AND(Daily!A136&lt;=Portfolio!$J$5,Daily!A136&gt;=Holdings!$G$24),Daily!P136,NA())</f>
        <v>96.624133900000004</v>
      </c>
      <c r="D61" s="10">
        <f>IF(AND(Daily!A136&lt;=Portfolio!$J$5,Daily!A136&gt;=Holdings!$G$24),Daily!O136,NA())</f>
        <v>-4.527956927956045E-2</v>
      </c>
      <c r="E61" s="1"/>
      <c r="F61" s="1"/>
      <c r="G61" s="1"/>
      <c r="H61" s="1"/>
      <c r="I61" s="1"/>
      <c r="J61" s="1"/>
      <c r="K61" s="1"/>
      <c r="L61" s="1"/>
      <c r="M61" s="1"/>
      <c r="N61" s="1"/>
      <c r="O61" s="1"/>
      <c r="P61" s="1"/>
    </row>
    <row r="62" spans="1:16" x14ac:dyDescent="0.35">
      <c r="A62" s="14"/>
      <c r="B62" s="14"/>
      <c r="C62" s="14"/>
      <c r="D62" s="14"/>
      <c r="E62" s="14"/>
      <c r="F62" s="14"/>
      <c r="G62" s="14"/>
      <c r="H62" s="14"/>
      <c r="I62" s="14"/>
      <c r="J62" s="14"/>
      <c r="K62" s="14"/>
      <c r="L62" s="14"/>
      <c r="M62" s="14"/>
      <c r="N62" s="14"/>
      <c r="O62" s="14"/>
      <c r="P62" s="14"/>
    </row>
    <row r="63" spans="1:16" x14ac:dyDescent="0.35">
      <c r="A63" s="14"/>
      <c r="B63" s="14"/>
      <c r="C63" s="14"/>
      <c r="D63" s="14"/>
      <c r="E63" s="14"/>
      <c r="F63" s="14"/>
      <c r="G63" s="14"/>
      <c r="H63" s="14"/>
      <c r="I63" s="14"/>
      <c r="J63" s="14"/>
      <c r="K63" s="14"/>
      <c r="L63" s="14"/>
      <c r="M63" s="14"/>
      <c r="N63" s="14"/>
      <c r="O63" s="14"/>
      <c r="P63" s="14"/>
    </row>
    <row r="64" spans="1:16" x14ac:dyDescent="0.35">
      <c r="A64" s="14"/>
      <c r="B64" s="14"/>
      <c r="C64" s="14"/>
      <c r="D64" s="14"/>
      <c r="E64" s="14"/>
      <c r="F64" s="14"/>
      <c r="G64" s="14"/>
      <c r="H64" s="14"/>
      <c r="I64" s="14"/>
      <c r="J64" s="14"/>
      <c r="K64" s="14"/>
      <c r="L64" s="14"/>
      <c r="M64" s="14"/>
      <c r="N64" s="14"/>
      <c r="O64" s="14"/>
      <c r="P64" s="14"/>
    </row>
    <row r="65" spans="1:16" x14ac:dyDescent="0.35">
      <c r="A65" s="14"/>
      <c r="B65" s="14"/>
      <c r="C65" s="14"/>
      <c r="D65" s="14"/>
      <c r="E65" s="14"/>
      <c r="F65" s="14"/>
      <c r="G65" s="14"/>
      <c r="H65" s="14"/>
      <c r="I65" s="14"/>
      <c r="J65" s="14"/>
      <c r="K65" s="14"/>
      <c r="L65" s="14"/>
      <c r="M65" s="14"/>
      <c r="N65" s="14"/>
      <c r="O65" s="14"/>
      <c r="P65" s="14"/>
    </row>
  </sheetData>
  <pageMargins left="0.25" right="0.25" top="0.25" bottom="0.25" header="0.3" footer="0.3"/>
  <pageSetup paperSize="8"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A472A-9DB4-4FC7-A98E-BACFA7F229FF}">
  <dimension ref="A1:B14"/>
  <sheetViews>
    <sheetView workbookViewId="0"/>
  </sheetViews>
  <sheetFormatPr defaultRowHeight="14.5" x14ac:dyDescent="0.35"/>
  <sheetData>
    <row r="1" spans="1:2" x14ac:dyDescent="0.35">
      <c r="A1" t="s">
        <v>742</v>
      </c>
      <c r="B1" t="s">
        <v>743</v>
      </c>
    </row>
    <row r="2" spans="1:2" x14ac:dyDescent="0.35">
      <c r="A2" t="s">
        <v>688</v>
      </c>
      <c r="B2" t="b" cm="1">
        <f t="array" ref="B2">IFERROR(_xlfn.LET(_xlpm.mask,Out_AuditBundle[AuditTable]="AP_Portfolios",_xlpm.countRows,SUM(--_xlpm.mask),_xlpm.fields,_xlfn.XMATCH(AP_Portfolios[#Headers],Out_AuditBundle[#Headers],0),_xlpm.found,_xlfn.CHOOSECOLS(_xlfn._xlws.FILTER(Out_AuditBundle[#Data],_xlpm.mask,""),_xlpm.fields),AND(ROWS(AP_Portfolios[#Data])=MAX(1,_xlpm.countRows),IF(_xlpm.countRows=0,AND(AP_Portfolios[#Data]=""),AND(EXACT(AP_Portfolios[#Data]&amp;"",_xlpm.found&amp;""))))),FALSE)</f>
        <v>1</v>
      </c>
    </row>
    <row r="3" spans="1:2" x14ac:dyDescent="0.35">
      <c r="A3" t="s">
        <v>690</v>
      </c>
      <c r="B3" t="b" cm="1">
        <f t="array" ref="B3">IFERROR(_xlfn.LET(_xlpm.mask,Out_AuditBundle[AuditTable]="AP_Instruments",_xlpm.countRows,SUM(--_xlpm.mask),_xlpm.fields,_xlfn.XMATCH(AP_Instruments[#Headers],Out_AuditBundle[#Headers],0),_xlpm.found,_xlfn.CHOOSECOLS(_xlfn._xlws.FILTER(Out_AuditBundle[#Data],_xlpm.mask,""),_xlpm.fields),AND(ROWS(AP_Instruments[#Data])=MAX(1,_xlpm.countRows),IF(_xlpm.countRows=0,AND(AP_Instruments[#Data]=""),AND(EXACT(AP_Instruments[#Data]&amp;"",_xlpm.found&amp;""))))),FALSE)</f>
        <v>1</v>
      </c>
    </row>
    <row r="4" spans="1:2" x14ac:dyDescent="0.35">
      <c r="A4" t="s">
        <v>691</v>
      </c>
      <c r="B4" t="b" cm="1">
        <f t="array" ref="B4">IFERROR(_xlfn.LET(_xlpm.mask,Out_AuditBundle[AuditTable]="AP_Transactions",_xlpm.countRows,SUM(--_xlpm.mask),_xlpm.fields,_xlfn.XMATCH(AP_Transactions[#Headers],Out_AuditBundle[#Headers],0),_xlpm.found,_xlfn.CHOOSECOLS(_xlfn._xlws.FILTER(Out_AuditBundle[#Data],_xlpm.mask,""),_xlpm.fields),AND(ROWS(AP_Transactions[#Data])=MAX(1,_xlpm.countRows),IF(_xlpm.countRows=0,AND(AP_Transactions[#Data]=""),AND(EXACT(AP_Transactions[#Data]&amp;"",_xlpm.found&amp;""))))),FALSE)</f>
        <v>1</v>
      </c>
    </row>
    <row r="5" spans="1:2" x14ac:dyDescent="0.35">
      <c r="A5" t="s">
        <v>692</v>
      </c>
      <c r="B5" t="b" cm="1">
        <f t="array" ref="B5">IFERROR(_xlfn.LET(_xlpm.mask,Out_AuditBundle[AuditTable]="AP_Prices",_xlpm.countRows,SUM(--_xlpm.mask),_xlpm.fields,_xlfn.XMATCH(AP_Prices[#Headers],Out_AuditBundle[#Headers],0),_xlpm.found,_xlfn.CHOOSECOLS(_xlfn._xlws.FILTER(Out_AuditBundle[#Data],_xlpm.mask,""),_xlpm.fields),AND(ROWS(AP_Prices[#Data])=MAX(1,_xlpm.countRows),IF(_xlpm.countRows=0,AND(AP_Prices[#Data]=""),AND(EXACT(AP_Prices[#Data]&amp;"",_xlpm.found&amp;""))))),FALSE)</f>
        <v>1</v>
      </c>
    </row>
    <row r="6" spans="1:2" x14ac:dyDescent="0.35">
      <c r="A6" t="s">
        <v>693</v>
      </c>
      <c r="B6" t="b" cm="1">
        <f t="array" ref="B6">IFERROR(_xlfn.LET(_xlpm.mask,Out_AuditBundle[AuditTable]="AP_Actions",_xlpm.countRows,SUM(--_xlpm.mask),_xlpm.fields,_xlfn.XMATCH(AP_Actions[#Headers],Out_AuditBundle[#Headers],0),_xlpm.found,_xlfn.CHOOSECOLS(_xlfn._xlws.FILTER(Out_AuditBundle[#Data],_xlpm.mask,""),_xlpm.fields),AND(ROWS(AP_Actions[#Data])=MAX(1,_xlpm.countRows),IF(_xlpm.countRows=0,AND(AP_Actions[#Data]=""),AND(EXACT(AP_Actions[#Data]&amp;"",_xlpm.found&amp;""))))),FALSE)</f>
        <v>1</v>
      </c>
    </row>
    <row r="7" spans="1:2" x14ac:dyDescent="0.35">
      <c r="A7" t="s">
        <v>694</v>
      </c>
      <c r="B7" t="b" cm="1">
        <f t="array" ref="B7">IFERROR(_xlfn.LET(_xlpm.mask,Out_AuditBundle[AuditTable]="AP_Calendar",_xlpm.countRows,SUM(--_xlpm.mask),_xlpm.fields,_xlfn.XMATCH(AP_Calendar[#Headers],Out_AuditBundle[#Headers],0),_xlpm.found,_xlfn.CHOOSECOLS(_xlfn._xlws.FILTER(Out_AuditBundle[#Data],_xlpm.mask,""),_xlpm.fields),AND(ROWS(AP_Calendar[#Data])=MAX(1,_xlpm.countRows),IF(_xlpm.countRows=0,AND(AP_Calendar[#Data]=""),AND(EXACT(AP_Calendar[#Data]&amp;"",_xlpm.found&amp;""))))),FALSE)</f>
        <v>1</v>
      </c>
    </row>
    <row r="8" spans="1:2" x14ac:dyDescent="0.35">
      <c r="A8" t="s">
        <v>695</v>
      </c>
      <c r="B8" t="b" cm="1">
        <f t="array" ref="B8">IFERROR(_xlfn.LET(_xlpm.mask,Out_AuditBundle[AuditTable]="AP_Settings",_xlpm.countRows,SUM(--_xlpm.mask),_xlpm.fields,_xlfn.XMATCH(AP_Settings[#Headers],Out_AuditBundle[#Headers],0),_xlpm.found,_xlfn.CHOOSECOLS(_xlfn._xlws.FILTER(Out_AuditBundle[#Data],_xlpm.mask,""),_xlpm.fields),AND(ROWS(AP_Settings[#Data])=MAX(1,_xlpm.countRows),IF(_xlpm.countRows=0,AND(AP_Settings[#Data]=""),AND(EXACT(AP_Settings[#Data]&amp;"",_xlpm.found&amp;""))))),FALSE)</f>
        <v>1</v>
      </c>
    </row>
    <row r="9" spans="1:2" x14ac:dyDescent="0.35">
      <c r="A9" t="s">
        <v>621</v>
      </c>
      <c r="B9" t="b" cm="1">
        <f t="array" ref="B9">IFERROR(_xlfn.LET(_xlpm.mask,Out_AuditBundle[AuditTable]="TransactionsClean",_xlpm.countRows,SUM(--_xlpm.mask),_xlpm.fields,_xlfn.XMATCH(Out_TransactionsClean[#Headers],Out_AuditBundle[#Headers],0),_xlpm.found,_xlfn.CHOOSECOLS(_xlfn._xlws.FILTER(Out_AuditBundle[#Data],_xlpm.mask,""),_xlpm.fields),AND(ROWS(Out_TransactionsClean[#Data])=MAX(1,_xlpm.countRows),IF(_xlpm.countRows=0,AND(Out_TransactionsClean[#Data]=""),AND(EXACT(Out_TransactionsClean[#Data]&amp;"",_xlpm.found&amp;""))))),FALSE)</f>
        <v>1</v>
      </c>
    </row>
    <row r="10" spans="1:2" x14ac:dyDescent="0.35">
      <c r="A10" t="s">
        <v>630</v>
      </c>
      <c r="B10" t="b" cm="1">
        <f t="array" ref="B10">IFERROR(_xlfn.LET(_xlpm.mask,Out_AuditBundle[AuditTable]="HoldingsDaily",_xlpm.countRows,SUM(--_xlpm.mask),_xlpm.fields,_xlfn.XMATCH(Out_HoldingsDaily[#Headers],Out_AuditBundle[#Headers],0),_xlpm.found,_xlfn.CHOOSECOLS(_xlfn._xlws.FILTER(Out_AuditBundle[#Data],_xlpm.mask,""),_xlpm.fields),AND(ROWS(Out_HoldingsDaily[#Data])=MAX(1,_xlpm.countRows),IF(_xlpm.countRows=0,AND(Out_HoldingsDaily[#Data]=""),AND(EXACT(Out_HoldingsDaily[#Data]&amp;"",_xlpm.found&amp;""))))),FALSE)</f>
        <v>1</v>
      </c>
    </row>
    <row r="11" spans="1:2" x14ac:dyDescent="0.35">
      <c r="A11" t="s">
        <v>637</v>
      </c>
      <c r="B11" t="b" cm="1">
        <f t="array" ref="B11">IFERROR(_xlfn.LET(_xlpm.mask,Out_AuditBundle[AuditTable]="PortfolioDaily",_xlpm.countRows,SUM(--_xlpm.mask),_xlpm.fields,_xlfn.XMATCH(Out_PortfolioDaily[#Headers],Out_AuditBundle[#Headers],0),_xlpm.found,_xlfn.CHOOSECOLS(_xlfn._xlws.FILTER(Out_AuditBundle[#Data],_xlpm.mask,""),_xlpm.fields),AND(ROWS(Out_PortfolioDaily[#Data])=MAX(1,_xlpm.countRows),IF(_xlpm.countRows=0,AND(Out_PortfolioDaily[#Data]=""),AND(EXACT(Out_PortfolioDaily[#Data]&amp;"",_xlpm.found&amp;""))))),FALSE)</f>
        <v>1</v>
      </c>
    </row>
    <row r="12" spans="1:2" x14ac:dyDescent="0.35">
      <c r="A12" t="s">
        <v>650</v>
      </c>
      <c r="B12" t="b" cm="1">
        <f t="array" ref="B12">IFERROR(_xlfn.LET(_xlpm.mask,Out_AuditBundle[AuditTable]="Exceptions",_xlpm.countRows,SUM(--_xlpm.mask),_xlpm.fields,_xlfn.XMATCH(Out_Exceptions[#Headers],Out_AuditBundle[#Headers],0),_xlpm.found,_xlfn.CHOOSECOLS(_xlfn._xlws.FILTER(Out_AuditBundle[#Data],_xlpm.mask,""),_xlpm.fields),AND(ROWS(Out_Exceptions[#Data])=MAX(1,_xlpm.countRows),IF(_xlpm.countRows=0,AND(Out_Exceptions[#Data]=""),AND(EXACT(Out_Exceptions[#Data]&amp;"",_xlpm.found&amp;""))))),FALSE)</f>
        <v>1</v>
      </c>
    </row>
    <row r="13" spans="1:2" x14ac:dyDescent="0.35">
      <c r="A13" t="s">
        <v>655</v>
      </c>
      <c r="B13" t="b" cm="1">
        <f t="array" ref="B13">IFERROR(_xlfn.LET(_xlpm.mask,Out_AuditBundle[AuditTable]="InvestorFlows",_xlpm.countRows,SUM(--_xlpm.mask),_xlpm.fields,_xlfn.XMATCH(Out_InvestorFlows[#Headers],Out_AuditBundle[#Headers],0),_xlpm.found,_xlfn.CHOOSECOLS(_xlfn._xlws.FILTER(Out_AuditBundle[#Data],_xlpm.mask,""),_xlpm.fields),AND(ROWS(Out_InvestorFlows[#Data])=MAX(1,_xlpm.countRows),IF(_xlpm.countRows=0,AND(Out_InvestorFlows[#Data]=""),AND(EXACT(Out_InvestorFlows[#Data]&amp;"",_xlpm.found&amp;""))))),FALSE)</f>
        <v>1</v>
      </c>
    </row>
    <row r="14" spans="1:2" x14ac:dyDescent="0.35">
      <c r="A14" t="s">
        <v>659</v>
      </c>
      <c r="B14" t="b" cm="1">
        <f t="array" ref="B14">IFERROR(_xlfn.LET(_xlpm.mask,Out_AuditBundle[AuditTable]="AcceptedPrices",_xlpm.countRows,SUM(--_xlpm.mask),_xlpm.fields,_xlfn.XMATCH(Out_AcceptedPrices[#Headers],Out_AuditBundle[#Headers],0),_xlpm.found,_xlfn.CHOOSECOLS(_xlfn._xlws.FILTER(Out_AuditBundle[#Data],_xlpm.mask,""),_xlpm.fields),AND(ROWS(Out_AcceptedPrices[#Data])=MAX(1,_xlpm.countRows),IF(_xlpm.countRows=0,AND(Out_AcceptedPrices[#Data]=""),AND(EXACT(Out_AcceptedPrices[#Data]&amp;"",_xlpm.found&amp;""))))),FALSE)</f>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DA244-7B30-4956-AC9F-5BD5BD96ABE0}">
  <dimension ref="A1:BY8248"/>
  <sheetViews>
    <sheetView workbookViewId="0"/>
  </sheetViews>
  <sheetFormatPr defaultRowHeight="14.5" x14ac:dyDescent="0.35"/>
  <cols>
    <col min="1" max="1" width="27.453125" bestFit="1" customWidth="1"/>
    <col min="2" max="2" width="12.26953125" bestFit="1" customWidth="1"/>
    <col min="3" max="3" width="7.08984375" bestFit="1" customWidth="1"/>
    <col min="4" max="4" width="11.08984375" bestFit="1" customWidth="1"/>
    <col min="5" max="5" width="14" bestFit="1" customWidth="1"/>
    <col min="6" max="6" width="14.36328125" bestFit="1" customWidth="1"/>
    <col min="7" max="7" width="10.453125" bestFit="1" customWidth="1"/>
    <col min="8" max="8" width="7.1796875" bestFit="1" customWidth="1"/>
    <col min="9" max="9" width="9.90625" bestFit="1" customWidth="1"/>
    <col min="10" max="10" width="6.81640625" bestFit="1" customWidth="1"/>
    <col min="11" max="11" width="22.7265625" bestFit="1" customWidth="1"/>
    <col min="12" max="12" width="8.6328125" bestFit="1" customWidth="1"/>
    <col min="13" max="13" width="25.36328125" bestFit="1" customWidth="1"/>
    <col min="14" max="14" width="16.1796875" bestFit="1" customWidth="1"/>
    <col min="15" max="15" width="8.36328125" bestFit="1" customWidth="1"/>
    <col min="16" max="16" width="9.1796875" bestFit="1" customWidth="1"/>
    <col min="17" max="17" width="11.90625" bestFit="1" customWidth="1"/>
    <col min="18" max="18" width="11.54296875" bestFit="1" customWidth="1"/>
    <col min="19" max="19" width="13.90625" bestFit="1" customWidth="1"/>
    <col min="20" max="21" width="13" bestFit="1" customWidth="1"/>
    <col min="22" max="22" width="11.36328125" bestFit="1" customWidth="1"/>
    <col min="23" max="23" width="11.7265625" bestFit="1" customWidth="1"/>
    <col min="24" max="24" width="11.81640625" bestFit="1" customWidth="1"/>
    <col min="25" max="25" width="11.26953125" bestFit="1" customWidth="1"/>
    <col min="26" max="26" width="16.08984375" bestFit="1" customWidth="1"/>
    <col min="27" max="27" width="7.453125" bestFit="1" customWidth="1"/>
    <col min="28" max="28" width="11.81640625" bestFit="1" customWidth="1"/>
    <col min="29" max="29" width="11.1796875" bestFit="1" customWidth="1"/>
    <col min="30" max="30" width="14.26953125" bestFit="1" customWidth="1"/>
    <col min="31" max="31" width="14" bestFit="1" customWidth="1"/>
    <col min="32" max="32" width="17.08984375" bestFit="1" customWidth="1"/>
    <col min="33" max="33" width="19.453125" bestFit="1" customWidth="1"/>
    <col min="34" max="34" width="15" bestFit="1" customWidth="1"/>
    <col min="35" max="35" width="14.81640625" bestFit="1" customWidth="1"/>
    <col min="36" max="36" width="11.54296875" bestFit="1" customWidth="1"/>
    <col min="37" max="37" width="11.453125" bestFit="1" customWidth="1"/>
    <col min="38" max="38" width="17" bestFit="1" customWidth="1"/>
    <col min="39" max="39" width="7.08984375" bestFit="1" customWidth="1"/>
    <col min="40" max="40" width="12.36328125" bestFit="1" customWidth="1"/>
    <col min="41" max="41" width="13.7265625" bestFit="1" customWidth="1"/>
    <col min="42" max="42" width="16.08984375" bestFit="1" customWidth="1"/>
    <col min="43" max="43" width="10.453125" bestFit="1" customWidth="1"/>
    <col min="44" max="44" width="12.90625" bestFit="1" customWidth="1"/>
    <col min="45" max="45" width="14.08984375" bestFit="1" customWidth="1"/>
    <col min="46" max="46" width="14.90625" bestFit="1" customWidth="1"/>
    <col min="47" max="47" width="6.7265625" bestFit="1" customWidth="1"/>
    <col min="48" max="48" width="9.7265625" bestFit="1" customWidth="1"/>
    <col min="49" max="49" width="10.7265625" bestFit="1" customWidth="1"/>
    <col min="50" max="50" width="15.453125" bestFit="1" customWidth="1"/>
    <col min="51" max="51" width="13.90625" bestFit="1" customWidth="1"/>
    <col min="52" max="52" width="30.453125" bestFit="1" customWidth="1"/>
    <col min="53" max="53" width="7.54296875" bestFit="1" customWidth="1"/>
    <col min="54" max="54" width="10.54296875" bestFit="1" customWidth="1"/>
    <col min="55" max="55" width="25.36328125" bestFit="1" customWidth="1"/>
    <col min="56" max="56" width="10" bestFit="1" customWidth="1"/>
    <col min="57" max="57" width="13" bestFit="1" customWidth="1"/>
    <col min="58" max="58" width="11.36328125" bestFit="1" customWidth="1"/>
    <col min="59" max="59" width="18.08984375" bestFit="1" customWidth="1"/>
    <col min="60" max="60" width="16" bestFit="1" customWidth="1"/>
    <col min="61" max="61" width="15" bestFit="1" customWidth="1"/>
    <col min="62" max="62" width="8.1796875" bestFit="1" customWidth="1"/>
    <col min="63" max="63" width="9.1796875" bestFit="1" customWidth="1"/>
    <col min="64" max="64" width="17.54296875" bestFit="1" customWidth="1"/>
    <col min="65" max="65" width="9.81640625" bestFit="1" customWidth="1"/>
    <col min="66" max="66" width="13.54296875" bestFit="1" customWidth="1"/>
    <col min="67" max="67" width="6.36328125" bestFit="1" customWidth="1"/>
    <col min="68" max="68" width="11.81640625" bestFit="1" customWidth="1"/>
    <col min="69" max="69" width="9" bestFit="1" customWidth="1"/>
    <col min="70" max="70" width="14.54296875" bestFit="1" customWidth="1"/>
    <col min="71" max="71" width="16.81640625" bestFit="1" customWidth="1"/>
    <col min="72" max="72" width="18.7265625" bestFit="1" customWidth="1"/>
    <col min="73" max="73" width="13.453125" bestFit="1" customWidth="1"/>
    <col min="74" max="74" width="9.6328125" bestFit="1" customWidth="1"/>
    <col min="75" max="75" width="17" bestFit="1" customWidth="1"/>
    <col min="76" max="76" width="20.08984375" bestFit="1" customWidth="1"/>
    <col min="77" max="77" width="66.26953125" bestFit="1" customWidth="1"/>
  </cols>
  <sheetData>
    <row r="1" spans="1:77" x14ac:dyDescent="0.35">
      <c r="A1" t="s">
        <v>71</v>
      </c>
      <c r="B1" t="s">
        <v>557</v>
      </c>
      <c r="C1" t="s">
        <v>72</v>
      </c>
      <c r="D1" t="s">
        <v>576</v>
      </c>
      <c r="E1" t="s">
        <v>73</v>
      </c>
      <c r="F1" t="s">
        <v>568</v>
      </c>
      <c r="G1" t="s">
        <v>74</v>
      </c>
      <c r="H1" t="s">
        <v>75</v>
      </c>
      <c r="I1" t="s">
        <v>76</v>
      </c>
      <c r="J1" t="s">
        <v>67</v>
      </c>
      <c r="K1" t="s">
        <v>577</v>
      </c>
      <c r="L1" t="s">
        <v>578</v>
      </c>
      <c r="M1" t="s">
        <v>579</v>
      </c>
      <c r="N1" t="s">
        <v>623</v>
      </c>
      <c r="O1" t="s">
        <v>236</v>
      </c>
      <c r="P1" t="s">
        <v>624</v>
      </c>
      <c r="Q1" t="s">
        <v>77</v>
      </c>
      <c r="R1" t="s">
        <v>78</v>
      </c>
      <c r="S1" t="s">
        <v>79</v>
      </c>
      <c r="T1" t="s">
        <v>82</v>
      </c>
      <c r="U1" t="s">
        <v>83</v>
      </c>
      <c r="V1" t="s">
        <v>625</v>
      </c>
      <c r="W1" t="s">
        <v>626</v>
      </c>
      <c r="X1" t="s">
        <v>627</v>
      </c>
      <c r="Y1" t="s">
        <v>740</v>
      </c>
      <c r="Z1" t="s">
        <v>741</v>
      </c>
      <c r="AA1" t="s">
        <v>13</v>
      </c>
      <c r="AB1" t="s">
        <v>27</v>
      </c>
      <c r="AC1" t="s">
        <v>631</v>
      </c>
      <c r="AD1" t="s">
        <v>632</v>
      </c>
      <c r="AE1" t="s">
        <v>633</v>
      </c>
      <c r="AF1" t="s">
        <v>634</v>
      </c>
      <c r="AG1" t="s">
        <v>635</v>
      </c>
      <c r="AH1" t="s">
        <v>636</v>
      </c>
      <c r="AI1" t="s">
        <v>638</v>
      </c>
      <c r="AJ1" t="s">
        <v>639</v>
      </c>
      <c r="AK1" t="s">
        <v>640</v>
      </c>
      <c r="AL1" t="s">
        <v>641</v>
      </c>
      <c r="AM1" t="s">
        <v>10</v>
      </c>
      <c r="AN1" t="s">
        <v>642</v>
      </c>
      <c r="AO1" t="s">
        <v>643</v>
      </c>
      <c r="AP1" t="s">
        <v>644</v>
      </c>
      <c r="AQ1" t="s">
        <v>645</v>
      </c>
      <c r="AR1" t="s">
        <v>646</v>
      </c>
      <c r="AS1" t="s">
        <v>647</v>
      </c>
      <c r="AT1" t="s">
        <v>648</v>
      </c>
      <c r="AU1" t="s">
        <v>651</v>
      </c>
      <c r="AV1" t="s">
        <v>652</v>
      </c>
      <c r="AW1" t="s">
        <v>653</v>
      </c>
      <c r="AX1" t="s">
        <v>654</v>
      </c>
      <c r="AY1" t="s">
        <v>656</v>
      </c>
      <c r="AZ1" t="s">
        <v>583</v>
      </c>
      <c r="BA1" t="s">
        <v>584</v>
      </c>
      <c r="BB1" t="s">
        <v>559</v>
      </c>
      <c r="BC1" t="s">
        <v>416</v>
      </c>
      <c r="BD1" t="s">
        <v>585</v>
      </c>
      <c r="BE1" t="s">
        <v>586</v>
      </c>
      <c r="BF1" t="s">
        <v>587</v>
      </c>
      <c r="BG1" t="s">
        <v>660</v>
      </c>
      <c r="BH1" t="s">
        <v>558</v>
      </c>
      <c r="BI1" t="s">
        <v>560</v>
      </c>
      <c r="BJ1" t="s">
        <v>561</v>
      </c>
      <c r="BK1" t="s">
        <v>562</v>
      </c>
      <c r="BL1" t="s">
        <v>569</v>
      </c>
      <c r="BM1" t="s">
        <v>570</v>
      </c>
      <c r="BN1" t="s">
        <v>571</v>
      </c>
      <c r="BO1" t="s">
        <v>572</v>
      </c>
      <c r="BP1" t="s">
        <v>573</v>
      </c>
      <c r="BQ1" t="s">
        <v>590</v>
      </c>
      <c r="BR1" t="s">
        <v>591</v>
      </c>
      <c r="BS1" t="s">
        <v>592</v>
      </c>
      <c r="BT1" t="s">
        <v>593</v>
      </c>
      <c r="BU1" t="s">
        <v>594</v>
      </c>
      <c r="BV1" t="s">
        <v>595</v>
      </c>
      <c r="BW1" t="s">
        <v>597</v>
      </c>
      <c r="BX1" t="s">
        <v>599</v>
      </c>
      <c r="BY1" t="s">
        <v>142</v>
      </c>
    </row>
    <row r="2" spans="1:77" x14ac:dyDescent="0.35">
      <c r="A2" t="s">
        <v>756</v>
      </c>
      <c r="B2" t="s">
        <v>563</v>
      </c>
      <c r="C2">
        <v>45658</v>
      </c>
      <c r="D2">
        <v>1</v>
      </c>
      <c r="E2" t="s">
        <v>90</v>
      </c>
      <c r="G2">
        <v>0</v>
      </c>
      <c r="H2">
        <v>0</v>
      </c>
      <c r="I2">
        <v>100000</v>
      </c>
      <c r="J2">
        <v>0</v>
      </c>
      <c r="L2" t="s">
        <v>628</v>
      </c>
      <c r="N2">
        <v>1</v>
      </c>
      <c r="O2" t="s">
        <v>239</v>
      </c>
      <c r="P2" t="s">
        <v>514</v>
      </c>
      <c r="Q2">
        <v>0</v>
      </c>
      <c r="R2">
        <v>100000</v>
      </c>
      <c r="S2">
        <v>100000</v>
      </c>
      <c r="T2">
        <v>0</v>
      </c>
      <c r="U2">
        <v>0</v>
      </c>
      <c r="V2">
        <v>100000</v>
      </c>
      <c r="W2">
        <v>0</v>
      </c>
      <c r="X2">
        <v>0</v>
      </c>
      <c r="Y2">
        <v>1</v>
      </c>
      <c r="Z2" s="259" t="s">
        <v>621</v>
      </c>
    </row>
    <row r="3" spans="1:77" x14ac:dyDescent="0.35">
      <c r="A3" t="s">
        <v>760</v>
      </c>
      <c r="B3" t="s">
        <v>563</v>
      </c>
      <c r="C3">
        <v>45659</v>
      </c>
      <c r="D3">
        <v>1</v>
      </c>
      <c r="E3" t="s">
        <v>93</v>
      </c>
      <c r="F3" t="s">
        <v>749</v>
      </c>
      <c r="G3">
        <v>100</v>
      </c>
      <c r="H3">
        <v>100</v>
      </c>
      <c r="I3">
        <v>0</v>
      </c>
      <c r="J3">
        <v>10</v>
      </c>
      <c r="L3" t="s">
        <v>629</v>
      </c>
      <c r="N3">
        <v>1</v>
      </c>
      <c r="O3" t="s">
        <v>239</v>
      </c>
      <c r="P3" t="s">
        <v>514</v>
      </c>
      <c r="Q3">
        <v>100</v>
      </c>
      <c r="R3">
        <v>-10010</v>
      </c>
      <c r="S3">
        <v>0</v>
      </c>
      <c r="T3">
        <v>10010</v>
      </c>
      <c r="U3">
        <v>0</v>
      </c>
      <c r="V3">
        <v>89990</v>
      </c>
      <c r="W3">
        <v>100</v>
      </c>
      <c r="X3">
        <v>10010</v>
      </c>
      <c r="Y3">
        <v>2</v>
      </c>
      <c r="Z3" s="259" t="s">
        <v>621</v>
      </c>
    </row>
    <row r="4" spans="1:77" x14ac:dyDescent="0.35">
      <c r="A4" t="s">
        <v>761</v>
      </c>
      <c r="B4" t="s">
        <v>563</v>
      </c>
      <c r="C4">
        <v>45659</v>
      </c>
      <c r="D4">
        <v>2</v>
      </c>
      <c r="E4" t="s">
        <v>93</v>
      </c>
      <c r="F4" t="s">
        <v>752</v>
      </c>
      <c r="G4">
        <v>50</v>
      </c>
      <c r="H4">
        <v>200</v>
      </c>
      <c r="I4">
        <v>0</v>
      </c>
      <c r="J4">
        <v>10</v>
      </c>
      <c r="L4" t="s">
        <v>629</v>
      </c>
      <c r="N4">
        <v>1</v>
      </c>
      <c r="O4" t="s">
        <v>239</v>
      </c>
      <c r="P4" t="s">
        <v>514</v>
      </c>
      <c r="Q4">
        <v>50</v>
      </c>
      <c r="R4">
        <v>-10010</v>
      </c>
      <c r="S4">
        <v>0</v>
      </c>
      <c r="T4">
        <v>10010</v>
      </c>
      <c r="U4">
        <v>0</v>
      </c>
      <c r="V4">
        <v>79980</v>
      </c>
      <c r="W4">
        <v>50</v>
      </c>
      <c r="X4">
        <v>10010</v>
      </c>
      <c r="Y4">
        <v>3</v>
      </c>
      <c r="Z4" s="259" t="s">
        <v>621</v>
      </c>
    </row>
    <row r="5" spans="1:77" x14ac:dyDescent="0.35">
      <c r="A5" t="s">
        <v>762</v>
      </c>
      <c r="B5" t="s">
        <v>563</v>
      </c>
      <c r="C5">
        <v>45659</v>
      </c>
      <c r="D5">
        <v>3</v>
      </c>
      <c r="E5" t="s">
        <v>93</v>
      </c>
      <c r="F5" t="s">
        <v>754</v>
      </c>
      <c r="G5">
        <v>100</v>
      </c>
      <c r="H5">
        <v>80</v>
      </c>
      <c r="I5">
        <v>0</v>
      </c>
      <c r="J5">
        <v>8</v>
      </c>
      <c r="L5" t="s">
        <v>629</v>
      </c>
      <c r="N5">
        <v>1</v>
      </c>
      <c r="O5" t="s">
        <v>239</v>
      </c>
      <c r="P5" t="s">
        <v>514</v>
      </c>
      <c r="Q5">
        <v>100</v>
      </c>
      <c r="R5">
        <v>-8008</v>
      </c>
      <c r="S5">
        <v>0</v>
      </c>
      <c r="T5">
        <v>8008</v>
      </c>
      <c r="U5">
        <v>0</v>
      </c>
      <c r="V5">
        <v>71972</v>
      </c>
      <c r="W5">
        <v>100</v>
      </c>
      <c r="X5">
        <v>8008</v>
      </c>
      <c r="Y5">
        <v>4</v>
      </c>
      <c r="Z5" s="259" t="s">
        <v>621</v>
      </c>
    </row>
    <row r="6" spans="1:77" x14ac:dyDescent="0.35">
      <c r="A6" t="s">
        <v>768</v>
      </c>
      <c r="B6" t="s">
        <v>563</v>
      </c>
      <c r="C6">
        <v>45719</v>
      </c>
      <c r="D6">
        <v>1</v>
      </c>
      <c r="E6" t="s">
        <v>93</v>
      </c>
      <c r="F6" t="s">
        <v>749</v>
      </c>
      <c r="G6">
        <v>50</v>
      </c>
      <c r="H6">
        <v>98</v>
      </c>
      <c r="I6">
        <v>0</v>
      </c>
      <c r="J6">
        <v>5</v>
      </c>
      <c r="L6" t="s">
        <v>629</v>
      </c>
      <c r="N6">
        <v>1</v>
      </c>
      <c r="O6" t="s">
        <v>239</v>
      </c>
      <c r="P6" t="s">
        <v>514</v>
      </c>
      <c r="Q6">
        <v>50</v>
      </c>
      <c r="R6">
        <v>-4905</v>
      </c>
      <c r="S6">
        <v>0</v>
      </c>
      <c r="T6">
        <v>4905</v>
      </c>
      <c r="U6">
        <v>0</v>
      </c>
      <c r="V6">
        <v>67067</v>
      </c>
      <c r="W6">
        <v>150</v>
      </c>
      <c r="X6">
        <v>14915</v>
      </c>
      <c r="Y6">
        <v>5</v>
      </c>
      <c r="Z6" s="259" t="s">
        <v>621</v>
      </c>
    </row>
    <row r="7" spans="1:77" x14ac:dyDescent="0.35">
      <c r="A7" t="s">
        <v>771</v>
      </c>
      <c r="B7" t="s">
        <v>563</v>
      </c>
      <c r="C7">
        <v>45778</v>
      </c>
      <c r="D7">
        <v>1</v>
      </c>
      <c r="E7" t="s">
        <v>90</v>
      </c>
      <c r="G7">
        <v>0</v>
      </c>
      <c r="H7">
        <v>0</v>
      </c>
      <c r="I7">
        <v>10000</v>
      </c>
      <c r="J7">
        <v>0</v>
      </c>
      <c r="L7" t="s">
        <v>629</v>
      </c>
      <c r="N7">
        <v>1</v>
      </c>
      <c r="O7" t="s">
        <v>239</v>
      </c>
      <c r="P7" t="s">
        <v>514</v>
      </c>
      <c r="Q7">
        <v>0</v>
      </c>
      <c r="R7">
        <v>10000</v>
      </c>
      <c r="S7">
        <v>10000</v>
      </c>
      <c r="T7">
        <v>0</v>
      </c>
      <c r="U7">
        <v>0</v>
      </c>
      <c r="V7">
        <v>77067</v>
      </c>
      <c r="W7">
        <v>0</v>
      </c>
      <c r="X7">
        <v>0</v>
      </c>
      <c r="Y7">
        <v>6</v>
      </c>
      <c r="Z7" s="259" t="s">
        <v>621</v>
      </c>
    </row>
    <row r="8" spans="1:77" x14ac:dyDescent="0.35">
      <c r="A8" t="s">
        <v>773</v>
      </c>
      <c r="B8" t="s">
        <v>563</v>
      </c>
      <c r="C8">
        <v>45839</v>
      </c>
      <c r="D8">
        <v>1</v>
      </c>
      <c r="E8" t="s">
        <v>114</v>
      </c>
      <c r="F8" t="s">
        <v>749</v>
      </c>
      <c r="G8">
        <v>80</v>
      </c>
      <c r="H8">
        <v>55</v>
      </c>
      <c r="I8">
        <v>0</v>
      </c>
      <c r="J8">
        <v>8</v>
      </c>
      <c r="L8" t="s">
        <v>629</v>
      </c>
      <c r="N8">
        <v>1</v>
      </c>
      <c r="O8" t="s">
        <v>239</v>
      </c>
      <c r="P8" t="s">
        <v>514</v>
      </c>
      <c r="Q8">
        <v>-80</v>
      </c>
      <c r="R8">
        <v>4392</v>
      </c>
      <c r="S8">
        <v>0</v>
      </c>
      <c r="T8">
        <v>-3977.3333333333335</v>
      </c>
      <c r="U8">
        <v>414.66666666666652</v>
      </c>
      <c r="V8">
        <v>81459</v>
      </c>
      <c r="W8">
        <v>220</v>
      </c>
      <c r="X8">
        <v>10937.666666666666</v>
      </c>
      <c r="Y8">
        <v>7</v>
      </c>
      <c r="Z8" s="259" t="s">
        <v>621</v>
      </c>
    </row>
    <row r="9" spans="1:77" x14ac:dyDescent="0.35">
      <c r="A9" t="s">
        <v>775</v>
      </c>
      <c r="B9" t="s">
        <v>563</v>
      </c>
      <c r="C9">
        <v>45887</v>
      </c>
      <c r="D9">
        <v>1</v>
      </c>
      <c r="E9" t="s">
        <v>581</v>
      </c>
      <c r="G9">
        <v>0</v>
      </c>
      <c r="H9">
        <v>0</v>
      </c>
      <c r="I9">
        <v>5000</v>
      </c>
      <c r="J9">
        <v>0</v>
      </c>
      <c r="K9" t="s">
        <v>776</v>
      </c>
      <c r="L9" t="s">
        <v>629</v>
      </c>
      <c r="N9">
        <v>1</v>
      </c>
      <c r="O9" t="s">
        <v>239</v>
      </c>
      <c r="P9" t="s">
        <v>514</v>
      </c>
      <c r="Q9">
        <v>0</v>
      </c>
      <c r="R9">
        <v>5000</v>
      </c>
      <c r="S9">
        <v>5000</v>
      </c>
      <c r="T9">
        <v>0</v>
      </c>
      <c r="U9">
        <v>0</v>
      </c>
      <c r="V9">
        <v>86459</v>
      </c>
      <c r="W9">
        <v>0</v>
      </c>
      <c r="X9">
        <v>0</v>
      </c>
      <c r="Y9">
        <v>8</v>
      </c>
      <c r="Z9" s="259" t="s">
        <v>621</v>
      </c>
    </row>
    <row r="10" spans="1:77" x14ac:dyDescent="0.35">
      <c r="A10" t="s">
        <v>779</v>
      </c>
      <c r="B10" t="s">
        <v>563</v>
      </c>
      <c r="C10">
        <v>45910</v>
      </c>
      <c r="D10">
        <v>1</v>
      </c>
      <c r="E10" t="s">
        <v>114</v>
      </c>
      <c r="F10" t="s">
        <v>752</v>
      </c>
      <c r="G10">
        <v>20</v>
      </c>
      <c r="H10">
        <v>185</v>
      </c>
      <c r="I10">
        <v>0</v>
      </c>
      <c r="J10">
        <v>5</v>
      </c>
      <c r="L10" t="s">
        <v>629</v>
      </c>
      <c r="N10">
        <v>1</v>
      </c>
      <c r="O10" t="s">
        <v>239</v>
      </c>
      <c r="P10" t="s">
        <v>514</v>
      </c>
      <c r="Q10">
        <v>-20</v>
      </c>
      <c r="R10">
        <v>3695</v>
      </c>
      <c r="S10">
        <v>0</v>
      </c>
      <c r="T10">
        <v>-4004</v>
      </c>
      <c r="U10">
        <v>-309</v>
      </c>
      <c r="V10">
        <v>90154</v>
      </c>
      <c r="W10">
        <v>30</v>
      </c>
      <c r="X10">
        <v>6006</v>
      </c>
      <c r="Y10">
        <v>9</v>
      </c>
      <c r="Z10" s="259" t="s">
        <v>621</v>
      </c>
    </row>
    <row r="11" spans="1:77" x14ac:dyDescent="0.35">
      <c r="A11" t="s">
        <v>780</v>
      </c>
      <c r="B11" t="s">
        <v>563</v>
      </c>
      <c r="C11">
        <v>45915</v>
      </c>
      <c r="D11">
        <v>1</v>
      </c>
      <c r="E11" t="s">
        <v>122</v>
      </c>
      <c r="F11" t="s">
        <v>752</v>
      </c>
      <c r="G11">
        <v>0</v>
      </c>
      <c r="H11">
        <v>0</v>
      </c>
      <c r="I11">
        <v>150</v>
      </c>
      <c r="J11">
        <v>0</v>
      </c>
      <c r="L11" t="s">
        <v>629</v>
      </c>
      <c r="M11" t="s">
        <v>781</v>
      </c>
      <c r="N11">
        <v>1</v>
      </c>
      <c r="O11" t="s">
        <v>239</v>
      </c>
      <c r="P11" t="s">
        <v>514</v>
      </c>
      <c r="Q11">
        <v>0</v>
      </c>
      <c r="R11">
        <v>0</v>
      </c>
      <c r="S11">
        <v>0</v>
      </c>
      <c r="T11">
        <v>0</v>
      </c>
      <c r="U11">
        <v>0</v>
      </c>
      <c r="V11">
        <v>90304</v>
      </c>
      <c r="W11">
        <v>30</v>
      </c>
      <c r="X11">
        <v>6006</v>
      </c>
      <c r="Y11">
        <v>10</v>
      </c>
      <c r="Z11" s="259" t="s">
        <v>621</v>
      </c>
    </row>
    <row r="12" spans="1:77" x14ac:dyDescent="0.35">
      <c r="A12" t="s">
        <v>782</v>
      </c>
      <c r="B12" t="s">
        <v>563</v>
      </c>
      <c r="C12">
        <v>45971</v>
      </c>
      <c r="D12">
        <v>1</v>
      </c>
      <c r="E12" t="s">
        <v>114</v>
      </c>
      <c r="F12" t="s">
        <v>754</v>
      </c>
      <c r="G12">
        <v>100</v>
      </c>
      <c r="H12">
        <v>77</v>
      </c>
      <c r="I12">
        <v>0</v>
      </c>
      <c r="J12">
        <v>8</v>
      </c>
      <c r="L12" t="s">
        <v>629</v>
      </c>
      <c r="N12">
        <v>1</v>
      </c>
      <c r="O12" t="s">
        <v>239</v>
      </c>
      <c r="P12" t="s">
        <v>514</v>
      </c>
      <c r="Q12">
        <v>-100</v>
      </c>
      <c r="R12">
        <v>7692</v>
      </c>
      <c r="S12">
        <v>0</v>
      </c>
      <c r="T12">
        <v>-8008</v>
      </c>
      <c r="U12">
        <v>-316</v>
      </c>
      <c r="V12">
        <v>97996</v>
      </c>
      <c r="W12">
        <v>0</v>
      </c>
      <c r="X12">
        <v>0</v>
      </c>
      <c r="Y12">
        <v>11</v>
      </c>
      <c r="Z12" s="259" t="s">
        <v>621</v>
      </c>
    </row>
    <row r="13" spans="1:77" x14ac:dyDescent="0.35">
      <c r="A13" t="s">
        <v>783</v>
      </c>
      <c r="B13" t="s">
        <v>563</v>
      </c>
      <c r="C13">
        <v>46006</v>
      </c>
      <c r="D13">
        <v>1</v>
      </c>
      <c r="E13" t="s">
        <v>122</v>
      </c>
      <c r="F13" t="s">
        <v>754</v>
      </c>
      <c r="G13">
        <v>0</v>
      </c>
      <c r="H13">
        <v>0</v>
      </c>
      <c r="I13">
        <v>120</v>
      </c>
      <c r="J13">
        <v>0</v>
      </c>
      <c r="L13" t="s">
        <v>629</v>
      </c>
      <c r="M13" t="s">
        <v>784</v>
      </c>
      <c r="N13">
        <v>1</v>
      </c>
      <c r="O13" t="s">
        <v>239</v>
      </c>
      <c r="P13" t="s">
        <v>514</v>
      </c>
      <c r="Q13">
        <v>0</v>
      </c>
      <c r="R13">
        <v>0</v>
      </c>
      <c r="S13">
        <v>0</v>
      </c>
      <c r="T13">
        <v>0</v>
      </c>
      <c r="U13">
        <v>0</v>
      </c>
      <c r="V13">
        <v>98116</v>
      </c>
      <c r="W13">
        <v>0</v>
      </c>
      <c r="X13">
        <v>0</v>
      </c>
      <c r="Y13">
        <v>12</v>
      </c>
      <c r="Z13" s="259" t="s">
        <v>621</v>
      </c>
    </row>
    <row r="14" spans="1:77" x14ac:dyDescent="0.35">
      <c r="A14" t="s">
        <v>785</v>
      </c>
      <c r="B14" t="s">
        <v>563</v>
      </c>
      <c r="C14">
        <v>46009</v>
      </c>
      <c r="D14">
        <v>1</v>
      </c>
      <c r="E14" t="s">
        <v>128</v>
      </c>
      <c r="G14">
        <v>0</v>
      </c>
      <c r="H14">
        <v>0</v>
      </c>
      <c r="I14">
        <v>5000</v>
      </c>
      <c r="J14">
        <v>0</v>
      </c>
      <c r="L14" t="s">
        <v>629</v>
      </c>
      <c r="N14">
        <v>1</v>
      </c>
      <c r="O14" t="s">
        <v>239</v>
      </c>
      <c r="P14" t="s">
        <v>514</v>
      </c>
      <c r="Q14">
        <v>0</v>
      </c>
      <c r="R14">
        <v>-5000</v>
      </c>
      <c r="S14">
        <v>-5000</v>
      </c>
      <c r="T14">
        <v>0</v>
      </c>
      <c r="U14">
        <v>0</v>
      </c>
      <c r="V14">
        <v>93116</v>
      </c>
      <c r="W14">
        <v>0</v>
      </c>
      <c r="X14">
        <v>0</v>
      </c>
      <c r="Y14">
        <v>13</v>
      </c>
      <c r="Z14" s="259" t="s">
        <v>621</v>
      </c>
    </row>
    <row r="15" spans="1:77" x14ac:dyDescent="0.35">
      <c r="A15" t="s">
        <v>788</v>
      </c>
      <c r="B15" t="s">
        <v>563</v>
      </c>
      <c r="C15">
        <v>46022</v>
      </c>
      <c r="D15">
        <v>1</v>
      </c>
      <c r="E15" t="s">
        <v>125</v>
      </c>
      <c r="G15">
        <v>0</v>
      </c>
      <c r="H15">
        <v>0</v>
      </c>
      <c r="I15">
        <v>25</v>
      </c>
      <c r="J15">
        <v>0</v>
      </c>
      <c r="L15" t="s">
        <v>629</v>
      </c>
      <c r="N15">
        <v>1</v>
      </c>
      <c r="O15" t="s">
        <v>239</v>
      </c>
      <c r="P15" t="s">
        <v>514</v>
      </c>
      <c r="Q15">
        <v>0</v>
      </c>
      <c r="R15">
        <v>-25</v>
      </c>
      <c r="S15">
        <v>0</v>
      </c>
      <c r="T15">
        <v>0</v>
      </c>
      <c r="U15">
        <v>0</v>
      </c>
      <c r="V15">
        <v>93091</v>
      </c>
      <c r="W15">
        <v>0</v>
      </c>
      <c r="X15">
        <v>0</v>
      </c>
      <c r="Y15">
        <v>14</v>
      </c>
      <c r="Z15" s="259" t="s">
        <v>621</v>
      </c>
    </row>
    <row r="16" spans="1:77" x14ac:dyDescent="0.35">
      <c r="A16" t="s">
        <v>757</v>
      </c>
      <c r="B16" t="s">
        <v>565</v>
      </c>
      <c r="C16">
        <v>45658</v>
      </c>
      <c r="D16">
        <v>1</v>
      </c>
      <c r="E16" t="s">
        <v>90</v>
      </c>
      <c r="G16">
        <v>0</v>
      </c>
      <c r="H16">
        <v>0</v>
      </c>
      <c r="I16">
        <v>80000</v>
      </c>
      <c r="J16">
        <v>0</v>
      </c>
      <c r="L16" t="s">
        <v>628</v>
      </c>
      <c r="N16">
        <v>1</v>
      </c>
      <c r="O16" t="s">
        <v>239</v>
      </c>
      <c r="P16" t="s">
        <v>514</v>
      </c>
      <c r="Q16">
        <v>0</v>
      </c>
      <c r="R16">
        <v>80000</v>
      </c>
      <c r="S16">
        <v>80000</v>
      </c>
      <c r="T16">
        <v>0</v>
      </c>
      <c r="U16">
        <v>0</v>
      </c>
      <c r="V16">
        <v>80000</v>
      </c>
      <c r="W16">
        <v>0</v>
      </c>
      <c r="X16">
        <v>0</v>
      </c>
      <c r="Y16">
        <v>15</v>
      </c>
      <c r="Z16" s="259" t="s">
        <v>621</v>
      </c>
    </row>
    <row r="17" spans="1:26" x14ac:dyDescent="0.35">
      <c r="A17" t="s">
        <v>763</v>
      </c>
      <c r="B17" t="s">
        <v>565</v>
      </c>
      <c r="C17">
        <v>45659</v>
      </c>
      <c r="D17">
        <v>1</v>
      </c>
      <c r="E17" t="s">
        <v>93</v>
      </c>
      <c r="F17" t="s">
        <v>749</v>
      </c>
      <c r="G17">
        <v>80</v>
      </c>
      <c r="H17">
        <v>100</v>
      </c>
      <c r="I17">
        <v>0</v>
      </c>
      <c r="J17">
        <v>8</v>
      </c>
      <c r="L17" t="s">
        <v>629</v>
      </c>
      <c r="N17">
        <v>1</v>
      </c>
      <c r="O17" t="s">
        <v>239</v>
      </c>
      <c r="P17" t="s">
        <v>514</v>
      </c>
      <c r="Q17">
        <v>80</v>
      </c>
      <c r="R17">
        <v>-8008</v>
      </c>
      <c r="S17">
        <v>0</v>
      </c>
      <c r="T17">
        <v>8008</v>
      </c>
      <c r="U17">
        <v>0</v>
      </c>
      <c r="V17">
        <v>71992</v>
      </c>
      <c r="W17">
        <v>80</v>
      </c>
      <c r="X17">
        <v>8008</v>
      </c>
      <c r="Y17">
        <v>16</v>
      </c>
      <c r="Z17" s="259" t="s">
        <v>621</v>
      </c>
    </row>
    <row r="18" spans="1:26" x14ac:dyDescent="0.35">
      <c r="A18" t="s">
        <v>764</v>
      </c>
      <c r="B18" t="s">
        <v>565</v>
      </c>
      <c r="C18">
        <v>45659</v>
      </c>
      <c r="D18">
        <v>2</v>
      </c>
      <c r="E18" t="s">
        <v>93</v>
      </c>
      <c r="F18" t="s">
        <v>752</v>
      </c>
      <c r="G18">
        <v>100</v>
      </c>
      <c r="H18">
        <v>200</v>
      </c>
      <c r="I18">
        <v>0</v>
      </c>
      <c r="J18">
        <v>20</v>
      </c>
      <c r="L18" t="s">
        <v>629</v>
      </c>
      <c r="N18">
        <v>1</v>
      </c>
      <c r="O18" t="s">
        <v>239</v>
      </c>
      <c r="P18" t="s">
        <v>514</v>
      </c>
      <c r="Q18">
        <v>100</v>
      </c>
      <c r="R18">
        <v>-20020</v>
      </c>
      <c r="S18">
        <v>0</v>
      </c>
      <c r="T18">
        <v>20020</v>
      </c>
      <c r="U18">
        <v>0</v>
      </c>
      <c r="V18">
        <v>51972</v>
      </c>
      <c r="W18">
        <v>100</v>
      </c>
      <c r="X18">
        <v>20020</v>
      </c>
      <c r="Y18">
        <v>17</v>
      </c>
      <c r="Z18" s="259" t="s">
        <v>621</v>
      </c>
    </row>
    <row r="19" spans="1:26" x14ac:dyDescent="0.35">
      <c r="A19" t="s">
        <v>767</v>
      </c>
      <c r="B19" t="s">
        <v>565</v>
      </c>
      <c r="C19">
        <v>45691</v>
      </c>
      <c r="D19">
        <v>1</v>
      </c>
      <c r="E19" t="s">
        <v>93</v>
      </c>
      <c r="F19" t="s">
        <v>754</v>
      </c>
      <c r="G19">
        <v>50</v>
      </c>
      <c r="H19">
        <v>82</v>
      </c>
      <c r="I19">
        <v>0</v>
      </c>
      <c r="J19">
        <v>4</v>
      </c>
      <c r="L19" t="s">
        <v>629</v>
      </c>
      <c r="N19">
        <v>1</v>
      </c>
      <c r="O19" t="s">
        <v>239</v>
      </c>
      <c r="P19" t="s">
        <v>514</v>
      </c>
      <c r="Q19">
        <v>50</v>
      </c>
      <c r="R19">
        <v>-4104</v>
      </c>
      <c r="S19">
        <v>0</v>
      </c>
      <c r="T19">
        <v>4104</v>
      </c>
      <c r="U19">
        <v>0</v>
      </c>
      <c r="V19">
        <v>47868</v>
      </c>
      <c r="W19">
        <v>50</v>
      </c>
      <c r="X19">
        <v>4104</v>
      </c>
      <c r="Y19">
        <v>18</v>
      </c>
      <c r="Z19" s="259" t="s">
        <v>621</v>
      </c>
    </row>
    <row r="20" spans="1:26" x14ac:dyDescent="0.35">
      <c r="A20" t="s">
        <v>769</v>
      </c>
      <c r="B20" t="s">
        <v>565</v>
      </c>
      <c r="C20">
        <v>45719</v>
      </c>
      <c r="D20">
        <v>1</v>
      </c>
      <c r="E20" t="s">
        <v>90</v>
      </c>
      <c r="G20">
        <v>0</v>
      </c>
      <c r="H20">
        <v>0</v>
      </c>
      <c r="I20">
        <v>5000</v>
      </c>
      <c r="J20">
        <v>0</v>
      </c>
      <c r="L20" t="s">
        <v>629</v>
      </c>
      <c r="N20">
        <v>1</v>
      </c>
      <c r="O20" t="s">
        <v>239</v>
      </c>
      <c r="P20" t="s">
        <v>514</v>
      </c>
      <c r="Q20">
        <v>0</v>
      </c>
      <c r="R20">
        <v>5000</v>
      </c>
      <c r="S20">
        <v>5000</v>
      </c>
      <c r="T20">
        <v>0</v>
      </c>
      <c r="U20">
        <v>0</v>
      </c>
      <c r="V20">
        <v>52868</v>
      </c>
      <c r="W20">
        <v>0</v>
      </c>
      <c r="X20">
        <v>0</v>
      </c>
      <c r="Y20">
        <v>19</v>
      </c>
      <c r="Z20" s="259" t="s">
        <v>621</v>
      </c>
    </row>
    <row r="21" spans="1:26" x14ac:dyDescent="0.35">
      <c r="A21" t="s">
        <v>777</v>
      </c>
      <c r="B21" t="s">
        <v>565</v>
      </c>
      <c r="C21">
        <v>45887</v>
      </c>
      <c r="D21">
        <v>1</v>
      </c>
      <c r="E21" t="s">
        <v>580</v>
      </c>
      <c r="G21">
        <v>0</v>
      </c>
      <c r="H21">
        <v>0</v>
      </c>
      <c r="I21">
        <v>5000</v>
      </c>
      <c r="J21">
        <v>0</v>
      </c>
      <c r="K21" t="s">
        <v>776</v>
      </c>
      <c r="L21" t="s">
        <v>629</v>
      </c>
      <c r="N21">
        <v>1</v>
      </c>
      <c r="O21" t="s">
        <v>239</v>
      </c>
      <c r="P21" t="s">
        <v>514</v>
      </c>
      <c r="Q21">
        <v>0</v>
      </c>
      <c r="R21">
        <v>-5000</v>
      </c>
      <c r="S21">
        <v>-5000</v>
      </c>
      <c r="T21">
        <v>0</v>
      </c>
      <c r="U21">
        <v>0</v>
      </c>
      <c r="V21">
        <v>47868</v>
      </c>
      <c r="W21">
        <v>0</v>
      </c>
      <c r="X21">
        <v>0</v>
      </c>
      <c r="Y21">
        <v>20</v>
      </c>
      <c r="Z21" s="259" t="s">
        <v>621</v>
      </c>
    </row>
    <row r="22" spans="1:26" x14ac:dyDescent="0.35">
      <c r="A22" t="s">
        <v>778</v>
      </c>
      <c r="B22" t="s">
        <v>565</v>
      </c>
      <c r="C22">
        <v>45901</v>
      </c>
      <c r="D22">
        <v>1</v>
      </c>
      <c r="E22" t="s">
        <v>114</v>
      </c>
      <c r="F22" t="s">
        <v>749</v>
      </c>
      <c r="G22">
        <v>60</v>
      </c>
      <c r="H22">
        <v>49</v>
      </c>
      <c r="I22">
        <v>0</v>
      </c>
      <c r="J22">
        <v>6</v>
      </c>
      <c r="L22" t="s">
        <v>629</v>
      </c>
      <c r="N22">
        <v>1</v>
      </c>
      <c r="O22" t="s">
        <v>239</v>
      </c>
      <c r="P22" t="s">
        <v>514</v>
      </c>
      <c r="Q22">
        <v>-60</v>
      </c>
      <c r="R22">
        <v>2934</v>
      </c>
      <c r="S22">
        <v>0</v>
      </c>
      <c r="T22">
        <v>-3003</v>
      </c>
      <c r="U22">
        <v>-69</v>
      </c>
      <c r="V22">
        <v>50802</v>
      </c>
      <c r="W22">
        <v>100</v>
      </c>
      <c r="X22">
        <v>5005</v>
      </c>
      <c r="Y22">
        <v>21</v>
      </c>
      <c r="Z22" s="259" t="s">
        <v>621</v>
      </c>
    </row>
    <row r="23" spans="1:26" x14ac:dyDescent="0.35">
      <c r="A23" t="s">
        <v>786</v>
      </c>
      <c r="B23" t="s">
        <v>565</v>
      </c>
      <c r="C23">
        <v>46009</v>
      </c>
      <c r="D23">
        <v>1</v>
      </c>
      <c r="E23" t="s">
        <v>128</v>
      </c>
      <c r="G23">
        <v>0</v>
      </c>
      <c r="H23">
        <v>0</v>
      </c>
      <c r="I23">
        <v>3000</v>
      </c>
      <c r="J23">
        <v>0</v>
      </c>
      <c r="L23" t="s">
        <v>629</v>
      </c>
      <c r="N23">
        <v>1</v>
      </c>
      <c r="O23" t="s">
        <v>239</v>
      </c>
      <c r="P23" t="s">
        <v>514</v>
      </c>
      <c r="Q23">
        <v>0</v>
      </c>
      <c r="R23">
        <v>-3000</v>
      </c>
      <c r="S23">
        <v>-3000</v>
      </c>
      <c r="T23">
        <v>0</v>
      </c>
      <c r="U23">
        <v>0</v>
      </c>
      <c r="V23">
        <v>48162</v>
      </c>
      <c r="W23">
        <v>0</v>
      </c>
      <c r="X23">
        <v>0</v>
      </c>
      <c r="Y23">
        <v>22</v>
      </c>
      <c r="Z23" s="259" t="s">
        <v>621</v>
      </c>
    </row>
    <row r="24" spans="1:26" x14ac:dyDescent="0.35">
      <c r="A24" t="s">
        <v>789</v>
      </c>
      <c r="B24" t="s">
        <v>565</v>
      </c>
      <c r="C24">
        <v>46022</v>
      </c>
      <c r="D24">
        <v>1</v>
      </c>
      <c r="E24" t="s">
        <v>125</v>
      </c>
      <c r="G24">
        <v>0</v>
      </c>
      <c r="H24">
        <v>0</v>
      </c>
      <c r="I24">
        <v>20</v>
      </c>
      <c r="J24">
        <v>0</v>
      </c>
      <c r="L24" t="s">
        <v>629</v>
      </c>
      <c r="N24">
        <v>1</v>
      </c>
      <c r="O24" t="s">
        <v>239</v>
      </c>
      <c r="P24" t="s">
        <v>514</v>
      </c>
      <c r="Q24">
        <v>0</v>
      </c>
      <c r="R24">
        <v>-20</v>
      </c>
      <c r="S24">
        <v>0</v>
      </c>
      <c r="T24">
        <v>0</v>
      </c>
      <c r="U24">
        <v>0</v>
      </c>
      <c r="V24">
        <v>48142</v>
      </c>
      <c r="W24">
        <v>0</v>
      </c>
      <c r="X24">
        <v>0</v>
      </c>
      <c r="Y24">
        <v>23</v>
      </c>
      <c r="Z24" s="259" t="s">
        <v>621</v>
      </c>
    </row>
    <row r="25" spans="1:26" x14ac:dyDescent="0.35">
      <c r="A25" t="s">
        <v>758</v>
      </c>
      <c r="B25" t="s">
        <v>566</v>
      </c>
      <c r="C25">
        <v>45658</v>
      </c>
      <c r="D25">
        <v>1</v>
      </c>
      <c r="E25" t="s">
        <v>90</v>
      </c>
      <c r="G25">
        <v>0</v>
      </c>
      <c r="H25">
        <v>0</v>
      </c>
      <c r="I25">
        <v>40000</v>
      </c>
      <c r="J25">
        <v>0</v>
      </c>
      <c r="L25" t="s">
        <v>628</v>
      </c>
      <c r="N25">
        <v>1</v>
      </c>
      <c r="O25" t="s">
        <v>239</v>
      </c>
      <c r="P25" t="s">
        <v>514</v>
      </c>
      <c r="Q25">
        <v>0</v>
      </c>
      <c r="R25">
        <v>40000</v>
      </c>
      <c r="S25">
        <v>40000</v>
      </c>
      <c r="T25">
        <v>0</v>
      </c>
      <c r="U25">
        <v>0</v>
      </c>
      <c r="V25">
        <v>40000</v>
      </c>
      <c r="W25">
        <v>0</v>
      </c>
      <c r="X25">
        <v>0</v>
      </c>
      <c r="Y25">
        <v>24</v>
      </c>
      <c r="Z25" s="259" t="s">
        <v>621</v>
      </c>
    </row>
    <row r="26" spans="1:26" x14ac:dyDescent="0.35">
      <c r="A26" t="s">
        <v>770</v>
      </c>
      <c r="B26" t="s">
        <v>566</v>
      </c>
      <c r="C26">
        <v>45748</v>
      </c>
      <c r="D26">
        <v>1</v>
      </c>
      <c r="E26" t="s">
        <v>90</v>
      </c>
      <c r="G26">
        <v>0</v>
      </c>
      <c r="H26">
        <v>0</v>
      </c>
      <c r="I26">
        <v>2000</v>
      </c>
      <c r="J26">
        <v>0</v>
      </c>
      <c r="L26" t="s">
        <v>629</v>
      </c>
      <c r="N26">
        <v>1</v>
      </c>
      <c r="O26" t="s">
        <v>239</v>
      </c>
      <c r="P26" t="s">
        <v>514</v>
      </c>
      <c r="Q26">
        <v>0</v>
      </c>
      <c r="R26">
        <v>2000</v>
      </c>
      <c r="S26">
        <v>2000</v>
      </c>
      <c r="T26">
        <v>0</v>
      </c>
      <c r="U26">
        <v>0</v>
      </c>
      <c r="V26">
        <v>42000</v>
      </c>
      <c r="W26">
        <v>0</v>
      </c>
      <c r="X26">
        <v>0</v>
      </c>
      <c r="Y26">
        <v>25</v>
      </c>
      <c r="Z26" s="259" t="s">
        <v>621</v>
      </c>
    </row>
    <row r="27" spans="1:26" x14ac:dyDescent="0.35">
      <c r="A27" t="s">
        <v>787</v>
      </c>
      <c r="B27" t="s">
        <v>566</v>
      </c>
      <c r="C27">
        <v>46009</v>
      </c>
      <c r="D27">
        <v>1</v>
      </c>
      <c r="E27" t="s">
        <v>128</v>
      </c>
      <c r="G27">
        <v>0</v>
      </c>
      <c r="H27">
        <v>0</v>
      </c>
      <c r="I27">
        <v>1000</v>
      </c>
      <c r="J27">
        <v>0</v>
      </c>
      <c r="L27" t="s">
        <v>629</v>
      </c>
      <c r="N27">
        <v>1</v>
      </c>
      <c r="O27" t="s">
        <v>239</v>
      </c>
      <c r="P27" t="s">
        <v>514</v>
      </c>
      <c r="Q27">
        <v>0</v>
      </c>
      <c r="R27">
        <v>-1000</v>
      </c>
      <c r="S27">
        <v>-1000</v>
      </c>
      <c r="T27">
        <v>0</v>
      </c>
      <c r="U27">
        <v>0</v>
      </c>
      <c r="V27">
        <v>41000</v>
      </c>
      <c r="W27">
        <v>0</v>
      </c>
      <c r="X27">
        <v>0</v>
      </c>
      <c r="Y27">
        <v>26</v>
      </c>
      <c r="Z27" s="259" t="s">
        <v>621</v>
      </c>
    </row>
    <row r="28" spans="1:26" x14ac:dyDescent="0.35">
      <c r="A28" t="s">
        <v>790</v>
      </c>
      <c r="B28" t="s">
        <v>566</v>
      </c>
      <c r="C28">
        <v>46022</v>
      </c>
      <c r="D28">
        <v>1</v>
      </c>
      <c r="E28" t="s">
        <v>125</v>
      </c>
      <c r="G28">
        <v>0</v>
      </c>
      <c r="H28">
        <v>0</v>
      </c>
      <c r="I28">
        <v>10</v>
      </c>
      <c r="J28">
        <v>0</v>
      </c>
      <c r="L28" t="s">
        <v>629</v>
      </c>
      <c r="N28">
        <v>1</v>
      </c>
      <c r="O28" t="s">
        <v>239</v>
      </c>
      <c r="P28" t="s">
        <v>514</v>
      </c>
      <c r="Q28">
        <v>0</v>
      </c>
      <c r="R28">
        <v>-10</v>
      </c>
      <c r="S28">
        <v>0</v>
      </c>
      <c r="T28">
        <v>0</v>
      </c>
      <c r="U28">
        <v>0</v>
      </c>
      <c r="V28">
        <v>40990</v>
      </c>
      <c r="W28">
        <v>0</v>
      </c>
      <c r="X28">
        <v>0</v>
      </c>
      <c r="Y28">
        <v>27</v>
      </c>
      <c r="Z28" s="259" t="s">
        <v>621</v>
      </c>
    </row>
    <row r="29" spans="1:26" x14ac:dyDescent="0.35">
      <c r="A29" t="s">
        <v>759</v>
      </c>
      <c r="B29" t="s">
        <v>747</v>
      </c>
      <c r="C29">
        <v>45658</v>
      </c>
      <c r="D29">
        <v>1</v>
      </c>
      <c r="E29" t="s">
        <v>90</v>
      </c>
      <c r="G29">
        <v>0</v>
      </c>
      <c r="H29">
        <v>0</v>
      </c>
      <c r="I29">
        <v>60000</v>
      </c>
      <c r="J29">
        <v>0</v>
      </c>
      <c r="L29" t="s">
        <v>628</v>
      </c>
      <c r="N29">
        <v>1</v>
      </c>
      <c r="O29" t="s">
        <v>239</v>
      </c>
      <c r="P29" t="s">
        <v>514</v>
      </c>
      <c r="Q29">
        <v>0</v>
      </c>
      <c r="R29">
        <v>60000</v>
      </c>
      <c r="S29">
        <v>60000</v>
      </c>
      <c r="T29">
        <v>0</v>
      </c>
      <c r="U29">
        <v>0</v>
      </c>
      <c r="V29">
        <v>60000</v>
      </c>
      <c r="W29">
        <v>0</v>
      </c>
      <c r="X29">
        <v>0</v>
      </c>
      <c r="Y29">
        <v>28</v>
      </c>
      <c r="Z29" s="259" t="s">
        <v>621</v>
      </c>
    </row>
    <row r="30" spans="1:26" x14ac:dyDescent="0.35">
      <c r="A30" t="s">
        <v>765</v>
      </c>
      <c r="B30" t="s">
        <v>747</v>
      </c>
      <c r="C30">
        <v>45659</v>
      </c>
      <c r="D30">
        <v>1</v>
      </c>
      <c r="E30" t="s">
        <v>93</v>
      </c>
      <c r="F30" t="s">
        <v>749</v>
      </c>
      <c r="G30">
        <v>40</v>
      </c>
      <c r="H30">
        <v>100</v>
      </c>
      <c r="I30">
        <v>0</v>
      </c>
      <c r="J30">
        <v>4</v>
      </c>
      <c r="L30" t="s">
        <v>629</v>
      </c>
      <c r="N30">
        <v>1</v>
      </c>
      <c r="O30" t="s">
        <v>239</v>
      </c>
      <c r="P30" t="s">
        <v>514</v>
      </c>
      <c r="Q30">
        <v>40</v>
      </c>
      <c r="R30">
        <v>-4004</v>
      </c>
      <c r="S30">
        <v>0</v>
      </c>
      <c r="T30">
        <v>4004</v>
      </c>
      <c r="U30">
        <v>0</v>
      </c>
      <c r="V30">
        <v>55996</v>
      </c>
      <c r="W30">
        <v>40</v>
      </c>
      <c r="X30">
        <v>4004</v>
      </c>
      <c r="Y30">
        <v>29</v>
      </c>
      <c r="Z30" s="259" t="s">
        <v>621</v>
      </c>
    </row>
    <row r="31" spans="1:26" x14ac:dyDescent="0.35">
      <c r="A31" t="s">
        <v>766</v>
      </c>
      <c r="B31" t="s">
        <v>747</v>
      </c>
      <c r="C31">
        <v>45659</v>
      </c>
      <c r="D31">
        <v>2</v>
      </c>
      <c r="E31" t="s">
        <v>93</v>
      </c>
      <c r="F31" t="s">
        <v>754</v>
      </c>
      <c r="G31">
        <v>100</v>
      </c>
      <c r="H31">
        <v>80</v>
      </c>
      <c r="I31">
        <v>0</v>
      </c>
      <c r="J31">
        <v>8</v>
      </c>
      <c r="L31" t="s">
        <v>629</v>
      </c>
      <c r="N31">
        <v>1</v>
      </c>
      <c r="O31" t="s">
        <v>239</v>
      </c>
      <c r="P31" t="s">
        <v>514</v>
      </c>
      <c r="Q31">
        <v>100</v>
      </c>
      <c r="R31">
        <v>-8008</v>
      </c>
      <c r="S31">
        <v>0</v>
      </c>
      <c r="T31">
        <v>8008</v>
      </c>
      <c r="U31">
        <v>0</v>
      </c>
      <c r="V31">
        <v>47988</v>
      </c>
      <c r="W31">
        <v>100</v>
      </c>
      <c r="X31">
        <v>8008</v>
      </c>
      <c r="Y31">
        <v>30</v>
      </c>
      <c r="Z31" s="259" t="s">
        <v>621</v>
      </c>
    </row>
    <row r="32" spans="1:26" x14ac:dyDescent="0.35">
      <c r="A32" t="s">
        <v>772</v>
      </c>
      <c r="B32" t="s">
        <v>747</v>
      </c>
      <c r="C32">
        <v>45810</v>
      </c>
      <c r="D32">
        <v>1</v>
      </c>
      <c r="E32" t="s">
        <v>90</v>
      </c>
      <c r="G32">
        <v>0</v>
      </c>
      <c r="H32">
        <v>0</v>
      </c>
      <c r="I32">
        <v>3000</v>
      </c>
      <c r="J32">
        <v>0</v>
      </c>
      <c r="L32" t="s">
        <v>629</v>
      </c>
      <c r="N32">
        <v>1</v>
      </c>
      <c r="O32" t="s">
        <v>239</v>
      </c>
      <c r="P32" t="s">
        <v>514</v>
      </c>
      <c r="Q32">
        <v>0</v>
      </c>
      <c r="R32">
        <v>3000</v>
      </c>
      <c r="S32">
        <v>3000</v>
      </c>
      <c r="T32">
        <v>0</v>
      </c>
      <c r="U32">
        <v>0</v>
      </c>
      <c r="V32">
        <v>50988</v>
      </c>
      <c r="W32">
        <v>0</v>
      </c>
      <c r="X32">
        <v>0</v>
      </c>
      <c r="Y32">
        <v>31</v>
      </c>
      <c r="Z32" s="259" t="s">
        <v>621</v>
      </c>
    </row>
    <row r="33" spans="1:34" x14ac:dyDescent="0.35">
      <c r="A33" t="s">
        <v>774</v>
      </c>
      <c r="B33" t="s">
        <v>747</v>
      </c>
      <c r="C33">
        <v>45870</v>
      </c>
      <c r="D33">
        <v>1</v>
      </c>
      <c r="E33" t="s">
        <v>93</v>
      </c>
      <c r="F33" t="s">
        <v>752</v>
      </c>
      <c r="G33">
        <v>30</v>
      </c>
      <c r="H33">
        <v>178</v>
      </c>
      <c r="I33">
        <v>0</v>
      </c>
      <c r="J33">
        <v>3</v>
      </c>
      <c r="L33" t="s">
        <v>629</v>
      </c>
      <c r="N33">
        <v>1</v>
      </c>
      <c r="O33" t="s">
        <v>239</v>
      </c>
      <c r="P33" t="s">
        <v>514</v>
      </c>
      <c r="Q33">
        <v>30</v>
      </c>
      <c r="R33">
        <v>-5343</v>
      </c>
      <c r="S33">
        <v>0</v>
      </c>
      <c r="T33">
        <v>5343</v>
      </c>
      <c r="U33">
        <v>0</v>
      </c>
      <c r="V33">
        <v>45645</v>
      </c>
      <c r="W33">
        <v>30</v>
      </c>
      <c r="X33">
        <v>5343</v>
      </c>
      <c r="Y33">
        <v>32</v>
      </c>
      <c r="Z33" s="259" t="s">
        <v>621</v>
      </c>
    </row>
    <row r="34" spans="1:34" x14ac:dyDescent="0.35">
      <c r="A34" t="s">
        <v>791</v>
      </c>
      <c r="B34" t="s">
        <v>747</v>
      </c>
      <c r="C34">
        <v>46022</v>
      </c>
      <c r="D34">
        <v>1</v>
      </c>
      <c r="E34" t="s">
        <v>125</v>
      </c>
      <c r="G34">
        <v>0</v>
      </c>
      <c r="H34">
        <v>0</v>
      </c>
      <c r="I34">
        <v>15</v>
      </c>
      <c r="J34">
        <v>0</v>
      </c>
      <c r="L34" t="s">
        <v>629</v>
      </c>
      <c r="N34">
        <v>1</v>
      </c>
      <c r="O34" t="s">
        <v>239</v>
      </c>
      <c r="P34" t="s">
        <v>514</v>
      </c>
      <c r="Q34">
        <v>0</v>
      </c>
      <c r="R34">
        <v>-15</v>
      </c>
      <c r="S34">
        <v>0</v>
      </c>
      <c r="T34">
        <v>0</v>
      </c>
      <c r="U34">
        <v>0</v>
      </c>
      <c r="V34">
        <v>45840</v>
      </c>
      <c r="W34">
        <v>0</v>
      </c>
      <c r="X34">
        <v>0</v>
      </c>
      <c r="Y34">
        <v>33</v>
      </c>
      <c r="Z34" s="259" t="s">
        <v>621</v>
      </c>
    </row>
    <row r="35" spans="1:34" x14ac:dyDescent="0.35">
      <c r="B35" t="s">
        <v>563</v>
      </c>
      <c r="C35">
        <v>45658</v>
      </c>
      <c r="F35" t="s">
        <v>749</v>
      </c>
      <c r="H35">
        <v>100</v>
      </c>
      <c r="O35" t="s">
        <v>239</v>
      </c>
      <c r="P35" t="s">
        <v>514</v>
      </c>
      <c r="Y35">
        <v>1</v>
      </c>
      <c r="Z35" s="259" t="s">
        <v>630</v>
      </c>
      <c r="AA35">
        <v>0</v>
      </c>
      <c r="AB35">
        <v>0</v>
      </c>
      <c r="AC35">
        <v>45658</v>
      </c>
      <c r="AD35">
        <v>0</v>
      </c>
      <c r="AE35">
        <v>0</v>
      </c>
      <c r="AF35">
        <v>0</v>
      </c>
      <c r="AG35">
        <v>0</v>
      </c>
      <c r="AH35">
        <v>0</v>
      </c>
    </row>
    <row r="36" spans="1:34" x14ac:dyDescent="0.35">
      <c r="B36" t="s">
        <v>563</v>
      </c>
      <c r="C36">
        <v>45658</v>
      </c>
      <c r="F36" t="s">
        <v>752</v>
      </c>
      <c r="H36">
        <v>200</v>
      </c>
      <c r="O36" t="s">
        <v>239</v>
      </c>
      <c r="P36" t="s">
        <v>514</v>
      </c>
      <c r="Y36">
        <v>2</v>
      </c>
      <c r="Z36" s="259" t="s">
        <v>630</v>
      </c>
      <c r="AA36">
        <v>0</v>
      </c>
      <c r="AB36">
        <v>0</v>
      </c>
      <c r="AC36">
        <v>45658</v>
      </c>
      <c r="AD36">
        <v>0</v>
      </c>
      <c r="AE36">
        <v>0</v>
      </c>
      <c r="AF36">
        <v>0</v>
      </c>
      <c r="AG36">
        <v>0</v>
      </c>
      <c r="AH36">
        <v>0</v>
      </c>
    </row>
    <row r="37" spans="1:34" x14ac:dyDescent="0.35">
      <c r="B37" t="s">
        <v>563</v>
      </c>
      <c r="C37">
        <v>45658</v>
      </c>
      <c r="F37" t="s">
        <v>754</v>
      </c>
      <c r="H37">
        <v>80</v>
      </c>
      <c r="O37" t="s">
        <v>239</v>
      </c>
      <c r="P37" t="s">
        <v>514</v>
      </c>
      <c r="Y37">
        <v>3</v>
      </c>
      <c r="Z37" s="259" t="s">
        <v>630</v>
      </c>
      <c r="AA37">
        <v>0</v>
      </c>
      <c r="AB37">
        <v>0</v>
      </c>
      <c r="AC37">
        <v>45658</v>
      </c>
      <c r="AD37">
        <v>0</v>
      </c>
      <c r="AE37">
        <v>0</v>
      </c>
      <c r="AF37">
        <v>0</v>
      </c>
      <c r="AG37">
        <v>0</v>
      </c>
      <c r="AH37">
        <v>0</v>
      </c>
    </row>
    <row r="38" spans="1:34" x14ac:dyDescent="0.35">
      <c r="B38" t="s">
        <v>563</v>
      </c>
      <c r="C38">
        <v>45659</v>
      </c>
      <c r="F38" t="s">
        <v>749</v>
      </c>
      <c r="H38">
        <v>100.07</v>
      </c>
      <c r="O38" t="s">
        <v>239</v>
      </c>
      <c r="P38" t="s">
        <v>514</v>
      </c>
      <c r="Y38">
        <v>4</v>
      </c>
      <c r="Z38" s="259" t="s">
        <v>630</v>
      </c>
      <c r="AA38">
        <v>100</v>
      </c>
      <c r="AB38">
        <v>10010</v>
      </c>
      <c r="AC38">
        <v>45659</v>
      </c>
      <c r="AD38">
        <v>0</v>
      </c>
      <c r="AE38">
        <v>10007</v>
      </c>
      <c r="AF38">
        <v>10007</v>
      </c>
      <c r="AG38">
        <v>0</v>
      </c>
      <c r="AH38">
        <v>-3</v>
      </c>
    </row>
    <row r="39" spans="1:34" x14ac:dyDescent="0.35">
      <c r="B39" t="s">
        <v>563</v>
      </c>
      <c r="C39">
        <v>45659</v>
      </c>
      <c r="F39" t="s">
        <v>752</v>
      </c>
      <c r="H39">
        <v>199.83</v>
      </c>
      <c r="O39" t="s">
        <v>239</v>
      </c>
      <c r="P39" t="s">
        <v>514</v>
      </c>
      <c r="Y39">
        <v>5</v>
      </c>
      <c r="Z39" s="259" t="s">
        <v>630</v>
      </c>
      <c r="AA39">
        <v>50</v>
      </c>
      <c r="AB39">
        <v>10010</v>
      </c>
      <c r="AC39">
        <v>45659</v>
      </c>
      <c r="AD39">
        <v>0</v>
      </c>
      <c r="AE39">
        <v>9991.5</v>
      </c>
      <c r="AF39">
        <v>9991.5</v>
      </c>
      <c r="AG39">
        <v>0</v>
      </c>
      <c r="AH39">
        <v>-18.5</v>
      </c>
    </row>
    <row r="40" spans="1:34" x14ac:dyDescent="0.35">
      <c r="B40" t="s">
        <v>563</v>
      </c>
      <c r="C40">
        <v>45659</v>
      </c>
      <c r="F40" t="s">
        <v>754</v>
      </c>
      <c r="H40">
        <v>80.069999999999993</v>
      </c>
      <c r="O40" t="s">
        <v>239</v>
      </c>
      <c r="P40" t="s">
        <v>514</v>
      </c>
      <c r="Y40">
        <v>6</v>
      </c>
      <c r="Z40" s="259" t="s">
        <v>630</v>
      </c>
      <c r="AA40">
        <v>100</v>
      </c>
      <c r="AB40">
        <v>8008</v>
      </c>
      <c r="AC40">
        <v>45659</v>
      </c>
      <c r="AD40">
        <v>0</v>
      </c>
      <c r="AE40">
        <v>8006.9999999999991</v>
      </c>
      <c r="AF40">
        <v>8006.9999999999991</v>
      </c>
      <c r="AG40">
        <v>0</v>
      </c>
      <c r="AH40">
        <v>-1.0000000000009095</v>
      </c>
    </row>
    <row r="41" spans="1:34" x14ac:dyDescent="0.35">
      <c r="B41" t="s">
        <v>563</v>
      </c>
      <c r="C41">
        <v>45660</v>
      </c>
      <c r="F41" t="s">
        <v>749</v>
      </c>
      <c r="H41">
        <v>100.13</v>
      </c>
      <c r="O41" t="s">
        <v>239</v>
      </c>
      <c r="P41" t="s">
        <v>514</v>
      </c>
      <c r="Y41">
        <v>7</v>
      </c>
      <c r="Z41" s="259" t="s">
        <v>630</v>
      </c>
      <c r="AA41">
        <v>100</v>
      </c>
      <c r="AB41">
        <v>10010</v>
      </c>
      <c r="AC41">
        <v>45660</v>
      </c>
      <c r="AD41">
        <v>0</v>
      </c>
      <c r="AE41">
        <v>10013</v>
      </c>
      <c r="AF41">
        <v>10013</v>
      </c>
      <c r="AG41">
        <v>0</v>
      </c>
      <c r="AH41">
        <v>3</v>
      </c>
    </row>
    <row r="42" spans="1:34" x14ac:dyDescent="0.35">
      <c r="B42" t="s">
        <v>563</v>
      </c>
      <c r="C42">
        <v>45660</v>
      </c>
      <c r="F42" t="s">
        <v>752</v>
      </c>
      <c r="H42">
        <v>199.67</v>
      </c>
      <c r="O42" t="s">
        <v>239</v>
      </c>
      <c r="P42" t="s">
        <v>514</v>
      </c>
      <c r="Y42">
        <v>8</v>
      </c>
      <c r="Z42" s="259" t="s">
        <v>630</v>
      </c>
      <c r="AA42">
        <v>50</v>
      </c>
      <c r="AB42">
        <v>10010</v>
      </c>
      <c r="AC42">
        <v>45660</v>
      </c>
      <c r="AD42">
        <v>0</v>
      </c>
      <c r="AE42">
        <v>9983.5</v>
      </c>
      <c r="AF42">
        <v>9983.5</v>
      </c>
      <c r="AG42">
        <v>0</v>
      </c>
      <c r="AH42">
        <v>-26.5</v>
      </c>
    </row>
    <row r="43" spans="1:34" x14ac:dyDescent="0.35">
      <c r="B43" t="s">
        <v>563</v>
      </c>
      <c r="C43">
        <v>45660</v>
      </c>
      <c r="F43" t="s">
        <v>754</v>
      </c>
      <c r="H43">
        <v>80.13</v>
      </c>
      <c r="O43" t="s">
        <v>239</v>
      </c>
      <c r="P43" t="s">
        <v>514</v>
      </c>
      <c r="Y43">
        <v>9</v>
      </c>
      <c r="Z43" s="259" t="s">
        <v>630</v>
      </c>
      <c r="AA43">
        <v>100</v>
      </c>
      <c r="AB43">
        <v>8008</v>
      </c>
      <c r="AC43">
        <v>45660</v>
      </c>
      <c r="AD43">
        <v>0</v>
      </c>
      <c r="AE43">
        <v>8013</v>
      </c>
      <c r="AF43">
        <v>8013</v>
      </c>
      <c r="AG43">
        <v>0</v>
      </c>
      <c r="AH43">
        <v>5</v>
      </c>
    </row>
    <row r="44" spans="1:34" x14ac:dyDescent="0.35">
      <c r="B44" t="s">
        <v>563</v>
      </c>
      <c r="C44">
        <v>45661</v>
      </c>
      <c r="F44" t="s">
        <v>749</v>
      </c>
      <c r="H44">
        <v>100.13</v>
      </c>
      <c r="O44" t="s">
        <v>239</v>
      </c>
      <c r="P44" t="s">
        <v>514</v>
      </c>
      <c r="Y44">
        <v>10</v>
      </c>
      <c r="Z44" s="259" t="s">
        <v>630</v>
      </c>
      <c r="AA44">
        <v>100</v>
      </c>
      <c r="AB44">
        <v>10010</v>
      </c>
      <c r="AC44">
        <v>45660</v>
      </c>
      <c r="AD44">
        <v>1</v>
      </c>
      <c r="AE44">
        <v>10013</v>
      </c>
      <c r="AF44">
        <v>10013</v>
      </c>
      <c r="AG44">
        <v>0</v>
      </c>
      <c r="AH44">
        <v>3</v>
      </c>
    </row>
    <row r="45" spans="1:34" x14ac:dyDescent="0.35">
      <c r="B45" t="s">
        <v>563</v>
      </c>
      <c r="C45">
        <v>45661</v>
      </c>
      <c r="F45" t="s">
        <v>752</v>
      </c>
      <c r="H45">
        <v>199.67</v>
      </c>
      <c r="O45" t="s">
        <v>239</v>
      </c>
      <c r="P45" t="s">
        <v>514</v>
      </c>
      <c r="Y45">
        <v>11</v>
      </c>
      <c r="Z45" s="259" t="s">
        <v>630</v>
      </c>
      <c r="AA45">
        <v>50</v>
      </c>
      <c r="AB45">
        <v>10010</v>
      </c>
      <c r="AC45">
        <v>45660</v>
      </c>
      <c r="AD45">
        <v>1</v>
      </c>
      <c r="AE45">
        <v>9983.5</v>
      </c>
      <c r="AF45">
        <v>9983.5</v>
      </c>
      <c r="AG45">
        <v>0</v>
      </c>
      <c r="AH45">
        <v>-26.5</v>
      </c>
    </row>
    <row r="46" spans="1:34" x14ac:dyDescent="0.35">
      <c r="B46" t="s">
        <v>563</v>
      </c>
      <c r="C46">
        <v>45661</v>
      </c>
      <c r="F46" t="s">
        <v>754</v>
      </c>
      <c r="H46">
        <v>80.13</v>
      </c>
      <c r="O46" t="s">
        <v>239</v>
      </c>
      <c r="P46" t="s">
        <v>514</v>
      </c>
      <c r="Y46">
        <v>12</v>
      </c>
      <c r="Z46" s="259" t="s">
        <v>630</v>
      </c>
      <c r="AA46">
        <v>100</v>
      </c>
      <c r="AB46">
        <v>8008</v>
      </c>
      <c r="AC46">
        <v>45660</v>
      </c>
      <c r="AD46">
        <v>1</v>
      </c>
      <c r="AE46">
        <v>8013</v>
      </c>
      <c r="AF46">
        <v>8013</v>
      </c>
      <c r="AG46">
        <v>0</v>
      </c>
      <c r="AH46">
        <v>5</v>
      </c>
    </row>
    <row r="47" spans="1:34" x14ac:dyDescent="0.35">
      <c r="B47" t="s">
        <v>563</v>
      </c>
      <c r="C47">
        <v>45662</v>
      </c>
      <c r="F47" t="s">
        <v>749</v>
      </c>
      <c r="H47">
        <v>100.13</v>
      </c>
      <c r="O47" t="s">
        <v>239</v>
      </c>
      <c r="P47" t="s">
        <v>514</v>
      </c>
      <c r="Y47">
        <v>13</v>
      </c>
      <c r="Z47" s="259" t="s">
        <v>630</v>
      </c>
      <c r="AA47">
        <v>100</v>
      </c>
      <c r="AB47">
        <v>10010</v>
      </c>
      <c r="AC47">
        <v>45660</v>
      </c>
      <c r="AD47">
        <v>2</v>
      </c>
      <c r="AE47">
        <v>10013</v>
      </c>
      <c r="AF47">
        <v>10013</v>
      </c>
      <c r="AG47">
        <v>0</v>
      </c>
      <c r="AH47">
        <v>3</v>
      </c>
    </row>
    <row r="48" spans="1:34" x14ac:dyDescent="0.35">
      <c r="B48" t="s">
        <v>563</v>
      </c>
      <c r="C48">
        <v>45662</v>
      </c>
      <c r="F48" t="s">
        <v>752</v>
      </c>
      <c r="H48">
        <v>199.67</v>
      </c>
      <c r="O48" t="s">
        <v>239</v>
      </c>
      <c r="P48" t="s">
        <v>514</v>
      </c>
      <c r="Y48">
        <v>14</v>
      </c>
      <c r="Z48" s="259" t="s">
        <v>630</v>
      </c>
      <c r="AA48">
        <v>50</v>
      </c>
      <c r="AB48">
        <v>10010</v>
      </c>
      <c r="AC48">
        <v>45660</v>
      </c>
      <c r="AD48">
        <v>2</v>
      </c>
      <c r="AE48">
        <v>9983.5</v>
      </c>
      <c r="AF48">
        <v>9983.5</v>
      </c>
      <c r="AG48">
        <v>0</v>
      </c>
      <c r="AH48">
        <v>-26.5</v>
      </c>
    </row>
    <row r="49" spans="2:34" x14ac:dyDescent="0.35">
      <c r="B49" t="s">
        <v>563</v>
      </c>
      <c r="C49">
        <v>45662</v>
      </c>
      <c r="F49" t="s">
        <v>754</v>
      </c>
      <c r="H49">
        <v>80.13</v>
      </c>
      <c r="O49" t="s">
        <v>239</v>
      </c>
      <c r="P49" t="s">
        <v>514</v>
      </c>
      <c r="Y49">
        <v>15</v>
      </c>
      <c r="Z49" s="259" t="s">
        <v>630</v>
      </c>
      <c r="AA49">
        <v>100</v>
      </c>
      <c r="AB49">
        <v>8008</v>
      </c>
      <c r="AC49">
        <v>45660</v>
      </c>
      <c r="AD49">
        <v>2</v>
      </c>
      <c r="AE49">
        <v>8013</v>
      </c>
      <c r="AF49">
        <v>8013</v>
      </c>
      <c r="AG49">
        <v>0</v>
      </c>
      <c r="AH49">
        <v>5</v>
      </c>
    </row>
    <row r="50" spans="2:34" x14ac:dyDescent="0.35">
      <c r="B50" t="s">
        <v>563</v>
      </c>
      <c r="C50">
        <v>45663</v>
      </c>
      <c r="F50" t="s">
        <v>749</v>
      </c>
      <c r="H50">
        <v>100.33</v>
      </c>
      <c r="O50" t="s">
        <v>239</v>
      </c>
      <c r="P50" t="s">
        <v>514</v>
      </c>
      <c r="Y50">
        <v>16</v>
      </c>
      <c r="Z50" s="259" t="s">
        <v>630</v>
      </c>
      <c r="AA50">
        <v>100</v>
      </c>
      <c r="AB50">
        <v>10010</v>
      </c>
      <c r="AC50">
        <v>45663</v>
      </c>
      <c r="AD50">
        <v>0</v>
      </c>
      <c r="AE50">
        <v>10033</v>
      </c>
      <c r="AF50">
        <v>10033</v>
      </c>
      <c r="AG50">
        <v>0</v>
      </c>
      <c r="AH50">
        <v>23</v>
      </c>
    </row>
    <row r="51" spans="2:34" x14ac:dyDescent="0.35">
      <c r="B51" t="s">
        <v>563</v>
      </c>
      <c r="C51">
        <v>45663</v>
      </c>
      <c r="F51" t="s">
        <v>752</v>
      </c>
      <c r="H51">
        <v>199.17</v>
      </c>
      <c r="O51" t="s">
        <v>239</v>
      </c>
      <c r="P51" t="s">
        <v>514</v>
      </c>
      <c r="Y51">
        <v>17</v>
      </c>
      <c r="Z51" s="259" t="s">
        <v>630</v>
      </c>
      <c r="AA51">
        <v>50</v>
      </c>
      <c r="AB51">
        <v>10010</v>
      </c>
      <c r="AC51">
        <v>45663</v>
      </c>
      <c r="AD51">
        <v>0</v>
      </c>
      <c r="AE51">
        <v>9958.5</v>
      </c>
      <c r="AF51">
        <v>9958.5</v>
      </c>
      <c r="AG51">
        <v>0</v>
      </c>
      <c r="AH51">
        <v>-51.5</v>
      </c>
    </row>
    <row r="52" spans="2:34" x14ac:dyDescent="0.35">
      <c r="B52" t="s">
        <v>563</v>
      </c>
      <c r="C52">
        <v>45663</v>
      </c>
      <c r="F52" t="s">
        <v>754</v>
      </c>
      <c r="H52">
        <v>80.33</v>
      </c>
      <c r="O52" t="s">
        <v>239</v>
      </c>
      <c r="P52" t="s">
        <v>514</v>
      </c>
      <c r="Y52">
        <v>18</v>
      </c>
      <c r="Z52" s="259" t="s">
        <v>630</v>
      </c>
      <c r="AA52">
        <v>100</v>
      </c>
      <c r="AB52">
        <v>8008</v>
      </c>
      <c r="AC52">
        <v>45663</v>
      </c>
      <c r="AD52">
        <v>0</v>
      </c>
      <c r="AE52">
        <v>8033</v>
      </c>
      <c r="AF52">
        <v>8033</v>
      </c>
      <c r="AG52">
        <v>0</v>
      </c>
      <c r="AH52">
        <v>25</v>
      </c>
    </row>
    <row r="53" spans="2:34" x14ac:dyDescent="0.35">
      <c r="B53" t="s">
        <v>563</v>
      </c>
      <c r="C53">
        <v>45664</v>
      </c>
      <c r="F53" t="s">
        <v>749</v>
      </c>
      <c r="H53">
        <v>100.4</v>
      </c>
      <c r="O53" t="s">
        <v>239</v>
      </c>
      <c r="P53" t="s">
        <v>514</v>
      </c>
      <c r="Y53">
        <v>19</v>
      </c>
      <c r="Z53" s="259" t="s">
        <v>630</v>
      </c>
      <c r="AA53">
        <v>100</v>
      </c>
      <c r="AB53">
        <v>10010</v>
      </c>
      <c r="AC53">
        <v>45664</v>
      </c>
      <c r="AD53">
        <v>0</v>
      </c>
      <c r="AE53">
        <v>10040</v>
      </c>
      <c r="AF53">
        <v>10040</v>
      </c>
      <c r="AG53">
        <v>0</v>
      </c>
      <c r="AH53">
        <v>30</v>
      </c>
    </row>
    <row r="54" spans="2:34" x14ac:dyDescent="0.35">
      <c r="B54" t="s">
        <v>563</v>
      </c>
      <c r="C54">
        <v>45664</v>
      </c>
      <c r="F54" t="s">
        <v>752</v>
      </c>
      <c r="H54">
        <v>199</v>
      </c>
      <c r="O54" t="s">
        <v>239</v>
      </c>
      <c r="P54" t="s">
        <v>514</v>
      </c>
      <c r="Y54">
        <v>20</v>
      </c>
      <c r="Z54" s="259" t="s">
        <v>630</v>
      </c>
      <c r="AA54">
        <v>50</v>
      </c>
      <c r="AB54">
        <v>10010</v>
      </c>
      <c r="AC54">
        <v>45664</v>
      </c>
      <c r="AD54">
        <v>0</v>
      </c>
      <c r="AE54">
        <v>9950</v>
      </c>
      <c r="AF54">
        <v>9950</v>
      </c>
      <c r="AG54">
        <v>0</v>
      </c>
      <c r="AH54">
        <v>-60</v>
      </c>
    </row>
    <row r="55" spans="2:34" x14ac:dyDescent="0.35">
      <c r="B55" t="s">
        <v>563</v>
      </c>
      <c r="C55">
        <v>45664</v>
      </c>
      <c r="F55" t="s">
        <v>754</v>
      </c>
      <c r="H55">
        <v>80.400000000000006</v>
      </c>
      <c r="O55" t="s">
        <v>239</v>
      </c>
      <c r="P55" t="s">
        <v>514</v>
      </c>
      <c r="Y55">
        <v>21</v>
      </c>
      <c r="Z55" s="259" t="s">
        <v>630</v>
      </c>
      <c r="AA55">
        <v>100</v>
      </c>
      <c r="AB55">
        <v>8008</v>
      </c>
      <c r="AC55">
        <v>45664</v>
      </c>
      <c r="AD55">
        <v>0</v>
      </c>
      <c r="AE55">
        <v>8040.0000000000009</v>
      </c>
      <c r="AF55">
        <v>8040.0000000000009</v>
      </c>
      <c r="AG55">
        <v>0</v>
      </c>
      <c r="AH55">
        <v>32.000000000000909</v>
      </c>
    </row>
    <row r="56" spans="2:34" x14ac:dyDescent="0.35">
      <c r="B56" t="s">
        <v>563</v>
      </c>
      <c r="C56">
        <v>45665</v>
      </c>
      <c r="F56" t="s">
        <v>749</v>
      </c>
      <c r="H56">
        <v>100.47</v>
      </c>
      <c r="O56" t="s">
        <v>239</v>
      </c>
      <c r="P56" t="s">
        <v>514</v>
      </c>
      <c r="Y56">
        <v>22</v>
      </c>
      <c r="Z56" s="259" t="s">
        <v>630</v>
      </c>
      <c r="AA56">
        <v>100</v>
      </c>
      <c r="AB56">
        <v>10010</v>
      </c>
      <c r="AC56">
        <v>45665</v>
      </c>
      <c r="AD56">
        <v>0</v>
      </c>
      <c r="AE56">
        <v>10047</v>
      </c>
      <c r="AF56">
        <v>10047</v>
      </c>
      <c r="AG56">
        <v>0</v>
      </c>
      <c r="AH56">
        <v>37</v>
      </c>
    </row>
    <row r="57" spans="2:34" x14ac:dyDescent="0.35">
      <c r="B57" t="s">
        <v>563</v>
      </c>
      <c r="C57">
        <v>45665</v>
      </c>
      <c r="F57" t="s">
        <v>752</v>
      </c>
      <c r="H57">
        <v>198.83</v>
      </c>
      <c r="O57" t="s">
        <v>239</v>
      </c>
      <c r="P57" t="s">
        <v>514</v>
      </c>
      <c r="Y57">
        <v>23</v>
      </c>
      <c r="Z57" s="259" t="s">
        <v>630</v>
      </c>
      <c r="AA57">
        <v>50</v>
      </c>
      <c r="AB57">
        <v>10010</v>
      </c>
      <c r="AC57">
        <v>45665</v>
      </c>
      <c r="AD57">
        <v>0</v>
      </c>
      <c r="AE57">
        <v>9941.5</v>
      </c>
      <c r="AF57">
        <v>9941.5</v>
      </c>
      <c r="AG57">
        <v>0</v>
      </c>
      <c r="AH57">
        <v>-68.5</v>
      </c>
    </row>
    <row r="58" spans="2:34" x14ac:dyDescent="0.35">
      <c r="B58" t="s">
        <v>563</v>
      </c>
      <c r="C58">
        <v>45665</v>
      </c>
      <c r="F58" t="s">
        <v>754</v>
      </c>
      <c r="H58">
        <v>80.47</v>
      </c>
      <c r="O58" t="s">
        <v>239</v>
      </c>
      <c r="P58" t="s">
        <v>514</v>
      </c>
      <c r="Y58">
        <v>24</v>
      </c>
      <c r="Z58" s="259" t="s">
        <v>630</v>
      </c>
      <c r="AA58">
        <v>100</v>
      </c>
      <c r="AB58">
        <v>8008</v>
      </c>
      <c r="AC58">
        <v>45665</v>
      </c>
      <c r="AD58">
        <v>0</v>
      </c>
      <c r="AE58">
        <v>8047</v>
      </c>
      <c r="AF58">
        <v>8047</v>
      </c>
      <c r="AG58">
        <v>0</v>
      </c>
      <c r="AH58">
        <v>39</v>
      </c>
    </row>
    <row r="59" spans="2:34" x14ac:dyDescent="0.35">
      <c r="B59" t="s">
        <v>563</v>
      </c>
      <c r="C59">
        <v>45666</v>
      </c>
      <c r="F59" t="s">
        <v>749</v>
      </c>
      <c r="H59">
        <v>100.53</v>
      </c>
      <c r="O59" t="s">
        <v>239</v>
      </c>
      <c r="P59" t="s">
        <v>514</v>
      </c>
      <c r="Y59">
        <v>25</v>
      </c>
      <c r="Z59" s="259" t="s">
        <v>630</v>
      </c>
      <c r="AA59">
        <v>100</v>
      </c>
      <c r="AB59">
        <v>10010</v>
      </c>
      <c r="AC59">
        <v>45666</v>
      </c>
      <c r="AD59">
        <v>0</v>
      </c>
      <c r="AE59">
        <v>10053</v>
      </c>
      <c r="AF59">
        <v>10053</v>
      </c>
      <c r="AG59">
        <v>0</v>
      </c>
      <c r="AH59">
        <v>43</v>
      </c>
    </row>
    <row r="60" spans="2:34" x14ac:dyDescent="0.35">
      <c r="B60" t="s">
        <v>563</v>
      </c>
      <c r="C60">
        <v>45666</v>
      </c>
      <c r="F60" t="s">
        <v>752</v>
      </c>
      <c r="H60">
        <v>198.67</v>
      </c>
      <c r="O60" t="s">
        <v>239</v>
      </c>
      <c r="P60" t="s">
        <v>514</v>
      </c>
      <c r="Y60">
        <v>26</v>
      </c>
      <c r="Z60" s="259" t="s">
        <v>630</v>
      </c>
      <c r="AA60">
        <v>50</v>
      </c>
      <c r="AB60">
        <v>10010</v>
      </c>
      <c r="AC60">
        <v>45666</v>
      </c>
      <c r="AD60">
        <v>0</v>
      </c>
      <c r="AE60">
        <v>9933.5</v>
      </c>
      <c r="AF60">
        <v>9933.5</v>
      </c>
      <c r="AG60">
        <v>0</v>
      </c>
      <c r="AH60">
        <v>-76.5</v>
      </c>
    </row>
    <row r="61" spans="2:34" x14ac:dyDescent="0.35">
      <c r="B61" t="s">
        <v>563</v>
      </c>
      <c r="C61">
        <v>45666</v>
      </c>
      <c r="F61" t="s">
        <v>754</v>
      </c>
      <c r="H61">
        <v>80.53</v>
      </c>
      <c r="O61" t="s">
        <v>239</v>
      </c>
      <c r="P61" t="s">
        <v>514</v>
      </c>
      <c r="Y61">
        <v>27</v>
      </c>
      <c r="Z61" s="259" t="s">
        <v>630</v>
      </c>
      <c r="AA61">
        <v>100</v>
      </c>
      <c r="AB61">
        <v>8008</v>
      </c>
      <c r="AC61">
        <v>45666</v>
      </c>
      <c r="AD61">
        <v>0</v>
      </c>
      <c r="AE61">
        <v>8053</v>
      </c>
      <c r="AF61">
        <v>8053</v>
      </c>
      <c r="AG61">
        <v>0</v>
      </c>
      <c r="AH61">
        <v>45</v>
      </c>
    </row>
    <row r="62" spans="2:34" x14ac:dyDescent="0.35">
      <c r="B62" t="s">
        <v>563</v>
      </c>
      <c r="C62">
        <v>45667</v>
      </c>
      <c r="F62" t="s">
        <v>749</v>
      </c>
      <c r="H62">
        <v>100.6</v>
      </c>
      <c r="O62" t="s">
        <v>239</v>
      </c>
      <c r="P62" t="s">
        <v>514</v>
      </c>
      <c r="Y62">
        <v>28</v>
      </c>
      <c r="Z62" s="259" t="s">
        <v>630</v>
      </c>
      <c r="AA62">
        <v>100</v>
      </c>
      <c r="AB62">
        <v>10010</v>
      </c>
      <c r="AC62">
        <v>45667</v>
      </c>
      <c r="AD62">
        <v>0</v>
      </c>
      <c r="AE62">
        <v>10060</v>
      </c>
      <c r="AF62">
        <v>10060</v>
      </c>
      <c r="AG62">
        <v>0</v>
      </c>
      <c r="AH62">
        <v>50</v>
      </c>
    </row>
    <row r="63" spans="2:34" x14ac:dyDescent="0.35">
      <c r="B63" t="s">
        <v>563</v>
      </c>
      <c r="C63">
        <v>45667</v>
      </c>
      <c r="F63" t="s">
        <v>752</v>
      </c>
      <c r="H63">
        <v>198.5</v>
      </c>
      <c r="O63" t="s">
        <v>239</v>
      </c>
      <c r="P63" t="s">
        <v>514</v>
      </c>
      <c r="Y63">
        <v>29</v>
      </c>
      <c r="Z63" s="259" t="s">
        <v>630</v>
      </c>
      <c r="AA63">
        <v>50</v>
      </c>
      <c r="AB63">
        <v>10010</v>
      </c>
      <c r="AC63">
        <v>45667</v>
      </c>
      <c r="AD63">
        <v>0</v>
      </c>
      <c r="AE63">
        <v>9925</v>
      </c>
      <c r="AF63">
        <v>9925</v>
      </c>
      <c r="AG63">
        <v>0</v>
      </c>
      <c r="AH63">
        <v>-85</v>
      </c>
    </row>
    <row r="64" spans="2:34" x14ac:dyDescent="0.35">
      <c r="B64" t="s">
        <v>563</v>
      </c>
      <c r="C64">
        <v>45667</v>
      </c>
      <c r="F64" t="s">
        <v>754</v>
      </c>
      <c r="H64">
        <v>80.599999999999994</v>
      </c>
      <c r="O64" t="s">
        <v>239</v>
      </c>
      <c r="P64" t="s">
        <v>514</v>
      </c>
      <c r="Y64">
        <v>30</v>
      </c>
      <c r="Z64" s="259" t="s">
        <v>630</v>
      </c>
      <c r="AA64">
        <v>100</v>
      </c>
      <c r="AB64">
        <v>8008</v>
      </c>
      <c r="AC64">
        <v>45667</v>
      </c>
      <c r="AD64">
        <v>0</v>
      </c>
      <c r="AE64">
        <v>8059.9999999999991</v>
      </c>
      <c r="AF64">
        <v>8059.9999999999991</v>
      </c>
      <c r="AG64">
        <v>0</v>
      </c>
      <c r="AH64">
        <v>51.999999999999091</v>
      </c>
    </row>
    <row r="65" spans="2:34" x14ac:dyDescent="0.35">
      <c r="B65" t="s">
        <v>563</v>
      </c>
      <c r="C65">
        <v>45668</v>
      </c>
      <c r="F65" t="s">
        <v>749</v>
      </c>
      <c r="H65">
        <v>100.6</v>
      </c>
      <c r="O65" t="s">
        <v>239</v>
      </c>
      <c r="P65" t="s">
        <v>514</v>
      </c>
      <c r="Y65">
        <v>31</v>
      </c>
      <c r="Z65" s="259" t="s">
        <v>630</v>
      </c>
      <c r="AA65">
        <v>100</v>
      </c>
      <c r="AB65">
        <v>10010</v>
      </c>
      <c r="AC65">
        <v>45667</v>
      </c>
      <c r="AD65">
        <v>1</v>
      </c>
      <c r="AE65">
        <v>10060</v>
      </c>
      <c r="AF65">
        <v>10060</v>
      </c>
      <c r="AG65">
        <v>0</v>
      </c>
      <c r="AH65">
        <v>50</v>
      </c>
    </row>
    <row r="66" spans="2:34" x14ac:dyDescent="0.35">
      <c r="B66" t="s">
        <v>563</v>
      </c>
      <c r="C66">
        <v>45668</v>
      </c>
      <c r="F66" t="s">
        <v>752</v>
      </c>
      <c r="H66">
        <v>198.5</v>
      </c>
      <c r="O66" t="s">
        <v>239</v>
      </c>
      <c r="P66" t="s">
        <v>514</v>
      </c>
      <c r="Y66">
        <v>32</v>
      </c>
      <c r="Z66" s="259" t="s">
        <v>630</v>
      </c>
      <c r="AA66">
        <v>50</v>
      </c>
      <c r="AB66">
        <v>10010</v>
      </c>
      <c r="AC66">
        <v>45667</v>
      </c>
      <c r="AD66">
        <v>1</v>
      </c>
      <c r="AE66">
        <v>9925</v>
      </c>
      <c r="AF66">
        <v>9925</v>
      </c>
      <c r="AG66">
        <v>0</v>
      </c>
      <c r="AH66">
        <v>-85</v>
      </c>
    </row>
    <row r="67" spans="2:34" x14ac:dyDescent="0.35">
      <c r="B67" t="s">
        <v>563</v>
      </c>
      <c r="C67">
        <v>45668</v>
      </c>
      <c r="F67" t="s">
        <v>754</v>
      </c>
      <c r="H67">
        <v>80.599999999999994</v>
      </c>
      <c r="O67" t="s">
        <v>239</v>
      </c>
      <c r="P67" t="s">
        <v>514</v>
      </c>
      <c r="Y67">
        <v>33</v>
      </c>
      <c r="Z67" s="259" t="s">
        <v>630</v>
      </c>
      <c r="AA67">
        <v>100</v>
      </c>
      <c r="AB67">
        <v>8008</v>
      </c>
      <c r="AC67">
        <v>45667</v>
      </c>
      <c r="AD67">
        <v>1</v>
      </c>
      <c r="AE67">
        <v>8059.9999999999991</v>
      </c>
      <c r="AF67">
        <v>8059.9999999999991</v>
      </c>
      <c r="AG67">
        <v>0</v>
      </c>
      <c r="AH67">
        <v>51.999999999999091</v>
      </c>
    </row>
    <row r="68" spans="2:34" x14ac:dyDescent="0.35">
      <c r="B68" t="s">
        <v>563</v>
      </c>
      <c r="C68">
        <v>45669</v>
      </c>
      <c r="F68" t="s">
        <v>749</v>
      </c>
      <c r="H68">
        <v>100.6</v>
      </c>
      <c r="O68" t="s">
        <v>239</v>
      </c>
      <c r="P68" t="s">
        <v>514</v>
      </c>
      <c r="Y68">
        <v>34</v>
      </c>
      <c r="Z68" s="259" t="s">
        <v>630</v>
      </c>
      <c r="AA68">
        <v>100</v>
      </c>
      <c r="AB68">
        <v>10010</v>
      </c>
      <c r="AC68">
        <v>45667</v>
      </c>
      <c r="AD68">
        <v>2</v>
      </c>
      <c r="AE68">
        <v>10060</v>
      </c>
      <c r="AF68">
        <v>10060</v>
      </c>
      <c r="AG68">
        <v>0</v>
      </c>
      <c r="AH68">
        <v>50</v>
      </c>
    </row>
    <row r="69" spans="2:34" x14ac:dyDescent="0.35">
      <c r="B69" t="s">
        <v>563</v>
      </c>
      <c r="C69">
        <v>45669</v>
      </c>
      <c r="F69" t="s">
        <v>752</v>
      </c>
      <c r="H69">
        <v>198.5</v>
      </c>
      <c r="O69" t="s">
        <v>239</v>
      </c>
      <c r="P69" t="s">
        <v>514</v>
      </c>
      <c r="Y69">
        <v>35</v>
      </c>
      <c r="Z69" s="259" t="s">
        <v>630</v>
      </c>
      <c r="AA69">
        <v>50</v>
      </c>
      <c r="AB69">
        <v>10010</v>
      </c>
      <c r="AC69">
        <v>45667</v>
      </c>
      <c r="AD69">
        <v>2</v>
      </c>
      <c r="AE69">
        <v>9925</v>
      </c>
      <c r="AF69">
        <v>9925</v>
      </c>
      <c r="AG69">
        <v>0</v>
      </c>
      <c r="AH69">
        <v>-85</v>
      </c>
    </row>
    <row r="70" spans="2:34" x14ac:dyDescent="0.35">
      <c r="B70" t="s">
        <v>563</v>
      </c>
      <c r="C70">
        <v>45669</v>
      </c>
      <c r="F70" t="s">
        <v>754</v>
      </c>
      <c r="H70">
        <v>80.599999999999994</v>
      </c>
      <c r="O70" t="s">
        <v>239</v>
      </c>
      <c r="P70" t="s">
        <v>514</v>
      </c>
      <c r="Y70">
        <v>36</v>
      </c>
      <c r="Z70" s="259" t="s">
        <v>630</v>
      </c>
      <c r="AA70">
        <v>100</v>
      </c>
      <c r="AB70">
        <v>8008</v>
      </c>
      <c r="AC70">
        <v>45667</v>
      </c>
      <c r="AD70">
        <v>2</v>
      </c>
      <c r="AE70">
        <v>8059.9999999999991</v>
      </c>
      <c r="AF70">
        <v>8059.9999999999991</v>
      </c>
      <c r="AG70">
        <v>0</v>
      </c>
      <c r="AH70">
        <v>51.999999999999091</v>
      </c>
    </row>
    <row r="71" spans="2:34" x14ac:dyDescent="0.35">
      <c r="B71" t="s">
        <v>563</v>
      </c>
      <c r="C71">
        <v>45670</v>
      </c>
      <c r="F71" t="s">
        <v>749</v>
      </c>
      <c r="H71">
        <v>100.8</v>
      </c>
      <c r="O71" t="s">
        <v>239</v>
      </c>
      <c r="P71" t="s">
        <v>514</v>
      </c>
      <c r="Y71">
        <v>37</v>
      </c>
      <c r="Z71" s="259" t="s">
        <v>630</v>
      </c>
      <c r="AA71">
        <v>100</v>
      </c>
      <c r="AB71">
        <v>10010</v>
      </c>
      <c r="AC71">
        <v>45670</v>
      </c>
      <c r="AD71">
        <v>0</v>
      </c>
      <c r="AE71">
        <v>10080</v>
      </c>
      <c r="AF71">
        <v>10080</v>
      </c>
      <c r="AG71">
        <v>0</v>
      </c>
      <c r="AH71">
        <v>70</v>
      </c>
    </row>
    <row r="72" spans="2:34" x14ac:dyDescent="0.35">
      <c r="B72" t="s">
        <v>563</v>
      </c>
      <c r="C72">
        <v>45670</v>
      </c>
      <c r="F72" t="s">
        <v>752</v>
      </c>
      <c r="H72">
        <v>198</v>
      </c>
      <c r="O72" t="s">
        <v>239</v>
      </c>
      <c r="P72" t="s">
        <v>514</v>
      </c>
      <c r="Y72">
        <v>38</v>
      </c>
      <c r="Z72" s="259" t="s">
        <v>630</v>
      </c>
      <c r="AA72">
        <v>50</v>
      </c>
      <c r="AB72">
        <v>10010</v>
      </c>
      <c r="AC72">
        <v>45670</v>
      </c>
      <c r="AD72">
        <v>0</v>
      </c>
      <c r="AE72">
        <v>9900</v>
      </c>
      <c r="AF72">
        <v>9900</v>
      </c>
      <c r="AG72">
        <v>0</v>
      </c>
      <c r="AH72">
        <v>-110</v>
      </c>
    </row>
    <row r="73" spans="2:34" x14ac:dyDescent="0.35">
      <c r="B73" t="s">
        <v>563</v>
      </c>
      <c r="C73">
        <v>45670</v>
      </c>
      <c r="F73" t="s">
        <v>754</v>
      </c>
      <c r="H73">
        <v>80.8</v>
      </c>
      <c r="O73" t="s">
        <v>239</v>
      </c>
      <c r="P73" t="s">
        <v>514</v>
      </c>
      <c r="Y73">
        <v>39</v>
      </c>
      <c r="Z73" s="259" t="s">
        <v>630</v>
      </c>
      <c r="AA73">
        <v>100</v>
      </c>
      <c r="AB73">
        <v>8008</v>
      </c>
      <c r="AC73">
        <v>45670</v>
      </c>
      <c r="AD73">
        <v>0</v>
      </c>
      <c r="AE73">
        <v>8080</v>
      </c>
      <c r="AF73">
        <v>8080</v>
      </c>
      <c r="AG73">
        <v>0</v>
      </c>
      <c r="AH73">
        <v>72</v>
      </c>
    </row>
    <row r="74" spans="2:34" x14ac:dyDescent="0.35">
      <c r="B74" t="s">
        <v>563</v>
      </c>
      <c r="C74">
        <v>45671</v>
      </c>
      <c r="F74" t="s">
        <v>749</v>
      </c>
      <c r="H74">
        <v>100.87</v>
      </c>
      <c r="O74" t="s">
        <v>239</v>
      </c>
      <c r="P74" t="s">
        <v>514</v>
      </c>
      <c r="Y74">
        <v>40</v>
      </c>
      <c r="Z74" s="259" t="s">
        <v>630</v>
      </c>
      <c r="AA74">
        <v>100</v>
      </c>
      <c r="AB74">
        <v>10010</v>
      </c>
      <c r="AC74">
        <v>45671</v>
      </c>
      <c r="AD74">
        <v>0</v>
      </c>
      <c r="AE74">
        <v>10087</v>
      </c>
      <c r="AF74">
        <v>10087</v>
      </c>
      <c r="AG74">
        <v>0</v>
      </c>
      <c r="AH74">
        <v>77</v>
      </c>
    </row>
    <row r="75" spans="2:34" x14ac:dyDescent="0.35">
      <c r="B75" t="s">
        <v>563</v>
      </c>
      <c r="C75">
        <v>45671</v>
      </c>
      <c r="F75" t="s">
        <v>752</v>
      </c>
      <c r="H75">
        <v>197.83</v>
      </c>
      <c r="O75" t="s">
        <v>239</v>
      </c>
      <c r="P75" t="s">
        <v>514</v>
      </c>
      <c r="Y75">
        <v>41</v>
      </c>
      <c r="Z75" s="259" t="s">
        <v>630</v>
      </c>
      <c r="AA75">
        <v>50</v>
      </c>
      <c r="AB75">
        <v>10010</v>
      </c>
      <c r="AC75">
        <v>45671</v>
      </c>
      <c r="AD75">
        <v>0</v>
      </c>
      <c r="AE75">
        <v>9891.5</v>
      </c>
      <c r="AF75">
        <v>9891.5</v>
      </c>
      <c r="AG75">
        <v>0</v>
      </c>
      <c r="AH75">
        <v>-118.5</v>
      </c>
    </row>
    <row r="76" spans="2:34" x14ac:dyDescent="0.35">
      <c r="B76" t="s">
        <v>563</v>
      </c>
      <c r="C76">
        <v>45671</v>
      </c>
      <c r="F76" t="s">
        <v>754</v>
      </c>
      <c r="H76">
        <v>80.87</v>
      </c>
      <c r="O76" t="s">
        <v>239</v>
      </c>
      <c r="P76" t="s">
        <v>514</v>
      </c>
      <c r="Y76">
        <v>42</v>
      </c>
      <c r="Z76" s="259" t="s">
        <v>630</v>
      </c>
      <c r="AA76">
        <v>100</v>
      </c>
      <c r="AB76">
        <v>8008</v>
      </c>
      <c r="AC76">
        <v>45671</v>
      </c>
      <c r="AD76">
        <v>0</v>
      </c>
      <c r="AE76">
        <v>8087</v>
      </c>
      <c r="AF76">
        <v>8087</v>
      </c>
      <c r="AG76">
        <v>0</v>
      </c>
      <c r="AH76">
        <v>79</v>
      </c>
    </row>
    <row r="77" spans="2:34" x14ac:dyDescent="0.35">
      <c r="B77" t="s">
        <v>563</v>
      </c>
      <c r="C77">
        <v>45672</v>
      </c>
      <c r="F77" t="s">
        <v>749</v>
      </c>
      <c r="H77">
        <v>100.93</v>
      </c>
      <c r="O77" t="s">
        <v>239</v>
      </c>
      <c r="P77" t="s">
        <v>514</v>
      </c>
      <c r="Y77">
        <v>43</v>
      </c>
      <c r="Z77" s="259" t="s">
        <v>630</v>
      </c>
      <c r="AA77">
        <v>100</v>
      </c>
      <c r="AB77">
        <v>10010</v>
      </c>
      <c r="AC77">
        <v>45672</v>
      </c>
      <c r="AD77">
        <v>0</v>
      </c>
      <c r="AE77">
        <v>10093</v>
      </c>
      <c r="AF77">
        <v>10093</v>
      </c>
      <c r="AG77">
        <v>0</v>
      </c>
      <c r="AH77">
        <v>83</v>
      </c>
    </row>
    <row r="78" spans="2:34" x14ac:dyDescent="0.35">
      <c r="B78" t="s">
        <v>563</v>
      </c>
      <c r="C78">
        <v>45672</v>
      </c>
      <c r="F78" t="s">
        <v>752</v>
      </c>
      <c r="H78">
        <v>197.67</v>
      </c>
      <c r="O78" t="s">
        <v>239</v>
      </c>
      <c r="P78" t="s">
        <v>514</v>
      </c>
      <c r="Y78">
        <v>44</v>
      </c>
      <c r="Z78" s="259" t="s">
        <v>630</v>
      </c>
      <c r="AA78">
        <v>50</v>
      </c>
      <c r="AB78">
        <v>10010</v>
      </c>
      <c r="AC78">
        <v>45672</v>
      </c>
      <c r="AD78">
        <v>0</v>
      </c>
      <c r="AE78">
        <v>9883.5</v>
      </c>
      <c r="AF78">
        <v>9883.5</v>
      </c>
      <c r="AG78">
        <v>0</v>
      </c>
      <c r="AH78">
        <v>-126.5</v>
      </c>
    </row>
    <row r="79" spans="2:34" x14ac:dyDescent="0.35">
      <c r="B79" t="s">
        <v>563</v>
      </c>
      <c r="C79">
        <v>45672</v>
      </c>
      <c r="F79" t="s">
        <v>754</v>
      </c>
      <c r="H79">
        <v>80.930000000000007</v>
      </c>
      <c r="O79" t="s">
        <v>239</v>
      </c>
      <c r="P79" t="s">
        <v>514</v>
      </c>
      <c r="Y79">
        <v>45</v>
      </c>
      <c r="Z79" s="259" t="s">
        <v>630</v>
      </c>
      <c r="AA79">
        <v>100</v>
      </c>
      <c r="AB79">
        <v>8008</v>
      </c>
      <c r="AC79">
        <v>45672</v>
      </c>
      <c r="AD79">
        <v>0</v>
      </c>
      <c r="AE79">
        <v>8093.0000000000009</v>
      </c>
      <c r="AF79">
        <v>8093.0000000000009</v>
      </c>
      <c r="AG79">
        <v>0</v>
      </c>
      <c r="AH79">
        <v>85.000000000000909</v>
      </c>
    </row>
    <row r="80" spans="2:34" x14ac:dyDescent="0.35">
      <c r="B80" t="s">
        <v>563</v>
      </c>
      <c r="C80">
        <v>45673</v>
      </c>
      <c r="F80" t="s">
        <v>749</v>
      </c>
      <c r="H80">
        <v>101</v>
      </c>
      <c r="O80" t="s">
        <v>239</v>
      </c>
      <c r="P80" t="s">
        <v>514</v>
      </c>
      <c r="Y80">
        <v>46</v>
      </c>
      <c r="Z80" s="259" t="s">
        <v>630</v>
      </c>
      <c r="AA80">
        <v>100</v>
      </c>
      <c r="AB80">
        <v>10010</v>
      </c>
      <c r="AC80">
        <v>45673</v>
      </c>
      <c r="AD80">
        <v>0</v>
      </c>
      <c r="AE80">
        <v>10100</v>
      </c>
      <c r="AF80">
        <v>10100</v>
      </c>
      <c r="AG80">
        <v>0</v>
      </c>
      <c r="AH80">
        <v>90</v>
      </c>
    </row>
    <row r="81" spans="2:34" x14ac:dyDescent="0.35">
      <c r="B81" t="s">
        <v>563</v>
      </c>
      <c r="C81">
        <v>45673</v>
      </c>
      <c r="F81" t="s">
        <v>752</v>
      </c>
      <c r="H81">
        <v>197.5</v>
      </c>
      <c r="O81" t="s">
        <v>239</v>
      </c>
      <c r="P81" t="s">
        <v>514</v>
      </c>
      <c r="Y81">
        <v>47</v>
      </c>
      <c r="Z81" s="259" t="s">
        <v>630</v>
      </c>
      <c r="AA81">
        <v>50</v>
      </c>
      <c r="AB81">
        <v>10010</v>
      </c>
      <c r="AC81">
        <v>45673</v>
      </c>
      <c r="AD81">
        <v>0</v>
      </c>
      <c r="AE81">
        <v>9875</v>
      </c>
      <c r="AF81">
        <v>9875</v>
      </c>
      <c r="AG81">
        <v>0</v>
      </c>
      <c r="AH81">
        <v>-135</v>
      </c>
    </row>
    <row r="82" spans="2:34" x14ac:dyDescent="0.35">
      <c r="B82" t="s">
        <v>563</v>
      </c>
      <c r="C82">
        <v>45673</v>
      </c>
      <c r="F82" t="s">
        <v>754</v>
      </c>
      <c r="H82">
        <v>81</v>
      </c>
      <c r="O82" t="s">
        <v>239</v>
      </c>
      <c r="P82" t="s">
        <v>514</v>
      </c>
      <c r="Y82">
        <v>48</v>
      </c>
      <c r="Z82" s="259" t="s">
        <v>630</v>
      </c>
      <c r="AA82">
        <v>100</v>
      </c>
      <c r="AB82">
        <v>8008</v>
      </c>
      <c r="AC82">
        <v>45673</v>
      </c>
      <c r="AD82">
        <v>0</v>
      </c>
      <c r="AE82">
        <v>8100</v>
      </c>
      <c r="AF82">
        <v>8100</v>
      </c>
      <c r="AG82">
        <v>0</v>
      </c>
      <c r="AH82">
        <v>92</v>
      </c>
    </row>
    <row r="83" spans="2:34" x14ac:dyDescent="0.35">
      <c r="B83" t="s">
        <v>563</v>
      </c>
      <c r="C83">
        <v>45674</v>
      </c>
      <c r="F83" t="s">
        <v>749</v>
      </c>
      <c r="H83">
        <v>101.07</v>
      </c>
      <c r="O83" t="s">
        <v>239</v>
      </c>
      <c r="P83" t="s">
        <v>514</v>
      </c>
      <c r="Y83">
        <v>49</v>
      </c>
      <c r="Z83" s="259" t="s">
        <v>630</v>
      </c>
      <c r="AA83">
        <v>100</v>
      </c>
      <c r="AB83">
        <v>10010</v>
      </c>
      <c r="AC83">
        <v>45674</v>
      </c>
      <c r="AD83">
        <v>0</v>
      </c>
      <c r="AE83">
        <v>10107</v>
      </c>
      <c r="AF83">
        <v>10107</v>
      </c>
      <c r="AG83">
        <v>0</v>
      </c>
      <c r="AH83">
        <v>97</v>
      </c>
    </row>
    <row r="84" spans="2:34" x14ac:dyDescent="0.35">
      <c r="B84" t="s">
        <v>563</v>
      </c>
      <c r="C84">
        <v>45674</v>
      </c>
      <c r="F84" t="s">
        <v>752</v>
      </c>
      <c r="H84">
        <v>197.33</v>
      </c>
      <c r="O84" t="s">
        <v>239</v>
      </c>
      <c r="P84" t="s">
        <v>514</v>
      </c>
      <c r="Y84">
        <v>50</v>
      </c>
      <c r="Z84" s="259" t="s">
        <v>630</v>
      </c>
      <c r="AA84">
        <v>50</v>
      </c>
      <c r="AB84">
        <v>10010</v>
      </c>
      <c r="AC84">
        <v>45674</v>
      </c>
      <c r="AD84">
        <v>0</v>
      </c>
      <c r="AE84">
        <v>9866.5</v>
      </c>
      <c r="AF84">
        <v>9866.5</v>
      </c>
      <c r="AG84">
        <v>0</v>
      </c>
      <c r="AH84">
        <v>-143.5</v>
      </c>
    </row>
    <row r="85" spans="2:34" x14ac:dyDescent="0.35">
      <c r="B85" t="s">
        <v>563</v>
      </c>
      <c r="C85">
        <v>45674</v>
      </c>
      <c r="F85" t="s">
        <v>754</v>
      </c>
      <c r="H85">
        <v>81.069999999999993</v>
      </c>
      <c r="O85" t="s">
        <v>239</v>
      </c>
      <c r="P85" t="s">
        <v>514</v>
      </c>
      <c r="Y85">
        <v>51</v>
      </c>
      <c r="Z85" s="259" t="s">
        <v>630</v>
      </c>
      <c r="AA85">
        <v>100</v>
      </c>
      <c r="AB85">
        <v>8008</v>
      </c>
      <c r="AC85">
        <v>45674</v>
      </c>
      <c r="AD85">
        <v>0</v>
      </c>
      <c r="AE85">
        <v>8106.9999999999991</v>
      </c>
      <c r="AF85">
        <v>8106.9999999999991</v>
      </c>
      <c r="AG85">
        <v>0</v>
      </c>
      <c r="AH85">
        <v>98.999999999999091</v>
      </c>
    </row>
    <row r="86" spans="2:34" x14ac:dyDescent="0.35">
      <c r="B86" t="s">
        <v>563</v>
      </c>
      <c r="C86">
        <v>45675</v>
      </c>
      <c r="F86" t="s">
        <v>749</v>
      </c>
      <c r="H86">
        <v>101.07</v>
      </c>
      <c r="O86" t="s">
        <v>239</v>
      </c>
      <c r="P86" t="s">
        <v>514</v>
      </c>
      <c r="Y86">
        <v>52</v>
      </c>
      <c r="Z86" s="259" t="s">
        <v>630</v>
      </c>
      <c r="AA86">
        <v>100</v>
      </c>
      <c r="AB86">
        <v>10010</v>
      </c>
      <c r="AC86">
        <v>45674</v>
      </c>
      <c r="AD86">
        <v>1</v>
      </c>
      <c r="AE86">
        <v>10107</v>
      </c>
      <c r="AF86">
        <v>10107</v>
      </c>
      <c r="AG86">
        <v>0</v>
      </c>
      <c r="AH86">
        <v>97</v>
      </c>
    </row>
    <row r="87" spans="2:34" x14ac:dyDescent="0.35">
      <c r="B87" t="s">
        <v>563</v>
      </c>
      <c r="C87">
        <v>45675</v>
      </c>
      <c r="F87" t="s">
        <v>752</v>
      </c>
      <c r="H87">
        <v>197.33</v>
      </c>
      <c r="O87" t="s">
        <v>239</v>
      </c>
      <c r="P87" t="s">
        <v>514</v>
      </c>
      <c r="Y87">
        <v>53</v>
      </c>
      <c r="Z87" s="259" t="s">
        <v>630</v>
      </c>
      <c r="AA87">
        <v>50</v>
      </c>
      <c r="AB87">
        <v>10010</v>
      </c>
      <c r="AC87">
        <v>45674</v>
      </c>
      <c r="AD87">
        <v>1</v>
      </c>
      <c r="AE87">
        <v>9866.5</v>
      </c>
      <c r="AF87">
        <v>9866.5</v>
      </c>
      <c r="AG87">
        <v>0</v>
      </c>
      <c r="AH87">
        <v>-143.5</v>
      </c>
    </row>
    <row r="88" spans="2:34" x14ac:dyDescent="0.35">
      <c r="B88" t="s">
        <v>563</v>
      </c>
      <c r="C88">
        <v>45675</v>
      </c>
      <c r="F88" t="s">
        <v>754</v>
      </c>
      <c r="H88">
        <v>81.069999999999993</v>
      </c>
      <c r="O88" t="s">
        <v>239</v>
      </c>
      <c r="P88" t="s">
        <v>514</v>
      </c>
      <c r="Y88">
        <v>54</v>
      </c>
      <c r="Z88" s="259" t="s">
        <v>630</v>
      </c>
      <c r="AA88">
        <v>100</v>
      </c>
      <c r="AB88">
        <v>8008</v>
      </c>
      <c r="AC88">
        <v>45674</v>
      </c>
      <c r="AD88">
        <v>1</v>
      </c>
      <c r="AE88">
        <v>8106.9999999999991</v>
      </c>
      <c r="AF88">
        <v>8106.9999999999991</v>
      </c>
      <c r="AG88">
        <v>0</v>
      </c>
      <c r="AH88">
        <v>98.999999999999091</v>
      </c>
    </row>
    <row r="89" spans="2:34" x14ac:dyDescent="0.35">
      <c r="B89" t="s">
        <v>563</v>
      </c>
      <c r="C89">
        <v>45676</v>
      </c>
      <c r="F89" t="s">
        <v>749</v>
      </c>
      <c r="H89">
        <v>101.07</v>
      </c>
      <c r="O89" t="s">
        <v>239</v>
      </c>
      <c r="P89" t="s">
        <v>514</v>
      </c>
      <c r="Y89">
        <v>55</v>
      </c>
      <c r="Z89" s="259" t="s">
        <v>630</v>
      </c>
      <c r="AA89">
        <v>100</v>
      </c>
      <c r="AB89">
        <v>10010</v>
      </c>
      <c r="AC89">
        <v>45674</v>
      </c>
      <c r="AD89">
        <v>2</v>
      </c>
      <c r="AE89">
        <v>10107</v>
      </c>
      <c r="AF89">
        <v>10107</v>
      </c>
      <c r="AG89">
        <v>0</v>
      </c>
      <c r="AH89">
        <v>97</v>
      </c>
    </row>
    <row r="90" spans="2:34" x14ac:dyDescent="0.35">
      <c r="B90" t="s">
        <v>563</v>
      </c>
      <c r="C90">
        <v>45676</v>
      </c>
      <c r="F90" t="s">
        <v>752</v>
      </c>
      <c r="H90">
        <v>197.33</v>
      </c>
      <c r="O90" t="s">
        <v>239</v>
      </c>
      <c r="P90" t="s">
        <v>514</v>
      </c>
      <c r="Y90">
        <v>56</v>
      </c>
      <c r="Z90" s="259" t="s">
        <v>630</v>
      </c>
      <c r="AA90">
        <v>50</v>
      </c>
      <c r="AB90">
        <v>10010</v>
      </c>
      <c r="AC90">
        <v>45674</v>
      </c>
      <c r="AD90">
        <v>2</v>
      </c>
      <c r="AE90">
        <v>9866.5</v>
      </c>
      <c r="AF90">
        <v>9866.5</v>
      </c>
      <c r="AG90">
        <v>0</v>
      </c>
      <c r="AH90">
        <v>-143.5</v>
      </c>
    </row>
    <row r="91" spans="2:34" x14ac:dyDescent="0.35">
      <c r="B91" t="s">
        <v>563</v>
      </c>
      <c r="C91">
        <v>45676</v>
      </c>
      <c r="F91" t="s">
        <v>754</v>
      </c>
      <c r="H91">
        <v>81.069999999999993</v>
      </c>
      <c r="O91" t="s">
        <v>239</v>
      </c>
      <c r="P91" t="s">
        <v>514</v>
      </c>
      <c r="Y91">
        <v>57</v>
      </c>
      <c r="Z91" s="259" t="s">
        <v>630</v>
      </c>
      <c r="AA91">
        <v>100</v>
      </c>
      <c r="AB91">
        <v>8008</v>
      </c>
      <c r="AC91">
        <v>45674</v>
      </c>
      <c r="AD91">
        <v>2</v>
      </c>
      <c r="AE91">
        <v>8106.9999999999991</v>
      </c>
      <c r="AF91">
        <v>8106.9999999999991</v>
      </c>
      <c r="AG91">
        <v>0</v>
      </c>
      <c r="AH91">
        <v>98.999999999999091</v>
      </c>
    </row>
    <row r="92" spans="2:34" x14ac:dyDescent="0.35">
      <c r="B92" t="s">
        <v>563</v>
      </c>
      <c r="C92">
        <v>45677</v>
      </c>
      <c r="F92" t="s">
        <v>749</v>
      </c>
      <c r="H92">
        <v>101.27</v>
      </c>
      <c r="O92" t="s">
        <v>239</v>
      </c>
      <c r="P92" t="s">
        <v>514</v>
      </c>
      <c r="Y92">
        <v>58</v>
      </c>
      <c r="Z92" s="259" t="s">
        <v>630</v>
      </c>
      <c r="AA92">
        <v>100</v>
      </c>
      <c r="AB92">
        <v>10010</v>
      </c>
      <c r="AC92">
        <v>45677</v>
      </c>
      <c r="AD92">
        <v>0</v>
      </c>
      <c r="AE92">
        <v>10127</v>
      </c>
      <c r="AF92">
        <v>10127</v>
      </c>
      <c r="AG92">
        <v>0</v>
      </c>
      <c r="AH92">
        <v>117</v>
      </c>
    </row>
    <row r="93" spans="2:34" x14ac:dyDescent="0.35">
      <c r="B93" t="s">
        <v>563</v>
      </c>
      <c r="C93">
        <v>45677</v>
      </c>
      <c r="F93" t="s">
        <v>752</v>
      </c>
      <c r="H93">
        <v>196.83</v>
      </c>
      <c r="O93" t="s">
        <v>239</v>
      </c>
      <c r="P93" t="s">
        <v>514</v>
      </c>
      <c r="Y93">
        <v>59</v>
      </c>
      <c r="Z93" s="259" t="s">
        <v>630</v>
      </c>
      <c r="AA93">
        <v>50</v>
      </c>
      <c r="AB93">
        <v>10010</v>
      </c>
      <c r="AC93">
        <v>45677</v>
      </c>
      <c r="AD93">
        <v>0</v>
      </c>
      <c r="AE93">
        <v>9841.5</v>
      </c>
      <c r="AF93">
        <v>9841.5</v>
      </c>
      <c r="AG93">
        <v>0</v>
      </c>
      <c r="AH93">
        <v>-168.5</v>
      </c>
    </row>
    <row r="94" spans="2:34" x14ac:dyDescent="0.35">
      <c r="B94" t="s">
        <v>563</v>
      </c>
      <c r="C94">
        <v>45677</v>
      </c>
      <c r="F94" t="s">
        <v>754</v>
      </c>
      <c r="H94">
        <v>81.27</v>
      </c>
      <c r="O94" t="s">
        <v>239</v>
      </c>
      <c r="P94" t="s">
        <v>514</v>
      </c>
      <c r="Y94">
        <v>60</v>
      </c>
      <c r="Z94" s="259" t="s">
        <v>630</v>
      </c>
      <c r="AA94">
        <v>100</v>
      </c>
      <c r="AB94">
        <v>8008</v>
      </c>
      <c r="AC94">
        <v>45677</v>
      </c>
      <c r="AD94">
        <v>0</v>
      </c>
      <c r="AE94">
        <v>8127</v>
      </c>
      <c r="AF94">
        <v>8127</v>
      </c>
      <c r="AG94">
        <v>0</v>
      </c>
      <c r="AH94">
        <v>119</v>
      </c>
    </row>
    <row r="95" spans="2:34" x14ac:dyDescent="0.35">
      <c r="B95" t="s">
        <v>563</v>
      </c>
      <c r="C95">
        <v>45678</v>
      </c>
      <c r="F95" t="s">
        <v>749</v>
      </c>
      <c r="H95">
        <v>101.33</v>
      </c>
      <c r="O95" t="s">
        <v>239</v>
      </c>
      <c r="P95" t="s">
        <v>514</v>
      </c>
      <c r="Y95">
        <v>61</v>
      </c>
      <c r="Z95" s="259" t="s">
        <v>630</v>
      </c>
      <c r="AA95">
        <v>100</v>
      </c>
      <c r="AB95">
        <v>10010</v>
      </c>
      <c r="AC95">
        <v>45678</v>
      </c>
      <c r="AD95">
        <v>0</v>
      </c>
      <c r="AE95">
        <v>10133</v>
      </c>
      <c r="AF95">
        <v>10133</v>
      </c>
      <c r="AG95">
        <v>0</v>
      </c>
      <c r="AH95">
        <v>123</v>
      </c>
    </row>
    <row r="96" spans="2:34" x14ac:dyDescent="0.35">
      <c r="B96" t="s">
        <v>563</v>
      </c>
      <c r="C96">
        <v>45678</v>
      </c>
      <c r="F96" t="s">
        <v>752</v>
      </c>
      <c r="H96">
        <v>196.67</v>
      </c>
      <c r="O96" t="s">
        <v>239</v>
      </c>
      <c r="P96" t="s">
        <v>514</v>
      </c>
      <c r="Y96">
        <v>62</v>
      </c>
      <c r="Z96" s="259" t="s">
        <v>630</v>
      </c>
      <c r="AA96">
        <v>50</v>
      </c>
      <c r="AB96">
        <v>10010</v>
      </c>
      <c r="AC96">
        <v>45678</v>
      </c>
      <c r="AD96">
        <v>0</v>
      </c>
      <c r="AE96">
        <v>9833.5</v>
      </c>
      <c r="AF96">
        <v>9833.5</v>
      </c>
      <c r="AG96">
        <v>0</v>
      </c>
      <c r="AH96">
        <v>-176.5</v>
      </c>
    </row>
    <row r="97" spans="2:34" x14ac:dyDescent="0.35">
      <c r="B97" t="s">
        <v>563</v>
      </c>
      <c r="C97">
        <v>45678</v>
      </c>
      <c r="F97" t="s">
        <v>754</v>
      </c>
      <c r="H97">
        <v>81.33</v>
      </c>
      <c r="O97" t="s">
        <v>239</v>
      </c>
      <c r="P97" t="s">
        <v>514</v>
      </c>
      <c r="Y97">
        <v>63</v>
      </c>
      <c r="Z97" s="259" t="s">
        <v>630</v>
      </c>
      <c r="AA97">
        <v>100</v>
      </c>
      <c r="AB97">
        <v>8008</v>
      </c>
      <c r="AC97">
        <v>45678</v>
      </c>
      <c r="AD97">
        <v>0</v>
      </c>
      <c r="AE97">
        <v>8133</v>
      </c>
      <c r="AF97">
        <v>8133</v>
      </c>
      <c r="AG97">
        <v>0</v>
      </c>
      <c r="AH97">
        <v>125</v>
      </c>
    </row>
    <row r="98" spans="2:34" x14ac:dyDescent="0.35">
      <c r="B98" t="s">
        <v>563</v>
      </c>
      <c r="C98">
        <v>45679</v>
      </c>
      <c r="F98" t="s">
        <v>749</v>
      </c>
      <c r="H98">
        <v>101.4</v>
      </c>
      <c r="O98" t="s">
        <v>239</v>
      </c>
      <c r="P98" t="s">
        <v>514</v>
      </c>
      <c r="Y98">
        <v>64</v>
      </c>
      <c r="Z98" s="259" t="s">
        <v>630</v>
      </c>
      <c r="AA98">
        <v>100</v>
      </c>
      <c r="AB98">
        <v>10010</v>
      </c>
      <c r="AC98">
        <v>45679</v>
      </c>
      <c r="AD98">
        <v>0</v>
      </c>
      <c r="AE98">
        <v>10140</v>
      </c>
      <c r="AF98">
        <v>10140</v>
      </c>
      <c r="AG98">
        <v>0</v>
      </c>
      <c r="AH98">
        <v>130</v>
      </c>
    </row>
    <row r="99" spans="2:34" x14ac:dyDescent="0.35">
      <c r="B99" t="s">
        <v>563</v>
      </c>
      <c r="C99">
        <v>45679</v>
      </c>
      <c r="F99" t="s">
        <v>752</v>
      </c>
      <c r="H99">
        <v>196.5</v>
      </c>
      <c r="O99" t="s">
        <v>239</v>
      </c>
      <c r="P99" t="s">
        <v>514</v>
      </c>
      <c r="Y99">
        <v>65</v>
      </c>
      <c r="Z99" s="259" t="s">
        <v>630</v>
      </c>
      <c r="AA99">
        <v>50</v>
      </c>
      <c r="AB99">
        <v>10010</v>
      </c>
      <c r="AC99">
        <v>45679</v>
      </c>
      <c r="AD99">
        <v>0</v>
      </c>
      <c r="AE99">
        <v>9825</v>
      </c>
      <c r="AF99">
        <v>9825</v>
      </c>
      <c r="AG99">
        <v>0</v>
      </c>
      <c r="AH99">
        <v>-185</v>
      </c>
    </row>
    <row r="100" spans="2:34" x14ac:dyDescent="0.35">
      <c r="B100" t="s">
        <v>563</v>
      </c>
      <c r="C100">
        <v>45679</v>
      </c>
      <c r="F100" t="s">
        <v>754</v>
      </c>
      <c r="H100">
        <v>81.400000000000006</v>
      </c>
      <c r="O100" t="s">
        <v>239</v>
      </c>
      <c r="P100" t="s">
        <v>514</v>
      </c>
      <c r="Y100">
        <v>66</v>
      </c>
      <c r="Z100" s="259" t="s">
        <v>630</v>
      </c>
      <c r="AA100">
        <v>100</v>
      </c>
      <c r="AB100">
        <v>8008</v>
      </c>
      <c r="AC100">
        <v>45679</v>
      </c>
      <c r="AD100">
        <v>0</v>
      </c>
      <c r="AE100">
        <v>8140.0000000000009</v>
      </c>
      <c r="AF100">
        <v>8140.0000000000009</v>
      </c>
      <c r="AG100">
        <v>0</v>
      </c>
      <c r="AH100">
        <v>132.00000000000091</v>
      </c>
    </row>
    <row r="101" spans="2:34" x14ac:dyDescent="0.35">
      <c r="B101" t="s">
        <v>563</v>
      </c>
      <c r="C101">
        <v>45680</v>
      </c>
      <c r="F101" t="s">
        <v>749</v>
      </c>
      <c r="H101">
        <v>101.47</v>
      </c>
      <c r="O101" t="s">
        <v>239</v>
      </c>
      <c r="P101" t="s">
        <v>514</v>
      </c>
      <c r="Y101">
        <v>67</v>
      </c>
      <c r="Z101" s="259" t="s">
        <v>630</v>
      </c>
      <c r="AA101">
        <v>100</v>
      </c>
      <c r="AB101">
        <v>10010</v>
      </c>
      <c r="AC101">
        <v>45680</v>
      </c>
      <c r="AD101">
        <v>0</v>
      </c>
      <c r="AE101">
        <v>10147</v>
      </c>
      <c r="AF101">
        <v>10147</v>
      </c>
      <c r="AG101">
        <v>0</v>
      </c>
      <c r="AH101">
        <v>137</v>
      </c>
    </row>
    <row r="102" spans="2:34" x14ac:dyDescent="0.35">
      <c r="B102" t="s">
        <v>563</v>
      </c>
      <c r="C102">
        <v>45680</v>
      </c>
      <c r="F102" t="s">
        <v>752</v>
      </c>
      <c r="H102">
        <v>196.33</v>
      </c>
      <c r="O102" t="s">
        <v>239</v>
      </c>
      <c r="P102" t="s">
        <v>514</v>
      </c>
      <c r="Y102">
        <v>68</v>
      </c>
      <c r="Z102" s="259" t="s">
        <v>630</v>
      </c>
      <c r="AA102">
        <v>50</v>
      </c>
      <c r="AB102">
        <v>10010</v>
      </c>
      <c r="AC102">
        <v>45680</v>
      </c>
      <c r="AD102">
        <v>0</v>
      </c>
      <c r="AE102">
        <v>9816.5</v>
      </c>
      <c r="AF102">
        <v>9816.5</v>
      </c>
      <c r="AG102">
        <v>0</v>
      </c>
      <c r="AH102">
        <v>-193.5</v>
      </c>
    </row>
    <row r="103" spans="2:34" x14ac:dyDescent="0.35">
      <c r="B103" t="s">
        <v>563</v>
      </c>
      <c r="C103">
        <v>45680</v>
      </c>
      <c r="F103" t="s">
        <v>754</v>
      </c>
      <c r="H103">
        <v>81.47</v>
      </c>
      <c r="O103" t="s">
        <v>239</v>
      </c>
      <c r="P103" t="s">
        <v>514</v>
      </c>
      <c r="Y103">
        <v>69</v>
      </c>
      <c r="Z103" s="259" t="s">
        <v>630</v>
      </c>
      <c r="AA103">
        <v>100</v>
      </c>
      <c r="AB103">
        <v>8008</v>
      </c>
      <c r="AC103">
        <v>45680</v>
      </c>
      <c r="AD103">
        <v>0</v>
      </c>
      <c r="AE103">
        <v>8147</v>
      </c>
      <c r="AF103">
        <v>8147</v>
      </c>
      <c r="AG103">
        <v>0</v>
      </c>
      <c r="AH103">
        <v>139</v>
      </c>
    </row>
    <row r="104" spans="2:34" x14ac:dyDescent="0.35">
      <c r="B104" t="s">
        <v>563</v>
      </c>
      <c r="C104">
        <v>45681</v>
      </c>
      <c r="F104" t="s">
        <v>749</v>
      </c>
      <c r="H104">
        <v>101.53</v>
      </c>
      <c r="O104" t="s">
        <v>239</v>
      </c>
      <c r="P104" t="s">
        <v>514</v>
      </c>
      <c r="Y104">
        <v>70</v>
      </c>
      <c r="Z104" s="259" t="s">
        <v>630</v>
      </c>
      <c r="AA104">
        <v>100</v>
      </c>
      <c r="AB104">
        <v>10010</v>
      </c>
      <c r="AC104">
        <v>45681</v>
      </c>
      <c r="AD104">
        <v>0</v>
      </c>
      <c r="AE104">
        <v>10153</v>
      </c>
      <c r="AF104">
        <v>10153</v>
      </c>
      <c r="AG104">
        <v>0</v>
      </c>
      <c r="AH104">
        <v>143</v>
      </c>
    </row>
    <row r="105" spans="2:34" x14ac:dyDescent="0.35">
      <c r="B105" t="s">
        <v>563</v>
      </c>
      <c r="C105">
        <v>45681</v>
      </c>
      <c r="F105" t="s">
        <v>752</v>
      </c>
      <c r="H105">
        <v>196.17</v>
      </c>
      <c r="O105" t="s">
        <v>239</v>
      </c>
      <c r="P105" t="s">
        <v>514</v>
      </c>
      <c r="Y105">
        <v>71</v>
      </c>
      <c r="Z105" s="259" t="s">
        <v>630</v>
      </c>
      <c r="AA105">
        <v>50</v>
      </c>
      <c r="AB105">
        <v>10010</v>
      </c>
      <c r="AC105">
        <v>45681</v>
      </c>
      <c r="AD105">
        <v>0</v>
      </c>
      <c r="AE105">
        <v>9808.5</v>
      </c>
      <c r="AF105">
        <v>9808.5</v>
      </c>
      <c r="AG105">
        <v>0</v>
      </c>
      <c r="AH105">
        <v>-201.5</v>
      </c>
    </row>
    <row r="106" spans="2:34" x14ac:dyDescent="0.35">
      <c r="B106" t="s">
        <v>563</v>
      </c>
      <c r="C106">
        <v>45681</v>
      </c>
      <c r="F106" t="s">
        <v>754</v>
      </c>
      <c r="H106">
        <v>81.53</v>
      </c>
      <c r="O106" t="s">
        <v>239</v>
      </c>
      <c r="P106" t="s">
        <v>514</v>
      </c>
      <c r="Y106">
        <v>72</v>
      </c>
      <c r="Z106" s="259" t="s">
        <v>630</v>
      </c>
      <c r="AA106">
        <v>100</v>
      </c>
      <c r="AB106">
        <v>8008</v>
      </c>
      <c r="AC106">
        <v>45681</v>
      </c>
      <c r="AD106">
        <v>0</v>
      </c>
      <c r="AE106">
        <v>8153</v>
      </c>
      <c r="AF106">
        <v>8153</v>
      </c>
      <c r="AG106">
        <v>0</v>
      </c>
      <c r="AH106">
        <v>145</v>
      </c>
    </row>
    <row r="107" spans="2:34" x14ac:dyDescent="0.35">
      <c r="B107" t="s">
        <v>563</v>
      </c>
      <c r="C107">
        <v>45682</v>
      </c>
      <c r="F107" t="s">
        <v>749</v>
      </c>
      <c r="H107">
        <v>101.53</v>
      </c>
      <c r="O107" t="s">
        <v>239</v>
      </c>
      <c r="P107" t="s">
        <v>514</v>
      </c>
      <c r="Y107">
        <v>73</v>
      </c>
      <c r="Z107" s="259" t="s">
        <v>630</v>
      </c>
      <c r="AA107">
        <v>100</v>
      </c>
      <c r="AB107">
        <v>10010</v>
      </c>
      <c r="AC107">
        <v>45681</v>
      </c>
      <c r="AD107">
        <v>1</v>
      </c>
      <c r="AE107">
        <v>10153</v>
      </c>
      <c r="AF107">
        <v>10153</v>
      </c>
      <c r="AG107">
        <v>0</v>
      </c>
      <c r="AH107">
        <v>143</v>
      </c>
    </row>
    <row r="108" spans="2:34" x14ac:dyDescent="0.35">
      <c r="B108" t="s">
        <v>563</v>
      </c>
      <c r="C108">
        <v>45682</v>
      </c>
      <c r="F108" t="s">
        <v>752</v>
      </c>
      <c r="H108">
        <v>196.17</v>
      </c>
      <c r="O108" t="s">
        <v>239</v>
      </c>
      <c r="P108" t="s">
        <v>514</v>
      </c>
      <c r="Y108">
        <v>74</v>
      </c>
      <c r="Z108" s="259" t="s">
        <v>630</v>
      </c>
      <c r="AA108">
        <v>50</v>
      </c>
      <c r="AB108">
        <v>10010</v>
      </c>
      <c r="AC108">
        <v>45681</v>
      </c>
      <c r="AD108">
        <v>1</v>
      </c>
      <c r="AE108">
        <v>9808.5</v>
      </c>
      <c r="AF108">
        <v>9808.5</v>
      </c>
      <c r="AG108">
        <v>0</v>
      </c>
      <c r="AH108">
        <v>-201.5</v>
      </c>
    </row>
    <row r="109" spans="2:34" x14ac:dyDescent="0.35">
      <c r="B109" t="s">
        <v>563</v>
      </c>
      <c r="C109">
        <v>45682</v>
      </c>
      <c r="F109" t="s">
        <v>754</v>
      </c>
      <c r="H109">
        <v>81.53</v>
      </c>
      <c r="O109" t="s">
        <v>239</v>
      </c>
      <c r="P109" t="s">
        <v>514</v>
      </c>
      <c r="Y109">
        <v>75</v>
      </c>
      <c r="Z109" s="259" t="s">
        <v>630</v>
      </c>
      <c r="AA109">
        <v>100</v>
      </c>
      <c r="AB109">
        <v>8008</v>
      </c>
      <c r="AC109">
        <v>45681</v>
      </c>
      <c r="AD109">
        <v>1</v>
      </c>
      <c r="AE109">
        <v>8153</v>
      </c>
      <c r="AF109">
        <v>8153</v>
      </c>
      <c r="AG109">
        <v>0</v>
      </c>
      <c r="AH109">
        <v>145</v>
      </c>
    </row>
    <row r="110" spans="2:34" x14ac:dyDescent="0.35">
      <c r="B110" t="s">
        <v>563</v>
      </c>
      <c r="C110">
        <v>45683</v>
      </c>
      <c r="F110" t="s">
        <v>749</v>
      </c>
      <c r="H110">
        <v>101.53</v>
      </c>
      <c r="O110" t="s">
        <v>239</v>
      </c>
      <c r="P110" t="s">
        <v>514</v>
      </c>
      <c r="Y110">
        <v>76</v>
      </c>
      <c r="Z110" s="259" t="s">
        <v>630</v>
      </c>
      <c r="AA110">
        <v>100</v>
      </c>
      <c r="AB110">
        <v>10010</v>
      </c>
      <c r="AC110">
        <v>45681</v>
      </c>
      <c r="AD110">
        <v>2</v>
      </c>
      <c r="AE110">
        <v>10153</v>
      </c>
      <c r="AF110">
        <v>10153</v>
      </c>
      <c r="AG110">
        <v>0</v>
      </c>
      <c r="AH110">
        <v>143</v>
      </c>
    </row>
    <row r="111" spans="2:34" x14ac:dyDescent="0.35">
      <c r="B111" t="s">
        <v>563</v>
      </c>
      <c r="C111">
        <v>45683</v>
      </c>
      <c r="F111" t="s">
        <v>752</v>
      </c>
      <c r="H111">
        <v>196.17</v>
      </c>
      <c r="O111" t="s">
        <v>239</v>
      </c>
      <c r="P111" t="s">
        <v>514</v>
      </c>
      <c r="Y111">
        <v>77</v>
      </c>
      <c r="Z111" s="259" t="s">
        <v>630</v>
      </c>
      <c r="AA111">
        <v>50</v>
      </c>
      <c r="AB111">
        <v>10010</v>
      </c>
      <c r="AC111">
        <v>45681</v>
      </c>
      <c r="AD111">
        <v>2</v>
      </c>
      <c r="AE111">
        <v>9808.5</v>
      </c>
      <c r="AF111">
        <v>9808.5</v>
      </c>
      <c r="AG111">
        <v>0</v>
      </c>
      <c r="AH111">
        <v>-201.5</v>
      </c>
    </row>
    <row r="112" spans="2:34" x14ac:dyDescent="0.35">
      <c r="B112" t="s">
        <v>563</v>
      </c>
      <c r="C112">
        <v>45683</v>
      </c>
      <c r="F112" t="s">
        <v>754</v>
      </c>
      <c r="H112">
        <v>81.53</v>
      </c>
      <c r="O112" t="s">
        <v>239</v>
      </c>
      <c r="P112" t="s">
        <v>514</v>
      </c>
      <c r="Y112">
        <v>78</v>
      </c>
      <c r="Z112" s="259" t="s">
        <v>630</v>
      </c>
      <c r="AA112">
        <v>100</v>
      </c>
      <c r="AB112">
        <v>8008</v>
      </c>
      <c r="AC112">
        <v>45681</v>
      </c>
      <c r="AD112">
        <v>2</v>
      </c>
      <c r="AE112">
        <v>8153</v>
      </c>
      <c r="AF112">
        <v>8153</v>
      </c>
      <c r="AG112">
        <v>0</v>
      </c>
      <c r="AH112">
        <v>145</v>
      </c>
    </row>
    <row r="113" spans="2:34" x14ac:dyDescent="0.35">
      <c r="B113" t="s">
        <v>563</v>
      </c>
      <c r="C113">
        <v>45684</v>
      </c>
      <c r="F113" t="s">
        <v>749</v>
      </c>
      <c r="H113">
        <v>101.73</v>
      </c>
      <c r="O113" t="s">
        <v>239</v>
      </c>
      <c r="P113" t="s">
        <v>514</v>
      </c>
      <c r="Y113">
        <v>79</v>
      </c>
      <c r="Z113" s="259" t="s">
        <v>630</v>
      </c>
      <c r="AA113">
        <v>100</v>
      </c>
      <c r="AB113">
        <v>10010</v>
      </c>
      <c r="AC113">
        <v>45684</v>
      </c>
      <c r="AD113">
        <v>0</v>
      </c>
      <c r="AE113">
        <v>10173</v>
      </c>
      <c r="AF113">
        <v>10173</v>
      </c>
      <c r="AG113">
        <v>0</v>
      </c>
      <c r="AH113">
        <v>163</v>
      </c>
    </row>
    <row r="114" spans="2:34" x14ac:dyDescent="0.35">
      <c r="B114" t="s">
        <v>563</v>
      </c>
      <c r="C114">
        <v>45684</v>
      </c>
      <c r="F114" t="s">
        <v>752</v>
      </c>
      <c r="H114">
        <v>195.67</v>
      </c>
      <c r="O114" t="s">
        <v>239</v>
      </c>
      <c r="P114" t="s">
        <v>514</v>
      </c>
      <c r="Y114">
        <v>80</v>
      </c>
      <c r="Z114" s="259" t="s">
        <v>630</v>
      </c>
      <c r="AA114">
        <v>50</v>
      </c>
      <c r="AB114">
        <v>10010</v>
      </c>
      <c r="AC114">
        <v>45684</v>
      </c>
      <c r="AD114">
        <v>0</v>
      </c>
      <c r="AE114">
        <v>9783.5</v>
      </c>
      <c r="AF114">
        <v>9783.5</v>
      </c>
      <c r="AG114">
        <v>0</v>
      </c>
      <c r="AH114">
        <v>-226.5</v>
      </c>
    </row>
    <row r="115" spans="2:34" x14ac:dyDescent="0.35">
      <c r="B115" t="s">
        <v>563</v>
      </c>
      <c r="C115">
        <v>45684</v>
      </c>
      <c r="F115" t="s">
        <v>754</v>
      </c>
      <c r="H115">
        <v>81.73</v>
      </c>
      <c r="O115" t="s">
        <v>239</v>
      </c>
      <c r="P115" t="s">
        <v>514</v>
      </c>
      <c r="Y115">
        <v>81</v>
      </c>
      <c r="Z115" s="259" t="s">
        <v>630</v>
      </c>
      <c r="AA115">
        <v>100</v>
      </c>
      <c r="AB115">
        <v>8008</v>
      </c>
      <c r="AC115">
        <v>45684</v>
      </c>
      <c r="AD115">
        <v>0</v>
      </c>
      <c r="AE115">
        <v>8173</v>
      </c>
      <c r="AF115">
        <v>8173</v>
      </c>
      <c r="AG115">
        <v>0</v>
      </c>
      <c r="AH115">
        <v>165</v>
      </c>
    </row>
    <row r="116" spans="2:34" x14ac:dyDescent="0.35">
      <c r="B116" t="s">
        <v>563</v>
      </c>
      <c r="C116">
        <v>45685</v>
      </c>
      <c r="F116" t="s">
        <v>749</v>
      </c>
      <c r="H116">
        <v>101.8</v>
      </c>
      <c r="O116" t="s">
        <v>239</v>
      </c>
      <c r="P116" t="s">
        <v>514</v>
      </c>
      <c r="Y116">
        <v>82</v>
      </c>
      <c r="Z116" s="259" t="s">
        <v>630</v>
      </c>
      <c r="AA116">
        <v>100</v>
      </c>
      <c r="AB116">
        <v>10010</v>
      </c>
      <c r="AC116">
        <v>45685</v>
      </c>
      <c r="AD116">
        <v>0</v>
      </c>
      <c r="AE116">
        <v>10180</v>
      </c>
      <c r="AF116">
        <v>10180</v>
      </c>
      <c r="AG116">
        <v>0</v>
      </c>
      <c r="AH116">
        <v>170</v>
      </c>
    </row>
    <row r="117" spans="2:34" x14ac:dyDescent="0.35">
      <c r="B117" t="s">
        <v>563</v>
      </c>
      <c r="C117">
        <v>45685</v>
      </c>
      <c r="F117" t="s">
        <v>752</v>
      </c>
      <c r="H117">
        <v>195.5</v>
      </c>
      <c r="O117" t="s">
        <v>239</v>
      </c>
      <c r="P117" t="s">
        <v>514</v>
      </c>
      <c r="Y117">
        <v>83</v>
      </c>
      <c r="Z117" s="259" t="s">
        <v>630</v>
      </c>
      <c r="AA117">
        <v>50</v>
      </c>
      <c r="AB117">
        <v>10010</v>
      </c>
      <c r="AC117">
        <v>45685</v>
      </c>
      <c r="AD117">
        <v>0</v>
      </c>
      <c r="AE117">
        <v>9775</v>
      </c>
      <c r="AF117">
        <v>9775</v>
      </c>
      <c r="AG117">
        <v>0</v>
      </c>
      <c r="AH117">
        <v>-235</v>
      </c>
    </row>
    <row r="118" spans="2:34" x14ac:dyDescent="0.35">
      <c r="B118" t="s">
        <v>563</v>
      </c>
      <c r="C118">
        <v>45685</v>
      </c>
      <c r="F118" t="s">
        <v>754</v>
      </c>
      <c r="H118">
        <v>81.8</v>
      </c>
      <c r="O118" t="s">
        <v>239</v>
      </c>
      <c r="P118" t="s">
        <v>514</v>
      </c>
      <c r="Y118">
        <v>84</v>
      </c>
      <c r="Z118" s="259" t="s">
        <v>630</v>
      </c>
      <c r="AA118">
        <v>100</v>
      </c>
      <c r="AB118">
        <v>8008</v>
      </c>
      <c r="AC118">
        <v>45685</v>
      </c>
      <c r="AD118">
        <v>0</v>
      </c>
      <c r="AE118">
        <v>8180</v>
      </c>
      <c r="AF118">
        <v>8180</v>
      </c>
      <c r="AG118">
        <v>0</v>
      </c>
      <c r="AH118">
        <v>172</v>
      </c>
    </row>
    <row r="119" spans="2:34" x14ac:dyDescent="0.35">
      <c r="B119" t="s">
        <v>563</v>
      </c>
      <c r="C119">
        <v>45686</v>
      </c>
      <c r="F119" t="s">
        <v>749</v>
      </c>
      <c r="H119">
        <v>101.87</v>
      </c>
      <c r="O119" t="s">
        <v>239</v>
      </c>
      <c r="P119" t="s">
        <v>514</v>
      </c>
      <c r="Y119">
        <v>85</v>
      </c>
      <c r="Z119" s="259" t="s">
        <v>630</v>
      </c>
      <c r="AA119">
        <v>100</v>
      </c>
      <c r="AB119">
        <v>10010</v>
      </c>
      <c r="AC119">
        <v>45686</v>
      </c>
      <c r="AD119">
        <v>0</v>
      </c>
      <c r="AE119">
        <v>10187</v>
      </c>
      <c r="AF119">
        <v>10187</v>
      </c>
      <c r="AG119">
        <v>0</v>
      </c>
      <c r="AH119">
        <v>177</v>
      </c>
    </row>
    <row r="120" spans="2:34" x14ac:dyDescent="0.35">
      <c r="B120" t="s">
        <v>563</v>
      </c>
      <c r="C120">
        <v>45686</v>
      </c>
      <c r="F120" t="s">
        <v>752</v>
      </c>
      <c r="H120">
        <v>195.33</v>
      </c>
      <c r="O120" t="s">
        <v>239</v>
      </c>
      <c r="P120" t="s">
        <v>514</v>
      </c>
      <c r="Y120">
        <v>86</v>
      </c>
      <c r="Z120" s="259" t="s">
        <v>630</v>
      </c>
      <c r="AA120">
        <v>50</v>
      </c>
      <c r="AB120">
        <v>10010</v>
      </c>
      <c r="AC120">
        <v>45686</v>
      </c>
      <c r="AD120">
        <v>0</v>
      </c>
      <c r="AE120">
        <v>9766.5</v>
      </c>
      <c r="AF120">
        <v>9766.5</v>
      </c>
      <c r="AG120">
        <v>0</v>
      </c>
      <c r="AH120">
        <v>-243.5</v>
      </c>
    </row>
    <row r="121" spans="2:34" x14ac:dyDescent="0.35">
      <c r="B121" t="s">
        <v>563</v>
      </c>
      <c r="C121">
        <v>45686</v>
      </c>
      <c r="F121" t="s">
        <v>754</v>
      </c>
      <c r="H121">
        <v>81.87</v>
      </c>
      <c r="O121" t="s">
        <v>239</v>
      </c>
      <c r="P121" t="s">
        <v>514</v>
      </c>
      <c r="Y121">
        <v>87</v>
      </c>
      <c r="Z121" s="259" t="s">
        <v>630</v>
      </c>
      <c r="AA121">
        <v>100</v>
      </c>
      <c r="AB121">
        <v>8008</v>
      </c>
      <c r="AC121">
        <v>45686</v>
      </c>
      <c r="AD121">
        <v>0</v>
      </c>
      <c r="AE121">
        <v>8187</v>
      </c>
      <c r="AF121">
        <v>8187</v>
      </c>
      <c r="AG121">
        <v>0</v>
      </c>
      <c r="AH121">
        <v>179</v>
      </c>
    </row>
    <row r="122" spans="2:34" x14ac:dyDescent="0.35">
      <c r="B122" t="s">
        <v>563</v>
      </c>
      <c r="C122">
        <v>45687</v>
      </c>
      <c r="F122" t="s">
        <v>749</v>
      </c>
      <c r="H122">
        <v>101.93</v>
      </c>
      <c r="O122" t="s">
        <v>239</v>
      </c>
      <c r="P122" t="s">
        <v>514</v>
      </c>
      <c r="Y122">
        <v>88</v>
      </c>
      <c r="Z122" s="259" t="s">
        <v>630</v>
      </c>
      <c r="AA122">
        <v>100</v>
      </c>
      <c r="AB122">
        <v>10010</v>
      </c>
      <c r="AC122">
        <v>45687</v>
      </c>
      <c r="AD122">
        <v>0</v>
      </c>
      <c r="AE122">
        <v>10193</v>
      </c>
      <c r="AF122">
        <v>10193</v>
      </c>
      <c r="AG122">
        <v>0</v>
      </c>
      <c r="AH122">
        <v>183</v>
      </c>
    </row>
    <row r="123" spans="2:34" x14ac:dyDescent="0.35">
      <c r="B123" t="s">
        <v>563</v>
      </c>
      <c r="C123">
        <v>45687</v>
      </c>
      <c r="F123" t="s">
        <v>752</v>
      </c>
      <c r="H123">
        <v>195.17</v>
      </c>
      <c r="O123" t="s">
        <v>239</v>
      </c>
      <c r="P123" t="s">
        <v>514</v>
      </c>
      <c r="Y123">
        <v>89</v>
      </c>
      <c r="Z123" s="259" t="s">
        <v>630</v>
      </c>
      <c r="AA123">
        <v>50</v>
      </c>
      <c r="AB123">
        <v>10010</v>
      </c>
      <c r="AC123">
        <v>45687</v>
      </c>
      <c r="AD123">
        <v>0</v>
      </c>
      <c r="AE123">
        <v>9758.5</v>
      </c>
      <c r="AF123">
        <v>9758.5</v>
      </c>
      <c r="AG123">
        <v>0</v>
      </c>
      <c r="AH123">
        <v>-251.5</v>
      </c>
    </row>
    <row r="124" spans="2:34" x14ac:dyDescent="0.35">
      <c r="B124" t="s">
        <v>563</v>
      </c>
      <c r="C124">
        <v>45687</v>
      </c>
      <c r="F124" t="s">
        <v>754</v>
      </c>
      <c r="H124">
        <v>81.93</v>
      </c>
      <c r="O124" t="s">
        <v>239</v>
      </c>
      <c r="P124" t="s">
        <v>514</v>
      </c>
      <c r="Y124">
        <v>90</v>
      </c>
      <c r="Z124" s="259" t="s">
        <v>630</v>
      </c>
      <c r="AA124">
        <v>100</v>
      </c>
      <c r="AB124">
        <v>8008</v>
      </c>
      <c r="AC124">
        <v>45687</v>
      </c>
      <c r="AD124">
        <v>0</v>
      </c>
      <c r="AE124">
        <v>8193</v>
      </c>
      <c r="AF124">
        <v>8193</v>
      </c>
      <c r="AG124">
        <v>0</v>
      </c>
      <c r="AH124">
        <v>185</v>
      </c>
    </row>
    <row r="125" spans="2:34" x14ac:dyDescent="0.35">
      <c r="B125" t="s">
        <v>563</v>
      </c>
      <c r="C125">
        <v>45688</v>
      </c>
      <c r="F125" t="s">
        <v>749</v>
      </c>
      <c r="H125">
        <v>102</v>
      </c>
      <c r="O125" t="s">
        <v>239</v>
      </c>
      <c r="P125" t="s">
        <v>514</v>
      </c>
      <c r="Y125">
        <v>91</v>
      </c>
      <c r="Z125" s="259" t="s">
        <v>630</v>
      </c>
      <c r="AA125">
        <v>100</v>
      </c>
      <c r="AB125">
        <v>10010</v>
      </c>
      <c r="AC125">
        <v>45688</v>
      </c>
      <c r="AD125">
        <v>0</v>
      </c>
      <c r="AE125">
        <v>10200</v>
      </c>
      <c r="AF125">
        <v>10200</v>
      </c>
      <c r="AG125">
        <v>0</v>
      </c>
      <c r="AH125">
        <v>190</v>
      </c>
    </row>
    <row r="126" spans="2:34" x14ac:dyDescent="0.35">
      <c r="B126" t="s">
        <v>563</v>
      </c>
      <c r="C126">
        <v>45688</v>
      </c>
      <c r="F126" t="s">
        <v>752</v>
      </c>
      <c r="H126">
        <v>195</v>
      </c>
      <c r="O126" t="s">
        <v>239</v>
      </c>
      <c r="P126" t="s">
        <v>514</v>
      </c>
      <c r="Y126">
        <v>92</v>
      </c>
      <c r="Z126" s="259" t="s">
        <v>630</v>
      </c>
      <c r="AA126">
        <v>50</v>
      </c>
      <c r="AB126">
        <v>10010</v>
      </c>
      <c r="AC126">
        <v>45688</v>
      </c>
      <c r="AD126">
        <v>0</v>
      </c>
      <c r="AE126">
        <v>9750</v>
      </c>
      <c r="AF126">
        <v>9750</v>
      </c>
      <c r="AG126">
        <v>0</v>
      </c>
      <c r="AH126">
        <v>-260</v>
      </c>
    </row>
    <row r="127" spans="2:34" x14ac:dyDescent="0.35">
      <c r="B127" t="s">
        <v>563</v>
      </c>
      <c r="C127">
        <v>45688</v>
      </c>
      <c r="F127" t="s">
        <v>754</v>
      </c>
      <c r="H127">
        <v>82</v>
      </c>
      <c r="O127" t="s">
        <v>239</v>
      </c>
      <c r="P127" t="s">
        <v>514</v>
      </c>
      <c r="Y127">
        <v>93</v>
      </c>
      <c r="Z127" s="259" t="s">
        <v>630</v>
      </c>
      <c r="AA127">
        <v>100</v>
      </c>
      <c r="AB127">
        <v>8008</v>
      </c>
      <c r="AC127">
        <v>45688</v>
      </c>
      <c r="AD127">
        <v>0</v>
      </c>
      <c r="AE127">
        <v>8200</v>
      </c>
      <c r="AF127">
        <v>8200</v>
      </c>
      <c r="AG127">
        <v>0</v>
      </c>
      <c r="AH127">
        <v>192</v>
      </c>
    </row>
    <row r="128" spans="2:34" x14ac:dyDescent="0.35">
      <c r="B128" t="s">
        <v>563</v>
      </c>
      <c r="C128">
        <v>45689</v>
      </c>
      <c r="F128" t="s">
        <v>749</v>
      </c>
      <c r="H128">
        <v>102</v>
      </c>
      <c r="O128" t="s">
        <v>239</v>
      </c>
      <c r="P128" t="s">
        <v>514</v>
      </c>
      <c r="Y128">
        <v>94</v>
      </c>
      <c r="Z128" s="259" t="s">
        <v>630</v>
      </c>
      <c r="AA128">
        <v>100</v>
      </c>
      <c r="AB128">
        <v>10010</v>
      </c>
      <c r="AC128">
        <v>45688</v>
      </c>
      <c r="AD128">
        <v>1</v>
      </c>
      <c r="AE128">
        <v>10200</v>
      </c>
      <c r="AF128">
        <v>10200</v>
      </c>
      <c r="AG128">
        <v>0</v>
      </c>
      <c r="AH128">
        <v>190</v>
      </c>
    </row>
    <row r="129" spans="2:34" x14ac:dyDescent="0.35">
      <c r="B129" t="s">
        <v>563</v>
      </c>
      <c r="C129">
        <v>45689</v>
      </c>
      <c r="F129" t="s">
        <v>752</v>
      </c>
      <c r="H129">
        <v>195</v>
      </c>
      <c r="O129" t="s">
        <v>239</v>
      </c>
      <c r="P129" t="s">
        <v>514</v>
      </c>
      <c r="Y129">
        <v>95</v>
      </c>
      <c r="Z129" s="259" t="s">
        <v>630</v>
      </c>
      <c r="AA129">
        <v>50</v>
      </c>
      <c r="AB129">
        <v>10010</v>
      </c>
      <c r="AC129">
        <v>45688</v>
      </c>
      <c r="AD129">
        <v>1</v>
      </c>
      <c r="AE129">
        <v>9750</v>
      </c>
      <c r="AF129">
        <v>9750</v>
      </c>
      <c r="AG129">
        <v>0</v>
      </c>
      <c r="AH129">
        <v>-260</v>
      </c>
    </row>
    <row r="130" spans="2:34" x14ac:dyDescent="0.35">
      <c r="B130" t="s">
        <v>563</v>
      </c>
      <c r="C130">
        <v>45689</v>
      </c>
      <c r="F130" t="s">
        <v>754</v>
      </c>
      <c r="H130">
        <v>82</v>
      </c>
      <c r="O130" t="s">
        <v>239</v>
      </c>
      <c r="P130" t="s">
        <v>514</v>
      </c>
      <c r="Y130">
        <v>96</v>
      </c>
      <c r="Z130" s="259" t="s">
        <v>630</v>
      </c>
      <c r="AA130">
        <v>100</v>
      </c>
      <c r="AB130">
        <v>8008</v>
      </c>
      <c r="AC130">
        <v>45688</v>
      </c>
      <c r="AD130">
        <v>1</v>
      </c>
      <c r="AE130">
        <v>8200</v>
      </c>
      <c r="AF130">
        <v>8200</v>
      </c>
      <c r="AG130">
        <v>0</v>
      </c>
      <c r="AH130">
        <v>192</v>
      </c>
    </row>
    <row r="131" spans="2:34" x14ac:dyDescent="0.35">
      <c r="B131" t="s">
        <v>563</v>
      </c>
      <c r="C131">
        <v>45690</v>
      </c>
      <c r="F131" t="s">
        <v>749</v>
      </c>
      <c r="H131">
        <v>102</v>
      </c>
      <c r="O131" t="s">
        <v>239</v>
      </c>
      <c r="P131" t="s">
        <v>514</v>
      </c>
      <c r="Y131">
        <v>97</v>
      </c>
      <c r="Z131" s="259" t="s">
        <v>630</v>
      </c>
      <c r="AA131">
        <v>100</v>
      </c>
      <c r="AB131">
        <v>10010</v>
      </c>
      <c r="AC131">
        <v>45688</v>
      </c>
      <c r="AD131">
        <v>2</v>
      </c>
      <c r="AE131">
        <v>10200</v>
      </c>
      <c r="AF131">
        <v>10200</v>
      </c>
      <c r="AG131">
        <v>0</v>
      </c>
      <c r="AH131">
        <v>190</v>
      </c>
    </row>
    <row r="132" spans="2:34" x14ac:dyDescent="0.35">
      <c r="B132" t="s">
        <v>563</v>
      </c>
      <c r="C132">
        <v>45690</v>
      </c>
      <c r="F132" t="s">
        <v>752</v>
      </c>
      <c r="H132">
        <v>195</v>
      </c>
      <c r="O132" t="s">
        <v>239</v>
      </c>
      <c r="P132" t="s">
        <v>514</v>
      </c>
      <c r="Y132">
        <v>98</v>
      </c>
      <c r="Z132" s="259" t="s">
        <v>630</v>
      </c>
      <c r="AA132">
        <v>50</v>
      </c>
      <c r="AB132">
        <v>10010</v>
      </c>
      <c r="AC132">
        <v>45688</v>
      </c>
      <c r="AD132">
        <v>2</v>
      </c>
      <c r="AE132">
        <v>9750</v>
      </c>
      <c r="AF132">
        <v>9750</v>
      </c>
      <c r="AG132">
        <v>0</v>
      </c>
      <c r="AH132">
        <v>-260</v>
      </c>
    </row>
    <row r="133" spans="2:34" x14ac:dyDescent="0.35">
      <c r="B133" t="s">
        <v>563</v>
      </c>
      <c r="C133">
        <v>45690</v>
      </c>
      <c r="F133" t="s">
        <v>754</v>
      </c>
      <c r="H133">
        <v>82</v>
      </c>
      <c r="O133" t="s">
        <v>239</v>
      </c>
      <c r="P133" t="s">
        <v>514</v>
      </c>
      <c r="Y133">
        <v>99</v>
      </c>
      <c r="Z133" s="259" t="s">
        <v>630</v>
      </c>
      <c r="AA133">
        <v>100</v>
      </c>
      <c r="AB133">
        <v>8008</v>
      </c>
      <c r="AC133">
        <v>45688</v>
      </c>
      <c r="AD133">
        <v>2</v>
      </c>
      <c r="AE133">
        <v>8200</v>
      </c>
      <c r="AF133">
        <v>8200</v>
      </c>
      <c r="AG133">
        <v>0</v>
      </c>
      <c r="AH133">
        <v>192</v>
      </c>
    </row>
    <row r="134" spans="2:34" x14ac:dyDescent="0.35">
      <c r="B134" t="s">
        <v>563</v>
      </c>
      <c r="C134">
        <v>45691</v>
      </c>
      <c r="F134" t="s">
        <v>749</v>
      </c>
      <c r="H134">
        <v>101.63</v>
      </c>
      <c r="O134" t="s">
        <v>239</v>
      </c>
      <c r="P134" t="s">
        <v>514</v>
      </c>
      <c r="Y134">
        <v>100</v>
      </c>
      <c r="Z134" s="259" t="s">
        <v>630</v>
      </c>
      <c r="AA134">
        <v>100</v>
      </c>
      <c r="AB134">
        <v>10010</v>
      </c>
      <c r="AC134">
        <v>45691</v>
      </c>
      <c r="AD134">
        <v>0</v>
      </c>
      <c r="AE134">
        <v>10163</v>
      </c>
      <c r="AF134">
        <v>10163</v>
      </c>
      <c r="AG134">
        <v>0</v>
      </c>
      <c r="AH134">
        <v>153</v>
      </c>
    </row>
    <row r="135" spans="2:34" x14ac:dyDescent="0.35">
      <c r="B135" t="s">
        <v>563</v>
      </c>
      <c r="C135">
        <v>45691</v>
      </c>
      <c r="F135" t="s">
        <v>752</v>
      </c>
      <c r="H135">
        <v>195.44</v>
      </c>
      <c r="O135" t="s">
        <v>239</v>
      </c>
      <c r="P135" t="s">
        <v>514</v>
      </c>
      <c r="Y135">
        <v>101</v>
      </c>
      <c r="Z135" s="259" t="s">
        <v>630</v>
      </c>
      <c r="AA135">
        <v>50</v>
      </c>
      <c r="AB135">
        <v>10010</v>
      </c>
      <c r="AC135">
        <v>45691</v>
      </c>
      <c r="AD135">
        <v>0</v>
      </c>
      <c r="AE135">
        <v>9772</v>
      </c>
      <c r="AF135">
        <v>9772</v>
      </c>
      <c r="AG135">
        <v>0</v>
      </c>
      <c r="AH135">
        <v>-238</v>
      </c>
    </row>
    <row r="136" spans="2:34" x14ac:dyDescent="0.35">
      <c r="B136" t="s">
        <v>563</v>
      </c>
      <c r="C136">
        <v>45691</v>
      </c>
      <c r="F136" t="s">
        <v>754</v>
      </c>
      <c r="H136">
        <v>81.7</v>
      </c>
      <c r="O136" t="s">
        <v>239</v>
      </c>
      <c r="P136" t="s">
        <v>514</v>
      </c>
      <c r="Y136">
        <v>102</v>
      </c>
      <c r="Z136" s="259" t="s">
        <v>630</v>
      </c>
      <c r="AA136">
        <v>100</v>
      </c>
      <c r="AB136">
        <v>8008</v>
      </c>
      <c r="AC136">
        <v>45691</v>
      </c>
      <c r="AD136">
        <v>0</v>
      </c>
      <c r="AE136">
        <v>8170</v>
      </c>
      <c r="AF136">
        <v>8170</v>
      </c>
      <c r="AG136">
        <v>0</v>
      </c>
      <c r="AH136">
        <v>162</v>
      </c>
    </row>
    <row r="137" spans="2:34" x14ac:dyDescent="0.35">
      <c r="B137" t="s">
        <v>563</v>
      </c>
      <c r="C137">
        <v>45692</v>
      </c>
      <c r="F137" t="s">
        <v>749</v>
      </c>
      <c r="H137">
        <v>101.44</v>
      </c>
      <c r="O137" t="s">
        <v>239</v>
      </c>
      <c r="P137" t="s">
        <v>514</v>
      </c>
      <c r="Y137">
        <v>103</v>
      </c>
      <c r="Z137" s="259" t="s">
        <v>630</v>
      </c>
      <c r="AA137">
        <v>100</v>
      </c>
      <c r="AB137">
        <v>10010</v>
      </c>
      <c r="AC137">
        <v>45692</v>
      </c>
      <c r="AD137">
        <v>0</v>
      </c>
      <c r="AE137">
        <v>10144</v>
      </c>
      <c r="AF137">
        <v>10144</v>
      </c>
      <c r="AG137">
        <v>0</v>
      </c>
      <c r="AH137">
        <v>134</v>
      </c>
    </row>
    <row r="138" spans="2:34" x14ac:dyDescent="0.35">
      <c r="B138" t="s">
        <v>563</v>
      </c>
      <c r="C138">
        <v>45692</v>
      </c>
      <c r="F138" t="s">
        <v>752</v>
      </c>
      <c r="H138">
        <v>195.67</v>
      </c>
      <c r="O138" t="s">
        <v>239</v>
      </c>
      <c r="P138" t="s">
        <v>514</v>
      </c>
      <c r="Y138">
        <v>104</v>
      </c>
      <c r="Z138" s="259" t="s">
        <v>630</v>
      </c>
      <c r="AA138">
        <v>50</v>
      </c>
      <c r="AB138">
        <v>10010</v>
      </c>
      <c r="AC138">
        <v>45692</v>
      </c>
      <c r="AD138">
        <v>0</v>
      </c>
      <c r="AE138">
        <v>9783.5</v>
      </c>
      <c r="AF138">
        <v>9783.5</v>
      </c>
      <c r="AG138">
        <v>0</v>
      </c>
      <c r="AH138">
        <v>-226.5</v>
      </c>
    </row>
    <row r="139" spans="2:34" x14ac:dyDescent="0.35">
      <c r="B139" t="s">
        <v>563</v>
      </c>
      <c r="C139">
        <v>45692</v>
      </c>
      <c r="F139" t="s">
        <v>754</v>
      </c>
      <c r="H139">
        <v>81.56</v>
      </c>
      <c r="O139" t="s">
        <v>239</v>
      </c>
      <c r="P139" t="s">
        <v>514</v>
      </c>
      <c r="Y139">
        <v>105</v>
      </c>
      <c r="Z139" s="259" t="s">
        <v>630</v>
      </c>
      <c r="AA139">
        <v>100</v>
      </c>
      <c r="AB139">
        <v>8008</v>
      </c>
      <c r="AC139">
        <v>45692</v>
      </c>
      <c r="AD139">
        <v>0</v>
      </c>
      <c r="AE139">
        <v>8156</v>
      </c>
      <c r="AF139">
        <v>8156</v>
      </c>
      <c r="AG139">
        <v>0</v>
      </c>
      <c r="AH139">
        <v>148</v>
      </c>
    </row>
    <row r="140" spans="2:34" x14ac:dyDescent="0.35">
      <c r="B140" t="s">
        <v>563</v>
      </c>
      <c r="C140">
        <v>45693</v>
      </c>
      <c r="F140" t="s">
        <v>749</v>
      </c>
      <c r="H140">
        <v>101.26</v>
      </c>
      <c r="O140" t="s">
        <v>239</v>
      </c>
      <c r="P140" t="s">
        <v>514</v>
      </c>
      <c r="Y140">
        <v>106</v>
      </c>
      <c r="Z140" s="259" t="s">
        <v>630</v>
      </c>
      <c r="AA140">
        <v>100</v>
      </c>
      <c r="AB140">
        <v>10010</v>
      </c>
      <c r="AC140">
        <v>45693</v>
      </c>
      <c r="AD140">
        <v>0</v>
      </c>
      <c r="AE140">
        <v>10126</v>
      </c>
      <c r="AF140">
        <v>10126</v>
      </c>
      <c r="AG140">
        <v>0</v>
      </c>
      <c r="AH140">
        <v>116</v>
      </c>
    </row>
    <row r="141" spans="2:34" x14ac:dyDescent="0.35">
      <c r="B141" t="s">
        <v>563</v>
      </c>
      <c r="C141">
        <v>45693</v>
      </c>
      <c r="F141" t="s">
        <v>752</v>
      </c>
      <c r="H141">
        <v>195.89</v>
      </c>
      <c r="O141" t="s">
        <v>239</v>
      </c>
      <c r="P141" t="s">
        <v>514</v>
      </c>
      <c r="Y141">
        <v>107</v>
      </c>
      <c r="Z141" s="259" t="s">
        <v>630</v>
      </c>
      <c r="AA141">
        <v>50</v>
      </c>
      <c r="AB141">
        <v>10010</v>
      </c>
      <c r="AC141">
        <v>45693</v>
      </c>
      <c r="AD141">
        <v>0</v>
      </c>
      <c r="AE141">
        <v>9794.5</v>
      </c>
      <c r="AF141">
        <v>9794.5</v>
      </c>
      <c r="AG141">
        <v>0</v>
      </c>
      <c r="AH141">
        <v>-215.5</v>
      </c>
    </row>
    <row r="142" spans="2:34" x14ac:dyDescent="0.35">
      <c r="B142" t="s">
        <v>563</v>
      </c>
      <c r="C142">
        <v>45693</v>
      </c>
      <c r="F142" t="s">
        <v>754</v>
      </c>
      <c r="H142">
        <v>81.41</v>
      </c>
      <c r="O142" t="s">
        <v>239</v>
      </c>
      <c r="P142" t="s">
        <v>514</v>
      </c>
      <c r="Y142">
        <v>108</v>
      </c>
      <c r="Z142" s="259" t="s">
        <v>630</v>
      </c>
      <c r="AA142">
        <v>100</v>
      </c>
      <c r="AB142">
        <v>8008</v>
      </c>
      <c r="AC142">
        <v>45693</v>
      </c>
      <c r="AD142">
        <v>0</v>
      </c>
      <c r="AE142">
        <v>8141</v>
      </c>
      <c r="AF142">
        <v>8141</v>
      </c>
      <c r="AG142">
        <v>0</v>
      </c>
      <c r="AH142">
        <v>133</v>
      </c>
    </row>
    <row r="143" spans="2:34" x14ac:dyDescent="0.35">
      <c r="B143" t="s">
        <v>563</v>
      </c>
      <c r="C143">
        <v>45694</v>
      </c>
      <c r="F143" t="s">
        <v>749</v>
      </c>
      <c r="H143">
        <v>101.07</v>
      </c>
      <c r="O143" t="s">
        <v>239</v>
      </c>
      <c r="P143" t="s">
        <v>514</v>
      </c>
      <c r="Y143">
        <v>109</v>
      </c>
      <c r="Z143" s="259" t="s">
        <v>630</v>
      </c>
      <c r="AA143">
        <v>100</v>
      </c>
      <c r="AB143">
        <v>10010</v>
      </c>
      <c r="AC143">
        <v>45694</v>
      </c>
      <c r="AD143">
        <v>0</v>
      </c>
      <c r="AE143">
        <v>10107</v>
      </c>
      <c r="AF143">
        <v>10107</v>
      </c>
      <c r="AG143">
        <v>0</v>
      </c>
      <c r="AH143">
        <v>97</v>
      </c>
    </row>
    <row r="144" spans="2:34" x14ac:dyDescent="0.35">
      <c r="B144" t="s">
        <v>563</v>
      </c>
      <c r="C144">
        <v>45694</v>
      </c>
      <c r="F144" t="s">
        <v>752</v>
      </c>
      <c r="H144">
        <v>196.11</v>
      </c>
      <c r="O144" t="s">
        <v>239</v>
      </c>
      <c r="P144" t="s">
        <v>514</v>
      </c>
      <c r="Y144">
        <v>110</v>
      </c>
      <c r="Z144" s="259" t="s">
        <v>630</v>
      </c>
      <c r="AA144">
        <v>50</v>
      </c>
      <c r="AB144">
        <v>10010</v>
      </c>
      <c r="AC144">
        <v>45694</v>
      </c>
      <c r="AD144">
        <v>0</v>
      </c>
      <c r="AE144">
        <v>9805.5</v>
      </c>
      <c r="AF144">
        <v>9805.5</v>
      </c>
      <c r="AG144">
        <v>0</v>
      </c>
      <c r="AH144">
        <v>-204.5</v>
      </c>
    </row>
    <row r="145" spans="2:34" x14ac:dyDescent="0.35">
      <c r="B145" t="s">
        <v>563</v>
      </c>
      <c r="C145">
        <v>45694</v>
      </c>
      <c r="F145" t="s">
        <v>754</v>
      </c>
      <c r="H145">
        <v>81.260000000000005</v>
      </c>
      <c r="O145" t="s">
        <v>239</v>
      </c>
      <c r="P145" t="s">
        <v>514</v>
      </c>
      <c r="Y145">
        <v>111</v>
      </c>
      <c r="Z145" s="259" t="s">
        <v>630</v>
      </c>
      <c r="AA145">
        <v>100</v>
      </c>
      <c r="AB145">
        <v>8008</v>
      </c>
      <c r="AC145">
        <v>45694</v>
      </c>
      <c r="AD145">
        <v>0</v>
      </c>
      <c r="AE145">
        <v>8126.0000000000009</v>
      </c>
      <c r="AF145">
        <v>8126.0000000000009</v>
      </c>
      <c r="AG145">
        <v>0</v>
      </c>
      <c r="AH145">
        <v>118.00000000000091</v>
      </c>
    </row>
    <row r="146" spans="2:34" x14ac:dyDescent="0.35">
      <c r="B146" t="s">
        <v>563</v>
      </c>
      <c r="C146">
        <v>45695</v>
      </c>
      <c r="F146" t="s">
        <v>749</v>
      </c>
      <c r="H146">
        <v>100.89</v>
      </c>
      <c r="O146" t="s">
        <v>239</v>
      </c>
      <c r="P146" t="s">
        <v>514</v>
      </c>
      <c r="Y146">
        <v>112</v>
      </c>
      <c r="Z146" s="259" t="s">
        <v>630</v>
      </c>
      <c r="AA146">
        <v>100</v>
      </c>
      <c r="AB146">
        <v>10010</v>
      </c>
      <c r="AC146">
        <v>45695</v>
      </c>
      <c r="AD146">
        <v>0</v>
      </c>
      <c r="AE146">
        <v>10089</v>
      </c>
      <c r="AF146">
        <v>10089</v>
      </c>
      <c r="AG146">
        <v>0</v>
      </c>
      <c r="AH146">
        <v>79</v>
      </c>
    </row>
    <row r="147" spans="2:34" x14ac:dyDescent="0.35">
      <c r="B147" t="s">
        <v>563</v>
      </c>
      <c r="C147">
        <v>45695</v>
      </c>
      <c r="F147" t="s">
        <v>752</v>
      </c>
      <c r="H147">
        <v>196.33</v>
      </c>
      <c r="O147" t="s">
        <v>239</v>
      </c>
      <c r="P147" t="s">
        <v>514</v>
      </c>
      <c r="Y147">
        <v>113</v>
      </c>
      <c r="Z147" s="259" t="s">
        <v>630</v>
      </c>
      <c r="AA147">
        <v>50</v>
      </c>
      <c r="AB147">
        <v>10010</v>
      </c>
      <c r="AC147">
        <v>45695</v>
      </c>
      <c r="AD147">
        <v>0</v>
      </c>
      <c r="AE147">
        <v>9816.5</v>
      </c>
      <c r="AF147">
        <v>9816.5</v>
      </c>
      <c r="AG147">
        <v>0</v>
      </c>
      <c r="AH147">
        <v>-193.5</v>
      </c>
    </row>
    <row r="148" spans="2:34" x14ac:dyDescent="0.35">
      <c r="B148" t="s">
        <v>563</v>
      </c>
      <c r="C148">
        <v>45695</v>
      </c>
      <c r="F148" t="s">
        <v>754</v>
      </c>
      <c r="H148">
        <v>81.11</v>
      </c>
      <c r="O148" t="s">
        <v>239</v>
      </c>
      <c r="P148" t="s">
        <v>514</v>
      </c>
      <c r="Y148">
        <v>114</v>
      </c>
      <c r="Z148" s="259" t="s">
        <v>630</v>
      </c>
      <c r="AA148">
        <v>100</v>
      </c>
      <c r="AB148">
        <v>8008</v>
      </c>
      <c r="AC148">
        <v>45695</v>
      </c>
      <c r="AD148">
        <v>0</v>
      </c>
      <c r="AE148">
        <v>8111</v>
      </c>
      <c r="AF148">
        <v>8111</v>
      </c>
      <c r="AG148">
        <v>0</v>
      </c>
      <c r="AH148">
        <v>103</v>
      </c>
    </row>
    <row r="149" spans="2:34" x14ac:dyDescent="0.35">
      <c r="B149" t="s">
        <v>563</v>
      </c>
      <c r="C149">
        <v>45696</v>
      </c>
      <c r="F149" t="s">
        <v>749</v>
      </c>
      <c r="H149">
        <v>100.89</v>
      </c>
      <c r="O149" t="s">
        <v>239</v>
      </c>
      <c r="P149" t="s">
        <v>514</v>
      </c>
      <c r="Y149">
        <v>115</v>
      </c>
      <c r="Z149" s="259" t="s">
        <v>630</v>
      </c>
      <c r="AA149">
        <v>100</v>
      </c>
      <c r="AB149">
        <v>10010</v>
      </c>
      <c r="AC149">
        <v>45695</v>
      </c>
      <c r="AD149">
        <v>1</v>
      </c>
      <c r="AE149">
        <v>10089</v>
      </c>
      <c r="AF149">
        <v>10089</v>
      </c>
      <c r="AG149">
        <v>0</v>
      </c>
      <c r="AH149">
        <v>79</v>
      </c>
    </row>
    <row r="150" spans="2:34" x14ac:dyDescent="0.35">
      <c r="B150" t="s">
        <v>563</v>
      </c>
      <c r="C150">
        <v>45696</v>
      </c>
      <c r="F150" t="s">
        <v>752</v>
      </c>
      <c r="H150">
        <v>196.33</v>
      </c>
      <c r="O150" t="s">
        <v>239</v>
      </c>
      <c r="P150" t="s">
        <v>514</v>
      </c>
      <c r="Y150">
        <v>116</v>
      </c>
      <c r="Z150" s="259" t="s">
        <v>630</v>
      </c>
      <c r="AA150">
        <v>50</v>
      </c>
      <c r="AB150">
        <v>10010</v>
      </c>
      <c r="AC150">
        <v>45695</v>
      </c>
      <c r="AD150">
        <v>1</v>
      </c>
      <c r="AE150">
        <v>9816.5</v>
      </c>
      <c r="AF150">
        <v>9816.5</v>
      </c>
      <c r="AG150">
        <v>0</v>
      </c>
      <c r="AH150">
        <v>-193.5</v>
      </c>
    </row>
    <row r="151" spans="2:34" x14ac:dyDescent="0.35">
      <c r="B151" t="s">
        <v>563</v>
      </c>
      <c r="C151">
        <v>45696</v>
      </c>
      <c r="F151" t="s">
        <v>754</v>
      </c>
      <c r="H151">
        <v>81.11</v>
      </c>
      <c r="O151" t="s">
        <v>239</v>
      </c>
      <c r="P151" t="s">
        <v>514</v>
      </c>
      <c r="Y151">
        <v>117</v>
      </c>
      <c r="Z151" s="259" t="s">
        <v>630</v>
      </c>
      <c r="AA151">
        <v>100</v>
      </c>
      <c r="AB151">
        <v>8008</v>
      </c>
      <c r="AC151">
        <v>45695</v>
      </c>
      <c r="AD151">
        <v>1</v>
      </c>
      <c r="AE151">
        <v>8111</v>
      </c>
      <c r="AF151">
        <v>8111</v>
      </c>
      <c r="AG151">
        <v>0</v>
      </c>
      <c r="AH151">
        <v>103</v>
      </c>
    </row>
    <row r="152" spans="2:34" x14ac:dyDescent="0.35">
      <c r="B152" t="s">
        <v>563</v>
      </c>
      <c r="C152">
        <v>45697</v>
      </c>
      <c r="F152" t="s">
        <v>749</v>
      </c>
      <c r="H152">
        <v>100.89</v>
      </c>
      <c r="O152" t="s">
        <v>239</v>
      </c>
      <c r="P152" t="s">
        <v>514</v>
      </c>
      <c r="Y152">
        <v>118</v>
      </c>
      <c r="Z152" s="259" t="s">
        <v>630</v>
      </c>
      <c r="AA152">
        <v>100</v>
      </c>
      <c r="AB152">
        <v>10010</v>
      </c>
      <c r="AC152">
        <v>45695</v>
      </c>
      <c r="AD152">
        <v>2</v>
      </c>
      <c r="AE152">
        <v>10089</v>
      </c>
      <c r="AF152">
        <v>10089</v>
      </c>
      <c r="AG152">
        <v>0</v>
      </c>
      <c r="AH152">
        <v>79</v>
      </c>
    </row>
    <row r="153" spans="2:34" x14ac:dyDescent="0.35">
      <c r="B153" t="s">
        <v>563</v>
      </c>
      <c r="C153">
        <v>45697</v>
      </c>
      <c r="F153" t="s">
        <v>752</v>
      </c>
      <c r="H153">
        <v>196.33</v>
      </c>
      <c r="O153" t="s">
        <v>239</v>
      </c>
      <c r="P153" t="s">
        <v>514</v>
      </c>
      <c r="Y153">
        <v>119</v>
      </c>
      <c r="Z153" s="259" t="s">
        <v>630</v>
      </c>
      <c r="AA153">
        <v>50</v>
      </c>
      <c r="AB153">
        <v>10010</v>
      </c>
      <c r="AC153">
        <v>45695</v>
      </c>
      <c r="AD153">
        <v>2</v>
      </c>
      <c r="AE153">
        <v>9816.5</v>
      </c>
      <c r="AF153">
        <v>9816.5</v>
      </c>
      <c r="AG153">
        <v>0</v>
      </c>
      <c r="AH153">
        <v>-193.5</v>
      </c>
    </row>
    <row r="154" spans="2:34" x14ac:dyDescent="0.35">
      <c r="B154" t="s">
        <v>563</v>
      </c>
      <c r="C154">
        <v>45697</v>
      </c>
      <c r="F154" t="s">
        <v>754</v>
      </c>
      <c r="H154">
        <v>81.11</v>
      </c>
      <c r="O154" t="s">
        <v>239</v>
      </c>
      <c r="P154" t="s">
        <v>514</v>
      </c>
      <c r="Y154">
        <v>120</v>
      </c>
      <c r="Z154" s="259" t="s">
        <v>630</v>
      </c>
      <c r="AA154">
        <v>100</v>
      </c>
      <c r="AB154">
        <v>8008</v>
      </c>
      <c r="AC154">
        <v>45695</v>
      </c>
      <c r="AD154">
        <v>2</v>
      </c>
      <c r="AE154">
        <v>8111</v>
      </c>
      <c r="AF154">
        <v>8111</v>
      </c>
      <c r="AG154">
        <v>0</v>
      </c>
      <c r="AH154">
        <v>103</v>
      </c>
    </row>
    <row r="155" spans="2:34" x14ac:dyDescent="0.35">
      <c r="B155" t="s">
        <v>563</v>
      </c>
      <c r="C155">
        <v>45698</v>
      </c>
      <c r="F155" t="s">
        <v>749</v>
      </c>
      <c r="H155">
        <v>100.33</v>
      </c>
      <c r="O155" t="s">
        <v>239</v>
      </c>
      <c r="P155" t="s">
        <v>514</v>
      </c>
      <c r="Y155">
        <v>121</v>
      </c>
      <c r="Z155" s="259" t="s">
        <v>630</v>
      </c>
      <c r="AA155">
        <v>100</v>
      </c>
      <c r="AB155">
        <v>10010</v>
      </c>
      <c r="AC155">
        <v>45698</v>
      </c>
      <c r="AD155">
        <v>0</v>
      </c>
      <c r="AE155">
        <v>10033</v>
      </c>
      <c r="AF155">
        <v>10033</v>
      </c>
      <c r="AG155">
        <v>0</v>
      </c>
      <c r="AH155">
        <v>23</v>
      </c>
    </row>
    <row r="156" spans="2:34" x14ac:dyDescent="0.35">
      <c r="B156" t="s">
        <v>563</v>
      </c>
      <c r="C156">
        <v>45698</v>
      </c>
      <c r="F156" t="s">
        <v>752</v>
      </c>
      <c r="H156">
        <v>197</v>
      </c>
      <c r="O156" t="s">
        <v>239</v>
      </c>
      <c r="P156" t="s">
        <v>514</v>
      </c>
      <c r="Y156">
        <v>122</v>
      </c>
      <c r="Z156" s="259" t="s">
        <v>630</v>
      </c>
      <c r="AA156">
        <v>50</v>
      </c>
      <c r="AB156">
        <v>10010</v>
      </c>
      <c r="AC156">
        <v>45698</v>
      </c>
      <c r="AD156">
        <v>0</v>
      </c>
      <c r="AE156">
        <v>9850</v>
      </c>
      <c r="AF156">
        <v>9850</v>
      </c>
      <c r="AG156">
        <v>0</v>
      </c>
      <c r="AH156">
        <v>-160</v>
      </c>
    </row>
    <row r="157" spans="2:34" x14ac:dyDescent="0.35">
      <c r="B157" t="s">
        <v>563</v>
      </c>
      <c r="C157">
        <v>45698</v>
      </c>
      <c r="F157" t="s">
        <v>754</v>
      </c>
      <c r="H157">
        <v>80.67</v>
      </c>
      <c r="O157" t="s">
        <v>239</v>
      </c>
      <c r="P157" t="s">
        <v>514</v>
      </c>
      <c r="Y157">
        <v>123</v>
      </c>
      <c r="Z157" s="259" t="s">
        <v>630</v>
      </c>
      <c r="AA157">
        <v>100</v>
      </c>
      <c r="AB157">
        <v>8008</v>
      </c>
      <c r="AC157">
        <v>45698</v>
      </c>
      <c r="AD157">
        <v>0</v>
      </c>
      <c r="AE157">
        <v>8067</v>
      </c>
      <c r="AF157">
        <v>8067</v>
      </c>
      <c r="AG157">
        <v>0</v>
      </c>
      <c r="AH157">
        <v>59</v>
      </c>
    </row>
    <row r="158" spans="2:34" x14ac:dyDescent="0.35">
      <c r="B158" t="s">
        <v>563</v>
      </c>
      <c r="C158">
        <v>45699</v>
      </c>
      <c r="F158" t="s">
        <v>749</v>
      </c>
      <c r="H158">
        <v>100.15</v>
      </c>
      <c r="O158" t="s">
        <v>239</v>
      </c>
      <c r="P158" t="s">
        <v>514</v>
      </c>
      <c r="Y158">
        <v>124</v>
      </c>
      <c r="Z158" s="259" t="s">
        <v>630</v>
      </c>
      <c r="AA158">
        <v>100</v>
      </c>
      <c r="AB158">
        <v>10010</v>
      </c>
      <c r="AC158">
        <v>45699</v>
      </c>
      <c r="AD158">
        <v>0</v>
      </c>
      <c r="AE158">
        <v>10015</v>
      </c>
      <c r="AF158">
        <v>10015</v>
      </c>
      <c r="AG158">
        <v>0</v>
      </c>
      <c r="AH158">
        <v>5</v>
      </c>
    </row>
    <row r="159" spans="2:34" x14ac:dyDescent="0.35">
      <c r="B159" t="s">
        <v>563</v>
      </c>
      <c r="C159">
        <v>45699</v>
      </c>
      <c r="F159" t="s">
        <v>752</v>
      </c>
      <c r="H159">
        <v>197.22</v>
      </c>
      <c r="O159" t="s">
        <v>239</v>
      </c>
      <c r="P159" t="s">
        <v>514</v>
      </c>
      <c r="Y159">
        <v>125</v>
      </c>
      <c r="Z159" s="259" t="s">
        <v>630</v>
      </c>
      <c r="AA159">
        <v>50</v>
      </c>
      <c r="AB159">
        <v>10010</v>
      </c>
      <c r="AC159">
        <v>45699</v>
      </c>
      <c r="AD159">
        <v>0</v>
      </c>
      <c r="AE159">
        <v>9861</v>
      </c>
      <c r="AF159">
        <v>9861</v>
      </c>
      <c r="AG159">
        <v>0</v>
      </c>
      <c r="AH159">
        <v>-149</v>
      </c>
    </row>
    <row r="160" spans="2:34" x14ac:dyDescent="0.35">
      <c r="B160" t="s">
        <v>563</v>
      </c>
      <c r="C160">
        <v>45699</v>
      </c>
      <c r="F160" t="s">
        <v>754</v>
      </c>
      <c r="H160">
        <v>80.52</v>
      </c>
      <c r="O160" t="s">
        <v>239</v>
      </c>
      <c r="P160" t="s">
        <v>514</v>
      </c>
      <c r="Y160">
        <v>126</v>
      </c>
      <c r="Z160" s="259" t="s">
        <v>630</v>
      </c>
      <c r="AA160">
        <v>100</v>
      </c>
      <c r="AB160">
        <v>8008</v>
      </c>
      <c r="AC160">
        <v>45699</v>
      </c>
      <c r="AD160">
        <v>0</v>
      </c>
      <c r="AE160">
        <v>8052</v>
      </c>
      <c r="AF160">
        <v>8052</v>
      </c>
      <c r="AG160">
        <v>0</v>
      </c>
      <c r="AH160">
        <v>44</v>
      </c>
    </row>
    <row r="161" spans="2:34" x14ac:dyDescent="0.35">
      <c r="B161" t="s">
        <v>563</v>
      </c>
      <c r="C161">
        <v>45700</v>
      </c>
      <c r="F161" t="s">
        <v>749</v>
      </c>
      <c r="H161">
        <v>99.96</v>
      </c>
      <c r="O161" t="s">
        <v>239</v>
      </c>
      <c r="P161" t="s">
        <v>514</v>
      </c>
      <c r="Y161">
        <v>127</v>
      </c>
      <c r="Z161" s="259" t="s">
        <v>630</v>
      </c>
      <c r="AA161">
        <v>100</v>
      </c>
      <c r="AB161">
        <v>10010</v>
      </c>
      <c r="AC161">
        <v>45700</v>
      </c>
      <c r="AD161">
        <v>0</v>
      </c>
      <c r="AE161">
        <v>9996</v>
      </c>
      <c r="AF161">
        <v>9996</v>
      </c>
      <c r="AG161">
        <v>0</v>
      </c>
      <c r="AH161">
        <v>-14</v>
      </c>
    </row>
    <row r="162" spans="2:34" x14ac:dyDescent="0.35">
      <c r="B162" t="s">
        <v>563</v>
      </c>
      <c r="C162">
        <v>45700</v>
      </c>
      <c r="F162" t="s">
        <v>752</v>
      </c>
      <c r="H162">
        <v>197.44</v>
      </c>
      <c r="O162" t="s">
        <v>239</v>
      </c>
      <c r="P162" t="s">
        <v>514</v>
      </c>
      <c r="Y162">
        <v>128</v>
      </c>
      <c r="Z162" s="259" t="s">
        <v>630</v>
      </c>
      <c r="AA162">
        <v>50</v>
      </c>
      <c r="AB162">
        <v>10010</v>
      </c>
      <c r="AC162">
        <v>45700</v>
      </c>
      <c r="AD162">
        <v>0</v>
      </c>
      <c r="AE162">
        <v>9872</v>
      </c>
      <c r="AF162">
        <v>9872</v>
      </c>
      <c r="AG162">
        <v>0</v>
      </c>
      <c r="AH162">
        <v>-138</v>
      </c>
    </row>
    <row r="163" spans="2:34" x14ac:dyDescent="0.35">
      <c r="B163" t="s">
        <v>563</v>
      </c>
      <c r="C163">
        <v>45700</v>
      </c>
      <c r="F163" t="s">
        <v>754</v>
      </c>
      <c r="H163">
        <v>80.37</v>
      </c>
      <c r="O163" t="s">
        <v>239</v>
      </c>
      <c r="P163" t="s">
        <v>514</v>
      </c>
      <c r="Y163">
        <v>129</v>
      </c>
      <c r="Z163" s="259" t="s">
        <v>630</v>
      </c>
      <c r="AA163">
        <v>100</v>
      </c>
      <c r="AB163">
        <v>8008</v>
      </c>
      <c r="AC163">
        <v>45700</v>
      </c>
      <c r="AD163">
        <v>0</v>
      </c>
      <c r="AE163">
        <v>8037</v>
      </c>
      <c r="AF163">
        <v>8037</v>
      </c>
      <c r="AG163">
        <v>0</v>
      </c>
      <c r="AH163">
        <v>29</v>
      </c>
    </row>
    <row r="164" spans="2:34" x14ac:dyDescent="0.35">
      <c r="B164" t="s">
        <v>563</v>
      </c>
      <c r="C164">
        <v>45701</v>
      </c>
      <c r="F164" t="s">
        <v>749</v>
      </c>
      <c r="H164">
        <v>99.78</v>
      </c>
      <c r="O164" t="s">
        <v>239</v>
      </c>
      <c r="P164" t="s">
        <v>514</v>
      </c>
      <c r="Y164">
        <v>130</v>
      </c>
      <c r="Z164" s="259" t="s">
        <v>630</v>
      </c>
      <c r="AA164">
        <v>100</v>
      </c>
      <c r="AB164">
        <v>10010</v>
      </c>
      <c r="AC164">
        <v>45701</v>
      </c>
      <c r="AD164">
        <v>0</v>
      </c>
      <c r="AE164">
        <v>9978</v>
      </c>
      <c r="AF164">
        <v>9978</v>
      </c>
      <c r="AG164">
        <v>0</v>
      </c>
      <c r="AH164">
        <v>-32</v>
      </c>
    </row>
    <row r="165" spans="2:34" x14ac:dyDescent="0.35">
      <c r="B165" t="s">
        <v>563</v>
      </c>
      <c r="C165">
        <v>45701</v>
      </c>
      <c r="F165" t="s">
        <v>752</v>
      </c>
      <c r="H165">
        <v>197.67</v>
      </c>
      <c r="O165" t="s">
        <v>239</v>
      </c>
      <c r="P165" t="s">
        <v>514</v>
      </c>
      <c r="Y165">
        <v>131</v>
      </c>
      <c r="Z165" s="259" t="s">
        <v>630</v>
      </c>
      <c r="AA165">
        <v>50</v>
      </c>
      <c r="AB165">
        <v>10010</v>
      </c>
      <c r="AC165">
        <v>45701</v>
      </c>
      <c r="AD165">
        <v>0</v>
      </c>
      <c r="AE165">
        <v>9883.5</v>
      </c>
      <c r="AF165">
        <v>9883.5</v>
      </c>
      <c r="AG165">
        <v>0</v>
      </c>
      <c r="AH165">
        <v>-126.5</v>
      </c>
    </row>
    <row r="166" spans="2:34" x14ac:dyDescent="0.35">
      <c r="B166" t="s">
        <v>563</v>
      </c>
      <c r="C166">
        <v>45701</v>
      </c>
      <c r="F166" t="s">
        <v>754</v>
      </c>
      <c r="H166">
        <v>80.22</v>
      </c>
      <c r="O166" t="s">
        <v>239</v>
      </c>
      <c r="P166" t="s">
        <v>514</v>
      </c>
      <c r="Y166">
        <v>132</v>
      </c>
      <c r="Z166" s="259" t="s">
        <v>630</v>
      </c>
      <c r="AA166">
        <v>100</v>
      </c>
      <c r="AB166">
        <v>8008</v>
      </c>
      <c r="AC166">
        <v>45701</v>
      </c>
      <c r="AD166">
        <v>0</v>
      </c>
      <c r="AE166">
        <v>8022</v>
      </c>
      <c r="AF166">
        <v>8022</v>
      </c>
      <c r="AG166">
        <v>0</v>
      </c>
      <c r="AH166">
        <v>14</v>
      </c>
    </row>
    <row r="167" spans="2:34" x14ac:dyDescent="0.35">
      <c r="B167" t="s">
        <v>563</v>
      </c>
      <c r="C167">
        <v>45702</v>
      </c>
      <c r="F167" t="s">
        <v>749</v>
      </c>
      <c r="H167">
        <v>99.59</v>
      </c>
      <c r="O167" t="s">
        <v>239</v>
      </c>
      <c r="P167" t="s">
        <v>514</v>
      </c>
      <c r="Y167">
        <v>133</v>
      </c>
      <c r="Z167" s="259" t="s">
        <v>630</v>
      </c>
      <c r="AA167">
        <v>100</v>
      </c>
      <c r="AB167">
        <v>10010</v>
      </c>
      <c r="AC167">
        <v>45702</v>
      </c>
      <c r="AD167">
        <v>0</v>
      </c>
      <c r="AE167">
        <v>9959</v>
      </c>
      <c r="AF167">
        <v>9959</v>
      </c>
      <c r="AG167">
        <v>0</v>
      </c>
      <c r="AH167">
        <v>-51</v>
      </c>
    </row>
    <row r="168" spans="2:34" x14ac:dyDescent="0.35">
      <c r="B168" t="s">
        <v>563</v>
      </c>
      <c r="C168">
        <v>45702</v>
      </c>
      <c r="F168" t="s">
        <v>752</v>
      </c>
      <c r="H168">
        <v>197.89</v>
      </c>
      <c r="O168" t="s">
        <v>239</v>
      </c>
      <c r="P168" t="s">
        <v>514</v>
      </c>
      <c r="Y168">
        <v>134</v>
      </c>
      <c r="Z168" s="259" t="s">
        <v>630</v>
      </c>
      <c r="AA168">
        <v>50</v>
      </c>
      <c r="AB168">
        <v>10010</v>
      </c>
      <c r="AC168">
        <v>45702</v>
      </c>
      <c r="AD168">
        <v>0</v>
      </c>
      <c r="AE168">
        <v>9894.5</v>
      </c>
      <c r="AF168">
        <v>9894.5</v>
      </c>
      <c r="AG168">
        <v>0</v>
      </c>
      <c r="AH168">
        <v>-115.5</v>
      </c>
    </row>
    <row r="169" spans="2:34" x14ac:dyDescent="0.35">
      <c r="B169" t="s">
        <v>563</v>
      </c>
      <c r="C169">
        <v>45702</v>
      </c>
      <c r="F169" t="s">
        <v>754</v>
      </c>
      <c r="H169">
        <v>80.069999999999993</v>
      </c>
      <c r="O169" t="s">
        <v>239</v>
      </c>
      <c r="P169" t="s">
        <v>514</v>
      </c>
      <c r="Y169">
        <v>135</v>
      </c>
      <c r="Z169" s="259" t="s">
        <v>630</v>
      </c>
      <c r="AA169">
        <v>100</v>
      </c>
      <c r="AB169">
        <v>8008</v>
      </c>
      <c r="AC169">
        <v>45702</v>
      </c>
      <c r="AD169">
        <v>0</v>
      </c>
      <c r="AE169">
        <v>8006.9999999999991</v>
      </c>
      <c r="AF169">
        <v>8006.9999999999991</v>
      </c>
      <c r="AG169">
        <v>0</v>
      </c>
      <c r="AH169">
        <v>-1.0000000000009095</v>
      </c>
    </row>
    <row r="170" spans="2:34" x14ac:dyDescent="0.35">
      <c r="B170" t="s">
        <v>563</v>
      </c>
      <c r="C170">
        <v>45703</v>
      </c>
      <c r="F170" t="s">
        <v>749</v>
      </c>
      <c r="H170">
        <v>99.59</v>
      </c>
      <c r="O170" t="s">
        <v>239</v>
      </c>
      <c r="P170" t="s">
        <v>514</v>
      </c>
      <c r="Y170">
        <v>136</v>
      </c>
      <c r="Z170" s="259" t="s">
        <v>630</v>
      </c>
      <c r="AA170">
        <v>100</v>
      </c>
      <c r="AB170">
        <v>10010</v>
      </c>
      <c r="AC170">
        <v>45702</v>
      </c>
      <c r="AD170">
        <v>1</v>
      </c>
      <c r="AE170">
        <v>9959</v>
      </c>
      <c r="AF170">
        <v>9959</v>
      </c>
      <c r="AG170">
        <v>0</v>
      </c>
      <c r="AH170">
        <v>-51</v>
      </c>
    </row>
    <row r="171" spans="2:34" x14ac:dyDescent="0.35">
      <c r="B171" t="s">
        <v>563</v>
      </c>
      <c r="C171">
        <v>45703</v>
      </c>
      <c r="F171" t="s">
        <v>752</v>
      </c>
      <c r="H171">
        <v>197.89</v>
      </c>
      <c r="O171" t="s">
        <v>239</v>
      </c>
      <c r="P171" t="s">
        <v>514</v>
      </c>
      <c r="Y171">
        <v>137</v>
      </c>
      <c r="Z171" s="259" t="s">
        <v>630</v>
      </c>
      <c r="AA171">
        <v>50</v>
      </c>
      <c r="AB171">
        <v>10010</v>
      </c>
      <c r="AC171">
        <v>45702</v>
      </c>
      <c r="AD171">
        <v>1</v>
      </c>
      <c r="AE171">
        <v>9894.5</v>
      </c>
      <c r="AF171">
        <v>9894.5</v>
      </c>
      <c r="AG171">
        <v>0</v>
      </c>
      <c r="AH171">
        <v>-115.5</v>
      </c>
    </row>
    <row r="172" spans="2:34" x14ac:dyDescent="0.35">
      <c r="B172" t="s">
        <v>563</v>
      </c>
      <c r="C172">
        <v>45703</v>
      </c>
      <c r="F172" t="s">
        <v>754</v>
      </c>
      <c r="H172">
        <v>80.069999999999993</v>
      </c>
      <c r="O172" t="s">
        <v>239</v>
      </c>
      <c r="P172" t="s">
        <v>514</v>
      </c>
      <c r="Y172">
        <v>138</v>
      </c>
      <c r="Z172" s="259" t="s">
        <v>630</v>
      </c>
      <c r="AA172">
        <v>100</v>
      </c>
      <c r="AB172">
        <v>8008</v>
      </c>
      <c r="AC172">
        <v>45702</v>
      </c>
      <c r="AD172">
        <v>1</v>
      </c>
      <c r="AE172">
        <v>8006.9999999999991</v>
      </c>
      <c r="AF172">
        <v>8006.9999999999991</v>
      </c>
      <c r="AG172">
        <v>0</v>
      </c>
      <c r="AH172">
        <v>-1.0000000000009095</v>
      </c>
    </row>
    <row r="173" spans="2:34" x14ac:dyDescent="0.35">
      <c r="B173" t="s">
        <v>563</v>
      </c>
      <c r="C173">
        <v>45704</v>
      </c>
      <c r="F173" t="s">
        <v>749</v>
      </c>
      <c r="H173">
        <v>99.59</v>
      </c>
      <c r="O173" t="s">
        <v>239</v>
      </c>
      <c r="P173" t="s">
        <v>514</v>
      </c>
      <c r="Y173">
        <v>139</v>
      </c>
      <c r="Z173" s="259" t="s">
        <v>630</v>
      </c>
      <c r="AA173">
        <v>100</v>
      </c>
      <c r="AB173">
        <v>10010</v>
      </c>
      <c r="AC173">
        <v>45702</v>
      </c>
      <c r="AD173">
        <v>2</v>
      </c>
      <c r="AE173">
        <v>9959</v>
      </c>
      <c r="AF173">
        <v>9959</v>
      </c>
      <c r="AG173">
        <v>0</v>
      </c>
      <c r="AH173">
        <v>-51</v>
      </c>
    </row>
    <row r="174" spans="2:34" x14ac:dyDescent="0.35">
      <c r="B174" t="s">
        <v>563</v>
      </c>
      <c r="C174">
        <v>45704</v>
      </c>
      <c r="F174" t="s">
        <v>752</v>
      </c>
      <c r="H174">
        <v>197.89</v>
      </c>
      <c r="O174" t="s">
        <v>239</v>
      </c>
      <c r="P174" t="s">
        <v>514</v>
      </c>
      <c r="Y174">
        <v>140</v>
      </c>
      <c r="Z174" s="259" t="s">
        <v>630</v>
      </c>
      <c r="AA174">
        <v>50</v>
      </c>
      <c r="AB174">
        <v>10010</v>
      </c>
      <c r="AC174">
        <v>45702</v>
      </c>
      <c r="AD174">
        <v>2</v>
      </c>
      <c r="AE174">
        <v>9894.5</v>
      </c>
      <c r="AF174">
        <v>9894.5</v>
      </c>
      <c r="AG174">
        <v>0</v>
      </c>
      <c r="AH174">
        <v>-115.5</v>
      </c>
    </row>
    <row r="175" spans="2:34" x14ac:dyDescent="0.35">
      <c r="B175" t="s">
        <v>563</v>
      </c>
      <c r="C175">
        <v>45704</v>
      </c>
      <c r="F175" t="s">
        <v>754</v>
      </c>
      <c r="H175">
        <v>80.069999999999993</v>
      </c>
      <c r="O175" t="s">
        <v>239</v>
      </c>
      <c r="P175" t="s">
        <v>514</v>
      </c>
      <c r="Y175">
        <v>141</v>
      </c>
      <c r="Z175" s="259" t="s">
        <v>630</v>
      </c>
      <c r="AA175">
        <v>100</v>
      </c>
      <c r="AB175">
        <v>8008</v>
      </c>
      <c r="AC175">
        <v>45702</v>
      </c>
      <c r="AD175">
        <v>2</v>
      </c>
      <c r="AE175">
        <v>8006.9999999999991</v>
      </c>
      <c r="AF175">
        <v>8006.9999999999991</v>
      </c>
      <c r="AG175">
        <v>0</v>
      </c>
      <c r="AH175">
        <v>-1.0000000000009095</v>
      </c>
    </row>
    <row r="176" spans="2:34" x14ac:dyDescent="0.35">
      <c r="B176" t="s">
        <v>563</v>
      </c>
      <c r="C176">
        <v>45705</v>
      </c>
      <c r="F176" t="s">
        <v>749</v>
      </c>
      <c r="H176">
        <v>99.04</v>
      </c>
      <c r="O176" t="s">
        <v>239</v>
      </c>
      <c r="P176" t="s">
        <v>514</v>
      </c>
      <c r="Y176">
        <v>142</v>
      </c>
      <c r="Z176" s="259" t="s">
        <v>630</v>
      </c>
      <c r="AA176">
        <v>100</v>
      </c>
      <c r="AB176">
        <v>10010</v>
      </c>
      <c r="AC176">
        <v>45705</v>
      </c>
      <c r="AD176">
        <v>0</v>
      </c>
      <c r="AE176">
        <v>9904</v>
      </c>
      <c r="AF176">
        <v>9904</v>
      </c>
      <c r="AG176">
        <v>0</v>
      </c>
      <c r="AH176">
        <v>-106</v>
      </c>
    </row>
    <row r="177" spans="2:34" x14ac:dyDescent="0.35">
      <c r="B177" t="s">
        <v>563</v>
      </c>
      <c r="C177">
        <v>45705</v>
      </c>
      <c r="F177" t="s">
        <v>752</v>
      </c>
      <c r="H177">
        <v>198.56</v>
      </c>
      <c r="O177" t="s">
        <v>239</v>
      </c>
      <c r="P177" t="s">
        <v>514</v>
      </c>
      <c r="Y177">
        <v>143</v>
      </c>
      <c r="Z177" s="259" t="s">
        <v>630</v>
      </c>
      <c r="AA177">
        <v>50</v>
      </c>
      <c r="AB177">
        <v>10010</v>
      </c>
      <c r="AC177">
        <v>45705</v>
      </c>
      <c r="AD177">
        <v>0</v>
      </c>
      <c r="AE177">
        <v>9928</v>
      </c>
      <c r="AF177">
        <v>9928</v>
      </c>
      <c r="AG177">
        <v>0</v>
      </c>
      <c r="AH177">
        <v>-82</v>
      </c>
    </row>
    <row r="178" spans="2:34" x14ac:dyDescent="0.35">
      <c r="B178" t="s">
        <v>563</v>
      </c>
      <c r="C178">
        <v>45705</v>
      </c>
      <c r="F178" t="s">
        <v>754</v>
      </c>
      <c r="H178">
        <v>79.63</v>
      </c>
      <c r="O178" t="s">
        <v>239</v>
      </c>
      <c r="P178" t="s">
        <v>514</v>
      </c>
      <c r="Y178">
        <v>144</v>
      </c>
      <c r="Z178" s="259" t="s">
        <v>630</v>
      </c>
      <c r="AA178">
        <v>100</v>
      </c>
      <c r="AB178">
        <v>8008</v>
      </c>
      <c r="AC178">
        <v>45705</v>
      </c>
      <c r="AD178">
        <v>0</v>
      </c>
      <c r="AE178">
        <v>7963</v>
      </c>
      <c r="AF178">
        <v>7963</v>
      </c>
      <c r="AG178">
        <v>0</v>
      </c>
      <c r="AH178">
        <v>-45</v>
      </c>
    </row>
    <row r="179" spans="2:34" x14ac:dyDescent="0.35">
      <c r="B179" t="s">
        <v>563</v>
      </c>
      <c r="C179">
        <v>45706</v>
      </c>
      <c r="F179" t="s">
        <v>749</v>
      </c>
      <c r="H179">
        <v>98.85</v>
      </c>
      <c r="O179" t="s">
        <v>239</v>
      </c>
      <c r="P179" t="s">
        <v>514</v>
      </c>
      <c r="Y179">
        <v>145</v>
      </c>
      <c r="Z179" s="259" t="s">
        <v>630</v>
      </c>
      <c r="AA179">
        <v>100</v>
      </c>
      <c r="AB179">
        <v>10010</v>
      </c>
      <c r="AC179">
        <v>45706</v>
      </c>
      <c r="AD179">
        <v>0</v>
      </c>
      <c r="AE179">
        <v>9885</v>
      </c>
      <c r="AF179">
        <v>9885</v>
      </c>
      <c r="AG179">
        <v>0</v>
      </c>
      <c r="AH179">
        <v>-125</v>
      </c>
    </row>
    <row r="180" spans="2:34" x14ac:dyDescent="0.35">
      <c r="B180" t="s">
        <v>563</v>
      </c>
      <c r="C180">
        <v>45706</v>
      </c>
      <c r="F180" t="s">
        <v>752</v>
      </c>
      <c r="H180">
        <v>198.78</v>
      </c>
      <c r="O180" t="s">
        <v>239</v>
      </c>
      <c r="P180" t="s">
        <v>514</v>
      </c>
      <c r="Y180">
        <v>146</v>
      </c>
      <c r="Z180" s="259" t="s">
        <v>630</v>
      </c>
      <c r="AA180">
        <v>50</v>
      </c>
      <c r="AB180">
        <v>10010</v>
      </c>
      <c r="AC180">
        <v>45706</v>
      </c>
      <c r="AD180">
        <v>0</v>
      </c>
      <c r="AE180">
        <v>9939</v>
      </c>
      <c r="AF180">
        <v>9939</v>
      </c>
      <c r="AG180">
        <v>0</v>
      </c>
      <c r="AH180">
        <v>-71</v>
      </c>
    </row>
    <row r="181" spans="2:34" x14ac:dyDescent="0.35">
      <c r="B181" t="s">
        <v>563</v>
      </c>
      <c r="C181">
        <v>45706</v>
      </c>
      <c r="F181" t="s">
        <v>754</v>
      </c>
      <c r="H181">
        <v>79.48</v>
      </c>
      <c r="O181" t="s">
        <v>239</v>
      </c>
      <c r="P181" t="s">
        <v>514</v>
      </c>
      <c r="Y181">
        <v>147</v>
      </c>
      <c r="Z181" s="259" t="s">
        <v>630</v>
      </c>
      <c r="AA181">
        <v>100</v>
      </c>
      <c r="AB181">
        <v>8008</v>
      </c>
      <c r="AC181">
        <v>45706</v>
      </c>
      <c r="AD181">
        <v>0</v>
      </c>
      <c r="AE181">
        <v>7948</v>
      </c>
      <c r="AF181">
        <v>7948</v>
      </c>
      <c r="AG181">
        <v>0</v>
      </c>
      <c r="AH181">
        <v>-60</v>
      </c>
    </row>
    <row r="182" spans="2:34" x14ac:dyDescent="0.35">
      <c r="B182" t="s">
        <v>563</v>
      </c>
      <c r="C182">
        <v>45707</v>
      </c>
      <c r="F182" t="s">
        <v>749</v>
      </c>
      <c r="H182">
        <v>98.67</v>
      </c>
      <c r="O182" t="s">
        <v>239</v>
      </c>
      <c r="P182" t="s">
        <v>514</v>
      </c>
      <c r="Y182">
        <v>148</v>
      </c>
      <c r="Z182" s="259" t="s">
        <v>630</v>
      </c>
      <c r="AA182">
        <v>100</v>
      </c>
      <c r="AB182">
        <v>10010</v>
      </c>
      <c r="AC182">
        <v>45707</v>
      </c>
      <c r="AD182">
        <v>0</v>
      </c>
      <c r="AE182">
        <v>9867</v>
      </c>
      <c r="AF182">
        <v>9867</v>
      </c>
      <c r="AG182">
        <v>0</v>
      </c>
      <c r="AH182">
        <v>-143</v>
      </c>
    </row>
    <row r="183" spans="2:34" x14ac:dyDescent="0.35">
      <c r="B183" t="s">
        <v>563</v>
      </c>
      <c r="C183">
        <v>45707</v>
      </c>
      <c r="F183" t="s">
        <v>752</v>
      </c>
      <c r="H183">
        <v>199</v>
      </c>
      <c r="O183" t="s">
        <v>239</v>
      </c>
      <c r="P183" t="s">
        <v>514</v>
      </c>
      <c r="Y183">
        <v>149</v>
      </c>
      <c r="Z183" s="259" t="s">
        <v>630</v>
      </c>
      <c r="AA183">
        <v>50</v>
      </c>
      <c r="AB183">
        <v>10010</v>
      </c>
      <c r="AC183">
        <v>45707</v>
      </c>
      <c r="AD183">
        <v>0</v>
      </c>
      <c r="AE183">
        <v>9950</v>
      </c>
      <c r="AF183">
        <v>9950</v>
      </c>
      <c r="AG183">
        <v>0</v>
      </c>
      <c r="AH183">
        <v>-60</v>
      </c>
    </row>
    <row r="184" spans="2:34" x14ac:dyDescent="0.35">
      <c r="B184" t="s">
        <v>563</v>
      </c>
      <c r="C184">
        <v>45707</v>
      </c>
      <c r="F184" t="s">
        <v>754</v>
      </c>
      <c r="H184">
        <v>79.33</v>
      </c>
      <c r="O184" t="s">
        <v>239</v>
      </c>
      <c r="P184" t="s">
        <v>514</v>
      </c>
      <c r="Y184">
        <v>150</v>
      </c>
      <c r="Z184" s="259" t="s">
        <v>630</v>
      </c>
      <c r="AA184">
        <v>100</v>
      </c>
      <c r="AB184">
        <v>8008</v>
      </c>
      <c r="AC184">
        <v>45707</v>
      </c>
      <c r="AD184">
        <v>0</v>
      </c>
      <c r="AE184">
        <v>7933</v>
      </c>
      <c r="AF184">
        <v>7933</v>
      </c>
      <c r="AG184">
        <v>0</v>
      </c>
      <c r="AH184">
        <v>-75</v>
      </c>
    </row>
    <row r="185" spans="2:34" x14ac:dyDescent="0.35">
      <c r="B185" t="s">
        <v>563</v>
      </c>
      <c r="C185">
        <v>45708</v>
      </c>
      <c r="F185" t="s">
        <v>749</v>
      </c>
      <c r="H185">
        <v>98.48</v>
      </c>
      <c r="O185" t="s">
        <v>239</v>
      </c>
      <c r="P185" t="s">
        <v>514</v>
      </c>
      <c r="Y185">
        <v>151</v>
      </c>
      <c r="Z185" s="259" t="s">
        <v>630</v>
      </c>
      <c r="AA185">
        <v>100</v>
      </c>
      <c r="AB185">
        <v>10010</v>
      </c>
      <c r="AC185">
        <v>45708</v>
      </c>
      <c r="AD185">
        <v>0</v>
      </c>
      <c r="AE185">
        <v>9848</v>
      </c>
      <c r="AF185">
        <v>9848</v>
      </c>
      <c r="AG185">
        <v>0</v>
      </c>
      <c r="AH185">
        <v>-162</v>
      </c>
    </row>
    <row r="186" spans="2:34" x14ac:dyDescent="0.35">
      <c r="B186" t="s">
        <v>563</v>
      </c>
      <c r="C186">
        <v>45708</v>
      </c>
      <c r="F186" t="s">
        <v>752</v>
      </c>
      <c r="H186">
        <v>199.22</v>
      </c>
      <c r="O186" t="s">
        <v>239</v>
      </c>
      <c r="P186" t="s">
        <v>514</v>
      </c>
      <c r="Y186">
        <v>152</v>
      </c>
      <c r="Z186" s="259" t="s">
        <v>630</v>
      </c>
      <c r="AA186">
        <v>50</v>
      </c>
      <c r="AB186">
        <v>10010</v>
      </c>
      <c r="AC186">
        <v>45708</v>
      </c>
      <c r="AD186">
        <v>0</v>
      </c>
      <c r="AE186">
        <v>9961</v>
      </c>
      <c r="AF186">
        <v>9961</v>
      </c>
      <c r="AG186">
        <v>0</v>
      </c>
      <c r="AH186">
        <v>-49</v>
      </c>
    </row>
    <row r="187" spans="2:34" x14ac:dyDescent="0.35">
      <c r="B187" t="s">
        <v>563</v>
      </c>
      <c r="C187">
        <v>45708</v>
      </c>
      <c r="F187" t="s">
        <v>754</v>
      </c>
      <c r="H187">
        <v>79.19</v>
      </c>
      <c r="O187" t="s">
        <v>239</v>
      </c>
      <c r="P187" t="s">
        <v>514</v>
      </c>
      <c r="Y187">
        <v>153</v>
      </c>
      <c r="Z187" s="259" t="s">
        <v>630</v>
      </c>
      <c r="AA187">
        <v>100</v>
      </c>
      <c r="AB187">
        <v>8008</v>
      </c>
      <c r="AC187">
        <v>45708</v>
      </c>
      <c r="AD187">
        <v>0</v>
      </c>
      <c r="AE187">
        <v>7919</v>
      </c>
      <c r="AF187">
        <v>7919</v>
      </c>
      <c r="AG187">
        <v>0</v>
      </c>
      <c r="AH187">
        <v>-89</v>
      </c>
    </row>
    <row r="188" spans="2:34" x14ac:dyDescent="0.35">
      <c r="B188" t="s">
        <v>563</v>
      </c>
      <c r="C188">
        <v>45709</v>
      </c>
      <c r="F188" t="s">
        <v>749</v>
      </c>
      <c r="H188">
        <v>98.3</v>
      </c>
      <c r="O188" t="s">
        <v>239</v>
      </c>
      <c r="P188" t="s">
        <v>514</v>
      </c>
      <c r="Y188">
        <v>154</v>
      </c>
      <c r="Z188" s="259" t="s">
        <v>630</v>
      </c>
      <c r="AA188">
        <v>100</v>
      </c>
      <c r="AB188">
        <v>10010</v>
      </c>
      <c r="AC188">
        <v>45709</v>
      </c>
      <c r="AD188">
        <v>0</v>
      </c>
      <c r="AE188">
        <v>9830</v>
      </c>
      <c r="AF188">
        <v>9830</v>
      </c>
      <c r="AG188">
        <v>0</v>
      </c>
      <c r="AH188">
        <v>-180</v>
      </c>
    </row>
    <row r="189" spans="2:34" x14ac:dyDescent="0.35">
      <c r="B189" t="s">
        <v>563</v>
      </c>
      <c r="C189">
        <v>45709</v>
      </c>
      <c r="F189" t="s">
        <v>752</v>
      </c>
      <c r="H189">
        <v>199.44</v>
      </c>
      <c r="O189" t="s">
        <v>239</v>
      </c>
      <c r="P189" t="s">
        <v>514</v>
      </c>
      <c r="Y189">
        <v>155</v>
      </c>
      <c r="Z189" s="259" t="s">
        <v>630</v>
      </c>
      <c r="AA189">
        <v>50</v>
      </c>
      <c r="AB189">
        <v>10010</v>
      </c>
      <c r="AC189">
        <v>45709</v>
      </c>
      <c r="AD189">
        <v>0</v>
      </c>
      <c r="AE189">
        <v>9972</v>
      </c>
      <c r="AF189">
        <v>9972</v>
      </c>
      <c r="AG189">
        <v>0</v>
      </c>
      <c r="AH189">
        <v>-38</v>
      </c>
    </row>
    <row r="190" spans="2:34" x14ac:dyDescent="0.35">
      <c r="B190" t="s">
        <v>563</v>
      </c>
      <c r="C190">
        <v>45709</v>
      </c>
      <c r="F190" t="s">
        <v>754</v>
      </c>
      <c r="H190">
        <v>79.040000000000006</v>
      </c>
      <c r="O190" t="s">
        <v>239</v>
      </c>
      <c r="P190" t="s">
        <v>514</v>
      </c>
      <c r="Y190">
        <v>156</v>
      </c>
      <c r="Z190" s="259" t="s">
        <v>630</v>
      </c>
      <c r="AA190">
        <v>100</v>
      </c>
      <c r="AB190">
        <v>8008</v>
      </c>
      <c r="AC190">
        <v>45709</v>
      </c>
      <c r="AD190">
        <v>0</v>
      </c>
      <c r="AE190">
        <v>7904.0000000000009</v>
      </c>
      <c r="AF190">
        <v>7904.0000000000009</v>
      </c>
      <c r="AG190">
        <v>0</v>
      </c>
      <c r="AH190">
        <v>-103.99999999999909</v>
      </c>
    </row>
    <row r="191" spans="2:34" x14ac:dyDescent="0.35">
      <c r="B191" t="s">
        <v>563</v>
      </c>
      <c r="C191">
        <v>45710</v>
      </c>
      <c r="F191" t="s">
        <v>749</v>
      </c>
      <c r="H191">
        <v>98.3</v>
      </c>
      <c r="O191" t="s">
        <v>239</v>
      </c>
      <c r="P191" t="s">
        <v>514</v>
      </c>
      <c r="Y191">
        <v>157</v>
      </c>
      <c r="Z191" s="259" t="s">
        <v>630</v>
      </c>
      <c r="AA191">
        <v>100</v>
      </c>
      <c r="AB191">
        <v>10010</v>
      </c>
      <c r="AC191">
        <v>45709</v>
      </c>
      <c r="AD191">
        <v>1</v>
      </c>
      <c r="AE191">
        <v>9830</v>
      </c>
      <c r="AF191">
        <v>9830</v>
      </c>
      <c r="AG191">
        <v>0</v>
      </c>
      <c r="AH191">
        <v>-180</v>
      </c>
    </row>
    <row r="192" spans="2:34" x14ac:dyDescent="0.35">
      <c r="B192" t="s">
        <v>563</v>
      </c>
      <c r="C192">
        <v>45710</v>
      </c>
      <c r="F192" t="s">
        <v>752</v>
      </c>
      <c r="H192">
        <v>199.44</v>
      </c>
      <c r="O192" t="s">
        <v>239</v>
      </c>
      <c r="P192" t="s">
        <v>514</v>
      </c>
      <c r="Y192">
        <v>158</v>
      </c>
      <c r="Z192" s="259" t="s">
        <v>630</v>
      </c>
      <c r="AA192">
        <v>50</v>
      </c>
      <c r="AB192">
        <v>10010</v>
      </c>
      <c r="AC192">
        <v>45709</v>
      </c>
      <c r="AD192">
        <v>1</v>
      </c>
      <c r="AE192">
        <v>9972</v>
      </c>
      <c r="AF192">
        <v>9972</v>
      </c>
      <c r="AG192">
        <v>0</v>
      </c>
      <c r="AH192">
        <v>-38</v>
      </c>
    </row>
    <row r="193" spans="2:34" x14ac:dyDescent="0.35">
      <c r="B193" t="s">
        <v>563</v>
      </c>
      <c r="C193">
        <v>45710</v>
      </c>
      <c r="F193" t="s">
        <v>754</v>
      </c>
      <c r="H193">
        <v>79.040000000000006</v>
      </c>
      <c r="O193" t="s">
        <v>239</v>
      </c>
      <c r="P193" t="s">
        <v>514</v>
      </c>
      <c r="Y193">
        <v>159</v>
      </c>
      <c r="Z193" s="259" t="s">
        <v>630</v>
      </c>
      <c r="AA193">
        <v>100</v>
      </c>
      <c r="AB193">
        <v>8008</v>
      </c>
      <c r="AC193">
        <v>45709</v>
      </c>
      <c r="AD193">
        <v>1</v>
      </c>
      <c r="AE193">
        <v>7904.0000000000009</v>
      </c>
      <c r="AF193">
        <v>7904.0000000000009</v>
      </c>
      <c r="AG193">
        <v>0</v>
      </c>
      <c r="AH193">
        <v>-103.99999999999909</v>
      </c>
    </row>
    <row r="194" spans="2:34" x14ac:dyDescent="0.35">
      <c r="B194" t="s">
        <v>563</v>
      </c>
      <c r="C194">
        <v>45711</v>
      </c>
      <c r="F194" t="s">
        <v>749</v>
      </c>
      <c r="H194">
        <v>98.3</v>
      </c>
      <c r="O194" t="s">
        <v>239</v>
      </c>
      <c r="P194" t="s">
        <v>514</v>
      </c>
      <c r="Y194">
        <v>160</v>
      </c>
      <c r="Z194" s="259" t="s">
        <v>630</v>
      </c>
      <c r="AA194">
        <v>100</v>
      </c>
      <c r="AB194">
        <v>10010</v>
      </c>
      <c r="AC194">
        <v>45709</v>
      </c>
      <c r="AD194">
        <v>2</v>
      </c>
      <c r="AE194">
        <v>9830</v>
      </c>
      <c r="AF194">
        <v>9830</v>
      </c>
      <c r="AG194">
        <v>0</v>
      </c>
      <c r="AH194">
        <v>-180</v>
      </c>
    </row>
    <row r="195" spans="2:34" x14ac:dyDescent="0.35">
      <c r="B195" t="s">
        <v>563</v>
      </c>
      <c r="C195">
        <v>45711</v>
      </c>
      <c r="F195" t="s">
        <v>752</v>
      </c>
      <c r="H195">
        <v>199.44</v>
      </c>
      <c r="O195" t="s">
        <v>239</v>
      </c>
      <c r="P195" t="s">
        <v>514</v>
      </c>
      <c r="Y195">
        <v>161</v>
      </c>
      <c r="Z195" s="259" t="s">
        <v>630</v>
      </c>
      <c r="AA195">
        <v>50</v>
      </c>
      <c r="AB195">
        <v>10010</v>
      </c>
      <c r="AC195">
        <v>45709</v>
      </c>
      <c r="AD195">
        <v>2</v>
      </c>
      <c r="AE195">
        <v>9972</v>
      </c>
      <c r="AF195">
        <v>9972</v>
      </c>
      <c r="AG195">
        <v>0</v>
      </c>
      <c r="AH195">
        <v>-38</v>
      </c>
    </row>
    <row r="196" spans="2:34" x14ac:dyDescent="0.35">
      <c r="B196" t="s">
        <v>563</v>
      </c>
      <c r="C196">
        <v>45711</v>
      </c>
      <c r="F196" t="s">
        <v>754</v>
      </c>
      <c r="H196">
        <v>79.040000000000006</v>
      </c>
      <c r="O196" t="s">
        <v>239</v>
      </c>
      <c r="P196" t="s">
        <v>514</v>
      </c>
      <c r="Y196">
        <v>162</v>
      </c>
      <c r="Z196" s="259" t="s">
        <v>630</v>
      </c>
      <c r="AA196">
        <v>100</v>
      </c>
      <c r="AB196">
        <v>8008</v>
      </c>
      <c r="AC196">
        <v>45709</v>
      </c>
      <c r="AD196">
        <v>2</v>
      </c>
      <c r="AE196">
        <v>7904.0000000000009</v>
      </c>
      <c r="AF196">
        <v>7904.0000000000009</v>
      </c>
      <c r="AG196">
        <v>0</v>
      </c>
      <c r="AH196">
        <v>-103.99999999999909</v>
      </c>
    </row>
    <row r="197" spans="2:34" x14ac:dyDescent="0.35">
      <c r="B197" t="s">
        <v>563</v>
      </c>
      <c r="C197">
        <v>45712</v>
      </c>
      <c r="F197" t="s">
        <v>749</v>
      </c>
      <c r="H197">
        <v>97.74</v>
      </c>
      <c r="O197" t="s">
        <v>239</v>
      </c>
      <c r="P197" t="s">
        <v>514</v>
      </c>
      <c r="Y197">
        <v>163</v>
      </c>
      <c r="Z197" s="259" t="s">
        <v>630</v>
      </c>
      <c r="AA197">
        <v>100</v>
      </c>
      <c r="AB197">
        <v>10010</v>
      </c>
      <c r="AC197">
        <v>45712</v>
      </c>
      <c r="AD197">
        <v>0</v>
      </c>
      <c r="AE197">
        <v>9774</v>
      </c>
      <c r="AF197">
        <v>9774</v>
      </c>
      <c r="AG197">
        <v>0</v>
      </c>
      <c r="AH197">
        <v>-236</v>
      </c>
    </row>
    <row r="198" spans="2:34" x14ac:dyDescent="0.35">
      <c r="B198" t="s">
        <v>563</v>
      </c>
      <c r="C198">
        <v>45712</v>
      </c>
      <c r="F198" t="s">
        <v>752</v>
      </c>
      <c r="H198">
        <v>200.11</v>
      </c>
      <c r="O198" t="s">
        <v>239</v>
      </c>
      <c r="P198" t="s">
        <v>514</v>
      </c>
      <c r="Y198">
        <v>164</v>
      </c>
      <c r="Z198" s="259" t="s">
        <v>630</v>
      </c>
      <c r="AA198">
        <v>50</v>
      </c>
      <c r="AB198">
        <v>10010</v>
      </c>
      <c r="AC198">
        <v>45712</v>
      </c>
      <c r="AD198">
        <v>0</v>
      </c>
      <c r="AE198">
        <v>10005.5</v>
      </c>
      <c r="AF198">
        <v>10005.5</v>
      </c>
      <c r="AG198">
        <v>0</v>
      </c>
      <c r="AH198">
        <v>-4.5</v>
      </c>
    </row>
    <row r="199" spans="2:34" x14ac:dyDescent="0.35">
      <c r="B199" t="s">
        <v>563</v>
      </c>
      <c r="C199">
        <v>45712</v>
      </c>
      <c r="F199" t="s">
        <v>754</v>
      </c>
      <c r="H199">
        <v>78.59</v>
      </c>
      <c r="O199" t="s">
        <v>239</v>
      </c>
      <c r="P199" t="s">
        <v>514</v>
      </c>
      <c r="Y199">
        <v>165</v>
      </c>
      <c r="Z199" s="259" t="s">
        <v>630</v>
      </c>
      <c r="AA199">
        <v>100</v>
      </c>
      <c r="AB199">
        <v>8008</v>
      </c>
      <c r="AC199">
        <v>45712</v>
      </c>
      <c r="AD199">
        <v>0</v>
      </c>
      <c r="AE199">
        <v>7859</v>
      </c>
      <c r="AF199">
        <v>7859</v>
      </c>
      <c r="AG199">
        <v>0</v>
      </c>
      <c r="AH199">
        <v>-149</v>
      </c>
    </row>
    <row r="200" spans="2:34" x14ac:dyDescent="0.35">
      <c r="B200" t="s">
        <v>563</v>
      </c>
      <c r="C200">
        <v>45713</v>
      </c>
      <c r="F200" t="s">
        <v>749</v>
      </c>
      <c r="H200">
        <v>97.56</v>
      </c>
      <c r="O200" t="s">
        <v>239</v>
      </c>
      <c r="P200" t="s">
        <v>514</v>
      </c>
      <c r="Y200">
        <v>166</v>
      </c>
      <c r="Z200" s="259" t="s">
        <v>630</v>
      </c>
      <c r="AA200">
        <v>100</v>
      </c>
      <c r="AB200">
        <v>10010</v>
      </c>
      <c r="AC200">
        <v>45713</v>
      </c>
      <c r="AD200">
        <v>0</v>
      </c>
      <c r="AE200">
        <v>9756</v>
      </c>
      <c r="AF200">
        <v>9756</v>
      </c>
      <c r="AG200">
        <v>0</v>
      </c>
      <c r="AH200">
        <v>-254</v>
      </c>
    </row>
    <row r="201" spans="2:34" x14ac:dyDescent="0.35">
      <c r="B201" t="s">
        <v>563</v>
      </c>
      <c r="C201">
        <v>45713</v>
      </c>
      <c r="F201" t="s">
        <v>752</v>
      </c>
      <c r="H201">
        <v>200.33</v>
      </c>
      <c r="O201" t="s">
        <v>239</v>
      </c>
      <c r="P201" t="s">
        <v>514</v>
      </c>
      <c r="Y201">
        <v>167</v>
      </c>
      <c r="Z201" s="259" t="s">
        <v>630</v>
      </c>
      <c r="AA201">
        <v>50</v>
      </c>
      <c r="AB201">
        <v>10010</v>
      </c>
      <c r="AC201">
        <v>45713</v>
      </c>
      <c r="AD201">
        <v>0</v>
      </c>
      <c r="AE201">
        <v>10016.5</v>
      </c>
      <c r="AF201">
        <v>10016.5</v>
      </c>
      <c r="AG201">
        <v>0</v>
      </c>
      <c r="AH201">
        <v>6.5</v>
      </c>
    </row>
    <row r="202" spans="2:34" x14ac:dyDescent="0.35">
      <c r="B202" t="s">
        <v>563</v>
      </c>
      <c r="C202">
        <v>45713</v>
      </c>
      <c r="F202" t="s">
        <v>754</v>
      </c>
      <c r="H202">
        <v>78.44</v>
      </c>
      <c r="O202" t="s">
        <v>239</v>
      </c>
      <c r="P202" t="s">
        <v>514</v>
      </c>
      <c r="Y202">
        <v>168</v>
      </c>
      <c r="Z202" s="259" t="s">
        <v>630</v>
      </c>
      <c r="AA202">
        <v>100</v>
      </c>
      <c r="AB202">
        <v>8008</v>
      </c>
      <c r="AC202">
        <v>45713</v>
      </c>
      <c r="AD202">
        <v>0</v>
      </c>
      <c r="AE202">
        <v>7844</v>
      </c>
      <c r="AF202">
        <v>7844</v>
      </c>
      <c r="AG202">
        <v>0</v>
      </c>
      <c r="AH202">
        <v>-164</v>
      </c>
    </row>
    <row r="203" spans="2:34" x14ac:dyDescent="0.35">
      <c r="B203" t="s">
        <v>563</v>
      </c>
      <c r="C203">
        <v>45714</v>
      </c>
      <c r="F203" t="s">
        <v>749</v>
      </c>
      <c r="H203">
        <v>97.37</v>
      </c>
      <c r="O203" t="s">
        <v>239</v>
      </c>
      <c r="P203" t="s">
        <v>514</v>
      </c>
      <c r="Y203">
        <v>169</v>
      </c>
      <c r="Z203" s="259" t="s">
        <v>630</v>
      </c>
      <c r="AA203">
        <v>100</v>
      </c>
      <c r="AB203">
        <v>10010</v>
      </c>
      <c r="AC203">
        <v>45714</v>
      </c>
      <c r="AD203">
        <v>0</v>
      </c>
      <c r="AE203">
        <v>9737</v>
      </c>
      <c r="AF203">
        <v>9737</v>
      </c>
      <c r="AG203">
        <v>0</v>
      </c>
      <c r="AH203">
        <v>-273</v>
      </c>
    </row>
    <row r="204" spans="2:34" x14ac:dyDescent="0.35">
      <c r="B204" t="s">
        <v>563</v>
      </c>
      <c r="C204">
        <v>45714</v>
      </c>
      <c r="F204" t="s">
        <v>752</v>
      </c>
      <c r="H204">
        <v>200.56</v>
      </c>
      <c r="O204" t="s">
        <v>239</v>
      </c>
      <c r="P204" t="s">
        <v>514</v>
      </c>
      <c r="Y204">
        <v>170</v>
      </c>
      <c r="Z204" s="259" t="s">
        <v>630</v>
      </c>
      <c r="AA204">
        <v>50</v>
      </c>
      <c r="AB204">
        <v>10010</v>
      </c>
      <c r="AC204">
        <v>45714</v>
      </c>
      <c r="AD204">
        <v>0</v>
      </c>
      <c r="AE204">
        <v>10028</v>
      </c>
      <c r="AF204">
        <v>10028</v>
      </c>
      <c r="AG204">
        <v>0</v>
      </c>
      <c r="AH204">
        <v>18</v>
      </c>
    </row>
    <row r="205" spans="2:34" x14ac:dyDescent="0.35">
      <c r="B205" t="s">
        <v>563</v>
      </c>
      <c r="C205">
        <v>45714</v>
      </c>
      <c r="F205" t="s">
        <v>754</v>
      </c>
      <c r="H205">
        <v>78.3</v>
      </c>
      <c r="O205" t="s">
        <v>239</v>
      </c>
      <c r="P205" t="s">
        <v>514</v>
      </c>
      <c r="Y205">
        <v>171</v>
      </c>
      <c r="Z205" s="259" t="s">
        <v>630</v>
      </c>
      <c r="AA205">
        <v>100</v>
      </c>
      <c r="AB205">
        <v>8008</v>
      </c>
      <c r="AC205">
        <v>45714</v>
      </c>
      <c r="AD205">
        <v>0</v>
      </c>
      <c r="AE205">
        <v>7830</v>
      </c>
      <c r="AF205">
        <v>7830</v>
      </c>
      <c r="AG205">
        <v>0</v>
      </c>
      <c r="AH205">
        <v>-178</v>
      </c>
    </row>
    <row r="206" spans="2:34" x14ac:dyDescent="0.35">
      <c r="B206" t="s">
        <v>563</v>
      </c>
      <c r="C206">
        <v>45715</v>
      </c>
      <c r="F206" t="s">
        <v>749</v>
      </c>
      <c r="H206">
        <v>97.19</v>
      </c>
      <c r="O206" t="s">
        <v>239</v>
      </c>
      <c r="P206" t="s">
        <v>514</v>
      </c>
      <c r="Y206">
        <v>172</v>
      </c>
      <c r="Z206" s="259" t="s">
        <v>630</v>
      </c>
      <c r="AA206">
        <v>100</v>
      </c>
      <c r="AB206">
        <v>10010</v>
      </c>
      <c r="AC206">
        <v>45715</v>
      </c>
      <c r="AD206">
        <v>0</v>
      </c>
      <c r="AE206">
        <v>9719</v>
      </c>
      <c r="AF206">
        <v>9719</v>
      </c>
      <c r="AG206">
        <v>0</v>
      </c>
      <c r="AH206">
        <v>-291</v>
      </c>
    </row>
    <row r="207" spans="2:34" x14ac:dyDescent="0.35">
      <c r="B207" t="s">
        <v>563</v>
      </c>
      <c r="C207">
        <v>45715</v>
      </c>
      <c r="F207" t="s">
        <v>752</v>
      </c>
      <c r="H207">
        <v>200.78</v>
      </c>
      <c r="O207" t="s">
        <v>239</v>
      </c>
      <c r="P207" t="s">
        <v>514</v>
      </c>
      <c r="Y207">
        <v>173</v>
      </c>
      <c r="Z207" s="259" t="s">
        <v>630</v>
      </c>
      <c r="AA207">
        <v>50</v>
      </c>
      <c r="AB207">
        <v>10010</v>
      </c>
      <c r="AC207">
        <v>45715</v>
      </c>
      <c r="AD207">
        <v>0</v>
      </c>
      <c r="AE207">
        <v>10039</v>
      </c>
      <c r="AF207">
        <v>10039</v>
      </c>
      <c r="AG207">
        <v>0</v>
      </c>
      <c r="AH207">
        <v>29</v>
      </c>
    </row>
    <row r="208" spans="2:34" x14ac:dyDescent="0.35">
      <c r="B208" t="s">
        <v>563</v>
      </c>
      <c r="C208">
        <v>45715</v>
      </c>
      <c r="F208" t="s">
        <v>754</v>
      </c>
      <c r="H208">
        <v>78.150000000000006</v>
      </c>
      <c r="O208" t="s">
        <v>239</v>
      </c>
      <c r="P208" t="s">
        <v>514</v>
      </c>
      <c r="Y208">
        <v>174</v>
      </c>
      <c r="Z208" s="259" t="s">
        <v>630</v>
      </c>
      <c r="AA208">
        <v>100</v>
      </c>
      <c r="AB208">
        <v>8008</v>
      </c>
      <c r="AC208">
        <v>45715</v>
      </c>
      <c r="AD208">
        <v>0</v>
      </c>
      <c r="AE208">
        <v>7815.0000000000009</v>
      </c>
      <c r="AF208">
        <v>7815.0000000000009</v>
      </c>
      <c r="AG208">
        <v>0</v>
      </c>
      <c r="AH208">
        <v>-192.99999999999909</v>
      </c>
    </row>
    <row r="209" spans="2:34" x14ac:dyDescent="0.35">
      <c r="B209" t="s">
        <v>563</v>
      </c>
      <c r="C209">
        <v>45716</v>
      </c>
      <c r="F209" t="s">
        <v>749</v>
      </c>
      <c r="H209">
        <v>97</v>
      </c>
      <c r="O209" t="s">
        <v>239</v>
      </c>
      <c r="P209" t="s">
        <v>514</v>
      </c>
      <c r="Y209">
        <v>175</v>
      </c>
      <c r="Z209" s="259" t="s">
        <v>630</v>
      </c>
      <c r="AA209">
        <v>100</v>
      </c>
      <c r="AB209">
        <v>10010</v>
      </c>
      <c r="AC209">
        <v>45716</v>
      </c>
      <c r="AD209">
        <v>0</v>
      </c>
      <c r="AE209">
        <v>9700</v>
      </c>
      <c r="AF209">
        <v>9700</v>
      </c>
      <c r="AG209">
        <v>0</v>
      </c>
      <c r="AH209">
        <v>-310</v>
      </c>
    </row>
    <row r="210" spans="2:34" x14ac:dyDescent="0.35">
      <c r="B210" t="s">
        <v>563</v>
      </c>
      <c r="C210">
        <v>45716</v>
      </c>
      <c r="F210" t="s">
        <v>752</v>
      </c>
      <c r="H210">
        <v>201</v>
      </c>
      <c r="O210" t="s">
        <v>239</v>
      </c>
      <c r="P210" t="s">
        <v>514</v>
      </c>
      <c r="Y210">
        <v>176</v>
      </c>
      <c r="Z210" s="259" t="s">
        <v>630</v>
      </c>
      <c r="AA210">
        <v>50</v>
      </c>
      <c r="AB210">
        <v>10010</v>
      </c>
      <c r="AC210">
        <v>45716</v>
      </c>
      <c r="AD210">
        <v>0</v>
      </c>
      <c r="AE210">
        <v>10050</v>
      </c>
      <c r="AF210">
        <v>10050</v>
      </c>
      <c r="AG210">
        <v>0</v>
      </c>
      <c r="AH210">
        <v>40</v>
      </c>
    </row>
    <row r="211" spans="2:34" x14ac:dyDescent="0.35">
      <c r="B211" t="s">
        <v>563</v>
      </c>
      <c r="C211">
        <v>45716</v>
      </c>
      <c r="F211" t="s">
        <v>754</v>
      </c>
      <c r="H211">
        <v>78</v>
      </c>
      <c r="O211" t="s">
        <v>239</v>
      </c>
      <c r="P211" t="s">
        <v>514</v>
      </c>
      <c r="Y211">
        <v>177</v>
      </c>
      <c r="Z211" s="259" t="s">
        <v>630</v>
      </c>
      <c r="AA211">
        <v>100</v>
      </c>
      <c r="AB211">
        <v>8008</v>
      </c>
      <c r="AC211">
        <v>45716</v>
      </c>
      <c r="AD211">
        <v>0</v>
      </c>
      <c r="AE211">
        <v>7800</v>
      </c>
      <c r="AF211">
        <v>7800</v>
      </c>
      <c r="AG211">
        <v>0</v>
      </c>
      <c r="AH211">
        <v>-208</v>
      </c>
    </row>
    <row r="212" spans="2:34" x14ac:dyDescent="0.35">
      <c r="B212" t="s">
        <v>563</v>
      </c>
      <c r="C212">
        <v>45717</v>
      </c>
      <c r="F212" t="s">
        <v>749</v>
      </c>
      <c r="H212">
        <v>97</v>
      </c>
      <c r="O212" t="s">
        <v>239</v>
      </c>
      <c r="P212" t="s">
        <v>514</v>
      </c>
      <c r="Y212">
        <v>178</v>
      </c>
      <c r="Z212" s="259" t="s">
        <v>630</v>
      </c>
      <c r="AA212">
        <v>100</v>
      </c>
      <c r="AB212">
        <v>10010</v>
      </c>
      <c r="AC212">
        <v>45716</v>
      </c>
      <c r="AD212">
        <v>1</v>
      </c>
      <c r="AE212">
        <v>9700</v>
      </c>
      <c r="AF212">
        <v>9700</v>
      </c>
      <c r="AG212">
        <v>0</v>
      </c>
      <c r="AH212">
        <v>-310</v>
      </c>
    </row>
    <row r="213" spans="2:34" x14ac:dyDescent="0.35">
      <c r="B213" t="s">
        <v>563</v>
      </c>
      <c r="C213">
        <v>45717</v>
      </c>
      <c r="F213" t="s">
        <v>752</v>
      </c>
      <c r="H213">
        <v>201</v>
      </c>
      <c r="O213" t="s">
        <v>239</v>
      </c>
      <c r="P213" t="s">
        <v>514</v>
      </c>
      <c r="Y213">
        <v>179</v>
      </c>
      <c r="Z213" s="259" t="s">
        <v>630</v>
      </c>
      <c r="AA213">
        <v>50</v>
      </c>
      <c r="AB213">
        <v>10010</v>
      </c>
      <c r="AC213">
        <v>45716</v>
      </c>
      <c r="AD213">
        <v>1</v>
      </c>
      <c r="AE213">
        <v>10050</v>
      </c>
      <c r="AF213">
        <v>10050</v>
      </c>
      <c r="AG213">
        <v>0</v>
      </c>
      <c r="AH213">
        <v>40</v>
      </c>
    </row>
    <row r="214" spans="2:34" x14ac:dyDescent="0.35">
      <c r="B214" t="s">
        <v>563</v>
      </c>
      <c r="C214">
        <v>45717</v>
      </c>
      <c r="F214" t="s">
        <v>754</v>
      </c>
      <c r="H214">
        <v>78</v>
      </c>
      <c r="O214" t="s">
        <v>239</v>
      </c>
      <c r="P214" t="s">
        <v>514</v>
      </c>
      <c r="Y214">
        <v>180</v>
      </c>
      <c r="Z214" s="259" t="s">
        <v>630</v>
      </c>
      <c r="AA214">
        <v>100</v>
      </c>
      <c r="AB214">
        <v>8008</v>
      </c>
      <c r="AC214">
        <v>45716</v>
      </c>
      <c r="AD214">
        <v>1</v>
      </c>
      <c r="AE214">
        <v>7800</v>
      </c>
      <c r="AF214">
        <v>7800</v>
      </c>
      <c r="AG214">
        <v>0</v>
      </c>
      <c r="AH214">
        <v>-208</v>
      </c>
    </row>
    <row r="215" spans="2:34" x14ac:dyDescent="0.35">
      <c r="B215" t="s">
        <v>563</v>
      </c>
      <c r="C215">
        <v>45718</v>
      </c>
      <c r="F215" t="s">
        <v>749</v>
      </c>
      <c r="H215">
        <v>97</v>
      </c>
      <c r="O215" t="s">
        <v>239</v>
      </c>
      <c r="P215" t="s">
        <v>514</v>
      </c>
      <c r="Y215">
        <v>181</v>
      </c>
      <c r="Z215" s="259" t="s">
        <v>630</v>
      </c>
      <c r="AA215">
        <v>100</v>
      </c>
      <c r="AB215">
        <v>10010</v>
      </c>
      <c r="AC215">
        <v>45716</v>
      </c>
      <c r="AD215">
        <v>2</v>
      </c>
      <c r="AE215">
        <v>9700</v>
      </c>
      <c r="AF215">
        <v>9700</v>
      </c>
      <c r="AG215">
        <v>0</v>
      </c>
      <c r="AH215">
        <v>-310</v>
      </c>
    </row>
    <row r="216" spans="2:34" x14ac:dyDescent="0.35">
      <c r="B216" t="s">
        <v>563</v>
      </c>
      <c r="C216">
        <v>45718</v>
      </c>
      <c r="F216" t="s">
        <v>752</v>
      </c>
      <c r="H216">
        <v>201</v>
      </c>
      <c r="O216" t="s">
        <v>239</v>
      </c>
      <c r="P216" t="s">
        <v>514</v>
      </c>
      <c r="Y216">
        <v>182</v>
      </c>
      <c r="Z216" s="259" t="s">
        <v>630</v>
      </c>
      <c r="AA216">
        <v>50</v>
      </c>
      <c r="AB216">
        <v>10010</v>
      </c>
      <c r="AC216">
        <v>45716</v>
      </c>
      <c r="AD216">
        <v>2</v>
      </c>
      <c r="AE216">
        <v>10050</v>
      </c>
      <c r="AF216">
        <v>10050</v>
      </c>
      <c r="AG216">
        <v>0</v>
      </c>
      <c r="AH216">
        <v>40</v>
      </c>
    </row>
    <row r="217" spans="2:34" x14ac:dyDescent="0.35">
      <c r="B217" t="s">
        <v>563</v>
      </c>
      <c r="C217">
        <v>45718</v>
      </c>
      <c r="F217" t="s">
        <v>754</v>
      </c>
      <c r="H217">
        <v>78</v>
      </c>
      <c r="O217" t="s">
        <v>239</v>
      </c>
      <c r="P217" t="s">
        <v>514</v>
      </c>
      <c r="Y217">
        <v>183</v>
      </c>
      <c r="Z217" s="259" t="s">
        <v>630</v>
      </c>
      <c r="AA217">
        <v>100</v>
      </c>
      <c r="AB217">
        <v>8008</v>
      </c>
      <c r="AC217">
        <v>45716</v>
      </c>
      <c r="AD217">
        <v>2</v>
      </c>
      <c r="AE217">
        <v>7800</v>
      </c>
      <c r="AF217">
        <v>7800</v>
      </c>
      <c r="AG217">
        <v>0</v>
      </c>
      <c r="AH217">
        <v>-208</v>
      </c>
    </row>
    <row r="218" spans="2:34" x14ac:dyDescent="0.35">
      <c r="B218" t="s">
        <v>563</v>
      </c>
      <c r="C218">
        <v>45719</v>
      </c>
      <c r="F218" t="s">
        <v>749</v>
      </c>
      <c r="H218">
        <v>97.6</v>
      </c>
      <c r="O218" t="s">
        <v>239</v>
      </c>
      <c r="P218" t="s">
        <v>514</v>
      </c>
      <c r="Y218">
        <v>184</v>
      </c>
      <c r="Z218" s="259" t="s">
        <v>630</v>
      </c>
      <c r="AA218">
        <v>150</v>
      </c>
      <c r="AB218">
        <v>14915</v>
      </c>
      <c r="AC218">
        <v>45719</v>
      </c>
      <c r="AD218">
        <v>0</v>
      </c>
      <c r="AE218">
        <v>14640</v>
      </c>
      <c r="AF218">
        <v>14640</v>
      </c>
      <c r="AG218">
        <v>0</v>
      </c>
      <c r="AH218">
        <v>-275</v>
      </c>
    </row>
    <row r="219" spans="2:34" x14ac:dyDescent="0.35">
      <c r="B219" t="s">
        <v>563</v>
      </c>
      <c r="C219">
        <v>45719</v>
      </c>
      <c r="F219" t="s">
        <v>752</v>
      </c>
      <c r="H219">
        <v>200.8</v>
      </c>
      <c r="O219" t="s">
        <v>239</v>
      </c>
      <c r="P219" t="s">
        <v>514</v>
      </c>
      <c r="Y219">
        <v>185</v>
      </c>
      <c r="Z219" s="259" t="s">
        <v>630</v>
      </c>
      <c r="AA219">
        <v>50</v>
      </c>
      <c r="AB219">
        <v>10010</v>
      </c>
      <c r="AC219">
        <v>45719</v>
      </c>
      <c r="AD219">
        <v>0</v>
      </c>
      <c r="AE219">
        <v>10040</v>
      </c>
      <c r="AF219">
        <v>10040</v>
      </c>
      <c r="AG219">
        <v>0</v>
      </c>
      <c r="AH219">
        <v>30</v>
      </c>
    </row>
    <row r="220" spans="2:34" x14ac:dyDescent="0.35">
      <c r="B220" t="s">
        <v>563</v>
      </c>
      <c r="C220">
        <v>45719</v>
      </c>
      <c r="F220" t="s">
        <v>754</v>
      </c>
      <c r="H220">
        <v>77.8</v>
      </c>
      <c r="O220" t="s">
        <v>239</v>
      </c>
      <c r="P220" t="s">
        <v>514</v>
      </c>
      <c r="Y220">
        <v>186</v>
      </c>
      <c r="Z220" s="259" t="s">
        <v>630</v>
      </c>
      <c r="AA220">
        <v>100</v>
      </c>
      <c r="AB220">
        <v>8008</v>
      </c>
      <c r="AC220">
        <v>45719</v>
      </c>
      <c r="AD220">
        <v>0</v>
      </c>
      <c r="AE220">
        <v>7780</v>
      </c>
      <c r="AF220">
        <v>7780</v>
      </c>
      <c r="AG220">
        <v>0</v>
      </c>
      <c r="AH220">
        <v>-228</v>
      </c>
    </row>
    <row r="221" spans="2:34" x14ac:dyDescent="0.35">
      <c r="B221" t="s">
        <v>563</v>
      </c>
      <c r="C221">
        <v>45720</v>
      </c>
      <c r="F221" t="s">
        <v>749</v>
      </c>
      <c r="H221">
        <v>97.9</v>
      </c>
      <c r="O221" t="s">
        <v>239</v>
      </c>
      <c r="P221" t="s">
        <v>514</v>
      </c>
      <c r="Y221">
        <v>187</v>
      </c>
      <c r="Z221" s="259" t="s">
        <v>630</v>
      </c>
      <c r="AA221">
        <v>150</v>
      </c>
      <c r="AB221">
        <v>14915</v>
      </c>
      <c r="AC221">
        <v>45720</v>
      </c>
      <c r="AD221">
        <v>0</v>
      </c>
      <c r="AE221">
        <v>14685</v>
      </c>
      <c r="AF221">
        <v>14685</v>
      </c>
      <c r="AG221">
        <v>0</v>
      </c>
      <c r="AH221">
        <v>-230</v>
      </c>
    </row>
    <row r="222" spans="2:34" x14ac:dyDescent="0.35">
      <c r="B222" t="s">
        <v>563</v>
      </c>
      <c r="C222">
        <v>45720</v>
      </c>
      <c r="F222" t="s">
        <v>752</v>
      </c>
      <c r="H222">
        <v>200.7</v>
      </c>
      <c r="O222" t="s">
        <v>239</v>
      </c>
      <c r="P222" t="s">
        <v>514</v>
      </c>
      <c r="Y222">
        <v>188</v>
      </c>
      <c r="Z222" s="259" t="s">
        <v>630</v>
      </c>
      <c r="AA222">
        <v>50</v>
      </c>
      <c r="AB222">
        <v>10010</v>
      </c>
      <c r="AC222">
        <v>45720</v>
      </c>
      <c r="AD222">
        <v>0</v>
      </c>
      <c r="AE222">
        <v>10035</v>
      </c>
      <c r="AF222">
        <v>10035</v>
      </c>
      <c r="AG222">
        <v>0</v>
      </c>
      <c r="AH222">
        <v>25</v>
      </c>
    </row>
    <row r="223" spans="2:34" x14ac:dyDescent="0.35">
      <c r="B223" t="s">
        <v>563</v>
      </c>
      <c r="C223">
        <v>45720</v>
      </c>
      <c r="F223" t="s">
        <v>754</v>
      </c>
      <c r="H223">
        <v>77.7</v>
      </c>
      <c r="O223" t="s">
        <v>239</v>
      </c>
      <c r="P223" t="s">
        <v>514</v>
      </c>
      <c r="Y223">
        <v>189</v>
      </c>
      <c r="Z223" s="259" t="s">
        <v>630</v>
      </c>
      <c r="AA223">
        <v>100</v>
      </c>
      <c r="AB223">
        <v>8008</v>
      </c>
      <c r="AC223">
        <v>45720</v>
      </c>
      <c r="AD223">
        <v>0</v>
      </c>
      <c r="AE223">
        <v>7770</v>
      </c>
      <c r="AF223">
        <v>7770</v>
      </c>
      <c r="AG223">
        <v>0</v>
      </c>
      <c r="AH223">
        <v>-238</v>
      </c>
    </row>
    <row r="224" spans="2:34" x14ac:dyDescent="0.35">
      <c r="B224" t="s">
        <v>563</v>
      </c>
      <c r="C224">
        <v>45721</v>
      </c>
      <c r="F224" t="s">
        <v>749</v>
      </c>
      <c r="H224">
        <v>98.2</v>
      </c>
      <c r="O224" t="s">
        <v>239</v>
      </c>
      <c r="P224" t="s">
        <v>514</v>
      </c>
      <c r="Y224">
        <v>190</v>
      </c>
      <c r="Z224" s="259" t="s">
        <v>630</v>
      </c>
      <c r="AA224">
        <v>150</v>
      </c>
      <c r="AB224">
        <v>14915</v>
      </c>
      <c r="AC224">
        <v>45721</v>
      </c>
      <c r="AD224">
        <v>0</v>
      </c>
      <c r="AE224">
        <v>14730</v>
      </c>
      <c r="AF224">
        <v>14730</v>
      </c>
      <c r="AG224">
        <v>0</v>
      </c>
      <c r="AH224">
        <v>-185</v>
      </c>
    </row>
    <row r="225" spans="2:34" x14ac:dyDescent="0.35">
      <c r="B225" t="s">
        <v>563</v>
      </c>
      <c r="C225">
        <v>45721</v>
      </c>
      <c r="F225" t="s">
        <v>752</v>
      </c>
      <c r="H225">
        <v>200.6</v>
      </c>
      <c r="O225" t="s">
        <v>239</v>
      </c>
      <c r="P225" t="s">
        <v>514</v>
      </c>
      <c r="Y225">
        <v>191</v>
      </c>
      <c r="Z225" s="259" t="s">
        <v>630</v>
      </c>
      <c r="AA225">
        <v>50</v>
      </c>
      <c r="AB225">
        <v>10010</v>
      </c>
      <c r="AC225">
        <v>45721</v>
      </c>
      <c r="AD225">
        <v>0</v>
      </c>
      <c r="AE225">
        <v>10030</v>
      </c>
      <c r="AF225">
        <v>10030</v>
      </c>
      <c r="AG225">
        <v>0</v>
      </c>
      <c r="AH225">
        <v>20</v>
      </c>
    </row>
    <row r="226" spans="2:34" x14ac:dyDescent="0.35">
      <c r="B226" t="s">
        <v>563</v>
      </c>
      <c r="C226">
        <v>45721</v>
      </c>
      <c r="F226" t="s">
        <v>754</v>
      </c>
      <c r="H226">
        <v>77.599999999999994</v>
      </c>
      <c r="O226" t="s">
        <v>239</v>
      </c>
      <c r="P226" t="s">
        <v>514</v>
      </c>
      <c r="Y226">
        <v>192</v>
      </c>
      <c r="Z226" s="259" t="s">
        <v>630</v>
      </c>
      <c r="AA226">
        <v>100</v>
      </c>
      <c r="AB226">
        <v>8008</v>
      </c>
      <c r="AC226">
        <v>45721</v>
      </c>
      <c r="AD226">
        <v>0</v>
      </c>
      <c r="AE226">
        <v>7759.9999999999991</v>
      </c>
      <c r="AF226">
        <v>7759.9999999999991</v>
      </c>
      <c r="AG226">
        <v>0</v>
      </c>
      <c r="AH226">
        <v>-248.00000000000091</v>
      </c>
    </row>
    <row r="227" spans="2:34" x14ac:dyDescent="0.35">
      <c r="B227" t="s">
        <v>563</v>
      </c>
      <c r="C227">
        <v>45722</v>
      </c>
      <c r="F227" t="s">
        <v>749</v>
      </c>
      <c r="H227">
        <v>98.5</v>
      </c>
      <c r="O227" t="s">
        <v>239</v>
      </c>
      <c r="P227" t="s">
        <v>514</v>
      </c>
      <c r="Y227">
        <v>193</v>
      </c>
      <c r="Z227" s="259" t="s">
        <v>630</v>
      </c>
      <c r="AA227">
        <v>150</v>
      </c>
      <c r="AB227">
        <v>14915</v>
      </c>
      <c r="AC227">
        <v>45722</v>
      </c>
      <c r="AD227">
        <v>0</v>
      </c>
      <c r="AE227">
        <v>14775</v>
      </c>
      <c r="AF227">
        <v>14775</v>
      </c>
      <c r="AG227">
        <v>0</v>
      </c>
      <c r="AH227">
        <v>-140</v>
      </c>
    </row>
    <row r="228" spans="2:34" x14ac:dyDescent="0.35">
      <c r="B228" t="s">
        <v>563</v>
      </c>
      <c r="C228">
        <v>45722</v>
      </c>
      <c r="F228" t="s">
        <v>752</v>
      </c>
      <c r="H228">
        <v>200.5</v>
      </c>
      <c r="O228" t="s">
        <v>239</v>
      </c>
      <c r="P228" t="s">
        <v>514</v>
      </c>
      <c r="Y228">
        <v>194</v>
      </c>
      <c r="Z228" s="259" t="s">
        <v>630</v>
      </c>
      <c r="AA228">
        <v>50</v>
      </c>
      <c r="AB228">
        <v>10010</v>
      </c>
      <c r="AC228">
        <v>45722</v>
      </c>
      <c r="AD228">
        <v>0</v>
      </c>
      <c r="AE228">
        <v>10025</v>
      </c>
      <c r="AF228">
        <v>10025</v>
      </c>
      <c r="AG228">
        <v>0</v>
      </c>
      <c r="AH228">
        <v>15</v>
      </c>
    </row>
    <row r="229" spans="2:34" x14ac:dyDescent="0.35">
      <c r="B229" t="s">
        <v>563</v>
      </c>
      <c r="C229">
        <v>45722</v>
      </c>
      <c r="F229" t="s">
        <v>754</v>
      </c>
      <c r="H229">
        <v>77.5</v>
      </c>
      <c r="O229" t="s">
        <v>239</v>
      </c>
      <c r="P229" t="s">
        <v>514</v>
      </c>
      <c r="Y229">
        <v>195</v>
      </c>
      <c r="Z229" s="259" t="s">
        <v>630</v>
      </c>
      <c r="AA229">
        <v>100</v>
      </c>
      <c r="AB229">
        <v>8008</v>
      </c>
      <c r="AC229">
        <v>45722</v>
      </c>
      <c r="AD229">
        <v>0</v>
      </c>
      <c r="AE229">
        <v>7750</v>
      </c>
      <c r="AF229">
        <v>7750</v>
      </c>
      <c r="AG229">
        <v>0</v>
      </c>
      <c r="AH229">
        <v>-258</v>
      </c>
    </row>
    <row r="230" spans="2:34" x14ac:dyDescent="0.35">
      <c r="B230" t="s">
        <v>563</v>
      </c>
      <c r="C230">
        <v>45723</v>
      </c>
      <c r="F230" t="s">
        <v>749</v>
      </c>
      <c r="H230">
        <v>98.8</v>
      </c>
      <c r="O230" t="s">
        <v>239</v>
      </c>
      <c r="P230" t="s">
        <v>514</v>
      </c>
      <c r="Y230">
        <v>196</v>
      </c>
      <c r="Z230" s="259" t="s">
        <v>630</v>
      </c>
      <c r="AA230">
        <v>150</v>
      </c>
      <c r="AB230">
        <v>14915</v>
      </c>
      <c r="AC230">
        <v>45723</v>
      </c>
      <c r="AD230">
        <v>0</v>
      </c>
      <c r="AE230">
        <v>14820</v>
      </c>
      <c r="AF230">
        <v>14820</v>
      </c>
      <c r="AG230">
        <v>0</v>
      </c>
      <c r="AH230">
        <v>-95</v>
      </c>
    </row>
    <row r="231" spans="2:34" x14ac:dyDescent="0.35">
      <c r="B231" t="s">
        <v>563</v>
      </c>
      <c r="C231">
        <v>45723</v>
      </c>
      <c r="F231" t="s">
        <v>752</v>
      </c>
      <c r="H231">
        <v>200.4</v>
      </c>
      <c r="O231" t="s">
        <v>239</v>
      </c>
      <c r="P231" t="s">
        <v>514</v>
      </c>
      <c r="Y231">
        <v>197</v>
      </c>
      <c r="Z231" s="259" t="s">
        <v>630</v>
      </c>
      <c r="AA231">
        <v>50</v>
      </c>
      <c r="AB231">
        <v>10010</v>
      </c>
      <c r="AC231">
        <v>45723</v>
      </c>
      <c r="AD231">
        <v>0</v>
      </c>
      <c r="AE231">
        <v>10020</v>
      </c>
      <c r="AF231">
        <v>10020</v>
      </c>
      <c r="AG231">
        <v>0</v>
      </c>
      <c r="AH231">
        <v>10</v>
      </c>
    </row>
    <row r="232" spans="2:34" x14ac:dyDescent="0.35">
      <c r="B232" t="s">
        <v>563</v>
      </c>
      <c r="C232">
        <v>45723</v>
      </c>
      <c r="F232" t="s">
        <v>754</v>
      </c>
      <c r="H232">
        <v>77.400000000000006</v>
      </c>
      <c r="O232" t="s">
        <v>239</v>
      </c>
      <c r="P232" t="s">
        <v>514</v>
      </c>
      <c r="Y232">
        <v>198</v>
      </c>
      <c r="Z232" s="259" t="s">
        <v>630</v>
      </c>
      <c r="AA232">
        <v>100</v>
      </c>
      <c r="AB232">
        <v>8008</v>
      </c>
      <c r="AC232">
        <v>45723</v>
      </c>
      <c r="AD232">
        <v>0</v>
      </c>
      <c r="AE232">
        <v>7740.0000000000009</v>
      </c>
      <c r="AF232">
        <v>7740.0000000000009</v>
      </c>
      <c r="AG232">
        <v>0</v>
      </c>
      <c r="AH232">
        <v>-267.99999999999909</v>
      </c>
    </row>
    <row r="233" spans="2:34" x14ac:dyDescent="0.35">
      <c r="B233" t="s">
        <v>563</v>
      </c>
      <c r="C233">
        <v>45724</v>
      </c>
      <c r="F233" t="s">
        <v>749</v>
      </c>
      <c r="H233">
        <v>98.8</v>
      </c>
      <c r="O233" t="s">
        <v>239</v>
      </c>
      <c r="P233" t="s">
        <v>514</v>
      </c>
      <c r="Y233">
        <v>199</v>
      </c>
      <c r="Z233" s="259" t="s">
        <v>630</v>
      </c>
      <c r="AA233">
        <v>150</v>
      </c>
      <c r="AB233">
        <v>14915</v>
      </c>
      <c r="AC233">
        <v>45723</v>
      </c>
      <c r="AD233">
        <v>1</v>
      </c>
      <c r="AE233">
        <v>14820</v>
      </c>
      <c r="AF233">
        <v>14820</v>
      </c>
      <c r="AG233">
        <v>0</v>
      </c>
      <c r="AH233">
        <v>-95</v>
      </c>
    </row>
    <row r="234" spans="2:34" x14ac:dyDescent="0.35">
      <c r="B234" t="s">
        <v>563</v>
      </c>
      <c r="C234">
        <v>45724</v>
      </c>
      <c r="F234" t="s">
        <v>752</v>
      </c>
      <c r="H234">
        <v>200.4</v>
      </c>
      <c r="O234" t="s">
        <v>239</v>
      </c>
      <c r="P234" t="s">
        <v>514</v>
      </c>
      <c r="Y234">
        <v>200</v>
      </c>
      <c r="Z234" s="259" t="s">
        <v>630</v>
      </c>
      <c r="AA234">
        <v>50</v>
      </c>
      <c r="AB234">
        <v>10010</v>
      </c>
      <c r="AC234">
        <v>45723</v>
      </c>
      <c r="AD234">
        <v>1</v>
      </c>
      <c r="AE234">
        <v>10020</v>
      </c>
      <c r="AF234">
        <v>10020</v>
      </c>
      <c r="AG234">
        <v>0</v>
      </c>
      <c r="AH234">
        <v>10</v>
      </c>
    </row>
    <row r="235" spans="2:34" x14ac:dyDescent="0.35">
      <c r="B235" t="s">
        <v>563</v>
      </c>
      <c r="C235">
        <v>45724</v>
      </c>
      <c r="F235" t="s">
        <v>754</v>
      </c>
      <c r="H235">
        <v>77.400000000000006</v>
      </c>
      <c r="O235" t="s">
        <v>239</v>
      </c>
      <c r="P235" t="s">
        <v>514</v>
      </c>
      <c r="Y235">
        <v>201</v>
      </c>
      <c r="Z235" s="259" t="s">
        <v>630</v>
      </c>
      <c r="AA235">
        <v>100</v>
      </c>
      <c r="AB235">
        <v>8008</v>
      </c>
      <c r="AC235">
        <v>45723</v>
      </c>
      <c r="AD235">
        <v>1</v>
      </c>
      <c r="AE235">
        <v>7740.0000000000009</v>
      </c>
      <c r="AF235">
        <v>7740.0000000000009</v>
      </c>
      <c r="AG235">
        <v>0</v>
      </c>
      <c r="AH235">
        <v>-267.99999999999909</v>
      </c>
    </row>
    <row r="236" spans="2:34" x14ac:dyDescent="0.35">
      <c r="B236" t="s">
        <v>563</v>
      </c>
      <c r="C236">
        <v>45725</v>
      </c>
      <c r="F236" t="s">
        <v>749</v>
      </c>
      <c r="H236">
        <v>98.8</v>
      </c>
      <c r="O236" t="s">
        <v>239</v>
      </c>
      <c r="P236" t="s">
        <v>514</v>
      </c>
      <c r="Y236">
        <v>202</v>
      </c>
      <c r="Z236" s="259" t="s">
        <v>630</v>
      </c>
      <c r="AA236">
        <v>150</v>
      </c>
      <c r="AB236">
        <v>14915</v>
      </c>
      <c r="AC236">
        <v>45723</v>
      </c>
      <c r="AD236">
        <v>2</v>
      </c>
      <c r="AE236">
        <v>14820</v>
      </c>
      <c r="AF236">
        <v>14820</v>
      </c>
      <c r="AG236">
        <v>0</v>
      </c>
      <c r="AH236">
        <v>-95</v>
      </c>
    </row>
    <row r="237" spans="2:34" x14ac:dyDescent="0.35">
      <c r="B237" t="s">
        <v>563</v>
      </c>
      <c r="C237">
        <v>45725</v>
      </c>
      <c r="F237" t="s">
        <v>752</v>
      </c>
      <c r="H237">
        <v>200.4</v>
      </c>
      <c r="O237" t="s">
        <v>239</v>
      </c>
      <c r="P237" t="s">
        <v>514</v>
      </c>
      <c r="Y237">
        <v>203</v>
      </c>
      <c r="Z237" s="259" t="s">
        <v>630</v>
      </c>
      <c r="AA237">
        <v>50</v>
      </c>
      <c r="AB237">
        <v>10010</v>
      </c>
      <c r="AC237">
        <v>45723</v>
      </c>
      <c r="AD237">
        <v>2</v>
      </c>
      <c r="AE237">
        <v>10020</v>
      </c>
      <c r="AF237">
        <v>10020</v>
      </c>
      <c r="AG237">
        <v>0</v>
      </c>
      <c r="AH237">
        <v>10</v>
      </c>
    </row>
    <row r="238" spans="2:34" x14ac:dyDescent="0.35">
      <c r="B238" t="s">
        <v>563</v>
      </c>
      <c r="C238">
        <v>45725</v>
      </c>
      <c r="F238" t="s">
        <v>754</v>
      </c>
      <c r="H238">
        <v>77.400000000000006</v>
      </c>
      <c r="O238" t="s">
        <v>239</v>
      </c>
      <c r="P238" t="s">
        <v>514</v>
      </c>
      <c r="Y238">
        <v>204</v>
      </c>
      <c r="Z238" s="259" t="s">
        <v>630</v>
      </c>
      <c r="AA238">
        <v>100</v>
      </c>
      <c r="AB238">
        <v>8008</v>
      </c>
      <c r="AC238">
        <v>45723</v>
      </c>
      <c r="AD238">
        <v>2</v>
      </c>
      <c r="AE238">
        <v>7740.0000000000009</v>
      </c>
      <c r="AF238">
        <v>7740.0000000000009</v>
      </c>
      <c r="AG238">
        <v>0</v>
      </c>
      <c r="AH238">
        <v>-267.99999999999909</v>
      </c>
    </row>
    <row r="239" spans="2:34" x14ac:dyDescent="0.35">
      <c r="B239" t="s">
        <v>563</v>
      </c>
      <c r="C239">
        <v>45726</v>
      </c>
      <c r="F239" t="s">
        <v>749</v>
      </c>
      <c r="H239">
        <v>99.7</v>
      </c>
      <c r="O239" t="s">
        <v>239</v>
      </c>
      <c r="P239" t="s">
        <v>514</v>
      </c>
      <c r="Y239">
        <v>205</v>
      </c>
      <c r="Z239" s="259" t="s">
        <v>630</v>
      </c>
      <c r="AA239">
        <v>150</v>
      </c>
      <c r="AB239">
        <v>14915</v>
      </c>
      <c r="AC239">
        <v>45726</v>
      </c>
      <c r="AD239">
        <v>0</v>
      </c>
      <c r="AE239">
        <v>14955</v>
      </c>
      <c r="AF239">
        <v>14955</v>
      </c>
      <c r="AG239">
        <v>0</v>
      </c>
      <c r="AH239">
        <v>40</v>
      </c>
    </row>
    <row r="240" spans="2:34" x14ac:dyDescent="0.35">
      <c r="B240" t="s">
        <v>563</v>
      </c>
      <c r="C240">
        <v>45726</v>
      </c>
      <c r="F240" t="s">
        <v>752</v>
      </c>
      <c r="H240">
        <v>200.1</v>
      </c>
      <c r="O240" t="s">
        <v>239</v>
      </c>
      <c r="P240" t="s">
        <v>514</v>
      </c>
      <c r="Y240">
        <v>206</v>
      </c>
      <c r="Z240" s="259" t="s">
        <v>630</v>
      </c>
      <c r="AA240">
        <v>50</v>
      </c>
      <c r="AB240">
        <v>10010</v>
      </c>
      <c r="AC240">
        <v>45726</v>
      </c>
      <c r="AD240">
        <v>0</v>
      </c>
      <c r="AE240">
        <v>10005</v>
      </c>
      <c r="AF240">
        <v>10005</v>
      </c>
      <c r="AG240">
        <v>0</v>
      </c>
      <c r="AH240">
        <v>-5</v>
      </c>
    </row>
    <row r="241" spans="2:34" x14ac:dyDescent="0.35">
      <c r="B241" t="s">
        <v>563</v>
      </c>
      <c r="C241">
        <v>45726</v>
      </c>
      <c r="F241" t="s">
        <v>754</v>
      </c>
      <c r="H241">
        <v>77.099999999999994</v>
      </c>
      <c r="O241" t="s">
        <v>239</v>
      </c>
      <c r="P241" t="s">
        <v>514</v>
      </c>
      <c r="Y241">
        <v>207</v>
      </c>
      <c r="Z241" s="259" t="s">
        <v>630</v>
      </c>
      <c r="AA241">
        <v>100</v>
      </c>
      <c r="AB241">
        <v>8008</v>
      </c>
      <c r="AC241">
        <v>45726</v>
      </c>
      <c r="AD241">
        <v>0</v>
      </c>
      <c r="AE241">
        <v>7709.9999999999991</v>
      </c>
      <c r="AF241">
        <v>7709.9999999999991</v>
      </c>
      <c r="AG241">
        <v>0</v>
      </c>
      <c r="AH241">
        <v>-298.00000000000091</v>
      </c>
    </row>
    <row r="242" spans="2:34" x14ac:dyDescent="0.35">
      <c r="B242" t="s">
        <v>563</v>
      </c>
      <c r="C242">
        <v>45727</v>
      </c>
      <c r="F242" t="s">
        <v>749</v>
      </c>
      <c r="H242">
        <v>100</v>
      </c>
      <c r="O242" t="s">
        <v>239</v>
      </c>
      <c r="P242" t="s">
        <v>514</v>
      </c>
      <c r="Y242">
        <v>208</v>
      </c>
      <c r="Z242" s="259" t="s">
        <v>630</v>
      </c>
      <c r="AA242">
        <v>150</v>
      </c>
      <c r="AB242">
        <v>14915</v>
      </c>
      <c r="AC242">
        <v>45727</v>
      </c>
      <c r="AD242">
        <v>0</v>
      </c>
      <c r="AE242">
        <v>15000</v>
      </c>
      <c r="AF242">
        <v>15000</v>
      </c>
      <c r="AG242">
        <v>0</v>
      </c>
      <c r="AH242">
        <v>85</v>
      </c>
    </row>
    <row r="243" spans="2:34" x14ac:dyDescent="0.35">
      <c r="B243" t="s">
        <v>563</v>
      </c>
      <c r="C243">
        <v>45727</v>
      </c>
      <c r="F243" t="s">
        <v>752</v>
      </c>
      <c r="H243">
        <v>200</v>
      </c>
      <c r="O243" t="s">
        <v>239</v>
      </c>
      <c r="P243" t="s">
        <v>514</v>
      </c>
      <c r="Y243">
        <v>209</v>
      </c>
      <c r="Z243" s="259" t="s">
        <v>630</v>
      </c>
      <c r="AA243">
        <v>50</v>
      </c>
      <c r="AB243">
        <v>10010</v>
      </c>
      <c r="AC243">
        <v>45727</v>
      </c>
      <c r="AD243">
        <v>0</v>
      </c>
      <c r="AE243">
        <v>10000</v>
      </c>
      <c r="AF243">
        <v>10000</v>
      </c>
      <c r="AG243">
        <v>0</v>
      </c>
      <c r="AH243">
        <v>-10</v>
      </c>
    </row>
    <row r="244" spans="2:34" x14ac:dyDescent="0.35">
      <c r="B244" t="s">
        <v>563</v>
      </c>
      <c r="C244">
        <v>45727</v>
      </c>
      <c r="F244" t="s">
        <v>754</v>
      </c>
      <c r="H244">
        <v>77</v>
      </c>
      <c r="O244" t="s">
        <v>239</v>
      </c>
      <c r="P244" t="s">
        <v>514</v>
      </c>
      <c r="Y244">
        <v>210</v>
      </c>
      <c r="Z244" s="259" t="s">
        <v>630</v>
      </c>
      <c r="AA244">
        <v>100</v>
      </c>
      <c r="AB244">
        <v>8008</v>
      </c>
      <c r="AC244">
        <v>45727</v>
      </c>
      <c r="AD244">
        <v>0</v>
      </c>
      <c r="AE244">
        <v>7700</v>
      </c>
      <c r="AF244">
        <v>7700</v>
      </c>
      <c r="AG244">
        <v>0</v>
      </c>
      <c r="AH244">
        <v>-308</v>
      </c>
    </row>
    <row r="245" spans="2:34" x14ac:dyDescent="0.35">
      <c r="B245" t="s">
        <v>563</v>
      </c>
      <c r="C245">
        <v>45728</v>
      </c>
      <c r="F245" t="s">
        <v>749</v>
      </c>
      <c r="H245">
        <v>100.3</v>
      </c>
      <c r="O245" t="s">
        <v>239</v>
      </c>
      <c r="P245" t="s">
        <v>514</v>
      </c>
      <c r="Y245">
        <v>211</v>
      </c>
      <c r="Z245" s="259" t="s">
        <v>630</v>
      </c>
      <c r="AA245">
        <v>150</v>
      </c>
      <c r="AB245">
        <v>14915</v>
      </c>
      <c r="AC245">
        <v>45728</v>
      </c>
      <c r="AD245">
        <v>0</v>
      </c>
      <c r="AE245">
        <v>15045</v>
      </c>
      <c r="AF245">
        <v>15045</v>
      </c>
      <c r="AG245">
        <v>0</v>
      </c>
      <c r="AH245">
        <v>130</v>
      </c>
    </row>
    <row r="246" spans="2:34" x14ac:dyDescent="0.35">
      <c r="B246" t="s">
        <v>563</v>
      </c>
      <c r="C246">
        <v>45728</v>
      </c>
      <c r="F246" t="s">
        <v>752</v>
      </c>
      <c r="H246">
        <v>199.9</v>
      </c>
      <c r="O246" t="s">
        <v>239</v>
      </c>
      <c r="P246" t="s">
        <v>514</v>
      </c>
      <c r="Y246">
        <v>212</v>
      </c>
      <c r="Z246" s="259" t="s">
        <v>630</v>
      </c>
      <c r="AA246">
        <v>50</v>
      </c>
      <c r="AB246">
        <v>10010</v>
      </c>
      <c r="AC246">
        <v>45728</v>
      </c>
      <c r="AD246">
        <v>0</v>
      </c>
      <c r="AE246">
        <v>9995</v>
      </c>
      <c r="AF246">
        <v>9995</v>
      </c>
      <c r="AG246">
        <v>0</v>
      </c>
      <c r="AH246">
        <v>-15</v>
      </c>
    </row>
    <row r="247" spans="2:34" x14ac:dyDescent="0.35">
      <c r="B247" t="s">
        <v>563</v>
      </c>
      <c r="C247">
        <v>45728</v>
      </c>
      <c r="F247" t="s">
        <v>754</v>
      </c>
      <c r="H247">
        <v>76.900000000000006</v>
      </c>
      <c r="O247" t="s">
        <v>239</v>
      </c>
      <c r="P247" t="s">
        <v>514</v>
      </c>
      <c r="Y247">
        <v>213</v>
      </c>
      <c r="Z247" s="259" t="s">
        <v>630</v>
      </c>
      <c r="AA247">
        <v>100</v>
      </c>
      <c r="AB247">
        <v>8008</v>
      </c>
      <c r="AC247">
        <v>45728</v>
      </c>
      <c r="AD247">
        <v>0</v>
      </c>
      <c r="AE247">
        <v>7690.0000000000009</v>
      </c>
      <c r="AF247">
        <v>7690.0000000000009</v>
      </c>
      <c r="AG247">
        <v>0</v>
      </c>
      <c r="AH247">
        <v>-317.99999999999909</v>
      </c>
    </row>
    <row r="248" spans="2:34" x14ac:dyDescent="0.35">
      <c r="B248" t="s">
        <v>563</v>
      </c>
      <c r="C248">
        <v>45729</v>
      </c>
      <c r="F248" t="s">
        <v>749</v>
      </c>
      <c r="H248">
        <v>100.6</v>
      </c>
      <c r="O248" t="s">
        <v>239</v>
      </c>
      <c r="P248" t="s">
        <v>514</v>
      </c>
      <c r="Y248">
        <v>214</v>
      </c>
      <c r="Z248" s="259" t="s">
        <v>630</v>
      </c>
      <c r="AA248">
        <v>150</v>
      </c>
      <c r="AB248">
        <v>14915</v>
      </c>
      <c r="AC248">
        <v>45729</v>
      </c>
      <c r="AD248">
        <v>0</v>
      </c>
      <c r="AE248">
        <v>15090</v>
      </c>
      <c r="AF248">
        <v>15090</v>
      </c>
      <c r="AG248">
        <v>0</v>
      </c>
      <c r="AH248">
        <v>175</v>
      </c>
    </row>
    <row r="249" spans="2:34" x14ac:dyDescent="0.35">
      <c r="B249" t="s">
        <v>563</v>
      </c>
      <c r="C249">
        <v>45729</v>
      </c>
      <c r="F249" t="s">
        <v>752</v>
      </c>
      <c r="H249">
        <v>199.8</v>
      </c>
      <c r="O249" t="s">
        <v>239</v>
      </c>
      <c r="P249" t="s">
        <v>514</v>
      </c>
      <c r="Y249">
        <v>215</v>
      </c>
      <c r="Z249" s="259" t="s">
        <v>630</v>
      </c>
      <c r="AA249">
        <v>50</v>
      </c>
      <c r="AB249">
        <v>10010</v>
      </c>
      <c r="AC249">
        <v>45729</v>
      </c>
      <c r="AD249">
        <v>0</v>
      </c>
      <c r="AE249">
        <v>9990</v>
      </c>
      <c r="AF249">
        <v>9990</v>
      </c>
      <c r="AG249">
        <v>0</v>
      </c>
      <c r="AH249">
        <v>-20</v>
      </c>
    </row>
    <row r="250" spans="2:34" x14ac:dyDescent="0.35">
      <c r="B250" t="s">
        <v>563</v>
      </c>
      <c r="C250">
        <v>45729</v>
      </c>
      <c r="F250" t="s">
        <v>754</v>
      </c>
      <c r="H250">
        <v>76.8</v>
      </c>
      <c r="O250" t="s">
        <v>239</v>
      </c>
      <c r="P250" t="s">
        <v>514</v>
      </c>
      <c r="Y250">
        <v>216</v>
      </c>
      <c r="Z250" s="259" t="s">
        <v>630</v>
      </c>
      <c r="AA250">
        <v>100</v>
      </c>
      <c r="AB250">
        <v>8008</v>
      </c>
      <c r="AC250">
        <v>45729</v>
      </c>
      <c r="AD250">
        <v>0</v>
      </c>
      <c r="AE250">
        <v>7680</v>
      </c>
      <c r="AF250">
        <v>7680</v>
      </c>
      <c r="AG250">
        <v>0</v>
      </c>
      <c r="AH250">
        <v>-328</v>
      </c>
    </row>
    <row r="251" spans="2:34" x14ac:dyDescent="0.35">
      <c r="B251" t="s">
        <v>563</v>
      </c>
      <c r="C251">
        <v>45730</v>
      </c>
      <c r="F251" t="s">
        <v>749</v>
      </c>
      <c r="H251">
        <v>100.9</v>
      </c>
      <c r="O251" t="s">
        <v>239</v>
      </c>
      <c r="P251" t="s">
        <v>514</v>
      </c>
      <c r="Y251">
        <v>217</v>
      </c>
      <c r="Z251" s="259" t="s">
        <v>630</v>
      </c>
      <c r="AA251">
        <v>150</v>
      </c>
      <c r="AB251">
        <v>14915</v>
      </c>
      <c r="AC251">
        <v>45730</v>
      </c>
      <c r="AD251">
        <v>0</v>
      </c>
      <c r="AE251">
        <v>15135</v>
      </c>
      <c r="AF251">
        <v>15135</v>
      </c>
      <c r="AG251">
        <v>0</v>
      </c>
      <c r="AH251">
        <v>220</v>
      </c>
    </row>
    <row r="252" spans="2:34" x14ac:dyDescent="0.35">
      <c r="B252" t="s">
        <v>563</v>
      </c>
      <c r="C252">
        <v>45730</v>
      </c>
      <c r="F252" t="s">
        <v>752</v>
      </c>
      <c r="H252">
        <v>199.7</v>
      </c>
      <c r="O252" t="s">
        <v>239</v>
      </c>
      <c r="P252" t="s">
        <v>514</v>
      </c>
      <c r="Y252">
        <v>218</v>
      </c>
      <c r="Z252" s="259" t="s">
        <v>630</v>
      </c>
      <c r="AA252">
        <v>50</v>
      </c>
      <c r="AB252">
        <v>10010</v>
      </c>
      <c r="AC252">
        <v>45730</v>
      </c>
      <c r="AD252">
        <v>0</v>
      </c>
      <c r="AE252">
        <v>9985</v>
      </c>
      <c r="AF252">
        <v>9985</v>
      </c>
      <c r="AG252">
        <v>0</v>
      </c>
      <c r="AH252">
        <v>-25</v>
      </c>
    </row>
    <row r="253" spans="2:34" x14ac:dyDescent="0.35">
      <c r="B253" t="s">
        <v>563</v>
      </c>
      <c r="C253">
        <v>45730</v>
      </c>
      <c r="F253" t="s">
        <v>754</v>
      </c>
      <c r="H253">
        <v>76.7</v>
      </c>
      <c r="O253" t="s">
        <v>239</v>
      </c>
      <c r="P253" t="s">
        <v>514</v>
      </c>
      <c r="Y253">
        <v>219</v>
      </c>
      <c r="Z253" s="259" t="s">
        <v>630</v>
      </c>
      <c r="AA253">
        <v>100</v>
      </c>
      <c r="AB253">
        <v>8008</v>
      </c>
      <c r="AC253">
        <v>45730</v>
      </c>
      <c r="AD253">
        <v>0</v>
      </c>
      <c r="AE253">
        <v>7670</v>
      </c>
      <c r="AF253">
        <v>7670</v>
      </c>
      <c r="AG253">
        <v>0</v>
      </c>
      <c r="AH253">
        <v>-338</v>
      </c>
    </row>
    <row r="254" spans="2:34" x14ac:dyDescent="0.35">
      <c r="B254" t="s">
        <v>563</v>
      </c>
      <c r="C254">
        <v>45731</v>
      </c>
      <c r="F254" t="s">
        <v>749</v>
      </c>
      <c r="H254">
        <v>100.9</v>
      </c>
      <c r="O254" t="s">
        <v>239</v>
      </c>
      <c r="P254" t="s">
        <v>514</v>
      </c>
      <c r="Y254">
        <v>220</v>
      </c>
      <c r="Z254" s="259" t="s">
        <v>630</v>
      </c>
      <c r="AA254">
        <v>150</v>
      </c>
      <c r="AB254">
        <v>14915</v>
      </c>
      <c r="AC254">
        <v>45730</v>
      </c>
      <c r="AD254">
        <v>1</v>
      </c>
      <c r="AE254">
        <v>15135</v>
      </c>
      <c r="AF254">
        <v>15135</v>
      </c>
      <c r="AG254">
        <v>0</v>
      </c>
      <c r="AH254">
        <v>220</v>
      </c>
    </row>
    <row r="255" spans="2:34" x14ac:dyDescent="0.35">
      <c r="B255" t="s">
        <v>563</v>
      </c>
      <c r="C255">
        <v>45731</v>
      </c>
      <c r="F255" t="s">
        <v>752</v>
      </c>
      <c r="H255">
        <v>199.7</v>
      </c>
      <c r="O255" t="s">
        <v>239</v>
      </c>
      <c r="P255" t="s">
        <v>514</v>
      </c>
      <c r="Y255">
        <v>221</v>
      </c>
      <c r="Z255" s="259" t="s">
        <v>630</v>
      </c>
      <c r="AA255">
        <v>50</v>
      </c>
      <c r="AB255">
        <v>10010</v>
      </c>
      <c r="AC255">
        <v>45730</v>
      </c>
      <c r="AD255">
        <v>1</v>
      </c>
      <c r="AE255">
        <v>9985</v>
      </c>
      <c r="AF255">
        <v>9985</v>
      </c>
      <c r="AG255">
        <v>0</v>
      </c>
      <c r="AH255">
        <v>-25</v>
      </c>
    </row>
    <row r="256" spans="2:34" x14ac:dyDescent="0.35">
      <c r="B256" t="s">
        <v>563</v>
      </c>
      <c r="C256">
        <v>45731</v>
      </c>
      <c r="F256" t="s">
        <v>754</v>
      </c>
      <c r="H256">
        <v>76.7</v>
      </c>
      <c r="O256" t="s">
        <v>239</v>
      </c>
      <c r="P256" t="s">
        <v>514</v>
      </c>
      <c r="Y256">
        <v>222</v>
      </c>
      <c r="Z256" s="259" t="s">
        <v>630</v>
      </c>
      <c r="AA256">
        <v>100</v>
      </c>
      <c r="AB256">
        <v>8008</v>
      </c>
      <c r="AC256">
        <v>45730</v>
      </c>
      <c r="AD256">
        <v>1</v>
      </c>
      <c r="AE256">
        <v>7670</v>
      </c>
      <c r="AF256">
        <v>7670</v>
      </c>
      <c r="AG256">
        <v>0</v>
      </c>
      <c r="AH256">
        <v>-338</v>
      </c>
    </row>
    <row r="257" spans="2:34" x14ac:dyDescent="0.35">
      <c r="B257" t="s">
        <v>563</v>
      </c>
      <c r="C257">
        <v>45732</v>
      </c>
      <c r="F257" t="s">
        <v>749</v>
      </c>
      <c r="H257">
        <v>100.9</v>
      </c>
      <c r="O257" t="s">
        <v>239</v>
      </c>
      <c r="P257" t="s">
        <v>514</v>
      </c>
      <c r="Y257">
        <v>223</v>
      </c>
      <c r="Z257" s="259" t="s">
        <v>630</v>
      </c>
      <c r="AA257">
        <v>150</v>
      </c>
      <c r="AB257">
        <v>14915</v>
      </c>
      <c r="AC257">
        <v>45730</v>
      </c>
      <c r="AD257">
        <v>2</v>
      </c>
      <c r="AE257">
        <v>15135</v>
      </c>
      <c r="AF257">
        <v>15135</v>
      </c>
      <c r="AG257">
        <v>0</v>
      </c>
      <c r="AH257">
        <v>220</v>
      </c>
    </row>
    <row r="258" spans="2:34" x14ac:dyDescent="0.35">
      <c r="B258" t="s">
        <v>563</v>
      </c>
      <c r="C258">
        <v>45732</v>
      </c>
      <c r="F258" t="s">
        <v>752</v>
      </c>
      <c r="H258">
        <v>199.7</v>
      </c>
      <c r="O258" t="s">
        <v>239</v>
      </c>
      <c r="P258" t="s">
        <v>514</v>
      </c>
      <c r="Y258">
        <v>224</v>
      </c>
      <c r="Z258" s="259" t="s">
        <v>630</v>
      </c>
      <c r="AA258">
        <v>50</v>
      </c>
      <c r="AB258">
        <v>10010</v>
      </c>
      <c r="AC258">
        <v>45730</v>
      </c>
      <c r="AD258">
        <v>2</v>
      </c>
      <c r="AE258">
        <v>9985</v>
      </c>
      <c r="AF258">
        <v>9985</v>
      </c>
      <c r="AG258">
        <v>0</v>
      </c>
      <c r="AH258">
        <v>-25</v>
      </c>
    </row>
    <row r="259" spans="2:34" x14ac:dyDescent="0.35">
      <c r="B259" t="s">
        <v>563</v>
      </c>
      <c r="C259">
        <v>45732</v>
      </c>
      <c r="F259" t="s">
        <v>754</v>
      </c>
      <c r="H259">
        <v>76.7</v>
      </c>
      <c r="O259" t="s">
        <v>239</v>
      </c>
      <c r="P259" t="s">
        <v>514</v>
      </c>
      <c r="Y259">
        <v>225</v>
      </c>
      <c r="Z259" s="259" t="s">
        <v>630</v>
      </c>
      <c r="AA259">
        <v>100</v>
      </c>
      <c r="AB259">
        <v>8008</v>
      </c>
      <c r="AC259">
        <v>45730</v>
      </c>
      <c r="AD259">
        <v>2</v>
      </c>
      <c r="AE259">
        <v>7670</v>
      </c>
      <c r="AF259">
        <v>7670</v>
      </c>
      <c r="AG259">
        <v>0</v>
      </c>
      <c r="AH259">
        <v>-338</v>
      </c>
    </row>
    <row r="260" spans="2:34" x14ac:dyDescent="0.35">
      <c r="B260" t="s">
        <v>563</v>
      </c>
      <c r="C260">
        <v>45733</v>
      </c>
      <c r="F260" t="s">
        <v>749</v>
      </c>
      <c r="H260">
        <v>101.8</v>
      </c>
      <c r="O260" t="s">
        <v>239</v>
      </c>
      <c r="P260" t="s">
        <v>514</v>
      </c>
      <c r="Y260">
        <v>226</v>
      </c>
      <c r="Z260" s="259" t="s">
        <v>630</v>
      </c>
      <c r="AA260">
        <v>150</v>
      </c>
      <c r="AB260">
        <v>14915</v>
      </c>
      <c r="AC260">
        <v>45733</v>
      </c>
      <c r="AD260">
        <v>0</v>
      </c>
      <c r="AE260">
        <v>15270</v>
      </c>
      <c r="AF260">
        <v>15270</v>
      </c>
      <c r="AG260">
        <v>0</v>
      </c>
      <c r="AH260">
        <v>355</v>
      </c>
    </row>
    <row r="261" spans="2:34" x14ac:dyDescent="0.35">
      <c r="B261" t="s">
        <v>563</v>
      </c>
      <c r="C261">
        <v>45733</v>
      </c>
      <c r="F261" t="s">
        <v>752</v>
      </c>
      <c r="H261">
        <v>199.4</v>
      </c>
      <c r="O261" t="s">
        <v>239</v>
      </c>
      <c r="P261" t="s">
        <v>514</v>
      </c>
      <c r="Y261">
        <v>227</v>
      </c>
      <c r="Z261" s="259" t="s">
        <v>630</v>
      </c>
      <c r="AA261">
        <v>50</v>
      </c>
      <c r="AB261">
        <v>10010</v>
      </c>
      <c r="AC261">
        <v>45733</v>
      </c>
      <c r="AD261">
        <v>0</v>
      </c>
      <c r="AE261">
        <v>9970</v>
      </c>
      <c r="AF261">
        <v>9970</v>
      </c>
      <c r="AG261">
        <v>0</v>
      </c>
      <c r="AH261">
        <v>-40</v>
      </c>
    </row>
    <row r="262" spans="2:34" x14ac:dyDescent="0.35">
      <c r="B262" t="s">
        <v>563</v>
      </c>
      <c r="C262">
        <v>45733</v>
      </c>
      <c r="F262" t="s">
        <v>754</v>
      </c>
      <c r="H262">
        <v>76.400000000000006</v>
      </c>
      <c r="O262" t="s">
        <v>239</v>
      </c>
      <c r="P262" t="s">
        <v>514</v>
      </c>
      <c r="Y262">
        <v>228</v>
      </c>
      <c r="Z262" s="259" t="s">
        <v>630</v>
      </c>
      <c r="AA262">
        <v>100</v>
      </c>
      <c r="AB262">
        <v>8008</v>
      </c>
      <c r="AC262">
        <v>45733</v>
      </c>
      <c r="AD262">
        <v>0</v>
      </c>
      <c r="AE262">
        <v>7640.0000000000009</v>
      </c>
      <c r="AF262">
        <v>7640.0000000000009</v>
      </c>
      <c r="AG262">
        <v>0</v>
      </c>
      <c r="AH262">
        <v>-367.99999999999909</v>
      </c>
    </row>
    <row r="263" spans="2:34" x14ac:dyDescent="0.35">
      <c r="B263" t="s">
        <v>563</v>
      </c>
      <c r="C263">
        <v>45734</v>
      </c>
      <c r="F263" t="s">
        <v>749</v>
      </c>
      <c r="H263">
        <v>102.1</v>
      </c>
      <c r="O263" t="s">
        <v>239</v>
      </c>
      <c r="P263" t="s">
        <v>514</v>
      </c>
      <c r="Y263">
        <v>229</v>
      </c>
      <c r="Z263" s="259" t="s">
        <v>630</v>
      </c>
      <c r="AA263">
        <v>150</v>
      </c>
      <c r="AB263">
        <v>14915</v>
      </c>
      <c r="AC263">
        <v>45734</v>
      </c>
      <c r="AD263">
        <v>0</v>
      </c>
      <c r="AE263">
        <v>15315</v>
      </c>
      <c r="AF263">
        <v>15315</v>
      </c>
      <c r="AG263">
        <v>0</v>
      </c>
      <c r="AH263">
        <v>400</v>
      </c>
    </row>
    <row r="264" spans="2:34" x14ac:dyDescent="0.35">
      <c r="B264" t="s">
        <v>563</v>
      </c>
      <c r="C264">
        <v>45734</v>
      </c>
      <c r="F264" t="s">
        <v>752</v>
      </c>
      <c r="H264">
        <v>199.3</v>
      </c>
      <c r="O264" t="s">
        <v>239</v>
      </c>
      <c r="P264" t="s">
        <v>514</v>
      </c>
      <c r="Y264">
        <v>230</v>
      </c>
      <c r="Z264" s="259" t="s">
        <v>630</v>
      </c>
      <c r="AA264">
        <v>50</v>
      </c>
      <c r="AB264">
        <v>10010</v>
      </c>
      <c r="AC264">
        <v>45734</v>
      </c>
      <c r="AD264">
        <v>0</v>
      </c>
      <c r="AE264">
        <v>9965</v>
      </c>
      <c r="AF264">
        <v>9965</v>
      </c>
      <c r="AG264">
        <v>0</v>
      </c>
      <c r="AH264">
        <v>-45</v>
      </c>
    </row>
    <row r="265" spans="2:34" x14ac:dyDescent="0.35">
      <c r="B265" t="s">
        <v>563</v>
      </c>
      <c r="C265">
        <v>45734</v>
      </c>
      <c r="F265" t="s">
        <v>754</v>
      </c>
      <c r="H265">
        <v>76.3</v>
      </c>
      <c r="O265" t="s">
        <v>239</v>
      </c>
      <c r="P265" t="s">
        <v>514</v>
      </c>
      <c r="Y265">
        <v>231</v>
      </c>
      <c r="Z265" s="259" t="s">
        <v>630</v>
      </c>
      <c r="AA265">
        <v>100</v>
      </c>
      <c r="AB265">
        <v>8008</v>
      </c>
      <c r="AC265">
        <v>45734</v>
      </c>
      <c r="AD265">
        <v>0</v>
      </c>
      <c r="AE265">
        <v>7630</v>
      </c>
      <c r="AF265">
        <v>7630</v>
      </c>
      <c r="AG265">
        <v>0</v>
      </c>
      <c r="AH265">
        <v>-378</v>
      </c>
    </row>
    <row r="266" spans="2:34" x14ac:dyDescent="0.35">
      <c r="B266" t="s">
        <v>563</v>
      </c>
      <c r="C266">
        <v>45735</v>
      </c>
      <c r="F266" t="s">
        <v>749</v>
      </c>
      <c r="H266">
        <v>102.4</v>
      </c>
      <c r="O266" t="s">
        <v>239</v>
      </c>
      <c r="P266" t="s">
        <v>514</v>
      </c>
      <c r="Y266">
        <v>232</v>
      </c>
      <c r="Z266" s="259" t="s">
        <v>630</v>
      </c>
      <c r="AA266">
        <v>150</v>
      </c>
      <c r="AB266">
        <v>14915</v>
      </c>
      <c r="AC266">
        <v>45735</v>
      </c>
      <c r="AD266">
        <v>0</v>
      </c>
      <c r="AE266">
        <v>15360</v>
      </c>
      <c r="AF266">
        <v>15360</v>
      </c>
      <c r="AG266">
        <v>0</v>
      </c>
      <c r="AH266">
        <v>445</v>
      </c>
    </row>
    <row r="267" spans="2:34" x14ac:dyDescent="0.35">
      <c r="B267" t="s">
        <v>563</v>
      </c>
      <c r="C267">
        <v>45735</v>
      </c>
      <c r="F267" t="s">
        <v>752</v>
      </c>
      <c r="H267">
        <v>199.2</v>
      </c>
      <c r="O267" t="s">
        <v>239</v>
      </c>
      <c r="P267" t="s">
        <v>514</v>
      </c>
      <c r="Y267">
        <v>233</v>
      </c>
      <c r="Z267" s="259" t="s">
        <v>630</v>
      </c>
      <c r="AA267">
        <v>50</v>
      </c>
      <c r="AB267">
        <v>10010</v>
      </c>
      <c r="AC267">
        <v>45735</v>
      </c>
      <c r="AD267">
        <v>0</v>
      </c>
      <c r="AE267">
        <v>9960</v>
      </c>
      <c r="AF267">
        <v>9960</v>
      </c>
      <c r="AG267">
        <v>0</v>
      </c>
      <c r="AH267">
        <v>-50</v>
      </c>
    </row>
    <row r="268" spans="2:34" x14ac:dyDescent="0.35">
      <c r="B268" t="s">
        <v>563</v>
      </c>
      <c r="C268">
        <v>45735</v>
      </c>
      <c r="F268" t="s">
        <v>754</v>
      </c>
      <c r="H268">
        <v>76.2</v>
      </c>
      <c r="O268" t="s">
        <v>239</v>
      </c>
      <c r="P268" t="s">
        <v>514</v>
      </c>
      <c r="Y268">
        <v>234</v>
      </c>
      <c r="Z268" s="259" t="s">
        <v>630</v>
      </c>
      <c r="AA268">
        <v>100</v>
      </c>
      <c r="AB268">
        <v>8008</v>
      </c>
      <c r="AC268">
        <v>45735</v>
      </c>
      <c r="AD268">
        <v>0</v>
      </c>
      <c r="AE268">
        <v>7620</v>
      </c>
      <c r="AF268">
        <v>7620</v>
      </c>
      <c r="AG268">
        <v>0</v>
      </c>
      <c r="AH268">
        <v>-388</v>
      </c>
    </row>
    <row r="269" spans="2:34" x14ac:dyDescent="0.35">
      <c r="B269" t="s">
        <v>563</v>
      </c>
      <c r="C269">
        <v>45736</v>
      </c>
      <c r="F269" t="s">
        <v>749</v>
      </c>
      <c r="H269">
        <v>102.7</v>
      </c>
      <c r="O269" t="s">
        <v>239</v>
      </c>
      <c r="P269" t="s">
        <v>514</v>
      </c>
      <c r="Y269">
        <v>235</v>
      </c>
      <c r="Z269" s="259" t="s">
        <v>630</v>
      </c>
      <c r="AA269">
        <v>150</v>
      </c>
      <c r="AB269">
        <v>14915</v>
      </c>
      <c r="AC269">
        <v>45736</v>
      </c>
      <c r="AD269">
        <v>0</v>
      </c>
      <c r="AE269">
        <v>15405</v>
      </c>
      <c r="AF269">
        <v>15405</v>
      </c>
      <c r="AG269">
        <v>0</v>
      </c>
      <c r="AH269">
        <v>490</v>
      </c>
    </row>
    <row r="270" spans="2:34" x14ac:dyDescent="0.35">
      <c r="B270" t="s">
        <v>563</v>
      </c>
      <c r="C270">
        <v>45736</v>
      </c>
      <c r="F270" t="s">
        <v>752</v>
      </c>
      <c r="H270">
        <v>199.1</v>
      </c>
      <c r="O270" t="s">
        <v>239</v>
      </c>
      <c r="P270" t="s">
        <v>514</v>
      </c>
      <c r="Y270">
        <v>236</v>
      </c>
      <c r="Z270" s="259" t="s">
        <v>630</v>
      </c>
      <c r="AA270">
        <v>50</v>
      </c>
      <c r="AB270">
        <v>10010</v>
      </c>
      <c r="AC270">
        <v>45736</v>
      </c>
      <c r="AD270">
        <v>0</v>
      </c>
      <c r="AE270">
        <v>9955</v>
      </c>
      <c r="AF270">
        <v>9955</v>
      </c>
      <c r="AG270">
        <v>0</v>
      </c>
      <c r="AH270">
        <v>-55</v>
      </c>
    </row>
    <row r="271" spans="2:34" x14ac:dyDescent="0.35">
      <c r="B271" t="s">
        <v>563</v>
      </c>
      <c r="C271">
        <v>45736</v>
      </c>
      <c r="F271" t="s">
        <v>754</v>
      </c>
      <c r="H271">
        <v>76.099999999999994</v>
      </c>
      <c r="O271" t="s">
        <v>239</v>
      </c>
      <c r="P271" t="s">
        <v>514</v>
      </c>
      <c r="Y271">
        <v>237</v>
      </c>
      <c r="Z271" s="259" t="s">
        <v>630</v>
      </c>
      <c r="AA271">
        <v>100</v>
      </c>
      <c r="AB271">
        <v>8008</v>
      </c>
      <c r="AC271">
        <v>45736</v>
      </c>
      <c r="AD271">
        <v>0</v>
      </c>
      <c r="AE271">
        <v>7609.9999999999991</v>
      </c>
      <c r="AF271">
        <v>7609.9999999999991</v>
      </c>
      <c r="AG271">
        <v>0</v>
      </c>
      <c r="AH271">
        <v>-398.00000000000091</v>
      </c>
    </row>
    <row r="272" spans="2:34" x14ac:dyDescent="0.35">
      <c r="B272" t="s">
        <v>563</v>
      </c>
      <c r="C272">
        <v>45737</v>
      </c>
      <c r="F272" t="s">
        <v>749</v>
      </c>
      <c r="H272">
        <v>103</v>
      </c>
      <c r="O272" t="s">
        <v>239</v>
      </c>
      <c r="P272" t="s">
        <v>514</v>
      </c>
      <c r="Y272">
        <v>238</v>
      </c>
      <c r="Z272" s="259" t="s">
        <v>630</v>
      </c>
      <c r="AA272">
        <v>150</v>
      </c>
      <c r="AB272">
        <v>14915</v>
      </c>
      <c r="AC272">
        <v>45737</v>
      </c>
      <c r="AD272">
        <v>0</v>
      </c>
      <c r="AE272">
        <v>15450</v>
      </c>
      <c r="AF272">
        <v>15450</v>
      </c>
      <c r="AG272">
        <v>0</v>
      </c>
      <c r="AH272">
        <v>535</v>
      </c>
    </row>
    <row r="273" spans="2:34" x14ac:dyDescent="0.35">
      <c r="B273" t="s">
        <v>563</v>
      </c>
      <c r="C273">
        <v>45737</v>
      </c>
      <c r="F273" t="s">
        <v>752</v>
      </c>
      <c r="H273">
        <v>199</v>
      </c>
      <c r="O273" t="s">
        <v>239</v>
      </c>
      <c r="P273" t="s">
        <v>514</v>
      </c>
      <c r="Y273">
        <v>239</v>
      </c>
      <c r="Z273" s="259" t="s">
        <v>630</v>
      </c>
      <c r="AA273">
        <v>50</v>
      </c>
      <c r="AB273">
        <v>10010</v>
      </c>
      <c r="AC273">
        <v>45737</v>
      </c>
      <c r="AD273">
        <v>0</v>
      </c>
      <c r="AE273">
        <v>9950</v>
      </c>
      <c r="AF273">
        <v>9950</v>
      </c>
      <c r="AG273">
        <v>0</v>
      </c>
      <c r="AH273">
        <v>-60</v>
      </c>
    </row>
    <row r="274" spans="2:34" x14ac:dyDescent="0.35">
      <c r="B274" t="s">
        <v>563</v>
      </c>
      <c r="C274">
        <v>45737</v>
      </c>
      <c r="F274" t="s">
        <v>754</v>
      </c>
      <c r="H274">
        <v>76</v>
      </c>
      <c r="O274" t="s">
        <v>239</v>
      </c>
      <c r="P274" t="s">
        <v>514</v>
      </c>
      <c r="Y274">
        <v>240</v>
      </c>
      <c r="Z274" s="259" t="s">
        <v>630</v>
      </c>
      <c r="AA274">
        <v>100</v>
      </c>
      <c r="AB274">
        <v>8008</v>
      </c>
      <c r="AC274">
        <v>45737</v>
      </c>
      <c r="AD274">
        <v>0</v>
      </c>
      <c r="AE274">
        <v>7600</v>
      </c>
      <c r="AF274">
        <v>7600</v>
      </c>
      <c r="AG274">
        <v>0</v>
      </c>
      <c r="AH274">
        <v>-408</v>
      </c>
    </row>
    <row r="275" spans="2:34" x14ac:dyDescent="0.35">
      <c r="B275" t="s">
        <v>563</v>
      </c>
      <c r="C275">
        <v>45738</v>
      </c>
      <c r="F275" t="s">
        <v>749</v>
      </c>
      <c r="H275">
        <v>103</v>
      </c>
      <c r="O275" t="s">
        <v>239</v>
      </c>
      <c r="P275" t="s">
        <v>514</v>
      </c>
      <c r="Y275">
        <v>241</v>
      </c>
      <c r="Z275" s="259" t="s">
        <v>630</v>
      </c>
      <c r="AA275">
        <v>150</v>
      </c>
      <c r="AB275">
        <v>14915</v>
      </c>
      <c r="AC275">
        <v>45737</v>
      </c>
      <c r="AD275">
        <v>1</v>
      </c>
      <c r="AE275">
        <v>15450</v>
      </c>
      <c r="AF275">
        <v>15450</v>
      </c>
      <c r="AG275">
        <v>0</v>
      </c>
      <c r="AH275">
        <v>535</v>
      </c>
    </row>
    <row r="276" spans="2:34" x14ac:dyDescent="0.35">
      <c r="B276" t="s">
        <v>563</v>
      </c>
      <c r="C276">
        <v>45738</v>
      </c>
      <c r="F276" t="s">
        <v>752</v>
      </c>
      <c r="H276">
        <v>199</v>
      </c>
      <c r="O276" t="s">
        <v>239</v>
      </c>
      <c r="P276" t="s">
        <v>514</v>
      </c>
      <c r="Y276">
        <v>242</v>
      </c>
      <c r="Z276" s="259" t="s">
        <v>630</v>
      </c>
      <c r="AA276">
        <v>50</v>
      </c>
      <c r="AB276">
        <v>10010</v>
      </c>
      <c r="AC276">
        <v>45737</v>
      </c>
      <c r="AD276">
        <v>1</v>
      </c>
      <c r="AE276">
        <v>9950</v>
      </c>
      <c r="AF276">
        <v>9950</v>
      </c>
      <c r="AG276">
        <v>0</v>
      </c>
      <c r="AH276">
        <v>-60</v>
      </c>
    </row>
    <row r="277" spans="2:34" x14ac:dyDescent="0.35">
      <c r="B277" t="s">
        <v>563</v>
      </c>
      <c r="C277">
        <v>45738</v>
      </c>
      <c r="F277" t="s">
        <v>754</v>
      </c>
      <c r="H277">
        <v>76</v>
      </c>
      <c r="O277" t="s">
        <v>239</v>
      </c>
      <c r="P277" t="s">
        <v>514</v>
      </c>
      <c r="Y277">
        <v>243</v>
      </c>
      <c r="Z277" s="259" t="s">
        <v>630</v>
      </c>
      <c r="AA277">
        <v>100</v>
      </c>
      <c r="AB277">
        <v>8008</v>
      </c>
      <c r="AC277">
        <v>45737</v>
      </c>
      <c r="AD277">
        <v>1</v>
      </c>
      <c r="AE277">
        <v>7600</v>
      </c>
      <c r="AF277">
        <v>7600</v>
      </c>
      <c r="AG277">
        <v>0</v>
      </c>
      <c r="AH277">
        <v>-408</v>
      </c>
    </row>
    <row r="278" spans="2:34" x14ac:dyDescent="0.35">
      <c r="B278" t="s">
        <v>563</v>
      </c>
      <c r="C278">
        <v>45739</v>
      </c>
      <c r="F278" t="s">
        <v>749</v>
      </c>
      <c r="H278">
        <v>103</v>
      </c>
      <c r="O278" t="s">
        <v>239</v>
      </c>
      <c r="P278" t="s">
        <v>514</v>
      </c>
      <c r="Y278">
        <v>244</v>
      </c>
      <c r="Z278" s="259" t="s">
        <v>630</v>
      </c>
      <c r="AA278">
        <v>150</v>
      </c>
      <c r="AB278">
        <v>14915</v>
      </c>
      <c r="AC278">
        <v>45737</v>
      </c>
      <c r="AD278">
        <v>2</v>
      </c>
      <c r="AE278">
        <v>15450</v>
      </c>
      <c r="AF278">
        <v>15450</v>
      </c>
      <c r="AG278">
        <v>0</v>
      </c>
      <c r="AH278">
        <v>535</v>
      </c>
    </row>
    <row r="279" spans="2:34" x14ac:dyDescent="0.35">
      <c r="B279" t="s">
        <v>563</v>
      </c>
      <c r="C279">
        <v>45739</v>
      </c>
      <c r="F279" t="s">
        <v>752</v>
      </c>
      <c r="H279">
        <v>199</v>
      </c>
      <c r="O279" t="s">
        <v>239</v>
      </c>
      <c r="P279" t="s">
        <v>514</v>
      </c>
      <c r="Y279">
        <v>245</v>
      </c>
      <c r="Z279" s="259" t="s">
        <v>630</v>
      </c>
      <c r="AA279">
        <v>50</v>
      </c>
      <c r="AB279">
        <v>10010</v>
      </c>
      <c r="AC279">
        <v>45737</v>
      </c>
      <c r="AD279">
        <v>2</v>
      </c>
      <c r="AE279">
        <v>9950</v>
      </c>
      <c r="AF279">
        <v>9950</v>
      </c>
      <c r="AG279">
        <v>0</v>
      </c>
      <c r="AH279">
        <v>-60</v>
      </c>
    </row>
    <row r="280" spans="2:34" x14ac:dyDescent="0.35">
      <c r="B280" t="s">
        <v>563</v>
      </c>
      <c r="C280">
        <v>45739</v>
      </c>
      <c r="F280" t="s">
        <v>754</v>
      </c>
      <c r="H280">
        <v>76</v>
      </c>
      <c r="O280" t="s">
        <v>239</v>
      </c>
      <c r="P280" t="s">
        <v>514</v>
      </c>
      <c r="Y280">
        <v>246</v>
      </c>
      <c r="Z280" s="259" t="s">
        <v>630</v>
      </c>
      <c r="AA280">
        <v>100</v>
      </c>
      <c r="AB280">
        <v>8008</v>
      </c>
      <c r="AC280">
        <v>45737</v>
      </c>
      <c r="AD280">
        <v>2</v>
      </c>
      <c r="AE280">
        <v>7600</v>
      </c>
      <c r="AF280">
        <v>7600</v>
      </c>
      <c r="AG280">
        <v>0</v>
      </c>
      <c r="AH280">
        <v>-408</v>
      </c>
    </row>
    <row r="281" spans="2:34" x14ac:dyDescent="0.35">
      <c r="B281" t="s">
        <v>563</v>
      </c>
      <c r="C281">
        <v>45740</v>
      </c>
      <c r="F281" t="s">
        <v>749</v>
      </c>
      <c r="H281">
        <v>103.9</v>
      </c>
      <c r="O281" t="s">
        <v>239</v>
      </c>
      <c r="P281" t="s">
        <v>514</v>
      </c>
      <c r="Y281">
        <v>247</v>
      </c>
      <c r="Z281" s="259" t="s">
        <v>630</v>
      </c>
      <c r="AA281">
        <v>150</v>
      </c>
      <c r="AB281">
        <v>14915</v>
      </c>
      <c r="AC281">
        <v>45740</v>
      </c>
      <c r="AD281">
        <v>0</v>
      </c>
      <c r="AE281">
        <v>15585</v>
      </c>
      <c r="AF281">
        <v>15585</v>
      </c>
      <c r="AG281">
        <v>0</v>
      </c>
      <c r="AH281">
        <v>670</v>
      </c>
    </row>
    <row r="282" spans="2:34" x14ac:dyDescent="0.35">
      <c r="B282" t="s">
        <v>563</v>
      </c>
      <c r="C282">
        <v>45740</v>
      </c>
      <c r="F282" t="s">
        <v>752</v>
      </c>
      <c r="H282">
        <v>198.7</v>
      </c>
      <c r="O282" t="s">
        <v>239</v>
      </c>
      <c r="P282" t="s">
        <v>514</v>
      </c>
      <c r="Y282">
        <v>248</v>
      </c>
      <c r="Z282" s="259" t="s">
        <v>630</v>
      </c>
      <c r="AA282">
        <v>50</v>
      </c>
      <c r="AB282">
        <v>10010</v>
      </c>
      <c r="AC282">
        <v>45740</v>
      </c>
      <c r="AD282">
        <v>0</v>
      </c>
      <c r="AE282">
        <v>9935</v>
      </c>
      <c r="AF282">
        <v>9935</v>
      </c>
      <c r="AG282">
        <v>0</v>
      </c>
      <c r="AH282">
        <v>-75</v>
      </c>
    </row>
    <row r="283" spans="2:34" x14ac:dyDescent="0.35">
      <c r="B283" t="s">
        <v>563</v>
      </c>
      <c r="C283">
        <v>45740</v>
      </c>
      <c r="F283" t="s">
        <v>754</v>
      </c>
      <c r="H283">
        <v>75.7</v>
      </c>
      <c r="O283" t="s">
        <v>239</v>
      </c>
      <c r="P283" t="s">
        <v>514</v>
      </c>
      <c r="Y283">
        <v>249</v>
      </c>
      <c r="Z283" s="259" t="s">
        <v>630</v>
      </c>
      <c r="AA283">
        <v>100</v>
      </c>
      <c r="AB283">
        <v>8008</v>
      </c>
      <c r="AC283">
        <v>45740</v>
      </c>
      <c r="AD283">
        <v>0</v>
      </c>
      <c r="AE283">
        <v>7570</v>
      </c>
      <c r="AF283">
        <v>7570</v>
      </c>
      <c r="AG283">
        <v>0</v>
      </c>
      <c r="AH283">
        <v>-438</v>
      </c>
    </row>
    <row r="284" spans="2:34" x14ac:dyDescent="0.35">
      <c r="B284" t="s">
        <v>563</v>
      </c>
      <c r="C284">
        <v>45741</v>
      </c>
      <c r="F284" t="s">
        <v>749</v>
      </c>
      <c r="H284">
        <v>104.2</v>
      </c>
      <c r="O284" t="s">
        <v>239</v>
      </c>
      <c r="P284" t="s">
        <v>514</v>
      </c>
      <c r="Y284">
        <v>250</v>
      </c>
      <c r="Z284" s="259" t="s">
        <v>630</v>
      </c>
      <c r="AA284">
        <v>150</v>
      </c>
      <c r="AB284">
        <v>14915</v>
      </c>
      <c r="AC284">
        <v>45741</v>
      </c>
      <c r="AD284">
        <v>0</v>
      </c>
      <c r="AE284">
        <v>15630</v>
      </c>
      <c r="AF284">
        <v>15630</v>
      </c>
      <c r="AG284">
        <v>0</v>
      </c>
      <c r="AH284">
        <v>715</v>
      </c>
    </row>
    <row r="285" spans="2:34" x14ac:dyDescent="0.35">
      <c r="B285" t="s">
        <v>563</v>
      </c>
      <c r="C285">
        <v>45741</v>
      </c>
      <c r="F285" t="s">
        <v>752</v>
      </c>
      <c r="H285">
        <v>198.6</v>
      </c>
      <c r="O285" t="s">
        <v>239</v>
      </c>
      <c r="P285" t="s">
        <v>514</v>
      </c>
      <c r="Y285">
        <v>251</v>
      </c>
      <c r="Z285" s="259" t="s">
        <v>630</v>
      </c>
      <c r="AA285">
        <v>50</v>
      </c>
      <c r="AB285">
        <v>10010</v>
      </c>
      <c r="AC285">
        <v>45741</v>
      </c>
      <c r="AD285">
        <v>0</v>
      </c>
      <c r="AE285">
        <v>9930</v>
      </c>
      <c r="AF285">
        <v>9930</v>
      </c>
      <c r="AG285">
        <v>0</v>
      </c>
      <c r="AH285">
        <v>-80</v>
      </c>
    </row>
    <row r="286" spans="2:34" x14ac:dyDescent="0.35">
      <c r="B286" t="s">
        <v>563</v>
      </c>
      <c r="C286">
        <v>45741</v>
      </c>
      <c r="F286" t="s">
        <v>754</v>
      </c>
      <c r="H286">
        <v>75.599999999999994</v>
      </c>
      <c r="O286" t="s">
        <v>239</v>
      </c>
      <c r="P286" t="s">
        <v>514</v>
      </c>
      <c r="Y286">
        <v>252</v>
      </c>
      <c r="Z286" s="259" t="s">
        <v>630</v>
      </c>
      <c r="AA286">
        <v>100</v>
      </c>
      <c r="AB286">
        <v>8008</v>
      </c>
      <c r="AC286">
        <v>45741</v>
      </c>
      <c r="AD286">
        <v>0</v>
      </c>
      <c r="AE286">
        <v>7559.9999999999991</v>
      </c>
      <c r="AF286">
        <v>7559.9999999999991</v>
      </c>
      <c r="AG286">
        <v>0</v>
      </c>
      <c r="AH286">
        <v>-448.00000000000091</v>
      </c>
    </row>
    <row r="287" spans="2:34" x14ac:dyDescent="0.35">
      <c r="B287" t="s">
        <v>563</v>
      </c>
      <c r="C287">
        <v>45742</v>
      </c>
      <c r="F287" t="s">
        <v>749</v>
      </c>
      <c r="H287">
        <v>104.5</v>
      </c>
      <c r="O287" t="s">
        <v>239</v>
      </c>
      <c r="P287" t="s">
        <v>514</v>
      </c>
      <c r="Y287">
        <v>253</v>
      </c>
      <c r="Z287" s="259" t="s">
        <v>630</v>
      </c>
      <c r="AA287">
        <v>150</v>
      </c>
      <c r="AB287">
        <v>14915</v>
      </c>
      <c r="AC287">
        <v>45742</v>
      </c>
      <c r="AD287">
        <v>0</v>
      </c>
      <c r="AE287">
        <v>15675</v>
      </c>
      <c r="AF287">
        <v>15675</v>
      </c>
      <c r="AG287">
        <v>0</v>
      </c>
      <c r="AH287">
        <v>760</v>
      </c>
    </row>
    <row r="288" spans="2:34" x14ac:dyDescent="0.35">
      <c r="B288" t="s">
        <v>563</v>
      </c>
      <c r="C288">
        <v>45742</v>
      </c>
      <c r="F288" t="s">
        <v>752</v>
      </c>
      <c r="H288">
        <v>198.5</v>
      </c>
      <c r="O288" t="s">
        <v>239</v>
      </c>
      <c r="P288" t="s">
        <v>514</v>
      </c>
      <c r="Y288">
        <v>254</v>
      </c>
      <c r="Z288" s="259" t="s">
        <v>630</v>
      </c>
      <c r="AA288">
        <v>50</v>
      </c>
      <c r="AB288">
        <v>10010</v>
      </c>
      <c r="AC288">
        <v>45742</v>
      </c>
      <c r="AD288">
        <v>0</v>
      </c>
      <c r="AE288">
        <v>9925</v>
      </c>
      <c r="AF288">
        <v>9925</v>
      </c>
      <c r="AG288">
        <v>0</v>
      </c>
      <c r="AH288">
        <v>-85</v>
      </c>
    </row>
    <row r="289" spans="2:34" x14ac:dyDescent="0.35">
      <c r="B289" t="s">
        <v>563</v>
      </c>
      <c r="C289">
        <v>45742</v>
      </c>
      <c r="F289" t="s">
        <v>754</v>
      </c>
      <c r="H289">
        <v>75.5</v>
      </c>
      <c r="O289" t="s">
        <v>239</v>
      </c>
      <c r="P289" t="s">
        <v>514</v>
      </c>
      <c r="Y289">
        <v>255</v>
      </c>
      <c r="Z289" s="259" t="s">
        <v>630</v>
      </c>
      <c r="AA289">
        <v>100</v>
      </c>
      <c r="AB289">
        <v>8008</v>
      </c>
      <c r="AC289">
        <v>45742</v>
      </c>
      <c r="AD289">
        <v>0</v>
      </c>
      <c r="AE289">
        <v>7550</v>
      </c>
      <c r="AF289">
        <v>7550</v>
      </c>
      <c r="AG289">
        <v>0</v>
      </c>
      <c r="AH289">
        <v>-458</v>
      </c>
    </row>
    <row r="290" spans="2:34" x14ac:dyDescent="0.35">
      <c r="B290" t="s">
        <v>563</v>
      </c>
      <c r="C290">
        <v>45743</v>
      </c>
      <c r="F290" t="s">
        <v>749</v>
      </c>
      <c r="H290">
        <v>104.8</v>
      </c>
      <c r="O290" t="s">
        <v>239</v>
      </c>
      <c r="P290" t="s">
        <v>514</v>
      </c>
      <c r="Y290">
        <v>256</v>
      </c>
      <c r="Z290" s="259" t="s">
        <v>630</v>
      </c>
      <c r="AA290">
        <v>150</v>
      </c>
      <c r="AB290">
        <v>14915</v>
      </c>
      <c r="AC290">
        <v>45743</v>
      </c>
      <c r="AD290">
        <v>0</v>
      </c>
      <c r="AE290">
        <v>15720</v>
      </c>
      <c r="AF290">
        <v>15720</v>
      </c>
      <c r="AG290">
        <v>0</v>
      </c>
      <c r="AH290">
        <v>805</v>
      </c>
    </row>
    <row r="291" spans="2:34" x14ac:dyDescent="0.35">
      <c r="B291" t="s">
        <v>563</v>
      </c>
      <c r="C291">
        <v>45743</v>
      </c>
      <c r="F291" t="s">
        <v>752</v>
      </c>
      <c r="H291">
        <v>198.4</v>
      </c>
      <c r="O291" t="s">
        <v>239</v>
      </c>
      <c r="P291" t="s">
        <v>514</v>
      </c>
      <c r="Y291">
        <v>257</v>
      </c>
      <c r="Z291" s="259" t="s">
        <v>630</v>
      </c>
      <c r="AA291">
        <v>50</v>
      </c>
      <c r="AB291">
        <v>10010</v>
      </c>
      <c r="AC291">
        <v>45743</v>
      </c>
      <c r="AD291">
        <v>0</v>
      </c>
      <c r="AE291">
        <v>9920</v>
      </c>
      <c r="AF291">
        <v>9920</v>
      </c>
      <c r="AG291">
        <v>0</v>
      </c>
      <c r="AH291">
        <v>-90</v>
      </c>
    </row>
    <row r="292" spans="2:34" x14ac:dyDescent="0.35">
      <c r="B292" t="s">
        <v>563</v>
      </c>
      <c r="C292">
        <v>45743</v>
      </c>
      <c r="F292" t="s">
        <v>754</v>
      </c>
      <c r="H292">
        <v>75.400000000000006</v>
      </c>
      <c r="O292" t="s">
        <v>239</v>
      </c>
      <c r="P292" t="s">
        <v>514</v>
      </c>
      <c r="Y292">
        <v>258</v>
      </c>
      <c r="Z292" s="259" t="s">
        <v>630</v>
      </c>
      <c r="AA292">
        <v>100</v>
      </c>
      <c r="AB292">
        <v>8008</v>
      </c>
      <c r="AC292">
        <v>45743</v>
      </c>
      <c r="AD292">
        <v>0</v>
      </c>
      <c r="AE292">
        <v>7540.0000000000009</v>
      </c>
      <c r="AF292">
        <v>7540.0000000000009</v>
      </c>
      <c r="AG292">
        <v>0</v>
      </c>
      <c r="AH292">
        <v>-467.99999999999909</v>
      </c>
    </row>
    <row r="293" spans="2:34" x14ac:dyDescent="0.35">
      <c r="B293" t="s">
        <v>563</v>
      </c>
      <c r="C293">
        <v>45744</v>
      </c>
      <c r="F293" t="s">
        <v>749</v>
      </c>
      <c r="H293">
        <v>105.1</v>
      </c>
      <c r="O293" t="s">
        <v>239</v>
      </c>
      <c r="P293" t="s">
        <v>514</v>
      </c>
      <c r="Y293">
        <v>259</v>
      </c>
      <c r="Z293" s="259" t="s">
        <v>630</v>
      </c>
      <c r="AA293">
        <v>150</v>
      </c>
      <c r="AB293">
        <v>14915</v>
      </c>
      <c r="AC293">
        <v>45744</v>
      </c>
      <c r="AD293">
        <v>0</v>
      </c>
      <c r="AE293">
        <v>15765</v>
      </c>
      <c r="AF293">
        <v>15765</v>
      </c>
      <c r="AG293">
        <v>0</v>
      </c>
      <c r="AH293">
        <v>850</v>
      </c>
    </row>
    <row r="294" spans="2:34" x14ac:dyDescent="0.35">
      <c r="B294" t="s">
        <v>563</v>
      </c>
      <c r="C294">
        <v>45744</v>
      </c>
      <c r="F294" t="s">
        <v>752</v>
      </c>
      <c r="H294">
        <v>198.3</v>
      </c>
      <c r="O294" t="s">
        <v>239</v>
      </c>
      <c r="P294" t="s">
        <v>514</v>
      </c>
      <c r="Y294">
        <v>260</v>
      </c>
      <c r="Z294" s="259" t="s">
        <v>630</v>
      </c>
      <c r="AA294">
        <v>50</v>
      </c>
      <c r="AB294">
        <v>10010</v>
      </c>
      <c r="AC294">
        <v>45744</v>
      </c>
      <c r="AD294">
        <v>0</v>
      </c>
      <c r="AE294">
        <v>9915</v>
      </c>
      <c r="AF294">
        <v>9915</v>
      </c>
      <c r="AG294">
        <v>0</v>
      </c>
      <c r="AH294">
        <v>-95</v>
      </c>
    </row>
    <row r="295" spans="2:34" x14ac:dyDescent="0.35">
      <c r="B295" t="s">
        <v>563</v>
      </c>
      <c r="C295">
        <v>45744</v>
      </c>
      <c r="F295" t="s">
        <v>754</v>
      </c>
      <c r="H295">
        <v>75.3</v>
      </c>
      <c r="O295" t="s">
        <v>239</v>
      </c>
      <c r="P295" t="s">
        <v>514</v>
      </c>
      <c r="Y295">
        <v>261</v>
      </c>
      <c r="Z295" s="259" t="s">
        <v>630</v>
      </c>
      <c r="AA295">
        <v>100</v>
      </c>
      <c r="AB295">
        <v>8008</v>
      </c>
      <c r="AC295">
        <v>45744</v>
      </c>
      <c r="AD295">
        <v>0</v>
      </c>
      <c r="AE295">
        <v>7530</v>
      </c>
      <c r="AF295">
        <v>7530</v>
      </c>
      <c r="AG295">
        <v>0</v>
      </c>
      <c r="AH295">
        <v>-478</v>
      </c>
    </row>
    <row r="296" spans="2:34" x14ac:dyDescent="0.35">
      <c r="B296" t="s">
        <v>563</v>
      </c>
      <c r="C296">
        <v>45745</v>
      </c>
      <c r="F296" t="s">
        <v>749</v>
      </c>
      <c r="H296">
        <v>105.1</v>
      </c>
      <c r="O296" t="s">
        <v>239</v>
      </c>
      <c r="P296" t="s">
        <v>514</v>
      </c>
      <c r="Y296">
        <v>262</v>
      </c>
      <c r="Z296" s="259" t="s">
        <v>630</v>
      </c>
      <c r="AA296">
        <v>150</v>
      </c>
      <c r="AB296">
        <v>14915</v>
      </c>
      <c r="AC296">
        <v>45744</v>
      </c>
      <c r="AD296">
        <v>1</v>
      </c>
      <c r="AE296">
        <v>15765</v>
      </c>
      <c r="AF296">
        <v>15765</v>
      </c>
      <c r="AG296">
        <v>0</v>
      </c>
      <c r="AH296">
        <v>850</v>
      </c>
    </row>
    <row r="297" spans="2:34" x14ac:dyDescent="0.35">
      <c r="B297" t="s">
        <v>563</v>
      </c>
      <c r="C297">
        <v>45745</v>
      </c>
      <c r="F297" t="s">
        <v>752</v>
      </c>
      <c r="H297">
        <v>198.3</v>
      </c>
      <c r="O297" t="s">
        <v>239</v>
      </c>
      <c r="P297" t="s">
        <v>514</v>
      </c>
      <c r="Y297">
        <v>263</v>
      </c>
      <c r="Z297" s="259" t="s">
        <v>630</v>
      </c>
      <c r="AA297">
        <v>50</v>
      </c>
      <c r="AB297">
        <v>10010</v>
      </c>
      <c r="AC297">
        <v>45744</v>
      </c>
      <c r="AD297">
        <v>1</v>
      </c>
      <c r="AE297">
        <v>9915</v>
      </c>
      <c r="AF297">
        <v>9915</v>
      </c>
      <c r="AG297">
        <v>0</v>
      </c>
      <c r="AH297">
        <v>-95</v>
      </c>
    </row>
    <row r="298" spans="2:34" x14ac:dyDescent="0.35">
      <c r="B298" t="s">
        <v>563</v>
      </c>
      <c r="C298">
        <v>45745</v>
      </c>
      <c r="F298" t="s">
        <v>754</v>
      </c>
      <c r="H298">
        <v>75.3</v>
      </c>
      <c r="O298" t="s">
        <v>239</v>
      </c>
      <c r="P298" t="s">
        <v>514</v>
      </c>
      <c r="Y298">
        <v>264</v>
      </c>
      <c r="Z298" s="259" t="s">
        <v>630</v>
      </c>
      <c r="AA298">
        <v>100</v>
      </c>
      <c r="AB298">
        <v>8008</v>
      </c>
      <c r="AC298">
        <v>45744</v>
      </c>
      <c r="AD298">
        <v>1</v>
      </c>
      <c r="AE298">
        <v>7530</v>
      </c>
      <c r="AF298">
        <v>7530</v>
      </c>
      <c r="AG298">
        <v>0</v>
      </c>
      <c r="AH298">
        <v>-478</v>
      </c>
    </row>
    <row r="299" spans="2:34" x14ac:dyDescent="0.35">
      <c r="B299" t="s">
        <v>563</v>
      </c>
      <c r="C299">
        <v>45746</v>
      </c>
      <c r="F299" t="s">
        <v>749</v>
      </c>
      <c r="H299">
        <v>105.1</v>
      </c>
      <c r="O299" t="s">
        <v>239</v>
      </c>
      <c r="P299" t="s">
        <v>514</v>
      </c>
      <c r="Y299">
        <v>265</v>
      </c>
      <c r="Z299" s="259" t="s">
        <v>630</v>
      </c>
      <c r="AA299">
        <v>150</v>
      </c>
      <c r="AB299">
        <v>14915</v>
      </c>
      <c r="AC299">
        <v>45744</v>
      </c>
      <c r="AD299">
        <v>2</v>
      </c>
      <c r="AE299">
        <v>15765</v>
      </c>
      <c r="AF299">
        <v>15765</v>
      </c>
      <c r="AG299">
        <v>0</v>
      </c>
      <c r="AH299">
        <v>850</v>
      </c>
    </row>
    <row r="300" spans="2:34" x14ac:dyDescent="0.35">
      <c r="B300" t="s">
        <v>563</v>
      </c>
      <c r="C300">
        <v>45746</v>
      </c>
      <c r="F300" t="s">
        <v>752</v>
      </c>
      <c r="H300">
        <v>198.3</v>
      </c>
      <c r="O300" t="s">
        <v>239</v>
      </c>
      <c r="P300" t="s">
        <v>514</v>
      </c>
      <c r="Y300">
        <v>266</v>
      </c>
      <c r="Z300" s="259" t="s">
        <v>630</v>
      </c>
      <c r="AA300">
        <v>50</v>
      </c>
      <c r="AB300">
        <v>10010</v>
      </c>
      <c r="AC300">
        <v>45744</v>
      </c>
      <c r="AD300">
        <v>2</v>
      </c>
      <c r="AE300">
        <v>9915</v>
      </c>
      <c r="AF300">
        <v>9915</v>
      </c>
      <c r="AG300">
        <v>0</v>
      </c>
      <c r="AH300">
        <v>-95</v>
      </c>
    </row>
    <row r="301" spans="2:34" x14ac:dyDescent="0.35">
      <c r="B301" t="s">
        <v>563</v>
      </c>
      <c r="C301">
        <v>45746</v>
      </c>
      <c r="F301" t="s">
        <v>754</v>
      </c>
      <c r="H301">
        <v>75.3</v>
      </c>
      <c r="O301" t="s">
        <v>239</v>
      </c>
      <c r="P301" t="s">
        <v>514</v>
      </c>
      <c r="Y301">
        <v>267</v>
      </c>
      <c r="Z301" s="259" t="s">
        <v>630</v>
      </c>
      <c r="AA301">
        <v>100</v>
      </c>
      <c r="AB301">
        <v>8008</v>
      </c>
      <c r="AC301">
        <v>45744</v>
      </c>
      <c r="AD301">
        <v>2</v>
      </c>
      <c r="AE301">
        <v>7530</v>
      </c>
      <c r="AF301">
        <v>7530</v>
      </c>
      <c r="AG301">
        <v>0</v>
      </c>
      <c r="AH301">
        <v>-478</v>
      </c>
    </row>
    <row r="302" spans="2:34" x14ac:dyDescent="0.35">
      <c r="B302" t="s">
        <v>563</v>
      </c>
      <c r="C302">
        <v>45747</v>
      </c>
      <c r="F302" t="s">
        <v>749</v>
      </c>
      <c r="H302">
        <v>106</v>
      </c>
      <c r="O302" t="s">
        <v>239</v>
      </c>
      <c r="P302" t="s">
        <v>514</v>
      </c>
      <c r="Y302">
        <v>268</v>
      </c>
      <c r="Z302" s="259" t="s">
        <v>630</v>
      </c>
      <c r="AA302">
        <v>150</v>
      </c>
      <c r="AB302">
        <v>14915</v>
      </c>
      <c r="AC302">
        <v>45747</v>
      </c>
      <c r="AD302">
        <v>0</v>
      </c>
      <c r="AE302">
        <v>15900</v>
      </c>
      <c r="AF302">
        <v>15900</v>
      </c>
      <c r="AG302">
        <v>0</v>
      </c>
      <c r="AH302">
        <v>985</v>
      </c>
    </row>
    <row r="303" spans="2:34" x14ac:dyDescent="0.35">
      <c r="B303" t="s">
        <v>563</v>
      </c>
      <c r="C303">
        <v>45747</v>
      </c>
      <c r="F303" t="s">
        <v>752</v>
      </c>
      <c r="H303">
        <v>198</v>
      </c>
      <c r="O303" t="s">
        <v>239</v>
      </c>
      <c r="P303" t="s">
        <v>514</v>
      </c>
      <c r="Y303">
        <v>269</v>
      </c>
      <c r="Z303" s="259" t="s">
        <v>630</v>
      </c>
      <c r="AA303">
        <v>50</v>
      </c>
      <c r="AB303">
        <v>10010</v>
      </c>
      <c r="AC303">
        <v>45747</v>
      </c>
      <c r="AD303">
        <v>0</v>
      </c>
      <c r="AE303">
        <v>9900</v>
      </c>
      <c r="AF303">
        <v>9900</v>
      </c>
      <c r="AG303">
        <v>0</v>
      </c>
      <c r="AH303">
        <v>-110</v>
      </c>
    </row>
    <row r="304" spans="2:34" x14ac:dyDescent="0.35">
      <c r="B304" t="s">
        <v>563</v>
      </c>
      <c r="C304">
        <v>45747</v>
      </c>
      <c r="F304" t="s">
        <v>754</v>
      </c>
      <c r="H304">
        <v>75</v>
      </c>
      <c r="O304" t="s">
        <v>239</v>
      </c>
      <c r="P304" t="s">
        <v>514</v>
      </c>
      <c r="Y304">
        <v>270</v>
      </c>
      <c r="Z304" s="259" t="s">
        <v>630</v>
      </c>
      <c r="AA304">
        <v>100</v>
      </c>
      <c r="AB304">
        <v>8008</v>
      </c>
      <c r="AC304">
        <v>45747</v>
      </c>
      <c r="AD304">
        <v>0</v>
      </c>
      <c r="AE304">
        <v>7500</v>
      </c>
      <c r="AF304">
        <v>7500</v>
      </c>
      <c r="AG304">
        <v>0</v>
      </c>
      <c r="AH304">
        <v>-508</v>
      </c>
    </row>
    <row r="305" spans="2:34" x14ac:dyDescent="0.35">
      <c r="B305" t="s">
        <v>563</v>
      </c>
      <c r="C305">
        <v>45748</v>
      </c>
      <c r="F305" t="s">
        <v>749</v>
      </c>
      <c r="H305">
        <v>106</v>
      </c>
      <c r="O305" t="s">
        <v>239</v>
      </c>
      <c r="P305" t="s">
        <v>514</v>
      </c>
      <c r="Y305">
        <v>271</v>
      </c>
      <c r="Z305" s="259" t="s">
        <v>630</v>
      </c>
      <c r="AA305">
        <v>150</v>
      </c>
      <c r="AB305">
        <v>14915</v>
      </c>
      <c r="AC305">
        <v>45748</v>
      </c>
      <c r="AD305">
        <v>0</v>
      </c>
      <c r="AE305">
        <v>15900</v>
      </c>
      <c r="AF305">
        <v>15900</v>
      </c>
      <c r="AG305">
        <v>0</v>
      </c>
      <c r="AH305">
        <v>985</v>
      </c>
    </row>
    <row r="306" spans="2:34" x14ac:dyDescent="0.35">
      <c r="B306" t="s">
        <v>563</v>
      </c>
      <c r="C306">
        <v>45748</v>
      </c>
      <c r="F306" t="s">
        <v>752</v>
      </c>
      <c r="H306">
        <v>198</v>
      </c>
      <c r="O306" t="s">
        <v>239</v>
      </c>
      <c r="P306" t="s">
        <v>514</v>
      </c>
      <c r="Y306">
        <v>272</v>
      </c>
      <c r="Z306" s="259" t="s">
        <v>630</v>
      </c>
      <c r="AA306">
        <v>50</v>
      </c>
      <c r="AB306">
        <v>10010</v>
      </c>
      <c r="AC306">
        <v>45748</v>
      </c>
      <c r="AD306">
        <v>0</v>
      </c>
      <c r="AE306">
        <v>9900</v>
      </c>
      <c r="AF306">
        <v>9900</v>
      </c>
      <c r="AG306">
        <v>0</v>
      </c>
      <c r="AH306">
        <v>-110</v>
      </c>
    </row>
    <row r="307" spans="2:34" x14ac:dyDescent="0.35">
      <c r="B307" t="s">
        <v>563</v>
      </c>
      <c r="C307">
        <v>45748</v>
      </c>
      <c r="F307" t="s">
        <v>754</v>
      </c>
      <c r="H307">
        <v>75</v>
      </c>
      <c r="O307" t="s">
        <v>239</v>
      </c>
      <c r="P307" t="s">
        <v>514</v>
      </c>
      <c r="Y307">
        <v>273</v>
      </c>
      <c r="Z307" s="259" t="s">
        <v>630</v>
      </c>
      <c r="AA307">
        <v>100</v>
      </c>
      <c r="AB307">
        <v>8008</v>
      </c>
      <c r="AC307">
        <v>45748</v>
      </c>
      <c r="AD307">
        <v>0</v>
      </c>
      <c r="AE307">
        <v>7500</v>
      </c>
      <c r="AF307">
        <v>7500</v>
      </c>
      <c r="AG307">
        <v>0</v>
      </c>
      <c r="AH307">
        <v>-508</v>
      </c>
    </row>
    <row r="308" spans="2:34" x14ac:dyDescent="0.35">
      <c r="B308" t="s">
        <v>563</v>
      </c>
      <c r="C308">
        <v>45749</v>
      </c>
      <c r="F308" t="s">
        <v>749</v>
      </c>
      <c r="H308">
        <v>105.83</v>
      </c>
      <c r="O308" t="s">
        <v>239</v>
      </c>
      <c r="P308" t="s">
        <v>514</v>
      </c>
      <c r="Y308">
        <v>274</v>
      </c>
      <c r="Z308" s="259" t="s">
        <v>630</v>
      </c>
      <c r="AA308">
        <v>150</v>
      </c>
      <c r="AB308">
        <v>14915</v>
      </c>
      <c r="AC308">
        <v>45749</v>
      </c>
      <c r="AD308">
        <v>0</v>
      </c>
      <c r="AE308">
        <v>15874.5</v>
      </c>
      <c r="AF308">
        <v>15874.5</v>
      </c>
      <c r="AG308">
        <v>0</v>
      </c>
      <c r="AH308">
        <v>959.5</v>
      </c>
    </row>
    <row r="309" spans="2:34" x14ac:dyDescent="0.35">
      <c r="B309" t="s">
        <v>563</v>
      </c>
      <c r="C309">
        <v>45749</v>
      </c>
      <c r="F309" t="s">
        <v>752</v>
      </c>
      <c r="H309">
        <v>197.62</v>
      </c>
      <c r="O309" t="s">
        <v>239</v>
      </c>
      <c r="P309" t="s">
        <v>514</v>
      </c>
      <c r="Y309">
        <v>275</v>
      </c>
      <c r="Z309" s="259" t="s">
        <v>630</v>
      </c>
      <c r="AA309">
        <v>50</v>
      </c>
      <c r="AB309">
        <v>10010</v>
      </c>
      <c r="AC309">
        <v>45749</v>
      </c>
      <c r="AD309">
        <v>0</v>
      </c>
      <c r="AE309">
        <v>9881</v>
      </c>
      <c r="AF309">
        <v>9881</v>
      </c>
      <c r="AG309">
        <v>0</v>
      </c>
      <c r="AH309">
        <v>-129</v>
      </c>
    </row>
    <row r="310" spans="2:34" x14ac:dyDescent="0.35">
      <c r="B310" t="s">
        <v>563</v>
      </c>
      <c r="C310">
        <v>45749</v>
      </c>
      <c r="F310" t="s">
        <v>754</v>
      </c>
      <c r="H310">
        <v>75.14</v>
      </c>
      <c r="O310" t="s">
        <v>239</v>
      </c>
      <c r="P310" t="s">
        <v>514</v>
      </c>
      <c r="Y310">
        <v>276</v>
      </c>
      <c r="Z310" s="259" t="s">
        <v>630</v>
      </c>
      <c r="AA310">
        <v>100</v>
      </c>
      <c r="AB310">
        <v>8008</v>
      </c>
      <c r="AC310">
        <v>45749</v>
      </c>
      <c r="AD310">
        <v>0</v>
      </c>
      <c r="AE310">
        <v>7514</v>
      </c>
      <c r="AF310">
        <v>7514</v>
      </c>
      <c r="AG310">
        <v>0</v>
      </c>
      <c r="AH310">
        <v>-494</v>
      </c>
    </row>
    <row r="311" spans="2:34" x14ac:dyDescent="0.35">
      <c r="B311" t="s">
        <v>563</v>
      </c>
      <c r="C311">
        <v>45750</v>
      </c>
      <c r="F311" t="s">
        <v>749</v>
      </c>
      <c r="H311">
        <v>105.66</v>
      </c>
      <c r="O311" t="s">
        <v>239</v>
      </c>
      <c r="P311" t="s">
        <v>514</v>
      </c>
      <c r="Y311">
        <v>277</v>
      </c>
      <c r="Z311" s="259" t="s">
        <v>630</v>
      </c>
      <c r="AA311">
        <v>150</v>
      </c>
      <c r="AB311">
        <v>14915</v>
      </c>
      <c r="AC311">
        <v>45750</v>
      </c>
      <c r="AD311">
        <v>0</v>
      </c>
      <c r="AE311">
        <v>15849</v>
      </c>
      <c r="AF311">
        <v>15849</v>
      </c>
      <c r="AG311">
        <v>0</v>
      </c>
      <c r="AH311">
        <v>934</v>
      </c>
    </row>
    <row r="312" spans="2:34" x14ac:dyDescent="0.35">
      <c r="B312" t="s">
        <v>563</v>
      </c>
      <c r="C312">
        <v>45750</v>
      </c>
      <c r="F312" t="s">
        <v>752</v>
      </c>
      <c r="H312">
        <v>197.24</v>
      </c>
      <c r="O312" t="s">
        <v>239</v>
      </c>
      <c r="P312" t="s">
        <v>514</v>
      </c>
      <c r="Y312">
        <v>278</v>
      </c>
      <c r="Z312" s="259" t="s">
        <v>630</v>
      </c>
      <c r="AA312">
        <v>50</v>
      </c>
      <c r="AB312">
        <v>10010</v>
      </c>
      <c r="AC312">
        <v>45750</v>
      </c>
      <c r="AD312">
        <v>0</v>
      </c>
      <c r="AE312">
        <v>9862</v>
      </c>
      <c r="AF312">
        <v>9862</v>
      </c>
      <c r="AG312">
        <v>0</v>
      </c>
      <c r="AH312">
        <v>-148</v>
      </c>
    </row>
    <row r="313" spans="2:34" x14ac:dyDescent="0.35">
      <c r="B313" t="s">
        <v>563</v>
      </c>
      <c r="C313">
        <v>45750</v>
      </c>
      <c r="F313" t="s">
        <v>754</v>
      </c>
      <c r="H313">
        <v>75.28</v>
      </c>
      <c r="O313" t="s">
        <v>239</v>
      </c>
      <c r="P313" t="s">
        <v>514</v>
      </c>
      <c r="Y313">
        <v>279</v>
      </c>
      <c r="Z313" s="259" t="s">
        <v>630</v>
      </c>
      <c r="AA313">
        <v>100</v>
      </c>
      <c r="AB313">
        <v>8008</v>
      </c>
      <c r="AC313">
        <v>45750</v>
      </c>
      <c r="AD313">
        <v>0</v>
      </c>
      <c r="AE313">
        <v>7528</v>
      </c>
      <c r="AF313">
        <v>7528</v>
      </c>
      <c r="AG313">
        <v>0</v>
      </c>
      <c r="AH313">
        <v>-480</v>
      </c>
    </row>
    <row r="314" spans="2:34" x14ac:dyDescent="0.35">
      <c r="B314" t="s">
        <v>563</v>
      </c>
      <c r="C314">
        <v>45751</v>
      </c>
      <c r="F314" t="s">
        <v>749</v>
      </c>
      <c r="H314">
        <v>105.48</v>
      </c>
      <c r="O314" t="s">
        <v>239</v>
      </c>
      <c r="P314" t="s">
        <v>514</v>
      </c>
      <c r="Y314">
        <v>280</v>
      </c>
      <c r="Z314" s="259" t="s">
        <v>630</v>
      </c>
      <c r="AA314">
        <v>150</v>
      </c>
      <c r="AB314">
        <v>14915</v>
      </c>
      <c r="AC314">
        <v>45751</v>
      </c>
      <c r="AD314">
        <v>0</v>
      </c>
      <c r="AE314">
        <v>15822</v>
      </c>
      <c r="AF314">
        <v>15822</v>
      </c>
      <c r="AG314">
        <v>0</v>
      </c>
      <c r="AH314">
        <v>907</v>
      </c>
    </row>
    <row r="315" spans="2:34" x14ac:dyDescent="0.35">
      <c r="B315" t="s">
        <v>563</v>
      </c>
      <c r="C315">
        <v>45751</v>
      </c>
      <c r="F315" t="s">
        <v>752</v>
      </c>
      <c r="H315">
        <v>196.86</v>
      </c>
      <c r="O315" t="s">
        <v>239</v>
      </c>
      <c r="P315" t="s">
        <v>514</v>
      </c>
      <c r="Y315">
        <v>281</v>
      </c>
      <c r="Z315" s="259" t="s">
        <v>630</v>
      </c>
      <c r="AA315">
        <v>50</v>
      </c>
      <c r="AB315">
        <v>10010</v>
      </c>
      <c r="AC315">
        <v>45751</v>
      </c>
      <c r="AD315">
        <v>0</v>
      </c>
      <c r="AE315">
        <v>9843</v>
      </c>
      <c r="AF315">
        <v>9843</v>
      </c>
      <c r="AG315">
        <v>0</v>
      </c>
      <c r="AH315">
        <v>-167</v>
      </c>
    </row>
    <row r="316" spans="2:34" x14ac:dyDescent="0.35">
      <c r="B316" t="s">
        <v>563</v>
      </c>
      <c r="C316">
        <v>45751</v>
      </c>
      <c r="F316" t="s">
        <v>754</v>
      </c>
      <c r="H316">
        <v>75.41</v>
      </c>
      <c r="O316" t="s">
        <v>239</v>
      </c>
      <c r="P316" t="s">
        <v>514</v>
      </c>
      <c r="Y316">
        <v>282</v>
      </c>
      <c r="Z316" s="259" t="s">
        <v>630</v>
      </c>
      <c r="AA316">
        <v>100</v>
      </c>
      <c r="AB316">
        <v>8008</v>
      </c>
      <c r="AC316">
        <v>45751</v>
      </c>
      <c r="AD316">
        <v>0</v>
      </c>
      <c r="AE316">
        <v>7541</v>
      </c>
      <c r="AF316">
        <v>7541</v>
      </c>
      <c r="AG316">
        <v>0</v>
      </c>
      <c r="AH316">
        <v>-467</v>
      </c>
    </row>
    <row r="317" spans="2:34" x14ac:dyDescent="0.35">
      <c r="B317" t="s">
        <v>563</v>
      </c>
      <c r="C317">
        <v>45752</v>
      </c>
      <c r="F317" t="s">
        <v>749</v>
      </c>
      <c r="H317">
        <v>105.48</v>
      </c>
      <c r="O317" t="s">
        <v>239</v>
      </c>
      <c r="P317" t="s">
        <v>514</v>
      </c>
      <c r="Y317">
        <v>283</v>
      </c>
      <c r="Z317" s="259" t="s">
        <v>630</v>
      </c>
      <c r="AA317">
        <v>150</v>
      </c>
      <c r="AB317">
        <v>14915</v>
      </c>
      <c r="AC317">
        <v>45751</v>
      </c>
      <c r="AD317">
        <v>1</v>
      </c>
      <c r="AE317">
        <v>15822</v>
      </c>
      <c r="AF317">
        <v>15822</v>
      </c>
      <c r="AG317">
        <v>0</v>
      </c>
      <c r="AH317">
        <v>907</v>
      </c>
    </row>
    <row r="318" spans="2:34" x14ac:dyDescent="0.35">
      <c r="B318" t="s">
        <v>563</v>
      </c>
      <c r="C318">
        <v>45752</v>
      </c>
      <c r="F318" t="s">
        <v>752</v>
      </c>
      <c r="H318">
        <v>196.86</v>
      </c>
      <c r="O318" t="s">
        <v>239</v>
      </c>
      <c r="P318" t="s">
        <v>514</v>
      </c>
      <c r="Y318">
        <v>284</v>
      </c>
      <c r="Z318" s="259" t="s">
        <v>630</v>
      </c>
      <c r="AA318">
        <v>50</v>
      </c>
      <c r="AB318">
        <v>10010</v>
      </c>
      <c r="AC318">
        <v>45751</v>
      </c>
      <c r="AD318">
        <v>1</v>
      </c>
      <c r="AE318">
        <v>9843</v>
      </c>
      <c r="AF318">
        <v>9843</v>
      </c>
      <c r="AG318">
        <v>0</v>
      </c>
      <c r="AH318">
        <v>-167</v>
      </c>
    </row>
    <row r="319" spans="2:34" x14ac:dyDescent="0.35">
      <c r="B319" t="s">
        <v>563</v>
      </c>
      <c r="C319">
        <v>45752</v>
      </c>
      <c r="F319" t="s">
        <v>754</v>
      </c>
      <c r="H319">
        <v>75.41</v>
      </c>
      <c r="O319" t="s">
        <v>239</v>
      </c>
      <c r="P319" t="s">
        <v>514</v>
      </c>
      <c r="Y319">
        <v>285</v>
      </c>
      <c r="Z319" s="259" t="s">
        <v>630</v>
      </c>
      <c r="AA319">
        <v>100</v>
      </c>
      <c r="AB319">
        <v>8008</v>
      </c>
      <c r="AC319">
        <v>45751</v>
      </c>
      <c r="AD319">
        <v>1</v>
      </c>
      <c r="AE319">
        <v>7541</v>
      </c>
      <c r="AF319">
        <v>7541</v>
      </c>
      <c r="AG319">
        <v>0</v>
      </c>
      <c r="AH319">
        <v>-467</v>
      </c>
    </row>
    <row r="320" spans="2:34" x14ac:dyDescent="0.35">
      <c r="B320" t="s">
        <v>563</v>
      </c>
      <c r="C320">
        <v>45753</v>
      </c>
      <c r="F320" t="s">
        <v>749</v>
      </c>
      <c r="H320">
        <v>105.48</v>
      </c>
      <c r="O320" t="s">
        <v>239</v>
      </c>
      <c r="P320" t="s">
        <v>514</v>
      </c>
      <c r="Y320">
        <v>286</v>
      </c>
      <c r="Z320" s="259" t="s">
        <v>630</v>
      </c>
      <c r="AA320">
        <v>150</v>
      </c>
      <c r="AB320">
        <v>14915</v>
      </c>
      <c r="AC320">
        <v>45751</v>
      </c>
      <c r="AD320">
        <v>2</v>
      </c>
      <c r="AE320">
        <v>15822</v>
      </c>
      <c r="AF320">
        <v>15822</v>
      </c>
      <c r="AG320">
        <v>0</v>
      </c>
      <c r="AH320">
        <v>907</v>
      </c>
    </row>
    <row r="321" spans="2:34" x14ac:dyDescent="0.35">
      <c r="B321" t="s">
        <v>563</v>
      </c>
      <c r="C321">
        <v>45753</v>
      </c>
      <c r="F321" t="s">
        <v>752</v>
      </c>
      <c r="H321">
        <v>196.86</v>
      </c>
      <c r="O321" t="s">
        <v>239</v>
      </c>
      <c r="P321" t="s">
        <v>514</v>
      </c>
      <c r="Y321">
        <v>287</v>
      </c>
      <c r="Z321" s="259" t="s">
        <v>630</v>
      </c>
      <c r="AA321">
        <v>50</v>
      </c>
      <c r="AB321">
        <v>10010</v>
      </c>
      <c r="AC321">
        <v>45751</v>
      </c>
      <c r="AD321">
        <v>2</v>
      </c>
      <c r="AE321">
        <v>9843</v>
      </c>
      <c r="AF321">
        <v>9843</v>
      </c>
      <c r="AG321">
        <v>0</v>
      </c>
      <c r="AH321">
        <v>-167</v>
      </c>
    </row>
    <row r="322" spans="2:34" x14ac:dyDescent="0.35">
      <c r="B322" t="s">
        <v>563</v>
      </c>
      <c r="C322">
        <v>45753</v>
      </c>
      <c r="F322" t="s">
        <v>754</v>
      </c>
      <c r="H322">
        <v>75.41</v>
      </c>
      <c r="O322" t="s">
        <v>239</v>
      </c>
      <c r="P322" t="s">
        <v>514</v>
      </c>
      <c r="Y322">
        <v>288</v>
      </c>
      <c r="Z322" s="259" t="s">
        <v>630</v>
      </c>
      <c r="AA322">
        <v>100</v>
      </c>
      <c r="AB322">
        <v>8008</v>
      </c>
      <c r="AC322">
        <v>45751</v>
      </c>
      <c r="AD322">
        <v>2</v>
      </c>
      <c r="AE322">
        <v>7541</v>
      </c>
      <c r="AF322">
        <v>7541</v>
      </c>
      <c r="AG322">
        <v>0</v>
      </c>
      <c r="AH322">
        <v>-467</v>
      </c>
    </row>
    <row r="323" spans="2:34" x14ac:dyDescent="0.35">
      <c r="B323" t="s">
        <v>563</v>
      </c>
      <c r="C323">
        <v>45754</v>
      </c>
      <c r="F323" t="s">
        <v>749</v>
      </c>
      <c r="H323">
        <v>104.97</v>
      </c>
      <c r="O323" t="s">
        <v>239</v>
      </c>
      <c r="P323" t="s">
        <v>514</v>
      </c>
      <c r="Y323">
        <v>289</v>
      </c>
      <c r="Z323" s="259" t="s">
        <v>630</v>
      </c>
      <c r="AA323">
        <v>150</v>
      </c>
      <c r="AB323">
        <v>14915</v>
      </c>
      <c r="AC323">
        <v>45754</v>
      </c>
      <c r="AD323">
        <v>0</v>
      </c>
      <c r="AE323">
        <v>15745.5</v>
      </c>
      <c r="AF323">
        <v>15745.5</v>
      </c>
      <c r="AG323">
        <v>0</v>
      </c>
      <c r="AH323">
        <v>830.5</v>
      </c>
    </row>
    <row r="324" spans="2:34" x14ac:dyDescent="0.35">
      <c r="B324" t="s">
        <v>563</v>
      </c>
      <c r="C324">
        <v>45754</v>
      </c>
      <c r="F324" t="s">
        <v>752</v>
      </c>
      <c r="H324">
        <v>195.72</v>
      </c>
      <c r="O324" t="s">
        <v>239</v>
      </c>
      <c r="P324" t="s">
        <v>514</v>
      </c>
      <c r="Y324">
        <v>290</v>
      </c>
      <c r="Z324" s="259" t="s">
        <v>630</v>
      </c>
      <c r="AA324">
        <v>50</v>
      </c>
      <c r="AB324">
        <v>10010</v>
      </c>
      <c r="AC324">
        <v>45754</v>
      </c>
      <c r="AD324">
        <v>0</v>
      </c>
      <c r="AE324">
        <v>9786</v>
      </c>
      <c r="AF324">
        <v>9786</v>
      </c>
      <c r="AG324">
        <v>0</v>
      </c>
      <c r="AH324">
        <v>-224</v>
      </c>
    </row>
    <row r="325" spans="2:34" x14ac:dyDescent="0.35">
      <c r="B325" t="s">
        <v>563</v>
      </c>
      <c r="C325">
        <v>45754</v>
      </c>
      <c r="F325" t="s">
        <v>754</v>
      </c>
      <c r="H325">
        <v>75.83</v>
      </c>
      <c r="O325" t="s">
        <v>239</v>
      </c>
      <c r="P325" t="s">
        <v>514</v>
      </c>
      <c r="Y325">
        <v>291</v>
      </c>
      <c r="Z325" s="259" t="s">
        <v>630</v>
      </c>
      <c r="AA325">
        <v>100</v>
      </c>
      <c r="AB325">
        <v>8008</v>
      </c>
      <c r="AC325">
        <v>45754</v>
      </c>
      <c r="AD325">
        <v>0</v>
      </c>
      <c r="AE325">
        <v>7583</v>
      </c>
      <c r="AF325">
        <v>7583</v>
      </c>
      <c r="AG325">
        <v>0</v>
      </c>
      <c r="AH325">
        <v>-425</v>
      </c>
    </row>
    <row r="326" spans="2:34" x14ac:dyDescent="0.35">
      <c r="B326" t="s">
        <v>563</v>
      </c>
      <c r="C326">
        <v>45755</v>
      </c>
      <c r="F326" t="s">
        <v>749</v>
      </c>
      <c r="H326">
        <v>104.79</v>
      </c>
      <c r="O326" t="s">
        <v>239</v>
      </c>
      <c r="P326" t="s">
        <v>514</v>
      </c>
      <c r="Y326">
        <v>292</v>
      </c>
      <c r="Z326" s="259" t="s">
        <v>630</v>
      </c>
      <c r="AA326">
        <v>150</v>
      </c>
      <c r="AB326">
        <v>14915</v>
      </c>
      <c r="AC326">
        <v>45755</v>
      </c>
      <c r="AD326">
        <v>0</v>
      </c>
      <c r="AE326">
        <v>15718.500000000002</v>
      </c>
      <c r="AF326">
        <v>15718.500000000002</v>
      </c>
      <c r="AG326">
        <v>0</v>
      </c>
      <c r="AH326">
        <v>803.50000000000182</v>
      </c>
    </row>
    <row r="327" spans="2:34" x14ac:dyDescent="0.35">
      <c r="B327" t="s">
        <v>563</v>
      </c>
      <c r="C327">
        <v>45755</v>
      </c>
      <c r="F327" t="s">
        <v>752</v>
      </c>
      <c r="H327">
        <v>195.34</v>
      </c>
      <c r="O327" t="s">
        <v>239</v>
      </c>
      <c r="P327" t="s">
        <v>514</v>
      </c>
      <c r="Y327">
        <v>293</v>
      </c>
      <c r="Z327" s="259" t="s">
        <v>630</v>
      </c>
      <c r="AA327">
        <v>50</v>
      </c>
      <c r="AB327">
        <v>10010</v>
      </c>
      <c r="AC327">
        <v>45755</v>
      </c>
      <c r="AD327">
        <v>0</v>
      </c>
      <c r="AE327">
        <v>9767</v>
      </c>
      <c r="AF327">
        <v>9767</v>
      </c>
      <c r="AG327">
        <v>0</v>
      </c>
      <c r="AH327">
        <v>-243</v>
      </c>
    </row>
    <row r="328" spans="2:34" x14ac:dyDescent="0.35">
      <c r="B328" t="s">
        <v>563</v>
      </c>
      <c r="C328">
        <v>45755</v>
      </c>
      <c r="F328" t="s">
        <v>754</v>
      </c>
      <c r="H328">
        <v>75.97</v>
      </c>
      <c r="O328" t="s">
        <v>239</v>
      </c>
      <c r="P328" t="s">
        <v>514</v>
      </c>
      <c r="Y328">
        <v>294</v>
      </c>
      <c r="Z328" s="259" t="s">
        <v>630</v>
      </c>
      <c r="AA328">
        <v>100</v>
      </c>
      <c r="AB328">
        <v>8008</v>
      </c>
      <c r="AC328">
        <v>45755</v>
      </c>
      <c r="AD328">
        <v>0</v>
      </c>
      <c r="AE328">
        <v>7597</v>
      </c>
      <c r="AF328">
        <v>7597</v>
      </c>
      <c r="AG328">
        <v>0</v>
      </c>
      <c r="AH328">
        <v>-411</v>
      </c>
    </row>
    <row r="329" spans="2:34" x14ac:dyDescent="0.35">
      <c r="B329" t="s">
        <v>563</v>
      </c>
      <c r="C329">
        <v>45756</v>
      </c>
      <c r="F329" t="s">
        <v>749</v>
      </c>
      <c r="H329">
        <v>104.62</v>
      </c>
      <c r="O329" t="s">
        <v>239</v>
      </c>
      <c r="P329" t="s">
        <v>514</v>
      </c>
      <c r="Y329">
        <v>295</v>
      </c>
      <c r="Z329" s="259" t="s">
        <v>630</v>
      </c>
      <c r="AA329">
        <v>150</v>
      </c>
      <c r="AB329">
        <v>14915</v>
      </c>
      <c r="AC329">
        <v>45756</v>
      </c>
      <c r="AD329">
        <v>0</v>
      </c>
      <c r="AE329">
        <v>15693</v>
      </c>
      <c r="AF329">
        <v>15693</v>
      </c>
      <c r="AG329">
        <v>0</v>
      </c>
      <c r="AH329">
        <v>778</v>
      </c>
    </row>
    <row r="330" spans="2:34" x14ac:dyDescent="0.35">
      <c r="B330" t="s">
        <v>563</v>
      </c>
      <c r="C330">
        <v>45756</v>
      </c>
      <c r="F330" t="s">
        <v>752</v>
      </c>
      <c r="H330">
        <v>194.97</v>
      </c>
      <c r="O330" t="s">
        <v>239</v>
      </c>
      <c r="P330" t="s">
        <v>514</v>
      </c>
      <c r="Y330">
        <v>296</v>
      </c>
      <c r="Z330" s="259" t="s">
        <v>630</v>
      </c>
      <c r="AA330">
        <v>50</v>
      </c>
      <c r="AB330">
        <v>10010</v>
      </c>
      <c r="AC330">
        <v>45756</v>
      </c>
      <c r="AD330">
        <v>0</v>
      </c>
      <c r="AE330">
        <v>9748.5</v>
      </c>
      <c r="AF330">
        <v>9748.5</v>
      </c>
      <c r="AG330">
        <v>0</v>
      </c>
      <c r="AH330">
        <v>-261.5</v>
      </c>
    </row>
    <row r="331" spans="2:34" x14ac:dyDescent="0.35">
      <c r="B331" t="s">
        <v>563</v>
      </c>
      <c r="C331">
        <v>45756</v>
      </c>
      <c r="F331" t="s">
        <v>754</v>
      </c>
      <c r="H331">
        <v>76.099999999999994</v>
      </c>
      <c r="O331" t="s">
        <v>239</v>
      </c>
      <c r="P331" t="s">
        <v>514</v>
      </c>
      <c r="Y331">
        <v>297</v>
      </c>
      <c r="Z331" s="259" t="s">
        <v>630</v>
      </c>
      <c r="AA331">
        <v>100</v>
      </c>
      <c r="AB331">
        <v>8008</v>
      </c>
      <c r="AC331">
        <v>45756</v>
      </c>
      <c r="AD331">
        <v>0</v>
      </c>
      <c r="AE331">
        <v>7609.9999999999991</v>
      </c>
      <c r="AF331">
        <v>7609.9999999999991</v>
      </c>
      <c r="AG331">
        <v>0</v>
      </c>
      <c r="AH331">
        <v>-398.00000000000091</v>
      </c>
    </row>
    <row r="332" spans="2:34" x14ac:dyDescent="0.35">
      <c r="B332" t="s">
        <v>563</v>
      </c>
      <c r="C332">
        <v>45757</v>
      </c>
      <c r="F332" t="s">
        <v>749</v>
      </c>
      <c r="H332">
        <v>104.45</v>
      </c>
      <c r="O332" t="s">
        <v>239</v>
      </c>
      <c r="P332" t="s">
        <v>514</v>
      </c>
      <c r="Y332">
        <v>298</v>
      </c>
      <c r="Z332" s="259" t="s">
        <v>630</v>
      </c>
      <c r="AA332">
        <v>150</v>
      </c>
      <c r="AB332">
        <v>14915</v>
      </c>
      <c r="AC332">
        <v>45757</v>
      </c>
      <c r="AD332">
        <v>0</v>
      </c>
      <c r="AE332">
        <v>15667.5</v>
      </c>
      <c r="AF332">
        <v>15667.5</v>
      </c>
      <c r="AG332">
        <v>0</v>
      </c>
      <c r="AH332">
        <v>752.5</v>
      </c>
    </row>
    <row r="333" spans="2:34" x14ac:dyDescent="0.35">
      <c r="B333" t="s">
        <v>563</v>
      </c>
      <c r="C333">
        <v>45757</v>
      </c>
      <c r="F333" t="s">
        <v>752</v>
      </c>
      <c r="H333">
        <v>194.59</v>
      </c>
      <c r="O333" t="s">
        <v>239</v>
      </c>
      <c r="P333" t="s">
        <v>514</v>
      </c>
      <c r="Y333">
        <v>299</v>
      </c>
      <c r="Z333" s="259" t="s">
        <v>630</v>
      </c>
      <c r="AA333">
        <v>50</v>
      </c>
      <c r="AB333">
        <v>10010</v>
      </c>
      <c r="AC333">
        <v>45757</v>
      </c>
      <c r="AD333">
        <v>0</v>
      </c>
      <c r="AE333">
        <v>9729.5</v>
      </c>
      <c r="AF333">
        <v>9729.5</v>
      </c>
      <c r="AG333">
        <v>0</v>
      </c>
      <c r="AH333">
        <v>-280.5</v>
      </c>
    </row>
    <row r="334" spans="2:34" x14ac:dyDescent="0.35">
      <c r="B334" t="s">
        <v>563</v>
      </c>
      <c r="C334">
        <v>45757</v>
      </c>
      <c r="F334" t="s">
        <v>754</v>
      </c>
      <c r="H334">
        <v>76.239999999999995</v>
      </c>
      <c r="O334" t="s">
        <v>239</v>
      </c>
      <c r="P334" t="s">
        <v>514</v>
      </c>
      <c r="Y334">
        <v>300</v>
      </c>
      <c r="Z334" s="259" t="s">
        <v>630</v>
      </c>
      <c r="AA334">
        <v>100</v>
      </c>
      <c r="AB334">
        <v>8008</v>
      </c>
      <c r="AC334">
        <v>45757</v>
      </c>
      <c r="AD334">
        <v>0</v>
      </c>
      <c r="AE334">
        <v>7623.9999999999991</v>
      </c>
      <c r="AF334">
        <v>7623.9999999999991</v>
      </c>
      <c r="AG334">
        <v>0</v>
      </c>
      <c r="AH334">
        <v>-384.00000000000091</v>
      </c>
    </row>
    <row r="335" spans="2:34" x14ac:dyDescent="0.35">
      <c r="B335" t="s">
        <v>563</v>
      </c>
      <c r="C335">
        <v>45758</v>
      </c>
      <c r="F335" t="s">
        <v>749</v>
      </c>
      <c r="H335">
        <v>104.28</v>
      </c>
      <c r="O335" t="s">
        <v>239</v>
      </c>
      <c r="P335" t="s">
        <v>514</v>
      </c>
      <c r="Y335">
        <v>301</v>
      </c>
      <c r="Z335" s="259" t="s">
        <v>630</v>
      </c>
      <c r="AA335">
        <v>150</v>
      </c>
      <c r="AB335">
        <v>14915</v>
      </c>
      <c r="AC335">
        <v>45758</v>
      </c>
      <c r="AD335">
        <v>0</v>
      </c>
      <c r="AE335">
        <v>15642</v>
      </c>
      <c r="AF335">
        <v>15642</v>
      </c>
      <c r="AG335">
        <v>0</v>
      </c>
      <c r="AH335">
        <v>727</v>
      </c>
    </row>
    <row r="336" spans="2:34" x14ac:dyDescent="0.35">
      <c r="B336" t="s">
        <v>563</v>
      </c>
      <c r="C336">
        <v>45758</v>
      </c>
      <c r="F336" t="s">
        <v>752</v>
      </c>
      <c r="H336">
        <v>194.21</v>
      </c>
      <c r="O336" t="s">
        <v>239</v>
      </c>
      <c r="P336" t="s">
        <v>514</v>
      </c>
      <c r="Y336">
        <v>302</v>
      </c>
      <c r="Z336" s="259" t="s">
        <v>630</v>
      </c>
      <c r="AA336">
        <v>50</v>
      </c>
      <c r="AB336">
        <v>10010</v>
      </c>
      <c r="AC336">
        <v>45758</v>
      </c>
      <c r="AD336">
        <v>0</v>
      </c>
      <c r="AE336">
        <v>9710.5</v>
      </c>
      <c r="AF336">
        <v>9710.5</v>
      </c>
      <c r="AG336">
        <v>0</v>
      </c>
      <c r="AH336">
        <v>-299.5</v>
      </c>
    </row>
    <row r="337" spans="2:34" x14ac:dyDescent="0.35">
      <c r="B337" t="s">
        <v>563</v>
      </c>
      <c r="C337">
        <v>45758</v>
      </c>
      <c r="F337" t="s">
        <v>754</v>
      </c>
      <c r="H337">
        <v>76.38</v>
      </c>
      <c r="O337" t="s">
        <v>239</v>
      </c>
      <c r="P337" t="s">
        <v>514</v>
      </c>
      <c r="Y337">
        <v>303</v>
      </c>
      <c r="Z337" s="259" t="s">
        <v>630</v>
      </c>
      <c r="AA337">
        <v>100</v>
      </c>
      <c r="AB337">
        <v>8008</v>
      </c>
      <c r="AC337">
        <v>45758</v>
      </c>
      <c r="AD337">
        <v>0</v>
      </c>
      <c r="AE337">
        <v>7638</v>
      </c>
      <c r="AF337">
        <v>7638</v>
      </c>
      <c r="AG337">
        <v>0</v>
      </c>
      <c r="AH337">
        <v>-370</v>
      </c>
    </row>
    <row r="338" spans="2:34" x14ac:dyDescent="0.35">
      <c r="B338" t="s">
        <v>563</v>
      </c>
      <c r="C338">
        <v>45759</v>
      </c>
      <c r="F338" t="s">
        <v>749</v>
      </c>
      <c r="H338">
        <v>104.28</v>
      </c>
      <c r="O338" t="s">
        <v>239</v>
      </c>
      <c r="P338" t="s">
        <v>514</v>
      </c>
      <c r="Y338">
        <v>304</v>
      </c>
      <c r="Z338" s="259" t="s">
        <v>630</v>
      </c>
      <c r="AA338">
        <v>150</v>
      </c>
      <c r="AB338">
        <v>14915</v>
      </c>
      <c r="AC338">
        <v>45758</v>
      </c>
      <c r="AD338">
        <v>1</v>
      </c>
      <c r="AE338">
        <v>15642</v>
      </c>
      <c r="AF338">
        <v>15642</v>
      </c>
      <c r="AG338">
        <v>0</v>
      </c>
      <c r="AH338">
        <v>727</v>
      </c>
    </row>
    <row r="339" spans="2:34" x14ac:dyDescent="0.35">
      <c r="B339" t="s">
        <v>563</v>
      </c>
      <c r="C339">
        <v>45759</v>
      </c>
      <c r="F339" t="s">
        <v>752</v>
      </c>
      <c r="H339">
        <v>194.21</v>
      </c>
      <c r="O339" t="s">
        <v>239</v>
      </c>
      <c r="P339" t="s">
        <v>514</v>
      </c>
      <c r="Y339">
        <v>305</v>
      </c>
      <c r="Z339" s="259" t="s">
        <v>630</v>
      </c>
      <c r="AA339">
        <v>50</v>
      </c>
      <c r="AB339">
        <v>10010</v>
      </c>
      <c r="AC339">
        <v>45758</v>
      </c>
      <c r="AD339">
        <v>1</v>
      </c>
      <c r="AE339">
        <v>9710.5</v>
      </c>
      <c r="AF339">
        <v>9710.5</v>
      </c>
      <c r="AG339">
        <v>0</v>
      </c>
      <c r="AH339">
        <v>-299.5</v>
      </c>
    </row>
    <row r="340" spans="2:34" x14ac:dyDescent="0.35">
      <c r="B340" t="s">
        <v>563</v>
      </c>
      <c r="C340">
        <v>45759</v>
      </c>
      <c r="F340" t="s">
        <v>754</v>
      </c>
      <c r="H340">
        <v>76.38</v>
      </c>
      <c r="O340" t="s">
        <v>239</v>
      </c>
      <c r="P340" t="s">
        <v>514</v>
      </c>
      <c r="Y340">
        <v>306</v>
      </c>
      <c r="Z340" s="259" t="s">
        <v>630</v>
      </c>
      <c r="AA340">
        <v>100</v>
      </c>
      <c r="AB340">
        <v>8008</v>
      </c>
      <c r="AC340">
        <v>45758</v>
      </c>
      <c r="AD340">
        <v>1</v>
      </c>
      <c r="AE340">
        <v>7638</v>
      </c>
      <c r="AF340">
        <v>7638</v>
      </c>
      <c r="AG340">
        <v>0</v>
      </c>
      <c r="AH340">
        <v>-370</v>
      </c>
    </row>
    <row r="341" spans="2:34" x14ac:dyDescent="0.35">
      <c r="B341" t="s">
        <v>563</v>
      </c>
      <c r="C341">
        <v>45760</v>
      </c>
      <c r="F341" t="s">
        <v>749</v>
      </c>
      <c r="H341">
        <v>104.28</v>
      </c>
      <c r="O341" t="s">
        <v>239</v>
      </c>
      <c r="P341" t="s">
        <v>514</v>
      </c>
      <c r="Y341">
        <v>307</v>
      </c>
      <c r="Z341" s="259" t="s">
        <v>630</v>
      </c>
      <c r="AA341">
        <v>150</v>
      </c>
      <c r="AB341">
        <v>14915</v>
      </c>
      <c r="AC341">
        <v>45758</v>
      </c>
      <c r="AD341">
        <v>2</v>
      </c>
      <c r="AE341">
        <v>15642</v>
      </c>
      <c r="AF341">
        <v>15642</v>
      </c>
      <c r="AG341">
        <v>0</v>
      </c>
      <c r="AH341">
        <v>727</v>
      </c>
    </row>
    <row r="342" spans="2:34" x14ac:dyDescent="0.35">
      <c r="B342" t="s">
        <v>563</v>
      </c>
      <c r="C342">
        <v>45760</v>
      </c>
      <c r="F342" t="s">
        <v>752</v>
      </c>
      <c r="H342">
        <v>194.21</v>
      </c>
      <c r="O342" t="s">
        <v>239</v>
      </c>
      <c r="P342" t="s">
        <v>514</v>
      </c>
      <c r="Y342">
        <v>308</v>
      </c>
      <c r="Z342" s="259" t="s">
        <v>630</v>
      </c>
      <c r="AA342">
        <v>50</v>
      </c>
      <c r="AB342">
        <v>10010</v>
      </c>
      <c r="AC342">
        <v>45758</v>
      </c>
      <c r="AD342">
        <v>2</v>
      </c>
      <c r="AE342">
        <v>9710.5</v>
      </c>
      <c r="AF342">
        <v>9710.5</v>
      </c>
      <c r="AG342">
        <v>0</v>
      </c>
      <c r="AH342">
        <v>-299.5</v>
      </c>
    </row>
    <row r="343" spans="2:34" x14ac:dyDescent="0.35">
      <c r="B343" t="s">
        <v>563</v>
      </c>
      <c r="C343">
        <v>45760</v>
      </c>
      <c r="F343" t="s">
        <v>754</v>
      </c>
      <c r="H343">
        <v>76.38</v>
      </c>
      <c r="O343" t="s">
        <v>239</v>
      </c>
      <c r="P343" t="s">
        <v>514</v>
      </c>
      <c r="Y343">
        <v>309</v>
      </c>
      <c r="Z343" s="259" t="s">
        <v>630</v>
      </c>
      <c r="AA343">
        <v>100</v>
      </c>
      <c r="AB343">
        <v>8008</v>
      </c>
      <c r="AC343">
        <v>45758</v>
      </c>
      <c r="AD343">
        <v>2</v>
      </c>
      <c r="AE343">
        <v>7638</v>
      </c>
      <c r="AF343">
        <v>7638</v>
      </c>
      <c r="AG343">
        <v>0</v>
      </c>
      <c r="AH343">
        <v>-370</v>
      </c>
    </row>
    <row r="344" spans="2:34" x14ac:dyDescent="0.35">
      <c r="B344" t="s">
        <v>563</v>
      </c>
      <c r="C344">
        <v>45761</v>
      </c>
      <c r="F344" t="s">
        <v>749</v>
      </c>
      <c r="H344">
        <v>103.76</v>
      </c>
      <c r="O344" t="s">
        <v>239</v>
      </c>
      <c r="P344" t="s">
        <v>514</v>
      </c>
      <c r="Y344">
        <v>310</v>
      </c>
      <c r="Z344" s="259" t="s">
        <v>630</v>
      </c>
      <c r="AA344">
        <v>150</v>
      </c>
      <c r="AB344">
        <v>14915</v>
      </c>
      <c r="AC344">
        <v>45761</v>
      </c>
      <c r="AD344">
        <v>0</v>
      </c>
      <c r="AE344">
        <v>15564</v>
      </c>
      <c r="AF344">
        <v>15564</v>
      </c>
      <c r="AG344">
        <v>0</v>
      </c>
      <c r="AH344">
        <v>649</v>
      </c>
    </row>
    <row r="345" spans="2:34" x14ac:dyDescent="0.35">
      <c r="B345" t="s">
        <v>563</v>
      </c>
      <c r="C345">
        <v>45761</v>
      </c>
      <c r="F345" t="s">
        <v>752</v>
      </c>
      <c r="H345">
        <v>193.07</v>
      </c>
      <c r="O345" t="s">
        <v>239</v>
      </c>
      <c r="P345" t="s">
        <v>514</v>
      </c>
      <c r="Y345">
        <v>311</v>
      </c>
      <c r="Z345" s="259" t="s">
        <v>630</v>
      </c>
      <c r="AA345">
        <v>50</v>
      </c>
      <c r="AB345">
        <v>10010</v>
      </c>
      <c r="AC345">
        <v>45761</v>
      </c>
      <c r="AD345">
        <v>0</v>
      </c>
      <c r="AE345">
        <v>9653.5</v>
      </c>
      <c r="AF345">
        <v>9653.5</v>
      </c>
      <c r="AG345">
        <v>0</v>
      </c>
      <c r="AH345">
        <v>-356.5</v>
      </c>
    </row>
    <row r="346" spans="2:34" x14ac:dyDescent="0.35">
      <c r="B346" t="s">
        <v>563</v>
      </c>
      <c r="C346">
        <v>45761</v>
      </c>
      <c r="F346" t="s">
        <v>754</v>
      </c>
      <c r="H346">
        <v>76.790000000000006</v>
      </c>
      <c r="O346" t="s">
        <v>239</v>
      </c>
      <c r="P346" t="s">
        <v>514</v>
      </c>
      <c r="Y346">
        <v>312</v>
      </c>
      <c r="Z346" s="259" t="s">
        <v>630</v>
      </c>
      <c r="AA346">
        <v>100</v>
      </c>
      <c r="AB346">
        <v>8008</v>
      </c>
      <c r="AC346">
        <v>45761</v>
      </c>
      <c r="AD346">
        <v>0</v>
      </c>
      <c r="AE346">
        <v>7679.0000000000009</v>
      </c>
      <c r="AF346">
        <v>7679.0000000000009</v>
      </c>
      <c r="AG346">
        <v>0</v>
      </c>
      <c r="AH346">
        <v>-328.99999999999909</v>
      </c>
    </row>
    <row r="347" spans="2:34" x14ac:dyDescent="0.35">
      <c r="B347" t="s">
        <v>563</v>
      </c>
      <c r="C347">
        <v>45762</v>
      </c>
      <c r="F347" t="s">
        <v>749</v>
      </c>
      <c r="H347">
        <v>103.59</v>
      </c>
      <c r="O347" t="s">
        <v>239</v>
      </c>
      <c r="P347" t="s">
        <v>514</v>
      </c>
      <c r="Y347">
        <v>313</v>
      </c>
      <c r="Z347" s="259" t="s">
        <v>630</v>
      </c>
      <c r="AA347">
        <v>150</v>
      </c>
      <c r="AB347">
        <v>14915</v>
      </c>
      <c r="AC347">
        <v>45762</v>
      </c>
      <c r="AD347">
        <v>0</v>
      </c>
      <c r="AE347">
        <v>15538.5</v>
      </c>
      <c r="AF347">
        <v>15538.5</v>
      </c>
      <c r="AG347">
        <v>0</v>
      </c>
      <c r="AH347">
        <v>623.5</v>
      </c>
    </row>
    <row r="348" spans="2:34" x14ac:dyDescent="0.35">
      <c r="B348" t="s">
        <v>563</v>
      </c>
      <c r="C348">
        <v>45762</v>
      </c>
      <c r="F348" t="s">
        <v>752</v>
      </c>
      <c r="H348">
        <v>192.69</v>
      </c>
      <c r="O348" t="s">
        <v>239</v>
      </c>
      <c r="P348" t="s">
        <v>514</v>
      </c>
      <c r="Y348">
        <v>314</v>
      </c>
      <c r="Z348" s="259" t="s">
        <v>630</v>
      </c>
      <c r="AA348">
        <v>50</v>
      </c>
      <c r="AB348">
        <v>10010</v>
      </c>
      <c r="AC348">
        <v>45762</v>
      </c>
      <c r="AD348">
        <v>0</v>
      </c>
      <c r="AE348">
        <v>9634.5</v>
      </c>
      <c r="AF348">
        <v>9634.5</v>
      </c>
      <c r="AG348">
        <v>0</v>
      </c>
      <c r="AH348">
        <v>-375.5</v>
      </c>
    </row>
    <row r="349" spans="2:34" x14ac:dyDescent="0.35">
      <c r="B349" t="s">
        <v>563</v>
      </c>
      <c r="C349">
        <v>45762</v>
      </c>
      <c r="F349" t="s">
        <v>754</v>
      </c>
      <c r="H349">
        <v>76.930000000000007</v>
      </c>
      <c r="O349" t="s">
        <v>239</v>
      </c>
      <c r="P349" t="s">
        <v>514</v>
      </c>
      <c r="Y349">
        <v>315</v>
      </c>
      <c r="Z349" s="259" t="s">
        <v>630</v>
      </c>
      <c r="AA349">
        <v>100</v>
      </c>
      <c r="AB349">
        <v>8008</v>
      </c>
      <c r="AC349">
        <v>45762</v>
      </c>
      <c r="AD349">
        <v>0</v>
      </c>
      <c r="AE349">
        <v>7693.0000000000009</v>
      </c>
      <c r="AF349">
        <v>7693.0000000000009</v>
      </c>
      <c r="AG349">
        <v>0</v>
      </c>
      <c r="AH349">
        <v>-314.99999999999909</v>
      </c>
    </row>
    <row r="350" spans="2:34" x14ac:dyDescent="0.35">
      <c r="B350" t="s">
        <v>563</v>
      </c>
      <c r="C350">
        <v>45763</v>
      </c>
      <c r="F350" t="s">
        <v>749</v>
      </c>
      <c r="H350">
        <v>103.41</v>
      </c>
      <c r="O350" t="s">
        <v>239</v>
      </c>
      <c r="P350" t="s">
        <v>514</v>
      </c>
      <c r="Y350">
        <v>316</v>
      </c>
      <c r="Z350" s="259" t="s">
        <v>630</v>
      </c>
      <c r="AA350">
        <v>150</v>
      </c>
      <c r="AB350">
        <v>14915</v>
      </c>
      <c r="AC350">
        <v>45763</v>
      </c>
      <c r="AD350">
        <v>0</v>
      </c>
      <c r="AE350">
        <v>15511.5</v>
      </c>
      <c r="AF350">
        <v>15511.5</v>
      </c>
      <c r="AG350">
        <v>0</v>
      </c>
      <c r="AH350">
        <v>596.5</v>
      </c>
    </row>
    <row r="351" spans="2:34" x14ac:dyDescent="0.35">
      <c r="B351" t="s">
        <v>563</v>
      </c>
      <c r="C351">
        <v>45763</v>
      </c>
      <c r="F351" t="s">
        <v>752</v>
      </c>
      <c r="H351">
        <v>192.31</v>
      </c>
      <c r="O351" t="s">
        <v>239</v>
      </c>
      <c r="P351" t="s">
        <v>514</v>
      </c>
      <c r="Y351">
        <v>317</v>
      </c>
      <c r="Z351" s="259" t="s">
        <v>630</v>
      </c>
      <c r="AA351">
        <v>50</v>
      </c>
      <c r="AB351">
        <v>10010</v>
      </c>
      <c r="AC351">
        <v>45763</v>
      </c>
      <c r="AD351">
        <v>0</v>
      </c>
      <c r="AE351">
        <v>9615.5</v>
      </c>
      <c r="AF351">
        <v>9615.5</v>
      </c>
      <c r="AG351">
        <v>0</v>
      </c>
      <c r="AH351">
        <v>-394.5</v>
      </c>
    </row>
    <row r="352" spans="2:34" x14ac:dyDescent="0.35">
      <c r="B352" t="s">
        <v>563</v>
      </c>
      <c r="C352">
        <v>45763</v>
      </c>
      <c r="F352" t="s">
        <v>754</v>
      </c>
      <c r="H352">
        <v>77.069999999999993</v>
      </c>
      <c r="O352" t="s">
        <v>239</v>
      </c>
      <c r="P352" t="s">
        <v>514</v>
      </c>
      <c r="Y352">
        <v>318</v>
      </c>
      <c r="Z352" s="259" t="s">
        <v>630</v>
      </c>
      <c r="AA352">
        <v>100</v>
      </c>
      <c r="AB352">
        <v>8008</v>
      </c>
      <c r="AC352">
        <v>45763</v>
      </c>
      <c r="AD352">
        <v>0</v>
      </c>
      <c r="AE352">
        <v>7706.9999999999991</v>
      </c>
      <c r="AF352">
        <v>7706.9999999999991</v>
      </c>
      <c r="AG352">
        <v>0</v>
      </c>
      <c r="AH352">
        <v>-301.00000000000091</v>
      </c>
    </row>
    <row r="353" spans="2:34" x14ac:dyDescent="0.35">
      <c r="B353" t="s">
        <v>563</v>
      </c>
      <c r="C353">
        <v>45764</v>
      </c>
      <c r="F353" t="s">
        <v>749</v>
      </c>
      <c r="H353">
        <v>103.24</v>
      </c>
      <c r="O353" t="s">
        <v>239</v>
      </c>
      <c r="P353" t="s">
        <v>514</v>
      </c>
      <c r="Y353">
        <v>319</v>
      </c>
      <c r="Z353" s="259" t="s">
        <v>630</v>
      </c>
      <c r="AA353">
        <v>150</v>
      </c>
      <c r="AB353">
        <v>14915</v>
      </c>
      <c r="AC353">
        <v>45764</v>
      </c>
      <c r="AD353">
        <v>0</v>
      </c>
      <c r="AE353">
        <v>15486</v>
      </c>
      <c r="AF353">
        <v>15486</v>
      </c>
      <c r="AG353">
        <v>0</v>
      </c>
      <c r="AH353">
        <v>571</v>
      </c>
    </row>
    <row r="354" spans="2:34" x14ac:dyDescent="0.35">
      <c r="B354" t="s">
        <v>563</v>
      </c>
      <c r="C354">
        <v>45764</v>
      </c>
      <c r="F354" t="s">
        <v>752</v>
      </c>
      <c r="H354">
        <v>191.93</v>
      </c>
      <c r="O354" t="s">
        <v>239</v>
      </c>
      <c r="P354" t="s">
        <v>514</v>
      </c>
      <c r="Y354">
        <v>320</v>
      </c>
      <c r="Z354" s="259" t="s">
        <v>630</v>
      </c>
      <c r="AA354">
        <v>50</v>
      </c>
      <c r="AB354">
        <v>10010</v>
      </c>
      <c r="AC354">
        <v>45764</v>
      </c>
      <c r="AD354">
        <v>0</v>
      </c>
      <c r="AE354">
        <v>9596.5</v>
      </c>
      <c r="AF354">
        <v>9596.5</v>
      </c>
      <c r="AG354">
        <v>0</v>
      </c>
      <c r="AH354">
        <v>-413.5</v>
      </c>
    </row>
    <row r="355" spans="2:34" x14ac:dyDescent="0.35">
      <c r="B355" t="s">
        <v>563</v>
      </c>
      <c r="C355">
        <v>45764</v>
      </c>
      <c r="F355" t="s">
        <v>754</v>
      </c>
      <c r="H355">
        <v>77.209999999999994</v>
      </c>
      <c r="O355" t="s">
        <v>239</v>
      </c>
      <c r="P355" t="s">
        <v>514</v>
      </c>
      <c r="Y355">
        <v>321</v>
      </c>
      <c r="Z355" s="259" t="s">
        <v>630</v>
      </c>
      <c r="AA355">
        <v>100</v>
      </c>
      <c r="AB355">
        <v>8008</v>
      </c>
      <c r="AC355">
        <v>45764</v>
      </c>
      <c r="AD355">
        <v>0</v>
      </c>
      <c r="AE355">
        <v>7720.9999999999991</v>
      </c>
      <c r="AF355">
        <v>7720.9999999999991</v>
      </c>
      <c r="AG355">
        <v>0</v>
      </c>
      <c r="AH355">
        <v>-287.00000000000091</v>
      </c>
    </row>
    <row r="356" spans="2:34" x14ac:dyDescent="0.35">
      <c r="B356" t="s">
        <v>563</v>
      </c>
      <c r="C356">
        <v>45765</v>
      </c>
      <c r="F356" t="s">
        <v>749</v>
      </c>
      <c r="H356">
        <v>103.07</v>
      </c>
      <c r="O356" t="s">
        <v>239</v>
      </c>
      <c r="P356" t="s">
        <v>514</v>
      </c>
      <c r="Y356">
        <v>322</v>
      </c>
      <c r="Z356" s="259" t="s">
        <v>630</v>
      </c>
      <c r="AA356">
        <v>150</v>
      </c>
      <c r="AB356">
        <v>14915</v>
      </c>
      <c r="AC356">
        <v>45765</v>
      </c>
      <c r="AD356">
        <v>0</v>
      </c>
      <c r="AE356">
        <v>15460.499999999998</v>
      </c>
      <c r="AF356">
        <v>15460.499999999998</v>
      </c>
      <c r="AG356">
        <v>0</v>
      </c>
      <c r="AH356">
        <v>545.49999999999818</v>
      </c>
    </row>
    <row r="357" spans="2:34" x14ac:dyDescent="0.35">
      <c r="B357" t="s">
        <v>563</v>
      </c>
      <c r="C357">
        <v>45765</v>
      </c>
      <c r="F357" t="s">
        <v>752</v>
      </c>
      <c r="H357">
        <v>191.55</v>
      </c>
      <c r="O357" t="s">
        <v>239</v>
      </c>
      <c r="P357" t="s">
        <v>514</v>
      </c>
      <c r="Y357">
        <v>323</v>
      </c>
      <c r="Z357" s="259" t="s">
        <v>630</v>
      </c>
      <c r="AA357">
        <v>50</v>
      </c>
      <c r="AB357">
        <v>10010</v>
      </c>
      <c r="AC357">
        <v>45765</v>
      </c>
      <c r="AD357">
        <v>0</v>
      </c>
      <c r="AE357">
        <v>9577.5</v>
      </c>
      <c r="AF357">
        <v>9577.5</v>
      </c>
      <c r="AG357">
        <v>0</v>
      </c>
      <c r="AH357">
        <v>-432.5</v>
      </c>
    </row>
    <row r="358" spans="2:34" x14ac:dyDescent="0.35">
      <c r="B358" t="s">
        <v>563</v>
      </c>
      <c r="C358">
        <v>45765</v>
      </c>
      <c r="F358" t="s">
        <v>754</v>
      </c>
      <c r="H358">
        <v>77.34</v>
      </c>
      <c r="O358" t="s">
        <v>239</v>
      </c>
      <c r="P358" t="s">
        <v>514</v>
      </c>
      <c r="Y358">
        <v>324</v>
      </c>
      <c r="Z358" s="259" t="s">
        <v>630</v>
      </c>
      <c r="AA358">
        <v>100</v>
      </c>
      <c r="AB358">
        <v>8008</v>
      </c>
      <c r="AC358">
        <v>45765</v>
      </c>
      <c r="AD358">
        <v>0</v>
      </c>
      <c r="AE358">
        <v>7734</v>
      </c>
      <c r="AF358">
        <v>7734</v>
      </c>
      <c r="AG358">
        <v>0</v>
      </c>
      <c r="AH358">
        <v>-274</v>
      </c>
    </row>
    <row r="359" spans="2:34" x14ac:dyDescent="0.35">
      <c r="B359" t="s">
        <v>563</v>
      </c>
      <c r="C359">
        <v>45766</v>
      </c>
      <c r="F359" t="s">
        <v>749</v>
      </c>
      <c r="H359">
        <v>103.07</v>
      </c>
      <c r="O359" t="s">
        <v>239</v>
      </c>
      <c r="P359" t="s">
        <v>514</v>
      </c>
      <c r="Y359">
        <v>325</v>
      </c>
      <c r="Z359" s="259" t="s">
        <v>630</v>
      </c>
      <c r="AA359">
        <v>150</v>
      </c>
      <c r="AB359">
        <v>14915</v>
      </c>
      <c r="AC359">
        <v>45765</v>
      </c>
      <c r="AD359">
        <v>1</v>
      </c>
      <c r="AE359">
        <v>15460.499999999998</v>
      </c>
      <c r="AF359">
        <v>15460.499999999998</v>
      </c>
      <c r="AG359">
        <v>0</v>
      </c>
      <c r="AH359">
        <v>545.49999999999818</v>
      </c>
    </row>
    <row r="360" spans="2:34" x14ac:dyDescent="0.35">
      <c r="B360" t="s">
        <v>563</v>
      </c>
      <c r="C360">
        <v>45766</v>
      </c>
      <c r="F360" t="s">
        <v>752</v>
      </c>
      <c r="H360">
        <v>191.55</v>
      </c>
      <c r="O360" t="s">
        <v>239</v>
      </c>
      <c r="P360" t="s">
        <v>514</v>
      </c>
      <c r="Y360">
        <v>326</v>
      </c>
      <c r="Z360" s="259" t="s">
        <v>630</v>
      </c>
      <c r="AA360">
        <v>50</v>
      </c>
      <c r="AB360">
        <v>10010</v>
      </c>
      <c r="AC360">
        <v>45765</v>
      </c>
      <c r="AD360">
        <v>1</v>
      </c>
      <c r="AE360">
        <v>9577.5</v>
      </c>
      <c r="AF360">
        <v>9577.5</v>
      </c>
      <c r="AG360">
        <v>0</v>
      </c>
      <c r="AH360">
        <v>-432.5</v>
      </c>
    </row>
    <row r="361" spans="2:34" x14ac:dyDescent="0.35">
      <c r="B361" t="s">
        <v>563</v>
      </c>
      <c r="C361">
        <v>45766</v>
      </c>
      <c r="F361" t="s">
        <v>754</v>
      </c>
      <c r="H361">
        <v>77.34</v>
      </c>
      <c r="O361" t="s">
        <v>239</v>
      </c>
      <c r="P361" t="s">
        <v>514</v>
      </c>
      <c r="Y361">
        <v>327</v>
      </c>
      <c r="Z361" s="259" t="s">
        <v>630</v>
      </c>
      <c r="AA361">
        <v>100</v>
      </c>
      <c r="AB361">
        <v>8008</v>
      </c>
      <c r="AC361">
        <v>45765</v>
      </c>
      <c r="AD361">
        <v>1</v>
      </c>
      <c r="AE361">
        <v>7734</v>
      </c>
      <c r="AF361">
        <v>7734</v>
      </c>
      <c r="AG361">
        <v>0</v>
      </c>
      <c r="AH361">
        <v>-274</v>
      </c>
    </row>
    <row r="362" spans="2:34" x14ac:dyDescent="0.35">
      <c r="B362" t="s">
        <v>563</v>
      </c>
      <c r="C362">
        <v>45767</v>
      </c>
      <c r="F362" t="s">
        <v>749</v>
      </c>
      <c r="H362">
        <v>103.07</v>
      </c>
      <c r="O362" t="s">
        <v>239</v>
      </c>
      <c r="P362" t="s">
        <v>514</v>
      </c>
      <c r="Y362">
        <v>328</v>
      </c>
      <c r="Z362" s="259" t="s">
        <v>630</v>
      </c>
      <c r="AA362">
        <v>150</v>
      </c>
      <c r="AB362">
        <v>14915</v>
      </c>
      <c r="AC362">
        <v>45765</v>
      </c>
      <c r="AD362">
        <v>2</v>
      </c>
      <c r="AE362">
        <v>15460.499999999998</v>
      </c>
      <c r="AF362">
        <v>15460.499999999998</v>
      </c>
      <c r="AG362">
        <v>0</v>
      </c>
      <c r="AH362">
        <v>545.49999999999818</v>
      </c>
    </row>
    <row r="363" spans="2:34" x14ac:dyDescent="0.35">
      <c r="B363" t="s">
        <v>563</v>
      </c>
      <c r="C363">
        <v>45767</v>
      </c>
      <c r="F363" t="s">
        <v>752</v>
      </c>
      <c r="H363">
        <v>191.55</v>
      </c>
      <c r="O363" t="s">
        <v>239</v>
      </c>
      <c r="P363" t="s">
        <v>514</v>
      </c>
      <c r="Y363">
        <v>329</v>
      </c>
      <c r="Z363" s="259" t="s">
        <v>630</v>
      </c>
      <c r="AA363">
        <v>50</v>
      </c>
      <c r="AB363">
        <v>10010</v>
      </c>
      <c r="AC363">
        <v>45765</v>
      </c>
      <c r="AD363">
        <v>2</v>
      </c>
      <c r="AE363">
        <v>9577.5</v>
      </c>
      <c r="AF363">
        <v>9577.5</v>
      </c>
      <c r="AG363">
        <v>0</v>
      </c>
      <c r="AH363">
        <v>-432.5</v>
      </c>
    </row>
    <row r="364" spans="2:34" x14ac:dyDescent="0.35">
      <c r="B364" t="s">
        <v>563</v>
      </c>
      <c r="C364">
        <v>45767</v>
      </c>
      <c r="F364" t="s">
        <v>754</v>
      </c>
      <c r="H364">
        <v>77.34</v>
      </c>
      <c r="O364" t="s">
        <v>239</v>
      </c>
      <c r="P364" t="s">
        <v>514</v>
      </c>
      <c r="Y364">
        <v>330</v>
      </c>
      <c r="Z364" s="259" t="s">
        <v>630</v>
      </c>
      <c r="AA364">
        <v>100</v>
      </c>
      <c r="AB364">
        <v>8008</v>
      </c>
      <c r="AC364">
        <v>45765</v>
      </c>
      <c r="AD364">
        <v>2</v>
      </c>
      <c r="AE364">
        <v>7734</v>
      </c>
      <c r="AF364">
        <v>7734</v>
      </c>
      <c r="AG364">
        <v>0</v>
      </c>
      <c r="AH364">
        <v>-274</v>
      </c>
    </row>
    <row r="365" spans="2:34" x14ac:dyDescent="0.35">
      <c r="B365" t="s">
        <v>563</v>
      </c>
      <c r="C365">
        <v>45768</v>
      </c>
      <c r="F365" t="s">
        <v>749</v>
      </c>
      <c r="H365">
        <v>102.55</v>
      </c>
      <c r="O365" t="s">
        <v>239</v>
      </c>
      <c r="P365" t="s">
        <v>514</v>
      </c>
      <c r="Y365">
        <v>331</v>
      </c>
      <c r="Z365" s="259" t="s">
        <v>630</v>
      </c>
      <c r="AA365">
        <v>150</v>
      </c>
      <c r="AB365">
        <v>14915</v>
      </c>
      <c r="AC365">
        <v>45768</v>
      </c>
      <c r="AD365">
        <v>0</v>
      </c>
      <c r="AE365">
        <v>15382.5</v>
      </c>
      <c r="AF365">
        <v>15382.5</v>
      </c>
      <c r="AG365">
        <v>0</v>
      </c>
      <c r="AH365">
        <v>467.5</v>
      </c>
    </row>
    <row r="366" spans="2:34" x14ac:dyDescent="0.35">
      <c r="B366" t="s">
        <v>563</v>
      </c>
      <c r="C366">
        <v>45768</v>
      </c>
      <c r="F366" t="s">
        <v>752</v>
      </c>
      <c r="H366">
        <v>190.41</v>
      </c>
      <c r="O366" t="s">
        <v>239</v>
      </c>
      <c r="P366" t="s">
        <v>514</v>
      </c>
      <c r="Y366">
        <v>332</v>
      </c>
      <c r="Z366" s="259" t="s">
        <v>630</v>
      </c>
      <c r="AA366">
        <v>50</v>
      </c>
      <c r="AB366">
        <v>10010</v>
      </c>
      <c r="AC366">
        <v>45768</v>
      </c>
      <c r="AD366">
        <v>0</v>
      </c>
      <c r="AE366">
        <v>9520.5</v>
      </c>
      <c r="AF366">
        <v>9520.5</v>
      </c>
      <c r="AG366">
        <v>0</v>
      </c>
      <c r="AH366">
        <v>-489.5</v>
      </c>
    </row>
    <row r="367" spans="2:34" x14ac:dyDescent="0.35">
      <c r="B367" t="s">
        <v>563</v>
      </c>
      <c r="C367">
        <v>45768</v>
      </c>
      <c r="F367" t="s">
        <v>754</v>
      </c>
      <c r="H367">
        <v>77.760000000000005</v>
      </c>
      <c r="O367" t="s">
        <v>239</v>
      </c>
      <c r="P367" t="s">
        <v>514</v>
      </c>
      <c r="Y367">
        <v>333</v>
      </c>
      <c r="Z367" s="259" t="s">
        <v>630</v>
      </c>
      <c r="AA367">
        <v>100</v>
      </c>
      <c r="AB367">
        <v>8008</v>
      </c>
      <c r="AC367">
        <v>45768</v>
      </c>
      <c r="AD367">
        <v>0</v>
      </c>
      <c r="AE367">
        <v>7776.0000000000009</v>
      </c>
      <c r="AF367">
        <v>7776.0000000000009</v>
      </c>
      <c r="AG367">
        <v>0</v>
      </c>
      <c r="AH367">
        <v>-231.99999999999909</v>
      </c>
    </row>
    <row r="368" spans="2:34" x14ac:dyDescent="0.35">
      <c r="B368" t="s">
        <v>563</v>
      </c>
      <c r="C368">
        <v>45769</v>
      </c>
      <c r="F368" t="s">
        <v>749</v>
      </c>
      <c r="H368">
        <v>102.38</v>
      </c>
      <c r="O368" t="s">
        <v>239</v>
      </c>
      <c r="P368" t="s">
        <v>514</v>
      </c>
      <c r="Y368">
        <v>334</v>
      </c>
      <c r="Z368" s="259" t="s">
        <v>630</v>
      </c>
      <c r="AA368">
        <v>150</v>
      </c>
      <c r="AB368">
        <v>14915</v>
      </c>
      <c r="AC368">
        <v>45769</v>
      </c>
      <c r="AD368">
        <v>0</v>
      </c>
      <c r="AE368">
        <v>15357</v>
      </c>
      <c r="AF368">
        <v>15357</v>
      </c>
      <c r="AG368">
        <v>0</v>
      </c>
      <c r="AH368">
        <v>442</v>
      </c>
    </row>
    <row r="369" spans="2:34" x14ac:dyDescent="0.35">
      <c r="B369" t="s">
        <v>563</v>
      </c>
      <c r="C369">
        <v>45769</v>
      </c>
      <c r="F369" t="s">
        <v>752</v>
      </c>
      <c r="H369">
        <v>190.03</v>
      </c>
      <c r="O369" t="s">
        <v>239</v>
      </c>
      <c r="P369" t="s">
        <v>514</v>
      </c>
      <c r="Y369">
        <v>335</v>
      </c>
      <c r="Z369" s="259" t="s">
        <v>630</v>
      </c>
      <c r="AA369">
        <v>50</v>
      </c>
      <c r="AB369">
        <v>10010</v>
      </c>
      <c r="AC369">
        <v>45769</v>
      </c>
      <c r="AD369">
        <v>0</v>
      </c>
      <c r="AE369">
        <v>9501.5</v>
      </c>
      <c r="AF369">
        <v>9501.5</v>
      </c>
      <c r="AG369">
        <v>0</v>
      </c>
      <c r="AH369">
        <v>-508.5</v>
      </c>
    </row>
    <row r="370" spans="2:34" x14ac:dyDescent="0.35">
      <c r="B370" t="s">
        <v>563</v>
      </c>
      <c r="C370">
        <v>45769</v>
      </c>
      <c r="F370" t="s">
        <v>754</v>
      </c>
      <c r="H370">
        <v>77.900000000000006</v>
      </c>
      <c r="O370" t="s">
        <v>239</v>
      </c>
      <c r="P370" t="s">
        <v>514</v>
      </c>
      <c r="Y370">
        <v>336</v>
      </c>
      <c r="Z370" s="259" t="s">
        <v>630</v>
      </c>
      <c r="AA370">
        <v>100</v>
      </c>
      <c r="AB370">
        <v>8008</v>
      </c>
      <c r="AC370">
        <v>45769</v>
      </c>
      <c r="AD370">
        <v>0</v>
      </c>
      <c r="AE370">
        <v>7790.0000000000009</v>
      </c>
      <c r="AF370">
        <v>7790.0000000000009</v>
      </c>
      <c r="AG370">
        <v>0</v>
      </c>
      <c r="AH370">
        <v>-217.99999999999909</v>
      </c>
    </row>
    <row r="371" spans="2:34" x14ac:dyDescent="0.35">
      <c r="B371" t="s">
        <v>563</v>
      </c>
      <c r="C371">
        <v>45770</v>
      </c>
      <c r="F371" t="s">
        <v>749</v>
      </c>
      <c r="H371">
        <v>102.21</v>
      </c>
      <c r="O371" t="s">
        <v>239</v>
      </c>
      <c r="P371" t="s">
        <v>514</v>
      </c>
      <c r="Y371">
        <v>337</v>
      </c>
      <c r="Z371" s="259" t="s">
        <v>630</v>
      </c>
      <c r="AA371">
        <v>150</v>
      </c>
      <c r="AB371">
        <v>14915</v>
      </c>
      <c r="AC371">
        <v>45770</v>
      </c>
      <c r="AD371">
        <v>0</v>
      </c>
      <c r="AE371">
        <v>15331.499999999998</v>
      </c>
      <c r="AF371">
        <v>15331.499999999998</v>
      </c>
      <c r="AG371">
        <v>0</v>
      </c>
      <c r="AH371">
        <v>416.49999999999818</v>
      </c>
    </row>
    <row r="372" spans="2:34" x14ac:dyDescent="0.35">
      <c r="B372" t="s">
        <v>563</v>
      </c>
      <c r="C372">
        <v>45770</v>
      </c>
      <c r="F372" t="s">
        <v>752</v>
      </c>
      <c r="H372">
        <v>189.66</v>
      </c>
      <c r="O372" t="s">
        <v>239</v>
      </c>
      <c r="P372" t="s">
        <v>514</v>
      </c>
      <c r="Y372">
        <v>338</v>
      </c>
      <c r="Z372" s="259" t="s">
        <v>630</v>
      </c>
      <c r="AA372">
        <v>50</v>
      </c>
      <c r="AB372">
        <v>10010</v>
      </c>
      <c r="AC372">
        <v>45770</v>
      </c>
      <c r="AD372">
        <v>0</v>
      </c>
      <c r="AE372">
        <v>9483</v>
      </c>
      <c r="AF372">
        <v>9483</v>
      </c>
      <c r="AG372">
        <v>0</v>
      </c>
      <c r="AH372">
        <v>-527</v>
      </c>
    </row>
    <row r="373" spans="2:34" x14ac:dyDescent="0.35">
      <c r="B373" t="s">
        <v>563</v>
      </c>
      <c r="C373">
        <v>45770</v>
      </c>
      <c r="F373" t="s">
        <v>754</v>
      </c>
      <c r="H373">
        <v>78.03</v>
      </c>
      <c r="O373" t="s">
        <v>239</v>
      </c>
      <c r="P373" t="s">
        <v>514</v>
      </c>
      <c r="Y373">
        <v>339</v>
      </c>
      <c r="Z373" s="259" t="s">
        <v>630</v>
      </c>
      <c r="AA373">
        <v>100</v>
      </c>
      <c r="AB373">
        <v>8008</v>
      </c>
      <c r="AC373">
        <v>45770</v>
      </c>
      <c r="AD373">
        <v>0</v>
      </c>
      <c r="AE373">
        <v>7803</v>
      </c>
      <c r="AF373">
        <v>7803</v>
      </c>
      <c r="AG373">
        <v>0</v>
      </c>
      <c r="AH373">
        <v>-205</v>
      </c>
    </row>
    <row r="374" spans="2:34" x14ac:dyDescent="0.35">
      <c r="B374" t="s">
        <v>563</v>
      </c>
      <c r="C374">
        <v>45771</v>
      </c>
      <c r="F374" t="s">
        <v>749</v>
      </c>
      <c r="H374">
        <v>102.03</v>
      </c>
      <c r="O374" t="s">
        <v>239</v>
      </c>
      <c r="P374" t="s">
        <v>514</v>
      </c>
      <c r="Y374">
        <v>340</v>
      </c>
      <c r="Z374" s="259" t="s">
        <v>630</v>
      </c>
      <c r="AA374">
        <v>150</v>
      </c>
      <c r="AB374">
        <v>14915</v>
      </c>
      <c r="AC374">
        <v>45771</v>
      </c>
      <c r="AD374">
        <v>0</v>
      </c>
      <c r="AE374">
        <v>15304.5</v>
      </c>
      <c r="AF374">
        <v>15304.5</v>
      </c>
      <c r="AG374">
        <v>0</v>
      </c>
      <c r="AH374">
        <v>389.5</v>
      </c>
    </row>
    <row r="375" spans="2:34" x14ac:dyDescent="0.35">
      <c r="B375" t="s">
        <v>563</v>
      </c>
      <c r="C375">
        <v>45771</v>
      </c>
      <c r="F375" t="s">
        <v>752</v>
      </c>
      <c r="H375">
        <v>189.28</v>
      </c>
      <c r="O375" t="s">
        <v>239</v>
      </c>
      <c r="P375" t="s">
        <v>514</v>
      </c>
      <c r="Y375">
        <v>341</v>
      </c>
      <c r="Z375" s="259" t="s">
        <v>630</v>
      </c>
      <c r="AA375">
        <v>50</v>
      </c>
      <c r="AB375">
        <v>10010</v>
      </c>
      <c r="AC375">
        <v>45771</v>
      </c>
      <c r="AD375">
        <v>0</v>
      </c>
      <c r="AE375">
        <v>9464</v>
      </c>
      <c r="AF375">
        <v>9464</v>
      </c>
      <c r="AG375">
        <v>0</v>
      </c>
      <c r="AH375">
        <v>-546</v>
      </c>
    </row>
    <row r="376" spans="2:34" x14ac:dyDescent="0.35">
      <c r="B376" t="s">
        <v>563</v>
      </c>
      <c r="C376">
        <v>45771</v>
      </c>
      <c r="F376" t="s">
        <v>754</v>
      </c>
      <c r="H376">
        <v>78.17</v>
      </c>
      <c r="O376" t="s">
        <v>239</v>
      </c>
      <c r="P376" t="s">
        <v>514</v>
      </c>
      <c r="Y376">
        <v>342</v>
      </c>
      <c r="Z376" s="259" t="s">
        <v>630</v>
      </c>
      <c r="AA376">
        <v>100</v>
      </c>
      <c r="AB376">
        <v>8008</v>
      </c>
      <c r="AC376">
        <v>45771</v>
      </c>
      <c r="AD376">
        <v>0</v>
      </c>
      <c r="AE376">
        <v>7817</v>
      </c>
      <c r="AF376">
        <v>7817</v>
      </c>
      <c r="AG376">
        <v>0</v>
      </c>
      <c r="AH376">
        <v>-191</v>
      </c>
    </row>
    <row r="377" spans="2:34" x14ac:dyDescent="0.35">
      <c r="B377" t="s">
        <v>563</v>
      </c>
      <c r="C377">
        <v>45772</v>
      </c>
      <c r="F377" t="s">
        <v>749</v>
      </c>
      <c r="H377">
        <v>101.86</v>
      </c>
      <c r="O377" t="s">
        <v>239</v>
      </c>
      <c r="P377" t="s">
        <v>514</v>
      </c>
      <c r="Y377">
        <v>343</v>
      </c>
      <c r="Z377" s="259" t="s">
        <v>630</v>
      </c>
      <c r="AA377">
        <v>150</v>
      </c>
      <c r="AB377">
        <v>14915</v>
      </c>
      <c r="AC377">
        <v>45772</v>
      </c>
      <c r="AD377">
        <v>0</v>
      </c>
      <c r="AE377">
        <v>15279</v>
      </c>
      <c r="AF377">
        <v>15279</v>
      </c>
      <c r="AG377">
        <v>0</v>
      </c>
      <c r="AH377">
        <v>364</v>
      </c>
    </row>
    <row r="378" spans="2:34" x14ac:dyDescent="0.35">
      <c r="B378" t="s">
        <v>563</v>
      </c>
      <c r="C378">
        <v>45772</v>
      </c>
      <c r="F378" t="s">
        <v>752</v>
      </c>
      <c r="H378">
        <v>188.9</v>
      </c>
      <c r="O378" t="s">
        <v>239</v>
      </c>
      <c r="P378" t="s">
        <v>514</v>
      </c>
      <c r="Y378">
        <v>344</v>
      </c>
      <c r="Z378" s="259" t="s">
        <v>630</v>
      </c>
      <c r="AA378">
        <v>50</v>
      </c>
      <c r="AB378">
        <v>10010</v>
      </c>
      <c r="AC378">
        <v>45772</v>
      </c>
      <c r="AD378">
        <v>0</v>
      </c>
      <c r="AE378">
        <v>9445</v>
      </c>
      <c r="AF378">
        <v>9445</v>
      </c>
      <c r="AG378">
        <v>0</v>
      </c>
      <c r="AH378">
        <v>-565</v>
      </c>
    </row>
    <row r="379" spans="2:34" x14ac:dyDescent="0.35">
      <c r="B379" t="s">
        <v>563</v>
      </c>
      <c r="C379">
        <v>45772</v>
      </c>
      <c r="F379" t="s">
        <v>754</v>
      </c>
      <c r="H379">
        <v>78.31</v>
      </c>
      <c r="O379" t="s">
        <v>239</v>
      </c>
      <c r="P379" t="s">
        <v>514</v>
      </c>
      <c r="Y379">
        <v>345</v>
      </c>
      <c r="Z379" s="259" t="s">
        <v>630</v>
      </c>
      <c r="AA379">
        <v>100</v>
      </c>
      <c r="AB379">
        <v>8008</v>
      </c>
      <c r="AC379">
        <v>45772</v>
      </c>
      <c r="AD379">
        <v>0</v>
      </c>
      <c r="AE379">
        <v>7831</v>
      </c>
      <c r="AF379">
        <v>7831</v>
      </c>
      <c r="AG379">
        <v>0</v>
      </c>
      <c r="AH379">
        <v>-177</v>
      </c>
    </row>
    <row r="380" spans="2:34" x14ac:dyDescent="0.35">
      <c r="B380" t="s">
        <v>563</v>
      </c>
      <c r="C380">
        <v>45773</v>
      </c>
      <c r="F380" t="s">
        <v>749</v>
      </c>
      <c r="H380">
        <v>101.86</v>
      </c>
      <c r="O380" t="s">
        <v>239</v>
      </c>
      <c r="P380" t="s">
        <v>514</v>
      </c>
      <c r="Y380">
        <v>346</v>
      </c>
      <c r="Z380" s="259" t="s">
        <v>630</v>
      </c>
      <c r="AA380">
        <v>150</v>
      </c>
      <c r="AB380">
        <v>14915</v>
      </c>
      <c r="AC380">
        <v>45772</v>
      </c>
      <c r="AD380">
        <v>1</v>
      </c>
      <c r="AE380">
        <v>15279</v>
      </c>
      <c r="AF380">
        <v>15279</v>
      </c>
      <c r="AG380">
        <v>0</v>
      </c>
      <c r="AH380">
        <v>364</v>
      </c>
    </row>
    <row r="381" spans="2:34" x14ac:dyDescent="0.35">
      <c r="B381" t="s">
        <v>563</v>
      </c>
      <c r="C381">
        <v>45773</v>
      </c>
      <c r="F381" t="s">
        <v>752</v>
      </c>
      <c r="H381">
        <v>188.9</v>
      </c>
      <c r="O381" t="s">
        <v>239</v>
      </c>
      <c r="P381" t="s">
        <v>514</v>
      </c>
      <c r="Y381">
        <v>347</v>
      </c>
      <c r="Z381" s="259" t="s">
        <v>630</v>
      </c>
      <c r="AA381">
        <v>50</v>
      </c>
      <c r="AB381">
        <v>10010</v>
      </c>
      <c r="AC381">
        <v>45772</v>
      </c>
      <c r="AD381">
        <v>1</v>
      </c>
      <c r="AE381">
        <v>9445</v>
      </c>
      <c r="AF381">
        <v>9445</v>
      </c>
      <c r="AG381">
        <v>0</v>
      </c>
      <c r="AH381">
        <v>-565</v>
      </c>
    </row>
    <row r="382" spans="2:34" x14ac:dyDescent="0.35">
      <c r="B382" t="s">
        <v>563</v>
      </c>
      <c r="C382">
        <v>45773</v>
      </c>
      <c r="F382" t="s">
        <v>754</v>
      </c>
      <c r="H382">
        <v>78.31</v>
      </c>
      <c r="O382" t="s">
        <v>239</v>
      </c>
      <c r="P382" t="s">
        <v>514</v>
      </c>
      <c r="Y382">
        <v>348</v>
      </c>
      <c r="Z382" s="259" t="s">
        <v>630</v>
      </c>
      <c r="AA382">
        <v>100</v>
      </c>
      <c r="AB382">
        <v>8008</v>
      </c>
      <c r="AC382">
        <v>45772</v>
      </c>
      <c r="AD382">
        <v>1</v>
      </c>
      <c r="AE382">
        <v>7831</v>
      </c>
      <c r="AF382">
        <v>7831</v>
      </c>
      <c r="AG382">
        <v>0</v>
      </c>
      <c r="AH382">
        <v>-177</v>
      </c>
    </row>
    <row r="383" spans="2:34" x14ac:dyDescent="0.35">
      <c r="B383" t="s">
        <v>563</v>
      </c>
      <c r="C383">
        <v>45774</v>
      </c>
      <c r="F383" t="s">
        <v>749</v>
      </c>
      <c r="H383">
        <v>101.86</v>
      </c>
      <c r="O383" t="s">
        <v>239</v>
      </c>
      <c r="P383" t="s">
        <v>514</v>
      </c>
      <c r="Y383">
        <v>349</v>
      </c>
      <c r="Z383" s="259" t="s">
        <v>630</v>
      </c>
      <c r="AA383">
        <v>150</v>
      </c>
      <c r="AB383">
        <v>14915</v>
      </c>
      <c r="AC383">
        <v>45772</v>
      </c>
      <c r="AD383">
        <v>2</v>
      </c>
      <c r="AE383">
        <v>15279</v>
      </c>
      <c r="AF383">
        <v>15279</v>
      </c>
      <c r="AG383">
        <v>0</v>
      </c>
      <c r="AH383">
        <v>364</v>
      </c>
    </row>
    <row r="384" spans="2:34" x14ac:dyDescent="0.35">
      <c r="B384" t="s">
        <v>563</v>
      </c>
      <c r="C384">
        <v>45774</v>
      </c>
      <c r="F384" t="s">
        <v>752</v>
      </c>
      <c r="H384">
        <v>188.9</v>
      </c>
      <c r="O384" t="s">
        <v>239</v>
      </c>
      <c r="P384" t="s">
        <v>514</v>
      </c>
      <c r="Y384">
        <v>350</v>
      </c>
      <c r="Z384" s="259" t="s">
        <v>630</v>
      </c>
      <c r="AA384">
        <v>50</v>
      </c>
      <c r="AB384">
        <v>10010</v>
      </c>
      <c r="AC384">
        <v>45772</v>
      </c>
      <c r="AD384">
        <v>2</v>
      </c>
      <c r="AE384">
        <v>9445</v>
      </c>
      <c r="AF384">
        <v>9445</v>
      </c>
      <c r="AG384">
        <v>0</v>
      </c>
      <c r="AH384">
        <v>-565</v>
      </c>
    </row>
    <row r="385" spans="2:34" x14ac:dyDescent="0.35">
      <c r="B385" t="s">
        <v>563</v>
      </c>
      <c r="C385">
        <v>45774</v>
      </c>
      <c r="F385" t="s">
        <v>754</v>
      </c>
      <c r="H385">
        <v>78.31</v>
      </c>
      <c r="O385" t="s">
        <v>239</v>
      </c>
      <c r="P385" t="s">
        <v>514</v>
      </c>
      <c r="Y385">
        <v>351</v>
      </c>
      <c r="Z385" s="259" t="s">
        <v>630</v>
      </c>
      <c r="AA385">
        <v>100</v>
      </c>
      <c r="AB385">
        <v>8008</v>
      </c>
      <c r="AC385">
        <v>45772</v>
      </c>
      <c r="AD385">
        <v>2</v>
      </c>
      <c r="AE385">
        <v>7831</v>
      </c>
      <c r="AF385">
        <v>7831</v>
      </c>
      <c r="AG385">
        <v>0</v>
      </c>
      <c r="AH385">
        <v>-177</v>
      </c>
    </row>
    <row r="386" spans="2:34" x14ac:dyDescent="0.35">
      <c r="B386" t="s">
        <v>563</v>
      </c>
      <c r="C386">
        <v>45775</v>
      </c>
      <c r="F386" t="s">
        <v>749</v>
      </c>
      <c r="H386">
        <v>101.34</v>
      </c>
      <c r="O386" t="s">
        <v>239</v>
      </c>
      <c r="P386" t="s">
        <v>514</v>
      </c>
      <c r="Y386">
        <v>352</v>
      </c>
      <c r="Z386" s="259" t="s">
        <v>630</v>
      </c>
      <c r="AA386">
        <v>150</v>
      </c>
      <c r="AB386">
        <v>14915</v>
      </c>
      <c r="AC386">
        <v>45775</v>
      </c>
      <c r="AD386">
        <v>0</v>
      </c>
      <c r="AE386">
        <v>15201</v>
      </c>
      <c r="AF386">
        <v>15201</v>
      </c>
      <c r="AG386">
        <v>0</v>
      </c>
      <c r="AH386">
        <v>286</v>
      </c>
    </row>
    <row r="387" spans="2:34" x14ac:dyDescent="0.35">
      <c r="B387" t="s">
        <v>563</v>
      </c>
      <c r="C387">
        <v>45775</v>
      </c>
      <c r="F387" t="s">
        <v>752</v>
      </c>
      <c r="H387">
        <v>187.76</v>
      </c>
      <c r="O387" t="s">
        <v>239</v>
      </c>
      <c r="P387" t="s">
        <v>514</v>
      </c>
      <c r="Y387">
        <v>353</v>
      </c>
      <c r="Z387" s="259" t="s">
        <v>630</v>
      </c>
      <c r="AA387">
        <v>50</v>
      </c>
      <c r="AB387">
        <v>10010</v>
      </c>
      <c r="AC387">
        <v>45775</v>
      </c>
      <c r="AD387">
        <v>0</v>
      </c>
      <c r="AE387">
        <v>9388</v>
      </c>
      <c r="AF387">
        <v>9388</v>
      </c>
      <c r="AG387">
        <v>0</v>
      </c>
      <c r="AH387">
        <v>-622</v>
      </c>
    </row>
    <row r="388" spans="2:34" x14ac:dyDescent="0.35">
      <c r="B388" t="s">
        <v>563</v>
      </c>
      <c r="C388">
        <v>45775</v>
      </c>
      <c r="F388" t="s">
        <v>754</v>
      </c>
      <c r="H388">
        <v>78.72</v>
      </c>
      <c r="O388" t="s">
        <v>239</v>
      </c>
      <c r="P388" t="s">
        <v>514</v>
      </c>
      <c r="Y388">
        <v>354</v>
      </c>
      <c r="Z388" s="259" t="s">
        <v>630</v>
      </c>
      <c r="AA388">
        <v>100</v>
      </c>
      <c r="AB388">
        <v>8008</v>
      </c>
      <c r="AC388">
        <v>45775</v>
      </c>
      <c r="AD388">
        <v>0</v>
      </c>
      <c r="AE388">
        <v>7872</v>
      </c>
      <c r="AF388">
        <v>7872</v>
      </c>
      <c r="AG388">
        <v>0</v>
      </c>
      <c r="AH388">
        <v>-136</v>
      </c>
    </row>
    <row r="389" spans="2:34" x14ac:dyDescent="0.35">
      <c r="B389" t="s">
        <v>563</v>
      </c>
      <c r="C389">
        <v>45776</v>
      </c>
      <c r="F389" t="s">
        <v>749</v>
      </c>
      <c r="H389">
        <v>101.17</v>
      </c>
      <c r="O389" t="s">
        <v>239</v>
      </c>
      <c r="P389" t="s">
        <v>514</v>
      </c>
      <c r="Y389">
        <v>355</v>
      </c>
      <c r="Z389" s="259" t="s">
        <v>630</v>
      </c>
      <c r="AA389">
        <v>150</v>
      </c>
      <c r="AB389">
        <v>14915</v>
      </c>
      <c r="AC389">
        <v>45776</v>
      </c>
      <c r="AD389">
        <v>0</v>
      </c>
      <c r="AE389">
        <v>15175.5</v>
      </c>
      <c r="AF389">
        <v>15175.5</v>
      </c>
      <c r="AG389">
        <v>0</v>
      </c>
      <c r="AH389">
        <v>260.5</v>
      </c>
    </row>
    <row r="390" spans="2:34" x14ac:dyDescent="0.35">
      <c r="B390" t="s">
        <v>563</v>
      </c>
      <c r="C390">
        <v>45776</v>
      </c>
      <c r="F390" t="s">
        <v>752</v>
      </c>
      <c r="H390">
        <v>187.38</v>
      </c>
      <c r="O390" t="s">
        <v>239</v>
      </c>
      <c r="P390" t="s">
        <v>514</v>
      </c>
      <c r="Y390">
        <v>356</v>
      </c>
      <c r="Z390" s="259" t="s">
        <v>630</v>
      </c>
      <c r="AA390">
        <v>50</v>
      </c>
      <c r="AB390">
        <v>10010</v>
      </c>
      <c r="AC390">
        <v>45776</v>
      </c>
      <c r="AD390">
        <v>0</v>
      </c>
      <c r="AE390">
        <v>9369</v>
      </c>
      <c r="AF390">
        <v>9369</v>
      </c>
      <c r="AG390">
        <v>0</v>
      </c>
      <c r="AH390">
        <v>-641</v>
      </c>
    </row>
    <row r="391" spans="2:34" x14ac:dyDescent="0.35">
      <c r="B391" t="s">
        <v>563</v>
      </c>
      <c r="C391">
        <v>45776</v>
      </c>
      <c r="F391" t="s">
        <v>754</v>
      </c>
      <c r="H391">
        <v>78.86</v>
      </c>
      <c r="O391" t="s">
        <v>239</v>
      </c>
      <c r="P391" t="s">
        <v>514</v>
      </c>
      <c r="Y391">
        <v>357</v>
      </c>
      <c r="Z391" s="259" t="s">
        <v>630</v>
      </c>
      <c r="AA391">
        <v>100</v>
      </c>
      <c r="AB391">
        <v>8008</v>
      </c>
      <c r="AC391">
        <v>45776</v>
      </c>
      <c r="AD391">
        <v>0</v>
      </c>
      <c r="AE391">
        <v>7886</v>
      </c>
      <c r="AF391">
        <v>7886</v>
      </c>
      <c r="AG391">
        <v>0</v>
      </c>
      <c r="AH391">
        <v>-122</v>
      </c>
    </row>
    <row r="392" spans="2:34" x14ac:dyDescent="0.35">
      <c r="B392" t="s">
        <v>563</v>
      </c>
      <c r="C392">
        <v>45777</v>
      </c>
      <c r="F392" t="s">
        <v>749</v>
      </c>
      <c r="H392">
        <v>101</v>
      </c>
      <c r="O392" t="s">
        <v>239</v>
      </c>
      <c r="P392" t="s">
        <v>514</v>
      </c>
      <c r="Y392">
        <v>358</v>
      </c>
      <c r="Z392" s="259" t="s">
        <v>630</v>
      </c>
      <c r="AA392">
        <v>150</v>
      </c>
      <c r="AB392">
        <v>14915</v>
      </c>
      <c r="AC392">
        <v>45777</v>
      </c>
      <c r="AD392">
        <v>0</v>
      </c>
      <c r="AE392">
        <v>15150</v>
      </c>
      <c r="AF392">
        <v>15150</v>
      </c>
      <c r="AG392">
        <v>0</v>
      </c>
      <c r="AH392">
        <v>235</v>
      </c>
    </row>
    <row r="393" spans="2:34" x14ac:dyDescent="0.35">
      <c r="B393" t="s">
        <v>563</v>
      </c>
      <c r="C393">
        <v>45777</v>
      </c>
      <c r="F393" t="s">
        <v>752</v>
      </c>
      <c r="H393">
        <v>187</v>
      </c>
      <c r="O393" t="s">
        <v>239</v>
      </c>
      <c r="P393" t="s">
        <v>514</v>
      </c>
      <c r="Y393">
        <v>359</v>
      </c>
      <c r="Z393" s="259" t="s">
        <v>630</v>
      </c>
      <c r="AA393">
        <v>50</v>
      </c>
      <c r="AB393">
        <v>10010</v>
      </c>
      <c r="AC393">
        <v>45777</v>
      </c>
      <c r="AD393">
        <v>0</v>
      </c>
      <c r="AE393">
        <v>9350</v>
      </c>
      <c r="AF393">
        <v>9350</v>
      </c>
      <c r="AG393">
        <v>0</v>
      </c>
      <c r="AH393">
        <v>-660</v>
      </c>
    </row>
    <row r="394" spans="2:34" x14ac:dyDescent="0.35">
      <c r="B394" t="s">
        <v>563</v>
      </c>
      <c r="C394">
        <v>45777</v>
      </c>
      <c r="F394" t="s">
        <v>754</v>
      </c>
      <c r="H394">
        <v>79</v>
      </c>
      <c r="O394" t="s">
        <v>239</v>
      </c>
      <c r="P394" t="s">
        <v>514</v>
      </c>
      <c r="Y394">
        <v>360</v>
      </c>
      <c r="Z394" s="259" t="s">
        <v>630</v>
      </c>
      <c r="AA394">
        <v>100</v>
      </c>
      <c r="AB394">
        <v>8008</v>
      </c>
      <c r="AC394">
        <v>45777</v>
      </c>
      <c r="AD394">
        <v>0</v>
      </c>
      <c r="AE394">
        <v>7900</v>
      </c>
      <c r="AF394">
        <v>7900</v>
      </c>
      <c r="AG394">
        <v>0</v>
      </c>
      <c r="AH394">
        <v>-108</v>
      </c>
    </row>
    <row r="395" spans="2:34" x14ac:dyDescent="0.35">
      <c r="B395" t="s">
        <v>563</v>
      </c>
      <c r="C395">
        <v>45778</v>
      </c>
      <c r="F395" t="s">
        <v>749</v>
      </c>
      <c r="H395">
        <v>101</v>
      </c>
      <c r="O395" t="s">
        <v>239</v>
      </c>
      <c r="P395" t="s">
        <v>514</v>
      </c>
      <c r="Y395">
        <v>361</v>
      </c>
      <c r="Z395" s="259" t="s">
        <v>630</v>
      </c>
      <c r="AA395">
        <v>150</v>
      </c>
      <c r="AB395">
        <v>14915</v>
      </c>
      <c r="AC395">
        <v>45778</v>
      </c>
      <c r="AD395">
        <v>0</v>
      </c>
      <c r="AE395">
        <v>15150</v>
      </c>
      <c r="AF395">
        <v>15150</v>
      </c>
      <c r="AG395">
        <v>0</v>
      </c>
      <c r="AH395">
        <v>235</v>
      </c>
    </row>
    <row r="396" spans="2:34" x14ac:dyDescent="0.35">
      <c r="B396" t="s">
        <v>563</v>
      </c>
      <c r="C396">
        <v>45778</v>
      </c>
      <c r="F396" t="s">
        <v>752</v>
      </c>
      <c r="H396">
        <v>187</v>
      </c>
      <c r="O396" t="s">
        <v>239</v>
      </c>
      <c r="P396" t="s">
        <v>514</v>
      </c>
      <c r="Y396">
        <v>362</v>
      </c>
      <c r="Z396" s="259" t="s">
        <v>630</v>
      </c>
      <c r="AA396">
        <v>50</v>
      </c>
      <c r="AB396">
        <v>10010</v>
      </c>
      <c r="AC396">
        <v>45778</v>
      </c>
      <c r="AD396">
        <v>0</v>
      </c>
      <c r="AE396">
        <v>9350</v>
      </c>
      <c r="AF396">
        <v>9350</v>
      </c>
      <c r="AG396">
        <v>0</v>
      </c>
      <c r="AH396">
        <v>-660</v>
      </c>
    </row>
    <row r="397" spans="2:34" x14ac:dyDescent="0.35">
      <c r="B397" t="s">
        <v>563</v>
      </c>
      <c r="C397">
        <v>45778</v>
      </c>
      <c r="F397" t="s">
        <v>754</v>
      </c>
      <c r="H397">
        <v>79</v>
      </c>
      <c r="O397" t="s">
        <v>239</v>
      </c>
      <c r="P397" t="s">
        <v>514</v>
      </c>
      <c r="Y397">
        <v>363</v>
      </c>
      <c r="Z397" s="259" t="s">
        <v>630</v>
      </c>
      <c r="AA397">
        <v>100</v>
      </c>
      <c r="AB397">
        <v>8008</v>
      </c>
      <c r="AC397">
        <v>45778</v>
      </c>
      <c r="AD397">
        <v>0</v>
      </c>
      <c r="AE397">
        <v>7900</v>
      </c>
      <c r="AF397">
        <v>7900</v>
      </c>
      <c r="AG397">
        <v>0</v>
      </c>
      <c r="AH397">
        <v>-108</v>
      </c>
    </row>
    <row r="398" spans="2:34" x14ac:dyDescent="0.35">
      <c r="B398" t="s">
        <v>563</v>
      </c>
      <c r="C398">
        <v>45779</v>
      </c>
      <c r="F398" t="s">
        <v>749</v>
      </c>
      <c r="H398">
        <v>100.93</v>
      </c>
      <c r="O398" t="s">
        <v>239</v>
      </c>
      <c r="P398" t="s">
        <v>514</v>
      </c>
      <c r="Y398">
        <v>364</v>
      </c>
      <c r="Z398" s="259" t="s">
        <v>630</v>
      </c>
      <c r="AA398">
        <v>150</v>
      </c>
      <c r="AB398">
        <v>14915</v>
      </c>
      <c r="AC398">
        <v>45779</v>
      </c>
      <c r="AD398">
        <v>0</v>
      </c>
      <c r="AE398">
        <v>15139.500000000002</v>
      </c>
      <c r="AF398">
        <v>15139.500000000002</v>
      </c>
      <c r="AG398">
        <v>0</v>
      </c>
      <c r="AH398">
        <v>224.50000000000182</v>
      </c>
    </row>
    <row r="399" spans="2:34" x14ac:dyDescent="0.35">
      <c r="B399" t="s">
        <v>563</v>
      </c>
      <c r="C399">
        <v>45779</v>
      </c>
      <c r="F399" t="s">
        <v>752</v>
      </c>
      <c r="H399">
        <v>187.2</v>
      </c>
      <c r="O399" t="s">
        <v>239</v>
      </c>
      <c r="P399" t="s">
        <v>514</v>
      </c>
      <c r="Y399">
        <v>365</v>
      </c>
      <c r="Z399" s="259" t="s">
        <v>630</v>
      </c>
      <c r="AA399">
        <v>50</v>
      </c>
      <c r="AB399">
        <v>10010</v>
      </c>
      <c r="AC399">
        <v>45779</v>
      </c>
      <c r="AD399">
        <v>0</v>
      </c>
      <c r="AE399">
        <v>9360</v>
      </c>
      <c r="AF399">
        <v>9360</v>
      </c>
      <c r="AG399">
        <v>0</v>
      </c>
      <c r="AH399">
        <v>-650</v>
      </c>
    </row>
    <row r="400" spans="2:34" x14ac:dyDescent="0.35">
      <c r="B400" t="s">
        <v>563</v>
      </c>
      <c r="C400">
        <v>45779</v>
      </c>
      <c r="F400" t="s">
        <v>754</v>
      </c>
      <c r="H400">
        <v>79.2</v>
      </c>
      <c r="O400" t="s">
        <v>239</v>
      </c>
      <c r="P400" t="s">
        <v>514</v>
      </c>
      <c r="Y400">
        <v>366</v>
      </c>
      <c r="Z400" s="259" t="s">
        <v>630</v>
      </c>
      <c r="AA400">
        <v>100</v>
      </c>
      <c r="AB400">
        <v>8008</v>
      </c>
      <c r="AC400">
        <v>45779</v>
      </c>
      <c r="AD400">
        <v>0</v>
      </c>
      <c r="AE400">
        <v>7920</v>
      </c>
      <c r="AF400">
        <v>7920</v>
      </c>
      <c r="AG400">
        <v>0</v>
      </c>
      <c r="AH400">
        <v>-88</v>
      </c>
    </row>
    <row r="401" spans="2:34" x14ac:dyDescent="0.35">
      <c r="B401" t="s">
        <v>563</v>
      </c>
      <c r="C401">
        <v>45780</v>
      </c>
      <c r="F401" t="s">
        <v>749</v>
      </c>
      <c r="H401">
        <v>100.93</v>
      </c>
      <c r="O401" t="s">
        <v>239</v>
      </c>
      <c r="P401" t="s">
        <v>514</v>
      </c>
      <c r="Y401">
        <v>367</v>
      </c>
      <c r="Z401" s="259" t="s">
        <v>630</v>
      </c>
      <c r="AA401">
        <v>150</v>
      </c>
      <c r="AB401">
        <v>14915</v>
      </c>
      <c r="AC401">
        <v>45779</v>
      </c>
      <c r="AD401">
        <v>1</v>
      </c>
      <c r="AE401">
        <v>15139.500000000002</v>
      </c>
      <c r="AF401">
        <v>15139.500000000002</v>
      </c>
      <c r="AG401">
        <v>0</v>
      </c>
      <c r="AH401">
        <v>224.50000000000182</v>
      </c>
    </row>
    <row r="402" spans="2:34" x14ac:dyDescent="0.35">
      <c r="B402" t="s">
        <v>563</v>
      </c>
      <c r="C402">
        <v>45780</v>
      </c>
      <c r="F402" t="s">
        <v>752</v>
      </c>
      <c r="H402">
        <v>187.2</v>
      </c>
      <c r="O402" t="s">
        <v>239</v>
      </c>
      <c r="P402" t="s">
        <v>514</v>
      </c>
      <c r="Y402">
        <v>368</v>
      </c>
      <c r="Z402" s="259" t="s">
        <v>630</v>
      </c>
      <c r="AA402">
        <v>50</v>
      </c>
      <c r="AB402">
        <v>10010</v>
      </c>
      <c r="AC402">
        <v>45779</v>
      </c>
      <c r="AD402">
        <v>1</v>
      </c>
      <c r="AE402">
        <v>9360</v>
      </c>
      <c r="AF402">
        <v>9360</v>
      </c>
      <c r="AG402">
        <v>0</v>
      </c>
      <c r="AH402">
        <v>-650</v>
      </c>
    </row>
    <row r="403" spans="2:34" x14ac:dyDescent="0.35">
      <c r="B403" t="s">
        <v>563</v>
      </c>
      <c r="C403">
        <v>45780</v>
      </c>
      <c r="F403" t="s">
        <v>754</v>
      </c>
      <c r="H403">
        <v>79.2</v>
      </c>
      <c r="O403" t="s">
        <v>239</v>
      </c>
      <c r="P403" t="s">
        <v>514</v>
      </c>
      <c r="Y403">
        <v>369</v>
      </c>
      <c r="Z403" s="259" t="s">
        <v>630</v>
      </c>
      <c r="AA403">
        <v>100</v>
      </c>
      <c r="AB403">
        <v>8008</v>
      </c>
      <c r="AC403">
        <v>45779</v>
      </c>
      <c r="AD403">
        <v>1</v>
      </c>
      <c r="AE403">
        <v>7920</v>
      </c>
      <c r="AF403">
        <v>7920</v>
      </c>
      <c r="AG403">
        <v>0</v>
      </c>
      <c r="AH403">
        <v>-88</v>
      </c>
    </row>
    <row r="404" spans="2:34" x14ac:dyDescent="0.35">
      <c r="B404" t="s">
        <v>563</v>
      </c>
      <c r="C404">
        <v>45781</v>
      </c>
      <c r="F404" t="s">
        <v>749</v>
      </c>
      <c r="H404">
        <v>100.93</v>
      </c>
      <c r="O404" t="s">
        <v>239</v>
      </c>
      <c r="P404" t="s">
        <v>514</v>
      </c>
      <c r="Y404">
        <v>370</v>
      </c>
      <c r="Z404" s="259" t="s">
        <v>630</v>
      </c>
      <c r="AA404">
        <v>150</v>
      </c>
      <c r="AB404">
        <v>14915</v>
      </c>
      <c r="AC404">
        <v>45779</v>
      </c>
      <c r="AD404">
        <v>2</v>
      </c>
      <c r="AE404">
        <v>15139.500000000002</v>
      </c>
      <c r="AF404">
        <v>15139.500000000002</v>
      </c>
      <c r="AG404">
        <v>0</v>
      </c>
      <c r="AH404">
        <v>224.50000000000182</v>
      </c>
    </row>
    <row r="405" spans="2:34" x14ac:dyDescent="0.35">
      <c r="B405" t="s">
        <v>563</v>
      </c>
      <c r="C405">
        <v>45781</v>
      </c>
      <c r="F405" t="s">
        <v>752</v>
      </c>
      <c r="H405">
        <v>187.2</v>
      </c>
      <c r="O405" t="s">
        <v>239</v>
      </c>
      <c r="P405" t="s">
        <v>514</v>
      </c>
      <c r="Y405">
        <v>371</v>
      </c>
      <c r="Z405" s="259" t="s">
        <v>630</v>
      </c>
      <c r="AA405">
        <v>50</v>
      </c>
      <c r="AB405">
        <v>10010</v>
      </c>
      <c r="AC405">
        <v>45779</v>
      </c>
      <c r="AD405">
        <v>2</v>
      </c>
      <c r="AE405">
        <v>9360</v>
      </c>
      <c r="AF405">
        <v>9360</v>
      </c>
      <c r="AG405">
        <v>0</v>
      </c>
      <c r="AH405">
        <v>-650</v>
      </c>
    </row>
    <row r="406" spans="2:34" x14ac:dyDescent="0.35">
      <c r="B406" t="s">
        <v>563</v>
      </c>
      <c r="C406">
        <v>45781</v>
      </c>
      <c r="F406" t="s">
        <v>754</v>
      </c>
      <c r="H406">
        <v>79.2</v>
      </c>
      <c r="O406" t="s">
        <v>239</v>
      </c>
      <c r="P406" t="s">
        <v>514</v>
      </c>
      <c r="Y406">
        <v>372</v>
      </c>
      <c r="Z406" s="259" t="s">
        <v>630</v>
      </c>
      <c r="AA406">
        <v>100</v>
      </c>
      <c r="AB406">
        <v>8008</v>
      </c>
      <c r="AC406">
        <v>45779</v>
      </c>
      <c r="AD406">
        <v>2</v>
      </c>
      <c r="AE406">
        <v>7920</v>
      </c>
      <c r="AF406">
        <v>7920</v>
      </c>
      <c r="AG406">
        <v>0</v>
      </c>
      <c r="AH406">
        <v>-88</v>
      </c>
    </row>
    <row r="407" spans="2:34" x14ac:dyDescent="0.35">
      <c r="B407" t="s">
        <v>563</v>
      </c>
      <c r="C407">
        <v>45782</v>
      </c>
      <c r="F407" t="s">
        <v>749</v>
      </c>
      <c r="H407">
        <v>100.73</v>
      </c>
      <c r="O407" t="s">
        <v>239</v>
      </c>
      <c r="P407" t="s">
        <v>514</v>
      </c>
      <c r="Y407">
        <v>373</v>
      </c>
      <c r="Z407" s="259" t="s">
        <v>630</v>
      </c>
      <c r="AA407">
        <v>150</v>
      </c>
      <c r="AB407">
        <v>14915</v>
      </c>
      <c r="AC407">
        <v>45782</v>
      </c>
      <c r="AD407">
        <v>0</v>
      </c>
      <c r="AE407">
        <v>15109.5</v>
      </c>
      <c r="AF407">
        <v>15109.5</v>
      </c>
      <c r="AG407">
        <v>0</v>
      </c>
      <c r="AH407">
        <v>194.5</v>
      </c>
    </row>
    <row r="408" spans="2:34" x14ac:dyDescent="0.35">
      <c r="B408" t="s">
        <v>563</v>
      </c>
      <c r="C408">
        <v>45782</v>
      </c>
      <c r="F408" t="s">
        <v>752</v>
      </c>
      <c r="H408">
        <v>187.8</v>
      </c>
      <c r="O408" t="s">
        <v>239</v>
      </c>
      <c r="P408" t="s">
        <v>514</v>
      </c>
      <c r="Y408">
        <v>374</v>
      </c>
      <c r="Z408" s="259" t="s">
        <v>630</v>
      </c>
      <c r="AA408">
        <v>50</v>
      </c>
      <c r="AB408">
        <v>10010</v>
      </c>
      <c r="AC408">
        <v>45782</v>
      </c>
      <c r="AD408">
        <v>0</v>
      </c>
      <c r="AE408">
        <v>9390</v>
      </c>
      <c r="AF408">
        <v>9390</v>
      </c>
      <c r="AG408">
        <v>0</v>
      </c>
      <c r="AH408">
        <v>-620</v>
      </c>
    </row>
    <row r="409" spans="2:34" x14ac:dyDescent="0.35">
      <c r="B409" t="s">
        <v>563</v>
      </c>
      <c r="C409">
        <v>45782</v>
      </c>
      <c r="F409" t="s">
        <v>754</v>
      </c>
      <c r="H409">
        <v>79.8</v>
      </c>
      <c r="O409" t="s">
        <v>239</v>
      </c>
      <c r="P409" t="s">
        <v>514</v>
      </c>
      <c r="Y409">
        <v>375</v>
      </c>
      <c r="Z409" s="259" t="s">
        <v>630</v>
      </c>
      <c r="AA409">
        <v>100</v>
      </c>
      <c r="AB409">
        <v>8008</v>
      </c>
      <c r="AC409">
        <v>45782</v>
      </c>
      <c r="AD409">
        <v>0</v>
      </c>
      <c r="AE409">
        <v>7980</v>
      </c>
      <c r="AF409">
        <v>7980</v>
      </c>
      <c r="AG409">
        <v>0</v>
      </c>
      <c r="AH409">
        <v>-28</v>
      </c>
    </row>
    <row r="410" spans="2:34" x14ac:dyDescent="0.35">
      <c r="B410" t="s">
        <v>563</v>
      </c>
      <c r="C410">
        <v>45783</v>
      </c>
      <c r="F410" t="s">
        <v>749</v>
      </c>
      <c r="H410">
        <v>100.67</v>
      </c>
      <c r="O410" t="s">
        <v>239</v>
      </c>
      <c r="P410" t="s">
        <v>514</v>
      </c>
      <c r="Y410">
        <v>376</v>
      </c>
      <c r="Z410" s="259" t="s">
        <v>630</v>
      </c>
      <c r="AA410">
        <v>150</v>
      </c>
      <c r="AB410">
        <v>14915</v>
      </c>
      <c r="AC410">
        <v>45783</v>
      </c>
      <c r="AD410">
        <v>0</v>
      </c>
      <c r="AE410">
        <v>15100.5</v>
      </c>
      <c r="AF410">
        <v>15100.5</v>
      </c>
      <c r="AG410">
        <v>0</v>
      </c>
      <c r="AH410">
        <v>185.5</v>
      </c>
    </row>
    <row r="411" spans="2:34" x14ac:dyDescent="0.35">
      <c r="B411" t="s">
        <v>563</v>
      </c>
      <c r="C411">
        <v>45783</v>
      </c>
      <c r="F411" t="s">
        <v>752</v>
      </c>
      <c r="H411">
        <v>188</v>
      </c>
      <c r="O411" t="s">
        <v>239</v>
      </c>
      <c r="P411" t="s">
        <v>514</v>
      </c>
      <c r="Y411">
        <v>377</v>
      </c>
      <c r="Z411" s="259" t="s">
        <v>630</v>
      </c>
      <c r="AA411">
        <v>50</v>
      </c>
      <c r="AB411">
        <v>10010</v>
      </c>
      <c r="AC411">
        <v>45783</v>
      </c>
      <c r="AD411">
        <v>0</v>
      </c>
      <c r="AE411">
        <v>9400</v>
      </c>
      <c r="AF411">
        <v>9400</v>
      </c>
      <c r="AG411">
        <v>0</v>
      </c>
      <c r="AH411">
        <v>-610</v>
      </c>
    </row>
    <row r="412" spans="2:34" x14ac:dyDescent="0.35">
      <c r="B412" t="s">
        <v>563</v>
      </c>
      <c r="C412">
        <v>45783</v>
      </c>
      <c r="F412" t="s">
        <v>754</v>
      </c>
      <c r="H412">
        <v>80</v>
      </c>
      <c r="O412" t="s">
        <v>239</v>
      </c>
      <c r="P412" t="s">
        <v>514</v>
      </c>
      <c r="Y412">
        <v>378</v>
      </c>
      <c r="Z412" s="259" t="s">
        <v>630</v>
      </c>
      <c r="AA412">
        <v>100</v>
      </c>
      <c r="AB412">
        <v>8008</v>
      </c>
      <c r="AC412">
        <v>45783</v>
      </c>
      <c r="AD412">
        <v>0</v>
      </c>
      <c r="AE412">
        <v>8000</v>
      </c>
      <c r="AF412">
        <v>8000</v>
      </c>
      <c r="AG412">
        <v>0</v>
      </c>
      <c r="AH412">
        <v>-8</v>
      </c>
    </row>
    <row r="413" spans="2:34" x14ac:dyDescent="0.35">
      <c r="B413" t="s">
        <v>563</v>
      </c>
      <c r="C413">
        <v>45784</v>
      </c>
      <c r="F413" t="s">
        <v>749</v>
      </c>
      <c r="H413">
        <v>100.6</v>
      </c>
      <c r="O413" t="s">
        <v>239</v>
      </c>
      <c r="P413" t="s">
        <v>514</v>
      </c>
      <c r="Y413">
        <v>379</v>
      </c>
      <c r="Z413" s="259" t="s">
        <v>630</v>
      </c>
      <c r="AA413">
        <v>150</v>
      </c>
      <c r="AB413">
        <v>14915</v>
      </c>
      <c r="AC413">
        <v>45784</v>
      </c>
      <c r="AD413">
        <v>0</v>
      </c>
      <c r="AE413">
        <v>15090</v>
      </c>
      <c r="AF413">
        <v>15090</v>
      </c>
      <c r="AG413">
        <v>0</v>
      </c>
      <c r="AH413">
        <v>175</v>
      </c>
    </row>
    <row r="414" spans="2:34" x14ac:dyDescent="0.35">
      <c r="B414" t="s">
        <v>563</v>
      </c>
      <c r="C414">
        <v>45784</v>
      </c>
      <c r="F414" t="s">
        <v>752</v>
      </c>
      <c r="H414">
        <v>188.2</v>
      </c>
      <c r="O414" t="s">
        <v>239</v>
      </c>
      <c r="P414" t="s">
        <v>514</v>
      </c>
      <c r="Y414">
        <v>380</v>
      </c>
      <c r="Z414" s="259" t="s">
        <v>630</v>
      </c>
      <c r="AA414">
        <v>50</v>
      </c>
      <c r="AB414">
        <v>10010</v>
      </c>
      <c r="AC414">
        <v>45784</v>
      </c>
      <c r="AD414">
        <v>0</v>
      </c>
      <c r="AE414">
        <v>9410</v>
      </c>
      <c r="AF414">
        <v>9410</v>
      </c>
      <c r="AG414">
        <v>0</v>
      </c>
      <c r="AH414">
        <v>-600</v>
      </c>
    </row>
    <row r="415" spans="2:34" x14ac:dyDescent="0.35">
      <c r="B415" t="s">
        <v>563</v>
      </c>
      <c r="C415">
        <v>45784</v>
      </c>
      <c r="F415" t="s">
        <v>754</v>
      </c>
      <c r="H415">
        <v>80.2</v>
      </c>
      <c r="O415" t="s">
        <v>239</v>
      </c>
      <c r="P415" t="s">
        <v>514</v>
      </c>
      <c r="Y415">
        <v>381</v>
      </c>
      <c r="Z415" s="259" t="s">
        <v>630</v>
      </c>
      <c r="AA415">
        <v>100</v>
      </c>
      <c r="AB415">
        <v>8008</v>
      </c>
      <c r="AC415">
        <v>45784</v>
      </c>
      <c r="AD415">
        <v>0</v>
      </c>
      <c r="AE415">
        <v>8020</v>
      </c>
      <c r="AF415">
        <v>8020</v>
      </c>
      <c r="AG415">
        <v>0</v>
      </c>
      <c r="AH415">
        <v>12</v>
      </c>
    </row>
    <row r="416" spans="2:34" x14ac:dyDescent="0.35">
      <c r="B416" t="s">
        <v>563</v>
      </c>
      <c r="C416">
        <v>45785</v>
      </c>
      <c r="F416" t="s">
        <v>749</v>
      </c>
      <c r="H416">
        <v>100.53</v>
      </c>
      <c r="O416" t="s">
        <v>239</v>
      </c>
      <c r="P416" t="s">
        <v>514</v>
      </c>
      <c r="Y416">
        <v>382</v>
      </c>
      <c r="Z416" s="259" t="s">
        <v>630</v>
      </c>
      <c r="AA416">
        <v>150</v>
      </c>
      <c r="AB416">
        <v>14915</v>
      </c>
      <c r="AC416">
        <v>45785</v>
      </c>
      <c r="AD416">
        <v>0</v>
      </c>
      <c r="AE416">
        <v>15079.5</v>
      </c>
      <c r="AF416">
        <v>15079.5</v>
      </c>
      <c r="AG416">
        <v>0</v>
      </c>
      <c r="AH416">
        <v>164.5</v>
      </c>
    </row>
    <row r="417" spans="2:34" x14ac:dyDescent="0.35">
      <c r="B417" t="s">
        <v>563</v>
      </c>
      <c r="C417">
        <v>45785</v>
      </c>
      <c r="F417" t="s">
        <v>752</v>
      </c>
      <c r="H417">
        <v>188.4</v>
      </c>
      <c r="O417" t="s">
        <v>239</v>
      </c>
      <c r="P417" t="s">
        <v>514</v>
      </c>
      <c r="Y417">
        <v>383</v>
      </c>
      <c r="Z417" s="259" t="s">
        <v>630</v>
      </c>
      <c r="AA417">
        <v>50</v>
      </c>
      <c r="AB417">
        <v>10010</v>
      </c>
      <c r="AC417">
        <v>45785</v>
      </c>
      <c r="AD417">
        <v>0</v>
      </c>
      <c r="AE417">
        <v>9420</v>
      </c>
      <c r="AF417">
        <v>9420</v>
      </c>
      <c r="AG417">
        <v>0</v>
      </c>
      <c r="AH417">
        <v>-590</v>
      </c>
    </row>
    <row r="418" spans="2:34" x14ac:dyDescent="0.35">
      <c r="B418" t="s">
        <v>563</v>
      </c>
      <c r="C418">
        <v>45785</v>
      </c>
      <c r="F418" t="s">
        <v>754</v>
      </c>
      <c r="H418">
        <v>80.400000000000006</v>
      </c>
      <c r="O418" t="s">
        <v>239</v>
      </c>
      <c r="P418" t="s">
        <v>514</v>
      </c>
      <c r="Y418">
        <v>384</v>
      </c>
      <c r="Z418" s="259" t="s">
        <v>630</v>
      </c>
      <c r="AA418">
        <v>100</v>
      </c>
      <c r="AB418">
        <v>8008</v>
      </c>
      <c r="AC418">
        <v>45785</v>
      </c>
      <c r="AD418">
        <v>0</v>
      </c>
      <c r="AE418">
        <v>8040.0000000000009</v>
      </c>
      <c r="AF418">
        <v>8040.0000000000009</v>
      </c>
      <c r="AG418">
        <v>0</v>
      </c>
      <c r="AH418">
        <v>32.000000000000909</v>
      </c>
    </row>
    <row r="419" spans="2:34" x14ac:dyDescent="0.35">
      <c r="B419" t="s">
        <v>563</v>
      </c>
      <c r="C419">
        <v>45786</v>
      </c>
      <c r="F419" t="s">
        <v>749</v>
      </c>
      <c r="H419">
        <v>100.47</v>
      </c>
      <c r="O419" t="s">
        <v>239</v>
      </c>
      <c r="P419" t="s">
        <v>514</v>
      </c>
      <c r="Y419">
        <v>385</v>
      </c>
      <c r="Z419" s="259" t="s">
        <v>630</v>
      </c>
      <c r="AA419">
        <v>150</v>
      </c>
      <c r="AB419">
        <v>14915</v>
      </c>
      <c r="AC419">
        <v>45786</v>
      </c>
      <c r="AD419">
        <v>0</v>
      </c>
      <c r="AE419">
        <v>15070.5</v>
      </c>
      <c r="AF419">
        <v>15070.5</v>
      </c>
      <c r="AG419">
        <v>0</v>
      </c>
      <c r="AH419">
        <v>155.5</v>
      </c>
    </row>
    <row r="420" spans="2:34" x14ac:dyDescent="0.35">
      <c r="B420" t="s">
        <v>563</v>
      </c>
      <c r="C420">
        <v>45786</v>
      </c>
      <c r="F420" t="s">
        <v>752</v>
      </c>
      <c r="H420">
        <v>188.6</v>
      </c>
      <c r="O420" t="s">
        <v>239</v>
      </c>
      <c r="P420" t="s">
        <v>514</v>
      </c>
      <c r="Y420">
        <v>386</v>
      </c>
      <c r="Z420" s="259" t="s">
        <v>630</v>
      </c>
      <c r="AA420">
        <v>50</v>
      </c>
      <c r="AB420">
        <v>10010</v>
      </c>
      <c r="AC420">
        <v>45786</v>
      </c>
      <c r="AD420">
        <v>0</v>
      </c>
      <c r="AE420">
        <v>9430</v>
      </c>
      <c r="AF420">
        <v>9430</v>
      </c>
      <c r="AG420">
        <v>0</v>
      </c>
      <c r="AH420">
        <v>-580</v>
      </c>
    </row>
    <row r="421" spans="2:34" x14ac:dyDescent="0.35">
      <c r="B421" t="s">
        <v>563</v>
      </c>
      <c r="C421">
        <v>45786</v>
      </c>
      <c r="F421" t="s">
        <v>754</v>
      </c>
      <c r="H421">
        <v>80.599999999999994</v>
      </c>
      <c r="O421" t="s">
        <v>239</v>
      </c>
      <c r="P421" t="s">
        <v>514</v>
      </c>
      <c r="Y421">
        <v>387</v>
      </c>
      <c r="Z421" s="259" t="s">
        <v>630</v>
      </c>
      <c r="AA421">
        <v>100</v>
      </c>
      <c r="AB421">
        <v>8008</v>
      </c>
      <c r="AC421">
        <v>45786</v>
      </c>
      <c r="AD421">
        <v>0</v>
      </c>
      <c r="AE421">
        <v>8059.9999999999991</v>
      </c>
      <c r="AF421">
        <v>8059.9999999999991</v>
      </c>
      <c r="AG421">
        <v>0</v>
      </c>
      <c r="AH421">
        <v>51.999999999999091</v>
      </c>
    </row>
    <row r="422" spans="2:34" x14ac:dyDescent="0.35">
      <c r="B422" t="s">
        <v>563</v>
      </c>
      <c r="C422">
        <v>45787</v>
      </c>
      <c r="F422" t="s">
        <v>749</v>
      </c>
      <c r="H422">
        <v>100.47</v>
      </c>
      <c r="O422" t="s">
        <v>239</v>
      </c>
      <c r="P422" t="s">
        <v>514</v>
      </c>
      <c r="Y422">
        <v>388</v>
      </c>
      <c r="Z422" s="259" t="s">
        <v>630</v>
      </c>
      <c r="AA422">
        <v>150</v>
      </c>
      <c r="AB422">
        <v>14915</v>
      </c>
      <c r="AC422">
        <v>45786</v>
      </c>
      <c r="AD422">
        <v>1</v>
      </c>
      <c r="AE422">
        <v>15070.5</v>
      </c>
      <c r="AF422">
        <v>15070.5</v>
      </c>
      <c r="AG422">
        <v>0</v>
      </c>
      <c r="AH422">
        <v>155.5</v>
      </c>
    </row>
    <row r="423" spans="2:34" x14ac:dyDescent="0.35">
      <c r="B423" t="s">
        <v>563</v>
      </c>
      <c r="C423">
        <v>45787</v>
      </c>
      <c r="F423" t="s">
        <v>752</v>
      </c>
      <c r="H423">
        <v>188.6</v>
      </c>
      <c r="O423" t="s">
        <v>239</v>
      </c>
      <c r="P423" t="s">
        <v>514</v>
      </c>
      <c r="Y423">
        <v>389</v>
      </c>
      <c r="Z423" s="259" t="s">
        <v>630</v>
      </c>
      <c r="AA423">
        <v>50</v>
      </c>
      <c r="AB423">
        <v>10010</v>
      </c>
      <c r="AC423">
        <v>45786</v>
      </c>
      <c r="AD423">
        <v>1</v>
      </c>
      <c r="AE423">
        <v>9430</v>
      </c>
      <c r="AF423">
        <v>9430</v>
      </c>
      <c r="AG423">
        <v>0</v>
      </c>
      <c r="AH423">
        <v>-580</v>
      </c>
    </row>
    <row r="424" spans="2:34" x14ac:dyDescent="0.35">
      <c r="B424" t="s">
        <v>563</v>
      </c>
      <c r="C424">
        <v>45787</v>
      </c>
      <c r="F424" t="s">
        <v>754</v>
      </c>
      <c r="H424">
        <v>80.599999999999994</v>
      </c>
      <c r="O424" t="s">
        <v>239</v>
      </c>
      <c r="P424" t="s">
        <v>514</v>
      </c>
      <c r="Y424">
        <v>390</v>
      </c>
      <c r="Z424" s="259" t="s">
        <v>630</v>
      </c>
      <c r="AA424">
        <v>100</v>
      </c>
      <c r="AB424">
        <v>8008</v>
      </c>
      <c r="AC424">
        <v>45786</v>
      </c>
      <c r="AD424">
        <v>1</v>
      </c>
      <c r="AE424">
        <v>8059.9999999999991</v>
      </c>
      <c r="AF424">
        <v>8059.9999999999991</v>
      </c>
      <c r="AG424">
        <v>0</v>
      </c>
      <c r="AH424">
        <v>51.999999999999091</v>
      </c>
    </row>
    <row r="425" spans="2:34" x14ac:dyDescent="0.35">
      <c r="B425" t="s">
        <v>563</v>
      </c>
      <c r="C425">
        <v>45788</v>
      </c>
      <c r="F425" t="s">
        <v>749</v>
      </c>
      <c r="H425">
        <v>100.47</v>
      </c>
      <c r="O425" t="s">
        <v>239</v>
      </c>
      <c r="P425" t="s">
        <v>514</v>
      </c>
      <c r="Y425">
        <v>391</v>
      </c>
      <c r="Z425" s="259" t="s">
        <v>630</v>
      </c>
      <c r="AA425">
        <v>150</v>
      </c>
      <c r="AB425">
        <v>14915</v>
      </c>
      <c r="AC425">
        <v>45786</v>
      </c>
      <c r="AD425">
        <v>2</v>
      </c>
      <c r="AE425">
        <v>15070.5</v>
      </c>
      <c r="AF425">
        <v>15070.5</v>
      </c>
      <c r="AG425">
        <v>0</v>
      </c>
      <c r="AH425">
        <v>155.5</v>
      </c>
    </row>
    <row r="426" spans="2:34" x14ac:dyDescent="0.35">
      <c r="B426" t="s">
        <v>563</v>
      </c>
      <c r="C426">
        <v>45788</v>
      </c>
      <c r="F426" t="s">
        <v>752</v>
      </c>
      <c r="H426">
        <v>188.6</v>
      </c>
      <c r="O426" t="s">
        <v>239</v>
      </c>
      <c r="P426" t="s">
        <v>514</v>
      </c>
      <c r="Y426">
        <v>392</v>
      </c>
      <c r="Z426" s="259" t="s">
        <v>630</v>
      </c>
      <c r="AA426">
        <v>50</v>
      </c>
      <c r="AB426">
        <v>10010</v>
      </c>
      <c r="AC426">
        <v>45786</v>
      </c>
      <c r="AD426">
        <v>2</v>
      </c>
      <c r="AE426">
        <v>9430</v>
      </c>
      <c r="AF426">
        <v>9430</v>
      </c>
      <c r="AG426">
        <v>0</v>
      </c>
      <c r="AH426">
        <v>-580</v>
      </c>
    </row>
    <row r="427" spans="2:34" x14ac:dyDescent="0.35">
      <c r="B427" t="s">
        <v>563</v>
      </c>
      <c r="C427">
        <v>45788</v>
      </c>
      <c r="F427" t="s">
        <v>754</v>
      </c>
      <c r="H427">
        <v>80.599999999999994</v>
      </c>
      <c r="O427" t="s">
        <v>239</v>
      </c>
      <c r="P427" t="s">
        <v>514</v>
      </c>
      <c r="Y427">
        <v>393</v>
      </c>
      <c r="Z427" s="259" t="s">
        <v>630</v>
      </c>
      <c r="AA427">
        <v>100</v>
      </c>
      <c r="AB427">
        <v>8008</v>
      </c>
      <c r="AC427">
        <v>45786</v>
      </c>
      <c r="AD427">
        <v>2</v>
      </c>
      <c r="AE427">
        <v>8059.9999999999991</v>
      </c>
      <c r="AF427">
        <v>8059.9999999999991</v>
      </c>
      <c r="AG427">
        <v>0</v>
      </c>
      <c r="AH427">
        <v>51.999999999999091</v>
      </c>
    </row>
    <row r="428" spans="2:34" x14ac:dyDescent="0.35">
      <c r="B428" t="s">
        <v>563</v>
      </c>
      <c r="C428">
        <v>45789</v>
      </c>
      <c r="F428" t="s">
        <v>749</v>
      </c>
      <c r="H428">
        <v>100.27</v>
      </c>
      <c r="O428" t="s">
        <v>239</v>
      </c>
      <c r="P428" t="s">
        <v>514</v>
      </c>
      <c r="Y428">
        <v>394</v>
      </c>
      <c r="Z428" s="259" t="s">
        <v>630</v>
      </c>
      <c r="AA428">
        <v>150</v>
      </c>
      <c r="AB428">
        <v>14915</v>
      </c>
      <c r="AC428">
        <v>45789</v>
      </c>
      <c r="AD428">
        <v>0</v>
      </c>
      <c r="AE428">
        <v>15040.5</v>
      </c>
      <c r="AF428">
        <v>15040.5</v>
      </c>
      <c r="AG428">
        <v>0</v>
      </c>
      <c r="AH428">
        <v>125.5</v>
      </c>
    </row>
    <row r="429" spans="2:34" x14ac:dyDescent="0.35">
      <c r="B429" t="s">
        <v>563</v>
      </c>
      <c r="C429">
        <v>45789</v>
      </c>
      <c r="F429" t="s">
        <v>752</v>
      </c>
      <c r="H429">
        <v>189.2</v>
      </c>
      <c r="O429" t="s">
        <v>239</v>
      </c>
      <c r="P429" t="s">
        <v>514</v>
      </c>
      <c r="Y429">
        <v>395</v>
      </c>
      <c r="Z429" s="259" t="s">
        <v>630</v>
      </c>
      <c r="AA429">
        <v>50</v>
      </c>
      <c r="AB429">
        <v>10010</v>
      </c>
      <c r="AC429">
        <v>45789</v>
      </c>
      <c r="AD429">
        <v>0</v>
      </c>
      <c r="AE429">
        <v>9460</v>
      </c>
      <c r="AF429">
        <v>9460</v>
      </c>
      <c r="AG429">
        <v>0</v>
      </c>
      <c r="AH429">
        <v>-550</v>
      </c>
    </row>
    <row r="430" spans="2:34" x14ac:dyDescent="0.35">
      <c r="B430" t="s">
        <v>563</v>
      </c>
      <c r="C430">
        <v>45789</v>
      </c>
      <c r="F430" t="s">
        <v>754</v>
      </c>
      <c r="H430">
        <v>81.2</v>
      </c>
      <c r="O430" t="s">
        <v>239</v>
      </c>
      <c r="P430" t="s">
        <v>514</v>
      </c>
      <c r="Y430">
        <v>396</v>
      </c>
      <c r="Z430" s="259" t="s">
        <v>630</v>
      </c>
      <c r="AA430">
        <v>100</v>
      </c>
      <c r="AB430">
        <v>8008</v>
      </c>
      <c r="AC430">
        <v>45789</v>
      </c>
      <c r="AD430">
        <v>0</v>
      </c>
      <c r="AE430">
        <v>8120</v>
      </c>
      <c r="AF430">
        <v>8120</v>
      </c>
      <c r="AG430">
        <v>0</v>
      </c>
      <c r="AH430">
        <v>112</v>
      </c>
    </row>
    <row r="431" spans="2:34" x14ac:dyDescent="0.35">
      <c r="B431" t="s">
        <v>563</v>
      </c>
      <c r="C431">
        <v>45790</v>
      </c>
      <c r="F431" t="s">
        <v>749</v>
      </c>
      <c r="H431">
        <v>100.2</v>
      </c>
      <c r="O431" t="s">
        <v>239</v>
      </c>
      <c r="P431" t="s">
        <v>514</v>
      </c>
      <c r="Y431">
        <v>397</v>
      </c>
      <c r="Z431" s="259" t="s">
        <v>630</v>
      </c>
      <c r="AA431">
        <v>150</v>
      </c>
      <c r="AB431">
        <v>14915</v>
      </c>
      <c r="AC431">
        <v>45790</v>
      </c>
      <c r="AD431">
        <v>0</v>
      </c>
      <c r="AE431">
        <v>15030</v>
      </c>
      <c r="AF431">
        <v>15030</v>
      </c>
      <c r="AG431">
        <v>0</v>
      </c>
      <c r="AH431">
        <v>115</v>
      </c>
    </row>
    <row r="432" spans="2:34" x14ac:dyDescent="0.35">
      <c r="B432" t="s">
        <v>563</v>
      </c>
      <c r="C432">
        <v>45790</v>
      </c>
      <c r="F432" t="s">
        <v>752</v>
      </c>
      <c r="H432">
        <v>189.4</v>
      </c>
      <c r="O432" t="s">
        <v>239</v>
      </c>
      <c r="P432" t="s">
        <v>514</v>
      </c>
      <c r="Y432">
        <v>398</v>
      </c>
      <c r="Z432" s="259" t="s">
        <v>630</v>
      </c>
      <c r="AA432">
        <v>50</v>
      </c>
      <c r="AB432">
        <v>10010</v>
      </c>
      <c r="AC432">
        <v>45790</v>
      </c>
      <c r="AD432">
        <v>0</v>
      </c>
      <c r="AE432">
        <v>9470</v>
      </c>
      <c r="AF432">
        <v>9470</v>
      </c>
      <c r="AG432">
        <v>0</v>
      </c>
      <c r="AH432">
        <v>-540</v>
      </c>
    </row>
    <row r="433" spans="2:34" x14ac:dyDescent="0.35">
      <c r="B433" t="s">
        <v>563</v>
      </c>
      <c r="C433">
        <v>45790</v>
      </c>
      <c r="F433" t="s">
        <v>754</v>
      </c>
      <c r="H433">
        <v>81.400000000000006</v>
      </c>
      <c r="O433" t="s">
        <v>239</v>
      </c>
      <c r="P433" t="s">
        <v>514</v>
      </c>
      <c r="Y433">
        <v>399</v>
      </c>
      <c r="Z433" s="259" t="s">
        <v>630</v>
      </c>
      <c r="AA433">
        <v>100</v>
      </c>
      <c r="AB433">
        <v>8008</v>
      </c>
      <c r="AC433">
        <v>45790</v>
      </c>
      <c r="AD433">
        <v>0</v>
      </c>
      <c r="AE433">
        <v>8140.0000000000009</v>
      </c>
      <c r="AF433">
        <v>8140.0000000000009</v>
      </c>
      <c r="AG433">
        <v>0</v>
      </c>
      <c r="AH433">
        <v>132.00000000000091</v>
      </c>
    </row>
    <row r="434" spans="2:34" x14ac:dyDescent="0.35">
      <c r="B434" t="s">
        <v>563</v>
      </c>
      <c r="C434">
        <v>45791</v>
      </c>
      <c r="F434" t="s">
        <v>749</v>
      </c>
      <c r="H434">
        <v>100.13</v>
      </c>
      <c r="O434" t="s">
        <v>239</v>
      </c>
      <c r="P434" t="s">
        <v>514</v>
      </c>
      <c r="Y434">
        <v>400</v>
      </c>
      <c r="Z434" s="259" t="s">
        <v>630</v>
      </c>
      <c r="AA434">
        <v>150</v>
      </c>
      <c r="AB434">
        <v>14915</v>
      </c>
      <c r="AC434">
        <v>45791</v>
      </c>
      <c r="AD434">
        <v>0</v>
      </c>
      <c r="AE434">
        <v>15019.5</v>
      </c>
      <c r="AF434">
        <v>15019.5</v>
      </c>
      <c r="AG434">
        <v>0</v>
      </c>
      <c r="AH434">
        <v>104.5</v>
      </c>
    </row>
    <row r="435" spans="2:34" x14ac:dyDescent="0.35">
      <c r="B435" t="s">
        <v>563</v>
      </c>
      <c r="C435">
        <v>45791</v>
      </c>
      <c r="F435" t="s">
        <v>752</v>
      </c>
      <c r="H435">
        <v>189.6</v>
      </c>
      <c r="O435" t="s">
        <v>239</v>
      </c>
      <c r="P435" t="s">
        <v>514</v>
      </c>
      <c r="Y435">
        <v>401</v>
      </c>
      <c r="Z435" s="259" t="s">
        <v>630</v>
      </c>
      <c r="AA435">
        <v>50</v>
      </c>
      <c r="AB435">
        <v>10010</v>
      </c>
      <c r="AC435">
        <v>45791</v>
      </c>
      <c r="AD435">
        <v>0</v>
      </c>
      <c r="AE435">
        <v>9480</v>
      </c>
      <c r="AF435">
        <v>9480</v>
      </c>
      <c r="AG435">
        <v>0</v>
      </c>
      <c r="AH435">
        <v>-530</v>
      </c>
    </row>
    <row r="436" spans="2:34" x14ac:dyDescent="0.35">
      <c r="B436" t="s">
        <v>563</v>
      </c>
      <c r="C436">
        <v>45791</v>
      </c>
      <c r="F436" t="s">
        <v>754</v>
      </c>
      <c r="H436">
        <v>81.599999999999994</v>
      </c>
      <c r="O436" t="s">
        <v>239</v>
      </c>
      <c r="P436" t="s">
        <v>514</v>
      </c>
      <c r="Y436">
        <v>402</v>
      </c>
      <c r="Z436" s="259" t="s">
        <v>630</v>
      </c>
      <c r="AA436">
        <v>100</v>
      </c>
      <c r="AB436">
        <v>8008</v>
      </c>
      <c r="AC436">
        <v>45791</v>
      </c>
      <c r="AD436">
        <v>0</v>
      </c>
      <c r="AE436">
        <v>8159.9999999999991</v>
      </c>
      <c r="AF436">
        <v>8159.9999999999991</v>
      </c>
      <c r="AG436">
        <v>0</v>
      </c>
      <c r="AH436">
        <v>151.99999999999909</v>
      </c>
    </row>
    <row r="437" spans="2:34" x14ac:dyDescent="0.35">
      <c r="B437" t="s">
        <v>563</v>
      </c>
      <c r="C437">
        <v>45792</v>
      </c>
      <c r="F437" t="s">
        <v>749</v>
      </c>
      <c r="H437">
        <v>100.07</v>
      </c>
      <c r="O437" t="s">
        <v>239</v>
      </c>
      <c r="P437" t="s">
        <v>514</v>
      </c>
      <c r="Y437">
        <v>403</v>
      </c>
      <c r="Z437" s="259" t="s">
        <v>630</v>
      </c>
      <c r="AA437">
        <v>150</v>
      </c>
      <c r="AB437">
        <v>14915</v>
      </c>
      <c r="AC437">
        <v>45792</v>
      </c>
      <c r="AD437">
        <v>0</v>
      </c>
      <c r="AE437">
        <v>15010.499999999998</v>
      </c>
      <c r="AF437">
        <v>15010.499999999998</v>
      </c>
      <c r="AG437">
        <v>0</v>
      </c>
      <c r="AH437">
        <v>95.499999999998181</v>
      </c>
    </row>
    <row r="438" spans="2:34" x14ac:dyDescent="0.35">
      <c r="B438" t="s">
        <v>563</v>
      </c>
      <c r="C438">
        <v>45792</v>
      </c>
      <c r="F438" t="s">
        <v>752</v>
      </c>
      <c r="H438">
        <v>189.8</v>
      </c>
      <c r="O438" t="s">
        <v>239</v>
      </c>
      <c r="P438" t="s">
        <v>514</v>
      </c>
      <c r="Y438">
        <v>404</v>
      </c>
      <c r="Z438" s="259" t="s">
        <v>630</v>
      </c>
      <c r="AA438">
        <v>50</v>
      </c>
      <c r="AB438">
        <v>10010</v>
      </c>
      <c r="AC438">
        <v>45792</v>
      </c>
      <c r="AD438">
        <v>0</v>
      </c>
      <c r="AE438">
        <v>9490</v>
      </c>
      <c r="AF438">
        <v>9490</v>
      </c>
      <c r="AG438">
        <v>0</v>
      </c>
      <c r="AH438">
        <v>-520</v>
      </c>
    </row>
    <row r="439" spans="2:34" x14ac:dyDescent="0.35">
      <c r="B439" t="s">
        <v>563</v>
      </c>
      <c r="C439">
        <v>45792</v>
      </c>
      <c r="F439" t="s">
        <v>754</v>
      </c>
      <c r="H439">
        <v>81.8</v>
      </c>
      <c r="O439" t="s">
        <v>239</v>
      </c>
      <c r="P439" t="s">
        <v>514</v>
      </c>
      <c r="Y439">
        <v>405</v>
      </c>
      <c r="Z439" s="259" t="s">
        <v>630</v>
      </c>
      <c r="AA439">
        <v>100</v>
      </c>
      <c r="AB439">
        <v>8008</v>
      </c>
      <c r="AC439">
        <v>45792</v>
      </c>
      <c r="AD439">
        <v>0</v>
      </c>
      <c r="AE439">
        <v>8180</v>
      </c>
      <c r="AF439">
        <v>8180</v>
      </c>
      <c r="AG439">
        <v>0</v>
      </c>
      <c r="AH439">
        <v>172</v>
      </c>
    </row>
    <row r="440" spans="2:34" x14ac:dyDescent="0.35">
      <c r="B440" t="s">
        <v>563</v>
      </c>
      <c r="C440">
        <v>45793</v>
      </c>
      <c r="F440" t="s">
        <v>749</v>
      </c>
      <c r="H440">
        <v>100</v>
      </c>
      <c r="O440" t="s">
        <v>239</v>
      </c>
      <c r="P440" t="s">
        <v>514</v>
      </c>
      <c r="Y440">
        <v>406</v>
      </c>
      <c r="Z440" s="259" t="s">
        <v>630</v>
      </c>
      <c r="AA440">
        <v>150</v>
      </c>
      <c r="AB440">
        <v>14915</v>
      </c>
      <c r="AC440">
        <v>45793</v>
      </c>
      <c r="AD440">
        <v>0</v>
      </c>
      <c r="AE440">
        <v>15000</v>
      </c>
      <c r="AF440">
        <v>15000</v>
      </c>
      <c r="AG440">
        <v>0</v>
      </c>
      <c r="AH440">
        <v>85</v>
      </c>
    </row>
    <row r="441" spans="2:34" x14ac:dyDescent="0.35">
      <c r="B441" t="s">
        <v>563</v>
      </c>
      <c r="C441">
        <v>45793</v>
      </c>
      <c r="F441" t="s">
        <v>752</v>
      </c>
      <c r="H441">
        <v>190</v>
      </c>
      <c r="O441" t="s">
        <v>239</v>
      </c>
      <c r="P441" t="s">
        <v>514</v>
      </c>
      <c r="Y441">
        <v>407</v>
      </c>
      <c r="Z441" s="259" t="s">
        <v>630</v>
      </c>
      <c r="AA441">
        <v>50</v>
      </c>
      <c r="AB441">
        <v>10010</v>
      </c>
      <c r="AC441">
        <v>45793</v>
      </c>
      <c r="AD441">
        <v>0</v>
      </c>
      <c r="AE441">
        <v>9500</v>
      </c>
      <c r="AF441">
        <v>9500</v>
      </c>
      <c r="AG441">
        <v>0</v>
      </c>
      <c r="AH441">
        <v>-510</v>
      </c>
    </row>
    <row r="442" spans="2:34" x14ac:dyDescent="0.35">
      <c r="B442" t="s">
        <v>563</v>
      </c>
      <c r="C442">
        <v>45793</v>
      </c>
      <c r="F442" t="s">
        <v>754</v>
      </c>
      <c r="H442">
        <v>82</v>
      </c>
      <c r="O442" t="s">
        <v>239</v>
      </c>
      <c r="P442" t="s">
        <v>514</v>
      </c>
      <c r="Y442">
        <v>408</v>
      </c>
      <c r="Z442" s="259" t="s">
        <v>630</v>
      </c>
      <c r="AA442">
        <v>100</v>
      </c>
      <c r="AB442">
        <v>8008</v>
      </c>
      <c r="AC442">
        <v>45793</v>
      </c>
      <c r="AD442">
        <v>0</v>
      </c>
      <c r="AE442">
        <v>8200</v>
      </c>
      <c r="AF442">
        <v>8200</v>
      </c>
      <c r="AG442">
        <v>0</v>
      </c>
      <c r="AH442">
        <v>192</v>
      </c>
    </row>
    <row r="443" spans="2:34" x14ac:dyDescent="0.35">
      <c r="B443" t="s">
        <v>563</v>
      </c>
      <c r="C443">
        <v>45794</v>
      </c>
      <c r="F443" t="s">
        <v>749</v>
      </c>
      <c r="H443">
        <v>100</v>
      </c>
      <c r="O443" t="s">
        <v>239</v>
      </c>
      <c r="P443" t="s">
        <v>514</v>
      </c>
      <c r="Y443">
        <v>409</v>
      </c>
      <c r="Z443" s="259" t="s">
        <v>630</v>
      </c>
      <c r="AA443">
        <v>150</v>
      </c>
      <c r="AB443">
        <v>14915</v>
      </c>
      <c r="AC443">
        <v>45793</v>
      </c>
      <c r="AD443">
        <v>1</v>
      </c>
      <c r="AE443">
        <v>15000</v>
      </c>
      <c r="AF443">
        <v>15000</v>
      </c>
      <c r="AG443">
        <v>0</v>
      </c>
      <c r="AH443">
        <v>85</v>
      </c>
    </row>
    <row r="444" spans="2:34" x14ac:dyDescent="0.35">
      <c r="B444" t="s">
        <v>563</v>
      </c>
      <c r="C444">
        <v>45794</v>
      </c>
      <c r="F444" t="s">
        <v>752</v>
      </c>
      <c r="H444">
        <v>190</v>
      </c>
      <c r="O444" t="s">
        <v>239</v>
      </c>
      <c r="P444" t="s">
        <v>514</v>
      </c>
      <c r="Y444">
        <v>410</v>
      </c>
      <c r="Z444" s="259" t="s">
        <v>630</v>
      </c>
      <c r="AA444">
        <v>50</v>
      </c>
      <c r="AB444">
        <v>10010</v>
      </c>
      <c r="AC444">
        <v>45793</v>
      </c>
      <c r="AD444">
        <v>1</v>
      </c>
      <c r="AE444">
        <v>9500</v>
      </c>
      <c r="AF444">
        <v>9500</v>
      </c>
      <c r="AG444">
        <v>0</v>
      </c>
      <c r="AH444">
        <v>-510</v>
      </c>
    </row>
    <row r="445" spans="2:34" x14ac:dyDescent="0.35">
      <c r="B445" t="s">
        <v>563</v>
      </c>
      <c r="C445">
        <v>45794</v>
      </c>
      <c r="F445" t="s">
        <v>754</v>
      </c>
      <c r="H445">
        <v>82</v>
      </c>
      <c r="O445" t="s">
        <v>239</v>
      </c>
      <c r="P445" t="s">
        <v>514</v>
      </c>
      <c r="Y445">
        <v>411</v>
      </c>
      <c r="Z445" s="259" t="s">
        <v>630</v>
      </c>
      <c r="AA445">
        <v>100</v>
      </c>
      <c r="AB445">
        <v>8008</v>
      </c>
      <c r="AC445">
        <v>45793</v>
      </c>
      <c r="AD445">
        <v>1</v>
      </c>
      <c r="AE445">
        <v>8200</v>
      </c>
      <c r="AF445">
        <v>8200</v>
      </c>
      <c r="AG445">
        <v>0</v>
      </c>
      <c r="AH445">
        <v>192</v>
      </c>
    </row>
    <row r="446" spans="2:34" x14ac:dyDescent="0.35">
      <c r="B446" t="s">
        <v>563</v>
      </c>
      <c r="C446">
        <v>45795</v>
      </c>
      <c r="F446" t="s">
        <v>749</v>
      </c>
      <c r="H446">
        <v>100</v>
      </c>
      <c r="O446" t="s">
        <v>239</v>
      </c>
      <c r="P446" t="s">
        <v>514</v>
      </c>
      <c r="Y446">
        <v>412</v>
      </c>
      <c r="Z446" s="259" t="s">
        <v>630</v>
      </c>
      <c r="AA446">
        <v>150</v>
      </c>
      <c r="AB446">
        <v>14915</v>
      </c>
      <c r="AC446">
        <v>45793</v>
      </c>
      <c r="AD446">
        <v>2</v>
      </c>
      <c r="AE446">
        <v>15000</v>
      </c>
      <c r="AF446">
        <v>15000</v>
      </c>
      <c r="AG446">
        <v>0</v>
      </c>
      <c r="AH446">
        <v>85</v>
      </c>
    </row>
    <row r="447" spans="2:34" x14ac:dyDescent="0.35">
      <c r="B447" t="s">
        <v>563</v>
      </c>
      <c r="C447">
        <v>45795</v>
      </c>
      <c r="F447" t="s">
        <v>752</v>
      </c>
      <c r="H447">
        <v>190</v>
      </c>
      <c r="O447" t="s">
        <v>239</v>
      </c>
      <c r="P447" t="s">
        <v>514</v>
      </c>
      <c r="Y447">
        <v>413</v>
      </c>
      <c r="Z447" s="259" t="s">
        <v>630</v>
      </c>
      <c r="AA447">
        <v>50</v>
      </c>
      <c r="AB447">
        <v>10010</v>
      </c>
      <c r="AC447">
        <v>45793</v>
      </c>
      <c r="AD447">
        <v>2</v>
      </c>
      <c r="AE447">
        <v>9500</v>
      </c>
      <c r="AF447">
        <v>9500</v>
      </c>
      <c r="AG447">
        <v>0</v>
      </c>
      <c r="AH447">
        <v>-510</v>
      </c>
    </row>
    <row r="448" spans="2:34" x14ac:dyDescent="0.35">
      <c r="B448" t="s">
        <v>563</v>
      </c>
      <c r="C448">
        <v>45795</v>
      </c>
      <c r="F448" t="s">
        <v>754</v>
      </c>
      <c r="H448">
        <v>82</v>
      </c>
      <c r="O448" t="s">
        <v>239</v>
      </c>
      <c r="P448" t="s">
        <v>514</v>
      </c>
      <c r="Y448">
        <v>414</v>
      </c>
      <c r="Z448" s="259" t="s">
        <v>630</v>
      </c>
      <c r="AA448">
        <v>100</v>
      </c>
      <c r="AB448">
        <v>8008</v>
      </c>
      <c r="AC448">
        <v>45793</v>
      </c>
      <c r="AD448">
        <v>2</v>
      </c>
      <c r="AE448">
        <v>8200</v>
      </c>
      <c r="AF448">
        <v>8200</v>
      </c>
      <c r="AG448">
        <v>0</v>
      </c>
      <c r="AH448">
        <v>192</v>
      </c>
    </row>
    <row r="449" spans="2:34" x14ac:dyDescent="0.35">
      <c r="B449" t="s">
        <v>563</v>
      </c>
      <c r="C449">
        <v>45796</v>
      </c>
      <c r="F449" t="s">
        <v>749</v>
      </c>
      <c r="H449">
        <v>99.8</v>
      </c>
      <c r="O449" t="s">
        <v>239</v>
      </c>
      <c r="P449" t="s">
        <v>514</v>
      </c>
      <c r="Y449">
        <v>415</v>
      </c>
      <c r="Z449" s="259" t="s">
        <v>630</v>
      </c>
      <c r="AA449">
        <v>150</v>
      </c>
      <c r="AB449">
        <v>14915</v>
      </c>
      <c r="AC449">
        <v>45796</v>
      </c>
      <c r="AD449">
        <v>0</v>
      </c>
      <c r="AE449">
        <v>14970</v>
      </c>
      <c r="AF449">
        <v>14970</v>
      </c>
      <c r="AG449">
        <v>0</v>
      </c>
      <c r="AH449">
        <v>55</v>
      </c>
    </row>
    <row r="450" spans="2:34" x14ac:dyDescent="0.35">
      <c r="B450" t="s">
        <v>563</v>
      </c>
      <c r="C450">
        <v>45796</v>
      </c>
      <c r="F450" t="s">
        <v>752</v>
      </c>
      <c r="H450">
        <v>190.6</v>
      </c>
      <c r="O450" t="s">
        <v>239</v>
      </c>
      <c r="P450" t="s">
        <v>514</v>
      </c>
      <c r="Y450">
        <v>416</v>
      </c>
      <c r="Z450" s="259" t="s">
        <v>630</v>
      </c>
      <c r="AA450">
        <v>50</v>
      </c>
      <c r="AB450">
        <v>10010</v>
      </c>
      <c r="AC450">
        <v>45796</v>
      </c>
      <c r="AD450">
        <v>0</v>
      </c>
      <c r="AE450">
        <v>9530</v>
      </c>
      <c r="AF450">
        <v>9530</v>
      </c>
      <c r="AG450">
        <v>0</v>
      </c>
      <c r="AH450">
        <v>-480</v>
      </c>
    </row>
    <row r="451" spans="2:34" x14ac:dyDescent="0.35">
      <c r="B451" t="s">
        <v>563</v>
      </c>
      <c r="C451">
        <v>45796</v>
      </c>
      <c r="F451" t="s">
        <v>754</v>
      </c>
      <c r="H451">
        <v>82.6</v>
      </c>
      <c r="O451" t="s">
        <v>239</v>
      </c>
      <c r="P451" t="s">
        <v>514</v>
      </c>
      <c r="Y451">
        <v>417</v>
      </c>
      <c r="Z451" s="259" t="s">
        <v>630</v>
      </c>
      <c r="AA451">
        <v>100</v>
      </c>
      <c r="AB451">
        <v>8008</v>
      </c>
      <c r="AC451">
        <v>45796</v>
      </c>
      <c r="AD451">
        <v>0</v>
      </c>
      <c r="AE451">
        <v>8260</v>
      </c>
      <c r="AF451">
        <v>8260</v>
      </c>
      <c r="AG451">
        <v>0</v>
      </c>
      <c r="AH451">
        <v>252</v>
      </c>
    </row>
    <row r="452" spans="2:34" x14ac:dyDescent="0.35">
      <c r="B452" t="s">
        <v>563</v>
      </c>
      <c r="C452">
        <v>45797</v>
      </c>
      <c r="F452" t="s">
        <v>749</v>
      </c>
      <c r="H452">
        <v>99.73</v>
      </c>
      <c r="O452" t="s">
        <v>239</v>
      </c>
      <c r="P452" t="s">
        <v>514</v>
      </c>
      <c r="Y452">
        <v>418</v>
      </c>
      <c r="Z452" s="259" t="s">
        <v>630</v>
      </c>
      <c r="AA452">
        <v>150</v>
      </c>
      <c r="AB452">
        <v>14915</v>
      </c>
      <c r="AC452">
        <v>45797</v>
      </c>
      <c r="AD452">
        <v>0</v>
      </c>
      <c r="AE452">
        <v>14959.5</v>
      </c>
      <c r="AF452">
        <v>14959.5</v>
      </c>
      <c r="AG452">
        <v>0</v>
      </c>
      <c r="AH452">
        <v>44.5</v>
      </c>
    </row>
    <row r="453" spans="2:34" x14ac:dyDescent="0.35">
      <c r="B453" t="s">
        <v>563</v>
      </c>
      <c r="C453">
        <v>45797</v>
      </c>
      <c r="F453" t="s">
        <v>752</v>
      </c>
      <c r="H453">
        <v>190.8</v>
      </c>
      <c r="O453" t="s">
        <v>239</v>
      </c>
      <c r="P453" t="s">
        <v>514</v>
      </c>
      <c r="Y453">
        <v>419</v>
      </c>
      <c r="Z453" s="259" t="s">
        <v>630</v>
      </c>
      <c r="AA453">
        <v>50</v>
      </c>
      <c r="AB453">
        <v>10010</v>
      </c>
      <c r="AC453">
        <v>45797</v>
      </c>
      <c r="AD453">
        <v>0</v>
      </c>
      <c r="AE453">
        <v>9540</v>
      </c>
      <c r="AF453">
        <v>9540</v>
      </c>
      <c r="AG453">
        <v>0</v>
      </c>
      <c r="AH453">
        <v>-470</v>
      </c>
    </row>
    <row r="454" spans="2:34" x14ac:dyDescent="0.35">
      <c r="B454" t="s">
        <v>563</v>
      </c>
      <c r="C454">
        <v>45797</v>
      </c>
      <c r="F454" t="s">
        <v>754</v>
      </c>
      <c r="H454">
        <v>82.8</v>
      </c>
      <c r="O454" t="s">
        <v>239</v>
      </c>
      <c r="P454" t="s">
        <v>514</v>
      </c>
      <c r="Y454">
        <v>420</v>
      </c>
      <c r="Z454" s="259" t="s">
        <v>630</v>
      </c>
      <c r="AA454">
        <v>100</v>
      </c>
      <c r="AB454">
        <v>8008</v>
      </c>
      <c r="AC454">
        <v>45797</v>
      </c>
      <c r="AD454">
        <v>0</v>
      </c>
      <c r="AE454">
        <v>8280</v>
      </c>
      <c r="AF454">
        <v>8280</v>
      </c>
      <c r="AG454">
        <v>0</v>
      </c>
      <c r="AH454">
        <v>272</v>
      </c>
    </row>
    <row r="455" spans="2:34" x14ac:dyDescent="0.35">
      <c r="B455" t="s">
        <v>563</v>
      </c>
      <c r="C455">
        <v>45798</v>
      </c>
      <c r="F455" t="s">
        <v>749</v>
      </c>
      <c r="H455">
        <v>99.67</v>
      </c>
      <c r="O455" t="s">
        <v>239</v>
      </c>
      <c r="P455" t="s">
        <v>514</v>
      </c>
      <c r="Y455">
        <v>421</v>
      </c>
      <c r="Z455" s="259" t="s">
        <v>630</v>
      </c>
      <c r="AA455">
        <v>150</v>
      </c>
      <c r="AB455">
        <v>14915</v>
      </c>
      <c r="AC455">
        <v>45798</v>
      </c>
      <c r="AD455">
        <v>0</v>
      </c>
      <c r="AE455">
        <v>14950.5</v>
      </c>
      <c r="AF455">
        <v>14950.5</v>
      </c>
      <c r="AG455">
        <v>0</v>
      </c>
      <c r="AH455">
        <v>35.5</v>
      </c>
    </row>
    <row r="456" spans="2:34" x14ac:dyDescent="0.35">
      <c r="B456" t="s">
        <v>563</v>
      </c>
      <c r="C456">
        <v>45798</v>
      </c>
      <c r="F456" t="s">
        <v>752</v>
      </c>
      <c r="H456">
        <v>191</v>
      </c>
      <c r="O456" t="s">
        <v>239</v>
      </c>
      <c r="P456" t="s">
        <v>514</v>
      </c>
      <c r="Y456">
        <v>422</v>
      </c>
      <c r="Z456" s="259" t="s">
        <v>630</v>
      </c>
      <c r="AA456">
        <v>50</v>
      </c>
      <c r="AB456">
        <v>10010</v>
      </c>
      <c r="AC456">
        <v>45798</v>
      </c>
      <c r="AD456">
        <v>0</v>
      </c>
      <c r="AE456">
        <v>9550</v>
      </c>
      <c r="AF456">
        <v>9550</v>
      </c>
      <c r="AG456">
        <v>0</v>
      </c>
      <c r="AH456">
        <v>-460</v>
      </c>
    </row>
    <row r="457" spans="2:34" x14ac:dyDescent="0.35">
      <c r="B457" t="s">
        <v>563</v>
      </c>
      <c r="C457">
        <v>45798</v>
      </c>
      <c r="F457" t="s">
        <v>754</v>
      </c>
      <c r="H457">
        <v>83</v>
      </c>
      <c r="O457" t="s">
        <v>239</v>
      </c>
      <c r="P457" t="s">
        <v>514</v>
      </c>
      <c r="Y457">
        <v>423</v>
      </c>
      <c r="Z457" s="259" t="s">
        <v>630</v>
      </c>
      <c r="AA457">
        <v>100</v>
      </c>
      <c r="AB457">
        <v>8008</v>
      </c>
      <c r="AC457">
        <v>45798</v>
      </c>
      <c r="AD457">
        <v>0</v>
      </c>
      <c r="AE457">
        <v>8300</v>
      </c>
      <c r="AF457">
        <v>8300</v>
      </c>
      <c r="AG457">
        <v>0</v>
      </c>
      <c r="AH457">
        <v>292</v>
      </c>
    </row>
    <row r="458" spans="2:34" x14ac:dyDescent="0.35">
      <c r="B458" t="s">
        <v>563</v>
      </c>
      <c r="C458">
        <v>45799</v>
      </c>
      <c r="F458" t="s">
        <v>749</v>
      </c>
      <c r="H458">
        <v>99.6</v>
      </c>
      <c r="O458" t="s">
        <v>239</v>
      </c>
      <c r="P458" t="s">
        <v>514</v>
      </c>
      <c r="Y458">
        <v>424</v>
      </c>
      <c r="Z458" s="259" t="s">
        <v>630</v>
      </c>
      <c r="AA458">
        <v>150</v>
      </c>
      <c r="AB458">
        <v>14915</v>
      </c>
      <c r="AC458">
        <v>45799</v>
      </c>
      <c r="AD458">
        <v>0</v>
      </c>
      <c r="AE458">
        <v>14940</v>
      </c>
      <c r="AF458">
        <v>14940</v>
      </c>
      <c r="AG458">
        <v>0</v>
      </c>
      <c r="AH458">
        <v>25</v>
      </c>
    </row>
    <row r="459" spans="2:34" x14ac:dyDescent="0.35">
      <c r="B459" t="s">
        <v>563</v>
      </c>
      <c r="C459">
        <v>45799</v>
      </c>
      <c r="F459" t="s">
        <v>752</v>
      </c>
      <c r="H459">
        <v>191.2</v>
      </c>
      <c r="O459" t="s">
        <v>239</v>
      </c>
      <c r="P459" t="s">
        <v>514</v>
      </c>
      <c r="Y459">
        <v>425</v>
      </c>
      <c r="Z459" s="259" t="s">
        <v>630</v>
      </c>
      <c r="AA459">
        <v>50</v>
      </c>
      <c r="AB459">
        <v>10010</v>
      </c>
      <c r="AC459">
        <v>45799</v>
      </c>
      <c r="AD459">
        <v>0</v>
      </c>
      <c r="AE459">
        <v>9560</v>
      </c>
      <c r="AF459">
        <v>9560</v>
      </c>
      <c r="AG459">
        <v>0</v>
      </c>
      <c r="AH459">
        <v>-450</v>
      </c>
    </row>
    <row r="460" spans="2:34" x14ac:dyDescent="0.35">
      <c r="B460" t="s">
        <v>563</v>
      </c>
      <c r="C460">
        <v>45799</v>
      </c>
      <c r="F460" t="s">
        <v>754</v>
      </c>
      <c r="H460">
        <v>83.2</v>
      </c>
      <c r="O460" t="s">
        <v>239</v>
      </c>
      <c r="P460" t="s">
        <v>514</v>
      </c>
      <c r="Y460">
        <v>426</v>
      </c>
      <c r="Z460" s="259" t="s">
        <v>630</v>
      </c>
      <c r="AA460">
        <v>100</v>
      </c>
      <c r="AB460">
        <v>8008</v>
      </c>
      <c r="AC460">
        <v>45799</v>
      </c>
      <c r="AD460">
        <v>0</v>
      </c>
      <c r="AE460">
        <v>8320</v>
      </c>
      <c r="AF460">
        <v>8320</v>
      </c>
      <c r="AG460">
        <v>0</v>
      </c>
      <c r="AH460">
        <v>312</v>
      </c>
    </row>
    <row r="461" spans="2:34" x14ac:dyDescent="0.35">
      <c r="B461" t="s">
        <v>563</v>
      </c>
      <c r="C461">
        <v>45800</v>
      </c>
      <c r="F461" t="s">
        <v>749</v>
      </c>
      <c r="H461">
        <v>99.53</v>
      </c>
      <c r="O461" t="s">
        <v>239</v>
      </c>
      <c r="P461" t="s">
        <v>514</v>
      </c>
      <c r="Y461">
        <v>427</v>
      </c>
      <c r="Z461" s="259" t="s">
        <v>630</v>
      </c>
      <c r="AA461">
        <v>150</v>
      </c>
      <c r="AB461">
        <v>14915</v>
      </c>
      <c r="AC461">
        <v>45800</v>
      </c>
      <c r="AD461">
        <v>0</v>
      </c>
      <c r="AE461">
        <v>14929.5</v>
      </c>
      <c r="AF461">
        <v>14929.5</v>
      </c>
      <c r="AG461">
        <v>0</v>
      </c>
      <c r="AH461">
        <v>14.5</v>
      </c>
    </row>
    <row r="462" spans="2:34" x14ac:dyDescent="0.35">
      <c r="B462" t="s">
        <v>563</v>
      </c>
      <c r="C462">
        <v>45800</v>
      </c>
      <c r="F462" t="s">
        <v>752</v>
      </c>
      <c r="H462">
        <v>191.4</v>
      </c>
      <c r="O462" t="s">
        <v>239</v>
      </c>
      <c r="P462" t="s">
        <v>514</v>
      </c>
      <c r="Y462">
        <v>428</v>
      </c>
      <c r="Z462" s="259" t="s">
        <v>630</v>
      </c>
      <c r="AA462">
        <v>50</v>
      </c>
      <c r="AB462">
        <v>10010</v>
      </c>
      <c r="AC462">
        <v>45800</v>
      </c>
      <c r="AD462">
        <v>0</v>
      </c>
      <c r="AE462">
        <v>9570</v>
      </c>
      <c r="AF462">
        <v>9570</v>
      </c>
      <c r="AG462">
        <v>0</v>
      </c>
      <c r="AH462">
        <v>-440</v>
      </c>
    </row>
    <row r="463" spans="2:34" x14ac:dyDescent="0.35">
      <c r="B463" t="s">
        <v>563</v>
      </c>
      <c r="C463">
        <v>45800</v>
      </c>
      <c r="F463" t="s">
        <v>754</v>
      </c>
      <c r="H463">
        <v>83.4</v>
      </c>
      <c r="O463" t="s">
        <v>239</v>
      </c>
      <c r="P463" t="s">
        <v>514</v>
      </c>
      <c r="Y463">
        <v>429</v>
      </c>
      <c r="Z463" s="259" t="s">
        <v>630</v>
      </c>
      <c r="AA463">
        <v>100</v>
      </c>
      <c r="AB463">
        <v>8008</v>
      </c>
      <c r="AC463">
        <v>45800</v>
      </c>
      <c r="AD463">
        <v>0</v>
      </c>
      <c r="AE463">
        <v>8340</v>
      </c>
      <c r="AF463">
        <v>8340</v>
      </c>
      <c r="AG463">
        <v>0</v>
      </c>
      <c r="AH463">
        <v>332</v>
      </c>
    </row>
    <row r="464" spans="2:34" x14ac:dyDescent="0.35">
      <c r="B464" t="s">
        <v>563</v>
      </c>
      <c r="C464">
        <v>45801</v>
      </c>
      <c r="F464" t="s">
        <v>749</v>
      </c>
      <c r="H464">
        <v>99.53</v>
      </c>
      <c r="O464" t="s">
        <v>239</v>
      </c>
      <c r="P464" t="s">
        <v>514</v>
      </c>
      <c r="Y464">
        <v>430</v>
      </c>
      <c r="Z464" s="259" t="s">
        <v>630</v>
      </c>
      <c r="AA464">
        <v>150</v>
      </c>
      <c r="AB464">
        <v>14915</v>
      </c>
      <c r="AC464">
        <v>45800</v>
      </c>
      <c r="AD464">
        <v>1</v>
      </c>
      <c r="AE464">
        <v>14929.5</v>
      </c>
      <c r="AF464">
        <v>14929.5</v>
      </c>
      <c r="AG464">
        <v>0</v>
      </c>
      <c r="AH464">
        <v>14.5</v>
      </c>
    </row>
    <row r="465" spans="2:34" x14ac:dyDescent="0.35">
      <c r="B465" t="s">
        <v>563</v>
      </c>
      <c r="C465">
        <v>45801</v>
      </c>
      <c r="F465" t="s">
        <v>752</v>
      </c>
      <c r="H465">
        <v>191.4</v>
      </c>
      <c r="O465" t="s">
        <v>239</v>
      </c>
      <c r="P465" t="s">
        <v>514</v>
      </c>
      <c r="Y465">
        <v>431</v>
      </c>
      <c r="Z465" s="259" t="s">
        <v>630</v>
      </c>
      <c r="AA465">
        <v>50</v>
      </c>
      <c r="AB465">
        <v>10010</v>
      </c>
      <c r="AC465">
        <v>45800</v>
      </c>
      <c r="AD465">
        <v>1</v>
      </c>
      <c r="AE465">
        <v>9570</v>
      </c>
      <c r="AF465">
        <v>9570</v>
      </c>
      <c r="AG465">
        <v>0</v>
      </c>
      <c r="AH465">
        <v>-440</v>
      </c>
    </row>
    <row r="466" spans="2:34" x14ac:dyDescent="0.35">
      <c r="B466" t="s">
        <v>563</v>
      </c>
      <c r="C466">
        <v>45801</v>
      </c>
      <c r="F466" t="s">
        <v>754</v>
      </c>
      <c r="H466">
        <v>83.4</v>
      </c>
      <c r="O466" t="s">
        <v>239</v>
      </c>
      <c r="P466" t="s">
        <v>514</v>
      </c>
      <c r="Y466">
        <v>432</v>
      </c>
      <c r="Z466" s="259" t="s">
        <v>630</v>
      </c>
      <c r="AA466">
        <v>100</v>
      </c>
      <c r="AB466">
        <v>8008</v>
      </c>
      <c r="AC466">
        <v>45800</v>
      </c>
      <c r="AD466">
        <v>1</v>
      </c>
      <c r="AE466">
        <v>8340</v>
      </c>
      <c r="AF466">
        <v>8340</v>
      </c>
      <c r="AG466">
        <v>0</v>
      </c>
      <c r="AH466">
        <v>332</v>
      </c>
    </row>
    <row r="467" spans="2:34" x14ac:dyDescent="0.35">
      <c r="B467" t="s">
        <v>563</v>
      </c>
      <c r="C467">
        <v>45802</v>
      </c>
      <c r="F467" t="s">
        <v>749</v>
      </c>
      <c r="H467">
        <v>99.53</v>
      </c>
      <c r="O467" t="s">
        <v>239</v>
      </c>
      <c r="P467" t="s">
        <v>514</v>
      </c>
      <c r="Y467">
        <v>433</v>
      </c>
      <c r="Z467" s="259" t="s">
        <v>630</v>
      </c>
      <c r="AA467">
        <v>150</v>
      </c>
      <c r="AB467">
        <v>14915</v>
      </c>
      <c r="AC467">
        <v>45800</v>
      </c>
      <c r="AD467">
        <v>2</v>
      </c>
      <c r="AE467">
        <v>14929.5</v>
      </c>
      <c r="AF467">
        <v>14929.5</v>
      </c>
      <c r="AG467">
        <v>0</v>
      </c>
      <c r="AH467">
        <v>14.5</v>
      </c>
    </row>
    <row r="468" spans="2:34" x14ac:dyDescent="0.35">
      <c r="B468" t="s">
        <v>563</v>
      </c>
      <c r="C468">
        <v>45802</v>
      </c>
      <c r="F468" t="s">
        <v>752</v>
      </c>
      <c r="H468">
        <v>191.4</v>
      </c>
      <c r="O468" t="s">
        <v>239</v>
      </c>
      <c r="P468" t="s">
        <v>514</v>
      </c>
      <c r="Y468">
        <v>434</v>
      </c>
      <c r="Z468" s="259" t="s">
        <v>630</v>
      </c>
      <c r="AA468">
        <v>50</v>
      </c>
      <c r="AB468">
        <v>10010</v>
      </c>
      <c r="AC468">
        <v>45800</v>
      </c>
      <c r="AD468">
        <v>2</v>
      </c>
      <c r="AE468">
        <v>9570</v>
      </c>
      <c r="AF468">
        <v>9570</v>
      </c>
      <c r="AG468">
        <v>0</v>
      </c>
      <c r="AH468">
        <v>-440</v>
      </c>
    </row>
    <row r="469" spans="2:34" x14ac:dyDescent="0.35">
      <c r="B469" t="s">
        <v>563</v>
      </c>
      <c r="C469">
        <v>45802</v>
      </c>
      <c r="F469" t="s">
        <v>754</v>
      </c>
      <c r="H469">
        <v>83.4</v>
      </c>
      <c r="O469" t="s">
        <v>239</v>
      </c>
      <c r="P469" t="s">
        <v>514</v>
      </c>
      <c r="Y469">
        <v>435</v>
      </c>
      <c r="Z469" s="259" t="s">
        <v>630</v>
      </c>
      <c r="AA469">
        <v>100</v>
      </c>
      <c r="AB469">
        <v>8008</v>
      </c>
      <c r="AC469">
        <v>45800</v>
      </c>
      <c r="AD469">
        <v>2</v>
      </c>
      <c r="AE469">
        <v>8340</v>
      </c>
      <c r="AF469">
        <v>8340</v>
      </c>
      <c r="AG469">
        <v>0</v>
      </c>
      <c r="AH469">
        <v>332</v>
      </c>
    </row>
    <row r="470" spans="2:34" x14ac:dyDescent="0.35">
      <c r="B470" t="s">
        <v>563</v>
      </c>
      <c r="C470">
        <v>45803</v>
      </c>
      <c r="F470" t="s">
        <v>749</v>
      </c>
      <c r="H470">
        <v>99.33</v>
      </c>
      <c r="O470" t="s">
        <v>239</v>
      </c>
      <c r="P470" t="s">
        <v>514</v>
      </c>
      <c r="Y470">
        <v>436</v>
      </c>
      <c r="Z470" s="259" t="s">
        <v>630</v>
      </c>
      <c r="AA470">
        <v>150</v>
      </c>
      <c r="AB470">
        <v>14915</v>
      </c>
      <c r="AC470">
        <v>45803</v>
      </c>
      <c r="AD470">
        <v>0</v>
      </c>
      <c r="AE470">
        <v>14899.5</v>
      </c>
      <c r="AF470">
        <v>14899.5</v>
      </c>
      <c r="AG470">
        <v>0</v>
      </c>
      <c r="AH470">
        <v>-15.5</v>
      </c>
    </row>
    <row r="471" spans="2:34" x14ac:dyDescent="0.35">
      <c r="B471" t="s">
        <v>563</v>
      </c>
      <c r="C471">
        <v>45803</v>
      </c>
      <c r="F471" t="s">
        <v>752</v>
      </c>
      <c r="H471">
        <v>192</v>
      </c>
      <c r="O471" t="s">
        <v>239</v>
      </c>
      <c r="P471" t="s">
        <v>514</v>
      </c>
      <c r="Y471">
        <v>437</v>
      </c>
      <c r="Z471" s="259" t="s">
        <v>630</v>
      </c>
      <c r="AA471">
        <v>50</v>
      </c>
      <c r="AB471">
        <v>10010</v>
      </c>
      <c r="AC471">
        <v>45803</v>
      </c>
      <c r="AD471">
        <v>0</v>
      </c>
      <c r="AE471">
        <v>9600</v>
      </c>
      <c r="AF471">
        <v>9600</v>
      </c>
      <c r="AG471">
        <v>0</v>
      </c>
      <c r="AH471">
        <v>-410</v>
      </c>
    </row>
    <row r="472" spans="2:34" x14ac:dyDescent="0.35">
      <c r="B472" t="s">
        <v>563</v>
      </c>
      <c r="C472">
        <v>45803</v>
      </c>
      <c r="F472" t="s">
        <v>754</v>
      </c>
      <c r="H472">
        <v>84</v>
      </c>
      <c r="O472" t="s">
        <v>239</v>
      </c>
      <c r="P472" t="s">
        <v>514</v>
      </c>
      <c r="Y472">
        <v>438</v>
      </c>
      <c r="Z472" s="259" t="s">
        <v>630</v>
      </c>
      <c r="AA472">
        <v>100</v>
      </c>
      <c r="AB472">
        <v>8008</v>
      </c>
      <c r="AC472">
        <v>45803</v>
      </c>
      <c r="AD472">
        <v>0</v>
      </c>
      <c r="AE472">
        <v>8400</v>
      </c>
      <c r="AF472">
        <v>8400</v>
      </c>
      <c r="AG472">
        <v>0</v>
      </c>
      <c r="AH472">
        <v>392</v>
      </c>
    </row>
    <row r="473" spans="2:34" x14ac:dyDescent="0.35">
      <c r="B473" t="s">
        <v>563</v>
      </c>
      <c r="C473">
        <v>45804</v>
      </c>
      <c r="F473" t="s">
        <v>749</v>
      </c>
      <c r="H473">
        <v>99.27</v>
      </c>
      <c r="O473" t="s">
        <v>239</v>
      </c>
      <c r="P473" t="s">
        <v>514</v>
      </c>
      <c r="Y473">
        <v>439</v>
      </c>
      <c r="Z473" s="259" t="s">
        <v>630</v>
      </c>
      <c r="AA473">
        <v>150</v>
      </c>
      <c r="AB473">
        <v>14915</v>
      </c>
      <c r="AC473">
        <v>45804</v>
      </c>
      <c r="AD473">
        <v>0</v>
      </c>
      <c r="AE473">
        <v>14890.5</v>
      </c>
      <c r="AF473">
        <v>14890.5</v>
      </c>
      <c r="AG473">
        <v>0</v>
      </c>
      <c r="AH473">
        <v>-24.5</v>
      </c>
    </row>
    <row r="474" spans="2:34" x14ac:dyDescent="0.35">
      <c r="B474" t="s">
        <v>563</v>
      </c>
      <c r="C474">
        <v>45804</v>
      </c>
      <c r="F474" t="s">
        <v>752</v>
      </c>
      <c r="H474">
        <v>192.2</v>
      </c>
      <c r="O474" t="s">
        <v>239</v>
      </c>
      <c r="P474" t="s">
        <v>514</v>
      </c>
      <c r="Y474">
        <v>440</v>
      </c>
      <c r="Z474" s="259" t="s">
        <v>630</v>
      </c>
      <c r="AA474">
        <v>50</v>
      </c>
      <c r="AB474">
        <v>10010</v>
      </c>
      <c r="AC474">
        <v>45804</v>
      </c>
      <c r="AD474">
        <v>0</v>
      </c>
      <c r="AE474">
        <v>9610</v>
      </c>
      <c r="AF474">
        <v>9610</v>
      </c>
      <c r="AG474">
        <v>0</v>
      </c>
      <c r="AH474">
        <v>-400</v>
      </c>
    </row>
    <row r="475" spans="2:34" x14ac:dyDescent="0.35">
      <c r="B475" t="s">
        <v>563</v>
      </c>
      <c r="C475">
        <v>45804</v>
      </c>
      <c r="F475" t="s">
        <v>754</v>
      </c>
      <c r="H475">
        <v>84.2</v>
      </c>
      <c r="O475" t="s">
        <v>239</v>
      </c>
      <c r="P475" t="s">
        <v>514</v>
      </c>
      <c r="Y475">
        <v>441</v>
      </c>
      <c r="Z475" s="259" t="s">
        <v>630</v>
      </c>
      <c r="AA475">
        <v>100</v>
      </c>
      <c r="AB475">
        <v>8008</v>
      </c>
      <c r="AC475">
        <v>45804</v>
      </c>
      <c r="AD475">
        <v>0</v>
      </c>
      <c r="AE475">
        <v>8420</v>
      </c>
      <c r="AF475">
        <v>8420</v>
      </c>
      <c r="AG475">
        <v>0</v>
      </c>
      <c r="AH475">
        <v>412</v>
      </c>
    </row>
    <row r="476" spans="2:34" x14ac:dyDescent="0.35">
      <c r="B476" t="s">
        <v>563</v>
      </c>
      <c r="C476">
        <v>45805</v>
      </c>
      <c r="F476" t="s">
        <v>749</v>
      </c>
      <c r="H476">
        <v>99.2</v>
      </c>
      <c r="O476" t="s">
        <v>239</v>
      </c>
      <c r="P476" t="s">
        <v>514</v>
      </c>
      <c r="Y476">
        <v>442</v>
      </c>
      <c r="Z476" s="259" t="s">
        <v>630</v>
      </c>
      <c r="AA476">
        <v>150</v>
      </c>
      <c r="AB476">
        <v>14915</v>
      </c>
      <c r="AC476">
        <v>45805</v>
      </c>
      <c r="AD476">
        <v>0</v>
      </c>
      <c r="AE476">
        <v>14880</v>
      </c>
      <c r="AF476">
        <v>14880</v>
      </c>
      <c r="AG476">
        <v>0</v>
      </c>
      <c r="AH476">
        <v>-35</v>
      </c>
    </row>
    <row r="477" spans="2:34" x14ac:dyDescent="0.35">
      <c r="B477" t="s">
        <v>563</v>
      </c>
      <c r="C477">
        <v>45805</v>
      </c>
      <c r="F477" t="s">
        <v>752</v>
      </c>
      <c r="H477">
        <v>192.4</v>
      </c>
      <c r="O477" t="s">
        <v>239</v>
      </c>
      <c r="P477" t="s">
        <v>514</v>
      </c>
      <c r="Y477">
        <v>443</v>
      </c>
      <c r="Z477" s="259" t="s">
        <v>630</v>
      </c>
      <c r="AA477">
        <v>50</v>
      </c>
      <c r="AB477">
        <v>10010</v>
      </c>
      <c r="AC477">
        <v>45805</v>
      </c>
      <c r="AD477">
        <v>0</v>
      </c>
      <c r="AE477">
        <v>9620</v>
      </c>
      <c r="AF477">
        <v>9620</v>
      </c>
      <c r="AG477">
        <v>0</v>
      </c>
      <c r="AH477">
        <v>-390</v>
      </c>
    </row>
    <row r="478" spans="2:34" x14ac:dyDescent="0.35">
      <c r="B478" t="s">
        <v>563</v>
      </c>
      <c r="C478">
        <v>45805</v>
      </c>
      <c r="F478" t="s">
        <v>754</v>
      </c>
      <c r="H478">
        <v>84.4</v>
      </c>
      <c r="O478" t="s">
        <v>239</v>
      </c>
      <c r="P478" t="s">
        <v>514</v>
      </c>
      <c r="Y478">
        <v>444</v>
      </c>
      <c r="Z478" s="259" t="s">
        <v>630</v>
      </c>
      <c r="AA478">
        <v>100</v>
      </c>
      <c r="AB478">
        <v>8008</v>
      </c>
      <c r="AC478">
        <v>45805</v>
      </c>
      <c r="AD478">
        <v>0</v>
      </c>
      <c r="AE478">
        <v>8440</v>
      </c>
      <c r="AF478">
        <v>8440</v>
      </c>
      <c r="AG478">
        <v>0</v>
      </c>
      <c r="AH478">
        <v>432</v>
      </c>
    </row>
    <row r="479" spans="2:34" x14ac:dyDescent="0.35">
      <c r="B479" t="s">
        <v>563</v>
      </c>
      <c r="C479">
        <v>45806</v>
      </c>
      <c r="F479" t="s">
        <v>749</v>
      </c>
      <c r="H479">
        <v>99.13</v>
      </c>
      <c r="O479" t="s">
        <v>239</v>
      </c>
      <c r="P479" t="s">
        <v>514</v>
      </c>
      <c r="Y479">
        <v>445</v>
      </c>
      <c r="Z479" s="259" t="s">
        <v>630</v>
      </c>
      <c r="AA479">
        <v>150</v>
      </c>
      <c r="AB479">
        <v>14915</v>
      </c>
      <c r="AC479">
        <v>45806</v>
      </c>
      <c r="AD479">
        <v>0</v>
      </c>
      <c r="AE479">
        <v>14869.5</v>
      </c>
      <c r="AF479">
        <v>14869.5</v>
      </c>
      <c r="AG479">
        <v>0</v>
      </c>
      <c r="AH479">
        <v>-45.5</v>
      </c>
    </row>
    <row r="480" spans="2:34" x14ac:dyDescent="0.35">
      <c r="B480" t="s">
        <v>563</v>
      </c>
      <c r="C480">
        <v>45806</v>
      </c>
      <c r="F480" t="s">
        <v>752</v>
      </c>
      <c r="H480">
        <v>192.6</v>
      </c>
      <c r="O480" t="s">
        <v>239</v>
      </c>
      <c r="P480" t="s">
        <v>514</v>
      </c>
      <c r="Y480">
        <v>446</v>
      </c>
      <c r="Z480" s="259" t="s">
        <v>630</v>
      </c>
      <c r="AA480">
        <v>50</v>
      </c>
      <c r="AB480">
        <v>10010</v>
      </c>
      <c r="AC480">
        <v>45806</v>
      </c>
      <c r="AD480">
        <v>0</v>
      </c>
      <c r="AE480">
        <v>9630</v>
      </c>
      <c r="AF480">
        <v>9630</v>
      </c>
      <c r="AG480">
        <v>0</v>
      </c>
      <c r="AH480">
        <v>-380</v>
      </c>
    </row>
    <row r="481" spans="2:34" x14ac:dyDescent="0.35">
      <c r="B481" t="s">
        <v>563</v>
      </c>
      <c r="C481">
        <v>45806</v>
      </c>
      <c r="F481" t="s">
        <v>754</v>
      </c>
      <c r="H481">
        <v>84.6</v>
      </c>
      <c r="O481" t="s">
        <v>239</v>
      </c>
      <c r="P481" t="s">
        <v>514</v>
      </c>
      <c r="Y481">
        <v>447</v>
      </c>
      <c r="Z481" s="259" t="s">
        <v>630</v>
      </c>
      <c r="AA481">
        <v>100</v>
      </c>
      <c r="AB481">
        <v>8008</v>
      </c>
      <c r="AC481">
        <v>45806</v>
      </c>
      <c r="AD481">
        <v>0</v>
      </c>
      <c r="AE481">
        <v>8460</v>
      </c>
      <c r="AF481">
        <v>8460</v>
      </c>
      <c r="AG481">
        <v>0</v>
      </c>
      <c r="AH481">
        <v>452</v>
      </c>
    </row>
    <row r="482" spans="2:34" x14ac:dyDescent="0.35">
      <c r="B482" t="s">
        <v>563</v>
      </c>
      <c r="C482">
        <v>45807</v>
      </c>
      <c r="F482" t="s">
        <v>749</v>
      </c>
      <c r="H482">
        <v>99.07</v>
      </c>
      <c r="O482" t="s">
        <v>239</v>
      </c>
      <c r="P482" t="s">
        <v>514</v>
      </c>
      <c r="Y482">
        <v>448</v>
      </c>
      <c r="Z482" s="259" t="s">
        <v>630</v>
      </c>
      <c r="AA482">
        <v>150</v>
      </c>
      <c r="AB482">
        <v>14915</v>
      </c>
      <c r="AC482">
        <v>45807</v>
      </c>
      <c r="AD482">
        <v>0</v>
      </c>
      <c r="AE482">
        <v>14860.499999999998</v>
      </c>
      <c r="AF482">
        <v>14860.499999999998</v>
      </c>
      <c r="AG482">
        <v>0</v>
      </c>
      <c r="AH482">
        <v>-54.500000000001819</v>
      </c>
    </row>
    <row r="483" spans="2:34" x14ac:dyDescent="0.35">
      <c r="B483" t="s">
        <v>563</v>
      </c>
      <c r="C483">
        <v>45807</v>
      </c>
      <c r="F483" t="s">
        <v>752</v>
      </c>
      <c r="H483">
        <v>192.8</v>
      </c>
      <c r="O483" t="s">
        <v>239</v>
      </c>
      <c r="P483" t="s">
        <v>514</v>
      </c>
      <c r="Y483">
        <v>449</v>
      </c>
      <c r="Z483" s="259" t="s">
        <v>630</v>
      </c>
      <c r="AA483">
        <v>50</v>
      </c>
      <c r="AB483">
        <v>10010</v>
      </c>
      <c r="AC483">
        <v>45807</v>
      </c>
      <c r="AD483">
        <v>0</v>
      </c>
      <c r="AE483">
        <v>9640</v>
      </c>
      <c r="AF483">
        <v>9640</v>
      </c>
      <c r="AG483">
        <v>0</v>
      </c>
      <c r="AH483">
        <v>-370</v>
      </c>
    </row>
    <row r="484" spans="2:34" x14ac:dyDescent="0.35">
      <c r="B484" t="s">
        <v>563</v>
      </c>
      <c r="C484">
        <v>45807</v>
      </c>
      <c r="F484" t="s">
        <v>754</v>
      </c>
      <c r="H484">
        <v>84.8</v>
      </c>
      <c r="O484" t="s">
        <v>239</v>
      </c>
      <c r="P484" t="s">
        <v>514</v>
      </c>
      <c r="Y484">
        <v>450</v>
      </c>
      <c r="Z484" s="259" t="s">
        <v>630</v>
      </c>
      <c r="AA484">
        <v>100</v>
      </c>
      <c r="AB484">
        <v>8008</v>
      </c>
      <c r="AC484">
        <v>45807</v>
      </c>
      <c r="AD484">
        <v>0</v>
      </c>
      <c r="AE484">
        <v>8480</v>
      </c>
      <c r="AF484">
        <v>8480</v>
      </c>
      <c r="AG484">
        <v>0</v>
      </c>
      <c r="AH484">
        <v>472</v>
      </c>
    </row>
    <row r="485" spans="2:34" x14ac:dyDescent="0.35">
      <c r="B485" t="s">
        <v>563</v>
      </c>
      <c r="C485">
        <v>45808</v>
      </c>
      <c r="F485" t="s">
        <v>749</v>
      </c>
      <c r="H485">
        <v>99.07</v>
      </c>
      <c r="O485" t="s">
        <v>239</v>
      </c>
      <c r="P485" t="s">
        <v>514</v>
      </c>
      <c r="Y485">
        <v>451</v>
      </c>
      <c r="Z485" s="259" t="s">
        <v>630</v>
      </c>
      <c r="AA485">
        <v>150</v>
      </c>
      <c r="AB485">
        <v>14915</v>
      </c>
      <c r="AC485">
        <v>45807</v>
      </c>
      <c r="AD485">
        <v>1</v>
      </c>
      <c r="AE485">
        <v>14860.499999999998</v>
      </c>
      <c r="AF485">
        <v>14860.499999999998</v>
      </c>
      <c r="AG485">
        <v>0</v>
      </c>
      <c r="AH485">
        <v>-54.500000000001819</v>
      </c>
    </row>
    <row r="486" spans="2:34" x14ac:dyDescent="0.35">
      <c r="B486" t="s">
        <v>563</v>
      </c>
      <c r="C486">
        <v>45808</v>
      </c>
      <c r="F486" t="s">
        <v>752</v>
      </c>
      <c r="H486">
        <v>192.8</v>
      </c>
      <c r="O486" t="s">
        <v>239</v>
      </c>
      <c r="P486" t="s">
        <v>514</v>
      </c>
      <c r="Y486">
        <v>452</v>
      </c>
      <c r="Z486" s="259" t="s">
        <v>630</v>
      </c>
      <c r="AA486">
        <v>50</v>
      </c>
      <c r="AB486">
        <v>10010</v>
      </c>
      <c r="AC486">
        <v>45807</v>
      </c>
      <c r="AD486">
        <v>1</v>
      </c>
      <c r="AE486">
        <v>9640</v>
      </c>
      <c r="AF486">
        <v>9640</v>
      </c>
      <c r="AG486">
        <v>0</v>
      </c>
      <c r="AH486">
        <v>-370</v>
      </c>
    </row>
    <row r="487" spans="2:34" x14ac:dyDescent="0.35">
      <c r="B487" t="s">
        <v>563</v>
      </c>
      <c r="C487">
        <v>45808</v>
      </c>
      <c r="F487" t="s">
        <v>754</v>
      </c>
      <c r="H487">
        <v>84.8</v>
      </c>
      <c r="O487" t="s">
        <v>239</v>
      </c>
      <c r="P487" t="s">
        <v>514</v>
      </c>
      <c r="Y487">
        <v>453</v>
      </c>
      <c r="Z487" s="259" t="s">
        <v>630</v>
      </c>
      <c r="AA487">
        <v>100</v>
      </c>
      <c r="AB487">
        <v>8008</v>
      </c>
      <c r="AC487">
        <v>45807</v>
      </c>
      <c r="AD487">
        <v>1</v>
      </c>
      <c r="AE487">
        <v>8480</v>
      </c>
      <c r="AF487">
        <v>8480</v>
      </c>
      <c r="AG487">
        <v>0</v>
      </c>
      <c r="AH487">
        <v>472</v>
      </c>
    </row>
    <row r="488" spans="2:34" x14ac:dyDescent="0.35">
      <c r="B488" t="s">
        <v>563</v>
      </c>
      <c r="C488">
        <v>45809</v>
      </c>
      <c r="F488" t="s">
        <v>749</v>
      </c>
      <c r="H488">
        <v>99.07</v>
      </c>
      <c r="O488" t="s">
        <v>239</v>
      </c>
      <c r="P488" t="s">
        <v>514</v>
      </c>
      <c r="Y488">
        <v>454</v>
      </c>
      <c r="Z488" s="259" t="s">
        <v>630</v>
      </c>
      <c r="AA488">
        <v>150</v>
      </c>
      <c r="AB488">
        <v>14915</v>
      </c>
      <c r="AC488">
        <v>45807</v>
      </c>
      <c r="AD488">
        <v>2</v>
      </c>
      <c r="AE488">
        <v>14860.499999999998</v>
      </c>
      <c r="AF488">
        <v>14860.499999999998</v>
      </c>
      <c r="AG488">
        <v>0</v>
      </c>
      <c r="AH488">
        <v>-54.500000000001819</v>
      </c>
    </row>
    <row r="489" spans="2:34" x14ac:dyDescent="0.35">
      <c r="B489" t="s">
        <v>563</v>
      </c>
      <c r="C489">
        <v>45809</v>
      </c>
      <c r="F489" t="s">
        <v>752</v>
      </c>
      <c r="H489">
        <v>192.8</v>
      </c>
      <c r="O489" t="s">
        <v>239</v>
      </c>
      <c r="P489" t="s">
        <v>514</v>
      </c>
      <c r="Y489">
        <v>455</v>
      </c>
      <c r="Z489" s="259" t="s">
        <v>630</v>
      </c>
      <c r="AA489">
        <v>50</v>
      </c>
      <c r="AB489">
        <v>10010</v>
      </c>
      <c r="AC489">
        <v>45807</v>
      </c>
      <c r="AD489">
        <v>2</v>
      </c>
      <c r="AE489">
        <v>9640</v>
      </c>
      <c r="AF489">
        <v>9640</v>
      </c>
      <c r="AG489">
        <v>0</v>
      </c>
      <c r="AH489">
        <v>-370</v>
      </c>
    </row>
    <row r="490" spans="2:34" x14ac:dyDescent="0.35">
      <c r="B490" t="s">
        <v>563</v>
      </c>
      <c r="C490">
        <v>45809</v>
      </c>
      <c r="F490" t="s">
        <v>754</v>
      </c>
      <c r="H490">
        <v>84.8</v>
      </c>
      <c r="O490" t="s">
        <v>239</v>
      </c>
      <c r="P490" t="s">
        <v>514</v>
      </c>
      <c r="Y490">
        <v>456</v>
      </c>
      <c r="Z490" s="259" t="s">
        <v>630</v>
      </c>
      <c r="AA490">
        <v>100</v>
      </c>
      <c r="AB490">
        <v>8008</v>
      </c>
      <c r="AC490">
        <v>45807</v>
      </c>
      <c r="AD490">
        <v>2</v>
      </c>
      <c r="AE490">
        <v>8480</v>
      </c>
      <c r="AF490">
        <v>8480</v>
      </c>
      <c r="AG490">
        <v>0</v>
      </c>
      <c r="AH490">
        <v>472</v>
      </c>
    </row>
    <row r="491" spans="2:34" x14ac:dyDescent="0.35">
      <c r="B491" t="s">
        <v>563</v>
      </c>
      <c r="C491">
        <v>45810</v>
      </c>
      <c r="F491" t="s">
        <v>749</v>
      </c>
      <c r="H491">
        <v>99.41</v>
      </c>
      <c r="O491" t="s">
        <v>239</v>
      </c>
      <c r="P491" t="s">
        <v>514</v>
      </c>
      <c r="Y491">
        <v>457</v>
      </c>
      <c r="Z491" s="259" t="s">
        <v>630</v>
      </c>
      <c r="AA491">
        <v>150</v>
      </c>
      <c r="AB491">
        <v>14915</v>
      </c>
      <c r="AC491">
        <v>45810</v>
      </c>
      <c r="AD491">
        <v>0</v>
      </c>
      <c r="AE491">
        <v>14911.5</v>
      </c>
      <c r="AF491">
        <v>14911.5</v>
      </c>
      <c r="AG491">
        <v>0</v>
      </c>
      <c r="AH491">
        <v>-3.5</v>
      </c>
    </row>
    <row r="492" spans="2:34" x14ac:dyDescent="0.35">
      <c r="B492" t="s">
        <v>563</v>
      </c>
      <c r="C492">
        <v>45810</v>
      </c>
      <c r="F492" t="s">
        <v>752</v>
      </c>
      <c r="H492">
        <v>192.62</v>
      </c>
      <c r="O492" t="s">
        <v>239</v>
      </c>
      <c r="P492" t="s">
        <v>514</v>
      </c>
      <c r="Y492">
        <v>458</v>
      </c>
      <c r="Z492" s="259" t="s">
        <v>630</v>
      </c>
      <c r="AA492">
        <v>50</v>
      </c>
      <c r="AB492">
        <v>10010</v>
      </c>
      <c r="AC492">
        <v>45810</v>
      </c>
      <c r="AD492">
        <v>0</v>
      </c>
      <c r="AE492">
        <v>9631</v>
      </c>
      <c r="AF492">
        <v>9631</v>
      </c>
      <c r="AG492">
        <v>0</v>
      </c>
      <c r="AH492">
        <v>-379</v>
      </c>
    </row>
    <row r="493" spans="2:34" x14ac:dyDescent="0.35">
      <c r="B493" t="s">
        <v>563</v>
      </c>
      <c r="C493">
        <v>45810</v>
      </c>
      <c r="F493" t="s">
        <v>754</v>
      </c>
      <c r="H493">
        <v>84.86</v>
      </c>
      <c r="O493" t="s">
        <v>239</v>
      </c>
      <c r="P493" t="s">
        <v>514</v>
      </c>
      <c r="Y493">
        <v>459</v>
      </c>
      <c r="Z493" s="259" t="s">
        <v>630</v>
      </c>
      <c r="AA493">
        <v>100</v>
      </c>
      <c r="AB493">
        <v>8008</v>
      </c>
      <c r="AC493">
        <v>45810</v>
      </c>
      <c r="AD493">
        <v>0</v>
      </c>
      <c r="AE493">
        <v>8486</v>
      </c>
      <c r="AF493">
        <v>8486</v>
      </c>
      <c r="AG493">
        <v>0</v>
      </c>
      <c r="AH493">
        <v>478</v>
      </c>
    </row>
    <row r="494" spans="2:34" x14ac:dyDescent="0.35">
      <c r="B494" t="s">
        <v>563</v>
      </c>
      <c r="C494">
        <v>45811</v>
      </c>
      <c r="F494" t="s">
        <v>749</v>
      </c>
      <c r="H494">
        <v>99.83</v>
      </c>
      <c r="O494" t="s">
        <v>239</v>
      </c>
      <c r="P494" t="s">
        <v>514</v>
      </c>
      <c r="Y494">
        <v>460</v>
      </c>
      <c r="Z494" s="259" t="s">
        <v>630</v>
      </c>
      <c r="AA494">
        <v>150</v>
      </c>
      <c r="AB494">
        <v>14915</v>
      </c>
      <c r="AC494">
        <v>45811</v>
      </c>
      <c r="AD494">
        <v>0</v>
      </c>
      <c r="AE494">
        <v>14974.5</v>
      </c>
      <c r="AF494">
        <v>14974.5</v>
      </c>
      <c r="AG494">
        <v>0</v>
      </c>
      <c r="AH494">
        <v>59.5</v>
      </c>
    </row>
    <row r="495" spans="2:34" x14ac:dyDescent="0.35">
      <c r="B495" t="s">
        <v>563</v>
      </c>
      <c r="C495">
        <v>45811</v>
      </c>
      <c r="F495" t="s">
        <v>752</v>
      </c>
      <c r="H495">
        <v>192.24</v>
      </c>
      <c r="O495" t="s">
        <v>239</v>
      </c>
      <c r="P495" t="s">
        <v>514</v>
      </c>
      <c r="Y495">
        <v>461</v>
      </c>
      <c r="Z495" s="259" t="s">
        <v>630</v>
      </c>
      <c r="AA495">
        <v>50</v>
      </c>
      <c r="AB495">
        <v>10010</v>
      </c>
      <c r="AC495">
        <v>45811</v>
      </c>
      <c r="AD495">
        <v>0</v>
      </c>
      <c r="AE495">
        <v>9612</v>
      </c>
      <c r="AF495">
        <v>9612</v>
      </c>
      <c r="AG495">
        <v>0</v>
      </c>
      <c r="AH495">
        <v>-398</v>
      </c>
    </row>
    <row r="496" spans="2:34" x14ac:dyDescent="0.35">
      <c r="B496" t="s">
        <v>563</v>
      </c>
      <c r="C496">
        <v>45811</v>
      </c>
      <c r="F496" t="s">
        <v>754</v>
      </c>
      <c r="H496">
        <v>84.72</v>
      </c>
      <c r="O496" t="s">
        <v>239</v>
      </c>
      <c r="P496" t="s">
        <v>514</v>
      </c>
      <c r="Y496">
        <v>462</v>
      </c>
      <c r="Z496" s="259" t="s">
        <v>630</v>
      </c>
      <c r="AA496">
        <v>100</v>
      </c>
      <c r="AB496">
        <v>8008</v>
      </c>
      <c r="AC496">
        <v>45811</v>
      </c>
      <c r="AD496">
        <v>0</v>
      </c>
      <c r="AE496">
        <v>8472</v>
      </c>
      <c r="AF496">
        <v>8472</v>
      </c>
      <c r="AG496">
        <v>0</v>
      </c>
      <c r="AH496">
        <v>464</v>
      </c>
    </row>
    <row r="497" spans="2:34" x14ac:dyDescent="0.35">
      <c r="B497" t="s">
        <v>563</v>
      </c>
      <c r="C497">
        <v>45812</v>
      </c>
      <c r="F497" t="s">
        <v>749</v>
      </c>
      <c r="H497">
        <v>100.24</v>
      </c>
      <c r="O497" t="s">
        <v>239</v>
      </c>
      <c r="P497" t="s">
        <v>514</v>
      </c>
      <c r="Y497">
        <v>463</v>
      </c>
      <c r="Z497" s="259" t="s">
        <v>630</v>
      </c>
      <c r="AA497">
        <v>150</v>
      </c>
      <c r="AB497">
        <v>14915</v>
      </c>
      <c r="AC497">
        <v>45812</v>
      </c>
      <c r="AD497">
        <v>0</v>
      </c>
      <c r="AE497">
        <v>15036</v>
      </c>
      <c r="AF497">
        <v>15036</v>
      </c>
      <c r="AG497">
        <v>0</v>
      </c>
      <c r="AH497">
        <v>121</v>
      </c>
    </row>
    <row r="498" spans="2:34" x14ac:dyDescent="0.35">
      <c r="B498" t="s">
        <v>563</v>
      </c>
      <c r="C498">
        <v>45812</v>
      </c>
      <c r="F498" t="s">
        <v>752</v>
      </c>
      <c r="H498">
        <v>191.86</v>
      </c>
      <c r="O498" t="s">
        <v>239</v>
      </c>
      <c r="P498" t="s">
        <v>514</v>
      </c>
      <c r="Y498">
        <v>464</v>
      </c>
      <c r="Z498" s="259" t="s">
        <v>630</v>
      </c>
      <c r="AA498">
        <v>50</v>
      </c>
      <c r="AB498">
        <v>10010</v>
      </c>
      <c r="AC498">
        <v>45812</v>
      </c>
      <c r="AD498">
        <v>0</v>
      </c>
      <c r="AE498">
        <v>9593</v>
      </c>
      <c r="AF498">
        <v>9593</v>
      </c>
      <c r="AG498">
        <v>0</v>
      </c>
      <c r="AH498">
        <v>-417</v>
      </c>
    </row>
    <row r="499" spans="2:34" x14ac:dyDescent="0.35">
      <c r="B499" t="s">
        <v>563</v>
      </c>
      <c r="C499">
        <v>45812</v>
      </c>
      <c r="F499" t="s">
        <v>754</v>
      </c>
      <c r="H499">
        <v>84.59</v>
      </c>
      <c r="O499" t="s">
        <v>239</v>
      </c>
      <c r="P499" t="s">
        <v>514</v>
      </c>
      <c r="Y499">
        <v>465</v>
      </c>
      <c r="Z499" s="259" t="s">
        <v>630</v>
      </c>
      <c r="AA499">
        <v>100</v>
      </c>
      <c r="AB499">
        <v>8008</v>
      </c>
      <c r="AC499">
        <v>45812</v>
      </c>
      <c r="AD499">
        <v>0</v>
      </c>
      <c r="AE499">
        <v>8459</v>
      </c>
      <c r="AF499">
        <v>8459</v>
      </c>
      <c r="AG499">
        <v>0</v>
      </c>
      <c r="AH499">
        <v>451</v>
      </c>
    </row>
    <row r="500" spans="2:34" x14ac:dyDescent="0.35">
      <c r="B500" t="s">
        <v>563</v>
      </c>
      <c r="C500">
        <v>45813</v>
      </c>
      <c r="F500" t="s">
        <v>749</v>
      </c>
      <c r="H500">
        <v>100.66</v>
      </c>
      <c r="O500" t="s">
        <v>239</v>
      </c>
      <c r="P500" t="s">
        <v>514</v>
      </c>
      <c r="Y500">
        <v>466</v>
      </c>
      <c r="Z500" s="259" t="s">
        <v>630</v>
      </c>
      <c r="AA500">
        <v>150</v>
      </c>
      <c r="AB500">
        <v>14915</v>
      </c>
      <c r="AC500">
        <v>45813</v>
      </c>
      <c r="AD500">
        <v>0</v>
      </c>
      <c r="AE500">
        <v>15099</v>
      </c>
      <c r="AF500">
        <v>15099</v>
      </c>
      <c r="AG500">
        <v>0</v>
      </c>
      <c r="AH500">
        <v>184</v>
      </c>
    </row>
    <row r="501" spans="2:34" x14ac:dyDescent="0.35">
      <c r="B501" t="s">
        <v>563</v>
      </c>
      <c r="C501">
        <v>45813</v>
      </c>
      <c r="F501" t="s">
        <v>752</v>
      </c>
      <c r="H501">
        <v>191.48</v>
      </c>
      <c r="O501" t="s">
        <v>239</v>
      </c>
      <c r="P501" t="s">
        <v>514</v>
      </c>
      <c r="Y501">
        <v>467</v>
      </c>
      <c r="Z501" s="259" t="s">
        <v>630</v>
      </c>
      <c r="AA501">
        <v>50</v>
      </c>
      <c r="AB501">
        <v>10010</v>
      </c>
      <c r="AC501">
        <v>45813</v>
      </c>
      <c r="AD501">
        <v>0</v>
      </c>
      <c r="AE501">
        <v>9574</v>
      </c>
      <c r="AF501">
        <v>9574</v>
      </c>
      <c r="AG501">
        <v>0</v>
      </c>
      <c r="AH501">
        <v>-436</v>
      </c>
    </row>
    <row r="502" spans="2:34" x14ac:dyDescent="0.35">
      <c r="B502" t="s">
        <v>563</v>
      </c>
      <c r="C502">
        <v>45813</v>
      </c>
      <c r="F502" t="s">
        <v>754</v>
      </c>
      <c r="H502">
        <v>84.45</v>
      </c>
      <c r="O502" t="s">
        <v>239</v>
      </c>
      <c r="P502" t="s">
        <v>514</v>
      </c>
      <c r="Y502">
        <v>468</v>
      </c>
      <c r="Z502" s="259" t="s">
        <v>630</v>
      </c>
      <c r="AA502">
        <v>100</v>
      </c>
      <c r="AB502">
        <v>8008</v>
      </c>
      <c r="AC502">
        <v>45813</v>
      </c>
      <c r="AD502">
        <v>0</v>
      </c>
      <c r="AE502">
        <v>8445</v>
      </c>
      <c r="AF502">
        <v>8445</v>
      </c>
      <c r="AG502">
        <v>0</v>
      </c>
      <c r="AH502">
        <v>437</v>
      </c>
    </row>
    <row r="503" spans="2:34" x14ac:dyDescent="0.35">
      <c r="B503" t="s">
        <v>563</v>
      </c>
      <c r="C503">
        <v>45814</v>
      </c>
      <c r="F503" t="s">
        <v>749</v>
      </c>
      <c r="H503">
        <v>101.07</v>
      </c>
      <c r="O503" t="s">
        <v>239</v>
      </c>
      <c r="P503" t="s">
        <v>514</v>
      </c>
      <c r="Y503">
        <v>469</v>
      </c>
      <c r="Z503" s="259" t="s">
        <v>630</v>
      </c>
      <c r="AA503">
        <v>150</v>
      </c>
      <c r="AB503">
        <v>14915</v>
      </c>
      <c r="AC503">
        <v>45814</v>
      </c>
      <c r="AD503">
        <v>0</v>
      </c>
      <c r="AE503">
        <v>15160.499999999998</v>
      </c>
      <c r="AF503">
        <v>15160.499999999998</v>
      </c>
      <c r="AG503">
        <v>0</v>
      </c>
      <c r="AH503">
        <v>245.49999999999818</v>
      </c>
    </row>
    <row r="504" spans="2:34" x14ac:dyDescent="0.35">
      <c r="B504" t="s">
        <v>563</v>
      </c>
      <c r="C504">
        <v>45814</v>
      </c>
      <c r="F504" t="s">
        <v>752</v>
      </c>
      <c r="H504">
        <v>191.1</v>
      </c>
      <c r="O504" t="s">
        <v>239</v>
      </c>
      <c r="P504" t="s">
        <v>514</v>
      </c>
      <c r="Y504">
        <v>470</v>
      </c>
      <c r="Z504" s="259" t="s">
        <v>630</v>
      </c>
      <c r="AA504">
        <v>50</v>
      </c>
      <c r="AB504">
        <v>10010</v>
      </c>
      <c r="AC504">
        <v>45814</v>
      </c>
      <c r="AD504">
        <v>0</v>
      </c>
      <c r="AE504">
        <v>9555</v>
      </c>
      <c r="AF504">
        <v>9555</v>
      </c>
      <c r="AG504">
        <v>0</v>
      </c>
      <c r="AH504">
        <v>-455</v>
      </c>
    </row>
    <row r="505" spans="2:34" x14ac:dyDescent="0.35">
      <c r="B505" t="s">
        <v>563</v>
      </c>
      <c r="C505">
        <v>45814</v>
      </c>
      <c r="F505" t="s">
        <v>754</v>
      </c>
      <c r="H505">
        <v>84.31</v>
      </c>
      <c r="O505" t="s">
        <v>239</v>
      </c>
      <c r="P505" t="s">
        <v>514</v>
      </c>
      <c r="Y505">
        <v>471</v>
      </c>
      <c r="Z505" s="259" t="s">
        <v>630</v>
      </c>
      <c r="AA505">
        <v>100</v>
      </c>
      <c r="AB505">
        <v>8008</v>
      </c>
      <c r="AC505">
        <v>45814</v>
      </c>
      <c r="AD505">
        <v>0</v>
      </c>
      <c r="AE505">
        <v>8431</v>
      </c>
      <c r="AF505">
        <v>8431</v>
      </c>
      <c r="AG505">
        <v>0</v>
      </c>
      <c r="AH505">
        <v>423</v>
      </c>
    </row>
    <row r="506" spans="2:34" x14ac:dyDescent="0.35">
      <c r="B506" t="s">
        <v>563</v>
      </c>
      <c r="C506">
        <v>45815</v>
      </c>
      <c r="F506" t="s">
        <v>749</v>
      </c>
      <c r="H506">
        <v>101.07</v>
      </c>
      <c r="O506" t="s">
        <v>239</v>
      </c>
      <c r="P506" t="s">
        <v>514</v>
      </c>
      <c r="Y506">
        <v>472</v>
      </c>
      <c r="Z506" s="259" t="s">
        <v>630</v>
      </c>
      <c r="AA506">
        <v>150</v>
      </c>
      <c r="AB506">
        <v>14915</v>
      </c>
      <c r="AC506">
        <v>45814</v>
      </c>
      <c r="AD506">
        <v>1</v>
      </c>
      <c r="AE506">
        <v>15160.499999999998</v>
      </c>
      <c r="AF506">
        <v>15160.499999999998</v>
      </c>
      <c r="AG506">
        <v>0</v>
      </c>
      <c r="AH506">
        <v>245.49999999999818</v>
      </c>
    </row>
    <row r="507" spans="2:34" x14ac:dyDescent="0.35">
      <c r="B507" t="s">
        <v>563</v>
      </c>
      <c r="C507">
        <v>45815</v>
      </c>
      <c r="F507" t="s">
        <v>752</v>
      </c>
      <c r="H507">
        <v>191.1</v>
      </c>
      <c r="O507" t="s">
        <v>239</v>
      </c>
      <c r="P507" t="s">
        <v>514</v>
      </c>
      <c r="Y507">
        <v>473</v>
      </c>
      <c r="Z507" s="259" t="s">
        <v>630</v>
      </c>
      <c r="AA507">
        <v>50</v>
      </c>
      <c r="AB507">
        <v>10010</v>
      </c>
      <c r="AC507">
        <v>45814</v>
      </c>
      <c r="AD507">
        <v>1</v>
      </c>
      <c r="AE507">
        <v>9555</v>
      </c>
      <c r="AF507">
        <v>9555</v>
      </c>
      <c r="AG507">
        <v>0</v>
      </c>
      <c r="AH507">
        <v>-455</v>
      </c>
    </row>
    <row r="508" spans="2:34" x14ac:dyDescent="0.35">
      <c r="B508" t="s">
        <v>563</v>
      </c>
      <c r="C508">
        <v>45815</v>
      </c>
      <c r="F508" t="s">
        <v>754</v>
      </c>
      <c r="H508">
        <v>84.31</v>
      </c>
      <c r="O508" t="s">
        <v>239</v>
      </c>
      <c r="P508" t="s">
        <v>514</v>
      </c>
      <c r="Y508">
        <v>474</v>
      </c>
      <c r="Z508" s="259" t="s">
        <v>630</v>
      </c>
      <c r="AA508">
        <v>100</v>
      </c>
      <c r="AB508">
        <v>8008</v>
      </c>
      <c r="AC508">
        <v>45814</v>
      </c>
      <c r="AD508">
        <v>1</v>
      </c>
      <c r="AE508">
        <v>8431</v>
      </c>
      <c r="AF508">
        <v>8431</v>
      </c>
      <c r="AG508">
        <v>0</v>
      </c>
      <c r="AH508">
        <v>423</v>
      </c>
    </row>
    <row r="509" spans="2:34" x14ac:dyDescent="0.35">
      <c r="B509" t="s">
        <v>563</v>
      </c>
      <c r="C509">
        <v>45816</v>
      </c>
      <c r="F509" t="s">
        <v>749</v>
      </c>
      <c r="H509">
        <v>101.07</v>
      </c>
      <c r="O509" t="s">
        <v>239</v>
      </c>
      <c r="P509" t="s">
        <v>514</v>
      </c>
      <c r="Y509">
        <v>475</v>
      </c>
      <c r="Z509" s="259" t="s">
        <v>630</v>
      </c>
      <c r="AA509">
        <v>150</v>
      </c>
      <c r="AB509">
        <v>14915</v>
      </c>
      <c r="AC509">
        <v>45814</v>
      </c>
      <c r="AD509">
        <v>2</v>
      </c>
      <c r="AE509">
        <v>15160.499999999998</v>
      </c>
      <c r="AF509">
        <v>15160.499999999998</v>
      </c>
      <c r="AG509">
        <v>0</v>
      </c>
      <c r="AH509">
        <v>245.49999999999818</v>
      </c>
    </row>
    <row r="510" spans="2:34" x14ac:dyDescent="0.35">
      <c r="B510" t="s">
        <v>563</v>
      </c>
      <c r="C510">
        <v>45816</v>
      </c>
      <c r="F510" t="s">
        <v>752</v>
      </c>
      <c r="H510">
        <v>191.1</v>
      </c>
      <c r="O510" t="s">
        <v>239</v>
      </c>
      <c r="P510" t="s">
        <v>514</v>
      </c>
      <c r="Y510">
        <v>476</v>
      </c>
      <c r="Z510" s="259" t="s">
        <v>630</v>
      </c>
      <c r="AA510">
        <v>50</v>
      </c>
      <c r="AB510">
        <v>10010</v>
      </c>
      <c r="AC510">
        <v>45814</v>
      </c>
      <c r="AD510">
        <v>2</v>
      </c>
      <c r="AE510">
        <v>9555</v>
      </c>
      <c r="AF510">
        <v>9555</v>
      </c>
      <c r="AG510">
        <v>0</v>
      </c>
      <c r="AH510">
        <v>-455</v>
      </c>
    </row>
    <row r="511" spans="2:34" x14ac:dyDescent="0.35">
      <c r="B511" t="s">
        <v>563</v>
      </c>
      <c r="C511">
        <v>45816</v>
      </c>
      <c r="F511" t="s">
        <v>754</v>
      </c>
      <c r="H511">
        <v>84.31</v>
      </c>
      <c r="O511" t="s">
        <v>239</v>
      </c>
      <c r="P511" t="s">
        <v>514</v>
      </c>
      <c r="Y511">
        <v>477</v>
      </c>
      <c r="Z511" s="259" t="s">
        <v>630</v>
      </c>
      <c r="AA511">
        <v>100</v>
      </c>
      <c r="AB511">
        <v>8008</v>
      </c>
      <c r="AC511">
        <v>45814</v>
      </c>
      <c r="AD511">
        <v>2</v>
      </c>
      <c r="AE511">
        <v>8431</v>
      </c>
      <c r="AF511">
        <v>8431</v>
      </c>
      <c r="AG511">
        <v>0</v>
      </c>
      <c r="AH511">
        <v>423</v>
      </c>
    </row>
    <row r="512" spans="2:34" x14ac:dyDescent="0.35">
      <c r="B512" t="s">
        <v>563</v>
      </c>
      <c r="C512">
        <v>45817</v>
      </c>
      <c r="F512" t="s">
        <v>749</v>
      </c>
      <c r="H512">
        <v>102.31</v>
      </c>
      <c r="O512" t="s">
        <v>239</v>
      </c>
      <c r="P512" t="s">
        <v>514</v>
      </c>
      <c r="Y512">
        <v>478</v>
      </c>
      <c r="Z512" s="259" t="s">
        <v>630</v>
      </c>
      <c r="AA512">
        <v>150</v>
      </c>
      <c r="AB512">
        <v>14915</v>
      </c>
      <c r="AC512">
        <v>45817</v>
      </c>
      <c r="AD512">
        <v>0</v>
      </c>
      <c r="AE512">
        <v>15346.5</v>
      </c>
      <c r="AF512">
        <v>15346.5</v>
      </c>
      <c r="AG512">
        <v>0</v>
      </c>
      <c r="AH512">
        <v>431.5</v>
      </c>
    </row>
    <row r="513" spans="2:34" x14ac:dyDescent="0.35">
      <c r="B513" t="s">
        <v>563</v>
      </c>
      <c r="C513">
        <v>45817</v>
      </c>
      <c r="F513" t="s">
        <v>752</v>
      </c>
      <c r="H513">
        <v>189.97</v>
      </c>
      <c r="O513" t="s">
        <v>239</v>
      </c>
      <c r="P513" t="s">
        <v>514</v>
      </c>
      <c r="Y513">
        <v>479</v>
      </c>
      <c r="Z513" s="259" t="s">
        <v>630</v>
      </c>
      <c r="AA513">
        <v>50</v>
      </c>
      <c r="AB513">
        <v>10010</v>
      </c>
      <c r="AC513">
        <v>45817</v>
      </c>
      <c r="AD513">
        <v>0</v>
      </c>
      <c r="AE513">
        <v>9498.5</v>
      </c>
      <c r="AF513">
        <v>9498.5</v>
      </c>
      <c r="AG513">
        <v>0</v>
      </c>
      <c r="AH513">
        <v>-511.5</v>
      </c>
    </row>
    <row r="514" spans="2:34" x14ac:dyDescent="0.35">
      <c r="B514" t="s">
        <v>563</v>
      </c>
      <c r="C514">
        <v>45817</v>
      </c>
      <c r="F514" t="s">
        <v>754</v>
      </c>
      <c r="H514">
        <v>83.9</v>
      </c>
      <c r="O514" t="s">
        <v>239</v>
      </c>
      <c r="P514" t="s">
        <v>514</v>
      </c>
      <c r="Y514">
        <v>480</v>
      </c>
      <c r="Z514" s="259" t="s">
        <v>630</v>
      </c>
      <c r="AA514">
        <v>100</v>
      </c>
      <c r="AB514">
        <v>8008</v>
      </c>
      <c r="AC514">
        <v>45817</v>
      </c>
      <c r="AD514">
        <v>0</v>
      </c>
      <c r="AE514">
        <v>8390</v>
      </c>
      <c r="AF514">
        <v>8390</v>
      </c>
      <c r="AG514">
        <v>0</v>
      </c>
      <c r="AH514">
        <v>382</v>
      </c>
    </row>
    <row r="515" spans="2:34" x14ac:dyDescent="0.35">
      <c r="B515" t="s">
        <v>563</v>
      </c>
      <c r="C515">
        <v>45818</v>
      </c>
      <c r="F515" t="s">
        <v>749</v>
      </c>
      <c r="H515">
        <v>102.72</v>
      </c>
      <c r="O515" t="s">
        <v>239</v>
      </c>
      <c r="P515" t="s">
        <v>514</v>
      </c>
      <c r="Y515">
        <v>481</v>
      </c>
      <c r="Z515" s="259" t="s">
        <v>630</v>
      </c>
      <c r="AA515">
        <v>150</v>
      </c>
      <c r="AB515">
        <v>14915</v>
      </c>
      <c r="AC515">
        <v>45818</v>
      </c>
      <c r="AD515">
        <v>0</v>
      </c>
      <c r="AE515">
        <v>15408</v>
      </c>
      <c r="AF515">
        <v>15408</v>
      </c>
      <c r="AG515">
        <v>0</v>
      </c>
      <c r="AH515">
        <v>493</v>
      </c>
    </row>
    <row r="516" spans="2:34" x14ac:dyDescent="0.35">
      <c r="B516" t="s">
        <v>563</v>
      </c>
      <c r="C516">
        <v>45818</v>
      </c>
      <c r="F516" t="s">
        <v>752</v>
      </c>
      <c r="H516">
        <v>189.59</v>
      </c>
      <c r="O516" t="s">
        <v>239</v>
      </c>
      <c r="P516" t="s">
        <v>514</v>
      </c>
      <c r="Y516">
        <v>482</v>
      </c>
      <c r="Z516" s="259" t="s">
        <v>630</v>
      </c>
      <c r="AA516">
        <v>50</v>
      </c>
      <c r="AB516">
        <v>10010</v>
      </c>
      <c r="AC516">
        <v>45818</v>
      </c>
      <c r="AD516">
        <v>0</v>
      </c>
      <c r="AE516">
        <v>9479.5</v>
      </c>
      <c r="AF516">
        <v>9479.5</v>
      </c>
      <c r="AG516">
        <v>0</v>
      </c>
      <c r="AH516">
        <v>-530.5</v>
      </c>
    </row>
    <row r="517" spans="2:34" x14ac:dyDescent="0.35">
      <c r="B517" t="s">
        <v>563</v>
      </c>
      <c r="C517">
        <v>45818</v>
      </c>
      <c r="F517" t="s">
        <v>754</v>
      </c>
      <c r="H517">
        <v>83.76</v>
      </c>
      <c r="O517" t="s">
        <v>239</v>
      </c>
      <c r="P517" t="s">
        <v>514</v>
      </c>
      <c r="Y517">
        <v>483</v>
      </c>
      <c r="Z517" s="259" t="s">
        <v>630</v>
      </c>
      <c r="AA517">
        <v>100</v>
      </c>
      <c r="AB517">
        <v>8008</v>
      </c>
      <c r="AC517">
        <v>45818</v>
      </c>
      <c r="AD517">
        <v>0</v>
      </c>
      <c r="AE517">
        <v>8376</v>
      </c>
      <c r="AF517">
        <v>8376</v>
      </c>
      <c r="AG517">
        <v>0</v>
      </c>
      <c r="AH517">
        <v>368</v>
      </c>
    </row>
    <row r="518" spans="2:34" x14ac:dyDescent="0.35">
      <c r="B518" t="s">
        <v>563</v>
      </c>
      <c r="C518">
        <v>45819</v>
      </c>
      <c r="F518" t="s">
        <v>749</v>
      </c>
      <c r="H518">
        <v>103.14</v>
      </c>
      <c r="O518" t="s">
        <v>239</v>
      </c>
      <c r="P518" t="s">
        <v>514</v>
      </c>
      <c r="Y518">
        <v>484</v>
      </c>
      <c r="Z518" s="259" t="s">
        <v>630</v>
      </c>
      <c r="AA518">
        <v>150</v>
      </c>
      <c r="AB518">
        <v>14915</v>
      </c>
      <c r="AC518">
        <v>45819</v>
      </c>
      <c r="AD518">
        <v>0</v>
      </c>
      <c r="AE518">
        <v>15471</v>
      </c>
      <c r="AF518">
        <v>15471</v>
      </c>
      <c r="AG518">
        <v>0</v>
      </c>
      <c r="AH518">
        <v>556</v>
      </c>
    </row>
    <row r="519" spans="2:34" x14ac:dyDescent="0.35">
      <c r="B519" t="s">
        <v>563</v>
      </c>
      <c r="C519">
        <v>45819</v>
      </c>
      <c r="F519" t="s">
        <v>752</v>
      </c>
      <c r="H519">
        <v>189.21</v>
      </c>
      <c r="O519" t="s">
        <v>239</v>
      </c>
      <c r="P519" t="s">
        <v>514</v>
      </c>
      <c r="Y519">
        <v>485</v>
      </c>
      <c r="Z519" s="259" t="s">
        <v>630</v>
      </c>
      <c r="AA519">
        <v>50</v>
      </c>
      <c r="AB519">
        <v>10010</v>
      </c>
      <c r="AC519">
        <v>45819</v>
      </c>
      <c r="AD519">
        <v>0</v>
      </c>
      <c r="AE519">
        <v>9460.5</v>
      </c>
      <c r="AF519">
        <v>9460.5</v>
      </c>
      <c r="AG519">
        <v>0</v>
      </c>
      <c r="AH519">
        <v>-549.5</v>
      </c>
    </row>
    <row r="520" spans="2:34" x14ac:dyDescent="0.35">
      <c r="B520" t="s">
        <v>563</v>
      </c>
      <c r="C520">
        <v>45819</v>
      </c>
      <c r="F520" t="s">
        <v>754</v>
      </c>
      <c r="H520">
        <v>83.62</v>
      </c>
      <c r="O520" t="s">
        <v>239</v>
      </c>
      <c r="P520" t="s">
        <v>514</v>
      </c>
      <c r="Y520">
        <v>486</v>
      </c>
      <c r="Z520" s="259" t="s">
        <v>630</v>
      </c>
      <c r="AA520">
        <v>100</v>
      </c>
      <c r="AB520">
        <v>8008</v>
      </c>
      <c r="AC520">
        <v>45819</v>
      </c>
      <c r="AD520">
        <v>0</v>
      </c>
      <c r="AE520">
        <v>8362</v>
      </c>
      <c r="AF520">
        <v>8362</v>
      </c>
      <c r="AG520">
        <v>0</v>
      </c>
      <c r="AH520">
        <v>354</v>
      </c>
    </row>
    <row r="521" spans="2:34" x14ac:dyDescent="0.35">
      <c r="B521" t="s">
        <v>563</v>
      </c>
      <c r="C521">
        <v>45820</v>
      </c>
      <c r="F521" t="s">
        <v>749</v>
      </c>
      <c r="H521">
        <v>103.55</v>
      </c>
      <c r="O521" t="s">
        <v>239</v>
      </c>
      <c r="P521" t="s">
        <v>514</v>
      </c>
      <c r="Y521">
        <v>487</v>
      </c>
      <c r="Z521" s="259" t="s">
        <v>630</v>
      </c>
      <c r="AA521">
        <v>150</v>
      </c>
      <c r="AB521">
        <v>14915</v>
      </c>
      <c r="AC521">
        <v>45820</v>
      </c>
      <c r="AD521">
        <v>0</v>
      </c>
      <c r="AE521">
        <v>15532.5</v>
      </c>
      <c r="AF521">
        <v>15532.5</v>
      </c>
      <c r="AG521">
        <v>0</v>
      </c>
      <c r="AH521">
        <v>617.5</v>
      </c>
    </row>
    <row r="522" spans="2:34" x14ac:dyDescent="0.35">
      <c r="B522" t="s">
        <v>563</v>
      </c>
      <c r="C522">
        <v>45820</v>
      </c>
      <c r="F522" t="s">
        <v>752</v>
      </c>
      <c r="H522">
        <v>188.83</v>
      </c>
      <c r="O522" t="s">
        <v>239</v>
      </c>
      <c r="P522" t="s">
        <v>514</v>
      </c>
      <c r="Y522">
        <v>488</v>
      </c>
      <c r="Z522" s="259" t="s">
        <v>630</v>
      </c>
      <c r="AA522">
        <v>50</v>
      </c>
      <c r="AB522">
        <v>10010</v>
      </c>
      <c r="AC522">
        <v>45820</v>
      </c>
      <c r="AD522">
        <v>0</v>
      </c>
      <c r="AE522">
        <v>9441.5</v>
      </c>
      <c r="AF522">
        <v>9441.5</v>
      </c>
      <c r="AG522">
        <v>0</v>
      </c>
      <c r="AH522">
        <v>-568.5</v>
      </c>
    </row>
    <row r="523" spans="2:34" x14ac:dyDescent="0.35">
      <c r="B523" t="s">
        <v>563</v>
      </c>
      <c r="C523">
        <v>45820</v>
      </c>
      <c r="F523" t="s">
        <v>754</v>
      </c>
      <c r="H523">
        <v>83.48</v>
      </c>
      <c r="O523" t="s">
        <v>239</v>
      </c>
      <c r="P523" t="s">
        <v>514</v>
      </c>
      <c r="Y523">
        <v>489</v>
      </c>
      <c r="Z523" s="259" t="s">
        <v>630</v>
      </c>
      <c r="AA523">
        <v>100</v>
      </c>
      <c r="AB523">
        <v>8008</v>
      </c>
      <c r="AC523">
        <v>45820</v>
      </c>
      <c r="AD523">
        <v>0</v>
      </c>
      <c r="AE523">
        <v>8348</v>
      </c>
      <c r="AF523">
        <v>8348</v>
      </c>
      <c r="AG523">
        <v>0</v>
      </c>
      <c r="AH523">
        <v>340</v>
      </c>
    </row>
    <row r="524" spans="2:34" x14ac:dyDescent="0.35">
      <c r="B524" t="s">
        <v>563</v>
      </c>
      <c r="C524">
        <v>45821</v>
      </c>
      <c r="F524" t="s">
        <v>749</v>
      </c>
      <c r="H524">
        <v>103.97</v>
      </c>
      <c r="O524" t="s">
        <v>239</v>
      </c>
      <c r="P524" t="s">
        <v>514</v>
      </c>
      <c r="Y524">
        <v>490</v>
      </c>
      <c r="Z524" s="259" t="s">
        <v>630</v>
      </c>
      <c r="AA524">
        <v>150</v>
      </c>
      <c r="AB524">
        <v>14915</v>
      </c>
      <c r="AC524">
        <v>45821</v>
      </c>
      <c r="AD524">
        <v>0</v>
      </c>
      <c r="AE524">
        <v>15595.5</v>
      </c>
      <c r="AF524">
        <v>15595.5</v>
      </c>
      <c r="AG524">
        <v>0</v>
      </c>
      <c r="AH524">
        <v>680.5</v>
      </c>
    </row>
    <row r="525" spans="2:34" x14ac:dyDescent="0.35">
      <c r="B525" t="s">
        <v>563</v>
      </c>
      <c r="C525">
        <v>45821</v>
      </c>
      <c r="F525" t="s">
        <v>752</v>
      </c>
      <c r="H525">
        <v>188.45</v>
      </c>
      <c r="O525" t="s">
        <v>239</v>
      </c>
      <c r="P525" t="s">
        <v>514</v>
      </c>
      <c r="Y525">
        <v>491</v>
      </c>
      <c r="Z525" s="259" t="s">
        <v>630</v>
      </c>
      <c r="AA525">
        <v>50</v>
      </c>
      <c r="AB525">
        <v>10010</v>
      </c>
      <c r="AC525">
        <v>45821</v>
      </c>
      <c r="AD525">
        <v>0</v>
      </c>
      <c r="AE525">
        <v>9422.5</v>
      </c>
      <c r="AF525">
        <v>9422.5</v>
      </c>
      <c r="AG525">
        <v>0</v>
      </c>
      <c r="AH525">
        <v>-587.5</v>
      </c>
    </row>
    <row r="526" spans="2:34" x14ac:dyDescent="0.35">
      <c r="B526" t="s">
        <v>563</v>
      </c>
      <c r="C526">
        <v>45821</v>
      </c>
      <c r="F526" t="s">
        <v>754</v>
      </c>
      <c r="H526">
        <v>83.34</v>
      </c>
      <c r="O526" t="s">
        <v>239</v>
      </c>
      <c r="P526" t="s">
        <v>514</v>
      </c>
      <c r="Y526">
        <v>492</v>
      </c>
      <c r="Z526" s="259" t="s">
        <v>630</v>
      </c>
      <c r="AA526">
        <v>100</v>
      </c>
      <c r="AB526">
        <v>8008</v>
      </c>
      <c r="AC526">
        <v>45821</v>
      </c>
      <c r="AD526">
        <v>0</v>
      </c>
      <c r="AE526">
        <v>8334</v>
      </c>
      <c r="AF526">
        <v>8334</v>
      </c>
      <c r="AG526">
        <v>0</v>
      </c>
      <c r="AH526">
        <v>326</v>
      </c>
    </row>
    <row r="527" spans="2:34" x14ac:dyDescent="0.35">
      <c r="B527" t="s">
        <v>563</v>
      </c>
      <c r="C527">
        <v>45822</v>
      </c>
      <c r="F527" t="s">
        <v>749</v>
      </c>
      <c r="H527">
        <v>103.97</v>
      </c>
      <c r="O527" t="s">
        <v>239</v>
      </c>
      <c r="P527" t="s">
        <v>514</v>
      </c>
      <c r="Y527">
        <v>493</v>
      </c>
      <c r="Z527" s="259" t="s">
        <v>630</v>
      </c>
      <c r="AA527">
        <v>150</v>
      </c>
      <c r="AB527">
        <v>14915</v>
      </c>
      <c r="AC527">
        <v>45821</v>
      </c>
      <c r="AD527">
        <v>1</v>
      </c>
      <c r="AE527">
        <v>15595.5</v>
      </c>
      <c r="AF527">
        <v>15595.5</v>
      </c>
      <c r="AG527">
        <v>0</v>
      </c>
      <c r="AH527">
        <v>680.5</v>
      </c>
    </row>
    <row r="528" spans="2:34" x14ac:dyDescent="0.35">
      <c r="B528" t="s">
        <v>563</v>
      </c>
      <c r="C528">
        <v>45822</v>
      </c>
      <c r="F528" t="s">
        <v>752</v>
      </c>
      <c r="H528">
        <v>188.45</v>
      </c>
      <c r="O528" t="s">
        <v>239</v>
      </c>
      <c r="P528" t="s">
        <v>514</v>
      </c>
      <c r="Y528">
        <v>494</v>
      </c>
      <c r="Z528" s="259" t="s">
        <v>630</v>
      </c>
      <c r="AA528">
        <v>50</v>
      </c>
      <c r="AB528">
        <v>10010</v>
      </c>
      <c r="AC528">
        <v>45821</v>
      </c>
      <c r="AD528">
        <v>1</v>
      </c>
      <c r="AE528">
        <v>9422.5</v>
      </c>
      <c r="AF528">
        <v>9422.5</v>
      </c>
      <c r="AG528">
        <v>0</v>
      </c>
      <c r="AH528">
        <v>-587.5</v>
      </c>
    </row>
    <row r="529" spans="2:34" x14ac:dyDescent="0.35">
      <c r="B529" t="s">
        <v>563</v>
      </c>
      <c r="C529">
        <v>45822</v>
      </c>
      <c r="F529" t="s">
        <v>754</v>
      </c>
      <c r="H529">
        <v>83.34</v>
      </c>
      <c r="O529" t="s">
        <v>239</v>
      </c>
      <c r="P529" t="s">
        <v>514</v>
      </c>
      <c r="Y529">
        <v>495</v>
      </c>
      <c r="Z529" s="259" t="s">
        <v>630</v>
      </c>
      <c r="AA529">
        <v>100</v>
      </c>
      <c r="AB529">
        <v>8008</v>
      </c>
      <c r="AC529">
        <v>45821</v>
      </c>
      <c r="AD529">
        <v>1</v>
      </c>
      <c r="AE529">
        <v>8334</v>
      </c>
      <c r="AF529">
        <v>8334</v>
      </c>
      <c r="AG529">
        <v>0</v>
      </c>
      <c r="AH529">
        <v>326</v>
      </c>
    </row>
    <row r="530" spans="2:34" x14ac:dyDescent="0.35">
      <c r="B530" t="s">
        <v>563</v>
      </c>
      <c r="C530">
        <v>45823</v>
      </c>
      <c r="F530" t="s">
        <v>749</v>
      </c>
      <c r="H530">
        <v>103.97</v>
      </c>
      <c r="O530" t="s">
        <v>239</v>
      </c>
      <c r="P530" t="s">
        <v>514</v>
      </c>
      <c r="Y530">
        <v>496</v>
      </c>
      <c r="Z530" s="259" t="s">
        <v>630</v>
      </c>
      <c r="AA530">
        <v>150</v>
      </c>
      <c r="AB530">
        <v>14915</v>
      </c>
      <c r="AC530">
        <v>45821</v>
      </c>
      <c r="AD530">
        <v>2</v>
      </c>
      <c r="AE530">
        <v>15595.5</v>
      </c>
      <c r="AF530">
        <v>15595.5</v>
      </c>
      <c r="AG530">
        <v>0</v>
      </c>
      <c r="AH530">
        <v>680.5</v>
      </c>
    </row>
    <row r="531" spans="2:34" x14ac:dyDescent="0.35">
      <c r="B531" t="s">
        <v>563</v>
      </c>
      <c r="C531">
        <v>45823</v>
      </c>
      <c r="F531" t="s">
        <v>752</v>
      </c>
      <c r="H531">
        <v>188.45</v>
      </c>
      <c r="O531" t="s">
        <v>239</v>
      </c>
      <c r="P531" t="s">
        <v>514</v>
      </c>
      <c r="Y531">
        <v>497</v>
      </c>
      <c r="Z531" s="259" t="s">
        <v>630</v>
      </c>
      <c r="AA531">
        <v>50</v>
      </c>
      <c r="AB531">
        <v>10010</v>
      </c>
      <c r="AC531">
        <v>45821</v>
      </c>
      <c r="AD531">
        <v>2</v>
      </c>
      <c r="AE531">
        <v>9422.5</v>
      </c>
      <c r="AF531">
        <v>9422.5</v>
      </c>
      <c r="AG531">
        <v>0</v>
      </c>
      <c r="AH531">
        <v>-587.5</v>
      </c>
    </row>
    <row r="532" spans="2:34" x14ac:dyDescent="0.35">
      <c r="B532" t="s">
        <v>563</v>
      </c>
      <c r="C532">
        <v>45823</v>
      </c>
      <c r="F532" t="s">
        <v>754</v>
      </c>
      <c r="H532">
        <v>83.34</v>
      </c>
      <c r="O532" t="s">
        <v>239</v>
      </c>
      <c r="P532" t="s">
        <v>514</v>
      </c>
      <c r="Y532">
        <v>498</v>
      </c>
      <c r="Z532" s="259" t="s">
        <v>630</v>
      </c>
      <c r="AA532">
        <v>100</v>
      </c>
      <c r="AB532">
        <v>8008</v>
      </c>
      <c r="AC532">
        <v>45821</v>
      </c>
      <c r="AD532">
        <v>2</v>
      </c>
      <c r="AE532">
        <v>8334</v>
      </c>
      <c r="AF532">
        <v>8334</v>
      </c>
      <c r="AG532">
        <v>0</v>
      </c>
      <c r="AH532">
        <v>326</v>
      </c>
    </row>
    <row r="533" spans="2:34" x14ac:dyDescent="0.35">
      <c r="B533" t="s">
        <v>563</v>
      </c>
      <c r="C533">
        <v>45824</v>
      </c>
      <c r="F533" t="s">
        <v>749</v>
      </c>
      <c r="H533">
        <v>52.6</v>
      </c>
      <c r="O533" t="s">
        <v>239</v>
      </c>
      <c r="P533" t="s">
        <v>514</v>
      </c>
      <c r="Y533">
        <v>499</v>
      </c>
      <c r="Z533" s="259" t="s">
        <v>630</v>
      </c>
      <c r="AA533">
        <v>300</v>
      </c>
      <c r="AB533">
        <v>14915</v>
      </c>
      <c r="AC533">
        <v>45824</v>
      </c>
      <c r="AD533">
        <v>0</v>
      </c>
      <c r="AE533">
        <v>15780</v>
      </c>
      <c r="AF533">
        <v>15780</v>
      </c>
      <c r="AG533">
        <v>0</v>
      </c>
      <c r="AH533">
        <v>865</v>
      </c>
    </row>
    <row r="534" spans="2:34" x14ac:dyDescent="0.35">
      <c r="B534" t="s">
        <v>563</v>
      </c>
      <c r="C534">
        <v>45824</v>
      </c>
      <c r="F534" t="s">
        <v>752</v>
      </c>
      <c r="H534">
        <v>187.31</v>
      </c>
      <c r="O534" t="s">
        <v>239</v>
      </c>
      <c r="P534" t="s">
        <v>514</v>
      </c>
      <c r="Y534">
        <v>500</v>
      </c>
      <c r="Z534" s="259" t="s">
        <v>630</v>
      </c>
      <c r="AA534">
        <v>50</v>
      </c>
      <c r="AB534">
        <v>10010</v>
      </c>
      <c r="AC534">
        <v>45824</v>
      </c>
      <c r="AD534">
        <v>0</v>
      </c>
      <c r="AE534">
        <v>9365.5</v>
      </c>
      <c r="AF534">
        <v>9365.5</v>
      </c>
      <c r="AG534">
        <v>0</v>
      </c>
      <c r="AH534">
        <v>-644.5</v>
      </c>
    </row>
    <row r="535" spans="2:34" x14ac:dyDescent="0.35">
      <c r="B535" t="s">
        <v>563</v>
      </c>
      <c r="C535">
        <v>45824</v>
      </c>
      <c r="F535" t="s">
        <v>754</v>
      </c>
      <c r="H535">
        <v>82.93</v>
      </c>
      <c r="O535" t="s">
        <v>239</v>
      </c>
      <c r="P535" t="s">
        <v>514</v>
      </c>
      <c r="Y535">
        <v>501</v>
      </c>
      <c r="Z535" s="259" t="s">
        <v>630</v>
      </c>
      <c r="AA535">
        <v>100</v>
      </c>
      <c r="AB535">
        <v>8008</v>
      </c>
      <c r="AC535">
        <v>45824</v>
      </c>
      <c r="AD535">
        <v>0</v>
      </c>
      <c r="AE535">
        <v>8293</v>
      </c>
      <c r="AF535">
        <v>8293</v>
      </c>
      <c r="AG535">
        <v>0</v>
      </c>
      <c r="AH535">
        <v>285</v>
      </c>
    </row>
    <row r="536" spans="2:34" x14ac:dyDescent="0.35">
      <c r="B536" t="s">
        <v>563</v>
      </c>
      <c r="C536">
        <v>45825</v>
      </c>
      <c r="F536" t="s">
        <v>749</v>
      </c>
      <c r="H536">
        <v>52.81</v>
      </c>
      <c r="O536" t="s">
        <v>239</v>
      </c>
      <c r="P536" t="s">
        <v>514</v>
      </c>
      <c r="Y536">
        <v>502</v>
      </c>
      <c r="Z536" s="259" t="s">
        <v>630</v>
      </c>
      <c r="AA536">
        <v>300</v>
      </c>
      <c r="AB536">
        <v>14915</v>
      </c>
      <c r="AC536">
        <v>45825</v>
      </c>
      <c r="AD536">
        <v>0</v>
      </c>
      <c r="AE536">
        <v>15843</v>
      </c>
      <c r="AF536">
        <v>15843</v>
      </c>
      <c r="AG536">
        <v>0</v>
      </c>
      <c r="AH536">
        <v>928</v>
      </c>
    </row>
    <row r="537" spans="2:34" x14ac:dyDescent="0.35">
      <c r="B537" t="s">
        <v>563</v>
      </c>
      <c r="C537">
        <v>45825</v>
      </c>
      <c r="F537" t="s">
        <v>752</v>
      </c>
      <c r="H537">
        <v>186.93</v>
      </c>
      <c r="O537" t="s">
        <v>239</v>
      </c>
      <c r="P537" t="s">
        <v>514</v>
      </c>
      <c r="Y537">
        <v>503</v>
      </c>
      <c r="Z537" s="259" t="s">
        <v>630</v>
      </c>
      <c r="AA537">
        <v>50</v>
      </c>
      <c r="AB537">
        <v>10010</v>
      </c>
      <c r="AC537">
        <v>45825</v>
      </c>
      <c r="AD537">
        <v>0</v>
      </c>
      <c r="AE537">
        <v>9346.5</v>
      </c>
      <c r="AF537">
        <v>9346.5</v>
      </c>
      <c r="AG537">
        <v>0</v>
      </c>
      <c r="AH537">
        <v>-663.5</v>
      </c>
    </row>
    <row r="538" spans="2:34" x14ac:dyDescent="0.35">
      <c r="B538" t="s">
        <v>563</v>
      </c>
      <c r="C538">
        <v>45825</v>
      </c>
      <c r="F538" t="s">
        <v>754</v>
      </c>
      <c r="H538">
        <v>82.79</v>
      </c>
      <c r="O538" t="s">
        <v>239</v>
      </c>
      <c r="P538" t="s">
        <v>514</v>
      </c>
      <c r="Y538">
        <v>504</v>
      </c>
      <c r="Z538" s="259" t="s">
        <v>630</v>
      </c>
      <c r="AA538">
        <v>100</v>
      </c>
      <c r="AB538">
        <v>8008</v>
      </c>
      <c r="AC538">
        <v>45825</v>
      </c>
      <c r="AD538">
        <v>0</v>
      </c>
      <c r="AE538">
        <v>8279</v>
      </c>
      <c r="AF538">
        <v>8279</v>
      </c>
      <c r="AG538">
        <v>0</v>
      </c>
      <c r="AH538">
        <v>271</v>
      </c>
    </row>
    <row r="539" spans="2:34" x14ac:dyDescent="0.35">
      <c r="B539" t="s">
        <v>563</v>
      </c>
      <c r="C539">
        <v>45826</v>
      </c>
      <c r="F539" t="s">
        <v>749</v>
      </c>
      <c r="H539">
        <v>53.02</v>
      </c>
      <c r="O539" t="s">
        <v>239</v>
      </c>
      <c r="P539" t="s">
        <v>514</v>
      </c>
      <c r="Y539">
        <v>505</v>
      </c>
      <c r="Z539" s="259" t="s">
        <v>630</v>
      </c>
      <c r="AA539">
        <v>300</v>
      </c>
      <c r="AB539">
        <v>14915</v>
      </c>
      <c r="AC539">
        <v>45826</v>
      </c>
      <c r="AD539">
        <v>0</v>
      </c>
      <c r="AE539">
        <v>15906.000000000002</v>
      </c>
      <c r="AF539">
        <v>15906.000000000002</v>
      </c>
      <c r="AG539">
        <v>0</v>
      </c>
      <c r="AH539">
        <v>991.00000000000182</v>
      </c>
    </row>
    <row r="540" spans="2:34" x14ac:dyDescent="0.35">
      <c r="B540" t="s">
        <v>563</v>
      </c>
      <c r="C540">
        <v>45826</v>
      </c>
      <c r="F540" t="s">
        <v>752</v>
      </c>
      <c r="H540">
        <v>186.55</v>
      </c>
      <c r="O540" t="s">
        <v>239</v>
      </c>
      <c r="P540" t="s">
        <v>514</v>
      </c>
      <c r="Y540">
        <v>506</v>
      </c>
      <c r="Z540" s="259" t="s">
        <v>630</v>
      </c>
      <c r="AA540">
        <v>50</v>
      </c>
      <c r="AB540">
        <v>10010</v>
      </c>
      <c r="AC540">
        <v>45826</v>
      </c>
      <c r="AD540">
        <v>0</v>
      </c>
      <c r="AE540">
        <v>9327.5</v>
      </c>
      <c r="AF540">
        <v>9327.5</v>
      </c>
      <c r="AG540">
        <v>0</v>
      </c>
      <c r="AH540">
        <v>-682.5</v>
      </c>
    </row>
    <row r="541" spans="2:34" x14ac:dyDescent="0.35">
      <c r="B541" t="s">
        <v>563</v>
      </c>
      <c r="C541">
        <v>45826</v>
      </c>
      <c r="F541" t="s">
        <v>754</v>
      </c>
      <c r="H541">
        <v>82.66</v>
      </c>
      <c r="O541" t="s">
        <v>239</v>
      </c>
      <c r="P541" t="s">
        <v>514</v>
      </c>
      <c r="Y541">
        <v>507</v>
      </c>
      <c r="Z541" s="259" t="s">
        <v>630</v>
      </c>
      <c r="AA541">
        <v>100</v>
      </c>
      <c r="AB541">
        <v>8008</v>
      </c>
      <c r="AC541">
        <v>45826</v>
      </c>
      <c r="AD541">
        <v>0</v>
      </c>
      <c r="AE541">
        <v>8266</v>
      </c>
      <c r="AF541">
        <v>8266</v>
      </c>
      <c r="AG541">
        <v>0</v>
      </c>
      <c r="AH541">
        <v>258</v>
      </c>
    </row>
    <row r="542" spans="2:34" x14ac:dyDescent="0.35">
      <c r="B542" t="s">
        <v>563</v>
      </c>
      <c r="C542">
        <v>45827</v>
      </c>
      <c r="F542" t="s">
        <v>749</v>
      </c>
      <c r="H542">
        <v>53.22</v>
      </c>
      <c r="O542" t="s">
        <v>239</v>
      </c>
      <c r="P542" t="s">
        <v>514</v>
      </c>
      <c r="Y542">
        <v>508</v>
      </c>
      <c r="Z542" s="259" t="s">
        <v>630</v>
      </c>
      <c r="AA542">
        <v>300</v>
      </c>
      <c r="AB542">
        <v>14915</v>
      </c>
      <c r="AC542">
        <v>45827</v>
      </c>
      <c r="AD542">
        <v>0</v>
      </c>
      <c r="AE542">
        <v>15966</v>
      </c>
      <c r="AF542">
        <v>15966</v>
      </c>
      <c r="AG542">
        <v>0</v>
      </c>
      <c r="AH542">
        <v>1051</v>
      </c>
    </row>
    <row r="543" spans="2:34" x14ac:dyDescent="0.35">
      <c r="B543" t="s">
        <v>563</v>
      </c>
      <c r="C543">
        <v>45827</v>
      </c>
      <c r="F543" t="s">
        <v>752</v>
      </c>
      <c r="H543">
        <v>186.17</v>
      </c>
      <c r="O543" t="s">
        <v>239</v>
      </c>
      <c r="P543" t="s">
        <v>514</v>
      </c>
      <c r="Y543">
        <v>509</v>
      </c>
      <c r="Z543" s="259" t="s">
        <v>630</v>
      </c>
      <c r="AA543">
        <v>50</v>
      </c>
      <c r="AB543">
        <v>10010</v>
      </c>
      <c r="AC543">
        <v>45827</v>
      </c>
      <c r="AD543">
        <v>0</v>
      </c>
      <c r="AE543">
        <v>9308.5</v>
      </c>
      <c r="AF543">
        <v>9308.5</v>
      </c>
      <c r="AG543">
        <v>0</v>
      </c>
      <c r="AH543">
        <v>-701.5</v>
      </c>
    </row>
    <row r="544" spans="2:34" x14ac:dyDescent="0.35">
      <c r="B544" t="s">
        <v>563</v>
      </c>
      <c r="C544">
        <v>45827</v>
      </c>
      <c r="F544" t="s">
        <v>754</v>
      </c>
      <c r="H544">
        <v>82.52</v>
      </c>
      <c r="O544" t="s">
        <v>239</v>
      </c>
      <c r="P544" t="s">
        <v>514</v>
      </c>
      <c r="Y544">
        <v>510</v>
      </c>
      <c r="Z544" s="259" t="s">
        <v>630</v>
      </c>
      <c r="AA544">
        <v>100</v>
      </c>
      <c r="AB544">
        <v>8008</v>
      </c>
      <c r="AC544">
        <v>45827</v>
      </c>
      <c r="AD544">
        <v>0</v>
      </c>
      <c r="AE544">
        <v>8252</v>
      </c>
      <c r="AF544">
        <v>8252</v>
      </c>
      <c r="AG544">
        <v>0</v>
      </c>
      <c r="AH544">
        <v>244</v>
      </c>
    </row>
    <row r="545" spans="2:34" x14ac:dyDescent="0.35">
      <c r="B545" t="s">
        <v>563</v>
      </c>
      <c r="C545">
        <v>45828</v>
      </c>
      <c r="F545" t="s">
        <v>749</v>
      </c>
      <c r="H545">
        <v>53.43</v>
      </c>
      <c r="O545" t="s">
        <v>239</v>
      </c>
      <c r="P545" t="s">
        <v>514</v>
      </c>
      <c r="Y545">
        <v>511</v>
      </c>
      <c r="Z545" s="259" t="s">
        <v>630</v>
      </c>
      <c r="AA545">
        <v>300</v>
      </c>
      <c r="AB545">
        <v>14915</v>
      </c>
      <c r="AC545">
        <v>45828</v>
      </c>
      <c r="AD545">
        <v>0</v>
      </c>
      <c r="AE545">
        <v>16029</v>
      </c>
      <c r="AF545">
        <v>16029</v>
      </c>
      <c r="AG545">
        <v>0</v>
      </c>
      <c r="AH545">
        <v>1114</v>
      </c>
    </row>
    <row r="546" spans="2:34" x14ac:dyDescent="0.35">
      <c r="B546" t="s">
        <v>563</v>
      </c>
      <c r="C546">
        <v>45828</v>
      </c>
      <c r="F546" t="s">
        <v>752</v>
      </c>
      <c r="H546">
        <v>185.79</v>
      </c>
      <c r="O546" t="s">
        <v>239</v>
      </c>
      <c r="P546" t="s">
        <v>514</v>
      </c>
      <c r="Y546">
        <v>512</v>
      </c>
      <c r="Z546" s="259" t="s">
        <v>630</v>
      </c>
      <c r="AA546">
        <v>50</v>
      </c>
      <c r="AB546">
        <v>10010</v>
      </c>
      <c r="AC546">
        <v>45828</v>
      </c>
      <c r="AD546">
        <v>0</v>
      </c>
      <c r="AE546">
        <v>9289.5</v>
      </c>
      <c r="AF546">
        <v>9289.5</v>
      </c>
      <c r="AG546">
        <v>0</v>
      </c>
      <c r="AH546">
        <v>-720.5</v>
      </c>
    </row>
    <row r="547" spans="2:34" x14ac:dyDescent="0.35">
      <c r="B547" t="s">
        <v>563</v>
      </c>
      <c r="C547">
        <v>45828</v>
      </c>
      <c r="F547" t="s">
        <v>754</v>
      </c>
      <c r="H547">
        <v>82.38</v>
      </c>
      <c r="O547" t="s">
        <v>239</v>
      </c>
      <c r="P547" t="s">
        <v>514</v>
      </c>
      <c r="Y547">
        <v>513</v>
      </c>
      <c r="Z547" s="259" t="s">
        <v>630</v>
      </c>
      <c r="AA547">
        <v>100</v>
      </c>
      <c r="AB547">
        <v>8008</v>
      </c>
      <c r="AC547">
        <v>45828</v>
      </c>
      <c r="AD547">
        <v>0</v>
      </c>
      <c r="AE547">
        <v>8238</v>
      </c>
      <c r="AF547">
        <v>8238</v>
      </c>
      <c r="AG547">
        <v>0</v>
      </c>
      <c r="AH547">
        <v>230</v>
      </c>
    </row>
    <row r="548" spans="2:34" x14ac:dyDescent="0.35">
      <c r="B548" t="s">
        <v>563</v>
      </c>
      <c r="C548">
        <v>45829</v>
      </c>
      <c r="F548" t="s">
        <v>749</v>
      </c>
      <c r="H548">
        <v>53.43</v>
      </c>
      <c r="O548" t="s">
        <v>239</v>
      </c>
      <c r="P548" t="s">
        <v>514</v>
      </c>
      <c r="Y548">
        <v>514</v>
      </c>
      <c r="Z548" s="259" t="s">
        <v>630</v>
      </c>
      <c r="AA548">
        <v>300</v>
      </c>
      <c r="AB548">
        <v>14915</v>
      </c>
      <c r="AC548">
        <v>45828</v>
      </c>
      <c r="AD548">
        <v>1</v>
      </c>
      <c r="AE548">
        <v>16029</v>
      </c>
      <c r="AF548">
        <v>16029</v>
      </c>
      <c r="AG548">
        <v>0</v>
      </c>
      <c r="AH548">
        <v>1114</v>
      </c>
    </row>
    <row r="549" spans="2:34" x14ac:dyDescent="0.35">
      <c r="B549" t="s">
        <v>563</v>
      </c>
      <c r="C549">
        <v>45829</v>
      </c>
      <c r="F549" t="s">
        <v>752</v>
      </c>
      <c r="H549">
        <v>185.79</v>
      </c>
      <c r="O549" t="s">
        <v>239</v>
      </c>
      <c r="P549" t="s">
        <v>514</v>
      </c>
      <c r="Y549">
        <v>515</v>
      </c>
      <c r="Z549" s="259" t="s">
        <v>630</v>
      </c>
      <c r="AA549">
        <v>50</v>
      </c>
      <c r="AB549">
        <v>10010</v>
      </c>
      <c r="AC549">
        <v>45828</v>
      </c>
      <c r="AD549">
        <v>1</v>
      </c>
      <c r="AE549">
        <v>9289.5</v>
      </c>
      <c r="AF549">
        <v>9289.5</v>
      </c>
      <c r="AG549">
        <v>0</v>
      </c>
      <c r="AH549">
        <v>-720.5</v>
      </c>
    </row>
    <row r="550" spans="2:34" x14ac:dyDescent="0.35">
      <c r="B550" t="s">
        <v>563</v>
      </c>
      <c r="C550">
        <v>45829</v>
      </c>
      <c r="F550" t="s">
        <v>754</v>
      </c>
      <c r="H550">
        <v>82.38</v>
      </c>
      <c r="O550" t="s">
        <v>239</v>
      </c>
      <c r="P550" t="s">
        <v>514</v>
      </c>
      <c r="Y550">
        <v>516</v>
      </c>
      <c r="Z550" s="259" t="s">
        <v>630</v>
      </c>
      <c r="AA550">
        <v>100</v>
      </c>
      <c r="AB550">
        <v>8008</v>
      </c>
      <c r="AC550">
        <v>45828</v>
      </c>
      <c r="AD550">
        <v>1</v>
      </c>
      <c r="AE550">
        <v>8238</v>
      </c>
      <c r="AF550">
        <v>8238</v>
      </c>
      <c r="AG550">
        <v>0</v>
      </c>
      <c r="AH550">
        <v>230</v>
      </c>
    </row>
    <row r="551" spans="2:34" x14ac:dyDescent="0.35">
      <c r="B551" t="s">
        <v>563</v>
      </c>
      <c r="C551">
        <v>45830</v>
      </c>
      <c r="F551" t="s">
        <v>749</v>
      </c>
      <c r="H551">
        <v>53.43</v>
      </c>
      <c r="O551" t="s">
        <v>239</v>
      </c>
      <c r="P551" t="s">
        <v>514</v>
      </c>
      <c r="Y551">
        <v>517</v>
      </c>
      <c r="Z551" s="259" t="s">
        <v>630</v>
      </c>
      <c r="AA551">
        <v>300</v>
      </c>
      <c r="AB551">
        <v>14915</v>
      </c>
      <c r="AC551">
        <v>45828</v>
      </c>
      <c r="AD551">
        <v>2</v>
      </c>
      <c r="AE551">
        <v>16029</v>
      </c>
      <c r="AF551">
        <v>16029</v>
      </c>
      <c r="AG551">
        <v>0</v>
      </c>
      <c r="AH551">
        <v>1114</v>
      </c>
    </row>
    <row r="552" spans="2:34" x14ac:dyDescent="0.35">
      <c r="B552" t="s">
        <v>563</v>
      </c>
      <c r="C552">
        <v>45830</v>
      </c>
      <c r="F552" t="s">
        <v>752</v>
      </c>
      <c r="H552">
        <v>185.79</v>
      </c>
      <c r="O552" t="s">
        <v>239</v>
      </c>
      <c r="P552" t="s">
        <v>514</v>
      </c>
      <c r="Y552">
        <v>518</v>
      </c>
      <c r="Z552" s="259" t="s">
        <v>630</v>
      </c>
      <c r="AA552">
        <v>50</v>
      </c>
      <c r="AB552">
        <v>10010</v>
      </c>
      <c r="AC552">
        <v>45828</v>
      </c>
      <c r="AD552">
        <v>2</v>
      </c>
      <c r="AE552">
        <v>9289.5</v>
      </c>
      <c r="AF552">
        <v>9289.5</v>
      </c>
      <c r="AG552">
        <v>0</v>
      </c>
      <c r="AH552">
        <v>-720.5</v>
      </c>
    </row>
    <row r="553" spans="2:34" x14ac:dyDescent="0.35">
      <c r="B553" t="s">
        <v>563</v>
      </c>
      <c r="C553">
        <v>45830</v>
      </c>
      <c r="F553" t="s">
        <v>754</v>
      </c>
      <c r="H553">
        <v>82.38</v>
      </c>
      <c r="O553" t="s">
        <v>239</v>
      </c>
      <c r="P553" t="s">
        <v>514</v>
      </c>
      <c r="Y553">
        <v>519</v>
      </c>
      <c r="Z553" s="259" t="s">
        <v>630</v>
      </c>
      <c r="AA553">
        <v>100</v>
      </c>
      <c r="AB553">
        <v>8008</v>
      </c>
      <c r="AC553">
        <v>45828</v>
      </c>
      <c r="AD553">
        <v>2</v>
      </c>
      <c r="AE553">
        <v>8238</v>
      </c>
      <c r="AF553">
        <v>8238</v>
      </c>
      <c r="AG553">
        <v>0</v>
      </c>
      <c r="AH553">
        <v>230</v>
      </c>
    </row>
    <row r="554" spans="2:34" x14ac:dyDescent="0.35">
      <c r="B554" t="s">
        <v>563</v>
      </c>
      <c r="C554">
        <v>45831</v>
      </c>
      <c r="F554" t="s">
        <v>749</v>
      </c>
      <c r="H554">
        <v>54.05</v>
      </c>
      <c r="O554" t="s">
        <v>239</v>
      </c>
      <c r="P554" t="s">
        <v>514</v>
      </c>
      <c r="Y554">
        <v>520</v>
      </c>
      <c r="Z554" s="259" t="s">
        <v>630</v>
      </c>
      <c r="AA554">
        <v>300</v>
      </c>
      <c r="AB554">
        <v>14915</v>
      </c>
      <c r="AC554">
        <v>45831</v>
      </c>
      <c r="AD554">
        <v>0</v>
      </c>
      <c r="AE554">
        <v>16215</v>
      </c>
      <c r="AF554">
        <v>16215</v>
      </c>
      <c r="AG554">
        <v>0</v>
      </c>
      <c r="AH554">
        <v>1300</v>
      </c>
    </row>
    <row r="555" spans="2:34" x14ac:dyDescent="0.35">
      <c r="B555" t="s">
        <v>563</v>
      </c>
      <c r="C555">
        <v>45831</v>
      </c>
      <c r="F555" t="s">
        <v>752</v>
      </c>
      <c r="H555">
        <v>184.66</v>
      </c>
      <c r="O555" t="s">
        <v>239</v>
      </c>
      <c r="P555" t="s">
        <v>514</v>
      </c>
      <c r="Y555">
        <v>521</v>
      </c>
      <c r="Z555" s="259" t="s">
        <v>630</v>
      </c>
      <c r="AA555">
        <v>50</v>
      </c>
      <c r="AB555">
        <v>10010</v>
      </c>
      <c r="AC555">
        <v>45831</v>
      </c>
      <c r="AD555">
        <v>0</v>
      </c>
      <c r="AE555">
        <v>9233</v>
      </c>
      <c r="AF555">
        <v>9233</v>
      </c>
      <c r="AG555">
        <v>0</v>
      </c>
      <c r="AH555">
        <v>-777</v>
      </c>
    </row>
    <row r="556" spans="2:34" x14ac:dyDescent="0.35">
      <c r="B556" t="s">
        <v>563</v>
      </c>
      <c r="C556">
        <v>45831</v>
      </c>
      <c r="F556" t="s">
        <v>754</v>
      </c>
      <c r="H556">
        <v>81.97</v>
      </c>
      <c r="O556" t="s">
        <v>239</v>
      </c>
      <c r="P556" t="s">
        <v>514</v>
      </c>
      <c r="Y556">
        <v>522</v>
      </c>
      <c r="Z556" s="259" t="s">
        <v>630</v>
      </c>
      <c r="AA556">
        <v>100</v>
      </c>
      <c r="AB556">
        <v>8008</v>
      </c>
      <c r="AC556">
        <v>45831</v>
      </c>
      <c r="AD556">
        <v>0</v>
      </c>
      <c r="AE556">
        <v>8197</v>
      </c>
      <c r="AF556">
        <v>8197</v>
      </c>
      <c r="AG556">
        <v>0</v>
      </c>
      <c r="AH556">
        <v>189</v>
      </c>
    </row>
    <row r="557" spans="2:34" x14ac:dyDescent="0.35">
      <c r="B557" t="s">
        <v>563</v>
      </c>
      <c r="C557">
        <v>45832</v>
      </c>
      <c r="F557" t="s">
        <v>749</v>
      </c>
      <c r="H557">
        <v>54.26</v>
      </c>
      <c r="O557" t="s">
        <v>239</v>
      </c>
      <c r="P557" t="s">
        <v>514</v>
      </c>
      <c r="Y557">
        <v>523</v>
      </c>
      <c r="Z557" s="259" t="s">
        <v>630</v>
      </c>
      <c r="AA557">
        <v>300</v>
      </c>
      <c r="AB557">
        <v>14915</v>
      </c>
      <c r="AC557">
        <v>45832</v>
      </c>
      <c r="AD557">
        <v>0</v>
      </c>
      <c r="AE557">
        <v>16278</v>
      </c>
      <c r="AF557">
        <v>16278</v>
      </c>
      <c r="AG557">
        <v>0</v>
      </c>
      <c r="AH557">
        <v>1363</v>
      </c>
    </row>
    <row r="558" spans="2:34" x14ac:dyDescent="0.35">
      <c r="B558" t="s">
        <v>563</v>
      </c>
      <c r="C558">
        <v>45832</v>
      </c>
      <c r="F558" t="s">
        <v>752</v>
      </c>
      <c r="H558">
        <v>184.28</v>
      </c>
      <c r="O558" t="s">
        <v>239</v>
      </c>
      <c r="P558" t="s">
        <v>514</v>
      </c>
      <c r="Y558">
        <v>524</v>
      </c>
      <c r="Z558" s="259" t="s">
        <v>630</v>
      </c>
      <c r="AA558">
        <v>50</v>
      </c>
      <c r="AB558">
        <v>10010</v>
      </c>
      <c r="AC558">
        <v>45832</v>
      </c>
      <c r="AD558">
        <v>0</v>
      </c>
      <c r="AE558">
        <v>9214</v>
      </c>
      <c r="AF558">
        <v>9214</v>
      </c>
      <c r="AG558">
        <v>0</v>
      </c>
      <c r="AH558">
        <v>-796</v>
      </c>
    </row>
    <row r="559" spans="2:34" x14ac:dyDescent="0.35">
      <c r="B559" t="s">
        <v>563</v>
      </c>
      <c r="C559">
        <v>45832</v>
      </c>
      <c r="F559" t="s">
        <v>754</v>
      </c>
      <c r="H559">
        <v>81.83</v>
      </c>
      <c r="O559" t="s">
        <v>239</v>
      </c>
      <c r="P559" t="s">
        <v>514</v>
      </c>
      <c r="Y559">
        <v>525</v>
      </c>
      <c r="Z559" s="259" t="s">
        <v>630</v>
      </c>
      <c r="AA559">
        <v>100</v>
      </c>
      <c r="AB559">
        <v>8008</v>
      </c>
      <c r="AC559">
        <v>45832</v>
      </c>
      <c r="AD559">
        <v>0</v>
      </c>
      <c r="AE559">
        <v>8183</v>
      </c>
      <c r="AF559">
        <v>8183</v>
      </c>
      <c r="AG559">
        <v>0</v>
      </c>
      <c r="AH559">
        <v>175</v>
      </c>
    </row>
    <row r="560" spans="2:34" x14ac:dyDescent="0.35">
      <c r="B560" t="s">
        <v>563</v>
      </c>
      <c r="C560">
        <v>45833</v>
      </c>
      <c r="F560" t="s">
        <v>749</v>
      </c>
      <c r="H560">
        <v>54.47</v>
      </c>
      <c r="O560" t="s">
        <v>239</v>
      </c>
      <c r="P560" t="s">
        <v>514</v>
      </c>
      <c r="Y560">
        <v>526</v>
      </c>
      <c r="Z560" s="259" t="s">
        <v>630</v>
      </c>
      <c r="AA560">
        <v>300</v>
      </c>
      <c r="AB560">
        <v>14915</v>
      </c>
      <c r="AC560">
        <v>45833</v>
      </c>
      <c r="AD560">
        <v>0</v>
      </c>
      <c r="AE560">
        <v>16341</v>
      </c>
      <c r="AF560">
        <v>16341</v>
      </c>
      <c r="AG560">
        <v>0</v>
      </c>
      <c r="AH560">
        <v>1426</v>
      </c>
    </row>
    <row r="561" spans="2:34" x14ac:dyDescent="0.35">
      <c r="B561" t="s">
        <v>563</v>
      </c>
      <c r="C561">
        <v>45833</v>
      </c>
      <c r="F561" t="s">
        <v>752</v>
      </c>
      <c r="H561">
        <v>183.9</v>
      </c>
      <c r="O561" t="s">
        <v>239</v>
      </c>
      <c r="P561" t="s">
        <v>514</v>
      </c>
      <c r="Y561">
        <v>527</v>
      </c>
      <c r="Z561" s="259" t="s">
        <v>630</v>
      </c>
      <c r="AA561">
        <v>50</v>
      </c>
      <c r="AB561">
        <v>10010</v>
      </c>
      <c r="AC561">
        <v>45833</v>
      </c>
      <c r="AD561">
        <v>0</v>
      </c>
      <c r="AE561">
        <v>9195</v>
      </c>
      <c r="AF561">
        <v>9195</v>
      </c>
      <c r="AG561">
        <v>0</v>
      </c>
      <c r="AH561">
        <v>-815</v>
      </c>
    </row>
    <row r="562" spans="2:34" x14ac:dyDescent="0.35">
      <c r="B562" t="s">
        <v>563</v>
      </c>
      <c r="C562">
        <v>45833</v>
      </c>
      <c r="F562" t="s">
        <v>754</v>
      </c>
      <c r="H562">
        <v>81.69</v>
      </c>
      <c r="O562" t="s">
        <v>239</v>
      </c>
      <c r="P562" t="s">
        <v>514</v>
      </c>
      <c r="Y562">
        <v>528</v>
      </c>
      <c r="Z562" s="259" t="s">
        <v>630</v>
      </c>
      <c r="AA562">
        <v>100</v>
      </c>
      <c r="AB562">
        <v>8008</v>
      </c>
      <c r="AC562">
        <v>45833</v>
      </c>
      <c r="AD562">
        <v>0</v>
      </c>
      <c r="AE562">
        <v>8169</v>
      </c>
      <c r="AF562">
        <v>8169</v>
      </c>
      <c r="AG562">
        <v>0</v>
      </c>
      <c r="AH562">
        <v>161</v>
      </c>
    </row>
    <row r="563" spans="2:34" x14ac:dyDescent="0.35">
      <c r="B563" t="s">
        <v>563</v>
      </c>
      <c r="C563">
        <v>45834</v>
      </c>
      <c r="F563" t="s">
        <v>749</v>
      </c>
      <c r="H563">
        <v>54.67</v>
      </c>
      <c r="O563" t="s">
        <v>239</v>
      </c>
      <c r="P563" t="s">
        <v>514</v>
      </c>
      <c r="Y563">
        <v>529</v>
      </c>
      <c r="Z563" s="259" t="s">
        <v>630</v>
      </c>
      <c r="AA563">
        <v>300</v>
      </c>
      <c r="AB563">
        <v>14915</v>
      </c>
      <c r="AC563">
        <v>45834</v>
      </c>
      <c r="AD563">
        <v>0</v>
      </c>
      <c r="AE563">
        <v>16401</v>
      </c>
      <c r="AF563">
        <v>16401</v>
      </c>
      <c r="AG563">
        <v>0</v>
      </c>
      <c r="AH563">
        <v>1486</v>
      </c>
    </row>
    <row r="564" spans="2:34" x14ac:dyDescent="0.35">
      <c r="B564" t="s">
        <v>563</v>
      </c>
      <c r="C564">
        <v>45834</v>
      </c>
      <c r="F564" t="s">
        <v>752</v>
      </c>
      <c r="H564">
        <v>183.52</v>
      </c>
      <c r="O564" t="s">
        <v>239</v>
      </c>
      <c r="P564" t="s">
        <v>514</v>
      </c>
      <c r="Y564">
        <v>530</v>
      </c>
      <c r="Z564" s="259" t="s">
        <v>630</v>
      </c>
      <c r="AA564">
        <v>50</v>
      </c>
      <c r="AB564">
        <v>10010</v>
      </c>
      <c r="AC564">
        <v>45834</v>
      </c>
      <c r="AD564">
        <v>0</v>
      </c>
      <c r="AE564">
        <v>9176</v>
      </c>
      <c r="AF564">
        <v>9176</v>
      </c>
      <c r="AG564">
        <v>0</v>
      </c>
      <c r="AH564">
        <v>-834</v>
      </c>
    </row>
    <row r="565" spans="2:34" x14ac:dyDescent="0.35">
      <c r="B565" t="s">
        <v>563</v>
      </c>
      <c r="C565">
        <v>45834</v>
      </c>
      <c r="F565" t="s">
        <v>754</v>
      </c>
      <c r="H565">
        <v>81.55</v>
      </c>
      <c r="O565" t="s">
        <v>239</v>
      </c>
      <c r="P565" t="s">
        <v>514</v>
      </c>
      <c r="Y565">
        <v>531</v>
      </c>
      <c r="Z565" s="259" t="s">
        <v>630</v>
      </c>
      <c r="AA565">
        <v>100</v>
      </c>
      <c r="AB565">
        <v>8008</v>
      </c>
      <c r="AC565">
        <v>45834</v>
      </c>
      <c r="AD565">
        <v>0</v>
      </c>
      <c r="AE565">
        <v>8155</v>
      </c>
      <c r="AF565">
        <v>8155</v>
      </c>
      <c r="AG565">
        <v>0</v>
      </c>
      <c r="AH565">
        <v>147</v>
      </c>
    </row>
    <row r="566" spans="2:34" x14ac:dyDescent="0.35">
      <c r="B566" t="s">
        <v>563</v>
      </c>
      <c r="C566">
        <v>45835</v>
      </c>
      <c r="F566" t="s">
        <v>749</v>
      </c>
      <c r="H566">
        <v>54.88</v>
      </c>
      <c r="O566" t="s">
        <v>239</v>
      </c>
      <c r="P566" t="s">
        <v>514</v>
      </c>
      <c r="Y566">
        <v>532</v>
      </c>
      <c r="Z566" s="259" t="s">
        <v>630</v>
      </c>
      <c r="AA566">
        <v>300</v>
      </c>
      <c r="AB566">
        <v>14915</v>
      </c>
      <c r="AC566">
        <v>45835</v>
      </c>
      <c r="AD566">
        <v>0</v>
      </c>
      <c r="AE566">
        <v>16464</v>
      </c>
      <c r="AF566">
        <v>16464</v>
      </c>
      <c r="AG566">
        <v>0</v>
      </c>
      <c r="AH566">
        <v>1549</v>
      </c>
    </row>
    <row r="567" spans="2:34" x14ac:dyDescent="0.35">
      <c r="B567" t="s">
        <v>563</v>
      </c>
      <c r="C567">
        <v>45835</v>
      </c>
      <c r="F567" t="s">
        <v>752</v>
      </c>
      <c r="H567">
        <v>183.14</v>
      </c>
      <c r="O567" t="s">
        <v>239</v>
      </c>
      <c r="P567" t="s">
        <v>514</v>
      </c>
      <c r="Y567">
        <v>533</v>
      </c>
      <c r="Z567" s="259" t="s">
        <v>630</v>
      </c>
      <c r="AA567">
        <v>50</v>
      </c>
      <c r="AB567">
        <v>10010</v>
      </c>
      <c r="AC567">
        <v>45835</v>
      </c>
      <c r="AD567">
        <v>0</v>
      </c>
      <c r="AE567">
        <v>9157</v>
      </c>
      <c r="AF567">
        <v>9157</v>
      </c>
      <c r="AG567">
        <v>0</v>
      </c>
      <c r="AH567">
        <v>-853</v>
      </c>
    </row>
    <row r="568" spans="2:34" x14ac:dyDescent="0.35">
      <c r="B568" t="s">
        <v>563</v>
      </c>
      <c r="C568">
        <v>45835</v>
      </c>
      <c r="F568" t="s">
        <v>754</v>
      </c>
      <c r="H568">
        <v>81.41</v>
      </c>
      <c r="O568" t="s">
        <v>239</v>
      </c>
      <c r="P568" t="s">
        <v>514</v>
      </c>
      <c r="Y568">
        <v>534</v>
      </c>
      <c r="Z568" s="259" t="s">
        <v>630</v>
      </c>
      <c r="AA568">
        <v>100</v>
      </c>
      <c r="AB568">
        <v>8008</v>
      </c>
      <c r="AC568">
        <v>45835</v>
      </c>
      <c r="AD568">
        <v>0</v>
      </c>
      <c r="AE568">
        <v>8141</v>
      </c>
      <c r="AF568">
        <v>8141</v>
      </c>
      <c r="AG568">
        <v>0</v>
      </c>
      <c r="AH568">
        <v>133</v>
      </c>
    </row>
    <row r="569" spans="2:34" x14ac:dyDescent="0.35">
      <c r="B569" t="s">
        <v>563</v>
      </c>
      <c r="C569">
        <v>45836</v>
      </c>
      <c r="F569" t="s">
        <v>749</v>
      </c>
      <c r="H569">
        <v>54.88</v>
      </c>
      <c r="O569" t="s">
        <v>239</v>
      </c>
      <c r="P569" t="s">
        <v>514</v>
      </c>
      <c r="Y569">
        <v>535</v>
      </c>
      <c r="Z569" s="259" t="s">
        <v>630</v>
      </c>
      <c r="AA569">
        <v>300</v>
      </c>
      <c r="AB569">
        <v>14915</v>
      </c>
      <c r="AC569">
        <v>45835</v>
      </c>
      <c r="AD569">
        <v>1</v>
      </c>
      <c r="AE569">
        <v>16464</v>
      </c>
      <c r="AF569">
        <v>16464</v>
      </c>
      <c r="AG569">
        <v>0</v>
      </c>
      <c r="AH569">
        <v>1549</v>
      </c>
    </row>
    <row r="570" spans="2:34" x14ac:dyDescent="0.35">
      <c r="B570" t="s">
        <v>563</v>
      </c>
      <c r="C570">
        <v>45836</v>
      </c>
      <c r="F570" t="s">
        <v>752</v>
      </c>
      <c r="H570">
        <v>183.14</v>
      </c>
      <c r="O570" t="s">
        <v>239</v>
      </c>
      <c r="P570" t="s">
        <v>514</v>
      </c>
      <c r="Y570">
        <v>536</v>
      </c>
      <c r="Z570" s="259" t="s">
        <v>630</v>
      </c>
      <c r="AA570">
        <v>50</v>
      </c>
      <c r="AB570">
        <v>10010</v>
      </c>
      <c r="AC570">
        <v>45835</v>
      </c>
      <c r="AD570">
        <v>1</v>
      </c>
      <c r="AE570">
        <v>9157</v>
      </c>
      <c r="AF570">
        <v>9157</v>
      </c>
      <c r="AG570">
        <v>0</v>
      </c>
      <c r="AH570">
        <v>-853</v>
      </c>
    </row>
    <row r="571" spans="2:34" x14ac:dyDescent="0.35">
      <c r="B571" t="s">
        <v>563</v>
      </c>
      <c r="C571">
        <v>45836</v>
      </c>
      <c r="F571" t="s">
        <v>754</v>
      </c>
      <c r="H571">
        <v>81.41</v>
      </c>
      <c r="O571" t="s">
        <v>239</v>
      </c>
      <c r="P571" t="s">
        <v>514</v>
      </c>
      <c r="Y571">
        <v>537</v>
      </c>
      <c r="Z571" s="259" t="s">
        <v>630</v>
      </c>
      <c r="AA571">
        <v>100</v>
      </c>
      <c r="AB571">
        <v>8008</v>
      </c>
      <c r="AC571">
        <v>45835</v>
      </c>
      <c r="AD571">
        <v>1</v>
      </c>
      <c r="AE571">
        <v>8141</v>
      </c>
      <c r="AF571">
        <v>8141</v>
      </c>
      <c r="AG571">
        <v>0</v>
      </c>
      <c r="AH571">
        <v>133</v>
      </c>
    </row>
    <row r="572" spans="2:34" x14ac:dyDescent="0.35">
      <c r="B572" t="s">
        <v>563</v>
      </c>
      <c r="C572">
        <v>45837</v>
      </c>
      <c r="F572" t="s">
        <v>749</v>
      </c>
      <c r="H572">
        <v>54.88</v>
      </c>
      <c r="O572" t="s">
        <v>239</v>
      </c>
      <c r="P572" t="s">
        <v>514</v>
      </c>
      <c r="Y572">
        <v>538</v>
      </c>
      <c r="Z572" s="259" t="s">
        <v>630</v>
      </c>
      <c r="AA572">
        <v>300</v>
      </c>
      <c r="AB572">
        <v>14915</v>
      </c>
      <c r="AC572">
        <v>45835</v>
      </c>
      <c r="AD572">
        <v>2</v>
      </c>
      <c r="AE572">
        <v>16464</v>
      </c>
      <c r="AF572">
        <v>16464</v>
      </c>
      <c r="AG572">
        <v>0</v>
      </c>
      <c r="AH572">
        <v>1549</v>
      </c>
    </row>
    <row r="573" spans="2:34" x14ac:dyDescent="0.35">
      <c r="B573" t="s">
        <v>563</v>
      </c>
      <c r="C573">
        <v>45837</v>
      </c>
      <c r="F573" t="s">
        <v>752</v>
      </c>
      <c r="H573">
        <v>183.14</v>
      </c>
      <c r="O573" t="s">
        <v>239</v>
      </c>
      <c r="P573" t="s">
        <v>514</v>
      </c>
      <c r="Y573">
        <v>539</v>
      </c>
      <c r="Z573" s="259" t="s">
        <v>630</v>
      </c>
      <c r="AA573">
        <v>50</v>
      </c>
      <c r="AB573">
        <v>10010</v>
      </c>
      <c r="AC573">
        <v>45835</v>
      </c>
      <c r="AD573">
        <v>2</v>
      </c>
      <c r="AE573">
        <v>9157</v>
      </c>
      <c r="AF573">
        <v>9157</v>
      </c>
      <c r="AG573">
        <v>0</v>
      </c>
      <c r="AH573">
        <v>-853</v>
      </c>
    </row>
    <row r="574" spans="2:34" x14ac:dyDescent="0.35">
      <c r="B574" t="s">
        <v>563</v>
      </c>
      <c r="C574">
        <v>45837</v>
      </c>
      <c r="F574" t="s">
        <v>754</v>
      </c>
      <c r="H574">
        <v>81.41</v>
      </c>
      <c r="O574" t="s">
        <v>239</v>
      </c>
      <c r="P574" t="s">
        <v>514</v>
      </c>
      <c r="Y574">
        <v>540</v>
      </c>
      <c r="Z574" s="259" t="s">
        <v>630</v>
      </c>
      <c r="AA574">
        <v>100</v>
      </c>
      <c r="AB574">
        <v>8008</v>
      </c>
      <c r="AC574">
        <v>45835</v>
      </c>
      <c r="AD574">
        <v>2</v>
      </c>
      <c r="AE574">
        <v>8141</v>
      </c>
      <c r="AF574">
        <v>8141</v>
      </c>
      <c r="AG574">
        <v>0</v>
      </c>
      <c r="AH574">
        <v>133</v>
      </c>
    </row>
    <row r="575" spans="2:34" x14ac:dyDescent="0.35">
      <c r="B575" t="s">
        <v>563</v>
      </c>
      <c r="C575">
        <v>45838</v>
      </c>
      <c r="F575" t="s">
        <v>749</v>
      </c>
      <c r="H575">
        <v>55.5</v>
      </c>
      <c r="O575" t="s">
        <v>239</v>
      </c>
      <c r="P575" t="s">
        <v>514</v>
      </c>
      <c r="Y575">
        <v>541</v>
      </c>
      <c r="Z575" s="259" t="s">
        <v>630</v>
      </c>
      <c r="AA575">
        <v>300</v>
      </c>
      <c r="AB575">
        <v>14915</v>
      </c>
      <c r="AC575">
        <v>45838</v>
      </c>
      <c r="AD575">
        <v>0</v>
      </c>
      <c r="AE575">
        <v>16650</v>
      </c>
      <c r="AF575">
        <v>16650</v>
      </c>
      <c r="AG575">
        <v>0</v>
      </c>
      <c r="AH575">
        <v>1735</v>
      </c>
    </row>
    <row r="576" spans="2:34" x14ac:dyDescent="0.35">
      <c r="B576" t="s">
        <v>563</v>
      </c>
      <c r="C576">
        <v>45838</v>
      </c>
      <c r="F576" t="s">
        <v>752</v>
      </c>
      <c r="H576">
        <v>182</v>
      </c>
      <c r="O576" t="s">
        <v>239</v>
      </c>
      <c r="P576" t="s">
        <v>514</v>
      </c>
      <c r="Y576">
        <v>542</v>
      </c>
      <c r="Z576" s="259" t="s">
        <v>630</v>
      </c>
      <c r="AA576">
        <v>50</v>
      </c>
      <c r="AB576">
        <v>10010</v>
      </c>
      <c r="AC576">
        <v>45838</v>
      </c>
      <c r="AD576">
        <v>0</v>
      </c>
      <c r="AE576">
        <v>9100</v>
      </c>
      <c r="AF576">
        <v>9100</v>
      </c>
      <c r="AG576">
        <v>0</v>
      </c>
      <c r="AH576">
        <v>-910</v>
      </c>
    </row>
    <row r="577" spans="2:34" x14ac:dyDescent="0.35">
      <c r="B577" t="s">
        <v>563</v>
      </c>
      <c r="C577">
        <v>45838</v>
      </c>
      <c r="F577" t="s">
        <v>754</v>
      </c>
      <c r="H577">
        <v>81</v>
      </c>
      <c r="O577" t="s">
        <v>239</v>
      </c>
      <c r="P577" t="s">
        <v>514</v>
      </c>
      <c r="Y577">
        <v>543</v>
      </c>
      <c r="Z577" s="259" t="s">
        <v>630</v>
      </c>
      <c r="AA577">
        <v>100</v>
      </c>
      <c r="AB577">
        <v>8008</v>
      </c>
      <c r="AC577">
        <v>45838</v>
      </c>
      <c r="AD577">
        <v>0</v>
      </c>
      <c r="AE577">
        <v>8100</v>
      </c>
      <c r="AF577">
        <v>8100</v>
      </c>
      <c r="AG577">
        <v>0</v>
      </c>
      <c r="AH577">
        <v>92</v>
      </c>
    </row>
    <row r="578" spans="2:34" x14ac:dyDescent="0.35">
      <c r="B578" t="s">
        <v>563</v>
      </c>
      <c r="C578">
        <v>45839</v>
      </c>
      <c r="F578" t="s">
        <v>749</v>
      </c>
      <c r="H578">
        <v>55.5</v>
      </c>
      <c r="O578" t="s">
        <v>239</v>
      </c>
      <c r="P578" t="s">
        <v>514</v>
      </c>
      <c r="Y578">
        <v>544</v>
      </c>
      <c r="Z578" s="259" t="s">
        <v>630</v>
      </c>
      <c r="AA578">
        <v>220</v>
      </c>
      <c r="AB578">
        <v>10937.666666666666</v>
      </c>
      <c r="AC578">
        <v>45839</v>
      </c>
      <c r="AD578">
        <v>0</v>
      </c>
      <c r="AE578">
        <v>12210</v>
      </c>
      <c r="AF578">
        <v>12210</v>
      </c>
      <c r="AG578">
        <v>0</v>
      </c>
      <c r="AH578">
        <v>1272.3333333333339</v>
      </c>
    </row>
    <row r="579" spans="2:34" x14ac:dyDescent="0.35">
      <c r="B579" t="s">
        <v>563</v>
      </c>
      <c r="C579">
        <v>45839</v>
      </c>
      <c r="F579" t="s">
        <v>752</v>
      </c>
      <c r="H579">
        <v>182</v>
      </c>
      <c r="O579" t="s">
        <v>239</v>
      </c>
      <c r="P579" t="s">
        <v>514</v>
      </c>
      <c r="Y579">
        <v>545</v>
      </c>
      <c r="Z579" s="259" t="s">
        <v>630</v>
      </c>
      <c r="AA579">
        <v>50</v>
      </c>
      <c r="AB579">
        <v>10010</v>
      </c>
      <c r="AC579">
        <v>45839</v>
      </c>
      <c r="AD579">
        <v>0</v>
      </c>
      <c r="AE579">
        <v>9100</v>
      </c>
      <c r="AF579">
        <v>9100</v>
      </c>
      <c r="AG579">
        <v>0</v>
      </c>
      <c r="AH579">
        <v>-910</v>
      </c>
    </row>
    <row r="580" spans="2:34" x14ac:dyDescent="0.35">
      <c r="B580" t="s">
        <v>563</v>
      </c>
      <c r="C580">
        <v>45839</v>
      </c>
      <c r="F580" t="s">
        <v>754</v>
      </c>
      <c r="H580">
        <v>81</v>
      </c>
      <c r="O580" t="s">
        <v>239</v>
      </c>
      <c r="P580" t="s">
        <v>514</v>
      </c>
      <c r="Y580">
        <v>546</v>
      </c>
      <c r="Z580" s="259" t="s">
        <v>630</v>
      </c>
      <c r="AA580">
        <v>100</v>
      </c>
      <c r="AB580">
        <v>8008</v>
      </c>
      <c r="AC580">
        <v>45839</v>
      </c>
      <c r="AD580">
        <v>0</v>
      </c>
      <c r="AE580">
        <v>8100</v>
      </c>
      <c r="AF580">
        <v>8100</v>
      </c>
      <c r="AG580">
        <v>0</v>
      </c>
      <c r="AH580">
        <v>92</v>
      </c>
    </row>
    <row r="581" spans="2:34" x14ac:dyDescent="0.35">
      <c r="B581" t="s">
        <v>563</v>
      </c>
      <c r="C581">
        <v>45840</v>
      </c>
      <c r="F581" t="s">
        <v>749</v>
      </c>
      <c r="H581">
        <v>55.38</v>
      </c>
      <c r="O581" t="s">
        <v>239</v>
      </c>
      <c r="P581" t="s">
        <v>514</v>
      </c>
      <c r="Y581">
        <v>547</v>
      </c>
      <c r="Z581" s="259" t="s">
        <v>630</v>
      </c>
      <c r="AA581">
        <v>220</v>
      </c>
      <c r="AB581">
        <v>10937.666666666666</v>
      </c>
      <c r="AC581">
        <v>45840</v>
      </c>
      <c r="AD581">
        <v>0</v>
      </c>
      <c r="AE581">
        <v>12183.6</v>
      </c>
      <c r="AF581">
        <v>12183.6</v>
      </c>
      <c r="AG581">
        <v>0</v>
      </c>
      <c r="AH581">
        <v>1245.9333333333343</v>
      </c>
    </row>
    <row r="582" spans="2:34" x14ac:dyDescent="0.35">
      <c r="B582" t="s">
        <v>563</v>
      </c>
      <c r="C582">
        <v>45840</v>
      </c>
      <c r="F582" t="s">
        <v>752</v>
      </c>
      <c r="H582">
        <v>181.87</v>
      </c>
      <c r="O582" t="s">
        <v>239</v>
      </c>
      <c r="P582" t="s">
        <v>514</v>
      </c>
      <c r="Y582">
        <v>548</v>
      </c>
      <c r="Z582" s="259" t="s">
        <v>630</v>
      </c>
      <c r="AA582">
        <v>50</v>
      </c>
      <c r="AB582">
        <v>10010</v>
      </c>
      <c r="AC582">
        <v>45840</v>
      </c>
      <c r="AD582">
        <v>0</v>
      </c>
      <c r="AE582">
        <v>9093.5</v>
      </c>
      <c r="AF582">
        <v>9093.5</v>
      </c>
      <c r="AG582">
        <v>0</v>
      </c>
      <c r="AH582">
        <v>-916.5</v>
      </c>
    </row>
    <row r="583" spans="2:34" x14ac:dyDescent="0.35">
      <c r="B583" t="s">
        <v>563</v>
      </c>
      <c r="C583">
        <v>45840</v>
      </c>
      <c r="F583" t="s">
        <v>754</v>
      </c>
      <c r="H583">
        <v>80.87</v>
      </c>
      <c r="O583" t="s">
        <v>239</v>
      </c>
      <c r="P583" t="s">
        <v>514</v>
      </c>
      <c r="Y583">
        <v>549</v>
      </c>
      <c r="Z583" s="259" t="s">
        <v>630</v>
      </c>
      <c r="AA583">
        <v>100</v>
      </c>
      <c r="AB583">
        <v>8008</v>
      </c>
      <c r="AC583">
        <v>45840</v>
      </c>
      <c r="AD583">
        <v>0</v>
      </c>
      <c r="AE583">
        <v>8087</v>
      </c>
      <c r="AF583">
        <v>8087</v>
      </c>
      <c r="AG583">
        <v>0</v>
      </c>
      <c r="AH583">
        <v>79</v>
      </c>
    </row>
    <row r="584" spans="2:34" x14ac:dyDescent="0.35">
      <c r="B584" t="s">
        <v>563</v>
      </c>
      <c r="C584">
        <v>45841</v>
      </c>
      <c r="F584" t="s">
        <v>749</v>
      </c>
      <c r="H584">
        <v>55.27</v>
      </c>
      <c r="O584" t="s">
        <v>239</v>
      </c>
      <c r="P584" t="s">
        <v>514</v>
      </c>
      <c r="Y584">
        <v>550</v>
      </c>
      <c r="Z584" s="259" t="s">
        <v>630</v>
      </c>
      <c r="AA584">
        <v>220</v>
      </c>
      <c r="AB584">
        <v>10937.666666666666</v>
      </c>
      <c r="AC584">
        <v>45841</v>
      </c>
      <c r="AD584">
        <v>0</v>
      </c>
      <c r="AE584">
        <v>12159.400000000001</v>
      </c>
      <c r="AF584">
        <v>12159.400000000001</v>
      </c>
      <c r="AG584">
        <v>0</v>
      </c>
      <c r="AH584">
        <v>1221.7333333333354</v>
      </c>
    </row>
    <row r="585" spans="2:34" x14ac:dyDescent="0.35">
      <c r="B585" t="s">
        <v>563</v>
      </c>
      <c r="C585">
        <v>45841</v>
      </c>
      <c r="F585" t="s">
        <v>752</v>
      </c>
      <c r="H585">
        <v>181.73</v>
      </c>
      <c r="O585" t="s">
        <v>239</v>
      </c>
      <c r="P585" t="s">
        <v>514</v>
      </c>
      <c r="Y585">
        <v>551</v>
      </c>
      <c r="Z585" s="259" t="s">
        <v>630</v>
      </c>
      <c r="AA585">
        <v>50</v>
      </c>
      <c r="AB585">
        <v>10010</v>
      </c>
      <c r="AC585">
        <v>45841</v>
      </c>
      <c r="AD585">
        <v>0</v>
      </c>
      <c r="AE585">
        <v>9086.5</v>
      </c>
      <c r="AF585">
        <v>9086.5</v>
      </c>
      <c r="AG585">
        <v>0</v>
      </c>
      <c r="AH585">
        <v>-923.5</v>
      </c>
    </row>
    <row r="586" spans="2:34" x14ac:dyDescent="0.35">
      <c r="B586" t="s">
        <v>563</v>
      </c>
      <c r="C586">
        <v>45841</v>
      </c>
      <c r="F586" t="s">
        <v>754</v>
      </c>
      <c r="H586">
        <v>80.73</v>
      </c>
      <c r="O586" t="s">
        <v>239</v>
      </c>
      <c r="P586" t="s">
        <v>514</v>
      </c>
      <c r="Y586">
        <v>552</v>
      </c>
      <c r="Z586" s="259" t="s">
        <v>630</v>
      </c>
      <c r="AA586">
        <v>100</v>
      </c>
      <c r="AB586">
        <v>8008</v>
      </c>
      <c r="AC586">
        <v>45841</v>
      </c>
      <c r="AD586">
        <v>0</v>
      </c>
      <c r="AE586">
        <v>8073</v>
      </c>
      <c r="AF586">
        <v>8073</v>
      </c>
      <c r="AG586">
        <v>0</v>
      </c>
      <c r="AH586">
        <v>65</v>
      </c>
    </row>
    <row r="587" spans="2:34" x14ac:dyDescent="0.35">
      <c r="B587" t="s">
        <v>563</v>
      </c>
      <c r="C587">
        <v>45842</v>
      </c>
      <c r="F587" t="s">
        <v>749</v>
      </c>
      <c r="H587">
        <v>55.15</v>
      </c>
      <c r="O587" t="s">
        <v>239</v>
      </c>
      <c r="P587" t="s">
        <v>514</v>
      </c>
      <c r="Y587">
        <v>553</v>
      </c>
      <c r="Z587" s="259" t="s">
        <v>630</v>
      </c>
      <c r="AA587">
        <v>220</v>
      </c>
      <c r="AB587">
        <v>10937.666666666666</v>
      </c>
      <c r="AC587">
        <v>45842</v>
      </c>
      <c r="AD587">
        <v>0</v>
      </c>
      <c r="AE587">
        <v>12133</v>
      </c>
      <c r="AF587">
        <v>12133</v>
      </c>
      <c r="AG587">
        <v>0</v>
      </c>
      <c r="AH587">
        <v>1195.3333333333339</v>
      </c>
    </row>
    <row r="588" spans="2:34" x14ac:dyDescent="0.35">
      <c r="B588" t="s">
        <v>563</v>
      </c>
      <c r="C588">
        <v>45842</v>
      </c>
      <c r="F588" t="s">
        <v>752</v>
      </c>
      <c r="H588">
        <v>181.6</v>
      </c>
      <c r="O588" t="s">
        <v>239</v>
      </c>
      <c r="P588" t="s">
        <v>514</v>
      </c>
      <c r="Y588">
        <v>554</v>
      </c>
      <c r="Z588" s="259" t="s">
        <v>630</v>
      </c>
      <c r="AA588">
        <v>50</v>
      </c>
      <c r="AB588">
        <v>10010</v>
      </c>
      <c r="AC588">
        <v>45842</v>
      </c>
      <c r="AD588">
        <v>0</v>
      </c>
      <c r="AE588">
        <v>9080</v>
      </c>
      <c r="AF588">
        <v>9080</v>
      </c>
      <c r="AG588">
        <v>0</v>
      </c>
      <c r="AH588">
        <v>-930</v>
      </c>
    </row>
    <row r="589" spans="2:34" x14ac:dyDescent="0.35">
      <c r="B589" t="s">
        <v>563</v>
      </c>
      <c r="C589">
        <v>45842</v>
      </c>
      <c r="F589" t="s">
        <v>754</v>
      </c>
      <c r="H589">
        <v>80.599999999999994</v>
      </c>
      <c r="O589" t="s">
        <v>239</v>
      </c>
      <c r="P589" t="s">
        <v>514</v>
      </c>
      <c r="Y589">
        <v>555</v>
      </c>
      <c r="Z589" s="259" t="s">
        <v>630</v>
      </c>
      <c r="AA589">
        <v>100</v>
      </c>
      <c r="AB589">
        <v>8008</v>
      </c>
      <c r="AC589">
        <v>45842</v>
      </c>
      <c r="AD589">
        <v>0</v>
      </c>
      <c r="AE589">
        <v>8059.9999999999991</v>
      </c>
      <c r="AF589">
        <v>8059.9999999999991</v>
      </c>
      <c r="AG589">
        <v>0</v>
      </c>
      <c r="AH589">
        <v>51.999999999999091</v>
      </c>
    </row>
    <row r="590" spans="2:34" x14ac:dyDescent="0.35">
      <c r="B590" t="s">
        <v>563</v>
      </c>
      <c r="C590">
        <v>45843</v>
      </c>
      <c r="F590" t="s">
        <v>749</v>
      </c>
      <c r="H590">
        <v>55.15</v>
      </c>
      <c r="O590" t="s">
        <v>239</v>
      </c>
      <c r="P590" t="s">
        <v>514</v>
      </c>
      <c r="Y590">
        <v>556</v>
      </c>
      <c r="Z590" s="259" t="s">
        <v>630</v>
      </c>
      <c r="AA590">
        <v>220</v>
      </c>
      <c r="AB590">
        <v>10937.666666666666</v>
      </c>
      <c r="AC590">
        <v>45842</v>
      </c>
      <c r="AD590">
        <v>1</v>
      </c>
      <c r="AE590">
        <v>12133</v>
      </c>
      <c r="AF590">
        <v>12133</v>
      </c>
      <c r="AG590">
        <v>0</v>
      </c>
      <c r="AH590">
        <v>1195.3333333333339</v>
      </c>
    </row>
    <row r="591" spans="2:34" x14ac:dyDescent="0.35">
      <c r="B591" t="s">
        <v>563</v>
      </c>
      <c r="C591">
        <v>45843</v>
      </c>
      <c r="F591" t="s">
        <v>752</v>
      </c>
      <c r="H591">
        <v>181.6</v>
      </c>
      <c r="O591" t="s">
        <v>239</v>
      </c>
      <c r="P591" t="s">
        <v>514</v>
      </c>
      <c r="Y591">
        <v>557</v>
      </c>
      <c r="Z591" s="259" t="s">
        <v>630</v>
      </c>
      <c r="AA591">
        <v>50</v>
      </c>
      <c r="AB591">
        <v>10010</v>
      </c>
      <c r="AC591">
        <v>45842</v>
      </c>
      <c r="AD591">
        <v>1</v>
      </c>
      <c r="AE591">
        <v>9080</v>
      </c>
      <c r="AF591">
        <v>9080</v>
      </c>
      <c r="AG591">
        <v>0</v>
      </c>
      <c r="AH591">
        <v>-930</v>
      </c>
    </row>
    <row r="592" spans="2:34" x14ac:dyDescent="0.35">
      <c r="B592" t="s">
        <v>563</v>
      </c>
      <c r="C592">
        <v>45843</v>
      </c>
      <c r="F592" t="s">
        <v>754</v>
      </c>
      <c r="H592">
        <v>80.599999999999994</v>
      </c>
      <c r="O592" t="s">
        <v>239</v>
      </c>
      <c r="P592" t="s">
        <v>514</v>
      </c>
      <c r="Y592">
        <v>558</v>
      </c>
      <c r="Z592" s="259" t="s">
        <v>630</v>
      </c>
      <c r="AA592">
        <v>100</v>
      </c>
      <c r="AB592">
        <v>8008</v>
      </c>
      <c r="AC592">
        <v>45842</v>
      </c>
      <c r="AD592">
        <v>1</v>
      </c>
      <c r="AE592">
        <v>8059.9999999999991</v>
      </c>
      <c r="AF592">
        <v>8059.9999999999991</v>
      </c>
      <c r="AG592">
        <v>0</v>
      </c>
      <c r="AH592">
        <v>51.999999999999091</v>
      </c>
    </row>
    <row r="593" spans="2:34" x14ac:dyDescent="0.35">
      <c r="B593" t="s">
        <v>563</v>
      </c>
      <c r="C593">
        <v>45844</v>
      </c>
      <c r="F593" t="s">
        <v>749</v>
      </c>
      <c r="H593">
        <v>55.15</v>
      </c>
      <c r="O593" t="s">
        <v>239</v>
      </c>
      <c r="P593" t="s">
        <v>514</v>
      </c>
      <c r="Y593">
        <v>559</v>
      </c>
      <c r="Z593" s="259" t="s">
        <v>630</v>
      </c>
      <c r="AA593">
        <v>220</v>
      </c>
      <c r="AB593">
        <v>10937.666666666666</v>
      </c>
      <c r="AC593">
        <v>45842</v>
      </c>
      <c r="AD593">
        <v>2</v>
      </c>
      <c r="AE593">
        <v>12133</v>
      </c>
      <c r="AF593">
        <v>12133</v>
      </c>
      <c r="AG593">
        <v>0</v>
      </c>
      <c r="AH593">
        <v>1195.3333333333339</v>
      </c>
    </row>
    <row r="594" spans="2:34" x14ac:dyDescent="0.35">
      <c r="B594" t="s">
        <v>563</v>
      </c>
      <c r="C594">
        <v>45844</v>
      </c>
      <c r="F594" t="s">
        <v>752</v>
      </c>
      <c r="H594">
        <v>181.6</v>
      </c>
      <c r="O594" t="s">
        <v>239</v>
      </c>
      <c r="P594" t="s">
        <v>514</v>
      </c>
      <c r="Y594">
        <v>560</v>
      </c>
      <c r="Z594" s="259" t="s">
        <v>630</v>
      </c>
      <c r="AA594">
        <v>50</v>
      </c>
      <c r="AB594">
        <v>10010</v>
      </c>
      <c r="AC594">
        <v>45842</v>
      </c>
      <c r="AD594">
        <v>2</v>
      </c>
      <c r="AE594">
        <v>9080</v>
      </c>
      <c r="AF594">
        <v>9080</v>
      </c>
      <c r="AG594">
        <v>0</v>
      </c>
      <c r="AH594">
        <v>-930</v>
      </c>
    </row>
    <row r="595" spans="2:34" x14ac:dyDescent="0.35">
      <c r="B595" t="s">
        <v>563</v>
      </c>
      <c r="C595">
        <v>45844</v>
      </c>
      <c r="F595" t="s">
        <v>754</v>
      </c>
      <c r="H595">
        <v>80.599999999999994</v>
      </c>
      <c r="O595" t="s">
        <v>239</v>
      </c>
      <c r="P595" t="s">
        <v>514</v>
      </c>
      <c r="Y595">
        <v>561</v>
      </c>
      <c r="Z595" s="259" t="s">
        <v>630</v>
      </c>
      <c r="AA595">
        <v>100</v>
      </c>
      <c r="AB595">
        <v>8008</v>
      </c>
      <c r="AC595">
        <v>45842</v>
      </c>
      <c r="AD595">
        <v>2</v>
      </c>
      <c r="AE595">
        <v>8059.9999999999991</v>
      </c>
      <c r="AF595">
        <v>8059.9999999999991</v>
      </c>
      <c r="AG595">
        <v>0</v>
      </c>
      <c r="AH595">
        <v>51.999999999999091</v>
      </c>
    </row>
    <row r="596" spans="2:34" x14ac:dyDescent="0.35">
      <c r="B596" t="s">
        <v>563</v>
      </c>
      <c r="C596">
        <v>45845</v>
      </c>
      <c r="F596" t="s">
        <v>749</v>
      </c>
      <c r="H596">
        <v>54.8</v>
      </c>
      <c r="O596" t="s">
        <v>239</v>
      </c>
      <c r="P596" t="s">
        <v>514</v>
      </c>
      <c r="Y596">
        <v>562</v>
      </c>
      <c r="Z596" s="259" t="s">
        <v>630</v>
      </c>
      <c r="AA596">
        <v>220</v>
      </c>
      <c r="AB596">
        <v>10937.666666666666</v>
      </c>
      <c r="AC596">
        <v>45845</v>
      </c>
      <c r="AD596">
        <v>0</v>
      </c>
      <c r="AE596">
        <v>12056</v>
      </c>
      <c r="AF596">
        <v>12056</v>
      </c>
      <c r="AG596">
        <v>0</v>
      </c>
      <c r="AH596">
        <v>1118.3333333333339</v>
      </c>
    </row>
    <row r="597" spans="2:34" x14ac:dyDescent="0.35">
      <c r="B597" t="s">
        <v>563</v>
      </c>
      <c r="C597">
        <v>45845</v>
      </c>
      <c r="F597" t="s">
        <v>752</v>
      </c>
      <c r="H597">
        <v>181.2</v>
      </c>
      <c r="O597" t="s">
        <v>239</v>
      </c>
      <c r="P597" t="s">
        <v>514</v>
      </c>
      <c r="Y597">
        <v>563</v>
      </c>
      <c r="Z597" s="259" t="s">
        <v>630</v>
      </c>
      <c r="AA597">
        <v>50</v>
      </c>
      <c r="AB597">
        <v>10010</v>
      </c>
      <c r="AC597">
        <v>45845</v>
      </c>
      <c r="AD597">
        <v>0</v>
      </c>
      <c r="AE597">
        <v>9060</v>
      </c>
      <c r="AF597">
        <v>9060</v>
      </c>
      <c r="AG597">
        <v>0</v>
      </c>
      <c r="AH597">
        <v>-950</v>
      </c>
    </row>
    <row r="598" spans="2:34" x14ac:dyDescent="0.35">
      <c r="B598" t="s">
        <v>563</v>
      </c>
      <c r="C598">
        <v>45845</v>
      </c>
      <c r="F598" t="s">
        <v>754</v>
      </c>
      <c r="H598">
        <v>80.2</v>
      </c>
      <c r="O598" t="s">
        <v>239</v>
      </c>
      <c r="P598" t="s">
        <v>514</v>
      </c>
      <c r="Y598">
        <v>564</v>
      </c>
      <c r="Z598" s="259" t="s">
        <v>630</v>
      </c>
      <c r="AA598">
        <v>100</v>
      </c>
      <c r="AB598">
        <v>8008</v>
      </c>
      <c r="AC598">
        <v>45845</v>
      </c>
      <c r="AD598">
        <v>0</v>
      </c>
      <c r="AE598">
        <v>8020</v>
      </c>
      <c r="AF598">
        <v>8020</v>
      </c>
      <c r="AG598">
        <v>0</v>
      </c>
      <c r="AH598">
        <v>12</v>
      </c>
    </row>
    <row r="599" spans="2:34" x14ac:dyDescent="0.35">
      <c r="B599" t="s">
        <v>563</v>
      </c>
      <c r="C599">
        <v>45846</v>
      </c>
      <c r="F599" t="s">
        <v>749</v>
      </c>
      <c r="H599">
        <v>54.68</v>
      </c>
      <c r="O599" t="s">
        <v>239</v>
      </c>
      <c r="P599" t="s">
        <v>514</v>
      </c>
      <c r="Y599">
        <v>565</v>
      </c>
      <c r="Z599" s="259" t="s">
        <v>630</v>
      </c>
      <c r="AA599">
        <v>220</v>
      </c>
      <c r="AB599">
        <v>10937.666666666666</v>
      </c>
      <c r="AC599">
        <v>45846</v>
      </c>
      <c r="AD599">
        <v>0</v>
      </c>
      <c r="AE599">
        <v>12029.6</v>
      </c>
      <c r="AF599">
        <v>12029.6</v>
      </c>
      <c r="AG599">
        <v>0</v>
      </c>
      <c r="AH599">
        <v>1091.9333333333343</v>
      </c>
    </row>
    <row r="600" spans="2:34" x14ac:dyDescent="0.35">
      <c r="B600" t="s">
        <v>563</v>
      </c>
      <c r="C600">
        <v>45846</v>
      </c>
      <c r="F600" t="s">
        <v>752</v>
      </c>
      <c r="H600">
        <v>181.07</v>
      </c>
      <c r="O600" t="s">
        <v>239</v>
      </c>
      <c r="P600" t="s">
        <v>514</v>
      </c>
      <c r="Y600">
        <v>566</v>
      </c>
      <c r="Z600" s="259" t="s">
        <v>630</v>
      </c>
      <c r="AA600">
        <v>50</v>
      </c>
      <c r="AB600">
        <v>10010</v>
      </c>
      <c r="AC600">
        <v>45846</v>
      </c>
      <c r="AD600">
        <v>0</v>
      </c>
      <c r="AE600">
        <v>9053.5</v>
      </c>
      <c r="AF600">
        <v>9053.5</v>
      </c>
      <c r="AG600">
        <v>0</v>
      </c>
      <c r="AH600">
        <v>-956.5</v>
      </c>
    </row>
    <row r="601" spans="2:34" x14ac:dyDescent="0.35">
      <c r="B601" t="s">
        <v>563</v>
      </c>
      <c r="C601">
        <v>45846</v>
      </c>
      <c r="F601" t="s">
        <v>754</v>
      </c>
      <c r="H601">
        <v>80.069999999999993</v>
      </c>
      <c r="O601" t="s">
        <v>239</v>
      </c>
      <c r="P601" t="s">
        <v>514</v>
      </c>
      <c r="Y601">
        <v>567</v>
      </c>
      <c r="Z601" s="259" t="s">
        <v>630</v>
      </c>
      <c r="AA601">
        <v>100</v>
      </c>
      <c r="AB601">
        <v>8008</v>
      </c>
      <c r="AC601">
        <v>45846</v>
      </c>
      <c r="AD601">
        <v>0</v>
      </c>
      <c r="AE601">
        <v>8006.9999999999991</v>
      </c>
      <c r="AF601">
        <v>8006.9999999999991</v>
      </c>
      <c r="AG601">
        <v>0</v>
      </c>
      <c r="AH601">
        <v>-1.0000000000009095</v>
      </c>
    </row>
    <row r="602" spans="2:34" x14ac:dyDescent="0.35">
      <c r="B602" t="s">
        <v>563</v>
      </c>
      <c r="C602">
        <v>45847</v>
      </c>
      <c r="F602" t="s">
        <v>749</v>
      </c>
      <c r="H602">
        <v>54.57</v>
      </c>
      <c r="O602" t="s">
        <v>239</v>
      </c>
      <c r="P602" t="s">
        <v>514</v>
      </c>
      <c r="Y602">
        <v>568</v>
      </c>
      <c r="Z602" s="259" t="s">
        <v>630</v>
      </c>
      <c r="AA602">
        <v>220</v>
      </c>
      <c r="AB602">
        <v>10937.666666666666</v>
      </c>
      <c r="AC602">
        <v>45847</v>
      </c>
      <c r="AD602">
        <v>0</v>
      </c>
      <c r="AE602">
        <v>12005.4</v>
      </c>
      <c r="AF602">
        <v>12005.4</v>
      </c>
      <c r="AG602">
        <v>0</v>
      </c>
      <c r="AH602">
        <v>1067.7333333333336</v>
      </c>
    </row>
    <row r="603" spans="2:34" x14ac:dyDescent="0.35">
      <c r="B603" t="s">
        <v>563</v>
      </c>
      <c r="C603">
        <v>45847</v>
      </c>
      <c r="F603" t="s">
        <v>752</v>
      </c>
      <c r="H603">
        <v>180.93</v>
      </c>
      <c r="O603" t="s">
        <v>239</v>
      </c>
      <c r="P603" t="s">
        <v>514</v>
      </c>
      <c r="Y603">
        <v>569</v>
      </c>
      <c r="Z603" s="259" t="s">
        <v>630</v>
      </c>
      <c r="AA603">
        <v>50</v>
      </c>
      <c r="AB603">
        <v>10010</v>
      </c>
      <c r="AC603">
        <v>45847</v>
      </c>
      <c r="AD603">
        <v>0</v>
      </c>
      <c r="AE603">
        <v>9046.5</v>
      </c>
      <c r="AF603">
        <v>9046.5</v>
      </c>
      <c r="AG603">
        <v>0</v>
      </c>
      <c r="AH603">
        <v>-963.5</v>
      </c>
    </row>
    <row r="604" spans="2:34" x14ac:dyDescent="0.35">
      <c r="B604" t="s">
        <v>563</v>
      </c>
      <c r="C604">
        <v>45847</v>
      </c>
      <c r="F604" t="s">
        <v>754</v>
      </c>
      <c r="H604">
        <v>79.930000000000007</v>
      </c>
      <c r="O604" t="s">
        <v>239</v>
      </c>
      <c r="P604" t="s">
        <v>514</v>
      </c>
      <c r="Y604">
        <v>570</v>
      </c>
      <c r="Z604" s="259" t="s">
        <v>630</v>
      </c>
      <c r="AA604">
        <v>100</v>
      </c>
      <c r="AB604">
        <v>8008</v>
      </c>
      <c r="AC604">
        <v>45847</v>
      </c>
      <c r="AD604">
        <v>0</v>
      </c>
      <c r="AE604">
        <v>7993.0000000000009</v>
      </c>
      <c r="AF604">
        <v>7993.0000000000009</v>
      </c>
      <c r="AG604">
        <v>0</v>
      </c>
      <c r="AH604">
        <v>-14.999999999999091</v>
      </c>
    </row>
    <row r="605" spans="2:34" x14ac:dyDescent="0.35">
      <c r="B605" t="s">
        <v>563</v>
      </c>
      <c r="C605">
        <v>45848</v>
      </c>
      <c r="F605" t="s">
        <v>749</v>
      </c>
      <c r="H605">
        <v>54.45</v>
      </c>
      <c r="O605" t="s">
        <v>239</v>
      </c>
      <c r="P605" t="s">
        <v>514</v>
      </c>
      <c r="Y605">
        <v>571</v>
      </c>
      <c r="Z605" s="259" t="s">
        <v>630</v>
      </c>
      <c r="AA605">
        <v>220</v>
      </c>
      <c r="AB605">
        <v>10937.666666666666</v>
      </c>
      <c r="AC605">
        <v>45848</v>
      </c>
      <c r="AD605">
        <v>0</v>
      </c>
      <c r="AE605">
        <v>11979</v>
      </c>
      <c r="AF605">
        <v>11979</v>
      </c>
      <c r="AG605">
        <v>0</v>
      </c>
      <c r="AH605">
        <v>1041.3333333333339</v>
      </c>
    </row>
    <row r="606" spans="2:34" x14ac:dyDescent="0.35">
      <c r="B606" t="s">
        <v>563</v>
      </c>
      <c r="C606">
        <v>45848</v>
      </c>
      <c r="F606" t="s">
        <v>752</v>
      </c>
      <c r="H606">
        <v>180.8</v>
      </c>
      <c r="O606" t="s">
        <v>239</v>
      </c>
      <c r="P606" t="s">
        <v>514</v>
      </c>
      <c r="Y606">
        <v>572</v>
      </c>
      <c r="Z606" s="259" t="s">
        <v>630</v>
      </c>
      <c r="AA606">
        <v>50</v>
      </c>
      <c r="AB606">
        <v>10010</v>
      </c>
      <c r="AC606">
        <v>45848</v>
      </c>
      <c r="AD606">
        <v>0</v>
      </c>
      <c r="AE606">
        <v>9040</v>
      </c>
      <c r="AF606">
        <v>9040</v>
      </c>
      <c r="AG606">
        <v>0</v>
      </c>
      <c r="AH606">
        <v>-970</v>
      </c>
    </row>
    <row r="607" spans="2:34" x14ac:dyDescent="0.35">
      <c r="B607" t="s">
        <v>563</v>
      </c>
      <c r="C607">
        <v>45848</v>
      </c>
      <c r="F607" t="s">
        <v>754</v>
      </c>
      <c r="H607">
        <v>79.8</v>
      </c>
      <c r="O607" t="s">
        <v>239</v>
      </c>
      <c r="P607" t="s">
        <v>514</v>
      </c>
      <c r="Y607">
        <v>573</v>
      </c>
      <c r="Z607" s="259" t="s">
        <v>630</v>
      </c>
      <c r="AA607">
        <v>100</v>
      </c>
      <c r="AB607">
        <v>8008</v>
      </c>
      <c r="AC607">
        <v>45848</v>
      </c>
      <c r="AD607">
        <v>0</v>
      </c>
      <c r="AE607">
        <v>7980</v>
      </c>
      <c r="AF607">
        <v>7980</v>
      </c>
      <c r="AG607">
        <v>0</v>
      </c>
      <c r="AH607">
        <v>-28</v>
      </c>
    </row>
    <row r="608" spans="2:34" x14ac:dyDescent="0.35">
      <c r="B608" t="s">
        <v>563</v>
      </c>
      <c r="C608">
        <v>45849</v>
      </c>
      <c r="F608" t="s">
        <v>749</v>
      </c>
      <c r="H608">
        <v>54.33</v>
      </c>
      <c r="O608" t="s">
        <v>239</v>
      </c>
      <c r="P608" t="s">
        <v>514</v>
      </c>
      <c r="Y608">
        <v>574</v>
      </c>
      <c r="Z608" s="259" t="s">
        <v>630</v>
      </c>
      <c r="AA608">
        <v>220</v>
      </c>
      <c r="AB608">
        <v>10937.666666666666</v>
      </c>
      <c r="AC608">
        <v>45849</v>
      </c>
      <c r="AD608">
        <v>0</v>
      </c>
      <c r="AE608">
        <v>11952.6</v>
      </c>
      <c r="AF608">
        <v>11952.6</v>
      </c>
      <c r="AG608">
        <v>0</v>
      </c>
      <c r="AH608">
        <v>1014.9333333333343</v>
      </c>
    </row>
    <row r="609" spans="2:34" x14ac:dyDescent="0.35">
      <c r="B609" t="s">
        <v>563</v>
      </c>
      <c r="C609">
        <v>45849</v>
      </c>
      <c r="F609" t="s">
        <v>752</v>
      </c>
      <c r="H609">
        <v>180.67</v>
      </c>
      <c r="O609" t="s">
        <v>239</v>
      </c>
      <c r="P609" t="s">
        <v>514</v>
      </c>
      <c r="Y609">
        <v>575</v>
      </c>
      <c r="Z609" s="259" t="s">
        <v>630</v>
      </c>
      <c r="AA609">
        <v>50</v>
      </c>
      <c r="AB609">
        <v>10010</v>
      </c>
      <c r="AC609">
        <v>45849</v>
      </c>
      <c r="AD609">
        <v>0</v>
      </c>
      <c r="AE609">
        <v>9033.5</v>
      </c>
      <c r="AF609">
        <v>9033.5</v>
      </c>
      <c r="AG609">
        <v>0</v>
      </c>
      <c r="AH609">
        <v>-976.5</v>
      </c>
    </row>
    <row r="610" spans="2:34" x14ac:dyDescent="0.35">
      <c r="B610" t="s">
        <v>563</v>
      </c>
      <c r="C610">
        <v>45849</v>
      </c>
      <c r="F610" t="s">
        <v>754</v>
      </c>
      <c r="H610">
        <v>79.67</v>
      </c>
      <c r="O610" t="s">
        <v>239</v>
      </c>
      <c r="P610" t="s">
        <v>514</v>
      </c>
      <c r="Y610">
        <v>576</v>
      </c>
      <c r="Z610" s="259" t="s">
        <v>630</v>
      </c>
      <c r="AA610">
        <v>100</v>
      </c>
      <c r="AB610">
        <v>8008</v>
      </c>
      <c r="AC610">
        <v>45849</v>
      </c>
      <c r="AD610">
        <v>0</v>
      </c>
      <c r="AE610">
        <v>7967</v>
      </c>
      <c r="AF610">
        <v>7967</v>
      </c>
      <c r="AG610">
        <v>0</v>
      </c>
      <c r="AH610">
        <v>-41</v>
      </c>
    </row>
    <row r="611" spans="2:34" x14ac:dyDescent="0.35">
      <c r="B611" t="s">
        <v>563</v>
      </c>
      <c r="C611">
        <v>45850</v>
      </c>
      <c r="F611" t="s">
        <v>749</v>
      </c>
      <c r="H611">
        <v>54.33</v>
      </c>
      <c r="O611" t="s">
        <v>239</v>
      </c>
      <c r="P611" t="s">
        <v>514</v>
      </c>
      <c r="Y611">
        <v>577</v>
      </c>
      <c r="Z611" s="259" t="s">
        <v>630</v>
      </c>
      <c r="AA611">
        <v>220</v>
      </c>
      <c r="AB611">
        <v>10937.666666666666</v>
      </c>
      <c r="AC611">
        <v>45849</v>
      </c>
      <c r="AD611">
        <v>1</v>
      </c>
      <c r="AE611">
        <v>11952.6</v>
      </c>
      <c r="AF611">
        <v>11952.6</v>
      </c>
      <c r="AG611">
        <v>0</v>
      </c>
      <c r="AH611">
        <v>1014.9333333333343</v>
      </c>
    </row>
    <row r="612" spans="2:34" x14ac:dyDescent="0.35">
      <c r="B612" t="s">
        <v>563</v>
      </c>
      <c r="C612">
        <v>45850</v>
      </c>
      <c r="F612" t="s">
        <v>752</v>
      </c>
      <c r="H612">
        <v>180.67</v>
      </c>
      <c r="O612" t="s">
        <v>239</v>
      </c>
      <c r="P612" t="s">
        <v>514</v>
      </c>
      <c r="Y612">
        <v>578</v>
      </c>
      <c r="Z612" s="259" t="s">
        <v>630</v>
      </c>
      <c r="AA612">
        <v>50</v>
      </c>
      <c r="AB612">
        <v>10010</v>
      </c>
      <c r="AC612">
        <v>45849</v>
      </c>
      <c r="AD612">
        <v>1</v>
      </c>
      <c r="AE612">
        <v>9033.5</v>
      </c>
      <c r="AF612">
        <v>9033.5</v>
      </c>
      <c r="AG612">
        <v>0</v>
      </c>
      <c r="AH612">
        <v>-976.5</v>
      </c>
    </row>
    <row r="613" spans="2:34" x14ac:dyDescent="0.35">
      <c r="B613" t="s">
        <v>563</v>
      </c>
      <c r="C613">
        <v>45850</v>
      </c>
      <c r="F613" t="s">
        <v>754</v>
      </c>
      <c r="H613">
        <v>79.67</v>
      </c>
      <c r="O613" t="s">
        <v>239</v>
      </c>
      <c r="P613" t="s">
        <v>514</v>
      </c>
      <c r="Y613">
        <v>579</v>
      </c>
      <c r="Z613" s="259" t="s">
        <v>630</v>
      </c>
      <c r="AA613">
        <v>100</v>
      </c>
      <c r="AB613">
        <v>8008</v>
      </c>
      <c r="AC613">
        <v>45849</v>
      </c>
      <c r="AD613">
        <v>1</v>
      </c>
      <c r="AE613">
        <v>7967</v>
      </c>
      <c r="AF613">
        <v>7967</v>
      </c>
      <c r="AG613">
        <v>0</v>
      </c>
      <c r="AH613">
        <v>-41</v>
      </c>
    </row>
    <row r="614" spans="2:34" x14ac:dyDescent="0.35">
      <c r="B614" t="s">
        <v>563</v>
      </c>
      <c r="C614">
        <v>45851</v>
      </c>
      <c r="F614" t="s">
        <v>749</v>
      </c>
      <c r="H614">
        <v>54.33</v>
      </c>
      <c r="O614" t="s">
        <v>239</v>
      </c>
      <c r="P614" t="s">
        <v>514</v>
      </c>
      <c r="Y614">
        <v>580</v>
      </c>
      <c r="Z614" s="259" t="s">
        <v>630</v>
      </c>
      <c r="AA614">
        <v>220</v>
      </c>
      <c r="AB614">
        <v>10937.666666666666</v>
      </c>
      <c r="AC614">
        <v>45849</v>
      </c>
      <c r="AD614">
        <v>2</v>
      </c>
      <c r="AE614">
        <v>11952.6</v>
      </c>
      <c r="AF614">
        <v>11952.6</v>
      </c>
      <c r="AG614">
        <v>0</v>
      </c>
      <c r="AH614">
        <v>1014.9333333333343</v>
      </c>
    </row>
    <row r="615" spans="2:34" x14ac:dyDescent="0.35">
      <c r="B615" t="s">
        <v>563</v>
      </c>
      <c r="C615">
        <v>45851</v>
      </c>
      <c r="F615" t="s">
        <v>752</v>
      </c>
      <c r="H615">
        <v>180.67</v>
      </c>
      <c r="O615" t="s">
        <v>239</v>
      </c>
      <c r="P615" t="s">
        <v>514</v>
      </c>
      <c r="Y615">
        <v>581</v>
      </c>
      <c r="Z615" s="259" t="s">
        <v>630</v>
      </c>
      <c r="AA615">
        <v>50</v>
      </c>
      <c r="AB615">
        <v>10010</v>
      </c>
      <c r="AC615">
        <v>45849</v>
      </c>
      <c r="AD615">
        <v>2</v>
      </c>
      <c r="AE615">
        <v>9033.5</v>
      </c>
      <c r="AF615">
        <v>9033.5</v>
      </c>
      <c r="AG615">
        <v>0</v>
      </c>
      <c r="AH615">
        <v>-976.5</v>
      </c>
    </row>
    <row r="616" spans="2:34" x14ac:dyDescent="0.35">
      <c r="B616" t="s">
        <v>563</v>
      </c>
      <c r="C616">
        <v>45851</v>
      </c>
      <c r="F616" t="s">
        <v>754</v>
      </c>
      <c r="H616">
        <v>79.67</v>
      </c>
      <c r="O616" t="s">
        <v>239</v>
      </c>
      <c r="P616" t="s">
        <v>514</v>
      </c>
      <c r="Y616">
        <v>582</v>
      </c>
      <c r="Z616" s="259" t="s">
        <v>630</v>
      </c>
      <c r="AA616">
        <v>100</v>
      </c>
      <c r="AB616">
        <v>8008</v>
      </c>
      <c r="AC616">
        <v>45849</v>
      </c>
      <c r="AD616">
        <v>2</v>
      </c>
      <c r="AE616">
        <v>7967</v>
      </c>
      <c r="AF616">
        <v>7967</v>
      </c>
      <c r="AG616">
        <v>0</v>
      </c>
      <c r="AH616">
        <v>-41</v>
      </c>
    </row>
    <row r="617" spans="2:34" x14ac:dyDescent="0.35">
      <c r="B617" t="s">
        <v>563</v>
      </c>
      <c r="C617">
        <v>45852</v>
      </c>
      <c r="F617" t="s">
        <v>749</v>
      </c>
      <c r="H617">
        <v>53.98</v>
      </c>
      <c r="O617" t="s">
        <v>239</v>
      </c>
      <c r="P617" t="s">
        <v>514</v>
      </c>
      <c r="Y617">
        <v>583</v>
      </c>
      <c r="Z617" s="259" t="s">
        <v>630</v>
      </c>
      <c r="AA617">
        <v>220</v>
      </c>
      <c r="AB617">
        <v>10937.666666666666</v>
      </c>
      <c r="AC617">
        <v>45852</v>
      </c>
      <c r="AD617">
        <v>0</v>
      </c>
      <c r="AE617">
        <v>11875.599999999999</v>
      </c>
      <c r="AF617">
        <v>11875.599999999999</v>
      </c>
      <c r="AG617">
        <v>0</v>
      </c>
      <c r="AH617">
        <v>937.93333333333248</v>
      </c>
    </row>
    <row r="618" spans="2:34" x14ac:dyDescent="0.35">
      <c r="B618" t="s">
        <v>563</v>
      </c>
      <c r="C618">
        <v>45852</v>
      </c>
      <c r="F618" t="s">
        <v>752</v>
      </c>
      <c r="H618">
        <v>180.27</v>
      </c>
      <c r="O618" t="s">
        <v>239</v>
      </c>
      <c r="P618" t="s">
        <v>514</v>
      </c>
      <c r="Y618">
        <v>584</v>
      </c>
      <c r="Z618" s="259" t="s">
        <v>630</v>
      </c>
      <c r="AA618">
        <v>50</v>
      </c>
      <c r="AB618">
        <v>10010</v>
      </c>
      <c r="AC618">
        <v>45852</v>
      </c>
      <c r="AD618">
        <v>0</v>
      </c>
      <c r="AE618">
        <v>9013.5</v>
      </c>
      <c r="AF618">
        <v>9013.5</v>
      </c>
      <c r="AG618">
        <v>0</v>
      </c>
      <c r="AH618">
        <v>-996.5</v>
      </c>
    </row>
    <row r="619" spans="2:34" x14ac:dyDescent="0.35">
      <c r="B619" t="s">
        <v>563</v>
      </c>
      <c r="C619">
        <v>45852</v>
      </c>
      <c r="F619" t="s">
        <v>754</v>
      </c>
      <c r="H619">
        <v>79.27</v>
      </c>
      <c r="O619" t="s">
        <v>239</v>
      </c>
      <c r="P619" t="s">
        <v>514</v>
      </c>
      <c r="Y619">
        <v>585</v>
      </c>
      <c r="Z619" s="259" t="s">
        <v>630</v>
      </c>
      <c r="AA619">
        <v>100</v>
      </c>
      <c r="AB619">
        <v>8008</v>
      </c>
      <c r="AC619">
        <v>45852</v>
      </c>
      <c r="AD619">
        <v>0</v>
      </c>
      <c r="AE619">
        <v>7927</v>
      </c>
      <c r="AF619">
        <v>7927</v>
      </c>
      <c r="AG619">
        <v>0</v>
      </c>
      <c r="AH619">
        <v>-81</v>
      </c>
    </row>
    <row r="620" spans="2:34" x14ac:dyDescent="0.35">
      <c r="B620" t="s">
        <v>563</v>
      </c>
      <c r="C620">
        <v>45853</v>
      </c>
      <c r="F620" t="s">
        <v>749</v>
      </c>
      <c r="H620">
        <v>53.87</v>
      </c>
      <c r="O620" t="s">
        <v>239</v>
      </c>
      <c r="P620" t="s">
        <v>514</v>
      </c>
      <c r="Y620">
        <v>586</v>
      </c>
      <c r="Z620" s="259" t="s">
        <v>630</v>
      </c>
      <c r="AA620">
        <v>220</v>
      </c>
      <c r="AB620">
        <v>10937.666666666666</v>
      </c>
      <c r="AC620">
        <v>45853</v>
      </c>
      <c r="AD620">
        <v>0</v>
      </c>
      <c r="AE620">
        <v>11851.4</v>
      </c>
      <c r="AF620">
        <v>11851.4</v>
      </c>
      <c r="AG620">
        <v>0</v>
      </c>
      <c r="AH620">
        <v>913.73333333333358</v>
      </c>
    </row>
    <row r="621" spans="2:34" x14ac:dyDescent="0.35">
      <c r="B621" t="s">
        <v>563</v>
      </c>
      <c r="C621">
        <v>45853</v>
      </c>
      <c r="F621" t="s">
        <v>752</v>
      </c>
      <c r="H621">
        <v>180.13</v>
      </c>
      <c r="O621" t="s">
        <v>239</v>
      </c>
      <c r="P621" t="s">
        <v>514</v>
      </c>
      <c r="Y621">
        <v>587</v>
      </c>
      <c r="Z621" s="259" t="s">
        <v>630</v>
      </c>
      <c r="AA621">
        <v>50</v>
      </c>
      <c r="AB621">
        <v>10010</v>
      </c>
      <c r="AC621">
        <v>45853</v>
      </c>
      <c r="AD621">
        <v>0</v>
      </c>
      <c r="AE621">
        <v>9006.5</v>
      </c>
      <c r="AF621">
        <v>9006.5</v>
      </c>
      <c r="AG621">
        <v>0</v>
      </c>
      <c r="AH621">
        <v>-1003.5</v>
      </c>
    </row>
    <row r="622" spans="2:34" x14ac:dyDescent="0.35">
      <c r="B622" t="s">
        <v>563</v>
      </c>
      <c r="C622">
        <v>45853</v>
      </c>
      <c r="F622" t="s">
        <v>754</v>
      </c>
      <c r="H622">
        <v>79.13</v>
      </c>
      <c r="O622" t="s">
        <v>239</v>
      </c>
      <c r="P622" t="s">
        <v>514</v>
      </c>
      <c r="Y622">
        <v>588</v>
      </c>
      <c r="Z622" s="259" t="s">
        <v>630</v>
      </c>
      <c r="AA622">
        <v>100</v>
      </c>
      <c r="AB622">
        <v>8008</v>
      </c>
      <c r="AC622">
        <v>45853</v>
      </c>
      <c r="AD622">
        <v>0</v>
      </c>
      <c r="AE622">
        <v>7913</v>
      </c>
      <c r="AF622">
        <v>7913</v>
      </c>
      <c r="AG622">
        <v>0</v>
      </c>
      <c r="AH622">
        <v>-95</v>
      </c>
    </row>
    <row r="623" spans="2:34" x14ac:dyDescent="0.35">
      <c r="B623" t="s">
        <v>563</v>
      </c>
      <c r="C623">
        <v>45854</v>
      </c>
      <c r="F623" t="s">
        <v>749</v>
      </c>
      <c r="H623">
        <v>53.75</v>
      </c>
      <c r="O623" t="s">
        <v>239</v>
      </c>
      <c r="P623" t="s">
        <v>514</v>
      </c>
      <c r="Y623">
        <v>589</v>
      </c>
      <c r="Z623" s="259" t="s">
        <v>630</v>
      </c>
      <c r="AA623">
        <v>220</v>
      </c>
      <c r="AB623">
        <v>10937.666666666666</v>
      </c>
      <c r="AC623">
        <v>45854</v>
      </c>
      <c r="AD623">
        <v>0</v>
      </c>
      <c r="AE623">
        <v>11825</v>
      </c>
      <c r="AF623">
        <v>11825</v>
      </c>
      <c r="AG623">
        <v>0</v>
      </c>
      <c r="AH623">
        <v>887.33333333333394</v>
      </c>
    </row>
    <row r="624" spans="2:34" x14ac:dyDescent="0.35">
      <c r="B624" t="s">
        <v>563</v>
      </c>
      <c r="C624">
        <v>45854</v>
      </c>
      <c r="F624" t="s">
        <v>752</v>
      </c>
      <c r="H624">
        <v>180</v>
      </c>
      <c r="O624" t="s">
        <v>239</v>
      </c>
      <c r="P624" t="s">
        <v>514</v>
      </c>
      <c r="Y624">
        <v>590</v>
      </c>
      <c r="Z624" s="259" t="s">
        <v>630</v>
      </c>
      <c r="AA624">
        <v>50</v>
      </c>
      <c r="AB624">
        <v>10010</v>
      </c>
      <c r="AC624">
        <v>45854</v>
      </c>
      <c r="AD624">
        <v>0</v>
      </c>
      <c r="AE624">
        <v>9000</v>
      </c>
      <c r="AF624">
        <v>9000</v>
      </c>
      <c r="AG624">
        <v>0</v>
      </c>
      <c r="AH624">
        <v>-1010</v>
      </c>
    </row>
    <row r="625" spans="2:34" x14ac:dyDescent="0.35">
      <c r="B625" t="s">
        <v>563</v>
      </c>
      <c r="C625">
        <v>45854</v>
      </c>
      <c r="F625" t="s">
        <v>754</v>
      </c>
      <c r="H625">
        <v>79</v>
      </c>
      <c r="O625" t="s">
        <v>239</v>
      </c>
      <c r="P625" t="s">
        <v>514</v>
      </c>
      <c r="Y625">
        <v>591</v>
      </c>
      <c r="Z625" s="259" t="s">
        <v>630</v>
      </c>
      <c r="AA625">
        <v>100</v>
      </c>
      <c r="AB625">
        <v>8008</v>
      </c>
      <c r="AC625">
        <v>45854</v>
      </c>
      <c r="AD625">
        <v>0</v>
      </c>
      <c r="AE625">
        <v>7900</v>
      </c>
      <c r="AF625">
        <v>7900</v>
      </c>
      <c r="AG625">
        <v>0</v>
      </c>
      <c r="AH625">
        <v>-108</v>
      </c>
    </row>
    <row r="626" spans="2:34" x14ac:dyDescent="0.35">
      <c r="B626" t="s">
        <v>563</v>
      </c>
      <c r="C626">
        <v>45855</v>
      </c>
      <c r="F626" t="s">
        <v>749</v>
      </c>
      <c r="H626">
        <v>53.63</v>
      </c>
      <c r="O626" t="s">
        <v>239</v>
      </c>
      <c r="P626" t="s">
        <v>514</v>
      </c>
      <c r="Y626">
        <v>592</v>
      </c>
      <c r="Z626" s="259" t="s">
        <v>630</v>
      </c>
      <c r="AA626">
        <v>220</v>
      </c>
      <c r="AB626">
        <v>10937.666666666666</v>
      </c>
      <c r="AC626">
        <v>45855</v>
      </c>
      <c r="AD626">
        <v>0</v>
      </c>
      <c r="AE626">
        <v>11798.6</v>
      </c>
      <c r="AF626">
        <v>11798.6</v>
      </c>
      <c r="AG626">
        <v>0</v>
      </c>
      <c r="AH626">
        <v>860.9333333333343</v>
      </c>
    </row>
    <row r="627" spans="2:34" x14ac:dyDescent="0.35">
      <c r="B627" t="s">
        <v>563</v>
      </c>
      <c r="C627">
        <v>45855</v>
      </c>
      <c r="F627" t="s">
        <v>752</v>
      </c>
      <c r="H627">
        <v>179.87</v>
      </c>
      <c r="O627" t="s">
        <v>239</v>
      </c>
      <c r="P627" t="s">
        <v>514</v>
      </c>
      <c r="Y627">
        <v>593</v>
      </c>
      <c r="Z627" s="259" t="s">
        <v>630</v>
      </c>
      <c r="AA627">
        <v>50</v>
      </c>
      <c r="AB627">
        <v>10010</v>
      </c>
      <c r="AC627">
        <v>45855</v>
      </c>
      <c r="AD627">
        <v>0</v>
      </c>
      <c r="AE627">
        <v>8993.5</v>
      </c>
      <c r="AF627">
        <v>8993.5</v>
      </c>
      <c r="AG627">
        <v>0</v>
      </c>
      <c r="AH627">
        <v>-1016.5</v>
      </c>
    </row>
    <row r="628" spans="2:34" x14ac:dyDescent="0.35">
      <c r="B628" t="s">
        <v>563</v>
      </c>
      <c r="C628">
        <v>45855</v>
      </c>
      <c r="F628" t="s">
        <v>754</v>
      </c>
      <c r="H628">
        <v>78.87</v>
      </c>
      <c r="O628" t="s">
        <v>239</v>
      </c>
      <c r="P628" t="s">
        <v>514</v>
      </c>
      <c r="Y628">
        <v>594</v>
      </c>
      <c r="Z628" s="259" t="s">
        <v>630</v>
      </c>
      <c r="AA628">
        <v>100</v>
      </c>
      <c r="AB628">
        <v>8008</v>
      </c>
      <c r="AC628">
        <v>45855</v>
      </c>
      <c r="AD628">
        <v>0</v>
      </c>
      <c r="AE628">
        <v>7887</v>
      </c>
      <c r="AF628">
        <v>7887</v>
      </c>
      <c r="AG628">
        <v>0</v>
      </c>
      <c r="AH628">
        <v>-121</v>
      </c>
    </row>
    <row r="629" spans="2:34" x14ac:dyDescent="0.35">
      <c r="B629" t="s">
        <v>563</v>
      </c>
      <c r="C629">
        <v>45856</v>
      </c>
      <c r="F629" t="s">
        <v>749</v>
      </c>
      <c r="H629">
        <v>53.52</v>
      </c>
      <c r="O629" t="s">
        <v>239</v>
      </c>
      <c r="P629" t="s">
        <v>514</v>
      </c>
      <c r="Y629">
        <v>595</v>
      </c>
      <c r="Z629" s="259" t="s">
        <v>630</v>
      </c>
      <c r="AA629">
        <v>220</v>
      </c>
      <c r="AB629">
        <v>10937.666666666666</v>
      </c>
      <c r="AC629">
        <v>45856</v>
      </c>
      <c r="AD629">
        <v>0</v>
      </c>
      <c r="AE629">
        <v>11774.400000000001</v>
      </c>
      <c r="AF629">
        <v>11774.400000000001</v>
      </c>
      <c r="AG629">
        <v>0</v>
      </c>
      <c r="AH629">
        <v>836.73333333333539</v>
      </c>
    </row>
    <row r="630" spans="2:34" x14ac:dyDescent="0.35">
      <c r="B630" t="s">
        <v>563</v>
      </c>
      <c r="C630">
        <v>45856</v>
      </c>
      <c r="F630" t="s">
        <v>752</v>
      </c>
      <c r="H630">
        <v>179.73</v>
      </c>
      <c r="O630" t="s">
        <v>239</v>
      </c>
      <c r="P630" t="s">
        <v>514</v>
      </c>
      <c r="Y630">
        <v>596</v>
      </c>
      <c r="Z630" s="259" t="s">
        <v>630</v>
      </c>
      <c r="AA630">
        <v>50</v>
      </c>
      <c r="AB630">
        <v>10010</v>
      </c>
      <c r="AC630">
        <v>45856</v>
      </c>
      <c r="AD630">
        <v>0</v>
      </c>
      <c r="AE630">
        <v>8986.5</v>
      </c>
      <c r="AF630">
        <v>8986.5</v>
      </c>
      <c r="AG630">
        <v>0</v>
      </c>
      <c r="AH630">
        <v>-1023.5</v>
      </c>
    </row>
    <row r="631" spans="2:34" x14ac:dyDescent="0.35">
      <c r="B631" t="s">
        <v>563</v>
      </c>
      <c r="C631">
        <v>45856</v>
      </c>
      <c r="F631" t="s">
        <v>754</v>
      </c>
      <c r="H631">
        <v>78.73</v>
      </c>
      <c r="O631" t="s">
        <v>239</v>
      </c>
      <c r="P631" t="s">
        <v>514</v>
      </c>
      <c r="Y631">
        <v>597</v>
      </c>
      <c r="Z631" s="259" t="s">
        <v>630</v>
      </c>
      <c r="AA631">
        <v>100</v>
      </c>
      <c r="AB631">
        <v>8008</v>
      </c>
      <c r="AC631">
        <v>45856</v>
      </c>
      <c r="AD631">
        <v>0</v>
      </c>
      <c r="AE631">
        <v>7873</v>
      </c>
      <c r="AF631">
        <v>7873</v>
      </c>
      <c r="AG631">
        <v>0</v>
      </c>
      <c r="AH631">
        <v>-135</v>
      </c>
    </row>
    <row r="632" spans="2:34" x14ac:dyDescent="0.35">
      <c r="B632" t="s">
        <v>563</v>
      </c>
      <c r="C632">
        <v>45857</v>
      </c>
      <c r="F632" t="s">
        <v>749</v>
      </c>
      <c r="H632">
        <v>53.52</v>
      </c>
      <c r="O632" t="s">
        <v>239</v>
      </c>
      <c r="P632" t="s">
        <v>514</v>
      </c>
      <c r="Y632">
        <v>598</v>
      </c>
      <c r="Z632" s="259" t="s">
        <v>630</v>
      </c>
      <c r="AA632">
        <v>220</v>
      </c>
      <c r="AB632">
        <v>10937.666666666666</v>
      </c>
      <c r="AC632">
        <v>45856</v>
      </c>
      <c r="AD632">
        <v>1</v>
      </c>
      <c r="AE632">
        <v>11774.400000000001</v>
      </c>
      <c r="AF632">
        <v>11774.400000000001</v>
      </c>
      <c r="AG632">
        <v>0</v>
      </c>
      <c r="AH632">
        <v>836.73333333333539</v>
      </c>
    </row>
    <row r="633" spans="2:34" x14ac:dyDescent="0.35">
      <c r="B633" t="s">
        <v>563</v>
      </c>
      <c r="C633">
        <v>45857</v>
      </c>
      <c r="F633" t="s">
        <v>752</v>
      </c>
      <c r="H633">
        <v>179.73</v>
      </c>
      <c r="O633" t="s">
        <v>239</v>
      </c>
      <c r="P633" t="s">
        <v>514</v>
      </c>
      <c r="Y633">
        <v>599</v>
      </c>
      <c r="Z633" s="259" t="s">
        <v>630</v>
      </c>
      <c r="AA633">
        <v>50</v>
      </c>
      <c r="AB633">
        <v>10010</v>
      </c>
      <c r="AC633">
        <v>45856</v>
      </c>
      <c r="AD633">
        <v>1</v>
      </c>
      <c r="AE633">
        <v>8986.5</v>
      </c>
      <c r="AF633">
        <v>8986.5</v>
      </c>
      <c r="AG633">
        <v>0</v>
      </c>
      <c r="AH633">
        <v>-1023.5</v>
      </c>
    </row>
    <row r="634" spans="2:34" x14ac:dyDescent="0.35">
      <c r="B634" t="s">
        <v>563</v>
      </c>
      <c r="C634">
        <v>45857</v>
      </c>
      <c r="F634" t="s">
        <v>754</v>
      </c>
      <c r="H634">
        <v>78.73</v>
      </c>
      <c r="O634" t="s">
        <v>239</v>
      </c>
      <c r="P634" t="s">
        <v>514</v>
      </c>
      <c r="Y634">
        <v>600</v>
      </c>
      <c r="Z634" s="259" t="s">
        <v>630</v>
      </c>
      <c r="AA634">
        <v>100</v>
      </c>
      <c r="AB634">
        <v>8008</v>
      </c>
      <c r="AC634">
        <v>45856</v>
      </c>
      <c r="AD634">
        <v>1</v>
      </c>
      <c r="AE634">
        <v>7873</v>
      </c>
      <c r="AF634">
        <v>7873</v>
      </c>
      <c r="AG634">
        <v>0</v>
      </c>
      <c r="AH634">
        <v>-135</v>
      </c>
    </row>
    <row r="635" spans="2:34" x14ac:dyDescent="0.35">
      <c r="B635" t="s">
        <v>563</v>
      </c>
      <c r="C635">
        <v>45858</v>
      </c>
      <c r="F635" t="s">
        <v>749</v>
      </c>
      <c r="H635">
        <v>53.52</v>
      </c>
      <c r="O635" t="s">
        <v>239</v>
      </c>
      <c r="P635" t="s">
        <v>514</v>
      </c>
      <c r="Y635">
        <v>601</v>
      </c>
      <c r="Z635" s="259" t="s">
        <v>630</v>
      </c>
      <c r="AA635">
        <v>220</v>
      </c>
      <c r="AB635">
        <v>10937.666666666666</v>
      </c>
      <c r="AC635">
        <v>45856</v>
      </c>
      <c r="AD635">
        <v>2</v>
      </c>
      <c r="AE635">
        <v>11774.400000000001</v>
      </c>
      <c r="AF635">
        <v>11774.400000000001</v>
      </c>
      <c r="AG635">
        <v>0</v>
      </c>
      <c r="AH635">
        <v>836.73333333333539</v>
      </c>
    </row>
    <row r="636" spans="2:34" x14ac:dyDescent="0.35">
      <c r="B636" t="s">
        <v>563</v>
      </c>
      <c r="C636">
        <v>45858</v>
      </c>
      <c r="F636" t="s">
        <v>752</v>
      </c>
      <c r="H636">
        <v>179.73</v>
      </c>
      <c r="O636" t="s">
        <v>239</v>
      </c>
      <c r="P636" t="s">
        <v>514</v>
      </c>
      <c r="Y636">
        <v>602</v>
      </c>
      <c r="Z636" s="259" t="s">
        <v>630</v>
      </c>
      <c r="AA636">
        <v>50</v>
      </c>
      <c r="AB636">
        <v>10010</v>
      </c>
      <c r="AC636">
        <v>45856</v>
      </c>
      <c r="AD636">
        <v>2</v>
      </c>
      <c r="AE636">
        <v>8986.5</v>
      </c>
      <c r="AF636">
        <v>8986.5</v>
      </c>
      <c r="AG636">
        <v>0</v>
      </c>
      <c r="AH636">
        <v>-1023.5</v>
      </c>
    </row>
    <row r="637" spans="2:34" x14ac:dyDescent="0.35">
      <c r="B637" t="s">
        <v>563</v>
      </c>
      <c r="C637">
        <v>45858</v>
      </c>
      <c r="F637" t="s">
        <v>754</v>
      </c>
      <c r="H637">
        <v>78.73</v>
      </c>
      <c r="O637" t="s">
        <v>239</v>
      </c>
      <c r="P637" t="s">
        <v>514</v>
      </c>
      <c r="Y637">
        <v>603</v>
      </c>
      <c r="Z637" s="259" t="s">
        <v>630</v>
      </c>
      <c r="AA637">
        <v>100</v>
      </c>
      <c r="AB637">
        <v>8008</v>
      </c>
      <c r="AC637">
        <v>45856</v>
      </c>
      <c r="AD637">
        <v>2</v>
      </c>
      <c r="AE637">
        <v>7873</v>
      </c>
      <c r="AF637">
        <v>7873</v>
      </c>
      <c r="AG637">
        <v>0</v>
      </c>
      <c r="AH637">
        <v>-135</v>
      </c>
    </row>
    <row r="638" spans="2:34" x14ac:dyDescent="0.35">
      <c r="B638" t="s">
        <v>563</v>
      </c>
      <c r="C638">
        <v>45859</v>
      </c>
      <c r="F638" t="s">
        <v>749</v>
      </c>
      <c r="H638">
        <v>53.17</v>
      </c>
      <c r="O638" t="s">
        <v>239</v>
      </c>
      <c r="P638" t="s">
        <v>514</v>
      </c>
      <c r="Y638">
        <v>604</v>
      </c>
      <c r="Z638" s="259" t="s">
        <v>630</v>
      </c>
      <c r="AA638">
        <v>220</v>
      </c>
      <c r="AB638">
        <v>10937.666666666666</v>
      </c>
      <c r="AC638">
        <v>45859</v>
      </c>
      <c r="AD638">
        <v>0</v>
      </c>
      <c r="AE638">
        <v>11697.4</v>
      </c>
      <c r="AF638">
        <v>11697.4</v>
      </c>
      <c r="AG638">
        <v>0</v>
      </c>
      <c r="AH638">
        <v>759.73333333333358</v>
      </c>
    </row>
    <row r="639" spans="2:34" x14ac:dyDescent="0.35">
      <c r="B639" t="s">
        <v>563</v>
      </c>
      <c r="C639">
        <v>45859</v>
      </c>
      <c r="F639" t="s">
        <v>752</v>
      </c>
      <c r="H639">
        <v>179.33</v>
      </c>
      <c r="O639" t="s">
        <v>239</v>
      </c>
      <c r="P639" t="s">
        <v>514</v>
      </c>
      <c r="Y639">
        <v>605</v>
      </c>
      <c r="Z639" s="259" t="s">
        <v>630</v>
      </c>
      <c r="AA639">
        <v>50</v>
      </c>
      <c r="AB639">
        <v>10010</v>
      </c>
      <c r="AC639">
        <v>45859</v>
      </c>
      <c r="AD639">
        <v>0</v>
      </c>
      <c r="AE639">
        <v>8966.5</v>
      </c>
      <c r="AF639">
        <v>8966.5</v>
      </c>
      <c r="AG639">
        <v>0</v>
      </c>
      <c r="AH639">
        <v>-1043.5</v>
      </c>
    </row>
    <row r="640" spans="2:34" x14ac:dyDescent="0.35">
      <c r="B640" t="s">
        <v>563</v>
      </c>
      <c r="C640">
        <v>45859</v>
      </c>
      <c r="F640" t="s">
        <v>754</v>
      </c>
      <c r="H640">
        <v>78.33</v>
      </c>
      <c r="O640" t="s">
        <v>239</v>
      </c>
      <c r="P640" t="s">
        <v>514</v>
      </c>
      <c r="Y640">
        <v>606</v>
      </c>
      <c r="Z640" s="259" t="s">
        <v>630</v>
      </c>
      <c r="AA640">
        <v>100</v>
      </c>
      <c r="AB640">
        <v>8008</v>
      </c>
      <c r="AC640">
        <v>45859</v>
      </c>
      <c r="AD640">
        <v>0</v>
      </c>
      <c r="AE640">
        <v>7833</v>
      </c>
      <c r="AF640">
        <v>7833</v>
      </c>
      <c r="AG640">
        <v>0</v>
      </c>
      <c r="AH640">
        <v>-175</v>
      </c>
    </row>
    <row r="641" spans="2:34" x14ac:dyDescent="0.35">
      <c r="B641" t="s">
        <v>563</v>
      </c>
      <c r="C641">
        <v>45860</v>
      </c>
      <c r="F641" t="s">
        <v>749</v>
      </c>
      <c r="H641">
        <v>53.05</v>
      </c>
      <c r="O641" t="s">
        <v>239</v>
      </c>
      <c r="P641" t="s">
        <v>514</v>
      </c>
      <c r="Y641">
        <v>607</v>
      </c>
      <c r="Z641" s="259" t="s">
        <v>630</v>
      </c>
      <c r="AA641">
        <v>220</v>
      </c>
      <c r="AB641">
        <v>10937.666666666666</v>
      </c>
      <c r="AC641">
        <v>45860</v>
      </c>
      <c r="AD641">
        <v>0</v>
      </c>
      <c r="AE641">
        <v>11671</v>
      </c>
      <c r="AF641">
        <v>11671</v>
      </c>
      <c r="AG641">
        <v>0</v>
      </c>
      <c r="AH641">
        <v>733.33333333333394</v>
      </c>
    </row>
    <row r="642" spans="2:34" x14ac:dyDescent="0.35">
      <c r="B642" t="s">
        <v>563</v>
      </c>
      <c r="C642">
        <v>45860</v>
      </c>
      <c r="F642" t="s">
        <v>752</v>
      </c>
      <c r="H642">
        <v>179.2</v>
      </c>
      <c r="O642" t="s">
        <v>239</v>
      </c>
      <c r="P642" t="s">
        <v>514</v>
      </c>
      <c r="Y642">
        <v>608</v>
      </c>
      <c r="Z642" s="259" t="s">
        <v>630</v>
      </c>
      <c r="AA642">
        <v>50</v>
      </c>
      <c r="AB642">
        <v>10010</v>
      </c>
      <c r="AC642">
        <v>45860</v>
      </c>
      <c r="AD642">
        <v>0</v>
      </c>
      <c r="AE642">
        <v>8960</v>
      </c>
      <c r="AF642">
        <v>8960</v>
      </c>
      <c r="AG642">
        <v>0</v>
      </c>
      <c r="AH642">
        <v>-1050</v>
      </c>
    </row>
    <row r="643" spans="2:34" x14ac:dyDescent="0.35">
      <c r="B643" t="s">
        <v>563</v>
      </c>
      <c r="C643">
        <v>45860</v>
      </c>
      <c r="F643" t="s">
        <v>754</v>
      </c>
      <c r="H643">
        <v>78.2</v>
      </c>
      <c r="O643" t="s">
        <v>239</v>
      </c>
      <c r="P643" t="s">
        <v>514</v>
      </c>
      <c r="Y643">
        <v>609</v>
      </c>
      <c r="Z643" s="259" t="s">
        <v>630</v>
      </c>
      <c r="AA643">
        <v>100</v>
      </c>
      <c r="AB643">
        <v>8008</v>
      </c>
      <c r="AC643">
        <v>45860</v>
      </c>
      <c r="AD643">
        <v>0</v>
      </c>
      <c r="AE643">
        <v>7820</v>
      </c>
      <c r="AF643">
        <v>7820</v>
      </c>
      <c r="AG643">
        <v>0</v>
      </c>
      <c r="AH643">
        <v>-188</v>
      </c>
    </row>
    <row r="644" spans="2:34" x14ac:dyDescent="0.35">
      <c r="B644" t="s">
        <v>563</v>
      </c>
      <c r="C644">
        <v>45861</v>
      </c>
      <c r="F644" t="s">
        <v>749</v>
      </c>
      <c r="H644">
        <v>52.93</v>
      </c>
      <c r="O644" t="s">
        <v>239</v>
      </c>
      <c r="P644" t="s">
        <v>514</v>
      </c>
      <c r="Y644">
        <v>610</v>
      </c>
      <c r="Z644" s="259" t="s">
        <v>630</v>
      </c>
      <c r="AA644">
        <v>220</v>
      </c>
      <c r="AB644">
        <v>10937.666666666666</v>
      </c>
      <c r="AC644">
        <v>45861</v>
      </c>
      <c r="AD644">
        <v>0</v>
      </c>
      <c r="AE644">
        <v>11644.6</v>
      </c>
      <c r="AF644">
        <v>11644.6</v>
      </c>
      <c r="AG644">
        <v>0</v>
      </c>
      <c r="AH644">
        <v>706.9333333333343</v>
      </c>
    </row>
    <row r="645" spans="2:34" x14ac:dyDescent="0.35">
      <c r="B645" t="s">
        <v>563</v>
      </c>
      <c r="C645">
        <v>45861</v>
      </c>
      <c r="F645" t="s">
        <v>752</v>
      </c>
      <c r="H645">
        <v>179.07</v>
      </c>
      <c r="O645" t="s">
        <v>239</v>
      </c>
      <c r="P645" t="s">
        <v>514</v>
      </c>
      <c r="Y645">
        <v>611</v>
      </c>
      <c r="Z645" s="259" t="s">
        <v>630</v>
      </c>
      <c r="AA645">
        <v>50</v>
      </c>
      <c r="AB645">
        <v>10010</v>
      </c>
      <c r="AC645">
        <v>45861</v>
      </c>
      <c r="AD645">
        <v>0</v>
      </c>
      <c r="AE645">
        <v>8953.5</v>
      </c>
      <c r="AF645">
        <v>8953.5</v>
      </c>
      <c r="AG645">
        <v>0</v>
      </c>
      <c r="AH645">
        <v>-1056.5</v>
      </c>
    </row>
    <row r="646" spans="2:34" x14ac:dyDescent="0.35">
      <c r="B646" t="s">
        <v>563</v>
      </c>
      <c r="C646">
        <v>45861</v>
      </c>
      <c r="F646" t="s">
        <v>754</v>
      </c>
      <c r="H646">
        <v>78.069999999999993</v>
      </c>
      <c r="O646" t="s">
        <v>239</v>
      </c>
      <c r="P646" t="s">
        <v>514</v>
      </c>
      <c r="Y646">
        <v>612</v>
      </c>
      <c r="Z646" s="259" t="s">
        <v>630</v>
      </c>
      <c r="AA646">
        <v>100</v>
      </c>
      <c r="AB646">
        <v>8008</v>
      </c>
      <c r="AC646">
        <v>45861</v>
      </c>
      <c r="AD646">
        <v>0</v>
      </c>
      <c r="AE646">
        <v>7806.9999999999991</v>
      </c>
      <c r="AF646">
        <v>7806.9999999999991</v>
      </c>
      <c r="AG646">
        <v>0</v>
      </c>
      <c r="AH646">
        <v>-201.00000000000091</v>
      </c>
    </row>
    <row r="647" spans="2:34" x14ac:dyDescent="0.35">
      <c r="B647" t="s">
        <v>563</v>
      </c>
      <c r="C647">
        <v>45862</v>
      </c>
      <c r="F647" t="s">
        <v>749</v>
      </c>
      <c r="H647">
        <v>52.82</v>
      </c>
      <c r="O647" t="s">
        <v>239</v>
      </c>
      <c r="P647" t="s">
        <v>514</v>
      </c>
      <c r="Y647">
        <v>613</v>
      </c>
      <c r="Z647" s="259" t="s">
        <v>630</v>
      </c>
      <c r="AA647">
        <v>220</v>
      </c>
      <c r="AB647">
        <v>10937.666666666666</v>
      </c>
      <c r="AC647">
        <v>45862</v>
      </c>
      <c r="AD647">
        <v>0</v>
      </c>
      <c r="AE647">
        <v>11620.4</v>
      </c>
      <c r="AF647">
        <v>11620.4</v>
      </c>
      <c r="AG647">
        <v>0</v>
      </c>
      <c r="AH647">
        <v>682.73333333333358</v>
      </c>
    </row>
    <row r="648" spans="2:34" x14ac:dyDescent="0.35">
      <c r="B648" t="s">
        <v>563</v>
      </c>
      <c r="C648">
        <v>45862</v>
      </c>
      <c r="F648" t="s">
        <v>752</v>
      </c>
      <c r="H648">
        <v>178.93</v>
      </c>
      <c r="O648" t="s">
        <v>239</v>
      </c>
      <c r="P648" t="s">
        <v>514</v>
      </c>
      <c r="Y648">
        <v>614</v>
      </c>
      <c r="Z648" s="259" t="s">
        <v>630</v>
      </c>
      <c r="AA648">
        <v>50</v>
      </c>
      <c r="AB648">
        <v>10010</v>
      </c>
      <c r="AC648">
        <v>45862</v>
      </c>
      <c r="AD648">
        <v>0</v>
      </c>
      <c r="AE648">
        <v>8946.5</v>
      </c>
      <c r="AF648">
        <v>8946.5</v>
      </c>
      <c r="AG648">
        <v>0</v>
      </c>
      <c r="AH648">
        <v>-1063.5</v>
      </c>
    </row>
    <row r="649" spans="2:34" x14ac:dyDescent="0.35">
      <c r="B649" t="s">
        <v>563</v>
      </c>
      <c r="C649">
        <v>45862</v>
      </c>
      <c r="F649" t="s">
        <v>754</v>
      </c>
      <c r="H649">
        <v>77.930000000000007</v>
      </c>
      <c r="O649" t="s">
        <v>239</v>
      </c>
      <c r="P649" t="s">
        <v>514</v>
      </c>
      <c r="Y649">
        <v>615</v>
      </c>
      <c r="Z649" s="259" t="s">
        <v>630</v>
      </c>
      <c r="AA649">
        <v>100</v>
      </c>
      <c r="AB649">
        <v>8008</v>
      </c>
      <c r="AC649">
        <v>45862</v>
      </c>
      <c r="AD649">
        <v>0</v>
      </c>
      <c r="AE649">
        <v>7793.0000000000009</v>
      </c>
      <c r="AF649">
        <v>7793.0000000000009</v>
      </c>
      <c r="AG649">
        <v>0</v>
      </c>
      <c r="AH649">
        <v>-214.99999999999909</v>
      </c>
    </row>
    <row r="650" spans="2:34" x14ac:dyDescent="0.35">
      <c r="B650" t="s">
        <v>563</v>
      </c>
      <c r="C650">
        <v>45863</v>
      </c>
      <c r="F650" t="s">
        <v>749</v>
      </c>
      <c r="H650">
        <v>52.7</v>
      </c>
      <c r="O650" t="s">
        <v>239</v>
      </c>
      <c r="P650" t="s">
        <v>514</v>
      </c>
      <c r="Y650">
        <v>616</v>
      </c>
      <c r="Z650" s="259" t="s">
        <v>630</v>
      </c>
      <c r="AA650">
        <v>220</v>
      </c>
      <c r="AB650">
        <v>10937.666666666666</v>
      </c>
      <c r="AC650">
        <v>45863</v>
      </c>
      <c r="AD650">
        <v>0</v>
      </c>
      <c r="AE650">
        <v>11594</v>
      </c>
      <c r="AF650">
        <v>11594</v>
      </c>
      <c r="AG650">
        <v>0</v>
      </c>
      <c r="AH650">
        <v>656.33333333333394</v>
      </c>
    </row>
    <row r="651" spans="2:34" x14ac:dyDescent="0.35">
      <c r="B651" t="s">
        <v>563</v>
      </c>
      <c r="C651">
        <v>45863</v>
      </c>
      <c r="F651" t="s">
        <v>752</v>
      </c>
      <c r="H651">
        <v>178.8</v>
      </c>
      <c r="O651" t="s">
        <v>239</v>
      </c>
      <c r="P651" t="s">
        <v>514</v>
      </c>
      <c r="Y651">
        <v>617</v>
      </c>
      <c r="Z651" s="259" t="s">
        <v>630</v>
      </c>
      <c r="AA651">
        <v>50</v>
      </c>
      <c r="AB651">
        <v>10010</v>
      </c>
      <c r="AC651">
        <v>45863</v>
      </c>
      <c r="AD651">
        <v>0</v>
      </c>
      <c r="AE651">
        <v>8940</v>
      </c>
      <c r="AF651">
        <v>8940</v>
      </c>
      <c r="AG651">
        <v>0</v>
      </c>
      <c r="AH651">
        <v>-1070</v>
      </c>
    </row>
    <row r="652" spans="2:34" x14ac:dyDescent="0.35">
      <c r="B652" t="s">
        <v>563</v>
      </c>
      <c r="C652">
        <v>45863</v>
      </c>
      <c r="F652" t="s">
        <v>754</v>
      </c>
      <c r="H652">
        <v>77.8</v>
      </c>
      <c r="O652" t="s">
        <v>239</v>
      </c>
      <c r="P652" t="s">
        <v>514</v>
      </c>
      <c r="Y652">
        <v>618</v>
      </c>
      <c r="Z652" s="259" t="s">
        <v>630</v>
      </c>
      <c r="AA652">
        <v>100</v>
      </c>
      <c r="AB652">
        <v>8008</v>
      </c>
      <c r="AC652">
        <v>45863</v>
      </c>
      <c r="AD652">
        <v>0</v>
      </c>
      <c r="AE652">
        <v>7780</v>
      </c>
      <c r="AF652">
        <v>7780</v>
      </c>
      <c r="AG652">
        <v>0</v>
      </c>
      <c r="AH652">
        <v>-228</v>
      </c>
    </row>
    <row r="653" spans="2:34" x14ac:dyDescent="0.35">
      <c r="B653" t="s">
        <v>563</v>
      </c>
      <c r="C653">
        <v>45864</v>
      </c>
      <c r="F653" t="s">
        <v>749</v>
      </c>
      <c r="H653">
        <v>52.7</v>
      </c>
      <c r="O653" t="s">
        <v>239</v>
      </c>
      <c r="P653" t="s">
        <v>514</v>
      </c>
      <c r="Y653">
        <v>619</v>
      </c>
      <c r="Z653" s="259" t="s">
        <v>630</v>
      </c>
      <c r="AA653">
        <v>220</v>
      </c>
      <c r="AB653">
        <v>10937.666666666666</v>
      </c>
      <c r="AC653">
        <v>45863</v>
      </c>
      <c r="AD653">
        <v>1</v>
      </c>
      <c r="AE653">
        <v>11594</v>
      </c>
      <c r="AF653">
        <v>11594</v>
      </c>
      <c r="AG653">
        <v>0</v>
      </c>
      <c r="AH653">
        <v>656.33333333333394</v>
      </c>
    </row>
    <row r="654" spans="2:34" x14ac:dyDescent="0.35">
      <c r="B654" t="s">
        <v>563</v>
      </c>
      <c r="C654">
        <v>45864</v>
      </c>
      <c r="F654" t="s">
        <v>752</v>
      </c>
      <c r="H654">
        <v>178.8</v>
      </c>
      <c r="O654" t="s">
        <v>239</v>
      </c>
      <c r="P654" t="s">
        <v>514</v>
      </c>
      <c r="Y654">
        <v>620</v>
      </c>
      <c r="Z654" s="259" t="s">
        <v>630</v>
      </c>
      <c r="AA654">
        <v>50</v>
      </c>
      <c r="AB654">
        <v>10010</v>
      </c>
      <c r="AC654">
        <v>45863</v>
      </c>
      <c r="AD654">
        <v>1</v>
      </c>
      <c r="AE654">
        <v>8940</v>
      </c>
      <c r="AF654">
        <v>8940</v>
      </c>
      <c r="AG654">
        <v>0</v>
      </c>
      <c r="AH654">
        <v>-1070</v>
      </c>
    </row>
    <row r="655" spans="2:34" x14ac:dyDescent="0.35">
      <c r="B655" t="s">
        <v>563</v>
      </c>
      <c r="C655">
        <v>45864</v>
      </c>
      <c r="F655" t="s">
        <v>754</v>
      </c>
      <c r="H655">
        <v>77.8</v>
      </c>
      <c r="O655" t="s">
        <v>239</v>
      </c>
      <c r="P655" t="s">
        <v>514</v>
      </c>
      <c r="Y655">
        <v>621</v>
      </c>
      <c r="Z655" s="259" t="s">
        <v>630</v>
      </c>
      <c r="AA655">
        <v>100</v>
      </c>
      <c r="AB655">
        <v>8008</v>
      </c>
      <c r="AC655">
        <v>45863</v>
      </c>
      <c r="AD655">
        <v>1</v>
      </c>
      <c r="AE655">
        <v>7780</v>
      </c>
      <c r="AF655">
        <v>7780</v>
      </c>
      <c r="AG655">
        <v>0</v>
      </c>
      <c r="AH655">
        <v>-228</v>
      </c>
    </row>
    <row r="656" spans="2:34" x14ac:dyDescent="0.35">
      <c r="B656" t="s">
        <v>563</v>
      </c>
      <c r="C656">
        <v>45865</v>
      </c>
      <c r="F656" t="s">
        <v>749</v>
      </c>
      <c r="H656">
        <v>52.7</v>
      </c>
      <c r="O656" t="s">
        <v>239</v>
      </c>
      <c r="P656" t="s">
        <v>514</v>
      </c>
      <c r="Y656">
        <v>622</v>
      </c>
      <c r="Z656" s="259" t="s">
        <v>630</v>
      </c>
      <c r="AA656">
        <v>220</v>
      </c>
      <c r="AB656">
        <v>10937.666666666666</v>
      </c>
      <c r="AC656">
        <v>45863</v>
      </c>
      <c r="AD656">
        <v>2</v>
      </c>
      <c r="AE656">
        <v>11594</v>
      </c>
      <c r="AF656">
        <v>11594</v>
      </c>
      <c r="AG656">
        <v>0</v>
      </c>
      <c r="AH656">
        <v>656.33333333333394</v>
      </c>
    </row>
    <row r="657" spans="2:34" x14ac:dyDescent="0.35">
      <c r="B657" t="s">
        <v>563</v>
      </c>
      <c r="C657">
        <v>45865</v>
      </c>
      <c r="F657" t="s">
        <v>752</v>
      </c>
      <c r="H657">
        <v>178.8</v>
      </c>
      <c r="O657" t="s">
        <v>239</v>
      </c>
      <c r="P657" t="s">
        <v>514</v>
      </c>
      <c r="Y657">
        <v>623</v>
      </c>
      <c r="Z657" s="259" t="s">
        <v>630</v>
      </c>
      <c r="AA657">
        <v>50</v>
      </c>
      <c r="AB657">
        <v>10010</v>
      </c>
      <c r="AC657">
        <v>45863</v>
      </c>
      <c r="AD657">
        <v>2</v>
      </c>
      <c r="AE657">
        <v>8940</v>
      </c>
      <c r="AF657">
        <v>8940</v>
      </c>
      <c r="AG657">
        <v>0</v>
      </c>
      <c r="AH657">
        <v>-1070</v>
      </c>
    </row>
    <row r="658" spans="2:34" x14ac:dyDescent="0.35">
      <c r="B658" t="s">
        <v>563</v>
      </c>
      <c r="C658">
        <v>45865</v>
      </c>
      <c r="F658" t="s">
        <v>754</v>
      </c>
      <c r="H658">
        <v>77.8</v>
      </c>
      <c r="O658" t="s">
        <v>239</v>
      </c>
      <c r="P658" t="s">
        <v>514</v>
      </c>
      <c r="Y658">
        <v>624</v>
      </c>
      <c r="Z658" s="259" t="s">
        <v>630</v>
      </c>
      <c r="AA658">
        <v>100</v>
      </c>
      <c r="AB658">
        <v>8008</v>
      </c>
      <c r="AC658">
        <v>45863</v>
      </c>
      <c r="AD658">
        <v>2</v>
      </c>
      <c r="AE658">
        <v>7780</v>
      </c>
      <c r="AF658">
        <v>7780</v>
      </c>
      <c r="AG658">
        <v>0</v>
      </c>
      <c r="AH658">
        <v>-228</v>
      </c>
    </row>
    <row r="659" spans="2:34" x14ac:dyDescent="0.35">
      <c r="B659" t="s">
        <v>563</v>
      </c>
      <c r="C659">
        <v>45866</v>
      </c>
      <c r="F659" t="s">
        <v>749</v>
      </c>
      <c r="H659">
        <v>52.35</v>
      </c>
      <c r="O659" t="s">
        <v>239</v>
      </c>
      <c r="P659" t="s">
        <v>514</v>
      </c>
      <c r="Y659">
        <v>625</v>
      </c>
      <c r="Z659" s="259" t="s">
        <v>630</v>
      </c>
      <c r="AA659">
        <v>220</v>
      </c>
      <c r="AB659">
        <v>10937.666666666666</v>
      </c>
      <c r="AC659">
        <v>45866</v>
      </c>
      <c r="AD659">
        <v>0</v>
      </c>
      <c r="AE659">
        <v>11517</v>
      </c>
      <c r="AF659">
        <v>11517</v>
      </c>
      <c r="AG659">
        <v>0</v>
      </c>
      <c r="AH659">
        <v>579.33333333333394</v>
      </c>
    </row>
    <row r="660" spans="2:34" x14ac:dyDescent="0.35">
      <c r="B660" t="s">
        <v>563</v>
      </c>
      <c r="C660">
        <v>45866</v>
      </c>
      <c r="F660" t="s">
        <v>752</v>
      </c>
      <c r="H660">
        <v>178.4</v>
      </c>
      <c r="O660" t="s">
        <v>239</v>
      </c>
      <c r="P660" t="s">
        <v>514</v>
      </c>
      <c r="Y660">
        <v>626</v>
      </c>
      <c r="Z660" s="259" t="s">
        <v>630</v>
      </c>
      <c r="AA660">
        <v>50</v>
      </c>
      <c r="AB660">
        <v>10010</v>
      </c>
      <c r="AC660">
        <v>45866</v>
      </c>
      <c r="AD660">
        <v>0</v>
      </c>
      <c r="AE660">
        <v>8920</v>
      </c>
      <c r="AF660">
        <v>8920</v>
      </c>
      <c r="AG660">
        <v>0</v>
      </c>
      <c r="AH660">
        <v>-1090</v>
      </c>
    </row>
    <row r="661" spans="2:34" x14ac:dyDescent="0.35">
      <c r="B661" t="s">
        <v>563</v>
      </c>
      <c r="C661">
        <v>45866</v>
      </c>
      <c r="F661" t="s">
        <v>754</v>
      </c>
      <c r="H661">
        <v>77.400000000000006</v>
      </c>
      <c r="O661" t="s">
        <v>239</v>
      </c>
      <c r="P661" t="s">
        <v>514</v>
      </c>
      <c r="Y661">
        <v>627</v>
      </c>
      <c r="Z661" s="259" t="s">
        <v>630</v>
      </c>
      <c r="AA661">
        <v>100</v>
      </c>
      <c r="AB661">
        <v>8008</v>
      </c>
      <c r="AC661">
        <v>45866</v>
      </c>
      <c r="AD661">
        <v>0</v>
      </c>
      <c r="AE661">
        <v>7740.0000000000009</v>
      </c>
      <c r="AF661">
        <v>7740.0000000000009</v>
      </c>
      <c r="AG661">
        <v>0</v>
      </c>
      <c r="AH661">
        <v>-267.99999999999909</v>
      </c>
    </row>
    <row r="662" spans="2:34" x14ac:dyDescent="0.35">
      <c r="B662" t="s">
        <v>563</v>
      </c>
      <c r="C662">
        <v>45867</v>
      </c>
      <c r="F662" t="s">
        <v>749</v>
      </c>
      <c r="H662">
        <v>52.23</v>
      </c>
      <c r="O662" t="s">
        <v>239</v>
      </c>
      <c r="P662" t="s">
        <v>514</v>
      </c>
      <c r="Y662">
        <v>628</v>
      </c>
      <c r="Z662" s="259" t="s">
        <v>630</v>
      </c>
      <c r="AA662">
        <v>220</v>
      </c>
      <c r="AB662">
        <v>10937.666666666666</v>
      </c>
      <c r="AC662">
        <v>45867</v>
      </c>
      <c r="AD662">
        <v>0</v>
      </c>
      <c r="AE662">
        <v>11490.599999999999</v>
      </c>
      <c r="AF662">
        <v>11490.599999999999</v>
      </c>
      <c r="AG662">
        <v>0</v>
      </c>
      <c r="AH662">
        <v>552.93333333333248</v>
      </c>
    </row>
    <row r="663" spans="2:34" x14ac:dyDescent="0.35">
      <c r="B663" t="s">
        <v>563</v>
      </c>
      <c r="C663">
        <v>45867</v>
      </c>
      <c r="F663" t="s">
        <v>752</v>
      </c>
      <c r="H663">
        <v>178.27</v>
      </c>
      <c r="O663" t="s">
        <v>239</v>
      </c>
      <c r="P663" t="s">
        <v>514</v>
      </c>
      <c r="Y663">
        <v>629</v>
      </c>
      <c r="Z663" s="259" t="s">
        <v>630</v>
      </c>
      <c r="AA663">
        <v>50</v>
      </c>
      <c r="AB663">
        <v>10010</v>
      </c>
      <c r="AC663">
        <v>45867</v>
      </c>
      <c r="AD663">
        <v>0</v>
      </c>
      <c r="AE663">
        <v>8913.5</v>
      </c>
      <c r="AF663">
        <v>8913.5</v>
      </c>
      <c r="AG663">
        <v>0</v>
      </c>
      <c r="AH663">
        <v>-1096.5</v>
      </c>
    </row>
    <row r="664" spans="2:34" x14ac:dyDescent="0.35">
      <c r="B664" t="s">
        <v>563</v>
      </c>
      <c r="C664">
        <v>45867</v>
      </c>
      <c r="F664" t="s">
        <v>754</v>
      </c>
      <c r="H664">
        <v>77.27</v>
      </c>
      <c r="O664" t="s">
        <v>239</v>
      </c>
      <c r="P664" t="s">
        <v>514</v>
      </c>
      <c r="Y664">
        <v>630</v>
      </c>
      <c r="Z664" s="259" t="s">
        <v>630</v>
      </c>
      <c r="AA664">
        <v>100</v>
      </c>
      <c r="AB664">
        <v>8008</v>
      </c>
      <c r="AC664">
        <v>45867</v>
      </c>
      <c r="AD664">
        <v>0</v>
      </c>
      <c r="AE664">
        <v>7727</v>
      </c>
      <c r="AF664">
        <v>7727</v>
      </c>
      <c r="AG664">
        <v>0</v>
      </c>
      <c r="AH664">
        <v>-281</v>
      </c>
    </row>
    <row r="665" spans="2:34" x14ac:dyDescent="0.35">
      <c r="B665" t="s">
        <v>563</v>
      </c>
      <c r="C665">
        <v>45868</v>
      </c>
      <c r="F665" t="s">
        <v>749</v>
      </c>
      <c r="H665">
        <v>52.12</v>
      </c>
      <c r="O665" t="s">
        <v>239</v>
      </c>
      <c r="P665" t="s">
        <v>514</v>
      </c>
      <c r="Y665">
        <v>631</v>
      </c>
      <c r="Z665" s="259" t="s">
        <v>630</v>
      </c>
      <c r="AA665">
        <v>220</v>
      </c>
      <c r="AB665">
        <v>10937.666666666666</v>
      </c>
      <c r="AC665">
        <v>45868</v>
      </c>
      <c r="AD665">
        <v>0</v>
      </c>
      <c r="AE665">
        <v>11466.4</v>
      </c>
      <c r="AF665">
        <v>11466.4</v>
      </c>
      <c r="AG665">
        <v>0</v>
      </c>
      <c r="AH665">
        <v>528.73333333333358</v>
      </c>
    </row>
    <row r="666" spans="2:34" x14ac:dyDescent="0.35">
      <c r="B666" t="s">
        <v>563</v>
      </c>
      <c r="C666">
        <v>45868</v>
      </c>
      <c r="F666" t="s">
        <v>752</v>
      </c>
      <c r="H666">
        <v>178.13</v>
      </c>
      <c r="O666" t="s">
        <v>239</v>
      </c>
      <c r="P666" t="s">
        <v>514</v>
      </c>
      <c r="Y666">
        <v>632</v>
      </c>
      <c r="Z666" s="259" t="s">
        <v>630</v>
      </c>
      <c r="AA666">
        <v>50</v>
      </c>
      <c r="AB666">
        <v>10010</v>
      </c>
      <c r="AC666">
        <v>45868</v>
      </c>
      <c r="AD666">
        <v>0</v>
      </c>
      <c r="AE666">
        <v>8906.5</v>
      </c>
      <c r="AF666">
        <v>8906.5</v>
      </c>
      <c r="AG666">
        <v>0</v>
      </c>
      <c r="AH666">
        <v>-1103.5</v>
      </c>
    </row>
    <row r="667" spans="2:34" x14ac:dyDescent="0.35">
      <c r="B667" t="s">
        <v>563</v>
      </c>
      <c r="C667">
        <v>45868</v>
      </c>
      <c r="F667" t="s">
        <v>754</v>
      </c>
      <c r="H667">
        <v>77.13</v>
      </c>
      <c r="O667" t="s">
        <v>239</v>
      </c>
      <c r="P667" t="s">
        <v>514</v>
      </c>
      <c r="Y667">
        <v>633</v>
      </c>
      <c r="Z667" s="259" t="s">
        <v>630</v>
      </c>
      <c r="AA667">
        <v>100</v>
      </c>
      <c r="AB667">
        <v>8008</v>
      </c>
      <c r="AC667">
        <v>45868</v>
      </c>
      <c r="AD667">
        <v>0</v>
      </c>
      <c r="AE667">
        <v>7713</v>
      </c>
      <c r="AF667">
        <v>7713</v>
      </c>
      <c r="AG667">
        <v>0</v>
      </c>
      <c r="AH667">
        <v>-295</v>
      </c>
    </row>
    <row r="668" spans="2:34" x14ac:dyDescent="0.35">
      <c r="B668" t="s">
        <v>563</v>
      </c>
      <c r="C668">
        <v>45869</v>
      </c>
      <c r="F668" t="s">
        <v>749</v>
      </c>
      <c r="H668">
        <v>52</v>
      </c>
      <c r="O668" t="s">
        <v>239</v>
      </c>
      <c r="P668" t="s">
        <v>514</v>
      </c>
      <c r="Y668">
        <v>634</v>
      </c>
      <c r="Z668" s="259" t="s">
        <v>630</v>
      </c>
      <c r="AA668">
        <v>220</v>
      </c>
      <c r="AB668">
        <v>10937.666666666666</v>
      </c>
      <c r="AC668">
        <v>45869</v>
      </c>
      <c r="AD668">
        <v>0</v>
      </c>
      <c r="AE668">
        <v>11440</v>
      </c>
      <c r="AF668">
        <v>11440</v>
      </c>
      <c r="AG668">
        <v>0</v>
      </c>
      <c r="AH668">
        <v>502.33333333333394</v>
      </c>
    </row>
    <row r="669" spans="2:34" x14ac:dyDescent="0.35">
      <c r="B669" t="s">
        <v>563</v>
      </c>
      <c r="C669">
        <v>45869</v>
      </c>
      <c r="F669" t="s">
        <v>752</v>
      </c>
      <c r="H669">
        <v>178</v>
      </c>
      <c r="O669" t="s">
        <v>239</v>
      </c>
      <c r="P669" t="s">
        <v>514</v>
      </c>
      <c r="Y669">
        <v>635</v>
      </c>
      <c r="Z669" s="259" t="s">
        <v>630</v>
      </c>
      <c r="AA669">
        <v>50</v>
      </c>
      <c r="AB669">
        <v>10010</v>
      </c>
      <c r="AC669">
        <v>45869</v>
      </c>
      <c r="AD669">
        <v>0</v>
      </c>
      <c r="AE669">
        <v>8900</v>
      </c>
      <c r="AF669">
        <v>8900</v>
      </c>
      <c r="AG669">
        <v>0</v>
      </c>
      <c r="AH669">
        <v>-1110</v>
      </c>
    </row>
    <row r="670" spans="2:34" x14ac:dyDescent="0.35">
      <c r="B670" t="s">
        <v>563</v>
      </c>
      <c r="C670">
        <v>45869</v>
      </c>
      <c r="F670" t="s">
        <v>754</v>
      </c>
      <c r="H670">
        <v>77</v>
      </c>
      <c r="O670" t="s">
        <v>239</v>
      </c>
      <c r="P670" t="s">
        <v>514</v>
      </c>
      <c r="Y670">
        <v>636</v>
      </c>
      <c r="Z670" s="259" t="s">
        <v>630</v>
      </c>
      <c r="AA670">
        <v>100</v>
      </c>
      <c r="AB670">
        <v>8008</v>
      </c>
      <c r="AC670">
        <v>45869</v>
      </c>
      <c r="AD670">
        <v>0</v>
      </c>
      <c r="AE670">
        <v>7700</v>
      </c>
      <c r="AF670">
        <v>7700</v>
      </c>
      <c r="AG670">
        <v>0</v>
      </c>
      <c r="AH670">
        <v>-308</v>
      </c>
    </row>
    <row r="671" spans="2:34" x14ac:dyDescent="0.35">
      <c r="B671" t="s">
        <v>563</v>
      </c>
      <c r="C671">
        <v>45870</v>
      </c>
      <c r="F671" t="s">
        <v>749</v>
      </c>
      <c r="H671">
        <v>52</v>
      </c>
      <c r="O671" t="s">
        <v>239</v>
      </c>
      <c r="P671" t="s">
        <v>514</v>
      </c>
      <c r="Y671">
        <v>637</v>
      </c>
      <c r="Z671" s="259" t="s">
        <v>630</v>
      </c>
      <c r="AA671">
        <v>220</v>
      </c>
      <c r="AB671">
        <v>10937.666666666666</v>
      </c>
      <c r="AC671">
        <v>45870</v>
      </c>
      <c r="AD671">
        <v>0</v>
      </c>
      <c r="AE671">
        <v>11440</v>
      </c>
      <c r="AF671">
        <v>11440</v>
      </c>
      <c r="AG671">
        <v>0</v>
      </c>
      <c r="AH671">
        <v>502.33333333333394</v>
      </c>
    </row>
    <row r="672" spans="2:34" x14ac:dyDescent="0.35">
      <c r="B672" t="s">
        <v>563</v>
      </c>
      <c r="C672">
        <v>45870</v>
      </c>
      <c r="F672" t="s">
        <v>752</v>
      </c>
      <c r="H672">
        <v>178</v>
      </c>
      <c r="O672" t="s">
        <v>239</v>
      </c>
      <c r="P672" t="s">
        <v>514</v>
      </c>
      <c r="Y672">
        <v>638</v>
      </c>
      <c r="Z672" s="259" t="s">
        <v>630</v>
      </c>
      <c r="AA672">
        <v>50</v>
      </c>
      <c r="AB672">
        <v>10010</v>
      </c>
      <c r="AC672">
        <v>45870</v>
      </c>
      <c r="AD672">
        <v>0</v>
      </c>
      <c r="AE672">
        <v>8900</v>
      </c>
      <c r="AF672">
        <v>8900</v>
      </c>
      <c r="AG672">
        <v>0</v>
      </c>
      <c r="AH672">
        <v>-1110</v>
      </c>
    </row>
    <row r="673" spans="2:34" x14ac:dyDescent="0.35">
      <c r="B673" t="s">
        <v>563</v>
      </c>
      <c r="C673">
        <v>45870</v>
      </c>
      <c r="F673" t="s">
        <v>754</v>
      </c>
      <c r="H673">
        <v>77</v>
      </c>
      <c r="O673" t="s">
        <v>239</v>
      </c>
      <c r="P673" t="s">
        <v>514</v>
      </c>
      <c r="Y673">
        <v>639</v>
      </c>
      <c r="Z673" s="259" t="s">
        <v>630</v>
      </c>
      <c r="AA673">
        <v>100</v>
      </c>
      <c r="AB673">
        <v>8008</v>
      </c>
      <c r="AC673">
        <v>45870</v>
      </c>
      <c r="AD673">
        <v>0</v>
      </c>
      <c r="AE673">
        <v>7700</v>
      </c>
      <c r="AF673">
        <v>7700</v>
      </c>
      <c r="AG673">
        <v>0</v>
      </c>
      <c r="AH673">
        <v>-308</v>
      </c>
    </row>
    <row r="674" spans="2:34" x14ac:dyDescent="0.35">
      <c r="B674" t="s">
        <v>563</v>
      </c>
      <c r="C674">
        <v>45871</v>
      </c>
      <c r="F674" t="s">
        <v>749</v>
      </c>
      <c r="H674">
        <v>52</v>
      </c>
      <c r="O674" t="s">
        <v>239</v>
      </c>
      <c r="P674" t="s">
        <v>514</v>
      </c>
      <c r="Y674">
        <v>640</v>
      </c>
      <c r="Z674" s="259" t="s">
        <v>630</v>
      </c>
      <c r="AA674">
        <v>220</v>
      </c>
      <c r="AB674">
        <v>10937.666666666666</v>
      </c>
      <c r="AC674">
        <v>45870</v>
      </c>
      <c r="AD674">
        <v>1</v>
      </c>
      <c r="AE674">
        <v>11440</v>
      </c>
      <c r="AF674">
        <v>11440</v>
      </c>
      <c r="AG674">
        <v>0</v>
      </c>
      <c r="AH674">
        <v>502.33333333333394</v>
      </c>
    </row>
    <row r="675" spans="2:34" x14ac:dyDescent="0.35">
      <c r="B675" t="s">
        <v>563</v>
      </c>
      <c r="C675">
        <v>45871</v>
      </c>
      <c r="F675" t="s">
        <v>752</v>
      </c>
      <c r="H675">
        <v>178</v>
      </c>
      <c r="O675" t="s">
        <v>239</v>
      </c>
      <c r="P675" t="s">
        <v>514</v>
      </c>
      <c r="Y675">
        <v>641</v>
      </c>
      <c r="Z675" s="259" t="s">
        <v>630</v>
      </c>
      <c r="AA675">
        <v>50</v>
      </c>
      <c r="AB675">
        <v>10010</v>
      </c>
      <c r="AC675">
        <v>45870</v>
      </c>
      <c r="AD675">
        <v>1</v>
      </c>
      <c r="AE675">
        <v>8900</v>
      </c>
      <c r="AF675">
        <v>8900</v>
      </c>
      <c r="AG675">
        <v>0</v>
      </c>
      <c r="AH675">
        <v>-1110</v>
      </c>
    </row>
    <row r="676" spans="2:34" x14ac:dyDescent="0.35">
      <c r="B676" t="s">
        <v>563</v>
      </c>
      <c r="C676">
        <v>45871</v>
      </c>
      <c r="F676" t="s">
        <v>754</v>
      </c>
      <c r="H676">
        <v>77</v>
      </c>
      <c r="O676" t="s">
        <v>239</v>
      </c>
      <c r="P676" t="s">
        <v>514</v>
      </c>
      <c r="Y676">
        <v>642</v>
      </c>
      <c r="Z676" s="259" t="s">
        <v>630</v>
      </c>
      <c r="AA676">
        <v>100</v>
      </c>
      <c r="AB676">
        <v>8008</v>
      </c>
      <c r="AC676">
        <v>45870</v>
      </c>
      <c r="AD676">
        <v>1</v>
      </c>
      <c r="AE676">
        <v>7700</v>
      </c>
      <c r="AF676">
        <v>7700</v>
      </c>
      <c r="AG676">
        <v>0</v>
      </c>
      <c r="AH676">
        <v>-308</v>
      </c>
    </row>
    <row r="677" spans="2:34" x14ac:dyDescent="0.35">
      <c r="B677" t="s">
        <v>563</v>
      </c>
      <c r="C677">
        <v>45872</v>
      </c>
      <c r="F677" t="s">
        <v>749</v>
      </c>
      <c r="H677">
        <v>52</v>
      </c>
      <c r="O677" t="s">
        <v>239</v>
      </c>
      <c r="P677" t="s">
        <v>514</v>
      </c>
      <c r="Y677">
        <v>643</v>
      </c>
      <c r="Z677" s="259" t="s">
        <v>630</v>
      </c>
      <c r="AA677">
        <v>220</v>
      </c>
      <c r="AB677">
        <v>10937.666666666666</v>
      </c>
      <c r="AC677">
        <v>45870</v>
      </c>
      <c r="AD677">
        <v>2</v>
      </c>
      <c r="AE677">
        <v>11440</v>
      </c>
      <c r="AF677">
        <v>11440</v>
      </c>
      <c r="AG677">
        <v>0</v>
      </c>
      <c r="AH677">
        <v>502.33333333333394</v>
      </c>
    </row>
    <row r="678" spans="2:34" x14ac:dyDescent="0.35">
      <c r="B678" t="s">
        <v>563</v>
      </c>
      <c r="C678">
        <v>45872</v>
      </c>
      <c r="F678" t="s">
        <v>752</v>
      </c>
      <c r="H678">
        <v>178</v>
      </c>
      <c r="O678" t="s">
        <v>239</v>
      </c>
      <c r="P678" t="s">
        <v>514</v>
      </c>
      <c r="Y678">
        <v>644</v>
      </c>
      <c r="Z678" s="259" t="s">
        <v>630</v>
      </c>
      <c r="AA678">
        <v>50</v>
      </c>
      <c r="AB678">
        <v>10010</v>
      </c>
      <c r="AC678">
        <v>45870</v>
      </c>
      <c r="AD678">
        <v>2</v>
      </c>
      <c r="AE678">
        <v>8900</v>
      </c>
      <c r="AF678">
        <v>8900</v>
      </c>
      <c r="AG678">
        <v>0</v>
      </c>
      <c r="AH678">
        <v>-1110</v>
      </c>
    </row>
    <row r="679" spans="2:34" x14ac:dyDescent="0.35">
      <c r="B679" t="s">
        <v>563</v>
      </c>
      <c r="C679">
        <v>45872</v>
      </c>
      <c r="F679" t="s">
        <v>754</v>
      </c>
      <c r="H679">
        <v>77</v>
      </c>
      <c r="O679" t="s">
        <v>239</v>
      </c>
      <c r="P679" t="s">
        <v>514</v>
      </c>
      <c r="Y679">
        <v>645</v>
      </c>
      <c r="Z679" s="259" t="s">
        <v>630</v>
      </c>
      <c r="AA679">
        <v>100</v>
      </c>
      <c r="AB679">
        <v>8008</v>
      </c>
      <c r="AC679">
        <v>45870</v>
      </c>
      <c r="AD679">
        <v>2</v>
      </c>
      <c r="AE679">
        <v>7700</v>
      </c>
      <c r="AF679">
        <v>7700</v>
      </c>
      <c r="AG679">
        <v>0</v>
      </c>
      <c r="AH679">
        <v>-308</v>
      </c>
    </row>
    <row r="680" spans="2:34" x14ac:dyDescent="0.35">
      <c r="B680" t="s">
        <v>563</v>
      </c>
      <c r="C680">
        <v>45873</v>
      </c>
      <c r="F680" t="s">
        <v>749</v>
      </c>
      <c r="H680">
        <v>51.7</v>
      </c>
      <c r="O680" t="s">
        <v>239</v>
      </c>
      <c r="P680" t="s">
        <v>514</v>
      </c>
      <c r="Y680">
        <v>646</v>
      </c>
      <c r="Z680" s="259" t="s">
        <v>630</v>
      </c>
      <c r="AA680">
        <v>220</v>
      </c>
      <c r="AB680">
        <v>10937.666666666666</v>
      </c>
      <c r="AC680">
        <v>45873</v>
      </c>
      <c r="AD680">
        <v>0</v>
      </c>
      <c r="AE680">
        <v>11374</v>
      </c>
      <c r="AF680">
        <v>11374</v>
      </c>
      <c r="AG680">
        <v>0</v>
      </c>
      <c r="AH680">
        <v>436.33333333333394</v>
      </c>
    </row>
    <row r="681" spans="2:34" x14ac:dyDescent="0.35">
      <c r="B681" t="s">
        <v>563</v>
      </c>
      <c r="C681">
        <v>45873</v>
      </c>
      <c r="F681" t="s">
        <v>752</v>
      </c>
      <c r="H681">
        <v>179.1</v>
      </c>
      <c r="O681" t="s">
        <v>239</v>
      </c>
      <c r="P681" t="s">
        <v>514</v>
      </c>
      <c r="Y681">
        <v>647</v>
      </c>
      <c r="Z681" s="259" t="s">
        <v>630</v>
      </c>
      <c r="AA681">
        <v>50</v>
      </c>
      <c r="AB681">
        <v>10010</v>
      </c>
      <c r="AC681">
        <v>45873</v>
      </c>
      <c r="AD681">
        <v>0</v>
      </c>
      <c r="AE681">
        <v>8955</v>
      </c>
      <c r="AF681">
        <v>8955</v>
      </c>
      <c r="AG681">
        <v>0</v>
      </c>
      <c r="AH681">
        <v>-1055</v>
      </c>
    </row>
    <row r="682" spans="2:34" x14ac:dyDescent="0.35">
      <c r="B682" t="s">
        <v>563</v>
      </c>
      <c r="C682">
        <v>45873</v>
      </c>
      <c r="F682" t="s">
        <v>754</v>
      </c>
      <c r="H682">
        <v>77.900000000000006</v>
      </c>
      <c r="O682" t="s">
        <v>239</v>
      </c>
      <c r="P682" t="s">
        <v>514</v>
      </c>
      <c r="Y682">
        <v>648</v>
      </c>
      <c r="Z682" s="259" t="s">
        <v>630</v>
      </c>
      <c r="AA682">
        <v>100</v>
      </c>
      <c r="AB682">
        <v>8008</v>
      </c>
      <c r="AC682">
        <v>45873</v>
      </c>
      <c r="AD682">
        <v>0</v>
      </c>
      <c r="AE682">
        <v>7790.0000000000009</v>
      </c>
      <c r="AF682">
        <v>7790.0000000000009</v>
      </c>
      <c r="AG682">
        <v>0</v>
      </c>
      <c r="AH682">
        <v>-217.99999999999909</v>
      </c>
    </row>
    <row r="683" spans="2:34" x14ac:dyDescent="0.35">
      <c r="B683" t="s">
        <v>563</v>
      </c>
      <c r="C683">
        <v>45874</v>
      </c>
      <c r="F683" t="s">
        <v>749</v>
      </c>
      <c r="H683">
        <v>51.6</v>
      </c>
      <c r="O683" t="s">
        <v>239</v>
      </c>
      <c r="P683" t="s">
        <v>514</v>
      </c>
      <c r="Y683">
        <v>649</v>
      </c>
      <c r="Z683" s="259" t="s">
        <v>630</v>
      </c>
      <c r="AA683">
        <v>220</v>
      </c>
      <c r="AB683">
        <v>10937.666666666666</v>
      </c>
      <c r="AC683">
        <v>45874</v>
      </c>
      <c r="AD683">
        <v>0</v>
      </c>
      <c r="AE683">
        <v>11352</v>
      </c>
      <c r="AF683">
        <v>11352</v>
      </c>
      <c r="AG683">
        <v>0</v>
      </c>
      <c r="AH683">
        <v>414.33333333333394</v>
      </c>
    </row>
    <row r="684" spans="2:34" x14ac:dyDescent="0.35">
      <c r="B684" t="s">
        <v>563</v>
      </c>
      <c r="C684">
        <v>45874</v>
      </c>
      <c r="F684" t="s">
        <v>752</v>
      </c>
      <c r="H684">
        <v>179.47</v>
      </c>
      <c r="O684" t="s">
        <v>239</v>
      </c>
      <c r="P684" t="s">
        <v>514</v>
      </c>
      <c r="Y684">
        <v>650</v>
      </c>
      <c r="Z684" s="259" t="s">
        <v>630</v>
      </c>
      <c r="AA684">
        <v>50</v>
      </c>
      <c r="AB684">
        <v>10010</v>
      </c>
      <c r="AC684">
        <v>45874</v>
      </c>
      <c r="AD684">
        <v>0</v>
      </c>
      <c r="AE684">
        <v>8973.5</v>
      </c>
      <c r="AF684">
        <v>8973.5</v>
      </c>
      <c r="AG684">
        <v>0</v>
      </c>
      <c r="AH684">
        <v>-1036.5</v>
      </c>
    </row>
    <row r="685" spans="2:34" x14ac:dyDescent="0.35">
      <c r="B685" t="s">
        <v>563</v>
      </c>
      <c r="C685">
        <v>45874</v>
      </c>
      <c r="F685" t="s">
        <v>754</v>
      </c>
      <c r="H685">
        <v>78.2</v>
      </c>
      <c r="O685" t="s">
        <v>239</v>
      </c>
      <c r="P685" t="s">
        <v>514</v>
      </c>
      <c r="Y685">
        <v>651</v>
      </c>
      <c r="Z685" s="259" t="s">
        <v>630</v>
      </c>
      <c r="AA685">
        <v>100</v>
      </c>
      <c r="AB685">
        <v>8008</v>
      </c>
      <c r="AC685">
        <v>45874</v>
      </c>
      <c r="AD685">
        <v>0</v>
      </c>
      <c r="AE685">
        <v>7820</v>
      </c>
      <c r="AF685">
        <v>7820</v>
      </c>
      <c r="AG685">
        <v>0</v>
      </c>
      <c r="AH685">
        <v>-188</v>
      </c>
    </row>
    <row r="686" spans="2:34" x14ac:dyDescent="0.35">
      <c r="B686" t="s">
        <v>563</v>
      </c>
      <c r="C686">
        <v>45875</v>
      </c>
      <c r="F686" t="s">
        <v>749</v>
      </c>
      <c r="H686">
        <v>51.5</v>
      </c>
      <c r="O686" t="s">
        <v>239</v>
      </c>
      <c r="P686" t="s">
        <v>514</v>
      </c>
      <c r="Y686">
        <v>652</v>
      </c>
      <c r="Z686" s="259" t="s">
        <v>630</v>
      </c>
      <c r="AA686">
        <v>220</v>
      </c>
      <c r="AB686">
        <v>10937.666666666666</v>
      </c>
      <c r="AC686">
        <v>45875</v>
      </c>
      <c r="AD686">
        <v>0</v>
      </c>
      <c r="AE686">
        <v>11330</v>
      </c>
      <c r="AF686">
        <v>11330</v>
      </c>
      <c r="AG686">
        <v>0</v>
      </c>
      <c r="AH686">
        <v>392.33333333333394</v>
      </c>
    </row>
    <row r="687" spans="2:34" x14ac:dyDescent="0.35">
      <c r="B687" t="s">
        <v>563</v>
      </c>
      <c r="C687">
        <v>45875</v>
      </c>
      <c r="F687" t="s">
        <v>752</v>
      </c>
      <c r="H687">
        <v>179.83</v>
      </c>
      <c r="O687" t="s">
        <v>239</v>
      </c>
      <c r="P687" t="s">
        <v>514</v>
      </c>
      <c r="Y687">
        <v>653</v>
      </c>
      <c r="Z687" s="259" t="s">
        <v>630</v>
      </c>
      <c r="AA687">
        <v>50</v>
      </c>
      <c r="AB687">
        <v>10010</v>
      </c>
      <c r="AC687">
        <v>45875</v>
      </c>
      <c r="AD687">
        <v>0</v>
      </c>
      <c r="AE687">
        <v>8991.5</v>
      </c>
      <c r="AF687">
        <v>8991.5</v>
      </c>
      <c r="AG687">
        <v>0</v>
      </c>
      <c r="AH687">
        <v>-1018.5</v>
      </c>
    </row>
    <row r="688" spans="2:34" x14ac:dyDescent="0.35">
      <c r="B688" t="s">
        <v>563</v>
      </c>
      <c r="C688">
        <v>45875</v>
      </c>
      <c r="F688" t="s">
        <v>754</v>
      </c>
      <c r="H688">
        <v>78.5</v>
      </c>
      <c r="O688" t="s">
        <v>239</v>
      </c>
      <c r="P688" t="s">
        <v>514</v>
      </c>
      <c r="Y688">
        <v>654</v>
      </c>
      <c r="Z688" s="259" t="s">
        <v>630</v>
      </c>
      <c r="AA688">
        <v>100</v>
      </c>
      <c r="AB688">
        <v>8008</v>
      </c>
      <c r="AC688">
        <v>45875</v>
      </c>
      <c r="AD688">
        <v>0</v>
      </c>
      <c r="AE688">
        <v>7850</v>
      </c>
      <c r="AF688">
        <v>7850</v>
      </c>
      <c r="AG688">
        <v>0</v>
      </c>
      <c r="AH688">
        <v>-158</v>
      </c>
    </row>
    <row r="689" spans="2:34" x14ac:dyDescent="0.35">
      <c r="B689" t="s">
        <v>563</v>
      </c>
      <c r="C689">
        <v>45876</v>
      </c>
      <c r="F689" t="s">
        <v>749</v>
      </c>
      <c r="H689">
        <v>51.4</v>
      </c>
      <c r="O689" t="s">
        <v>239</v>
      </c>
      <c r="P689" t="s">
        <v>514</v>
      </c>
      <c r="Y689">
        <v>655</v>
      </c>
      <c r="Z689" s="259" t="s">
        <v>630</v>
      </c>
      <c r="AA689">
        <v>220</v>
      </c>
      <c r="AB689">
        <v>10937.666666666666</v>
      </c>
      <c r="AC689">
        <v>45876</v>
      </c>
      <c r="AD689">
        <v>0</v>
      </c>
      <c r="AE689">
        <v>11308</v>
      </c>
      <c r="AF689">
        <v>11308</v>
      </c>
      <c r="AG689">
        <v>0</v>
      </c>
      <c r="AH689">
        <v>370.33333333333394</v>
      </c>
    </row>
    <row r="690" spans="2:34" x14ac:dyDescent="0.35">
      <c r="B690" t="s">
        <v>563</v>
      </c>
      <c r="C690">
        <v>45876</v>
      </c>
      <c r="F690" t="s">
        <v>752</v>
      </c>
      <c r="H690">
        <v>180.2</v>
      </c>
      <c r="O690" t="s">
        <v>239</v>
      </c>
      <c r="P690" t="s">
        <v>514</v>
      </c>
      <c r="Y690">
        <v>656</v>
      </c>
      <c r="Z690" s="259" t="s">
        <v>630</v>
      </c>
      <c r="AA690">
        <v>50</v>
      </c>
      <c r="AB690">
        <v>10010</v>
      </c>
      <c r="AC690">
        <v>45876</v>
      </c>
      <c r="AD690">
        <v>0</v>
      </c>
      <c r="AE690">
        <v>9010</v>
      </c>
      <c r="AF690">
        <v>9010</v>
      </c>
      <c r="AG690">
        <v>0</v>
      </c>
      <c r="AH690">
        <v>-1000</v>
      </c>
    </row>
    <row r="691" spans="2:34" x14ac:dyDescent="0.35">
      <c r="B691" t="s">
        <v>563</v>
      </c>
      <c r="C691">
        <v>45876</v>
      </c>
      <c r="F691" t="s">
        <v>754</v>
      </c>
      <c r="H691">
        <v>78.8</v>
      </c>
      <c r="O691" t="s">
        <v>239</v>
      </c>
      <c r="P691" t="s">
        <v>514</v>
      </c>
      <c r="Y691">
        <v>657</v>
      </c>
      <c r="Z691" s="259" t="s">
        <v>630</v>
      </c>
      <c r="AA691">
        <v>100</v>
      </c>
      <c r="AB691">
        <v>8008</v>
      </c>
      <c r="AC691">
        <v>45876</v>
      </c>
      <c r="AD691">
        <v>0</v>
      </c>
      <c r="AE691">
        <v>7880</v>
      </c>
      <c r="AF691">
        <v>7880</v>
      </c>
      <c r="AG691">
        <v>0</v>
      </c>
      <c r="AH691">
        <v>-128</v>
      </c>
    </row>
    <row r="692" spans="2:34" x14ac:dyDescent="0.35">
      <c r="B692" t="s">
        <v>563</v>
      </c>
      <c r="C692">
        <v>45877</v>
      </c>
      <c r="F692" t="s">
        <v>749</v>
      </c>
      <c r="H692">
        <v>51.3</v>
      </c>
      <c r="O692" t="s">
        <v>239</v>
      </c>
      <c r="P692" t="s">
        <v>514</v>
      </c>
      <c r="Y692">
        <v>658</v>
      </c>
      <c r="Z692" s="259" t="s">
        <v>630</v>
      </c>
      <c r="AA692">
        <v>220</v>
      </c>
      <c r="AB692">
        <v>10937.666666666666</v>
      </c>
      <c r="AC692">
        <v>45877</v>
      </c>
      <c r="AD692">
        <v>0</v>
      </c>
      <c r="AE692">
        <v>11286</v>
      </c>
      <c r="AF692">
        <v>11286</v>
      </c>
      <c r="AG692">
        <v>0</v>
      </c>
      <c r="AH692">
        <v>348.33333333333394</v>
      </c>
    </row>
    <row r="693" spans="2:34" x14ac:dyDescent="0.35">
      <c r="B693" t="s">
        <v>563</v>
      </c>
      <c r="C693">
        <v>45877</v>
      </c>
      <c r="F693" t="s">
        <v>752</v>
      </c>
      <c r="H693">
        <v>180.57</v>
      </c>
      <c r="O693" t="s">
        <v>239</v>
      </c>
      <c r="P693" t="s">
        <v>514</v>
      </c>
      <c r="Y693">
        <v>659</v>
      </c>
      <c r="Z693" s="259" t="s">
        <v>630</v>
      </c>
      <c r="AA693">
        <v>50</v>
      </c>
      <c r="AB693">
        <v>10010</v>
      </c>
      <c r="AC693">
        <v>45877</v>
      </c>
      <c r="AD693">
        <v>0</v>
      </c>
      <c r="AE693">
        <v>9028.5</v>
      </c>
      <c r="AF693">
        <v>9028.5</v>
      </c>
      <c r="AG693">
        <v>0</v>
      </c>
      <c r="AH693">
        <v>-981.5</v>
      </c>
    </row>
    <row r="694" spans="2:34" x14ac:dyDescent="0.35">
      <c r="B694" t="s">
        <v>563</v>
      </c>
      <c r="C694">
        <v>45877</v>
      </c>
      <c r="F694" t="s">
        <v>754</v>
      </c>
      <c r="H694">
        <v>79.099999999999994</v>
      </c>
      <c r="O694" t="s">
        <v>239</v>
      </c>
      <c r="P694" t="s">
        <v>514</v>
      </c>
      <c r="Y694">
        <v>660</v>
      </c>
      <c r="Z694" s="259" t="s">
        <v>630</v>
      </c>
      <c r="AA694">
        <v>100</v>
      </c>
      <c r="AB694">
        <v>8008</v>
      </c>
      <c r="AC694">
        <v>45877</v>
      </c>
      <c r="AD694">
        <v>0</v>
      </c>
      <c r="AE694">
        <v>7909.9999999999991</v>
      </c>
      <c r="AF694">
        <v>7909.9999999999991</v>
      </c>
      <c r="AG694">
        <v>0</v>
      </c>
      <c r="AH694">
        <v>-98.000000000000909</v>
      </c>
    </row>
    <row r="695" spans="2:34" x14ac:dyDescent="0.35">
      <c r="B695" t="s">
        <v>563</v>
      </c>
      <c r="C695">
        <v>45878</v>
      </c>
      <c r="F695" t="s">
        <v>749</v>
      </c>
      <c r="H695">
        <v>51.3</v>
      </c>
      <c r="O695" t="s">
        <v>239</v>
      </c>
      <c r="P695" t="s">
        <v>514</v>
      </c>
      <c r="Y695">
        <v>661</v>
      </c>
      <c r="Z695" s="259" t="s">
        <v>630</v>
      </c>
      <c r="AA695">
        <v>220</v>
      </c>
      <c r="AB695">
        <v>10937.666666666666</v>
      </c>
      <c r="AC695">
        <v>45877</v>
      </c>
      <c r="AD695">
        <v>1</v>
      </c>
      <c r="AE695">
        <v>11286</v>
      </c>
      <c r="AF695">
        <v>11286</v>
      </c>
      <c r="AG695">
        <v>0</v>
      </c>
      <c r="AH695">
        <v>348.33333333333394</v>
      </c>
    </row>
    <row r="696" spans="2:34" x14ac:dyDescent="0.35">
      <c r="B696" t="s">
        <v>563</v>
      </c>
      <c r="C696">
        <v>45878</v>
      </c>
      <c r="F696" t="s">
        <v>752</v>
      </c>
      <c r="H696">
        <v>180.57</v>
      </c>
      <c r="O696" t="s">
        <v>239</v>
      </c>
      <c r="P696" t="s">
        <v>514</v>
      </c>
      <c r="Y696">
        <v>662</v>
      </c>
      <c r="Z696" s="259" t="s">
        <v>630</v>
      </c>
      <c r="AA696">
        <v>50</v>
      </c>
      <c r="AB696">
        <v>10010</v>
      </c>
      <c r="AC696">
        <v>45877</v>
      </c>
      <c r="AD696">
        <v>1</v>
      </c>
      <c r="AE696">
        <v>9028.5</v>
      </c>
      <c r="AF696">
        <v>9028.5</v>
      </c>
      <c r="AG696">
        <v>0</v>
      </c>
      <c r="AH696">
        <v>-981.5</v>
      </c>
    </row>
    <row r="697" spans="2:34" x14ac:dyDescent="0.35">
      <c r="B697" t="s">
        <v>563</v>
      </c>
      <c r="C697">
        <v>45878</v>
      </c>
      <c r="F697" t="s">
        <v>754</v>
      </c>
      <c r="H697">
        <v>79.099999999999994</v>
      </c>
      <c r="O697" t="s">
        <v>239</v>
      </c>
      <c r="P697" t="s">
        <v>514</v>
      </c>
      <c r="Y697">
        <v>663</v>
      </c>
      <c r="Z697" s="259" t="s">
        <v>630</v>
      </c>
      <c r="AA697">
        <v>100</v>
      </c>
      <c r="AB697">
        <v>8008</v>
      </c>
      <c r="AC697">
        <v>45877</v>
      </c>
      <c r="AD697">
        <v>1</v>
      </c>
      <c r="AE697">
        <v>7909.9999999999991</v>
      </c>
      <c r="AF697">
        <v>7909.9999999999991</v>
      </c>
      <c r="AG697">
        <v>0</v>
      </c>
      <c r="AH697">
        <v>-98.000000000000909</v>
      </c>
    </row>
    <row r="698" spans="2:34" x14ac:dyDescent="0.35">
      <c r="B698" t="s">
        <v>563</v>
      </c>
      <c r="C698">
        <v>45879</v>
      </c>
      <c r="F698" t="s">
        <v>749</v>
      </c>
      <c r="H698">
        <v>51.3</v>
      </c>
      <c r="O698" t="s">
        <v>239</v>
      </c>
      <c r="P698" t="s">
        <v>514</v>
      </c>
      <c r="Y698">
        <v>664</v>
      </c>
      <c r="Z698" s="259" t="s">
        <v>630</v>
      </c>
      <c r="AA698">
        <v>220</v>
      </c>
      <c r="AB698">
        <v>10937.666666666666</v>
      </c>
      <c r="AC698">
        <v>45877</v>
      </c>
      <c r="AD698">
        <v>2</v>
      </c>
      <c r="AE698">
        <v>11286</v>
      </c>
      <c r="AF698">
        <v>11286</v>
      </c>
      <c r="AG698">
        <v>0</v>
      </c>
      <c r="AH698">
        <v>348.33333333333394</v>
      </c>
    </row>
    <row r="699" spans="2:34" x14ac:dyDescent="0.35">
      <c r="B699" t="s">
        <v>563</v>
      </c>
      <c r="C699">
        <v>45879</v>
      </c>
      <c r="F699" t="s">
        <v>752</v>
      </c>
      <c r="H699">
        <v>180.57</v>
      </c>
      <c r="O699" t="s">
        <v>239</v>
      </c>
      <c r="P699" t="s">
        <v>514</v>
      </c>
      <c r="Y699">
        <v>665</v>
      </c>
      <c r="Z699" s="259" t="s">
        <v>630</v>
      </c>
      <c r="AA699">
        <v>50</v>
      </c>
      <c r="AB699">
        <v>10010</v>
      </c>
      <c r="AC699">
        <v>45877</v>
      </c>
      <c r="AD699">
        <v>2</v>
      </c>
      <c r="AE699">
        <v>9028.5</v>
      </c>
      <c r="AF699">
        <v>9028.5</v>
      </c>
      <c r="AG699">
        <v>0</v>
      </c>
      <c r="AH699">
        <v>-981.5</v>
      </c>
    </row>
    <row r="700" spans="2:34" x14ac:dyDescent="0.35">
      <c r="B700" t="s">
        <v>563</v>
      </c>
      <c r="C700">
        <v>45879</v>
      </c>
      <c r="F700" t="s">
        <v>754</v>
      </c>
      <c r="H700">
        <v>79.099999999999994</v>
      </c>
      <c r="O700" t="s">
        <v>239</v>
      </c>
      <c r="P700" t="s">
        <v>514</v>
      </c>
      <c r="Y700">
        <v>666</v>
      </c>
      <c r="Z700" s="259" t="s">
        <v>630</v>
      </c>
      <c r="AA700">
        <v>100</v>
      </c>
      <c r="AB700">
        <v>8008</v>
      </c>
      <c r="AC700">
        <v>45877</v>
      </c>
      <c r="AD700">
        <v>2</v>
      </c>
      <c r="AE700">
        <v>7909.9999999999991</v>
      </c>
      <c r="AF700">
        <v>7909.9999999999991</v>
      </c>
      <c r="AG700">
        <v>0</v>
      </c>
      <c r="AH700">
        <v>-98.000000000000909</v>
      </c>
    </row>
    <row r="701" spans="2:34" x14ac:dyDescent="0.35">
      <c r="B701" t="s">
        <v>563</v>
      </c>
      <c r="C701">
        <v>45880</v>
      </c>
      <c r="F701" t="s">
        <v>749</v>
      </c>
      <c r="H701">
        <v>51</v>
      </c>
      <c r="O701" t="s">
        <v>239</v>
      </c>
      <c r="P701" t="s">
        <v>514</v>
      </c>
      <c r="Y701">
        <v>667</v>
      </c>
      <c r="Z701" s="259" t="s">
        <v>630</v>
      </c>
      <c r="AA701">
        <v>220</v>
      </c>
      <c r="AB701">
        <v>10937.666666666666</v>
      </c>
      <c r="AC701">
        <v>45880</v>
      </c>
      <c r="AD701">
        <v>0</v>
      </c>
      <c r="AE701">
        <v>11220</v>
      </c>
      <c r="AF701">
        <v>11220</v>
      </c>
      <c r="AG701">
        <v>0</v>
      </c>
      <c r="AH701">
        <v>282.33333333333394</v>
      </c>
    </row>
    <row r="702" spans="2:34" x14ac:dyDescent="0.35">
      <c r="B702" t="s">
        <v>563</v>
      </c>
      <c r="C702">
        <v>45880</v>
      </c>
      <c r="F702" t="s">
        <v>752</v>
      </c>
      <c r="H702">
        <v>181.67</v>
      </c>
      <c r="O702" t="s">
        <v>239</v>
      </c>
      <c r="P702" t="s">
        <v>514</v>
      </c>
      <c r="Y702">
        <v>668</v>
      </c>
      <c r="Z702" s="259" t="s">
        <v>630</v>
      </c>
      <c r="AA702">
        <v>50</v>
      </c>
      <c r="AB702">
        <v>10010</v>
      </c>
      <c r="AC702">
        <v>45880</v>
      </c>
      <c r="AD702">
        <v>0</v>
      </c>
      <c r="AE702">
        <v>9083.5</v>
      </c>
      <c r="AF702">
        <v>9083.5</v>
      </c>
      <c r="AG702">
        <v>0</v>
      </c>
      <c r="AH702">
        <v>-926.5</v>
      </c>
    </row>
    <row r="703" spans="2:34" x14ac:dyDescent="0.35">
      <c r="B703" t="s">
        <v>563</v>
      </c>
      <c r="C703">
        <v>45880</v>
      </c>
      <c r="F703" t="s">
        <v>754</v>
      </c>
      <c r="H703">
        <v>80</v>
      </c>
      <c r="O703" t="s">
        <v>239</v>
      </c>
      <c r="P703" t="s">
        <v>514</v>
      </c>
      <c r="Y703">
        <v>669</v>
      </c>
      <c r="Z703" s="259" t="s">
        <v>630</v>
      </c>
      <c r="AA703">
        <v>100</v>
      </c>
      <c r="AB703">
        <v>8008</v>
      </c>
      <c r="AC703">
        <v>45880</v>
      </c>
      <c r="AD703">
        <v>0</v>
      </c>
      <c r="AE703">
        <v>8000</v>
      </c>
      <c r="AF703">
        <v>8000</v>
      </c>
      <c r="AG703">
        <v>0</v>
      </c>
      <c r="AH703">
        <v>-8</v>
      </c>
    </row>
    <row r="704" spans="2:34" x14ac:dyDescent="0.35">
      <c r="B704" t="s">
        <v>563</v>
      </c>
      <c r="C704">
        <v>45881</v>
      </c>
      <c r="F704" t="s">
        <v>749</v>
      </c>
      <c r="H704">
        <v>50.9</v>
      </c>
      <c r="O704" t="s">
        <v>239</v>
      </c>
      <c r="P704" t="s">
        <v>514</v>
      </c>
      <c r="Y704">
        <v>670</v>
      </c>
      <c r="Z704" s="259" t="s">
        <v>630</v>
      </c>
      <c r="AA704">
        <v>220</v>
      </c>
      <c r="AB704">
        <v>10937.666666666666</v>
      </c>
      <c r="AC704">
        <v>45881</v>
      </c>
      <c r="AD704">
        <v>0</v>
      </c>
      <c r="AE704">
        <v>11198</v>
      </c>
      <c r="AF704">
        <v>11198</v>
      </c>
      <c r="AG704">
        <v>0</v>
      </c>
      <c r="AH704">
        <v>260.33333333333394</v>
      </c>
    </row>
    <row r="705" spans="2:34" x14ac:dyDescent="0.35">
      <c r="B705" t="s">
        <v>563</v>
      </c>
      <c r="C705">
        <v>45881</v>
      </c>
      <c r="F705" t="s">
        <v>752</v>
      </c>
      <c r="H705">
        <v>182.03</v>
      </c>
      <c r="O705" t="s">
        <v>239</v>
      </c>
      <c r="P705" t="s">
        <v>514</v>
      </c>
      <c r="Y705">
        <v>671</v>
      </c>
      <c r="Z705" s="259" t="s">
        <v>630</v>
      </c>
      <c r="AA705">
        <v>50</v>
      </c>
      <c r="AB705">
        <v>10010</v>
      </c>
      <c r="AC705">
        <v>45881</v>
      </c>
      <c r="AD705">
        <v>0</v>
      </c>
      <c r="AE705">
        <v>9101.5</v>
      </c>
      <c r="AF705">
        <v>9101.5</v>
      </c>
      <c r="AG705">
        <v>0</v>
      </c>
      <c r="AH705">
        <v>-908.5</v>
      </c>
    </row>
    <row r="706" spans="2:34" x14ac:dyDescent="0.35">
      <c r="B706" t="s">
        <v>563</v>
      </c>
      <c r="C706">
        <v>45881</v>
      </c>
      <c r="F706" t="s">
        <v>754</v>
      </c>
      <c r="H706">
        <v>80.3</v>
      </c>
      <c r="O706" t="s">
        <v>239</v>
      </c>
      <c r="P706" t="s">
        <v>514</v>
      </c>
      <c r="Y706">
        <v>672</v>
      </c>
      <c r="Z706" s="259" t="s">
        <v>630</v>
      </c>
      <c r="AA706">
        <v>100</v>
      </c>
      <c r="AB706">
        <v>8008</v>
      </c>
      <c r="AC706">
        <v>45881</v>
      </c>
      <c r="AD706">
        <v>0</v>
      </c>
      <c r="AE706">
        <v>8030</v>
      </c>
      <c r="AF706">
        <v>8030</v>
      </c>
      <c r="AG706">
        <v>0</v>
      </c>
      <c r="AH706">
        <v>22</v>
      </c>
    </row>
    <row r="707" spans="2:34" x14ac:dyDescent="0.35">
      <c r="B707" t="s">
        <v>563</v>
      </c>
      <c r="C707">
        <v>45882</v>
      </c>
      <c r="F707" t="s">
        <v>749</v>
      </c>
      <c r="H707">
        <v>50.8</v>
      </c>
      <c r="O707" t="s">
        <v>239</v>
      </c>
      <c r="P707" t="s">
        <v>514</v>
      </c>
      <c r="Y707">
        <v>673</v>
      </c>
      <c r="Z707" s="259" t="s">
        <v>630</v>
      </c>
      <c r="AA707">
        <v>220</v>
      </c>
      <c r="AB707">
        <v>10937.666666666666</v>
      </c>
      <c r="AC707">
        <v>45882</v>
      </c>
      <c r="AD707">
        <v>0</v>
      </c>
      <c r="AE707">
        <v>11176</v>
      </c>
      <c r="AF707">
        <v>11176</v>
      </c>
      <c r="AG707">
        <v>0</v>
      </c>
      <c r="AH707">
        <v>238.33333333333394</v>
      </c>
    </row>
    <row r="708" spans="2:34" x14ac:dyDescent="0.35">
      <c r="B708" t="s">
        <v>563</v>
      </c>
      <c r="C708">
        <v>45882</v>
      </c>
      <c r="F708" t="s">
        <v>752</v>
      </c>
      <c r="H708">
        <v>182.4</v>
      </c>
      <c r="O708" t="s">
        <v>239</v>
      </c>
      <c r="P708" t="s">
        <v>514</v>
      </c>
      <c r="Y708">
        <v>674</v>
      </c>
      <c r="Z708" s="259" t="s">
        <v>630</v>
      </c>
      <c r="AA708">
        <v>50</v>
      </c>
      <c r="AB708">
        <v>10010</v>
      </c>
      <c r="AC708">
        <v>45882</v>
      </c>
      <c r="AD708">
        <v>0</v>
      </c>
      <c r="AE708">
        <v>9120</v>
      </c>
      <c r="AF708">
        <v>9120</v>
      </c>
      <c r="AG708">
        <v>0</v>
      </c>
      <c r="AH708">
        <v>-890</v>
      </c>
    </row>
    <row r="709" spans="2:34" x14ac:dyDescent="0.35">
      <c r="B709" t="s">
        <v>563</v>
      </c>
      <c r="C709">
        <v>45882</v>
      </c>
      <c r="F709" t="s">
        <v>754</v>
      </c>
      <c r="H709">
        <v>80.599999999999994</v>
      </c>
      <c r="O709" t="s">
        <v>239</v>
      </c>
      <c r="P709" t="s">
        <v>514</v>
      </c>
      <c r="Y709">
        <v>675</v>
      </c>
      <c r="Z709" s="259" t="s">
        <v>630</v>
      </c>
      <c r="AA709">
        <v>100</v>
      </c>
      <c r="AB709">
        <v>8008</v>
      </c>
      <c r="AC709">
        <v>45882</v>
      </c>
      <c r="AD709">
        <v>0</v>
      </c>
      <c r="AE709">
        <v>8059.9999999999991</v>
      </c>
      <c r="AF709">
        <v>8059.9999999999991</v>
      </c>
      <c r="AG709">
        <v>0</v>
      </c>
      <c r="AH709">
        <v>51.999999999999091</v>
      </c>
    </row>
    <row r="710" spans="2:34" x14ac:dyDescent="0.35">
      <c r="B710" t="s">
        <v>563</v>
      </c>
      <c r="C710">
        <v>45883</v>
      </c>
      <c r="F710" t="s">
        <v>749</v>
      </c>
      <c r="H710">
        <v>50.7</v>
      </c>
      <c r="O710" t="s">
        <v>239</v>
      </c>
      <c r="P710" t="s">
        <v>514</v>
      </c>
      <c r="Y710">
        <v>676</v>
      </c>
      <c r="Z710" s="259" t="s">
        <v>630</v>
      </c>
      <c r="AA710">
        <v>220</v>
      </c>
      <c r="AB710">
        <v>10937.666666666666</v>
      </c>
      <c r="AC710">
        <v>45883</v>
      </c>
      <c r="AD710">
        <v>0</v>
      </c>
      <c r="AE710">
        <v>11154</v>
      </c>
      <c r="AF710">
        <v>11154</v>
      </c>
      <c r="AG710">
        <v>0</v>
      </c>
      <c r="AH710">
        <v>216.33333333333394</v>
      </c>
    </row>
    <row r="711" spans="2:34" x14ac:dyDescent="0.35">
      <c r="B711" t="s">
        <v>563</v>
      </c>
      <c r="C711">
        <v>45883</v>
      </c>
      <c r="F711" t="s">
        <v>752</v>
      </c>
      <c r="H711">
        <v>182.77</v>
      </c>
      <c r="O711" t="s">
        <v>239</v>
      </c>
      <c r="P711" t="s">
        <v>514</v>
      </c>
      <c r="Y711">
        <v>677</v>
      </c>
      <c r="Z711" s="259" t="s">
        <v>630</v>
      </c>
      <c r="AA711">
        <v>50</v>
      </c>
      <c r="AB711">
        <v>10010</v>
      </c>
      <c r="AC711">
        <v>45883</v>
      </c>
      <c r="AD711">
        <v>0</v>
      </c>
      <c r="AE711">
        <v>9138.5</v>
      </c>
      <c r="AF711">
        <v>9138.5</v>
      </c>
      <c r="AG711">
        <v>0</v>
      </c>
      <c r="AH711">
        <v>-871.5</v>
      </c>
    </row>
    <row r="712" spans="2:34" x14ac:dyDescent="0.35">
      <c r="B712" t="s">
        <v>563</v>
      </c>
      <c r="C712">
        <v>45883</v>
      </c>
      <c r="F712" t="s">
        <v>754</v>
      </c>
      <c r="H712">
        <v>80.900000000000006</v>
      </c>
      <c r="O712" t="s">
        <v>239</v>
      </c>
      <c r="P712" t="s">
        <v>514</v>
      </c>
      <c r="Y712">
        <v>678</v>
      </c>
      <c r="Z712" s="259" t="s">
        <v>630</v>
      </c>
      <c r="AA712">
        <v>100</v>
      </c>
      <c r="AB712">
        <v>8008</v>
      </c>
      <c r="AC712">
        <v>45883</v>
      </c>
      <c r="AD712">
        <v>0</v>
      </c>
      <c r="AE712">
        <v>8090.0000000000009</v>
      </c>
      <c r="AF712">
        <v>8090.0000000000009</v>
      </c>
      <c r="AG712">
        <v>0</v>
      </c>
      <c r="AH712">
        <v>82.000000000000909</v>
      </c>
    </row>
    <row r="713" spans="2:34" x14ac:dyDescent="0.35">
      <c r="B713" t="s">
        <v>563</v>
      </c>
      <c r="C713">
        <v>45884</v>
      </c>
      <c r="F713" t="s">
        <v>749</v>
      </c>
      <c r="H713">
        <v>50.6</v>
      </c>
      <c r="O713" t="s">
        <v>239</v>
      </c>
      <c r="P713" t="s">
        <v>514</v>
      </c>
      <c r="Y713">
        <v>679</v>
      </c>
      <c r="Z713" s="259" t="s">
        <v>630</v>
      </c>
      <c r="AA713">
        <v>220</v>
      </c>
      <c r="AB713">
        <v>10937.666666666666</v>
      </c>
      <c r="AC713">
        <v>45884</v>
      </c>
      <c r="AD713">
        <v>0</v>
      </c>
      <c r="AE713">
        <v>11132</v>
      </c>
      <c r="AF713">
        <v>11132</v>
      </c>
      <c r="AG713">
        <v>0</v>
      </c>
      <c r="AH713">
        <v>194.33333333333394</v>
      </c>
    </row>
    <row r="714" spans="2:34" x14ac:dyDescent="0.35">
      <c r="B714" t="s">
        <v>563</v>
      </c>
      <c r="C714">
        <v>45884</v>
      </c>
      <c r="F714" t="s">
        <v>752</v>
      </c>
      <c r="H714">
        <v>183.13</v>
      </c>
      <c r="O714" t="s">
        <v>239</v>
      </c>
      <c r="P714" t="s">
        <v>514</v>
      </c>
      <c r="Y714">
        <v>680</v>
      </c>
      <c r="Z714" s="259" t="s">
        <v>630</v>
      </c>
      <c r="AA714">
        <v>50</v>
      </c>
      <c r="AB714">
        <v>10010</v>
      </c>
      <c r="AC714">
        <v>45884</v>
      </c>
      <c r="AD714">
        <v>0</v>
      </c>
      <c r="AE714">
        <v>9156.5</v>
      </c>
      <c r="AF714">
        <v>9156.5</v>
      </c>
      <c r="AG714">
        <v>0</v>
      </c>
      <c r="AH714">
        <v>-853.5</v>
      </c>
    </row>
    <row r="715" spans="2:34" x14ac:dyDescent="0.35">
      <c r="B715" t="s">
        <v>563</v>
      </c>
      <c r="C715">
        <v>45884</v>
      </c>
      <c r="F715" t="s">
        <v>754</v>
      </c>
      <c r="H715">
        <v>81.2</v>
      </c>
      <c r="O715" t="s">
        <v>239</v>
      </c>
      <c r="P715" t="s">
        <v>514</v>
      </c>
      <c r="Y715">
        <v>681</v>
      </c>
      <c r="Z715" s="259" t="s">
        <v>630</v>
      </c>
      <c r="AA715">
        <v>100</v>
      </c>
      <c r="AB715">
        <v>8008</v>
      </c>
      <c r="AC715">
        <v>45884</v>
      </c>
      <c r="AD715">
        <v>0</v>
      </c>
      <c r="AE715">
        <v>8120</v>
      </c>
      <c r="AF715">
        <v>8120</v>
      </c>
      <c r="AG715">
        <v>0</v>
      </c>
      <c r="AH715">
        <v>112</v>
      </c>
    </row>
    <row r="716" spans="2:34" x14ac:dyDescent="0.35">
      <c r="B716" t="s">
        <v>563</v>
      </c>
      <c r="C716">
        <v>45885</v>
      </c>
      <c r="F716" t="s">
        <v>749</v>
      </c>
      <c r="H716">
        <v>50.6</v>
      </c>
      <c r="O716" t="s">
        <v>239</v>
      </c>
      <c r="P716" t="s">
        <v>514</v>
      </c>
      <c r="Y716">
        <v>682</v>
      </c>
      <c r="Z716" s="259" t="s">
        <v>630</v>
      </c>
      <c r="AA716">
        <v>220</v>
      </c>
      <c r="AB716">
        <v>10937.666666666666</v>
      </c>
      <c r="AC716">
        <v>45884</v>
      </c>
      <c r="AD716">
        <v>1</v>
      </c>
      <c r="AE716">
        <v>11132</v>
      </c>
      <c r="AF716">
        <v>11132</v>
      </c>
      <c r="AG716">
        <v>0</v>
      </c>
      <c r="AH716">
        <v>194.33333333333394</v>
      </c>
    </row>
    <row r="717" spans="2:34" x14ac:dyDescent="0.35">
      <c r="B717" t="s">
        <v>563</v>
      </c>
      <c r="C717">
        <v>45885</v>
      </c>
      <c r="F717" t="s">
        <v>752</v>
      </c>
      <c r="H717">
        <v>183.13</v>
      </c>
      <c r="O717" t="s">
        <v>239</v>
      </c>
      <c r="P717" t="s">
        <v>514</v>
      </c>
      <c r="Y717">
        <v>683</v>
      </c>
      <c r="Z717" s="259" t="s">
        <v>630</v>
      </c>
      <c r="AA717">
        <v>50</v>
      </c>
      <c r="AB717">
        <v>10010</v>
      </c>
      <c r="AC717">
        <v>45884</v>
      </c>
      <c r="AD717">
        <v>1</v>
      </c>
      <c r="AE717">
        <v>9156.5</v>
      </c>
      <c r="AF717">
        <v>9156.5</v>
      </c>
      <c r="AG717">
        <v>0</v>
      </c>
      <c r="AH717">
        <v>-853.5</v>
      </c>
    </row>
    <row r="718" spans="2:34" x14ac:dyDescent="0.35">
      <c r="B718" t="s">
        <v>563</v>
      </c>
      <c r="C718">
        <v>45885</v>
      </c>
      <c r="F718" t="s">
        <v>754</v>
      </c>
      <c r="H718">
        <v>81.2</v>
      </c>
      <c r="O718" t="s">
        <v>239</v>
      </c>
      <c r="P718" t="s">
        <v>514</v>
      </c>
      <c r="Y718">
        <v>684</v>
      </c>
      <c r="Z718" s="259" t="s">
        <v>630</v>
      </c>
      <c r="AA718">
        <v>100</v>
      </c>
      <c r="AB718">
        <v>8008</v>
      </c>
      <c r="AC718">
        <v>45884</v>
      </c>
      <c r="AD718">
        <v>1</v>
      </c>
      <c r="AE718">
        <v>8120</v>
      </c>
      <c r="AF718">
        <v>8120</v>
      </c>
      <c r="AG718">
        <v>0</v>
      </c>
      <c r="AH718">
        <v>112</v>
      </c>
    </row>
    <row r="719" spans="2:34" x14ac:dyDescent="0.35">
      <c r="B719" t="s">
        <v>563</v>
      </c>
      <c r="C719">
        <v>45886</v>
      </c>
      <c r="F719" t="s">
        <v>749</v>
      </c>
      <c r="H719">
        <v>50.6</v>
      </c>
      <c r="O719" t="s">
        <v>239</v>
      </c>
      <c r="P719" t="s">
        <v>514</v>
      </c>
      <c r="Y719">
        <v>685</v>
      </c>
      <c r="Z719" s="259" t="s">
        <v>630</v>
      </c>
      <c r="AA719">
        <v>220</v>
      </c>
      <c r="AB719">
        <v>10937.666666666666</v>
      </c>
      <c r="AC719">
        <v>45884</v>
      </c>
      <c r="AD719">
        <v>2</v>
      </c>
      <c r="AE719">
        <v>11132</v>
      </c>
      <c r="AF719">
        <v>11132</v>
      </c>
      <c r="AG719">
        <v>0</v>
      </c>
      <c r="AH719">
        <v>194.33333333333394</v>
      </c>
    </row>
    <row r="720" spans="2:34" x14ac:dyDescent="0.35">
      <c r="B720" t="s">
        <v>563</v>
      </c>
      <c r="C720">
        <v>45886</v>
      </c>
      <c r="F720" t="s">
        <v>752</v>
      </c>
      <c r="H720">
        <v>183.13</v>
      </c>
      <c r="O720" t="s">
        <v>239</v>
      </c>
      <c r="P720" t="s">
        <v>514</v>
      </c>
      <c r="Y720">
        <v>686</v>
      </c>
      <c r="Z720" s="259" t="s">
        <v>630</v>
      </c>
      <c r="AA720">
        <v>50</v>
      </c>
      <c r="AB720">
        <v>10010</v>
      </c>
      <c r="AC720">
        <v>45884</v>
      </c>
      <c r="AD720">
        <v>2</v>
      </c>
      <c r="AE720">
        <v>9156.5</v>
      </c>
      <c r="AF720">
        <v>9156.5</v>
      </c>
      <c r="AG720">
        <v>0</v>
      </c>
      <c r="AH720">
        <v>-853.5</v>
      </c>
    </row>
    <row r="721" spans="2:34" x14ac:dyDescent="0.35">
      <c r="B721" t="s">
        <v>563</v>
      </c>
      <c r="C721">
        <v>45886</v>
      </c>
      <c r="F721" t="s">
        <v>754</v>
      </c>
      <c r="H721">
        <v>81.2</v>
      </c>
      <c r="O721" t="s">
        <v>239</v>
      </c>
      <c r="P721" t="s">
        <v>514</v>
      </c>
      <c r="Y721">
        <v>687</v>
      </c>
      <c r="Z721" s="259" t="s">
        <v>630</v>
      </c>
      <c r="AA721">
        <v>100</v>
      </c>
      <c r="AB721">
        <v>8008</v>
      </c>
      <c r="AC721">
        <v>45884</v>
      </c>
      <c r="AD721">
        <v>2</v>
      </c>
      <c r="AE721">
        <v>8120</v>
      </c>
      <c r="AF721">
        <v>8120</v>
      </c>
      <c r="AG721">
        <v>0</v>
      </c>
      <c r="AH721">
        <v>112</v>
      </c>
    </row>
    <row r="722" spans="2:34" x14ac:dyDescent="0.35">
      <c r="B722" t="s">
        <v>563</v>
      </c>
      <c r="C722">
        <v>45887</v>
      </c>
      <c r="F722" t="s">
        <v>749</v>
      </c>
      <c r="H722">
        <v>50.3</v>
      </c>
      <c r="O722" t="s">
        <v>239</v>
      </c>
      <c r="P722" t="s">
        <v>514</v>
      </c>
      <c r="Y722">
        <v>688</v>
      </c>
      <c r="Z722" s="259" t="s">
        <v>630</v>
      </c>
      <c r="AA722">
        <v>220</v>
      </c>
      <c r="AB722">
        <v>10937.666666666666</v>
      </c>
      <c r="AC722">
        <v>45887</v>
      </c>
      <c r="AD722">
        <v>0</v>
      </c>
      <c r="AE722">
        <v>11066</v>
      </c>
      <c r="AF722">
        <v>11066</v>
      </c>
      <c r="AG722">
        <v>0</v>
      </c>
      <c r="AH722">
        <v>128.33333333333394</v>
      </c>
    </row>
    <row r="723" spans="2:34" x14ac:dyDescent="0.35">
      <c r="B723" t="s">
        <v>563</v>
      </c>
      <c r="C723">
        <v>45887</v>
      </c>
      <c r="F723" t="s">
        <v>752</v>
      </c>
      <c r="H723">
        <v>184.23</v>
      </c>
      <c r="O723" t="s">
        <v>239</v>
      </c>
      <c r="P723" t="s">
        <v>514</v>
      </c>
      <c r="Y723">
        <v>689</v>
      </c>
      <c r="Z723" s="259" t="s">
        <v>630</v>
      </c>
      <c r="AA723">
        <v>50</v>
      </c>
      <c r="AB723">
        <v>10010</v>
      </c>
      <c r="AC723">
        <v>45887</v>
      </c>
      <c r="AD723">
        <v>0</v>
      </c>
      <c r="AE723">
        <v>9211.5</v>
      </c>
      <c r="AF723">
        <v>9211.5</v>
      </c>
      <c r="AG723">
        <v>0</v>
      </c>
      <c r="AH723">
        <v>-798.5</v>
      </c>
    </row>
    <row r="724" spans="2:34" x14ac:dyDescent="0.35">
      <c r="B724" t="s">
        <v>563</v>
      </c>
      <c r="C724">
        <v>45887</v>
      </c>
      <c r="F724" t="s">
        <v>754</v>
      </c>
      <c r="H724">
        <v>82.1</v>
      </c>
      <c r="O724" t="s">
        <v>239</v>
      </c>
      <c r="P724" t="s">
        <v>514</v>
      </c>
      <c r="Y724">
        <v>690</v>
      </c>
      <c r="Z724" s="259" t="s">
        <v>630</v>
      </c>
      <c r="AA724">
        <v>100</v>
      </c>
      <c r="AB724">
        <v>8008</v>
      </c>
      <c r="AC724">
        <v>45887</v>
      </c>
      <c r="AD724">
        <v>0</v>
      </c>
      <c r="AE724">
        <v>8210</v>
      </c>
      <c r="AF724">
        <v>8210</v>
      </c>
      <c r="AG724">
        <v>0</v>
      </c>
      <c r="AH724">
        <v>202</v>
      </c>
    </row>
    <row r="725" spans="2:34" x14ac:dyDescent="0.35">
      <c r="B725" t="s">
        <v>563</v>
      </c>
      <c r="C725">
        <v>45888</v>
      </c>
      <c r="F725" t="s">
        <v>749</v>
      </c>
      <c r="H725">
        <v>50.2</v>
      </c>
      <c r="O725" t="s">
        <v>239</v>
      </c>
      <c r="P725" t="s">
        <v>514</v>
      </c>
      <c r="Y725">
        <v>691</v>
      </c>
      <c r="Z725" s="259" t="s">
        <v>630</v>
      </c>
      <c r="AA725">
        <v>220</v>
      </c>
      <c r="AB725">
        <v>10937.666666666666</v>
      </c>
      <c r="AC725">
        <v>45888</v>
      </c>
      <c r="AD725">
        <v>0</v>
      </c>
      <c r="AE725">
        <v>11044</v>
      </c>
      <c r="AF725">
        <v>11044</v>
      </c>
      <c r="AG725">
        <v>0</v>
      </c>
      <c r="AH725">
        <v>106.33333333333394</v>
      </c>
    </row>
    <row r="726" spans="2:34" x14ac:dyDescent="0.35">
      <c r="B726" t="s">
        <v>563</v>
      </c>
      <c r="C726">
        <v>45888</v>
      </c>
      <c r="F726" t="s">
        <v>752</v>
      </c>
      <c r="H726">
        <v>184.6</v>
      </c>
      <c r="O726" t="s">
        <v>239</v>
      </c>
      <c r="P726" t="s">
        <v>514</v>
      </c>
      <c r="Y726">
        <v>692</v>
      </c>
      <c r="Z726" s="259" t="s">
        <v>630</v>
      </c>
      <c r="AA726">
        <v>50</v>
      </c>
      <c r="AB726">
        <v>10010</v>
      </c>
      <c r="AC726">
        <v>45888</v>
      </c>
      <c r="AD726">
        <v>0</v>
      </c>
      <c r="AE726">
        <v>9230</v>
      </c>
      <c r="AF726">
        <v>9230</v>
      </c>
      <c r="AG726">
        <v>0</v>
      </c>
      <c r="AH726">
        <v>-780</v>
      </c>
    </row>
    <row r="727" spans="2:34" x14ac:dyDescent="0.35">
      <c r="B727" t="s">
        <v>563</v>
      </c>
      <c r="C727">
        <v>45888</v>
      </c>
      <c r="F727" t="s">
        <v>754</v>
      </c>
      <c r="H727">
        <v>82.4</v>
      </c>
      <c r="O727" t="s">
        <v>239</v>
      </c>
      <c r="P727" t="s">
        <v>514</v>
      </c>
      <c r="Y727">
        <v>693</v>
      </c>
      <c r="Z727" s="259" t="s">
        <v>630</v>
      </c>
      <c r="AA727">
        <v>100</v>
      </c>
      <c r="AB727">
        <v>8008</v>
      </c>
      <c r="AC727">
        <v>45888</v>
      </c>
      <c r="AD727">
        <v>0</v>
      </c>
      <c r="AE727">
        <v>8240</v>
      </c>
      <c r="AF727">
        <v>8240</v>
      </c>
      <c r="AG727">
        <v>0</v>
      </c>
      <c r="AH727">
        <v>232</v>
      </c>
    </row>
    <row r="728" spans="2:34" x14ac:dyDescent="0.35">
      <c r="B728" t="s">
        <v>563</v>
      </c>
      <c r="C728">
        <v>45889</v>
      </c>
      <c r="F728" t="s">
        <v>749</v>
      </c>
      <c r="H728">
        <v>50.1</v>
      </c>
      <c r="O728" t="s">
        <v>239</v>
      </c>
      <c r="P728" t="s">
        <v>514</v>
      </c>
      <c r="Y728">
        <v>694</v>
      </c>
      <c r="Z728" s="259" t="s">
        <v>630</v>
      </c>
      <c r="AA728">
        <v>220</v>
      </c>
      <c r="AB728">
        <v>10937.666666666666</v>
      </c>
      <c r="AC728">
        <v>45889</v>
      </c>
      <c r="AD728">
        <v>0</v>
      </c>
      <c r="AE728">
        <v>11022</v>
      </c>
      <c r="AF728">
        <v>11022</v>
      </c>
      <c r="AG728">
        <v>0</v>
      </c>
      <c r="AH728">
        <v>84.33333333333394</v>
      </c>
    </row>
    <row r="729" spans="2:34" x14ac:dyDescent="0.35">
      <c r="B729" t="s">
        <v>563</v>
      </c>
      <c r="C729">
        <v>45889</v>
      </c>
      <c r="F729" t="s">
        <v>752</v>
      </c>
      <c r="H729">
        <v>184.97</v>
      </c>
      <c r="O729" t="s">
        <v>239</v>
      </c>
      <c r="P729" t="s">
        <v>514</v>
      </c>
      <c r="Y729">
        <v>695</v>
      </c>
      <c r="Z729" s="259" t="s">
        <v>630</v>
      </c>
      <c r="AA729">
        <v>50</v>
      </c>
      <c r="AB729">
        <v>10010</v>
      </c>
      <c r="AC729">
        <v>45889</v>
      </c>
      <c r="AD729">
        <v>0</v>
      </c>
      <c r="AE729">
        <v>9248.5</v>
      </c>
      <c r="AF729">
        <v>9248.5</v>
      </c>
      <c r="AG729">
        <v>0</v>
      </c>
      <c r="AH729">
        <v>-761.5</v>
      </c>
    </row>
    <row r="730" spans="2:34" x14ac:dyDescent="0.35">
      <c r="B730" t="s">
        <v>563</v>
      </c>
      <c r="C730">
        <v>45889</v>
      </c>
      <c r="F730" t="s">
        <v>754</v>
      </c>
      <c r="H730">
        <v>82.7</v>
      </c>
      <c r="O730" t="s">
        <v>239</v>
      </c>
      <c r="P730" t="s">
        <v>514</v>
      </c>
      <c r="Y730">
        <v>696</v>
      </c>
      <c r="Z730" s="259" t="s">
        <v>630</v>
      </c>
      <c r="AA730">
        <v>100</v>
      </c>
      <c r="AB730">
        <v>8008</v>
      </c>
      <c r="AC730">
        <v>45889</v>
      </c>
      <c r="AD730">
        <v>0</v>
      </c>
      <c r="AE730">
        <v>8270</v>
      </c>
      <c r="AF730">
        <v>8270</v>
      </c>
      <c r="AG730">
        <v>0</v>
      </c>
      <c r="AH730">
        <v>262</v>
      </c>
    </row>
    <row r="731" spans="2:34" x14ac:dyDescent="0.35">
      <c r="B731" t="s">
        <v>563</v>
      </c>
      <c r="C731">
        <v>45890</v>
      </c>
      <c r="F731" t="s">
        <v>749</v>
      </c>
      <c r="H731">
        <v>50</v>
      </c>
      <c r="O731" t="s">
        <v>239</v>
      </c>
      <c r="P731" t="s">
        <v>514</v>
      </c>
      <c r="Y731">
        <v>697</v>
      </c>
      <c r="Z731" s="259" t="s">
        <v>630</v>
      </c>
      <c r="AA731">
        <v>220</v>
      </c>
      <c r="AB731">
        <v>10937.666666666666</v>
      </c>
      <c r="AC731">
        <v>45890</v>
      </c>
      <c r="AD731">
        <v>0</v>
      </c>
      <c r="AE731">
        <v>11000</v>
      </c>
      <c r="AF731">
        <v>11000</v>
      </c>
      <c r="AG731">
        <v>0</v>
      </c>
      <c r="AH731">
        <v>62.33333333333394</v>
      </c>
    </row>
    <row r="732" spans="2:34" x14ac:dyDescent="0.35">
      <c r="B732" t="s">
        <v>563</v>
      </c>
      <c r="C732">
        <v>45890</v>
      </c>
      <c r="F732" t="s">
        <v>752</v>
      </c>
      <c r="H732">
        <v>185.33</v>
      </c>
      <c r="O732" t="s">
        <v>239</v>
      </c>
      <c r="P732" t="s">
        <v>514</v>
      </c>
      <c r="Y732">
        <v>698</v>
      </c>
      <c r="Z732" s="259" t="s">
        <v>630</v>
      </c>
      <c r="AA732">
        <v>50</v>
      </c>
      <c r="AB732">
        <v>10010</v>
      </c>
      <c r="AC732">
        <v>45890</v>
      </c>
      <c r="AD732">
        <v>0</v>
      </c>
      <c r="AE732">
        <v>9266.5</v>
      </c>
      <c r="AF732">
        <v>9266.5</v>
      </c>
      <c r="AG732">
        <v>0</v>
      </c>
      <c r="AH732">
        <v>-743.5</v>
      </c>
    </row>
    <row r="733" spans="2:34" x14ac:dyDescent="0.35">
      <c r="B733" t="s">
        <v>563</v>
      </c>
      <c r="C733">
        <v>45890</v>
      </c>
      <c r="F733" t="s">
        <v>754</v>
      </c>
      <c r="H733">
        <v>83</v>
      </c>
      <c r="O733" t="s">
        <v>239</v>
      </c>
      <c r="P733" t="s">
        <v>514</v>
      </c>
      <c r="Y733">
        <v>699</v>
      </c>
      <c r="Z733" s="259" t="s">
        <v>630</v>
      </c>
      <c r="AA733">
        <v>100</v>
      </c>
      <c r="AB733">
        <v>8008</v>
      </c>
      <c r="AC733">
        <v>45890</v>
      </c>
      <c r="AD733">
        <v>0</v>
      </c>
      <c r="AE733">
        <v>8300</v>
      </c>
      <c r="AF733">
        <v>8300</v>
      </c>
      <c r="AG733">
        <v>0</v>
      </c>
      <c r="AH733">
        <v>292</v>
      </c>
    </row>
    <row r="734" spans="2:34" x14ac:dyDescent="0.35">
      <c r="B734" t="s">
        <v>563</v>
      </c>
      <c r="C734">
        <v>45891</v>
      </c>
      <c r="F734" t="s">
        <v>749</v>
      </c>
      <c r="H734">
        <v>49.9</v>
      </c>
      <c r="O734" t="s">
        <v>239</v>
      </c>
      <c r="P734" t="s">
        <v>514</v>
      </c>
      <c r="Y734">
        <v>700</v>
      </c>
      <c r="Z734" s="259" t="s">
        <v>630</v>
      </c>
      <c r="AA734">
        <v>220</v>
      </c>
      <c r="AB734">
        <v>10937.666666666666</v>
      </c>
      <c r="AC734">
        <v>45891</v>
      </c>
      <c r="AD734">
        <v>0</v>
      </c>
      <c r="AE734">
        <v>10978</v>
      </c>
      <c r="AF734">
        <v>10978</v>
      </c>
      <c r="AG734">
        <v>0</v>
      </c>
      <c r="AH734">
        <v>40.33333333333394</v>
      </c>
    </row>
    <row r="735" spans="2:34" x14ac:dyDescent="0.35">
      <c r="B735" t="s">
        <v>563</v>
      </c>
      <c r="C735">
        <v>45891</v>
      </c>
      <c r="F735" t="s">
        <v>752</v>
      </c>
      <c r="H735">
        <v>185.7</v>
      </c>
      <c r="O735" t="s">
        <v>239</v>
      </c>
      <c r="P735" t="s">
        <v>514</v>
      </c>
      <c r="Y735">
        <v>701</v>
      </c>
      <c r="Z735" s="259" t="s">
        <v>630</v>
      </c>
      <c r="AA735">
        <v>50</v>
      </c>
      <c r="AB735">
        <v>10010</v>
      </c>
      <c r="AC735">
        <v>45891</v>
      </c>
      <c r="AD735">
        <v>0</v>
      </c>
      <c r="AE735">
        <v>9285</v>
      </c>
      <c r="AF735">
        <v>9285</v>
      </c>
      <c r="AG735">
        <v>0</v>
      </c>
      <c r="AH735">
        <v>-725</v>
      </c>
    </row>
    <row r="736" spans="2:34" x14ac:dyDescent="0.35">
      <c r="B736" t="s">
        <v>563</v>
      </c>
      <c r="C736">
        <v>45891</v>
      </c>
      <c r="F736" t="s">
        <v>754</v>
      </c>
      <c r="H736">
        <v>83.3</v>
      </c>
      <c r="O736" t="s">
        <v>239</v>
      </c>
      <c r="P736" t="s">
        <v>514</v>
      </c>
      <c r="Y736">
        <v>702</v>
      </c>
      <c r="Z736" s="259" t="s">
        <v>630</v>
      </c>
      <c r="AA736">
        <v>100</v>
      </c>
      <c r="AB736">
        <v>8008</v>
      </c>
      <c r="AC736">
        <v>45891</v>
      </c>
      <c r="AD736">
        <v>0</v>
      </c>
      <c r="AE736">
        <v>8330</v>
      </c>
      <c r="AF736">
        <v>8330</v>
      </c>
      <c r="AG736">
        <v>0</v>
      </c>
      <c r="AH736">
        <v>322</v>
      </c>
    </row>
    <row r="737" spans="2:34" x14ac:dyDescent="0.35">
      <c r="B737" t="s">
        <v>563</v>
      </c>
      <c r="C737">
        <v>45892</v>
      </c>
      <c r="F737" t="s">
        <v>749</v>
      </c>
      <c r="H737">
        <v>49.9</v>
      </c>
      <c r="O737" t="s">
        <v>239</v>
      </c>
      <c r="P737" t="s">
        <v>514</v>
      </c>
      <c r="Y737">
        <v>703</v>
      </c>
      <c r="Z737" s="259" t="s">
        <v>630</v>
      </c>
      <c r="AA737">
        <v>220</v>
      </c>
      <c r="AB737">
        <v>10937.666666666666</v>
      </c>
      <c r="AC737">
        <v>45891</v>
      </c>
      <c r="AD737">
        <v>1</v>
      </c>
      <c r="AE737">
        <v>10978</v>
      </c>
      <c r="AF737">
        <v>10978</v>
      </c>
      <c r="AG737">
        <v>0</v>
      </c>
      <c r="AH737">
        <v>40.33333333333394</v>
      </c>
    </row>
    <row r="738" spans="2:34" x14ac:dyDescent="0.35">
      <c r="B738" t="s">
        <v>563</v>
      </c>
      <c r="C738">
        <v>45892</v>
      </c>
      <c r="F738" t="s">
        <v>752</v>
      </c>
      <c r="H738">
        <v>185.7</v>
      </c>
      <c r="O738" t="s">
        <v>239</v>
      </c>
      <c r="P738" t="s">
        <v>514</v>
      </c>
      <c r="Y738">
        <v>704</v>
      </c>
      <c r="Z738" s="259" t="s">
        <v>630</v>
      </c>
      <c r="AA738">
        <v>50</v>
      </c>
      <c r="AB738">
        <v>10010</v>
      </c>
      <c r="AC738">
        <v>45891</v>
      </c>
      <c r="AD738">
        <v>1</v>
      </c>
      <c r="AE738">
        <v>9285</v>
      </c>
      <c r="AF738">
        <v>9285</v>
      </c>
      <c r="AG738">
        <v>0</v>
      </c>
      <c r="AH738">
        <v>-725</v>
      </c>
    </row>
    <row r="739" spans="2:34" x14ac:dyDescent="0.35">
      <c r="B739" t="s">
        <v>563</v>
      </c>
      <c r="C739">
        <v>45892</v>
      </c>
      <c r="F739" t="s">
        <v>754</v>
      </c>
      <c r="H739">
        <v>83.3</v>
      </c>
      <c r="O739" t="s">
        <v>239</v>
      </c>
      <c r="P739" t="s">
        <v>514</v>
      </c>
      <c r="Y739">
        <v>705</v>
      </c>
      <c r="Z739" s="259" t="s">
        <v>630</v>
      </c>
      <c r="AA739">
        <v>100</v>
      </c>
      <c r="AB739">
        <v>8008</v>
      </c>
      <c r="AC739">
        <v>45891</v>
      </c>
      <c r="AD739">
        <v>1</v>
      </c>
      <c r="AE739">
        <v>8330</v>
      </c>
      <c r="AF739">
        <v>8330</v>
      </c>
      <c r="AG739">
        <v>0</v>
      </c>
      <c r="AH739">
        <v>322</v>
      </c>
    </row>
    <row r="740" spans="2:34" x14ac:dyDescent="0.35">
      <c r="B740" t="s">
        <v>563</v>
      </c>
      <c r="C740">
        <v>45893</v>
      </c>
      <c r="F740" t="s">
        <v>749</v>
      </c>
      <c r="H740">
        <v>49.9</v>
      </c>
      <c r="O740" t="s">
        <v>239</v>
      </c>
      <c r="P740" t="s">
        <v>514</v>
      </c>
      <c r="Y740">
        <v>706</v>
      </c>
      <c r="Z740" s="259" t="s">
        <v>630</v>
      </c>
      <c r="AA740">
        <v>220</v>
      </c>
      <c r="AB740">
        <v>10937.666666666666</v>
      </c>
      <c r="AC740">
        <v>45891</v>
      </c>
      <c r="AD740">
        <v>2</v>
      </c>
      <c r="AE740">
        <v>10978</v>
      </c>
      <c r="AF740">
        <v>10978</v>
      </c>
      <c r="AG740">
        <v>0</v>
      </c>
      <c r="AH740">
        <v>40.33333333333394</v>
      </c>
    </row>
    <row r="741" spans="2:34" x14ac:dyDescent="0.35">
      <c r="B741" t="s">
        <v>563</v>
      </c>
      <c r="C741">
        <v>45893</v>
      </c>
      <c r="F741" t="s">
        <v>752</v>
      </c>
      <c r="H741">
        <v>185.7</v>
      </c>
      <c r="O741" t="s">
        <v>239</v>
      </c>
      <c r="P741" t="s">
        <v>514</v>
      </c>
      <c r="Y741">
        <v>707</v>
      </c>
      <c r="Z741" s="259" t="s">
        <v>630</v>
      </c>
      <c r="AA741">
        <v>50</v>
      </c>
      <c r="AB741">
        <v>10010</v>
      </c>
      <c r="AC741">
        <v>45891</v>
      </c>
      <c r="AD741">
        <v>2</v>
      </c>
      <c r="AE741">
        <v>9285</v>
      </c>
      <c r="AF741">
        <v>9285</v>
      </c>
      <c r="AG741">
        <v>0</v>
      </c>
      <c r="AH741">
        <v>-725</v>
      </c>
    </row>
    <row r="742" spans="2:34" x14ac:dyDescent="0.35">
      <c r="B742" t="s">
        <v>563</v>
      </c>
      <c r="C742">
        <v>45893</v>
      </c>
      <c r="F742" t="s">
        <v>754</v>
      </c>
      <c r="H742">
        <v>83.3</v>
      </c>
      <c r="O742" t="s">
        <v>239</v>
      </c>
      <c r="P742" t="s">
        <v>514</v>
      </c>
      <c r="Y742">
        <v>708</v>
      </c>
      <c r="Z742" s="259" t="s">
        <v>630</v>
      </c>
      <c r="AA742">
        <v>100</v>
      </c>
      <c r="AB742">
        <v>8008</v>
      </c>
      <c r="AC742">
        <v>45891</v>
      </c>
      <c r="AD742">
        <v>2</v>
      </c>
      <c r="AE742">
        <v>8330</v>
      </c>
      <c r="AF742">
        <v>8330</v>
      </c>
      <c r="AG742">
        <v>0</v>
      </c>
      <c r="AH742">
        <v>322</v>
      </c>
    </row>
    <row r="743" spans="2:34" x14ac:dyDescent="0.35">
      <c r="B743" t="s">
        <v>563</v>
      </c>
      <c r="C743">
        <v>45894</v>
      </c>
      <c r="F743" t="s">
        <v>749</v>
      </c>
      <c r="H743">
        <v>49.6</v>
      </c>
      <c r="O743" t="s">
        <v>239</v>
      </c>
      <c r="P743" t="s">
        <v>514</v>
      </c>
      <c r="Y743">
        <v>709</v>
      </c>
      <c r="Z743" s="259" t="s">
        <v>630</v>
      </c>
      <c r="AA743">
        <v>220</v>
      </c>
      <c r="AB743">
        <v>10937.666666666666</v>
      </c>
      <c r="AC743">
        <v>45894</v>
      </c>
      <c r="AD743">
        <v>0</v>
      </c>
      <c r="AE743">
        <v>10912</v>
      </c>
      <c r="AF743">
        <v>10912</v>
      </c>
      <c r="AG743">
        <v>0</v>
      </c>
      <c r="AH743">
        <v>-25.66666666666606</v>
      </c>
    </row>
    <row r="744" spans="2:34" x14ac:dyDescent="0.35">
      <c r="B744" t="s">
        <v>563</v>
      </c>
      <c r="C744">
        <v>45894</v>
      </c>
      <c r="F744" t="s">
        <v>752</v>
      </c>
      <c r="H744">
        <v>186.8</v>
      </c>
      <c r="O744" t="s">
        <v>239</v>
      </c>
      <c r="P744" t="s">
        <v>514</v>
      </c>
      <c r="Y744">
        <v>710</v>
      </c>
      <c r="Z744" s="259" t="s">
        <v>630</v>
      </c>
      <c r="AA744">
        <v>50</v>
      </c>
      <c r="AB744">
        <v>10010</v>
      </c>
      <c r="AC744">
        <v>45894</v>
      </c>
      <c r="AD744">
        <v>0</v>
      </c>
      <c r="AE744">
        <v>9340</v>
      </c>
      <c r="AF744">
        <v>9340</v>
      </c>
      <c r="AG744">
        <v>0</v>
      </c>
      <c r="AH744">
        <v>-670</v>
      </c>
    </row>
    <row r="745" spans="2:34" x14ac:dyDescent="0.35">
      <c r="B745" t="s">
        <v>563</v>
      </c>
      <c r="C745">
        <v>45894</v>
      </c>
      <c r="F745" t="s">
        <v>754</v>
      </c>
      <c r="H745">
        <v>84.2</v>
      </c>
      <c r="O745" t="s">
        <v>239</v>
      </c>
      <c r="P745" t="s">
        <v>514</v>
      </c>
      <c r="Y745">
        <v>711</v>
      </c>
      <c r="Z745" s="259" t="s">
        <v>630</v>
      </c>
      <c r="AA745">
        <v>100</v>
      </c>
      <c r="AB745">
        <v>8008</v>
      </c>
      <c r="AC745">
        <v>45894</v>
      </c>
      <c r="AD745">
        <v>0</v>
      </c>
      <c r="AE745">
        <v>8420</v>
      </c>
      <c r="AF745">
        <v>8420</v>
      </c>
      <c r="AG745">
        <v>0</v>
      </c>
      <c r="AH745">
        <v>412</v>
      </c>
    </row>
    <row r="746" spans="2:34" x14ac:dyDescent="0.35">
      <c r="B746" t="s">
        <v>563</v>
      </c>
      <c r="C746">
        <v>45895</v>
      </c>
      <c r="F746" t="s">
        <v>749</v>
      </c>
      <c r="H746">
        <v>49.5</v>
      </c>
      <c r="O746" t="s">
        <v>239</v>
      </c>
      <c r="P746" t="s">
        <v>514</v>
      </c>
      <c r="Y746">
        <v>712</v>
      </c>
      <c r="Z746" s="259" t="s">
        <v>630</v>
      </c>
      <c r="AA746">
        <v>220</v>
      </c>
      <c r="AB746">
        <v>10937.666666666666</v>
      </c>
      <c r="AC746">
        <v>45895</v>
      </c>
      <c r="AD746">
        <v>0</v>
      </c>
      <c r="AE746">
        <v>10890</v>
      </c>
      <c r="AF746">
        <v>10890</v>
      </c>
      <c r="AG746">
        <v>0</v>
      </c>
      <c r="AH746">
        <v>-47.66666666666606</v>
      </c>
    </row>
    <row r="747" spans="2:34" x14ac:dyDescent="0.35">
      <c r="B747" t="s">
        <v>563</v>
      </c>
      <c r="C747">
        <v>45895</v>
      </c>
      <c r="F747" t="s">
        <v>752</v>
      </c>
      <c r="H747">
        <v>187.17</v>
      </c>
      <c r="O747" t="s">
        <v>239</v>
      </c>
      <c r="P747" t="s">
        <v>514</v>
      </c>
      <c r="Y747">
        <v>713</v>
      </c>
      <c r="Z747" s="259" t="s">
        <v>630</v>
      </c>
      <c r="AA747">
        <v>50</v>
      </c>
      <c r="AB747">
        <v>10010</v>
      </c>
      <c r="AC747">
        <v>45895</v>
      </c>
      <c r="AD747">
        <v>0</v>
      </c>
      <c r="AE747">
        <v>9358.5</v>
      </c>
      <c r="AF747">
        <v>9358.5</v>
      </c>
      <c r="AG747">
        <v>0</v>
      </c>
      <c r="AH747">
        <v>-651.5</v>
      </c>
    </row>
    <row r="748" spans="2:34" x14ac:dyDescent="0.35">
      <c r="B748" t="s">
        <v>563</v>
      </c>
      <c r="C748">
        <v>45895</v>
      </c>
      <c r="F748" t="s">
        <v>754</v>
      </c>
      <c r="H748">
        <v>84.5</v>
      </c>
      <c r="O748" t="s">
        <v>239</v>
      </c>
      <c r="P748" t="s">
        <v>514</v>
      </c>
      <c r="Y748">
        <v>714</v>
      </c>
      <c r="Z748" s="259" t="s">
        <v>630</v>
      </c>
      <c r="AA748">
        <v>100</v>
      </c>
      <c r="AB748">
        <v>8008</v>
      </c>
      <c r="AC748">
        <v>45895</v>
      </c>
      <c r="AD748">
        <v>0</v>
      </c>
      <c r="AE748">
        <v>8450</v>
      </c>
      <c r="AF748">
        <v>8450</v>
      </c>
      <c r="AG748">
        <v>0</v>
      </c>
      <c r="AH748">
        <v>442</v>
      </c>
    </row>
    <row r="749" spans="2:34" x14ac:dyDescent="0.35">
      <c r="B749" t="s">
        <v>563</v>
      </c>
      <c r="C749">
        <v>45896</v>
      </c>
      <c r="F749" t="s">
        <v>749</v>
      </c>
      <c r="H749">
        <v>49.4</v>
      </c>
      <c r="O749" t="s">
        <v>239</v>
      </c>
      <c r="P749" t="s">
        <v>514</v>
      </c>
      <c r="Y749">
        <v>715</v>
      </c>
      <c r="Z749" s="259" t="s">
        <v>630</v>
      </c>
      <c r="AA749">
        <v>220</v>
      </c>
      <c r="AB749">
        <v>10937.666666666666</v>
      </c>
      <c r="AC749">
        <v>45896</v>
      </c>
      <c r="AD749">
        <v>0</v>
      </c>
      <c r="AE749">
        <v>10868</v>
      </c>
      <c r="AF749">
        <v>10868</v>
      </c>
      <c r="AG749">
        <v>0</v>
      </c>
      <c r="AH749">
        <v>-69.66666666666606</v>
      </c>
    </row>
    <row r="750" spans="2:34" x14ac:dyDescent="0.35">
      <c r="B750" t="s">
        <v>563</v>
      </c>
      <c r="C750">
        <v>45896</v>
      </c>
      <c r="F750" t="s">
        <v>752</v>
      </c>
      <c r="H750">
        <v>187.53</v>
      </c>
      <c r="O750" t="s">
        <v>239</v>
      </c>
      <c r="P750" t="s">
        <v>514</v>
      </c>
      <c r="Y750">
        <v>716</v>
      </c>
      <c r="Z750" s="259" t="s">
        <v>630</v>
      </c>
      <c r="AA750">
        <v>50</v>
      </c>
      <c r="AB750">
        <v>10010</v>
      </c>
      <c r="AC750">
        <v>45896</v>
      </c>
      <c r="AD750">
        <v>0</v>
      </c>
      <c r="AE750">
        <v>9376.5</v>
      </c>
      <c r="AF750">
        <v>9376.5</v>
      </c>
      <c r="AG750">
        <v>0</v>
      </c>
      <c r="AH750">
        <v>-633.5</v>
      </c>
    </row>
    <row r="751" spans="2:34" x14ac:dyDescent="0.35">
      <c r="B751" t="s">
        <v>563</v>
      </c>
      <c r="C751">
        <v>45896</v>
      </c>
      <c r="F751" t="s">
        <v>754</v>
      </c>
      <c r="H751">
        <v>84.8</v>
      </c>
      <c r="O751" t="s">
        <v>239</v>
      </c>
      <c r="P751" t="s">
        <v>514</v>
      </c>
      <c r="Y751">
        <v>717</v>
      </c>
      <c r="Z751" s="259" t="s">
        <v>630</v>
      </c>
      <c r="AA751">
        <v>100</v>
      </c>
      <c r="AB751">
        <v>8008</v>
      </c>
      <c r="AC751">
        <v>45896</v>
      </c>
      <c r="AD751">
        <v>0</v>
      </c>
      <c r="AE751">
        <v>8480</v>
      </c>
      <c r="AF751">
        <v>8480</v>
      </c>
      <c r="AG751">
        <v>0</v>
      </c>
      <c r="AH751">
        <v>472</v>
      </c>
    </row>
    <row r="752" spans="2:34" x14ac:dyDescent="0.35">
      <c r="B752" t="s">
        <v>563</v>
      </c>
      <c r="C752">
        <v>45897</v>
      </c>
      <c r="F752" t="s">
        <v>749</v>
      </c>
      <c r="H752">
        <v>49.3</v>
      </c>
      <c r="O752" t="s">
        <v>239</v>
      </c>
      <c r="P752" t="s">
        <v>514</v>
      </c>
      <c r="Y752">
        <v>718</v>
      </c>
      <c r="Z752" s="259" t="s">
        <v>630</v>
      </c>
      <c r="AA752">
        <v>220</v>
      </c>
      <c r="AB752">
        <v>10937.666666666666</v>
      </c>
      <c r="AC752">
        <v>45897</v>
      </c>
      <c r="AD752">
        <v>0</v>
      </c>
      <c r="AE752">
        <v>10846</v>
      </c>
      <c r="AF752">
        <v>10846</v>
      </c>
      <c r="AG752">
        <v>0</v>
      </c>
      <c r="AH752">
        <v>-91.66666666666606</v>
      </c>
    </row>
    <row r="753" spans="2:34" x14ac:dyDescent="0.35">
      <c r="B753" t="s">
        <v>563</v>
      </c>
      <c r="C753">
        <v>45897</v>
      </c>
      <c r="F753" t="s">
        <v>752</v>
      </c>
      <c r="H753">
        <v>187.9</v>
      </c>
      <c r="O753" t="s">
        <v>239</v>
      </c>
      <c r="P753" t="s">
        <v>514</v>
      </c>
      <c r="Y753">
        <v>719</v>
      </c>
      <c r="Z753" s="259" t="s">
        <v>630</v>
      </c>
      <c r="AA753">
        <v>50</v>
      </c>
      <c r="AB753">
        <v>10010</v>
      </c>
      <c r="AC753">
        <v>45897</v>
      </c>
      <c r="AD753">
        <v>0</v>
      </c>
      <c r="AE753">
        <v>9395</v>
      </c>
      <c r="AF753">
        <v>9395</v>
      </c>
      <c r="AG753">
        <v>0</v>
      </c>
      <c r="AH753">
        <v>-615</v>
      </c>
    </row>
    <row r="754" spans="2:34" x14ac:dyDescent="0.35">
      <c r="B754" t="s">
        <v>563</v>
      </c>
      <c r="C754">
        <v>45897</v>
      </c>
      <c r="F754" t="s">
        <v>754</v>
      </c>
      <c r="H754">
        <v>85.1</v>
      </c>
      <c r="O754" t="s">
        <v>239</v>
      </c>
      <c r="P754" t="s">
        <v>514</v>
      </c>
      <c r="Y754">
        <v>720</v>
      </c>
      <c r="Z754" s="259" t="s">
        <v>630</v>
      </c>
      <c r="AA754">
        <v>100</v>
      </c>
      <c r="AB754">
        <v>8008</v>
      </c>
      <c r="AC754">
        <v>45897</v>
      </c>
      <c r="AD754">
        <v>0</v>
      </c>
      <c r="AE754">
        <v>8510</v>
      </c>
      <c r="AF754">
        <v>8510</v>
      </c>
      <c r="AG754">
        <v>0</v>
      </c>
      <c r="AH754">
        <v>502</v>
      </c>
    </row>
    <row r="755" spans="2:34" x14ac:dyDescent="0.35">
      <c r="B755" t="s">
        <v>563</v>
      </c>
      <c r="C755">
        <v>45898</v>
      </c>
      <c r="F755" t="s">
        <v>749</v>
      </c>
      <c r="H755">
        <v>49.2</v>
      </c>
      <c r="O755" t="s">
        <v>239</v>
      </c>
      <c r="P755" t="s">
        <v>514</v>
      </c>
      <c r="Y755">
        <v>721</v>
      </c>
      <c r="Z755" s="259" t="s">
        <v>630</v>
      </c>
      <c r="AA755">
        <v>220</v>
      </c>
      <c r="AB755">
        <v>10937.666666666666</v>
      </c>
      <c r="AC755">
        <v>45898</v>
      </c>
      <c r="AD755">
        <v>0</v>
      </c>
      <c r="AE755">
        <v>10824</v>
      </c>
      <c r="AF755">
        <v>10824</v>
      </c>
      <c r="AG755">
        <v>0</v>
      </c>
      <c r="AH755">
        <v>-113.66666666666606</v>
      </c>
    </row>
    <row r="756" spans="2:34" x14ac:dyDescent="0.35">
      <c r="B756" t="s">
        <v>563</v>
      </c>
      <c r="C756">
        <v>45898</v>
      </c>
      <c r="F756" t="s">
        <v>752</v>
      </c>
      <c r="H756">
        <v>188.27</v>
      </c>
      <c r="O756" t="s">
        <v>239</v>
      </c>
      <c r="P756" t="s">
        <v>514</v>
      </c>
      <c r="Y756">
        <v>722</v>
      </c>
      <c r="Z756" s="259" t="s">
        <v>630</v>
      </c>
      <c r="AA756">
        <v>50</v>
      </c>
      <c r="AB756">
        <v>10010</v>
      </c>
      <c r="AC756">
        <v>45898</v>
      </c>
      <c r="AD756">
        <v>0</v>
      </c>
      <c r="AE756">
        <v>9413.5</v>
      </c>
      <c r="AF756">
        <v>9413.5</v>
      </c>
      <c r="AG756">
        <v>0</v>
      </c>
      <c r="AH756">
        <v>-596.5</v>
      </c>
    </row>
    <row r="757" spans="2:34" x14ac:dyDescent="0.35">
      <c r="B757" t="s">
        <v>563</v>
      </c>
      <c r="C757">
        <v>45898</v>
      </c>
      <c r="F757" t="s">
        <v>754</v>
      </c>
      <c r="H757">
        <v>85.4</v>
      </c>
      <c r="O757" t="s">
        <v>239</v>
      </c>
      <c r="P757" t="s">
        <v>514</v>
      </c>
      <c r="Y757">
        <v>723</v>
      </c>
      <c r="Z757" s="259" t="s">
        <v>630</v>
      </c>
      <c r="AA757">
        <v>100</v>
      </c>
      <c r="AB757">
        <v>8008</v>
      </c>
      <c r="AC757">
        <v>45898</v>
      </c>
      <c r="AD757">
        <v>0</v>
      </c>
      <c r="AE757">
        <v>8540</v>
      </c>
      <c r="AF757">
        <v>8540</v>
      </c>
      <c r="AG757">
        <v>0</v>
      </c>
      <c r="AH757">
        <v>532</v>
      </c>
    </row>
    <row r="758" spans="2:34" x14ac:dyDescent="0.35">
      <c r="B758" t="s">
        <v>563</v>
      </c>
      <c r="C758">
        <v>45899</v>
      </c>
      <c r="F758" t="s">
        <v>749</v>
      </c>
      <c r="H758">
        <v>49.2</v>
      </c>
      <c r="O758" t="s">
        <v>239</v>
      </c>
      <c r="P758" t="s">
        <v>514</v>
      </c>
      <c r="Y758">
        <v>724</v>
      </c>
      <c r="Z758" s="259" t="s">
        <v>630</v>
      </c>
      <c r="AA758">
        <v>220</v>
      </c>
      <c r="AB758">
        <v>10937.666666666666</v>
      </c>
      <c r="AC758">
        <v>45898</v>
      </c>
      <c r="AD758">
        <v>1</v>
      </c>
      <c r="AE758">
        <v>10824</v>
      </c>
      <c r="AF758">
        <v>10824</v>
      </c>
      <c r="AG758">
        <v>0</v>
      </c>
      <c r="AH758">
        <v>-113.66666666666606</v>
      </c>
    </row>
    <row r="759" spans="2:34" x14ac:dyDescent="0.35">
      <c r="B759" t="s">
        <v>563</v>
      </c>
      <c r="C759">
        <v>45899</v>
      </c>
      <c r="F759" t="s">
        <v>752</v>
      </c>
      <c r="H759">
        <v>188.27</v>
      </c>
      <c r="O759" t="s">
        <v>239</v>
      </c>
      <c r="P759" t="s">
        <v>514</v>
      </c>
      <c r="Y759">
        <v>725</v>
      </c>
      <c r="Z759" s="259" t="s">
        <v>630</v>
      </c>
      <c r="AA759">
        <v>50</v>
      </c>
      <c r="AB759">
        <v>10010</v>
      </c>
      <c r="AC759">
        <v>45898</v>
      </c>
      <c r="AD759">
        <v>1</v>
      </c>
      <c r="AE759">
        <v>9413.5</v>
      </c>
      <c r="AF759">
        <v>9413.5</v>
      </c>
      <c r="AG759">
        <v>0</v>
      </c>
      <c r="AH759">
        <v>-596.5</v>
      </c>
    </row>
    <row r="760" spans="2:34" x14ac:dyDescent="0.35">
      <c r="B760" t="s">
        <v>563</v>
      </c>
      <c r="C760">
        <v>45899</v>
      </c>
      <c r="F760" t="s">
        <v>754</v>
      </c>
      <c r="H760">
        <v>85.4</v>
      </c>
      <c r="O760" t="s">
        <v>239</v>
      </c>
      <c r="P760" t="s">
        <v>514</v>
      </c>
      <c r="Y760">
        <v>726</v>
      </c>
      <c r="Z760" s="259" t="s">
        <v>630</v>
      </c>
      <c r="AA760">
        <v>100</v>
      </c>
      <c r="AB760">
        <v>8008</v>
      </c>
      <c r="AC760">
        <v>45898</v>
      </c>
      <c r="AD760">
        <v>1</v>
      </c>
      <c r="AE760">
        <v>8540</v>
      </c>
      <c r="AF760">
        <v>8540</v>
      </c>
      <c r="AG760">
        <v>0</v>
      </c>
      <c r="AH760">
        <v>532</v>
      </c>
    </row>
    <row r="761" spans="2:34" x14ac:dyDescent="0.35">
      <c r="B761" t="s">
        <v>563</v>
      </c>
      <c r="C761">
        <v>45900</v>
      </c>
      <c r="F761" t="s">
        <v>749</v>
      </c>
      <c r="H761">
        <v>49.2</v>
      </c>
      <c r="O761" t="s">
        <v>239</v>
      </c>
      <c r="P761" t="s">
        <v>514</v>
      </c>
      <c r="Y761">
        <v>727</v>
      </c>
      <c r="Z761" s="259" t="s">
        <v>630</v>
      </c>
      <c r="AA761">
        <v>220</v>
      </c>
      <c r="AB761">
        <v>10937.666666666666</v>
      </c>
      <c r="AC761">
        <v>45898</v>
      </c>
      <c r="AD761">
        <v>2</v>
      </c>
      <c r="AE761">
        <v>10824</v>
      </c>
      <c r="AF761">
        <v>10824</v>
      </c>
      <c r="AG761">
        <v>0</v>
      </c>
      <c r="AH761">
        <v>-113.66666666666606</v>
      </c>
    </row>
    <row r="762" spans="2:34" x14ac:dyDescent="0.35">
      <c r="B762" t="s">
        <v>563</v>
      </c>
      <c r="C762">
        <v>45900</v>
      </c>
      <c r="F762" t="s">
        <v>752</v>
      </c>
      <c r="H762">
        <v>188.27</v>
      </c>
      <c r="O762" t="s">
        <v>239</v>
      </c>
      <c r="P762" t="s">
        <v>514</v>
      </c>
      <c r="Y762">
        <v>728</v>
      </c>
      <c r="Z762" s="259" t="s">
        <v>630</v>
      </c>
      <c r="AA762">
        <v>50</v>
      </c>
      <c r="AB762">
        <v>10010</v>
      </c>
      <c r="AC762">
        <v>45898</v>
      </c>
      <c r="AD762">
        <v>2</v>
      </c>
      <c r="AE762">
        <v>9413.5</v>
      </c>
      <c r="AF762">
        <v>9413.5</v>
      </c>
      <c r="AG762">
        <v>0</v>
      </c>
      <c r="AH762">
        <v>-596.5</v>
      </c>
    </row>
    <row r="763" spans="2:34" x14ac:dyDescent="0.35">
      <c r="B763" t="s">
        <v>563</v>
      </c>
      <c r="C763">
        <v>45900</v>
      </c>
      <c r="F763" t="s">
        <v>754</v>
      </c>
      <c r="H763">
        <v>85.4</v>
      </c>
      <c r="O763" t="s">
        <v>239</v>
      </c>
      <c r="P763" t="s">
        <v>514</v>
      </c>
      <c r="Y763">
        <v>729</v>
      </c>
      <c r="Z763" s="259" t="s">
        <v>630</v>
      </c>
      <c r="AA763">
        <v>100</v>
      </c>
      <c r="AB763">
        <v>8008</v>
      </c>
      <c r="AC763">
        <v>45898</v>
      </c>
      <c r="AD763">
        <v>2</v>
      </c>
      <c r="AE763">
        <v>8540</v>
      </c>
      <c r="AF763">
        <v>8540</v>
      </c>
      <c r="AG763">
        <v>0</v>
      </c>
      <c r="AH763">
        <v>532</v>
      </c>
    </row>
    <row r="764" spans="2:34" x14ac:dyDescent="0.35">
      <c r="B764" t="s">
        <v>563</v>
      </c>
      <c r="C764">
        <v>45901</v>
      </c>
      <c r="F764" t="s">
        <v>749</v>
      </c>
      <c r="H764">
        <v>49</v>
      </c>
      <c r="O764" t="s">
        <v>239</v>
      </c>
      <c r="P764" t="s">
        <v>514</v>
      </c>
      <c r="Y764">
        <v>730</v>
      </c>
      <c r="Z764" s="259" t="s">
        <v>630</v>
      </c>
      <c r="AA764">
        <v>220</v>
      </c>
      <c r="AB764">
        <v>10937.666666666666</v>
      </c>
      <c r="AC764">
        <v>45901</v>
      </c>
      <c r="AD764">
        <v>0</v>
      </c>
      <c r="AE764">
        <v>10780</v>
      </c>
      <c r="AF764">
        <v>10780</v>
      </c>
      <c r="AG764">
        <v>0</v>
      </c>
      <c r="AH764">
        <v>-157.66666666666606</v>
      </c>
    </row>
    <row r="765" spans="2:34" x14ac:dyDescent="0.35">
      <c r="B765" t="s">
        <v>563</v>
      </c>
      <c r="C765">
        <v>45901</v>
      </c>
      <c r="F765" t="s">
        <v>752</v>
      </c>
      <c r="H765">
        <v>186</v>
      </c>
      <c r="O765" t="s">
        <v>239</v>
      </c>
      <c r="P765" t="s">
        <v>514</v>
      </c>
      <c r="Y765">
        <v>731</v>
      </c>
      <c r="Z765" s="259" t="s">
        <v>630</v>
      </c>
      <c r="AA765">
        <v>50</v>
      </c>
      <c r="AB765">
        <v>10010</v>
      </c>
      <c r="AC765">
        <v>45901</v>
      </c>
      <c r="AD765">
        <v>0</v>
      </c>
      <c r="AE765">
        <v>9300</v>
      </c>
      <c r="AF765">
        <v>9300</v>
      </c>
      <c r="AG765">
        <v>150</v>
      </c>
      <c r="AH765">
        <v>-710</v>
      </c>
    </row>
    <row r="766" spans="2:34" x14ac:dyDescent="0.35">
      <c r="B766" t="s">
        <v>563</v>
      </c>
      <c r="C766">
        <v>45901</v>
      </c>
      <c r="F766" t="s">
        <v>754</v>
      </c>
      <c r="H766">
        <v>86</v>
      </c>
      <c r="O766" t="s">
        <v>239</v>
      </c>
      <c r="P766" t="s">
        <v>514</v>
      </c>
      <c r="Y766">
        <v>732</v>
      </c>
      <c r="Z766" s="259" t="s">
        <v>630</v>
      </c>
      <c r="AA766">
        <v>100</v>
      </c>
      <c r="AB766">
        <v>8008</v>
      </c>
      <c r="AC766">
        <v>45901</v>
      </c>
      <c r="AD766">
        <v>0</v>
      </c>
      <c r="AE766">
        <v>8600</v>
      </c>
      <c r="AF766">
        <v>8600</v>
      </c>
      <c r="AG766">
        <v>0</v>
      </c>
      <c r="AH766">
        <v>592</v>
      </c>
    </row>
    <row r="767" spans="2:34" x14ac:dyDescent="0.35">
      <c r="B767" t="s">
        <v>563</v>
      </c>
      <c r="C767">
        <v>45902</v>
      </c>
      <c r="F767" t="s">
        <v>749</v>
      </c>
      <c r="H767">
        <v>49.17</v>
      </c>
      <c r="O767" t="s">
        <v>239</v>
      </c>
      <c r="P767" t="s">
        <v>514</v>
      </c>
      <c r="Y767">
        <v>733</v>
      </c>
      <c r="Z767" s="259" t="s">
        <v>630</v>
      </c>
      <c r="AA767">
        <v>220</v>
      </c>
      <c r="AB767">
        <v>10937.666666666666</v>
      </c>
      <c r="AC767">
        <v>45902</v>
      </c>
      <c r="AD767">
        <v>0</v>
      </c>
      <c r="AE767">
        <v>10817.4</v>
      </c>
      <c r="AF767">
        <v>10817.4</v>
      </c>
      <c r="AG767">
        <v>0</v>
      </c>
      <c r="AH767">
        <v>-120.26666666666642</v>
      </c>
    </row>
    <row r="768" spans="2:34" x14ac:dyDescent="0.35">
      <c r="B768" t="s">
        <v>563</v>
      </c>
      <c r="C768">
        <v>45902</v>
      </c>
      <c r="F768" t="s">
        <v>752</v>
      </c>
      <c r="H768">
        <v>185.69</v>
      </c>
      <c r="O768" t="s">
        <v>239</v>
      </c>
      <c r="P768" t="s">
        <v>514</v>
      </c>
      <c r="Y768">
        <v>734</v>
      </c>
      <c r="Z768" s="259" t="s">
        <v>630</v>
      </c>
      <c r="AA768">
        <v>50</v>
      </c>
      <c r="AB768">
        <v>10010</v>
      </c>
      <c r="AC768">
        <v>45902</v>
      </c>
      <c r="AD768">
        <v>0</v>
      </c>
      <c r="AE768">
        <v>9284.5</v>
      </c>
      <c r="AF768">
        <v>9284.5</v>
      </c>
      <c r="AG768">
        <v>150</v>
      </c>
      <c r="AH768">
        <v>-725.5</v>
      </c>
    </row>
    <row r="769" spans="2:34" x14ac:dyDescent="0.35">
      <c r="B769" t="s">
        <v>563</v>
      </c>
      <c r="C769">
        <v>45902</v>
      </c>
      <c r="F769" t="s">
        <v>754</v>
      </c>
      <c r="H769">
        <v>85.86</v>
      </c>
      <c r="O769" t="s">
        <v>239</v>
      </c>
      <c r="P769" t="s">
        <v>514</v>
      </c>
      <c r="Y769">
        <v>735</v>
      </c>
      <c r="Z769" s="259" t="s">
        <v>630</v>
      </c>
      <c r="AA769">
        <v>100</v>
      </c>
      <c r="AB769">
        <v>8008</v>
      </c>
      <c r="AC769">
        <v>45902</v>
      </c>
      <c r="AD769">
        <v>0</v>
      </c>
      <c r="AE769">
        <v>8586</v>
      </c>
      <c r="AF769">
        <v>8586</v>
      </c>
      <c r="AG769">
        <v>0</v>
      </c>
      <c r="AH769">
        <v>578</v>
      </c>
    </row>
    <row r="770" spans="2:34" x14ac:dyDescent="0.35">
      <c r="B770" t="s">
        <v>563</v>
      </c>
      <c r="C770">
        <v>45903</v>
      </c>
      <c r="F770" t="s">
        <v>749</v>
      </c>
      <c r="H770">
        <v>49.34</v>
      </c>
      <c r="O770" t="s">
        <v>239</v>
      </c>
      <c r="P770" t="s">
        <v>514</v>
      </c>
      <c r="Y770">
        <v>736</v>
      </c>
      <c r="Z770" s="259" t="s">
        <v>630</v>
      </c>
      <c r="AA770">
        <v>220</v>
      </c>
      <c r="AB770">
        <v>10937.666666666666</v>
      </c>
      <c r="AC770">
        <v>45903</v>
      </c>
      <c r="AD770">
        <v>0</v>
      </c>
      <c r="AE770">
        <v>10854.800000000001</v>
      </c>
      <c r="AF770">
        <v>10854.800000000001</v>
      </c>
      <c r="AG770">
        <v>0</v>
      </c>
      <c r="AH770">
        <v>-82.866666666664969</v>
      </c>
    </row>
    <row r="771" spans="2:34" x14ac:dyDescent="0.35">
      <c r="B771" t="s">
        <v>563</v>
      </c>
      <c r="C771">
        <v>45903</v>
      </c>
      <c r="F771" t="s">
        <v>752</v>
      </c>
      <c r="H771">
        <v>185.38</v>
      </c>
      <c r="O771" t="s">
        <v>239</v>
      </c>
      <c r="P771" t="s">
        <v>514</v>
      </c>
      <c r="Y771">
        <v>737</v>
      </c>
      <c r="Z771" s="259" t="s">
        <v>630</v>
      </c>
      <c r="AA771">
        <v>50</v>
      </c>
      <c r="AB771">
        <v>10010</v>
      </c>
      <c r="AC771">
        <v>45903</v>
      </c>
      <c r="AD771">
        <v>0</v>
      </c>
      <c r="AE771">
        <v>9269</v>
      </c>
      <c r="AF771">
        <v>9269</v>
      </c>
      <c r="AG771">
        <v>150</v>
      </c>
      <c r="AH771">
        <v>-741</v>
      </c>
    </row>
    <row r="772" spans="2:34" x14ac:dyDescent="0.35">
      <c r="B772" t="s">
        <v>563</v>
      </c>
      <c r="C772">
        <v>45903</v>
      </c>
      <c r="F772" t="s">
        <v>754</v>
      </c>
      <c r="H772">
        <v>85.72</v>
      </c>
      <c r="O772" t="s">
        <v>239</v>
      </c>
      <c r="P772" t="s">
        <v>514</v>
      </c>
      <c r="Y772">
        <v>738</v>
      </c>
      <c r="Z772" s="259" t="s">
        <v>630</v>
      </c>
      <c r="AA772">
        <v>100</v>
      </c>
      <c r="AB772">
        <v>8008</v>
      </c>
      <c r="AC772">
        <v>45903</v>
      </c>
      <c r="AD772">
        <v>0</v>
      </c>
      <c r="AE772">
        <v>8572</v>
      </c>
      <c r="AF772">
        <v>8572</v>
      </c>
      <c r="AG772">
        <v>0</v>
      </c>
      <c r="AH772">
        <v>564</v>
      </c>
    </row>
    <row r="773" spans="2:34" x14ac:dyDescent="0.35">
      <c r="B773" t="s">
        <v>563</v>
      </c>
      <c r="C773">
        <v>45904</v>
      </c>
      <c r="F773" t="s">
        <v>749</v>
      </c>
      <c r="H773">
        <v>49.52</v>
      </c>
      <c r="O773" t="s">
        <v>239</v>
      </c>
      <c r="P773" t="s">
        <v>514</v>
      </c>
      <c r="Y773">
        <v>739</v>
      </c>
      <c r="Z773" s="259" t="s">
        <v>630</v>
      </c>
      <c r="AA773">
        <v>220</v>
      </c>
      <c r="AB773">
        <v>10937.666666666666</v>
      </c>
      <c r="AC773">
        <v>45904</v>
      </c>
      <c r="AD773">
        <v>0</v>
      </c>
      <c r="AE773">
        <v>10894.400000000001</v>
      </c>
      <c r="AF773">
        <v>10894.400000000001</v>
      </c>
      <c r="AG773">
        <v>0</v>
      </c>
      <c r="AH773">
        <v>-43.266666666664605</v>
      </c>
    </row>
    <row r="774" spans="2:34" x14ac:dyDescent="0.35">
      <c r="B774" t="s">
        <v>563</v>
      </c>
      <c r="C774">
        <v>45904</v>
      </c>
      <c r="F774" t="s">
        <v>752</v>
      </c>
      <c r="H774">
        <v>185.07</v>
      </c>
      <c r="O774" t="s">
        <v>239</v>
      </c>
      <c r="P774" t="s">
        <v>514</v>
      </c>
      <c r="Y774">
        <v>740</v>
      </c>
      <c r="Z774" s="259" t="s">
        <v>630</v>
      </c>
      <c r="AA774">
        <v>50</v>
      </c>
      <c r="AB774">
        <v>10010</v>
      </c>
      <c r="AC774">
        <v>45904</v>
      </c>
      <c r="AD774">
        <v>0</v>
      </c>
      <c r="AE774">
        <v>9253.5</v>
      </c>
      <c r="AF774">
        <v>9253.5</v>
      </c>
      <c r="AG774">
        <v>150</v>
      </c>
      <c r="AH774">
        <v>-756.5</v>
      </c>
    </row>
    <row r="775" spans="2:34" x14ac:dyDescent="0.35">
      <c r="B775" t="s">
        <v>563</v>
      </c>
      <c r="C775">
        <v>45904</v>
      </c>
      <c r="F775" t="s">
        <v>754</v>
      </c>
      <c r="H775">
        <v>85.59</v>
      </c>
      <c r="O775" t="s">
        <v>239</v>
      </c>
      <c r="P775" t="s">
        <v>514</v>
      </c>
      <c r="Y775">
        <v>741</v>
      </c>
      <c r="Z775" s="259" t="s">
        <v>630</v>
      </c>
      <c r="AA775">
        <v>100</v>
      </c>
      <c r="AB775">
        <v>8008</v>
      </c>
      <c r="AC775">
        <v>45904</v>
      </c>
      <c r="AD775">
        <v>0</v>
      </c>
      <c r="AE775">
        <v>8559</v>
      </c>
      <c r="AF775">
        <v>8559</v>
      </c>
      <c r="AG775">
        <v>0</v>
      </c>
      <c r="AH775">
        <v>551</v>
      </c>
    </row>
    <row r="776" spans="2:34" x14ac:dyDescent="0.35">
      <c r="B776" t="s">
        <v>563</v>
      </c>
      <c r="C776">
        <v>45905</v>
      </c>
      <c r="F776" t="s">
        <v>749</v>
      </c>
      <c r="H776">
        <v>49.69</v>
      </c>
      <c r="O776" t="s">
        <v>239</v>
      </c>
      <c r="P776" t="s">
        <v>514</v>
      </c>
      <c r="Y776">
        <v>742</v>
      </c>
      <c r="Z776" s="259" t="s">
        <v>630</v>
      </c>
      <c r="AA776">
        <v>220</v>
      </c>
      <c r="AB776">
        <v>10937.666666666666</v>
      </c>
      <c r="AC776">
        <v>45905</v>
      </c>
      <c r="AD776">
        <v>0</v>
      </c>
      <c r="AE776">
        <v>10931.8</v>
      </c>
      <c r="AF776">
        <v>10931.8</v>
      </c>
      <c r="AG776">
        <v>0</v>
      </c>
      <c r="AH776">
        <v>-5.8666666666667879</v>
      </c>
    </row>
    <row r="777" spans="2:34" x14ac:dyDescent="0.35">
      <c r="B777" t="s">
        <v>563</v>
      </c>
      <c r="C777">
        <v>45905</v>
      </c>
      <c r="F777" t="s">
        <v>752</v>
      </c>
      <c r="H777">
        <v>184.76</v>
      </c>
      <c r="O777" t="s">
        <v>239</v>
      </c>
      <c r="P777" t="s">
        <v>514</v>
      </c>
      <c r="Y777">
        <v>743</v>
      </c>
      <c r="Z777" s="259" t="s">
        <v>630</v>
      </c>
      <c r="AA777">
        <v>50</v>
      </c>
      <c r="AB777">
        <v>10010</v>
      </c>
      <c r="AC777">
        <v>45905</v>
      </c>
      <c r="AD777">
        <v>0</v>
      </c>
      <c r="AE777">
        <v>9238</v>
      </c>
      <c r="AF777">
        <v>9238</v>
      </c>
      <c r="AG777">
        <v>150</v>
      </c>
      <c r="AH777">
        <v>-772</v>
      </c>
    </row>
    <row r="778" spans="2:34" x14ac:dyDescent="0.35">
      <c r="B778" t="s">
        <v>563</v>
      </c>
      <c r="C778">
        <v>45905</v>
      </c>
      <c r="F778" t="s">
        <v>754</v>
      </c>
      <c r="H778">
        <v>85.45</v>
      </c>
      <c r="O778" t="s">
        <v>239</v>
      </c>
      <c r="P778" t="s">
        <v>514</v>
      </c>
      <c r="Y778">
        <v>744</v>
      </c>
      <c r="Z778" s="259" t="s">
        <v>630</v>
      </c>
      <c r="AA778">
        <v>100</v>
      </c>
      <c r="AB778">
        <v>8008</v>
      </c>
      <c r="AC778">
        <v>45905</v>
      </c>
      <c r="AD778">
        <v>0</v>
      </c>
      <c r="AE778">
        <v>8545</v>
      </c>
      <c r="AF778">
        <v>8545</v>
      </c>
      <c r="AG778">
        <v>0</v>
      </c>
      <c r="AH778">
        <v>537</v>
      </c>
    </row>
    <row r="779" spans="2:34" x14ac:dyDescent="0.35">
      <c r="B779" t="s">
        <v>563</v>
      </c>
      <c r="C779">
        <v>45906</v>
      </c>
      <c r="F779" t="s">
        <v>749</v>
      </c>
      <c r="H779">
        <v>49.69</v>
      </c>
      <c r="O779" t="s">
        <v>239</v>
      </c>
      <c r="P779" t="s">
        <v>514</v>
      </c>
      <c r="Y779">
        <v>745</v>
      </c>
      <c r="Z779" s="259" t="s">
        <v>630</v>
      </c>
      <c r="AA779">
        <v>220</v>
      </c>
      <c r="AB779">
        <v>10937.666666666666</v>
      </c>
      <c r="AC779">
        <v>45905</v>
      </c>
      <c r="AD779">
        <v>1</v>
      </c>
      <c r="AE779">
        <v>10931.8</v>
      </c>
      <c r="AF779">
        <v>10931.8</v>
      </c>
      <c r="AG779">
        <v>0</v>
      </c>
      <c r="AH779">
        <v>-5.8666666666667879</v>
      </c>
    </row>
    <row r="780" spans="2:34" x14ac:dyDescent="0.35">
      <c r="B780" t="s">
        <v>563</v>
      </c>
      <c r="C780">
        <v>45906</v>
      </c>
      <c r="F780" t="s">
        <v>752</v>
      </c>
      <c r="H780">
        <v>184.76</v>
      </c>
      <c r="O780" t="s">
        <v>239</v>
      </c>
      <c r="P780" t="s">
        <v>514</v>
      </c>
      <c r="Y780">
        <v>746</v>
      </c>
      <c r="Z780" s="259" t="s">
        <v>630</v>
      </c>
      <c r="AA780">
        <v>50</v>
      </c>
      <c r="AB780">
        <v>10010</v>
      </c>
      <c r="AC780">
        <v>45905</v>
      </c>
      <c r="AD780">
        <v>1</v>
      </c>
      <c r="AE780">
        <v>9238</v>
      </c>
      <c r="AF780">
        <v>9238</v>
      </c>
      <c r="AG780">
        <v>150</v>
      </c>
      <c r="AH780">
        <v>-772</v>
      </c>
    </row>
    <row r="781" spans="2:34" x14ac:dyDescent="0.35">
      <c r="B781" t="s">
        <v>563</v>
      </c>
      <c r="C781">
        <v>45906</v>
      </c>
      <c r="F781" t="s">
        <v>754</v>
      </c>
      <c r="H781">
        <v>85.45</v>
      </c>
      <c r="O781" t="s">
        <v>239</v>
      </c>
      <c r="P781" t="s">
        <v>514</v>
      </c>
      <c r="Y781">
        <v>747</v>
      </c>
      <c r="Z781" s="259" t="s">
        <v>630</v>
      </c>
      <c r="AA781">
        <v>100</v>
      </c>
      <c r="AB781">
        <v>8008</v>
      </c>
      <c r="AC781">
        <v>45905</v>
      </c>
      <c r="AD781">
        <v>1</v>
      </c>
      <c r="AE781">
        <v>8545</v>
      </c>
      <c r="AF781">
        <v>8545</v>
      </c>
      <c r="AG781">
        <v>0</v>
      </c>
      <c r="AH781">
        <v>537</v>
      </c>
    </row>
    <row r="782" spans="2:34" x14ac:dyDescent="0.35">
      <c r="B782" t="s">
        <v>563</v>
      </c>
      <c r="C782">
        <v>45907</v>
      </c>
      <c r="F782" t="s">
        <v>749</v>
      </c>
      <c r="H782">
        <v>49.69</v>
      </c>
      <c r="O782" t="s">
        <v>239</v>
      </c>
      <c r="P782" t="s">
        <v>514</v>
      </c>
      <c r="Y782">
        <v>748</v>
      </c>
      <c r="Z782" s="259" t="s">
        <v>630</v>
      </c>
      <c r="AA782">
        <v>220</v>
      </c>
      <c r="AB782">
        <v>10937.666666666666</v>
      </c>
      <c r="AC782">
        <v>45905</v>
      </c>
      <c r="AD782">
        <v>2</v>
      </c>
      <c r="AE782">
        <v>10931.8</v>
      </c>
      <c r="AF782">
        <v>10931.8</v>
      </c>
      <c r="AG782">
        <v>0</v>
      </c>
      <c r="AH782">
        <v>-5.8666666666667879</v>
      </c>
    </row>
    <row r="783" spans="2:34" x14ac:dyDescent="0.35">
      <c r="B783" t="s">
        <v>563</v>
      </c>
      <c r="C783">
        <v>45907</v>
      </c>
      <c r="F783" t="s">
        <v>752</v>
      </c>
      <c r="H783">
        <v>184.76</v>
      </c>
      <c r="O783" t="s">
        <v>239</v>
      </c>
      <c r="P783" t="s">
        <v>514</v>
      </c>
      <c r="Y783">
        <v>749</v>
      </c>
      <c r="Z783" s="259" t="s">
        <v>630</v>
      </c>
      <c r="AA783">
        <v>50</v>
      </c>
      <c r="AB783">
        <v>10010</v>
      </c>
      <c r="AC783">
        <v>45905</v>
      </c>
      <c r="AD783">
        <v>2</v>
      </c>
      <c r="AE783">
        <v>9238</v>
      </c>
      <c r="AF783">
        <v>9238</v>
      </c>
      <c r="AG783">
        <v>150</v>
      </c>
      <c r="AH783">
        <v>-772</v>
      </c>
    </row>
    <row r="784" spans="2:34" x14ac:dyDescent="0.35">
      <c r="B784" t="s">
        <v>563</v>
      </c>
      <c r="C784">
        <v>45907</v>
      </c>
      <c r="F784" t="s">
        <v>754</v>
      </c>
      <c r="H784">
        <v>85.45</v>
      </c>
      <c r="O784" t="s">
        <v>239</v>
      </c>
      <c r="P784" t="s">
        <v>514</v>
      </c>
      <c r="Y784">
        <v>750</v>
      </c>
      <c r="Z784" s="259" t="s">
        <v>630</v>
      </c>
      <c r="AA784">
        <v>100</v>
      </c>
      <c r="AB784">
        <v>8008</v>
      </c>
      <c r="AC784">
        <v>45905</v>
      </c>
      <c r="AD784">
        <v>2</v>
      </c>
      <c r="AE784">
        <v>8545</v>
      </c>
      <c r="AF784">
        <v>8545</v>
      </c>
      <c r="AG784">
        <v>0</v>
      </c>
      <c r="AH784">
        <v>537</v>
      </c>
    </row>
    <row r="785" spans="2:34" x14ac:dyDescent="0.35">
      <c r="B785" t="s">
        <v>563</v>
      </c>
      <c r="C785">
        <v>45908</v>
      </c>
      <c r="F785" t="s">
        <v>749</v>
      </c>
      <c r="H785">
        <v>50.21</v>
      </c>
      <c r="O785" t="s">
        <v>239</v>
      </c>
      <c r="P785" t="s">
        <v>514</v>
      </c>
      <c r="Y785">
        <v>751</v>
      </c>
      <c r="Z785" s="259" t="s">
        <v>630</v>
      </c>
      <c r="AA785">
        <v>220</v>
      </c>
      <c r="AB785">
        <v>10937.666666666666</v>
      </c>
      <c r="AC785">
        <v>45908</v>
      </c>
      <c r="AD785">
        <v>0</v>
      </c>
      <c r="AE785">
        <v>11046.2</v>
      </c>
      <c r="AF785">
        <v>11046.2</v>
      </c>
      <c r="AG785">
        <v>0</v>
      </c>
      <c r="AH785">
        <v>108.53333333333467</v>
      </c>
    </row>
    <row r="786" spans="2:34" x14ac:dyDescent="0.35">
      <c r="B786" t="s">
        <v>563</v>
      </c>
      <c r="C786">
        <v>45908</v>
      </c>
      <c r="F786" t="s">
        <v>752</v>
      </c>
      <c r="H786">
        <v>183.83</v>
      </c>
      <c r="O786" t="s">
        <v>239</v>
      </c>
      <c r="P786" t="s">
        <v>514</v>
      </c>
      <c r="Y786">
        <v>752</v>
      </c>
      <c r="Z786" s="259" t="s">
        <v>630</v>
      </c>
      <c r="AA786">
        <v>50</v>
      </c>
      <c r="AB786">
        <v>10010</v>
      </c>
      <c r="AC786">
        <v>45908</v>
      </c>
      <c r="AD786">
        <v>0</v>
      </c>
      <c r="AE786">
        <v>9191.5</v>
      </c>
      <c r="AF786">
        <v>9191.5</v>
      </c>
      <c r="AG786">
        <v>150</v>
      </c>
      <c r="AH786">
        <v>-818.5</v>
      </c>
    </row>
    <row r="787" spans="2:34" x14ac:dyDescent="0.35">
      <c r="B787" t="s">
        <v>563</v>
      </c>
      <c r="C787">
        <v>45908</v>
      </c>
      <c r="F787" t="s">
        <v>754</v>
      </c>
      <c r="H787">
        <v>85.03</v>
      </c>
      <c r="O787" t="s">
        <v>239</v>
      </c>
      <c r="P787" t="s">
        <v>514</v>
      </c>
      <c r="Y787">
        <v>753</v>
      </c>
      <c r="Z787" s="259" t="s">
        <v>630</v>
      </c>
      <c r="AA787">
        <v>100</v>
      </c>
      <c r="AB787">
        <v>8008</v>
      </c>
      <c r="AC787">
        <v>45908</v>
      </c>
      <c r="AD787">
        <v>0</v>
      </c>
      <c r="AE787">
        <v>8503</v>
      </c>
      <c r="AF787">
        <v>8503</v>
      </c>
      <c r="AG787">
        <v>0</v>
      </c>
      <c r="AH787">
        <v>495</v>
      </c>
    </row>
    <row r="788" spans="2:34" x14ac:dyDescent="0.35">
      <c r="B788" t="s">
        <v>563</v>
      </c>
      <c r="C788">
        <v>45909</v>
      </c>
      <c r="F788" t="s">
        <v>749</v>
      </c>
      <c r="H788">
        <v>50.38</v>
      </c>
      <c r="O788" t="s">
        <v>239</v>
      </c>
      <c r="P788" t="s">
        <v>514</v>
      </c>
      <c r="Y788">
        <v>754</v>
      </c>
      <c r="Z788" s="259" t="s">
        <v>630</v>
      </c>
      <c r="AA788">
        <v>220</v>
      </c>
      <c r="AB788">
        <v>10937.666666666666</v>
      </c>
      <c r="AC788">
        <v>45909</v>
      </c>
      <c r="AD788">
        <v>0</v>
      </c>
      <c r="AE788">
        <v>11083.6</v>
      </c>
      <c r="AF788">
        <v>11083.6</v>
      </c>
      <c r="AG788">
        <v>0</v>
      </c>
      <c r="AH788">
        <v>145.9333333333343</v>
      </c>
    </row>
    <row r="789" spans="2:34" x14ac:dyDescent="0.35">
      <c r="B789" t="s">
        <v>563</v>
      </c>
      <c r="C789">
        <v>45909</v>
      </c>
      <c r="F789" t="s">
        <v>752</v>
      </c>
      <c r="H789">
        <v>183.52</v>
      </c>
      <c r="O789" t="s">
        <v>239</v>
      </c>
      <c r="P789" t="s">
        <v>514</v>
      </c>
      <c r="Y789">
        <v>755</v>
      </c>
      <c r="Z789" s="259" t="s">
        <v>630</v>
      </c>
      <c r="AA789">
        <v>50</v>
      </c>
      <c r="AB789">
        <v>10010</v>
      </c>
      <c r="AC789">
        <v>45909</v>
      </c>
      <c r="AD789">
        <v>0</v>
      </c>
      <c r="AE789">
        <v>9176</v>
      </c>
      <c r="AF789">
        <v>9176</v>
      </c>
      <c r="AG789">
        <v>150</v>
      </c>
      <c r="AH789">
        <v>-834</v>
      </c>
    </row>
    <row r="790" spans="2:34" x14ac:dyDescent="0.35">
      <c r="B790" t="s">
        <v>563</v>
      </c>
      <c r="C790">
        <v>45909</v>
      </c>
      <c r="F790" t="s">
        <v>754</v>
      </c>
      <c r="H790">
        <v>84.9</v>
      </c>
      <c r="O790" t="s">
        <v>239</v>
      </c>
      <c r="P790" t="s">
        <v>514</v>
      </c>
      <c r="Y790">
        <v>756</v>
      </c>
      <c r="Z790" s="259" t="s">
        <v>630</v>
      </c>
      <c r="AA790">
        <v>100</v>
      </c>
      <c r="AB790">
        <v>8008</v>
      </c>
      <c r="AC790">
        <v>45909</v>
      </c>
      <c r="AD790">
        <v>0</v>
      </c>
      <c r="AE790">
        <v>8490</v>
      </c>
      <c r="AF790">
        <v>8490</v>
      </c>
      <c r="AG790">
        <v>0</v>
      </c>
      <c r="AH790">
        <v>482</v>
      </c>
    </row>
    <row r="791" spans="2:34" x14ac:dyDescent="0.35">
      <c r="B791" t="s">
        <v>563</v>
      </c>
      <c r="C791">
        <v>45910</v>
      </c>
      <c r="F791" t="s">
        <v>749</v>
      </c>
      <c r="H791">
        <v>50.55</v>
      </c>
      <c r="O791" t="s">
        <v>239</v>
      </c>
      <c r="P791" t="s">
        <v>514</v>
      </c>
      <c r="Y791">
        <v>757</v>
      </c>
      <c r="Z791" s="259" t="s">
        <v>630</v>
      </c>
      <c r="AA791">
        <v>220</v>
      </c>
      <c r="AB791">
        <v>10937.666666666666</v>
      </c>
      <c r="AC791">
        <v>45910</v>
      </c>
      <c r="AD791">
        <v>0</v>
      </c>
      <c r="AE791">
        <v>11121</v>
      </c>
      <c r="AF791">
        <v>11121</v>
      </c>
      <c r="AG791">
        <v>0</v>
      </c>
      <c r="AH791">
        <v>183.33333333333394</v>
      </c>
    </row>
    <row r="792" spans="2:34" x14ac:dyDescent="0.35">
      <c r="B792" t="s">
        <v>563</v>
      </c>
      <c r="C792">
        <v>45910</v>
      </c>
      <c r="F792" t="s">
        <v>752</v>
      </c>
      <c r="H792">
        <v>183.21</v>
      </c>
      <c r="O792" t="s">
        <v>239</v>
      </c>
      <c r="P792" t="s">
        <v>514</v>
      </c>
      <c r="Y792">
        <v>758</v>
      </c>
      <c r="Z792" s="259" t="s">
        <v>630</v>
      </c>
      <c r="AA792">
        <v>30</v>
      </c>
      <c r="AB792">
        <v>6006</v>
      </c>
      <c r="AC792">
        <v>45910</v>
      </c>
      <c r="AD792">
        <v>0</v>
      </c>
      <c r="AE792">
        <v>5496.3</v>
      </c>
      <c r="AF792">
        <v>5496.3</v>
      </c>
      <c r="AG792">
        <v>150</v>
      </c>
      <c r="AH792">
        <v>-509.69999999999982</v>
      </c>
    </row>
    <row r="793" spans="2:34" x14ac:dyDescent="0.35">
      <c r="B793" t="s">
        <v>563</v>
      </c>
      <c r="C793">
        <v>45910</v>
      </c>
      <c r="F793" t="s">
        <v>754</v>
      </c>
      <c r="H793">
        <v>84.76</v>
      </c>
      <c r="O793" t="s">
        <v>239</v>
      </c>
      <c r="P793" t="s">
        <v>514</v>
      </c>
      <c r="Y793">
        <v>759</v>
      </c>
      <c r="Z793" s="259" t="s">
        <v>630</v>
      </c>
      <c r="AA793">
        <v>100</v>
      </c>
      <c r="AB793">
        <v>8008</v>
      </c>
      <c r="AC793">
        <v>45910</v>
      </c>
      <c r="AD793">
        <v>0</v>
      </c>
      <c r="AE793">
        <v>8476</v>
      </c>
      <c r="AF793">
        <v>8476</v>
      </c>
      <c r="AG793">
        <v>0</v>
      </c>
      <c r="AH793">
        <v>468</v>
      </c>
    </row>
    <row r="794" spans="2:34" x14ac:dyDescent="0.35">
      <c r="B794" t="s">
        <v>563</v>
      </c>
      <c r="C794">
        <v>45911</v>
      </c>
      <c r="F794" t="s">
        <v>749</v>
      </c>
      <c r="H794">
        <v>50.72</v>
      </c>
      <c r="O794" t="s">
        <v>239</v>
      </c>
      <c r="P794" t="s">
        <v>514</v>
      </c>
      <c r="Y794">
        <v>760</v>
      </c>
      <c r="Z794" s="259" t="s">
        <v>630</v>
      </c>
      <c r="AA794">
        <v>220</v>
      </c>
      <c r="AB794">
        <v>10937.666666666666</v>
      </c>
      <c r="AC794">
        <v>45911</v>
      </c>
      <c r="AD794">
        <v>0</v>
      </c>
      <c r="AE794">
        <v>11158.4</v>
      </c>
      <c r="AF794">
        <v>11158.4</v>
      </c>
      <c r="AG794">
        <v>0</v>
      </c>
      <c r="AH794">
        <v>220.73333333333358</v>
      </c>
    </row>
    <row r="795" spans="2:34" x14ac:dyDescent="0.35">
      <c r="B795" t="s">
        <v>563</v>
      </c>
      <c r="C795">
        <v>45911</v>
      </c>
      <c r="F795" t="s">
        <v>752</v>
      </c>
      <c r="H795">
        <v>182.9</v>
      </c>
      <c r="O795" t="s">
        <v>239</v>
      </c>
      <c r="P795" t="s">
        <v>514</v>
      </c>
      <c r="Y795">
        <v>761</v>
      </c>
      <c r="Z795" s="259" t="s">
        <v>630</v>
      </c>
      <c r="AA795">
        <v>30</v>
      </c>
      <c r="AB795">
        <v>6006</v>
      </c>
      <c r="AC795">
        <v>45911</v>
      </c>
      <c r="AD795">
        <v>0</v>
      </c>
      <c r="AE795">
        <v>5487</v>
      </c>
      <c r="AF795">
        <v>5487</v>
      </c>
      <c r="AG795">
        <v>150</v>
      </c>
      <c r="AH795">
        <v>-519</v>
      </c>
    </row>
    <row r="796" spans="2:34" x14ac:dyDescent="0.35">
      <c r="B796" t="s">
        <v>563</v>
      </c>
      <c r="C796">
        <v>45911</v>
      </c>
      <c r="F796" t="s">
        <v>754</v>
      </c>
      <c r="H796">
        <v>84.62</v>
      </c>
      <c r="O796" t="s">
        <v>239</v>
      </c>
      <c r="P796" t="s">
        <v>514</v>
      </c>
      <c r="Y796">
        <v>762</v>
      </c>
      <c r="Z796" s="259" t="s">
        <v>630</v>
      </c>
      <c r="AA796">
        <v>100</v>
      </c>
      <c r="AB796">
        <v>8008</v>
      </c>
      <c r="AC796">
        <v>45911</v>
      </c>
      <c r="AD796">
        <v>0</v>
      </c>
      <c r="AE796">
        <v>8462</v>
      </c>
      <c r="AF796">
        <v>8462</v>
      </c>
      <c r="AG796">
        <v>0</v>
      </c>
      <c r="AH796">
        <v>454</v>
      </c>
    </row>
    <row r="797" spans="2:34" x14ac:dyDescent="0.35">
      <c r="B797" t="s">
        <v>563</v>
      </c>
      <c r="C797">
        <v>45912</v>
      </c>
      <c r="F797" t="s">
        <v>749</v>
      </c>
      <c r="H797">
        <v>50.9</v>
      </c>
      <c r="O797" t="s">
        <v>239</v>
      </c>
      <c r="P797" t="s">
        <v>514</v>
      </c>
      <c r="Y797">
        <v>763</v>
      </c>
      <c r="Z797" s="259" t="s">
        <v>630</v>
      </c>
      <c r="AA797">
        <v>220</v>
      </c>
      <c r="AB797">
        <v>10937.666666666666</v>
      </c>
      <c r="AC797">
        <v>45912</v>
      </c>
      <c r="AD797">
        <v>0</v>
      </c>
      <c r="AE797">
        <v>11198</v>
      </c>
      <c r="AF797">
        <v>11198</v>
      </c>
      <c r="AG797">
        <v>0</v>
      </c>
      <c r="AH797">
        <v>260.33333333333394</v>
      </c>
    </row>
    <row r="798" spans="2:34" x14ac:dyDescent="0.35">
      <c r="B798" t="s">
        <v>563</v>
      </c>
      <c r="C798">
        <v>45912</v>
      </c>
      <c r="F798" t="s">
        <v>752</v>
      </c>
      <c r="H798">
        <v>182.59</v>
      </c>
      <c r="O798" t="s">
        <v>239</v>
      </c>
      <c r="P798" t="s">
        <v>514</v>
      </c>
      <c r="Y798">
        <v>764</v>
      </c>
      <c r="Z798" s="259" t="s">
        <v>630</v>
      </c>
      <c r="AA798">
        <v>30</v>
      </c>
      <c r="AB798">
        <v>6006</v>
      </c>
      <c r="AC798">
        <v>45912</v>
      </c>
      <c r="AD798">
        <v>0</v>
      </c>
      <c r="AE798">
        <v>5477.7</v>
      </c>
      <c r="AF798">
        <v>5477.7</v>
      </c>
      <c r="AG798">
        <v>150</v>
      </c>
      <c r="AH798">
        <v>-528.30000000000018</v>
      </c>
    </row>
    <row r="799" spans="2:34" x14ac:dyDescent="0.35">
      <c r="B799" t="s">
        <v>563</v>
      </c>
      <c r="C799">
        <v>45912</v>
      </c>
      <c r="F799" t="s">
        <v>754</v>
      </c>
      <c r="H799">
        <v>84.48</v>
      </c>
      <c r="O799" t="s">
        <v>239</v>
      </c>
      <c r="P799" t="s">
        <v>514</v>
      </c>
      <c r="Y799">
        <v>765</v>
      </c>
      <c r="Z799" s="259" t="s">
        <v>630</v>
      </c>
      <c r="AA799">
        <v>100</v>
      </c>
      <c r="AB799">
        <v>8008</v>
      </c>
      <c r="AC799">
        <v>45912</v>
      </c>
      <c r="AD799">
        <v>0</v>
      </c>
      <c r="AE799">
        <v>8448</v>
      </c>
      <c r="AF799">
        <v>8448</v>
      </c>
      <c r="AG799">
        <v>0</v>
      </c>
      <c r="AH799">
        <v>440</v>
      </c>
    </row>
    <row r="800" spans="2:34" x14ac:dyDescent="0.35">
      <c r="B800" t="s">
        <v>563</v>
      </c>
      <c r="C800">
        <v>45913</v>
      </c>
      <c r="F800" t="s">
        <v>749</v>
      </c>
      <c r="H800">
        <v>50.9</v>
      </c>
      <c r="O800" t="s">
        <v>239</v>
      </c>
      <c r="P800" t="s">
        <v>514</v>
      </c>
      <c r="Y800">
        <v>766</v>
      </c>
      <c r="Z800" s="259" t="s">
        <v>630</v>
      </c>
      <c r="AA800">
        <v>220</v>
      </c>
      <c r="AB800">
        <v>10937.666666666666</v>
      </c>
      <c r="AC800">
        <v>45912</v>
      </c>
      <c r="AD800">
        <v>1</v>
      </c>
      <c r="AE800">
        <v>11198</v>
      </c>
      <c r="AF800">
        <v>11198</v>
      </c>
      <c r="AG800">
        <v>0</v>
      </c>
      <c r="AH800">
        <v>260.33333333333394</v>
      </c>
    </row>
    <row r="801" spans="2:34" x14ac:dyDescent="0.35">
      <c r="B801" t="s">
        <v>563</v>
      </c>
      <c r="C801">
        <v>45913</v>
      </c>
      <c r="F801" t="s">
        <v>752</v>
      </c>
      <c r="H801">
        <v>182.59</v>
      </c>
      <c r="O801" t="s">
        <v>239</v>
      </c>
      <c r="P801" t="s">
        <v>514</v>
      </c>
      <c r="Y801">
        <v>767</v>
      </c>
      <c r="Z801" s="259" t="s">
        <v>630</v>
      </c>
      <c r="AA801">
        <v>30</v>
      </c>
      <c r="AB801">
        <v>6006</v>
      </c>
      <c r="AC801">
        <v>45912</v>
      </c>
      <c r="AD801">
        <v>1</v>
      </c>
      <c r="AE801">
        <v>5477.7</v>
      </c>
      <c r="AF801">
        <v>5477.7</v>
      </c>
      <c r="AG801">
        <v>150</v>
      </c>
      <c r="AH801">
        <v>-528.30000000000018</v>
      </c>
    </row>
    <row r="802" spans="2:34" x14ac:dyDescent="0.35">
      <c r="B802" t="s">
        <v>563</v>
      </c>
      <c r="C802">
        <v>45913</v>
      </c>
      <c r="F802" t="s">
        <v>754</v>
      </c>
      <c r="H802">
        <v>84.48</v>
      </c>
      <c r="O802" t="s">
        <v>239</v>
      </c>
      <c r="P802" t="s">
        <v>514</v>
      </c>
      <c r="Y802">
        <v>768</v>
      </c>
      <c r="Z802" s="259" t="s">
        <v>630</v>
      </c>
      <c r="AA802">
        <v>100</v>
      </c>
      <c r="AB802">
        <v>8008</v>
      </c>
      <c r="AC802">
        <v>45912</v>
      </c>
      <c r="AD802">
        <v>1</v>
      </c>
      <c r="AE802">
        <v>8448</v>
      </c>
      <c r="AF802">
        <v>8448</v>
      </c>
      <c r="AG802">
        <v>0</v>
      </c>
      <c r="AH802">
        <v>440</v>
      </c>
    </row>
    <row r="803" spans="2:34" x14ac:dyDescent="0.35">
      <c r="B803" t="s">
        <v>563</v>
      </c>
      <c r="C803">
        <v>45914</v>
      </c>
      <c r="F803" t="s">
        <v>749</v>
      </c>
      <c r="H803">
        <v>50.9</v>
      </c>
      <c r="O803" t="s">
        <v>239</v>
      </c>
      <c r="P803" t="s">
        <v>514</v>
      </c>
      <c r="Y803">
        <v>769</v>
      </c>
      <c r="Z803" s="259" t="s">
        <v>630</v>
      </c>
      <c r="AA803">
        <v>220</v>
      </c>
      <c r="AB803">
        <v>10937.666666666666</v>
      </c>
      <c r="AC803">
        <v>45912</v>
      </c>
      <c r="AD803">
        <v>2</v>
      </c>
      <c r="AE803">
        <v>11198</v>
      </c>
      <c r="AF803">
        <v>11198</v>
      </c>
      <c r="AG803">
        <v>0</v>
      </c>
      <c r="AH803">
        <v>260.33333333333394</v>
      </c>
    </row>
    <row r="804" spans="2:34" x14ac:dyDescent="0.35">
      <c r="B804" t="s">
        <v>563</v>
      </c>
      <c r="C804">
        <v>45914</v>
      </c>
      <c r="F804" t="s">
        <v>752</v>
      </c>
      <c r="H804">
        <v>182.59</v>
      </c>
      <c r="O804" t="s">
        <v>239</v>
      </c>
      <c r="P804" t="s">
        <v>514</v>
      </c>
      <c r="Y804">
        <v>770</v>
      </c>
      <c r="Z804" s="259" t="s">
        <v>630</v>
      </c>
      <c r="AA804">
        <v>30</v>
      </c>
      <c r="AB804">
        <v>6006</v>
      </c>
      <c r="AC804">
        <v>45912</v>
      </c>
      <c r="AD804">
        <v>2</v>
      </c>
      <c r="AE804">
        <v>5477.7</v>
      </c>
      <c r="AF804">
        <v>5477.7</v>
      </c>
      <c r="AG804">
        <v>150</v>
      </c>
      <c r="AH804">
        <v>-528.30000000000018</v>
      </c>
    </row>
    <row r="805" spans="2:34" x14ac:dyDescent="0.35">
      <c r="B805" t="s">
        <v>563</v>
      </c>
      <c r="C805">
        <v>45914</v>
      </c>
      <c r="F805" t="s">
        <v>754</v>
      </c>
      <c r="H805">
        <v>84.48</v>
      </c>
      <c r="O805" t="s">
        <v>239</v>
      </c>
      <c r="P805" t="s">
        <v>514</v>
      </c>
      <c r="Y805">
        <v>771</v>
      </c>
      <c r="Z805" s="259" t="s">
        <v>630</v>
      </c>
      <c r="AA805">
        <v>100</v>
      </c>
      <c r="AB805">
        <v>8008</v>
      </c>
      <c r="AC805">
        <v>45912</v>
      </c>
      <c r="AD805">
        <v>2</v>
      </c>
      <c r="AE805">
        <v>8448</v>
      </c>
      <c r="AF805">
        <v>8448</v>
      </c>
      <c r="AG805">
        <v>0</v>
      </c>
      <c r="AH805">
        <v>440</v>
      </c>
    </row>
    <row r="806" spans="2:34" x14ac:dyDescent="0.35">
      <c r="B806" t="s">
        <v>563</v>
      </c>
      <c r="C806">
        <v>45915</v>
      </c>
      <c r="F806" t="s">
        <v>749</v>
      </c>
      <c r="H806">
        <v>51.41</v>
      </c>
      <c r="O806" t="s">
        <v>239</v>
      </c>
      <c r="P806" t="s">
        <v>514</v>
      </c>
      <c r="Y806">
        <v>772</v>
      </c>
      <c r="Z806" s="259" t="s">
        <v>630</v>
      </c>
      <c r="AA806">
        <v>220</v>
      </c>
      <c r="AB806">
        <v>10937.666666666666</v>
      </c>
      <c r="AC806">
        <v>45915</v>
      </c>
      <c r="AD806">
        <v>0</v>
      </c>
      <c r="AE806">
        <v>11310.199999999999</v>
      </c>
      <c r="AF806">
        <v>11310.199999999999</v>
      </c>
      <c r="AG806">
        <v>0</v>
      </c>
      <c r="AH806">
        <v>372.53333333333285</v>
      </c>
    </row>
    <row r="807" spans="2:34" x14ac:dyDescent="0.35">
      <c r="B807" t="s">
        <v>563</v>
      </c>
      <c r="C807">
        <v>45915</v>
      </c>
      <c r="F807" t="s">
        <v>752</v>
      </c>
      <c r="H807">
        <v>181.66</v>
      </c>
      <c r="O807" t="s">
        <v>239</v>
      </c>
      <c r="P807" t="s">
        <v>514</v>
      </c>
      <c r="Y807">
        <v>773</v>
      </c>
      <c r="Z807" s="259" t="s">
        <v>630</v>
      </c>
      <c r="AA807">
        <v>30</v>
      </c>
      <c r="AB807">
        <v>6006</v>
      </c>
      <c r="AC807">
        <v>45915</v>
      </c>
      <c r="AD807">
        <v>0</v>
      </c>
      <c r="AE807">
        <v>5449.8</v>
      </c>
      <c r="AF807">
        <v>5449.8</v>
      </c>
      <c r="AG807">
        <v>0</v>
      </c>
      <c r="AH807">
        <v>-556.19999999999982</v>
      </c>
    </row>
    <row r="808" spans="2:34" x14ac:dyDescent="0.35">
      <c r="B808" t="s">
        <v>563</v>
      </c>
      <c r="C808">
        <v>45915</v>
      </c>
      <c r="F808" t="s">
        <v>754</v>
      </c>
      <c r="H808">
        <v>84.07</v>
      </c>
      <c r="O808" t="s">
        <v>239</v>
      </c>
      <c r="P808" t="s">
        <v>514</v>
      </c>
      <c r="Y808">
        <v>774</v>
      </c>
      <c r="Z808" s="259" t="s">
        <v>630</v>
      </c>
      <c r="AA808">
        <v>100</v>
      </c>
      <c r="AB808">
        <v>8008</v>
      </c>
      <c r="AC808">
        <v>45915</v>
      </c>
      <c r="AD808">
        <v>0</v>
      </c>
      <c r="AE808">
        <v>8407</v>
      </c>
      <c r="AF808">
        <v>8407</v>
      </c>
      <c r="AG808">
        <v>0</v>
      </c>
      <c r="AH808">
        <v>399</v>
      </c>
    </row>
    <row r="809" spans="2:34" x14ac:dyDescent="0.35">
      <c r="B809" t="s">
        <v>563</v>
      </c>
      <c r="C809">
        <v>45916</v>
      </c>
      <c r="F809" t="s">
        <v>749</v>
      </c>
      <c r="H809">
        <v>51.59</v>
      </c>
      <c r="O809" t="s">
        <v>239</v>
      </c>
      <c r="P809" t="s">
        <v>514</v>
      </c>
      <c r="Y809">
        <v>775</v>
      </c>
      <c r="Z809" s="259" t="s">
        <v>630</v>
      </c>
      <c r="AA809">
        <v>220</v>
      </c>
      <c r="AB809">
        <v>10937.666666666666</v>
      </c>
      <c r="AC809">
        <v>45916</v>
      </c>
      <c r="AD809">
        <v>0</v>
      </c>
      <c r="AE809">
        <v>11349.800000000001</v>
      </c>
      <c r="AF809">
        <v>11349.800000000001</v>
      </c>
      <c r="AG809">
        <v>0</v>
      </c>
      <c r="AH809">
        <v>412.13333333333503</v>
      </c>
    </row>
    <row r="810" spans="2:34" x14ac:dyDescent="0.35">
      <c r="B810" t="s">
        <v>563</v>
      </c>
      <c r="C810">
        <v>45916</v>
      </c>
      <c r="F810" t="s">
        <v>752</v>
      </c>
      <c r="H810">
        <v>181.34</v>
      </c>
      <c r="O810" t="s">
        <v>239</v>
      </c>
      <c r="P810" t="s">
        <v>514</v>
      </c>
      <c r="Y810">
        <v>776</v>
      </c>
      <c r="Z810" s="259" t="s">
        <v>630</v>
      </c>
      <c r="AA810">
        <v>30</v>
      </c>
      <c r="AB810">
        <v>6006</v>
      </c>
      <c r="AC810">
        <v>45916</v>
      </c>
      <c r="AD810">
        <v>0</v>
      </c>
      <c r="AE810">
        <v>5440.2</v>
      </c>
      <c r="AF810">
        <v>5440.2</v>
      </c>
      <c r="AG810">
        <v>0</v>
      </c>
      <c r="AH810">
        <v>-565.80000000000018</v>
      </c>
    </row>
    <row r="811" spans="2:34" x14ac:dyDescent="0.35">
      <c r="B811" t="s">
        <v>563</v>
      </c>
      <c r="C811">
        <v>45916</v>
      </c>
      <c r="F811" t="s">
        <v>754</v>
      </c>
      <c r="H811">
        <v>83.93</v>
      </c>
      <c r="O811" t="s">
        <v>239</v>
      </c>
      <c r="P811" t="s">
        <v>514</v>
      </c>
      <c r="Y811">
        <v>777</v>
      </c>
      <c r="Z811" s="259" t="s">
        <v>630</v>
      </c>
      <c r="AA811">
        <v>100</v>
      </c>
      <c r="AB811">
        <v>8008</v>
      </c>
      <c r="AC811">
        <v>45916</v>
      </c>
      <c r="AD811">
        <v>0</v>
      </c>
      <c r="AE811">
        <v>8393</v>
      </c>
      <c r="AF811">
        <v>8393</v>
      </c>
      <c r="AG811">
        <v>0</v>
      </c>
      <c r="AH811">
        <v>385</v>
      </c>
    </row>
    <row r="812" spans="2:34" x14ac:dyDescent="0.35">
      <c r="B812" t="s">
        <v>563</v>
      </c>
      <c r="C812">
        <v>45917</v>
      </c>
      <c r="F812" t="s">
        <v>749</v>
      </c>
      <c r="H812">
        <v>51.76</v>
      </c>
      <c r="O812" t="s">
        <v>239</v>
      </c>
      <c r="P812" t="s">
        <v>514</v>
      </c>
      <c r="Y812">
        <v>778</v>
      </c>
      <c r="Z812" s="259" t="s">
        <v>630</v>
      </c>
      <c r="AA812">
        <v>220</v>
      </c>
      <c r="AB812">
        <v>10937.666666666666</v>
      </c>
      <c r="AC812">
        <v>45917</v>
      </c>
      <c r="AD812">
        <v>0</v>
      </c>
      <c r="AE812">
        <v>11387.199999999999</v>
      </c>
      <c r="AF812">
        <v>11387.199999999999</v>
      </c>
      <c r="AG812">
        <v>0</v>
      </c>
      <c r="AH812">
        <v>449.53333333333285</v>
      </c>
    </row>
    <row r="813" spans="2:34" x14ac:dyDescent="0.35">
      <c r="B813" t="s">
        <v>563</v>
      </c>
      <c r="C813">
        <v>45917</v>
      </c>
      <c r="F813" t="s">
        <v>752</v>
      </c>
      <c r="H813">
        <v>181.03</v>
      </c>
      <c r="O813" t="s">
        <v>239</v>
      </c>
      <c r="P813" t="s">
        <v>514</v>
      </c>
      <c r="Y813">
        <v>779</v>
      </c>
      <c r="Z813" s="259" t="s">
        <v>630</v>
      </c>
      <c r="AA813">
        <v>30</v>
      </c>
      <c r="AB813">
        <v>6006</v>
      </c>
      <c r="AC813">
        <v>45917</v>
      </c>
      <c r="AD813">
        <v>0</v>
      </c>
      <c r="AE813">
        <v>5430.9</v>
      </c>
      <c r="AF813">
        <v>5430.9</v>
      </c>
      <c r="AG813">
        <v>0</v>
      </c>
      <c r="AH813">
        <v>-575.10000000000036</v>
      </c>
    </row>
    <row r="814" spans="2:34" x14ac:dyDescent="0.35">
      <c r="B814" t="s">
        <v>563</v>
      </c>
      <c r="C814">
        <v>45917</v>
      </c>
      <c r="F814" t="s">
        <v>754</v>
      </c>
      <c r="H814">
        <v>83.79</v>
      </c>
      <c r="O814" t="s">
        <v>239</v>
      </c>
      <c r="P814" t="s">
        <v>514</v>
      </c>
      <c r="Y814">
        <v>780</v>
      </c>
      <c r="Z814" s="259" t="s">
        <v>630</v>
      </c>
      <c r="AA814">
        <v>100</v>
      </c>
      <c r="AB814">
        <v>8008</v>
      </c>
      <c r="AC814">
        <v>45917</v>
      </c>
      <c r="AD814">
        <v>0</v>
      </c>
      <c r="AE814">
        <v>8379</v>
      </c>
      <c r="AF814">
        <v>8379</v>
      </c>
      <c r="AG814">
        <v>0</v>
      </c>
      <c r="AH814">
        <v>371</v>
      </c>
    </row>
    <row r="815" spans="2:34" x14ac:dyDescent="0.35">
      <c r="B815" t="s">
        <v>563</v>
      </c>
      <c r="C815">
        <v>45918</v>
      </c>
      <c r="F815" t="s">
        <v>749</v>
      </c>
      <c r="H815">
        <v>51.93</v>
      </c>
      <c r="O815" t="s">
        <v>239</v>
      </c>
      <c r="P815" t="s">
        <v>514</v>
      </c>
      <c r="Y815">
        <v>781</v>
      </c>
      <c r="Z815" s="259" t="s">
        <v>630</v>
      </c>
      <c r="AA815">
        <v>220</v>
      </c>
      <c r="AB815">
        <v>10937.666666666666</v>
      </c>
      <c r="AC815">
        <v>45918</v>
      </c>
      <c r="AD815">
        <v>0</v>
      </c>
      <c r="AE815">
        <v>11424.6</v>
      </c>
      <c r="AF815">
        <v>11424.6</v>
      </c>
      <c r="AG815">
        <v>0</v>
      </c>
      <c r="AH815">
        <v>486.9333333333343</v>
      </c>
    </row>
    <row r="816" spans="2:34" x14ac:dyDescent="0.35">
      <c r="B816" t="s">
        <v>563</v>
      </c>
      <c r="C816">
        <v>45918</v>
      </c>
      <c r="F816" t="s">
        <v>752</v>
      </c>
      <c r="H816">
        <v>180.72</v>
      </c>
      <c r="O816" t="s">
        <v>239</v>
      </c>
      <c r="P816" t="s">
        <v>514</v>
      </c>
      <c r="Y816">
        <v>782</v>
      </c>
      <c r="Z816" s="259" t="s">
        <v>630</v>
      </c>
      <c r="AA816">
        <v>30</v>
      </c>
      <c r="AB816">
        <v>6006</v>
      </c>
      <c r="AC816">
        <v>45918</v>
      </c>
      <c r="AD816">
        <v>0</v>
      </c>
      <c r="AE816">
        <v>5421.6</v>
      </c>
      <c r="AF816">
        <v>5421.6</v>
      </c>
      <c r="AG816">
        <v>0</v>
      </c>
      <c r="AH816">
        <v>-584.39999999999964</v>
      </c>
    </row>
    <row r="817" spans="2:34" x14ac:dyDescent="0.35">
      <c r="B817" t="s">
        <v>563</v>
      </c>
      <c r="C817">
        <v>45918</v>
      </c>
      <c r="F817" t="s">
        <v>754</v>
      </c>
      <c r="H817">
        <v>83.66</v>
      </c>
      <c r="O817" t="s">
        <v>239</v>
      </c>
      <c r="P817" t="s">
        <v>514</v>
      </c>
      <c r="Y817">
        <v>783</v>
      </c>
      <c r="Z817" s="259" t="s">
        <v>630</v>
      </c>
      <c r="AA817">
        <v>100</v>
      </c>
      <c r="AB817">
        <v>8008</v>
      </c>
      <c r="AC817">
        <v>45918</v>
      </c>
      <c r="AD817">
        <v>0</v>
      </c>
      <c r="AE817">
        <v>8366</v>
      </c>
      <c r="AF817">
        <v>8366</v>
      </c>
      <c r="AG817">
        <v>0</v>
      </c>
      <c r="AH817">
        <v>358</v>
      </c>
    </row>
    <row r="818" spans="2:34" x14ac:dyDescent="0.35">
      <c r="B818" t="s">
        <v>563</v>
      </c>
      <c r="C818">
        <v>45919</v>
      </c>
      <c r="F818" t="s">
        <v>749</v>
      </c>
      <c r="H818">
        <v>52.1</v>
      </c>
      <c r="O818" t="s">
        <v>239</v>
      </c>
      <c r="P818" t="s">
        <v>514</v>
      </c>
      <c r="Y818">
        <v>784</v>
      </c>
      <c r="Z818" s="259" t="s">
        <v>630</v>
      </c>
      <c r="AA818">
        <v>220</v>
      </c>
      <c r="AB818">
        <v>10937.666666666666</v>
      </c>
      <c r="AC818">
        <v>45919</v>
      </c>
      <c r="AD818">
        <v>0</v>
      </c>
      <c r="AE818">
        <v>11462</v>
      </c>
      <c r="AF818">
        <v>11462</v>
      </c>
      <c r="AG818">
        <v>0</v>
      </c>
      <c r="AH818">
        <v>524.33333333333394</v>
      </c>
    </row>
    <row r="819" spans="2:34" x14ac:dyDescent="0.35">
      <c r="B819" t="s">
        <v>563</v>
      </c>
      <c r="C819">
        <v>45919</v>
      </c>
      <c r="F819" t="s">
        <v>752</v>
      </c>
      <c r="H819">
        <v>180.41</v>
      </c>
      <c r="O819" t="s">
        <v>239</v>
      </c>
      <c r="P819" t="s">
        <v>514</v>
      </c>
      <c r="Y819">
        <v>785</v>
      </c>
      <c r="Z819" s="259" t="s">
        <v>630</v>
      </c>
      <c r="AA819">
        <v>30</v>
      </c>
      <c r="AB819">
        <v>6006</v>
      </c>
      <c r="AC819">
        <v>45919</v>
      </c>
      <c r="AD819">
        <v>0</v>
      </c>
      <c r="AE819">
        <v>5412.3</v>
      </c>
      <c r="AF819">
        <v>5412.3</v>
      </c>
      <c r="AG819">
        <v>0</v>
      </c>
      <c r="AH819">
        <v>-593.69999999999982</v>
      </c>
    </row>
    <row r="820" spans="2:34" x14ac:dyDescent="0.35">
      <c r="B820" t="s">
        <v>563</v>
      </c>
      <c r="C820">
        <v>45919</v>
      </c>
      <c r="F820" t="s">
        <v>754</v>
      </c>
      <c r="H820">
        <v>83.52</v>
      </c>
      <c r="O820" t="s">
        <v>239</v>
      </c>
      <c r="P820" t="s">
        <v>514</v>
      </c>
      <c r="Y820">
        <v>786</v>
      </c>
      <c r="Z820" s="259" t="s">
        <v>630</v>
      </c>
      <c r="AA820">
        <v>100</v>
      </c>
      <c r="AB820">
        <v>8008</v>
      </c>
      <c r="AC820">
        <v>45919</v>
      </c>
      <c r="AD820">
        <v>0</v>
      </c>
      <c r="AE820">
        <v>8352</v>
      </c>
      <c r="AF820">
        <v>8352</v>
      </c>
      <c r="AG820">
        <v>0</v>
      </c>
      <c r="AH820">
        <v>344</v>
      </c>
    </row>
    <row r="821" spans="2:34" x14ac:dyDescent="0.35">
      <c r="B821" t="s">
        <v>563</v>
      </c>
      <c r="C821">
        <v>45920</v>
      </c>
      <c r="F821" t="s">
        <v>749</v>
      </c>
      <c r="H821">
        <v>52.1</v>
      </c>
      <c r="O821" t="s">
        <v>239</v>
      </c>
      <c r="P821" t="s">
        <v>514</v>
      </c>
      <c r="Y821">
        <v>787</v>
      </c>
      <c r="Z821" s="259" t="s">
        <v>630</v>
      </c>
      <c r="AA821">
        <v>220</v>
      </c>
      <c r="AB821">
        <v>10937.666666666666</v>
      </c>
      <c r="AC821">
        <v>45919</v>
      </c>
      <c r="AD821">
        <v>1</v>
      </c>
      <c r="AE821">
        <v>11462</v>
      </c>
      <c r="AF821">
        <v>11462</v>
      </c>
      <c r="AG821">
        <v>0</v>
      </c>
      <c r="AH821">
        <v>524.33333333333394</v>
      </c>
    </row>
    <row r="822" spans="2:34" x14ac:dyDescent="0.35">
      <c r="B822" t="s">
        <v>563</v>
      </c>
      <c r="C822">
        <v>45920</v>
      </c>
      <c r="F822" t="s">
        <v>752</v>
      </c>
      <c r="H822">
        <v>180.41</v>
      </c>
      <c r="O822" t="s">
        <v>239</v>
      </c>
      <c r="P822" t="s">
        <v>514</v>
      </c>
      <c r="Y822">
        <v>788</v>
      </c>
      <c r="Z822" s="259" t="s">
        <v>630</v>
      </c>
      <c r="AA822">
        <v>30</v>
      </c>
      <c r="AB822">
        <v>6006</v>
      </c>
      <c r="AC822">
        <v>45919</v>
      </c>
      <c r="AD822">
        <v>1</v>
      </c>
      <c r="AE822">
        <v>5412.3</v>
      </c>
      <c r="AF822">
        <v>5412.3</v>
      </c>
      <c r="AG822">
        <v>0</v>
      </c>
      <c r="AH822">
        <v>-593.69999999999982</v>
      </c>
    </row>
    <row r="823" spans="2:34" x14ac:dyDescent="0.35">
      <c r="B823" t="s">
        <v>563</v>
      </c>
      <c r="C823">
        <v>45920</v>
      </c>
      <c r="F823" t="s">
        <v>754</v>
      </c>
      <c r="H823">
        <v>83.52</v>
      </c>
      <c r="O823" t="s">
        <v>239</v>
      </c>
      <c r="P823" t="s">
        <v>514</v>
      </c>
      <c r="Y823">
        <v>789</v>
      </c>
      <c r="Z823" s="259" t="s">
        <v>630</v>
      </c>
      <c r="AA823">
        <v>100</v>
      </c>
      <c r="AB823">
        <v>8008</v>
      </c>
      <c r="AC823">
        <v>45919</v>
      </c>
      <c r="AD823">
        <v>1</v>
      </c>
      <c r="AE823">
        <v>8352</v>
      </c>
      <c r="AF823">
        <v>8352</v>
      </c>
      <c r="AG823">
        <v>0</v>
      </c>
      <c r="AH823">
        <v>344</v>
      </c>
    </row>
    <row r="824" spans="2:34" x14ac:dyDescent="0.35">
      <c r="B824" t="s">
        <v>563</v>
      </c>
      <c r="C824">
        <v>45921</v>
      </c>
      <c r="F824" t="s">
        <v>749</v>
      </c>
      <c r="H824">
        <v>52.1</v>
      </c>
      <c r="O824" t="s">
        <v>239</v>
      </c>
      <c r="P824" t="s">
        <v>514</v>
      </c>
      <c r="Y824">
        <v>790</v>
      </c>
      <c r="Z824" s="259" t="s">
        <v>630</v>
      </c>
      <c r="AA824">
        <v>220</v>
      </c>
      <c r="AB824">
        <v>10937.666666666666</v>
      </c>
      <c r="AC824">
        <v>45919</v>
      </c>
      <c r="AD824">
        <v>2</v>
      </c>
      <c r="AE824">
        <v>11462</v>
      </c>
      <c r="AF824">
        <v>11462</v>
      </c>
      <c r="AG824">
        <v>0</v>
      </c>
      <c r="AH824">
        <v>524.33333333333394</v>
      </c>
    </row>
    <row r="825" spans="2:34" x14ac:dyDescent="0.35">
      <c r="B825" t="s">
        <v>563</v>
      </c>
      <c r="C825">
        <v>45921</v>
      </c>
      <c r="F825" t="s">
        <v>752</v>
      </c>
      <c r="H825">
        <v>180.41</v>
      </c>
      <c r="O825" t="s">
        <v>239</v>
      </c>
      <c r="P825" t="s">
        <v>514</v>
      </c>
      <c r="Y825">
        <v>791</v>
      </c>
      <c r="Z825" s="259" t="s">
        <v>630</v>
      </c>
      <c r="AA825">
        <v>30</v>
      </c>
      <c r="AB825">
        <v>6006</v>
      </c>
      <c r="AC825">
        <v>45919</v>
      </c>
      <c r="AD825">
        <v>2</v>
      </c>
      <c r="AE825">
        <v>5412.3</v>
      </c>
      <c r="AF825">
        <v>5412.3</v>
      </c>
      <c r="AG825">
        <v>0</v>
      </c>
      <c r="AH825">
        <v>-593.69999999999982</v>
      </c>
    </row>
    <row r="826" spans="2:34" x14ac:dyDescent="0.35">
      <c r="B826" t="s">
        <v>563</v>
      </c>
      <c r="C826">
        <v>45921</v>
      </c>
      <c r="F826" t="s">
        <v>754</v>
      </c>
      <c r="H826">
        <v>83.52</v>
      </c>
      <c r="O826" t="s">
        <v>239</v>
      </c>
      <c r="P826" t="s">
        <v>514</v>
      </c>
      <c r="Y826">
        <v>792</v>
      </c>
      <c r="Z826" s="259" t="s">
        <v>630</v>
      </c>
      <c r="AA826">
        <v>100</v>
      </c>
      <c r="AB826">
        <v>8008</v>
      </c>
      <c r="AC826">
        <v>45919</v>
      </c>
      <c r="AD826">
        <v>2</v>
      </c>
      <c r="AE826">
        <v>8352</v>
      </c>
      <c r="AF826">
        <v>8352</v>
      </c>
      <c r="AG826">
        <v>0</v>
      </c>
      <c r="AH826">
        <v>344</v>
      </c>
    </row>
    <row r="827" spans="2:34" x14ac:dyDescent="0.35">
      <c r="B827" t="s">
        <v>563</v>
      </c>
      <c r="C827">
        <v>45922</v>
      </c>
      <c r="F827" t="s">
        <v>749</v>
      </c>
      <c r="H827">
        <v>52.62</v>
      </c>
      <c r="O827" t="s">
        <v>239</v>
      </c>
      <c r="P827" t="s">
        <v>514</v>
      </c>
      <c r="Y827">
        <v>793</v>
      </c>
      <c r="Z827" s="259" t="s">
        <v>630</v>
      </c>
      <c r="AA827">
        <v>220</v>
      </c>
      <c r="AB827">
        <v>10937.666666666666</v>
      </c>
      <c r="AC827">
        <v>45922</v>
      </c>
      <c r="AD827">
        <v>0</v>
      </c>
      <c r="AE827">
        <v>11576.4</v>
      </c>
      <c r="AF827">
        <v>11576.4</v>
      </c>
      <c r="AG827">
        <v>0</v>
      </c>
      <c r="AH827">
        <v>638.73333333333358</v>
      </c>
    </row>
    <row r="828" spans="2:34" x14ac:dyDescent="0.35">
      <c r="B828" t="s">
        <v>563</v>
      </c>
      <c r="C828">
        <v>45922</v>
      </c>
      <c r="F828" t="s">
        <v>752</v>
      </c>
      <c r="H828">
        <v>179.48</v>
      </c>
      <c r="O828" t="s">
        <v>239</v>
      </c>
      <c r="P828" t="s">
        <v>514</v>
      </c>
      <c r="Y828">
        <v>794</v>
      </c>
      <c r="Z828" s="259" t="s">
        <v>630</v>
      </c>
      <c r="AA828">
        <v>30</v>
      </c>
      <c r="AB828">
        <v>6006</v>
      </c>
      <c r="AC828">
        <v>45922</v>
      </c>
      <c r="AD828">
        <v>0</v>
      </c>
      <c r="AE828">
        <v>5384.4</v>
      </c>
      <c r="AF828">
        <v>5384.4</v>
      </c>
      <c r="AG828">
        <v>0</v>
      </c>
      <c r="AH828">
        <v>-621.60000000000036</v>
      </c>
    </row>
    <row r="829" spans="2:34" x14ac:dyDescent="0.35">
      <c r="B829" t="s">
        <v>563</v>
      </c>
      <c r="C829">
        <v>45922</v>
      </c>
      <c r="F829" t="s">
        <v>754</v>
      </c>
      <c r="H829">
        <v>83.1</v>
      </c>
      <c r="O829" t="s">
        <v>239</v>
      </c>
      <c r="P829" t="s">
        <v>514</v>
      </c>
      <c r="Y829">
        <v>795</v>
      </c>
      <c r="Z829" s="259" t="s">
        <v>630</v>
      </c>
      <c r="AA829">
        <v>100</v>
      </c>
      <c r="AB829">
        <v>8008</v>
      </c>
      <c r="AC829">
        <v>45922</v>
      </c>
      <c r="AD829">
        <v>0</v>
      </c>
      <c r="AE829">
        <v>8310</v>
      </c>
      <c r="AF829">
        <v>8310</v>
      </c>
      <c r="AG829">
        <v>0</v>
      </c>
      <c r="AH829">
        <v>302</v>
      </c>
    </row>
    <row r="830" spans="2:34" x14ac:dyDescent="0.35">
      <c r="B830" t="s">
        <v>563</v>
      </c>
      <c r="C830">
        <v>45923</v>
      </c>
      <c r="F830" t="s">
        <v>749</v>
      </c>
      <c r="H830">
        <v>52.79</v>
      </c>
      <c r="O830" t="s">
        <v>239</v>
      </c>
      <c r="P830" t="s">
        <v>514</v>
      </c>
      <c r="Y830">
        <v>796</v>
      </c>
      <c r="Z830" s="259" t="s">
        <v>630</v>
      </c>
      <c r="AA830">
        <v>220</v>
      </c>
      <c r="AB830">
        <v>10937.666666666666</v>
      </c>
      <c r="AC830">
        <v>45923</v>
      </c>
      <c r="AD830">
        <v>0</v>
      </c>
      <c r="AE830">
        <v>11613.8</v>
      </c>
      <c r="AF830">
        <v>11613.8</v>
      </c>
      <c r="AG830">
        <v>0</v>
      </c>
      <c r="AH830">
        <v>676.13333333333321</v>
      </c>
    </row>
    <row r="831" spans="2:34" x14ac:dyDescent="0.35">
      <c r="B831" t="s">
        <v>563</v>
      </c>
      <c r="C831">
        <v>45923</v>
      </c>
      <c r="F831" t="s">
        <v>752</v>
      </c>
      <c r="H831">
        <v>179.17</v>
      </c>
      <c r="O831" t="s">
        <v>239</v>
      </c>
      <c r="P831" t="s">
        <v>514</v>
      </c>
      <c r="Y831">
        <v>797</v>
      </c>
      <c r="Z831" s="259" t="s">
        <v>630</v>
      </c>
      <c r="AA831">
        <v>30</v>
      </c>
      <c r="AB831">
        <v>6006</v>
      </c>
      <c r="AC831">
        <v>45923</v>
      </c>
      <c r="AD831">
        <v>0</v>
      </c>
      <c r="AE831">
        <v>5375.0999999999995</v>
      </c>
      <c r="AF831">
        <v>5375.0999999999995</v>
      </c>
      <c r="AG831">
        <v>0</v>
      </c>
      <c r="AH831">
        <v>-630.90000000000055</v>
      </c>
    </row>
    <row r="832" spans="2:34" x14ac:dyDescent="0.35">
      <c r="B832" t="s">
        <v>563</v>
      </c>
      <c r="C832">
        <v>45923</v>
      </c>
      <c r="F832" t="s">
        <v>754</v>
      </c>
      <c r="H832">
        <v>82.97</v>
      </c>
      <c r="O832" t="s">
        <v>239</v>
      </c>
      <c r="P832" t="s">
        <v>514</v>
      </c>
      <c r="Y832">
        <v>798</v>
      </c>
      <c r="Z832" s="259" t="s">
        <v>630</v>
      </c>
      <c r="AA832">
        <v>100</v>
      </c>
      <c r="AB832">
        <v>8008</v>
      </c>
      <c r="AC832">
        <v>45923</v>
      </c>
      <c r="AD832">
        <v>0</v>
      </c>
      <c r="AE832">
        <v>8297</v>
      </c>
      <c r="AF832">
        <v>8297</v>
      </c>
      <c r="AG832">
        <v>0</v>
      </c>
      <c r="AH832">
        <v>289</v>
      </c>
    </row>
    <row r="833" spans="2:34" x14ac:dyDescent="0.35">
      <c r="B833" t="s">
        <v>563</v>
      </c>
      <c r="C833">
        <v>45924</v>
      </c>
      <c r="F833" t="s">
        <v>749</v>
      </c>
      <c r="H833">
        <v>52.97</v>
      </c>
      <c r="O833" t="s">
        <v>239</v>
      </c>
      <c r="P833" t="s">
        <v>514</v>
      </c>
      <c r="Y833">
        <v>799</v>
      </c>
      <c r="Z833" s="259" t="s">
        <v>630</v>
      </c>
      <c r="AA833">
        <v>220</v>
      </c>
      <c r="AB833">
        <v>10937.666666666666</v>
      </c>
      <c r="AC833">
        <v>45924</v>
      </c>
      <c r="AD833">
        <v>0</v>
      </c>
      <c r="AE833">
        <v>11653.4</v>
      </c>
      <c r="AF833">
        <v>11653.4</v>
      </c>
      <c r="AG833">
        <v>0</v>
      </c>
      <c r="AH833">
        <v>715.73333333333358</v>
      </c>
    </row>
    <row r="834" spans="2:34" x14ac:dyDescent="0.35">
      <c r="B834" t="s">
        <v>563</v>
      </c>
      <c r="C834">
        <v>45924</v>
      </c>
      <c r="F834" t="s">
        <v>752</v>
      </c>
      <c r="H834">
        <v>178.86</v>
      </c>
      <c r="O834" t="s">
        <v>239</v>
      </c>
      <c r="P834" t="s">
        <v>514</v>
      </c>
      <c r="Y834">
        <v>800</v>
      </c>
      <c r="Z834" s="259" t="s">
        <v>630</v>
      </c>
      <c r="AA834">
        <v>30</v>
      </c>
      <c r="AB834">
        <v>6006</v>
      </c>
      <c r="AC834">
        <v>45924</v>
      </c>
      <c r="AD834">
        <v>0</v>
      </c>
      <c r="AE834">
        <v>5365.8</v>
      </c>
      <c r="AF834">
        <v>5365.8</v>
      </c>
      <c r="AG834">
        <v>0</v>
      </c>
      <c r="AH834">
        <v>-640.19999999999982</v>
      </c>
    </row>
    <row r="835" spans="2:34" x14ac:dyDescent="0.35">
      <c r="B835" t="s">
        <v>563</v>
      </c>
      <c r="C835">
        <v>45924</v>
      </c>
      <c r="F835" t="s">
        <v>754</v>
      </c>
      <c r="H835">
        <v>82.83</v>
      </c>
      <c r="O835" t="s">
        <v>239</v>
      </c>
      <c r="P835" t="s">
        <v>514</v>
      </c>
      <c r="Y835">
        <v>801</v>
      </c>
      <c r="Z835" s="259" t="s">
        <v>630</v>
      </c>
      <c r="AA835">
        <v>100</v>
      </c>
      <c r="AB835">
        <v>8008</v>
      </c>
      <c r="AC835">
        <v>45924</v>
      </c>
      <c r="AD835">
        <v>0</v>
      </c>
      <c r="AE835">
        <v>8283</v>
      </c>
      <c r="AF835">
        <v>8283</v>
      </c>
      <c r="AG835">
        <v>0</v>
      </c>
      <c r="AH835">
        <v>275</v>
      </c>
    </row>
    <row r="836" spans="2:34" x14ac:dyDescent="0.35">
      <c r="B836" t="s">
        <v>563</v>
      </c>
      <c r="C836">
        <v>45925</v>
      </c>
      <c r="F836" t="s">
        <v>749</v>
      </c>
      <c r="H836">
        <v>53.14</v>
      </c>
      <c r="O836" t="s">
        <v>239</v>
      </c>
      <c r="P836" t="s">
        <v>514</v>
      </c>
      <c r="Y836">
        <v>802</v>
      </c>
      <c r="Z836" s="259" t="s">
        <v>630</v>
      </c>
      <c r="AA836">
        <v>220</v>
      </c>
      <c r="AB836">
        <v>10937.666666666666</v>
      </c>
      <c r="AC836">
        <v>45925</v>
      </c>
      <c r="AD836">
        <v>0</v>
      </c>
      <c r="AE836">
        <v>11690.8</v>
      </c>
      <c r="AF836">
        <v>11690.8</v>
      </c>
      <c r="AG836">
        <v>0</v>
      </c>
      <c r="AH836">
        <v>753.13333333333321</v>
      </c>
    </row>
    <row r="837" spans="2:34" x14ac:dyDescent="0.35">
      <c r="B837" t="s">
        <v>563</v>
      </c>
      <c r="C837">
        <v>45925</v>
      </c>
      <c r="F837" t="s">
        <v>752</v>
      </c>
      <c r="H837">
        <v>178.55</v>
      </c>
      <c r="O837" t="s">
        <v>239</v>
      </c>
      <c r="P837" t="s">
        <v>514</v>
      </c>
      <c r="Y837">
        <v>803</v>
      </c>
      <c r="Z837" s="259" t="s">
        <v>630</v>
      </c>
      <c r="AA837">
        <v>30</v>
      </c>
      <c r="AB837">
        <v>6006</v>
      </c>
      <c r="AC837">
        <v>45925</v>
      </c>
      <c r="AD837">
        <v>0</v>
      </c>
      <c r="AE837">
        <v>5356.5</v>
      </c>
      <c r="AF837">
        <v>5356.5</v>
      </c>
      <c r="AG837">
        <v>0</v>
      </c>
      <c r="AH837">
        <v>-649.5</v>
      </c>
    </row>
    <row r="838" spans="2:34" x14ac:dyDescent="0.35">
      <c r="B838" t="s">
        <v>563</v>
      </c>
      <c r="C838">
        <v>45925</v>
      </c>
      <c r="F838" t="s">
        <v>754</v>
      </c>
      <c r="H838">
        <v>82.69</v>
      </c>
      <c r="O838" t="s">
        <v>239</v>
      </c>
      <c r="P838" t="s">
        <v>514</v>
      </c>
      <c r="Y838">
        <v>804</v>
      </c>
      <c r="Z838" s="259" t="s">
        <v>630</v>
      </c>
      <c r="AA838">
        <v>100</v>
      </c>
      <c r="AB838">
        <v>8008</v>
      </c>
      <c r="AC838">
        <v>45925</v>
      </c>
      <c r="AD838">
        <v>0</v>
      </c>
      <c r="AE838">
        <v>8269</v>
      </c>
      <c r="AF838">
        <v>8269</v>
      </c>
      <c r="AG838">
        <v>0</v>
      </c>
      <c r="AH838">
        <v>261</v>
      </c>
    </row>
    <row r="839" spans="2:34" x14ac:dyDescent="0.35">
      <c r="B839" t="s">
        <v>563</v>
      </c>
      <c r="C839">
        <v>45926</v>
      </c>
      <c r="F839" t="s">
        <v>749</v>
      </c>
      <c r="H839">
        <v>53.31</v>
      </c>
      <c r="O839" t="s">
        <v>239</v>
      </c>
      <c r="P839" t="s">
        <v>514</v>
      </c>
      <c r="Y839">
        <v>805</v>
      </c>
      <c r="Z839" s="259" t="s">
        <v>630</v>
      </c>
      <c r="AA839">
        <v>220</v>
      </c>
      <c r="AB839">
        <v>10937.666666666666</v>
      </c>
      <c r="AC839">
        <v>45926</v>
      </c>
      <c r="AD839">
        <v>0</v>
      </c>
      <c r="AE839">
        <v>11728.2</v>
      </c>
      <c r="AF839">
        <v>11728.2</v>
      </c>
      <c r="AG839">
        <v>0</v>
      </c>
      <c r="AH839">
        <v>790.53333333333467</v>
      </c>
    </row>
    <row r="840" spans="2:34" x14ac:dyDescent="0.35">
      <c r="B840" t="s">
        <v>563</v>
      </c>
      <c r="C840">
        <v>45926</v>
      </c>
      <c r="F840" t="s">
        <v>752</v>
      </c>
      <c r="H840">
        <v>178.24</v>
      </c>
      <c r="O840" t="s">
        <v>239</v>
      </c>
      <c r="P840" t="s">
        <v>514</v>
      </c>
      <c r="Y840">
        <v>806</v>
      </c>
      <c r="Z840" s="259" t="s">
        <v>630</v>
      </c>
      <c r="AA840">
        <v>30</v>
      </c>
      <c r="AB840">
        <v>6006</v>
      </c>
      <c r="AC840">
        <v>45926</v>
      </c>
      <c r="AD840">
        <v>0</v>
      </c>
      <c r="AE840">
        <v>5347.2000000000007</v>
      </c>
      <c r="AF840">
        <v>5347.2000000000007</v>
      </c>
      <c r="AG840">
        <v>0</v>
      </c>
      <c r="AH840">
        <v>-658.79999999999927</v>
      </c>
    </row>
    <row r="841" spans="2:34" x14ac:dyDescent="0.35">
      <c r="B841" t="s">
        <v>563</v>
      </c>
      <c r="C841">
        <v>45926</v>
      </c>
      <c r="F841" t="s">
        <v>754</v>
      </c>
      <c r="H841">
        <v>82.55</v>
      </c>
      <c r="O841" t="s">
        <v>239</v>
      </c>
      <c r="P841" t="s">
        <v>514</v>
      </c>
      <c r="Y841">
        <v>807</v>
      </c>
      <c r="Z841" s="259" t="s">
        <v>630</v>
      </c>
      <c r="AA841">
        <v>100</v>
      </c>
      <c r="AB841">
        <v>8008</v>
      </c>
      <c r="AC841">
        <v>45926</v>
      </c>
      <c r="AD841">
        <v>0</v>
      </c>
      <c r="AE841">
        <v>8255</v>
      </c>
      <c r="AF841">
        <v>8255</v>
      </c>
      <c r="AG841">
        <v>0</v>
      </c>
      <c r="AH841">
        <v>247</v>
      </c>
    </row>
    <row r="842" spans="2:34" x14ac:dyDescent="0.35">
      <c r="B842" t="s">
        <v>563</v>
      </c>
      <c r="C842">
        <v>45927</v>
      </c>
      <c r="F842" t="s">
        <v>749</v>
      </c>
      <c r="H842">
        <v>53.31</v>
      </c>
      <c r="O842" t="s">
        <v>239</v>
      </c>
      <c r="P842" t="s">
        <v>514</v>
      </c>
      <c r="Y842">
        <v>808</v>
      </c>
      <c r="Z842" s="259" t="s">
        <v>630</v>
      </c>
      <c r="AA842">
        <v>220</v>
      </c>
      <c r="AB842">
        <v>10937.666666666666</v>
      </c>
      <c r="AC842">
        <v>45926</v>
      </c>
      <c r="AD842">
        <v>1</v>
      </c>
      <c r="AE842">
        <v>11728.2</v>
      </c>
      <c r="AF842">
        <v>11728.2</v>
      </c>
      <c r="AG842">
        <v>0</v>
      </c>
      <c r="AH842">
        <v>790.53333333333467</v>
      </c>
    </row>
    <row r="843" spans="2:34" x14ac:dyDescent="0.35">
      <c r="B843" t="s">
        <v>563</v>
      </c>
      <c r="C843">
        <v>45927</v>
      </c>
      <c r="F843" t="s">
        <v>752</v>
      </c>
      <c r="H843">
        <v>178.24</v>
      </c>
      <c r="O843" t="s">
        <v>239</v>
      </c>
      <c r="P843" t="s">
        <v>514</v>
      </c>
      <c r="Y843">
        <v>809</v>
      </c>
      <c r="Z843" s="259" t="s">
        <v>630</v>
      </c>
      <c r="AA843">
        <v>30</v>
      </c>
      <c r="AB843">
        <v>6006</v>
      </c>
      <c r="AC843">
        <v>45926</v>
      </c>
      <c r="AD843">
        <v>1</v>
      </c>
      <c r="AE843">
        <v>5347.2000000000007</v>
      </c>
      <c r="AF843">
        <v>5347.2000000000007</v>
      </c>
      <c r="AG843">
        <v>0</v>
      </c>
      <c r="AH843">
        <v>-658.79999999999927</v>
      </c>
    </row>
    <row r="844" spans="2:34" x14ac:dyDescent="0.35">
      <c r="B844" t="s">
        <v>563</v>
      </c>
      <c r="C844">
        <v>45927</v>
      </c>
      <c r="F844" t="s">
        <v>754</v>
      </c>
      <c r="H844">
        <v>82.55</v>
      </c>
      <c r="O844" t="s">
        <v>239</v>
      </c>
      <c r="P844" t="s">
        <v>514</v>
      </c>
      <c r="Y844">
        <v>810</v>
      </c>
      <c r="Z844" s="259" t="s">
        <v>630</v>
      </c>
      <c r="AA844">
        <v>100</v>
      </c>
      <c r="AB844">
        <v>8008</v>
      </c>
      <c r="AC844">
        <v>45926</v>
      </c>
      <c r="AD844">
        <v>1</v>
      </c>
      <c r="AE844">
        <v>8255</v>
      </c>
      <c r="AF844">
        <v>8255</v>
      </c>
      <c r="AG844">
        <v>0</v>
      </c>
      <c r="AH844">
        <v>247</v>
      </c>
    </row>
    <row r="845" spans="2:34" x14ac:dyDescent="0.35">
      <c r="B845" t="s">
        <v>563</v>
      </c>
      <c r="C845">
        <v>45928</v>
      </c>
      <c r="F845" t="s">
        <v>749</v>
      </c>
      <c r="H845">
        <v>53.31</v>
      </c>
      <c r="O845" t="s">
        <v>239</v>
      </c>
      <c r="P845" t="s">
        <v>514</v>
      </c>
      <c r="Y845">
        <v>811</v>
      </c>
      <c r="Z845" s="259" t="s">
        <v>630</v>
      </c>
      <c r="AA845">
        <v>220</v>
      </c>
      <c r="AB845">
        <v>10937.666666666666</v>
      </c>
      <c r="AC845">
        <v>45926</v>
      </c>
      <c r="AD845">
        <v>2</v>
      </c>
      <c r="AE845">
        <v>11728.2</v>
      </c>
      <c r="AF845">
        <v>11728.2</v>
      </c>
      <c r="AG845">
        <v>0</v>
      </c>
      <c r="AH845">
        <v>790.53333333333467</v>
      </c>
    </row>
    <row r="846" spans="2:34" x14ac:dyDescent="0.35">
      <c r="B846" t="s">
        <v>563</v>
      </c>
      <c r="C846">
        <v>45928</v>
      </c>
      <c r="F846" t="s">
        <v>752</v>
      </c>
      <c r="H846">
        <v>178.24</v>
      </c>
      <c r="O846" t="s">
        <v>239</v>
      </c>
      <c r="P846" t="s">
        <v>514</v>
      </c>
      <c r="Y846">
        <v>812</v>
      </c>
      <c r="Z846" s="259" t="s">
        <v>630</v>
      </c>
      <c r="AA846">
        <v>30</v>
      </c>
      <c r="AB846">
        <v>6006</v>
      </c>
      <c r="AC846">
        <v>45926</v>
      </c>
      <c r="AD846">
        <v>2</v>
      </c>
      <c r="AE846">
        <v>5347.2000000000007</v>
      </c>
      <c r="AF846">
        <v>5347.2000000000007</v>
      </c>
      <c r="AG846">
        <v>0</v>
      </c>
      <c r="AH846">
        <v>-658.79999999999927</v>
      </c>
    </row>
    <row r="847" spans="2:34" x14ac:dyDescent="0.35">
      <c r="B847" t="s">
        <v>563</v>
      </c>
      <c r="C847">
        <v>45928</v>
      </c>
      <c r="F847" t="s">
        <v>754</v>
      </c>
      <c r="H847">
        <v>82.55</v>
      </c>
      <c r="O847" t="s">
        <v>239</v>
      </c>
      <c r="P847" t="s">
        <v>514</v>
      </c>
      <c r="Y847">
        <v>813</v>
      </c>
      <c r="Z847" s="259" t="s">
        <v>630</v>
      </c>
      <c r="AA847">
        <v>100</v>
      </c>
      <c r="AB847">
        <v>8008</v>
      </c>
      <c r="AC847">
        <v>45926</v>
      </c>
      <c r="AD847">
        <v>2</v>
      </c>
      <c r="AE847">
        <v>8255</v>
      </c>
      <c r="AF847">
        <v>8255</v>
      </c>
      <c r="AG847">
        <v>0</v>
      </c>
      <c r="AH847">
        <v>247</v>
      </c>
    </row>
    <row r="848" spans="2:34" x14ac:dyDescent="0.35">
      <c r="B848" t="s">
        <v>563</v>
      </c>
      <c r="C848">
        <v>45929</v>
      </c>
      <c r="F848" t="s">
        <v>749</v>
      </c>
      <c r="H848">
        <v>53.83</v>
      </c>
      <c r="O848" t="s">
        <v>239</v>
      </c>
      <c r="P848" t="s">
        <v>514</v>
      </c>
      <c r="Y848">
        <v>814</v>
      </c>
      <c r="Z848" s="259" t="s">
        <v>630</v>
      </c>
      <c r="AA848">
        <v>220</v>
      </c>
      <c r="AB848">
        <v>10937.666666666666</v>
      </c>
      <c r="AC848">
        <v>45929</v>
      </c>
      <c r="AD848">
        <v>0</v>
      </c>
      <c r="AE848">
        <v>11842.6</v>
      </c>
      <c r="AF848">
        <v>11842.6</v>
      </c>
      <c r="AG848">
        <v>0</v>
      </c>
      <c r="AH848">
        <v>904.9333333333343</v>
      </c>
    </row>
    <row r="849" spans="2:34" x14ac:dyDescent="0.35">
      <c r="B849" t="s">
        <v>563</v>
      </c>
      <c r="C849">
        <v>45929</v>
      </c>
      <c r="F849" t="s">
        <v>752</v>
      </c>
      <c r="H849">
        <v>177.31</v>
      </c>
      <c r="O849" t="s">
        <v>239</v>
      </c>
      <c r="P849" t="s">
        <v>514</v>
      </c>
      <c r="Y849">
        <v>815</v>
      </c>
      <c r="Z849" s="259" t="s">
        <v>630</v>
      </c>
      <c r="AA849">
        <v>30</v>
      </c>
      <c r="AB849">
        <v>6006</v>
      </c>
      <c r="AC849">
        <v>45929</v>
      </c>
      <c r="AD849">
        <v>0</v>
      </c>
      <c r="AE849">
        <v>5319.3</v>
      </c>
      <c r="AF849">
        <v>5319.3</v>
      </c>
      <c r="AG849">
        <v>0</v>
      </c>
      <c r="AH849">
        <v>-686.69999999999982</v>
      </c>
    </row>
    <row r="850" spans="2:34" x14ac:dyDescent="0.35">
      <c r="B850" t="s">
        <v>563</v>
      </c>
      <c r="C850">
        <v>45929</v>
      </c>
      <c r="F850" t="s">
        <v>754</v>
      </c>
      <c r="H850">
        <v>82.14</v>
      </c>
      <c r="O850" t="s">
        <v>239</v>
      </c>
      <c r="P850" t="s">
        <v>514</v>
      </c>
      <c r="Y850">
        <v>816</v>
      </c>
      <c r="Z850" s="259" t="s">
        <v>630</v>
      </c>
      <c r="AA850">
        <v>100</v>
      </c>
      <c r="AB850">
        <v>8008</v>
      </c>
      <c r="AC850">
        <v>45929</v>
      </c>
      <c r="AD850">
        <v>0</v>
      </c>
      <c r="AE850">
        <v>8214</v>
      </c>
      <c r="AF850">
        <v>8214</v>
      </c>
      <c r="AG850">
        <v>0</v>
      </c>
      <c r="AH850">
        <v>206</v>
      </c>
    </row>
    <row r="851" spans="2:34" x14ac:dyDescent="0.35">
      <c r="B851" t="s">
        <v>563</v>
      </c>
      <c r="C851">
        <v>45930</v>
      </c>
      <c r="F851" t="s">
        <v>749</v>
      </c>
      <c r="H851">
        <v>54</v>
      </c>
      <c r="O851" t="s">
        <v>239</v>
      </c>
      <c r="P851" t="s">
        <v>514</v>
      </c>
      <c r="Y851">
        <v>817</v>
      </c>
      <c r="Z851" s="259" t="s">
        <v>630</v>
      </c>
      <c r="AA851">
        <v>220</v>
      </c>
      <c r="AB851">
        <v>10937.666666666666</v>
      </c>
      <c r="AC851">
        <v>45930</v>
      </c>
      <c r="AD851">
        <v>0</v>
      </c>
      <c r="AE851">
        <v>11880</v>
      </c>
      <c r="AF851">
        <v>11880</v>
      </c>
      <c r="AG851">
        <v>0</v>
      </c>
      <c r="AH851">
        <v>942.33333333333394</v>
      </c>
    </row>
    <row r="852" spans="2:34" x14ac:dyDescent="0.35">
      <c r="B852" t="s">
        <v>563</v>
      </c>
      <c r="C852">
        <v>45930</v>
      </c>
      <c r="F852" t="s">
        <v>752</v>
      </c>
      <c r="H852">
        <v>177</v>
      </c>
      <c r="O852" t="s">
        <v>239</v>
      </c>
      <c r="P852" t="s">
        <v>514</v>
      </c>
      <c r="Y852">
        <v>818</v>
      </c>
      <c r="Z852" s="259" t="s">
        <v>630</v>
      </c>
      <c r="AA852">
        <v>30</v>
      </c>
      <c r="AB852">
        <v>6006</v>
      </c>
      <c r="AC852">
        <v>45930</v>
      </c>
      <c r="AD852">
        <v>0</v>
      </c>
      <c r="AE852">
        <v>5310</v>
      </c>
      <c r="AF852">
        <v>5310</v>
      </c>
      <c r="AG852">
        <v>0</v>
      </c>
      <c r="AH852">
        <v>-696</v>
      </c>
    </row>
    <row r="853" spans="2:34" x14ac:dyDescent="0.35">
      <c r="B853" t="s">
        <v>563</v>
      </c>
      <c r="C853">
        <v>45930</v>
      </c>
      <c r="F853" t="s">
        <v>754</v>
      </c>
      <c r="H853">
        <v>82</v>
      </c>
      <c r="O853" t="s">
        <v>239</v>
      </c>
      <c r="P853" t="s">
        <v>514</v>
      </c>
      <c r="Y853">
        <v>819</v>
      </c>
      <c r="Z853" s="259" t="s">
        <v>630</v>
      </c>
      <c r="AA853">
        <v>100</v>
      </c>
      <c r="AB853">
        <v>8008</v>
      </c>
      <c r="AC853">
        <v>45930</v>
      </c>
      <c r="AD853">
        <v>0</v>
      </c>
      <c r="AE853">
        <v>8200</v>
      </c>
      <c r="AF853">
        <v>8200</v>
      </c>
      <c r="AG853">
        <v>0</v>
      </c>
      <c r="AH853">
        <v>192</v>
      </c>
    </row>
    <row r="854" spans="2:34" x14ac:dyDescent="0.35">
      <c r="B854" t="s">
        <v>563</v>
      </c>
      <c r="C854">
        <v>45931</v>
      </c>
      <c r="F854" t="s">
        <v>749</v>
      </c>
      <c r="H854">
        <v>54</v>
      </c>
      <c r="O854" t="s">
        <v>239</v>
      </c>
      <c r="P854" t="s">
        <v>514</v>
      </c>
      <c r="Y854">
        <v>820</v>
      </c>
      <c r="Z854" s="259" t="s">
        <v>630</v>
      </c>
      <c r="AA854">
        <v>220</v>
      </c>
      <c r="AB854">
        <v>10937.666666666666</v>
      </c>
      <c r="AC854">
        <v>45931</v>
      </c>
      <c r="AD854">
        <v>0</v>
      </c>
      <c r="AE854">
        <v>11880</v>
      </c>
      <c r="AF854">
        <v>11880</v>
      </c>
      <c r="AG854">
        <v>0</v>
      </c>
      <c r="AH854">
        <v>942.33333333333394</v>
      </c>
    </row>
    <row r="855" spans="2:34" x14ac:dyDescent="0.35">
      <c r="B855" t="s">
        <v>563</v>
      </c>
      <c r="C855">
        <v>45931</v>
      </c>
      <c r="F855" t="s">
        <v>752</v>
      </c>
      <c r="H855">
        <v>177</v>
      </c>
      <c r="O855" t="s">
        <v>239</v>
      </c>
      <c r="P855" t="s">
        <v>514</v>
      </c>
      <c r="Y855">
        <v>821</v>
      </c>
      <c r="Z855" s="259" t="s">
        <v>630</v>
      </c>
      <c r="AA855">
        <v>30</v>
      </c>
      <c r="AB855">
        <v>6006</v>
      </c>
      <c r="AC855">
        <v>45931</v>
      </c>
      <c r="AD855">
        <v>0</v>
      </c>
      <c r="AE855">
        <v>5310</v>
      </c>
      <c r="AF855">
        <v>5310</v>
      </c>
      <c r="AG855">
        <v>0</v>
      </c>
      <c r="AH855">
        <v>-696</v>
      </c>
    </row>
    <row r="856" spans="2:34" x14ac:dyDescent="0.35">
      <c r="B856" t="s">
        <v>563</v>
      </c>
      <c r="C856">
        <v>45931</v>
      </c>
      <c r="F856" t="s">
        <v>754</v>
      </c>
      <c r="H856">
        <v>82</v>
      </c>
      <c r="O856" t="s">
        <v>239</v>
      </c>
      <c r="P856" t="s">
        <v>514</v>
      </c>
      <c r="Y856">
        <v>822</v>
      </c>
      <c r="Z856" s="259" t="s">
        <v>630</v>
      </c>
      <c r="AA856">
        <v>100</v>
      </c>
      <c r="AB856">
        <v>8008</v>
      </c>
      <c r="AC856">
        <v>45931</v>
      </c>
      <c r="AD856">
        <v>0</v>
      </c>
      <c r="AE856">
        <v>8200</v>
      </c>
      <c r="AF856">
        <v>8200</v>
      </c>
      <c r="AG856">
        <v>0</v>
      </c>
      <c r="AH856">
        <v>192</v>
      </c>
    </row>
    <row r="857" spans="2:34" x14ac:dyDescent="0.35">
      <c r="B857" t="s">
        <v>563</v>
      </c>
      <c r="C857">
        <v>45932</v>
      </c>
      <c r="F857" t="s">
        <v>749</v>
      </c>
      <c r="H857">
        <v>53.9</v>
      </c>
      <c r="O857" t="s">
        <v>239</v>
      </c>
      <c r="P857" t="s">
        <v>514</v>
      </c>
      <c r="Y857">
        <v>823</v>
      </c>
      <c r="Z857" s="259" t="s">
        <v>630</v>
      </c>
      <c r="AA857">
        <v>220</v>
      </c>
      <c r="AB857">
        <v>10937.666666666666</v>
      </c>
      <c r="AC857">
        <v>45932</v>
      </c>
      <c r="AD857">
        <v>0</v>
      </c>
      <c r="AE857">
        <v>11858</v>
      </c>
      <c r="AF857">
        <v>11858</v>
      </c>
      <c r="AG857">
        <v>0</v>
      </c>
      <c r="AH857">
        <v>920.33333333333394</v>
      </c>
    </row>
    <row r="858" spans="2:34" x14ac:dyDescent="0.35">
      <c r="B858" t="s">
        <v>563</v>
      </c>
      <c r="C858">
        <v>45932</v>
      </c>
      <c r="F858" t="s">
        <v>752</v>
      </c>
      <c r="H858">
        <v>177.13</v>
      </c>
      <c r="O858" t="s">
        <v>239</v>
      </c>
      <c r="P858" t="s">
        <v>514</v>
      </c>
      <c r="Y858">
        <v>824</v>
      </c>
      <c r="Z858" s="259" t="s">
        <v>630</v>
      </c>
      <c r="AA858">
        <v>30</v>
      </c>
      <c r="AB858">
        <v>6006</v>
      </c>
      <c r="AC858">
        <v>45932</v>
      </c>
      <c r="AD858">
        <v>0</v>
      </c>
      <c r="AE858">
        <v>5313.9</v>
      </c>
      <c r="AF858">
        <v>5313.9</v>
      </c>
      <c r="AG858">
        <v>0</v>
      </c>
      <c r="AH858">
        <v>-692.10000000000036</v>
      </c>
    </row>
    <row r="859" spans="2:34" x14ac:dyDescent="0.35">
      <c r="B859" t="s">
        <v>563</v>
      </c>
      <c r="C859">
        <v>45932</v>
      </c>
      <c r="F859" t="s">
        <v>754</v>
      </c>
      <c r="H859">
        <v>81.83</v>
      </c>
      <c r="O859" t="s">
        <v>239</v>
      </c>
      <c r="P859" t="s">
        <v>514</v>
      </c>
      <c r="Y859">
        <v>825</v>
      </c>
      <c r="Z859" s="259" t="s">
        <v>630</v>
      </c>
      <c r="AA859">
        <v>100</v>
      </c>
      <c r="AB859">
        <v>8008</v>
      </c>
      <c r="AC859">
        <v>45932</v>
      </c>
      <c r="AD859">
        <v>0</v>
      </c>
      <c r="AE859">
        <v>8183</v>
      </c>
      <c r="AF859">
        <v>8183</v>
      </c>
      <c r="AG859">
        <v>0</v>
      </c>
      <c r="AH859">
        <v>175</v>
      </c>
    </row>
    <row r="860" spans="2:34" x14ac:dyDescent="0.35">
      <c r="B860" t="s">
        <v>563</v>
      </c>
      <c r="C860">
        <v>45933</v>
      </c>
      <c r="F860" t="s">
        <v>749</v>
      </c>
      <c r="H860">
        <v>53.8</v>
      </c>
      <c r="O860" t="s">
        <v>239</v>
      </c>
      <c r="P860" t="s">
        <v>514</v>
      </c>
      <c r="Y860">
        <v>826</v>
      </c>
      <c r="Z860" s="259" t="s">
        <v>630</v>
      </c>
      <c r="AA860">
        <v>220</v>
      </c>
      <c r="AB860">
        <v>10937.666666666666</v>
      </c>
      <c r="AC860">
        <v>45933</v>
      </c>
      <c r="AD860">
        <v>0</v>
      </c>
      <c r="AE860">
        <v>11836</v>
      </c>
      <c r="AF860">
        <v>11836</v>
      </c>
      <c r="AG860">
        <v>0</v>
      </c>
      <c r="AH860">
        <v>898.33333333333394</v>
      </c>
    </row>
    <row r="861" spans="2:34" x14ac:dyDescent="0.35">
      <c r="B861" t="s">
        <v>563</v>
      </c>
      <c r="C861">
        <v>45933</v>
      </c>
      <c r="F861" t="s">
        <v>752</v>
      </c>
      <c r="H861">
        <v>177.27</v>
      </c>
      <c r="O861" t="s">
        <v>239</v>
      </c>
      <c r="P861" t="s">
        <v>514</v>
      </c>
      <c r="Y861">
        <v>827</v>
      </c>
      <c r="Z861" s="259" t="s">
        <v>630</v>
      </c>
      <c r="AA861">
        <v>30</v>
      </c>
      <c r="AB861">
        <v>6006</v>
      </c>
      <c r="AC861">
        <v>45933</v>
      </c>
      <c r="AD861">
        <v>0</v>
      </c>
      <c r="AE861">
        <v>5318.1</v>
      </c>
      <c r="AF861">
        <v>5318.1</v>
      </c>
      <c r="AG861">
        <v>0</v>
      </c>
      <c r="AH861">
        <v>-687.89999999999964</v>
      </c>
    </row>
    <row r="862" spans="2:34" x14ac:dyDescent="0.35">
      <c r="B862" t="s">
        <v>563</v>
      </c>
      <c r="C862">
        <v>45933</v>
      </c>
      <c r="F862" t="s">
        <v>754</v>
      </c>
      <c r="H862">
        <v>81.67</v>
      </c>
      <c r="O862" t="s">
        <v>239</v>
      </c>
      <c r="P862" t="s">
        <v>514</v>
      </c>
      <c r="Y862">
        <v>828</v>
      </c>
      <c r="Z862" s="259" t="s">
        <v>630</v>
      </c>
      <c r="AA862">
        <v>100</v>
      </c>
      <c r="AB862">
        <v>8008</v>
      </c>
      <c r="AC862">
        <v>45933</v>
      </c>
      <c r="AD862">
        <v>0</v>
      </c>
      <c r="AE862">
        <v>8167</v>
      </c>
      <c r="AF862">
        <v>8167</v>
      </c>
      <c r="AG862">
        <v>0</v>
      </c>
      <c r="AH862">
        <v>159</v>
      </c>
    </row>
    <row r="863" spans="2:34" x14ac:dyDescent="0.35">
      <c r="B863" t="s">
        <v>563</v>
      </c>
      <c r="C863">
        <v>45934</v>
      </c>
      <c r="F863" t="s">
        <v>749</v>
      </c>
      <c r="H863">
        <v>53.8</v>
      </c>
      <c r="O863" t="s">
        <v>239</v>
      </c>
      <c r="P863" t="s">
        <v>514</v>
      </c>
      <c r="Y863">
        <v>829</v>
      </c>
      <c r="Z863" s="259" t="s">
        <v>630</v>
      </c>
      <c r="AA863">
        <v>220</v>
      </c>
      <c r="AB863">
        <v>10937.666666666666</v>
      </c>
      <c r="AC863">
        <v>45933</v>
      </c>
      <c r="AD863">
        <v>1</v>
      </c>
      <c r="AE863">
        <v>11836</v>
      </c>
      <c r="AF863">
        <v>11836</v>
      </c>
      <c r="AG863">
        <v>0</v>
      </c>
      <c r="AH863">
        <v>898.33333333333394</v>
      </c>
    </row>
    <row r="864" spans="2:34" x14ac:dyDescent="0.35">
      <c r="B864" t="s">
        <v>563</v>
      </c>
      <c r="C864">
        <v>45934</v>
      </c>
      <c r="F864" t="s">
        <v>752</v>
      </c>
      <c r="H864">
        <v>177.27</v>
      </c>
      <c r="O864" t="s">
        <v>239</v>
      </c>
      <c r="P864" t="s">
        <v>514</v>
      </c>
      <c r="Y864">
        <v>830</v>
      </c>
      <c r="Z864" s="259" t="s">
        <v>630</v>
      </c>
      <c r="AA864">
        <v>30</v>
      </c>
      <c r="AB864">
        <v>6006</v>
      </c>
      <c r="AC864">
        <v>45933</v>
      </c>
      <c r="AD864">
        <v>1</v>
      </c>
      <c r="AE864">
        <v>5318.1</v>
      </c>
      <c r="AF864">
        <v>5318.1</v>
      </c>
      <c r="AG864">
        <v>0</v>
      </c>
      <c r="AH864">
        <v>-687.89999999999964</v>
      </c>
    </row>
    <row r="865" spans="2:34" x14ac:dyDescent="0.35">
      <c r="B865" t="s">
        <v>563</v>
      </c>
      <c r="C865">
        <v>45934</v>
      </c>
      <c r="F865" t="s">
        <v>754</v>
      </c>
      <c r="H865">
        <v>81.67</v>
      </c>
      <c r="O865" t="s">
        <v>239</v>
      </c>
      <c r="P865" t="s">
        <v>514</v>
      </c>
      <c r="Y865">
        <v>831</v>
      </c>
      <c r="Z865" s="259" t="s">
        <v>630</v>
      </c>
      <c r="AA865">
        <v>100</v>
      </c>
      <c r="AB865">
        <v>8008</v>
      </c>
      <c r="AC865">
        <v>45933</v>
      </c>
      <c r="AD865">
        <v>1</v>
      </c>
      <c r="AE865">
        <v>8167</v>
      </c>
      <c r="AF865">
        <v>8167</v>
      </c>
      <c r="AG865">
        <v>0</v>
      </c>
      <c r="AH865">
        <v>159</v>
      </c>
    </row>
    <row r="866" spans="2:34" x14ac:dyDescent="0.35">
      <c r="B866" t="s">
        <v>563</v>
      </c>
      <c r="C866">
        <v>45935</v>
      </c>
      <c r="F866" t="s">
        <v>749</v>
      </c>
      <c r="H866">
        <v>53.8</v>
      </c>
      <c r="O866" t="s">
        <v>239</v>
      </c>
      <c r="P866" t="s">
        <v>514</v>
      </c>
      <c r="Y866">
        <v>832</v>
      </c>
      <c r="Z866" s="259" t="s">
        <v>630</v>
      </c>
      <c r="AA866">
        <v>220</v>
      </c>
      <c r="AB866">
        <v>10937.666666666666</v>
      </c>
      <c r="AC866">
        <v>45933</v>
      </c>
      <c r="AD866">
        <v>2</v>
      </c>
      <c r="AE866">
        <v>11836</v>
      </c>
      <c r="AF866">
        <v>11836</v>
      </c>
      <c r="AG866">
        <v>0</v>
      </c>
      <c r="AH866">
        <v>898.33333333333394</v>
      </c>
    </row>
    <row r="867" spans="2:34" x14ac:dyDescent="0.35">
      <c r="B867" t="s">
        <v>563</v>
      </c>
      <c r="C867">
        <v>45935</v>
      </c>
      <c r="F867" t="s">
        <v>752</v>
      </c>
      <c r="H867">
        <v>177.27</v>
      </c>
      <c r="O867" t="s">
        <v>239</v>
      </c>
      <c r="P867" t="s">
        <v>514</v>
      </c>
      <c r="Y867">
        <v>833</v>
      </c>
      <c r="Z867" s="259" t="s">
        <v>630</v>
      </c>
      <c r="AA867">
        <v>30</v>
      </c>
      <c r="AB867">
        <v>6006</v>
      </c>
      <c r="AC867">
        <v>45933</v>
      </c>
      <c r="AD867">
        <v>2</v>
      </c>
      <c r="AE867">
        <v>5318.1</v>
      </c>
      <c r="AF867">
        <v>5318.1</v>
      </c>
      <c r="AG867">
        <v>0</v>
      </c>
      <c r="AH867">
        <v>-687.89999999999964</v>
      </c>
    </row>
    <row r="868" spans="2:34" x14ac:dyDescent="0.35">
      <c r="B868" t="s">
        <v>563</v>
      </c>
      <c r="C868">
        <v>45935</v>
      </c>
      <c r="F868" t="s">
        <v>754</v>
      </c>
      <c r="H868">
        <v>81.67</v>
      </c>
      <c r="O868" t="s">
        <v>239</v>
      </c>
      <c r="P868" t="s">
        <v>514</v>
      </c>
      <c r="Y868">
        <v>834</v>
      </c>
      <c r="Z868" s="259" t="s">
        <v>630</v>
      </c>
      <c r="AA868">
        <v>100</v>
      </c>
      <c r="AB868">
        <v>8008</v>
      </c>
      <c r="AC868">
        <v>45933</v>
      </c>
      <c r="AD868">
        <v>2</v>
      </c>
      <c r="AE868">
        <v>8167</v>
      </c>
      <c r="AF868">
        <v>8167</v>
      </c>
      <c r="AG868">
        <v>0</v>
      </c>
      <c r="AH868">
        <v>159</v>
      </c>
    </row>
    <row r="869" spans="2:34" x14ac:dyDescent="0.35">
      <c r="B869" t="s">
        <v>563</v>
      </c>
      <c r="C869">
        <v>45936</v>
      </c>
      <c r="F869" t="s">
        <v>749</v>
      </c>
      <c r="H869">
        <v>53.5</v>
      </c>
      <c r="O869" t="s">
        <v>239</v>
      </c>
      <c r="P869" t="s">
        <v>514</v>
      </c>
      <c r="Y869">
        <v>835</v>
      </c>
      <c r="Z869" s="259" t="s">
        <v>630</v>
      </c>
      <c r="AA869">
        <v>220</v>
      </c>
      <c r="AB869">
        <v>10937.666666666666</v>
      </c>
      <c r="AC869">
        <v>45936</v>
      </c>
      <c r="AD869">
        <v>0</v>
      </c>
      <c r="AE869">
        <v>11770</v>
      </c>
      <c r="AF869">
        <v>11770</v>
      </c>
      <c r="AG869">
        <v>0</v>
      </c>
      <c r="AH869">
        <v>832.33333333333394</v>
      </c>
    </row>
    <row r="870" spans="2:34" x14ac:dyDescent="0.35">
      <c r="B870" t="s">
        <v>563</v>
      </c>
      <c r="C870">
        <v>45936</v>
      </c>
      <c r="F870" t="s">
        <v>752</v>
      </c>
      <c r="H870">
        <v>177.67</v>
      </c>
      <c r="O870" t="s">
        <v>239</v>
      </c>
      <c r="P870" t="s">
        <v>514</v>
      </c>
      <c r="Y870">
        <v>836</v>
      </c>
      <c r="Z870" s="259" t="s">
        <v>630</v>
      </c>
      <c r="AA870">
        <v>30</v>
      </c>
      <c r="AB870">
        <v>6006</v>
      </c>
      <c r="AC870">
        <v>45936</v>
      </c>
      <c r="AD870">
        <v>0</v>
      </c>
      <c r="AE870">
        <v>5330.0999999999995</v>
      </c>
      <c r="AF870">
        <v>5330.0999999999995</v>
      </c>
      <c r="AG870">
        <v>0</v>
      </c>
      <c r="AH870">
        <v>-675.90000000000055</v>
      </c>
    </row>
    <row r="871" spans="2:34" x14ac:dyDescent="0.35">
      <c r="B871" t="s">
        <v>563</v>
      </c>
      <c r="C871">
        <v>45936</v>
      </c>
      <c r="F871" t="s">
        <v>754</v>
      </c>
      <c r="H871">
        <v>81.17</v>
      </c>
      <c r="O871" t="s">
        <v>239</v>
      </c>
      <c r="P871" t="s">
        <v>514</v>
      </c>
      <c r="Y871">
        <v>837</v>
      </c>
      <c r="Z871" s="259" t="s">
        <v>630</v>
      </c>
      <c r="AA871">
        <v>100</v>
      </c>
      <c r="AB871">
        <v>8008</v>
      </c>
      <c r="AC871">
        <v>45936</v>
      </c>
      <c r="AD871">
        <v>0</v>
      </c>
      <c r="AE871">
        <v>8117</v>
      </c>
      <c r="AF871">
        <v>8117</v>
      </c>
      <c r="AG871">
        <v>0</v>
      </c>
      <c r="AH871">
        <v>109</v>
      </c>
    </row>
    <row r="872" spans="2:34" x14ac:dyDescent="0.35">
      <c r="B872" t="s">
        <v>563</v>
      </c>
      <c r="C872">
        <v>45937</v>
      </c>
      <c r="F872" t="s">
        <v>749</v>
      </c>
      <c r="H872">
        <v>53.4</v>
      </c>
      <c r="O872" t="s">
        <v>239</v>
      </c>
      <c r="P872" t="s">
        <v>514</v>
      </c>
      <c r="Y872">
        <v>838</v>
      </c>
      <c r="Z872" s="259" t="s">
        <v>630</v>
      </c>
      <c r="AA872">
        <v>220</v>
      </c>
      <c r="AB872">
        <v>10937.666666666666</v>
      </c>
      <c r="AC872">
        <v>45937</v>
      </c>
      <c r="AD872">
        <v>0</v>
      </c>
      <c r="AE872">
        <v>11748</v>
      </c>
      <c r="AF872">
        <v>11748</v>
      </c>
      <c r="AG872">
        <v>0</v>
      </c>
      <c r="AH872">
        <v>810.33333333333394</v>
      </c>
    </row>
    <row r="873" spans="2:34" x14ac:dyDescent="0.35">
      <c r="B873" t="s">
        <v>563</v>
      </c>
      <c r="C873">
        <v>45937</v>
      </c>
      <c r="F873" t="s">
        <v>752</v>
      </c>
      <c r="H873">
        <v>177.8</v>
      </c>
      <c r="O873" t="s">
        <v>239</v>
      </c>
      <c r="P873" t="s">
        <v>514</v>
      </c>
      <c r="Y873">
        <v>839</v>
      </c>
      <c r="Z873" s="259" t="s">
        <v>630</v>
      </c>
      <c r="AA873">
        <v>30</v>
      </c>
      <c r="AB873">
        <v>6006</v>
      </c>
      <c r="AC873">
        <v>45937</v>
      </c>
      <c r="AD873">
        <v>0</v>
      </c>
      <c r="AE873">
        <v>5334</v>
      </c>
      <c r="AF873">
        <v>5334</v>
      </c>
      <c r="AG873">
        <v>0</v>
      </c>
      <c r="AH873">
        <v>-672</v>
      </c>
    </row>
    <row r="874" spans="2:34" x14ac:dyDescent="0.35">
      <c r="B874" t="s">
        <v>563</v>
      </c>
      <c r="C874">
        <v>45937</v>
      </c>
      <c r="F874" t="s">
        <v>754</v>
      </c>
      <c r="H874">
        <v>81</v>
      </c>
      <c r="O874" t="s">
        <v>239</v>
      </c>
      <c r="P874" t="s">
        <v>514</v>
      </c>
      <c r="Y874">
        <v>840</v>
      </c>
      <c r="Z874" s="259" t="s">
        <v>630</v>
      </c>
      <c r="AA874">
        <v>100</v>
      </c>
      <c r="AB874">
        <v>8008</v>
      </c>
      <c r="AC874">
        <v>45937</v>
      </c>
      <c r="AD874">
        <v>0</v>
      </c>
      <c r="AE874">
        <v>8100</v>
      </c>
      <c r="AF874">
        <v>8100</v>
      </c>
      <c r="AG874">
        <v>0</v>
      </c>
      <c r="AH874">
        <v>92</v>
      </c>
    </row>
    <row r="875" spans="2:34" x14ac:dyDescent="0.35">
      <c r="B875" t="s">
        <v>563</v>
      </c>
      <c r="C875">
        <v>45938</v>
      </c>
      <c r="F875" t="s">
        <v>749</v>
      </c>
      <c r="H875">
        <v>53.3</v>
      </c>
      <c r="O875" t="s">
        <v>239</v>
      </c>
      <c r="P875" t="s">
        <v>514</v>
      </c>
      <c r="Y875">
        <v>841</v>
      </c>
      <c r="Z875" s="259" t="s">
        <v>630</v>
      </c>
      <c r="AA875">
        <v>220</v>
      </c>
      <c r="AB875">
        <v>10937.666666666666</v>
      </c>
      <c r="AC875">
        <v>45938</v>
      </c>
      <c r="AD875">
        <v>0</v>
      </c>
      <c r="AE875">
        <v>11726</v>
      </c>
      <c r="AF875">
        <v>11726</v>
      </c>
      <c r="AG875">
        <v>0</v>
      </c>
      <c r="AH875">
        <v>788.33333333333394</v>
      </c>
    </row>
    <row r="876" spans="2:34" x14ac:dyDescent="0.35">
      <c r="B876" t="s">
        <v>563</v>
      </c>
      <c r="C876">
        <v>45938</v>
      </c>
      <c r="F876" t="s">
        <v>752</v>
      </c>
      <c r="H876">
        <v>177.93</v>
      </c>
      <c r="O876" t="s">
        <v>239</v>
      </c>
      <c r="P876" t="s">
        <v>514</v>
      </c>
      <c r="Y876">
        <v>842</v>
      </c>
      <c r="Z876" s="259" t="s">
        <v>630</v>
      </c>
      <c r="AA876">
        <v>30</v>
      </c>
      <c r="AB876">
        <v>6006</v>
      </c>
      <c r="AC876">
        <v>45938</v>
      </c>
      <c r="AD876">
        <v>0</v>
      </c>
      <c r="AE876">
        <v>5337.9000000000005</v>
      </c>
      <c r="AF876">
        <v>5337.9000000000005</v>
      </c>
      <c r="AG876">
        <v>0</v>
      </c>
      <c r="AH876">
        <v>-668.09999999999945</v>
      </c>
    </row>
    <row r="877" spans="2:34" x14ac:dyDescent="0.35">
      <c r="B877" t="s">
        <v>563</v>
      </c>
      <c r="C877">
        <v>45938</v>
      </c>
      <c r="F877" t="s">
        <v>754</v>
      </c>
      <c r="H877">
        <v>80.83</v>
      </c>
      <c r="O877" t="s">
        <v>239</v>
      </c>
      <c r="P877" t="s">
        <v>514</v>
      </c>
      <c r="Y877">
        <v>843</v>
      </c>
      <c r="Z877" s="259" t="s">
        <v>630</v>
      </c>
      <c r="AA877">
        <v>100</v>
      </c>
      <c r="AB877">
        <v>8008</v>
      </c>
      <c r="AC877">
        <v>45938</v>
      </c>
      <c r="AD877">
        <v>0</v>
      </c>
      <c r="AE877">
        <v>8083</v>
      </c>
      <c r="AF877">
        <v>8083</v>
      </c>
      <c r="AG877">
        <v>0</v>
      </c>
      <c r="AH877">
        <v>75</v>
      </c>
    </row>
    <row r="878" spans="2:34" x14ac:dyDescent="0.35">
      <c r="B878" t="s">
        <v>563</v>
      </c>
      <c r="C878">
        <v>45939</v>
      </c>
      <c r="F878" t="s">
        <v>749</v>
      </c>
      <c r="H878">
        <v>53.2</v>
      </c>
      <c r="O878" t="s">
        <v>239</v>
      </c>
      <c r="P878" t="s">
        <v>514</v>
      </c>
      <c r="Y878">
        <v>844</v>
      </c>
      <c r="Z878" s="259" t="s">
        <v>630</v>
      </c>
      <c r="AA878">
        <v>220</v>
      </c>
      <c r="AB878">
        <v>10937.666666666666</v>
      </c>
      <c r="AC878">
        <v>45939</v>
      </c>
      <c r="AD878">
        <v>0</v>
      </c>
      <c r="AE878">
        <v>11704</v>
      </c>
      <c r="AF878">
        <v>11704</v>
      </c>
      <c r="AG878">
        <v>0</v>
      </c>
      <c r="AH878">
        <v>766.33333333333394</v>
      </c>
    </row>
    <row r="879" spans="2:34" x14ac:dyDescent="0.35">
      <c r="B879" t="s">
        <v>563</v>
      </c>
      <c r="C879">
        <v>45939</v>
      </c>
      <c r="F879" t="s">
        <v>752</v>
      </c>
      <c r="H879">
        <v>178.07</v>
      </c>
      <c r="O879" t="s">
        <v>239</v>
      </c>
      <c r="P879" t="s">
        <v>514</v>
      </c>
      <c r="Y879">
        <v>845</v>
      </c>
      <c r="Z879" s="259" t="s">
        <v>630</v>
      </c>
      <c r="AA879">
        <v>30</v>
      </c>
      <c r="AB879">
        <v>6006</v>
      </c>
      <c r="AC879">
        <v>45939</v>
      </c>
      <c r="AD879">
        <v>0</v>
      </c>
      <c r="AE879">
        <v>5342.0999999999995</v>
      </c>
      <c r="AF879">
        <v>5342.0999999999995</v>
      </c>
      <c r="AG879">
        <v>0</v>
      </c>
      <c r="AH879">
        <v>-663.90000000000055</v>
      </c>
    </row>
    <row r="880" spans="2:34" x14ac:dyDescent="0.35">
      <c r="B880" t="s">
        <v>563</v>
      </c>
      <c r="C880">
        <v>45939</v>
      </c>
      <c r="F880" t="s">
        <v>754</v>
      </c>
      <c r="H880">
        <v>80.67</v>
      </c>
      <c r="O880" t="s">
        <v>239</v>
      </c>
      <c r="P880" t="s">
        <v>514</v>
      </c>
      <c r="Y880">
        <v>846</v>
      </c>
      <c r="Z880" s="259" t="s">
        <v>630</v>
      </c>
      <c r="AA880">
        <v>100</v>
      </c>
      <c r="AB880">
        <v>8008</v>
      </c>
      <c r="AC880">
        <v>45939</v>
      </c>
      <c r="AD880">
        <v>0</v>
      </c>
      <c r="AE880">
        <v>8067</v>
      </c>
      <c r="AF880">
        <v>8067</v>
      </c>
      <c r="AG880">
        <v>0</v>
      </c>
      <c r="AH880">
        <v>59</v>
      </c>
    </row>
    <row r="881" spans="2:34" x14ac:dyDescent="0.35">
      <c r="B881" t="s">
        <v>563</v>
      </c>
      <c r="C881">
        <v>45940</v>
      </c>
      <c r="F881" t="s">
        <v>749</v>
      </c>
      <c r="H881">
        <v>53.1</v>
      </c>
      <c r="O881" t="s">
        <v>239</v>
      </c>
      <c r="P881" t="s">
        <v>514</v>
      </c>
      <c r="Y881">
        <v>847</v>
      </c>
      <c r="Z881" s="259" t="s">
        <v>630</v>
      </c>
      <c r="AA881">
        <v>220</v>
      </c>
      <c r="AB881">
        <v>10937.666666666666</v>
      </c>
      <c r="AC881">
        <v>45940</v>
      </c>
      <c r="AD881">
        <v>0</v>
      </c>
      <c r="AE881">
        <v>11682</v>
      </c>
      <c r="AF881">
        <v>11682</v>
      </c>
      <c r="AG881">
        <v>0</v>
      </c>
      <c r="AH881">
        <v>744.33333333333394</v>
      </c>
    </row>
    <row r="882" spans="2:34" x14ac:dyDescent="0.35">
      <c r="B882" t="s">
        <v>563</v>
      </c>
      <c r="C882">
        <v>45940</v>
      </c>
      <c r="F882" t="s">
        <v>752</v>
      </c>
      <c r="H882">
        <v>178.2</v>
      </c>
      <c r="O882" t="s">
        <v>239</v>
      </c>
      <c r="P882" t="s">
        <v>514</v>
      </c>
      <c r="Y882">
        <v>848</v>
      </c>
      <c r="Z882" s="259" t="s">
        <v>630</v>
      </c>
      <c r="AA882">
        <v>30</v>
      </c>
      <c r="AB882">
        <v>6006</v>
      </c>
      <c r="AC882">
        <v>45940</v>
      </c>
      <c r="AD882">
        <v>0</v>
      </c>
      <c r="AE882">
        <v>5346</v>
      </c>
      <c r="AF882">
        <v>5346</v>
      </c>
      <c r="AG882">
        <v>0</v>
      </c>
      <c r="AH882">
        <v>-660</v>
      </c>
    </row>
    <row r="883" spans="2:34" x14ac:dyDescent="0.35">
      <c r="B883" t="s">
        <v>563</v>
      </c>
      <c r="C883">
        <v>45940</v>
      </c>
      <c r="F883" t="s">
        <v>754</v>
      </c>
      <c r="H883">
        <v>80.5</v>
      </c>
      <c r="O883" t="s">
        <v>239</v>
      </c>
      <c r="P883" t="s">
        <v>514</v>
      </c>
      <c r="Y883">
        <v>849</v>
      </c>
      <c r="Z883" s="259" t="s">
        <v>630</v>
      </c>
      <c r="AA883">
        <v>100</v>
      </c>
      <c r="AB883">
        <v>8008</v>
      </c>
      <c r="AC883">
        <v>45940</v>
      </c>
      <c r="AD883">
        <v>0</v>
      </c>
      <c r="AE883">
        <v>8050</v>
      </c>
      <c r="AF883">
        <v>8050</v>
      </c>
      <c r="AG883">
        <v>0</v>
      </c>
      <c r="AH883">
        <v>42</v>
      </c>
    </row>
    <row r="884" spans="2:34" x14ac:dyDescent="0.35">
      <c r="B884" t="s">
        <v>563</v>
      </c>
      <c r="C884">
        <v>45941</v>
      </c>
      <c r="F884" t="s">
        <v>749</v>
      </c>
      <c r="H884">
        <v>53.1</v>
      </c>
      <c r="O884" t="s">
        <v>239</v>
      </c>
      <c r="P884" t="s">
        <v>514</v>
      </c>
      <c r="Y884">
        <v>850</v>
      </c>
      <c r="Z884" s="259" t="s">
        <v>630</v>
      </c>
      <c r="AA884">
        <v>220</v>
      </c>
      <c r="AB884">
        <v>10937.666666666666</v>
      </c>
      <c r="AC884">
        <v>45940</v>
      </c>
      <c r="AD884">
        <v>1</v>
      </c>
      <c r="AE884">
        <v>11682</v>
      </c>
      <c r="AF884">
        <v>11682</v>
      </c>
      <c r="AG884">
        <v>0</v>
      </c>
      <c r="AH884">
        <v>744.33333333333394</v>
      </c>
    </row>
    <row r="885" spans="2:34" x14ac:dyDescent="0.35">
      <c r="B885" t="s">
        <v>563</v>
      </c>
      <c r="C885">
        <v>45941</v>
      </c>
      <c r="F885" t="s">
        <v>752</v>
      </c>
      <c r="H885">
        <v>178.2</v>
      </c>
      <c r="O885" t="s">
        <v>239</v>
      </c>
      <c r="P885" t="s">
        <v>514</v>
      </c>
      <c r="Y885">
        <v>851</v>
      </c>
      <c r="Z885" s="259" t="s">
        <v>630</v>
      </c>
      <c r="AA885">
        <v>30</v>
      </c>
      <c r="AB885">
        <v>6006</v>
      </c>
      <c r="AC885">
        <v>45940</v>
      </c>
      <c r="AD885">
        <v>1</v>
      </c>
      <c r="AE885">
        <v>5346</v>
      </c>
      <c r="AF885">
        <v>5346</v>
      </c>
      <c r="AG885">
        <v>0</v>
      </c>
      <c r="AH885">
        <v>-660</v>
      </c>
    </row>
    <row r="886" spans="2:34" x14ac:dyDescent="0.35">
      <c r="B886" t="s">
        <v>563</v>
      </c>
      <c r="C886">
        <v>45941</v>
      </c>
      <c r="F886" t="s">
        <v>754</v>
      </c>
      <c r="H886">
        <v>80.5</v>
      </c>
      <c r="O886" t="s">
        <v>239</v>
      </c>
      <c r="P886" t="s">
        <v>514</v>
      </c>
      <c r="Y886">
        <v>852</v>
      </c>
      <c r="Z886" s="259" t="s">
        <v>630</v>
      </c>
      <c r="AA886">
        <v>100</v>
      </c>
      <c r="AB886">
        <v>8008</v>
      </c>
      <c r="AC886">
        <v>45940</v>
      </c>
      <c r="AD886">
        <v>1</v>
      </c>
      <c r="AE886">
        <v>8050</v>
      </c>
      <c r="AF886">
        <v>8050</v>
      </c>
      <c r="AG886">
        <v>0</v>
      </c>
      <c r="AH886">
        <v>42</v>
      </c>
    </row>
    <row r="887" spans="2:34" x14ac:dyDescent="0.35">
      <c r="B887" t="s">
        <v>563</v>
      </c>
      <c r="C887">
        <v>45942</v>
      </c>
      <c r="F887" t="s">
        <v>749</v>
      </c>
      <c r="H887">
        <v>53.1</v>
      </c>
      <c r="O887" t="s">
        <v>239</v>
      </c>
      <c r="P887" t="s">
        <v>514</v>
      </c>
      <c r="Y887">
        <v>853</v>
      </c>
      <c r="Z887" s="259" t="s">
        <v>630</v>
      </c>
      <c r="AA887">
        <v>220</v>
      </c>
      <c r="AB887">
        <v>10937.666666666666</v>
      </c>
      <c r="AC887">
        <v>45940</v>
      </c>
      <c r="AD887">
        <v>2</v>
      </c>
      <c r="AE887">
        <v>11682</v>
      </c>
      <c r="AF887">
        <v>11682</v>
      </c>
      <c r="AG887">
        <v>0</v>
      </c>
      <c r="AH887">
        <v>744.33333333333394</v>
      </c>
    </row>
    <row r="888" spans="2:34" x14ac:dyDescent="0.35">
      <c r="B888" t="s">
        <v>563</v>
      </c>
      <c r="C888">
        <v>45942</v>
      </c>
      <c r="F888" t="s">
        <v>752</v>
      </c>
      <c r="H888">
        <v>178.2</v>
      </c>
      <c r="O888" t="s">
        <v>239</v>
      </c>
      <c r="P888" t="s">
        <v>514</v>
      </c>
      <c r="Y888">
        <v>854</v>
      </c>
      <c r="Z888" s="259" t="s">
        <v>630</v>
      </c>
      <c r="AA888">
        <v>30</v>
      </c>
      <c r="AB888">
        <v>6006</v>
      </c>
      <c r="AC888">
        <v>45940</v>
      </c>
      <c r="AD888">
        <v>2</v>
      </c>
      <c r="AE888">
        <v>5346</v>
      </c>
      <c r="AF888">
        <v>5346</v>
      </c>
      <c r="AG888">
        <v>0</v>
      </c>
      <c r="AH888">
        <v>-660</v>
      </c>
    </row>
    <row r="889" spans="2:34" x14ac:dyDescent="0.35">
      <c r="B889" t="s">
        <v>563</v>
      </c>
      <c r="C889">
        <v>45942</v>
      </c>
      <c r="F889" t="s">
        <v>754</v>
      </c>
      <c r="H889">
        <v>80.5</v>
      </c>
      <c r="O889" t="s">
        <v>239</v>
      </c>
      <c r="P889" t="s">
        <v>514</v>
      </c>
      <c r="Y889">
        <v>855</v>
      </c>
      <c r="Z889" s="259" t="s">
        <v>630</v>
      </c>
      <c r="AA889">
        <v>100</v>
      </c>
      <c r="AB889">
        <v>8008</v>
      </c>
      <c r="AC889">
        <v>45940</v>
      </c>
      <c r="AD889">
        <v>2</v>
      </c>
      <c r="AE889">
        <v>8050</v>
      </c>
      <c r="AF889">
        <v>8050</v>
      </c>
      <c r="AG889">
        <v>0</v>
      </c>
      <c r="AH889">
        <v>42</v>
      </c>
    </row>
    <row r="890" spans="2:34" x14ac:dyDescent="0.35">
      <c r="B890" t="s">
        <v>563</v>
      </c>
      <c r="C890">
        <v>45943</v>
      </c>
      <c r="F890" t="s">
        <v>749</v>
      </c>
      <c r="H890">
        <v>52.8</v>
      </c>
      <c r="O890" t="s">
        <v>239</v>
      </c>
      <c r="P890" t="s">
        <v>514</v>
      </c>
      <c r="Y890">
        <v>856</v>
      </c>
      <c r="Z890" s="259" t="s">
        <v>630</v>
      </c>
      <c r="AA890">
        <v>220</v>
      </c>
      <c r="AB890">
        <v>10937.666666666666</v>
      </c>
      <c r="AC890">
        <v>45943</v>
      </c>
      <c r="AD890">
        <v>0</v>
      </c>
      <c r="AE890">
        <v>11616</v>
      </c>
      <c r="AF890">
        <v>11616</v>
      </c>
      <c r="AG890">
        <v>0</v>
      </c>
      <c r="AH890">
        <v>678.33333333333394</v>
      </c>
    </row>
    <row r="891" spans="2:34" x14ac:dyDescent="0.35">
      <c r="B891" t="s">
        <v>563</v>
      </c>
      <c r="C891">
        <v>45943</v>
      </c>
      <c r="F891" t="s">
        <v>752</v>
      </c>
      <c r="H891">
        <v>178.6</v>
      </c>
      <c r="O891" t="s">
        <v>239</v>
      </c>
      <c r="P891" t="s">
        <v>514</v>
      </c>
      <c r="Y891">
        <v>857</v>
      </c>
      <c r="Z891" s="259" t="s">
        <v>630</v>
      </c>
      <c r="AA891">
        <v>30</v>
      </c>
      <c r="AB891">
        <v>6006</v>
      </c>
      <c r="AC891">
        <v>45943</v>
      </c>
      <c r="AD891">
        <v>0</v>
      </c>
      <c r="AE891">
        <v>5358</v>
      </c>
      <c r="AF891">
        <v>5358</v>
      </c>
      <c r="AG891">
        <v>0</v>
      </c>
      <c r="AH891">
        <v>-648</v>
      </c>
    </row>
    <row r="892" spans="2:34" x14ac:dyDescent="0.35">
      <c r="B892" t="s">
        <v>563</v>
      </c>
      <c r="C892">
        <v>45943</v>
      </c>
      <c r="F892" t="s">
        <v>754</v>
      </c>
      <c r="H892">
        <v>80</v>
      </c>
      <c r="O892" t="s">
        <v>239</v>
      </c>
      <c r="P892" t="s">
        <v>514</v>
      </c>
      <c r="Y892">
        <v>858</v>
      </c>
      <c r="Z892" s="259" t="s">
        <v>630</v>
      </c>
      <c r="AA892">
        <v>100</v>
      </c>
      <c r="AB892">
        <v>8008</v>
      </c>
      <c r="AC892">
        <v>45943</v>
      </c>
      <c r="AD892">
        <v>0</v>
      </c>
      <c r="AE892">
        <v>8000</v>
      </c>
      <c r="AF892">
        <v>8000</v>
      </c>
      <c r="AG892">
        <v>0</v>
      </c>
      <c r="AH892">
        <v>-8</v>
      </c>
    </row>
    <row r="893" spans="2:34" x14ac:dyDescent="0.35">
      <c r="B893" t="s">
        <v>563</v>
      </c>
      <c r="C893">
        <v>45944</v>
      </c>
      <c r="F893" t="s">
        <v>749</v>
      </c>
      <c r="H893">
        <v>52.7</v>
      </c>
      <c r="O893" t="s">
        <v>239</v>
      </c>
      <c r="P893" t="s">
        <v>514</v>
      </c>
      <c r="Y893">
        <v>859</v>
      </c>
      <c r="Z893" s="259" t="s">
        <v>630</v>
      </c>
      <c r="AA893">
        <v>220</v>
      </c>
      <c r="AB893">
        <v>10937.666666666666</v>
      </c>
      <c r="AC893">
        <v>45944</v>
      </c>
      <c r="AD893">
        <v>0</v>
      </c>
      <c r="AE893">
        <v>11594</v>
      </c>
      <c r="AF893">
        <v>11594</v>
      </c>
      <c r="AG893">
        <v>0</v>
      </c>
      <c r="AH893">
        <v>656.33333333333394</v>
      </c>
    </row>
    <row r="894" spans="2:34" x14ac:dyDescent="0.35">
      <c r="B894" t="s">
        <v>563</v>
      </c>
      <c r="C894">
        <v>45944</v>
      </c>
      <c r="F894" t="s">
        <v>752</v>
      </c>
      <c r="H894">
        <v>178.73</v>
      </c>
      <c r="O894" t="s">
        <v>239</v>
      </c>
      <c r="P894" t="s">
        <v>514</v>
      </c>
      <c r="Y894">
        <v>860</v>
      </c>
      <c r="Z894" s="259" t="s">
        <v>630</v>
      </c>
      <c r="AA894">
        <v>30</v>
      </c>
      <c r="AB894">
        <v>6006</v>
      </c>
      <c r="AC894">
        <v>45944</v>
      </c>
      <c r="AD894">
        <v>0</v>
      </c>
      <c r="AE894">
        <v>5361.9</v>
      </c>
      <c r="AF894">
        <v>5361.9</v>
      </c>
      <c r="AG894">
        <v>0</v>
      </c>
      <c r="AH894">
        <v>-644.10000000000036</v>
      </c>
    </row>
    <row r="895" spans="2:34" x14ac:dyDescent="0.35">
      <c r="B895" t="s">
        <v>563</v>
      </c>
      <c r="C895">
        <v>45944</v>
      </c>
      <c r="F895" t="s">
        <v>754</v>
      </c>
      <c r="H895">
        <v>79.83</v>
      </c>
      <c r="O895" t="s">
        <v>239</v>
      </c>
      <c r="P895" t="s">
        <v>514</v>
      </c>
      <c r="Y895">
        <v>861</v>
      </c>
      <c r="Z895" s="259" t="s">
        <v>630</v>
      </c>
      <c r="AA895">
        <v>100</v>
      </c>
      <c r="AB895">
        <v>8008</v>
      </c>
      <c r="AC895">
        <v>45944</v>
      </c>
      <c r="AD895">
        <v>0</v>
      </c>
      <c r="AE895">
        <v>7983</v>
      </c>
      <c r="AF895">
        <v>7983</v>
      </c>
      <c r="AG895">
        <v>0</v>
      </c>
      <c r="AH895">
        <v>-25</v>
      </c>
    </row>
    <row r="896" spans="2:34" x14ac:dyDescent="0.35">
      <c r="B896" t="s">
        <v>563</v>
      </c>
      <c r="C896">
        <v>45945</v>
      </c>
      <c r="F896" t="s">
        <v>749</v>
      </c>
      <c r="H896">
        <v>52.6</v>
      </c>
      <c r="O896" t="s">
        <v>239</v>
      </c>
      <c r="P896" t="s">
        <v>514</v>
      </c>
      <c r="Y896">
        <v>862</v>
      </c>
      <c r="Z896" s="259" t="s">
        <v>630</v>
      </c>
      <c r="AA896">
        <v>220</v>
      </c>
      <c r="AB896">
        <v>10937.666666666666</v>
      </c>
      <c r="AC896">
        <v>45945</v>
      </c>
      <c r="AD896">
        <v>0</v>
      </c>
      <c r="AE896">
        <v>11572</v>
      </c>
      <c r="AF896">
        <v>11572</v>
      </c>
      <c r="AG896">
        <v>0</v>
      </c>
      <c r="AH896">
        <v>634.33333333333394</v>
      </c>
    </row>
    <row r="897" spans="2:34" x14ac:dyDescent="0.35">
      <c r="B897" t="s">
        <v>563</v>
      </c>
      <c r="C897">
        <v>45945</v>
      </c>
      <c r="F897" t="s">
        <v>752</v>
      </c>
      <c r="H897">
        <v>178.87</v>
      </c>
      <c r="O897" t="s">
        <v>239</v>
      </c>
      <c r="P897" t="s">
        <v>514</v>
      </c>
      <c r="Y897">
        <v>863</v>
      </c>
      <c r="Z897" s="259" t="s">
        <v>630</v>
      </c>
      <c r="AA897">
        <v>30</v>
      </c>
      <c r="AB897">
        <v>6006</v>
      </c>
      <c r="AC897">
        <v>45945</v>
      </c>
      <c r="AD897">
        <v>0</v>
      </c>
      <c r="AE897">
        <v>5366.1</v>
      </c>
      <c r="AF897">
        <v>5366.1</v>
      </c>
      <c r="AG897">
        <v>0</v>
      </c>
      <c r="AH897">
        <v>-639.89999999999964</v>
      </c>
    </row>
    <row r="898" spans="2:34" x14ac:dyDescent="0.35">
      <c r="B898" t="s">
        <v>563</v>
      </c>
      <c r="C898">
        <v>45945</v>
      </c>
      <c r="F898" t="s">
        <v>754</v>
      </c>
      <c r="H898">
        <v>79.67</v>
      </c>
      <c r="O898" t="s">
        <v>239</v>
      </c>
      <c r="P898" t="s">
        <v>514</v>
      </c>
      <c r="Y898">
        <v>864</v>
      </c>
      <c r="Z898" s="259" t="s">
        <v>630</v>
      </c>
      <c r="AA898">
        <v>100</v>
      </c>
      <c r="AB898">
        <v>8008</v>
      </c>
      <c r="AC898">
        <v>45945</v>
      </c>
      <c r="AD898">
        <v>0</v>
      </c>
      <c r="AE898">
        <v>7967</v>
      </c>
      <c r="AF898">
        <v>7967</v>
      </c>
      <c r="AG898">
        <v>0</v>
      </c>
      <c r="AH898">
        <v>-41</v>
      </c>
    </row>
    <row r="899" spans="2:34" x14ac:dyDescent="0.35">
      <c r="B899" t="s">
        <v>563</v>
      </c>
      <c r="C899">
        <v>45946</v>
      </c>
      <c r="F899" t="s">
        <v>749</v>
      </c>
      <c r="H899">
        <v>52.5</v>
      </c>
      <c r="O899" t="s">
        <v>239</v>
      </c>
      <c r="P899" t="s">
        <v>514</v>
      </c>
      <c r="Y899">
        <v>865</v>
      </c>
      <c r="Z899" s="259" t="s">
        <v>630</v>
      </c>
      <c r="AA899">
        <v>220</v>
      </c>
      <c r="AB899">
        <v>10937.666666666666</v>
      </c>
      <c r="AC899">
        <v>45946</v>
      </c>
      <c r="AD899">
        <v>0</v>
      </c>
      <c r="AE899">
        <v>11550</v>
      </c>
      <c r="AF899">
        <v>11550</v>
      </c>
      <c r="AG899">
        <v>0</v>
      </c>
      <c r="AH899">
        <v>612.33333333333394</v>
      </c>
    </row>
    <row r="900" spans="2:34" x14ac:dyDescent="0.35">
      <c r="B900" t="s">
        <v>563</v>
      </c>
      <c r="C900">
        <v>45946</v>
      </c>
      <c r="F900" t="s">
        <v>752</v>
      </c>
      <c r="H900">
        <v>179</v>
      </c>
      <c r="O900" t="s">
        <v>239</v>
      </c>
      <c r="P900" t="s">
        <v>514</v>
      </c>
      <c r="Y900">
        <v>866</v>
      </c>
      <c r="Z900" s="259" t="s">
        <v>630</v>
      </c>
      <c r="AA900">
        <v>30</v>
      </c>
      <c r="AB900">
        <v>6006</v>
      </c>
      <c r="AC900">
        <v>45946</v>
      </c>
      <c r="AD900">
        <v>0</v>
      </c>
      <c r="AE900">
        <v>5370</v>
      </c>
      <c r="AF900">
        <v>5370</v>
      </c>
      <c r="AG900">
        <v>0</v>
      </c>
      <c r="AH900">
        <v>-636</v>
      </c>
    </row>
    <row r="901" spans="2:34" x14ac:dyDescent="0.35">
      <c r="B901" t="s">
        <v>563</v>
      </c>
      <c r="C901">
        <v>45946</v>
      </c>
      <c r="F901" t="s">
        <v>754</v>
      </c>
      <c r="H901">
        <v>79.5</v>
      </c>
      <c r="O901" t="s">
        <v>239</v>
      </c>
      <c r="P901" t="s">
        <v>514</v>
      </c>
      <c r="Y901">
        <v>867</v>
      </c>
      <c r="Z901" s="259" t="s">
        <v>630</v>
      </c>
      <c r="AA901">
        <v>100</v>
      </c>
      <c r="AB901">
        <v>8008</v>
      </c>
      <c r="AC901">
        <v>45946</v>
      </c>
      <c r="AD901">
        <v>0</v>
      </c>
      <c r="AE901">
        <v>7950</v>
      </c>
      <c r="AF901">
        <v>7950</v>
      </c>
      <c r="AG901">
        <v>0</v>
      </c>
      <c r="AH901">
        <v>-58</v>
      </c>
    </row>
    <row r="902" spans="2:34" x14ac:dyDescent="0.35">
      <c r="B902" t="s">
        <v>563</v>
      </c>
      <c r="C902">
        <v>45947</v>
      </c>
      <c r="F902" t="s">
        <v>749</v>
      </c>
      <c r="H902">
        <v>52.4</v>
      </c>
      <c r="O902" t="s">
        <v>239</v>
      </c>
      <c r="P902" t="s">
        <v>514</v>
      </c>
      <c r="Y902">
        <v>868</v>
      </c>
      <c r="Z902" s="259" t="s">
        <v>630</v>
      </c>
      <c r="AA902">
        <v>220</v>
      </c>
      <c r="AB902">
        <v>10937.666666666666</v>
      </c>
      <c r="AC902">
        <v>45947</v>
      </c>
      <c r="AD902">
        <v>0</v>
      </c>
      <c r="AE902">
        <v>11528</v>
      </c>
      <c r="AF902">
        <v>11528</v>
      </c>
      <c r="AG902">
        <v>0</v>
      </c>
      <c r="AH902">
        <v>590.33333333333394</v>
      </c>
    </row>
    <row r="903" spans="2:34" x14ac:dyDescent="0.35">
      <c r="B903" t="s">
        <v>563</v>
      </c>
      <c r="C903">
        <v>45947</v>
      </c>
      <c r="F903" t="s">
        <v>752</v>
      </c>
      <c r="H903">
        <v>179.13</v>
      </c>
      <c r="O903" t="s">
        <v>239</v>
      </c>
      <c r="P903" t="s">
        <v>514</v>
      </c>
      <c r="Y903">
        <v>869</v>
      </c>
      <c r="Z903" s="259" t="s">
        <v>630</v>
      </c>
      <c r="AA903">
        <v>30</v>
      </c>
      <c r="AB903">
        <v>6006</v>
      </c>
      <c r="AC903">
        <v>45947</v>
      </c>
      <c r="AD903">
        <v>0</v>
      </c>
      <c r="AE903">
        <v>5373.9</v>
      </c>
      <c r="AF903">
        <v>5373.9</v>
      </c>
      <c r="AG903">
        <v>0</v>
      </c>
      <c r="AH903">
        <v>-632.10000000000036</v>
      </c>
    </row>
    <row r="904" spans="2:34" x14ac:dyDescent="0.35">
      <c r="B904" t="s">
        <v>563</v>
      </c>
      <c r="C904">
        <v>45947</v>
      </c>
      <c r="F904" t="s">
        <v>754</v>
      </c>
      <c r="H904">
        <v>79.33</v>
      </c>
      <c r="O904" t="s">
        <v>239</v>
      </c>
      <c r="P904" t="s">
        <v>514</v>
      </c>
      <c r="Y904">
        <v>870</v>
      </c>
      <c r="Z904" s="259" t="s">
        <v>630</v>
      </c>
      <c r="AA904">
        <v>100</v>
      </c>
      <c r="AB904">
        <v>8008</v>
      </c>
      <c r="AC904">
        <v>45947</v>
      </c>
      <c r="AD904">
        <v>0</v>
      </c>
      <c r="AE904">
        <v>7933</v>
      </c>
      <c r="AF904">
        <v>7933</v>
      </c>
      <c r="AG904">
        <v>0</v>
      </c>
      <c r="AH904">
        <v>-75</v>
      </c>
    </row>
    <row r="905" spans="2:34" x14ac:dyDescent="0.35">
      <c r="B905" t="s">
        <v>563</v>
      </c>
      <c r="C905">
        <v>45948</v>
      </c>
      <c r="F905" t="s">
        <v>749</v>
      </c>
      <c r="H905">
        <v>52.4</v>
      </c>
      <c r="O905" t="s">
        <v>239</v>
      </c>
      <c r="P905" t="s">
        <v>514</v>
      </c>
      <c r="Y905">
        <v>871</v>
      </c>
      <c r="Z905" s="259" t="s">
        <v>630</v>
      </c>
      <c r="AA905">
        <v>220</v>
      </c>
      <c r="AB905">
        <v>10937.666666666666</v>
      </c>
      <c r="AC905">
        <v>45947</v>
      </c>
      <c r="AD905">
        <v>1</v>
      </c>
      <c r="AE905">
        <v>11528</v>
      </c>
      <c r="AF905">
        <v>11528</v>
      </c>
      <c r="AG905">
        <v>0</v>
      </c>
      <c r="AH905">
        <v>590.33333333333394</v>
      </c>
    </row>
    <row r="906" spans="2:34" x14ac:dyDescent="0.35">
      <c r="B906" t="s">
        <v>563</v>
      </c>
      <c r="C906">
        <v>45948</v>
      </c>
      <c r="F906" t="s">
        <v>752</v>
      </c>
      <c r="H906">
        <v>179.13</v>
      </c>
      <c r="O906" t="s">
        <v>239</v>
      </c>
      <c r="P906" t="s">
        <v>514</v>
      </c>
      <c r="Y906">
        <v>872</v>
      </c>
      <c r="Z906" s="259" t="s">
        <v>630</v>
      </c>
      <c r="AA906">
        <v>30</v>
      </c>
      <c r="AB906">
        <v>6006</v>
      </c>
      <c r="AC906">
        <v>45947</v>
      </c>
      <c r="AD906">
        <v>1</v>
      </c>
      <c r="AE906">
        <v>5373.9</v>
      </c>
      <c r="AF906">
        <v>5373.9</v>
      </c>
      <c r="AG906">
        <v>0</v>
      </c>
      <c r="AH906">
        <v>-632.10000000000036</v>
      </c>
    </row>
    <row r="907" spans="2:34" x14ac:dyDescent="0.35">
      <c r="B907" t="s">
        <v>563</v>
      </c>
      <c r="C907">
        <v>45948</v>
      </c>
      <c r="F907" t="s">
        <v>754</v>
      </c>
      <c r="H907">
        <v>79.33</v>
      </c>
      <c r="O907" t="s">
        <v>239</v>
      </c>
      <c r="P907" t="s">
        <v>514</v>
      </c>
      <c r="Y907">
        <v>873</v>
      </c>
      <c r="Z907" s="259" t="s">
        <v>630</v>
      </c>
      <c r="AA907">
        <v>100</v>
      </c>
      <c r="AB907">
        <v>8008</v>
      </c>
      <c r="AC907">
        <v>45947</v>
      </c>
      <c r="AD907">
        <v>1</v>
      </c>
      <c r="AE907">
        <v>7933</v>
      </c>
      <c r="AF907">
        <v>7933</v>
      </c>
      <c r="AG907">
        <v>0</v>
      </c>
      <c r="AH907">
        <v>-75</v>
      </c>
    </row>
    <row r="908" spans="2:34" x14ac:dyDescent="0.35">
      <c r="B908" t="s">
        <v>563</v>
      </c>
      <c r="C908">
        <v>45949</v>
      </c>
      <c r="F908" t="s">
        <v>749</v>
      </c>
      <c r="H908">
        <v>52.4</v>
      </c>
      <c r="O908" t="s">
        <v>239</v>
      </c>
      <c r="P908" t="s">
        <v>514</v>
      </c>
      <c r="Y908">
        <v>874</v>
      </c>
      <c r="Z908" s="259" t="s">
        <v>630</v>
      </c>
      <c r="AA908">
        <v>220</v>
      </c>
      <c r="AB908">
        <v>10937.666666666666</v>
      </c>
      <c r="AC908">
        <v>45947</v>
      </c>
      <c r="AD908">
        <v>2</v>
      </c>
      <c r="AE908">
        <v>11528</v>
      </c>
      <c r="AF908">
        <v>11528</v>
      </c>
      <c r="AG908">
        <v>0</v>
      </c>
      <c r="AH908">
        <v>590.33333333333394</v>
      </c>
    </row>
    <row r="909" spans="2:34" x14ac:dyDescent="0.35">
      <c r="B909" t="s">
        <v>563</v>
      </c>
      <c r="C909">
        <v>45949</v>
      </c>
      <c r="F909" t="s">
        <v>752</v>
      </c>
      <c r="H909">
        <v>179.13</v>
      </c>
      <c r="O909" t="s">
        <v>239</v>
      </c>
      <c r="P909" t="s">
        <v>514</v>
      </c>
      <c r="Y909">
        <v>875</v>
      </c>
      <c r="Z909" s="259" t="s">
        <v>630</v>
      </c>
      <c r="AA909">
        <v>30</v>
      </c>
      <c r="AB909">
        <v>6006</v>
      </c>
      <c r="AC909">
        <v>45947</v>
      </c>
      <c r="AD909">
        <v>2</v>
      </c>
      <c r="AE909">
        <v>5373.9</v>
      </c>
      <c r="AF909">
        <v>5373.9</v>
      </c>
      <c r="AG909">
        <v>0</v>
      </c>
      <c r="AH909">
        <v>-632.10000000000036</v>
      </c>
    </row>
    <row r="910" spans="2:34" x14ac:dyDescent="0.35">
      <c r="B910" t="s">
        <v>563</v>
      </c>
      <c r="C910">
        <v>45949</v>
      </c>
      <c r="F910" t="s">
        <v>754</v>
      </c>
      <c r="H910">
        <v>79.33</v>
      </c>
      <c r="O910" t="s">
        <v>239</v>
      </c>
      <c r="P910" t="s">
        <v>514</v>
      </c>
      <c r="Y910">
        <v>876</v>
      </c>
      <c r="Z910" s="259" t="s">
        <v>630</v>
      </c>
      <c r="AA910">
        <v>100</v>
      </c>
      <c r="AB910">
        <v>8008</v>
      </c>
      <c r="AC910">
        <v>45947</v>
      </c>
      <c r="AD910">
        <v>2</v>
      </c>
      <c r="AE910">
        <v>7933</v>
      </c>
      <c r="AF910">
        <v>7933</v>
      </c>
      <c r="AG910">
        <v>0</v>
      </c>
      <c r="AH910">
        <v>-75</v>
      </c>
    </row>
    <row r="911" spans="2:34" x14ac:dyDescent="0.35">
      <c r="B911" t="s">
        <v>563</v>
      </c>
      <c r="C911">
        <v>45950</v>
      </c>
      <c r="F911" t="s">
        <v>749</v>
      </c>
      <c r="H911">
        <v>52.1</v>
      </c>
      <c r="O911" t="s">
        <v>239</v>
      </c>
      <c r="P911" t="s">
        <v>514</v>
      </c>
      <c r="Y911">
        <v>877</v>
      </c>
      <c r="Z911" s="259" t="s">
        <v>630</v>
      </c>
      <c r="AA911">
        <v>220</v>
      </c>
      <c r="AB911">
        <v>10937.666666666666</v>
      </c>
      <c r="AC911">
        <v>45950</v>
      </c>
      <c r="AD911">
        <v>0</v>
      </c>
      <c r="AE911">
        <v>11462</v>
      </c>
      <c r="AF911">
        <v>11462</v>
      </c>
      <c r="AG911">
        <v>0</v>
      </c>
      <c r="AH911">
        <v>524.33333333333394</v>
      </c>
    </row>
    <row r="912" spans="2:34" x14ac:dyDescent="0.35">
      <c r="B912" t="s">
        <v>563</v>
      </c>
      <c r="C912">
        <v>45950</v>
      </c>
      <c r="F912" t="s">
        <v>752</v>
      </c>
      <c r="H912">
        <v>179.53</v>
      </c>
      <c r="O912" t="s">
        <v>239</v>
      </c>
      <c r="P912" t="s">
        <v>514</v>
      </c>
      <c r="Y912">
        <v>878</v>
      </c>
      <c r="Z912" s="259" t="s">
        <v>630</v>
      </c>
      <c r="AA912">
        <v>30</v>
      </c>
      <c r="AB912">
        <v>6006</v>
      </c>
      <c r="AC912">
        <v>45950</v>
      </c>
      <c r="AD912">
        <v>0</v>
      </c>
      <c r="AE912">
        <v>5385.9</v>
      </c>
      <c r="AF912">
        <v>5385.9</v>
      </c>
      <c r="AG912">
        <v>0</v>
      </c>
      <c r="AH912">
        <v>-620.10000000000036</v>
      </c>
    </row>
    <row r="913" spans="2:34" x14ac:dyDescent="0.35">
      <c r="B913" t="s">
        <v>563</v>
      </c>
      <c r="C913">
        <v>45950</v>
      </c>
      <c r="F913" t="s">
        <v>754</v>
      </c>
      <c r="H913">
        <v>78.83</v>
      </c>
      <c r="O913" t="s">
        <v>239</v>
      </c>
      <c r="P913" t="s">
        <v>514</v>
      </c>
      <c r="Y913">
        <v>879</v>
      </c>
      <c r="Z913" s="259" t="s">
        <v>630</v>
      </c>
      <c r="AA913">
        <v>100</v>
      </c>
      <c r="AB913">
        <v>8008</v>
      </c>
      <c r="AC913">
        <v>45950</v>
      </c>
      <c r="AD913">
        <v>0</v>
      </c>
      <c r="AE913">
        <v>7883</v>
      </c>
      <c r="AF913">
        <v>7883</v>
      </c>
      <c r="AG913">
        <v>0</v>
      </c>
      <c r="AH913">
        <v>-125</v>
      </c>
    </row>
    <row r="914" spans="2:34" x14ac:dyDescent="0.35">
      <c r="B914" t="s">
        <v>563</v>
      </c>
      <c r="C914">
        <v>45951</v>
      </c>
      <c r="F914" t="s">
        <v>749</v>
      </c>
      <c r="H914">
        <v>52</v>
      </c>
      <c r="O914" t="s">
        <v>239</v>
      </c>
      <c r="P914" t="s">
        <v>514</v>
      </c>
      <c r="Y914">
        <v>880</v>
      </c>
      <c r="Z914" s="259" t="s">
        <v>630</v>
      </c>
      <c r="AA914">
        <v>220</v>
      </c>
      <c r="AB914">
        <v>10937.666666666666</v>
      </c>
      <c r="AC914">
        <v>45951</v>
      </c>
      <c r="AD914">
        <v>0</v>
      </c>
      <c r="AE914">
        <v>11440</v>
      </c>
      <c r="AF914">
        <v>11440</v>
      </c>
      <c r="AG914">
        <v>0</v>
      </c>
      <c r="AH914">
        <v>502.33333333333394</v>
      </c>
    </row>
    <row r="915" spans="2:34" x14ac:dyDescent="0.35">
      <c r="B915" t="s">
        <v>563</v>
      </c>
      <c r="C915">
        <v>45951</v>
      </c>
      <c r="F915" t="s">
        <v>752</v>
      </c>
      <c r="H915">
        <v>179.67</v>
      </c>
      <c r="O915" t="s">
        <v>239</v>
      </c>
      <c r="P915" t="s">
        <v>514</v>
      </c>
      <c r="Y915">
        <v>881</v>
      </c>
      <c r="Z915" s="259" t="s">
        <v>630</v>
      </c>
      <c r="AA915">
        <v>30</v>
      </c>
      <c r="AB915">
        <v>6006</v>
      </c>
      <c r="AC915">
        <v>45951</v>
      </c>
      <c r="AD915">
        <v>0</v>
      </c>
      <c r="AE915">
        <v>5390.0999999999995</v>
      </c>
      <c r="AF915">
        <v>5390.0999999999995</v>
      </c>
      <c r="AG915">
        <v>0</v>
      </c>
      <c r="AH915">
        <v>-615.90000000000055</v>
      </c>
    </row>
    <row r="916" spans="2:34" x14ac:dyDescent="0.35">
      <c r="B916" t="s">
        <v>563</v>
      </c>
      <c r="C916">
        <v>45951</v>
      </c>
      <c r="F916" t="s">
        <v>754</v>
      </c>
      <c r="H916">
        <v>78.67</v>
      </c>
      <c r="O916" t="s">
        <v>239</v>
      </c>
      <c r="P916" t="s">
        <v>514</v>
      </c>
      <c r="Y916">
        <v>882</v>
      </c>
      <c r="Z916" s="259" t="s">
        <v>630</v>
      </c>
      <c r="AA916">
        <v>100</v>
      </c>
      <c r="AB916">
        <v>8008</v>
      </c>
      <c r="AC916">
        <v>45951</v>
      </c>
      <c r="AD916">
        <v>0</v>
      </c>
      <c r="AE916">
        <v>7867</v>
      </c>
      <c r="AF916">
        <v>7867</v>
      </c>
      <c r="AG916">
        <v>0</v>
      </c>
      <c r="AH916">
        <v>-141</v>
      </c>
    </row>
    <row r="917" spans="2:34" x14ac:dyDescent="0.35">
      <c r="B917" t="s">
        <v>563</v>
      </c>
      <c r="C917">
        <v>45952</v>
      </c>
      <c r="F917" t="s">
        <v>749</v>
      </c>
      <c r="H917">
        <v>51.9</v>
      </c>
      <c r="O917" t="s">
        <v>239</v>
      </c>
      <c r="P917" t="s">
        <v>514</v>
      </c>
      <c r="Y917">
        <v>883</v>
      </c>
      <c r="Z917" s="259" t="s">
        <v>630</v>
      </c>
      <c r="AA917">
        <v>220</v>
      </c>
      <c r="AB917">
        <v>10937.666666666666</v>
      </c>
      <c r="AC917">
        <v>45952</v>
      </c>
      <c r="AD917">
        <v>0</v>
      </c>
      <c r="AE917">
        <v>11418</v>
      </c>
      <c r="AF917">
        <v>11418</v>
      </c>
      <c r="AG917">
        <v>0</v>
      </c>
      <c r="AH917">
        <v>480.33333333333394</v>
      </c>
    </row>
    <row r="918" spans="2:34" x14ac:dyDescent="0.35">
      <c r="B918" t="s">
        <v>563</v>
      </c>
      <c r="C918">
        <v>45952</v>
      </c>
      <c r="F918" t="s">
        <v>752</v>
      </c>
      <c r="H918">
        <v>179.8</v>
      </c>
      <c r="O918" t="s">
        <v>239</v>
      </c>
      <c r="P918" t="s">
        <v>514</v>
      </c>
      <c r="Y918">
        <v>884</v>
      </c>
      <c r="Z918" s="259" t="s">
        <v>630</v>
      </c>
      <c r="AA918">
        <v>30</v>
      </c>
      <c r="AB918">
        <v>6006</v>
      </c>
      <c r="AC918">
        <v>45952</v>
      </c>
      <c r="AD918">
        <v>0</v>
      </c>
      <c r="AE918">
        <v>5394</v>
      </c>
      <c r="AF918">
        <v>5394</v>
      </c>
      <c r="AG918">
        <v>0</v>
      </c>
      <c r="AH918">
        <v>-612</v>
      </c>
    </row>
    <row r="919" spans="2:34" x14ac:dyDescent="0.35">
      <c r="B919" t="s">
        <v>563</v>
      </c>
      <c r="C919">
        <v>45952</v>
      </c>
      <c r="F919" t="s">
        <v>754</v>
      </c>
      <c r="H919">
        <v>78.5</v>
      </c>
      <c r="O919" t="s">
        <v>239</v>
      </c>
      <c r="P919" t="s">
        <v>514</v>
      </c>
      <c r="Y919">
        <v>885</v>
      </c>
      <c r="Z919" s="259" t="s">
        <v>630</v>
      </c>
      <c r="AA919">
        <v>100</v>
      </c>
      <c r="AB919">
        <v>8008</v>
      </c>
      <c r="AC919">
        <v>45952</v>
      </c>
      <c r="AD919">
        <v>0</v>
      </c>
      <c r="AE919">
        <v>7850</v>
      </c>
      <c r="AF919">
        <v>7850</v>
      </c>
      <c r="AG919">
        <v>0</v>
      </c>
      <c r="AH919">
        <v>-158</v>
      </c>
    </row>
    <row r="920" spans="2:34" x14ac:dyDescent="0.35">
      <c r="B920" t="s">
        <v>563</v>
      </c>
      <c r="C920">
        <v>45953</v>
      </c>
      <c r="F920" t="s">
        <v>749</v>
      </c>
      <c r="H920">
        <v>51.8</v>
      </c>
      <c r="O920" t="s">
        <v>239</v>
      </c>
      <c r="P920" t="s">
        <v>514</v>
      </c>
      <c r="Y920">
        <v>886</v>
      </c>
      <c r="Z920" s="259" t="s">
        <v>630</v>
      </c>
      <c r="AA920">
        <v>220</v>
      </c>
      <c r="AB920">
        <v>10937.666666666666</v>
      </c>
      <c r="AC920">
        <v>45953</v>
      </c>
      <c r="AD920">
        <v>0</v>
      </c>
      <c r="AE920">
        <v>11396</v>
      </c>
      <c r="AF920">
        <v>11396</v>
      </c>
      <c r="AG920">
        <v>0</v>
      </c>
      <c r="AH920">
        <v>458.33333333333394</v>
      </c>
    </row>
    <row r="921" spans="2:34" x14ac:dyDescent="0.35">
      <c r="B921" t="s">
        <v>563</v>
      </c>
      <c r="C921">
        <v>45953</v>
      </c>
      <c r="F921" t="s">
        <v>752</v>
      </c>
      <c r="H921">
        <v>179.93</v>
      </c>
      <c r="O921" t="s">
        <v>239</v>
      </c>
      <c r="P921" t="s">
        <v>514</v>
      </c>
      <c r="Y921">
        <v>887</v>
      </c>
      <c r="Z921" s="259" t="s">
        <v>630</v>
      </c>
      <c r="AA921">
        <v>30</v>
      </c>
      <c r="AB921">
        <v>6006</v>
      </c>
      <c r="AC921">
        <v>45953</v>
      </c>
      <c r="AD921">
        <v>0</v>
      </c>
      <c r="AE921">
        <v>5397.9000000000005</v>
      </c>
      <c r="AF921">
        <v>5397.9000000000005</v>
      </c>
      <c r="AG921">
        <v>0</v>
      </c>
      <c r="AH921">
        <v>-608.09999999999945</v>
      </c>
    </row>
    <row r="922" spans="2:34" x14ac:dyDescent="0.35">
      <c r="B922" t="s">
        <v>563</v>
      </c>
      <c r="C922">
        <v>45953</v>
      </c>
      <c r="F922" t="s">
        <v>754</v>
      </c>
      <c r="H922">
        <v>78.33</v>
      </c>
      <c r="O922" t="s">
        <v>239</v>
      </c>
      <c r="P922" t="s">
        <v>514</v>
      </c>
      <c r="Y922">
        <v>888</v>
      </c>
      <c r="Z922" s="259" t="s">
        <v>630</v>
      </c>
      <c r="AA922">
        <v>100</v>
      </c>
      <c r="AB922">
        <v>8008</v>
      </c>
      <c r="AC922">
        <v>45953</v>
      </c>
      <c r="AD922">
        <v>0</v>
      </c>
      <c r="AE922">
        <v>7833</v>
      </c>
      <c r="AF922">
        <v>7833</v>
      </c>
      <c r="AG922">
        <v>0</v>
      </c>
      <c r="AH922">
        <v>-175</v>
      </c>
    </row>
    <row r="923" spans="2:34" x14ac:dyDescent="0.35">
      <c r="B923" t="s">
        <v>563</v>
      </c>
      <c r="C923">
        <v>45954</v>
      </c>
      <c r="F923" t="s">
        <v>749</v>
      </c>
      <c r="H923">
        <v>51.7</v>
      </c>
      <c r="O923" t="s">
        <v>239</v>
      </c>
      <c r="P923" t="s">
        <v>514</v>
      </c>
      <c r="Y923">
        <v>889</v>
      </c>
      <c r="Z923" s="259" t="s">
        <v>630</v>
      </c>
      <c r="AA923">
        <v>220</v>
      </c>
      <c r="AB923">
        <v>10937.666666666666</v>
      </c>
      <c r="AC923">
        <v>45954</v>
      </c>
      <c r="AD923">
        <v>0</v>
      </c>
      <c r="AE923">
        <v>11374</v>
      </c>
      <c r="AF923">
        <v>11374</v>
      </c>
      <c r="AG923">
        <v>0</v>
      </c>
      <c r="AH923">
        <v>436.33333333333394</v>
      </c>
    </row>
    <row r="924" spans="2:34" x14ac:dyDescent="0.35">
      <c r="B924" t="s">
        <v>563</v>
      </c>
      <c r="C924">
        <v>45954</v>
      </c>
      <c r="F924" t="s">
        <v>752</v>
      </c>
      <c r="H924">
        <v>180.07</v>
      </c>
      <c r="O924" t="s">
        <v>239</v>
      </c>
      <c r="P924" t="s">
        <v>514</v>
      </c>
      <c r="Y924">
        <v>890</v>
      </c>
      <c r="Z924" s="259" t="s">
        <v>630</v>
      </c>
      <c r="AA924">
        <v>30</v>
      </c>
      <c r="AB924">
        <v>6006</v>
      </c>
      <c r="AC924">
        <v>45954</v>
      </c>
      <c r="AD924">
        <v>0</v>
      </c>
      <c r="AE924">
        <v>5402.0999999999995</v>
      </c>
      <c r="AF924">
        <v>5402.0999999999995</v>
      </c>
      <c r="AG924">
        <v>0</v>
      </c>
      <c r="AH924">
        <v>-603.90000000000055</v>
      </c>
    </row>
    <row r="925" spans="2:34" x14ac:dyDescent="0.35">
      <c r="B925" t="s">
        <v>563</v>
      </c>
      <c r="C925">
        <v>45954</v>
      </c>
      <c r="F925" t="s">
        <v>754</v>
      </c>
      <c r="H925">
        <v>78.17</v>
      </c>
      <c r="O925" t="s">
        <v>239</v>
      </c>
      <c r="P925" t="s">
        <v>514</v>
      </c>
      <c r="Y925">
        <v>891</v>
      </c>
      <c r="Z925" s="259" t="s">
        <v>630</v>
      </c>
      <c r="AA925">
        <v>100</v>
      </c>
      <c r="AB925">
        <v>8008</v>
      </c>
      <c r="AC925">
        <v>45954</v>
      </c>
      <c r="AD925">
        <v>0</v>
      </c>
      <c r="AE925">
        <v>7817</v>
      </c>
      <c r="AF925">
        <v>7817</v>
      </c>
      <c r="AG925">
        <v>0</v>
      </c>
      <c r="AH925">
        <v>-191</v>
      </c>
    </row>
    <row r="926" spans="2:34" x14ac:dyDescent="0.35">
      <c r="B926" t="s">
        <v>563</v>
      </c>
      <c r="C926">
        <v>45955</v>
      </c>
      <c r="F926" t="s">
        <v>749</v>
      </c>
      <c r="H926">
        <v>51.7</v>
      </c>
      <c r="O926" t="s">
        <v>239</v>
      </c>
      <c r="P926" t="s">
        <v>514</v>
      </c>
      <c r="Y926">
        <v>892</v>
      </c>
      <c r="Z926" s="259" t="s">
        <v>630</v>
      </c>
      <c r="AA926">
        <v>220</v>
      </c>
      <c r="AB926">
        <v>10937.666666666666</v>
      </c>
      <c r="AC926">
        <v>45954</v>
      </c>
      <c r="AD926">
        <v>1</v>
      </c>
      <c r="AE926">
        <v>11374</v>
      </c>
      <c r="AF926">
        <v>11374</v>
      </c>
      <c r="AG926">
        <v>0</v>
      </c>
      <c r="AH926">
        <v>436.33333333333394</v>
      </c>
    </row>
    <row r="927" spans="2:34" x14ac:dyDescent="0.35">
      <c r="B927" t="s">
        <v>563</v>
      </c>
      <c r="C927">
        <v>45955</v>
      </c>
      <c r="F927" t="s">
        <v>752</v>
      </c>
      <c r="H927">
        <v>180.07</v>
      </c>
      <c r="O927" t="s">
        <v>239</v>
      </c>
      <c r="P927" t="s">
        <v>514</v>
      </c>
      <c r="Y927">
        <v>893</v>
      </c>
      <c r="Z927" s="259" t="s">
        <v>630</v>
      </c>
      <c r="AA927">
        <v>30</v>
      </c>
      <c r="AB927">
        <v>6006</v>
      </c>
      <c r="AC927">
        <v>45954</v>
      </c>
      <c r="AD927">
        <v>1</v>
      </c>
      <c r="AE927">
        <v>5402.0999999999995</v>
      </c>
      <c r="AF927">
        <v>5402.0999999999995</v>
      </c>
      <c r="AG927">
        <v>0</v>
      </c>
      <c r="AH927">
        <v>-603.90000000000055</v>
      </c>
    </row>
    <row r="928" spans="2:34" x14ac:dyDescent="0.35">
      <c r="B928" t="s">
        <v>563</v>
      </c>
      <c r="C928">
        <v>45955</v>
      </c>
      <c r="F928" t="s">
        <v>754</v>
      </c>
      <c r="H928">
        <v>78.17</v>
      </c>
      <c r="O928" t="s">
        <v>239</v>
      </c>
      <c r="P928" t="s">
        <v>514</v>
      </c>
      <c r="Y928">
        <v>894</v>
      </c>
      <c r="Z928" s="259" t="s">
        <v>630</v>
      </c>
      <c r="AA928">
        <v>100</v>
      </c>
      <c r="AB928">
        <v>8008</v>
      </c>
      <c r="AC928">
        <v>45954</v>
      </c>
      <c r="AD928">
        <v>1</v>
      </c>
      <c r="AE928">
        <v>7817</v>
      </c>
      <c r="AF928">
        <v>7817</v>
      </c>
      <c r="AG928">
        <v>0</v>
      </c>
      <c r="AH928">
        <v>-191</v>
      </c>
    </row>
    <row r="929" spans="2:34" x14ac:dyDescent="0.35">
      <c r="B929" t="s">
        <v>563</v>
      </c>
      <c r="C929">
        <v>45956</v>
      </c>
      <c r="F929" t="s">
        <v>749</v>
      </c>
      <c r="H929">
        <v>51.7</v>
      </c>
      <c r="O929" t="s">
        <v>239</v>
      </c>
      <c r="P929" t="s">
        <v>514</v>
      </c>
      <c r="Y929">
        <v>895</v>
      </c>
      <c r="Z929" s="259" t="s">
        <v>630</v>
      </c>
      <c r="AA929">
        <v>220</v>
      </c>
      <c r="AB929">
        <v>10937.666666666666</v>
      </c>
      <c r="AC929">
        <v>45954</v>
      </c>
      <c r="AD929">
        <v>2</v>
      </c>
      <c r="AE929">
        <v>11374</v>
      </c>
      <c r="AF929">
        <v>11374</v>
      </c>
      <c r="AG929">
        <v>0</v>
      </c>
      <c r="AH929">
        <v>436.33333333333394</v>
      </c>
    </row>
    <row r="930" spans="2:34" x14ac:dyDescent="0.35">
      <c r="B930" t="s">
        <v>563</v>
      </c>
      <c r="C930">
        <v>45956</v>
      </c>
      <c r="F930" t="s">
        <v>752</v>
      </c>
      <c r="H930">
        <v>180.07</v>
      </c>
      <c r="O930" t="s">
        <v>239</v>
      </c>
      <c r="P930" t="s">
        <v>514</v>
      </c>
      <c r="Y930">
        <v>896</v>
      </c>
      <c r="Z930" s="259" t="s">
        <v>630</v>
      </c>
      <c r="AA930">
        <v>30</v>
      </c>
      <c r="AB930">
        <v>6006</v>
      </c>
      <c r="AC930">
        <v>45954</v>
      </c>
      <c r="AD930">
        <v>2</v>
      </c>
      <c r="AE930">
        <v>5402.0999999999995</v>
      </c>
      <c r="AF930">
        <v>5402.0999999999995</v>
      </c>
      <c r="AG930">
        <v>0</v>
      </c>
      <c r="AH930">
        <v>-603.90000000000055</v>
      </c>
    </row>
    <row r="931" spans="2:34" x14ac:dyDescent="0.35">
      <c r="B931" t="s">
        <v>563</v>
      </c>
      <c r="C931">
        <v>45956</v>
      </c>
      <c r="F931" t="s">
        <v>754</v>
      </c>
      <c r="H931">
        <v>78.17</v>
      </c>
      <c r="O931" t="s">
        <v>239</v>
      </c>
      <c r="P931" t="s">
        <v>514</v>
      </c>
      <c r="Y931">
        <v>897</v>
      </c>
      <c r="Z931" s="259" t="s">
        <v>630</v>
      </c>
      <c r="AA931">
        <v>100</v>
      </c>
      <c r="AB931">
        <v>8008</v>
      </c>
      <c r="AC931">
        <v>45954</v>
      </c>
      <c r="AD931">
        <v>2</v>
      </c>
      <c r="AE931">
        <v>7817</v>
      </c>
      <c r="AF931">
        <v>7817</v>
      </c>
      <c r="AG931">
        <v>0</v>
      </c>
      <c r="AH931">
        <v>-191</v>
      </c>
    </row>
    <row r="932" spans="2:34" x14ac:dyDescent="0.35">
      <c r="B932" t="s">
        <v>563</v>
      </c>
      <c r="C932">
        <v>45957</v>
      </c>
      <c r="F932" t="s">
        <v>749</v>
      </c>
      <c r="H932">
        <v>51.4</v>
      </c>
      <c r="O932" t="s">
        <v>239</v>
      </c>
      <c r="P932" t="s">
        <v>514</v>
      </c>
      <c r="Y932">
        <v>898</v>
      </c>
      <c r="Z932" s="259" t="s">
        <v>630</v>
      </c>
      <c r="AA932">
        <v>220</v>
      </c>
      <c r="AB932">
        <v>10937.666666666666</v>
      </c>
      <c r="AC932">
        <v>45957</v>
      </c>
      <c r="AD932">
        <v>0</v>
      </c>
      <c r="AE932">
        <v>11308</v>
      </c>
      <c r="AF932">
        <v>11308</v>
      </c>
      <c r="AG932">
        <v>0</v>
      </c>
      <c r="AH932">
        <v>370.33333333333394</v>
      </c>
    </row>
    <row r="933" spans="2:34" x14ac:dyDescent="0.35">
      <c r="B933" t="s">
        <v>563</v>
      </c>
      <c r="C933">
        <v>45957</v>
      </c>
      <c r="F933" t="s">
        <v>752</v>
      </c>
      <c r="H933">
        <v>180.47</v>
      </c>
      <c r="O933" t="s">
        <v>239</v>
      </c>
      <c r="P933" t="s">
        <v>514</v>
      </c>
      <c r="Y933">
        <v>899</v>
      </c>
      <c r="Z933" s="259" t="s">
        <v>630</v>
      </c>
      <c r="AA933">
        <v>30</v>
      </c>
      <c r="AB933">
        <v>6006</v>
      </c>
      <c r="AC933">
        <v>45957</v>
      </c>
      <c r="AD933">
        <v>0</v>
      </c>
      <c r="AE933">
        <v>5414.1</v>
      </c>
      <c r="AF933">
        <v>5414.1</v>
      </c>
      <c r="AG933">
        <v>0</v>
      </c>
      <c r="AH933">
        <v>-591.89999999999964</v>
      </c>
    </row>
    <row r="934" spans="2:34" x14ac:dyDescent="0.35">
      <c r="B934" t="s">
        <v>563</v>
      </c>
      <c r="C934">
        <v>45957</v>
      </c>
      <c r="F934" t="s">
        <v>754</v>
      </c>
      <c r="H934">
        <v>77.67</v>
      </c>
      <c r="O934" t="s">
        <v>239</v>
      </c>
      <c r="P934" t="s">
        <v>514</v>
      </c>
      <c r="Y934">
        <v>900</v>
      </c>
      <c r="Z934" s="259" t="s">
        <v>630</v>
      </c>
      <c r="AA934">
        <v>100</v>
      </c>
      <c r="AB934">
        <v>8008</v>
      </c>
      <c r="AC934">
        <v>45957</v>
      </c>
      <c r="AD934">
        <v>0</v>
      </c>
      <c r="AE934">
        <v>7767</v>
      </c>
      <c r="AF934">
        <v>7767</v>
      </c>
      <c r="AG934">
        <v>0</v>
      </c>
      <c r="AH934">
        <v>-241</v>
      </c>
    </row>
    <row r="935" spans="2:34" x14ac:dyDescent="0.35">
      <c r="B935" t="s">
        <v>563</v>
      </c>
      <c r="C935">
        <v>45958</v>
      </c>
      <c r="F935" t="s">
        <v>749</v>
      </c>
      <c r="H935">
        <v>51.3</v>
      </c>
      <c r="O935" t="s">
        <v>239</v>
      </c>
      <c r="P935" t="s">
        <v>514</v>
      </c>
      <c r="Y935">
        <v>901</v>
      </c>
      <c r="Z935" s="259" t="s">
        <v>630</v>
      </c>
      <c r="AA935">
        <v>220</v>
      </c>
      <c r="AB935">
        <v>10937.666666666666</v>
      </c>
      <c r="AC935">
        <v>45958</v>
      </c>
      <c r="AD935">
        <v>0</v>
      </c>
      <c r="AE935">
        <v>11286</v>
      </c>
      <c r="AF935">
        <v>11286</v>
      </c>
      <c r="AG935">
        <v>0</v>
      </c>
      <c r="AH935">
        <v>348.33333333333394</v>
      </c>
    </row>
    <row r="936" spans="2:34" x14ac:dyDescent="0.35">
      <c r="B936" t="s">
        <v>563</v>
      </c>
      <c r="C936">
        <v>45958</v>
      </c>
      <c r="F936" t="s">
        <v>752</v>
      </c>
      <c r="H936">
        <v>180.6</v>
      </c>
      <c r="O936" t="s">
        <v>239</v>
      </c>
      <c r="P936" t="s">
        <v>514</v>
      </c>
      <c r="Y936">
        <v>902</v>
      </c>
      <c r="Z936" s="259" t="s">
        <v>630</v>
      </c>
      <c r="AA936">
        <v>30</v>
      </c>
      <c r="AB936">
        <v>6006</v>
      </c>
      <c r="AC936">
        <v>45958</v>
      </c>
      <c r="AD936">
        <v>0</v>
      </c>
      <c r="AE936">
        <v>5418</v>
      </c>
      <c r="AF936">
        <v>5418</v>
      </c>
      <c r="AG936">
        <v>0</v>
      </c>
      <c r="AH936">
        <v>-588</v>
      </c>
    </row>
    <row r="937" spans="2:34" x14ac:dyDescent="0.35">
      <c r="B937" t="s">
        <v>563</v>
      </c>
      <c r="C937">
        <v>45958</v>
      </c>
      <c r="F937" t="s">
        <v>754</v>
      </c>
      <c r="H937">
        <v>77.5</v>
      </c>
      <c r="O937" t="s">
        <v>239</v>
      </c>
      <c r="P937" t="s">
        <v>514</v>
      </c>
      <c r="Y937">
        <v>903</v>
      </c>
      <c r="Z937" s="259" t="s">
        <v>630</v>
      </c>
      <c r="AA937">
        <v>100</v>
      </c>
      <c r="AB937">
        <v>8008</v>
      </c>
      <c r="AC937">
        <v>45958</v>
      </c>
      <c r="AD937">
        <v>0</v>
      </c>
      <c r="AE937">
        <v>7750</v>
      </c>
      <c r="AF937">
        <v>7750</v>
      </c>
      <c r="AG937">
        <v>0</v>
      </c>
      <c r="AH937">
        <v>-258</v>
      </c>
    </row>
    <row r="938" spans="2:34" x14ac:dyDescent="0.35">
      <c r="B938" t="s">
        <v>563</v>
      </c>
      <c r="C938">
        <v>45959</v>
      </c>
      <c r="F938" t="s">
        <v>749</v>
      </c>
      <c r="H938">
        <v>51.2</v>
      </c>
      <c r="O938" t="s">
        <v>239</v>
      </c>
      <c r="P938" t="s">
        <v>514</v>
      </c>
      <c r="Y938">
        <v>904</v>
      </c>
      <c r="Z938" s="259" t="s">
        <v>630</v>
      </c>
      <c r="AA938">
        <v>220</v>
      </c>
      <c r="AB938">
        <v>10937.666666666666</v>
      </c>
      <c r="AC938">
        <v>45959</v>
      </c>
      <c r="AD938">
        <v>0</v>
      </c>
      <c r="AE938">
        <v>11264</v>
      </c>
      <c r="AF938">
        <v>11264</v>
      </c>
      <c r="AG938">
        <v>0</v>
      </c>
      <c r="AH938">
        <v>326.33333333333394</v>
      </c>
    </row>
    <row r="939" spans="2:34" x14ac:dyDescent="0.35">
      <c r="B939" t="s">
        <v>563</v>
      </c>
      <c r="C939">
        <v>45959</v>
      </c>
      <c r="F939" t="s">
        <v>752</v>
      </c>
      <c r="H939">
        <v>180.73</v>
      </c>
      <c r="O939" t="s">
        <v>239</v>
      </c>
      <c r="P939" t="s">
        <v>514</v>
      </c>
      <c r="Y939">
        <v>905</v>
      </c>
      <c r="Z939" s="259" t="s">
        <v>630</v>
      </c>
      <c r="AA939">
        <v>30</v>
      </c>
      <c r="AB939">
        <v>6006</v>
      </c>
      <c r="AC939">
        <v>45959</v>
      </c>
      <c r="AD939">
        <v>0</v>
      </c>
      <c r="AE939">
        <v>5421.9</v>
      </c>
      <c r="AF939">
        <v>5421.9</v>
      </c>
      <c r="AG939">
        <v>0</v>
      </c>
      <c r="AH939">
        <v>-584.10000000000036</v>
      </c>
    </row>
    <row r="940" spans="2:34" x14ac:dyDescent="0.35">
      <c r="B940" t="s">
        <v>563</v>
      </c>
      <c r="C940">
        <v>45959</v>
      </c>
      <c r="F940" t="s">
        <v>754</v>
      </c>
      <c r="H940">
        <v>77.33</v>
      </c>
      <c r="O940" t="s">
        <v>239</v>
      </c>
      <c r="P940" t="s">
        <v>514</v>
      </c>
      <c r="Y940">
        <v>906</v>
      </c>
      <c r="Z940" s="259" t="s">
        <v>630</v>
      </c>
      <c r="AA940">
        <v>100</v>
      </c>
      <c r="AB940">
        <v>8008</v>
      </c>
      <c r="AC940">
        <v>45959</v>
      </c>
      <c r="AD940">
        <v>0</v>
      </c>
      <c r="AE940">
        <v>7733</v>
      </c>
      <c r="AF940">
        <v>7733</v>
      </c>
      <c r="AG940">
        <v>0</v>
      </c>
      <c r="AH940">
        <v>-275</v>
      </c>
    </row>
    <row r="941" spans="2:34" x14ac:dyDescent="0.35">
      <c r="B941" t="s">
        <v>563</v>
      </c>
      <c r="C941">
        <v>45960</v>
      </c>
      <c r="F941" t="s">
        <v>749</v>
      </c>
      <c r="H941">
        <v>51.1</v>
      </c>
      <c r="O941" t="s">
        <v>239</v>
      </c>
      <c r="P941" t="s">
        <v>514</v>
      </c>
      <c r="Y941">
        <v>907</v>
      </c>
      <c r="Z941" s="259" t="s">
        <v>630</v>
      </c>
      <c r="AA941">
        <v>220</v>
      </c>
      <c r="AB941">
        <v>10937.666666666666</v>
      </c>
      <c r="AC941">
        <v>45960</v>
      </c>
      <c r="AD941">
        <v>0</v>
      </c>
      <c r="AE941">
        <v>11242</v>
      </c>
      <c r="AF941">
        <v>11242</v>
      </c>
      <c r="AG941">
        <v>0</v>
      </c>
      <c r="AH941">
        <v>304.33333333333394</v>
      </c>
    </row>
    <row r="942" spans="2:34" x14ac:dyDescent="0.35">
      <c r="B942" t="s">
        <v>563</v>
      </c>
      <c r="C942">
        <v>45960</v>
      </c>
      <c r="F942" t="s">
        <v>752</v>
      </c>
      <c r="H942">
        <v>180.87</v>
      </c>
      <c r="O942" t="s">
        <v>239</v>
      </c>
      <c r="P942" t="s">
        <v>514</v>
      </c>
      <c r="Y942">
        <v>908</v>
      </c>
      <c r="Z942" s="259" t="s">
        <v>630</v>
      </c>
      <c r="AA942">
        <v>30</v>
      </c>
      <c r="AB942">
        <v>6006</v>
      </c>
      <c r="AC942">
        <v>45960</v>
      </c>
      <c r="AD942">
        <v>0</v>
      </c>
      <c r="AE942">
        <v>5426.1</v>
      </c>
      <c r="AF942">
        <v>5426.1</v>
      </c>
      <c r="AG942">
        <v>0</v>
      </c>
      <c r="AH942">
        <v>-579.89999999999964</v>
      </c>
    </row>
    <row r="943" spans="2:34" x14ac:dyDescent="0.35">
      <c r="B943" t="s">
        <v>563</v>
      </c>
      <c r="C943">
        <v>45960</v>
      </c>
      <c r="F943" t="s">
        <v>754</v>
      </c>
      <c r="H943">
        <v>77.17</v>
      </c>
      <c r="O943" t="s">
        <v>239</v>
      </c>
      <c r="P943" t="s">
        <v>514</v>
      </c>
      <c r="Y943">
        <v>909</v>
      </c>
      <c r="Z943" s="259" t="s">
        <v>630</v>
      </c>
      <c r="AA943">
        <v>100</v>
      </c>
      <c r="AB943">
        <v>8008</v>
      </c>
      <c r="AC943">
        <v>45960</v>
      </c>
      <c r="AD943">
        <v>0</v>
      </c>
      <c r="AE943">
        <v>7717</v>
      </c>
      <c r="AF943">
        <v>7717</v>
      </c>
      <c r="AG943">
        <v>0</v>
      </c>
      <c r="AH943">
        <v>-291</v>
      </c>
    </row>
    <row r="944" spans="2:34" x14ac:dyDescent="0.35">
      <c r="B944" t="s">
        <v>563</v>
      </c>
      <c r="C944">
        <v>45961</v>
      </c>
      <c r="F944" t="s">
        <v>749</v>
      </c>
      <c r="H944">
        <v>51</v>
      </c>
      <c r="O944" t="s">
        <v>239</v>
      </c>
      <c r="P944" t="s">
        <v>514</v>
      </c>
      <c r="Y944">
        <v>910</v>
      </c>
      <c r="Z944" s="259" t="s">
        <v>630</v>
      </c>
      <c r="AA944">
        <v>220</v>
      </c>
      <c r="AB944">
        <v>10937.666666666666</v>
      </c>
      <c r="AC944">
        <v>45961</v>
      </c>
      <c r="AD944">
        <v>0</v>
      </c>
      <c r="AE944">
        <v>11220</v>
      </c>
      <c r="AF944">
        <v>11220</v>
      </c>
      <c r="AG944">
        <v>0</v>
      </c>
      <c r="AH944">
        <v>282.33333333333394</v>
      </c>
    </row>
    <row r="945" spans="2:34" x14ac:dyDescent="0.35">
      <c r="B945" t="s">
        <v>563</v>
      </c>
      <c r="C945">
        <v>45961</v>
      </c>
      <c r="F945" t="s">
        <v>752</v>
      </c>
      <c r="H945">
        <v>181</v>
      </c>
      <c r="O945" t="s">
        <v>239</v>
      </c>
      <c r="P945" t="s">
        <v>514</v>
      </c>
      <c r="Y945">
        <v>911</v>
      </c>
      <c r="Z945" s="259" t="s">
        <v>630</v>
      </c>
      <c r="AA945">
        <v>30</v>
      </c>
      <c r="AB945">
        <v>6006</v>
      </c>
      <c r="AC945">
        <v>45961</v>
      </c>
      <c r="AD945">
        <v>0</v>
      </c>
      <c r="AE945">
        <v>5430</v>
      </c>
      <c r="AF945">
        <v>5430</v>
      </c>
      <c r="AG945">
        <v>0</v>
      </c>
      <c r="AH945">
        <v>-576</v>
      </c>
    </row>
    <row r="946" spans="2:34" x14ac:dyDescent="0.35">
      <c r="B946" t="s">
        <v>563</v>
      </c>
      <c r="C946">
        <v>45961</v>
      </c>
      <c r="F946" t="s">
        <v>754</v>
      </c>
      <c r="H946">
        <v>77</v>
      </c>
      <c r="O946" t="s">
        <v>239</v>
      </c>
      <c r="P946" t="s">
        <v>514</v>
      </c>
      <c r="Y946">
        <v>912</v>
      </c>
      <c r="Z946" s="259" t="s">
        <v>630</v>
      </c>
      <c r="AA946">
        <v>100</v>
      </c>
      <c r="AB946">
        <v>8008</v>
      </c>
      <c r="AC946">
        <v>45961</v>
      </c>
      <c r="AD946">
        <v>0</v>
      </c>
      <c r="AE946">
        <v>7700</v>
      </c>
      <c r="AF946">
        <v>7700</v>
      </c>
      <c r="AG946">
        <v>0</v>
      </c>
      <c r="AH946">
        <v>-308</v>
      </c>
    </row>
    <row r="947" spans="2:34" x14ac:dyDescent="0.35">
      <c r="B947" t="s">
        <v>563</v>
      </c>
      <c r="C947">
        <v>45962</v>
      </c>
      <c r="F947" t="s">
        <v>749</v>
      </c>
      <c r="H947">
        <v>51</v>
      </c>
      <c r="O947" t="s">
        <v>239</v>
      </c>
      <c r="P947" t="s">
        <v>514</v>
      </c>
      <c r="Y947">
        <v>913</v>
      </c>
      <c r="Z947" s="259" t="s">
        <v>630</v>
      </c>
      <c r="AA947">
        <v>220</v>
      </c>
      <c r="AB947">
        <v>10937.666666666666</v>
      </c>
      <c r="AC947">
        <v>45961</v>
      </c>
      <c r="AD947">
        <v>1</v>
      </c>
      <c r="AE947">
        <v>11220</v>
      </c>
      <c r="AF947">
        <v>11220</v>
      </c>
      <c r="AG947">
        <v>0</v>
      </c>
      <c r="AH947">
        <v>282.33333333333394</v>
      </c>
    </row>
    <row r="948" spans="2:34" x14ac:dyDescent="0.35">
      <c r="B948" t="s">
        <v>563</v>
      </c>
      <c r="C948">
        <v>45962</v>
      </c>
      <c r="F948" t="s">
        <v>752</v>
      </c>
      <c r="H948">
        <v>181</v>
      </c>
      <c r="O948" t="s">
        <v>239</v>
      </c>
      <c r="P948" t="s">
        <v>514</v>
      </c>
      <c r="Y948">
        <v>914</v>
      </c>
      <c r="Z948" s="259" t="s">
        <v>630</v>
      </c>
      <c r="AA948">
        <v>30</v>
      </c>
      <c r="AB948">
        <v>6006</v>
      </c>
      <c r="AC948">
        <v>45961</v>
      </c>
      <c r="AD948">
        <v>1</v>
      </c>
      <c r="AE948">
        <v>5430</v>
      </c>
      <c r="AF948">
        <v>5430</v>
      </c>
      <c r="AG948">
        <v>0</v>
      </c>
      <c r="AH948">
        <v>-576</v>
      </c>
    </row>
    <row r="949" spans="2:34" x14ac:dyDescent="0.35">
      <c r="B949" t="s">
        <v>563</v>
      </c>
      <c r="C949">
        <v>45962</v>
      </c>
      <c r="F949" t="s">
        <v>754</v>
      </c>
      <c r="H949">
        <v>77</v>
      </c>
      <c r="O949" t="s">
        <v>239</v>
      </c>
      <c r="P949" t="s">
        <v>514</v>
      </c>
      <c r="Y949">
        <v>915</v>
      </c>
      <c r="Z949" s="259" t="s">
        <v>630</v>
      </c>
      <c r="AA949">
        <v>100</v>
      </c>
      <c r="AB949">
        <v>8008</v>
      </c>
      <c r="AC949">
        <v>45961</v>
      </c>
      <c r="AD949">
        <v>1</v>
      </c>
      <c r="AE949">
        <v>7700</v>
      </c>
      <c r="AF949">
        <v>7700</v>
      </c>
      <c r="AG949">
        <v>0</v>
      </c>
      <c r="AH949">
        <v>-308</v>
      </c>
    </row>
    <row r="950" spans="2:34" x14ac:dyDescent="0.35">
      <c r="B950" t="s">
        <v>563</v>
      </c>
      <c r="C950">
        <v>45963</v>
      </c>
      <c r="F950" t="s">
        <v>749</v>
      </c>
      <c r="H950">
        <v>51</v>
      </c>
      <c r="O950" t="s">
        <v>239</v>
      </c>
      <c r="P950" t="s">
        <v>514</v>
      </c>
      <c r="Y950">
        <v>916</v>
      </c>
      <c r="Z950" s="259" t="s">
        <v>630</v>
      </c>
      <c r="AA950">
        <v>220</v>
      </c>
      <c r="AB950">
        <v>10937.666666666666</v>
      </c>
      <c r="AC950">
        <v>45961</v>
      </c>
      <c r="AD950">
        <v>2</v>
      </c>
      <c r="AE950">
        <v>11220</v>
      </c>
      <c r="AF950">
        <v>11220</v>
      </c>
      <c r="AG950">
        <v>0</v>
      </c>
      <c r="AH950">
        <v>282.33333333333394</v>
      </c>
    </row>
    <row r="951" spans="2:34" x14ac:dyDescent="0.35">
      <c r="B951" t="s">
        <v>563</v>
      </c>
      <c r="C951">
        <v>45963</v>
      </c>
      <c r="F951" t="s">
        <v>752</v>
      </c>
      <c r="H951">
        <v>181</v>
      </c>
      <c r="O951" t="s">
        <v>239</v>
      </c>
      <c r="P951" t="s">
        <v>514</v>
      </c>
      <c r="Y951">
        <v>917</v>
      </c>
      <c r="Z951" s="259" t="s">
        <v>630</v>
      </c>
      <c r="AA951">
        <v>30</v>
      </c>
      <c r="AB951">
        <v>6006</v>
      </c>
      <c r="AC951">
        <v>45961</v>
      </c>
      <c r="AD951">
        <v>2</v>
      </c>
      <c r="AE951">
        <v>5430</v>
      </c>
      <c r="AF951">
        <v>5430</v>
      </c>
      <c r="AG951">
        <v>0</v>
      </c>
      <c r="AH951">
        <v>-576</v>
      </c>
    </row>
    <row r="952" spans="2:34" x14ac:dyDescent="0.35">
      <c r="B952" t="s">
        <v>563</v>
      </c>
      <c r="C952">
        <v>45963</v>
      </c>
      <c r="F952" t="s">
        <v>754</v>
      </c>
      <c r="H952">
        <v>77</v>
      </c>
      <c r="O952" t="s">
        <v>239</v>
      </c>
      <c r="P952" t="s">
        <v>514</v>
      </c>
      <c r="Y952">
        <v>918</v>
      </c>
      <c r="Z952" s="259" t="s">
        <v>630</v>
      </c>
      <c r="AA952">
        <v>100</v>
      </c>
      <c r="AB952">
        <v>8008</v>
      </c>
      <c r="AC952">
        <v>45961</v>
      </c>
      <c r="AD952">
        <v>2</v>
      </c>
      <c r="AE952">
        <v>7700</v>
      </c>
      <c r="AF952">
        <v>7700</v>
      </c>
      <c r="AG952">
        <v>0</v>
      </c>
      <c r="AH952">
        <v>-308</v>
      </c>
    </row>
    <row r="953" spans="2:34" x14ac:dyDescent="0.35">
      <c r="B953" t="s">
        <v>563</v>
      </c>
      <c r="C953">
        <v>45964</v>
      </c>
      <c r="F953" t="s">
        <v>749</v>
      </c>
      <c r="H953">
        <v>50.79</v>
      </c>
      <c r="O953" t="s">
        <v>239</v>
      </c>
      <c r="P953" t="s">
        <v>514</v>
      </c>
      <c r="Y953">
        <v>919</v>
      </c>
      <c r="Z953" s="259" t="s">
        <v>630</v>
      </c>
      <c r="AA953">
        <v>220</v>
      </c>
      <c r="AB953">
        <v>10937.666666666666</v>
      </c>
      <c r="AC953">
        <v>45964</v>
      </c>
      <c r="AD953">
        <v>0</v>
      </c>
      <c r="AE953">
        <v>11173.8</v>
      </c>
      <c r="AF953">
        <v>11173.8</v>
      </c>
      <c r="AG953">
        <v>0</v>
      </c>
      <c r="AH953">
        <v>236.13333333333321</v>
      </c>
    </row>
    <row r="954" spans="2:34" x14ac:dyDescent="0.35">
      <c r="B954" t="s">
        <v>563</v>
      </c>
      <c r="C954">
        <v>45964</v>
      </c>
      <c r="F954" t="s">
        <v>752</v>
      </c>
      <c r="H954">
        <v>180.24</v>
      </c>
      <c r="O954" t="s">
        <v>239</v>
      </c>
      <c r="P954" t="s">
        <v>514</v>
      </c>
      <c r="Y954">
        <v>920</v>
      </c>
      <c r="Z954" s="259" t="s">
        <v>630</v>
      </c>
      <c r="AA954">
        <v>30</v>
      </c>
      <c r="AB954">
        <v>6006</v>
      </c>
      <c r="AC954">
        <v>45964</v>
      </c>
      <c r="AD954">
        <v>0</v>
      </c>
      <c r="AE954">
        <v>5407.2000000000007</v>
      </c>
      <c r="AF954">
        <v>5407.2000000000007</v>
      </c>
      <c r="AG954">
        <v>0</v>
      </c>
      <c r="AH954">
        <v>-598.79999999999927</v>
      </c>
    </row>
    <row r="955" spans="2:34" x14ac:dyDescent="0.35">
      <c r="B955" t="s">
        <v>563</v>
      </c>
      <c r="C955">
        <v>45964</v>
      </c>
      <c r="F955" t="s">
        <v>754</v>
      </c>
      <c r="H955">
        <v>76.010000000000005</v>
      </c>
      <c r="O955" t="s">
        <v>239</v>
      </c>
      <c r="P955" t="s">
        <v>514</v>
      </c>
      <c r="Y955">
        <v>921</v>
      </c>
      <c r="Z955" s="259" t="s">
        <v>630</v>
      </c>
      <c r="AA955">
        <v>100</v>
      </c>
      <c r="AB955">
        <v>8008</v>
      </c>
      <c r="AC955">
        <v>45964</v>
      </c>
      <c r="AD955">
        <v>0</v>
      </c>
      <c r="AE955">
        <v>7601.0000000000009</v>
      </c>
      <c r="AF955">
        <v>7601.0000000000009</v>
      </c>
      <c r="AG955">
        <v>120</v>
      </c>
      <c r="AH955">
        <v>-406.99999999999909</v>
      </c>
    </row>
    <row r="956" spans="2:34" x14ac:dyDescent="0.35">
      <c r="B956" t="s">
        <v>563</v>
      </c>
      <c r="C956">
        <v>45965</v>
      </c>
      <c r="F956" t="s">
        <v>749</v>
      </c>
      <c r="H956">
        <v>50.69</v>
      </c>
      <c r="O956" t="s">
        <v>239</v>
      </c>
      <c r="P956" t="s">
        <v>514</v>
      </c>
      <c r="Y956">
        <v>922</v>
      </c>
      <c r="Z956" s="259" t="s">
        <v>630</v>
      </c>
      <c r="AA956">
        <v>220</v>
      </c>
      <c r="AB956">
        <v>10937.666666666666</v>
      </c>
      <c r="AC956">
        <v>45965</v>
      </c>
      <c r="AD956">
        <v>0</v>
      </c>
      <c r="AE956">
        <v>11151.8</v>
      </c>
      <c r="AF956">
        <v>11151.8</v>
      </c>
      <c r="AG956">
        <v>0</v>
      </c>
      <c r="AH956">
        <v>214.13333333333321</v>
      </c>
    </row>
    <row r="957" spans="2:34" x14ac:dyDescent="0.35">
      <c r="B957" t="s">
        <v>563</v>
      </c>
      <c r="C957">
        <v>45965</v>
      </c>
      <c r="F957" t="s">
        <v>752</v>
      </c>
      <c r="H957">
        <v>179.86</v>
      </c>
      <c r="O957" t="s">
        <v>239</v>
      </c>
      <c r="P957" t="s">
        <v>514</v>
      </c>
      <c r="Y957">
        <v>923</v>
      </c>
      <c r="Z957" s="259" t="s">
        <v>630</v>
      </c>
      <c r="AA957">
        <v>30</v>
      </c>
      <c r="AB957">
        <v>6006</v>
      </c>
      <c r="AC957">
        <v>45965</v>
      </c>
      <c r="AD957">
        <v>0</v>
      </c>
      <c r="AE957">
        <v>5395.8</v>
      </c>
      <c r="AF957">
        <v>5395.8</v>
      </c>
      <c r="AG957">
        <v>0</v>
      </c>
      <c r="AH957">
        <v>-610.19999999999982</v>
      </c>
    </row>
    <row r="958" spans="2:34" x14ac:dyDescent="0.35">
      <c r="B958" t="s">
        <v>563</v>
      </c>
      <c r="C958">
        <v>45965</v>
      </c>
      <c r="F958" t="s">
        <v>754</v>
      </c>
      <c r="H958">
        <v>76.11</v>
      </c>
      <c r="O958" t="s">
        <v>239</v>
      </c>
      <c r="P958" t="s">
        <v>514</v>
      </c>
      <c r="Y958">
        <v>924</v>
      </c>
      <c r="Z958" s="259" t="s">
        <v>630</v>
      </c>
      <c r="AA958">
        <v>100</v>
      </c>
      <c r="AB958">
        <v>8008</v>
      </c>
      <c r="AC958">
        <v>45965</v>
      </c>
      <c r="AD958">
        <v>0</v>
      </c>
      <c r="AE958">
        <v>7611</v>
      </c>
      <c r="AF958">
        <v>7611</v>
      </c>
      <c r="AG958">
        <v>120</v>
      </c>
      <c r="AH958">
        <v>-397</v>
      </c>
    </row>
    <row r="959" spans="2:34" x14ac:dyDescent="0.35">
      <c r="B959" t="s">
        <v>563</v>
      </c>
      <c r="C959">
        <v>45966</v>
      </c>
      <c r="F959" t="s">
        <v>749</v>
      </c>
      <c r="H959">
        <v>50.59</v>
      </c>
      <c r="O959" t="s">
        <v>239</v>
      </c>
      <c r="P959" t="s">
        <v>514</v>
      </c>
      <c r="Y959">
        <v>925</v>
      </c>
      <c r="Z959" s="259" t="s">
        <v>630</v>
      </c>
      <c r="AA959">
        <v>220</v>
      </c>
      <c r="AB959">
        <v>10937.666666666666</v>
      </c>
      <c r="AC959">
        <v>45966</v>
      </c>
      <c r="AD959">
        <v>0</v>
      </c>
      <c r="AE959">
        <v>11129.800000000001</v>
      </c>
      <c r="AF959">
        <v>11129.800000000001</v>
      </c>
      <c r="AG959">
        <v>0</v>
      </c>
      <c r="AH959">
        <v>192.13333333333503</v>
      </c>
    </row>
    <row r="960" spans="2:34" x14ac:dyDescent="0.35">
      <c r="B960" t="s">
        <v>563</v>
      </c>
      <c r="C960">
        <v>45966</v>
      </c>
      <c r="F960" t="s">
        <v>752</v>
      </c>
      <c r="H960">
        <v>179.48</v>
      </c>
      <c r="O960" t="s">
        <v>239</v>
      </c>
      <c r="P960" t="s">
        <v>514</v>
      </c>
      <c r="Y960">
        <v>926</v>
      </c>
      <c r="Z960" s="259" t="s">
        <v>630</v>
      </c>
      <c r="AA960">
        <v>30</v>
      </c>
      <c r="AB960">
        <v>6006</v>
      </c>
      <c r="AC960">
        <v>45966</v>
      </c>
      <c r="AD960">
        <v>0</v>
      </c>
      <c r="AE960">
        <v>5384.4</v>
      </c>
      <c r="AF960">
        <v>5384.4</v>
      </c>
      <c r="AG960">
        <v>0</v>
      </c>
      <c r="AH960">
        <v>-621.60000000000036</v>
      </c>
    </row>
    <row r="961" spans="2:34" x14ac:dyDescent="0.35">
      <c r="B961" t="s">
        <v>563</v>
      </c>
      <c r="C961">
        <v>45966</v>
      </c>
      <c r="F961" t="s">
        <v>754</v>
      </c>
      <c r="H961">
        <v>76.209999999999994</v>
      </c>
      <c r="O961" t="s">
        <v>239</v>
      </c>
      <c r="P961" t="s">
        <v>514</v>
      </c>
      <c r="Y961">
        <v>927</v>
      </c>
      <c r="Z961" s="259" t="s">
        <v>630</v>
      </c>
      <c r="AA961">
        <v>100</v>
      </c>
      <c r="AB961">
        <v>8008</v>
      </c>
      <c r="AC961">
        <v>45966</v>
      </c>
      <c r="AD961">
        <v>0</v>
      </c>
      <c r="AE961">
        <v>7620.9999999999991</v>
      </c>
      <c r="AF961">
        <v>7620.9999999999991</v>
      </c>
      <c r="AG961">
        <v>120</v>
      </c>
      <c r="AH961">
        <v>-387.00000000000091</v>
      </c>
    </row>
    <row r="962" spans="2:34" x14ac:dyDescent="0.35">
      <c r="B962" t="s">
        <v>563</v>
      </c>
      <c r="C962">
        <v>45967</v>
      </c>
      <c r="F962" t="s">
        <v>749</v>
      </c>
      <c r="H962">
        <v>50.48</v>
      </c>
      <c r="O962" t="s">
        <v>239</v>
      </c>
      <c r="P962" t="s">
        <v>514</v>
      </c>
      <c r="Y962">
        <v>928</v>
      </c>
      <c r="Z962" s="259" t="s">
        <v>630</v>
      </c>
      <c r="AA962">
        <v>220</v>
      </c>
      <c r="AB962">
        <v>10937.666666666666</v>
      </c>
      <c r="AC962">
        <v>45967</v>
      </c>
      <c r="AD962">
        <v>0</v>
      </c>
      <c r="AE962">
        <v>11105.599999999999</v>
      </c>
      <c r="AF962">
        <v>11105.599999999999</v>
      </c>
      <c r="AG962">
        <v>0</v>
      </c>
      <c r="AH962">
        <v>167.93333333333248</v>
      </c>
    </row>
    <row r="963" spans="2:34" x14ac:dyDescent="0.35">
      <c r="B963" t="s">
        <v>563</v>
      </c>
      <c r="C963">
        <v>45967</v>
      </c>
      <c r="F963" t="s">
        <v>752</v>
      </c>
      <c r="H963">
        <v>179.1</v>
      </c>
      <c r="O963" t="s">
        <v>239</v>
      </c>
      <c r="P963" t="s">
        <v>514</v>
      </c>
      <c r="Y963">
        <v>929</v>
      </c>
      <c r="Z963" s="259" t="s">
        <v>630</v>
      </c>
      <c r="AA963">
        <v>30</v>
      </c>
      <c r="AB963">
        <v>6006</v>
      </c>
      <c r="AC963">
        <v>45967</v>
      </c>
      <c r="AD963">
        <v>0</v>
      </c>
      <c r="AE963">
        <v>5373</v>
      </c>
      <c r="AF963">
        <v>5373</v>
      </c>
      <c r="AG963">
        <v>0</v>
      </c>
      <c r="AH963">
        <v>-633</v>
      </c>
    </row>
    <row r="964" spans="2:34" x14ac:dyDescent="0.35">
      <c r="B964" t="s">
        <v>563</v>
      </c>
      <c r="C964">
        <v>45967</v>
      </c>
      <c r="F964" t="s">
        <v>754</v>
      </c>
      <c r="H964">
        <v>76.319999999999993</v>
      </c>
      <c r="O964" t="s">
        <v>239</v>
      </c>
      <c r="P964" t="s">
        <v>514</v>
      </c>
      <c r="Y964">
        <v>930</v>
      </c>
      <c r="Z964" s="259" t="s">
        <v>630</v>
      </c>
      <c r="AA964">
        <v>100</v>
      </c>
      <c r="AB964">
        <v>8008</v>
      </c>
      <c r="AC964">
        <v>45967</v>
      </c>
      <c r="AD964">
        <v>0</v>
      </c>
      <c r="AE964">
        <v>7631.9999999999991</v>
      </c>
      <c r="AF964">
        <v>7631.9999999999991</v>
      </c>
      <c r="AG964">
        <v>120</v>
      </c>
      <c r="AH964">
        <v>-376.00000000000091</v>
      </c>
    </row>
    <row r="965" spans="2:34" x14ac:dyDescent="0.35">
      <c r="B965" t="s">
        <v>563</v>
      </c>
      <c r="C965">
        <v>45968</v>
      </c>
      <c r="F965" t="s">
        <v>749</v>
      </c>
      <c r="H965">
        <v>50.38</v>
      </c>
      <c r="O965" t="s">
        <v>239</v>
      </c>
      <c r="P965" t="s">
        <v>514</v>
      </c>
      <c r="Y965">
        <v>931</v>
      </c>
      <c r="Z965" s="259" t="s">
        <v>630</v>
      </c>
      <c r="AA965">
        <v>220</v>
      </c>
      <c r="AB965">
        <v>10937.666666666666</v>
      </c>
      <c r="AC965">
        <v>45968</v>
      </c>
      <c r="AD965">
        <v>0</v>
      </c>
      <c r="AE965">
        <v>11083.6</v>
      </c>
      <c r="AF965">
        <v>11083.6</v>
      </c>
      <c r="AG965">
        <v>0</v>
      </c>
      <c r="AH965">
        <v>145.9333333333343</v>
      </c>
    </row>
    <row r="966" spans="2:34" x14ac:dyDescent="0.35">
      <c r="B966" t="s">
        <v>563</v>
      </c>
      <c r="C966">
        <v>45968</v>
      </c>
      <c r="F966" t="s">
        <v>752</v>
      </c>
      <c r="H966">
        <v>178.72</v>
      </c>
      <c r="O966" t="s">
        <v>239</v>
      </c>
      <c r="P966" t="s">
        <v>514</v>
      </c>
      <c r="Y966">
        <v>932</v>
      </c>
      <c r="Z966" s="259" t="s">
        <v>630</v>
      </c>
      <c r="AA966">
        <v>30</v>
      </c>
      <c r="AB966">
        <v>6006</v>
      </c>
      <c r="AC966">
        <v>45968</v>
      </c>
      <c r="AD966">
        <v>0</v>
      </c>
      <c r="AE966">
        <v>5361.6</v>
      </c>
      <c r="AF966">
        <v>5361.6</v>
      </c>
      <c r="AG966">
        <v>0</v>
      </c>
      <c r="AH966">
        <v>-644.39999999999964</v>
      </c>
    </row>
    <row r="967" spans="2:34" x14ac:dyDescent="0.35">
      <c r="B967" t="s">
        <v>563</v>
      </c>
      <c r="C967">
        <v>45968</v>
      </c>
      <c r="F967" t="s">
        <v>754</v>
      </c>
      <c r="H967">
        <v>76.42</v>
      </c>
      <c r="O967" t="s">
        <v>239</v>
      </c>
      <c r="P967" t="s">
        <v>514</v>
      </c>
      <c r="Y967">
        <v>933</v>
      </c>
      <c r="Z967" s="259" t="s">
        <v>630</v>
      </c>
      <c r="AA967">
        <v>100</v>
      </c>
      <c r="AB967">
        <v>8008</v>
      </c>
      <c r="AC967">
        <v>45968</v>
      </c>
      <c r="AD967">
        <v>0</v>
      </c>
      <c r="AE967">
        <v>7642</v>
      </c>
      <c r="AF967">
        <v>7642</v>
      </c>
      <c r="AG967">
        <v>120</v>
      </c>
      <c r="AH967">
        <v>-366</v>
      </c>
    </row>
    <row r="968" spans="2:34" x14ac:dyDescent="0.35">
      <c r="B968" t="s">
        <v>563</v>
      </c>
      <c r="C968">
        <v>45969</v>
      </c>
      <c r="F968" t="s">
        <v>749</v>
      </c>
      <c r="H968">
        <v>50.38</v>
      </c>
      <c r="O968" t="s">
        <v>239</v>
      </c>
      <c r="P968" t="s">
        <v>514</v>
      </c>
      <c r="Y968">
        <v>934</v>
      </c>
      <c r="Z968" s="259" t="s">
        <v>630</v>
      </c>
      <c r="AA968">
        <v>220</v>
      </c>
      <c r="AB968">
        <v>10937.666666666666</v>
      </c>
      <c r="AC968">
        <v>45968</v>
      </c>
      <c r="AD968">
        <v>1</v>
      </c>
      <c r="AE968">
        <v>11083.6</v>
      </c>
      <c r="AF968">
        <v>11083.6</v>
      </c>
      <c r="AG968">
        <v>0</v>
      </c>
      <c r="AH968">
        <v>145.9333333333343</v>
      </c>
    </row>
    <row r="969" spans="2:34" x14ac:dyDescent="0.35">
      <c r="B969" t="s">
        <v>563</v>
      </c>
      <c r="C969">
        <v>45969</v>
      </c>
      <c r="F969" t="s">
        <v>752</v>
      </c>
      <c r="H969">
        <v>178.72</v>
      </c>
      <c r="O969" t="s">
        <v>239</v>
      </c>
      <c r="P969" t="s">
        <v>514</v>
      </c>
      <c r="Y969">
        <v>935</v>
      </c>
      <c r="Z969" s="259" t="s">
        <v>630</v>
      </c>
      <c r="AA969">
        <v>30</v>
      </c>
      <c r="AB969">
        <v>6006</v>
      </c>
      <c r="AC969">
        <v>45968</v>
      </c>
      <c r="AD969">
        <v>1</v>
      </c>
      <c r="AE969">
        <v>5361.6</v>
      </c>
      <c r="AF969">
        <v>5361.6</v>
      </c>
      <c r="AG969">
        <v>0</v>
      </c>
      <c r="AH969">
        <v>-644.39999999999964</v>
      </c>
    </row>
    <row r="970" spans="2:34" x14ac:dyDescent="0.35">
      <c r="B970" t="s">
        <v>563</v>
      </c>
      <c r="C970">
        <v>45969</v>
      </c>
      <c r="F970" t="s">
        <v>754</v>
      </c>
      <c r="H970">
        <v>76.42</v>
      </c>
      <c r="O970" t="s">
        <v>239</v>
      </c>
      <c r="P970" t="s">
        <v>514</v>
      </c>
      <c r="Y970">
        <v>936</v>
      </c>
      <c r="Z970" s="259" t="s">
        <v>630</v>
      </c>
      <c r="AA970">
        <v>100</v>
      </c>
      <c r="AB970">
        <v>8008</v>
      </c>
      <c r="AC970">
        <v>45968</v>
      </c>
      <c r="AD970">
        <v>1</v>
      </c>
      <c r="AE970">
        <v>7642</v>
      </c>
      <c r="AF970">
        <v>7642</v>
      </c>
      <c r="AG970">
        <v>120</v>
      </c>
      <c r="AH970">
        <v>-366</v>
      </c>
    </row>
    <row r="971" spans="2:34" x14ac:dyDescent="0.35">
      <c r="B971" t="s">
        <v>563</v>
      </c>
      <c r="C971">
        <v>45970</v>
      </c>
      <c r="F971" t="s">
        <v>749</v>
      </c>
      <c r="H971">
        <v>50.38</v>
      </c>
      <c r="O971" t="s">
        <v>239</v>
      </c>
      <c r="P971" t="s">
        <v>514</v>
      </c>
      <c r="Y971">
        <v>937</v>
      </c>
      <c r="Z971" s="259" t="s">
        <v>630</v>
      </c>
      <c r="AA971">
        <v>220</v>
      </c>
      <c r="AB971">
        <v>10937.666666666666</v>
      </c>
      <c r="AC971">
        <v>45968</v>
      </c>
      <c r="AD971">
        <v>2</v>
      </c>
      <c r="AE971">
        <v>11083.6</v>
      </c>
      <c r="AF971">
        <v>11083.6</v>
      </c>
      <c r="AG971">
        <v>0</v>
      </c>
      <c r="AH971">
        <v>145.9333333333343</v>
      </c>
    </row>
    <row r="972" spans="2:34" x14ac:dyDescent="0.35">
      <c r="B972" t="s">
        <v>563</v>
      </c>
      <c r="C972">
        <v>45970</v>
      </c>
      <c r="F972" t="s">
        <v>752</v>
      </c>
      <c r="H972">
        <v>178.72</v>
      </c>
      <c r="O972" t="s">
        <v>239</v>
      </c>
      <c r="P972" t="s">
        <v>514</v>
      </c>
      <c r="Y972">
        <v>938</v>
      </c>
      <c r="Z972" s="259" t="s">
        <v>630</v>
      </c>
      <c r="AA972">
        <v>30</v>
      </c>
      <c r="AB972">
        <v>6006</v>
      </c>
      <c r="AC972">
        <v>45968</v>
      </c>
      <c r="AD972">
        <v>2</v>
      </c>
      <c r="AE972">
        <v>5361.6</v>
      </c>
      <c r="AF972">
        <v>5361.6</v>
      </c>
      <c r="AG972">
        <v>0</v>
      </c>
      <c r="AH972">
        <v>-644.39999999999964</v>
      </c>
    </row>
    <row r="973" spans="2:34" x14ac:dyDescent="0.35">
      <c r="B973" t="s">
        <v>563</v>
      </c>
      <c r="C973">
        <v>45970</v>
      </c>
      <c r="F973" t="s">
        <v>754</v>
      </c>
      <c r="H973">
        <v>76.42</v>
      </c>
      <c r="O973" t="s">
        <v>239</v>
      </c>
      <c r="P973" t="s">
        <v>514</v>
      </c>
      <c r="Y973">
        <v>939</v>
      </c>
      <c r="Z973" s="259" t="s">
        <v>630</v>
      </c>
      <c r="AA973">
        <v>100</v>
      </c>
      <c r="AB973">
        <v>8008</v>
      </c>
      <c r="AC973">
        <v>45968</v>
      </c>
      <c r="AD973">
        <v>2</v>
      </c>
      <c r="AE973">
        <v>7642</v>
      </c>
      <c r="AF973">
        <v>7642</v>
      </c>
      <c r="AG973">
        <v>120</v>
      </c>
      <c r="AH973">
        <v>-366</v>
      </c>
    </row>
    <row r="974" spans="2:34" x14ac:dyDescent="0.35">
      <c r="B974" t="s">
        <v>563</v>
      </c>
      <c r="C974">
        <v>45971</v>
      </c>
      <c r="F974" t="s">
        <v>749</v>
      </c>
      <c r="H974">
        <v>50.07</v>
      </c>
      <c r="O974" t="s">
        <v>239</v>
      </c>
      <c r="P974" t="s">
        <v>514</v>
      </c>
      <c r="Y974">
        <v>940</v>
      </c>
      <c r="Z974" s="259" t="s">
        <v>630</v>
      </c>
      <c r="AA974">
        <v>220</v>
      </c>
      <c r="AB974">
        <v>10937.666666666666</v>
      </c>
      <c r="AC974">
        <v>45971</v>
      </c>
      <c r="AD974">
        <v>0</v>
      </c>
      <c r="AE974">
        <v>11015.4</v>
      </c>
      <c r="AF974">
        <v>11015.4</v>
      </c>
      <c r="AG974">
        <v>0</v>
      </c>
      <c r="AH974">
        <v>77.733333333333576</v>
      </c>
    </row>
    <row r="975" spans="2:34" x14ac:dyDescent="0.35">
      <c r="B975" t="s">
        <v>563</v>
      </c>
      <c r="C975">
        <v>45971</v>
      </c>
      <c r="F975" t="s">
        <v>752</v>
      </c>
      <c r="H975">
        <v>177.59</v>
      </c>
      <c r="O975" t="s">
        <v>239</v>
      </c>
      <c r="P975" t="s">
        <v>514</v>
      </c>
      <c r="Y975">
        <v>941</v>
      </c>
      <c r="Z975" s="259" t="s">
        <v>630</v>
      </c>
      <c r="AA975">
        <v>30</v>
      </c>
      <c r="AB975">
        <v>6006</v>
      </c>
      <c r="AC975">
        <v>45971</v>
      </c>
      <c r="AD975">
        <v>0</v>
      </c>
      <c r="AE975">
        <v>5327.7</v>
      </c>
      <c r="AF975">
        <v>5327.7</v>
      </c>
      <c r="AG975">
        <v>0</v>
      </c>
      <c r="AH975">
        <v>-678.30000000000018</v>
      </c>
    </row>
    <row r="976" spans="2:34" x14ac:dyDescent="0.35">
      <c r="B976" t="s">
        <v>563</v>
      </c>
      <c r="C976">
        <v>45971</v>
      </c>
      <c r="F976" t="s">
        <v>754</v>
      </c>
      <c r="H976">
        <v>76.73</v>
      </c>
      <c r="O976" t="s">
        <v>239</v>
      </c>
      <c r="P976" t="s">
        <v>514</v>
      </c>
      <c r="Y976">
        <v>942</v>
      </c>
      <c r="Z976" s="259" t="s">
        <v>630</v>
      </c>
      <c r="AA976">
        <v>0</v>
      </c>
      <c r="AB976">
        <v>0</v>
      </c>
      <c r="AC976">
        <v>45971</v>
      </c>
      <c r="AD976">
        <v>0</v>
      </c>
      <c r="AE976">
        <v>0</v>
      </c>
      <c r="AF976">
        <v>0</v>
      </c>
      <c r="AG976">
        <v>120</v>
      </c>
      <c r="AH976">
        <v>0</v>
      </c>
    </row>
    <row r="977" spans="2:34" x14ac:dyDescent="0.35">
      <c r="B977" t="s">
        <v>563</v>
      </c>
      <c r="C977">
        <v>45972</v>
      </c>
      <c r="F977" t="s">
        <v>749</v>
      </c>
      <c r="H977">
        <v>49.97</v>
      </c>
      <c r="O977" t="s">
        <v>239</v>
      </c>
      <c r="P977" t="s">
        <v>514</v>
      </c>
      <c r="Y977">
        <v>943</v>
      </c>
      <c r="Z977" s="259" t="s">
        <v>630</v>
      </c>
      <c r="AA977">
        <v>220</v>
      </c>
      <c r="AB977">
        <v>10937.666666666666</v>
      </c>
      <c r="AC977">
        <v>45972</v>
      </c>
      <c r="AD977">
        <v>0</v>
      </c>
      <c r="AE977">
        <v>10993.4</v>
      </c>
      <c r="AF977">
        <v>10993.4</v>
      </c>
      <c r="AG977">
        <v>0</v>
      </c>
      <c r="AH977">
        <v>55.733333333333576</v>
      </c>
    </row>
    <row r="978" spans="2:34" x14ac:dyDescent="0.35">
      <c r="B978" t="s">
        <v>563</v>
      </c>
      <c r="C978">
        <v>45972</v>
      </c>
      <c r="F978" t="s">
        <v>752</v>
      </c>
      <c r="H978">
        <v>177.21</v>
      </c>
      <c r="O978" t="s">
        <v>239</v>
      </c>
      <c r="P978" t="s">
        <v>514</v>
      </c>
      <c r="Y978">
        <v>944</v>
      </c>
      <c r="Z978" s="259" t="s">
        <v>630</v>
      </c>
      <c r="AA978">
        <v>30</v>
      </c>
      <c r="AB978">
        <v>6006</v>
      </c>
      <c r="AC978">
        <v>45972</v>
      </c>
      <c r="AD978">
        <v>0</v>
      </c>
      <c r="AE978">
        <v>5316.3</v>
      </c>
      <c r="AF978">
        <v>5316.3</v>
      </c>
      <c r="AG978">
        <v>0</v>
      </c>
      <c r="AH978">
        <v>-689.69999999999982</v>
      </c>
    </row>
    <row r="979" spans="2:34" x14ac:dyDescent="0.35">
      <c r="B979" t="s">
        <v>563</v>
      </c>
      <c r="C979">
        <v>45972</v>
      </c>
      <c r="F979" t="s">
        <v>754</v>
      </c>
      <c r="H979">
        <v>76.83</v>
      </c>
      <c r="O979" t="s">
        <v>239</v>
      </c>
      <c r="P979" t="s">
        <v>514</v>
      </c>
      <c r="Y979">
        <v>945</v>
      </c>
      <c r="Z979" s="259" t="s">
        <v>630</v>
      </c>
      <c r="AA979">
        <v>0</v>
      </c>
      <c r="AB979">
        <v>0</v>
      </c>
      <c r="AC979">
        <v>45972</v>
      </c>
      <c r="AD979">
        <v>0</v>
      </c>
      <c r="AE979">
        <v>0</v>
      </c>
      <c r="AF979">
        <v>0</v>
      </c>
      <c r="AG979">
        <v>120</v>
      </c>
      <c r="AH979">
        <v>0</v>
      </c>
    </row>
    <row r="980" spans="2:34" x14ac:dyDescent="0.35">
      <c r="B980" t="s">
        <v>563</v>
      </c>
      <c r="C980">
        <v>45973</v>
      </c>
      <c r="F980" t="s">
        <v>749</v>
      </c>
      <c r="H980">
        <v>49.86</v>
      </c>
      <c r="O980" t="s">
        <v>239</v>
      </c>
      <c r="P980" t="s">
        <v>514</v>
      </c>
      <c r="Y980">
        <v>946</v>
      </c>
      <c r="Z980" s="259" t="s">
        <v>630</v>
      </c>
      <c r="AA980">
        <v>220</v>
      </c>
      <c r="AB980">
        <v>10937.666666666666</v>
      </c>
      <c r="AC980">
        <v>45973</v>
      </c>
      <c r="AD980">
        <v>0</v>
      </c>
      <c r="AE980">
        <v>10969.2</v>
      </c>
      <c r="AF980">
        <v>10969.2</v>
      </c>
      <c r="AG980">
        <v>0</v>
      </c>
      <c r="AH980">
        <v>31.533333333334667</v>
      </c>
    </row>
    <row r="981" spans="2:34" x14ac:dyDescent="0.35">
      <c r="B981" t="s">
        <v>563</v>
      </c>
      <c r="C981">
        <v>45973</v>
      </c>
      <c r="F981" t="s">
        <v>752</v>
      </c>
      <c r="H981">
        <v>176.83</v>
      </c>
      <c r="O981" t="s">
        <v>239</v>
      </c>
      <c r="P981" t="s">
        <v>514</v>
      </c>
      <c r="Y981">
        <v>947</v>
      </c>
      <c r="Z981" s="259" t="s">
        <v>630</v>
      </c>
      <c r="AA981">
        <v>30</v>
      </c>
      <c r="AB981">
        <v>6006</v>
      </c>
      <c r="AC981">
        <v>45973</v>
      </c>
      <c r="AD981">
        <v>0</v>
      </c>
      <c r="AE981">
        <v>5304.9000000000005</v>
      </c>
      <c r="AF981">
        <v>5304.9000000000005</v>
      </c>
      <c r="AG981">
        <v>0</v>
      </c>
      <c r="AH981">
        <v>-701.09999999999945</v>
      </c>
    </row>
    <row r="982" spans="2:34" x14ac:dyDescent="0.35">
      <c r="B982" t="s">
        <v>563</v>
      </c>
      <c r="C982">
        <v>45973</v>
      </c>
      <c r="F982" t="s">
        <v>754</v>
      </c>
      <c r="H982">
        <v>76.94</v>
      </c>
      <c r="O982" t="s">
        <v>239</v>
      </c>
      <c r="P982" t="s">
        <v>514</v>
      </c>
      <c r="Y982">
        <v>948</v>
      </c>
      <c r="Z982" s="259" t="s">
        <v>630</v>
      </c>
      <c r="AA982">
        <v>0</v>
      </c>
      <c r="AB982">
        <v>0</v>
      </c>
      <c r="AC982">
        <v>45973</v>
      </c>
      <c r="AD982">
        <v>0</v>
      </c>
      <c r="AE982">
        <v>0</v>
      </c>
      <c r="AF982">
        <v>0</v>
      </c>
      <c r="AG982">
        <v>120</v>
      </c>
      <c r="AH982">
        <v>0</v>
      </c>
    </row>
    <row r="983" spans="2:34" x14ac:dyDescent="0.35">
      <c r="B983" t="s">
        <v>563</v>
      </c>
      <c r="C983">
        <v>45974</v>
      </c>
      <c r="F983" t="s">
        <v>749</v>
      </c>
      <c r="H983">
        <v>49.76</v>
      </c>
      <c r="O983" t="s">
        <v>239</v>
      </c>
      <c r="P983" t="s">
        <v>514</v>
      </c>
      <c r="Y983">
        <v>949</v>
      </c>
      <c r="Z983" s="259" t="s">
        <v>630</v>
      </c>
      <c r="AA983">
        <v>220</v>
      </c>
      <c r="AB983">
        <v>10937.666666666666</v>
      </c>
      <c r="AC983">
        <v>45974</v>
      </c>
      <c r="AD983">
        <v>0</v>
      </c>
      <c r="AE983">
        <v>10947.199999999999</v>
      </c>
      <c r="AF983">
        <v>10947.199999999999</v>
      </c>
      <c r="AG983">
        <v>0</v>
      </c>
      <c r="AH983">
        <v>9.5333333333328483</v>
      </c>
    </row>
    <row r="984" spans="2:34" x14ac:dyDescent="0.35">
      <c r="B984" t="s">
        <v>563</v>
      </c>
      <c r="C984">
        <v>45974</v>
      </c>
      <c r="F984" t="s">
        <v>752</v>
      </c>
      <c r="H984">
        <v>176.45</v>
      </c>
      <c r="O984" t="s">
        <v>239</v>
      </c>
      <c r="P984" t="s">
        <v>514</v>
      </c>
      <c r="Y984">
        <v>950</v>
      </c>
      <c r="Z984" s="259" t="s">
        <v>630</v>
      </c>
      <c r="AA984">
        <v>30</v>
      </c>
      <c r="AB984">
        <v>6006</v>
      </c>
      <c r="AC984">
        <v>45974</v>
      </c>
      <c r="AD984">
        <v>0</v>
      </c>
      <c r="AE984">
        <v>5293.5</v>
      </c>
      <c r="AF984">
        <v>5293.5</v>
      </c>
      <c r="AG984">
        <v>0</v>
      </c>
      <c r="AH984">
        <v>-712.5</v>
      </c>
    </row>
    <row r="985" spans="2:34" x14ac:dyDescent="0.35">
      <c r="B985" t="s">
        <v>563</v>
      </c>
      <c r="C985">
        <v>45974</v>
      </c>
      <c r="F985" t="s">
        <v>754</v>
      </c>
      <c r="H985">
        <v>77.040000000000006</v>
      </c>
      <c r="O985" t="s">
        <v>239</v>
      </c>
      <c r="P985" t="s">
        <v>514</v>
      </c>
      <c r="Y985">
        <v>951</v>
      </c>
      <c r="Z985" s="259" t="s">
        <v>630</v>
      </c>
      <c r="AA985">
        <v>0</v>
      </c>
      <c r="AB985">
        <v>0</v>
      </c>
      <c r="AC985">
        <v>45974</v>
      </c>
      <c r="AD985">
        <v>0</v>
      </c>
      <c r="AE985">
        <v>0</v>
      </c>
      <c r="AF985">
        <v>0</v>
      </c>
      <c r="AG985">
        <v>120</v>
      </c>
      <c r="AH985">
        <v>0</v>
      </c>
    </row>
    <row r="986" spans="2:34" x14ac:dyDescent="0.35">
      <c r="B986" t="s">
        <v>563</v>
      </c>
      <c r="C986">
        <v>45975</v>
      </c>
      <c r="F986" t="s">
        <v>749</v>
      </c>
      <c r="H986">
        <v>49.66</v>
      </c>
      <c r="O986" t="s">
        <v>239</v>
      </c>
      <c r="P986" t="s">
        <v>514</v>
      </c>
      <c r="Y986">
        <v>952</v>
      </c>
      <c r="Z986" s="259" t="s">
        <v>630</v>
      </c>
      <c r="AA986">
        <v>220</v>
      </c>
      <c r="AB986">
        <v>10937.666666666666</v>
      </c>
      <c r="AC986">
        <v>45975</v>
      </c>
      <c r="AD986">
        <v>0</v>
      </c>
      <c r="AE986">
        <v>10925.199999999999</v>
      </c>
      <c r="AF986">
        <v>10925.199999999999</v>
      </c>
      <c r="AG986">
        <v>0</v>
      </c>
      <c r="AH986">
        <v>-12.466666666667152</v>
      </c>
    </row>
    <row r="987" spans="2:34" x14ac:dyDescent="0.35">
      <c r="B987" t="s">
        <v>563</v>
      </c>
      <c r="C987">
        <v>45975</v>
      </c>
      <c r="F987" t="s">
        <v>752</v>
      </c>
      <c r="H987">
        <v>176.07</v>
      </c>
      <c r="O987" t="s">
        <v>239</v>
      </c>
      <c r="P987" t="s">
        <v>514</v>
      </c>
      <c r="Y987">
        <v>953</v>
      </c>
      <c r="Z987" s="259" t="s">
        <v>630</v>
      </c>
      <c r="AA987">
        <v>30</v>
      </c>
      <c r="AB987">
        <v>6006</v>
      </c>
      <c r="AC987">
        <v>45975</v>
      </c>
      <c r="AD987">
        <v>0</v>
      </c>
      <c r="AE987">
        <v>5282.0999999999995</v>
      </c>
      <c r="AF987">
        <v>5282.0999999999995</v>
      </c>
      <c r="AG987">
        <v>0</v>
      </c>
      <c r="AH987">
        <v>-723.90000000000055</v>
      </c>
    </row>
    <row r="988" spans="2:34" x14ac:dyDescent="0.35">
      <c r="B988" t="s">
        <v>563</v>
      </c>
      <c r="C988">
        <v>45975</v>
      </c>
      <c r="F988" t="s">
        <v>754</v>
      </c>
      <c r="H988">
        <v>77.14</v>
      </c>
      <c r="O988" t="s">
        <v>239</v>
      </c>
      <c r="P988" t="s">
        <v>514</v>
      </c>
      <c r="Y988">
        <v>954</v>
      </c>
      <c r="Z988" s="259" t="s">
        <v>630</v>
      </c>
      <c r="AA988">
        <v>0</v>
      </c>
      <c r="AB988">
        <v>0</v>
      </c>
      <c r="AC988">
        <v>45975</v>
      </c>
      <c r="AD988">
        <v>0</v>
      </c>
      <c r="AE988">
        <v>0</v>
      </c>
      <c r="AF988">
        <v>0</v>
      </c>
      <c r="AG988">
        <v>120</v>
      </c>
      <c r="AH988">
        <v>0</v>
      </c>
    </row>
    <row r="989" spans="2:34" x14ac:dyDescent="0.35">
      <c r="B989" t="s">
        <v>563</v>
      </c>
      <c r="C989">
        <v>45976</v>
      </c>
      <c r="F989" t="s">
        <v>749</v>
      </c>
      <c r="H989">
        <v>49.66</v>
      </c>
      <c r="O989" t="s">
        <v>239</v>
      </c>
      <c r="P989" t="s">
        <v>514</v>
      </c>
      <c r="Y989">
        <v>955</v>
      </c>
      <c r="Z989" s="259" t="s">
        <v>630</v>
      </c>
      <c r="AA989">
        <v>220</v>
      </c>
      <c r="AB989">
        <v>10937.666666666666</v>
      </c>
      <c r="AC989">
        <v>45975</v>
      </c>
      <c r="AD989">
        <v>1</v>
      </c>
      <c r="AE989">
        <v>10925.199999999999</v>
      </c>
      <c r="AF989">
        <v>10925.199999999999</v>
      </c>
      <c r="AG989">
        <v>0</v>
      </c>
      <c r="AH989">
        <v>-12.466666666667152</v>
      </c>
    </row>
    <row r="990" spans="2:34" x14ac:dyDescent="0.35">
      <c r="B990" t="s">
        <v>563</v>
      </c>
      <c r="C990">
        <v>45976</v>
      </c>
      <c r="F990" t="s">
        <v>752</v>
      </c>
      <c r="H990">
        <v>176.07</v>
      </c>
      <c r="O990" t="s">
        <v>239</v>
      </c>
      <c r="P990" t="s">
        <v>514</v>
      </c>
      <c r="Y990">
        <v>956</v>
      </c>
      <c r="Z990" s="259" t="s">
        <v>630</v>
      </c>
      <c r="AA990">
        <v>30</v>
      </c>
      <c r="AB990">
        <v>6006</v>
      </c>
      <c r="AC990">
        <v>45975</v>
      </c>
      <c r="AD990">
        <v>1</v>
      </c>
      <c r="AE990">
        <v>5282.0999999999995</v>
      </c>
      <c r="AF990">
        <v>5282.0999999999995</v>
      </c>
      <c r="AG990">
        <v>0</v>
      </c>
      <c r="AH990">
        <v>-723.90000000000055</v>
      </c>
    </row>
    <row r="991" spans="2:34" x14ac:dyDescent="0.35">
      <c r="B991" t="s">
        <v>563</v>
      </c>
      <c r="C991">
        <v>45976</v>
      </c>
      <c r="F991" t="s">
        <v>754</v>
      </c>
      <c r="H991">
        <v>77.14</v>
      </c>
      <c r="O991" t="s">
        <v>239</v>
      </c>
      <c r="P991" t="s">
        <v>514</v>
      </c>
      <c r="Y991">
        <v>957</v>
      </c>
      <c r="Z991" s="259" t="s">
        <v>630</v>
      </c>
      <c r="AA991">
        <v>0</v>
      </c>
      <c r="AB991">
        <v>0</v>
      </c>
      <c r="AC991">
        <v>45975</v>
      </c>
      <c r="AD991">
        <v>1</v>
      </c>
      <c r="AE991">
        <v>0</v>
      </c>
      <c r="AF991">
        <v>0</v>
      </c>
      <c r="AG991">
        <v>120</v>
      </c>
      <c r="AH991">
        <v>0</v>
      </c>
    </row>
    <row r="992" spans="2:34" x14ac:dyDescent="0.35">
      <c r="B992" t="s">
        <v>563</v>
      </c>
      <c r="C992">
        <v>45977</v>
      </c>
      <c r="F992" t="s">
        <v>749</v>
      </c>
      <c r="H992">
        <v>49.66</v>
      </c>
      <c r="O992" t="s">
        <v>239</v>
      </c>
      <c r="P992" t="s">
        <v>514</v>
      </c>
      <c r="Y992">
        <v>958</v>
      </c>
      <c r="Z992" s="259" t="s">
        <v>630</v>
      </c>
      <c r="AA992">
        <v>220</v>
      </c>
      <c r="AB992">
        <v>10937.666666666666</v>
      </c>
      <c r="AC992">
        <v>45975</v>
      </c>
      <c r="AD992">
        <v>2</v>
      </c>
      <c r="AE992">
        <v>10925.199999999999</v>
      </c>
      <c r="AF992">
        <v>10925.199999999999</v>
      </c>
      <c r="AG992">
        <v>0</v>
      </c>
      <c r="AH992">
        <v>-12.466666666667152</v>
      </c>
    </row>
    <row r="993" spans="2:34" x14ac:dyDescent="0.35">
      <c r="B993" t="s">
        <v>563</v>
      </c>
      <c r="C993">
        <v>45977</v>
      </c>
      <c r="F993" t="s">
        <v>752</v>
      </c>
      <c r="H993">
        <v>176.07</v>
      </c>
      <c r="O993" t="s">
        <v>239</v>
      </c>
      <c r="P993" t="s">
        <v>514</v>
      </c>
      <c r="Y993">
        <v>959</v>
      </c>
      <c r="Z993" s="259" t="s">
        <v>630</v>
      </c>
      <c r="AA993">
        <v>30</v>
      </c>
      <c r="AB993">
        <v>6006</v>
      </c>
      <c r="AC993">
        <v>45975</v>
      </c>
      <c r="AD993">
        <v>2</v>
      </c>
      <c r="AE993">
        <v>5282.0999999999995</v>
      </c>
      <c r="AF993">
        <v>5282.0999999999995</v>
      </c>
      <c r="AG993">
        <v>0</v>
      </c>
      <c r="AH993">
        <v>-723.90000000000055</v>
      </c>
    </row>
    <row r="994" spans="2:34" x14ac:dyDescent="0.35">
      <c r="B994" t="s">
        <v>563</v>
      </c>
      <c r="C994">
        <v>45977</v>
      </c>
      <c r="F994" t="s">
        <v>754</v>
      </c>
      <c r="H994">
        <v>77.14</v>
      </c>
      <c r="O994" t="s">
        <v>239</v>
      </c>
      <c r="P994" t="s">
        <v>514</v>
      </c>
      <c r="Y994">
        <v>960</v>
      </c>
      <c r="Z994" s="259" t="s">
        <v>630</v>
      </c>
      <c r="AA994">
        <v>0</v>
      </c>
      <c r="AB994">
        <v>0</v>
      </c>
      <c r="AC994">
        <v>45975</v>
      </c>
      <c r="AD994">
        <v>2</v>
      </c>
      <c r="AE994">
        <v>0</v>
      </c>
      <c r="AF994">
        <v>0</v>
      </c>
      <c r="AG994">
        <v>120</v>
      </c>
      <c r="AH994">
        <v>0</v>
      </c>
    </row>
    <row r="995" spans="2:34" x14ac:dyDescent="0.35">
      <c r="B995" t="s">
        <v>563</v>
      </c>
      <c r="C995">
        <v>45978</v>
      </c>
      <c r="F995" t="s">
        <v>749</v>
      </c>
      <c r="H995">
        <v>49.34</v>
      </c>
      <c r="O995" t="s">
        <v>239</v>
      </c>
      <c r="P995" t="s">
        <v>514</v>
      </c>
      <c r="Y995">
        <v>961</v>
      </c>
      <c r="Z995" s="259" t="s">
        <v>630</v>
      </c>
      <c r="AA995">
        <v>220</v>
      </c>
      <c r="AB995">
        <v>10937.666666666666</v>
      </c>
      <c r="AC995">
        <v>45978</v>
      </c>
      <c r="AD995">
        <v>0</v>
      </c>
      <c r="AE995">
        <v>10854.800000000001</v>
      </c>
      <c r="AF995">
        <v>10854.800000000001</v>
      </c>
      <c r="AG995">
        <v>0</v>
      </c>
      <c r="AH995">
        <v>-82.866666666664969</v>
      </c>
    </row>
    <row r="996" spans="2:34" x14ac:dyDescent="0.35">
      <c r="B996" t="s">
        <v>563</v>
      </c>
      <c r="C996">
        <v>45978</v>
      </c>
      <c r="F996" t="s">
        <v>752</v>
      </c>
      <c r="H996">
        <v>174.93</v>
      </c>
      <c r="O996" t="s">
        <v>239</v>
      </c>
      <c r="P996" t="s">
        <v>514</v>
      </c>
      <c r="Y996">
        <v>962</v>
      </c>
      <c r="Z996" s="259" t="s">
        <v>630</v>
      </c>
      <c r="AA996">
        <v>30</v>
      </c>
      <c r="AB996">
        <v>6006</v>
      </c>
      <c r="AC996">
        <v>45978</v>
      </c>
      <c r="AD996">
        <v>0</v>
      </c>
      <c r="AE996">
        <v>5247.9000000000005</v>
      </c>
      <c r="AF996">
        <v>5247.9000000000005</v>
      </c>
      <c r="AG996">
        <v>0</v>
      </c>
      <c r="AH996">
        <v>-758.09999999999945</v>
      </c>
    </row>
    <row r="997" spans="2:34" x14ac:dyDescent="0.35">
      <c r="B997" t="s">
        <v>563</v>
      </c>
      <c r="C997">
        <v>45978</v>
      </c>
      <c r="F997" t="s">
        <v>754</v>
      </c>
      <c r="H997">
        <v>77.459999999999994</v>
      </c>
      <c r="O997" t="s">
        <v>239</v>
      </c>
      <c r="P997" t="s">
        <v>514</v>
      </c>
      <c r="Y997">
        <v>963</v>
      </c>
      <c r="Z997" s="259" t="s">
        <v>630</v>
      </c>
      <c r="AA997">
        <v>0</v>
      </c>
      <c r="AB997">
        <v>0</v>
      </c>
      <c r="AC997">
        <v>45978</v>
      </c>
      <c r="AD997">
        <v>0</v>
      </c>
      <c r="AE997">
        <v>0</v>
      </c>
      <c r="AF997">
        <v>0</v>
      </c>
      <c r="AG997">
        <v>120</v>
      </c>
      <c r="AH997">
        <v>0</v>
      </c>
    </row>
    <row r="998" spans="2:34" x14ac:dyDescent="0.35">
      <c r="B998" t="s">
        <v>563</v>
      </c>
      <c r="C998">
        <v>45979</v>
      </c>
      <c r="F998" t="s">
        <v>749</v>
      </c>
      <c r="H998">
        <v>49.24</v>
      </c>
      <c r="O998" t="s">
        <v>239</v>
      </c>
      <c r="P998" t="s">
        <v>514</v>
      </c>
      <c r="Y998">
        <v>964</v>
      </c>
      <c r="Z998" s="259" t="s">
        <v>630</v>
      </c>
      <c r="AA998">
        <v>220</v>
      </c>
      <c r="AB998">
        <v>10937.666666666666</v>
      </c>
      <c r="AC998">
        <v>45979</v>
      </c>
      <c r="AD998">
        <v>0</v>
      </c>
      <c r="AE998">
        <v>10832.800000000001</v>
      </c>
      <c r="AF998">
        <v>10832.800000000001</v>
      </c>
      <c r="AG998">
        <v>0</v>
      </c>
      <c r="AH998">
        <v>-104.86666666666497</v>
      </c>
    </row>
    <row r="999" spans="2:34" x14ac:dyDescent="0.35">
      <c r="B999" t="s">
        <v>563</v>
      </c>
      <c r="C999">
        <v>45979</v>
      </c>
      <c r="F999" t="s">
        <v>752</v>
      </c>
      <c r="H999">
        <v>174.55</v>
      </c>
      <c r="O999" t="s">
        <v>239</v>
      </c>
      <c r="P999" t="s">
        <v>514</v>
      </c>
      <c r="Y999">
        <v>965</v>
      </c>
      <c r="Z999" s="259" t="s">
        <v>630</v>
      </c>
      <c r="AA999">
        <v>30</v>
      </c>
      <c r="AB999">
        <v>6006</v>
      </c>
      <c r="AC999">
        <v>45979</v>
      </c>
      <c r="AD999">
        <v>0</v>
      </c>
      <c r="AE999">
        <v>5236.5</v>
      </c>
      <c r="AF999">
        <v>5236.5</v>
      </c>
      <c r="AG999">
        <v>0</v>
      </c>
      <c r="AH999">
        <v>-769.5</v>
      </c>
    </row>
    <row r="1000" spans="2:34" x14ac:dyDescent="0.35">
      <c r="B1000" t="s">
        <v>563</v>
      </c>
      <c r="C1000">
        <v>45979</v>
      </c>
      <c r="F1000" t="s">
        <v>754</v>
      </c>
      <c r="H1000">
        <v>77.56</v>
      </c>
      <c r="O1000" t="s">
        <v>239</v>
      </c>
      <c r="P1000" t="s">
        <v>514</v>
      </c>
      <c r="Y1000">
        <v>966</v>
      </c>
      <c r="Z1000" s="259" t="s">
        <v>630</v>
      </c>
      <c r="AA1000">
        <v>0</v>
      </c>
      <c r="AB1000">
        <v>0</v>
      </c>
      <c r="AC1000">
        <v>45979</v>
      </c>
      <c r="AD1000">
        <v>0</v>
      </c>
      <c r="AE1000">
        <v>0</v>
      </c>
      <c r="AF1000">
        <v>0</v>
      </c>
      <c r="AG1000">
        <v>120</v>
      </c>
      <c r="AH1000">
        <v>0</v>
      </c>
    </row>
    <row r="1001" spans="2:34" x14ac:dyDescent="0.35">
      <c r="B1001" t="s">
        <v>563</v>
      </c>
      <c r="C1001">
        <v>45980</v>
      </c>
      <c r="F1001" t="s">
        <v>749</v>
      </c>
      <c r="H1001">
        <v>49.14</v>
      </c>
      <c r="O1001" t="s">
        <v>239</v>
      </c>
      <c r="P1001" t="s">
        <v>514</v>
      </c>
      <c r="Y1001">
        <v>967</v>
      </c>
      <c r="Z1001" s="259" t="s">
        <v>630</v>
      </c>
      <c r="AA1001">
        <v>220</v>
      </c>
      <c r="AB1001">
        <v>10937.666666666666</v>
      </c>
      <c r="AC1001">
        <v>45980</v>
      </c>
      <c r="AD1001">
        <v>0</v>
      </c>
      <c r="AE1001">
        <v>10810.8</v>
      </c>
      <c r="AF1001">
        <v>10810.8</v>
      </c>
      <c r="AG1001">
        <v>0</v>
      </c>
      <c r="AH1001">
        <v>-126.86666666666679</v>
      </c>
    </row>
    <row r="1002" spans="2:34" x14ac:dyDescent="0.35">
      <c r="B1002" t="s">
        <v>563</v>
      </c>
      <c r="C1002">
        <v>45980</v>
      </c>
      <c r="F1002" t="s">
        <v>752</v>
      </c>
      <c r="H1002">
        <v>174.17</v>
      </c>
      <c r="O1002" t="s">
        <v>239</v>
      </c>
      <c r="P1002" t="s">
        <v>514</v>
      </c>
      <c r="Y1002">
        <v>968</v>
      </c>
      <c r="Z1002" s="259" t="s">
        <v>630</v>
      </c>
      <c r="AA1002">
        <v>30</v>
      </c>
      <c r="AB1002">
        <v>6006</v>
      </c>
      <c r="AC1002">
        <v>45980</v>
      </c>
      <c r="AD1002">
        <v>0</v>
      </c>
      <c r="AE1002">
        <v>5225.0999999999995</v>
      </c>
      <c r="AF1002">
        <v>5225.0999999999995</v>
      </c>
      <c r="AG1002">
        <v>0</v>
      </c>
      <c r="AH1002">
        <v>-780.90000000000055</v>
      </c>
    </row>
    <row r="1003" spans="2:34" x14ac:dyDescent="0.35">
      <c r="B1003" t="s">
        <v>563</v>
      </c>
      <c r="C1003">
        <v>45980</v>
      </c>
      <c r="F1003" t="s">
        <v>754</v>
      </c>
      <c r="H1003">
        <v>77.66</v>
      </c>
      <c r="O1003" t="s">
        <v>239</v>
      </c>
      <c r="P1003" t="s">
        <v>514</v>
      </c>
      <c r="Y1003">
        <v>969</v>
      </c>
      <c r="Z1003" s="259" t="s">
        <v>630</v>
      </c>
      <c r="AA1003">
        <v>0</v>
      </c>
      <c r="AB1003">
        <v>0</v>
      </c>
      <c r="AC1003">
        <v>45980</v>
      </c>
      <c r="AD1003">
        <v>0</v>
      </c>
      <c r="AE1003">
        <v>0</v>
      </c>
      <c r="AF1003">
        <v>0</v>
      </c>
      <c r="AG1003">
        <v>120</v>
      </c>
      <c r="AH1003">
        <v>0</v>
      </c>
    </row>
    <row r="1004" spans="2:34" x14ac:dyDescent="0.35">
      <c r="B1004" t="s">
        <v>563</v>
      </c>
      <c r="C1004">
        <v>45981</v>
      </c>
      <c r="F1004" t="s">
        <v>749</v>
      </c>
      <c r="H1004">
        <v>49.03</v>
      </c>
      <c r="O1004" t="s">
        <v>239</v>
      </c>
      <c r="P1004" t="s">
        <v>514</v>
      </c>
      <c r="Y1004">
        <v>970</v>
      </c>
      <c r="Z1004" s="259" t="s">
        <v>630</v>
      </c>
      <c r="AA1004">
        <v>220</v>
      </c>
      <c r="AB1004">
        <v>10937.666666666666</v>
      </c>
      <c r="AC1004">
        <v>45981</v>
      </c>
      <c r="AD1004">
        <v>0</v>
      </c>
      <c r="AE1004">
        <v>10786.6</v>
      </c>
      <c r="AF1004">
        <v>10786.6</v>
      </c>
      <c r="AG1004">
        <v>0</v>
      </c>
      <c r="AH1004">
        <v>-151.0666666666657</v>
      </c>
    </row>
    <row r="1005" spans="2:34" x14ac:dyDescent="0.35">
      <c r="B1005" t="s">
        <v>563</v>
      </c>
      <c r="C1005">
        <v>45981</v>
      </c>
      <c r="F1005" t="s">
        <v>752</v>
      </c>
      <c r="H1005">
        <v>173.79</v>
      </c>
      <c r="O1005" t="s">
        <v>239</v>
      </c>
      <c r="P1005" t="s">
        <v>514</v>
      </c>
      <c r="Y1005">
        <v>971</v>
      </c>
      <c r="Z1005" s="259" t="s">
        <v>630</v>
      </c>
      <c r="AA1005">
        <v>30</v>
      </c>
      <c r="AB1005">
        <v>6006</v>
      </c>
      <c r="AC1005">
        <v>45981</v>
      </c>
      <c r="AD1005">
        <v>0</v>
      </c>
      <c r="AE1005">
        <v>5213.7</v>
      </c>
      <c r="AF1005">
        <v>5213.7</v>
      </c>
      <c r="AG1005">
        <v>0</v>
      </c>
      <c r="AH1005">
        <v>-792.30000000000018</v>
      </c>
    </row>
    <row r="1006" spans="2:34" x14ac:dyDescent="0.35">
      <c r="B1006" t="s">
        <v>563</v>
      </c>
      <c r="C1006">
        <v>45981</v>
      </c>
      <c r="F1006" t="s">
        <v>754</v>
      </c>
      <c r="H1006">
        <v>77.77</v>
      </c>
      <c r="O1006" t="s">
        <v>239</v>
      </c>
      <c r="P1006" t="s">
        <v>514</v>
      </c>
      <c r="Y1006">
        <v>972</v>
      </c>
      <c r="Z1006" s="259" t="s">
        <v>630</v>
      </c>
      <c r="AA1006">
        <v>0</v>
      </c>
      <c r="AB1006">
        <v>0</v>
      </c>
      <c r="AC1006">
        <v>45981</v>
      </c>
      <c r="AD1006">
        <v>0</v>
      </c>
      <c r="AE1006">
        <v>0</v>
      </c>
      <c r="AF1006">
        <v>0</v>
      </c>
      <c r="AG1006">
        <v>120</v>
      </c>
      <c r="AH1006">
        <v>0</v>
      </c>
    </row>
    <row r="1007" spans="2:34" x14ac:dyDescent="0.35">
      <c r="B1007" t="s">
        <v>563</v>
      </c>
      <c r="C1007">
        <v>45982</v>
      </c>
      <c r="F1007" t="s">
        <v>749</v>
      </c>
      <c r="H1007">
        <v>48.93</v>
      </c>
      <c r="O1007" t="s">
        <v>239</v>
      </c>
      <c r="P1007" t="s">
        <v>514</v>
      </c>
      <c r="Y1007">
        <v>973</v>
      </c>
      <c r="Z1007" s="259" t="s">
        <v>630</v>
      </c>
      <c r="AA1007">
        <v>220</v>
      </c>
      <c r="AB1007">
        <v>10937.666666666666</v>
      </c>
      <c r="AC1007">
        <v>45982</v>
      </c>
      <c r="AD1007">
        <v>0</v>
      </c>
      <c r="AE1007">
        <v>10764.6</v>
      </c>
      <c r="AF1007">
        <v>10764.6</v>
      </c>
      <c r="AG1007">
        <v>0</v>
      </c>
      <c r="AH1007">
        <v>-173.0666666666657</v>
      </c>
    </row>
    <row r="1008" spans="2:34" x14ac:dyDescent="0.35">
      <c r="B1008" t="s">
        <v>563</v>
      </c>
      <c r="C1008">
        <v>45982</v>
      </c>
      <c r="F1008" t="s">
        <v>752</v>
      </c>
      <c r="H1008">
        <v>173.41</v>
      </c>
      <c r="O1008" t="s">
        <v>239</v>
      </c>
      <c r="P1008" t="s">
        <v>514</v>
      </c>
      <c r="Y1008">
        <v>974</v>
      </c>
      <c r="Z1008" s="259" t="s">
        <v>630</v>
      </c>
      <c r="AA1008">
        <v>30</v>
      </c>
      <c r="AB1008">
        <v>6006</v>
      </c>
      <c r="AC1008">
        <v>45982</v>
      </c>
      <c r="AD1008">
        <v>0</v>
      </c>
      <c r="AE1008">
        <v>5202.3</v>
      </c>
      <c r="AF1008">
        <v>5202.3</v>
      </c>
      <c r="AG1008">
        <v>0</v>
      </c>
      <c r="AH1008">
        <v>-803.69999999999982</v>
      </c>
    </row>
    <row r="1009" spans="2:34" x14ac:dyDescent="0.35">
      <c r="B1009" t="s">
        <v>563</v>
      </c>
      <c r="C1009">
        <v>45982</v>
      </c>
      <c r="F1009" t="s">
        <v>754</v>
      </c>
      <c r="H1009">
        <v>77.87</v>
      </c>
      <c r="O1009" t="s">
        <v>239</v>
      </c>
      <c r="P1009" t="s">
        <v>514</v>
      </c>
      <c r="Y1009">
        <v>975</v>
      </c>
      <c r="Z1009" s="259" t="s">
        <v>630</v>
      </c>
      <c r="AA1009">
        <v>0</v>
      </c>
      <c r="AB1009">
        <v>0</v>
      </c>
      <c r="AC1009">
        <v>45982</v>
      </c>
      <c r="AD1009">
        <v>0</v>
      </c>
      <c r="AE1009">
        <v>0</v>
      </c>
      <c r="AF1009">
        <v>0</v>
      </c>
      <c r="AG1009">
        <v>120</v>
      </c>
      <c r="AH1009">
        <v>0</v>
      </c>
    </row>
    <row r="1010" spans="2:34" x14ac:dyDescent="0.35">
      <c r="B1010" t="s">
        <v>563</v>
      </c>
      <c r="C1010">
        <v>45983</v>
      </c>
      <c r="F1010" t="s">
        <v>749</v>
      </c>
      <c r="H1010">
        <v>48.93</v>
      </c>
      <c r="O1010" t="s">
        <v>239</v>
      </c>
      <c r="P1010" t="s">
        <v>514</v>
      </c>
      <c r="Y1010">
        <v>976</v>
      </c>
      <c r="Z1010" s="259" t="s">
        <v>630</v>
      </c>
      <c r="AA1010">
        <v>220</v>
      </c>
      <c r="AB1010">
        <v>10937.666666666666</v>
      </c>
      <c r="AC1010">
        <v>45982</v>
      </c>
      <c r="AD1010">
        <v>1</v>
      </c>
      <c r="AE1010">
        <v>10764.6</v>
      </c>
      <c r="AF1010">
        <v>10764.6</v>
      </c>
      <c r="AG1010">
        <v>0</v>
      </c>
      <c r="AH1010">
        <v>-173.0666666666657</v>
      </c>
    </row>
    <row r="1011" spans="2:34" x14ac:dyDescent="0.35">
      <c r="B1011" t="s">
        <v>563</v>
      </c>
      <c r="C1011">
        <v>45983</v>
      </c>
      <c r="F1011" t="s">
        <v>752</v>
      </c>
      <c r="H1011">
        <v>173.41</v>
      </c>
      <c r="O1011" t="s">
        <v>239</v>
      </c>
      <c r="P1011" t="s">
        <v>514</v>
      </c>
      <c r="Y1011">
        <v>977</v>
      </c>
      <c r="Z1011" s="259" t="s">
        <v>630</v>
      </c>
      <c r="AA1011">
        <v>30</v>
      </c>
      <c r="AB1011">
        <v>6006</v>
      </c>
      <c r="AC1011">
        <v>45982</v>
      </c>
      <c r="AD1011">
        <v>1</v>
      </c>
      <c r="AE1011">
        <v>5202.3</v>
      </c>
      <c r="AF1011">
        <v>5202.3</v>
      </c>
      <c r="AG1011">
        <v>0</v>
      </c>
      <c r="AH1011">
        <v>-803.69999999999982</v>
      </c>
    </row>
    <row r="1012" spans="2:34" x14ac:dyDescent="0.35">
      <c r="B1012" t="s">
        <v>563</v>
      </c>
      <c r="C1012">
        <v>45983</v>
      </c>
      <c r="F1012" t="s">
        <v>754</v>
      </c>
      <c r="H1012">
        <v>77.87</v>
      </c>
      <c r="O1012" t="s">
        <v>239</v>
      </c>
      <c r="P1012" t="s">
        <v>514</v>
      </c>
      <c r="Y1012">
        <v>978</v>
      </c>
      <c r="Z1012" s="259" t="s">
        <v>630</v>
      </c>
      <c r="AA1012">
        <v>0</v>
      </c>
      <c r="AB1012">
        <v>0</v>
      </c>
      <c r="AC1012">
        <v>45982</v>
      </c>
      <c r="AD1012">
        <v>1</v>
      </c>
      <c r="AE1012">
        <v>0</v>
      </c>
      <c r="AF1012">
        <v>0</v>
      </c>
      <c r="AG1012">
        <v>120</v>
      </c>
      <c r="AH1012">
        <v>0</v>
      </c>
    </row>
    <row r="1013" spans="2:34" x14ac:dyDescent="0.35">
      <c r="B1013" t="s">
        <v>563</v>
      </c>
      <c r="C1013">
        <v>45984</v>
      </c>
      <c r="F1013" t="s">
        <v>749</v>
      </c>
      <c r="H1013">
        <v>48.93</v>
      </c>
      <c r="O1013" t="s">
        <v>239</v>
      </c>
      <c r="P1013" t="s">
        <v>514</v>
      </c>
      <c r="Y1013">
        <v>979</v>
      </c>
      <c r="Z1013" s="259" t="s">
        <v>630</v>
      </c>
      <c r="AA1013">
        <v>220</v>
      </c>
      <c r="AB1013">
        <v>10937.666666666666</v>
      </c>
      <c r="AC1013">
        <v>45982</v>
      </c>
      <c r="AD1013">
        <v>2</v>
      </c>
      <c r="AE1013">
        <v>10764.6</v>
      </c>
      <c r="AF1013">
        <v>10764.6</v>
      </c>
      <c r="AG1013">
        <v>0</v>
      </c>
      <c r="AH1013">
        <v>-173.0666666666657</v>
      </c>
    </row>
    <row r="1014" spans="2:34" x14ac:dyDescent="0.35">
      <c r="B1014" t="s">
        <v>563</v>
      </c>
      <c r="C1014">
        <v>45984</v>
      </c>
      <c r="F1014" t="s">
        <v>752</v>
      </c>
      <c r="H1014">
        <v>173.41</v>
      </c>
      <c r="O1014" t="s">
        <v>239</v>
      </c>
      <c r="P1014" t="s">
        <v>514</v>
      </c>
      <c r="Y1014">
        <v>980</v>
      </c>
      <c r="Z1014" s="259" t="s">
        <v>630</v>
      </c>
      <c r="AA1014">
        <v>30</v>
      </c>
      <c r="AB1014">
        <v>6006</v>
      </c>
      <c r="AC1014">
        <v>45982</v>
      </c>
      <c r="AD1014">
        <v>2</v>
      </c>
      <c r="AE1014">
        <v>5202.3</v>
      </c>
      <c r="AF1014">
        <v>5202.3</v>
      </c>
      <c r="AG1014">
        <v>0</v>
      </c>
      <c r="AH1014">
        <v>-803.69999999999982</v>
      </c>
    </row>
    <row r="1015" spans="2:34" x14ac:dyDescent="0.35">
      <c r="B1015" t="s">
        <v>563</v>
      </c>
      <c r="C1015">
        <v>45984</v>
      </c>
      <c r="F1015" t="s">
        <v>754</v>
      </c>
      <c r="H1015">
        <v>77.87</v>
      </c>
      <c r="O1015" t="s">
        <v>239</v>
      </c>
      <c r="P1015" t="s">
        <v>514</v>
      </c>
      <c r="Y1015">
        <v>981</v>
      </c>
      <c r="Z1015" s="259" t="s">
        <v>630</v>
      </c>
      <c r="AA1015">
        <v>0</v>
      </c>
      <c r="AB1015">
        <v>0</v>
      </c>
      <c r="AC1015">
        <v>45982</v>
      </c>
      <c r="AD1015">
        <v>2</v>
      </c>
      <c r="AE1015">
        <v>0</v>
      </c>
      <c r="AF1015">
        <v>0</v>
      </c>
      <c r="AG1015">
        <v>120</v>
      </c>
      <c r="AH1015">
        <v>0</v>
      </c>
    </row>
    <row r="1016" spans="2:34" x14ac:dyDescent="0.35">
      <c r="B1016" t="s">
        <v>563</v>
      </c>
      <c r="C1016">
        <v>45985</v>
      </c>
      <c r="F1016" t="s">
        <v>749</v>
      </c>
      <c r="H1016">
        <v>48.62</v>
      </c>
      <c r="O1016" t="s">
        <v>239</v>
      </c>
      <c r="P1016" t="s">
        <v>514</v>
      </c>
      <c r="Y1016">
        <v>982</v>
      </c>
      <c r="Z1016" s="259" t="s">
        <v>630</v>
      </c>
      <c r="AA1016">
        <v>220</v>
      </c>
      <c r="AB1016">
        <v>10937.666666666666</v>
      </c>
      <c r="AC1016">
        <v>45985</v>
      </c>
      <c r="AD1016">
        <v>0</v>
      </c>
      <c r="AE1016">
        <v>10696.4</v>
      </c>
      <c r="AF1016">
        <v>10696.4</v>
      </c>
      <c r="AG1016">
        <v>0</v>
      </c>
      <c r="AH1016">
        <v>-241.26666666666642</v>
      </c>
    </row>
    <row r="1017" spans="2:34" x14ac:dyDescent="0.35">
      <c r="B1017" t="s">
        <v>563</v>
      </c>
      <c r="C1017">
        <v>45985</v>
      </c>
      <c r="F1017" t="s">
        <v>752</v>
      </c>
      <c r="H1017">
        <v>172.28</v>
      </c>
      <c r="O1017" t="s">
        <v>239</v>
      </c>
      <c r="P1017" t="s">
        <v>514</v>
      </c>
      <c r="Y1017">
        <v>983</v>
      </c>
      <c r="Z1017" s="259" t="s">
        <v>630</v>
      </c>
      <c r="AA1017">
        <v>30</v>
      </c>
      <c r="AB1017">
        <v>6006</v>
      </c>
      <c r="AC1017">
        <v>45985</v>
      </c>
      <c r="AD1017">
        <v>0</v>
      </c>
      <c r="AE1017">
        <v>5168.3999999999996</v>
      </c>
      <c r="AF1017">
        <v>5168.3999999999996</v>
      </c>
      <c r="AG1017">
        <v>0</v>
      </c>
      <c r="AH1017">
        <v>-837.60000000000036</v>
      </c>
    </row>
    <row r="1018" spans="2:34" x14ac:dyDescent="0.35">
      <c r="B1018" t="s">
        <v>563</v>
      </c>
      <c r="C1018">
        <v>45985</v>
      </c>
      <c r="F1018" t="s">
        <v>754</v>
      </c>
      <c r="H1018">
        <v>78.180000000000007</v>
      </c>
      <c r="O1018" t="s">
        <v>239</v>
      </c>
      <c r="P1018" t="s">
        <v>514</v>
      </c>
      <c r="Y1018">
        <v>984</v>
      </c>
      <c r="Z1018" s="259" t="s">
        <v>630</v>
      </c>
      <c r="AA1018">
        <v>0</v>
      </c>
      <c r="AB1018">
        <v>0</v>
      </c>
      <c r="AC1018">
        <v>45985</v>
      </c>
      <c r="AD1018">
        <v>0</v>
      </c>
      <c r="AE1018">
        <v>0</v>
      </c>
      <c r="AF1018">
        <v>0</v>
      </c>
      <c r="AG1018">
        <v>120</v>
      </c>
      <c r="AH1018">
        <v>0</v>
      </c>
    </row>
    <row r="1019" spans="2:34" x14ac:dyDescent="0.35">
      <c r="B1019" t="s">
        <v>563</v>
      </c>
      <c r="C1019">
        <v>45986</v>
      </c>
      <c r="F1019" t="s">
        <v>749</v>
      </c>
      <c r="H1019">
        <v>48.52</v>
      </c>
      <c r="O1019" t="s">
        <v>239</v>
      </c>
      <c r="P1019" t="s">
        <v>514</v>
      </c>
      <c r="Y1019">
        <v>985</v>
      </c>
      <c r="Z1019" s="259" t="s">
        <v>630</v>
      </c>
      <c r="AA1019">
        <v>220</v>
      </c>
      <c r="AB1019">
        <v>10937.666666666666</v>
      </c>
      <c r="AC1019">
        <v>45986</v>
      </c>
      <c r="AD1019">
        <v>0</v>
      </c>
      <c r="AE1019">
        <v>10674.400000000001</v>
      </c>
      <c r="AF1019">
        <v>10674.400000000001</v>
      </c>
      <c r="AG1019">
        <v>0</v>
      </c>
      <c r="AH1019">
        <v>-263.26666666666461</v>
      </c>
    </row>
    <row r="1020" spans="2:34" x14ac:dyDescent="0.35">
      <c r="B1020" t="s">
        <v>563</v>
      </c>
      <c r="C1020">
        <v>45986</v>
      </c>
      <c r="F1020" t="s">
        <v>752</v>
      </c>
      <c r="H1020">
        <v>171.9</v>
      </c>
      <c r="O1020" t="s">
        <v>239</v>
      </c>
      <c r="P1020" t="s">
        <v>514</v>
      </c>
      <c r="Y1020">
        <v>986</v>
      </c>
      <c r="Z1020" s="259" t="s">
        <v>630</v>
      </c>
      <c r="AA1020">
        <v>30</v>
      </c>
      <c r="AB1020">
        <v>6006</v>
      </c>
      <c r="AC1020">
        <v>45986</v>
      </c>
      <c r="AD1020">
        <v>0</v>
      </c>
      <c r="AE1020">
        <v>5157</v>
      </c>
      <c r="AF1020">
        <v>5157</v>
      </c>
      <c r="AG1020">
        <v>0</v>
      </c>
      <c r="AH1020">
        <v>-849</v>
      </c>
    </row>
    <row r="1021" spans="2:34" x14ac:dyDescent="0.35">
      <c r="B1021" t="s">
        <v>563</v>
      </c>
      <c r="C1021">
        <v>45986</v>
      </c>
      <c r="F1021" t="s">
        <v>754</v>
      </c>
      <c r="H1021">
        <v>78.28</v>
      </c>
      <c r="O1021" t="s">
        <v>239</v>
      </c>
      <c r="P1021" t="s">
        <v>514</v>
      </c>
      <c r="Y1021">
        <v>987</v>
      </c>
      <c r="Z1021" s="259" t="s">
        <v>630</v>
      </c>
      <c r="AA1021">
        <v>0</v>
      </c>
      <c r="AB1021">
        <v>0</v>
      </c>
      <c r="AC1021">
        <v>45986</v>
      </c>
      <c r="AD1021">
        <v>0</v>
      </c>
      <c r="AE1021">
        <v>0</v>
      </c>
      <c r="AF1021">
        <v>0</v>
      </c>
      <c r="AG1021">
        <v>120</v>
      </c>
      <c r="AH1021">
        <v>0</v>
      </c>
    </row>
    <row r="1022" spans="2:34" x14ac:dyDescent="0.35">
      <c r="B1022" t="s">
        <v>563</v>
      </c>
      <c r="C1022">
        <v>45987</v>
      </c>
      <c r="F1022" t="s">
        <v>749</v>
      </c>
      <c r="H1022">
        <v>48.41</v>
      </c>
      <c r="O1022" t="s">
        <v>239</v>
      </c>
      <c r="P1022" t="s">
        <v>514</v>
      </c>
      <c r="Y1022">
        <v>988</v>
      </c>
      <c r="Z1022" s="259" t="s">
        <v>630</v>
      </c>
      <c r="AA1022">
        <v>220</v>
      </c>
      <c r="AB1022">
        <v>10937.666666666666</v>
      </c>
      <c r="AC1022">
        <v>45987</v>
      </c>
      <c r="AD1022">
        <v>0</v>
      </c>
      <c r="AE1022">
        <v>10650.199999999999</v>
      </c>
      <c r="AF1022">
        <v>10650.199999999999</v>
      </c>
      <c r="AG1022">
        <v>0</v>
      </c>
      <c r="AH1022">
        <v>-287.46666666666715</v>
      </c>
    </row>
    <row r="1023" spans="2:34" x14ac:dyDescent="0.35">
      <c r="B1023" t="s">
        <v>563</v>
      </c>
      <c r="C1023">
        <v>45987</v>
      </c>
      <c r="F1023" t="s">
        <v>752</v>
      </c>
      <c r="H1023">
        <v>171.52</v>
      </c>
      <c r="O1023" t="s">
        <v>239</v>
      </c>
      <c r="P1023" t="s">
        <v>514</v>
      </c>
      <c r="Y1023">
        <v>989</v>
      </c>
      <c r="Z1023" s="259" t="s">
        <v>630</v>
      </c>
      <c r="AA1023">
        <v>30</v>
      </c>
      <c r="AB1023">
        <v>6006</v>
      </c>
      <c r="AC1023">
        <v>45987</v>
      </c>
      <c r="AD1023">
        <v>0</v>
      </c>
      <c r="AE1023">
        <v>5145.6000000000004</v>
      </c>
      <c r="AF1023">
        <v>5145.6000000000004</v>
      </c>
      <c r="AG1023">
        <v>0</v>
      </c>
      <c r="AH1023">
        <v>-860.39999999999964</v>
      </c>
    </row>
    <row r="1024" spans="2:34" x14ac:dyDescent="0.35">
      <c r="B1024" t="s">
        <v>563</v>
      </c>
      <c r="C1024">
        <v>45987</v>
      </c>
      <c r="F1024" t="s">
        <v>754</v>
      </c>
      <c r="H1024">
        <v>78.39</v>
      </c>
      <c r="O1024" t="s">
        <v>239</v>
      </c>
      <c r="P1024" t="s">
        <v>514</v>
      </c>
      <c r="Y1024">
        <v>990</v>
      </c>
      <c r="Z1024" s="259" t="s">
        <v>630</v>
      </c>
      <c r="AA1024">
        <v>0</v>
      </c>
      <c r="AB1024">
        <v>0</v>
      </c>
      <c r="AC1024">
        <v>45987</v>
      </c>
      <c r="AD1024">
        <v>0</v>
      </c>
      <c r="AE1024">
        <v>0</v>
      </c>
      <c r="AF1024">
        <v>0</v>
      </c>
      <c r="AG1024">
        <v>120</v>
      </c>
      <c r="AH1024">
        <v>0</v>
      </c>
    </row>
    <row r="1025" spans="2:34" x14ac:dyDescent="0.35">
      <c r="B1025" t="s">
        <v>563</v>
      </c>
      <c r="C1025">
        <v>45988</v>
      </c>
      <c r="F1025" t="s">
        <v>749</v>
      </c>
      <c r="H1025">
        <v>48.31</v>
      </c>
      <c r="O1025" t="s">
        <v>239</v>
      </c>
      <c r="P1025" t="s">
        <v>514</v>
      </c>
      <c r="Y1025">
        <v>991</v>
      </c>
      <c r="Z1025" s="259" t="s">
        <v>630</v>
      </c>
      <c r="AA1025">
        <v>220</v>
      </c>
      <c r="AB1025">
        <v>10937.666666666666</v>
      </c>
      <c r="AC1025">
        <v>45988</v>
      </c>
      <c r="AD1025">
        <v>0</v>
      </c>
      <c r="AE1025">
        <v>10628.2</v>
      </c>
      <c r="AF1025">
        <v>10628.2</v>
      </c>
      <c r="AG1025">
        <v>0</v>
      </c>
      <c r="AH1025">
        <v>-309.46666666666533</v>
      </c>
    </row>
    <row r="1026" spans="2:34" x14ac:dyDescent="0.35">
      <c r="B1026" t="s">
        <v>563</v>
      </c>
      <c r="C1026">
        <v>45988</v>
      </c>
      <c r="F1026" t="s">
        <v>752</v>
      </c>
      <c r="H1026">
        <v>171.14</v>
      </c>
      <c r="O1026" t="s">
        <v>239</v>
      </c>
      <c r="P1026" t="s">
        <v>514</v>
      </c>
      <c r="Y1026">
        <v>992</v>
      </c>
      <c r="Z1026" s="259" t="s">
        <v>630</v>
      </c>
      <c r="AA1026">
        <v>30</v>
      </c>
      <c r="AB1026">
        <v>6006</v>
      </c>
      <c r="AC1026">
        <v>45988</v>
      </c>
      <c r="AD1026">
        <v>0</v>
      </c>
      <c r="AE1026">
        <v>5134.2</v>
      </c>
      <c r="AF1026">
        <v>5134.2</v>
      </c>
      <c r="AG1026">
        <v>0</v>
      </c>
      <c r="AH1026">
        <v>-871.80000000000018</v>
      </c>
    </row>
    <row r="1027" spans="2:34" x14ac:dyDescent="0.35">
      <c r="B1027" t="s">
        <v>563</v>
      </c>
      <c r="C1027">
        <v>45988</v>
      </c>
      <c r="F1027" t="s">
        <v>754</v>
      </c>
      <c r="H1027">
        <v>78.489999999999995</v>
      </c>
      <c r="O1027" t="s">
        <v>239</v>
      </c>
      <c r="P1027" t="s">
        <v>514</v>
      </c>
      <c r="Y1027">
        <v>993</v>
      </c>
      <c r="Z1027" s="259" t="s">
        <v>630</v>
      </c>
      <c r="AA1027">
        <v>0</v>
      </c>
      <c r="AB1027">
        <v>0</v>
      </c>
      <c r="AC1027">
        <v>45988</v>
      </c>
      <c r="AD1027">
        <v>0</v>
      </c>
      <c r="AE1027">
        <v>0</v>
      </c>
      <c r="AF1027">
        <v>0</v>
      </c>
      <c r="AG1027">
        <v>120</v>
      </c>
      <c r="AH1027">
        <v>0</v>
      </c>
    </row>
    <row r="1028" spans="2:34" x14ac:dyDescent="0.35">
      <c r="B1028" t="s">
        <v>563</v>
      </c>
      <c r="C1028">
        <v>45989</v>
      </c>
      <c r="F1028" t="s">
        <v>749</v>
      </c>
      <c r="H1028">
        <v>48.21</v>
      </c>
      <c r="O1028" t="s">
        <v>239</v>
      </c>
      <c r="P1028" t="s">
        <v>514</v>
      </c>
      <c r="Y1028">
        <v>994</v>
      </c>
      <c r="Z1028" s="259" t="s">
        <v>630</v>
      </c>
      <c r="AA1028">
        <v>220</v>
      </c>
      <c r="AB1028">
        <v>10937.666666666666</v>
      </c>
      <c r="AC1028">
        <v>45989</v>
      </c>
      <c r="AD1028">
        <v>0</v>
      </c>
      <c r="AE1028">
        <v>10606.2</v>
      </c>
      <c r="AF1028">
        <v>10606.2</v>
      </c>
      <c r="AG1028">
        <v>0</v>
      </c>
      <c r="AH1028">
        <v>-331.46666666666533</v>
      </c>
    </row>
    <row r="1029" spans="2:34" x14ac:dyDescent="0.35">
      <c r="B1029" t="s">
        <v>563</v>
      </c>
      <c r="C1029">
        <v>45989</v>
      </c>
      <c r="F1029" t="s">
        <v>752</v>
      </c>
      <c r="H1029">
        <v>170.76</v>
      </c>
      <c r="O1029" t="s">
        <v>239</v>
      </c>
      <c r="P1029" t="s">
        <v>514</v>
      </c>
      <c r="Y1029">
        <v>995</v>
      </c>
      <c r="Z1029" s="259" t="s">
        <v>630</v>
      </c>
      <c r="AA1029">
        <v>30</v>
      </c>
      <c r="AB1029">
        <v>6006</v>
      </c>
      <c r="AC1029">
        <v>45989</v>
      </c>
      <c r="AD1029">
        <v>0</v>
      </c>
      <c r="AE1029">
        <v>5122.7999999999993</v>
      </c>
      <c r="AF1029">
        <v>5122.7999999999993</v>
      </c>
      <c r="AG1029">
        <v>0</v>
      </c>
      <c r="AH1029">
        <v>-883.20000000000073</v>
      </c>
    </row>
    <row r="1030" spans="2:34" x14ac:dyDescent="0.35">
      <c r="B1030" t="s">
        <v>563</v>
      </c>
      <c r="C1030">
        <v>45989</v>
      </c>
      <c r="F1030" t="s">
        <v>754</v>
      </c>
      <c r="H1030">
        <v>78.59</v>
      </c>
      <c r="O1030" t="s">
        <v>239</v>
      </c>
      <c r="P1030" t="s">
        <v>514</v>
      </c>
      <c r="Y1030">
        <v>996</v>
      </c>
      <c r="Z1030" s="259" t="s">
        <v>630</v>
      </c>
      <c r="AA1030">
        <v>0</v>
      </c>
      <c r="AB1030">
        <v>0</v>
      </c>
      <c r="AC1030">
        <v>45989</v>
      </c>
      <c r="AD1030">
        <v>0</v>
      </c>
      <c r="AE1030">
        <v>0</v>
      </c>
      <c r="AF1030">
        <v>0</v>
      </c>
      <c r="AG1030">
        <v>120</v>
      </c>
      <c r="AH1030">
        <v>0</v>
      </c>
    </row>
    <row r="1031" spans="2:34" x14ac:dyDescent="0.35">
      <c r="B1031" t="s">
        <v>563</v>
      </c>
      <c r="C1031">
        <v>45990</v>
      </c>
      <c r="F1031" t="s">
        <v>749</v>
      </c>
      <c r="H1031">
        <v>48.21</v>
      </c>
      <c r="O1031" t="s">
        <v>239</v>
      </c>
      <c r="P1031" t="s">
        <v>514</v>
      </c>
      <c r="Y1031">
        <v>997</v>
      </c>
      <c r="Z1031" s="259" t="s">
        <v>630</v>
      </c>
      <c r="AA1031">
        <v>220</v>
      </c>
      <c r="AB1031">
        <v>10937.666666666666</v>
      </c>
      <c r="AC1031">
        <v>45989</v>
      </c>
      <c r="AD1031">
        <v>1</v>
      </c>
      <c r="AE1031">
        <v>10606.2</v>
      </c>
      <c r="AF1031">
        <v>10606.2</v>
      </c>
      <c r="AG1031">
        <v>0</v>
      </c>
      <c r="AH1031">
        <v>-331.46666666666533</v>
      </c>
    </row>
    <row r="1032" spans="2:34" x14ac:dyDescent="0.35">
      <c r="B1032" t="s">
        <v>563</v>
      </c>
      <c r="C1032">
        <v>45990</v>
      </c>
      <c r="F1032" t="s">
        <v>752</v>
      </c>
      <c r="H1032">
        <v>170.76</v>
      </c>
      <c r="O1032" t="s">
        <v>239</v>
      </c>
      <c r="P1032" t="s">
        <v>514</v>
      </c>
      <c r="Y1032">
        <v>998</v>
      </c>
      <c r="Z1032" s="259" t="s">
        <v>630</v>
      </c>
      <c r="AA1032">
        <v>30</v>
      </c>
      <c r="AB1032">
        <v>6006</v>
      </c>
      <c r="AC1032">
        <v>45989</v>
      </c>
      <c r="AD1032">
        <v>1</v>
      </c>
      <c r="AE1032">
        <v>5122.7999999999993</v>
      </c>
      <c r="AF1032">
        <v>5122.7999999999993</v>
      </c>
      <c r="AG1032">
        <v>0</v>
      </c>
      <c r="AH1032">
        <v>-883.20000000000073</v>
      </c>
    </row>
    <row r="1033" spans="2:34" x14ac:dyDescent="0.35">
      <c r="B1033" t="s">
        <v>563</v>
      </c>
      <c r="C1033">
        <v>45990</v>
      </c>
      <c r="F1033" t="s">
        <v>754</v>
      </c>
      <c r="H1033">
        <v>78.59</v>
      </c>
      <c r="O1033" t="s">
        <v>239</v>
      </c>
      <c r="P1033" t="s">
        <v>514</v>
      </c>
      <c r="Y1033">
        <v>999</v>
      </c>
      <c r="Z1033" s="259" t="s">
        <v>630</v>
      </c>
      <c r="AA1033">
        <v>0</v>
      </c>
      <c r="AB1033">
        <v>0</v>
      </c>
      <c r="AC1033">
        <v>45989</v>
      </c>
      <c r="AD1033">
        <v>1</v>
      </c>
      <c r="AE1033">
        <v>0</v>
      </c>
      <c r="AF1033">
        <v>0</v>
      </c>
      <c r="AG1033">
        <v>120</v>
      </c>
      <c r="AH1033">
        <v>0</v>
      </c>
    </row>
    <row r="1034" spans="2:34" x14ac:dyDescent="0.35">
      <c r="B1034" t="s">
        <v>563</v>
      </c>
      <c r="C1034">
        <v>45991</v>
      </c>
      <c r="F1034" t="s">
        <v>749</v>
      </c>
      <c r="H1034">
        <v>48.21</v>
      </c>
      <c r="O1034" t="s">
        <v>239</v>
      </c>
      <c r="P1034" t="s">
        <v>514</v>
      </c>
      <c r="Y1034">
        <v>1000</v>
      </c>
      <c r="Z1034" s="259" t="s">
        <v>630</v>
      </c>
      <c r="AA1034">
        <v>220</v>
      </c>
      <c r="AB1034">
        <v>10937.666666666666</v>
      </c>
      <c r="AC1034">
        <v>45989</v>
      </c>
      <c r="AD1034">
        <v>2</v>
      </c>
      <c r="AE1034">
        <v>10606.2</v>
      </c>
      <c r="AF1034">
        <v>10606.2</v>
      </c>
      <c r="AG1034">
        <v>0</v>
      </c>
      <c r="AH1034">
        <v>-331.46666666666533</v>
      </c>
    </row>
    <row r="1035" spans="2:34" x14ac:dyDescent="0.35">
      <c r="B1035" t="s">
        <v>563</v>
      </c>
      <c r="C1035">
        <v>45991</v>
      </c>
      <c r="F1035" t="s">
        <v>752</v>
      </c>
      <c r="H1035">
        <v>170.76</v>
      </c>
      <c r="O1035" t="s">
        <v>239</v>
      </c>
      <c r="P1035" t="s">
        <v>514</v>
      </c>
      <c r="Y1035">
        <v>1001</v>
      </c>
      <c r="Z1035" s="259" t="s">
        <v>630</v>
      </c>
      <c r="AA1035">
        <v>30</v>
      </c>
      <c r="AB1035">
        <v>6006</v>
      </c>
      <c r="AC1035">
        <v>45989</v>
      </c>
      <c r="AD1035">
        <v>2</v>
      </c>
      <c r="AE1035">
        <v>5122.7999999999993</v>
      </c>
      <c r="AF1035">
        <v>5122.7999999999993</v>
      </c>
      <c r="AG1035">
        <v>0</v>
      </c>
      <c r="AH1035">
        <v>-883.20000000000073</v>
      </c>
    </row>
    <row r="1036" spans="2:34" x14ac:dyDescent="0.35">
      <c r="B1036" t="s">
        <v>563</v>
      </c>
      <c r="C1036">
        <v>45991</v>
      </c>
      <c r="F1036" t="s">
        <v>754</v>
      </c>
      <c r="H1036">
        <v>78.59</v>
      </c>
      <c r="O1036" t="s">
        <v>239</v>
      </c>
      <c r="P1036" t="s">
        <v>514</v>
      </c>
      <c r="Y1036">
        <v>1002</v>
      </c>
      <c r="Z1036" s="259" t="s">
        <v>630</v>
      </c>
      <c r="AA1036">
        <v>0</v>
      </c>
      <c r="AB1036">
        <v>0</v>
      </c>
      <c r="AC1036">
        <v>45989</v>
      </c>
      <c r="AD1036">
        <v>2</v>
      </c>
      <c r="AE1036">
        <v>0</v>
      </c>
      <c r="AF1036">
        <v>0</v>
      </c>
      <c r="AG1036">
        <v>120</v>
      </c>
      <c r="AH1036">
        <v>0</v>
      </c>
    </row>
    <row r="1037" spans="2:34" x14ac:dyDescent="0.35">
      <c r="B1037" t="s">
        <v>563</v>
      </c>
      <c r="C1037">
        <v>45992</v>
      </c>
      <c r="F1037" t="s">
        <v>749</v>
      </c>
      <c r="H1037">
        <v>48</v>
      </c>
      <c r="O1037" t="s">
        <v>239</v>
      </c>
      <c r="P1037" t="s">
        <v>514</v>
      </c>
      <c r="Y1037">
        <v>1003</v>
      </c>
      <c r="Z1037" s="259" t="s">
        <v>630</v>
      </c>
      <c r="AA1037">
        <v>220</v>
      </c>
      <c r="AB1037">
        <v>10937.666666666666</v>
      </c>
      <c r="AC1037">
        <v>45992</v>
      </c>
      <c r="AD1037">
        <v>0</v>
      </c>
      <c r="AE1037">
        <v>10560</v>
      </c>
      <c r="AF1037">
        <v>10560</v>
      </c>
      <c r="AG1037">
        <v>0</v>
      </c>
      <c r="AH1037">
        <v>-377.66666666666606</v>
      </c>
    </row>
    <row r="1038" spans="2:34" x14ac:dyDescent="0.35">
      <c r="B1038" t="s">
        <v>563</v>
      </c>
      <c r="C1038">
        <v>45992</v>
      </c>
      <c r="F1038" t="s">
        <v>752</v>
      </c>
      <c r="H1038">
        <v>170</v>
      </c>
      <c r="O1038" t="s">
        <v>239</v>
      </c>
      <c r="P1038" t="s">
        <v>514</v>
      </c>
      <c r="Y1038">
        <v>1004</v>
      </c>
      <c r="Z1038" s="259" t="s">
        <v>630</v>
      </c>
      <c r="AA1038">
        <v>30</v>
      </c>
      <c r="AB1038">
        <v>6006</v>
      </c>
      <c r="AC1038">
        <v>45992</v>
      </c>
      <c r="AD1038">
        <v>0</v>
      </c>
      <c r="AE1038">
        <v>5100</v>
      </c>
      <c r="AF1038">
        <v>5100</v>
      </c>
      <c r="AG1038">
        <v>0</v>
      </c>
      <c r="AH1038">
        <v>-906</v>
      </c>
    </row>
    <row r="1039" spans="2:34" x14ac:dyDescent="0.35">
      <c r="B1039" t="s">
        <v>563</v>
      </c>
      <c r="C1039">
        <v>45992</v>
      </c>
      <c r="F1039" t="s">
        <v>754</v>
      </c>
      <c r="H1039">
        <v>78.8</v>
      </c>
      <c r="O1039" t="s">
        <v>239</v>
      </c>
      <c r="P1039" t="s">
        <v>514</v>
      </c>
      <c r="Y1039">
        <v>1005</v>
      </c>
      <c r="Z1039" s="259" t="s">
        <v>630</v>
      </c>
      <c r="AA1039">
        <v>0</v>
      </c>
      <c r="AB1039">
        <v>0</v>
      </c>
      <c r="AC1039">
        <v>45992</v>
      </c>
      <c r="AD1039">
        <v>0</v>
      </c>
      <c r="AE1039">
        <v>0</v>
      </c>
      <c r="AF1039">
        <v>0</v>
      </c>
      <c r="AG1039">
        <v>120</v>
      </c>
      <c r="AH1039">
        <v>0</v>
      </c>
    </row>
    <row r="1040" spans="2:34" x14ac:dyDescent="0.35">
      <c r="B1040" t="s">
        <v>563</v>
      </c>
      <c r="C1040">
        <v>45993</v>
      </c>
      <c r="F1040" t="s">
        <v>749</v>
      </c>
      <c r="H1040">
        <v>47.98</v>
      </c>
      <c r="O1040" t="s">
        <v>239</v>
      </c>
      <c r="P1040" t="s">
        <v>514</v>
      </c>
      <c r="Y1040">
        <v>1006</v>
      </c>
      <c r="Z1040" s="259" t="s">
        <v>630</v>
      </c>
      <c r="AA1040">
        <v>220</v>
      </c>
      <c r="AB1040">
        <v>10937.666666666666</v>
      </c>
      <c r="AC1040">
        <v>45993</v>
      </c>
      <c r="AD1040">
        <v>0</v>
      </c>
      <c r="AE1040">
        <v>10555.599999999999</v>
      </c>
      <c r="AF1040">
        <v>10555.599999999999</v>
      </c>
      <c r="AG1040">
        <v>0</v>
      </c>
      <c r="AH1040">
        <v>-382.06666666666752</v>
      </c>
    </row>
    <row r="1041" spans="2:34" x14ac:dyDescent="0.35">
      <c r="B1041" t="s">
        <v>563</v>
      </c>
      <c r="C1041">
        <v>45993</v>
      </c>
      <c r="F1041" t="s">
        <v>752</v>
      </c>
      <c r="H1041">
        <v>169.97</v>
      </c>
      <c r="O1041" t="s">
        <v>239</v>
      </c>
      <c r="P1041" t="s">
        <v>514</v>
      </c>
      <c r="Y1041">
        <v>1007</v>
      </c>
      <c r="Z1041" s="259" t="s">
        <v>630</v>
      </c>
      <c r="AA1041">
        <v>30</v>
      </c>
      <c r="AB1041">
        <v>6006</v>
      </c>
      <c r="AC1041">
        <v>45993</v>
      </c>
      <c r="AD1041">
        <v>0</v>
      </c>
      <c r="AE1041">
        <v>5099.1000000000004</v>
      </c>
      <c r="AF1041">
        <v>5099.1000000000004</v>
      </c>
      <c r="AG1041">
        <v>0</v>
      </c>
      <c r="AH1041">
        <v>-906.89999999999964</v>
      </c>
    </row>
    <row r="1042" spans="2:34" x14ac:dyDescent="0.35">
      <c r="B1042" t="s">
        <v>563</v>
      </c>
      <c r="C1042">
        <v>45993</v>
      </c>
      <c r="F1042" t="s">
        <v>754</v>
      </c>
      <c r="H1042">
        <v>78.77</v>
      </c>
      <c r="O1042" t="s">
        <v>239</v>
      </c>
      <c r="P1042" t="s">
        <v>514</v>
      </c>
      <c r="Y1042">
        <v>1008</v>
      </c>
      <c r="Z1042" s="259" t="s">
        <v>630</v>
      </c>
      <c r="AA1042">
        <v>0</v>
      </c>
      <c r="AB1042">
        <v>0</v>
      </c>
      <c r="AC1042">
        <v>45993</v>
      </c>
      <c r="AD1042">
        <v>0</v>
      </c>
      <c r="AE1042">
        <v>0</v>
      </c>
      <c r="AF1042">
        <v>0</v>
      </c>
      <c r="AG1042">
        <v>120</v>
      </c>
      <c r="AH1042">
        <v>0</v>
      </c>
    </row>
    <row r="1043" spans="2:34" x14ac:dyDescent="0.35">
      <c r="B1043" t="s">
        <v>563</v>
      </c>
      <c r="C1043">
        <v>45994</v>
      </c>
      <c r="F1043" t="s">
        <v>749</v>
      </c>
      <c r="H1043">
        <v>47.97</v>
      </c>
      <c r="O1043" t="s">
        <v>239</v>
      </c>
      <c r="P1043" t="s">
        <v>514</v>
      </c>
      <c r="Y1043">
        <v>1009</v>
      </c>
      <c r="Z1043" s="259" t="s">
        <v>630</v>
      </c>
      <c r="AA1043">
        <v>220</v>
      </c>
      <c r="AB1043">
        <v>10937.666666666666</v>
      </c>
      <c r="AC1043">
        <v>45994</v>
      </c>
      <c r="AD1043">
        <v>0</v>
      </c>
      <c r="AE1043">
        <v>10553.4</v>
      </c>
      <c r="AF1043">
        <v>10553.4</v>
      </c>
      <c r="AG1043">
        <v>0</v>
      </c>
      <c r="AH1043">
        <v>-384.26666666666642</v>
      </c>
    </row>
    <row r="1044" spans="2:34" x14ac:dyDescent="0.35">
      <c r="B1044" t="s">
        <v>563</v>
      </c>
      <c r="C1044">
        <v>45994</v>
      </c>
      <c r="F1044" t="s">
        <v>752</v>
      </c>
      <c r="H1044">
        <v>169.93</v>
      </c>
      <c r="O1044" t="s">
        <v>239</v>
      </c>
      <c r="P1044" t="s">
        <v>514</v>
      </c>
      <c r="Y1044">
        <v>1010</v>
      </c>
      <c r="Z1044" s="259" t="s">
        <v>630</v>
      </c>
      <c r="AA1044">
        <v>30</v>
      </c>
      <c r="AB1044">
        <v>6006</v>
      </c>
      <c r="AC1044">
        <v>45994</v>
      </c>
      <c r="AD1044">
        <v>0</v>
      </c>
      <c r="AE1044">
        <v>5097.9000000000005</v>
      </c>
      <c r="AF1044">
        <v>5097.9000000000005</v>
      </c>
      <c r="AG1044">
        <v>0</v>
      </c>
      <c r="AH1044">
        <v>-908.09999999999945</v>
      </c>
    </row>
    <row r="1045" spans="2:34" x14ac:dyDescent="0.35">
      <c r="B1045" t="s">
        <v>563</v>
      </c>
      <c r="C1045">
        <v>45994</v>
      </c>
      <c r="F1045" t="s">
        <v>754</v>
      </c>
      <c r="H1045">
        <v>78.73</v>
      </c>
      <c r="O1045" t="s">
        <v>239</v>
      </c>
      <c r="P1045" t="s">
        <v>514</v>
      </c>
      <c r="Y1045">
        <v>1011</v>
      </c>
      <c r="Z1045" s="259" t="s">
        <v>630</v>
      </c>
      <c r="AA1045">
        <v>0</v>
      </c>
      <c r="AB1045">
        <v>0</v>
      </c>
      <c r="AC1045">
        <v>45994</v>
      </c>
      <c r="AD1045">
        <v>0</v>
      </c>
      <c r="AE1045">
        <v>0</v>
      </c>
      <c r="AF1045">
        <v>0</v>
      </c>
      <c r="AG1045">
        <v>120</v>
      </c>
      <c r="AH1045">
        <v>0</v>
      </c>
    </row>
    <row r="1046" spans="2:34" x14ac:dyDescent="0.35">
      <c r="B1046" t="s">
        <v>563</v>
      </c>
      <c r="C1046">
        <v>45995</v>
      </c>
      <c r="F1046" t="s">
        <v>749</v>
      </c>
      <c r="H1046">
        <v>47.95</v>
      </c>
      <c r="O1046" t="s">
        <v>239</v>
      </c>
      <c r="P1046" t="s">
        <v>514</v>
      </c>
      <c r="Y1046">
        <v>1012</v>
      </c>
      <c r="Z1046" s="259" t="s">
        <v>630</v>
      </c>
      <c r="AA1046">
        <v>220</v>
      </c>
      <c r="AB1046">
        <v>10937.666666666666</v>
      </c>
      <c r="AC1046">
        <v>45995</v>
      </c>
      <c r="AD1046">
        <v>0</v>
      </c>
      <c r="AE1046">
        <v>10549</v>
      </c>
      <c r="AF1046">
        <v>10549</v>
      </c>
      <c r="AG1046">
        <v>0</v>
      </c>
      <c r="AH1046">
        <v>-388.66666666666606</v>
      </c>
    </row>
    <row r="1047" spans="2:34" x14ac:dyDescent="0.35">
      <c r="B1047" t="s">
        <v>563</v>
      </c>
      <c r="C1047">
        <v>45995</v>
      </c>
      <c r="F1047" t="s">
        <v>752</v>
      </c>
      <c r="H1047">
        <v>169.9</v>
      </c>
      <c r="O1047" t="s">
        <v>239</v>
      </c>
      <c r="P1047" t="s">
        <v>514</v>
      </c>
      <c r="Y1047">
        <v>1013</v>
      </c>
      <c r="Z1047" s="259" t="s">
        <v>630</v>
      </c>
      <c r="AA1047">
        <v>30</v>
      </c>
      <c r="AB1047">
        <v>6006</v>
      </c>
      <c r="AC1047">
        <v>45995</v>
      </c>
      <c r="AD1047">
        <v>0</v>
      </c>
      <c r="AE1047">
        <v>5097</v>
      </c>
      <c r="AF1047">
        <v>5097</v>
      </c>
      <c r="AG1047">
        <v>0</v>
      </c>
      <c r="AH1047">
        <v>-909</v>
      </c>
    </row>
    <row r="1048" spans="2:34" x14ac:dyDescent="0.35">
      <c r="B1048" t="s">
        <v>563</v>
      </c>
      <c r="C1048">
        <v>45995</v>
      </c>
      <c r="F1048" t="s">
        <v>754</v>
      </c>
      <c r="H1048">
        <v>78.7</v>
      </c>
      <c r="O1048" t="s">
        <v>239</v>
      </c>
      <c r="P1048" t="s">
        <v>514</v>
      </c>
      <c r="Y1048">
        <v>1014</v>
      </c>
      <c r="Z1048" s="259" t="s">
        <v>630</v>
      </c>
      <c r="AA1048">
        <v>0</v>
      </c>
      <c r="AB1048">
        <v>0</v>
      </c>
      <c r="AC1048">
        <v>45995</v>
      </c>
      <c r="AD1048">
        <v>0</v>
      </c>
      <c r="AE1048">
        <v>0</v>
      </c>
      <c r="AF1048">
        <v>0</v>
      </c>
      <c r="AG1048">
        <v>120</v>
      </c>
      <c r="AH1048">
        <v>0</v>
      </c>
    </row>
    <row r="1049" spans="2:34" x14ac:dyDescent="0.35">
      <c r="B1049" t="s">
        <v>563</v>
      </c>
      <c r="C1049">
        <v>45996</v>
      </c>
      <c r="F1049" t="s">
        <v>749</v>
      </c>
      <c r="H1049">
        <v>47.93</v>
      </c>
      <c r="O1049" t="s">
        <v>239</v>
      </c>
      <c r="P1049" t="s">
        <v>514</v>
      </c>
      <c r="Y1049">
        <v>1015</v>
      </c>
      <c r="Z1049" s="259" t="s">
        <v>630</v>
      </c>
      <c r="AA1049">
        <v>220</v>
      </c>
      <c r="AB1049">
        <v>10937.666666666666</v>
      </c>
      <c r="AC1049">
        <v>45996</v>
      </c>
      <c r="AD1049">
        <v>0</v>
      </c>
      <c r="AE1049">
        <v>10544.6</v>
      </c>
      <c r="AF1049">
        <v>10544.6</v>
      </c>
      <c r="AG1049">
        <v>0</v>
      </c>
      <c r="AH1049">
        <v>-393.0666666666657</v>
      </c>
    </row>
    <row r="1050" spans="2:34" x14ac:dyDescent="0.35">
      <c r="B1050" t="s">
        <v>563</v>
      </c>
      <c r="C1050">
        <v>45996</v>
      </c>
      <c r="F1050" t="s">
        <v>752</v>
      </c>
      <c r="H1050">
        <v>169.87</v>
      </c>
      <c r="O1050" t="s">
        <v>239</v>
      </c>
      <c r="P1050" t="s">
        <v>514</v>
      </c>
      <c r="Y1050">
        <v>1016</v>
      </c>
      <c r="Z1050" s="259" t="s">
        <v>630</v>
      </c>
      <c r="AA1050">
        <v>30</v>
      </c>
      <c r="AB1050">
        <v>6006</v>
      </c>
      <c r="AC1050">
        <v>45996</v>
      </c>
      <c r="AD1050">
        <v>0</v>
      </c>
      <c r="AE1050">
        <v>5096.1000000000004</v>
      </c>
      <c r="AF1050">
        <v>5096.1000000000004</v>
      </c>
      <c r="AG1050">
        <v>0</v>
      </c>
      <c r="AH1050">
        <v>-909.89999999999964</v>
      </c>
    </row>
    <row r="1051" spans="2:34" x14ac:dyDescent="0.35">
      <c r="B1051" t="s">
        <v>563</v>
      </c>
      <c r="C1051">
        <v>45996</v>
      </c>
      <c r="F1051" t="s">
        <v>754</v>
      </c>
      <c r="H1051">
        <v>78.67</v>
      </c>
      <c r="O1051" t="s">
        <v>239</v>
      </c>
      <c r="P1051" t="s">
        <v>514</v>
      </c>
      <c r="Y1051">
        <v>1017</v>
      </c>
      <c r="Z1051" s="259" t="s">
        <v>630</v>
      </c>
      <c r="AA1051">
        <v>0</v>
      </c>
      <c r="AB1051">
        <v>0</v>
      </c>
      <c r="AC1051">
        <v>45996</v>
      </c>
      <c r="AD1051">
        <v>0</v>
      </c>
      <c r="AE1051">
        <v>0</v>
      </c>
      <c r="AF1051">
        <v>0</v>
      </c>
      <c r="AG1051">
        <v>120</v>
      </c>
      <c r="AH1051">
        <v>0</v>
      </c>
    </row>
    <row r="1052" spans="2:34" x14ac:dyDescent="0.35">
      <c r="B1052" t="s">
        <v>563</v>
      </c>
      <c r="C1052">
        <v>45997</v>
      </c>
      <c r="F1052" t="s">
        <v>749</v>
      </c>
      <c r="H1052">
        <v>47.93</v>
      </c>
      <c r="O1052" t="s">
        <v>239</v>
      </c>
      <c r="P1052" t="s">
        <v>514</v>
      </c>
      <c r="Y1052">
        <v>1018</v>
      </c>
      <c r="Z1052" s="259" t="s">
        <v>630</v>
      </c>
      <c r="AA1052">
        <v>220</v>
      </c>
      <c r="AB1052">
        <v>10937.666666666666</v>
      </c>
      <c r="AC1052">
        <v>45996</v>
      </c>
      <c r="AD1052">
        <v>1</v>
      </c>
      <c r="AE1052">
        <v>10544.6</v>
      </c>
      <c r="AF1052">
        <v>10544.6</v>
      </c>
      <c r="AG1052">
        <v>0</v>
      </c>
      <c r="AH1052">
        <v>-393.0666666666657</v>
      </c>
    </row>
    <row r="1053" spans="2:34" x14ac:dyDescent="0.35">
      <c r="B1053" t="s">
        <v>563</v>
      </c>
      <c r="C1053">
        <v>45997</v>
      </c>
      <c r="F1053" t="s">
        <v>752</v>
      </c>
      <c r="H1053">
        <v>169.87</v>
      </c>
      <c r="O1053" t="s">
        <v>239</v>
      </c>
      <c r="P1053" t="s">
        <v>514</v>
      </c>
      <c r="Y1053">
        <v>1019</v>
      </c>
      <c r="Z1053" s="259" t="s">
        <v>630</v>
      </c>
      <c r="AA1053">
        <v>30</v>
      </c>
      <c r="AB1053">
        <v>6006</v>
      </c>
      <c r="AC1053">
        <v>45996</v>
      </c>
      <c r="AD1053">
        <v>1</v>
      </c>
      <c r="AE1053">
        <v>5096.1000000000004</v>
      </c>
      <c r="AF1053">
        <v>5096.1000000000004</v>
      </c>
      <c r="AG1053">
        <v>0</v>
      </c>
      <c r="AH1053">
        <v>-909.89999999999964</v>
      </c>
    </row>
    <row r="1054" spans="2:34" x14ac:dyDescent="0.35">
      <c r="B1054" t="s">
        <v>563</v>
      </c>
      <c r="C1054">
        <v>45997</v>
      </c>
      <c r="F1054" t="s">
        <v>754</v>
      </c>
      <c r="H1054">
        <v>78.67</v>
      </c>
      <c r="O1054" t="s">
        <v>239</v>
      </c>
      <c r="P1054" t="s">
        <v>514</v>
      </c>
      <c r="Y1054">
        <v>1020</v>
      </c>
      <c r="Z1054" s="259" t="s">
        <v>630</v>
      </c>
      <c r="AA1054">
        <v>0</v>
      </c>
      <c r="AB1054">
        <v>0</v>
      </c>
      <c r="AC1054">
        <v>45996</v>
      </c>
      <c r="AD1054">
        <v>1</v>
      </c>
      <c r="AE1054">
        <v>0</v>
      </c>
      <c r="AF1054">
        <v>0</v>
      </c>
      <c r="AG1054">
        <v>120</v>
      </c>
      <c r="AH1054">
        <v>0</v>
      </c>
    </row>
    <row r="1055" spans="2:34" x14ac:dyDescent="0.35">
      <c r="B1055" t="s">
        <v>563</v>
      </c>
      <c r="C1055">
        <v>45998</v>
      </c>
      <c r="F1055" t="s">
        <v>749</v>
      </c>
      <c r="H1055">
        <v>47.93</v>
      </c>
      <c r="O1055" t="s">
        <v>239</v>
      </c>
      <c r="P1055" t="s">
        <v>514</v>
      </c>
      <c r="Y1055">
        <v>1021</v>
      </c>
      <c r="Z1055" s="259" t="s">
        <v>630</v>
      </c>
      <c r="AA1055">
        <v>220</v>
      </c>
      <c r="AB1055">
        <v>10937.666666666666</v>
      </c>
      <c r="AC1055">
        <v>45996</v>
      </c>
      <c r="AD1055">
        <v>2</v>
      </c>
      <c r="AE1055">
        <v>10544.6</v>
      </c>
      <c r="AF1055">
        <v>10544.6</v>
      </c>
      <c r="AG1055">
        <v>0</v>
      </c>
      <c r="AH1055">
        <v>-393.0666666666657</v>
      </c>
    </row>
    <row r="1056" spans="2:34" x14ac:dyDescent="0.35">
      <c r="B1056" t="s">
        <v>563</v>
      </c>
      <c r="C1056">
        <v>45998</v>
      </c>
      <c r="F1056" t="s">
        <v>752</v>
      </c>
      <c r="H1056">
        <v>169.87</v>
      </c>
      <c r="O1056" t="s">
        <v>239</v>
      </c>
      <c r="P1056" t="s">
        <v>514</v>
      </c>
      <c r="Y1056">
        <v>1022</v>
      </c>
      <c r="Z1056" s="259" t="s">
        <v>630</v>
      </c>
      <c r="AA1056">
        <v>30</v>
      </c>
      <c r="AB1056">
        <v>6006</v>
      </c>
      <c r="AC1056">
        <v>45996</v>
      </c>
      <c r="AD1056">
        <v>2</v>
      </c>
      <c r="AE1056">
        <v>5096.1000000000004</v>
      </c>
      <c r="AF1056">
        <v>5096.1000000000004</v>
      </c>
      <c r="AG1056">
        <v>0</v>
      </c>
      <c r="AH1056">
        <v>-909.89999999999964</v>
      </c>
    </row>
    <row r="1057" spans="2:34" x14ac:dyDescent="0.35">
      <c r="B1057" t="s">
        <v>563</v>
      </c>
      <c r="C1057">
        <v>45998</v>
      </c>
      <c r="F1057" t="s">
        <v>754</v>
      </c>
      <c r="H1057">
        <v>78.67</v>
      </c>
      <c r="O1057" t="s">
        <v>239</v>
      </c>
      <c r="P1057" t="s">
        <v>514</v>
      </c>
      <c r="Y1057">
        <v>1023</v>
      </c>
      <c r="Z1057" s="259" t="s">
        <v>630</v>
      </c>
      <c r="AA1057">
        <v>0</v>
      </c>
      <c r="AB1057">
        <v>0</v>
      </c>
      <c r="AC1057">
        <v>45996</v>
      </c>
      <c r="AD1057">
        <v>2</v>
      </c>
      <c r="AE1057">
        <v>0</v>
      </c>
      <c r="AF1057">
        <v>0</v>
      </c>
      <c r="AG1057">
        <v>120</v>
      </c>
      <c r="AH1057">
        <v>0</v>
      </c>
    </row>
    <row r="1058" spans="2:34" x14ac:dyDescent="0.35">
      <c r="B1058" t="s">
        <v>563</v>
      </c>
      <c r="C1058">
        <v>45999</v>
      </c>
      <c r="F1058" t="s">
        <v>749</v>
      </c>
      <c r="H1058">
        <v>47.88</v>
      </c>
      <c r="O1058" t="s">
        <v>239</v>
      </c>
      <c r="P1058" t="s">
        <v>514</v>
      </c>
      <c r="Y1058">
        <v>1024</v>
      </c>
      <c r="Z1058" s="259" t="s">
        <v>630</v>
      </c>
      <c r="AA1058">
        <v>220</v>
      </c>
      <c r="AB1058">
        <v>10937.666666666666</v>
      </c>
      <c r="AC1058">
        <v>45999</v>
      </c>
      <c r="AD1058">
        <v>0</v>
      </c>
      <c r="AE1058">
        <v>10533.6</v>
      </c>
      <c r="AF1058">
        <v>10533.6</v>
      </c>
      <c r="AG1058">
        <v>0</v>
      </c>
      <c r="AH1058">
        <v>-404.0666666666657</v>
      </c>
    </row>
    <row r="1059" spans="2:34" x14ac:dyDescent="0.35">
      <c r="B1059" t="s">
        <v>563</v>
      </c>
      <c r="C1059">
        <v>45999</v>
      </c>
      <c r="F1059" t="s">
        <v>752</v>
      </c>
      <c r="H1059">
        <v>169.77</v>
      </c>
      <c r="O1059" t="s">
        <v>239</v>
      </c>
      <c r="P1059" t="s">
        <v>514</v>
      </c>
      <c r="Y1059">
        <v>1025</v>
      </c>
      <c r="Z1059" s="259" t="s">
        <v>630</v>
      </c>
      <c r="AA1059">
        <v>30</v>
      </c>
      <c r="AB1059">
        <v>6006</v>
      </c>
      <c r="AC1059">
        <v>45999</v>
      </c>
      <c r="AD1059">
        <v>0</v>
      </c>
      <c r="AE1059">
        <v>5093.1000000000004</v>
      </c>
      <c r="AF1059">
        <v>5093.1000000000004</v>
      </c>
      <c r="AG1059">
        <v>0</v>
      </c>
      <c r="AH1059">
        <v>-912.89999999999964</v>
      </c>
    </row>
    <row r="1060" spans="2:34" x14ac:dyDescent="0.35">
      <c r="B1060" t="s">
        <v>563</v>
      </c>
      <c r="C1060">
        <v>45999</v>
      </c>
      <c r="F1060" t="s">
        <v>754</v>
      </c>
      <c r="H1060">
        <v>78.569999999999993</v>
      </c>
      <c r="O1060" t="s">
        <v>239</v>
      </c>
      <c r="P1060" t="s">
        <v>514</v>
      </c>
      <c r="Y1060">
        <v>1026</v>
      </c>
      <c r="Z1060" s="259" t="s">
        <v>630</v>
      </c>
      <c r="AA1060">
        <v>0</v>
      </c>
      <c r="AB1060">
        <v>0</v>
      </c>
      <c r="AC1060">
        <v>45999</v>
      </c>
      <c r="AD1060">
        <v>0</v>
      </c>
      <c r="AE1060">
        <v>0</v>
      </c>
      <c r="AF1060">
        <v>0</v>
      </c>
      <c r="AG1060">
        <v>120</v>
      </c>
      <c r="AH1060">
        <v>0</v>
      </c>
    </row>
    <row r="1061" spans="2:34" x14ac:dyDescent="0.35">
      <c r="B1061" t="s">
        <v>563</v>
      </c>
      <c r="C1061">
        <v>46000</v>
      </c>
      <c r="F1061" t="s">
        <v>749</v>
      </c>
      <c r="H1061">
        <v>47.87</v>
      </c>
      <c r="O1061" t="s">
        <v>239</v>
      </c>
      <c r="P1061" t="s">
        <v>514</v>
      </c>
      <c r="Y1061">
        <v>1027</v>
      </c>
      <c r="Z1061" s="259" t="s">
        <v>630</v>
      </c>
      <c r="AA1061">
        <v>220</v>
      </c>
      <c r="AB1061">
        <v>10937.666666666666</v>
      </c>
      <c r="AC1061">
        <v>46000</v>
      </c>
      <c r="AD1061">
        <v>0</v>
      </c>
      <c r="AE1061">
        <v>10531.4</v>
      </c>
      <c r="AF1061">
        <v>10531.4</v>
      </c>
      <c r="AG1061">
        <v>0</v>
      </c>
      <c r="AH1061">
        <v>-406.26666666666642</v>
      </c>
    </row>
    <row r="1062" spans="2:34" x14ac:dyDescent="0.35">
      <c r="B1062" t="s">
        <v>563</v>
      </c>
      <c r="C1062">
        <v>46000</v>
      </c>
      <c r="F1062" t="s">
        <v>752</v>
      </c>
      <c r="H1062">
        <v>169.73</v>
      </c>
      <c r="O1062" t="s">
        <v>239</v>
      </c>
      <c r="P1062" t="s">
        <v>514</v>
      </c>
      <c r="Y1062">
        <v>1028</v>
      </c>
      <c r="Z1062" s="259" t="s">
        <v>630</v>
      </c>
      <c r="AA1062">
        <v>30</v>
      </c>
      <c r="AB1062">
        <v>6006</v>
      </c>
      <c r="AC1062">
        <v>46000</v>
      </c>
      <c r="AD1062">
        <v>0</v>
      </c>
      <c r="AE1062">
        <v>5091.8999999999996</v>
      </c>
      <c r="AF1062">
        <v>5091.8999999999996</v>
      </c>
      <c r="AG1062">
        <v>0</v>
      </c>
      <c r="AH1062">
        <v>-914.10000000000036</v>
      </c>
    </row>
    <row r="1063" spans="2:34" x14ac:dyDescent="0.35">
      <c r="B1063" t="s">
        <v>563</v>
      </c>
      <c r="C1063">
        <v>46000</v>
      </c>
      <c r="F1063" t="s">
        <v>754</v>
      </c>
      <c r="H1063">
        <v>78.53</v>
      </c>
      <c r="O1063" t="s">
        <v>239</v>
      </c>
      <c r="P1063" t="s">
        <v>514</v>
      </c>
      <c r="Y1063">
        <v>1029</v>
      </c>
      <c r="Z1063" s="259" t="s">
        <v>630</v>
      </c>
      <c r="AA1063">
        <v>0</v>
      </c>
      <c r="AB1063">
        <v>0</v>
      </c>
      <c r="AC1063">
        <v>46000</v>
      </c>
      <c r="AD1063">
        <v>0</v>
      </c>
      <c r="AE1063">
        <v>0</v>
      </c>
      <c r="AF1063">
        <v>0</v>
      </c>
      <c r="AG1063">
        <v>120</v>
      </c>
      <c r="AH1063">
        <v>0</v>
      </c>
    </row>
    <row r="1064" spans="2:34" x14ac:dyDescent="0.35">
      <c r="B1064" t="s">
        <v>563</v>
      </c>
      <c r="C1064">
        <v>46001</v>
      </c>
      <c r="F1064" t="s">
        <v>749</v>
      </c>
      <c r="H1064">
        <v>47.85</v>
      </c>
      <c r="O1064" t="s">
        <v>239</v>
      </c>
      <c r="P1064" t="s">
        <v>514</v>
      </c>
      <c r="Y1064">
        <v>1030</v>
      </c>
      <c r="Z1064" s="259" t="s">
        <v>630</v>
      </c>
      <c r="AA1064">
        <v>220</v>
      </c>
      <c r="AB1064">
        <v>10937.666666666666</v>
      </c>
      <c r="AC1064">
        <v>46001</v>
      </c>
      <c r="AD1064">
        <v>0</v>
      </c>
      <c r="AE1064">
        <v>10527</v>
      </c>
      <c r="AF1064">
        <v>10527</v>
      </c>
      <c r="AG1064">
        <v>0</v>
      </c>
      <c r="AH1064">
        <v>-410.66666666666606</v>
      </c>
    </row>
    <row r="1065" spans="2:34" x14ac:dyDescent="0.35">
      <c r="B1065" t="s">
        <v>563</v>
      </c>
      <c r="C1065">
        <v>46001</v>
      </c>
      <c r="F1065" t="s">
        <v>752</v>
      </c>
      <c r="H1065">
        <v>169.7</v>
      </c>
      <c r="O1065" t="s">
        <v>239</v>
      </c>
      <c r="P1065" t="s">
        <v>514</v>
      </c>
      <c r="Y1065">
        <v>1031</v>
      </c>
      <c r="Z1065" s="259" t="s">
        <v>630</v>
      </c>
      <c r="AA1065">
        <v>30</v>
      </c>
      <c r="AB1065">
        <v>6006</v>
      </c>
      <c r="AC1065">
        <v>46001</v>
      </c>
      <c r="AD1065">
        <v>0</v>
      </c>
      <c r="AE1065">
        <v>5091</v>
      </c>
      <c r="AF1065">
        <v>5091</v>
      </c>
      <c r="AG1065">
        <v>0</v>
      </c>
      <c r="AH1065">
        <v>-915</v>
      </c>
    </row>
    <row r="1066" spans="2:34" x14ac:dyDescent="0.35">
      <c r="B1066" t="s">
        <v>563</v>
      </c>
      <c r="C1066">
        <v>46001</v>
      </c>
      <c r="F1066" t="s">
        <v>754</v>
      </c>
      <c r="H1066">
        <v>78.5</v>
      </c>
      <c r="O1066" t="s">
        <v>239</v>
      </c>
      <c r="P1066" t="s">
        <v>514</v>
      </c>
      <c r="Y1066">
        <v>1032</v>
      </c>
      <c r="Z1066" s="259" t="s">
        <v>630</v>
      </c>
      <c r="AA1066">
        <v>0</v>
      </c>
      <c r="AB1066">
        <v>0</v>
      </c>
      <c r="AC1066">
        <v>46001</v>
      </c>
      <c r="AD1066">
        <v>0</v>
      </c>
      <c r="AE1066">
        <v>0</v>
      </c>
      <c r="AF1066">
        <v>0</v>
      </c>
      <c r="AG1066">
        <v>120</v>
      </c>
      <c r="AH1066">
        <v>0</v>
      </c>
    </row>
    <row r="1067" spans="2:34" x14ac:dyDescent="0.35">
      <c r="B1067" t="s">
        <v>563</v>
      </c>
      <c r="C1067">
        <v>46002</v>
      </c>
      <c r="F1067" t="s">
        <v>749</v>
      </c>
      <c r="H1067">
        <v>47.83</v>
      </c>
      <c r="O1067" t="s">
        <v>239</v>
      </c>
      <c r="P1067" t="s">
        <v>514</v>
      </c>
      <c r="Y1067">
        <v>1033</v>
      </c>
      <c r="Z1067" s="259" t="s">
        <v>630</v>
      </c>
      <c r="AA1067">
        <v>220</v>
      </c>
      <c r="AB1067">
        <v>10937.666666666666</v>
      </c>
      <c r="AC1067">
        <v>46002</v>
      </c>
      <c r="AD1067">
        <v>0</v>
      </c>
      <c r="AE1067">
        <v>10522.6</v>
      </c>
      <c r="AF1067">
        <v>10522.6</v>
      </c>
      <c r="AG1067">
        <v>0</v>
      </c>
      <c r="AH1067">
        <v>-415.0666666666657</v>
      </c>
    </row>
    <row r="1068" spans="2:34" x14ac:dyDescent="0.35">
      <c r="B1068" t="s">
        <v>563</v>
      </c>
      <c r="C1068">
        <v>46002</v>
      </c>
      <c r="F1068" t="s">
        <v>752</v>
      </c>
      <c r="H1068">
        <v>169.67</v>
      </c>
      <c r="O1068" t="s">
        <v>239</v>
      </c>
      <c r="P1068" t="s">
        <v>514</v>
      </c>
      <c r="Y1068">
        <v>1034</v>
      </c>
      <c r="Z1068" s="259" t="s">
        <v>630</v>
      </c>
      <c r="AA1068">
        <v>30</v>
      </c>
      <c r="AB1068">
        <v>6006</v>
      </c>
      <c r="AC1068">
        <v>46002</v>
      </c>
      <c r="AD1068">
        <v>0</v>
      </c>
      <c r="AE1068">
        <v>5090.0999999999995</v>
      </c>
      <c r="AF1068">
        <v>5090.0999999999995</v>
      </c>
      <c r="AG1068">
        <v>0</v>
      </c>
      <c r="AH1068">
        <v>-915.90000000000055</v>
      </c>
    </row>
    <row r="1069" spans="2:34" x14ac:dyDescent="0.35">
      <c r="B1069" t="s">
        <v>563</v>
      </c>
      <c r="C1069">
        <v>46002</v>
      </c>
      <c r="F1069" t="s">
        <v>754</v>
      </c>
      <c r="H1069">
        <v>78.47</v>
      </c>
      <c r="O1069" t="s">
        <v>239</v>
      </c>
      <c r="P1069" t="s">
        <v>514</v>
      </c>
      <c r="Y1069">
        <v>1035</v>
      </c>
      <c r="Z1069" s="259" t="s">
        <v>630</v>
      </c>
      <c r="AA1069">
        <v>0</v>
      </c>
      <c r="AB1069">
        <v>0</v>
      </c>
      <c r="AC1069">
        <v>46002</v>
      </c>
      <c r="AD1069">
        <v>0</v>
      </c>
      <c r="AE1069">
        <v>0</v>
      </c>
      <c r="AF1069">
        <v>0</v>
      </c>
      <c r="AG1069">
        <v>120</v>
      </c>
      <c r="AH1069">
        <v>0</v>
      </c>
    </row>
    <row r="1070" spans="2:34" x14ac:dyDescent="0.35">
      <c r="B1070" t="s">
        <v>563</v>
      </c>
      <c r="C1070">
        <v>46003</v>
      </c>
      <c r="F1070" t="s">
        <v>749</v>
      </c>
      <c r="H1070">
        <v>47.82</v>
      </c>
      <c r="O1070" t="s">
        <v>239</v>
      </c>
      <c r="P1070" t="s">
        <v>514</v>
      </c>
      <c r="Y1070">
        <v>1036</v>
      </c>
      <c r="Z1070" s="259" t="s">
        <v>630</v>
      </c>
      <c r="AA1070">
        <v>220</v>
      </c>
      <c r="AB1070">
        <v>10937.666666666666</v>
      </c>
      <c r="AC1070">
        <v>46003</v>
      </c>
      <c r="AD1070">
        <v>0</v>
      </c>
      <c r="AE1070">
        <v>10520.4</v>
      </c>
      <c r="AF1070">
        <v>10520.4</v>
      </c>
      <c r="AG1070">
        <v>0</v>
      </c>
      <c r="AH1070">
        <v>-417.26666666666642</v>
      </c>
    </row>
    <row r="1071" spans="2:34" x14ac:dyDescent="0.35">
      <c r="B1071" t="s">
        <v>563</v>
      </c>
      <c r="C1071">
        <v>46003</v>
      </c>
      <c r="F1071" t="s">
        <v>752</v>
      </c>
      <c r="H1071">
        <v>169.63</v>
      </c>
      <c r="O1071" t="s">
        <v>239</v>
      </c>
      <c r="P1071" t="s">
        <v>514</v>
      </c>
      <c r="Y1071">
        <v>1037</v>
      </c>
      <c r="Z1071" s="259" t="s">
        <v>630</v>
      </c>
      <c r="AA1071">
        <v>30</v>
      </c>
      <c r="AB1071">
        <v>6006</v>
      </c>
      <c r="AC1071">
        <v>46003</v>
      </c>
      <c r="AD1071">
        <v>0</v>
      </c>
      <c r="AE1071">
        <v>5088.8999999999996</v>
      </c>
      <c r="AF1071">
        <v>5088.8999999999996</v>
      </c>
      <c r="AG1071">
        <v>0</v>
      </c>
      <c r="AH1071">
        <v>-917.10000000000036</v>
      </c>
    </row>
    <row r="1072" spans="2:34" x14ac:dyDescent="0.35">
      <c r="B1072" t="s">
        <v>563</v>
      </c>
      <c r="C1072">
        <v>46003</v>
      </c>
      <c r="F1072" t="s">
        <v>754</v>
      </c>
      <c r="H1072">
        <v>78.430000000000007</v>
      </c>
      <c r="O1072" t="s">
        <v>239</v>
      </c>
      <c r="P1072" t="s">
        <v>514</v>
      </c>
      <c r="Y1072">
        <v>1038</v>
      </c>
      <c r="Z1072" s="259" t="s">
        <v>630</v>
      </c>
      <c r="AA1072">
        <v>0</v>
      </c>
      <c r="AB1072">
        <v>0</v>
      </c>
      <c r="AC1072">
        <v>46003</v>
      </c>
      <c r="AD1072">
        <v>0</v>
      </c>
      <c r="AE1072">
        <v>0</v>
      </c>
      <c r="AF1072">
        <v>0</v>
      </c>
      <c r="AG1072">
        <v>120</v>
      </c>
      <c r="AH1072">
        <v>0</v>
      </c>
    </row>
    <row r="1073" spans="2:34" x14ac:dyDescent="0.35">
      <c r="B1073" t="s">
        <v>563</v>
      </c>
      <c r="C1073">
        <v>46004</v>
      </c>
      <c r="F1073" t="s">
        <v>749</v>
      </c>
      <c r="H1073">
        <v>47.82</v>
      </c>
      <c r="O1073" t="s">
        <v>239</v>
      </c>
      <c r="P1073" t="s">
        <v>514</v>
      </c>
      <c r="Y1073">
        <v>1039</v>
      </c>
      <c r="Z1073" s="259" t="s">
        <v>630</v>
      </c>
      <c r="AA1073">
        <v>220</v>
      </c>
      <c r="AB1073">
        <v>10937.666666666666</v>
      </c>
      <c r="AC1073">
        <v>46003</v>
      </c>
      <c r="AD1073">
        <v>1</v>
      </c>
      <c r="AE1073">
        <v>10520.4</v>
      </c>
      <c r="AF1073">
        <v>10520.4</v>
      </c>
      <c r="AG1073">
        <v>0</v>
      </c>
      <c r="AH1073">
        <v>-417.26666666666642</v>
      </c>
    </row>
    <row r="1074" spans="2:34" x14ac:dyDescent="0.35">
      <c r="B1074" t="s">
        <v>563</v>
      </c>
      <c r="C1074">
        <v>46004</v>
      </c>
      <c r="F1074" t="s">
        <v>752</v>
      </c>
      <c r="H1074">
        <v>169.63</v>
      </c>
      <c r="O1074" t="s">
        <v>239</v>
      </c>
      <c r="P1074" t="s">
        <v>514</v>
      </c>
      <c r="Y1074">
        <v>1040</v>
      </c>
      <c r="Z1074" s="259" t="s">
        <v>630</v>
      </c>
      <c r="AA1074">
        <v>30</v>
      </c>
      <c r="AB1074">
        <v>6006</v>
      </c>
      <c r="AC1074">
        <v>46003</v>
      </c>
      <c r="AD1074">
        <v>1</v>
      </c>
      <c r="AE1074">
        <v>5088.8999999999996</v>
      </c>
      <c r="AF1074">
        <v>5088.8999999999996</v>
      </c>
      <c r="AG1074">
        <v>0</v>
      </c>
      <c r="AH1074">
        <v>-917.10000000000036</v>
      </c>
    </row>
    <row r="1075" spans="2:34" x14ac:dyDescent="0.35">
      <c r="B1075" t="s">
        <v>563</v>
      </c>
      <c r="C1075">
        <v>46004</v>
      </c>
      <c r="F1075" t="s">
        <v>754</v>
      </c>
      <c r="H1075">
        <v>78.430000000000007</v>
      </c>
      <c r="O1075" t="s">
        <v>239</v>
      </c>
      <c r="P1075" t="s">
        <v>514</v>
      </c>
      <c r="Y1075">
        <v>1041</v>
      </c>
      <c r="Z1075" s="259" t="s">
        <v>630</v>
      </c>
      <c r="AA1075">
        <v>0</v>
      </c>
      <c r="AB1075">
        <v>0</v>
      </c>
      <c r="AC1075">
        <v>46003</v>
      </c>
      <c r="AD1075">
        <v>1</v>
      </c>
      <c r="AE1075">
        <v>0</v>
      </c>
      <c r="AF1075">
        <v>0</v>
      </c>
      <c r="AG1075">
        <v>120</v>
      </c>
      <c r="AH1075">
        <v>0</v>
      </c>
    </row>
    <row r="1076" spans="2:34" x14ac:dyDescent="0.35">
      <c r="B1076" t="s">
        <v>563</v>
      </c>
      <c r="C1076">
        <v>46005</v>
      </c>
      <c r="F1076" t="s">
        <v>749</v>
      </c>
      <c r="H1076">
        <v>47.82</v>
      </c>
      <c r="O1076" t="s">
        <v>239</v>
      </c>
      <c r="P1076" t="s">
        <v>514</v>
      </c>
      <c r="Y1076">
        <v>1042</v>
      </c>
      <c r="Z1076" s="259" t="s">
        <v>630</v>
      </c>
      <c r="AA1076">
        <v>220</v>
      </c>
      <c r="AB1076">
        <v>10937.666666666666</v>
      </c>
      <c r="AC1076">
        <v>46003</v>
      </c>
      <c r="AD1076">
        <v>2</v>
      </c>
      <c r="AE1076">
        <v>10520.4</v>
      </c>
      <c r="AF1076">
        <v>10520.4</v>
      </c>
      <c r="AG1076">
        <v>0</v>
      </c>
      <c r="AH1076">
        <v>-417.26666666666642</v>
      </c>
    </row>
    <row r="1077" spans="2:34" x14ac:dyDescent="0.35">
      <c r="B1077" t="s">
        <v>563</v>
      </c>
      <c r="C1077">
        <v>46005</v>
      </c>
      <c r="F1077" t="s">
        <v>752</v>
      </c>
      <c r="H1077">
        <v>169.63</v>
      </c>
      <c r="O1077" t="s">
        <v>239</v>
      </c>
      <c r="P1077" t="s">
        <v>514</v>
      </c>
      <c r="Y1077">
        <v>1043</v>
      </c>
      <c r="Z1077" s="259" t="s">
        <v>630</v>
      </c>
      <c r="AA1077">
        <v>30</v>
      </c>
      <c r="AB1077">
        <v>6006</v>
      </c>
      <c r="AC1077">
        <v>46003</v>
      </c>
      <c r="AD1077">
        <v>2</v>
      </c>
      <c r="AE1077">
        <v>5088.8999999999996</v>
      </c>
      <c r="AF1077">
        <v>5088.8999999999996</v>
      </c>
      <c r="AG1077">
        <v>0</v>
      </c>
      <c r="AH1077">
        <v>-917.10000000000036</v>
      </c>
    </row>
    <row r="1078" spans="2:34" x14ac:dyDescent="0.35">
      <c r="B1078" t="s">
        <v>563</v>
      </c>
      <c r="C1078">
        <v>46005</v>
      </c>
      <c r="F1078" t="s">
        <v>754</v>
      </c>
      <c r="H1078">
        <v>78.430000000000007</v>
      </c>
      <c r="O1078" t="s">
        <v>239</v>
      </c>
      <c r="P1078" t="s">
        <v>514</v>
      </c>
      <c r="Y1078">
        <v>1044</v>
      </c>
      <c r="Z1078" s="259" t="s">
        <v>630</v>
      </c>
      <c r="AA1078">
        <v>0</v>
      </c>
      <c r="AB1078">
        <v>0</v>
      </c>
      <c r="AC1078">
        <v>46003</v>
      </c>
      <c r="AD1078">
        <v>2</v>
      </c>
      <c r="AE1078">
        <v>0</v>
      </c>
      <c r="AF1078">
        <v>0</v>
      </c>
      <c r="AG1078">
        <v>120</v>
      </c>
      <c r="AH1078">
        <v>0</v>
      </c>
    </row>
    <row r="1079" spans="2:34" x14ac:dyDescent="0.35">
      <c r="B1079" t="s">
        <v>563</v>
      </c>
      <c r="C1079">
        <v>46006</v>
      </c>
      <c r="F1079" t="s">
        <v>749</v>
      </c>
      <c r="H1079">
        <v>47.77</v>
      </c>
      <c r="O1079" t="s">
        <v>239</v>
      </c>
      <c r="P1079" t="s">
        <v>514</v>
      </c>
      <c r="Y1079">
        <v>1045</v>
      </c>
      <c r="Z1079" s="259" t="s">
        <v>630</v>
      </c>
      <c r="AA1079">
        <v>220</v>
      </c>
      <c r="AB1079">
        <v>10937.666666666666</v>
      </c>
      <c r="AC1079">
        <v>46006</v>
      </c>
      <c r="AD1079">
        <v>0</v>
      </c>
      <c r="AE1079">
        <v>10509.400000000001</v>
      </c>
      <c r="AF1079">
        <v>10509.400000000001</v>
      </c>
      <c r="AG1079">
        <v>0</v>
      </c>
      <c r="AH1079">
        <v>-428.26666666666461</v>
      </c>
    </row>
    <row r="1080" spans="2:34" x14ac:dyDescent="0.35">
      <c r="B1080" t="s">
        <v>563</v>
      </c>
      <c r="C1080">
        <v>46006</v>
      </c>
      <c r="F1080" t="s">
        <v>752</v>
      </c>
      <c r="H1080">
        <v>169.53</v>
      </c>
      <c r="O1080" t="s">
        <v>239</v>
      </c>
      <c r="P1080" t="s">
        <v>514</v>
      </c>
      <c r="Y1080">
        <v>1046</v>
      </c>
      <c r="Z1080" s="259" t="s">
        <v>630</v>
      </c>
      <c r="AA1080">
        <v>30</v>
      </c>
      <c r="AB1080">
        <v>6006</v>
      </c>
      <c r="AC1080">
        <v>46006</v>
      </c>
      <c r="AD1080">
        <v>0</v>
      </c>
      <c r="AE1080">
        <v>5085.8999999999996</v>
      </c>
      <c r="AF1080">
        <v>5085.8999999999996</v>
      </c>
      <c r="AG1080">
        <v>0</v>
      </c>
      <c r="AH1080">
        <v>-920.10000000000036</v>
      </c>
    </row>
    <row r="1081" spans="2:34" x14ac:dyDescent="0.35">
      <c r="B1081" t="s">
        <v>563</v>
      </c>
      <c r="C1081">
        <v>46006</v>
      </c>
      <c r="F1081" t="s">
        <v>754</v>
      </c>
      <c r="H1081">
        <v>78.33</v>
      </c>
      <c r="O1081" t="s">
        <v>239</v>
      </c>
      <c r="P1081" t="s">
        <v>514</v>
      </c>
      <c r="Y1081">
        <v>1047</v>
      </c>
      <c r="Z1081" s="259" t="s">
        <v>630</v>
      </c>
      <c r="AA1081">
        <v>0</v>
      </c>
      <c r="AB1081">
        <v>0</v>
      </c>
      <c r="AC1081">
        <v>46006</v>
      </c>
      <c r="AD1081">
        <v>0</v>
      </c>
      <c r="AE1081">
        <v>0</v>
      </c>
      <c r="AF1081">
        <v>0</v>
      </c>
      <c r="AG1081">
        <v>0</v>
      </c>
      <c r="AH1081">
        <v>0</v>
      </c>
    </row>
    <row r="1082" spans="2:34" x14ac:dyDescent="0.35">
      <c r="B1082" t="s">
        <v>563</v>
      </c>
      <c r="C1082">
        <v>46007</v>
      </c>
      <c r="F1082" t="s">
        <v>749</v>
      </c>
      <c r="H1082">
        <v>47.75</v>
      </c>
      <c r="O1082" t="s">
        <v>239</v>
      </c>
      <c r="P1082" t="s">
        <v>514</v>
      </c>
      <c r="Y1082">
        <v>1048</v>
      </c>
      <c r="Z1082" s="259" t="s">
        <v>630</v>
      </c>
      <c r="AA1082">
        <v>220</v>
      </c>
      <c r="AB1082">
        <v>10937.666666666666</v>
      </c>
      <c r="AC1082">
        <v>46007</v>
      </c>
      <c r="AD1082">
        <v>0</v>
      </c>
      <c r="AE1082">
        <v>10505</v>
      </c>
      <c r="AF1082">
        <v>10505</v>
      </c>
      <c r="AG1082">
        <v>0</v>
      </c>
      <c r="AH1082">
        <v>-432.66666666666606</v>
      </c>
    </row>
    <row r="1083" spans="2:34" x14ac:dyDescent="0.35">
      <c r="B1083" t="s">
        <v>563</v>
      </c>
      <c r="C1083">
        <v>46007</v>
      </c>
      <c r="F1083" t="s">
        <v>752</v>
      </c>
      <c r="H1083">
        <v>169.5</v>
      </c>
      <c r="O1083" t="s">
        <v>239</v>
      </c>
      <c r="P1083" t="s">
        <v>514</v>
      </c>
      <c r="Y1083">
        <v>1049</v>
      </c>
      <c r="Z1083" s="259" t="s">
        <v>630</v>
      </c>
      <c r="AA1083">
        <v>30</v>
      </c>
      <c r="AB1083">
        <v>6006</v>
      </c>
      <c r="AC1083">
        <v>46007</v>
      </c>
      <c r="AD1083">
        <v>0</v>
      </c>
      <c r="AE1083">
        <v>5085</v>
      </c>
      <c r="AF1083">
        <v>5085</v>
      </c>
      <c r="AG1083">
        <v>0</v>
      </c>
      <c r="AH1083">
        <v>-921</v>
      </c>
    </row>
    <row r="1084" spans="2:34" x14ac:dyDescent="0.35">
      <c r="B1084" t="s">
        <v>563</v>
      </c>
      <c r="C1084">
        <v>46007</v>
      </c>
      <c r="F1084" t="s">
        <v>754</v>
      </c>
      <c r="H1084">
        <v>78.3</v>
      </c>
      <c r="O1084" t="s">
        <v>239</v>
      </c>
      <c r="P1084" t="s">
        <v>514</v>
      </c>
      <c r="Y1084">
        <v>1050</v>
      </c>
      <c r="Z1084" s="259" t="s">
        <v>630</v>
      </c>
      <c r="AA1084">
        <v>0</v>
      </c>
      <c r="AB1084">
        <v>0</v>
      </c>
      <c r="AC1084">
        <v>46007</v>
      </c>
      <c r="AD1084">
        <v>0</v>
      </c>
      <c r="AE1084">
        <v>0</v>
      </c>
      <c r="AF1084">
        <v>0</v>
      </c>
      <c r="AG1084">
        <v>0</v>
      </c>
      <c r="AH1084">
        <v>0</v>
      </c>
    </row>
    <row r="1085" spans="2:34" x14ac:dyDescent="0.35">
      <c r="B1085" t="s">
        <v>563</v>
      </c>
      <c r="C1085">
        <v>46008</v>
      </c>
      <c r="F1085" t="s">
        <v>749</v>
      </c>
      <c r="H1085">
        <v>47.73</v>
      </c>
      <c r="O1085" t="s">
        <v>239</v>
      </c>
      <c r="P1085" t="s">
        <v>514</v>
      </c>
      <c r="Y1085">
        <v>1051</v>
      </c>
      <c r="Z1085" s="259" t="s">
        <v>630</v>
      </c>
      <c r="AA1085">
        <v>220</v>
      </c>
      <c r="AB1085">
        <v>10937.666666666666</v>
      </c>
      <c r="AC1085">
        <v>46008</v>
      </c>
      <c r="AD1085">
        <v>0</v>
      </c>
      <c r="AE1085">
        <v>10500.599999999999</v>
      </c>
      <c r="AF1085">
        <v>10500.599999999999</v>
      </c>
      <c r="AG1085">
        <v>0</v>
      </c>
      <c r="AH1085">
        <v>-437.06666666666752</v>
      </c>
    </row>
    <row r="1086" spans="2:34" x14ac:dyDescent="0.35">
      <c r="B1086" t="s">
        <v>563</v>
      </c>
      <c r="C1086">
        <v>46008</v>
      </c>
      <c r="F1086" t="s">
        <v>752</v>
      </c>
      <c r="H1086">
        <v>169.47</v>
      </c>
      <c r="O1086" t="s">
        <v>239</v>
      </c>
      <c r="P1086" t="s">
        <v>514</v>
      </c>
      <c r="Y1086">
        <v>1052</v>
      </c>
      <c r="Z1086" s="259" t="s">
        <v>630</v>
      </c>
      <c r="AA1086">
        <v>30</v>
      </c>
      <c r="AB1086">
        <v>6006</v>
      </c>
      <c r="AC1086">
        <v>46008</v>
      </c>
      <c r="AD1086">
        <v>0</v>
      </c>
      <c r="AE1086">
        <v>5084.1000000000004</v>
      </c>
      <c r="AF1086">
        <v>5084.1000000000004</v>
      </c>
      <c r="AG1086">
        <v>0</v>
      </c>
      <c r="AH1086">
        <v>-921.89999999999964</v>
      </c>
    </row>
    <row r="1087" spans="2:34" x14ac:dyDescent="0.35">
      <c r="B1087" t="s">
        <v>563</v>
      </c>
      <c r="C1087">
        <v>46008</v>
      </c>
      <c r="F1087" t="s">
        <v>754</v>
      </c>
      <c r="H1087">
        <v>78.27</v>
      </c>
      <c r="O1087" t="s">
        <v>239</v>
      </c>
      <c r="P1087" t="s">
        <v>514</v>
      </c>
      <c r="Y1087">
        <v>1053</v>
      </c>
      <c r="Z1087" s="259" t="s">
        <v>630</v>
      </c>
      <c r="AA1087">
        <v>0</v>
      </c>
      <c r="AB1087">
        <v>0</v>
      </c>
      <c r="AC1087">
        <v>46008</v>
      </c>
      <c r="AD1087">
        <v>0</v>
      </c>
      <c r="AE1087">
        <v>0</v>
      </c>
      <c r="AF1087">
        <v>0</v>
      </c>
      <c r="AG1087">
        <v>0</v>
      </c>
      <c r="AH1087">
        <v>0</v>
      </c>
    </row>
    <row r="1088" spans="2:34" x14ac:dyDescent="0.35">
      <c r="B1088" t="s">
        <v>563</v>
      </c>
      <c r="C1088">
        <v>46009</v>
      </c>
      <c r="F1088" t="s">
        <v>749</v>
      </c>
      <c r="H1088">
        <v>47.72</v>
      </c>
      <c r="O1088" t="s">
        <v>239</v>
      </c>
      <c r="P1088" t="s">
        <v>514</v>
      </c>
      <c r="Y1088">
        <v>1054</v>
      </c>
      <c r="Z1088" s="259" t="s">
        <v>630</v>
      </c>
      <c r="AA1088">
        <v>220</v>
      </c>
      <c r="AB1088">
        <v>10937.666666666666</v>
      </c>
      <c r="AC1088">
        <v>46009</v>
      </c>
      <c r="AD1088">
        <v>0</v>
      </c>
      <c r="AE1088">
        <v>10498.4</v>
      </c>
      <c r="AF1088">
        <v>10498.4</v>
      </c>
      <c r="AG1088">
        <v>0</v>
      </c>
      <c r="AH1088">
        <v>-439.26666666666642</v>
      </c>
    </row>
    <row r="1089" spans="2:34" x14ac:dyDescent="0.35">
      <c r="B1089" t="s">
        <v>563</v>
      </c>
      <c r="C1089">
        <v>46009</v>
      </c>
      <c r="F1089" t="s">
        <v>752</v>
      </c>
      <c r="H1089">
        <v>169.43</v>
      </c>
      <c r="O1089" t="s">
        <v>239</v>
      </c>
      <c r="P1089" t="s">
        <v>514</v>
      </c>
      <c r="Y1089">
        <v>1055</v>
      </c>
      <c r="Z1089" s="259" t="s">
        <v>630</v>
      </c>
      <c r="AA1089">
        <v>30</v>
      </c>
      <c r="AB1089">
        <v>6006</v>
      </c>
      <c r="AC1089">
        <v>46009</v>
      </c>
      <c r="AD1089">
        <v>0</v>
      </c>
      <c r="AE1089">
        <v>5082.9000000000005</v>
      </c>
      <c r="AF1089">
        <v>5082.9000000000005</v>
      </c>
      <c r="AG1089">
        <v>0</v>
      </c>
      <c r="AH1089">
        <v>-923.09999999999945</v>
      </c>
    </row>
    <row r="1090" spans="2:34" x14ac:dyDescent="0.35">
      <c r="B1090" t="s">
        <v>563</v>
      </c>
      <c r="C1090">
        <v>46009</v>
      </c>
      <c r="F1090" t="s">
        <v>754</v>
      </c>
      <c r="H1090">
        <v>78.23</v>
      </c>
      <c r="O1090" t="s">
        <v>239</v>
      </c>
      <c r="P1090" t="s">
        <v>514</v>
      </c>
      <c r="Y1090">
        <v>1056</v>
      </c>
      <c r="Z1090" s="259" t="s">
        <v>630</v>
      </c>
      <c r="AA1090">
        <v>0</v>
      </c>
      <c r="AB1090">
        <v>0</v>
      </c>
      <c r="AC1090">
        <v>46009</v>
      </c>
      <c r="AD1090">
        <v>0</v>
      </c>
      <c r="AE1090">
        <v>0</v>
      </c>
      <c r="AF1090">
        <v>0</v>
      </c>
      <c r="AG1090">
        <v>0</v>
      </c>
      <c r="AH1090">
        <v>0</v>
      </c>
    </row>
    <row r="1091" spans="2:34" x14ac:dyDescent="0.35">
      <c r="B1091" t="s">
        <v>563</v>
      </c>
      <c r="C1091">
        <v>46010</v>
      </c>
      <c r="F1091" t="s">
        <v>749</v>
      </c>
      <c r="H1091">
        <v>47.7</v>
      </c>
      <c r="O1091" t="s">
        <v>239</v>
      </c>
      <c r="P1091" t="s">
        <v>514</v>
      </c>
      <c r="Y1091">
        <v>1057</v>
      </c>
      <c r="Z1091" s="259" t="s">
        <v>630</v>
      </c>
      <c r="AA1091">
        <v>220</v>
      </c>
      <c r="AB1091">
        <v>10937.666666666666</v>
      </c>
      <c r="AC1091">
        <v>46010</v>
      </c>
      <c r="AD1091">
        <v>0</v>
      </c>
      <c r="AE1091">
        <v>10494</v>
      </c>
      <c r="AF1091">
        <v>10494</v>
      </c>
      <c r="AG1091">
        <v>0</v>
      </c>
      <c r="AH1091">
        <v>-443.66666666666606</v>
      </c>
    </row>
    <row r="1092" spans="2:34" x14ac:dyDescent="0.35">
      <c r="B1092" t="s">
        <v>563</v>
      </c>
      <c r="C1092">
        <v>46010</v>
      </c>
      <c r="F1092" t="s">
        <v>752</v>
      </c>
      <c r="H1092">
        <v>169.4</v>
      </c>
      <c r="O1092" t="s">
        <v>239</v>
      </c>
      <c r="P1092" t="s">
        <v>514</v>
      </c>
      <c r="Y1092">
        <v>1058</v>
      </c>
      <c r="Z1092" s="259" t="s">
        <v>630</v>
      </c>
      <c r="AA1092">
        <v>30</v>
      </c>
      <c r="AB1092">
        <v>6006</v>
      </c>
      <c r="AC1092">
        <v>46010</v>
      </c>
      <c r="AD1092">
        <v>0</v>
      </c>
      <c r="AE1092">
        <v>5082</v>
      </c>
      <c r="AF1092">
        <v>5082</v>
      </c>
      <c r="AG1092">
        <v>0</v>
      </c>
      <c r="AH1092">
        <v>-924</v>
      </c>
    </row>
    <row r="1093" spans="2:34" x14ac:dyDescent="0.35">
      <c r="B1093" t="s">
        <v>563</v>
      </c>
      <c r="C1093">
        <v>46010</v>
      </c>
      <c r="F1093" t="s">
        <v>754</v>
      </c>
      <c r="H1093">
        <v>78.2</v>
      </c>
      <c r="O1093" t="s">
        <v>239</v>
      </c>
      <c r="P1093" t="s">
        <v>514</v>
      </c>
      <c r="Y1093">
        <v>1059</v>
      </c>
      <c r="Z1093" s="259" t="s">
        <v>630</v>
      </c>
      <c r="AA1093">
        <v>0</v>
      </c>
      <c r="AB1093">
        <v>0</v>
      </c>
      <c r="AC1093">
        <v>46010</v>
      </c>
      <c r="AD1093">
        <v>0</v>
      </c>
      <c r="AE1093">
        <v>0</v>
      </c>
      <c r="AF1093">
        <v>0</v>
      </c>
      <c r="AG1093">
        <v>0</v>
      </c>
      <c r="AH1093">
        <v>0</v>
      </c>
    </row>
    <row r="1094" spans="2:34" x14ac:dyDescent="0.35">
      <c r="B1094" t="s">
        <v>563</v>
      </c>
      <c r="C1094">
        <v>46011</v>
      </c>
      <c r="F1094" t="s">
        <v>749</v>
      </c>
      <c r="H1094">
        <v>47.7</v>
      </c>
      <c r="O1094" t="s">
        <v>239</v>
      </c>
      <c r="P1094" t="s">
        <v>514</v>
      </c>
      <c r="Y1094">
        <v>1060</v>
      </c>
      <c r="Z1094" s="259" t="s">
        <v>630</v>
      </c>
      <c r="AA1094">
        <v>220</v>
      </c>
      <c r="AB1094">
        <v>10937.666666666666</v>
      </c>
      <c r="AC1094">
        <v>46010</v>
      </c>
      <c r="AD1094">
        <v>1</v>
      </c>
      <c r="AE1094">
        <v>10494</v>
      </c>
      <c r="AF1094">
        <v>10494</v>
      </c>
      <c r="AG1094">
        <v>0</v>
      </c>
      <c r="AH1094">
        <v>-443.66666666666606</v>
      </c>
    </row>
    <row r="1095" spans="2:34" x14ac:dyDescent="0.35">
      <c r="B1095" t="s">
        <v>563</v>
      </c>
      <c r="C1095">
        <v>46011</v>
      </c>
      <c r="F1095" t="s">
        <v>752</v>
      </c>
      <c r="H1095">
        <v>169.4</v>
      </c>
      <c r="O1095" t="s">
        <v>239</v>
      </c>
      <c r="P1095" t="s">
        <v>514</v>
      </c>
      <c r="Y1095">
        <v>1061</v>
      </c>
      <c r="Z1095" s="259" t="s">
        <v>630</v>
      </c>
      <c r="AA1095">
        <v>30</v>
      </c>
      <c r="AB1095">
        <v>6006</v>
      </c>
      <c r="AC1095">
        <v>46010</v>
      </c>
      <c r="AD1095">
        <v>1</v>
      </c>
      <c r="AE1095">
        <v>5082</v>
      </c>
      <c r="AF1095">
        <v>5082</v>
      </c>
      <c r="AG1095">
        <v>0</v>
      </c>
      <c r="AH1095">
        <v>-924</v>
      </c>
    </row>
    <row r="1096" spans="2:34" x14ac:dyDescent="0.35">
      <c r="B1096" t="s">
        <v>563</v>
      </c>
      <c r="C1096">
        <v>46011</v>
      </c>
      <c r="F1096" t="s">
        <v>754</v>
      </c>
      <c r="H1096">
        <v>78.2</v>
      </c>
      <c r="O1096" t="s">
        <v>239</v>
      </c>
      <c r="P1096" t="s">
        <v>514</v>
      </c>
      <c r="Y1096">
        <v>1062</v>
      </c>
      <c r="Z1096" s="259" t="s">
        <v>630</v>
      </c>
      <c r="AA1096">
        <v>0</v>
      </c>
      <c r="AB1096">
        <v>0</v>
      </c>
      <c r="AC1096">
        <v>46010</v>
      </c>
      <c r="AD1096">
        <v>1</v>
      </c>
      <c r="AE1096">
        <v>0</v>
      </c>
      <c r="AF1096">
        <v>0</v>
      </c>
      <c r="AG1096">
        <v>0</v>
      </c>
      <c r="AH1096">
        <v>0</v>
      </c>
    </row>
    <row r="1097" spans="2:34" x14ac:dyDescent="0.35">
      <c r="B1097" t="s">
        <v>563</v>
      </c>
      <c r="C1097">
        <v>46012</v>
      </c>
      <c r="F1097" t="s">
        <v>749</v>
      </c>
      <c r="H1097">
        <v>47.7</v>
      </c>
      <c r="O1097" t="s">
        <v>239</v>
      </c>
      <c r="P1097" t="s">
        <v>514</v>
      </c>
      <c r="Y1097">
        <v>1063</v>
      </c>
      <c r="Z1097" s="259" t="s">
        <v>630</v>
      </c>
      <c r="AA1097">
        <v>220</v>
      </c>
      <c r="AB1097">
        <v>10937.666666666666</v>
      </c>
      <c r="AC1097">
        <v>46010</v>
      </c>
      <c r="AD1097">
        <v>2</v>
      </c>
      <c r="AE1097">
        <v>10494</v>
      </c>
      <c r="AF1097">
        <v>10494</v>
      </c>
      <c r="AG1097">
        <v>0</v>
      </c>
      <c r="AH1097">
        <v>-443.66666666666606</v>
      </c>
    </row>
    <row r="1098" spans="2:34" x14ac:dyDescent="0.35">
      <c r="B1098" t="s">
        <v>563</v>
      </c>
      <c r="C1098">
        <v>46012</v>
      </c>
      <c r="F1098" t="s">
        <v>752</v>
      </c>
      <c r="H1098">
        <v>169.4</v>
      </c>
      <c r="O1098" t="s">
        <v>239</v>
      </c>
      <c r="P1098" t="s">
        <v>514</v>
      </c>
      <c r="Y1098">
        <v>1064</v>
      </c>
      <c r="Z1098" s="259" t="s">
        <v>630</v>
      </c>
      <c r="AA1098">
        <v>30</v>
      </c>
      <c r="AB1098">
        <v>6006</v>
      </c>
      <c r="AC1098">
        <v>46010</v>
      </c>
      <c r="AD1098">
        <v>2</v>
      </c>
      <c r="AE1098">
        <v>5082</v>
      </c>
      <c r="AF1098">
        <v>5082</v>
      </c>
      <c r="AG1098">
        <v>0</v>
      </c>
      <c r="AH1098">
        <v>-924</v>
      </c>
    </row>
    <row r="1099" spans="2:34" x14ac:dyDescent="0.35">
      <c r="B1099" t="s">
        <v>563</v>
      </c>
      <c r="C1099">
        <v>46012</v>
      </c>
      <c r="F1099" t="s">
        <v>754</v>
      </c>
      <c r="H1099">
        <v>78.2</v>
      </c>
      <c r="O1099" t="s">
        <v>239</v>
      </c>
      <c r="P1099" t="s">
        <v>514</v>
      </c>
      <c r="Y1099">
        <v>1065</v>
      </c>
      <c r="Z1099" s="259" t="s">
        <v>630</v>
      </c>
      <c r="AA1099">
        <v>0</v>
      </c>
      <c r="AB1099">
        <v>0</v>
      </c>
      <c r="AC1099">
        <v>46010</v>
      </c>
      <c r="AD1099">
        <v>2</v>
      </c>
      <c r="AE1099">
        <v>0</v>
      </c>
      <c r="AF1099">
        <v>0</v>
      </c>
      <c r="AG1099">
        <v>0</v>
      </c>
      <c r="AH1099">
        <v>0</v>
      </c>
    </row>
    <row r="1100" spans="2:34" x14ac:dyDescent="0.35">
      <c r="B1100" t="s">
        <v>563</v>
      </c>
      <c r="C1100">
        <v>46013</v>
      </c>
      <c r="F1100" t="s">
        <v>749</v>
      </c>
      <c r="H1100">
        <v>47.65</v>
      </c>
      <c r="O1100" t="s">
        <v>239</v>
      </c>
      <c r="P1100" t="s">
        <v>514</v>
      </c>
      <c r="Y1100">
        <v>1066</v>
      </c>
      <c r="Z1100" s="259" t="s">
        <v>630</v>
      </c>
      <c r="AA1100">
        <v>220</v>
      </c>
      <c r="AB1100">
        <v>10937.666666666666</v>
      </c>
      <c r="AC1100">
        <v>46013</v>
      </c>
      <c r="AD1100">
        <v>0</v>
      </c>
      <c r="AE1100">
        <v>10483</v>
      </c>
      <c r="AF1100">
        <v>10483</v>
      </c>
      <c r="AG1100">
        <v>0</v>
      </c>
      <c r="AH1100">
        <v>-454.66666666666606</v>
      </c>
    </row>
    <row r="1101" spans="2:34" x14ac:dyDescent="0.35">
      <c r="B1101" t="s">
        <v>563</v>
      </c>
      <c r="C1101">
        <v>46013</v>
      </c>
      <c r="F1101" t="s">
        <v>752</v>
      </c>
      <c r="H1101">
        <v>169.3</v>
      </c>
      <c r="O1101" t="s">
        <v>239</v>
      </c>
      <c r="P1101" t="s">
        <v>514</v>
      </c>
      <c r="Y1101">
        <v>1067</v>
      </c>
      <c r="Z1101" s="259" t="s">
        <v>630</v>
      </c>
      <c r="AA1101">
        <v>30</v>
      </c>
      <c r="AB1101">
        <v>6006</v>
      </c>
      <c r="AC1101">
        <v>46013</v>
      </c>
      <c r="AD1101">
        <v>0</v>
      </c>
      <c r="AE1101">
        <v>5079</v>
      </c>
      <c r="AF1101">
        <v>5079</v>
      </c>
      <c r="AG1101">
        <v>0</v>
      </c>
      <c r="AH1101">
        <v>-927</v>
      </c>
    </row>
    <row r="1102" spans="2:34" x14ac:dyDescent="0.35">
      <c r="B1102" t="s">
        <v>563</v>
      </c>
      <c r="C1102">
        <v>46013</v>
      </c>
      <c r="F1102" t="s">
        <v>754</v>
      </c>
      <c r="H1102">
        <v>78.099999999999994</v>
      </c>
      <c r="O1102" t="s">
        <v>239</v>
      </c>
      <c r="P1102" t="s">
        <v>514</v>
      </c>
      <c r="Y1102">
        <v>1068</v>
      </c>
      <c r="Z1102" s="259" t="s">
        <v>630</v>
      </c>
      <c r="AA1102">
        <v>0</v>
      </c>
      <c r="AB1102">
        <v>0</v>
      </c>
      <c r="AC1102">
        <v>46013</v>
      </c>
      <c r="AD1102">
        <v>0</v>
      </c>
      <c r="AE1102">
        <v>0</v>
      </c>
      <c r="AF1102">
        <v>0</v>
      </c>
      <c r="AG1102">
        <v>0</v>
      </c>
      <c r="AH1102">
        <v>0</v>
      </c>
    </row>
    <row r="1103" spans="2:34" x14ac:dyDescent="0.35">
      <c r="B1103" t="s">
        <v>563</v>
      </c>
      <c r="C1103">
        <v>46014</v>
      </c>
      <c r="F1103" t="s">
        <v>749</v>
      </c>
      <c r="H1103">
        <v>47.63</v>
      </c>
      <c r="O1103" t="s">
        <v>239</v>
      </c>
      <c r="P1103" t="s">
        <v>514</v>
      </c>
      <c r="Y1103">
        <v>1069</v>
      </c>
      <c r="Z1103" s="259" t="s">
        <v>630</v>
      </c>
      <c r="AA1103">
        <v>220</v>
      </c>
      <c r="AB1103">
        <v>10937.666666666666</v>
      </c>
      <c r="AC1103">
        <v>46014</v>
      </c>
      <c r="AD1103">
        <v>0</v>
      </c>
      <c r="AE1103">
        <v>10478.6</v>
      </c>
      <c r="AF1103">
        <v>10478.6</v>
      </c>
      <c r="AG1103">
        <v>0</v>
      </c>
      <c r="AH1103">
        <v>-459.0666666666657</v>
      </c>
    </row>
    <row r="1104" spans="2:34" x14ac:dyDescent="0.35">
      <c r="B1104" t="s">
        <v>563</v>
      </c>
      <c r="C1104">
        <v>46014</v>
      </c>
      <c r="F1104" t="s">
        <v>752</v>
      </c>
      <c r="H1104">
        <v>169.27</v>
      </c>
      <c r="O1104" t="s">
        <v>239</v>
      </c>
      <c r="P1104" t="s">
        <v>514</v>
      </c>
      <c r="Y1104">
        <v>1070</v>
      </c>
      <c r="Z1104" s="259" t="s">
        <v>630</v>
      </c>
      <c r="AA1104">
        <v>30</v>
      </c>
      <c r="AB1104">
        <v>6006</v>
      </c>
      <c r="AC1104">
        <v>46014</v>
      </c>
      <c r="AD1104">
        <v>0</v>
      </c>
      <c r="AE1104">
        <v>5078.1000000000004</v>
      </c>
      <c r="AF1104">
        <v>5078.1000000000004</v>
      </c>
      <c r="AG1104">
        <v>0</v>
      </c>
      <c r="AH1104">
        <v>-927.89999999999964</v>
      </c>
    </row>
    <row r="1105" spans="2:34" x14ac:dyDescent="0.35">
      <c r="B1105" t="s">
        <v>563</v>
      </c>
      <c r="C1105">
        <v>46014</v>
      </c>
      <c r="F1105" t="s">
        <v>754</v>
      </c>
      <c r="H1105">
        <v>78.069999999999993</v>
      </c>
      <c r="O1105" t="s">
        <v>239</v>
      </c>
      <c r="P1105" t="s">
        <v>514</v>
      </c>
      <c r="Y1105">
        <v>1071</v>
      </c>
      <c r="Z1105" s="259" t="s">
        <v>630</v>
      </c>
      <c r="AA1105">
        <v>0</v>
      </c>
      <c r="AB1105">
        <v>0</v>
      </c>
      <c r="AC1105">
        <v>46014</v>
      </c>
      <c r="AD1105">
        <v>0</v>
      </c>
      <c r="AE1105">
        <v>0</v>
      </c>
      <c r="AF1105">
        <v>0</v>
      </c>
      <c r="AG1105">
        <v>0</v>
      </c>
      <c r="AH1105">
        <v>0</v>
      </c>
    </row>
    <row r="1106" spans="2:34" x14ac:dyDescent="0.35">
      <c r="B1106" t="s">
        <v>563</v>
      </c>
      <c r="C1106">
        <v>46015</v>
      </c>
      <c r="F1106" t="s">
        <v>749</v>
      </c>
      <c r="H1106">
        <v>47.62</v>
      </c>
      <c r="O1106" t="s">
        <v>239</v>
      </c>
      <c r="P1106" t="s">
        <v>514</v>
      </c>
      <c r="Y1106">
        <v>1072</v>
      </c>
      <c r="Z1106" s="259" t="s">
        <v>630</v>
      </c>
      <c r="AA1106">
        <v>220</v>
      </c>
      <c r="AB1106">
        <v>10937.666666666666</v>
      </c>
      <c r="AC1106">
        <v>46015</v>
      </c>
      <c r="AD1106">
        <v>0</v>
      </c>
      <c r="AE1106">
        <v>10476.4</v>
      </c>
      <c r="AF1106">
        <v>10476.4</v>
      </c>
      <c r="AG1106">
        <v>0</v>
      </c>
      <c r="AH1106">
        <v>-461.26666666666642</v>
      </c>
    </row>
    <row r="1107" spans="2:34" x14ac:dyDescent="0.35">
      <c r="B1107" t="s">
        <v>563</v>
      </c>
      <c r="C1107">
        <v>46015</v>
      </c>
      <c r="F1107" t="s">
        <v>752</v>
      </c>
      <c r="H1107">
        <v>169.23</v>
      </c>
      <c r="O1107" t="s">
        <v>239</v>
      </c>
      <c r="P1107" t="s">
        <v>514</v>
      </c>
      <c r="Y1107">
        <v>1073</v>
      </c>
      <c r="Z1107" s="259" t="s">
        <v>630</v>
      </c>
      <c r="AA1107">
        <v>30</v>
      </c>
      <c r="AB1107">
        <v>6006</v>
      </c>
      <c r="AC1107">
        <v>46015</v>
      </c>
      <c r="AD1107">
        <v>0</v>
      </c>
      <c r="AE1107">
        <v>5076.8999999999996</v>
      </c>
      <c r="AF1107">
        <v>5076.8999999999996</v>
      </c>
      <c r="AG1107">
        <v>0</v>
      </c>
      <c r="AH1107">
        <v>-929.10000000000036</v>
      </c>
    </row>
    <row r="1108" spans="2:34" x14ac:dyDescent="0.35">
      <c r="B1108" t="s">
        <v>563</v>
      </c>
      <c r="C1108">
        <v>46015</v>
      </c>
      <c r="F1108" t="s">
        <v>754</v>
      </c>
      <c r="H1108">
        <v>78.03</v>
      </c>
      <c r="O1108" t="s">
        <v>239</v>
      </c>
      <c r="P1108" t="s">
        <v>514</v>
      </c>
      <c r="Y1108">
        <v>1074</v>
      </c>
      <c r="Z1108" s="259" t="s">
        <v>630</v>
      </c>
      <c r="AA1108">
        <v>0</v>
      </c>
      <c r="AB1108">
        <v>0</v>
      </c>
      <c r="AC1108">
        <v>46015</v>
      </c>
      <c r="AD1108">
        <v>0</v>
      </c>
      <c r="AE1108">
        <v>0</v>
      </c>
      <c r="AF1108">
        <v>0</v>
      </c>
      <c r="AG1108">
        <v>0</v>
      </c>
      <c r="AH1108">
        <v>0</v>
      </c>
    </row>
    <row r="1109" spans="2:34" x14ac:dyDescent="0.35">
      <c r="B1109" t="s">
        <v>563</v>
      </c>
      <c r="C1109">
        <v>46016</v>
      </c>
      <c r="F1109" t="s">
        <v>749</v>
      </c>
      <c r="H1109">
        <v>47.6</v>
      </c>
      <c r="O1109" t="s">
        <v>239</v>
      </c>
      <c r="P1109" t="s">
        <v>514</v>
      </c>
      <c r="Y1109">
        <v>1075</v>
      </c>
      <c r="Z1109" s="259" t="s">
        <v>630</v>
      </c>
      <c r="AA1109">
        <v>220</v>
      </c>
      <c r="AB1109">
        <v>10937.666666666666</v>
      </c>
      <c r="AC1109">
        <v>46016</v>
      </c>
      <c r="AD1109">
        <v>0</v>
      </c>
      <c r="AE1109">
        <v>10472</v>
      </c>
      <c r="AF1109">
        <v>10472</v>
      </c>
      <c r="AG1109">
        <v>0</v>
      </c>
      <c r="AH1109">
        <v>-465.66666666666606</v>
      </c>
    </row>
    <row r="1110" spans="2:34" x14ac:dyDescent="0.35">
      <c r="B1110" t="s">
        <v>563</v>
      </c>
      <c r="C1110">
        <v>46016</v>
      </c>
      <c r="F1110" t="s">
        <v>752</v>
      </c>
      <c r="H1110">
        <v>169.2</v>
      </c>
      <c r="O1110" t="s">
        <v>239</v>
      </c>
      <c r="P1110" t="s">
        <v>514</v>
      </c>
      <c r="Y1110">
        <v>1076</v>
      </c>
      <c r="Z1110" s="259" t="s">
        <v>630</v>
      </c>
      <c r="AA1110">
        <v>30</v>
      </c>
      <c r="AB1110">
        <v>6006</v>
      </c>
      <c r="AC1110">
        <v>46016</v>
      </c>
      <c r="AD1110">
        <v>0</v>
      </c>
      <c r="AE1110">
        <v>5076</v>
      </c>
      <c r="AF1110">
        <v>5076</v>
      </c>
      <c r="AG1110">
        <v>0</v>
      </c>
      <c r="AH1110">
        <v>-930</v>
      </c>
    </row>
    <row r="1111" spans="2:34" x14ac:dyDescent="0.35">
      <c r="B1111" t="s">
        <v>563</v>
      </c>
      <c r="C1111">
        <v>46016</v>
      </c>
      <c r="F1111" t="s">
        <v>754</v>
      </c>
      <c r="H1111">
        <v>78</v>
      </c>
      <c r="O1111" t="s">
        <v>239</v>
      </c>
      <c r="P1111" t="s">
        <v>514</v>
      </c>
      <c r="Y1111">
        <v>1077</v>
      </c>
      <c r="Z1111" s="259" t="s">
        <v>630</v>
      </c>
      <c r="AA1111">
        <v>0</v>
      </c>
      <c r="AB1111">
        <v>0</v>
      </c>
      <c r="AC1111">
        <v>46016</v>
      </c>
      <c r="AD1111">
        <v>0</v>
      </c>
      <c r="AE1111">
        <v>0</v>
      </c>
      <c r="AF1111">
        <v>0</v>
      </c>
      <c r="AG1111">
        <v>0</v>
      </c>
      <c r="AH1111">
        <v>0</v>
      </c>
    </row>
    <row r="1112" spans="2:34" x14ac:dyDescent="0.35">
      <c r="B1112" t="s">
        <v>563</v>
      </c>
      <c r="C1112">
        <v>46017</v>
      </c>
      <c r="F1112" t="s">
        <v>749</v>
      </c>
      <c r="H1112">
        <v>47.58</v>
      </c>
      <c r="O1112" t="s">
        <v>239</v>
      </c>
      <c r="P1112" t="s">
        <v>514</v>
      </c>
      <c r="Y1112">
        <v>1078</v>
      </c>
      <c r="Z1112" s="259" t="s">
        <v>630</v>
      </c>
      <c r="AA1112">
        <v>220</v>
      </c>
      <c r="AB1112">
        <v>10937.666666666666</v>
      </c>
      <c r="AC1112">
        <v>46017</v>
      </c>
      <c r="AD1112">
        <v>0</v>
      </c>
      <c r="AE1112">
        <v>10467.6</v>
      </c>
      <c r="AF1112">
        <v>10467.6</v>
      </c>
      <c r="AG1112">
        <v>0</v>
      </c>
      <c r="AH1112">
        <v>-470.0666666666657</v>
      </c>
    </row>
    <row r="1113" spans="2:34" x14ac:dyDescent="0.35">
      <c r="B1113" t="s">
        <v>563</v>
      </c>
      <c r="C1113">
        <v>46017</v>
      </c>
      <c r="F1113" t="s">
        <v>752</v>
      </c>
      <c r="H1113">
        <v>169.17</v>
      </c>
      <c r="O1113" t="s">
        <v>239</v>
      </c>
      <c r="P1113" t="s">
        <v>514</v>
      </c>
      <c r="Y1113">
        <v>1079</v>
      </c>
      <c r="Z1113" s="259" t="s">
        <v>630</v>
      </c>
      <c r="AA1113">
        <v>30</v>
      </c>
      <c r="AB1113">
        <v>6006</v>
      </c>
      <c r="AC1113">
        <v>46017</v>
      </c>
      <c r="AD1113">
        <v>0</v>
      </c>
      <c r="AE1113">
        <v>5075.0999999999995</v>
      </c>
      <c r="AF1113">
        <v>5075.0999999999995</v>
      </c>
      <c r="AG1113">
        <v>0</v>
      </c>
      <c r="AH1113">
        <v>-930.90000000000055</v>
      </c>
    </row>
    <row r="1114" spans="2:34" x14ac:dyDescent="0.35">
      <c r="B1114" t="s">
        <v>563</v>
      </c>
      <c r="C1114">
        <v>46017</v>
      </c>
      <c r="F1114" t="s">
        <v>754</v>
      </c>
      <c r="H1114">
        <v>77.97</v>
      </c>
      <c r="O1114" t="s">
        <v>239</v>
      </c>
      <c r="P1114" t="s">
        <v>514</v>
      </c>
      <c r="Y1114">
        <v>1080</v>
      </c>
      <c r="Z1114" s="259" t="s">
        <v>630</v>
      </c>
      <c r="AA1114">
        <v>0</v>
      </c>
      <c r="AB1114">
        <v>0</v>
      </c>
      <c r="AC1114">
        <v>46017</v>
      </c>
      <c r="AD1114">
        <v>0</v>
      </c>
      <c r="AE1114">
        <v>0</v>
      </c>
      <c r="AF1114">
        <v>0</v>
      </c>
      <c r="AG1114">
        <v>0</v>
      </c>
      <c r="AH1114">
        <v>0</v>
      </c>
    </row>
    <row r="1115" spans="2:34" x14ac:dyDescent="0.35">
      <c r="B1115" t="s">
        <v>563</v>
      </c>
      <c r="C1115">
        <v>46018</v>
      </c>
      <c r="F1115" t="s">
        <v>749</v>
      </c>
      <c r="H1115">
        <v>47.58</v>
      </c>
      <c r="O1115" t="s">
        <v>239</v>
      </c>
      <c r="P1115" t="s">
        <v>514</v>
      </c>
      <c r="Y1115">
        <v>1081</v>
      </c>
      <c r="Z1115" s="259" t="s">
        <v>630</v>
      </c>
      <c r="AA1115">
        <v>220</v>
      </c>
      <c r="AB1115">
        <v>10937.666666666666</v>
      </c>
      <c r="AC1115">
        <v>46017</v>
      </c>
      <c r="AD1115">
        <v>1</v>
      </c>
      <c r="AE1115">
        <v>10467.6</v>
      </c>
      <c r="AF1115">
        <v>10467.6</v>
      </c>
      <c r="AG1115">
        <v>0</v>
      </c>
      <c r="AH1115">
        <v>-470.0666666666657</v>
      </c>
    </row>
    <row r="1116" spans="2:34" x14ac:dyDescent="0.35">
      <c r="B1116" t="s">
        <v>563</v>
      </c>
      <c r="C1116">
        <v>46018</v>
      </c>
      <c r="F1116" t="s">
        <v>752</v>
      </c>
      <c r="H1116">
        <v>169.17</v>
      </c>
      <c r="O1116" t="s">
        <v>239</v>
      </c>
      <c r="P1116" t="s">
        <v>514</v>
      </c>
      <c r="Y1116">
        <v>1082</v>
      </c>
      <c r="Z1116" s="259" t="s">
        <v>630</v>
      </c>
      <c r="AA1116">
        <v>30</v>
      </c>
      <c r="AB1116">
        <v>6006</v>
      </c>
      <c r="AC1116">
        <v>46017</v>
      </c>
      <c r="AD1116">
        <v>1</v>
      </c>
      <c r="AE1116">
        <v>5075.0999999999995</v>
      </c>
      <c r="AF1116">
        <v>5075.0999999999995</v>
      </c>
      <c r="AG1116">
        <v>0</v>
      </c>
      <c r="AH1116">
        <v>-930.90000000000055</v>
      </c>
    </row>
    <row r="1117" spans="2:34" x14ac:dyDescent="0.35">
      <c r="B1117" t="s">
        <v>563</v>
      </c>
      <c r="C1117">
        <v>46018</v>
      </c>
      <c r="F1117" t="s">
        <v>754</v>
      </c>
      <c r="H1117">
        <v>77.97</v>
      </c>
      <c r="O1117" t="s">
        <v>239</v>
      </c>
      <c r="P1117" t="s">
        <v>514</v>
      </c>
      <c r="Y1117">
        <v>1083</v>
      </c>
      <c r="Z1117" s="259" t="s">
        <v>630</v>
      </c>
      <c r="AA1117">
        <v>0</v>
      </c>
      <c r="AB1117">
        <v>0</v>
      </c>
      <c r="AC1117">
        <v>46017</v>
      </c>
      <c r="AD1117">
        <v>1</v>
      </c>
      <c r="AE1117">
        <v>0</v>
      </c>
      <c r="AF1117">
        <v>0</v>
      </c>
      <c r="AG1117">
        <v>0</v>
      </c>
      <c r="AH1117">
        <v>0</v>
      </c>
    </row>
    <row r="1118" spans="2:34" x14ac:dyDescent="0.35">
      <c r="B1118" t="s">
        <v>563</v>
      </c>
      <c r="C1118">
        <v>46019</v>
      </c>
      <c r="F1118" t="s">
        <v>749</v>
      </c>
      <c r="H1118">
        <v>47.58</v>
      </c>
      <c r="O1118" t="s">
        <v>239</v>
      </c>
      <c r="P1118" t="s">
        <v>514</v>
      </c>
      <c r="Y1118">
        <v>1084</v>
      </c>
      <c r="Z1118" s="259" t="s">
        <v>630</v>
      </c>
      <c r="AA1118">
        <v>220</v>
      </c>
      <c r="AB1118">
        <v>10937.666666666666</v>
      </c>
      <c r="AC1118">
        <v>46017</v>
      </c>
      <c r="AD1118">
        <v>2</v>
      </c>
      <c r="AE1118">
        <v>10467.6</v>
      </c>
      <c r="AF1118">
        <v>10467.6</v>
      </c>
      <c r="AG1118">
        <v>0</v>
      </c>
      <c r="AH1118">
        <v>-470.0666666666657</v>
      </c>
    </row>
    <row r="1119" spans="2:34" x14ac:dyDescent="0.35">
      <c r="B1119" t="s">
        <v>563</v>
      </c>
      <c r="C1119">
        <v>46019</v>
      </c>
      <c r="F1119" t="s">
        <v>752</v>
      </c>
      <c r="H1119">
        <v>169.17</v>
      </c>
      <c r="O1119" t="s">
        <v>239</v>
      </c>
      <c r="P1119" t="s">
        <v>514</v>
      </c>
      <c r="Y1119">
        <v>1085</v>
      </c>
      <c r="Z1119" s="259" t="s">
        <v>630</v>
      </c>
      <c r="AA1119">
        <v>30</v>
      </c>
      <c r="AB1119">
        <v>6006</v>
      </c>
      <c r="AC1119">
        <v>46017</v>
      </c>
      <c r="AD1119">
        <v>2</v>
      </c>
      <c r="AE1119">
        <v>5075.0999999999995</v>
      </c>
      <c r="AF1119">
        <v>5075.0999999999995</v>
      </c>
      <c r="AG1119">
        <v>0</v>
      </c>
      <c r="AH1119">
        <v>-930.90000000000055</v>
      </c>
    </row>
    <row r="1120" spans="2:34" x14ac:dyDescent="0.35">
      <c r="B1120" t="s">
        <v>563</v>
      </c>
      <c r="C1120">
        <v>46019</v>
      </c>
      <c r="F1120" t="s">
        <v>754</v>
      </c>
      <c r="H1120">
        <v>77.97</v>
      </c>
      <c r="O1120" t="s">
        <v>239</v>
      </c>
      <c r="P1120" t="s">
        <v>514</v>
      </c>
      <c r="Y1120">
        <v>1086</v>
      </c>
      <c r="Z1120" s="259" t="s">
        <v>630</v>
      </c>
      <c r="AA1120">
        <v>0</v>
      </c>
      <c r="AB1120">
        <v>0</v>
      </c>
      <c r="AC1120">
        <v>46017</v>
      </c>
      <c r="AD1120">
        <v>2</v>
      </c>
      <c r="AE1120">
        <v>0</v>
      </c>
      <c r="AF1120">
        <v>0</v>
      </c>
      <c r="AG1120">
        <v>0</v>
      </c>
      <c r="AH1120">
        <v>0</v>
      </c>
    </row>
    <row r="1121" spans="2:34" x14ac:dyDescent="0.35">
      <c r="B1121" t="s">
        <v>563</v>
      </c>
      <c r="C1121">
        <v>46020</v>
      </c>
      <c r="F1121" t="s">
        <v>749</v>
      </c>
      <c r="H1121">
        <v>47.53</v>
      </c>
      <c r="O1121" t="s">
        <v>239</v>
      </c>
      <c r="P1121" t="s">
        <v>514</v>
      </c>
      <c r="Y1121">
        <v>1087</v>
      </c>
      <c r="Z1121" s="259" t="s">
        <v>630</v>
      </c>
      <c r="AA1121">
        <v>220</v>
      </c>
      <c r="AB1121">
        <v>10937.666666666666</v>
      </c>
      <c r="AC1121">
        <v>46020</v>
      </c>
      <c r="AD1121">
        <v>0</v>
      </c>
      <c r="AE1121">
        <v>10456.6</v>
      </c>
      <c r="AF1121">
        <v>10456.6</v>
      </c>
      <c r="AG1121">
        <v>0</v>
      </c>
      <c r="AH1121">
        <v>-481.0666666666657</v>
      </c>
    </row>
    <row r="1122" spans="2:34" x14ac:dyDescent="0.35">
      <c r="B1122" t="s">
        <v>563</v>
      </c>
      <c r="C1122">
        <v>46020</v>
      </c>
      <c r="F1122" t="s">
        <v>752</v>
      </c>
      <c r="H1122">
        <v>169.07</v>
      </c>
      <c r="O1122" t="s">
        <v>239</v>
      </c>
      <c r="P1122" t="s">
        <v>514</v>
      </c>
      <c r="Y1122">
        <v>1088</v>
      </c>
      <c r="Z1122" s="259" t="s">
        <v>630</v>
      </c>
      <c r="AA1122">
        <v>30</v>
      </c>
      <c r="AB1122">
        <v>6006</v>
      </c>
      <c r="AC1122">
        <v>46020</v>
      </c>
      <c r="AD1122">
        <v>0</v>
      </c>
      <c r="AE1122">
        <v>5072.0999999999995</v>
      </c>
      <c r="AF1122">
        <v>5072.0999999999995</v>
      </c>
      <c r="AG1122">
        <v>0</v>
      </c>
      <c r="AH1122">
        <v>-933.90000000000055</v>
      </c>
    </row>
    <row r="1123" spans="2:34" x14ac:dyDescent="0.35">
      <c r="B1123" t="s">
        <v>563</v>
      </c>
      <c r="C1123">
        <v>46020</v>
      </c>
      <c r="F1123" t="s">
        <v>754</v>
      </c>
      <c r="H1123">
        <v>77.87</v>
      </c>
      <c r="O1123" t="s">
        <v>239</v>
      </c>
      <c r="P1123" t="s">
        <v>514</v>
      </c>
      <c r="Y1123">
        <v>1089</v>
      </c>
      <c r="Z1123" s="259" t="s">
        <v>630</v>
      </c>
      <c r="AA1123">
        <v>0</v>
      </c>
      <c r="AB1123">
        <v>0</v>
      </c>
      <c r="AC1123">
        <v>46020</v>
      </c>
      <c r="AD1123">
        <v>0</v>
      </c>
      <c r="AE1123">
        <v>0</v>
      </c>
      <c r="AF1123">
        <v>0</v>
      </c>
      <c r="AG1123">
        <v>0</v>
      </c>
      <c r="AH1123">
        <v>0</v>
      </c>
    </row>
    <row r="1124" spans="2:34" x14ac:dyDescent="0.35">
      <c r="B1124" t="s">
        <v>563</v>
      </c>
      <c r="C1124">
        <v>46021</v>
      </c>
      <c r="F1124" t="s">
        <v>749</v>
      </c>
      <c r="H1124">
        <v>47.52</v>
      </c>
      <c r="O1124" t="s">
        <v>239</v>
      </c>
      <c r="P1124" t="s">
        <v>514</v>
      </c>
      <c r="Y1124">
        <v>1090</v>
      </c>
      <c r="Z1124" s="259" t="s">
        <v>630</v>
      </c>
      <c r="AA1124">
        <v>220</v>
      </c>
      <c r="AB1124">
        <v>10937.666666666666</v>
      </c>
      <c r="AC1124">
        <v>46021</v>
      </c>
      <c r="AD1124">
        <v>0</v>
      </c>
      <c r="AE1124">
        <v>10454.400000000001</v>
      </c>
      <c r="AF1124">
        <v>10454.400000000001</v>
      </c>
      <c r="AG1124">
        <v>0</v>
      </c>
      <c r="AH1124">
        <v>-483.26666666666461</v>
      </c>
    </row>
    <row r="1125" spans="2:34" x14ac:dyDescent="0.35">
      <c r="B1125" t="s">
        <v>563</v>
      </c>
      <c r="C1125">
        <v>46021</v>
      </c>
      <c r="F1125" t="s">
        <v>752</v>
      </c>
      <c r="H1125">
        <v>169.03</v>
      </c>
      <c r="O1125" t="s">
        <v>239</v>
      </c>
      <c r="P1125" t="s">
        <v>514</v>
      </c>
      <c r="Y1125">
        <v>1091</v>
      </c>
      <c r="Z1125" s="259" t="s">
        <v>630</v>
      </c>
      <c r="AA1125">
        <v>30</v>
      </c>
      <c r="AB1125">
        <v>6006</v>
      </c>
      <c r="AC1125">
        <v>46021</v>
      </c>
      <c r="AD1125">
        <v>0</v>
      </c>
      <c r="AE1125">
        <v>5070.8999999999996</v>
      </c>
      <c r="AF1125">
        <v>5070.8999999999996</v>
      </c>
      <c r="AG1125">
        <v>0</v>
      </c>
      <c r="AH1125">
        <v>-935.10000000000036</v>
      </c>
    </row>
    <row r="1126" spans="2:34" x14ac:dyDescent="0.35">
      <c r="B1126" t="s">
        <v>563</v>
      </c>
      <c r="C1126">
        <v>46021</v>
      </c>
      <c r="F1126" t="s">
        <v>754</v>
      </c>
      <c r="H1126">
        <v>77.83</v>
      </c>
      <c r="O1126" t="s">
        <v>239</v>
      </c>
      <c r="P1126" t="s">
        <v>514</v>
      </c>
      <c r="Y1126">
        <v>1092</v>
      </c>
      <c r="Z1126" s="259" t="s">
        <v>630</v>
      </c>
      <c r="AA1126">
        <v>0</v>
      </c>
      <c r="AB1126">
        <v>0</v>
      </c>
      <c r="AC1126">
        <v>46021</v>
      </c>
      <c r="AD1126">
        <v>0</v>
      </c>
      <c r="AE1126">
        <v>0</v>
      </c>
      <c r="AF1126">
        <v>0</v>
      </c>
      <c r="AG1126">
        <v>0</v>
      </c>
      <c r="AH1126">
        <v>0</v>
      </c>
    </row>
    <row r="1127" spans="2:34" x14ac:dyDescent="0.35">
      <c r="B1127" t="s">
        <v>563</v>
      </c>
      <c r="C1127">
        <v>46022</v>
      </c>
      <c r="F1127" t="s">
        <v>749</v>
      </c>
      <c r="H1127">
        <v>47.5</v>
      </c>
      <c r="O1127" t="s">
        <v>239</v>
      </c>
      <c r="P1127" t="s">
        <v>514</v>
      </c>
      <c r="Y1127">
        <v>1093</v>
      </c>
      <c r="Z1127" s="259" t="s">
        <v>630</v>
      </c>
      <c r="AA1127">
        <v>220</v>
      </c>
      <c r="AB1127">
        <v>10937.666666666666</v>
      </c>
      <c r="AC1127">
        <v>46022</v>
      </c>
      <c r="AD1127">
        <v>0</v>
      </c>
      <c r="AE1127">
        <v>10450</v>
      </c>
      <c r="AF1127">
        <v>10450</v>
      </c>
      <c r="AG1127">
        <v>0</v>
      </c>
      <c r="AH1127">
        <v>-487.66666666666606</v>
      </c>
    </row>
    <row r="1128" spans="2:34" x14ac:dyDescent="0.35">
      <c r="B1128" t="s">
        <v>563</v>
      </c>
      <c r="C1128">
        <v>46022</v>
      </c>
      <c r="F1128" t="s">
        <v>752</v>
      </c>
      <c r="H1128">
        <v>169</v>
      </c>
      <c r="O1128" t="s">
        <v>239</v>
      </c>
      <c r="P1128" t="s">
        <v>514</v>
      </c>
      <c r="Y1128">
        <v>1094</v>
      </c>
      <c r="Z1128" s="259" t="s">
        <v>630</v>
      </c>
      <c r="AA1128">
        <v>30</v>
      </c>
      <c r="AB1128">
        <v>6006</v>
      </c>
      <c r="AC1128">
        <v>46022</v>
      </c>
      <c r="AD1128">
        <v>0</v>
      </c>
      <c r="AE1128">
        <v>5070</v>
      </c>
      <c r="AF1128">
        <v>5070</v>
      </c>
      <c r="AG1128">
        <v>0</v>
      </c>
      <c r="AH1128">
        <v>-936</v>
      </c>
    </row>
    <row r="1129" spans="2:34" x14ac:dyDescent="0.35">
      <c r="B1129" t="s">
        <v>563</v>
      </c>
      <c r="C1129">
        <v>46022</v>
      </c>
      <c r="F1129" t="s">
        <v>754</v>
      </c>
      <c r="H1129">
        <v>77.8</v>
      </c>
      <c r="O1129" t="s">
        <v>239</v>
      </c>
      <c r="P1129" t="s">
        <v>514</v>
      </c>
      <c r="Y1129">
        <v>1095</v>
      </c>
      <c r="Z1129" s="259" t="s">
        <v>630</v>
      </c>
      <c r="AA1129">
        <v>0</v>
      </c>
      <c r="AB1129">
        <v>0</v>
      </c>
      <c r="AC1129">
        <v>46022</v>
      </c>
      <c r="AD1129">
        <v>0</v>
      </c>
      <c r="AE1129">
        <v>0</v>
      </c>
      <c r="AF1129">
        <v>0</v>
      </c>
      <c r="AG1129">
        <v>0</v>
      </c>
      <c r="AH1129">
        <v>0</v>
      </c>
    </row>
    <row r="1130" spans="2:34" x14ac:dyDescent="0.35">
      <c r="B1130" t="s">
        <v>565</v>
      </c>
      <c r="C1130">
        <v>45658</v>
      </c>
      <c r="F1130" t="s">
        <v>749</v>
      </c>
      <c r="H1130">
        <v>100</v>
      </c>
      <c r="O1130" t="s">
        <v>239</v>
      </c>
      <c r="P1130" t="s">
        <v>514</v>
      </c>
      <c r="Y1130">
        <v>1096</v>
      </c>
      <c r="Z1130" s="259" t="s">
        <v>630</v>
      </c>
      <c r="AA1130">
        <v>0</v>
      </c>
      <c r="AB1130">
        <v>0</v>
      </c>
      <c r="AC1130">
        <v>45658</v>
      </c>
      <c r="AD1130">
        <v>0</v>
      </c>
      <c r="AE1130">
        <v>0</v>
      </c>
      <c r="AF1130">
        <v>0</v>
      </c>
      <c r="AG1130">
        <v>0</v>
      </c>
      <c r="AH1130">
        <v>0</v>
      </c>
    </row>
    <row r="1131" spans="2:34" x14ac:dyDescent="0.35">
      <c r="B1131" t="s">
        <v>565</v>
      </c>
      <c r="C1131">
        <v>45658</v>
      </c>
      <c r="F1131" t="s">
        <v>752</v>
      </c>
      <c r="H1131">
        <v>200</v>
      </c>
      <c r="O1131" t="s">
        <v>239</v>
      </c>
      <c r="P1131" t="s">
        <v>514</v>
      </c>
      <c r="Y1131">
        <v>1097</v>
      </c>
      <c r="Z1131" s="259" t="s">
        <v>630</v>
      </c>
      <c r="AA1131">
        <v>0</v>
      </c>
      <c r="AB1131">
        <v>0</v>
      </c>
      <c r="AC1131">
        <v>45658</v>
      </c>
      <c r="AD1131">
        <v>0</v>
      </c>
      <c r="AE1131">
        <v>0</v>
      </c>
      <c r="AF1131">
        <v>0</v>
      </c>
      <c r="AG1131">
        <v>0</v>
      </c>
      <c r="AH1131">
        <v>0</v>
      </c>
    </row>
    <row r="1132" spans="2:34" x14ac:dyDescent="0.35">
      <c r="B1132" t="s">
        <v>565</v>
      </c>
      <c r="C1132">
        <v>45658</v>
      </c>
      <c r="F1132" t="s">
        <v>754</v>
      </c>
      <c r="H1132">
        <v>80</v>
      </c>
      <c r="O1132" t="s">
        <v>239</v>
      </c>
      <c r="P1132" t="s">
        <v>514</v>
      </c>
      <c r="Y1132">
        <v>1098</v>
      </c>
      <c r="Z1132" s="259" t="s">
        <v>630</v>
      </c>
      <c r="AA1132">
        <v>0</v>
      </c>
      <c r="AB1132">
        <v>0</v>
      </c>
      <c r="AC1132">
        <v>45658</v>
      </c>
      <c r="AD1132">
        <v>0</v>
      </c>
      <c r="AE1132">
        <v>0</v>
      </c>
      <c r="AF1132">
        <v>0</v>
      </c>
      <c r="AG1132">
        <v>0</v>
      </c>
      <c r="AH1132">
        <v>0</v>
      </c>
    </row>
    <row r="1133" spans="2:34" x14ac:dyDescent="0.35">
      <c r="B1133" t="s">
        <v>565</v>
      </c>
      <c r="C1133">
        <v>45659</v>
      </c>
      <c r="F1133" t="s">
        <v>749</v>
      </c>
      <c r="H1133">
        <v>100.07</v>
      </c>
      <c r="O1133" t="s">
        <v>239</v>
      </c>
      <c r="P1133" t="s">
        <v>514</v>
      </c>
      <c r="Y1133">
        <v>1099</v>
      </c>
      <c r="Z1133" s="259" t="s">
        <v>630</v>
      </c>
      <c r="AA1133">
        <v>80</v>
      </c>
      <c r="AB1133">
        <v>8008</v>
      </c>
      <c r="AC1133">
        <v>45659</v>
      </c>
      <c r="AD1133">
        <v>0</v>
      </c>
      <c r="AE1133">
        <v>8005.5999999999995</v>
      </c>
      <c r="AF1133">
        <v>8005.5999999999995</v>
      </c>
      <c r="AG1133">
        <v>0</v>
      </c>
      <c r="AH1133">
        <v>-2.4000000000005457</v>
      </c>
    </row>
    <row r="1134" spans="2:34" x14ac:dyDescent="0.35">
      <c r="B1134" t="s">
        <v>565</v>
      </c>
      <c r="C1134">
        <v>45659</v>
      </c>
      <c r="F1134" t="s">
        <v>752</v>
      </c>
      <c r="H1134">
        <v>199.83</v>
      </c>
      <c r="O1134" t="s">
        <v>239</v>
      </c>
      <c r="P1134" t="s">
        <v>514</v>
      </c>
      <c r="Y1134">
        <v>1100</v>
      </c>
      <c r="Z1134" s="259" t="s">
        <v>630</v>
      </c>
      <c r="AA1134">
        <v>100</v>
      </c>
      <c r="AB1134">
        <v>20020</v>
      </c>
      <c r="AC1134">
        <v>45659</v>
      </c>
      <c r="AD1134">
        <v>0</v>
      </c>
      <c r="AE1134">
        <v>19983</v>
      </c>
      <c r="AF1134">
        <v>19983</v>
      </c>
      <c r="AG1134">
        <v>0</v>
      </c>
      <c r="AH1134">
        <v>-37</v>
      </c>
    </row>
    <row r="1135" spans="2:34" x14ac:dyDescent="0.35">
      <c r="B1135" t="s">
        <v>565</v>
      </c>
      <c r="C1135">
        <v>45659</v>
      </c>
      <c r="F1135" t="s">
        <v>754</v>
      </c>
      <c r="H1135">
        <v>80.069999999999993</v>
      </c>
      <c r="O1135" t="s">
        <v>239</v>
      </c>
      <c r="P1135" t="s">
        <v>514</v>
      </c>
      <c r="Y1135">
        <v>1101</v>
      </c>
      <c r="Z1135" s="259" t="s">
        <v>630</v>
      </c>
      <c r="AA1135">
        <v>0</v>
      </c>
      <c r="AB1135">
        <v>0</v>
      </c>
      <c r="AC1135">
        <v>45659</v>
      </c>
      <c r="AD1135">
        <v>0</v>
      </c>
      <c r="AE1135">
        <v>0</v>
      </c>
      <c r="AF1135">
        <v>0</v>
      </c>
      <c r="AG1135">
        <v>0</v>
      </c>
      <c r="AH1135">
        <v>0</v>
      </c>
    </row>
    <row r="1136" spans="2:34" x14ac:dyDescent="0.35">
      <c r="B1136" t="s">
        <v>565</v>
      </c>
      <c r="C1136">
        <v>45660</v>
      </c>
      <c r="F1136" t="s">
        <v>749</v>
      </c>
      <c r="H1136">
        <v>100.13</v>
      </c>
      <c r="O1136" t="s">
        <v>239</v>
      </c>
      <c r="P1136" t="s">
        <v>514</v>
      </c>
      <c r="Y1136">
        <v>1102</v>
      </c>
      <c r="Z1136" s="259" t="s">
        <v>630</v>
      </c>
      <c r="AA1136">
        <v>80</v>
      </c>
      <c r="AB1136">
        <v>8008</v>
      </c>
      <c r="AC1136">
        <v>45660</v>
      </c>
      <c r="AD1136">
        <v>0</v>
      </c>
      <c r="AE1136">
        <v>8010.4</v>
      </c>
      <c r="AF1136">
        <v>8010.4</v>
      </c>
      <c r="AG1136">
        <v>0</v>
      </c>
      <c r="AH1136">
        <v>2.3999999999996362</v>
      </c>
    </row>
    <row r="1137" spans="2:34" x14ac:dyDescent="0.35">
      <c r="B1137" t="s">
        <v>565</v>
      </c>
      <c r="C1137">
        <v>45660</v>
      </c>
      <c r="F1137" t="s">
        <v>752</v>
      </c>
      <c r="H1137">
        <v>199.67</v>
      </c>
      <c r="O1137" t="s">
        <v>239</v>
      </c>
      <c r="P1137" t="s">
        <v>514</v>
      </c>
      <c r="Y1137">
        <v>1103</v>
      </c>
      <c r="Z1137" s="259" t="s">
        <v>630</v>
      </c>
      <c r="AA1137">
        <v>100</v>
      </c>
      <c r="AB1137">
        <v>20020</v>
      </c>
      <c r="AC1137">
        <v>45660</v>
      </c>
      <c r="AD1137">
        <v>0</v>
      </c>
      <c r="AE1137">
        <v>19967</v>
      </c>
      <c r="AF1137">
        <v>19967</v>
      </c>
      <c r="AG1137">
        <v>0</v>
      </c>
      <c r="AH1137">
        <v>-53</v>
      </c>
    </row>
    <row r="1138" spans="2:34" x14ac:dyDescent="0.35">
      <c r="B1138" t="s">
        <v>565</v>
      </c>
      <c r="C1138">
        <v>45660</v>
      </c>
      <c r="F1138" t="s">
        <v>754</v>
      </c>
      <c r="H1138">
        <v>80.13</v>
      </c>
      <c r="O1138" t="s">
        <v>239</v>
      </c>
      <c r="P1138" t="s">
        <v>514</v>
      </c>
      <c r="Y1138">
        <v>1104</v>
      </c>
      <c r="Z1138" s="259" t="s">
        <v>630</v>
      </c>
      <c r="AA1138">
        <v>0</v>
      </c>
      <c r="AB1138">
        <v>0</v>
      </c>
      <c r="AC1138">
        <v>45660</v>
      </c>
      <c r="AD1138">
        <v>0</v>
      </c>
      <c r="AE1138">
        <v>0</v>
      </c>
      <c r="AF1138">
        <v>0</v>
      </c>
      <c r="AG1138">
        <v>0</v>
      </c>
      <c r="AH1138">
        <v>0</v>
      </c>
    </row>
    <row r="1139" spans="2:34" x14ac:dyDescent="0.35">
      <c r="B1139" t="s">
        <v>565</v>
      </c>
      <c r="C1139">
        <v>45661</v>
      </c>
      <c r="F1139" t="s">
        <v>749</v>
      </c>
      <c r="H1139">
        <v>100.13</v>
      </c>
      <c r="O1139" t="s">
        <v>239</v>
      </c>
      <c r="P1139" t="s">
        <v>514</v>
      </c>
      <c r="Y1139">
        <v>1105</v>
      </c>
      <c r="Z1139" s="259" t="s">
        <v>630</v>
      </c>
      <c r="AA1139">
        <v>80</v>
      </c>
      <c r="AB1139">
        <v>8008</v>
      </c>
      <c r="AC1139">
        <v>45660</v>
      </c>
      <c r="AD1139">
        <v>1</v>
      </c>
      <c r="AE1139">
        <v>8010.4</v>
      </c>
      <c r="AF1139">
        <v>8010.4</v>
      </c>
      <c r="AG1139">
        <v>0</v>
      </c>
      <c r="AH1139">
        <v>2.3999999999996362</v>
      </c>
    </row>
    <row r="1140" spans="2:34" x14ac:dyDescent="0.35">
      <c r="B1140" t="s">
        <v>565</v>
      </c>
      <c r="C1140">
        <v>45661</v>
      </c>
      <c r="F1140" t="s">
        <v>752</v>
      </c>
      <c r="H1140">
        <v>199.67</v>
      </c>
      <c r="O1140" t="s">
        <v>239</v>
      </c>
      <c r="P1140" t="s">
        <v>514</v>
      </c>
      <c r="Y1140">
        <v>1106</v>
      </c>
      <c r="Z1140" s="259" t="s">
        <v>630</v>
      </c>
      <c r="AA1140">
        <v>100</v>
      </c>
      <c r="AB1140">
        <v>20020</v>
      </c>
      <c r="AC1140">
        <v>45660</v>
      </c>
      <c r="AD1140">
        <v>1</v>
      </c>
      <c r="AE1140">
        <v>19967</v>
      </c>
      <c r="AF1140">
        <v>19967</v>
      </c>
      <c r="AG1140">
        <v>0</v>
      </c>
      <c r="AH1140">
        <v>-53</v>
      </c>
    </row>
    <row r="1141" spans="2:34" x14ac:dyDescent="0.35">
      <c r="B1141" t="s">
        <v>565</v>
      </c>
      <c r="C1141">
        <v>45661</v>
      </c>
      <c r="F1141" t="s">
        <v>754</v>
      </c>
      <c r="H1141">
        <v>80.13</v>
      </c>
      <c r="O1141" t="s">
        <v>239</v>
      </c>
      <c r="P1141" t="s">
        <v>514</v>
      </c>
      <c r="Y1141">
        <v>1107</v>
      </c>
      <c r="Z1141" s="259" t="s">
        <v>630</v>
      </c>
      <c r="AA1141">
        <v>0</v>
      </c>
      <c r="AB1141">
        <v>0</v>
      </c>
      <c r="AC1141">
        <v>45660</v>
      </c>
      <c r="AD1141">
        <v>1</v>
      </c>
      <c r="AE1141">
        <v>0</v>
      </c>
      <c r="AF1141">
        <v>0</v>
      </c>
      <c r="AG1141">
        <v>0</v>
      </c>
      <c r="AH1141">
        <v>0</v>
      </c>
    </row>
    <row r="1142" spans="2:34" x14ac:dyDescent="0.35">
      <c r="B1142" t="s">
        <v>565</v>
      </c>
      <c r="C1142">
        <v>45662</v>
      </c>
      <c r="F1142" t="s">
        <v>749</v>
      </c>
      <c r="H1142">
        <v>100.13</v>
      </c>
      <c r="O1142" t="s">
        <v>239</v>
      </c>
      <c r="P1142" t="s">
        <v>514</v>
      </c>
      <c r="Y1142">
        <v>1108</v>
      </c>
      <c r="Z1142" s="259" t="s">
        <v>630</v>
      </c>
      <c r="AA1142">
        <v>80</v>
      </c>
      <c r="AB1142">
        <v>8008</v>
      </c>
      <c r="AC1142">
        <v>45660</v>
      </c>
      <c r="AD1142">
        <v>2</v>
      </c>
      <c r="AE1142">
        <v>8010.4</v>
      </c>
      <c r="AF1142">
        <v>8010.4</v>
      </c>
      <c r="AG1142">
        <v>0</v>
      </c>
      <c r="AH1142">
        <v>2.3999999999996362</v>
      </c>
    </row>
    <row r="1143" spans="2:34" x14ac:dyDescent="0.35">
      <c r="B1143" t="s">
        <v>565</v>
      </c>
      <c r="C1143">
        <v>45662</v>
      </c>
      <c r="F1143" t="s">
        <v>752</v>
      </c>
      <c r="H1143">
        <v>199.67</v>
      </c>
      <c r="O1143" t="s">
        <v>239</v>
      </c>
      <c r="P1143" t="s">
        <v>514</v>
      </c>
      <c r="Y1143">
        <v>1109</v>
      </c>
      <c r="Z1143" s="259" t="s">
        <v>630</v>
      </c>
      <c r="AA1143">
        <v>100</v>
      </c>
      <c r="AB1143">
        <v>20020</v>
      </c>
      <c r="AC1143">
        <v>45660</v>
      </c>
      <c r="AD1143">
        <v>2</v>
      </c>
      <c r="AE1143">
        <v>19967</v>
      </c>
      <c r="AF1143">
        <v>19967</v>
      </c>
      <c r="AG1143">
        <v>0</v>
      </c>
      <c r="AH1143">
        <v>-53</v>
      </c>
    </row>
    <row r="1144" spans="2:34" x14ac:dyDescent="0.35">
      <c r="B1144" t="s">
        <v>565</v>
      </c>
      <c r="C1144">
        <v>45662</v>
      </c>
      <c r="F1144" t="s">
        <v>754</v>
      </c>
      <c r="H1144">
        <v>80.13</v>
      </c>
      <c r="O1144" t="s">
        <v>239</v>
      </c>
      <c r="P1144" t="s">
        <v>514</v>
      </c>
      <c r="Y1144">
        <v>1110</v>
      </c>
      <c r="Z1144" s="259" t="s">
        <v>630</v>
      </c>
      <c r="AA1144">
        <v>0</v>
      </c>
      <c r="AB1144">
        <v>0</v>
      </c>
      <c r="AC1144">
        <v>45660</v>
      </c>
      <c r="AD1144">
        <v>2</v>
      </c>
      <c r="AE1144">
        <v>0</v>
      </c>
      <c r="AF1144">
        <v>0</v>
      </c>
      <c r="AG1144">
        <v>0</v>
      </c>
      <c r="AH1144">
        <v>0</v>
      </c>
    </row>
    <row r="1145" spans="2:34" x14ac:dyDescent="0.35">
      <c r="B1145" t="s">
        <v>565</v>
      </c>
      <c r="C1145">
        <v>45663</v>
      </c>
      <c r="F1145" t="s">
        <v>749</v>
      </c>
      <c r="H1145">
        <v>100.33</v>
      </c>
      <c r="O1145" t="s">
        <v>239</v>
      </c>
      <c r="P1145" t="s">
        <v>514</v>
      </c>
      <c r="Y1145">
        <v>1111</v>
      </c>
      <c r="Z1145" s="259" t="s">
        <v>630</v>
      </c>
      <c r="AA1145">
        <v>80</v>
      </c>
      <c r="AB1145">
        <v>8008</v>
      </c>
      <c r="AC1145">
        <v>45663</v>
      </c>
      <c r="AD1145">
        <v>0</v>
      </c>
      <c r="AE1145">
        <v>8026.4</v>
      </c>
      <c r="AF1145">
        <v>8026.4</v>
      </c>
      <c r="AG1145">
        <v>0</v>
      </c>
      <c r="AH1145">
        <v>18.399999999999636</v>
      </c>
    </row>
    <row r="1146" spans="2:34" x14ac:dyDescent="0.35">
      <c r="B1146" t="s">
        <v>565</v>
      </c>
      <c r="C1146">
        <v>45663</v>
      </c>
      <c r="F1146" t="s">
        <v>752</v>
      </c>
      <c r="H1146">
        <v>199.17</v>
      </c>
      <c r="O1146" t="s">
        <v>239</v>
      </c>
      <c r="P1146" t="s">
        <v>514</v>
      </c>
      <c r="Y1146">
        <v>1112</v>
      </c>
      <c r="Z1146" s="259" t="s">
        <v>630</v>
      </c>
      <c r="AA1146">
        <v>100</v>
      </c>
      <c r="AB1146">
        <v>20020</v>
      </c>
      <c r="AC1146">
        <v>45663</v>
      </c>
      <c r="AD1146">
        <v>0</v>
      </c>
      <c r="AE1146">
        <v>19917</v>
      </c>
      <c r="AF1146">
        <v>19917</v>
      </c>
      <c r="AG1146">
        <v>0</v>
      </c>
      <c r="AH1146">
        <v>-103</v>
      </c>
    </row>
    <row r="1147" spans="2:34" x14ac:dyDescent="0.35">
      <c r="B1147" t="s">
        <v>565</v>
      </c>
      <c r="C1147">
        <v>45663</v>
      </c>
      <c r="F1147" t="s">
        <v>754</v>
      </c>
      <c r="H1147">
        <v>80.33</v>
      </c>
      <c r="O1147" t="s">
        <v>239</v>
      </c>
      <c r="P1147" t="s">
        <v>514</v>
      </c>
      <c r="Y1147">
        <v>1113</v>
      </c>
      <c r="Z1147" s="259" t="s">
        <v>630</v>
      </c>
      <c r="AA1147">
        <v>0</v>
      </c>
      <c r="AB1147">
        <v>0</v>
      </c>
      <c r="AC1147">
        <v>45663</v>
      </c>
      <c r="AD1147">
        <v>0</v>
      </c>
      <c r="AE1147">
        <v>0</v>
      </c>
      <c r="AF1147">
        <v>0</v>
      </c>
      <c r="AG1147">
        <v>0</v>
      </c>
      <c r="AH1147">
        <v>0</v>
      </c>
    </row>
    <row r="1148" spans="2:34" x14ac:dyDescent="0.35">
      <c r="B1148" t="s">
        <v>565</v>
      </c>
      <c r="C1148">
        <v>45664</v>
      </c>
      <c r="F1148" t="s">
        <v>749</v>
      </c>
      <c r="H1148">
        <v>100.4</v>
      </c>
      <c r="O1148" t="s">
        <v>239</v>
      </c>
      <c r="P1148" t="s">
        <v>514</v>
      </c>
      <c r="Y1148">
        <v>1114</v>
      </c>
      <c r="Z1148" s="259" t="s">
        <v>630</v>
      </c>
      <c r="AA1148">
        <v>80</v>
      </c>
      <c r="AB1148">
        <v>8008</v>
      </c>
      <c r="AC1148">
        <v>45664</v>
      </c>
      <c r="AD1148">
        <v>0</v>
      </c>
      <c r="AE1148">
        <v>8032</v>
      </c>
      <c r="AF1148">
        <v>8032</v>
      </c>
      <c r="AG1148">
        <v>0</v>
      </c>
      <c r="AH1148">
        <v>24</v>
      </c>
    </row>
    <row r="1149" spans="2:34" x14ac:dyDescent="0.35">
      <c r="B1149" t="s">
        <v>565</v>
      </c>
      <c r="C1149">
        <v>45664</v>
      </c>
      <c r="F1149" t="s">
        <v>752</v>
      </c>
      <c r="H1149">
        <v>199</v>
      </c>
      <c r="O1149" t="s">
        <v>239</v>
      </c>
      <c r="P1149" t="s">
        <v>514</v>
      </c>
      <c r="Y1149">
        <v>1115</v>
      </c>
      <c r="Z1149" s="259" t="s">
        <v>630</v>
      </c>
      <c r="AA1149">
        <v>100</v>
      </c>
      <c r="AB1149">
        <v>20020</v>
      </c>
      <c r="AC1149">
        <v>45664</v>
      </c>
      <c r="AD1149">
        <v>0</v>
      </c>
      <c r="AE1149">
        <v>19900</v>
      </c>
      <c r="AF1149">
        <v>19900</v>
      </c>
      <c r="AG1149">
        <v>0</v>
      </c>
      <c r="AH1149">
        <v>-120</v>
      </c>
    </row>
    <row r="1150" spans="2:34" x14ac:dyDescent="0.35">
      <c r="B1150" t="s">
        <v>565</v>
      </c>
      <c r="C1150">
        <v>45664</v>
      </c>
      <c r="F1150" t="s">
        <v>754</v>
      </c>
      <c r="H1150">
        <v>80.400000000000006</v>
      </c>
      <c r="O1150" t="s">
        <v>239</v>
      </c>
      <c r="P1150" t="s">
        <v>514</v>
      </c>
      <c r="Y1150">
        <v>1116</v>
      </c>
      <c r="Z1150" s="259" t="s">
        <v>630</v>
      </c>
      <c r="AA1150">
        <v>0</v>
      </c>
      <c r="AB1150">
        <v>0</v>
      </c>
      <c r="AC1150">
        <v>45664</v>
      </c>
      <c r="AD1150">
        <v>0</v>
      </c>
      <c r="AE1150">
        <v>0</v>
      </c>
      <c r="AF1150">
        <v>0</v>
      </c>
      <c r="AG1150">
        <v>0</v>
      </c>
      <c r="AH1150">
        <v>0</v>
      </c>
    </row>
    <row r="1151" spans="2:34" x14ac:dyDescent="0.35">
      <c r="B1151" t="s">
        <v>565</v>
      </c>
      <c r="C1151">
        <v>45665</v>
      </c>
      <c r="F1151" t="s">
        <v>749</v>
      </c>
      <c r="H1151">
        <v>100.47</v>
      </c>
      <c r="O1151" t="s">
        <v>239</v>
      </c>
      <c r="P1151" t="s">
        <v>514</v>
      </c>
      <c r="Y1151">
        <v>1117</v>
      </c>
      <c r="Z1151" s="259" t="s">
        <v>630</v>
      </c>
      <c r="AA1151">
        <v>80</v>
      </c>
      <c r="AB1151">
        <v>8008</v>
      </c>
      <c r="AC1151">
        <v>45665</v>
      </c>
      <c r="AD1151">
        <v>0</v>
      </c>
      <c r="AE1151">
        <v>8037.6</v>
      </c>
      <c r="AF1151">
        <v>8037.6</v>
      </c>
      <c r="AG1151">
        <v>0</v>
      </c>
      <c r="AH1151">
        <v>29.600000000000364</v>
      </c>
    </row>
    <row r="1152" spans="2:34" x14ac:dyDescent="0.35">
      <c r="B1152" t="s">
        <v>565</v>
      </c>
      <c r="C1152">
        <v>45665</v>
      </c>
      <c r="F1152" t="s">
        <v>752</v>
      </c>
      <c r="H1152">
        <v>198.83</v>
      </c>
      <c r="O1152" t="s">
        <v>239</v>
      </c>
      <c r="P1152" t="s">
        <v>514</v>
      </c>
      <c r="Y1152">
        <v>1118</v>
      </c>
      <c r="Z1152" s="259" t="s">
        <v>630</v>
      </c>
      <c r="AA1152">
        <v>100</v>
      </c>
      <c r="AB1152">
        <v>20020</v>
      </c>
      <c r="AC1152">
        <v>45665</v>
      </c>
      <c r="AD1152">
        <v>0</v>
      </c>
      <c r="AE1152">
        <v>19883</v>
      </c>
      <c r="AF1152">
        <v>19883</v>
      </c>
      <c r="AG1152">
        <v>0</v>
      </c>
      <c r="AH1152">
        <v>-137</v>
      </c>
    </row>
    <row r="1153" spans="2:34" x14ac:dyDescent="0.35">
      <c r="B1153" t="s">
        <v>565</v>
      </c>
      <c r="C1153">
        <v>45665</v>
      </c>
      <c r="F1153" t="s">
        <v>754</v>
      </c>
      <c r="H1153">
        <v>80.47</v>
      </c>
      <c r="O1153" t="s">
        <v>239</v>
      </c>
      <c r="P1153" t="s">
        <v>514</v>
      </c>
      <c r="Y1153">
        <v>1119</v>
      </c>
      <c r="Z1153" s="259" t="s">
        <v>630</v>
      </c>
      <c r="AA1153">
        <v>0</v>
      </c>
      <c r="AB1153">
        <v>0</v>
      </c>
      <c r="AC1153">
        <v>45665</v>
      </c>
      <c r="AD1153">
        <v>0</v>
      </c>
      <c r="AE1153">
        <v>0</v>
      </c>
      <c r="AF1153">
        <v>0</v>
      </c>
      <c r="AG1153">
        <v>0</v>
      </c>
      <c r="AH1153">
        <v>0</v>
      </c>
    </row>
    <row r="1154" spans="2:34" x14ac:dyDescent="0.35">
      <c r="B1154" t="s">
        <v>565</v>
      </c>
      <c r="C1154">
        <v>45666</v>
      </c>
      <c r="F1154" t="s">
        <v>749</v>
      </c>
      <c r="H1154">
        <v>100.53</v>
      </c>
      <c r="O1154" t="s">
        <v>239</v>
      </c>
      <c r="P1154" t="s">
        <v>514</v>
      </c>
      <c r="Y1154">
        <v>1120</v>
      </c>
      <c r="Z1154" s="259" t="s">
        <v>630</v>
      </c>
      <c r="AA1154">
        <v>80</v>
      </c>
      <c r="AB1154">
        <v>8008</v>
      </c>
      <c r="AC1154">
        <v>45666</v>
      </c>
      <c r="AD1154">
        <v>0</v>
      </c>
      <c r="AE1154">
        <v>8042.4</v>
      </c>
      <c r="AF1154">
        <v>8042.4</v>
      </c>
      <c r="AG1154">
        <v>0</v>
      </c>
      <c r="AH1154">
        <v>34.399999999999636</v>
      </c>
    </row>
    <row r="1155" spans="2:34" x14ac:dyDescent="0.35">
      <c r="B1155" t="s">
        <v>565</v>
      </c>
      <c r="C1155">
        <v>45666</v>
      </c>
      <c r="F1155" t="s">
        <v>752</v>
      </c>
      <c r="H1155">
        <v>198.67</v>
      </c>
      <c r="O1155" t="s">
        <v>239</v>
      </c>
      <c r="P1155" t="s">
        <v>514</v>
      </c>
      <c r="Y1155">
        <v>1121</v>
      </c>
      <c r="Z1155" s="259" t="s">
        <v>630</v>
      </c>
      <c r="AA1155">
        <v>100</v>
      </c>
      <c r="AB1155">
        <v>20020</v>
      </c>
      <c r="AC1155">
        <v>45666</v>
      </c>
      <c r="AD1155">
        <v>0</v>
      </c>
      <c r="AE1155">
        <v>19867</v>
      </c>
      <c r="AF1155">
        <v>19867</v>
      </c>
      <c r="AG1155">
        <v>0</v>
      </c>
      <c r="AH1155">
        <v>-153</v>
      </c>
    </row>
    <row r="1156" spans="2:34" x14ac:dyDescent="0.35">
      <c r="B1156" t="s">
        <v>565</v>
      </c>
      <c r="C1156">
        <v>45666</v>
      </c>
      <c r="F1156" t="s">
        <v>754</v>
      </c>
      <c r="H1156">
        <v>80.53</v>
      </c>
      <c r="O1156" t="s">
        <v>239</v>
      </c>
      <c r="P1156" t="s">
        <v>514</v>
      </c>
      <c r="Y1156">
        <v>1122</v>
      </c>
      <c r="Z1156" s="259" t="s">
        <v>630</v>
      </c>
      <c r="AA1156">
        <v>0</v>
      </c>
      <c r="AB1156">
        <v>0</v>
      </c>
      <c r="AC1156">
        <v>45666</v>
      </c>
      <c r="AD1156">
        <v>0</v>
      </c>
      <c r="AE1156">
        <v>0</v>
      </c>
      <c r="AF1156">
        <v>0</v>
      </c>
      <c r="AG1156">
        <v>0</v>
      </c>
      <c r="AH1156">
        <v>0</v>
      </c>
    </row>
    <row r="1157" spans="2:34" x14ac:dyDescent="0.35">
      <c r="B1157" t="s">
        <v>565</v>
      </c>
      <c r="C1157">
        <v>45667</v>
      </c>
      <c r="F1157" t="s">
        <v>749</v>
      </c>
      <c r="H1157">
        <v>100.6</v>
      </c>
      <c r="O1157" t="s">
        <v>239</v>
      </c>
      <c r="P1157" t="s">
        <v>514</v>
      </c>
      <c r="Y1157">
        <v>1123</v>
      </c>
      <c r="Z1157" s="259" t="s">
        <v>630</v>
      </c>
      <c r="AA1157">
        <v>80</v>
      </c>
      <c r="AB1157">
        <v>8008</v>
      </c>
      <c r="AC1157">
        <v>45667</v>
      </c>
      <c r="AD1157">
        <v>0</v>
      </c>
      <c r="AE1157">
        <v>8048</v>
      </c>
      <c r="AF1157">
        <v>8048</v>
      </c>
      <c r="AG1157">
        <v>0</v>
      </c>
      <c r="AH1157">
        <v>40</v>
      </c>
    </row>
    <row r="1158" spans="2:34" x14ac:dyDescent="0.35">
      <c r="B1158" t="s">
        <v>565</v>
      </c>
      <c r="C1158">
        <v>45667</v>
      </c>
      <c r="F1158" t="s">
        <v>752</v>
      </c>
      <c r="H1158">
        <v>198.5</v>
      </c>
      <c r="O1158" t="s">
        <v>239</v>
      </c>
      <c r="P1158" t="s">
        <v>514</v>
      </c>
      <c r="Y1158">
        <v>1124</v>
      </c>
      <c r="Z1158" s="259" t="s">
        <v>630</v>
      </c>
      <c r="AA1158">
        <v>100</v>
      </c>
      <c r="AB1158">
        <v>20020</v>
      </c>
      <c r="AC1158">
        <v>45667</v>
      </c>
      <c r="AD1158">
        <v>0</v>
      </c>
      <c r="AE1158">
        <v>19850</v>
      </c>
      <c r="AF1158">
        <v>19850</v>
      </c>
      <c r="AG1158">
        <v>0</v>
      </c>
      <c r="AH1158">
        <v>-170</v>
      </c>
    </row>
    <row r="1159" spans="2:34" x14ac:dyDescent="0.35">
      <c r="B1159" t="s">
        <v>565</v>
      </c>
      <c r="C1159">
        <v>45667</v>
      </c>
      <c r="F1159" t="s">
        <v>754</v>
      </c>
      <c r="H1159">
        <v>80.599999999999994</v>
      </c>
      <c r="O1159" t="s">
        <v>239</v>
      </c>
      <c r="P1159" t="s">
        <v>514</v>
      </c>
      <c r="Y1159">
        <v>1125</v>
      </c>
      <c r="Z1159" s="259" t="s">
        <v>630</v>
      </c>
      <c r="AA1159">
        <v>0</v>
      </c>
      <c r="AB1159">
        <v>0</v>
      </c>
      <c r="AC1159">
        <v>45667</v>
      </c>
      <c r="AD1159">
        <v>0</v>
      </c>
      <c r="AE1159">
        <v>0</v>
      </c>
      <c r="AF1159">
        <v>0</v>
      </c>
      <c r="AG1159">
        <v>0</v>
      </c>
      <c r="AH1159">
        <v>0</v>
      </c>
    </row>
    <row r="1160" spans="2:34" x14ac:dyDescent="0.35">
      <c r="B1160" t="s">
        <v>565</v>
      </c>
      <c r="C1160">
        <v>45668</v>
      </c>
      <c r="F1160" t="s">
        <v>749</v>
      </c>
      <c r="H1160">
        <v>100.6</v>
      </c>
      <c r="O1160" t="s">
        <v>239</v>
      </c>
      <c r="P1160" t="s">
        <v>514</v>
      </c>
      <c r="Y1160">
        <v>1126</v>
      </c>
      <c r="Z1160" s="259" t="s">
        <v>630</v>
      </c>
      <c r="AA1160">
        <v>80</v>
      </c>
      <c r="AB1160">
        <v>8008</v>
      </c>
      <c r="AC1160">
        <v>45667</v>
      </c>
      <c r="AD1160">
        <v>1</v>
      </c>
      <c r="AE1160">
        <v>8048</v>
      </c>
      <c r="AF1160">
        <v>8048</v>
      </c>
      <c r="AG1160">
        <v>0</v>
      </c>
      <c r="AH1160">
        <v>40</v>
      </c>
    </row>
    <row r="1161" spans="2:34" x14ac:dyDescent="0.35">
      <c r="B1161" t="s">
        <v>565</v>
      </c>
      <c r="C1161">
        <v>45668</v>
      </c>
      <c r="F1161" t="s">
        <v>752</v>
      </c>
      <c r="H1161">
        <v>198.5</v>
      </c>
      <c r="O1161" t="s">
        <v>239</v>
      </c>
      <c r="P1161" t="s">
        <v>514</v>
      </c>
      <c r="Y1161">
        <v>1127</v>
      </c>
      <c r="Z1161" s="259" t="s">
        <v>630</v>
      </c>
      <c r="AA1161">
        <v>100</v>
      </c>
      <c r="AB1161">
        <v>20020</v>
      </c>
      <c r="AC1161">
        <v>45667</v>
      </c>
      <c r="AD1161">
        <v>1</v>
      </c>
      <c r="AE1161">
        <v>19850</v>
      </c>
      <c r="AF1161">
        <v>19850</v>
      </c>
      <c r="AG1161">
        <v>0</v>
      </c>
      <c r="AH1161">
        <v>-170</v>
      </c>
    </row>
    <row r="1162" spans="2:34" x14ac:dyDescent="0.35">
      <c r="B1162" t="s">
        <v>565</v>
      </c>
      <c r="C1162">
        <v>45668</v>
      </c>
      <c r="F1162" t="s">
        <v>754</v>
      </c>
      <c r="H1162">
        <v>80.599999999999994</v>
      </c>
      <c r="O1162" t="s">
        <v>239</v>
      </c>
      <c r="P1162" t="s">
        <v>514</v>
      </c>
      <c r="Y1162">
        <v>1128</v>
      </c>
      <c r="Z1162" s="259" t="s">
        <v>630</v>
      </c>
      <c r="AA1162">
        <v>0</v>
      </c>
      <c r="AB1162">
        <v>0</v>
      </c>
      <c r="AC1162">
        <v>45667</v>
      </c>
      <c r="AD1162">
        <v>1</v>
      </c>
      <c r="AE1162">
        <v>0</v>
      </c>
      <c r="AF1162">
        <v>0</v>
      </c>
      <c r="AG1162">
        <v>0</v>
      </c>
      <c r="AH1162">
        <v>0</v>
      </c>
    </row>
    <row r="1163" spans="2:34" x14ac:dyDescent="0.35">
      <c r="B1163" t="s">
        <v>565</v>
      </c>
      <c r="C1163">
        <v>45669</v>
      </c>
      <c r="F1163" t="s">
        <v>749</v>
      </c>
      <c r="H1163">
        <v>100.6</v>
      </c>
      <c r="O1163" t="s">
        <v>239</v>
      </c>
      <c r="P1163" t="s">
        <v>514</v>
      </c>
      <c r="Y1163">
        <v>1129</v>
      </c>
      <c r="Z1163" s="259" t="s">
        <v>630</v>
      </c>
      <c r="AA1163">
        <v>80</v>
      </c>
      <c r="AB1163">
        <v>8008</v>
      </c>
      <c r="AC1163">
        <v>45667</v>
      </c>
      <c r="AD1163">
        <v>2</v>
      </c>
      <c r="AE1163">
        <v>8048</v>
      </c>
      <c r="AF1163">
        <v>8048</v>
      </c>
      <c r="AG1163">
        <v>0</v>
      </c>
      <c r="AH1163">
        <v>40</v>
      </c>
    </row>
    <row r="1164" spans="2:34" x14ac:dyDescent="0.35">
      <c r="B1164" t="s">
        <v>565</v>
      </c>
      <c r="C1164">
        <v>45669</v>
      </c>
      <c r="F1164" t="s">
        <v>752</v>
      </c>
      <c r="H1164">
        <v>198.5</v>
      </c>
      <c r="O1164" t="s">
        <v>239</v>
      </c>
      <c r="P1164" t="s">
        <v>514</v>
      </c>
      <c r="Y1164">
        <v>1130</v>
      </c>
      <c r="Z1164" s="259" t="s">
        <v>630</v>
      </c>
      <c r="AA1164">
        <v>100</v>
      </c>
      <c r="AB1164">
        <v>20020</v>
      </c>
      <c r="AC1164">
        <v>45667</v>
      </c>
      <c r="AD1164">
        <v>2</v>
      </c>
      <c r="AE1164">
        <v>19850</v>
      </c>
      <c r="AF1164">
        <v>19850</v>
      </c>
      <c r="AG1164">
        <v>0</v>
      </c>
      <c r="AH1164">
        <v>-170</v>
      </c>
    </row>
    <row r="1165" spans="2:34" x14ac:dyDescent="0.35">
      <c r="B1165" t="s">
        <v>565</v>
      </c>
      <c r="C1165">
        <v>45669</v>
      </c>
      <c r="F1165" t="s">
        <v>754</v>
      </c>
      <c r="H1165">
        <v>80.599999999999994</v>
      </c>
      <c r="O1165" t="s">
        <v>239</v>
      </c>
      <c r="P1165" t="s">
        <v>514</v>
      </c>
      <c r="Y1165">
        <v>1131</v>
      </c>
      <c r="Z1165" s="259" t="s">
        <v>630</v>
      </c>
      <c r="AA1165">
        <v>0</v>
      </c>
      <c r="AB1165">
        <v>0</v>
      </c>
      <c r="AC1165">
        <v>45667</v>
      </c>
      <c r="AD1165">
        <v>2</v>
      </c>
      <c r="AE1165">
        <v>0</v>
      </c>
      <c r="AF1165">
        <v>0</v>
      </c>
      <c r="AG1165">
        <v>0</v>
      </c>
      <c r="AH1165">
        <v>0</v>
      </c>
    </row>
    <row r="1166" spans="2:34" x14ac:dyDescent="0.35">
      <c r="B1166" t="s">
        <v>565</v>
      </c>
      <c r="C1166">
        <v>45670</v>
      </c>
      <c r="F1166" t="s">
        <v>749</v>
      </c>
      <c r="H1166">
        <v>100.8</v>
      </c>
      <c r="O1166" t="s">
        <v>239</v>
      </c>
      <c r="P1166" t="s">
        <v>514</v>
      </c>
      <c r="Y1166">
        <v>1132</v>
      </c>
      <c r="Z1166" s="259" t="s">
        <v>630</v>
      </c>
      <c r="AA1166">
        <v>80</v>
      </c>
      <c r="AB1166">
        <v>8008</v>
      </c>
      <c r="AC1166">
        <v>45670</v>
      </c>
      <c r="AD1166">
        <v>0</v>
      </c>
      <c r="AE1166">
        <v>8064</v>
      </c>
      <c r="AF1166">
        <v>8064</v>
      </c>
      <c r="AG1166">
        <v>0</v>
      </c>
      <c r="AH1166">
        <v>56</v>
      </c>
    </row>
    <row r="1167" spans="2:34" x14ac:dyDescent="0.35">
      <c r="B1167" t="s">
        <v>565</v>
      </c>
      <c r="C1167">
        <v>45670</v>
      </c>
      <c r="F1167" t="s">
        <v>752</v>
      </c>
      <c r="H1167">
        <v>198</v>
      </c>
      <c r="O1167" t="s">
        <v>239</v>
      </c>
      <c r="P1167" t="s">
        <v>514</v>
      </c>
      <c r="Y1167">
        <v>1133</v>
      </c>
      <c r="Z1167" s="259" t="s">
        <v>630</v>
      </c>
      <c r="AA1167">
        <v>100</v>
      </c>
      <c r="AB1167">
        <v>20020</v>
      </c>
      <c r="AC1167">
        <v>45670</v>
      </c>
      <c r="AD1167">
        <v>0</v>
      </c>
      <c r="AE1167">
        <v>19800</v>
      </c>
      <c r="AF1167">
        <v>19800</v>
      </c>
      <c r="AG1167">
        <v>0</v>
      </c>
      <c r="AH1167">
        <v>-220</v>
      </c>
    </row>
    <row r="1168" spans="2:34" x14ac:dyDescent="0.35">
      <c r="B1168" t="s">
        <v>565</v>
      </c>
      <c r="C1168">
        <v>45670</v>
      </c>
      <c r="F1168" t="s">
        <v>754</v>
      </c>
      <c r="H1168">
        <v>80.8</v>
      </c>
      <c r="O1168" t="s">
        <v>239</v>
      </c>
      <c r="P1168" t="s">
        <v>514</v>
      </c>
      <c r="Y1168">
        <v>1134</v>
      </c>
      <c r="Z1168" s="259" t="s">
        <v>630</v>
      </c>
      <c r="AA1168">
        <v>0</v>
      </c>
      <c r="AB1168">
        <v>0</v>
      </c>
      <c r="AC1168">
        <v>45670</v>
      </c>
      <c r="AD1168">
        <v>0</v>
      </c>
      <c r="AE1168">
        <v>0</v>
      </c>
      <c r="AF1168">
        <v>0</v>
      </c>
      <c r="AG1168">
        <v>0</v>
      </c>
      <c r="AH1168">
        <v>0</v>
      </c>
    </row>
    <row r="1169" spans="2:34" x14ac:dyDescent="0.35">
      <c r="B1169" t="s">
        <v>565</v>
      </c>
      <c r="C1169">
        <v>45671</v>
      </c>
      <c r="F1169" t="s">
        <v>749</v>
      </c>
      <c r="H1169">
        <v>100.87</v>
      </c>
      <c r="O1169" t="s">
        <v>239</v>
      </c>
      <c r="P1169" t="s">
        <v>514</v>
      </c>
      <c r="Y1169">
        <v>1135</v>
      </c>
      <c r="Z1169" s="259" t="s">
        <v>630</v>
      </c>
      <c r="AA1169">
        <v>80</v>
      </c>
      <c r="AB1169">
        <v>8008</v>
      </c>
      <c r="AC1169">
        <v>45671</v>
      </c>
      <c r="AD1169">
        <v>0</v>
      </c>
      <c r="AE1169">
        <v>8069.6</v>
      </c>
      <c r="AF1169">
        <v>8069.6</v>
      </c>
      <c r="AG1169">
        <v>0</v>
      </c>
      <c r="AH1169">
        <v>61.600000000000364</v>
      </c>
    </row>
    <row r="1170" spans="2:34" x14ac:dyDescent="0.35">
      <c r="B1170" t="s">
        <v>565</v>
      </c>
      <c r="C1170">
        <v>45671</v>
      </c>
      <c r="F1170" t="s">
        <v>752</v>
      </c>
      <c r="H1170">
        <v>197.83</v>
      </c>
      <c r="O1170" t="s">
        <v>239</v>
      </c>
      <c r="P1170" t="s">
        <v>514</v>
      </c>
      <c r="Y1170">
        <v>1136</v>
      </c>
      <c r="Z1170" s="259" t="s">
        <v>630</v>
      </c>
      <c r="AA1170">
        <v>100</v>
      </c>
      <c r="AB1170">
        <v>20020</v>
      </c>
      <c r="AC1170">
        <v>45671</v>
      </c>
      <c r="AD1170">
        <v>0</v>
      </c>
      <c r="AE1170">
        <v>19783</v>
      </c>
      <c r="AF1170">
        <v>19783</v>
      </c>
      <c r="AG1170">
        <v>0</v>
      </c>
      <c r="AH1170">
        <v>-237</v>
      </c>
    </row>
    <row r="1171" spans="2:34" x14ac:dyDescent="0.35">
      <c r="B1171" t="s">
        <v>565</v>
      </c>
      <c r="C1171">
        <v>45671</v>
      </c>
      <c r="F1171" t="s">
        <v>754</v>
      </c>
      <c r="H1171">
        <v>80.87</v>
      </c>
      <c r="O1171" t="s">
        <v>239</v>
      </c>
      <c r="P1171" t="s">
        <v>514</v>
      </c>
      <c r="Y1171">
        <v>1137</v>
      </c>
      <c r="Z1171" s="259" t="s">
        <v>630</v>
      </c>
      <c r="AA1171">
        <v>0</v>
      </c>
      <c r="AB1171">
        <v>0</v>
      </c>
      <c r="AC1171">
        <v>45671</v>
      </c>
      <c r="AD1171">
        <v>0</v>
      </c>
      <c r="AE1171">
        <v>0</v>
      </c>
      <c r="AF1171">
        <v>0</v>
      </c>
      <c r="AG1171">
        <v>0</v>
      </c>
      <c r="AH1171">
        <v>0</v>
      </c>
    </row>
    <row r="1172" spans="2:34" x14ac:dyDescent="0.35">
      <c r="B1172" t="s">
        <v>565</v>
      </c>
      <c r="C1172">
        <v>45672</v>
      </c>
      <c r="F1172" t="s">
        <v>749</v>
      </c>
      <c r="H1172">
        <v>100.93</v>
      </c>
      <c r="O1172" t="s">
        <v>239</v>
      </c>
      <c r="P1172" t="s">
        <v>514</v>
      </c>
      <c r="Y1172">
        <v>1138</v>
      </c>
      <c r="Z1172" s="259" t="s">
        <v>630</v>
      </c>
      <c r="AA1172">
        <v>80</v>
      </c>
      <c r="AB1172">
        <v>8008</v>
      </c>
      <c r="AC1172">
        <v>45672</v>
      </c>
      <c r="AD1172">
        <v>0</v>
      </c>
      <c r="AE1172">
        <v>8074.4000000000005</v>
      </c>
      <c r="AF1172">
        <v>8074.4000000000005</v>
      </c>
      <c r="AG1172">
        <v>0</v>
      </c>
      <c r="AH1172">
        <v>66.400000000000546</v>
      </c>
    </row>
    <row r="1173" spans="2:34" x14ac:dyDescent="0.35">
      <c r="B1173" t="s">
        <v>565</v>
      </c>
      <c r="C1173">
        <v>45672</v>
      </c>
      <c r="F1173" t="s">
        <v>752</v>
      </c>
      <c r="H1173">
        <v>197.67</v>
      </c>
      <c r="O1173" t="s">
        <v>239</v>
      </c>
      <c r="P1173" t="s">
        <v>514</v>
      </c>
      <c r="Y1173">
        <v>1139</v>
      </c>
      <c r="Z1173" s="259" t="s">
        <v>630</v>
      </c>
      <c r="AA1173">
        <v>100</v>
      </c>
      <c r="AB1173">
        <v>20020</v>
      </c>
      <c r="AC1173">
        <v>45672</v>
      </c>
      <c r="AD1173">
        <v>0</v>
      </c>
      <c r="AE1173">
        <v>19767</v>
      </c>
      <c r="AF1173">
        <v>19767</v>
      </c>
      <c r="AG1173">
        <v>0</v>
      </c>
      <c r="AH1173">
        <v>-253</v>
      </c>
    </row>
    <row r="1174" spans="2:34" x14ac:dyDescent="0.35">
      <c r="B1174" t="s">
        <v>565</v>
      </c>
      <c r="C1174">
        <v>45672</v>
      </c>
      <c r="F1174" t="s">
        <v>754</v>
      </c>
      <c r="H1174">
        <v>80.930000000000007</v>
      </c>
      <c r="O1174" t="s">
        <v>239</v>
      </c>
      <c r="P1174" t="s">
        <v>514</v>
      </c>
      <c r="Y1174">
        <v>1140</v>
      </c>
      <c r="Z1174" s="259" t="s">
        <v>630</v>
      </c>
      <c r="AA1174">
        <v>0</v>
      </c>
      <c r="AB1174">
        <v>0</v>
      </c>
      <c r="AC1174">
        <v>45672</v>
      </c>
      <c r="AD1174">
        <v>0</v>
      </c>
      <c r="AE1174">
        <v>0</v>
      </c>
      <c r="AF1174">
        <v>0</v>
      </c>
      <c r="AG1174">
        <v>0</v>
      </c>
      <c r="AH1174">
        <v>0</v>
      </c>
    </row>
    <row r="1175" spans="2:34" x14ac:dyDescent="0.35">
      <c r="B1175" t="s">
        <v>565</v>
      </c>
      <c r="C1175">
        <v>45673</v>
      </c>
      <c r="F1175" t="s">
        <v>749</v>
      </c>
      <c r="H1175">
        <v>101</v>
      </c>
      <c r="O1175" t="s">
        <v>239</v>
      </c>
      <c r="P1175" t="s">
        <v>514</v>
      </c>
      <c r="Y1175">
        <v>1141</v>
      </c>
      <c r="Z1175" s="259" t="s">
        <v>630</v>
      </c>
      <c r="AA1175">
        <v>80</v>
      </c>
      <c r="AB1175">
        <v>8008</v>
      </c>
      <c r="AC1175">
        <v>45673</v>
      </c>
      <c r="AD1175">
        <v>0</v>
      </c>
      <c r="AE1175">
        <v>8080</v>
      </c>
      <c r="AF1175">
        <v>8080</v>
      </c>
      <c r="AG1175">
        <v>0</v>
      </c>
      <c r="AH1175">
        <v>72</v>
      </c>
    </row>
    <row r="1176" spans="2:34" x14ac:dyDescent="0.35">
      <c r="B1176" t="s">
        <v>565</v>
      </c>
      <c r="C1176">
        <v>45673</v>
      </c>
      <c r="F1176" t="s">
        <v>752</v>
      </c>
      <c r="H1176">
        <v>197.5</v>
      </c>
      <c r="O1176" t="s">
        <v>239</v>
      </c>
      <c r="P1176" t="s">
        <v>514</v>
      </c>
      <c r="Y1176">
        <v>1142</v>
      </c>
      <c r="Z1176" s="259" t="s">
        <v>630</v>
      </c>
      <c r="AA1176">
        <v>100</v>
      </c>
      <c r="AB1176">
        <v>20020</v>
      </c>
      <c r="AC1176">
        <v>45673</v>
      </c>
      <c r="AD1176">
        <v>0</v>
      </c>
      <c r="AE1176">
        <v>19750</v>
      </c>
      <c r="AF1176">
        <v>19750</v>
      </c>
      <c r="AG1176">
        <v>0</v>
      </c>
      <c r="AH1176">
        <v>-270</v>
      </c>
    </row>
    <row r="1177" spans="2:34" x14ac:dyDescent="0.35">
      <c r="B1177" t="s">
        <v>565</v>
      </c>
      <c r="C1177">
        <v>45673</v>
      </c>
      <c r="F1177" t="s">
        <v>754</v>
      </c>
      <c r="H1177">
        <v>81</v>
      </c>
      <c r="O1177" t="s">
        <v>239</v>
      </c>
      <c r="P1177" t="s">
        <v>514</v>
      </c>
      <c r="Y1177">
        <v>1143</v>
      </c>
      <c r="Z1177" s="259" t="s">
        <v>630</v>
      </c>
      <c r="AA1177">
        <v>0</v>
      </c>
      <c r="AB1177">
        <v>0</v>
      </c>
      <c r="AC1177">
        <v>45673</v>
      </c>
      <c r="AD1177">
        <v>0</v>
      </c>
      <c r="AE1177">
        <v>0</v>
      </c>
      <c r="AF1177">
        <v>0</v>
      </c>
      <c r="AG1177">
        <v>0</v>
      </c>
      <c r="AH1177">
        <v>0</v>
      </c>
    </row>
    <row r="1178" spans="2:34" x14ac:dyDescent="0.35">
      <c r="B1178" t="s">
        <v>565</v>
      </c>
      <c r="C1178">
        <v>45674</v>
      </c>
      <c r="F1178" t="s">
        <v>749</v>
      </c>
      <c r="H1178">
        <v>101.07</v>
      </c>
      <c r="O1178" t="s">
        <v>239</v>
      </c>
      <c r="P1178" t="s">
        <v>514</v>
      </c>
      <c r="Y1178">
        <v>1144</v>
      </c>
      <c r="Z1178" s="259" t="s">
        <v>630</v>
      </c>
      <c r="AA1178">
        <v>80</v>
      </c>
      <c r="AB1178">
        <v>8008</v>
      </c>
      <c r="AC1178">
        <v>45674</v>
      </c>
      <c r="AD1178">
        <v>0</v>
      </c>
      <c r="AE1178">
        <v>8085.5999999999995</v>
      </c>
      <c r="AF1178">
        <v>8085.5999999999995</v>
      </c>
      <c r="AG1178">
        <v>0</v>
      </c>
      <c r="AH1178">
        <v>77.599999999999454</v>
      </c>
    </row>
    <row r="1179" spans="2:34" x14ac:dyDescent="0.35">
      <c r="B1179" t="s">
        <v>565</v>
      </c>
      <c r="C1179">
        <v>45674</v>
      </c>
      <c r="F1179" t="s">
        <v>752</v>
      </c>
      <c r="H1179">
        <v>197.33</v>
      </c>
      <c r="O1179" t="s">
        <v>239</v>
      </c>
      <c r="P1179" t="s">
        <v>514</v>
      </c>
      <c r="Y1179">
        <v>1145</v>
      </c>
      <c r="Z1179" s="259" t="s">
        <v>630</v>
      </c>
      <c r="AA1179">
        <v>100</v>
      </c>
      <c r="AB1179">
        <v>20020</v>
      </c>
      <c r="AC1179">
        <v>45674</v>
      </c>
      <c r="AD1179">
        <v>0</v>
      </c>
      <c r="AE1179">
        <v>19733</v>
      </c>
      <c r="AF1179">
        <v>19733</v>
      </c>
      <c r="AG1179">
        <v>0</v>
      </c>
      <c r="AH1179">
        <v>-287</v>
      </c>
    </row>
    <row r="1180" spans="2:34" x14ac:dyDescent="0.35">
      <c r="B1180" t="s">
        <v>565</v>
      </c>
      <c r="C1180">
        <v>45674</v>
      </c>
      <c r="F1180" t="s">
        <v>754</v>
      </c>
      <c r="H1180">
        <v>81.069999999999993</v>
      </c>
      <c r="O1180" t="s">
        <v>239</v>
      </c>
      <c r="P1180" t="s">
        <v>514</v>
      </c>
      <c r="Y1180">
        <v>1146</v>
      </c>
      <c r="Z1180" s="259" t="s">
        <v>630</v>
      </c>
      <c r="AA1180">
        <v>0</v>
      </c>
      <c r="AB1180">
        <v>0</v>
      </c>
      <c r="AC1180">
        <v>45674</v>
      </c>
      <c r="AD1180">
        <v>0</v>
      </c>
      <c r="AE1180">
        <v>0</v>
      </c>
      <c r="AF1180">
        <v>0</v>
      </c>
      <c r="AG1180">
        <v>0</v>
      </c>
      <c r="AH1180">
        <v>0</v>
      </c>
    </row>
    <row r="1181" spans="2:34" x14ac:dyDescent="0.35">
      <c r="B1181" t="s">
        <v>565</v>
      </c>
      <c r="C1181">
        <v>45675</v>
      </c>
      <c r="F1181" t="s">
        <v>749</v>
      </c>
      <c r="H1181">
        <v>101.07</v>
      </c>
      <c r="O1181" t="s">
        <v>239</v>
      </c>
      <c r="P1181" t="s">
        <v>514</v>
      </c>
      <c r="Y1181">
        <v>1147</v>
      </c>
      <c r="Z1181" s="259" t="s">
        <v>630</v>
      </c>
      <c r="AA1181">
        <v>80</v>
      </c>
      <c r="AB1181">
        <v>8008</v>
      </c>
      <c r="AC1181">
        <v>45674</v>
      </c>
      <c r="AD1181">
        <v>1</v>
      </c>
      <c r="AE1181">
        <v>8085.5999999999995</v>
      </c>
      <c r="AF1181">
        <v>8085.5999999999995</v>
      </c>
      <c r="AG1181">
        <v>0</v>
      </c>
      <c r="AH1181">
        <v>77.599999999999454</v>
      </c>
    </row>
    <row r="1182" spans="2:34" x14ac:dyDescent="0.35">
      <c r="B1182" t="s">
        <v>565</v>
      </c>
      <c r="C1182">
        <v>45675</v>
      </c>
      <c r="F1182" t="s">
        <v>752</v>
      </c>
      <c r="H1182">
        <v>197.33</v>
      </c>
      <c r="O1182" t="s">
        <v>239</v>
      </c>
      <c r="P1182" t="s">
        <v>514</v>
      </c>
      <c r="Y1182">
        <v>1148</v>
      </c>
      <c r="Z1182" s="259" t="s">
        <v>630</v>
      </c>
      <c r="AA1182">
        <v>100</v>
      </c>
      <c r="AB1182">
        <v>20020</v>
      </c>
      <c r="AC1182">
        <v>45674</v>
      </c>
      <c r="AD1182">
        <v>1</v>
      </c>
      <c r="AE1182">
        <v>19733</v>
      </c>
      <c r="AF1182">
        <v>19733</v>
      </c>
      <c r="AG1182">
        <v>0</v>
      </c>
      <c r="AH1182">
        <v>-287</v>
      </c>
    </row>
    <row r="1183" spans="2:34" x14ac:dyDescent="0.35">
      <c r="B1183" t="s">
        <v>565</v>
      </c>
      <c r="C1183">
        <v>45675</v>
      </c>
      <c r="F1183" t="s">
        <v>754</v>
      </c>
      <c r="H1183">
        <v>81.069999999999993</v>
      </c>
      <c r="O1183" t="s">
        <v>239</v>
      </c>
      <c r="P1183" t="s">
        <v>514</v>
      </c>
      <c r="Y1183">
        <v>1149</v>
      </c>
      <c r="Z1183" s="259" t="s">
        <v>630</v>
      </c>
      <c r="AA1183">
        <v>0</v>
      </c>
      <c r="AB1183">
        <v>0</v>
      </c>
      <c r="AC1183">
        <v>45674</v>
      </c>
      <c r="AD1183">
        <v>1</v>
      </c>
      <c r="AE1183">
        <v>0</v>
      </c>
      <c r="AF1183">
        <v>0</v>
      </c>
      <c r="AG1183">
        <v>0</v>
      </c>
      <c r="AH1183">
        <v>0</v>
      </c>
    </row>
    <row r="1184" spans="2:34" x14ac:dyDescent="0.35">
      <c r="B1184" t="s">
        <v>565</v>
      </c>
      <c r="C1184">
        <v>45676</v>
      </c>
      <c r="F1184" t="s">
        <v>749</v>
      </c>
      <c r="H1184">
        <v>101.07</v>
      </c>
      <c r="O1184" t="s">
        <v>239</v>
      </c>
      <c r="P1184" t="s">
        <v>514</v>
      </c>
      <c r="Y1184">
        <v>1150</v>
      </c>
      <c r="Z1184" s="259" t="s">
        <v>630</v>
      </c>
      <c r="AA1184">
        <v>80</v>
      </c>
      <c r="AB1184">
        <v>8008</v>
      </c>
      <c r="AC1184">
        <v>45674</v>
      </c>
      <c r="AD1184">
        <v>2</v>
      </c>
      <c r="AE1184">
        <v>8085.5999999999995</v>
      </c>
      <c r="AF1184">
        <v>8085.5999999999995</v>
      </c>
      <c r="AG1184">
        <v>0</v>
      </c>
      <c r="AH1184">
        <v>77.599999999999454</v>
      </c>
    </row>
    <row r="1185" spans="2:34" x14ac:dyDescent="0.35">
      <c r="B1185" t="s">
        <v>565</v>
      </c>
      <c r="C1185">
        <v>45676</v>
      </c>
      <c r="F1185" t="s">
        <v>752</v>
      </c>
      <c r="H1185">
        <v>197.33</v>
      </c>
      <c r="O1185" t="s">
        <v>239</v>
      </c>
      <c r="P1185" t="s">
        <v>514</v>
      </c>
      <c r="Y1185">
        <v>1151</v>
      </c>
      <c r="Z1185" s="259" t="s">
        <v>630</v>
      </c>
      <c r="AA1185">
        <v>100</v>
      </c>
      <c r="AB1185">
        <v>20020</v>
      </c>
      <c r="AC1185">
        <v>45674</v>
      </c>
      <c r="AD1185">
        <v>2</v>
      </c>
      <c r="AE1185">
        <v>19733</v>
      </c>
      <c r="AF1185">
        <v>19733</v>
      </c>
      <c r="AG1185">
        <v>0</v>
      </c>
      <c r="AH1185">
        <v>-287</v>
      </c>
    </row>
    <row r="1186" spans="2:34" x14ac:dyDescent="0.35">
      <c r="B1186" t="s">
        <v>565</v>
      </c>
      <c r="C1186">
        <v>45676</v>
      </c>
      <c r="F1186" t="s">
        <v>754</v>
      </c>
      <c r="H1186">
        <v>81.069999999999993</v>
      </c>
      <c r="O1186" t="s">
        <v>239</v>
      </c>
      <c r="P1186" t="s">
        <v>514</v>
      </c>
      <c r="Y1186">
        <v>1152</v>
      </c>
      <c r="Z1186" s="259" t="s">
        <v>630</v>
      </c>
      <c r="AA1186">
        <v>0</v>
      </c>
      <c r="AB1186">
        <v>0</v>
      </c>
      <c r="AC1186">
        <v>45674</v>
      </c>
      <c r="AD1186">
        <v>2</v>
      </c>
      <c r="AE1186">
        <v>0</v>
      </c>
      <c r="AF1186">
        <v>0</v>
      </c>
      <c r="AG1186">
        <v>0</v>
      </c>
      <c r="AH1186">
        <v>0</v>
      </c>
    </row>
    <row r="1187" spans="2:34" x14ac:dyDescent="0.35">
      <c r="B1187" t="s">
        <v>565</v>
      </c>
      <c r="C1187">
        <v>45677</v>
      </c>
      <c r="F1187" t="s">
        <v>749</v>
      </c>
      <c r="H1187">
        <v>101.27</v>
      </c>
      <c r="O1187" t="s">
        <v>239</v>
      </c>
      <c r="P1187" t="s">
        <v>514</v>
      </c>
      <c r="Y1187">
        <v>1153</v>
      </c>
      <c r="Z1187" s="259" t="s">
        <v>630</v>
      </c>
      <c r="AA1187">
        <v>80</v>
      </c>
      <c r="AB1187">
        <v>8008</v>
      </c>
      <c r="AC1187">
        <v>45677</v>
      </c>
      <c r="AD1187">
        <v>0</v>
      </c>
      <c r="AE1187">
        <v>8101.5999999999995</v>
      </c>
      <c r="AF1187">
        <v>8101.5999999999995</v>
      </c>
      <c r="AG1187">
        <v>0</v>
      </c>
      <c r="AH1187">
        <v>93.599999999999454</v>
      </c>
    </row>
    <row r="1188" spans="2:34" x14ac:dyDescent="0.35">
      <c r="B1188" t="s">
        <v>565</v>
      </c>
      <c r="C1188">
        <v>45677</v>
      </c>
      <c r="F1188" t="s">
        <v>752</v>
      </c>
      <c r="H1188">
        <v>196.83</v>
      </c>
      <c r="O1188" t="s">
        <v>239</v>
      </c>
      <c r="P1188" t="s">
        <v>514</v>
      </c>
      <c r="Y1188">
        <v>1154</v>
      </c>
      <c r="Z1188" s="259" t="s">
        <v>630</v>
      </c>
      <c r="AA1188">
        <v>100</v>
      </c>
      <c r="AB1188">
        <v>20020</v>
      </c>
      <c r="AC1188">
        <v>45677</v>
      </c>
      <c r="AD1188">
        <v>0</v>
      </c>
      <c r="AE1188">
        <v>19683</v>
      </c>
      <c r="AF1188">
        <v>19683</v>
      </c>
      <c r="AG1188">
        <v>0</v>
      </c>
      <c r="AH1188">
        <v>-337</v>
      </c>
    </row>
    <row r="1189" spans="2:34" x14ac:dyDescent="0.35">
      <c r="B1189" t="s">
        <v>565</v>
      </c>
      <c r="C1189">
        <v>45677</v>
      </c>
      <c r="F1189" t="s">
        <v>754</v>
      </c>
      <c r="H1189">
        <v>81.27</v>
      </c>
      <c r="O1189" t="s">
        <v>239</v>
      </c>
      <c r="P1189" t="s">
        <v>514</v>
      </c>
      <c r="Y1189">
        <v>1155</v>
      </c>
      <c r="Z1189" s="259" t="s">
        <v>630</v>
      </c>
      <c r="AA1189">
        <v>0</v>
      </c>
      <c r="AB1189">
        <v>0</v>
      </c>
      <c r="AC1189">
        <v>45677</v>
      </c>
      <c r="AD1189">
        <v>0</v>
      </c>
      <c r="AE1189">
        <v>0</v>
      </c>
      <c r="AF1189">
        <v>0</v>
      </c>
      <c r="AG1189">
        <v>0</v>
      </c>
      <c r="AH1189">
        <v>0</v>
      </c>
    </row>
    <row r="1190" spans="2:34" x14ac:dyDescent="0.35">
      <c r="B1190" t="s">
        <v>565</v>
      </c>
      <c r="C1190">
        <v>45678</v>
      </c>
      <c r="F1190" t="s">
        <v>749</v>
      </c>
      <c r="H1190">
        <v>101.33</v>
      </c>
      <c r="O1190" t="s">
        <v>239</v>
      </c>
      <c r="P1190" t="s">
        <v>514</v>
      </c>
      <c r="Y1190">
        <v>1156</v>
      </c>
      <c r="Z1190" s="259" t="s">
        <v>630</v>
      </c>
      <c r="AA1190">
        <v>80</v>
      </c>
      <c r="AB1190">
        <v>8008</v>
      </c>
      <c r="AC1190">
        <v>45678</v>
      </c>
      <c r="AD1190">
        <v>0</v>
      </c>
      <c r="AE1190">
        <v>8106.4</v>
      </c>
      <c r="AF1190">
        <v>8106.4</v>
      </c>
      <c r="AG1190">
        <v>0</v>
      </c>
      <c r="AH1190">
        <v>98.399999999999636</v>
      </c>
    </row>
    <row r="1191" spans="2:34" x14ac:dyDescent="0.35">
      <c r="B1191" t="s">
        <v>565</v>
      </c>
      <c r="C1191">
        <v>45678</v>
      </c>
      <c r="F1191" t="s">
        <v>752</v>
      </c>
      <c r="H1191">
        <v>196.67</v>
      </c>
      <c r="O1191" t="s">
        <v>239</v>
      </c>
      <c r="P1191" t="s">
        <v>514</v>
      </c>
      <c r="Y1191">
        <v>1157</v>
      </c>
      <c r="Z1191" s="259" t="s">
        <v>630</v>
      </c>
      <c r="AA1191">
        <v>100</v>
      </c>
      <c r="AB1191">
        <v>20020</v>
      </c>
      <c r="AC1191">
        <v>45678</v>
      </c>
      <c r="AD1191">
        <v>0</v>
      </c>
      <c r="AE1191">
        <v>19667</v>
      </c>
      <c r="AF1191">
        <v>19667</v>
      </c>
      <c r="AG1191">
        <v>0</v>
      </c>
      <c r="AH1191">
        <v>-353</v>
      </c>
    </row>
    <row r="1192" spans="2:34" x14ac:dyDescent="0.35">
      <c r="B1192" t="s">
        <v>565</v>
      </c>
      <c r="C1192">
        <v>45678</v>
      </c>
      <c r="F1192" t="s">
        <v>754</v>
      </c>
      <c r="H1192">
        <v>81.33</v>
      </c>
      <c r="O1192" t="s">
        <v>239</v>
      </c>
      <c r="P1192" t="s">
        <v>514</v>
      </c>
      <c r="Y1192">
        <v>1158</v>
      </c>
      <c r="Z1192" s="259" t="s">
        <v>630</v>
      </c>
      <c r="AA1192">
        <v>0</v>
      </c>
      <c r="AB1192">
        <v>0</v>
      </c>
      <c r="AC1192">
        <v>45678</v>
      </c>
      <c r="AD1192">
        <v>0</v>
      </c>
      <c r="AE1192">
        <v>0</v>
      </c>
      <c r="AF1192">
        <v>0</v>
      </c>
      <c r="AG1192">
        <v>0</v>
      </c>
      <c r="AH1192">
        <v>0</v>
      </c>
    </row>
    <row r="1193" spans="2:34" x14ac:dyDescent="0.35">
      <c r="B1193" t="s">
        <v>565</v>
      </c>
      <c r="C1193">
        <v>45679</v>
      </c>
      <c r="F1193" t="s">
        <v>749</v>
      </c>
      <c r="H1193">
        <v>101.4</v>
      </c>
      <c r="O1193" t="s">
        <v>239</v>
      </c>
      <c r="P1193" t="s">
        <v>514</v>
      </c>
      <c r="Y1193">
        <v>1159</v>
      </c>
      <c r="Z1193" s="259" t="s">
        <v>630</v>
      </c>
      <c r="AA1193">
        <v>80</v>
      </c>
      <c r="AB1193">
        <v>8008</v>
      </c>
      <c r="AC1193">
        <v>45679</v>
      </c>
      <c r="AD1193">
        <v>0</v>
      </c>
      <c r="AE1193">
        <v>8112</v>
      </c>
      <c r="AF1193">
        <v>8112</v>
      </c>
      <c r="AG1193">
        <v>0</v>
      </c>
      <c r="AH1193">
        <v>104</v>
      </c>
    </row>
    <row r="1194" spans="2:34" x14ac:dyDescent="0.35">
      <c r="B1194" t="s">
        <v>565</v>
      </c>
      <c r="C1194">
        <v>45679</v>
      </c>
      <c r="F1194" t="s">
        <v>752</v>
      </c>
      <c r="H1194">
        <v>196.5</v>
      </c>
      <c r="O1194" t="s">
        <v>239</v>
      </c>
      <c r="P1194" t="s">
        <v>514</v>
      </c>
      <c r="Y1194">
        <v>1160</v>
      </c>
      <c r="Z1194" s="259" t="s">
        <v>630</v>
      </c>
      <c r="AA1194">
        <v>100</v>
      </c>
      <c r="AB1194">
        <v>20020</v>
      </c>
      <c r="AC1194">
        <v>45679</v>
      </c>
      <c r="AD1194">
        <v>0</v>
      </c>
      <c r="AE1194">
        <v>19650</v>
      </c>
      <c r="AF1194">
        <v>19650</v>
      </c>
      <c r="AG1194">
        <v>0</v>
      </c>
      <c r="AH1194">
        <v>-370</v>
      </c>
    </row>
    <row r="1195" spans="2:34" x14ac:dyDescent="0.35">
      <c r="B1195" t="s">
        <v>565</v>
      </c>
      <c r="C1195">
        <v>45679</v>
      </c>
      <c r="F1195" t="s">
        <v>754</v>
      </c>
      <c r="H1195">
        <v>81.400000000000006</v>
      </c>
      <c r="O1195" t="s">
        <v>239</v>
      </c>
      <c r="P1195" t="s">
        <v>514</v>
      </c>
      <c r="Y1195">
        <v>1161</v>
      </c>
      <c r="Z1195" s="259" t="s">
        <v>630</v>
      </c>
      <c r="AA1195">
        <v>0</v>
      </c>
      <c r="AB1195">
        <v>0</v>
      </c>
      <c r="AC1195">
        <v>45679</v>
      </c>
      <c r="AD1195">
        <v>0</v>
      </c>
      <c r="AE1195">
        <v>0</v>
      </c>
      <c r="AF1195">
        <v>0</v>
      </c>
      <c r="AG1195">
        <v>0</v>
      </c>
      <c r="AH1195">
        <v>0</v>
      </c>
    </row>
    <row r="1196" spans="2:34" x14ac:dyDescent="0.35">
      <c r="B1196" t="s">
        <v>565</v>
      </c>
      <c r="C1196">
        <v>45680</v>
      </c>
      <c r="F1196" t="s">
        <v>749</v>
      </c>
      <c r="H1196">
        <v>101.47</v>
      </c>
      <c r="O1196" t="s">
        <v>239</v>
      </c>
      <c r="P1196" t="s">
        <v>514</v>
      </c>
      <c r="Y1196">
        <v>1162</v>
      </c>
      <c r="Z1196" s="259" t="s">
        <v>630</v>
      </c>
      <c r="AA1196">
        <v>80</v>
      </c>
      <c r="AB1196">
        <v>8008</v>
      </c>
      <c r="AC1196">
        <v>45680</v>
      </c>
      <c r="AD1196">
        <v>0</v>
      </c>
      <c r="AE1196">
        <v>8117.6</v>
      </c>
      <c r="AF1196">
        <v>8117.6</v>
      </c>
      <c r="AG1196">
        <v>0</v>
      </c>
      <c r="AH1196">
        <v>109.60000000000036</v>
      </c>
    </row>
    <row r="1197" spans="2:34" x14ac:dyDescent="0.35">
      <c r="B1197" t="s">
        <v>565</v>
      </c>
      <c r="C1197">
        <v>45680</v>
      </c>
      <c r="F1197" t="s">
        <v>752</v>
      </c>
      <c r="H1197">
        <v>196.33</v>
      </c>
      <c r="O1197" t="s">
        <v>239</v>
      </c>
      <c r="P1197" t="s">
        <v>514</v>
      </c>
      <c r="Y1197">
        <v>1163</v>
      </c>
      <c r="Z1197" s="259" t="s">
        <v>630</v>
      </c>
      <c r="AA1197">
        <v>100</v>
      </c>
      <c r="AB1197">
        <v>20020</v>
      </c>
      <c r="AC1197">
        <v>45680</v>
      </c>
      <c r="AD1197">
        <v>0</v>
      </c>
      <c r="AE1197">
        <v>19633</v>
      </c>
      <c r="AF1197">
        <v>19633</v>
      </c>
      <c r="AG1197">
        <v>0</v>
      </c>
      <c r="AH1197">
        <v>-387</v>
      </c>
    </row>
    <row r="1198" spans="2:34" x14ac:dyDescent="0.35">
      <c r="B1198" t="s">
        <v>565</v>
      </c>
      <c r="C1198">
        <v>45680</v>
      </c>
      <c r="F1198" t="s">
        <v>754</v>
      </c>
      <c r="H1198">
        <v>81.47</v>
      </c>
      <c r="O1198" t="s">
        <v>239</v>
      </c>
      <c r="P1198" t="s">
        <v>514</v>
      </c>
      <c r="Y1198">
        <v>1164</v>
      </c>
      <c r="Z1198" s="259" t="s">
        <v>630</v>
      </c>
      <c r="AA1198">
        <v>0</v>
      </c>
      <c r="AB1198">
        <v>0</v>
      </c>
      <c r="AC1198">
        <v>45680</v>
      </c>
      <c r="AD1198">
        <v>0</v>
      </c>
      <c r="AE1198">
        <v>0</v>
      </c>
      <c r="AF1198">
        <v>0</v>
      </c>
      <c r="AG1198">
        <v>0</v>
      </c>
      <c r="AH1198">
        <v>0</v>
      </c>
    </row>
    <row r="1199" spans="2:34" x14ac:dyDescent="0.35">
      <c r="B1199" t="s">
        <v>565</v>
      </c>
      <c r="C1199">
        <v>45681</v>
      </c>
      <c r="F1199" t="s">
        <v>749</v>
      </c>
      <c r="H1199">
        <v>101.53</v>
      </c>
      <c r="O1199" t="s">
        <v>239</v>
      </c>
      <c r="P1199" t="s">
        <v>514</v>
      </c>
      <c r="Y1199">
        <v>1165</v>
      </c>
      <c r="Z1199" s="259" t="s">
        <v>630</v>
      </c>
      <c r="AA1199">
        <v>80</v>
      </c>
      <c r="AB1199">
        <v>8008</v>
      </c>
      <c r="AC1199">
        <v>45681</v>
      </c>
      <c r="AD1199">
        <v>0</v>
      </c>
      <c r="AE1199">
        <v>8122.4</v>
      </c>
      <c r="AF1199">
        <v>8122.4</v>
      </c>
      <c r="AG1199">
        <v>0</v>
      </c>
      <c r="AH1199">
        <v>114.39999999999964</v>
      </c>
    </row>
    <row r="1200" spans="2:34" x14ac:dyDescent="0.35">
      <c r="B1200" t="s">
        <v>565</v>
      </c>
      <c r="C1200">
        <v>45681</v>
      </c>
      <c r="F1200" t="s">
        <v>752</v>
      </c>
      <c r="H1200">
        <v>196.17</v>
      </c>
      <c r="O1200" t="s">
        <v>239</v>
      </c>
      <c r="P1200" t="s">
        <v>514</v>
      </c>
      <c r="Y1200">
        <v>1166</v>
      </c>
      <c r="Z1200" s="259" t="s">
        <v>630</v>
      </c>
      <c r="AA1200">
        <v>100</v>
      </c>
      <c r="AB1200">
        <v>20020</v>
      </c>
      <c r="AC1200">
        <v>45681</v>
      </c>
      <c r="AD1200">
        <v>0</v>
      </c>
      <c r="AE1200">
        <v>19617</v>
      </c>
      <c r="AF1200">
        <v>19617</v>
      </c>
      <c r="AG1200">
        <v>0</v>
      </c>
      <c r="AH1200">
        <v>-403</v>
      </c>
    </row>
    <row r="1201" spans="2:34" x14ac:dyDescent="0.35">
      <c r="B1201" t="s">
        <v>565</v>
      </c>
      <c r="C1201">
        <v>45681</v>
      </c>
      <c r="F1201" t="s">
        <v>754</v>
      </c>
      <c r="H1201">
        <v>81.53</v>
      </c>
      <c r="O1201" t="s">
        <v>239</v>
      </c>
      <c r="P1201" t="s">
        <v>514</v>
      </c>
      <c r="Y1201">
        <v>1167</v>
      </c>
      <c r="Z1201" s="259" t="s">
        <v>630</v>
      </c>
      <c r="AA1201">
        <v>0</v>
      </c>
      <c r="AB1201">
        <v>0</v>
      </c>
      <c r="AC1201">
        <v>45681</v>
      </c>
      <c r="AD1201">
        <v>0</v>
      </c>
      <c r="AE1201">
        <v>0</v>
      </c>
      <c r="AF1201">
        <v>0</v>
      </c>
      <c r="AG1201">
        <v>0</v>
      </c>
      <c r="AH1201">
        <v>0</v>
      </c>
    </row>
    <row r="1202" spans="2:34" x14ac:dyDescent="0.35">
      <c r="B1202" t="s">
        <v>565</v>
      </c>
      <c r="C1202">
        <v>45682</v>
      </c>
      <c r="F1202" t="s">
        <v>749</v>
      </c>
      <c r="H1202">
        <v>101.53</v>
      </c>
      <c r="O1202" t="s">
        <v>239</v>
      </c>
      <c r="P1202" t="s">
        <v>514</v>
      </c>
      <c r="Y1202">
        <v>1168</v>
      </c>
      <c r="Z1202" s="259" t="s">
        <v>630</v>
      </c>
      <c r="AA1202">
        <v>80</v>
      </c>
      <c r="AB1202">
        <v>8008</v>
      </c>
      <c r="AC1202">
        <v>45681</v>
      </c>
      <c r="AD1202">
        <v>1</v>
      </c>
      <c r="AE1202">
        <v>8122.4</v>
      </c>
      <c r="AF1202">
        <v>8122.4</v>
      </c>
      <c r="AG1202">
        <v>0</v>
      </c>
      <c r="AH1202">
        <v>114.39999999999964</v>
      </c>
    </row>
    <row r="1203" spans="2:34" x14ac:dyDescent="0.35">
      <c r="B1203" t="s">
        <v>565</v>
      </c>
      <c r="C1203">
        <v>45682</v>
      </c>
      <c r="F1203" t="s">
        <v>752</v>
      </c>
      <c r="H1203">
        <v>196.17</v>
      </c>
      <c r="O1203" t="s">
        <v>239</v>
      </c>
      <c r="P1203" t="s">
        <v>514</v>
      </c>
      <c r="Y1203">
        <v>1169</v>
      </c>
      <c r="Z1203" s="259" t="s">
        <v>630</v>
      </c>
      <c r="AA1203">
        <v>100</v>
      </c>
      <c r="AB1203">
        <v>20020</v>
      </c>
      <c r="AC1203">
        <v>45681</v>
      </c>
      <c r="AD1203">
        <v>1</v>
      </c>
      <c r="AE1203">
        <v>19617</v>
      </c>
      <c r="AF1203">
        <v>19617</v>
      </c>
      <c r="AG1203">
        <v>0</v>
      </c>
      <c r="AH1203">
        <v>-403</v>
      </c>
    </row>
    <row r="1204" spans="2:34" x14ac:dyDescent="0.35">
      <c r="B1204" t="s">
        <v>565</v>
      </c>
      <c r="C1204">
        <v>45682</v>
      </c>
      <c r="F1204" t="s">
        <v>754</v>
      </c>
      <c r="H1204">
        <v>81.53</v>
      </c>
      <c r="O1204" t="s">
        <v>239</v>
      </c>
      <c r="P1204" t="s">
        <v>514</v>
      </c>
      <c r="Y1204">
        <v>1170</v>
      </c>
      <c r="Z1204" s="259" t="s">
        <v>630</v>
      </c>
      <c r="AA1204">
        <v>0</v>
      </c>
      <c r="AB1204">
        <v>0</v>
      </c>
      <c r="AC1204">
        <v>45681</v>
      </c>
      <c r="AD1204">
        <v>1</v>
      </c>
      <c r="AE1204">
        <v>0</v>
      </c>
      <c r="AF1204">
        <v>0</v>
      </c>
      <c r="AG1204">
        <v>0</v>
      </c>
      <c r="AH1204">
        <v>0</v>
      </c>
    </row>
    <row r="1205" spans="2:34" x14ac:dyDescent="0.35">
      <c r="B1205" t="s">
        <v>565</v>
      </c>
      <c r="C1205">
        <v>45683</v>
      </c>
      <c r="F1205" t="s">
        <v>749</v>
      </c>
      <c r="H1205">
        <v>101.53</v>
      </c>
      <c r="O1205" t="s">
        <v>239</v>
      </c>
      <c r="P1205" t="s">
        <v>514</v>
      </c>
      <c r="Y1205">
        <v>1171</v>
      </c>
      <c r="Z1205" s="259" t="s">
        <v>630</v>
      </c>
      <c r="AA1205">
        <v>80</v>
      </c>
      <c r="AB1205">
        <v>8008</v>
      </c>
      <c r="AC1205">
        <v>45681</v>
      </c>
      <c r="AD1205">
        <v>2</v>
      </c>
      <c r="AE1205">
        <v>8122.4</v>
      </c>
      <c r="AF1205">
        <v>8122.4</v>
      </c>
      <c r="AG1205">
        <v>0</v>
      </c>
      <c r="AH1205">
        <v>114.39999999999964</v>
      </c>
    </row>
    <row r="1206" spans="2:34" x14ac:dyDescent="0.35">
      <c r="B1206" t="s">
        <v>565</v>
      </c>
      <c r="C1206">
        <v>45683</v>
      </c>
      <c r="F1206" t="s">
        <v>752</v>
      </c>
      <c r="H1206">
        <v>196.17</v>
      </c>
      <c r="O1206" t="s">
        <v>239</v>
      </c>
      <c r="P1206" t="s">
        <v>514</v>
      </c>
      <c r="Y1206">
        <v>1172</v>
      </c>
      <c r="Z1206" s="259" t="s">
        <v>630</v>
      </c>
      <c r="AA1206">
        <v>100</v>
      </c>
      <c r="AB1206">
        <v>20020</v>
      </c>
      <c r="AC1206">
        <v>45681</v>
      </c>
      <c r="AD1206">
        <v>2</v>
      </c>
      <c r="AE1206">
        <v>19617</v>
      </c>
      <c r="AF1206">
        <v>19617</v>
      </c>
      <c r="AG1206">
        <v>0</v>
      </c>
      <c r="AH1206">
        <v>-403</v>
      </c>
    </row>
    <row r="1207" spans="2:34" x14ac:dyDescent="0.35">
      <c r="B1207" t="s">
        <v>565</v>
      </c>
      <c r="C1207">
        <v>45683</v>
      </c>
      <c r="F1207" t="s">
        <v>754</v>
      </c>
      <c r="H1207">
        <v>81.53</v>
      </c>
      <c r="O1207" t="s">
        <v>239</v>
      </c>
      <c r="P1207" t="s">
        <v>514</v>
      </c>
      <c r="Y1207">
        <v>1173</v>
      </c>
      <c r="Z1207" s="259" t="s">
        <v>630</v>
      </c>
      <c r="AA1207">
        <v>0</v>
      </c>
      <c r="AB1207">
        <v>0</v>
      </c>
      <c r="AC1207">
        <v>45681</v>
      </c>
      <c r="AD1207">
        <v>2</v>
      </c>
      <c r="AE1207">
        <v>0</v>
      </c>
      <c r="AF1207">
        <v>0</v>
      </c>
      <c r="AG1207">
        <v>0</v>
      </c>
      <c r="AH1207">
        <v>0</v>
      </c>
    </row>
    <row r="1208" spans="2:34" x14ac:dyDescent="0.35">
      <c r="B1208" t="s">
        <v>565</v>
      </c>
      <c r="C1208">
        <v>45684</v>
      </c>
      <c r="F1208" t="s">
        <v>749</v>
      </c>
      <c r="H1208">
        <v>101.73</v>
      </c>
      <c r="O1208" t="s">
        <v>239</v>
      </c>
      <c r="P1208" t="s">
        <v>514</v>
      </c>
      <c r="Y1208">
        <v>1174</v>
      </c>
      <c r="Z1208" s="259" t="s">
        <v>630</v>
      </c>
      <c r="AA1208">
        <v>80</v>
      </c>
      <c r="AB1208">
        <v>8008</v>
      </c>
      <c r="AC1208">
        <v>45684</v>
      </c>
      <c r="AD1208">
        <v>0</v>
      </c>
      <c r="AE1208">
        <v>8138.4000000000005</v>
      </c>
      <c r="AF1208">
        <v>8138.4000000000005</v>
      </c>
      <c r="AG1208">
        <v>0</v>
      </c>
      <c r="AH1208">
        <v>130.40000000000055</v>
      </c>
    </row>
    <row r="1209" spans="2:34" x14ac:dyDescent="0.35">
      <c r="B1209" t="s">
        <v>565</v>
      </c>
      <c r="C1209">
        <v>45684</v>
      </c>
      <c r="F1209" t="s">
        <v>752</v>
      </c>
      <c r="H1209">
        <v>195.67</v>
      </c>
      <c r="O1209" t="s">
        <v>239</v>
      </c>
      <c r="P1209" t="s">
        <v>514</v>
      </c>
      <c r="Y1209">
        <v>1175</v>
      </c>
      <c r="Z1209" s="259" t="s">
        <v>630</v>
      </c>
      <c r="AA1209">
        <v>100</v>
      </c>
      <c r="AB1209">
        <v>20020</v>
      </c>
      <c r="AC1209">
        <v>45684</v>
      </c>
      <c r="AD1209">
        <v>0</v>
      </c>
      <c r="AE1209">
        <v>19567</v>
      </c>
      <c r="AF1209">
        <v>19567</v>
      </c>
      <c r="AG1209">
        <v>0</v>
      </c>
      <c r="AH1209">
        <v>-453</v>
      </c>
    </row>
    <row r="1210" spans="2:34" x14ac:dyDescent="0.35">
      <c r="B1210" t="s">
        <v>565</v>
      </c>
      <c r="C1210">
        <v>45684</v>
      </c>
      <c r="F1210" t="s">
        <v>754</v>
      </c>
      <c r="H1210">
        <v>81.73</v>
      </c>
      <c r="O1210" t="s">
        <v>239</v>
      </c>
      <c r="P1210" t="s">
        <v>514</v>
      </c>
      <c r="Y1210">
        <v>1176</v>
      </c>
      <c r="Z1210" s="259" t="s">
        <v>630</v>
      </c>
      <c r="AA1210">
        <v>0</v>
      </c>
      <c r="AB1210">
        <v>0</v>
      </c>
      <c r="AC1210">
        <v>45684</v>
      </c>
      <c r="AD1210">
        <v>0</v>
      </c>
      <c r="AE1210">
        <v>0</v>
      </c>
      <c r="AF1210">
        <v>0</v>
      </c>
      <c r="AG1210">
        <v>0</v>
      </c>
      <c r="AH1210">
        <v>0</v>
      </c>
    </row>
    <row r="1211" spans="2:34" x14ac:dyDescent="0.35">
      <c r="B1211" t="s">
        <v>565</v>
      </c>
      <c r="C1211">
        <v>45685</v>
      </c>
      <c r="F1211" t="s">
        <v>749</v>
      </c>
      <c r="H1211">
        <v>101.8</v>
      </c>
      <c r="O1211" t="s">
        <v>239</v>
      </c>
      <c r="P1211" t="s">
        <v>514</v>
      </c>
      <c r="Y1211">
        <v>1177</v>
      </c>
      <c r="Z1211" s="259" t="s">
        <v>630</v>
      </c>
      <c r="AA1211">
        <v>80</v>
      </c>
      <c r="AB1211">
        <v>8008</v>
      </c>
      <c r="AC1211">
        <v>45685</v>
      </c>
      <c r="AD1211">
        <v>0</v>
      </c>
      <c r="AE1211">
        <v>8144</v>
      </c>
      <c r="AF1211">
        <v>8144</v>
      </c>
      <c r="AG1211">
        <v>0</v>
      </c>
      <c r="AH1211">
        <v>136</v>
      </c>
    </row>
    <row r="1212" spans="2:34" x14ac:dyDescent="0.35">
      <c r="B1212" t="s">
        <v>565</v>
      </c>
      <c r="C1212">
        <v>45685</v>
      </c>
      <c r="F1212" t="s">
        <v>752</v>
      </c>
      <c r="H1212">
        <v>195.5</v>
      </c>
      <c r="O1212" t="s">
        <v>239</v>
      </c>
      <c r="P1212" t="s">
        <v>514</v>
      </c>
      <c r="Y1212">
        <v>1178</v>
      </c>
      <c r="Z1212" s="259" t="s">
        <v>630</v>
      </c>
      <c r="AA1212">
        <v>100</v>
      </c>
      <c r="AB1212">
        <v>20020</v>
      </c>
      <c r="AC1212">
        <v>45685</v>
      </c>
      <c r="AD1212">
        <v>0</v>
      </c>
      <c r="AE1212">
        <v>19550</v>
      </c>
      <c r="AF1212">
        <v>19550</v>
      </c>
      <c r="AG1212">
        <v>0</v>
      </c>
      <c r="AH1212">
        <v>-470</v>
      </c>
    </row>
    <row r="1213" spans="2:34" x14ac:dyDescent="0.35">
      <c r="B1213" t="s">
        <v>565</v>
      </c>
      <c r="C1213">
        <v>45685</v>
      </c>
      <c r="F1213" t="s">
        <v>754</v>
      </c>
      <c r="H1213">
        <v>81.8</v>
      </c>
      <c r="O1213" t="s">
        <v>239</v>
      </c>
      <c r="P1213" t="s">
        <v>514</v>
      </c>
      <c r="Y1213">
        <v>1179</v>
      </c>
      <c r="Z1213" s="259" t="s">
        <v>630</v>
      </c>
      <c r="AA1213">
        <v>0</v>
      </c>
      <c r="AB1213">
        <v>0</v>
      </c>
      <c r="AC1213">
        <v>45685</v>
      </c>
      <c r="AD1213">
        <v>0</v>
      </c>
      <c r="AE1213">
        <v>0</v>
      </c>
      <c r="AF1213">
        <v>0</v>
      </c>
      <c r="AG1213">
        <v>0</v>
      </c>
      <c r="AH1213">
        <v>0</v>
      </c>
    </row>
    <row r="1214" spans="2:34" x14ac:dyDescent="0.35">
      <c r="B1214" t="s">
        <v>565</v>
      </c>
      <c r="C1214">
        <v>45686</v>
      </c>
      <c r="F1214" t="s">
        <v>749</v>
      </c>
      <c r="H1214">
        <v>101.87</v>
      </c>
      <c r="O1214" t="s">
        <v>239</v>
      </c>
      <c r="P1214" t="s">
        <v>514</v>
      </c>
      <c r="Y1214">
        <v>1180</v>
      </c>
      <c r="Z1214" s="259" t="s">
        <v>630</v>
      </c>
      <c r="AA1214">
        <v>80</v>
      </c>
      <c r="AB1214">
        <v>8008</v>
      </c>
      <c r="AC1214">
        <v>45686</v>
      </c>
      <c r="AD1214">
        <v>0</v>
      </c>
      <c r="AE1214">
        <v>8149.6</v>
      </c>
      <c r="AF1214">
        <v>8149.6</v>
      </c>
      <c r="AG1214">
        <v>0</v>
      </c>
      <c r="AH1214">
        <v>141.60000000000036</v>
      </c>
    </row>
    <row r="1215" spans="2:34" x14ac:dyDescent="0.35">
      <c r="B1215" t="s">
        <v>565</v>
      </c>
      <c r="C1215">
        <v>45686</v>
      </c>
      <c r="F1215" t="s">
        <v>752</v>
      </c>
      <c r="H1215">
        <v>195.33</v>
      </c>
      <c r="O1215" t="s">
        <v>239</v>
      </c>
      <c r="P1215" t="s">
        <v>514</v>
      </c>
      <c r="Y1215">
        <v>1181</v>
      </c>
      <c r="Z1215" s="259" t="s">
        <v>630</v>
      </c>
      <c r="AA1215">
        <v>100</v>
      </c>
      <c r="AB1215">
        <v>20020</v>
      </c>
      <c r="AC1215">
        <v>45686</v>
      </c>
      <c r="AD1215">
        <v>0</v>
      </c>
      <c r="AE1215">
        <v>19533</v>
      </c>
      <c r="AF1215">
        <v>19533</v>
      </c>
      <c r="AG1215">
        <v>0</v>
      </c>
      <c r="AH1215">
        <v>-487</v>
      </c>
    </row>
    <row r="1216" spans="2:34" x14ac:dyDescent="0.35">
      <c r="B1216" t="s">
        <v>565</v>
      </c>
      <c r="C1216">
        <v>45686</v>
      </c>
      <c r="F1216" t="s">
        <v>754</v>
      </c>
      <c r="H1216">
        <v>81.87</v>
      </c>
      <c r="O1216" t="s">
        <v>239</v>
      </c>
      <c r="P1216" t="s">
        <v>514</v>
      </c>
      <c r="Y1216">
        <v>1182</v>
      </c>
      <c r="Z1216" s="259" t="s">
        <v>630</v>
      </c>
      <c r="AA1216">
        <v>0</v>
      </c>
      <c r="AB1216">
        <v>0</v>
      </c>
      <c r="AC1216">
        <v>45686</v>
      </c>
      <c r="AD1216">
        <v>0</v>
      </c>
      <c r="AE1216">
        <v>0</v>
      </c>
      <c r="AF1216">
        <v>0</v>
      </c>
      <c r="AG1216">
        <v>0</v>
      </c>
      <c r="AH1216">
        <v>0</v>
      </c>
    </row>
    <row r="1217" spans="2:34" x14ac:dyDescent="0.35">
      <c r="B1217" t="s">
        <v>565</v>
      </c>
      <c r="C1217">
        <v>45687</v>
      </c>
      <c r="F1217" t="s">
        <v>749</v>
      </c>
      <c r="H1217">
        <v>101.93</v>
      </c>
      <c r="O1217" t="s">
        <v>239</v>
      </c>
      <c r="P1217" t="s">
        <v>514</v>
      </c>
      <c r="Y1217">
        <v>1183</v>
      </c>
      <c r="Z1217" s="259" t="s">
        <v>630</v>
      </c>
      <c r="AA1217">
        <v>80</v>
      </c>
      <c r="AB1217">
        <v>8008</v>
      </c>
      <c r="AC1217">
        <v>45687</v>
      </c>
      <c r="AD1217">
        <v>0</v>
      </c>
      <c r="AE1217">
        <v>8154.4000000000005</v>
      </c>
      <c r="AF1217">
        <v>8154.4000000000005</v>
      </c>
      <c r="AG1217">
        <v>0</v>
      </c>
      <c r="AH1217">
        <v>146.40000000000055</v>
      </c>
    </row>
    <row r="1218" spans="2:34" x14ac:dyDescent="0.35">
      <c r="B1218" t="s">
        <v>565</v>
      </c>
      <c r="C1218">
        <v>45687</v>
      </c>
      <c r="F1218" t="s">
        <v>752</v>
      </c>
      <c r="H1218">
        <v>195.17</v>
      </c>
      <c r="O1218" t="s">
        <v>239</v>
      </c>
      <c r="P1218" t="s">
        <v>514</v>
      </c>
      <c r="Y1218">
        <v>1184</v>
      </c>
      <c r="Z1218" s="259" t="s">
        <v>630</v>
      </c>
      <c r="AA1218">
        <v>100</v>
      </c>
      <c r="AB1218">
        <v>20020</v>
      </c>
      <c r="AC1218">
        <v>45687</v>
      </c>
      <c r="AD1218">
        <v>0</v>
      </c>
      <c r="AE1218">
        <v>19517</v>
      </c>
      <c r="AF1218">
        <v>19517</v>
      </c>
      <c r="AG1218">
        <v>0</v>
      </c>
      <c r="AH1218">
        <v>-503</v>
      </c>
    </row>
    <row r="1219" spans="2:34" x14ac:dyDescent="0.35">
      <c r="B1219" t="s">
        <v>565</v>
      </c>
      <c r="C1219">
        <v>45687</v>
      </c>
      <c r="F1219" t="s">
        <v>754</v>
      </c>
      <c r="H1219">
        <v>81.93</v>
      </c>
      <c r="O1219" t="s">
        <v>239</v>
      </c>
      <c r="P1219" t="s">
        <v>514</v>
      </c>
      <c r="Y1219">
        <v>1185</v>
      </c>
      <c r="Z1219" s="259" t="s">
        <v>630</v>
      </c>
      <c r="AA1219">
        <v>0</v>
      </c>
      <c r="AB1219">
        <v>0</v>
      </c>
      <c r="AC1219">
        <v>45687</v>
      </c>
      <c r="AD1219">
        <v>0</v>
      </c>
      <c r="AE1219">
        <v>0</v>
      </c>
      <c r="AF1219">
        <v>0</v>
      </c>
      <c r="AG1219">
        <v>0</v>
      </c>
      <c r="AH1219">
        <v>0</v>
      </c>
    </row>
    <row r="1220" spans="2:34" x14ac:dyDescent="0.35">
      <c r="B1220" t="s">
        <v>565</v>
      </c>
      <c r="C1220">
        <v>45688</v>
      </c>
      <c r="F1220" t="s">
        <v>749</v>
      </c>
      <c r="H1220">
        <v>102</v>
      </c>
      <c r="O1220" t="s">
        <v>239</v>
      </c>
      <c r="P1220" t="s">
        <v>514</v>
      </c>
      <c r="Y1220">
        <v>1186</v>
      </c>
      <c r="Z1220" s="259" t="s">
        <v>630</v>
      </c>
      <c r="AA1220">
        <v>80</v>
      </c>
      <c r="AB1220">
        <v>8008</v>
      </c>
      <c r="AC1220">
        <v>45688</v>
      </c>
      <c r="AD1220">
        <v>0</v>
      </c>
      <c r="AE1220">
        <v>8160</v>
      </c>
      <c r="AF1220">
        <v>8160</v>
      </c>
      <c r="AG1220">
        <v>0</v>
      </c>
      <c r="AH1220">
        <v>152</v>
      </c>
    </row>
    <row r="1221" spans="2:34" x14ac:dyDescent="0.35">
      <c r="B1221" t="s">
        <v>565</v>
      </c>
      <c r="C1221">
        <v>45688</v>
      </c>
      <c r="F1221" t="s">
        <v>752</v>
      </c>
      <c r="H1221">
        <v>195</v>
      </c>
      <c r="O1221" t="s">
        <v>239</v>
      </c>
      <c r="P1221" t="s">
        <v>514</v>
      </c>
      <c r="Y1221">
        <v>1187</v>
      </c>
      <c r="Z1221" s="259" t="s">
        <v>630</v>
      </c>
      <c r="AA1221">
        <v>100</v>
      </c>
      <c r="AB1221">
        <v>20020</v>
      </c>
      <c r="AC1221">
        <v>45688</v>
      </c>
      <c r="AD1221">
        <v>0</v>
      </c>
      <c r="AE1221">
        <v>19500</v>
      </c>
      <c r="AF1221">
        <v>19500</v>
      </c>
      <c r="AG1221">
        <v>0</v>
      </c>
      <c r="AH1221">
        <v>-520</v>
      </c>
    </row>
    <row r="1222" spans="2:34" x14ac:dyDescent="0.35">
      <c r="B1222" t="s">
        <v>565</v>
      </c>
      <c r="C1222">
        <v>45688</v>
      </c>
      <c r="F1222" t="s">
        <v>754</v>
      </c>
      <c r="H1222">
        <v>82</v>
      </c>
      <c r="O1222" t="s">
        <v>239</v>
      </c>
      <c r="P1222" t="s">
        <v>514</v>
      </c>
      <c r="Y1222">
        <v>1188</v>
      </c>
      <c r="Z1222" s="259" t="s">
        <v>630</v>
      </c>
      <c r="AA1222">
        <v>0</v>
      </c>
      <c r="AB1222">
        <v>0</v>
      </c>
      <c r="AC1222">
        <v>45688</v>
      </c>
      <c r="AD1222">
        <v>0</v>
      </c>
      <c r="AE1222">
        <v>0</v>
      </c>
      <c r="AF1222">
        <v>0</v>
      </c>
      <c r="AG1222">
        <v>0</v>
      </c>
      <c r="AH1222">
        <v>0</v>
      </c>
    </row>
    <row r="1223" spans="2:34" x14ac:dyDescent="0.35">
      <c r="B1223" t="s">
        <v>565</v>
      </c>
      <c r="C1223">
        <v>45689</v>
      </c>
      <c r="F1223" t="s">
        <v>749</v>
      </c>
      <c r="H1223">
        <v>102</v>
      </c>
      <c r="O1223" t="s">
        <v>239</v>
      </c>
      <c r="P1223" t="s">
        <v>514</v>
      </c>
      <c r="Y1223">
        <v>1189</v>
      </c>
      <c r="Z1223" s="259" t="s">
        <v>630</v>
      </c>
      <c r="AA1223">
        <v>80</v>
      </c>
      <c r="AB1223">
        <v>8008</v>
      </c>
      <c r="AC1223">
        <v>45688</v>
      </c>
      <c r="AD1223">
        <v>1</v>
      </c>
      <c r="AE1223">
        <v>8160</v>
      </c>
      <c r="AF1223">
        <v>8160</v>
      </c>
      <c r="AG1223">
        <v>0</v>
      </c>
      <c r="AH1223">
        <v>152</v>
      </c>
    </row>
    <row r="1224" spans="2:34" x14ac:dyDescent="0.35">
      <c r="B1224" t="s">
        <v>565</v>
      </c>
      <c r="C1224">
        <v>45689</v>
      </c>
      <c r="F1224" t="s">
        <v>752</v>
      </c>
      <c r="H1224">
        <v>195</v>
      </c>
      <c r="O1224" t="s">
        <v>239</v>
      </c>
      <c r="P1224" t="s">
        <v>514</v>
      </c>
      <c r="Y1224">
        <v>1190</v>
      </c>
      <c r="Z1224" s="259" t="s">
        <v>630</v>
      </c>
      <c r="AA1224">
        <v>100</v>
      </c>
      <c r="AB1224">
        <v>20020</v>
      </c>
      <c r="AC1224">
        <v>45688</v>
      </c>
      <c r="AD1224">
        <v>1</v>
      </c>
      <c r="AE1224">
        <v>19500</v>
      </c>
      <c r="AF1224">
        <v>19500</v>
      </c>
      <c r="AG1224">
        <v>0</v>
      </c>
      <c r="AH1224">
        <v>-520</v>
      </c>
    </row>
    <row r="1225" spans="2:34" x14ac:dyDescent="0.35">
      <c r="B1225" t="s">
        <v>565</v>
      </c>
      <c r="C1225">
        <v>45689</v>
      </c>
      <c r="F1225" t="s">
        <v>754</v>
      </c>
      <c r="H1225">
        <v>82</v>
      </c>
      <c r="O1225" t="s">
        <v>239</v>
      </c>
      <c r="P1225" t="s">
        <v>514</v>
      </c>
      <c r="Y1225">
        <v>1191</v>
      </c>
      <c r="Z1225" s="259" t="s">
        <v>630</v>
      </c>
      <c r="AA1225">
        <v>0</v>
      </c>
      <c r="AB1225">
        <v>0</v>
      </c>
      <c r="AC1225">
        <v>45688</v>
      </c>
      <c r="AD1225">
        <v>1</v>
      </c>
      <c r="AE1225">
        <v>0</v>
      </c>
      <c r="AF1225">
        <v>0</v>
      </c>
      <c r="AG1225">
        <v>0</v>
      </c>
      <c r="AH1225">
        <v>0</v>
      </c>
    </row>
    <row r="1226" spans="2:34" x14ac:dyDescent="0.35">
      <c r="B1226" t="s">
        <v>565</v>
      </c>
      <c r="C1226">
        <v>45690</v>
      </c>
      <c r="F1226" t="s">
        <v>749</v>
      </c>
      <c r="H1226">
        <v>102</v>
      </c>
      <c r="O1226" t="s">
        <v>239</v>
      </c>
      <c r="P1226" t="s">
        <v>514</v>
      </c>
      <c r="Y1226">
        <v>1192</v>
      </c>
      <c r="Z1226" s="259" t="s">
        <v>630</v>
      </c>
      <c r="AA1226">
        <v>80</v>
      </c>
      <c r="AB1226">
        <v>8008</v>
      </c>
      <c r="AC1226">
        <v>45688</v>
      </c>
      <c r="AD1226">
        <v>2</v>
      </c>
      <c r="AE1226">
        <v>8160</v>
      </c>
      <c r="AF1226">
        <v>8160</v>
      </c>
      <c r="AG1226">
        <v>0</v>
      </c>
      <c r="AH1226">
        <v>152</v>
      </c>
    </row>
    <row r="1227" spans="2:34" x14ac:dyDescent="0.35">
      <c r="B1227" t="s">
        <v>565</v>
      </c>
      <c r="C1227">
        <v>45690</v>
      </c>
      <c r="F1227" t="s">
        <v>752</v>
      </c>
      <c r="H1227">
        <v>195</v>
      </c>
      <c r="O1227" t="s">
        <v>239</v>
      </c>
      <c r="P1227" t="s">
        <v>514</v>
      </c>
      <c r="Y1227">
        <v>1193</v>
      </c>
      <c r="Z1227" s="259" t="s">
        <v>630</v>
      </c>
      <c r="AA1227">
        <v>100</v>
      </c>
      <c r="AB1227">
        <v>20020</v>
      </c>
      <c r="AC1227">
        <v>45688</v>
      </c>
      <c r="AD1227">
        <v>2</v>
      </c>
      <c r="AE1227">
        <v>19500</v>
      </c>
      <c r="AF1227">
        <v>19500</v>
      </c>
      <c r="AG1227">
        <v>0</v>
      </c>
      <c r="AH1227">
        <v>-520</v>
      </c>
    </row>
    <row r="1228" spans="2:34" x14ac:dyDescent="0.35">
      <c r="B1228" t="s">
        <v>565</v>
      </c>
      <c r="C1228">
        <v>45690</v>
      </c>
      <c r="F1228" t="s">
        <v>754</v>
      </c>
      <c r="H1228">
        <v>82</v>
      </c>
      <c r="O1228" t="s">
        <v>239</v>
      </c>
      <c r="P1228" t="s">
        <v>514</v>
      </c>
      <c r="Y1228">
        <v>1194</v>
      </c>
      <c r="Z1228" s="259" t="s">
        <v>630</v>
      </c>
      <c r="AA1228">
        <v>0</v>
      </c>
      <c r="AB1228">
        <v>0</v>
      </c>
      <c r="AC1228">
        <v>45688</v>
      </c>
      <c r="AD1228">
        <v>2</v>
      </c>
      <c r="AE1228">
        <v>0</v>
      </c>
      <c r="AF1228">
        <v>0</v>
      </c>
      <c r="AG1228">
        <v>0</v>
      </c>
      <c r="AH1228">
        <v>0</v>
      </c>
    </row>
    <row r="1229" spans="2:34" x14ac:dyDescent="0.35">
      <c r="B1229" t="s">
        <v>565</v>
      </c>
      <c r="C1229">
        <v>45691</v>
      </c>
      <c r="F1229" t="s">
        <v>749</v>
      </c>
      <c r="H1229">
        <v>101.63</v>
      </c>
      <c r="O1229" t="s">
        <v>239</v>
      </c>
      <c r="P1229" t="s">
        <v>514</v>
      </c>
      <c r="Y1229">
        <v>1195</v>
      </c>
      <c r="Z1229" s="259" t="s">
        <v>630</v>
      </c>
      <c r="AA1229">
        <v>80</v>
      </c>
      <c r="AB1229">
        <v>8008</v>
      </c>
      <c r="AC1229">
        <v>45691</v>
      </c>
      <c r="AD1229">
        <v>0</v>
      </c>
      <c r="AE1229">
        <v>8130.4</v>
      </c>
      <c r="AF1229">
        <v>8130.4</v>
      </c>
      <c r="AG1229">
        <v>0</v>
      </c>
      <c r="AH1229">
        <v>122.39999999999964</v>
      </c>
    </row>
    <row r="1230" spans="2:34" x14ac:dyDescent="0.35">
      <c r="B1230" t="s">
        <v>565</v>
      </c>
      <c r="C1230">
        <v>45691</v>
      </c>
      <c r="F1230" t="s">
        <v>752</v>
      </c>
      <c r="H1230">
        <v>195.44</v>
      </c>
      <c r="O1230" t="s">
        <v>239</v>
      </c>
      <c r="P1230" t="s">
        <v>514</v>
      </c>
      <c r="Y1230">
        <v>1196</v>
      </c>
      <c r="Z1230" s="259" t="s">
        <v>630</v>
      </c>
      <c r="AA1230">
        <v>100</v>
      </c>
      <c r="AB1230">
        <v>20020</v>
      </c>
      <c r="AC1230">
        <v>45691</v>
      </c>
      <c r="AD1230">
        <v>0</v>
      </c>
      <c r="AE1230">
        <v>19544</v>
      </c>
      <c r="AF1230">
        <v>19544</v>
      </c>
      <c r="AG1230">
        <v>0</v>
      </c>
      <c r="AH1230">
        <v>-476</v>
      </c>
    </row>
    <row r="1231" spans="2:34" x14ac:dyDescent="0.35">
      <c r="B1231" t="s">
        <v>565</v>
      </c>
      <c r="C1231">
        <v>45691</v>
      </c>
      <c r="F1231" t="s">
        <v>754</v>
      </c>
      <c r="H1231">
        <v>81.7</v>
      </c>
      <c r="O1231" t="s">
        <v>239</v>
      </c>
      <c r="P1231" t="s">
        <v>514</v>
      </c>
      <c r="Y1231">
        <v>1197</v>
      </c>
      <c r="Z1231" s="259" t="s">
        <v>630</v>
      </c>
      <c r="AA1231">
        <v>50</v>
      </c>
      <c r="AB1231">
        <v>4104</v>
      </c>
      <c r="AC1231">
        <v>45691</v>
      </c>
      <c r="AD1231">
        <v>0</v>
      </c>
      <c r="AE1231">
        <v>4085</v>
      </c>
      <c r="AF1231">
        <v>4085</v>
      </c>
      <c r="AG1231">
        <v>0</v>
      </c>
      <c r="AH1231">
        <v>-19</v>
      </c>
    </row>
    <row r="1232" spans="2:34" x14ac:dyDescent="0.35">
      <c r="B1232" t="s">
        <v>565</v>
      </c>
      <c r="C1232">
        <v>45692</v>
      </c>
      <c r="F1232" t="s">
        <v>749</v>
      </c>
      <c r="H1232">
        <v>101.44</v>
      </c>
      <c r="O1232" t="s">
        <v>239</v>
      </c>
      <c r="P1232" t="s">
        <v>514</v>
      </c>
      <c r="Y1232">
        <v>1198</v>
      </c>
      <c r="Z1232" s="259" t="s">
        <v>630</v>
      </c>
      <c r="AA1232">
        <v>80</v>
      </c>
      <c r="AB1232">
        <v>8008</v>
      </c>
      <c r="AC1232">
        <v>45692</v>
      </c>
      <c r="AD1232">
        <v>0</v>
      </c>
      <c r="AE1232">
        <v>8115.2</v>
      </c>
      <c r="AF1232">
        <v>8115.2</v>
      </c>
      <c r="AG1232">
        <v>0</v>
      </c>
      <c r="AH1232">
        <v>107.19999999999982</v>
      </c>
    </row>
    <row r="1233" spans="2:34" x14ac:dyDescent="0.35">
      <c r="B1233" t="s">
        <v>565</v>
      </c>
      <c r="C1233">
        <v>45692</v>
      </c>
      <c r="F1233" t="s">
        <v>752</v>
      </c>
      <c r="H1233">
        <v>195.67</v>
      </c>
      <c r="O1233" t="s">
        <v>239</v>
      </c>
      <c r="P1233" t="s">
        <v>514</v>
      </c>
      <c r="Y1233">
        <v>1199</v>
      </c>
      <c r="Z1233" s="259" t="s">
        <v>630</v>
      </c>
      <c r="AA1233">
        <v>100</v>
      </c>
      <c r="AB1233">
        <v>20020</v>
      </c>
      <c r="AC1233">
        <v>45692</v>
      </c>
      <c r="AD1233">
        <v>0</v>
      </c>
      <c r="AE1233">
        <v>19567</v>
      </c>
      <c r="AF1233">
        <v>19567</v>
      </c>
      <c r="AG1233">
        <v>0</v>
      </c>
      <c r="AH1233">
        <v>-453</v>
      </c>
    </row>
    <row r="1234" spans="2:34" x14ac:dyDescent="0.35">
      <c r="B1234" t="s">
        <v>565</v>
      </c>
      <c r="C1234">
        <v>45692</v>
      </c>
      <c r="F1234" t="s">
        <v>754</v>
      </c>
      <c r="H1234">
        <v>81.56</v>
      </c>
      <c r="O1234" t="s">
        <v>239</v>
      </c>
      <c r="P1234" t="s">
        <v>514</v>
      </c>
      <c r="Y1234">
        <v>1200</v>
      </c>
      <c r="Z1234" s="259" t="s">
        <v>630</v>
      </c>
      <c r="AA1234">
        <v>50</v>
      </c>
      <c r="AB1234">
        <v>4104</v>
      </c>
      <c r="AC1234">
        <v>45692</v>
      </c>
      <c r="AD1234">
        <v>0</v>
      </c>
      <c r="AE1234">
        <v>4078</v>
      </c>
      <c r="AF1234">
        <v>4078</v>
      </c>
      <c r="AG1234">
        <v>0</v>
      </c>
      <c r="AH1234">
        <v>-26</v>
      </c>
    </row>
    <row r="1235" spans="2:34" x14ac:dyDescent="0.35">
      <c r="B1235" t="s">
        <v>565</v>
      </c>
      <c r="C1235">
        <v>45693</v>
      </c>
      <c r="F1235" t="s">
        <v>749</v>
      </c>
      <c r="H1235">
        <v>101.26</v>
      </c>
      <c r="O1235" t="s">
        <v>239</v>
      </c>
      <c r="P1235" t="s">
        <v>514</v>
      </c>
      <c r="Y1235">
        <v>1201</v>
      </c>
      <c r="Z1235" s="259" t="s">
        <v>630</v>
      </c>
      <c r="AA1235">
        <v>80</v>
      </c>
      <c r="AB1235">
        <v>8008</v>
      </c>
      <c r="AC1235">
        <v>45693</v>
      </c>
      <c r="AD1235">
        <v>0</v>
      </c>
      <c r="AE1235">
        <v>8100.8</v>
      </c>
      <c r="AF1235">
        <v>8100.8</v>
      </c>
      <c r="AG1235">
        <v>0</v>
      </c>
      <c r="AH1235">
        <v>92.800000000000182</v>
      </c>
    </row>
    <row r="1236" spans="2:34" x14ac:dyDescent="0.35">
      <c r="B1236" t="s">
        <v>565</v>
      </c>
      <c r="C1236">
        <v>45693</v>
      </c>
      <c r="F1236" t="s">
        <v>752</v>
      </c>
      <c r="H1236">
        <v>195.89</v>
      </c>
      <c r="O1236" t="s">
        <v>239</v>
      </c>
      <c r="P1236" t="s">
        <v>514</v>
      </c>
      <c r="Y1236">
        <v>1202</v>
      </c>
      <c r="Z1236" s="259" t="s">
        <v>630</v>
      </c>
      <c r="AA1236">
        <v>100</v>
      </c>
      <c r="AB1236">
        <v>20020</v>
      </c>
      <c r="AC1236">
        <v>45693</v>
      </c>
      <c r="AD1236">
        <v>0</v>
      </c>
      <c r="AE1236">
        <v>19589</v>
      </c>
      <c r="AF1236">
        <v>19589</v>
      </c>
      <c r="AG1236">
        <v>0</v>
      </c>
      <c r="AH1236">
        <v>-431</v>
      </c>
    </row>
    <row r="1237" spans="2:34" x14ac:dyDescent="0.35">
      <c r="B1237" t="s">
        <v>565</v>
      </c>
      <c r="C1237">
        <v>45693</v>
      </c>
      <c r="F1237" t="s">
        <v>754</v>
      </c>
      <c r="H1237">
        <v>81.41</v>
      </c>
      <c r="O1237" t="s">
        <v>239</v>
      </c>
      <c r="P1237" t="s">
        <v>514</v>
      </c>
      <c r="Y1237">
        <v>1203</v>
      </c>
      <c r="Z1237" s="259" t="s">
        <v>630</v>
      </c>
      <c r="AA1237">
        <v>50</v>
      </c>
      <c r="AB1237">
        <v>4104</v>
      </c>
      <c r="AC1237">
        <v>45693</v>
      </c>
      <c r="AD1237">
        <v>0</v>
      </c>
      <c r="AE1237">
        <v>4070.5</v>
      </c>
      <c r="AF1237">
        <v>4070.5</v>
      </c>
      <c r="AG1237">
        <v>0</v>
      </c>
      <c r="AH1237">
        <v>-33.5</v>
      </c>
    </row>
    <row r="1238" spans="2:34" x14ac:dyDescent="0.35">
      <c r="B1238" t="s">
        <v>565</v>
      </c>
      <c r="C1238">
        <v>45694</v>
      </c>
      <c r="F1238" t="s">
        <v>749</v>
      </c>
      <c r="H1238">
        <v>101.07</v>
      </c>
      <c r="O1238" t="s">
        <v>239</v>
      </c>
      <c r="P1238" t="s">
        <v>514</v>
      </c>
      <c r="Y1238">
        <v>1204</v>
      </c>
      <c r="Z1238" s="259" t="s">
        <v>630</v>
      </c>
      <c r="AA1238">
        <v>80</v>
      </c>
      <c r="AB1238">
        <v>8008</v>
      </c>
      <c r="AC1238">
        <v>45694</v>
      </c>
      <c r="AD1238">
        <v>0</v>
      </c>
      <c r="AE1238">
        <v>8085.5999999999995</v>
      </c>
      <c r="AF1238">
        <v>8085.5999999999995</v>
      </c>
      <c r="AG1238">
        <v>0</v>
      </c>
      <c r="AH1238">
        <v>77.599999999999454</v>
      </c>
    </row>
    <row r="1239" spans="2:34" x14ac:dyDescent="0.35">
      <c r="B1239" t="s">
        <v>565</v>
      </c>
      <c r="C1239">
        <v>45694</v>
      </c>
      <c r="F1239" t="s">
        <v>752</v>
      </c>
      <c r="H1239">
        <v>196.11</v>
      </c>
      <c r="O1239" t="s">
        <v>239</v>
      </c>
      <c r="P1239" t="s">
        <v>514</v>
      </c>
      <c r="Y1239">
        <v>1205</v>
      </c>
      <c r="Z1239" s="259" t="s">
        <v>630</v>
      </c>
      <c r="AA1239">
        <v>100</v>
      </c>
      <c r="AB1239">
        <v>20020</v>
      </c>
      <c r="AC1239">
        <v>45694</v>
      </c>
      <c r="AD1239">
        <v>0</v>
      </c>
      <c r="AE1239">
        <v>19611</v>
      </c>
      <c r="AF1239">
        <v>19611</v>
      </c>
      <c r="AG1239">
        <v>0</v>
      </c>
      <c r="AH1239">
        <v>-409</v>
      </c>
    </row>
    <row r="1240" spans="2:34" x14ac:dyDescent="0.35">
      <c r="B1240" t="s">
        <v>565</v>
      </c>
      <c r="C1240">
        <v>45694</v>
      </c>
      <c r="F1240" t="s">
        <v>754</v>
      </c>
      <c r="H1240">
        <v>81.260000000000005</v>
      </c>
      <c r="O1240" t="s">
        <v>239</v>
      </c>
      <c r="P1240" t="s">
        <v>514</v>
      </c>
      <c r="Y1240">
        <v>1206</v>
      </c>
      <c r="Z1240" s="259" t="s">
        <v>630</v>
      </c>
      <c r="AA1240">
        <v>50</v>
      </c>
      <c r="AB1240">
        <v>4104</v>
      </c>
      <c r="AC1240">
        <v>45694</v>
      </c>
      <c r="AD1240">
        <v>0</v>
      </c>
      <c r="AE1240">
        <v>4063.0000000000005</v>
      </c>
      <c r="AF1240">
        <v>4063.0000000000005</v>
      </c>
      <c r="AG1240">
        <v>0</v>
      </c>
      <c r="AH1240">
        <v>-40.999999999999545</v>
      </c>
    </row>
    <row r="1241" spans="2:34" x14ac:dyDescent="0.35">
      <c r="B1241" t="s">
        <v>565</v>
      </c>
      <c r="C1241">
        <v>45695</v>
      </c>
      <c r="F1241" t="s">
        <v>749</v>
      </c>
      <c r="H1241">
        <v>100.89</v>
      </c>
      <c r="O1241" t="s">
        <v>239</v>
      </c>
      <c r="P1241" t="s">
        <v>514</v>
      </c>
      <c r="Y1241">
        <v>1207</v>
      </c>
      <c r="Z1241" s="259" t="s">
        <v>630</v>
      </c>
      <c r="AA1241">
        <v>80</v>
      </c>
      <c r="AB1241">
        <v>8008</v>
      </c>
      <c r="AC1241">
        <v>45695</v>
      </c>
      <c r="AD1241">
        <v>0</v>
      </c>
      <c r="AE1241">
        <v>8071.2</v>
      </c>
      <c r="AF1241">
        <v>8071.2</v>
      </c>
      <c r="AG1241">
        <v>0</v>
      </c>
      <c r="AH1241">
        <v>63.199999999999818</v>
      </c>
    </row>
    <row r="1242" spans="2:34" x14ac:dyDescent="0.35">
      <c r="B1242" t="s">
        <v>565</v>
      </c>
      <c r="C1242">
        <v>45695</v>
      </c>
      <c r="F1242" t="s">
        <v>752</v>
      </c>
      <c r="H1242">
        <v>196.33</v>
      </c>
      <c r="O1242" t="s">
        <v>239</v>
      </c>
      <c r="P1242" t="s">
        <v>514</v>
      </c>
      <c r="Y1242">
        <v>1208</v>
      </c>
      <c r="Z1242" s="259" t="s">
        <v>630</v>
      </c>
      <c r="AA1242">
        <v>100</v>
      </c>
      <c r="AB1242">
        <v>20020</v>
      </c>
      <c r="AC1242">
        <v>45695</v>
      </c>
      <c r="AD1242">
        <v>0</v>
      </c>
      <c r="AE1242">
        <v>19633</v>
      </c>
      <c r="AF1242">
        <v>19633</v>
      </c>
      <c r="AG1242">
        <v>0</v>
      </c>
      <c r="AH1242">
        <v>-387</v>
      </c>
    </row>
    <row r="1243" spans="2:34" x14ac:dyDescent="0.35">
      <c r="B1243" t="s">
        <v>565</v>
      </c>
      <c r="C1243">
        <v>45695</v>
      </c>
      <c r="F1243" t="s">
        <v>754</v>
      </c>
      <c r="H1243">
        <v>81.11</v>
      </c>
      <c r="O1243" t="s">
        <v>239</v>
      </c>
      <c r="P1243" t="s">
        <v>514</v>
      </c>
      <c r="Y1243">
        <v>1209</v>
      </c>
      <c r="Z1243" s="259" t="s">
        <v>630</v>
      </c>
      <c r="AA1243">
        <v>50</v>
      </c>
      <c r="AB1243">
        <v>4104</v>
      </c>
      <c r="AC1243">
        <v>45695</v>
      </c>
      <c r="AD1243">
        <v>0</v>
      </c>
      <c r="AE1243">
        <v>4055.5</v>
      </c>
      <c r="AF1243">
        <v>4055.5</v>
      </c>
      <c r="AG1243">
        <v>0</v>
      </c>
      <c r="AH1243">
        <v>-48.5</v>
      </c>
    </row>
    <row r="1244" spans="2:34" x14ac:dyDescent="0.35">
      <c r="B1244" t="s">
        <v>565</v>
      </c>
      <c r="C1244">
        <v>45696</v>
      </c>
      <c r="F1244" t="s">
        <v>749</v>
      </c>
      <c r="H1244">
        <v>100.89</v>
      </c>
      <c r="O1244" t="s">
        <v>239</v>
      </c>
      <c r="P1244" t="s">
        <v>514</v>
      </c>
      <c r="Y1244">
        <v>1210</v>
      </c>
      <c r="Z1244" s="259" t="s">
        <v>630</v>
      </c>
      <c r="AA1244">
        <v>80</v>
      </c>
      <c r="AB1244">
        <v>8008</v>
      </c>
      <c r="AC1244">
        <v>45695</v>
      </c>
      <c r="AD1244">
        <v>1</v>
      </c>
      <c r="AE1244">
        <v>8071.2</v>
      </c>
      <c r="AF1244">
        <v>8071.2</v>
      </c>
      <c r="AG1244">
        <v>0</v>
      </c>
      <c r="AH1244">
        <v>63.199999999999818</v>
      </c>
    </row>
    <row r="1245" spans="2:34" x14ac:dyDescent="0.35">
      <c r="B1245" t="s">
        <v>565</v>
      </c>
      <c r="C1245">
        <v>45696</v>
      </c>
      <c r="F1245" t="s">
        <v>752</v>
      </c>
      <c r="H1245">
        <v>196.33</v>
      </c>
      <c r="O1245" t="s">
        <v>239</v>
      </c>
      <c r="P1245" t="s">
        <v>514</v>
      </c>
      <c r="Y1245">
        <v>1211</v>
      </c>
      <c r="Z1245" s="259" t="s">
        <v>630</v>
      </c>
      <c r="AA1245">
        <v>100</v>
      </c>
      <c r="AB1245">
        <v>20020</v>
      </c>
      <c r="AC1245">
        <v>45695</v>
      </c>
      <c r="AD1245">
        <v>1</v>
      </c>
      <c r="AE1245">
        <v>19633</v>
      </c>
      <c r="AF1245">
        <v>19633</v>
      </c>
      <c r="AG1245">
        <v>0</v>
      </c>
      <c r="AH1245">
        <v>-387</v>
      </c>
    </row>
    <row r="1246" spans="2:34" x14ac:dyDescent="0.35">
      <c r="B1246" t="s">
        <v>565</v>
      </c>
      <c r="C1246">
        <v>45696</v>
      </c>
      <c r="F1246" t="s">
        <v>754</v>
      </c>
      <c r="H1246">
        <v>81.11</v>
      </c>
      <c r="O1246" t="s">
        <v>239</v>
      </c>
      <c r="P1246" t="s">
        <v>514</v>
      </c>
      <c r="Y1246">
        <v>1212</v>
      </c>
      <c r="Z1246" s="259" t="s">
        <v>630</v>
      </c>
      <c r="AA1246">
        <v>50</v>
      </c>
      <c r="AB1246">
        <v>4104</v>
      </c>
      <c r="AC1246">
        <v>45695</v>
      </c>
      <c r="AD1246">
        <v>1</v>
      </c>
      <c r="AE1246">
        <v>4055.5</v>
      </c>
      <c r="AF1246">
        <v>4055.5</v>
      </c>
      <c r="AG1246">
        <v>0</v>
      </c>
      <c r="AH1246">
        <v>-48.5</v>
      </c>
    </row>
    <row r="1247" spans="2:34" x14ac:dyDescent="0.35">
      <c r="B1247" t="s">
        <v>565</v>
      </c>
      <c r="C1247">
        <v>45697</v>
      </c>
      <c r="F1247" t="s">
        <v>749</v>
      </c>
      <c r="H1247">
        <v>100.89</v>
      </c>
      <c r="O1247" t="s">
        <v>239</v>
      </c>
      <c r="P1247" t="s">
        <v>514</v>
      </c>
      <c r="Y1247">
        <v>1213</v>
      </c>
      <c r="Z1247" s="259" t="s">
        <v>630</v>
      </c>
      <c r="AA1247">
        <v>80</v>
      </c>
      <c r="AB1247">
        <v>8008</v>
      </c>
      <c r="AC1247">
        <v>45695</v>
      </c>
      <c r="AD1247">
        <v>2</v>
      </c>
      <c r="AE1247">
        <v>8071.2</v>
      </c>
      <c r="AF1247">
        <v>8071.2</v>
      </c>
      <c r="AG1247">
        <v>0</v>
      </c>
      <c r="AH1247">
        <v>63.199999999999818</v>
      </c>
    </row>
    <row r="1248" spans="2:34" x14ac:dyDescent="0.35">
      <c r="B1248" t="s">
        <v>565</v>
      </c>
      <c r="C1248">
        <v>45697</v>
      </c>
      <c r="F1248" t="s">
        <v>752</v>
      </c>
      <c r="H1248">
        <v>196.33</v>
      </c>
      <c r="O1248" t="s">
        <v>239</v>
      </c>
      <c r="P1248" t="s">
        <v>514</v>
      </c>
      <c r="Y1248">
        <v>1214</v>
      </c>
      <c r="Z1248" s="259" t="s">
        <v>630</v>
      </c>
      <c r="AA1248">
        <v>100</v>
      </c>
      <c r="AB1248">
        <v>20020</v>
      </c>
      <c r="AC1248">
        <v>45695</v>
      </c>
      <c r="AD1248">
        <v>2</v>
      </c>
      <c r="AE1248">
        <v>19633</v>
      </c>
      <c r="AF1248">
        <v>19633</v>
      </c>
      <c r="AG1248">
        <v>0</v>
      </c>
      <c r="AH1248">
        <v>-387</v>
      </c>
    </row>
    <row r="1249" spans="2:34" x14ac:dyDescent="0.35">
      <c r="B1249" t="s">
        <v>565</v>
      </c>
      <c r="C1249">
        <v>45697</v>
      </c>
      <c r="F1249" t="s">
        <v>754</v>
      </c>
      <c r="H1249">
        <v>81.11</v>
      </c>
      <c r="O1249" t="s">
        <v>239</v>
      </c>
      <c r="P1249" t="s">
        <v>514</v>
      </c>
      <c r="Y1249">
        <v>1215</v>
      </c>
      <c r="Z1249" s="259" t="s">
        <v>630</v>
      </c>
      <c r="AA1249">
        <v>50</v>
      </c>
      <c r="AB1249">
        <v>4104</v>
      </c>
      <c r="AC1249">
        <v>45695</v>
      </c>
      <c r="AD1249">
        <v>2</v>
      </c>
      <c r="AE1249">
        <v>4055.5</v>
      </c>
      <c r="AF1249">
        <v>4055.5</v>
      </c>
      <c r="AG1249">
        <v>0</v>
      </c>
      <c r="AH1249">
        <v>-48.5</v>
      </c>
    </row>
    <row r="1250" spans="2:34" x14ac:dyDescent="0.35">
      <c r="B1250" t="s">
        <v>565</v>
      </c>
      <c r="C1250">
        <v>45698</v>
      </c>
      <c r="F1250" t="s">
        <v>749</v>
      </c>
      <c r="H1250">
        <v>100.33</v>
      </c>
      <c r="O1250" t="s">
        <v>239</v>
      </c>
      <c r="P1250" t="s">
        <v>514</v>
      </c>
      <c r="Y1250">
        <v>1216</v>
      </c>
      <c r="Z1250" s="259" t="s">
        <v>630</v>
      </c>
      <c r="AA1250">
        <v>80</v>
      </c>
      <c r="AB1250">
        <v>8008</v>
      </c>
      <c r="AC1250">
        <v>45698</v>
      </c>
      <c r="AD1250">
        <v>0</v>
      </c>
      <c r="AE1250">
        <v>8026.4</v>
      </c>
      <c r="AF1250">
        <v>8026.4</v>
      </c>
      <c r="AG1250">
        <v>0</v>
      </c>
      <c r="AH1250">
        <v>18.399999999999636</v>
      </c>
    </row>
    <row r="1251" spans="2:34" x14ac:dyDescent="0.35">
      <c r="B1251" t="s">
        <v>565</v>
      </c>
      <c r="C1251">
        <v>45698</v>
      </c>
      <c r="F1251" t="s">
        <v>752</v>
      </c>
      <c r="H1251">
        <v>197</v>
      </c>
      <c r="O1251" t="s">
        <v>239</v>
      </c>
      <c r="P1251" t="s">
        <v>514</v>
      </c>
      <c r="Y1251">
        <v>1217</v>
      </c>
      <c r="Z1251" s="259" t="s">
        <v>630</v>
      </c>
      <c r="AA1251">
        <v>100</v>
      </c>
      <c r="AB1251">
        <v>20020</v>
      </c>
      <c r="AC1251">
        <v>45698</v>
      </c>
      <c r="AD1251">
        <v>0</v>
      </c>
      <c r="AE1251">
        <v>19700</v>
      </c>
      <c r="AF1251">
        <v>19700</v>
      </c>
      <c r="AG1251">
        <v>0</v>
      </c>
      <c r="AH1251">
        <v>-320</v>
      </c>
    </row>
    <row r="1252" spans="2:34" x14ac:dyDescent="0.35">
      <c r="B1252" t="s">
        <v>565</v>
      </c>
      <c r="C1252">
        <v>45698</v>
      </c>
      <c r="F1252" t="s">
        <v>754</v>
      </c>
      <c r="H1252">
        <v>80.67</v>
      </c>
      <c r="O1252" t="s">
        <v>239</v>
      </c>
      <c r="P1252" t="s">
        <v>514</v>
      </c>
      <c r="Y1252">
        <v>1218</v>
      </c>
      <c r="Z1252" s="259" t="s">
        <v>630</v>
      </c>
      <c r="AA1252">
        <v>50</v>
      </c>
      <c r="AB1252">
        <v>4104</v>
      </c>
      <c r="AC1252">
        <v>45698</v>
      </c>
      <c r="AD1252">
        <v>0</v>
      </c>
      <c r="AE1252">
        <v>4033.5</v>
      </c>
      <c r="AF1252">
        <v>4033.5</v>
      </c>
      <c r="AG1252">
        <v>0</v>
      </c>
      <c r="AH1252">
        <v>-70.5</v>
      </c>
    </row>
    <row r="1253" spans="2:34" x14ac:dyDescent="0.35">
      <c r="B1253" t="s">
        <v>565</v>
      </c>
      <c r="C1253">
        <v>45699</v>
      </c>
      <c r="F1253" t="s">
        <v>749</v>
      </c>
      <c r="H1253">
        <v>100.15</v>
      </c>
      <c r="O1253" t="s">
        <v>239</v>
      </c>
      <c r="P1253" t="s">
        <v>514</v>
      </c>
      <c r="Y1253">
        <v>1219</v>
      </c>
      <c r="Z1253" s="259" t="s">
        <v>630</v>
      </c>
      <c r="AA1253">
        <v>80</v>
      </c>
      <c r="AB1253">
        <v>8008</v>
      </c>
      <c r="AC1253">
        <v>45699</v>
      </c>
      <c r="AD1253">
        <v>0</v>
      </c>
      <c r="AE1253">
        <v>8012</v>
      </c>
      <c r="AF1253">
        <v>8012</v>
      </c>
      <c r="AG1253">
        <v>0</v>
      </c>
      <c r="AH1253">
        <v>4</v>
      </c>
    </row>
    <row r="1254" spans="2:34" x14ac:dyDescent="0.35">
      <c r="B1254" t="s">
        <v>565</v>
      </c>
      <c r="C1254">
        <v>45699</v>
      </c>
      <c r="F1254" t="s">
        <v>752</v>
      </c>
      <c r="H1254">
        <v>197.22</v>
      </c>
      <c r="O1254" t="s">
        <v>239</v>
      </c>
      <c r="P1254" t="s">
        <v>514</v>
      </c>
      <c r="Y1254">
        <v>1220</v>
      </c>
      <c r="Z1254" s="259" t="s">
        <v>630</v>
      </c>
      <c r="AA1254">
        <v>100</v>
      </c>
      <c r="AB1254">
        <v>20020</v>
      </c>
      <c r="AC1254">
        <v>45699</v>
      </c>
      <c r="AD1254">
        <v>0</v>
      </c>
      <c r="AE1254">
        <v>19722</v>
      </c>
      <c r="AF1254">
        <v>19722</v>
      </c>
      <c r="AG1254">
        <v>0</v>
      </c>
      <c r="AH1254">
        <v>-298</v>
      </c>
    </row>
    <row r="1255" spans="2:34" x14ac:dyDescent="0.35">
      <c r="B1255" t="s">
        <v>565</v>
      </c>
      <c r="C1255">
        <v>45699</v>
      </c>
      <c r="F1255" t="s">
        <v>754</v>
      </c>
      <c r="H1255">
        <v>80.52</v>
      </c>
      <c r="O1255" t="s">
        <v>239</v>
      </c>
      <c r="P1255" t="s">
        <v>514</v>
      </c>
      <c r="Y1255">
        <v>1221</v>
      </c>
      <c r="Z1255" s="259" t="s">
        <v>630</v>
      </c>
      <c r="AA1255">
        <v>50</v>
      </c>
      <c r="AB1255">
        <v>4104</v>
      </c>
      <c r="AC1255">
        <v>45699</v>
      </c>
      <c r="AD1255">
        <v>0</v>
      </c>
      <c r="AE1255">
        <v>4026</v>
      </c>
      <c r="AF1255">
        <v>4026</v>
      </c>
      <c r="AG1255">
        <v>0</v>
      </c>
      <c r="AH1255">
        <v>-78</v>
      </c>
    </row>
    <row r="1256" spans="2:34" x14ac:dyDescent="0.35">
      <c r="B1256" t="s">
        <v>565</v>
      </c>
      <c r="C1256">
        <v>45700</v>
      </c>
      <c r="F1256" t="s">
        <v>749</v>
      </c>
      <c r="H1256">
        <v>99.96</v>
      </c>
      <c r="O1256" t="s">
        <v>239</v>
      </c>
      <c r="P1256" t="s">
        <v>514</v>
      </c>
      <c r="Y1256">
        <v>1222</v>
      </c>
      <c r="Z1256" s="259" t="s">
        <v>630</v>
      </c>
      <c r="AA1256">
        <v>80</v>
      </c>
      <c r="AB1256">
        <v>8008</v>
      </c>
      <c r="AC1256">
        <v>45700</v>
      </c>
      <c r="AD1256">
        <v>0</v>
      </c>
      <c r="AE1256">
        <v>7996.7999999999993</v>
      </c>
      <c r="AF1256">
        <v>7996.7999999999993</v>
      </c>
      <c r="AG1256">
        <v>0</v>
      </c>
      <c r="AH1256">
        <v>-11.200000000000728</v>
      </c>
    </row>
    <row r="1257" spans="2:34" x14ac:dyDescent="0.35">
      <c r="B1257" t="s">
        <v>565</v>
      </c>
      <c r="C1257">
        <v>45700</v>
      </c>
      <c r="F1257" t="s">
        <v>752</v>
      </c>
      <c r="H1257">
        <v>197.44</v>
      </c>
      <c r="O1257" t="s">
        <v>239</v>
      </c>
      <c r="P1257" t="s">
        <v>514</v>
      </c>
      <c r="Y1257">
        <v>1223</v>
      </c>
      <c r="Z1257" s="259" t="s">
        <v>630</v>
      </c>
      <c r="AA1257">
        <v>100</v>
      </c>
      <c r="AB1257">
        <v>20020</v>
      </c>
      <c r="AC1257">
        <v>45700</v>
      </c>
      <c r="AD1257">
        <v>0</v>
      </c>
      <c r="AE1257">
        <v>19744</v>
      </c>
      <c r="AF1257">
        <v>19744</v>
      </c>
      <c r="AG1257">
        <v>0</v>
      </c>
      <c r="AH1257">
        <v>-276</v>
      </c>
    </row>
    <row r="1258" spans="2:34" x14ac:dyDescent="0.35">
      <c r="B1258" t="s">
        <v>565</v>
      </c>
      <c r="C1258">
        <v>45700</v>
      </c>
      <c r="F1258" t="s">
        <v>754</v>
      </c>
      <c r="H1258">
        <v>80.37</v>
      </c>
      <c r="O1258" t="s">
        <v>239</v>
      </c>
      <c r="P1258" t="s">
        <v>514</v>
      </c>
      <c r="Y1258">
        <v>1224</v>
      </c>
      <c r="Z1258" s="259" t="s">
        <v>630</v>
      </c>
      <c r="AA1258">
        <v>50</v>
      </c>
      <c r="AB1258">
        <v>4104</v>
      </c>
      <c r="AC1258">
        <v>45700</v>
      </c>
      <c r="AD1258">
        <v>0</v>
      </c>
      <c r="AE1258">
        <v>4018.5</v>
      </c>
      <c r="AF1258">
        <v>4018.5</v>
      </c>
      <c r="AG1258">
        <v>0</v>
      </c>
      <c r="AH1258">
        <v>-85.5</v>
      </c>
    </row>
    <row r="1259" spans="2:34" x14ac:dyDescent="0.35">
      <c r="B1259" t="s">
        <v>565</v>
      </c>
      <c r="C1259">
        <v>45701</v>
      </c>
      <c r="F1259" t="s">
        <v>749</v>
      </c>
      <c r="H1259">
        <v>99.78</v>
      </c>
      <c r="O1259" t="s">
        <v>239</v>
      </c>
      <c r="P1259" t="s">
        <v>514</v>
      </c>
      <c r="Y1259">
        <v>1225</v>
      </c>
      <c r="Z1259" s="259" t="s">
        <v>630</v>
      </c>
      <c r="AA1259">
        <v>80</v>
      </c>
      <c r="AB1259">
        <v>8008</v>
      </c>
      <c r="AC1259">
        <v>45701</v>
      </c>
      <c r="AD1259">
        <v>0</v>
      </c>
      <c r="AE1259">
        <v>7982.4</v>
      </c>
      <c r="AF1259">
        <v>7982.4</v>
      </c>
      <c r="AG1259">
        <v>0</v>
      </c>
      <c r="AH1259">
        <v>-25.600000000000364</v>
      </c>
    </row>
    <row r="1260" spans="2:34" x14ac:dyDescent="0.35">
      <c r="B1260" t="s">
        <v>565</v>
      </c>
      <c r="C1260">
        <v>45701</v>
      </c>
      <c r="F1260" t="s">
        <v>752</v>
      </c>
      <c r="H1260">
        <v>197.67</v>
      </c>
      <c r="O1260" t="s">
        <v>239</v>
      </c>
      <c r="P1260" t="s">
        <v>514</v>
      </c>
      <c r="Y1260">
        <v>1226</v>
      </c>
      <c r="Z1260" s="259" t="s">
        <v>630</v>
      </c>
      <c r="AA1260">
        <v>100</v>
      </c>
      <c r="AB1260">
        <v>20020</v>
      </c>
      <c r="AC1260">
        <v>45701</v>
      </c>
      <c r="AD1260">
        <v>0</v>
      </c>
      <c r="AE1260">
        <v>19767</v>
      </c>
      <c r="AF1260">
        <v>19767</v>
      </c>
      <c r="AG1260">
        <v>0</v>
      </c>
      <c r="AH1260">
        <v>-253</v>
      </c>
    </row>
    <row r="1261" spans="2:34" x14ac:dyDescent="0.35">
      <c r="B1261" t="s">
        <v>565</v>
      </c>
      <c r="C1261">
        <v>45701</v>
      </c>
      <c r="F1261" t="s">
        <v>754</v>
      </c>
      <c r="H1261">
        <v>80.22</v>
      </c>
      <c r="O1261" t="s">
        <v>239</v>
      </c>
      <c r="P1261" t="s">
        <v>514</v>
      </c>
      <c r="Y1261">
        <v>1227</v>
      </c>
      <c r="Z1261" s="259" t="s">
        <v>630</v>
      </c>
      <c r="AA1261">
        <v>50</v>
      </c>
      <c r="AB1261">
        <v>4104</v>
      </c>
      <c r="AC1261">
        <v>45701</v>
      </c>
      <c r="AD1261">
        <v>0</v>
      </c>
      <c r="AE1261">
        <v>4011</v>
      </c>
      <c r="AF1261">
        <v>4011</v>
      </c>
      <c r="AG1261">
        <v>0</v>
      </c>
      <c r="AH1261">
        <v>-93</v>
      </c>
    </row>
    <row r="1262" spans="2:34" x14ac:dyDescent="0.35">
      <c r="B1262" t="s">
        <v>565</v>
      </c>
      <c r="C1262">
        <v>45702</v>
      </c>
      <c r="F1262" t="s">
        <v>749</v>
      </c>
      <c r="H1262">
        <v>99.59</v>
      </c>
      <c r="O1262" t="s">
        <v>239</v>
      </c>
      <c r="P1262" t="s">
        <v>514</v>
      </c>
      <c r="Y1262">
        <v>1228</v>
      </c>
      <c r="Z1262" s="259" t="s">
        <v>630</v>
      </c>
      <c r="AA1262">
        <v>80</v>
      </c>
      <c r="AB1262">
        <v>8008</v>
      </c>
      <c r="AC1262">
        <v>45702</v>
      </c>
      <c r="AD1262">
        <v>0</v>
      </c>
      <c r="AE1262">
        <v>7967.2000000000007</v>
      </c>
      <c r="AF1262">
        <v>7967.2000000000007</v>
      </c>
      <c r="AG1262">
        <v>0</v>
      </c>
      <c r="AH1262">
        <v>-40.799999999999272</v>
      </c>
    </row>
    <row r="1263" spans="2:34" x14ac:dyDescent="0.35">
      <c r="B1263" t="s">
        <v>565</v>
      </c>
      <c r="C1263">
        <v>45702</v>
      </c>
      <c r="F1263" t="s">
        <v>752</v>
      </c>
      <c r="H1263">
        <v>197.89</v>
      </c>
      <c r="O1263" t="s">
        <v>239</v>
      </c>
      <c r="P1263" t="s">
        <v>514</v>
      </c>
      <c r="Y1263">
        <v>1229</v>
      </c>
      <c r="Z1263" s="259" t="s">
        <v>630</v>
      </c>
      <c r="AA1263">
        <v>100</v>
      </c>
      <c r="AB1263">
        <v>20020</v>
      </c>
      <c r="AC1263">
        <v>45702</v>
      </c>
      <c r="AD1263">
        <v>0</v>
      </c>
      <c r="AE1263">
        <v>19789</v>
      </c>
      <c r="AF1263">
        <v>19789</v>
      </c>
      <c r="AG1263">
        <v>0</v>
      </c>
      <c r="AH1263">
        <v>-231</v>
      </c>
    </row>
    <row r="1264" spans="2:34" x14ac:dyDescent="0.35">
      <c r="B1264" t="s">
        <v>565</v>
      </c>
      <c r="C1264">
        <v>45702</v>
      </c>
      <c r="F1264" t="s">
        <v>754</v>
      </c>
      <c r="H1264">
        <v>80.069999999999993</v>
      </c>
      <c r="O1264" t="s">
        <v>239</v>
      </c>
      <c r="P1264" t="s">
        <v>514</v>
      </c>
      <c r="Y1264">
        <v>1230</v>
      </c>
      <c r="Z1264" s="259" t="s">
        <v>630</v>
      </c>
      <c r="AA1264">
        <v>50</v>
      </c>
      <c r="AB1264">
        <v>4104</v>
      </c>
      <c r="AC1264">
        <v>45702</v>
      </c>
      <c r="AD1264">
        <v>0</v>
      </c>
      <c r="AE1264">
        <v>4003.4999999999995</v>
      </c>
      <c r="AF1264">
        <v>4003.4999999999995</v>
      </c>
      <c r="AG1264">
        <v>0</v>
      </c>
      <c r="AH1264">
        <v>-100.50000000000045</v>
      </c>
    </row>
    <row r="1265" spans="2:34" x14ac:dyDescent="0.35">
      <c r="B1265" t="s">
        <v>565</v>
      </c>
      <c r="C1265">
        <v>45703</v>
      </c>
      <c r="F1265" t="s">
        <v>749</v>
      </c>
      <c r="H1265">
        <v>99.59</v>
      </c>
      <c r="O1265" t="s">
        <v>239</v>
      </c>
      <c r="P1265" t="s">
        <v>514</v>
      </c>
      <c r="Y1265">
        <v>1231</v>
      </c>
      <c r="Z1265" s="259" t="s">
        <v>630</v>
      </c>
      <c r="AA1265">
        <v>80</v>
      </c>
      <c r="AB1265">
        <v>8008</v>
      </c>
      <c r="AC1265">
        <v>45702</v>
      </c>
      <c r="AD1265">
        <v>1</v>
      </c>
      <c r="AE1265">
        <v>7967.2000000000007</v>
      </c>
      <c r="AF1265">
        <v>7967.2000000000007</v>
      </c>
      <c r="AG1265">
        <v>0</v>
      </c>
      <c r="AH1265">
        <v>-40.799999999999272</v>
      </c>
    </row>
    <row r="1266" spans="2:34" x14ac:dyDescent="0.35">
      <c r="B1266" t="s">
        <v>565</v>
      </c>
      <c r="C1266">
        <v>45703</v>
      </c>
      <c r="F1266" t="s">
        <v>752</v>
      </c>
      <c r="H1266">
        <v>197.89</v>
      </c>
      <c r="O1266" t="s">
        <v>239</v>
      </c>
      <c r="P1266" t="s">
        <v>514</v>
      </c>
      <c r="Y1266">
        <v>1232</v>
      </c>
      <c r="Z1266" s="259" t="s">
        <v>630</v>
      </c>
      <c r="AA1266">
        <v>100</v>
      </c>
      <c r="AB1266">
        <v>20020</v>
      </c>
      <c r="AC1266">
        <v>45702</v>
      </c>
      <c r="AD1266">
        <v>1</v>
      </c>
      <c r="AE1266">
        <v>19789</v>
      </c>
      <c r="AF1266">
        <v>19789</v>
      </c>
      <c r="AG1266">
        <v>0</v>
      </c>
      <c r="AH1266">
        <v>-231</v>
      </c>
    </row>
    <row r="1267" spans="2:34" x14ac:dyDescent="0.35">
      <c r="B1267" t="s">
        <v>565</v>
      </c>
      <c r="C1267">
        <v>45703</v>
      </c>
      <c r="F1267" t="s">
        <v>754</v>
      </c>
      <c r="H1267">
        <v>80.069999999999993</v>
      </c>
      <c r="O1267" t="s">
        <v>239</v>
      </c>
      <c r="P1267" t="s">
        <v>514</v>
      </c>
      <c r="Y1267">
        <v>1233</v>
      </c>
      <c r="Z1267" s="259" t="s">
        <v>630</v>
      </c>
      <c r="AA1267">
        <v>50</v>
      </c>
      <c r="AB1267">
        <v>4104</v>
      </c>
      <c r="AC1267">
        <v>45702</v>
      </c>
      <c r="AD1267">
        <v>1</v>
      </c>
      <c r="AE1267">
        <v>4003.4999999999995</v>
      </c>
      <c r="AF1267">
        <v>4003.4999999999995</v>
      </c>
      <c r="AG1267">
        <v>0</v>
      </c>
      <c r="AH1267">
        <v>-100.50000000000045</v>
      </c>
    </row>
    <row r="1268" spans="2:34" x14ac:dyDescent="0.35">
      <c r="B1268" t="s">
        <v>565</v>
      </c>
      <c r="C1268">
        <v>45704</v>
      </c>
      <c r="F1268" t="s">
        <v>749</v>
      </c>
      <c r="H1268">
        <v>99.59</v>
      </c>
      <c r="O1268" t="s">
        <v>239</v>
      </c>
      <c r="P1268" t="s">
        <v>514</v>
      </c>
      <c r="Y1268">
        <v>1234</v>
      </c>
      <c r="Z1268" s="259" t="s">
        <v>630</v>
      </c>
      <c r="AA1268">
        <v>80</v>
      </c>
      <c r="AB1268">
        <v>8008</v>
      </c>
      <c r="AC1268">
        <v>45702</v>
      </c>
      <c r="AD1268">
        <v>2</v>
      </c>
      <c r="AE1268">
        <v>7967.2000000000007</v>
      </c>
      <c r="AF1268">
        <v>7967.2000000000007</v>
      </c>
      <c r="AG1268">
        <v>0</v>
      </c>
      <c r="AH1268">
        <v>-40.799999999999272</v>
      </c>
    </row>
    <row r="1269" spans="2:34" x14ac:dyDescent="0.35">
      <c r="B1269" t="s">
        <v>565</v>
      </c>
      <c r="C1269">
        <v>45704</v>
      </c>
      <c r="F1269" t="s">
        <v>752</v>
      </c>
      <c r="H1269">
        <v>197.89</v>
      </c>
      <c r="O1269" t="s">
        <v>239</v>
      </c>
      <c r="P1269" t="s">
        <v>514</v>
      </c>
      <c r="Y1269">
        <v>1235</v>
      </c>
      <c r="Z1269" s="259" t="s">
        <v>630</v>
      </c>
      <c r="AA1269">
        <v>100</v>
      </c>
      <c r="AB1269">
        <v>20020</v>
      </c>
      <c r="AC1269">
        <v>45702</v>
      </c>
      <c r="AD1269">
        <v>2</v>
      </c>
      <c r="AE1269">
        <v>19789</v>
      </c>
      <c r="AF1269">
        <v>19789</v>
      </c>
      <c r="AG1269">
        <v>0</v>
      </c>
      <c r="AH1269">
        <v>-231</v>
      </c>
    </row>
    <row r="1270" spans="2:34" x14ac:dyDescent="0.35">
      <c r="B1270" t="s">
        <v>565</v>
      </c>
      <c r="C1270">
        <v>45704</v>
      </c>
      <c r="F1270" t="s">
        <v>754</v>
      </c>
      <c r="H1270">
        <v>80.069999999999993</v>
      </c>
      <c r="O1270" t="s">
        <v>239</v>
      </c>
      <c r="P1270" t="s">
        <v>514</v>
      </c>
      <c r="Y1270">
        <v>1236</v>
      </c>
      <c r="Z1270" s="259" t="s">
        <v>630</v>
      </c>
      <c r="AA1270">
        <v>50</v>
      </c>
      <c r="AB1270">
        <v>4104</v>
      </c>
      <c r="AC1270">
        <v>45702</v>
      </c>
      <c r="AD1270">
        <v>2</v>
      </c>
      <c r="AE1270">
        <v>4003.4999999999995</v>
      </c>
      <c r="AF1270">
        <v>4003.4999999999995</v>
      </c>
      <c r="AG1270">
        <v>0</v>
      </c>
      <c r="AH1270">
        <v>-100.50000000000045</v>
      </c>
    </row>
    <row r="1271" spans="2:34" x14ac:dyDescent="0.35">
      <c r="B1271" t="s">
        <v>565</v>
      </c>
      <c r="C1271">
        <v>45705</v>
      </c>
      <c r="F1271" t="s">
        <v>749</v>
      </c>
      <c r="H1271">
        <v>99.04</v>
      </c>
      <c r="O1271" t="s">
        <v>239</v>
      </c>
      <c r="P1271" t="s">
        <v>514</v>
      </c>
      <c r="Y1271">
        <v>1237</v>
      </c>
      <c r="Z1271" s="259" t="s">
        <v>630</v>
      </c>
      <c r="AA1271">
        <v>80</v>
      </c>
      <c r="AB1271">
        <v>8008</v>
      </c>
      <c r="AC1271">
        <v>45705</v>
      </c>
      <c r="AD1271">
        <v>0</v>
      </c>
      <c r="AE1271">
        <v>7923.2000000000007</v>
      </c>
      <c r="AF1271">
        <v>7923.2000000000007</v>
      </c>
      <c r="AG1271">
        <v>0</v>
      </c>
      <c r="AH1271">
        <v>-84.799999999999272</v>
      </c>
    </row>
    <row r="1272" spans="2:34" x14ac:dyDescent="0.35">
      <c r="B1272" t="s">
        <v>565</v>
      </c>
      <c r="C1272">
        <v>45705</v>
      </c>
      <c r="F1272" t="s">
        <v>752</v>
      </c>
      <c r="H1272">
        <v>198.56</v>
      </c>
      <c r="O1272" t="s">
        <v>239</v>
      </c>
      <c r="P1272" t="s">
        <v>514</v>
      </c>
      <c r="Y1272">
        <v>1238</v>
      </c>
      <c r="Z1272" s="259" t="s">
        <v>630</v>
      </c>
      <c r="AA1272">
        <v>100</v>
      </c>
      <c r="AB1272">
        <v>20020</v>
      </c>
      <c r="AC1272">
        <v>45705</v>
      </c>
      <c r="AD1272">
        <v>0</v>
      </c>
      <c r="AE1272">
        <v>19856</v>
      </c>
      <c r="AF1272">
        <v>19856</v>
      </c>
      <c r="AG1272">
        <v>0</v>
      </c>
      <c r="AH1272">
        <v>-164</v>
      </c>
    </row>
    <row r="1273" spans="2:34" x14ac:dyDescent="0.35">
      <c r="B1273" t="s">
        <v>565</v>
      </c>
      <c r="C1273">
        <v>45705</v>
      </c>
      <c r="F1273" t="s">
        <v>754</v>
      </c>
      <c r="H1273">
        <v>79.63</v>
      </c>
      <c r="O1273" t="s">
        <v>239</v>
      </c>
      <c r="P1273" t="s">
        <v>514</v>
      </c>
      <c r="Y1273">
        <v>1239</v>
      </c>
      <c r="Z1273" s="259" t="s">
        <v>630</v>
      </c>
      <c r="AA1273">
        <v>50</v>
      </c>
      <c r="AB1273">
        <v>4104</v>
      </c>
      <c r="AC1273">
        <v>45705</v>
      </c>
      <c r="AD1273">
        <v>0</v>
      </c>
      <c r="AE1273">
        <v>3981.5</v>
      </c>
      <c r="AF1273">
        <v>3981.5</v>
      </c>
      <c r="AG1273">
        <v>0</v>
      </c>
      <c r="AH1273">
        <v>-122.5</v>
      </c>
    </row>
    <row r="1274" spans="2:34" x14ac:dyDescent="0.35">
      <c r="B1274" t="s">
        <v>565</v>
      </c>
      <c r="C1274">
        <v>45706</v>
      </c>
      <c r="F1274" t="s">
        <v>749</v>
      </c>
      <c r="H1274">
        <v>98.85</v>
      </c>
      <c r="O1274" t="s">
        <v>239</v>
      </c>
      <c r="P1274" t="s">
        <v>514</v>
      </c>
      <c r="Y1274">
        <v>1240</v>
      </c>
      <c r="Z1274" s="259" t="s">
        <v>630</v>
      </c>
      <c r="AA1274">
        <v>80</v>
      </c>
      <c r="AB1274">
        <v>8008</v>
      </c>
      <c r="AC1274">
        <v>45706</v>
      </c>
      <c r="AD1274">
        <v>0</v>
      </c>
      <c r="AE1274">
        <v>7908</v>
      </c>
      <c r="AF1274">
        <v>7908</v>
      </c>
      <c r="AG1274">
        <v>0</v>
      </c>
      <c r="AH1274">
        <v>-100</v>
      </c>
    </row>
    <row r="1275" spans="2:34" x14ac:dyDescent="0.35">
      <c r="B1275" t="s">
        <v>565</v>
      </c>
      <c r="C1275">
        <v>45706</v>
      </c>
      <c r="F1275" t="s">
        <v>752</v>
      </c>
      <c r="H1275">
        <v>198.78</v>
      </c>
      <c r="O1275" t="s">
        <v>239</v>
      </c>
      <c r="P1275" t="s">
        <v>514</v>
      </c>
      <c r="Y1275">
        <v>1241</v>
      </c>
      <c r="Z1275" s="259" t="s">
        <v>630</v>
      </c>
      <c r="AA1275">
        <v>100</v>
      </c>
      <c r="AB1275">
        <v>20020</v>
      </c>
      <c r="AC1275">
        <v>45706</v>
      </c>
      <c r="AD1275">
        <v>0</v>
      </c>
      <c r="AE1275">
        <v>19878</v>
      </c>
      <c r="AF1275">
        <v>19878</v>
      </c>
      <c r="AG1275">
        <v>0</v>
      </c>
      <c r="AH1275">
        <v>-142</v>
      </c>
    </row>
    <row r="1276" spans="2:34" x14ac:dyDescent="0.35">
      <c r="B1276" t="s">
        <v>565</v>
      </c>
      <c r="C1276">
        <v>45706</v>
      </c>
      <c r="F1276" t="s">
        <v>754</v>
      </c>
      <c r="H1276">
        <v>79.48</v>
      </c>
      <c r="O1276" t="s">
        <v>239</v>
      </c>
      <c r="P1276" t="s">
        <v>514</v>
      </c>
      <c r="Y1276">
        <v>1242</v>
      </c>
      <c r="Z1276" s="259" t="s">
        <v>630</v>
      </c>
      <c r="AA1276">
        <v>50</v>
      </c>
      <c r="AB1276">
        <v>4104</v>
      </c>
      <c r="AC1276">
        <v>45706</v>
      </c>
      <c r="AD1276">
        <v>0</v>
      </c>
      <c r="AE1276">
        <v>3974</v>
      </c>
      <c r="AF1276">
        <v>3974</v>
      </c>
      <c r="AG1276">
        <v>0</v>
      </c>
      <c r="AH1276">
        <v>-130</v>
      </c>
    </row>
    <row r="1277" spans="2:34" x14ac:dyDescent="0.35">
      <c r="B1277" t="s">
        <v>565</v>
      </c>
      <c r="C1277">
        <v>45707</v>
      </c>
      <c r="F1277" t="s">
        <v>749</v>
      </c>
      <c r="H1277">
        <v>98.67</v>
      </c>
      <c r="O1277" t="s">
        <v>239</v>
      </c>
      <c r="P1277" t="s">
        <v>514</v>
      </c>
      <c r="Y1277">
        <v>1243</v>
      </c>
      <c r="Z1277" s="259" t="s">
        <v>630</v>
      </c>
      <c r="AA1277">
        <v>80</v>
      </c>
      <c r="AB1277">
        <v>8008</v>
      </c>
      <c r="AC1277">
        <v>45707</v>
      </c>
      <c r="AD1277">
        <v>0</v>
      </c>
      <c r="AE1277">
        <v>7893.6</v>
      </c>
      <c r="AF1277">
        <v>7893.6</v>
      </c>
      <c r="AG1277">
        <v>0</v>
      </c>
      <c r="AH1277">
        <v>-114.39999999999964</v>
      </c>
    </row>
    <row r="1278" spans="2:34" x14ac:dyDescent="0.35">
      <c r="B1278" t="s">
        <v>565</v>
      </c>
      <c r="C1278">
        <v>45707</v>
      </c>
      <c r="F1278" t="s">
        <v>752</v>
      </c>
      <c r="H1278">
        <v>199</v>
      </c>
      <c r="O1278" t="s">
        <v>239</v>
      </c>
      <c r="P1278" t="s">
        <v>514</v>
      </c>
      <c r="Y1278">
        <v>1244</v>
      </c>
      <c r="Z1278" s="259" t="s">
        <v>630</v>
      </c>
      <c r="AA1278">
        <v>100</v>
      </c>
      <c r="AB1278">
        <v>20020</v>
      </c>
      <c r="AC1278">
        <v>45707</v>
      </c>
      <c r="AD1278">
        <v>0</v>
      </c>
      <c r="AE1278">
        <v>19900</v>
      </c>
      <c r="AF1278">
        <v>19900</v>
      </c>
      <c r="AG1278">
        <v>0</v>
      </c>
      <c r="AH1278">
        <v>-120</v>
      </c>
    </row>
    <row r="1279" spans="2:34" x14ac:dyDescent="0.35">
      <c r="B1279" t="s">
        <v>565</v>
      </c>
      <c r="C1279">
        <v>45707</v>
      </c>
      <c r="F1279" t="s">
        <v>754</v>
      </c>
      <c r="H1279">
        <v>79.33</v>
      </c>
      <c r="O1279" t="s">
        <v>239</v>
      </c>
      <c r="P1279" t="s">
        <v>514</v>
      </c>
      <c r="Y1279">
        <v>1245</v>
      </c>
      <c r="Z1279" s="259" t="s">
        <v>630</v>
      </c>
      <c r="AA1279">
        <v>50</v>
      </c>
      <c r="AB1279">
        <v>4104</v>
      </c>
      <c r="AC1279">
        <v>45707</v>
      </c>
      <c r="AD1279">
        <v>0</v>
      </c>
      <c r="AE1279">
        <v>3966.5</v>
      </c>
      <c r="AF1279">
        <v>3966.5</v>
      </c>
      <c r="AG1279">
        <v>0</v>
      </c>
      <c r="AH1279">
        <v>-137.5</v>
      </c>
    </row>
    <row r="1280" spans="2:34" x14ac:dyDescent="0.35">
      <c r="B1280" t="s">
        <v>565</v>
      </c>
      <c r="C1280">
        <v>45708</v>
      </c>
      <c r="F1280" t="s">
        <v>749</v>
      </c>
      <c r="H1280">
        <v>98.48</v>
      </c>
      <c r="O1280" t="s">
        <v>239</v>
      </c>
      <c r="P1280" t="s">
        <v>514</v>
      </c>
      <c r="Y1280">
        <v>1246</v>
      </c>
      <c r="Z1280" s="259" t="s">
        <v>630</v>
      </c>
      <c r="AA1280">
        <v>80</v>
      </c>
      <c r="AB1280">
        <v>8008</v>
      </c>
      <c r="AC1280">
        <v>45708</v>
      </c>
      <c r="AD1280">
        <v>0</v>
      </c>
      <c r="AE1280">
        <v>7878.4000000000005</v>
      </c>
      <c r="AF1280">
        <v>7878.4000000000005</v>
      </c>
      <c r="AG1280">
        <v>0</v>
      </c>
      <c r="AH1280">
        <v>-129.59999999999945</v>
      </c>
    </row>
    <row r="1281" spans="2:34" x14ac:dyDescent="0.35">
      <c r="B1281" t="s">
        <v>565</v>
      </c>
      <c r="C1281">
        <v>45708</v>
      </c>
      <c r="F1281" t="s">
        <v>752</v>
      </c>
      <c r="H1281">
        <v>199.22</v>
      </c>
      <c r="O1281" t="s">
        <v>239</v>
      </c>
      <c r="P1281" t="s">
        <v>514</v>
      </c>
      <c r="Y1281">
        <v>1247</v>
      </c>
      <c r="Z1281" s="259" t="s">
        <v>630</v>
      </c>
      <c r="AA1281">
        <v>100</v>
      </c>
      <c r="AB1281">
        <v>20020</v>
      </c>
      <c r="AC1281">
        <v>45708</v>
      </c>
      <c r="AD1281">
        <v>0</v>
      </c>
      <c r="AE1281">
        <v>19922</v>
      </c>
      <c r="AF1281">
        <v>19922</v>
      </c>
      <c r="AG1281">
        <v>0</v>
      </c>
      <c r="AH1281">
        <v>-98</v>
      </c>
    </row>
    <row r="1282" spans="2:34" x14ac:dyDescent="0.35">
      <c r="B1282" t="s">
        <v>565</v>
      </c>
      <c r="C1282">
        <v>45708</v>
      </c>
      <c r="F1282" t="s">
        <v>754</v>
      </c>
      <c r="H1282">
        <v>79.19</v>
      </c>
      <c r="O1282" t="s">
        <v>239</v>
      </c>
      <c r="P1282" t="s">
        <v>514</v>
      </c>
      <c r="Y1282">
        <v>1248</v>
      </c>
      <c r="Z1282" s="259" t="s">
        <v>630</v>
      </c>
      <c r="AA1282">
        <v>50</v>
      </c>
      <c r="AB1282">
        <v>4104</v>
      </c>
      <c r="AC1282">
        <v>45708</v>
      </c>
      <c r="AD1282">
        <v>0</v>
      </c>
      <c r="AE1282">
        <v>3959.5</v>
      </c>
      <c r="AF1282">
        <v>3959.5</v>
      </c>
      <c r="AG1282">
        <v>0</v>
      </c>
      <c r="AH1282">
        <v>-144.5</v>
      </c>
    </row>
    <row r="1283" spans="2:34" x14ac:dyDescent="0.35">
      <c r="B1283" t="s">
        <v>565</v>
      </c>
      <c r="C1283">
        <v>45709</v>
      </c>
      <c r="F1283" t="s">
        <v>749</v>
      </c>
      <c r="H1283">
        <v>98.3</v>
      </c>
      <c r="O1283" t="s">
        <v>239</v>
      </c>
      <c r="P1283" t="s">
        <v>514</v>
      </c>
      <c r="Y1283">
        <v>1249</v>
      </c>
      <c r="Z1283" s="259" t="s">
        <v>630</v>
      </c>
      <c r="AA1283">
        <v>80</v>
      </c>
      <c r="AB1283">
        <v>8008</v>
      </c>
      <c r="AC1283">
        <v>45709</v>
      </c>
      <c r="AD1283">
        <v>0</v>
      </c>
      <c r="AE1283">
        <v>7864</v>
      </c>
      <c r="AF1283">
        <v>7864</v>
      </c>
      <c r="AG1283">
        <v>0</v>
      </c>
      <c r="AH1283">
        <v>-144</v>
      </c>
    </row>
    <row r="1284" spans="2:34" x14ac:dyDescent="0.35">
      <c r="B1284" t="s">
        <v>565</v>
      </c>
      <c r="C1284">
        <v>45709</v>
      </c>
      <c r="F1284" t="s">
        <v>752</v>
      </c>
      <c r="H1284">
        <v>199.44</v>
      </c>
      <c r="O1284" t="s">
        <v>239</v>
      </c>
      <c r="P1284" t="s">
        <v>514</v>
      </c>
      <c r="Y1284">
        <v>1250</v>
      </c>
      <c r="Z1284" s="259" t="s">
        <v>630</v>
      </c>
      <c r="AA1284">
        <v>100</v>
      </c>
      <c r="AB1284">
        <v>20020</v>
      </c>
      <c r="AC1284">
        <v>45709</v>
      </c>
      <c r="AD1284">
        <v>0</v>
      </c>
      <c r="AE1284">
        <v>19944</v>
      </c>
      <c r="AF1284">
        <v>19944</v>
      </c>
      <c r="AG1284">
        <v>0</v>
      </c>
      <c r="AH1284">
        <v>-76</v>
      </c>
    </row>
    <row r="1285" spans="2:34" x14ac:dyDescent="0.35">
      <c r="B1285" t="s">
        <v>565</v>
      </c>
      <c r="C1285">
        <v>45709</v>
      </c>
      <c r="F1285" t="s">
        <v>754</v>
      </c>
      <c r="H1285">
        <v>79.040000000000006</v>
      </c>
      <c r="O1285" t="s">
        <v>239</v>
      </c>
      <c r="P1285" t="s">
        <v>514</v>
      </c>
      <c r="Y1285">
        <v>1251</v>
      </c>
      <c r="Z1285" s="259" t="s">
        <v>630</v>
      </c>
      <c r="AA1285">
        <v>50</v>
      </c>
      <c r="AB1285">
        <v>4104</v>
      </c>
      <c r="AC1285">
        <v>45709</v>
      </c>
      <c r="AD1285">
        <v>0</v>
      </c>
      <c r="AE1285">
        <v>3952.0000000000005</v>
      </c>
      <c r="AF1285">
        <v>3952.0000000000005</v>
      </c>
      <c r="AG1285">
        <v>0</v>
      </c>
      <c r="AH1285">
        <v>-151.99999999999955</v>
      </c>
    </row>
    <row r="1286" spans="2:34" x14ac:dyDescent="0.35">
      <c r="B1286" t="s">
        <v>565</v>
      </c>
      <c r="C1286">
        <v>45710</v>
      </c>
      <c r="F1286" t="s">
        <v>749</v>
      </c>
      <c r="H1286">
        <v>98.3</v>
      </c>
      <c r="O1286" t="s">
        <v>239</v>
      </c>
      <c r="P1286" t="s">
        <v>514</v>
      </c>
      <c r="Y1286">
        <v>1252</v>
      </c>
      <c r="Z1286" s="259" t="s">
        <v>630</v>
      </c>
      <c r="AA1286">
        <v>80</v>
      </c>
      <c r="AB1286">
        <v>8008</v>
      </c>
      <c r="AC1286">
        <v>45709</v>
      </c>
      <c r="AD1286">
        <v>1</v>
      </c>
      <c r="AE1286">
        <v>7864</v>
      </c>
      <c r="AF1286">
        <v>7864</v>
      </c>
      <c r="AG1286">
        <v>0</v>
      </c>
      <c r="AH1286">
        <v>-144</v>
      </c>
    </row>
    <row r="1287" spans="2:34" x14ac:dyDescent="0.35">
      <c r="B1287" t="s">
        <v>565</v>
      </c>
      <c r="C1287">
        <v>45710</v>
      </c>
      <c r="F1287" t="s">
        <v>752</v>
      </c>
      <c r="H1287">
        <v>199.44</v>
      </c>
      <c r="O1287" t="s">
        <v>239</v>
      </c>
      <c r="P1287" t="s">
        <v>514</v>
      </c>
      <c r="Y1287">
        <v>1253</v>
      </c>
      <c r="Z1287" s="259" t="s">
        <v>630</v>
      </c>
      <c r="AA1287">
        <v>100</v>
      </c>
      <c r="AB1287">
        <v>20020</v>
      </c>
      <c r="AC1287">
        <v>45709</v>
      </c>
      <c r="AD1287">
        <v>1</v>
      </c>
      <c r="AE1287">
        <v>19944</v>
      </c>
      <c r="AF1287">
        <v>19944</v>
      </c>
      <c r="AG1287">
        <v>0</v>
      </c>
      <c r="AH1287">
        <v>-76</v>
      </c>
    </row>
    <row r="1288" spans="2:34" x14ac:dyDescent="0.35">
      <c r="B1288" t="s">
        <v>565</v>
      </c>
      <c r="C1288">
        <v>45710</v>
      </c>
      <c r="F1288" t="s">
        <v>754</v>
      </c>
      <c r="H1288">
        <v>79.040000000000006</v>
      </c>
      <c r="O1288" t="s">
        <v>239</v>
      </c>
      <c r="P1288" t="s">
        <v>514</v>
      </c>
      <c r="Y1288">
        <v>1254</v>
      </c>
      <c r="Z1288" s="259" t="s">
        <v>630</v>
      </c>
      <c r="AA1288">
        <v>50</v>
      </c>
      <c r="AB1288">
        <v>4104</v>
      </c>
      <c r="AC1288">
        <v>45709</v>
      </c>
      <c r="AD1288">
        <v>1</v>
      </c>
      <c r="AE1288">
        <v>3952.0000000000005</v>
      </c>
      <c r="AF1288">
        <v>3952.0000000000005</v>
      </c>
      <c r="AG1288">
        <v>0</v>
      </c>
      <c r="AH1288">
        <v>-151.99999999999955</v>
      </c>
    </row>
    <row r="1289" spans="2:34" x14ac:dyDescent="0.35">
      <c r="B1289" t="s">
        <v>565</v>
      </c>
      <c r="C1289">
        <v>45711</v>
      </c>
      <c r="F1289" t="s">
        <v>749</v>
      </c>
      <c r="H1289">
        <v>98.3</v>
      </c>
      <c r="O1289" t="s">
        <v>239</v>
      </c>
      <c r="P1289" t="s">
        <v>514</v>
      </c>
      <c r="Y1289">
        <v>1255</v>
      </c>
      <c r="Z1289" s="259" t="s">
        <v>630</v>
      </c>
      <c r="AA1289">
        <v>80</v>
      </c>
      <c r="AB1289">
        <v>8008</v>
      </c>
      <c r="AC1289">
        <v>45709</v>
      </c>
      <c r="AD1289">
        <v>2</v>
      </c>
      <c r="AE1289">
        <v>7864</v>
      </c>
      <c r="AF1289">
        <v>7864</v>
      </c>
      <c r="AG1289">
        <v>0</v>
      </c>
      <c r="AH1289">
        <v>-144</v>
      </c>
    </row>
    <row r="1290" spans="2:34" x14ac:dyDescent="0.35">
      <c r="B1290" t="s">
        <v>565</v>
      </c>
      <c r="C1290">
        <v>45711</v>
      </c>
      <c r="F1290" t="s">
        <v>752</v>
      </c>
      <c r="H1290">
        <v>199.44</v>
      </c>
      <c r="O1290" t="s">
        <v>239</v>
      </c>
      <c r="P1290" t="s">
        <v>514</v>
      </c>
      <c r="Y1290">
        <v>1256</v>
      </c>
      <c r="Z1290" s="259" t="s">
        <v>630</v>
      </c>
      <c r="AA1290">
        <v>100</v>
      </c>
      <c r="AB1290">
        <v>20020</v>
      </c>
      <c r="AC1290">
        <v>45709</v>
      </c>
      <c r="AD1290">
        <v>2</v>
      </c>
      <c r="AE1290">
        <v>19944</v>
      </c>
      <c r="AF1290">
        <v>19944</v>
      </c>
      <c r="AG1290">
        <v>0</v>
      </c>
      <c r="AH1290">
        <v>-76</v>
      </c>
    </row>
    <row r="1291" spans="2:34" x14ac:dyDescent="0.35">
      <c r="B1291" t="s">
        <v>565</v>
      </c>
      <c r="C1291">
        <v>45711</v>
      </c>
      <c r="F1291" t="s">
        <v>754</v>
      </c>
      <c r="H1291">
        <v>79.040000000000006</v>
      </c>
      <c r="O1291" t="s">
        <v>239</v>
      </c>
      <c r="P1291" t="s">
        <v>514</v>
      </c>
      <c r="Y1291">
        <v>1257</v>
      </c>
      <c r="Z1291" s="259" t="s">
        <v>630</v>
      </c>
      <c r="AA1291">
        <v>50</v>
      </c>
      <c r="AB1291">
        <v>4104</v>
      </c>
      <c r="AC1291">
        <v>45709</v>
      </c>
      <c r="AD1291">
        <v>2</v>
      </c>
      <c r="AE1291">
        <v>3952.0000000000005</v>
      </c>
      <c r="AF1291">
        <v>3952.0000000000005</v>
      </c>
      <c r="AG1291">
        <v>0</v>
      </c>
      <c r="AH1291">
        <v>-151.99999999999955</v>
      </c>
    </row>
    <row r="1292" spans="2:34" x14ac:dyDescent="0.35">
      <c r="B1292" t="s">
        <v>565</v>
      </c>
      <c r="C1292">
        <v>45712</v>
      </c>
      <c r="F1292" t="s">
        <v>749</v>
      </c>
      <c r="H1292">
        <v>97.74</v>
      </c>
      <c r="O1292" t="s">
        <v>239</v>
      </c>
      <c r="P1292" t="s">
        <v>514</v>
      </c>
      <c r="Y1292">
        <v>1258</v>
      </c>
      <c r="Z1292" s="259" t="s">
        <v>630</v>
      </c>
      <c r="AA1292">
        <v>80</v>
      </c>
      <c r="AB1292">
        <v>8008</v>
      </c>
      <c r="AC1292">
        <v>45712</v>
      </c>
      <c r="AD1292">
        <v>0</v>
      </c>
      <c r="AE1292">
        <v>7819.2</v>
      </c>
      <c r="AF1292">
        <v>7819.2</v>
      </c>
      <c r="AG1292">
        <v>0</v>
      </c>
      <c r="AH1292">
        <v>-188.80000000000018</v>
      </c>
    </row>
    <row r="1293" spans="2:34" x14ac:dyDescent="0.35">
      <c r="B1293" t="s">
        <v>565</v>
      </c>
      <c r="C1293">
        <v>45712</v>
      </c>
      <c r="F1293" t="s">
        <v>752</v>
      </c>
      <c r="H1293">
        <v>200.11</v>
      </c>
      <c r="O1293" t="s">
        <v>239</v>
      </c>
      <c r="P1293" t="s">
        <v>514</v>
      </c>
      <c r="Y1293">
        <v>1259</v>
      </c>
      <c r="Z1293" s="259" t="s">
        <v>630</v>
      </c>
      <c r="AA1293">
        <v>100</v>
      </c>
      <c r="AB1293">
        <v>20020</v>
      </c>
      <c r="AC1293">
        <v>45712</v>
      </c>
      <c r="AD1293">
        <v>0</v>
      </c>
      <c r="AE1293">
        <v>20011</v>
      </c>
      <c r="AF1293">
        <v>20011</v>
      </c>
      <c r="AG1293">
        <v>0</v>
      </c>
      <c r="AH1293">
        <v>-9</v>
      </c>
    </row>
    <row r="1294" spans="2:34" x14ac:dyDescent="0.35">
      <c r="B1294" t="s">
        <v>565</v>
      </c>
      <c r="C1294">
        <v>45712</v>
      </c>
      <c r="F1294" t="s">
        <v>754</v>
      </c>
      <c r="H1294">
        <v>78.59</v>
      </c>
      <c r="O1294" t="s">
        <v>239</v>
      </c>
      <c r="P1294" t="s">
        <v>514</v>
      </c>
      <c r="Y1294">
        <v>1260</v>
      </c>
      <c r="Z1294" s="259" t="s">
        <v>630</v>
      </c>
      <c r="AA1294">
        <v>50</v>
      </c>
      <c r="AB1294">
        <v>4104</v>
      </c>
      <c r="AC1294">
        <v>45712</v>
      </c>
      <c r="AD1294">
        <v>0</v>
      </c>
      <c r="AE1294">
        <v>3929.5</v>
      </c>
      <c r="AF1294">
        <v>3929.5</v>
      </c>
      <c r="AG1294">
        <v>0</v>
      </c>
      <c r="AH1294">
        <v>-174.5</v>
      </c>
    </row>
    <row r="1295" spans="2:34" x14ac:dyDescent="0.35">
      <c r="B1295" t="s">
        <v>565</v>
      </c>
      <c r="C1295">
        <v>45713</v>
      </c>
      <c r="F1295" t="s">
        <v>749</v>
      </c>
      <c r="H1295">
        <v>97.56</v>
      </c>
      <c r="O1295" t="s">
        <v>239</v>
      </c>
      <c r="P1295" t="s">
        <v>514</v>
      </c>
      <c r="Y1295">
        <v>1261</v>
      </c>
      <c r="Z1295" s="259" t="s">
        <v>630</v>
      </c>
      <c r="AA1295">
        <v>80</v>
      </c>
      <c r="AB1295">
        <v>8008</v>
      </c>
      <c r="AC1295">
        <v>45713</v>
      </c>
      <c r="AD1295">
        <v>0</v>
      </c>
      <c r="AE1295">
        <v>7804.8</v>
      </c>
      <c r="AF1295">
        <v>7804.8</v>
      </c>
      <c r="AG1295">
        <v>0</v>
      </c>
      <c r="AH1295">
        <v>-203.19999999999982</v>
      </c>
    </row>
    <row r="1296" spans="2:34" x14ac:dyDescent="0.35">
      <c r="B1296" t="s">
        <v>565</v>
      </c>
      <c r="C1296">
        <v>45713</v>
      </c>
      <c r="F1296" t="s">
        <v>752</v>
      </c>
      <c r="H1296">
        <v>200.33</v>
      </c>
      <c r="O1296" t="s">
        <v>239</v>
      </c>
      <c r="P1296" t="s">
        <v>514</v>
      </c>
      <c r="Y1296">
        <v>1262</v>
      </c>
      <c r="Z1296" s="259" t="s">
        <v>630</v>
      </c>
      <c r="AA1296">
        <v>100</v>
      </c>
      <c r="AB1296">
        <v>20020</v>
      </c>
      <c r="AC1296">
        <v>45713</v>
      </c>
      <c r="AD1296">
        <v>0</v>
      </c>
      <c r="AE1296">
        <v>20033</v>
      </c>
      <c r="AF1296">
        <v>20033</v>
      </c>
      <c r="AG1296">
        <v>0</v>
      </c>
      <c r="AH1296">
        <v>13</v>
      </c>
    </row>
    <row r="1297" spans="2:34" x14ac:dyDescent="0.35">
      <c r="B1297" t="s">
        <v>565</v>
      </c>
      <c r="C1297">
        <v>45713</v>
      </c>
      <c r="F1297" t="s">
        <v>754</v>
      </c>
      <c r="H1297">
        <v>78.44</v>
      </c>
      <c r="O1297" t="s">
        <v>239</v>
      </c>
      <c r="P1297" t="s">
        <v>514</v>
      </c>
      <c r="Y1297">
        <v>1263</v>
      </c>
      <c r="Z1297" s="259" t="s">
        <v>630</v>
      </c>
      <c r="AA1297">
        <v>50</v>
      </c>
      <c r="AB1297">
        <v>4104</v>
      </c>
      <c r="AC1297">
        <v>45713</v>
      </c>
      <c r="AD1297">
        <v>0</v>
      </c>
      <c r="AE1297">
        <v>3922</v>
      </c>
      <c r="AF1297">
        <v>3922</v>
      </c>
      <c r="AG1297">
        <v>0</v>
      </c>
      <c r="AH1297">
        <v>-182</v>
      </c>
    </row>
    <row r="1298" spans="2:34" x14ac:dyDescent="0.35">
      <c r="B1298" t="s">
        <v>565</v>
      </c>
      <c r="C1298">
        <v>45714</v>
      </c>
      <c r="F1298" t="s">
        <v>749</v>
      </c>
      <c r="H1298">
        <v>97.37</v>
      </c>
      <c r="O1298" t="s">
        <v>239</v>
      </c>
      <c r="P1298" t="s">
        <v>514</v>
      </c>
      <c r="Y1298">
        <v>1264</v>
      </c>
      <c r="Z1298" s="259" t="s">
        <v>630</v>
      </c>
      <c r="AA1298">
        <v>80</v>
      </c>
      <c r="AB1298">
        <v>8008</v>
      </c>
      <c r="AC1298">
        <v>45714</v>
      </c>
      <c r="AD1298">
        <v>0</v>
      </c>
      <c r="AE1298">
        <v>7789.6</v>
      </c>
      <c r="AF1298">
        <v>7789.6</v>
      </c>
      <c r="AG1298">
        <v>0</v>
      </c>
      <c r="AH1298">
        <v>-218.39999999999964</v>
      </c>
    </row>
    <row r="1299" spans="2:34" x14ac:dyDescent="0.35">
      <c r="B1299" t="s">
        <v>565</v>
      </c>
      <c r="C1299">
        <v>45714</v>
      </c>
      <c r="F1299" t="s">
        <v>752</v>
      </c>
      <c r="H1299">
        <v>200.56</v>
      </c>
      <c r="O1299" t="s">
        <v>239</v>
      </c>
      <c r="P1299" t="s">
        <v>514</v>
      </c>
      <c r="Y1299">
        <v>1265</v>
      </c>
      <c r="Z1299" s="259" t="s">
        <v>630</v>
      </c>
      <c r="AA1299">
        <v>100</v>
      </c>
      <c r="AB1299">
        <v>20020</v>
      </c>
      <c r="AC1299">
        <v>45714</v>
      </c>
      <c r="AD1299">
        <v>0</v>
      </c>
      <c r="AE1299">
        <v>20056</v>
      </c>
      <c r="AF1299">
        <v>20056</v>
      </c>
      <c r="AG1299">
        <v>0</v>
      </c>
      <c r="AH1299">
        <v>36</v>
      </c>
    </row>
    <row r="1300" spans="2:34" x14ac:dyDescent="0.35">
      <c r="B1300" t="s">
        <v>565</v>
      </c>
      <c r="C1300">
        <v>45714</v>
      </c>
      <c r="F1300" t="s">
        <v>754</v>
      </c>
      <c r="H1300">
        <v>78.3</v>
      </c>
      <c r="O1300" t="s">
        <v>239</v>
      </c>
      <c r="P1300" t="s">
        <v>514</v>
      </c>
      <c r="Y1300">
        <v>1266</v>
      </c>
      <c r="Z1300" s="259" t="s">
        <v>630</v>
      </c>
      <c r="AA1300">
        <v>50</v>
      </c>
      <c r="AB1300">
        <v>4104</v>
      </c>
      <c r="AC1300">
        <v>45714</v>
      </c>
      <c r="AD1300">
        <v>0</v>
      </c>
      <c r="AE1300">
        <v>3915</v>
      </c>
      <c r="AF1300">
        <v>3915</v>
      </c>
      <c r="AG1300">
        <v>0</v>
      </c>
      <c r="AH1300">
        <v>-189</v>
      </c>
    </row>
    <row r="1301" spans="2:34" x14ac:dyDescent="0.35">
      <c r="B1301" t="s">
        <v>565</v>
      </c>
      <c r="C1301">
        <v>45715</v>
      </c>
      <c r="F1301" t="s">
        <v>749</v>
      </c>
      <c r="H1301">
        <v>97.19</v>
      </c>
      <c r="O1301" t="s">
        <v>239</v>
      </c>
      <c r="P1301" t="s">
        <v>514</v>
      </c>
      <c r="Y1301">
        <v>1267</v>
      </c>
      <c r="Z1301" s="259" t="s">
        <v>630</v>
      </c>
      <c r="AA1301">
        <v>80</v>
      </c>
      <c r="AB1301">
        <v>8008</v>
      </c>
      <c r="AC1301">
        <v>45715</v>
      </c>
      <c r="AD1301">
        <v>0</v>
      </c>
      <c r="AE1301">
        <v>7775.2</v>
      </c>
      <c r="AF1301">
        <v>7775.2</v>
      </c>
      <c r="AG1301">
        <v>0</v>
      </c>
      <c r="AH1301">
        <v>-232.80000000000018</v>
      </c>
    </row>
    <row r="1302" spans="2:34" x14ac:dyDescent="0.35">
      <c r="B1302" t="s">
        <v>565</v>
      </c>
      <c r="C1302">
        <v>45715</v>
      </c>
      <c r="F1302" t="s">
        <v>752</v>
      </c>
      <c r="H1302">
        <v>200.78</v>
      </c>
      <c r="O1302" t="s">
        <v>239</v>
      </c>
      <c r="P1302" t="s">
        <v>514</v>
      </c>
      <c r="Y1302">
        <v>1268</v>
      </c>
      <c r="Z1302" s="259" t="s">
        <v>630</v>
      </c>
      <c r="AA1302">
        <v>100</v>
      </c>
      <c r="AB1302">
        <v>20020</v>
      </c>
      <c r="AC1302">
        <v>45715</v>
      </c>
      <c r="AD1302">
        <v>0</v>
      </c>
      <c r="AE1302">
        <v>20078</v>
      </c>
      <c r="AF1302">
        <v>20078</v>
      </c>
      <c r="AG1302">
        <v>0</v>
      </c>
      <c r="AH1302">
        <v>58</v>
      </c>
    </row>
    <row r="1303" spans="2:34" x14ac:dyDescent="0.35">
      <c r="B1303" t="s">
        <v>565</v>
      </c>
      <c r="C1303">
        <v>45715</v>
      </c>
      <c r="F1303" t="s">
        <v>754</v>
      </c>
      <c r="H1303">
        <v>78.150000000000006</v>
      </c>
      <c r="O1303" t="s">
        <v>239</v>
      </c>
      <c r="P1303" t="s">
        <v>514</v>
      </c>
      <c r="Y1303">
        <v>1269</v>
      </c>
      <c r="Z1303" s="259" t="s">
        <v>630</v>
      </c>
      <c r="AA1303">
        <v>50</v>
      </c>
      <c r="AB1303">
        <v>4104</v>
      </c>
      <c r="AC1303">
        <v>45715</v>
      </c>
      <c r="AD1303">
        <v>0</v>
      </c>
      <c r="AE1303">
        <v>3907.5000000000005</v>
      </c>
      <c r="AF1303">
        <v>3907.5000000000005</v>
      </c>
      <c r="AG1303">
        <v>0</v>
      </c>
      <c r="AH1303">
        <v>-196.49999999999955</v>
      </c>
    </row>
    <row r="1304" spans="2:34" x14ac:dyDescent="0.35">
      <c r="B1304" t="s">
        <v>565</v>
      </c>
      <c r="C1304">
        <v>45716</v>
      </c>
      <c r="F1304" t="s">
        <v>749</v>
      </c>
      <c r="H1304">
        <v>97</v>
      </c>
      <c r="O1304" t="s">
        <v>239</v>
      </c>
      <c r="P1304" t="s">
        <v>514</v>
      </c>
      <c r="Y1304">
        <v>1270</v>
      </c>
      <c r="Z1304" s="259" t="s">
        <v>630</v>
      </c>
      <c r="AA1304">
        <v>80</v>
      </c>
      <c r="AB1304">
        <v>8008</v>
      </c>
      <c r="AC1304">
        <v>45716</v>
      </c>
      <c r="AD1304">
        <v>0</v>
      </c>
      <c r="AE1304">
        <v>7760</v>
      </c>
      <c r="AF1304">
        <v>7760</v>
      </c>
      <c r="AG1304">
        <v>0</v>
      </c>
      <c r="AH1304">
        <v>-248</v>
      </c>
    </row>
    <row r="1305" spans="2:34" x14ac:dyDescent="0.35">
      <c r="B1305" t="s">
        <v>565</v>
      </c>
      <c r="C1305">
        <v>45716</v>
      </c>
      <c r="F1305" t="s">
        <v>752</v>
      </c>
      <c r="H1305">
        <v>201</v>
      </c>
      <c r="O1305" t="s">
        <v>239</v>
      </c>
      <c r="P1305" t="s">
        <v>514</v>
      </c>
      <c r="Y1305">
        <v>1271</v>
      </c>
      <c r="Z1305" s="259" t="s">
        <v>630</v>
      </c>
      <c r="AA1305">
        <v>100</v>
      </c>
      <c r="AB1305">
        <v>20020</v>
      </c>
      <c r="AC1305">
        <v>45716</v>
      </c>
      <c r="AD1305">
        <v>0</v>
      </c>
      <c r="AE1305">
        <v>20100</v>
      </c>
      <c r="AF1305">
        <v>20100</v>
      </c>
      <c r="AG1305">
        <v>0</v>
      </c>
      <c r="AH1305">
        <v>80</v>
      </c>
    </row>
    <row r="1306" spans="2:34" x14ac:dyDescent="0.35">
      <c r="B1306" t="s">
        <v>565</v>
      </c>
      <c r="C1306">
        <v>45716</v>
      </c>
      <c r="F1306" t="s">
        <v>754</v>
      </c>
      <c r="H1306">
        <v>78</v>
      </c>
      <c r="O1306" t="s">
        <v>239</v>
      </c>
      <c r="P1306" t="s">
        <v>514</v>
      </c>
      <c r="Y1306">
        <v>1272</v>
      </c>
      <c r="Z1306" s="259" t="s">
        <v>630</v>
      </c>
      <c r="AA1306">
        <v>50</v>
      </c>
      <c r="AB1306">
        <v>4104</v>
      </c>
      <c r="AC1306">
        <v>45716</v>
      </c>
      <c r="AD1306">
        <v>0</v>
      </c>
      <c r="AE1306">
        <v>3900</v>
      </c>
      <c r="AF1306">
        <v>3900</v>
      </c>
      <c r="AG1306">
        <v>0</v>
      </c>
      <c r="AH1306">
        <v>-204</v>
      </c>
    </row>
    <row r="1307" spans="2:34" x14ac:dyDescent="0.35">
      <c r="B1307" t="s">
        <v>565</v>
      </c>
      <c r="C1307">
        <v>45717</v>
      </c>
      <c r="F1307" t="s">
        <v>749</v>
      </c>
      <c r="H1307">
        <v>97</v>
      </c>
      <c r="O1307" t="s">
        <v>239</v>
      </c>
      <c r="P1307" t="s">
        <v>514</v>
      </c>
      <c r="Y1307">
        <v>1273</v>
      </c>
      <c r="Z1307" s="259" t="s">
        <v>630</v>
      </c>
      <c r="AA1307">
        <v>80</v>
      </c>
      <c r="AB1307">
        <v>8008</v>
      </c>
      <c r="AC1307">
        <v>45716</v>
      </c>
      <c r="AD1307">
        <v>1</v>
      </c>
      <c r="AE1307">
        <v>7760</v>
      </c>
      <c r="AF1307">
        <v>7760</v>
      </c>
      <c r="AG1307">
        <v>0</v>
      </c>
      <c r="AH1307">
        <v>-248</v>
      </c>
    </row>
    <row r="1308" spans="2:34" x14ac:dyDescent="0.35">
      <c r="B1308" t="s">
        <v>565</v>
      </c>
      <c r="C1308">
        <v>45717</v>
      </c>
      <c r="F1308" t="s">
        <v>752</v>
      </c>
      <c r="H1308">
        <v>201</v>
      </c>
      <c r="O1308" t="s">
        <v>239</v>
      </c>
      <c r="P1308" t="s">
        <v>514</v>
      </c>
      <c r="Y1308">
        <v>1274</v>
      </c>
      <c r="Z1308" s="259" t="s">
        <v>630</v>
      </c>
      <c r="AA1308">
        <v>100</v>
      </c>
      <c r="AB1308">
        <v>20020</v>
      </c>
      <c r="AC1308">
        <v>45716</v>
      </c>
      <c r="AD1308">
        <v>1</v>
      </c>
      <c r="AE1308">
        <v>20100</v>
      </c>
      <c r="AF1308">
        <v>20100</v>
      </c>
      <c r="AG1308">
        <v>0</v>
      </c>
      <c r="AH1308">
        <v>80</v>
      </c>
    </row>
    <row r="1309" spans="2:34" x14ac:dyDescent="0.35">
      <c r="B1309" t="s">
        <v>565</v>
      </c>
      <c r="C1309">
        <v>45717</v>
      </c>
      <c r="F1309" t="s">
        <v>754</v>
      </c>
      <c r="H1309">
        <v>78</v>
      </c>
      <c r="O1309" t="s">
        <v>239</v>
      </c>
      <c r="P1309" t="s">
        <v>514</v>
      </c>
      <c r="Y1309">
        <v>1275</v>
      </c>
      <c r="Z1309" s="259" t="s">
        <v>630</v>
      </c>
      <c r="AA1309">
        <v>50</v>
      </c>
      <c r="AB1309">
        <v>4104</v>
      </c>
      <c r="AC1309">
        <v>45716</v>
      </c>
      <c r="AD1309">
        <v>1</v>
      </c>
      <c r="AE1309">
        <v>3900</v>
      </c>
      <c r="AF1309">
        <v>3900</v>
      </c>
      <c r="AG1309">
        <v>0</v>
      </c>
      <c r="AH1309">
        <v>-204</v>
      </c>
    </row>
    <row r="1310" spans="2:34" x14ac:dyDescent="0.35">
      <c r="B1310" t="s">
        <v>565</v>
      </c>
      <c r="C1310">
        <v>45718</v>
      </c>
      <c r="F1310" t="s">
        <v>749</v>
      </c>
      <c r="H1310">
        <v>97</v>
      </c>
      <c r="O1310" t="s">
        <v>239</v>
      </c>
      <c r="P1310" t="s">
        <v>514</v>
      </c>
      <c r="Y1310">
        <v>1276</v>
      </c>
      <c r="Z1310" s="259" t="s">
        <v>630</v>
      </c>
      <c r="AA1310">
        <v>80</v>
      </c>
      <c r="AB1310">
        <v>8008</v>
      </c>
      <c r="AC1310">
        <v>45716</v>
      </c>
      <c r="AD1310">
        <v>2</v>
      </c>
      <c r="AE1310">
        <v>7760</v>
      </c>
      <c r="AF1310">
        <v>7760</v>
      </c>
      <c r="AG1310">
        <v>0</v>
      </c>
      <c r="AH1310">
        <v>-248</v>
      </c>
    </row>
    <row r="1311" spans="2:34" x14ac:dyDescent="0.35">
      <c r="B1311" t="s">
        <v>565</v>
      </c>
      <c r="C1311">
        <v>45718</v>
      </c>
      <c r="F1311" t="s">
        <v>752</v>
      </c>
      <c r="H1311">
        <v>201</v>
      </c>
      <c r="O1311" t="s">
        <v>239</v>
      </c>
      <c r="P1311" t="s">
        <v>514</v>
      </c>
      <c r="Y1311">
        <v>1277</v>
      </c>
      <c r="Z1311" s="259" t="s">
        <v>630</v>
      </c>
      <c r="AA1311">
        <v>100</v>
      </c>
      <c r="AB1311">
        <v>20020</v>
      </c>
      <c r="AC1311">
        <v>45716</v>
      </c>
      <c r="AD1311">
        <v>2</v>
      </c>
      <c r="AE1311">
        <v>20100</v>
      </c>
      <c r="AF1311">
        <v>20100</v>
      </c>
      <c r="AG1311">
        <v>0</v>
      </c>
      <c r="AH1311">
        <v>80</v>
      </c>
    </row>
    <row r="1312" spans="2:34" x14ac:dyDescent="0.35">
      <c r="B1312" t="s">
        <v>565</v>
      </c>
      <c r="C1312">
        <v>45718</v>
      </c>
      <c r="F1312" t="s">
        <v>754</v>
      </c>
      <c r="H1312">
        <v>78</v>
      </c>
      <c r="O1312" t="s">
        <v>239</v>
      </c>
      <c r="P1312" t="s">
        <v>514</v>
      </c>
      <c r="Y1312">
        <v>1278</v>
      </c>
      <c r="Z1312" s="259" t="s">
        <v>630</v>
      </c>
      <c r="AA1312">
        <v>50</v>
      </c>
      <c r="AB1312">
        <v>4104</v>
      </c>
      <c r="AC1312">
        <v>45716</v>
      </c>
      <c r="AD1312">
        <v>2</v>
      </c>
      <c r="AE1312">
        <v>3900</v>
      </c>
      <c r="AF1312">
        <v>3900</v>
      </c>
      <c r="AG1312">
        <v>0</v>
      </c>
      <c r="AH1312">
        <v>-204</v>
      </c>
    </row>
    <row r="1313" spans="2:34" x14ac:dyDescent="0.35">
      <c r="B1313" t="s">
        <v>565</v>
      </c>
      <c r="C1313">
        <v>45719</v>
      </c>
      <c r="F1313" t="s">
        <v>749</v>
      </c>
      <c r="H1313">
        <v>97.6</v>
      </c>
      <c r="O1313" t="s">
        <v>239</v>
      </c>
      <c r="P1313" t="s">
        <v>514</v>
      </c>
      <c r="Y1313">
        <v>1279</v>
      </c>
      <c r="Z1313" s="259" t="s">
        <v>630</v>
      </c>
      <c r="AA1313">
        <v>80</v>
      </c>
      <c r="AB1313">
        <v>8008</v>
      </c>
      <c r="AC1313">
        <v>45719</v>
      </c>
      <c r="AD1313">
        <v>0</v>
      </c>
      <c r="AE1313">
        <v>7808</v>
      </c>
      <c r="AF1313">
        <v>7808</v>
      </c>
      <c r="AG1313">
        <v>0</v>
      </c>
      <c r="AH1313">
        <v>-200</v>
      </c>
    </row>
    <row r="1314" spans="2:34" x14ac:dyDescent="0.35">
      <c r="B1314" t="s">
        <v>565</v>
      </c>
      <c r="C1314">
        <v>45719</v>
      </c>
      <c r="F1314" t="s">
        <v>752</v>
      </c>
      <c r="H1314">
        <v>200.8</v>
      </c>
      <c r="O1314" t="s">
        <v>239</v>
      </c>
      <c r="P1314" t="s">
        <v>514</v>
      </c>
      <c r="Y1314">
        <v>1280</v>
      </c>
      <c r="Z1314" s="259" t="s">
        <v>630</v>
      </c>
      <c r="AA1314">
        <v>100</v>
      </c>
      <c r="AB1314">
        <v>20020</v>
      </c>
      <c r="AC1314">
        <v>45719</v>
      </c>
      <c r="AD1314">
        <v>0</v>
      </c>
      <c r="AE1314">
        <v>20080</v>
      </c>
      <c r="AF1314">
        <v>20080</v>
      </c>
      <c r="AG1314">
        <v>0</v>
      </c>
      <c r="AH1314">
        <v>60</v>
      </c>
    </row>
    <row r="1315" spans="2:34" x14ac:dyDescent="0.35">
      <c r="B1315" t="s">
        <v>565</v>
      </c>
      <c r="C1315">
        <v>45719</v>
      </c>
      <c r="F1315" t="s">
        <v>754</v>
      </c>
      <c r="H1315">
        <v>77.8</v>
      </c>
      <c r="O1315" t="s">
        <v>239</v>
      </c>
      <c r="P1315" t="s">
        <v>514</v>
      </c>
      <c r="Y1315">
        <v>1281</v>
      </c>
      <c r="Z1315" s="259" t="s">
        <v>630</v>
      </c>
      <c r="AA1315">
        <v>50</v>
      </c>
      <c r="AB1315">
        <v>4104</v>
      </c>
      <c r="AC1315">
        <v>45719</v>
      </c>
      <c r="AD1315">
        <v>0</v>
      </c>
      <c r="AE1315">
        <v>3890</v>
      </c>
      <c r="AF1315">
        <v>3890</v>
      </c>
      <c r="AG1315">
        <v>0</v>
      </c>
      <c r="AH1315">
        <v>-214</v>
      </c>
    </row>
    <row r="1316" spans="2:34" x14ac:dyDescent="0.35">
      <c r="B1316" t="s">
        <v>565</v>
      </c>
      <c r="C1316">
        <v>45720</v>
      </c>
      <c r="F1316" t="s">
        <v>749</v>
      </c>
      <c r="H1316">
        <v>97.9</v>
      </c>
      <c r="O1316" t="s">
        <v>239</v>
      </c>
      <c r="P1316" t="s">
        <v>514</v>
      </c>
      <c r="Y1316">
        <v>1282</v>
      </c>
      <c r="Z1316" s="259" t="s">
        <v>630</v>
      </c>
      <c r="AA1316">
        <v>80</v>
      </c>
      <c r="AB1316">
        <v>8008</v>
      </c>
      <c r="AC1316">
        <v>45720</v>
      </c>
      <c r="AD1316">
        <v>0</v>
      </c>
      <c r="AE1316">
        <v>7832</v>
      </c>
      <c r="AF1316">
        <v>7832</v>
      </c>
      <c r="AG1316">
        <v>0</v>
      </c>
      <c r="AH1316">
        <v>-176</v>
      </c>
    </row>
    <row r="1317" spans="2:34" x14ac:dyDescent="0.35">
      <c r="B1317" t="s">
        <v>565</v>
      </c>
      <c r="C1317">
        <v>45720</v>
      </c>
      <c r="F1317" t="s">
        <v>752</v>
      </c>
      <c r="H1317">
        <v>200.7</v>
      </c>
      <c r="O1317" t="s">
        <v>239</v>
      </c>
      <c r="P1317" t="s">
        <v>514</v>
      </c>
      <c r="Y1317">
        <v>1283</v>
      </c>
      <c r="Z1317" s="259" t="s">
        <v>630</v>
      </c>
      <c r="AA1317">
        <v>100</v>
      </c>
      <c r="AB1317">
        <v>20020</v>
      </c>
      <c r="AC1317">
        <v>45720</v>
      </c>
      <c r="AD1317">
        <v>0</v>
      </c>
      <c r="AE1317">
        <v>20070</v>
      </c>
      <c r="AF1317">
        <v>20070</v>
      </c>
      <c r="AG1317">
        <v>0</v>
      </c>
      <c r="AH1317">
        <v>50</v>
      </c>
    </row>
    <row r="1318" spans="2:34" x14ac:dyDescent="0.35">
      <c r="B1318" t="s">
        <v>565</v>
      </c>
      <c r="C1318">
        <v>45720</v>
      </c>
      <c r="F1318" t="s">
        <v>754</v>
      </c>
      <c r="H1318">
        <v>77.7</v>
      </c>
      <c r="O1318" t="s">
        <v>239</v>
      </c>
      <c r="P1318" t="s">
        <v>514</v>
      </c>
      <c r="Y1318">
        <v>1284</v>
      </c>
      <c r="Z1318" s="259" t="s">
        <v>630</v>
      </c>
      <c r="AA1318">
        <v>50</v>
      </c>
      <c r="AB1318">
        <v>4104</v>
      </c>
      <c r="AC1318">
        <v>45720</v>
      </c>
      <c r="AD1318">
        <v>0</v>
      </c>
      <c r="AE1318">
        <v>3885</v>
      </c>
      <c r="AF1318">
        <v>3885</v>
      </c>
      <c r="AG1318">
        <v>0</v>
      </c>
      <c r="AH1318">
        <v>-219</v>
      </c>
    </row>
    <row r="1319" spans="2:34" x14ac:dyDescent="0.35">
      <c r="B1319" t="s">
        <v>565</v>
      </c>
      <c r="C1319">
        <v>45721</v>
      </c>
      <c r="F1319" t="s">
        <v>749</v>
      </c>
      <c r="H1319">
        <v>98.2</v>
      </c>
      <c r="O1319" t="s">
        <v>239</v>
      </c>
      <c r="P1319" t="s">
        <v>514</v>
      </c>
      <c r="Y1319">
        <v>1285</v>
      </c>
      <c r="Z1319" s="259" t="s">
        <v>630</v>
      </c>
      <c r="AA1319">
        <v>80</v>
      </c>
      <c r="AB1319">
        <v>8008</v>
      </c>
      <c r="AC1319">
        <v>45721</v>
      </c>
      <c r="AD1319">
        <v>0</v>
      </c>
      <c r="AE1319">
        <v>7856</v>
      </c>
      <c r="AF1319">
        <v>7856</v>
      </c>
      <c r="AG1319">
        <v>0</v>
      </c>
      <c r="AH1319">
        <v>-152</v>
      </c>
    </row>
    <row r="1320" spans="2:34" x14ac:dyDescent="0.35">
      <c r="B1320" t="s">
        <v>565</v>
      </c>
      <c r="C1320">
        <v>45721</v>
      </c>
      <c r="F1320" t="s">
        <v>752</v>
      </c>
      <c r="H1320">
        <v>200.6</v>
      </c>
      <c r="O1320" t="s">
        <v>239</v>
      </c>
      <c r="P1320" t="s">
        <v>514</v>
      </c>
      <c r="Y1320">
        <v>1286</v>
      </c>
      <c r="Z1320" s="259" t="s">
        <v>630</v>
      </c>
      <c r="AA1320">
        <v>100</v>
      </c>
      <c r="AB1320">
        <v>20020</v>
      </c>
      <c r="AC1320">
        <v>45721</v>
      </c>
      <c r="AD1320">
        <v>0</v>
      </c>
      <c r="AE1320">
        <v>20060</v>
      </c>
      <c r="AF1320">
        <v>20060</v>
      </c>
      <c r="AG1320">
        <v>0</v>
      </c>
      <c r="AH1320">
        <v>40</v>
      </c>
    </row>
    <row r="1321" spans="2:34" x14ac:dyDescent="0.35">
      <c r="B1321" t="s">
        <v>565</v>
      </c>
      <c r="C1321">
        <v>45721</v>
      </c>
      <c r="F1321" t="s">
        <v>754</v>
      </c>
      <c r="H1321">
        <v>77.599999999999994</v>
      </c>
      <c r="O1321" t="s">
        <v>239</v>
      </c>
      <c r="P1321" t="s">
        <v>514</v>
      </c>
      <c r="Y1321">
        <v>1287</v>
      </c>
      <c r="Z1321" s="259" t="s">
        <v>630</v>
      </c>
      <c r="AA1321">
        <v>50</v>
      </c>
      <c r="AB1321">
        <v>4104</v>
      </c>
      <c r="AC1321">
        <v>45721</v>
      </c>
      <c r="AD1321">
        <v>0</v>
      </c>
      <c r="AE1321">
        <v>3879.9999999999995</v>
      </c>
      <c r="AF1321">
        <v>3879.9999999999995</v>
      </c>
      <c r="AG1321">
        <v>0</v>
      </c>
      <c r="AH1321">
        <v>-224.00000000000045</v>
      </c>
    </row>
    <row r="1322" spans="2:34" x14ac:dyDescent="0.35">
      <c r="B1322" t="s">
        <v>565</v>
      </c>
      <c r="C1322">
        <v>45722</v>
      </c>
      <c r="F1322" t="s">
        <v>749</v>
      </c>
      <c r="H1322">
        <v>98.5</v>
      </c>
      <c r="O1322" t="s">
        <v>239</v>
      </c>
      <c r="P1322" t="s">
        <v>514</v>
      </c>
      <c r="Y1322">
        <v>1288</v>
      </c>
      <c r="Z1322" s="259" t="s">
        <v>630</v>
      </c>
      <c r="AA1322">
        <v>80</v>
      </c>
      <c r="AB1322">
        <v>8008</v>
      </c>
      <c r="AC1322">
        <v>45722</v>
      </c>
      <c r="AD1322">
        <v>0</v>
      </c>
      <c r="AE1322">
        <v>7880</v>
      </c>
      <c r="AF1322">
        <v>7880</v>
      </c>
      <c r="AG1322">
        <v>0</v>
      </c>
      <c r="AH1322">
        <v>-128</v>
      </c>
    </row>
    <row r="1323" spans="2:34" x14ac:dyDescent="0.35">
      <c r="B1323" t="s">
        <v>565</v>
      </c>
      <c r="C1323">
        <v>45722</v>
      </c>
      <c r="F1323" t="s">
        <v>752</v>
      </c>
      <c r="H1323">
        <v>200.5</v>
      </c>
      <c r="O1323" t="s">
        <v>239</v>
      </c>
      <c r="P1323" t="s">
        <v>514</v>
      </c>
      <c r="Y1323">
        <v>1289</v>
      </c>
      <c r="Z1323" s="259" t="s">
        <v>630</v>
      </c>
      <c r="AA1323">
        <v>100</v>
      </c>
      <c r="AB1323">
        <v>20020</v>
      </c>
      <c r="AC1323">
        <v>45722</v>
      </c>
      <c r="AD1323">
        <v>0</v>
      </c>
      <c r="AE1323">
        <v>20050</v>
      </c>
      <c r="AF1323">
        <v>20050</v>
      </c>
      <c r="AG1323">
        <v>0</v>
      </c>
      <c r="AH1323">
        <v>30</v>
      </c>
    </row>
    <row r="1324" spans="2:34" x14ac:dyDescent="0.35">
      <c r="B1324" t="s">
        <v>565</v>
      </c>
      <c r="C1324">
        <v>45722</v>
      </c>
      <c r="F1324" t="s">
        <v>754</v>
      </c>
      <c r="H1324">
        <v>77.5</v>
      </c>
      <c r="O1324" t="s">
        <v>239</v>
      </c>
      <c r="P1324" t="s">
        <v>514</v>
      </c>
      <c r="Y1324">
        <v>1290</v>
      </c>
      <c r="Z1324" s="259" t="s">
        <v>630</v>
      </c>
      <c r="AA1324">
        <v>50</v>
      </c>
      <c r="AB1324">
        <v>4104</v>
      </c>
      <c r="AC1324">
        <v>45722</v>
      </c>
      <c r="AD1324">
        <v>0</v>
      </c>
      <c r="AE1324">
        <v>3875</v>
      </c>
      <c r="AF1324">
        <v>3875</v>
      </c>
      <c r="AG1324">
        <v>0</v>
      </c>
      <c r="AH1324">
        <v>-229</v>
      </c>
    </row>
    <row r="1325" spans="2:34" x14ac:dyDescent="0.35">
      <c r="B1325" t="s">
        <v>565</v>
      </c>
      <c r="C1325">
        <v>45723</v>
      </c>
      <c r="F1325" t="s">
        <v>749</v>
      </c>
      <c r="H1325">
        <v>98.8</v>
      </c>
      <c r="O1325" t="s">
        <v>239</v>
      </c>
      <c r="P1325" t="s">
        <v>514</v>
      </c>
      <c r="Y1325">
        <v>1291</v>
      </c>
      <c r="Z1325" s="259" t="s">
        <v>630</v>
      </c>
      <c r="AA1325">
        <v>80</v>
      </c>
      <c r="AB1325">
        <v>8008</v>
      </c>
      <c r="AC1325">
        <v>45723</v>
      </c>
      <c r="AD1325">
        <v>0</v>
      </c>
      <c r="AE1325">
        <v>7904</v>
      </c>
      <c r="AF1325">
        <v>7904</v>
      </c>
      <c r="AG1325">
        <v>0</v>
      </c>
      <c r="AH1325">
        <v>-104</v>
      </c>
    </row>
    <row r="1326" spans="2:34" x14ac:dyDescent="0.35">
      <c r="B1326" t="s">
        <v>565</v>
      </c>
      <c r="C1326">
        <v>45723</v>
      </c>
      <c r="F1326" t="s">
        <v>752</v>
      </c>
      <c r="H1326">
        <v>200.4</v>
      </c>
      <c r="O1326" t="s">
        <v>239</v>
      </c>
      <c r="P1326" t="s">
        <v>514</v>
      </c>
      <c r="Y1326">
        <v>1292</v>
      </c>
      <c r="Z1326" s="259" t="s">
        <v>630</v>
      </c>
      <c r="AA1326">
        <v>100</v>
      </c>
      <c r="AB1326">
        <v>20020</v>
      </c>
      <c r="AC1326">
        <v>45723</v>
      </c>
      <c r="AD1326">
        <v>0</v>
      </c>
      <c r="AE1326">
        <v>20040</v>
      </c>
      <c r="AF1326">
        <v>20040</v>
      </c>
      <c r="AG1326">
        <v>0</v>
      </c>
      <c r="AH1326">
        <v>20</v>
      </c>
    </row>
    <row r="1327" spans="2:34" x14ac:dyDescent="0.35">
      <c r="B1327" t="s">
        <v>565</v>
      </c>
      <c r="C1327">
        <v>45723</v>
      </c>
      <c r="F1327" t="s">
        <v>754</v>
      </c>
      <c r="H1327">
        <v>77.400000000000006</v>
      </c>
      <c r="O1327" t="s">
        <v>239</v>
      </c>
      <c r="P1327" t="s">
        <v>514</v>
      </c>
      <c r="Y1327">
        <v>1293</v>
      </c>
      <c r="Z1327" s="259" t="s">
        <v>630</v>
      </c>
      <c r="AA1327">
        <v>50</v>
      </c>
      <c r="AB1327">
        <v>4104</v>
      </c>
      <c r="AC1327">
        <v>45723</v>
      </c>
      <c r="AD1327">
        <v>0</v>
      </c>
      <c r="AE1327">
        <v>3870.0000000000005</v>
      </c>
      <c r="AF1327">
        <v>3870.0000000000005</v>
      </c>
      <c r="AG1327">
        <v>0</v>
      </c>
      <c r="AH1327">
        <v>-233.99999999999955</v>
      </c>
    </row>
    <row r="1328" spans="2:34" x14ac:dyDescent="0.35">
      <c r="B1328" t="s">
        <v>565</v>
      </c>
      <c r="C1328">
        <v>45724</v>
      </c>
      <c r="F1328" t="s">
        <v>749</v>
      </c>
      <c r="H1328">
        <v>98.8</v>
      </c>
      <c r="O1328" t="s">
        <v>239</v>
      </c>
      <c r="P1328" t="s">
        <v>514</v>
      </c>
      <c r="Y1328">
        <v>1294</v>
      </c>
      <c r="Z1328" s="259" t="s">
        <v>630</v>
      </c>
      <c r="AA1328">
        <v>80</v>
      </c>
      <c r="AB1328">
        <v>8008</v>
      </c>
      <c r="AC1328">
        <v>45723</v>
      </c>
      <c r="AD1328">
        <v>1</v>
      </c>
      <c r="AE1328">
        <v>7904</v>
      </c>
      <c r="AF1328">
        <v>7904</v>
      </c>
      <c r="AG1328">
        <v>0</v>
      </c>
      <c r="AH1328">
        <v>-104</v>
      </c>
    </row>
    <row r="1329" spans="2:34" x14ac:dyDescent="0.35">
      <c r="B1329" t="s">
        <v>565</v>
      </c>
      <c r="C1329">
        <v>45724</v>
      </c>
      <c r="F1329" t="s">
        <v>752</v>
      </c>
      <c r="H1329">
        <v>200.4</v>
      </c>
      <c r="O1329" t="s">
        <v>239</v>
      </c>
      <c r="P1329" t="s">
        <v>514</v>
      </c>
      <c r="Y1329">
        <v>1295</v>
      </c>
      <c r="Z1329" s="259" t="s">
        <v>630</v>
      </c>
      <c r="AA1329">
        <v>100</v>
      </c>
      <c r="AB1329">
        <v>20020</v>
      </c>
      <c r="AC1329">
        <v>45723</v>
      </c>
      <c r="AD1329">
        <v>1</v>
      </c>
      <c r="AE1329">
        <v>20040</v>
      </c>
      <c r="AF1329">
        <v>20040</v>
      </c>
      <c r="AG1329">
        <v>0</v>
      </c>
      <c r="AH1329">
        <v>20</v>
      </c>
    </row>
    <row r="1330" spans="2:34" x14ac:dyDescent="0.35">
      <c r="B1330" t="s">
        <v>565</v>
      </c>
      <c r="C1330">
        <v>45724</v>
      </c>
      <c r="F1330" t="s">
        <v>754</v>
      </c>
      <c r="H1330">
        <v>77.400000000000006</v>
      </c>
      <c r="O1330" t="s">
        <v>239</v>
      </c>
      <c r="P1330" t="s">
        <v>514</v>
      </c>
      <c r="Y1330">
        <v>1296</v>
      </c>
      <c r="Z1330" s="259" t="s">
        <v>630</v>
      </c>
      <c r="AA1330">
        <v>50</v>
      </c>
      <c r="AB1330">
        <v>4104</v>
      </c>
      <c r="AC1330">
        <v>45723</v>
      </c>
      <c r="AD1330">
        <v>1</v>
      </c>
      <c r="AE1330">
        <v>3870.0000000000005</v>
      </c>
      <c r="AF1330">
        <v>3870.0000000000005</v>
      </c>
      <c r="AG1330">
        <v>0</v>
      </c>
      <c r="AH1330">
        <v>-233.99999999999955</v>
      </c>
    </row>
    <row r="1331" spans="2:34" x14ac:dyDescent="0.35">
      <c r="B1331" t="s">
        <v>565</v>
      </c>
      <c r="C1331">
        <v>45725</v>
      </c>
      <c r="F1331" t="s">
        <v>749</v>
      </c>
      <c r="H1331">
        <v>98.8</v>
      </c>
      <c r="O1331" t="s">
        <v>239</v>
      </c>
      <c r="P1331" t="s">
        <v>514</v>
      </c>
      <c r="Y1331">
        <v>1297</v>
      </c>
      <c r="Z1331" s="259" t="s">
        <v>630</v>
      </c>
      <c r="AA1331">
        <v>80</v>
      </c>
      <c r="AB1331">
        <v>8008</v>
      </c>
      <c r="AC1331">
        <v>45723</v>
      </c>
      <c r="AD1331">
        <v>2</v>
      </c>
      <c r="AE1331">
        <v>7904</v>
      </c>
      <c r="AF1331">
        <v>7904</v>
      </c>
      <c r="AG1331">
        <v>0</v>
      </c>
      <c r="AH1331">
        <v>-104</v>
      </c>
    </row>
    <row r="1332" spans="2:34" x14ac:dyDescent="0.35">
      <c r="B1332" t="s">
        <v>565</v>
      </c>
      <c r="C1332">
        <v>45725</v>
      </c>
      <c r="F1332" t="s">
        <v>752</v>
      </c>
      <c r="H1332">
        <v>200.4</v>
      </c>
      <c r="O1332" t="s">
        <v>239</v>
      </c>
      <c r="P1332" t="s">
        <v>514</v>
      </c>
      <c r="Y1332">
        <v>1298</v>
      </c>
      <c r="Z1332" s="259" t="s">
        <v>630</v>
      </c>
      <c r="AA1332">
        <v>100</v>
      </c>
      <c r="AB1332">
        <v>20020</v>
      </c>
      <c r="AC1332">
        <v>45723</v>
      </c>
      <c r="AD1332">
        <v>2</v>
      </c>
      <c r="AE1332">
        <v>20040</v>
      </c>
      <c r="AF1332">
        <v>20040</v>
      </c>
      <c r="AG1332">
        <v>0</v>
      </c>
      <c r="AH1332">
        <v>20</v>
      </c>
    </row>
    <row r="1333" spans="2:34" x14ac:dyDescent="0.35">
      <c r="B1333" t="s">
        <v>565</v>
      </c>
      <c r="C1333">
        <v>45725</v>
      </c>
      <c r="F1333" t="s">
        <v>754</v>
      </c>
      <c r="H1333">
        <v>77.400000000000006</v>
      </c>
      <c r="O1333" t="s">
        <v>239</v>
      </c>
      <c r="P1333" t="s">
        <v>514</v>
      </c>
      <c r="Y1333">
        <v>1299</v>
      </c>
      <c r="Z1333" s="259" t="s">
        <v>630</v>
      </c>
      <c r="AA1333">
        <v>50</v>
      </c>
      <c r="AB1333">
        <v>4104</v>
      </c>
      <c r="AC1333">
        <v>45723</v>
      </c>
      <c r="AD1333">
        <v>2</v>
      </c>
      <c r="AE1333">
        <v>3870.0000000000005</v>
      </c>
      <c r="AF1333">
        <v>3870.0000000000005</v>
      </c>
      <c r="AG1333">
        <v>0</v>
      </c>
      <c r="AH1333">
        <v>-233.99999999999955</v>
      </c>
    </row>
    <row r="1334" spans="2:34" x14ac:dyDescent="0.35">
      <c r="B1334" t="s">
        <v>565</v>
      </c>
      <c r="C1334">
        <v>45726</v>
      </c>
      <c r="F1334" t="s">
        <v>749</v>
      </c>
      <c r="H1334">
        <v>99.7</v>
      </c>
      <c r="O1334" t="s">
        <v>239</v>
      </c>
      <c r="P1334" t="s">
        <v>514</v>
      </c>
      <c r="Y1334">
        <v>1300</v>
      </c>
      <c r="Z1334" s="259" t="s">
        <v>630</v>
      </c>
      <c r="AA1334">
        <v>80</v>
      </c>
      <c r="AB1334">
        <v>8008</v>
      </c>
      <c r="AC1334">
        <v>45726</v>
      </c>
      <c r="AD1334">
        <v>0</v>
      </c>
      <c r="AE1334">
        <v>7976</v>
      </c>
      <c r="AF1334">
        <v>7976</v>
      </c>
      <c r="AG1334">
        <v>0</v>
      </c>
      <c r="AH1334">
        <v>-32</v>
      </c>
    </row>
    <row r="1335" spans="2:34" x14ac:dyDescent="0.35">
      <c r="B1335" t="s">
        <v>565</v>
      </c>
      <c r="C1335">
        <v>45726</v>
      </c>
      <c r="F1335" t="s">
        <v>752</v>
      </c>
      <c r="H1335">
        <v>200.1</v>
      </c>
      <c r="O1335" t="s">
        <v>239</v>
      </c>
      <c r="P1335" t="s">
        <v>514</v>
      </c>
      <c r="Y1335">
        <v>1301</v>
      </c>
      <c r="Z1335" s="259" t="s">
        <v>630</v>
      </c>
      <c r="AA1335">
        <v>100</v>
      </c>
      <c r="AB1335">
        <v>20020</v>
      </c>
      <c r="AC1335">
        <v>45726</v>
      </c>
      <c r="AD1335">
        <v>0</v>
      </c>
      <c r="AE1335">
        <v>20010</v>
      </c>
      <c r="AF1335">
        <v>20010</v>
      </c>
      <c r="AG1335">
        <v>0</v>
      </c>
      <c r="AH1335">
        <v>-10</v>
      </c>
    </row>
    <row r="1336" spans="2:34" x14ac:dyDescent="0.35">
      <c r="B1336" t="s">
        <v>565</v>
      </c>
      <c r="C1336">
        <v>45726</v>
      </c>
      <c r="F1336" t="s">
        <v>754</v>
      </c>
      <c r="H1336">
        <v>77.099999999999994</v>
      </c>
      <c r="O1336" t="s">
        <v>239</v>
      </c>
      <c r="P1336" t="s">
        <v>514</v>
      </c>
      <c r="Y1336">
        <v>1302</v>
      </c>
      <c r="Z1336" s="259" t="s">
        <v>630</v>
      </c>
      <c r="AA1336">
        <v>50</v>
      </c>
      <c r="AB1336">
        <v>4104</v>
      </c>
      <c r="AC1336">
        <v>45726</v>
      </c>
      <c r="AD1336">
        <v>0</v>
      </c>
      <c r="AE1336">
        <v>3854.9999999999995</v>
      </c>
      <c r="AF1336">
        <v>3854.9999999999995</v>
      </c>
      <c r="AG1336">
        <v>0</v>
      </c>
      <c r="AH1336">
        <v>-249.00000000000045</v>
      </c>
    </row>
    <row r="1337" spans="2:34" x14ac:dyDescent="0.35">
      <c r="B1337" t="s">
        <v>565</v>
      </c>
      <c r="C1337">
        <v>45727</v>
      </c>
      <c r="F1337" t="s">
        <v>749</v>
      </c>
      <c r="H1337">
        <v>100</v>
      </c>
      <c r="O1337" t="s">
        <v>239</v>
      </c>
      <c r="P1337" t="s">
        <v>514</v>
      </c>
      <c r="Y1337">
        <v>1303</v>
      </c>
      <c r="Z1337" s="259" t="s">
        <v>630</v>
      </c>
      <c r="AA1337">
        <v>80</v>
      </c>
      <c r="AB1337">
        <v>8008</v>
      </c>
      <c r="AC1337">
        <v>45727</v>
      </c>
      <c r="AD1337">
        <v>0</v>
      </c>
      <c r="AE1337">
        <v>8000</v>
      </c>
      <c r="AF1337">
        <v>8000</v>
      </c>
      <c r="AG1337">
        <v>0</v>
      </c>
      <c r="AH1337">
        <v>-8</v>
      </c>
    </row>
    <row r="1338" spans="2:34" x14ac:dyDescent="0.35">
      <c r="B1338" t="s">
        <v>565</v>
      </c>
      <c r="C1338">
        <v>45727</v>
      </c>
      <c r="F1338" t="s">
        <v>752</v>
      </c>
      <c r="H1338">
        <v>200</v>
      </c>
      <c r="O1338" t="s">
        <v>239</v>
      </c>
      <c r="P1338" t="s">
        <v>514</v>
      </c>
      <c r="Y1338">
        <v>1304</v>
      </c>
      <c r="Z1338" s="259" t="s">
        <v>630</v>
      </c>
      <c r="AA1338">
        <v>100</v>
      </c>
      <c r="AB1338">
        <v>20020</v>
      </c>
      <c r="AC1338">
        <v>45727</v>
      </c>
      <c r="AD1338">
        <v>0</v>
      </c>
      <c r="AE1338">
        <v>20000</v>
      </c>
      <c r="AF1338">
        <v>20000</v>
      </c>
      <c r="AG1338">
        <v>0</v>
      </c>
      <c r="AH1338">
        <v>-20</v>
      </c>
    </row>
    <row r="1339" spans="2:34" x14ac:dyDescent="0.35">
      <c r="B1339" t="s">
        <v>565</v>
      </c>
      <c r="C1339">
        <v>45727</v>
      </c>
      <c r="F1339" t="s">
        <v>754</v>
      </c>
      <c r="H1339">
        <v>77</v>
      </c>
      <c r="O1339" t="s">
        <v>239</v>
      </c>
      <c r="P1339" t="s">
        <v>514</v>
      </c>
      <c r="Y1339">
        <v>1305</v>
      </c>
      <c r="Z1339" s="259" t="s">
        <v>630</v>
      </c>
      <c r="AA1339">
        <v>50</v>
      </c>
      <c r="AB1339">
        <v>4104</v>
      </c>
      <c r="AC1339">
        <v>45727</v>
      </c>
      <c r="AD1339">
        <v>0</v>
      </c>
      <c r="AE1339">
        <v>3850</v>
      </c>
      <c r="AF1339">
        <v>3850</v>
      </c>
      <c r="AG1339">
        <v>0</v>
      </c>
      <c r="AH1339">
        <v>-254</v>
      </c>
    </row>
    <row r="1340" spans="2:34" x14ac:dyDescent="0.35">
      <c r="B1340" t="s">
        <v>565</v>
      </c>
      <c r="C1340">
        <v>45728</v>
      </c>
      <c r="F1340" t="s">
        <v>749</v>
      </c>
      <c r="H1340">
        <v>100.3</v>
      </c>
      <c r="O1340" t="s">
        <v>239</v>
      </c>
      <c r="P1340" t="s">
        <v>514</v>
      </c>
      <c r="Y1340">
        <v>1306</v>
      </c>
      <c r="Z1340" s="259" t="s">
        <v>630</v>
      </c>
      <c r="AA1340">
        <v>80</v>
      </c>
      <c r="AB1340">
        <v>8008</v>
      </c>
      <c r="AC1340">
        <v>45728</v>
      </c>
      <c r="AD1340">
        <v>0</v>
      </c>
      <c r="AE1340">
        <v>8024</v>
      </c>
      <c r="AF1340">
        <v>8024</v>
      </c>
      <c r="AG1340">
        <v>0</v>
      </c>
      <c r="AH1340">
        <v>16</v>
      </c>
    </row>
    <row r="1341" spans="2:34" x14ac:dyDescent="0.35">
      <c r="B1341" t="s">
        <v>565</v>
      </c>
      <c r="C1341">
        <v>45728</v>
      </c>
      <c r="F1341" t="s">
        <v>752</v>
      </c>
      <c r="H1341">
        <v>199.9</v>
      </c>
      <c r="O1341" t="s">
        <v>239</v>
      </c>
      <c r="P1341" t="s">
        <v>514</v>
      </c>
      <c r="Y1341">
        <v>1307</v>
      </c>
      <c r="Z1341" s="259" t="s">
        <v>630</v>
      </c>
      <c r="AA1341">
        <v>100</v>
      </c>
      <c r="AB1341">
        <v>20020</v>
      </c>
      <c r="AC1341">
        <v>45728</v>
      </c>
      <c r="AD1341">
        <v>0</v>
      </c>
      <c r="AE1341">
        <v>19990</v>
      </c>
      <c r="AF1341">
        <v>19990</v>
      </c>
      <c r="AG1341">
        <v>0</v>
      </c>
      <c r="AH1341">
        <v>-30</v>
      </c>
    </row>
    <row r="1342" spans="2:34" x14ac:dyDescent="0.35">
      <c r="B1342" t="s">
        <v>565</v>
      </c>
      <c r="C1342">
        <v>45728</v>
      </c>
      <c r="F1342" t="s">
        <v>754</v>
      </c>
      <c r="H1342">
        <v>76.900000000000006</v>
      </c>
      <c r="O1342" t="s">
        <v>239</v>
      </c>
      <c r="P1342" t="s">
        <v>514</v>
      </c>
      <c r="Y1342">
        <v>1308</v>
      </c>
      <c r="Z1342" s="259" t="s">
        <v>630</v>
      </c>
      <c r="AA1342">
        <v>50</v>
      </c>
      <c r="AB1342">
        <v>4104</v>
      </c>
      <c r="AC1342">
        <v>45728</v>
      </c>
      <c r="AD1342">
        <v>0</v>
      </c>
      <c r="AE1342">
        <v>3845.0000000000005</v>
      </c>
      <c r="AF1342">
        <v>3845.0000000000005</v>
      </c>
      <c r="AG1342">
        <v>0</v>
      </c>
      <c r="AH1342">
        <v>-258.99999999999955</v>
      </c>
    </row>
    <row r="1343" spans="2:34" x14ac:dyDescent="0.35">
      <c r="B1343" t="s">
        <v>565</v>
      </c>
      <c r="C1343">
        <v>45729</v>
      </c>
      <c r="F1343" t="s">
        <v>749</v>
      </c>
      <c r="H1343">
        <v>100.6</v>
      </c>
      <c r="O1343" t="s">
        <v>239</v>
      </c>
      <c r="P1343" t="s">
        <v>514</v>
      </c>
      <c r="Y1343">
        <v>1309</v>
      </c>
      <c r="Z1343" s="259" t="s">
        <v>630</v>
      </c>
      <c r="AA1343">
        <v>80</v>
      </c>
      <c r="AB1343">
        <v>8008</v>
      </c>
      <c r="AC1343">
        <v>45729</v>
      </c>
      <c r="AD1343">
        <v>0</v>
      </c>
      <c r="AE1343">
        <v>8048</v>
      </c>
      <c r="AF1343">
        <v>8048</v>
      </c>
      <c r="AG1343">
        <v>0</v>
      </c>
      <c r="AH1343">
        <v>40</v>
      </c>
    </row>
    <row r="1344" spans="2:34" x14ac:dyDescent="0.35">
      <c r="B1344" t="s">
        <v>565</v>
      </c>
      <c r="C1344">
        <v>45729</v>
      </c>
      <c r="F1344" t="s">
        <v>752</v>
      </c>
      <c r="H1344">
        <v>199.8</v>
      </c>
      <c r="O1344" t="s">
        <v>239</v>
      </c>
      <c r="P1344" t="s">
        <v>514</v>
      </c>
      <c r="Y1344">
        <v>1310</v>
      </c>
      <c r="Z1344" s="259" t="s">
        <v>630</v>
      </c>
      <c r="AA1344">
        <v>100</v>
      </c>
      <c r="AB1344">
        <v>20020</v>
      </c>
      <c r="AC1344">
        <v>45729</v>
      </c>
      <c r="AD1344">
        <v>0</v>
      </c>
      <c r="AE1344">
        <v>19980</v>
      </c>
      <c r="AF1344">
        <v>19980</v>
      </c>
      <c r="AG1344">
        <v>0</v>
      </c>
      <c r="AH1344">
        <v>-40</v>
      </c>
    </row>
    <row r="1345" spans="2:34" x14ac:dyDescent="0.35">
      <c r="B1345" t="s">
        <v>565</v>
      </c>
      <c r="C1345">
        <v>45729</v>
      </c>
      <c r="F1345" t="s">
        <v>754</v>
      </c>
      <c r="H1345">
        <v>76.8</v>
      </c>
      <c r="O1345" t="s">
        <v>239</v>
      </c>
      <c r="P1345" t="s">
        <v>514</v>
      </c>
      <c r="Y1345">
        <v>1311</v>
      </c>
      <c r="Z1345" s="259" t="s">
        <v>630</v>
      </c>
      <c r="AA1345">
        <v>50</v>
      </c>
      <c r="AB1345">
        <v>4104</v>
      </c>
      <c r="AC1345">
        <v>45729</v>
      </c>
      <c r="AD1345">
        <v>0</v>
      </c>
      <c r="AE1345">
        <v>3840</v>
      </c>
      <c r="AF1345">
        <v>3840</v>
      </c>
      <c r="AG1345">
        <v>0</v>
      </c>
      <c r="AH1345">
        <v>-264</v>
      </c>
    </row>
    <row r="1346" spans="2:34" x14ac:dyDescent="0.35">
      <c r="B1346" t="s">
        <v>565</v>
      </c>
      <c r="C1346">
        <v>45730</v>
      </c>
      <c r="F1346" t="s">
        <v>749</v>
      </c>
      <c r="H1346">
        <v>100.9</v>
      </c>
      <c r="O1346" t="s">
        <v>239</v>
      </c>
      <c r="P1346" t="s">
        <v>514</v>
      </c>
      <c r="Y1346">
        <v>1312</v>
      </c>
      <c r="Z1346" s="259" t="s">
        <v>630</v>
      </c>
      <c r="AA1346">
        <v>80</v>
      </c>
      <c r="AB1346">
        <v>8008</v>
      </c>
      <c r="AC1346">
        <v>45730</v>
      </c>
      <c r="AD1346">
        <v>0</v>
      </c>
      <c r="AE1346">
        <v>8072</v>
      </c>
      <c r="AF1346">
        <v>8072</v>
      </c>
      <c r="AG1346">
        <v>0</v>
      </c>
      <c r="AH1346">
        <v>64</v>
      </c>
    </row>
    <row r="1347" spans="2:34" x14ac:dyDescent="0.35">
      <c r="B1347" t="s">
        <v>565</v>
      </c>
      <c r="C1347">
        <v>45730</v>
      </c>
      <c r="F1347" t="s">
        <v>752</v>
      </c>
      <c r="H1347">
        <v>199.7</v>
      </c>
      <c r="O1347" t="s">
        <v>239</v>
      </c>
      <c r="P1347" t="s">
        <v>514</v>
      </c>
      <c r="Y1347">
        <v>1313</v>
      </c>
      <c r="Z1347" s="259" t="s">
        <v>630</v>
      </c>
      <c r="AA1347">
        <v>100</v>
      </c>
      <c r="AB1347">
        <v>20020</v>
      </c>
      <c r="AC1347">
        <v>45730</v>
      </c>
      <c r="AD1347">
        <v>0</v>
      </c>
      <c r="AE1347">
        <v>19970</v>
      </c>
      <c r="AF1347">
        <v>19970</v>
      </c>
      <c r="AG1347">
        <v>0</v>
      </c>
      <c r="AH1347">
        <v>-50</v>
      </c>
    </row>
    <row r="1348" spans="2:34" x14ac:dyDescent="0.35">
      <c r="B1348" t="s">
        <v>565</v>
      </c>
      <c r="C1348">
        <v>45730</v>
      </c>
      <c r="F1348" t="s">
        <v>754</v>
      </c>
      <c r="H1348">
        <v>76.7</v>
      </c>
      <c r="O1348" t="s">
        <v>239</v>
      </c>
      <c r="P1348" t="s">
        <v>514</v>
      </c>
      <c r="Y1348">
        <v>1314</v>
      </c>
      <c r="Z1348" s="259" t="s">
        <v>630</v>
      </c>
      <c r="AA1348">
        <v>50</v>
      </c>
      <c r="AB1348">
        <v>4104</v>
      </c>
      <c r="AC1348">
        <v>45730</v>
      </c>
      <c r="AD1348">
        <v>0</v>
      </c>
      <c r="AE1348">
        <v>3835</v>
      </c>
      <c r="AF1348">
        <v>3835</v>
      </c>
      <c r="AG1348">
        <v>0</v>
      </c>
      <c r="AH1348">
        <v>-269</v>
      </c>
    </row>
    <row r="1349" spans="2:34" x14ac:dyDescent="0.35">
      <c r="B1349" t="s">
        <v>565</v>
      </c>
      <c r="C1349">
        <v>45731</v>
      </c>
      <c r="F1349" t="s">
        <v>749</v>
      </c>
      <c r="H1349">
        <v>100.9</v>
      </c>
      <c r="O1349" t="s">
        <v>239</v>
      </c>
      <c r="P1349" t="s">
        <v>514</v>
      </c>
      <c r="Y1349">
        <v>1315</v>
      </c>
      <c r="Z1349" s="259" t="s">
        <v>630</v>
      </c>
      <c r="AA1349">
        <v>80</v>
      </c>
      <c r="AB1349">
        <v>8008</v>
      </c>
      <c r="AC1349">
        <v>45730</v>
      </c>
      <c r="AD1349">
        <v>1</v>
      </c>
      <c r="AE1349">
        <v>8072</v>
      </c>
      <c r="AF1349">
        <v>8072</v>
      </c>
      <c r="AG1349">
        <v>0</v>
      </c>
      <c r="AH1349">
        <v>64</v>
      </c>
    </row>
    <row r="1350" spans="2:34" x14ac:dyDescent="0.35">
      <c r="B1350" t="s">
        <v>565</v>
      </c>
      <c r="C1350">
        <v>45731</v>
      </c>
      <c r="F1350" t="s">
        <v>752</v>
      </c>
      <c r="H1350">
        <v>199.7</v>
      </c>
      <c r="O1350" t="s">
        <v>239</v>
      </c>
      <c r="P1350" t="s">
        <v>514</v>
      </c>
      <c r="Y1350">
        <v>1316</v>
      </c>
      <c r="Z1350" s="259" t="s">
        <v>630</v>
      </c>
      <c r="AA1350">
        <v>100</v>
      </c>
      <c r="AB1350">
        <v>20020</v>
      </c>
      <c r="AC1350">
        <v>45730</v>
      </c>
      <c r="AD1350">
        <v>1</v>
      </c>
      <c r="AE1350">
        <v>19970</v>
      </c>
      <c r="AF1350">
        <v>19970</v>
      </c>
      <c r="AG1350">
        <v>0</v>
      </c>
      <c r="AH1350">
        <v>-50</v>
      </c>
    </row>
    <row r="1351" spans="2:34" x14ac:dyDescent="0.35">
      <c r="B1351" t="s">
        <v>565</v>
      </c>
      <c r="C1351">
        <v>45731</v>
      </c>
      <c r="F1351" t="s">
        <v>754</v>
      </c>
      <c r="H1351">
        <v>76.7</v>
      </c>
      <c r="O1351" t="s">
        <v>239</v>
      </c>
      <c r="P1351" t="s">
        <v>514</v>
      </c>
      <c r="Y1351">
        <v>1317</v>
      </c>
      <c r="Z1351" s="259" t="s">
        <v>630</v>
      </c>
      <c r="AA1351">
        <v>50</v>
      </c>
      <c r="AB1351">
        <v>4104</v>
      </c>
      <c r="AC1351">
        <v>45730</v>
      </c>
      <c r="AD1351">
        <v>1</v>
      </c>
      <c r="AE1351">
        <v>3835</v>
      </c>
      <c r="AF1351">
        <v>3835</v>
      </c>
      <c r="AG1351">
        <v>0</v>
      </c>
      <c r="AH1351">
        <v>-269</v>
      </c>
    </row>
    <row r="1352" spans="2:34" x14ac:dyDescent="0.35">
      <c r="B1352" t="s">
        <v>565</v>
      </c>
      <c r="C1352">
        <v>45732</v>
      </c>
      <c r="F1352" t="s">
        <v>749</v>
      </c>
      <c r="H1352">
        <v>100.9</v>
      </c>
      <c r="O1352" t="s">
        <v>239</v>
      </c>
      <c r="P1352" t="s">
        <v>514</v>
      </c>
      <c r="Y1352">
        <v>1318</v>
      </c>
      <c r="Z1352" s="259" t="s">
        <v>630</v>
      </c>
      <c r="AA1352">
        <v>80</v>
      </c>
      <c r="AB1352">
        <v>8008</v>
      </c>
      <c r="AC1352">
        <v>45730</v>
      </c>
      <c r="AD1352">
        <v>2</v>
      </c>
      <c r="AE1352">
        <v>8072</v>
      </c>
      <c r="AF1352">
        <v>8072</v>
      </c>
      <c r="AG1352">
        <v>0</v>
      </c>
      <c r="AH1352">
        <v>64</v>
      </c>
    </row>
    <row r="1353" spans="2:34" x14ac:dyDescent="0.35">
      <c r="B1353" t="s">
        <v>565</v>
      </c>
      <c r="C1353">
        <v>45732</v>
      </c>
      <c r="F1353" t="s">
        <v>752</v>
      </c>
      <c r="H1353">
        <v>199.7</v>
      </c>
      <c r="O1353" t="s">
        <v>239</v>
      </c>
      <c r="P1353" t="s">
        <v>514</v>
      </c>
      <c r="Y1353">
        <v>1319</v>
      </c>
      <c r="Z1353" s="259" t="s">
        <v>630</v>
      </c>
      <c r="AA1353">
        <v>100</v>
      </c>
      <c r="AB1353">
        <v>20020</v>
      </c>
      <c r="AC1353">
        <v>45730</v>
      </c>
      <c r="AD1353">
        <v>2</v>
      </c>
      <c r="AE1353">
        <v>19970</v>
      </c>
      <c r="AF1353">
        <v>19970</v>
      </c>
      <c r="AG1353">
        <v>0</v>
      </c>
      <c r="AH1353">
        <v>-50</v>
      </c>
    </row>
    <row r="1354" spans="2:34" x14ac:dyDescent="0.35">
      <c r="B1354" t="s">
        <v>565</v>
      </c>
      <c r="C1354">
        <v>45732</v>
      </c>
      <c r="F1354" t="s">
        <v>754</v>
      </c>
      <c r="H1354">
        <v>76.7</v>
      </c>
      <c r="O1354" t="s">
        <v>239</v>
      </c>
      <c r="P1354" t="s">
        <v>514</v>
      </c>
      <c r="Y1354">
        <v>1320</v>
      </c>
      <c r="Z1354" s="259" t="s">
        <v>630</v>
      </c>
      <c r="AA1354">
        <v>50</v>
      </c>
      <c r="AB1354">
        <v>4104</v>
      </c>
      <c r="AC1354">
        <v>45730</v>
      </c>
      <c r="AD1354">
        <v>2</v>
      </c>
      <c r="AE1354">
        <v>3835</v>
      </c>
      <c r="AF1354">
        <v>3835</v>
      </c>
      <c r="AG1354">
        <v>0</v>
      </c>
      <c r="AH1354">
        <v>-269</v>
      </c>
    </row>
    <row r="1355" spans="2:34" x14ac:dyDescent="0.35">
      <c r="B1355" t="s">
        <v>565</v>
      </c>
      <c r="C1355">
        <v>45733</v>
      </c>
      <c r="F1355" t="s">
        <v>749</v>
      </c>
      <c r="H1355">
        <v>101.8</v>
      </c>
      <c r="O1355" t="s">
        <v>239</v>
      </c>
      <c r="P1355" t="s">
        <v>514</v>
      </c>
      <c r="Y1355">
        <v>1321</v>
      </c>
      <c r="Z1355" s="259" t="s">
        <v>630</v>
      </c>
      <c r="AA1355">
        <v>80</v>
      </c>
      <c r="AB1355">
        <v>8008</v>
      </c>
      <c r="AC1355">
        <v>45733</v>
      </c>
      <c r="AD1355">
        <v>0</v>
      </c>
      <c r="AE1355">
        <v>8144</v>
      </c>
      <c r="AF1355">
        <v>8144</v>
      </c>
      <c r="AG1355">
        <v>0</v>
      </c>
      <c r="AH1355">
        <v>136</v>
      </c>
    </row>
    <row r="1356" spans="2:34" x14ac:dyDescent="0.35">
      <c r="B1356" t="s">
        <v>565</v>
      </c>
      <c r="C1356">
        <v>45733</v>
      </c>
      <c r="F1356" t="s">
        <v>752</v>
      </c>
      <c r="H1356">
        <v>199.4</v>
      </c>
      <c r="O1356" t="s">
        <v>239</v>
      </c>
      <c r="P1356" t="s">
        <v>514</v>
      </c>
      <c r="Y1356">
        <v>1322</v>
      </c>
      <c r="Z1356" s="259" t="s">
        <v>630</v>
      </c>
      <c r="AA1356">
        <v>100</v>
      </c>
      <c r="AB1356">
        <v>20020</v>
      </c>
      <c r="AC1356">
        <v>45733</v>
      </c>
      <c r="AD1356">
        <v>0</v>
      </c>
      <c r="AE1356">
        <v>19940</v>
      </c>
      <c r="AF1356">
        <v>19940</v>
      </c>
      <c r="AG1356">
        <v>0</v>
      </c>
      <c r="AH1356">
        <v>-80</v>
      </c>
    </row>
    <row r="1357" spans="2:34" x14ac:dyDescent="0.35">
      <c r="B1357" t="s">
        <v>565</v>
      </c>
      <c r="C1357">
        <v>45733</v>
      </c>
      <c r="F1357" t="s">
        <v>754</v>
      </c>
      <c r="H1357">
        <v>76.400000000000006</v>
      </c>
      <c r="O1357" t="s">
        <v>239</v>
      </c>
      <c r="P1357" t="s">
        <v>514</v>
      </c>
      <c r="Y1357">
        <v>1323</v>
      </c>
      <c r="Z1357" s="259" t="s">
        <v>630</v>
      </c>
      <c r="AA1357">
        <v>50</v>
      </c>
      <c r="AB1357">
        <v>4104</v>
      </c>
      <c r="AC1357">
        <v>45733</v>
      </c>
      <c r="AD1357">
        <v>0</v>
      </c>
      <c r="AE1357">
        <v>3820.0000000000005</v>
      </c>
      <c r="AF1357">
        <v>3820.0000000000005</v>
      </c>
      <c r="AG1357">
        <v>0</v>
      </c>
      <c r="AH1357">
        <v>-283.99999999999955</v>
      </c>
    </row>
    <row r="1358" spans="2:34" x14ac:dyDescent="0.35">
      <c r="B1358" t="s">
        <v>565</v>
      </c>
      <c r="C1358">
        <v>45734</v>
      </c>
      <c r="F1358" t="s">
        <v>749</v>
      </c>
      <c r="H1358">
        <v>102.1</v>
      </c>
      <c r="O1358" t="s">
        <v>239</v>
      </c>
      <c r="P1358" t="s">
        <v>514</v>
      </c>
      <c r="Y1358">
        <v>1324</v>
      </c>
      <c r="Z1358" s="259" t="s">
        <v>630</v>
      </c>
      <c r="AA1358">
        <v>80</v>
      </c>
      <c r="AB1358">
        <v>8008</v>
      </c>
      <c r="AC1358">
        <v>45734</v>
      </c>
      <c r="AD1358">
        <v>0</v>
      </c>
      <c r="AE1358">
        <v>8168</v>
      </c>
      <c r="AF1358">
        <v>8168</v>
      </c>
      <c r="AG1358">
        <v>0</v>
      </c>
      <c r="AH1358">
        <v>160</v>
      </c>
    </row>
    <row r="1359" spans="2:34" x14ac:dyDescent="0.35">
      <c r="B1359" t="s">
        <v>565</v>
      </c>
      <c r="C1359">
        <v>45734</v>
      </c>
      <c r="F1359" t="s">
        <v>752</v>
      </c>
      <c r="H1359">
        <v>199.3</v>
      </c>
      <c r="O1359" t="s">
        <v>239</v>
      </c>
      <c r="P1359" t="s">
        <v>514</v>
      </c>
      <c r="Y1359">
        <v>1325</v>
      </c>
      <c r="Z1359" s="259" t="s">
        <v>630</v>
      </c>
      <c r="AA1359">
        <v>100</v>
      </c>
      <c r="AB1359">
        <v>20020</v>
      </c>
      <c r="AC1359">
        <v>45734</v>
      </c>
      <c r="AD1359">
        <v>0</v>
      </c>
      <c r="AE1359">
        <v>19930</v>
      </c>
      <c r="AF1359">
        <v>19930</v>
      </c>
      <c r="AG1359">
        <v>0</v>
      </c>
      <c r="AH1359">
        <v>-90</v>
      </c>
    </row>
    <row r="1360" spans="2:34" x14ac:dyDescent="0.35">
      <c r="B1360" t="s">
        <v>565</v>
      </c>
      <c r="C1360">
        <v>45734</v>
      </c>
      <c r="F1360" t="s">
        <v>754</v>
      </c>
      <c r="H1360">
        <v>76.3</v>
      </c>
      <c r="O1360" t="s">
        <v>239</v>
      </c>
      <c r="P1360" t="s">
        <v>514</v>
      </c>
      <c r="Y1360">
        <v>1326</v>
      </c>
      <c r="Z1360" s="259" t="s">
        <v>630</v>
      </c>
      <c r="AA1360">
        <v>50</v>
      </c>
      <c r="AB1360">
        <v>4104</v>
      </c>
      <c r="AC1360">
        <v>45734</v>
      </c>
      <c r="AD1360">
        <v>0</v>
      </c>
      <c r="AE1360">
        <v>3815</v>
      </c>
      <c r="AF1360">
        <v>3815</v>
      </c>
      <c r="AG1360">
        <v>0</v>
      </c>
      <c r="AH1360">
        <v>-289</v>
      </c>
    </row>
    <row r="1361" spans="2:34" x14ac:dyDescent="0.35">
      <c r="B1361" t="s">
        <v>565</v>
      </c>
      <c r="C1361">
        <v>45735</v>
      </c>
      <c r="F1361" t="s">
        <v>749</v>
      </c>
      <c r="H1361">
        <v>102.4</v>
      </c>
      <c r="O1361" t="s">
        <v>239</v>
      </c>
      <c r="P1361" t="s">
        <v>514</v>
      </c>
      <c r="Y1361">
        <v>1327</v>
      </c>
      <c r="Z1361" s="259" t="s">
        <v>630</v>
      </c>
      <c r="AA1361">
        <v>80</v>
      </c>
      <c r="AB1361">
        <v>8008</v>
      </c>
      <c r="AC1361">
        <v>45735</v>
      </c>
      <c r="AD1361">
        <v>0</v>
      </c>
      <c r="AE1361">
        <v>8192</v>
      </c>
      <c r="AF1361">
        <v>8192</v>
      </c>
      <c r="AG1361">
        <v>0</v>
      </c>
      <c r="AH1361">
        <v>184</v>
      </c>
    </row>
    <row r="1362" spans="2:34" x14ac:dyDescent="0.35">
      <c r="B1362" t="s">
        <v>565</v>
      </c>
      <c r="C1362">
        <v>45735</v>
      </c>
      <c r="F1362" t="s">
        <v>752</v>
      </c>
      <c r="H1362">
        <v>199.2</v>
      </c>
      <c r="O1362" t="s">
        <v>239</v>
      </c>
      <c r="P1362" t="s">
        <v>514</v>
      </c>
      <c r="Y1362">
        <v>1328</v>
      </c>
      <c r="Z1362" s="259" t="s">
        <v>630</v>
      </c>
      <c r="AA1362">
        <v>100</v>
      </c>
      <c r="AB1362">
        <v>20020</v>
      </c>
      <c r="AC1362">
        <v>45735</v>
      </c>
      <c r="AD1362">
        <v>0</v>
      </c>
      <c r="AE1362">
        <v>19920</v>
      </c>
      <c r="AF1362">
        <v>19920</v>
      </c>
      <c r="AG1362">
        <v>0</v>
      </c>
      <c r="AH1362">
        <v>-100</v>
      </c>
    </row>
    <row r="1363" spans="2:34" x14ac:dyDescent="0.35">
      <c r="B1363" t="s">
        <v>565</v>
      </c>
      <c r="C1363">
        <v>45735</v>
      </c>
      <c r="F1363" t="s">
        <v>754</v>
      </c>
      <c r="H1363">
        <v>76.2</v>
      </c>
      <c r="O1363" t="s">
        <v>239</v>
      </c>
      <c r="P1363" t="s">
        <v>514</v>
      </c>
      <c r="Y1363">
        <v>1329</v>
      </c>
      <c r="Z1363" s="259" t="s">
        <v>630</v>
      </c>
      <c r="AA1363">
        <v>50</v>
      </c>
      <c r="AB1363">
        <v>4104</v>
      </c>
      <c r="AC1363">
        <v>45735</v>
      </c>
      <c r="AD1363">
        <v>0</v>
      </c>
      <c r="AE1363">
        <v>3810</v>
      </c>
      <c r="AF1363">
        <v>3810</v>
      </c>
      <c r="AG1363">
        <v>0</v>
      </c>
      <c r="AH1363">
        <v>-294</v>
      </c>
    </row>
    <row r="1364" spans="2:34" x14ac:dyDescent="0.35">
      <c r="B1364" t="s">
        <v>565</v>
      </c>
      <c r="C1364">
        <v>45736</v>
      </c>
      <c r="F1364" t="s">
        <v>749</v>
      </c>
      <c r="H1364">
        <v>102.7</v>
      </c>
      <c r="O1364" t="s">
        <v>239</v>
      </c>
      <c r="P1364" t="s">
        <v>514</v>
      </c>
      <c r="Y1364">
        <v>1330</v>
      </c>
      <c r="Z1364" s="259" t="s">
        <v>630</v>
      </c>
      <c r="AA1364">
        <v>80</v>
      </c>
      <c r="AB1364">
        <v>8008</v>
      </c>
      <c r="AC1364">
        <v>45736</v>
      </c>
      <c r="AD1364">
        <v>0</v>
      </c>
      <c r="AE1364">
        <v>8216</v>
      </c>
      <c r="AF1364">
        <v>8216</v>
      </c>
      <c r="AG1364">
        <v>0</v>
      </c>
      <c r="AH1364">
        <v>208</v>
      </c>
    </row>
    <row r="1365" spans="2:34" x14ac:dyDescent="0.35">
      <c r="B1365" t="s">
        <v>565</v>
      </c>
      <c r="C1365">
        <v>45736</v>
      </c>
      <c r="F1365" t="s">
        <v>752</v>
      </c>
      <c r="H1365">
        <v>199.1</v>
      </c>
      <c r="O1365" t="s">
        <v>239</v>
      </c>
      <c r="P1365" t="s">
        <v>514</v>
      </c>
      <c r="Y1365">
        <v>1331</v>
      </c>
      <c r="Z1365" s="259" t="s">
        <v>630</v>
      </c>
      <c r="AA1365">
        <v>100</v>
      </c>
      <c r="AB1365">
        <v>20020</v>
      </c>
      <c r="AC1365">
        <v>45736</v>
      </c>
      <c r="AD1365">
        <v>0</v>
      </c>
      <c r="AE1365">
        <v>19910</v>
      </c>
      <c r="AF1365">
        <v>19910</v>
      </c>
      <c r="AG1365">
        <v>0</v>
      </c>
      <c r="AH1365">
        <v>-110</v>
      </c>
    </row>
    <row r="1366" spans="2:34" x14ac:dyDescent="0.35">
      <c r="B1366" t="s">
        <v>565</v>
      </c>
      <c r="C1366">
        <v>45736</v>
      </c>
      <c r="F1366" t="s">
        <v>754</v>
      </c>
      <c r="H1366">
        <v>76.099999999999994</v>
      </c>
      <c r="O1366" t="s">
        <v>239</v>
      </c>
      <c r="P1366" t="s">
        <v>514</v>
      </c>
      <c r="Y1366">
        <v>1332</v>
      </c>
      <c r="Z1366" s="259" t="s">
        <v>630</v>
      </c>
      <c r="AA1366">
        <v>50</v>
      </c>
      <c r="AB1366">
        <v>4104</v>
      </c>
      <c r="AC1366">
        <v>45736</v>
      </c>
      <c r="AD1366">
        <v>0</v>
      </c>
      <c r="AE1366">
        <v>3804.9999999999995</v>
      </c>
      <c r="AF1366">
        <v>3804.9999999999995</v>
      </c>
      <c r="AG1366">
        <v>0</v>
      </c>
      <c r="AH1366">
        <v>-299.00000000000045</v>
      </c>
    </row>
    <row r="1367" spans="2:34" x14ac:dyDescent="0.35">
      <c r="B1367" t="s">
        <v>565</v>
      </c>
      <c r="C1367">
        <v>45737</v>
      </c>
      <c r="F1367" t="s">
        <v>749</v>
      </c>
      <c r="H1367">
        <v>103</v>
      </c>
      <c r="O1367" t="s">
        <v>239</v>
      </c>
      <c r="P1367" t="s">
        <v>514</v>
      </c>
      <c r="Y1367">
        <v>1333</v>
      </c>
      <c r="Z1367" s="259" t="s">
        <v>630</v>
      </c>
      <c r="AA1367">
        <v>80</v>
      </c>
      <c r="AB1367">
        <v>8008</v>
      </c>
      <c r="AC1367">
        <v>45737</v>
      </c>
      <c r="AD1367">
        <v>0</v>
      </c>
      <c r="AE1367">
        <v>8240</v>
      </c>
      <c r="AF1367">
        <v>8240</v>
      </c>
      <c r="AG1367">
        <v>0</v>
      </c>
      <c r="AH1367">
        <v>232</v>
      </c>
    </row>
    <row r="1368" spans="2:34" x14ac:dyDescent="0.35">
      <c r="B1368" t="s">
        <v>565</v>
      </c>
      <c r="C1368">
        <v>45737</v>
      </c>
      <c r="F1368" t="s">
        <v>752</v>
      </c>
      <c r="H1368">
        <v>199</v>
      </c>
      <c r="O1368" t="s">
        <v>239</v>
      </c>
      <c r="P1368" t="s">
        <v>514</v>
      </c>
      <c r="Y1368">
        <v>1334</v>
      </c>
      <c r="Z1368" s="259" t="s">
        <v>630</v>
      </c>
      <c r="AA1368">
        <v>100</v>
      </c>
      <c r="AB1368">
        <v>20020</v>
      </c>
      <c r="AC1368">
        <v>45737</v>
      </c>
      <c r="AD1368">
        <v>0</v>
      </c>
      <c r="AE1368">
        <v>19900</v>
      </c>
      <c r="AF1368">
        <v>19900</v>
      </c>
      <c r="AG1368">
        <v>0</v>
      </c>
      <c r="AH1368">
        <v>-120</v>
      </c>
    </row>
    <row r="1369" spans="2:34" x14ac:dyDescent="0.35">
      <c r="B1369" t="s">
        <v>565</v>
      </c>
      <c r="C1369">
        <v>45737</v>
      </c>
      <c r="F1369" t="s">
        <v>754</v>
      </c>
      <c r="H1369">
        <v>76</v>
      </c>
      <c r="O1369" t="s">
        <v>239</v>
      </c>
      <c r="P1369" t="s">
        <v>514</v>
      </c>
      <c r="Y1369">
        <v>1335</v>
      </c>
      <c r="Z1369" s="259" t="s">
        <v>630</v>
      </c>
      <c r="AA1369">
        <v>50</v>
      </c>
      <c r="AB1369">
        <v>4104</v>
      </c>
      <c r="AC1369">
        <v>45737</v>
      </c>
      <c r="AD1369">
        <v>0</v>
      </c>
      <c r="AE1369">
        <v>3800</v>
      </c>
      <c r="AF1369">
        <v>3800</v>
      </c>
      <c r="AG1369">
        <v>0</v>
      </c>
      <c r="AH1369">
        <v>-304</v>
      </c>
    </row>
    <row r="1370" spans="2:34" x14ac:dyDescent="0.35">
      <c r="B1370" t="s">
        <v>565</v>
      </c>
      <c r="C1370">
        <v>45738</v>
      </c>
      <c r="F1370" t="s">
        <v>749</v>
      </c>
      <c r="H1370">
        <v>103</v>
      </c>
      <c r="O1370" t="s">
        <v>239</v>
      </c>
      <c r="P1370" t="s">
        <v>514</v>
      </c>
      <c r="Y1370">
        <v>1336</v>
      </c>
      <c r="Z1370" s="259" t="s">
        <v>630</v>
      </c>
      <c r="AA1370">
        <v>80</v>
      </c>
      <c r="AB1370">
        <v>8008</v>
      </c>
      <c r="AC1370">
        <v>45737</v>
      </c>
      <c r="AD1370">
        <v>1</v>
      </c>
      <c r="AE1370">
        <v>8240</v>
      </c>
      <c r="AF1370">
        <v>8240</v>
      </c>
      <c r="AG1370">
        <v>0</v>
      </c>
      <c r="AH1370">
        <v>232</v>
      </c>
    </row>
    <row r="1371" spans="2:34" x14ac:dyDescent="0.35">
      <c r="B1371" t="s">
        <v>565</v>
      </c>
      <c r="C1371">
        <v>45738</v>
      </c>
      <c r="F1371" t="s">
        <v>752</v>
      </c>
      <c r="H1371">
        <v>199</v>
      </c>
      <c r="O1371" t="s">
        <v>239</v>
      </c>
      <c r="P1371" t="s">
        <v>514</v>
      </c>
      <c r="Y1371">
        <v>1337</v>
      </c>
      <c r="Z1371" s="259" t="s">
        <v>630</v>
      </c>
      <c r="AA1371">
        <v>100</v>
      </c>
      <c r="AB1371">
        <v>20020</v>
      </c>
      <c r="AC1371">
        <v>45737</v>
      </c>
      <c r="AD1371">
        <v>1</v>
      </c>
      <c r="AE1371">
        <v>19900</v>
      </c>
      <c r="AF1371">
        <v>19900</v>
      </c>
      <c r="AG1371">
        <v>0</v>
      </c>
      <c r="AH1371">
        <v>-120</v>
      </c>
    </row>
    <row r="1372" spans="2:34" x14ac:dyDescent="0.35">
      <c r="B1372" t="s">
        <v>565</v>
      </c>
      <c r="C1372">
        <v>45738</v>
      </c>
      <c r="F1372" t="s">
        <v>754</v>
      </c>
      <c r="H1372">
        <v>76</v>
      </c>
      <c r="O1372" t="s">
        <v>239</v>
      </c>
      <c r="P1372" t="s">
        <v>514</v>
      </c>
      <c r="Y1372">
        <v>1338</v>
      </c>
      <c r="Z1372" s="259" t="s">
        <v>630</v>
      </c>
      <c r="AA1372">
        <v>50</v>
      </c>
      <c r="AB1372">
        <v>4104</v>
      </c>
      <c r="AC1372">
        <v>45737</v>
      </c>
      <c r="AD1372">
        <v>1</v>
      </c>
      <c r="AE1372">
        <v>3800</v>
      </c>
      <c r="AF1372">
        <v>3800</v>
      </c>
      <c r="AG1372">
        <v>0</v>
      </c>
      <c r="AH1372">
        <v>-304</v>
      </c>
    </row>
    <row r="1373" spans="2:34" x14ac:dyDescent="0.35">
      <c r="B1373" t="s">
        <v>565</v>
      </c>
      <c r="C1373">
        <v>45739</v>
      </c>
      <c r="F1373" t="s">
        <v>749</v>
      </c>
      <c r="H1373">
        <v>103</v>
      </c>
      <c r="O1373" t="s">
        <v>239</v>
      </c>
      <c r="P1373" t="s">
        <v>514</v>
      </c>
      <c r="Y1373">
        <v>1339</v>
      </c>
      <c r="Z1373" s="259" t="s">
        <v>630</v>
      </c>
      <c r="AA1373">
        <v>80</v>
      </c>
      <c r="AB1373">
        <v>8008</v>
      </c>
      <c r="AC1373">
        <v>45737</v>
      </c>
      <c r="AD1373">
        <v>2</v>
      </c>
      <c r="AE1373">
        <v>8240</v>
      </c>
      <c r="AF1373">
        <v>8240</v>
      </c>
      <c r="AG1373">
        <v>0</v>
      </c>
      <c r="AH1373">
        <v>232</v>
      </c>
    </row>
    <row r="1374" spans="2:34" x14ac:dyDescent="0.35">
      <c r="B1374" t="s">
        <v>565</v>
      </c>
      <c r="C1374">
        <v>45739</v>
      </c>
      <c r="F1374" t="s">
        <v>752</v>
      </c>
      <c r="H1374">
        <v>199</v>
      </c>
      <c r="O1374" t="s">
        <v>239</v>
      </c>
      <c r="P1374" t="s">
        <v>514</v>
      </c>
      <c r="Y1374">
        <v>1340</v>
      </c>
      <c r="Z1374" s="259" t="s">
        <v>630</v>
      </c>
      <c r="AA1374">
        <v>100</v>
      </c>
      <c r="AB1374">
        <v>20020</v>
      </c>
      <c r="AC1374">
        <v>45737</v>
      </c>
      <c r="AD1374">
        <v>2</v>
      </c>
      <c r="AE1374">
        <v>19900</v>
      </c>
      <c r="AF1374">
        <v>19900</v>
      </c>
      <c r="AG1374">
        <v>0</v>
      </c>
      <c r="AH1374">
        <v>-120</v>
      </c>
    </row>
    <row r="1375" spans="2:34" x14ac:dyDescent="0.35">
      <c r="B1375" t="s">
        <v>565</v>
      </c>
      <c r="C1375">
        <v>45739</v>
      </c>
      <c r="F1375" t="s">
        <v>754</v>
      </c>
      <c r="H1375">
        <v>76</v>
      </c>
      <c r="O1375" t="s">
        <v>239</v>
      </c>
      <c r="P1375" t="s">
        <v>514</v>
      </c>
      <c r="Y1375">
        <v>1341</v>
      </c>
      <c r="Z1375" s="259" t="s">
        <v>630</v>
      </c>
      <c r="AA1375">
        <v>50</v>
      </c>
      <c r="AB1375">
        <v>4104</v>
      </c>
      <c r="AC1375">
        <v>45737</v>
      </c>
      <c r="AD1375">
        <v>2</v>
      </c>
      <c r="AE1375">
        <v>3800</v>
      </c>
      <c r="AF1375">
        <v>3800</v>
      </c>
      <c r="AG1375">
        <v>0</v>
      </c>
      <c r="AH1375">
        <v>-304</v>
      </c>
    </row>
    <row r="1376" spans="2:34" x14ac:dyDescent="0.35">
      <c r="B1376" t="s">
        <v>565</v>
      </c>
      <c r="C1376">
        <v>45740</v>
      </c>
      <c r="F1376" t="s">
        <v>749</v>
      </c>
      <c r="H1376">
        <v>103.9</v>
      </c>
      <c r="O1376" t="s">
        <v>239</v>
      </c>
      <c r="P1376" t="s">
        <v>514</v>
      </c>
      <c r="Y1376">
        <v>1342</v>
      </c>
      <c r="Z1376" s="259" t="s">
        <v>630</v>
      </c>
      <c r="AA1376">
        <v>80</v>
      </c>
      <c r="AB1376">
        <v>8008</v>
      </c>
      <c r="AC1376">
        <v>45740</v>
      </c>
      <c r="AD1376">
        <v>0</v>
      </c>
      <c r="AE1376">
        <v>8312</v>
      </c>
      <c r="AF1376">
        <v>8312</v>
      </c>
      <c r="AG1376">
        <v>0</v>
      </c>
      <c r="AH1376">
        <v>304</v>
      </c>
    </row>
    <row r="1377" spans="2:34" x14ac:dyDescent="0.35">
      <c r="B1377" t="s">
        <v>565</v>
      </c>
      <c r="C1377">
        <v>45740</v>
      </c>
      <c r="F1377" t="s">
        <v>752</v>
      </c>
      <c r="H1377">
        <v>198.7</v>
      </c>
      <c r="O1377" t="s">
        <v>239</v>
      </c>
      <c r="P1377" t="s">
        <v>514</v>
      </c>
      <c r="Y1377">
        <v>1343</v>
      </c>
      <c r="Z1377" s="259" t="s">
        <v>630</v>
      </c>
      <c r="AA1377">
        <v>100</v>
      </c>
      <c r="AB1377">
        <v>20020</v>
      </c>
      <c r="AC1377">
        <v>45740</v>
      </c>
      <c r="AD1377">
        <v>0</v>
      </c>
      <c r="AE1377">
        <v>19870</v>
      </c>
      <c r="AF1377">
        <v>19870</v>
      </c>
      <c r="AG1377">
        <v>0</v>
      </c>
      <c r="AH1377">
        <v>-150</v>
      </c>
    </row>
    <row r="1378" spans="2:34" x14ac:dyDescent="0.35">
      <c r="B1378" t="s">
        <v>565</v>
      </c>
      <c r="C1378">
        <v>45740</v>
      </c>
      <c r="F1378" t="s">
        <v>754</v>
      </c>
      <c r="H1378">
        <v>75.7</v>
      </c>
      <c r="O1378" t="s">
        <v>239</v>
      </c>
      <c r="P1378" t="s">
        <v>514</v>
      </c>
      <c r="Y1378">
        <v>1344</v>
      </c>
      <c r="Z1378" s="259" t="s">
        <v>630</v>
      </c>
      <c r="AA1378">
        <v>50</v>
      </c>
      <c r="AB1378">
        <v>4104</v>
      </c>
      <c r="AC1378">
        <v>45740</v>
      </c>
      <c r="AD1378">
        <v>0</v>
      </c>
      <c r="AE1378">
        <v>3785</v>
      </c>
      <c r="AF1378">
        <v>3785</v>
      </c>
      <c r="AG1378">
        <v>0</v>
      </c>
      <c r="AH1378">
        <v>-319</v>
      </c>
    </row>
    <row r="1379" spans="2:34" x14ac:dyDescent="0.35">
      <c r="B1379" t="s">
        <v>565</v>
      </c>
      <c r="C1379">
        <v>45741</v>
      </c>
      <c r="F1379" t="s">
        <v>749</v>
      </c>
      <c r="H1379">
        <v>104.2</v>
      </c>
      <c r="O1379" t="s">
        <v>239</v>
      </c>
      <c r="P1379" t="s">
        <v>514</v>
      </c>
      <c r="Y1379">
        <v>1345</v>
      </c>
      <c r="Z1379" s="259" t="s">
        <v>630</v>
      </c>
      <c r="AA1379">
        <v>80</v>
      </c>
      <c r="AB1379">
        <v>8008</v>
      </c>
      <c r="AC1379">
        <v>45741</v>
      </c>
      <c r="AD1379">
        <v>0</v>
      </c>
      <c r="AE1379">
        <v>8336</v>
      </c>
      <c r="AF1379">
        <v>8336</v>
      </c>
      <c r="AG1379">
        <v>0</v>
      </c>
      <c r="AH1379">
        <v>328</v>
      </c>
    </row>
    <row r="1380" spans="2:34" x14ac:dyDescent="0.35">
      <c r="B1380" t="s">
        <v>565</v>
      </c>
      <c r="C1380">
        <v>45741</v>
      </c>
      <c r="F1380" t="s">
        <v>752</v>
      </c>
      <c r="H1380">
        <v>198.6</v>
      </c>
      <c r="O1380" t="s">
        <v>239</v>
      </c>
      <c r="P1380" t="s">
        <v>514</v>
      </c>
      <c r="Y1380">
        <v>1346</v>
      </c>
      <c r="Z1380" s="259" t="s">
        <v>630</v>
      </c>
      <c r="AA1380">
        <v>100</v>
      </c>
      <c r="AB1380">
        <v>20020</v>
      </c>
      <c r="AC1380">
        <v>45741</v>
      </c>
      <c r="AD1380">
        <v>0</v>
      </c>
      <c r="AE1380">
        <v>19860</v>
      </c>
      <c r="AF1380">
        <v>19860</v>
      </c>
      <c r="AG1380">
        <v>0</v>
      </c>
      <c r="AH1380">
        <v>-160</v>
      </c>
    </row>
    <row r="1381" spans="2:34" x14ac:dyDescent="0.35">
      <c r="B1381" t="s">
        <v>565</v>
      </c>
      <c r="C1381">
        <v>45741</v>
      </c>
      <c r="F1381" t="s">
        <v>754</v>
      </c>
      <c r="H1381">
        <v>75.599999999999994</v>
      </c>
      <c r="O1381" t="s">
        <v>239</v>
      </c>
      <c r="P1381" t="s">
        <v>514</v>
      </c>
      <c r="Y1381">
        <v>1347</v>
      </c>
      <c r="Z1381" s="259" t="s">
        <v>630</v>
      </c>
      <c r="AA1381">
        <v>50</v>
      </c>
      <c r="AB1381">
        <v>4104</v>
      </c>
      <c r="AC1381">
        <v>45741</v>
      </c>
      <c r="AD1381">
        <v>0</v>
      </c>
      <c r="AE1381">
        <v>3779.9999999999995</v>
      </c>
      <c r="AF1381">
        <v>3779.9999999999995</v>
      </c>
      <c r="AG1381">
        <v>0</v>
      </c>
      <c r="AH1381">
        <v>-324.00000000000045</v>
      </c>
    </row>
    <row r="1382" spans="2:34" x14ac:dyDescent="0.35">
      <c r="B1382" t="s">
        <v>565</v>
      </c>
      <c r="C1382">
        <v>45742</v>
      </c>
      <c r="F1382" t="s">
        <v>749</v>
      </c>
      <c r="H1382">
        <v>104.5</v>
      </c>
      <c r="O1382" t="s">
        <v>239</v>
      </c>
      <c r="P1382" t="s">
        <v>514</v>
      </c>
      <c r="Y1382">
        <v>1348</v>
      </c>
      <c r="Z1382" s="259" t="s">
        <v>630</v>
      </c>
      <c r="AA1382">
        <v>80</v>
      </c>
      <c r="AB1382">
        <v>8008</v>
      </c>
      <c r="AC1382">
        <v>45742</v>
      </c>
      <c r="AD1382">
        <v>0</v>
      </c>
      <c r="AE1382">
        <v>8360</v>
      </c>
      <c r="AF1382">
        <v>8360</v>
      </c>
      <c r="AG1382">
        <v>0</v>
      </c>
      <c r="AH1382">
        <v>352</v>
      </c>
    </row>
    <row r="1383" spans="2:34" x14ac:dyDescent="0.35">
      <c r="B1383" t="s">
        <v>565</v>
      </c>
      <c r="C1383">
        <v>45742</v>
      </c>
      <c r="F1383" t="s">
        <v>752</v>
      </c>
      <c r="H1383">
        <v>198.5</v>
      </c>
      <c r="O1383" t="s">
        <v>239</v>
      </c>
      <c r="P1383" t="s">
        <v>514</v>
      </c>
      <c r="Y1383">
        <v>1349</v>
      </c>
      <c r="Z1383" s="259" t="s">
        <v>630</v>
      </c>
      <c r="AA1383">
        <v>100</v>
      </c>
      <c r="AB1383">
        <v>20020</v>
      </c>
      <c r="AC1383">
        <v>45742</v>
      </c>
      <c r="AD1383">
        <v>0</v>
      </c>
      <c r="AE1383">
        <v>19850</v>
      </c>
      <c r="AF1383">
        <v>19850</v>
      </c>
      <c r="AG1383">
        <v>0</v>
      </c>
      <c r="AH1383">
        <v>-170</v>
      </c>
    </row>
    <row r="1384" spans="2:34" x14ac:dyDescent="0.35">
      <c r="B1384" t="s">
        <v>565</v>
      </c>
      <c r="C1384">
        <v>45742</v>
      </c>
      <c r="F1384" t="s">
        <v>754</v>
      </c>
      <c r="H1384">
        <v>75.5</v>
      </c>
      <c r="O1384" t="s">
        <v>239</v>
      </c>
      <c r="P1384" t="s">
        <v>514</v>
      </c>
      <c r="Y1384">
        <v>1350</v>
      </c>
      <c r="Z1384" s="259" t="s">
        <v>630</v>
      </c>
      <c r="AA1384">
        <v>50</v>
      </c>
      <c r="AB1384">
        <v>4104</v>
      </c>
      <c r="AC1384">
        <v>45742</v>
      </c>
      <c r="AD1384">
        <v>0</v>
      </c>
      <c r="AE1384">
        <v>3775</v>
      </c>
      <c r="AF1384">
        <v>3775</v>
      </c>
      <c r="AG1384">
        <v>0</v>
      </c>
      <c r="AH1384">
        <v>-329</v>
      </c>
    </row>
    <row r="1385" spans="2:34" x14ac:dyDescent="0.35">
      <c r="B1385" t="s">
        <v>565</v>
      </c>
      <c r="C1385">
        <v>45743</v>
      </c>
      <c r="F1385" t="s">
        <v>749</v>
      </c>
      <c r="H1385">
        <v>104.8</v>
      </c>
      <c r="O1385" t="s">
        <v>239</v>
      </c>
      <c r="P1385" t="s">
        <v>514</v>
      </c>
      <c r="Y1385">
        <v>1351</v>
      </c>
      <c r="Z1385" s="259" t="s">
        <v>630</v>
      </c>
      <c r="AA1385">
        <v>80</v>
      </c>
      <c r="AB1385">
        <v>8008</v>
      </c>
      <c r="AC1385">
        <v>45743</v>
      </c>
      <c r="AD1385">
        <v>0</v>
      </c>
      <c r="AE1385">
        <v>8384</v>
      </c>
      <c r="AF1385">
        <v>8384</v>
      </c>
      <c r="AG1385">
        <v>0</v>
      </c>
      <c r="AH1385">
        <v>376</v>
      </c>
    </row>
    <row r="1386" spans="2:34" x14ac:dyDescent="0.35">
      <c r="B1386" t="s">
        <v>565</v>
      </c>
      <c r="C1386">
        <v>45743</v>
      </c>
      <c r="F1386" t="s">
        <v>752</v>
      </c>
      <c r="H1386">
        <v>198.4</v>
      </c>
      <c r="O1386" t="s">
        <v>239</v>
      </c>
      <c r="P1386" t="s">
        <v>514</v>
      </c>
      <c r="Y1386">
        <v>1352</v>
      </c>
      <c r="Z1386" s="259" t="s">
        <v>630</v>
      </c>
      <c r="AA1386">
        <v>100</v>
      </c>
      <c r="AB1386">
        <v>20020</v>
      </c>
      <c r="AC1386">
        <v>45743</v>
      </c>
      <c r="AD1386">
        <v>0</v>
      </c>
      <c r="AE1386">
        <v>19840</v>
      </c>
      <c r="AF1386">
        <v>19840</v>
      </c>
      <c r="AG1386">
        <v>0</v>
      </c>
      <c r="AH1386">
        <v>-180</v>
      </c>
    </row>
    <row r="1387" spans="2:34" x14ac:dyDescent="0.35">
      <c r="B1387" t="s">
        <v>565</v>
      </c>
      <c r="C1387">
        <v>45743</v>
      </c>
      <c r="F1387" t="s">
        <v>754</v>
      </c>
      <c r="H1387">
        <v>75.400000000000006</v>
      </c>
      <c r="O1387" t="s">
        <v>239</v>
      </c>
      <c r="P1387" t="s">
        <v>514</v>
      </c>
      <c r="Y1387">
        <v>1353</v>
      </c>
      <c r="Z1387" s="259" t="s">
        <v>630</v>
      </c>
      <c r="AA1387">
        <v>50</v>
      </c>
      <c r="AB1387">
        <v>4104</v>
      </c>
      <c r="AC1387">
        <v>45743</v>
      </c>
      <c r="AD1387">
        <v>0</v>
      </c>
      <c r="AE1387">
        <v>3770.0000000000005</v>
      </c>
      <c r="AF1387">
        <v>3770.0000000000005</v>
      </c>
      <c r="AG1387">
        <v>0</v>
      </c>
      <c r="AH1387">
        <v>-333.99999999999955</v>
      </c>
    </row>
    <row r="1388" spans="2:34" x14ac:dyDescent="0.35">
      <c r="B1388" t="s">
        <v>565</v>
      </c>
      <c r="C1388">
        <v>45744</v>
      </c>
      <c r="F1388" t="s">
        <v>749</v>
      </c>
      <c r="H1388">
        <v>105.1</v>
      </c>
      <c r="O1388" t="s">
        <v>239</v>
      </c>
      <c r="P1388" t="s">
        <v>514</v>
      </c>
      <c r="Y1388">
        <v>1354</v>
      </c>
      <c r="Z1388" s="259" t="s">
        <v>630</v>
      </c>
      <c r="AA1388">
        <v>80</v>
      </c>
      <c r="AB1388">
        <v>8008</v>
      </c>
      <c r="AC1388">
        <v>45744</v>
      </c>
      <c r="AD1388">
        <v>0</v>
      </c>
      <c r="AE1388">
        <v>8408</v>
      </c>
      <c r="AF1388">
        <v>8408</v>
      </c>
      <c r="AG1388">
        <v>0</v>
      </c>
      <c r="AH1388">
        <v>400</v>
      </c>
    </row>
    <row r="1389" spans="2:34" x14ac:dyDescent="0.35">
      <c r="B1389" t="s">
        <v>565</v>
      </c>
      <c r="C1389">
        <v>45744</v>
      </c>
      <c r="F1389" t="s">
        <v>752</v>
      </c>
      <c r="H1389">
        <v>198.3</v>
      </c>
      <c r="O1389" t="s">
        <v>239</v>
      </c>
      <c r="P1389" t="s">
        <v>514</v>
      </c>
      <c r="Y1389">
        <v>1355</v>
      </c>
      <c r="Z1389" s="259" t="s">
        <v>630</v>
      </c>
      <c r="AA1389">
        <v>100</v>
      </c>
      <c r="AB1389">
        <v>20020</v>
      </c>
      <c r="AC1389">
        <v>45744</v>
      </c>
      <c r="AD1389">
        <v>0</v>
      </c>
      <c r="AE1389">
        <v>19830</v>
      </c>
      <c r="AF1389">
        <v>19830</v>
      </c>
      <c r="AG1389">
        <v>0</v>
      </c>
      <c r="AH1389">
        <v>-190</v>
      </c>
    </row>
    <row r="1390" spans="2:34" x14ac:dyDescent="0.35">
      <c r="B1390" t="s">
        <v>565</v>
      </c>
      <c r="C1390">
        <v>45744</v>
      </c>
      <c r="F1390" t="s">
        <v>754</v>
      </c>
      <c r="H1390">
        <v>75.3</v>
      </c>
      <c r="O1390" t="s">
        <v>239</v>
      </c>
      <c r="P1390" t="s">
        <v>514</v>
      </c>
      <c r="Y1390">
        <v>1356</v>
      </c>
      <c r="Z1390" s="259" t="s">
        <v>630</v>
      </c>
      <c r="AA1390">
        <v>50</v>
      </c>
      <c r="AB1390">
        <v>4104</v>
      </c>
      <c r="AC1390">
        <v>45744</v>
      </c>
      <c r="AD1390">
        <v>0</v>
      </c>
      <c r="AE1390">
        <v>3765</v>
      </c>
      <c r="AF1390">
        <v>3765</v>
      </c>
      <c r="AG1390">
        <v>0</v>
      </c>
      <c r="AH1390">
        <v>-339</v>
      </c>
    </row>
    <row r="1391" spans="2:34" x14ac:dyDescent="0.35">
      <c r="B1391" t="s">
        <v>565</v>
      </c>
      <c r="C1391">
        <v>45745</v>
      </c>
      <c r="F1391" t="s">
        <v>749</v>
      </c>
      <c r="H1391">
        <v>105.1</v>
      </c>
      <c r="O1391" t="s">
        <v>239</v>
      </c>
      <c r="P1391" t="s">
        <v>514</v>
      </c>
      <c r="Y1391">
        <v>1357</v>
      </c>
      <c r="Z1391" s="259" t="s">
        <v>630</v>
      </c>
      <c r="AA1391">
        <v>80</v>
      </c>
      <c r="AB1391">
        <v>8008</v>
      </c>
      <c r="AC1391">
        <v>45744</v>
      </c>
      <c r="AD1391">
        <v>1</v>
      </c>
      <c r="AE1391">
        <v>8408</v>
      </c>
      <c r="AF1391">
        <v>8408</v>
      </c>
      <c r="AG1391">
        <v>0</v>
      </c>
      <c r="AH1391">
        <v>400</v>
      </c>
    </row>
    <row r="1392" spans="2:34" x14ac:dyDescent="0.35">
      <c r="B1392" t="s">
        <v>565</v>
      </c>
      <c r="C1392">
        <v>45745</v>
      </c>
      <c r="F1392" t="s">
        <v>752</v>
      </c>
      <c r="H1392">
        <v>198.3</v>
      </c>
      <c r="O1392" t="s">
        <v>239</v>
      </c>
      <c r="P1392" t="s">
        <v>514</v>
      </c>
      <c r="Y1392">
        <v>1358</v>
      </c>
      <c r="Z1392" s="259" t="s">
        <v>630</v>
      </c>
      <c r="AA1392">
        <v>100</v>
      </c>
      <c r="AB1392">
        <v>20020</v>
      </c>
      <c r="AC1392">
        <v>45744</v>
      </c>
      <c r="AD1392">
        <v>1</v>
      </c>
      <c r="AE1392">
        <v>19830</v>
      </c>
      <c r="AF1392">
        <v>19830</v>
      </c>
      <c r="AG1392">
        <v>0</v>
      </c>
      <c r="AH1392">
        <v>-190</v>
      </c>
    </row>
    <row r="1393" spans="2:34" x14ac:dyDescent="0.35">
      <c r="B1393" t="s">
        <v>565</v>
      </c>
      <c r="C1393">
        <v>45745</v>
      </c>
      <c r="F1393" t="s">
        <v>754</v>
      </c>
      <c r="H1393">
        <v>75.3</v>
      </c>
      <c r="O1393" t="s">
        <v>239</v>
      </c>
      <c r="P1393" t="s">
        <v>514</v>
      </c>
      <c r="Y1393">
        <v>1359</v>
      </c>
      <c r="Z1393" s="259" t="s">
        <v>630</v>
      </c>
      <c r="AA1393">
        <v>50</v>
      </c>
      <c r="AB1393">
        <v>4104</v>
      </c>
      <c r="AC1393">
        <v>45744</v>
      </c>
      <c r="AD1393">
        <v>1</v>
      </c>
      <c r="AE1393">
        <v>3765</v>
      </c>
      <c r="AF1393">
        <v>3765</v>
      </c>
      <c r="AG1393">
        <v>0</v>
      </c>
      <c r="AH1393">
        <v>-339</v>
      </c>
    </row>
    <row r="1394" spans="2:34" x14ac:dyDescent="0.35">
      <c r="B1394" t="s">
        <v>565</v>
      </c>
      <c r="C1394">
        <v>45746</v>
      </c>
      <c r="F1394" t="s">
        <v>749</v>
      </c>
      <c r="H1394">
        <v>105.1</v>
      </c>
      <c r="O1394" t="s">
        <v>239</v>
      </c>
      <c r="P1394" t="s">
        <v>514</v>
      </c>
      <c r="Y1394">
        <v>1360</v>
      </c>
      <c r="Z1394" s="259" t="s">
        <v>630</v>
      </c>
      <c r="AA1394">
        <v>80</v>
      </c>
      <c r="AB1394">
        <v>8008</v>
      </c>
      <c r="AC1394">
        <v>45744</v>
      </c>
      <c r="AD1394">
        <v>2</v>
      </c>
      <c r="AE1394">
        <v>8408</v>
      </c>
      <c r="AF1394">
        <v>8408</v>
      </c>
      <c r="AG1394">
        <v>0</v>
      </c>
      <c r="AH1394">
        <v>400</v>
      </c>
    </row>
    <row r="1395" spans="2:34" x14ac:dyDescent="0.35">
      <c r="B1395" t="s">
        <v>565</v>
      </c>
      <c r="C1395">
        <v>45746</v>
      </c>
      <c r="F1395" t="s">
        <v>752</v>
      </c>
      <c r="H1395">
        <v>198.3</v>
      </c>
      <c r="O1395" t="s">
        <v>239</v>
      </c>
      <c r="P1395" t="s">
        <v>514</v>
      </c>
      <c r="Y1395">
        <v>1361</v>
      </c>
      <c r="Z1395" s="259" t="s">
        <v>630</v>
      </c>
      <c r="AA1395">
        <v>100</v>
      </c>
      <c r="AB1395">
        <v>20020</v>
      </c>
      <c r="AC1395">
        <v>45744</v>
      </c>
      <c r="AD1395">
        <v>2</v>
      </c>
      <c r="AE1395">
        <v>19830</v>
      </c>
      <c r="AF1395">
        <v>19830</v>
      </c>
      <c r="AG1395">
        <v>0</v>
      </c>
      <c r="AH1395">
        <v>-190</v>
      </c>
    </row>
    <row r="1396" spans="2:34" x14ac:dyDescent="0.35">
      <c r="B1396" t="s">
        <v>565</v>
      </c>
      <c r="C1396">
        <v>45746</v>
      </c>
      <c r="F1396" t="s">
        <v>754</v>
      </c>
      <c r="H1396">
        <v>75.3</v>
      </c>
      <c r="O1396" t="s">
        <v>239</v>
      </c>
      <c r="P1396" t="s">
        <v>514</v>
      </c>
      <c r="Y1396">
        <v>1362</v>
      </c>
      <c r="Z1396" s="259" t="s">
        <v>630</v>
      </c>
      <c r="AA1396">
        <v>50</v>
      </c>
      <c r="AB1396">
        <v>4104</v>
      </c>
      <c r="AC1396">
        <v>45744</v>
      </c>
      <c r="AD1396">
        <v>2</v>
      </c>
      <c r="AE1396">
        <v>3765</v>
      </c>
      <c r="AF1396">
        <v>3765</v>
      </c>
      <c r="AG1396">
        <v>0</v>
      </c>
      <c r="AH1396">
        <v>-339</v>
      </c>
    </row>
    <row r="1397" spans="2:34" x14ac:dyDescent="0.35">
      <c r="B1397" t="s">
        <v>565</v>
      </c>
      <c r="C1397">
        <v>45747</v>
      </c>
      <c r="F1397" t="s">
        <v>749</v>
      </c>
      <c r="H1397">
        <v>106</v>
      </c>
      <c r="O1397" t="s">
        <v>239</v>
      </c>
      <c r="P1397" t="s">
        <v>514</v>
      </c>
      <c r="Y1397">
        <v>1363</v>
      </c>
      <c r="Z1397" s="259" t="s">
        <v>630</v>
      </c>
      <c r="AA1397">
        <v>80</v>
      </c>
      <c r="AB1397">
        <v>8008</v>
      </c>
      <c r="AC1397">
        <v>45747</v>
      </c>
      <c r="AD1397">
        <v>0</v>
      </c>
      <c r="AE1397">
        <v>8480</v>
      </c>
      <c r="AF1397">
        <v>8480</v>
      </c>
      <c r="AG1397">
        <v>0</v>
      </c>
      <c r="AH1397">
        <v>472</v>
      </c>
    </row>
    <row r="1398" spans="2:34" x14ac:dyDescent="0.35">
      <c r="B1398" t="s">
        <v>565</v>
      </c>
      <c r="C1398">
        <v>45747</v>
      </c>
      <c r="F1398" t="s">
        <v>752</v>
      </c>
      <c r="H1398">
        <v>198</v>
      </c>
      <c r="O1398" t="s">
        <v>239</v>
      </c>
      <c r="P1398" t="s">
        <v>514</v>
      </c>
      <c r="Y1398">
        <v>1364</v>
      </c>
      <c r="Z1398" s="259" t="s">
        <v>630</v>
      </c>
      <c r="AA1398">
        <v>100</v>
      </c>
      <c r="AB1398">
        <v>20020</v>
      </c>
      <c r="AC1398">
        <v>45747</v>
      </c>
      <c r="AD1398">
        <v>0</v>
      </c>
      <c r="AE1398">
        <v>19800</v>
      </c>
      <c r="AF1398">
        <v>19800</v>
      </c>
      <c r="AG1398">
        <v>0</v>
      </c>
      <c r="AH1398">
        <v>-220</v>
      </c>
    </row>
    <row r="1399" spans="2:34" x14ac:dyDescent="0.35">
      <c r="B1399" t="s">
        <v>565</v>
      </c>
      <c r="C1399">
        <v>45747</v>
      </c>
      <c r="F1399" t="s">
        <v>754</v>
      </c>
      <c r="H1399">
        <v>75</v>
      </c>
      <c r="O1399" t="s">
        <v>239</v>
      </c>
      <c r="P1399" t="s">
        <v>514</v>
      </c>
      <c r="Y1399">
        <v>1365</v>
      </c>
      <c r="Z1399" s="259" t="s">
        <v>630</v>
      </c>
      <c r="AA1399">
        <v>50</v>
      </c>
      <c r="AB1399">
        <v>4104</v>
      </c>
      <c r="AC1399">
        <v>45747</v>
      </c>
      <c r="AD1399">
        <v>0</v>
      </c>
      <c r="AE1399">
        <v>3750</v>
      </c>
      <c r="AF1399">
        <v>3750</v>
      </c>
      <c r="AG1399">
        <v>0</v>
      </c>
      <c r="AH1399">
        <v>-354</v>
      </c>
    </row>
    <row r="1400" spans="2:34" x14ac:dyDescent="0.35">
      <c r="B1400" t="s">
        <v>565</v>
      </c>
      <c r="C1400">
        <v>45748</v>
      </c>
      <c r="F1400" t="s">
        <v>749</v>
      </c>
      <c r="H1400">
        <v>106</v>
      </c>
      <c r="O1400" t="s">
        <v>239</v>
      </c>
      <c r="P1400" t="s">
        <v>514</v>
      </c>
      <c r="Y1400">
        <v>1366</v>
      </c>
      <c r="Z1400" s="259" t="s">
        <v>630</v>
      </c>
      <c r="AA1400">
        <v>80</v>
      </c>
      <c r="AB1400">
        <v>8008</v>
      </c>
      <c r="AC1400">
        <v>45748</v>
      </c>
      <c r="AD1400">
        <v>0</v>
      </c>
      <c r="AE1400">
        <v>8480</v>
      </c>
      <c r="AF1400">
        <v>8480</v>
      </c>
      <c r="AG1400">
        <v>0</v>
      </c>
      <c r="AH1400">
        <v>472</v>
      </c>
    </row>
    <row r="1401" spans="2:34" x14ac:dyDescent="0.35">
      <c r="B1401" t="s">
        <v>565</v>
      </c>
      <c r="C1401">
        <v>45748</v>
      </c>
      <c r="F1401" t="s">
        <v>752</v>
      </c>
      <c r="H1401">
        <v>198</v>
      </c>
      <c r="O1401" t="s">
        <v>239</v>
      </c>
      <c r="P1401" t="s">
        <v>514</v>
      </c>
      <c r="Y1401">
        <v>1367</v>
      </c>
      <c r="Z1401" s="259" t="s">
        <v>630</v>
      </c>
      <c r="AA1401">
        <v>100</v>
      </c>
      <c r="AB1401">
        <v>20020</v>
      </c>
      <c r="AC1401">
        <v>45748</v>
      </c>
      <c r="AD1401">
        <v>0</v>
      </c>
      <c r="AE1401">
        <v>19800</v>
      </c>
      <c r="AF1401">
        <v>19800</v>
      </c>
      <c r="AG1401">
        <v>0</v>
      </c>
      <c r="AH1401">
        <v>-220</v>
      </c>
    </row>
    <row r="1402" spans="2:34" x14ac:dyDescent="0.35">
      <c r="B1402" t="s">
        <v>565</v>
      </c>
      <c r="C1402">
        <v>45748</v>
      </c>
      <c r="F1402" t="s">
        <v>754</v>
      </c>
      <c r="H1402">
        <v>75</v>
      </c>
      <c r="O1402" t="s">
        <v>239</v>
      </c>
      <c r="P1402" t="s">
        <v>514</v>
      </c>
      <c r="Y1402">
        <v>1368</v>
      </c>
      <c r="Z1402" s="259" t="s">
        <v>630</v>
      </c>
      <c r="AA1402">
        <v>50</v>
      </c>
      <c r="AB1402">
        <v>4104</v>
      </c>
      <c r="AC1402">
        <v>45748</v>
      </c>
      <c r="AD1402">
        <v>0</v>
      </c>
      <c r="AE1402">
        <v>3750</v>
      </c>
      <c r="AF1402">
        <v>3750</v>
      </c>
      <c r="AG1402">
        <v>0</v>
      </c>
      <c r="AH1402">
        <v>-354</v>
      </c>
    </row>
    <row r="1403" spans="2:34" x14ac:dyDescent="0.35">
      <c r="B1403" t="s">
        <v>565</v>
      </c>
      <c r="C1403">
        <v>45749</v>
      </c>
      <c r="F1403" t="s">
        <v>749</v>
      </c>
      <c r="H1403">
        <v>105.83</v>
      </c>
      <c r="O1403" t="s">
        <v>239</v>
      </c>
      <c r="P1403" t="s">
        <v>514</v>
      </c>
      <c r="Y1403">
        <v>1369</v>
      </c>
      <c r="Z1403" s="259" t="s">
        <v>630</v>
      </c>
      <c r="AA1403">
        <v>80</v>
      </c>
      <c r="AB1403">
        <v>8008</v>
      </c>
      <c r="AC1403">
        <v>45749</v>
      </c>
      <c r="AD1403">
        <v>0</v>
      </c>
      <c r="AE1403">
        <v>8466.4</v>
      </c>
      <c r="AF1403">
        <v>8466.4</v>
      </c>
      <c r="AG1403">
        <v>0</v>
      </c>
      <c r="AH1403">
        <v>458.39999999999964</v>
      </c>
    </row>
    <row r="1404" spans="2:34" x14ac:dyDescent="0.35">
      <c r="B1404" t="s">
        <v>565</v>
      </c>
      <c r="C1404">
        <v>45749</v>
      </c>
      <c r="F1404" t="s">
        <v>752</v>
      </c>
      <c r="H1404">
        <v>197.62</v>
      </c>
      <c r="O1404" t="s">
        <v>239</v>
      </c>
      <c r="P1404" t="s">
        <v>514</v>
      </c>
      <c r="Y1404">
        <v>1370</v>
      </c>
      <c r="Z1404" s="259" t="s">
        <v>630</v>
      </c>
      <c r="AA1404">
        <v>100</v>
      </c>
      <c r="AB1404">
        <v>20020</v>
      </c>
      <c r="AC1404">
        <v>45749</v>
      </c>
      <c r="AD1404">
        <v>0</v>
      </c>
      <c r="AE1404">
        <v>19762</v>
      </c>
      <c r="AF1404">
        <v>19762</v>
      </c>
      <c r="AG1404">
        <v>0</v>
      </c>
      <c r="AH1404">
        <v>-258</v>
      </c>
    </row>
    <row r="1405" spans="2:34" x14ac:dyDescent="0.35">
      <c r="B1405" t="s">
        <v>565</v>
      </c>
      <c r="C1405">
        <v>45749</v>
      </c>
      <c r="F1405" t="s">
        <v>754</v>
      </c>
      <c r="H1405">
        <v>75.14</v>
      </c>
      <c r="O1405" t="s">
        <v>239</v>
      </c>
      <c r="P1405" t="s">
        <v>514</v>
      </c>
      <c r="Y1405">
        <v>1371</v>
      </c>
      <c r="Z1405" s="259" t="s">
        <v>630</v>
      </c>
      <c r="AA1405">
        <v>50</v>
      </c>
      <c r="AB1405">
        <v>4104</v>
      </c>
      <c r="AC1405">
        <v>45749</v>
      </c>
      <c r="AD1405">
        <v>0</v>
      </c>
      <c r="AE1405">
        <v>3757</v>
      </c>
      <c r="AF1405">
        <v>3757</v>
      </c>
      <c r="AG1405">
        <v>0</v>
      </c>
      <c r="AH1405">
        <v>-347</v>
      </c>
    </row>
    <row r="1406" spans="2:34" x14ac:dyDescent="0.35">
      <c r="B1406" t="s">
        <v>565</v>
      </c>
      <c r="C1406">
        <v>45750</v>
      </c>
      <c r="F1406" t="s">
        <v>749</v>
      </c>
      <c r="H1406">
        <v>105.66</v>
      </c>
      <c r="O1406" t="s">
        <v>239</v>
      </c>
      <c r="P1406" t="s">
        <v>514</v>
      </c>
      <c r="Y1406">
        <v>1372</v>
      </c>
      <c r="Z1406" s="259" t="s">
        <v>630</v>
      </c>
      <c r="AA1406">
        <v>80</v>
      </c>
      <c r="AB1406">
        <v>8008</v>
      </c>
      <c r="AC1406">
        <v>45750</v>
      </c>
      <c r="AD1406">
        <v>0</v>
      </c>
      <c r="AE1406">
        <v>8452.7999999999993</v>
      </c>
      <c r="AF1406">
        <v>8452.7999999999993</v>
      </c>
      <c r="AG1406">
        <v>0</v>
      </c>
      <c r="AH1406">
        <v>444.79999999999927</v>
      </c>
    </row>
    <row r="1407" spans="2:34" x14ac:dyDescent="0.35">
      <c r="B1407" t="s">
        <v>565</v>
      </c>
      <c r="C1407">
        <v>45750</v>
      </c>
      <c r="F1407" t="s">
        <v>752</v>
      </c>
      <c r="H1407">
        <v>197.24</v>
      </c>
      <c r="O1407" t="s">
        <v>239</v>
      </c>
      <c r="P1407" t="s">
        <v>514</v>
      </c>
      <c r="Y1407">
        <v>1373</v>
      </c>
      <c r="Z1407" s="259" t="s">
        <v>630</v>
      </c>
      <c r="AA1407">
        <v>100</v>
      </c>
      <c r="AB1407">
        <v>20020</v>
      </c>
      <c r="AC1407">
        <v>45750</v>
      </c>
      <c r="AD1407">
        <v>0</v>
      </c>
      <c r="AE1407">
        <v>19724</v>
      </c>
      <c r="AF1407">
        <v>19724</v>
      </c>
      <c r="AG1407">
        <v>0</v>
      </c>
      <c r="AH1407">
        <v>-296</v>
      </c>
    </row>
    <row r="1408" spans="2:34" x14ac:dyDescent="0.35">
      <c r="B1408" t="s">
        <v>565</v>
      </c>
      <c r="C1408">
        <v>45750</v>
      </c>
      <c r="F1408" t="s">
        <v>754</v>
      </c>
      <c r="H1408">
        <v>75.28</v>
      </c>
      <c r="O1408" t="s">
        <v>239</v>
      </c>
      <c r="P1408" t="s">
        <v>514</v>
      </c>
      <c r="Y1408">
        <v>1374</v>
      </c>
      <c r="Z1408" s="259" t="s">
        <v>630</v>
      </c>
      <c r="AA1408">
        <v>50</v>
      </c>
      <c r="AB1408">
        <v>4104</v>
      </c>
      <c r="AC1408">
        <v>45750</v>
      </c>
      <c r="AD1408">
        <v>0</v>
      </c>
      <c r="AE1408">
        <v>3764</v>
      </c>
      <c r="AF1408">
        <v>3764</v>
      </c>
      <c r="AG1408">
        <v>0</v>
      </c>
      <c r="AH1408">
        <v>-340</v>
      </c>
    </row>
    <row r="1409" spans="2:34" x14ac:dyDescent="0.35">
      <c r="B1409" t="s">
        <v>565</v>
      </c>
      <c r="C1409">
        <v>45751</v>
      </c>
      <c r="F1409" t="s">
        <v>749</v>
      </c>
      <c r="H1409">
        <v>105.48</v>
      </c>
      <c r="O1409" t="s">
        <v>239</v>
      </c>
      <c r="P1409" t="s">
        <v>514</v>
      </c>
      <c r="Y1409">
        <v>1375</v>
      </c>
      <c r="Z1409" s="259" t="s">
        <v>630</v>
      </c>
      <c r="AA1409">
        <v>80</v>
      </c>
      <c r="AB1409">
        <v>8008</v>
      </c>
      <c r="AC1409">
        <v>45751</v>
      </c>
      <c r="AD1409">
        <v>0</v>
      </c>
      <c r="AE1409">
        <v>8438.4</v>
      </c>
      <c r="AF1409">
        <v>8438.4</v>
      </c>
      <c r="AG1409">
        <v>0</v>
      </c>
      <c r="AH1409">
        <v>430.39999999999964</v>
      </c>
    </row>
    <row r="1410" spans="2:34" x14ac:dyDescent="0.35">
      <c r="B1410" t="s">
        <v>565</v>
      </c>
      <c r="C1410">
        <v>45751</v>
      </c>
      <c r="F1410" t="s">
        <v>752</v>
      </c>
      <c r="H1410">
        <v>196.86</v>
      </c>
      <c r="O1410" t="s">
        <v>239</v>
      </c>
      <c r="P1410" t="s">
        <v>514</v>
      </c>
      <c r="Y1410">
        <v>1376</v>
      </c>
      <c r="Z1410" s="259" t="s">
        <v>630</v>
      </c>
      <c r="AA1410">
        <v>100</v>
      </c>
      <c r="AB1410">
        <v>20020</v>
      </c>
      <c r="AC1410">
        <v>45751</v>
      </c>
      <c r="AD1410">
        <v>0</v>
      </c>
      <c r="AE1410">
        <v>19686</v>
      </c>
      <c r="AF1410">
        <v>19686</v>
      </c>
      <c r="AG1410">
        <v>0</v>
      </c>
      <c r="AH1410">
        <v>-334</v>
      </c>
    </row>
    <row r="1411" spans="2:34" x14ac:dyDescent="0.35">
      <c r="B1411" t="s">
        <v>565</v>
      </c>
      <c r="C1411">
        <v>45751</v>
      </c>
      <c r="F1411" t="s">
        <v>754</v>
      </c>
      <c r="H1411">
        <v>75.41</v>
      </c>
      <c r="O1411" t="s">
        <v>239</v>
      </c>
      <c r="P1411" t="s">
        <v>514</v>
      </c>
      <c r="Y1411">
        <v>1377</v>
      </c>
      <c r="Z1411" s="259" t="s">
        <v>630</v>
      </c>
      <c r="AA1411">
        <v>50</v>
      </c>
      <c r="AB1411">
        <v>4104</v>
      </c>
      <c r="AC1411">
        <v>45751</v>
      </c>
      <c r="AD1411">
        <v>0</v>
      </c>
      <c r="AE1411">
        <v>3770.5</v>
      </c>
      <c r="AF1411">
        <v>3770.5</v>
      </c>
      <c r="AG1411">
        <v>0</v>
      </c>
      <c r="AH1411">
        <v>-333.5</v>
      </c>
    </row>
    <row r="1412" spans="2:34" x14ac:dyDescent="0.35">
      <c r="B1412" t="s">
        <v>565</v>
      </c>
      <c r="C1412">
        <v>45752</v>
      </c>
      <c r="F1412" t="s">
        <v>749</v>
      </c>
      <c r="H1412">
        <v>105.48</v>
      </c>
      <c r="O1412" t="s">
        <v>239</v>
      </c>
      <c r="P1412" t="s">
        <v>514</v>
      </c>
      <c r="Y1412">
        <v>1378</v>
      </c>
      <c r="Z1412" s="259" t="s">
        <v>630</v>
      </c>
      <c r="AA1412">
        <v>80</v>
      </c>
      <c r="AB1412">
        <v>8008</v>
      </c>
      <c r="AC1412">
        <v>45751</v>
      </c>
      <c r="AD1412">
        <v>1</v>
      </c>
      <c r="AE1412">
        <v>8438.4</v>
      </c>
      <c r="AF1412">
        <v>8438.4</v>
      </c>
      <c r="AG1412">
        <v>0</v>
      </c>
      <c r="AH1412">
        <v>430.39999999999964</v>
      </c>
    </row>
    <row r="1413" spans="2:34" x14ac:dyDescent="0.35">
      <c r="B1413" t="s">
        <v>565</v>
      </c>
      <c r="C1413">
        <v>45752</v>
      </c>
      <c r="F1413" t="s">
        <v>752</v>
      </c>
      <c r="H1413">
        <v>196.86</v>
      </c>
      <c r="O1413" t="s">
        <v>239</v>
      </c>
      <c r="P1413" t="s">
        <v>514</v>
      </c>
      <c r="Y1413">
        <v>1379</v>
      </c>
      <c r="Z1413" s="259" t="s">
        <v>630</v>
      </c>
      <c r="AA1413">
        <v>100</v>
      </c>
      <c r="AB1413">
        <v>20020</v>
      </c>
      <c r="AC1413">
        <v>45751</v>
      </c>
      <c r="AD1413">
        <v>1</v>
      </c>
      <c r="AE1413">
        <v>19686</v>
      </c>
      <c r="AF1413">
        <v>19686</v>
      </c>
      <c r="AG1413">
        <v>0</v>
      </c>
      <c r="AH1413">
        <v>-334</v>
      </c>
    </row>
    <row r="1414" spans="2:34" x14ac:dyDescent="0.35">
      <c r="B1414" t="s">
        <v>565</v>
      </c>
      <c r="C1414">
        <v>45752</v>
      </c>
      <c r="F1414" t="s">
        <v>754</v>
      </c>
      <c r="H1414">
        <v>75.41</v>
      </c>
      <c r="O1414" t="s">
        <v>239</v>
      </c>
      <c r="P1414" t="s">
        <v>514</v>
      </c>
      <c r="Y1414">
        <v>1380</v>
      </c>
      <c r="Z1414" s="259" t="s">
        <v>630</v>
      </c>
      <c r="AA1414">
        <v>50</v>
      </c>
      <c r="AB1414">
        <v>4104</v>
      </c>
      <c r="AC1414">
        <v>45751</v>
      </c>
      <c r="AD1414">
        <v>1</v>
      </c>
      <c r="AE1414">
        <v>3770.5</v>
      </c>
      <c r="AF1414">
        <v>3770.5</v>
      </c>
      <c r="AG1414">
        <v>0</v>
      </c>
      <c r="AH1414">
        <v>-333.5</v>
      </c>
    </row>
    <row r="1415" spans="2:34" x14ac:dyDescent="0.35">
      <c r="B1415" t="s">
        <v>565</v>
      </c>
      <c r="C1415">
        <v>45753</v>
      </c>
      <c r="F1415" t="s">
        <v>749</v>
      </c>
      <c r="H1415">
        <v>105.48</v>
      </c>
      <c r="O1415" t="s">
        <v>239</v>
      </c>
      <c r="P1415" t="s">
        <v>514</v>
      </c>
      <c r="Y1415">
        <v>1381</v>
      </c>
      <c r="Z1415" s="259" t="s">
        <v>630</v>
      </c>
      <c r="AA1415">
        <v>80</v>
      </c>
      <c r="AB1415">
        <v>8008</v>
      </c>
      <c r="AC1415">
        <v>45751</v>
      </c>
      <c r="AD1415">
        <v>2</v>
      </c>
      <c r="AE1415">
        <v>8438.4</v>
      </c>
      <c r="AF1415">
        <v>8438.4</v>
      </c>
      <c r="AG1415">
        <v>0</v>
      </c>
      <c r="AH1415">
        <v>430.39999999999964</v>
      </c>
    </row>
    <row r="1416" spans="2:34" x14ac:dyDescent="0.35">
      <c r="B1416" t="s">
        <v>565</v>
      </c>
      <c r="C1416">
        <v>45753</v>
      </c>
      <c r="F1416" t="s">
        <v>752</v>
      </c>
      <c r="H1416">
        <v>196.86</v>
      </c>
      <c r="O1416" t="s">
        <v>239</v>
      </c>
      <c r="P1416" t="s">
        <v>514</v>
      </c>
      <c r="Y1416">
        <v>1382</v>
      </c>
      <c r="Z1416" s="259" t="s">
        <v>630</v>
      </c>
      <c r="AA1416">
        <v>100</v>
      </c>
      <c r="AB1416">
        <v>20020</v>
      </c>
      <c r="AC1416">
        <v>45751</v>
      </c>
      <c r="AD1416">
        <v>2</v>
      </c>
      <c r="AE1416">
        <v>19686</v>
      </c>
      <c r="AF1416">
        <v>19686</v>
      </c>
      <c r="AG1416">
        <v>0</v>
      </c>
      <c r="AH1416">
        <v>-334</v>
      </c>
    </row>
    <row r="1417" spans="2:34" x14ac:dyDescent="0.35">
      <c r="B1417" t="s">
        <v>565</v>
      </c>
      <c r="C1417">
        <v>45753</v>
      </c>
      <c r="F1417" t="s">
        <v>754</v>
      </c>
      <c r="H1417">
        <v>75.41</v>
      </c>
      <c r="O1417" t="s">
        <v>239</v>
      </c>
      <c r="P1417" t="s">
        <v>514</v>
      </c>
      <c r="Y1417">
        <v>1383</v>
      </c>
      <c r="Z1417" s="259" t="s">
        <v>630</v>
      </c>
      <c r="AA1417">
        <v>50</v>
      </c>
      <c r="AB1417">
        <v>4104</v>
      </c>
      <c r="AC1417">
        <v>45751</v>
      </c>
      <c r="AD1417">
        <v>2</v>
      </c>
      <c r="AE1417">
        <v>3770.5</v>
      </c>
      <c r="AF1417">
        <v>3770.5</v>
      </c>
      <c r="AG1417">
        <v>0</v>
      </c>
      <c r="AH1417">
        <v>-333.5</v>
      </c>
    </row>
    <row r="1418" spans="2:34" x14ac:dyDescent="0.35">
      <c r="B1418" t="s">
        <v>565</v>
      </c>
      <c r="C1418">
        <v>45754</v>
      </c>
      <c r="F1418" t="s">
        <v>749</v>
      </c>
      <c r="H1418">
        <v>104.97</v>
      </c>
      <c r="O1418" t="s">
        <v>239</v>
      </c>
      <c r="P1418" t="s">
        <v>514</v>
      </c>
      <c r="Y1418">
        <v>1384</v>
      </c>
      <c r="Z1418" s="259" t="s">
        <v>630</v>
      </c>
      <c r="AA1418">
        <v>80</v>
      </c>
      <c r="AB1418">
        <v>8008</v>
      </c>
      <c r="AC1418">
        <v>45754</v>
      </c>
      <c r="AD1418">
        <v>0</v>
      </c>
      <c r="AE1418">
        <v>8397.6</v>
      </c>
      <c r="AF1418">
        <v>8397.6</v>
      </c>
      <c r="AG1418">
        <v>0</v>
      </c>
      <c r="AH1418">
        <v>389.60000000000036</v>
      </c>
    </row>
    <row r="1419" spans="2:34" x14ac:dyDescent="0.35">
      <c r="B1419" t="s">
        <v>565</v>
      </c>
      <c r="C1419">
        <v>45754</v>
      </c>
      <c r="F1419" t="s">
        <v>752</v>
      </c>
      <c r="H1419">
        <v>195.72</v>
      </c>
      <c r="O1419" t="s">
        <v>239</v>
      </c>
      <c r="P1419" t="s">
        <v>514</v>
      </c>
      <c r="Y1419">
        <v>1385</v>
      </c>
      <c r="Z1419" s="259" t="s">
        <v>630</v>
      </c>
      <c r="AA1419">
        <v>100</v>
      </c>
      <c r="AB1419">
        <v>20020</v>
      </c>
      <c r="AC1419">
        <v>45754</v>
      </c>
      <c r="AD1419">
        <v>0</v>
      </c>
      <c r="AE1419">
        <v>19572</v>
      </c>
      <c r="AF1419">
        <v>19572</v>
      </c>
      <c r="AG1419">
        <v>0</v>
      </c>
      <c r="AH1419">
        <v>-448</v>
      </c>
    </row>
    <row r="1420" spans="2:34" x14ac:dyDescent="0.35">
      <c r="B1420" t="s">
        <v>565</v>
      </c>
      <c r="C1420">
        <v>45754</v>
      </c>
      <c r="F1420" t="s">
        <v>754</v>
      </c>
      <c r="H1420">
        <v>75.83</v>
      </c>
      <c r="O1420" t="s">
        <v>239</v>
      </c>
      <c r="P1420" t="s">
        <v>514</v>
      </c>
      <c r="Y1420">
        <v>1386</v>
      </c>
      <c r="Z1420" s="259" t="s">
        <v>630</v>
      </c>
      <c r="AA1420">
        <v>50</v>
      </c>
      <c r="AB1420">
        <v>4104</v>
      </c>
      <c r="AC1420">
        <v>45754</v>
      </c>
      <c r="AD1420">
        <v>0</v>
      </c>
      <c r="AE1420">
        <v>3791.5</v>
      </c>
      <c r="AF1420">
        <v>3791.5</v>
      </c>
      <c r="AG1420">
        <v>0</v>
      </c>
      <c r="AH1420">
        <v>-312.5</v>
      </c>
    </row>
    <row r="1421" spans="2:34" x14ac:dyDescent="0.35">
      <c r="B1421" t="s">
        <v>565</v>
      </c>
      <c r="C1421">
        <v>45755</v>
      </c>
      <c r="F1421" t="s">
        <v>749</v>
      </c>
      <c r="H1421">
        <v>104.79</v>
      </c>
      <c r="O1421" t="s">
        <v>239</v>
      </c>
      <c r="P1421" t="s">
        <v>514</v>
      </c>
      <c r="Y1421">
        <v>1387</v>
      </c>
      <c r="Z1421" s="259" t="s">
        <v>630</v>
      </c>
      <c r="AA1421">
        <v>80</v>
      </c>
      <c r="AB1421">
        <v>8008</v>
      </c>
      <c r="AC1421">
        <v>45755</v>
      </c>
      <c r="AD1421">
        <v>0</v>
      </c>
      <c r="AE1421">
        <v>8383.2000000000007</v>
      </c>
      <c r="AF1421">
        <v>8383.2000000000007</v>
      </c>
      <c r="AG1421">
        <v>0</v>
      </c>
      <c r="AH1421">
        <v>375.20000000000073</v>
      </c>
    </row>
    <row r="1422" spans="2:34" x14ac:dyDescent="0.35">
      <c r="B1422" t="s">
        <v>565</v>
      </c>
      <c r="C1422">
        <v>45755</v>
      </c>
      <c r="F1422" t="s">
        <v>752</v>
      </c>
      <c r="H1422">
        <v>195.34</v>
      </c>
      <c r="O1422" t="s">
        <v>239</v>
      </c>
      <c r="P1422" t="s">
        <v>514</v>
      </c>
      <c r="Y1422">
        <v>1388</v>
      </c>
      <c r="Z1422" s="259" t="s">
        <v>630</v>
      </c>
      <c r="AA1422">
        <v>100</v>
      </c>
      <c r="AB1422">
        <v>20020</v>
      </c>
      <c r="AC1422">
        <v>45755</v>
      </c>
      <c r="AD1422">
        <v>0</v>
      </c>
      <c r="AE1422">
        <v>19534</v>
      </c>
      <c r="AF1422">
        <v>19534</v>
      </c>
      <c r="AG1422">
        <v>0</v>
      </c>
      <c r="AH1422">
        <v>-486</v>
      </c>
    </row>
    <row r="1423" spans="2:34" x14ac:dyDescent="0.35">
      <c r="B1423" t="s">
        <v>565</v>
      </c>
      <c r="C1423">
        <v>45755</v>
      </c>
      <c r="F1423" t="s">
        <v>754</v>
      </c>
      <c r="H1423">
        <v>75.97</v>
      </c>
      <c r="O1423" t="s">
        <v>239</v>
      </c>
      <c r="P1423" t="s">
        <v>514</v>
      </c>
      <c r="Y1423">
        <v>1389</v>
      </c>
      <c r="Z1423" s="259" t="s">
        <v>630</v>
      </c>
      <c r="AA1423">
        <v>50</v>
      </c>
      <c r="AB1423">
        <v>4104</v>
      </c>
      <c r="AC1423">
        <v>45755</v>
      </c>
      <c r="AD1423">
        <v>0</v>
      </c>
      <c r="AE1423">
        <v>3798.5</v>
      </c>
      <c r="AF1423">
        <v>3798.5</v>
      </c>
      <c r="AG1423">
        <v>0</v>
      </c>
      <c r="AH1423">
        <v>-305.5</v>
      </c>
    </row>
    <row r="1424" spans="2:34" x14ac:dyDescent="0.35">
      <c r="B1424" t="s">
        <v>565</v>
      </c>
      <c r="C1424">
        <v>45756</v>
      </c>
      <c r="F1424" t="s">
        <v>749</v>
      </c>
      <c r="H1424">
        <v>104.62</v>
      </c>
      <c r="O1424" t="s">
        <v>239</v>
      </c>
      <c r="P1424" t="s">
        <v>514</v>
      </c>
      <c r="Y1424">
        <v>1390</v>
      </c>
      <c r="Z1424" s="259" t="s">
        <v>630</v>
      </c>
      <c r="AA1424">
        <v>80</v>
      </c>
      <c r="AB1424">
        <v>8008</v>
      </c>
      <c r="AC1424">
        <v>45756</v>
      </c>
      <c r="AD1424">
        <v>0</v>
      </c>
      <c r="AE1424">
        <v>8369.6</v>
      </c>
      <c r="AF1424">
        <v>8369.6</v>
      </c>
      <c r="AG1424">
        <v>0</v>
      </c>
      <c r="AH1424">
        <v>361.60000000000036</v>
      </c>
    </row>
    <row r="1425" spans="2:34" x14ac:dyDescent="0.35">
      <c r="B1425" t="s">
        <v>565</v>
      </c>
      <c r="C1425">
        <v>45756</v>
      </c>
      <c r="F1425" t="s">
        <v>752</v>
      </c>
      <c r="H1425">
        <v>194.97</v>
      </c>
      <c r="O1425" t="s">
        <v>239</v>
      </c>
      <c r="P1425" t="s">
        <v>514</v>
      </c>
      <c r="Y1425">
        <v>1391</v>
      </c>
      <c r="Z1425" s="259" t="s">
        <v>630</v>
      </c>
      <c r="AA1425">
        <v>100</v>
      </c>
      <c r="AB1425">
        <v>20020</v>
      </c>
      <c r="AC1425">
        <v>45756</v>
      </c>
      <c r="AD1425">
        <v>0</v>
      </c>
      <c r="AE1425">
        <v>19497</v>
      </c>
      <c r="AF1425">
        <v>19497</v>
      </c>
      <c r="AG1425">
        <v>0</v>
      </c>
      <c r="AH1425">
        <v>-523</v>
      </c>
    </row>
    <row r="1426" spans="2:34" x14ac:dyDescent="0.35">
      <c r="B1426" t="s">
        <v>565</v>
      </c>
      <c r="C1426">
        <v>45756</v>
      </c>
      <c r="F1426" t="s">
        <v>754</v>
      </c>
      <c r="H1426">
        <v>76.099999999999994</v>
      </c>
      <c r="O1426" t="s">
        <v>239</v>
      </c>
      <c r="P1426" t="s">
        <v>514</v>
      </c>
      <c r="Y1426">
        <v>1392</v>
      </c>
      <c r="Z1426" s="259" t="s">
        <v>630</v>
      </c>
      <c r="AA1426">
        <v>50</v>
      </c>
      <c r="AB1426">
        <v>4104</v>
      </c>
      <c r="AC1426">
        <v>45756</v>
      </c>
      <c r="AD1426">
        <v>0</v>
      </c>
      <c r="AE1426">
        <v>3804.9999999999995</v>
      </c>
      <c r="AF1426">
        <v>3804.9999999999995</v>
      </c>
      <c r="AG1426">
        <v>0</v>
      </c>
      <c r="AH1426">
        <v>-299.00000000000045</v>
      </c>
    </row>
    <row r="1427" spans="2:34" x14ac:dyDescent="0.35">
      <c r="B1427" t="s">
        <v>565</v>
      </c>
      <c r="C1427">
        <v>45757</v>
      </c>
      <c r="F1427" t="s">
        <v>749</v>
      </c>
      <c r="H1427">
        <v>104.45</v>
      </c>
      <c r="O1427" t="s">
        <v>239</v>
      </c>
      <c r="P1427" t="s">
        <v>514</v>
      </c>
      <c r="Y1427">
        <v>1393</v>
      </c>
      <c r="Z1427" s="259" t="s">
        <v>630</v>
      </c>
      <c r="AA1427">
        <v>80</v>
      </c>
      <c r="AB1427">
        <v>8008</v>
      </c>
      <c r="AC1427">
        <v>45757</v>
      </c>
      <c r="AD1427">
        <v>0</v>
      </c>
      <c r="AE1427">
        <v>8356</v>
      </c>
      <c r="AF1427">
        <v>8356</v>
      </c>
      <c r="AG1427">
        <v>0</v>
      </c>
      <c r="AH1427">
        <v>348</v>
      </c>
    </row>
    <row r="1428" spans="2:34" x14ac:dyDescent="0.35">
      <c r="B1428" t="s">
        <v>565</v>
      </c>
      <c r="C1428">
        <v>45757</v>
      </c>
      <c r="F1428" t="s">
        <v>752</v>
      </c>
      <c r="H1428">
        <v>194.59</v>
      </c>
      <c r="O1428" t="s">
        <v>239</v>
      </c>
      <c r="P1428" t="s">
        <v>514</v>
      </c>
      <c r="Y1428">
        <v>1394</v>
      </c>
      <c r="Z1428" s="259" t="s">
        <v>630</v>
      </c>
      <c r="AA1428">
        <v>100</v>
      </c>
      <c r="AB1428">
        <v>20020</v>
      </c>
      <c r="AC1428">
        <v>45757</v>
      </c>
      <c r="AD1428">
        <v>0</v>
      </c>
      <c r="AE1428">
        <v>19459</v>
      </c>
      <c r="AF1428">
        <v>19459</v>
      </c>
      <c r="AG1428">
        <v>0</v>
      </c>
      <c r="AH1428">
        <v>-561</v>
      </c>
    </row>
    <row r="1429" spans="2:34" x14ac:dyDescent="0.35">
      <c r="B1429" t="s">
        <v>565</v>
      </c>
      <c r="C1429">
        <v>45757</v>
      </c>
      <c r="F1429" t="s">
        <v>754</v>
      </c>
      <c r="H1429">
        <v>76.239999999999995</v>
      </c>
      <c r="O1429" t="s">
        <v>239</v>
      </c>
      <c r="P1429" t="s">
        <v>514</v>
      </c>
      <c r="Y1429">
        <v>1395</v>
      </c>
      <c r="Z1429" s="259" t="s">
        <v>630</v>
      </c>
      <c r="AA1429">
        <v>50</v>
      </c>
      <c r="AB1429">
        <v>4104</v>
      </c>
      <c r="AC1429">
        <v>45757</v>
      </c>
      <c r="AD1429">
        <v>0</v>
      </c>
      <c r="AE1429">
        <v>3811.9999999999995</v>
      </c>
      <c r="AF1429">
        <v>3811.9999999999995</v>
      </c>
      <c r="AG1429">
        <v>0</v>
      </c>
      <c r="AH1429">
        <v>-292.00000000000045</v>
      </c>
    </row>
    <row r="1430" spans="2:34" x14ac:dyDescent="0.35">
      <c r="B1430" t="s">
        <v>565</v>
      </c>
      <c r="C1430">
        <v>45758</v>
      </c>
      <c r="F1430" t="s">
        <v>749</v>
      </c>
      <c r="H1430">
        <v>104.28</v>
      </c>
      <c r="O1430" t="s">
        <v>239</v>
      </c>
      <c r="P1430" t="s">
        <v>514</v>
      </c>
      <c r="Y1430">
        <v>1396</v>
      </c>
      <c r="Z1430" s="259" t="s">
        <v>630</v>
      </c>
      <c r="AA1430">
        <v>80</v>
      </c>
      <c r="AB1430">
        <v>8008</v>
      </c>
      <c r="AC1430">
        <v>45758</v>
      </c>
      <c r="AD1430">
        <v>0</v>
      </c>
      <c r="AE1430">
        <v>8342.4</v>
      </c>
      <c r="AF1430">
        <v>8342.4</v>
      </c>
      <c r="AG1430">
        <v>0</v>
      </c>
      <c r="AH1430">
        <v>334.39999999999964</v>
      </c>
    </row>
    <row r="1431" spans="2:34" x14ac:dyDescent="0.35">
      <c r="B1431" t="s">
        <v>565</v>
      </c>
      <c r="C1431">
        <v>45758</v>
      </c>
      <c r="F1431" t="s">
        <v>752</v>
      </c>
      <c r="H1431">
        <v>194.21</v>
      </c>
      <c r="O1431" t="s">
        <v>239</v>
      </c>
      <c r="P1431" t="s">
        <v>514</v>
      </c>
      <c r="Y1431">
        <v>1397</v>
      </c>
      <c r="Z1431" s="259" t="s">
        <v>630</v>
      </c>
      <c r="AA1431">
        <v>100</v>
      </c>
      <c r="AB1431">
        <v>20020</v>
      </c>
      <c r="AC1431">
        <v>45758</v>
      </c>
      <c r="AD1431">
        <v>0</v>
      </c>
      <c r="AE1431">
        <v>19421</v>
      </c>
      <c r="AF1431">
        <v>19421</v>
      </c>
      <c r="AG1431">
        <v>0</v>
      </c>
      <c r="AH1431">
        <v>-599</v>
      </c>
    </row>
    <row r="1432" spans="2:34" x14ac:dyDescent="0.35">
      <c r="B1432" t="s">
        <v>565</v>
      </c>
      <c r="C1432">
        <v>45758</v>
      </c>
      <c r="F1432" t="s">
        <v>754</v>
      </c>
      <c r="H1432">
        <v>76.38</v>
      </c>
      <c r="O1432" t="s">
        <v>239</v>
      </c>
      <c r="P1432" t="s">
        <v>514</v>
      </c>
      <c r="Y1432">
        <v>1398</v>
      </c>
      <c r="Z1432" s="259" t="s">
        <v>630</v>
      </c>
      <c r="AA1432">
        <v>50</v>
      </c>
      <c r="AB1432">
        <v>4104</v>
      </c>
      <c r="AC1432">
        <v>45758</v>
      </c>
      <c r="AD1432">
        <v>0</v>
      </c>
      <c r="AE1432">
        <v>3819</v>
      </c>
      <c r="AF1432">
        <v>3819</v>
      </c>
      <c r="AG1432">
        <v>0</v>
      </c>
      <c r="AH1432">
        <v>-285</v>
      </c>
    </row>
    <row r="1433" spans="2:34" x14ac:dyDescent="0.35">
      <c r="B1433" t="s">
        <v>565</v>
      </c>
      <c r="C1433">
        <v>45759</v>
      </c>
      <c r="F1433" t="s">
        <v>749</v>
      </c>
      <c r="H1433">
        <v>104.28</v>
      </c>
      <c r="O1433" t="s">
        <v>239</v>
      </c>
      <c r="P1433" t="s">
        <v>514</v>
      </c>
      <c r="Y1433">
        <v>1399</v>
      </c>
      <c r="Z1433" s="259" t="s">
        <v>630</v>
      </c>
      <c r="AA1433">
        <v>80</v>
      </c>
      <c r="AB1433">
        <v>8008</v>
      </c>
      <c r="AC1433">
        <v>45758</v>
      </c>
      <c r="AD1433">
        <v>1</v>
      </c>
      <c r="AE1433">
        <v>8342.4</v>
      </c>
      <c r="AF1433">
        <v>8342.4</v>
      </c>
      <c r="AG1433">
        <v>0</v>
      </c>
      <c r="AH1433">
        <v>334.39999999999964</v>
      </c>
    </row>
    <row r="1434" spans="2:34" x14ac:dyDescent="0.35">
      <c r="B1434" t="s">
        <v>565</v>
      </c>
      <c r="C1434">
        <v>45759</v>
      </c>
      <c r="F1434" t="s">
        <v>752</v>
      </c>
      <c r="H1434">
        <v>194.21</v>
      </c>
      <c r="O1434" t="s">
        <v>239</v>
      </c>
      <c r="P1434" t="s">
        <v>514</v>
      </c>
      <c r="Y1434">
        <v>1400</v>
      </c>
      <c r="Z1434" s="259" t="s">
        <v>630</v>
      </c>
      <c r="AA1434">
        <v>100</v>
      </c>
      <c r="AB1434">
        <v>20020</v>
      </c>
      <c r="AC1434">
        <v>45758</v>
      </c>
      <c r="AD1434">
        <v>1</v>
      </c>
      <c r="AE1434">
        <v>19421</v>
      </c>
      <c r="AF1434">
        <v>19421</v>
      </c>
      <c r="AG1434">
        <v>0</v>
      </c>
      <c r="AH1434">
        <v>-599</v>
      </c>
    </row>
    <row r="1435" spans="2:34" x14ac:dyDescent="0.35">
      <c r="B1435" t="s">
        <v>565</v>
      </c>
      <c r="C1435">
        <v>45759</v>
      </c>
      <c r="F1435" t="s">
        <v>754</v>
      </c>
      <c r="H1435">
        <v>76.38</v>
      </c>
      <c r="O1435" t="s">
        <v>239</v>
      </c>
      <c r="P1435" t="s">
        <v>514</v>
      </c>
      <c r="Y1435">
        <v>1401</v>
      </c>
      <c r="Z1435" s="259" t="s">
        <v>630</v>
      </c>
      <c r="AA1435">
        <v>50</v>
      </c>
      <c r="AB1435">
        <v>4104</v>
      </c>
      <c r="AC1435">
        <v>45758</v>
      </c>
      <c r="AD1435">
        <v>1</v>
      </c>
      <c r="AE1435">
        <v>3819</v>
      </c>
      <c r="AF1435">
        <v>3819</v>
      </c>
      <c r="AG1435">
        <v>0</v>
      </c>
      <c r="AH1435">
        <v>-285</v>
      </c>
    </row>
    <row r="1436" spans="2:34" x14ac:dyDescent="0.35">
      <c r="B1436" t="s">
        <v>565</v>
      </c>
      <c r="C1436">
        <v>45760</v>
      </c>
      <c r="F1436" t="s">
        <v>749</v>
      </c>
      <c r="H1436">
        <v>104.28</v>
      </c>
      <c r="O1436" t="s">
        <v>239</v>
      </c>
      <c r="P1436" t="s">
        <v>514</v>
      </c>
      <c r="Y1436">
        <v>1402</v>
      </c>
      <c r="Z1436" s="259" t="s">
        <v>630</v>
      </c>
      <c r="AA1436">
        <v>80</v>
      </c>
      <c r="AB1436">
        <v>8008</v>
      </c>
      <c r="AC1436">
        <v>45758</v>
      </c>
      <c r="AD1436">
        <v>2</v>
      </c>
      <c r="AE1436">
        <v>8342.4</v>
      </c>
      <c r="AF1436">
        <v>8342.4</v>
      </c>
      <c r="AG1436">
        <v>0</v>
      </c>
      <c r="AH1436">
        <v>334.39999999999964</v>
      </c>
    </row>
    <row r="1437" spans="2:34" x14ac:dyDescent="0.35">
      <c r="B1437" t="s">
        <v>565</v>
      </c>
      <c r="C1437">
        <v>45760</v>
      </c>
      <c r="F1437" t="s">
        <v>752</v>
      </c>
      <c r="H1437">
        <v>194.21</v>
      </c>
      <c r="O1437" t="s">
        <v>239</v>
      </c>
      <c r="P1437" t="s">
        <v>514</v>
      </c>
      <c r="Y1437">
        <v>1403</v>
      </c>
      <c r="Z1437" s="259" t="s">
        <v>630</v>
      </c>
      <c r="AA1437">
        <v>100</v>
      </c>
      <c r="AB1437">
        <v>20020</v>
      </c>
      <c r="AC1437">
        <v>45758</v>
      </c>
      <c r="AD1437">
        <v>2</v>
      </c>
      <c r="AE1437">
        <v>19421</v>
      </c>
      <c r="AF1437">
        <v>19421</v>
      </c>
      <c r="AG1437">
        <v>0</v>
      </c>
      <c r="AH1437">
        <v>-599</v>
      </c>
    </row>
    <row r="1438" spans="2:34" x14ac:dyDescent="0.35">
      <c r="B1438" t="s">
        <v>565</v>
      </c>
      <c r="C1438">
        <v>45760</v>
      </c>
      <c r="F1438" t="s">
        <v>754</v>
      </c>
      <c r="H1438">
        <v>76.38</v>
      </c>
      <c r="O1438" t="s">
        <v>239</v>
      </c>
      <c r="P1438" t="s">
        <v>514</v>
      </c>
      <c r="Y1438">
        <v>1404</v>
      </c>
      <c r="Z1438" s="259" t="s">
        <v>630</v>
      </c>
      <c r="AA1438">
        <v>50</v>
      </c>
      <c r="AB1438">
        <v>4104</v>
      </c>
      <c r="AC1438">
        <v>45758</v>
      </c>
      <c r="AD1438">
        <v>2</v>
      </c>
      <c r="AE1438">
        <v>3819</v>
      </c>
      <c r="AF1438">
        <v>3819</v>
      </c>
      <c r="AG1438">
        <v>0</v>
      </c>
      <c r="AH1438">
        <v>-285</v>
      </c>
    </row>
    <row r="1439" spans="2:34" x14ac:dyDescent="0.35">
      <c r="B1439" t="s">
        <v>565</v>
      </c>
      <c r="C1439">
        <v>45761</v>
      </c>
      <c r="F1439" t="s">
        <v>749</v>
      </c>
      <c r="H1439">
        <v>103.76</v>
      </c>
      <c r="O1439" t="s">
        <v>239</v>
      </c>
      <c r="P1439" t="s">
        <v>514</v>
      </c>
      <c r="Y1439">
        <v>1405</v>
      </c>
      <c r="Z1439" s="259" t="s">
        <v>630</v>
      </c>
      <c r="AA1439">
        <v>80</v>
      </c>
      <c r="AB1439">
        <v>8008</v>
      </c>
      <c r="AC1439">
        <v>45761</v>
      </c>
      <c r="AD1439">
        <v>0</v>
      </c>
      <c r="AE1439">
        <v>8300.8000000000011</v>
      </c>
      <c r="AF1439">
        <v>8300.8000000000011</v>
      </c>
      <c r="AG1439">
        <v>0</v>
      </c>
      <c r="AH1439">
        <v>292.80000000000109</v>
      </c>
    </row>
    <row r="1440" spans="2:34" x14ac:dyDescent="0.35">
      <c r="B1440" t="s">
        <v>565</v>
      </c>
      <c r="C1440">
        <v>45761</v>
      </c>
      <c r="F1440" t="s">
        <v>752</v>
      </c>
      <c r="H1440">
        <v>193.07</v>
      </c>
      <c r="O1440" t="s">
        <v>239</v>
      </c>
      <c r="P1440" t="s">
        <v>514</v>
      </c>
      <c r="Y1440">
        <v>1406</v>
      </c>
      <c r="Z1440" s="259" t="s">
        <v>630</v>
      </c>
      <c r="AA1440">
        <v>100</v>
      </c>
      <c r="AB1440">
        <v>20020</v>
      </c>
      <c r="AC1440">
        <v>45761</v>
      </c>
      <c r="AD1440">
        <v>0</v>
      </c>
      <c r="AE1440">
        <v>19307</v>
      </c>
      <c r="AF1440">
        <v>19307</v>
      </c>
      <c r="AG1440">
        <v>0</v>
      </c>
      <c r="AH1440">
        <v>-713</v>
      </c>
    </row>
    <row r="1441" spans="2:34" x14ac:dyDescent="0.35">
      <c r="B1441" t="s">
        <v>565</v>
      </c>
      <c r="C1441">
        <v>45761</v>
      </c>
      <c r="F1441" t="s">
        <v>754</v>
      </c>
      <c r="H1441">
        <v>76.790000000000006</v>
      </c>
      <c r="O1441" t="s">
        <v>239</v>
      </c>
      <c r="P1441" t="s">
        <v>514</v>
      </c>
      <c r="Y1441">
        <v>1407</v>
      </c>
      <c r="Z1441" s="259" t="s">
        <v>630</v>
      </c>
      <c r="AA1441">
        <v>50</v>
      </c>
      <c r="AB1441">
        <v>4104</v>
      </c>
      <c r="AC1441">
        <v>45761</v>
      </c>
      <c r="AD1441">
        <v>0</v>
      </c>
      <c r="AE1441">
        <v>3839.5000000000005</v>
      </c>
      <c r="AF1441">
        <v>3839.5000000000005</v>
      </c>
      <c r="AG1441">
        <v>0</v>
      </c>
      <c r="AH1441">
        <v>-264.49999999999955</v>
      </c>
    </row>
    <row r="1442" spans="2:34" x14ac:dyDescent="0.35">
      <c r="B1442" t="s">
        <v>565</v>
      </c>
      <c r="C1442">
        <v>45762</v>
      </c>
      <c r="F1442" t="s">
        <v>749</v>
      </c>
      <c r="H1442">
        <v>103.59</v>
      </c>
      <c r="O1442" t="s">
        <v>239</v>
      </c>
      <c r="P1442" t="s">
        <v>514</v>
      </c>
      <c r="Y1442">
        <v>1408</v>
      </c>
      <c r="Z1442" s="259" t="s">
        <v>630</v>
      </c>
      <c r="AA1442">
        <v>80</v>
      </c>
      <c r="AB1442">
        <v>8008</v>
      </c>
      <c r="AC1442">
        <v>45762</v>
      </c>
      <c r="AD1442">
        <v>0</v>
      </c>
      <c r="AE1442">
        <v>8287.2000000000007</v>
      </c>
      <c r="AF1442">
        <v>8287.2000000000007</v>
      </c>
      <c r="AG1442">
        <v>0</v>
      </c>
      <c r="AH1442">
        <v>279.20000000000073</v>
      </c>
    </row>
    <row r="1443" spans="2:34" x14ac:dyDescent="0.35">
      <c r="B1443" t="s">
        <v>565</v>
      </c>
      <c r="C1443">
        <v>45762</v>
      </c>
      <c r="F1443" t="s">
        <v>752</v>
      </c>
      <c r="H1443">
        <v>192.69</v>
      </c>
      <c r="O1443" t="s">
        <v>239</v>
      </c>
      <c r="P1443" t="s">
        <v>514</v>
      </c>
      <c r="Y1443">
        <v>1409</v>
      </c>
      <c r="Z1443" s="259" t="s">
        <v>630</v>
      </c>
      <c r="AA1443">
        <v>100</v>
      </c>
      <c r="AB1443">
        <v>20020</v>
      </c>
      <c r="AC1443">
        <v>45762</v>
      </c>
      <c r="AD1443">
        <v>0</v>
      </c>
      <c r="AE1443">
        <v>19269</v>
      </c>
      <c r="AF1443">
        <v>19269</v>
      </c>
      <c r="AG1443">
        <v>0</v>
      </c>
      <c r="AH1443">
        <v>-751</v>
      </c>
    </row>
    <row r="1444" spans="2:34" x14ac:dyDescent="0.35">
      <c r="B1444" t="s">
        <v>565</v>
      </c>
      <c r="C1444">
        <v>45762</v>
      </c>
      <c r="F1444" t="s">
        <v>754</v>
      </c>
      <c r="H1444">
        <v>76.930000000000007</v>
      </c>
      <c r="O1444" t="s">
        <v>239</v>
      </c>
      <c r="P1444" t="s">
        <v>514</v>
      </c>
      <c r="Y1444">
        <v>1410</v>
      </c>
      <c r="Z1444" s="259" t="s">
        <v>630</v>
      </c>
      <c r="AA1444">
        <v>50</v>
      </c>
      <c r="AB1444">
        <v>4104</v>
      </c>
      <c r="AC1444">
        <v>45762</v>
      </c>
      <c r="AD1444">
        <v>0</v>
      </c>
      <c r="AE1444">
        <v>3846.5000000000005</v>
      </c>
      <c r="AF1444">
        <v>3846.5000000000005</v>
      </c>
      <c r="AG1444">
        <v>0</v>
      </c>
      <c r="AH1444">
        <v>-257.49999999999955</v>
      </c>
    </row>
    <row r="1445" spans="2:34" x14ac:dyDescent="0.35">
      <c r="B1445" t="s">
        <v>565</v>
      </c>
      <c r="C1445">
        <v>45763</v>
      </c>
      <c r="F1445" t="s">
        <v>749</v>
      </c>
      <c r="H1445">
        <v>103.41</v>
      </c>
      <c r="O1445" t="s">
        <v>239</v>
      </c>
      <c r="P1445" t="s">
        <v>514</v>
      </c>
      <c r="Y1445">
        <v>1411</v>
      </c>
      <c r="Z1445" s="259" t="s">
        <v>630</v>
      </c>
      <c r="AA1445">
        <v>80</v>
      </c>
      <c r="AB1445">
        <v>8008</v>
      </c>
      <c r="AC1445">
        <v>45763</v>
      </c>
      <c r="AD1445">
        <v>0</v>
      </c>
      <c r="AE1445">
        <v>8272.7999999999993</v>
      </c>
      <c r="AF1445">
        <v>8272.7999999999993</v>
      </c>
      <c r="AG1445">
        <v>0</v>
      </c>
      <c r="AH1445">
        <v>264.79999999999927</v>
      </c>
    </row>
    <row r="1446" spans="2:34" x14ac:dyDescent="0.35">
      <c r="B1446" t="s">
        <v>565</v>
      </c>
      <c r="C1446">
        <v>45763</v>
      </c>
      <c r="F1446" t="s">
        <v>752</v>
      </c>
      <c r="H1446">
        <v>192.31</v>
      </c>
      <c r="O1446" t="s">
        <v>239</v>
      </c>
      <c r="P1446" t="s">
        <v>514</v>
      </c>
      <c r="Y1446">
        <v>1412</v>
      </c>
      <c r="Z1446" s="259" t="s">
        <v>630</v>
      </c>
      <c r="AA1446">
        <v>100</v>
      </c>
      <c r="AB1446">
        <v>20020</v>
      </c>
      <c r="AC1446">
        <v>45763</v>
      </c>
      <c r="AD1446">
        <v>0</v>
      </c>
      <c r="AE1446">
        <v>19231</v>
      </c>
      <c r="AF1446">
        <v>19231</v>
      </c>
      <c r="AG1446">
        <v>0</v>
      </c>
      <c r="AH1446">
        <v>-789</v>
      </c>
    </row>
    <row r="1447" spans="2:34" x14ac:dyDescent="0.35">
      <c r="B1447" t="s">
        <v>565</v>
      </c>
      <c r="C1447">
        <v>45763</v>
      </c>
      <c r="F1447" t="s">
        <v>754</v>
      </c>
      <c r="H1447">
        <v>77.069999999999993</v>
      </c>
      <c r="O1447" t="s">
        <v>239</v>
      </c>
      <c r="P1447" t="s">
        <v>514</v>
      </c>
      <c r="Y1447">
        <v>1413</v>
      </c>
      <c r="Z1447" s="259" t="s">
        <v>630</v>
      </c>
      <c r="AA1447">
        <v>50</v>
      </c>
      <c r="AB1447">
        <v>4104</v>
      </c>
      <c r="AC1447">
        <v>45763</v>
      </c>
      <c r="AD1447">
        <v>0</v>
      </c>
      <c r="AE1447">
        <v>3853.4999999999995</v>
      </c>
      <c r="AF1447">
        <v>3853.4999999999995</v>
      </c>
      <c r="AG1447">
        <v>0</v>
      </c>
      <c r="AH1447">
        <v>-250.50000000000045</v>
      </c>
    </row>
    <row r="1448" spans="2:34" x14ac:dyDescent="0.35">
      <c r="B1448" t="s">
        <v>565</v>
      </c>
      <c r="C1448">
        <v>45764</v>
      </c>
      <c r="F1448" t="s">
        <v>749</v>
      </c>
      <c r="H1448">
        <v>103.24</v>
      </c>
      <c r="O1448" t="s">
        <v>239</v>
      </c>
      <c r="P1448" t="s">
        <v>514</v>
      </c>
      <c r="Y1448">
        <v>1414</v>
      </c>
      <c r="Z1448" s="259" t="s">
        <v>630</v>
      </c>
      <c r="AA1448">
        <v>80</v>
      </c>
      <c r="AB1448">
        <v>8008</v>
      </c>
      <c r="AC1448">
        <v>45764</v>
      </c>
      <c r="AD1448">
        <v>0</v>
      </c>
      <c r="AE1448">
        <v>8259.1999999999989</v>
      </c>
      <c r="AF1448">
        <v>8259.1999999999989</v>
      </c>
      <c r="AG1448">
        <v>0</v>
      </c>
      <c r="AH1448">
        <v>251.19999999999891</v>
      </c>
    </row>
    <row r="1449" spans="2:34" x14ac:dyDescent="0.35">
      <c r="B1449" t="s">
        <v>565</v>
      </c>
      <c r="C1449">
        <v>45764</v>
      </c>
      <c r="F1449" t="s">
        <v>752</v>
      </c>
      <c r="H1449">
        <v>191.93</v>
      </c>
      <c r="O1449" t="s">
        <v>239</v>
      </c>
      <c r="P1449" t="s">
        <v>514</v>
      </c>
      <c r="Y1449">
        <v>1415</v>
      </c>
      <c r="Z1449" s="259" t="s">
        <v>630</v>
      </c>
      <c r="AA1449">
        <v>100</v>
      </c>
      <c r="AB1449">
        <v>20020</v>
      </c>
      <c r="AC1449">
        <v>45764</v>
      </c>
      <c r="AD1449">
        <v>0</v>
      </c>
      <c r="AE1449">
        <v>19193</v>
      </c>
      <c r="AF1449">
        <v>19193</v>
      </c>
      <c r="AG1449">
        <v>0</v>
      </c>
      <c r="AH1449">
        <v>-827</v>
      </c>
    </row>
    <row r="1450" spans="2:34" x14ac:dyDescent="0.35">
      <c r="B1450" t="s">
        <v>565</v>
      </c>
      <c r="C1450">
        <v>45764</v>
      </c>
      <c r="F1450" t="s">
        <v>754</v>
      </c>
      <c r="H1450">
        <v>77.209999999999994</v>
      </c>
      <c r="O1450" t="s">
        <v>239</v>
      </c>
      <c r="P1450" t="s">
        <v>514</v>
      </c>
      <c r="Y1450">
        <v>1416</v>
      </c>
      <c r="Z1450" s="259" t="s">
        <v>630</v>
      </c>
      <c r="AA1450">
        <v>50</v>
      </c>
      <c r="AB1450">
        <v>4104</v>
      </c>
      <c r="AC1450">
        <v>45764</v>
      </c>
      <c r="AD1450">
        <v>0</v>
      </c>
      <c r="AE1450">
        <v>3860.4999999999995</v>
      </c>
      <c r="AF1450">
        <v>3860.4999999999995</v>
      </c>
      <c r="AG1450">
        <v>0</v>
      </c>
      <c r="AH1450">
        <v>-243.50000000000045</v>
      </c>
    </row>
    <row r="1451" spans="2:34" x14ac:dyDescent="0.35">
      <c r="B1451" t="s">
        <v>565</v>
      </c>
      <c r="C1451">
        <v>45765</v>
      </c>
      <c r="F1451" t="s">
        <v>749</v>
      </c>
      <c r="H1451">
        <v>103.07</v>
      </c>
      <c r="O1451" t="s">
        <v>239</v>
      </c>
      <c r="P1451" t="s">
        <v>514</v>
      </c>
      <c r="Y1451">
        <v>1417</v>
      </c>
      <c r="Z1451" s="259" t="s">
        <v>630</v>
      </c>
      <c r="AA1451">
        <v>80</v>
      </c>
      <c r="AB1451">
        <v>8008</v>
      </c>
      <c r="AC1451">
        <v>45765</v>
      </c>
      <c r="AD1451">
        <v>0</v>
      </c>
      <c r="AE1451">
        <v>8245.5999999999985</v>
      </c>
      <c r="AF1451">
        <v>8245.5999999999985</v>
      </c>
      <c r="AG1451">
        <v>0</v>
      </c>
      <c r="AH1451">
        <v>237.59999999999854</v>
      </c>
    </row>
    <row r="1452" spans="2:34" x14ac:dyDescent="0.35">
      <c r="B1452" t="s">
        <v>565</v>
      </c>
      <c r="C1452">
        <v>45765</v>
      </c>
      <c r="F1452" t="s">
        <v>752</v>
      </c>
      <c r="H1452">
        <v>191.55</v>
      </c>
      <c r="O1452" t="s">
        <v>239</v>
      </c>
      <c r="P1452" t="s">
        <v>514</v>
      </c>
      <c r="Y1452">
        <v>1418</v>
      </c>
      <c r="Z1452" s="259" t="s">
        <v>630</v>
      </c>
      <c r="AA1452">
        <v>100</v>
      </c>
      <c r="AB1452">
        <v>20020</v>
      </c>
      <c r="AC1452">
        <v>45765</v>
      </c>
      <c r="AD1452">
        <v>0</v>
      </c>
      <c r="AE1452">
        <v>19155</v>
      </c>
      <c r="AF1452">
        <v>19155</v>
      </c>
      <c r="AG1452">
        <v>0</v>
      </c>
      <c r="AH1452">
        <v>-865</v>
      </c>
    </row>
    <row r="1453" spans="2:34" x14ac:dyDescent="0.35">
      <c r="B1453" t="s">
        <v>565</v>
      </c>
      <c r="C1453">
        <v>45765</v>
      </c>
      <c r="F1453" t="s">
        <v>754</v>
      </c>
      <c r="H1453">
        <v>77.34</v>
      </c>
      <c r="O1453" t="s">
        <v>239</v>
      </c>
      <c r="P1453" t="s">
        <v>514</v>
      </c>
      <c r="Y1453">
        <v>1419</v>
      </c>
      <c r="Z1453" s="259" t="s">
        <v>630</v>
      </c>
      <c r="AA1453">
        <v>50</v>
      </c>
      <c r="AB1453">
        <v>4104</v>
      </c>
      <c r="AC1453">
        <v>45765</v>
      </c>
      <c r="AD1453">
        <v>0</v>
      </c>
      <c r="AE1453">
        <v>3867</v>
      </c>
      <c r="AF1453">
        <v>3867</v>
      </c>
      <c r="AG1453">
        <v>0</v>
      </c>
      <c r="AH1453">
        <v>-237</v>
      </c>
    </row>
    <row r="1454" spans="2:34" x14ac:dyDescent="0.35">
      <c r="B1454" t="s">
        <v>565</v>
      </c>
      <c r="C1454">
        <v>45766</v>
      </c>
      <c r="F1454" t="s">
        <v>749</v>
      </c>
      <c r="H1454">
        <v>103.07</v>
      </c>
      <c r="O1454" t="s">
        <v>239</v>
      </c>
      <c r="P1454" t="s">
        <v>514</v>
      </c>
      <c r="Y1454">
        <v>1420</v>
      </c>
      <c r="Z1454" s="259" t="s">
        <v>630</v>
      </c>
      <c r="AA1454">
        <v>80</v>
      </c>
      <c r="AB1454">
        <v>8008</v>
      </c>
      <c r="AC1454">
        <v>45765</v>
      </c>
      <c r="AD1454">
        <v>1</v>
      </c>
      <c r="AE1454">
        <v>8245.5999999999985</v>
      </c>
      <c r="AF1454">
        <v>8245.5999999999985</v>
      </c>
      <c r="AG1454">
        <v>0</v>
      </c>
      <c r="AH1454">
        <v>237.59999999999854</v>
      </c>
    </row>
    <row r="1455" spans="2:34" x14ac:dyDescent="0.35">
      <c r="B1455" t="s">
        <v>565</v>
      </c>
      <c r="C1455">
        <v>45766</v>
      </c>
      <c r="F1455" t="s">
        <v>752</v>
      </c>
      <c r="H1455">
        <v>191.55</v>
      </c>
      <c r="O1455" t="s">
        <v>239</v>
      </c>
      <c r="P1455" t="s">
        <v>514</v>
      </c>
      <c r="Y1455">
        <v>1421</v>
      </c>
      <c r="Z1455" s="259" t="s">
        <v>630</v>
      </c>
      <c r="AA1455">
        <v>100</v>
      </c>
      <c r="AB1455">
        <v>20020</v>
      </c>
      <c r="AC1455">
        <v>45765</v>
      </c>
      <c r="AD1455">
        <v>1</v>
      </c>
      <c r="AE1455">
        <v>19155</v>
      </c>
      <c r="AF1455">
        <v>19155</v>
      </c>
      <c r="AG1455">
        <v>0</v>
      </c>
      <c r="AH1455">
        <v>-865</v>
      </c>
    </row>
    <row r="1456" spans="2:34" x14ac:dyDescent="0.35">
      <c r="B1456" t="s">
        <v>565</v>
      </c>
      <c r="C1456">
        <v>45766</v>
      </c>
      <c r="F1456" t="s">
        <v>754</v>
      </c>
      <c r="H1456">
        <v>77.34</v>
      </c>
      <c r="O1456" t="s">
        <v>239</v>
      </c>
      <c r="P1456" t="s">
        <v>514</v>
      </c>
      <c r="Y1456">
        <v>1422</v>
      </c>
      <c r="Z1456" s="259" t="s">
        <v>630</v>
      </c>
      <c r="AA1456">
        <v>50</v>
      </c>
      <c r="AB1456">
        <v>4104</v>
      </c>
      <c r="AC1456">
        <v>45765</v>
      </c>
      <c r="AD1456">
        <v>1</v>
      </c>
      <c r="AE1456">
        <v>3867</v>
      </c>
      <c r="AF1456">
        <v>3867</v>
      </c>
      <c r="AG1456">
        <v>0</v>
      </c>
      <c r="AH1456">
        <v>-237</v>
      </c>
    </row>
    <row r="1457" spans="2:34" x14ac:dyDescent="0.35">
      <c r="B1457" t="s">
        <v>565</v>
      </c>
      <c r="C1457">
        <v>45767</v>
      </c>
      <c r="F1457" t="s">
        <v>749</v>
      </c>
      <c r="H1457">
        <v>103.07</v>
      </c>
      <c r="O1457" t="s">
        <v>239</v>
      </c>
      <c r="P1457" t="s">
        <v>514</v>
      </c>
      <c r="Y1457">
        <v>1423</v>
      </c>
      <c r="Z1457" s="259" t="s">
        <v>630</v>
      </c>
      <c r="AA1457">
        <v>80</v>
      </c>
      <c r="AB1457">
        <v>8008</v>
      </c>
      <c r="AC1457">
        <v>45765</v>
      </c>
      <c r="AD1457">
        <v>2</v>
      </c>
      <c r="AE1457">
        <v>8245.5999999999985</v>
      </c>
      <c r="AF1457">
        <v>8245.5999999999985</v>
      </c>
      <c r="AG1457">
        <v>0</v>
      </c>
      <c r="AH1457">
        <v>237.59999999999854</v>
      </c>
    </row>
    <row r="1458" spans="2:34" x14ac:dyDescent="0.35">
      <c r="B1458" t="s">
        <v>565</v>
      </c>
      <c r="C1458">
        <v>45767</v>
      </c>
      <c r="F1458" t="s">
        <v>752</v>
      </c>
      <c r="H1458">
        <v>191.55</v>
      </c>
      <c r="O1458" t="s">
        <v>239</v>
      </c>
      <c r="P1458" t="s">
        <v>514</v>
      </c>
      <c r="Y1458">
        <v>1424</v>
      </c>
      <c r="Z1458" s="259" t="s">
        <v>630</v>
      </c>
      <c r="AA1458">
        <v>100</v>
      </c>
      <c r="AB1458">
        <v>20020</v>
      </c>
      <c r="AC1458">
        <v>45765</v>
      </c>
      <c r="AD1458">
        <v>2</v>
      </c>
      <c r="AE1458">
        <v>19155</v>
      </c>
      <c r="AF1458">
        <v>19155</v>
      </c>
      <c r="AG1458">
        <v>0</v>
      </c>
      <c r="AH1458">
        <v>-865</v>
      </c>
    </row>
    <row r="1459" spans="2:34" x14ac:dyDescent="0.35">
      <c r="B1459" t="s">
        <v>565</v>
      </c>
      <c r="C1459">
        <v>45767</v>
      </c>
      <c r="F1459" t="s">
        <v>754</v>
      </c>
      <c r="H1459">
        <v>77.34</v>
      </c>
      <c r="O1459" t="s">
        <v>239</v>
      </c>
      <c r="P1459" t="s">
        <v>514</v>
      </c>
      <c r="Y1459">
        <v>1425</v>
      </c>
      <c r="Z1459" s="259" t="s">
        <v>630</v>
      </c>
      <c r="AA1459">
        <v>50</v>
      </c>
      <c r="AB1459">
        <v>4104</v>
      </c>
      <c r="AC1459">
        <v>45765</v>
      </c>
      <c r="AD1459">
        <v>2</v>
      </c>
      <c r="AE1459">
        <v>3867</v>
      </c>
      <c r="AF1459">
        <v>3867</v>
      </c>
      <c r="AG1459">
        <v>0</v>
      </c>
      <c r="AH1459">
        <v>-237</v>
      </c>
    </row>
    <row r="1460" spans="2:34" x14ac:dyDescent="0.35">
      <c r="B1460" t="s">
        <v>565</v>
      </c>
      <c r="C1460">
        <v>45768</v>
      </c>
      <c r="F1460" t="s">
        <v>749</v>
      </c>
      <c r="H1460">
        <v>102.55</v>
      </c>
      <c r="O1460" t="s">
        <v>239</v>
      </c>
      <c r="P1460" t="s">
        <v>514</v>
      </c>
      <c r="Y1460">
        <v>1426</v>
      </c>
      <c r="Z1460" s="259" t="s">
        <v>630</v>
      </c>
      <c r="AA1460">
        <v>80</v>
      </c>
      <c r="AB1460">
        <v>8008</v>
      </c>
      <c r="AC1460">
        <v>45768</v>
      </c>
      <c r="AD1460">
        <v>0</v>
      </c>
      <c r="AE1460">
        <v>8204</v>
      </c>
      <c r="AF1460">
        <v>8204</v>
      </c>
      <c r="AG1460">
        <v>0</v>
      </c>
      <c r="AH1460">
        <v>196</v>
      </c>
    </row>
    <row r="1461" spans="2:34" x14ac:dyDescent="0.35">
      <c r="B1461" t="s">
        <v>565</v>
      </c>
      <c r="C1461">
        <v>45768</v>
      </c>
      <c r="F1461" t="s">
        <v>752</v>
      </c>
      <c r="H1461">
        <v>190.41</v>
      </c>
      <c r="O1461" t="s">
        <v>239</v>
      </c>
      <c r="P1461" t="s">
        <v>514</v>
      </c>
      <c r="Y1461">
        <v>1427</v>
      </c>
      <c r="Z1461" s="259" t="s">
        <v>630</v>
      </c>
      <c r="AA1461">
        <v>100</v>
      </c>
      <c r="AB1461">
        <v>20020</v>
      </c>
      <c r="AC1461">
        <v>45768</v>
      </c>
      <c r="AD1461">
        <v>0</v>
      </c>
      <c r="AE1461">
        <v>19041</v>
      </c>
      <c r="AF1461">
        <v>19041</v>
      </c>
      <c r="AG1461">
        <v>0</v>
      </c>
      <c r="AH1461">
        <v>-979</v>
      </c>
    </row>
    <row r="1462" spans="2:34" x14ac:dyDescent="0.35">
      <c r="B1462" t="s">
        <v>565</v>
      </c>
      <c r="C1462">
        <v>45768</v>
      </c>
      <c r="F1462" t="s">
        <v>754</v>
      </c>
      <c r="H1462">
        <v>77.760000000000005</v>
      </c>
      <c r="O1462" t="s">
        <v>239</v>
      </c>
      <c r="P1462" t="s">
        <v>514</v>
      </c>
      <c r="Y1462">
        <v>1428</v>
      </c>
      <c r="Z1462" s="259" t="s">
        <v>630</v>
      </c>
      <c r="AA1462">
        <v>50</v>
      </c>
      <c r="AB1462">
        <v>4104</v>
      </c>
      <c r="AC1462">
        <v>45768</v>
      </c>
      <c r="AD1462">
        <v>0</v>
      </c>
      <c r="AE1462">
        <v>3888.0000000000005</v>
      </c>
      <c r="AF1462">
        <v>3888.0000000000005</v>
      </c>
      <c r="AG1462">
        <v>0</v>
      </c>
      <c r="AH1462">
        <v>-215.99999999999955</v>
      </c>
    </row>
    <row r="1463" spans="2:34" x14ac:dyDescent="0.35">
      <c r="B1463" t="s">
        <v>565</v>
      </c>
      <c r="C1463">
        <v>45769</v>
      </c>
      <c r="F1463" t="s">
        <v>749</v>
      </c>
      <c r="H1463">
        <v>102.38</v>
      </c>
      <c r="O1463" t="s">
        <v>239</v>
      </c>
      <c r="P1463" t="s">
        <v>514</v>
      </c>
      <c r="Y1463">
        <v>1429</v>
      </c>
      <c r="Z1463" s="259" t="s">
        <v>630</v>
      </c>
      <c r="AA1463">
        <v>80</v>
      </c>
      <c r="AB1463">
        <v>8008</v>
      </c>
      <c r="AC1463">
        <v>45769</v>
      </c>
      <c r="AD1463">
        <v>0</v>
      </c>
      <c r="AE1463">
        <v>8190.4</v>
      </c>
      <c r="AF1463">
        <v>8190.4</v>
      </c>
      <c r="AG1463">
        <v>0</v>
      </c>
      <c r="AH1463">
        <v>182.39999999999964</v>
      </c>
    </row>
    <row r="1464" spans="2:34" x14ac:dyDescent="0.35">
      <c r="B1464" t="s">
        <v>565</v>
      </c>
      <c r="C1464">
        <v>45769</v>
      </c>
      <c r="F1464" t="s">
        <v>752</v>
      </c>
      <c r="H1464">
        <v>190.03</v>
      </c>
      <c r="O1464" t="s">
        <v>239</v>
      </c>
      <c r="P1464" t="s">
        <v>514</v>
      </c>
      <c r="Y1464">
        <v>1430</v>
      </c>
      <c r="Z1464" s="259" t="s">
        <v>630</v>
      </c>
      <c r="AA1464">
        <v>100</v>
      </c>
      <c r="AB1464">
        <v>20020</v>
      </c>
      <c r="AC1464">
        <v>45769</v>
      </c>
      <c r="AD1464">
        <v>0</v>
      </c>
      <c r="AE1464">
        <v>19003</v>
      </c>
      <c r="AF1464">
        <v>19003</v>
      </c>
      <c r="AG1464">
        <v>0</v>
      </c>
      <c r="AH1464">
        <v>-1017</v>
      </c>
    </row>
    <row r="1465" spans="2:34" x14ac:dyDescent="0.35">
      <c r="B1465" t="s">
        <v>565</v>
      </c>
      <c r="C1465">
        <v>45769</v>
      </c>
      <c r="F1465" t="s">
        <v>754</v>
      </c>
      <c r="H1465">
        <v>77.900000000000006</v>
      </c>
      <c r="O1465" t="s">
        <v>239</v>
      </c>
      <c r="P1465" t="s">
        <v>514</v>
      </c>
      <c r="Y1465">
        <v>1431</v>
      </c>
      <c r="Z1465" s="259" t="s">
        <v>630</v>
      </c>
      <c r="AA1465">
        <v>50</v>
      </c>
      <c r="AB1465">
        <v>4104</v>
      </c>
      <c r="AC1465">
        <v>45769</v>
      </c>
      <c r="AD1465">
        <v>0</v>
      </c>
      <c r="AE1465">
        <v>3895.0000000000005</v>
      </c>
      <c r="AF1465">
        <v>3895.0000000000005</v>
      </c>
      <c r="AG1465">
        <v>0</v>
      </c>
      <c r="AH1465">
        <v>-208.99999999999955</v>
      </c>
    </row>
    <row r="1466" spans="2:34" x14ac:dyDescent="0.35">
      <c r="B1466" t="s">
        <v>565</v>
      </c>
      <c r="C1466">
        <v>45770</v>
      </c>
      <c r="F1466" t="s">
        <v>749</v>
      </c>
      <c r="H1466">
        <v>102.21</v>
      </c>
      <c r="O1466" t="s">
        <v>239</v>
      </c>
      <c r="P1466" t="s">
        <v>514</v>
      </c>
      <c r="Y1466">
        <v>1432</v>
      </c>
      <c r="Z1466" s="259" t="s">
        <v>630</v>
      </c>
      <c r="AA1466">
        <v>80</v>
      </c>
      <c r="AB1466">
        <v>8008</v>
      </c>
      <c r="AC1466">
        <v>45770</v>
      </c>
      <c r="AD1466">
        <v>0</v>
      </c>
      <c r="AE1466">
        <v>8176.7999999999993</v>
      </c>
      <c r="AF1466">
        <v>8176.7999999999993</v>
      </c>
      <c r="AG1466">
        <v>0</v>
      </c>
      <c r="AH1466">
        <v>168.79999999999927</v>
      </c>
    </row>
    <row r="1467" spans="2:34" x14ac:dyDescent="0.35">
      <c r="B1467" t="s">
        <v>565</v>
      </c>
      <c r="C1467">
        <v>45770</v>
      </c>
      <c r="F1467" t="s">
        <v>752</v>
      </c>
      <c r="H1467">
        <v>189.66</v>
      </c>
      <c r="O1467" t="s">
        <v>239</v>
      </c>
      <c r="P1467" t="s">
        <v>514</v>
      </c>
      <c r="Y1467">
        <v>1433</v>
      </c>
      <c r="Z1467" s="259" t="s">
        <v>630</v>
      </c>
      <c r="AA1467">
        <v>100</v>
      </c>
      <c r="AB1467">
        <v>20020</v>
      </c>
      <c r="AC1467">
        <v>45770</v>
      </c>
      <c r="AD1467">
        <v>0</v>
      </c>
      <c r="AE1467">
        <v>18966</v>
      </c>
      <c r="AF1467">
        <v>18966</v>
      </c>
      <c r="AG1467">
        <v>0</v>
      </c>
      <c r="AH1467">
        <v>-1054</v>
      </c>
    </row>
    <row r="1468" spans="2:34" x14ac:dyDescent="0.35">
      <c r="B1468" t="s">
        <v>565</v>
      </c>
      <c r="C1468">
        <v>45770</v>
      </c>
      <c r="F1468" t="s">
        <v>754</v>
      </c>
      <c r="H1468">
        <v>78.03</v>
      </c>
      <c r="O1468" t="s">
        <v>239</v>
      </c>
      <c r="P1468" t="s">
        <v>514</v>
      </c>
      <c r="Y1468">
        <v>1434</v>
      </c>
      <c r="Z1468" s="259" t="s">
        <v>630</v>
      </c>
      <c r="AA1468">
        <v>50</v>
      </c>
      <c r="AB1468">
        <v>4104</v>
      </c>
      <c r="AC1468">
        <v>45770</v>
      </c>
      <c r="AD1468">
        <v>0</v>
      </c>
      <c r="AE1468">
        <v>3901.5</v>
      </c>
      <c r="AF1468">
        <v>3901.5</v>
      </c>
      <c r="AG1468">
        <v>0</v>
      </c>
      <c r="AH1468">
        <v>-202.5</v>
      </c>
    </row>
    <row r="1469" spans="2:34" x14ac:dyDescent="0.35">
      <c r="B1469" t="s">
        <v>565</v>
      </c>
      <c r="C1469">
        <v>45771</v>
      </c>
      <c r="F1469" t="s">
        <v>749</v>
      </c>
      <c r="H1469">
        <v>102.03</v>
      </c>
      <c r="O1469" t="s">
        <v>239</v>
      </c>
      <c r="P1469" t="s">
        <v>514</v>
      </c>
      <c r="Y1469">
        <v>1435</v>
      </c>
      <c r="Z1469" s="259" t="s">
        <v>630</v>
      </c>
      <c r="AA1469">
        <v>80</v>
      </c>
      <c r="AB1469">
        <v>8008</v>
      </c>
      <c r="AC1469">
        <v>45771</v>
      </c>
      <c r="AD1469">
        <v>0</v>
      </c>
      <c r="AE1469">
        <v>8162.4</v>
      </c>
      <c r="AF1469">
        <v>8162.4</v>
      </c>
      <c r="AG1469">
        <v>0</v>
      </c>
      <c r="AH1469">
        <v>154.39999999999964</v>
      </c>
    </row>
    <row r="1470" spans="2:34" x14ac:dyDescent="0.35">
      <c r="B1470" t="s">
        <v>565</v>
      </c>
      <c r="C1470">
        <v>45771</v>
      </c>
      <c r="F1470" t="s">
        <v>752</v>
      </c>
      <c r="H1470">
        <v>189.28</v>
      </c>
      <c r="O1470" t="s">
        <v>239</v>
      </c>
      <c r="P1470" t="s">
        <v>514</v>
      </c>
      <c r="Y1470">
        <v>1436</v>
      </c>
      <c r="Z1470" s="259" t="s">
        <v>630</v>
      </c>
      <c r="AA1470">
        <v>100</v>
      </c>
      <c r="AB1470">
        <v>20020</v>
      </c>
      <c r="AC1470">
        <v>45771</v>
      </c>
      <c r="AD1470">
        <v>0</v>
      </c>
      <c r="AE1470">
        <v>18928</v>
      </c>
      <c r="AF1470">
        <v>18928</v>
      </c>
      <c r="AG1470">
        <v>0</v>
      </c>
      <c r="AH1470">
        <v>-1092</v>
      </c>
    </row>
    <row r="1471" spans="2:34" x14ac:dyDescent="0.35">
      <c r="B1471" t="s">
        <v>565</v>
      </c>
      <c r="C1471">
        <v>45771</v>
      </c>
      <c r="F1471" t="s">
        <v>754</v>
      </c>
      <c r="H1471">
        <v>78.17</v>
      </c>
      <c r="O1471" t="s">
        <v>239</v>
      </c>
      <c r="P1471" t="s">
        <v>514</v>
      </c>
      <c r="Y1471">
        <v>1437</v>
      </c>
      <c r="Z1471" s="259" t="s">
        <v>630</v>
      </c>
      <c r="AA1471">
        <v>50</v>
      </c>
      <c r="AB1471">
        <v>4104</v>
      </c>
      <c r="AC1471">
        <v>45771</v>
      </c>
      <c r="AD1471">
        <v>0</v>
      </c>
      <c r="AE1471">
        <v>3908.5</v>
      </c>
      <c r="AF1471">
        <v>3908.5</v>
      </c>
      <c r="AG1471">
        <v>0</v>
      </c>
      <c r="AH1471">
        <v>-195.5</v>
      </c>
    </row>
    <row r="1472" spans="2:34" x14ac:dyDescent="0.35">
      <c r="B1472" t="s">
        <v>565</v>
      </c>
      <c r="C1472">
        <v>45772</v>
      </c>
      <c r="F1472" t="s">
        <v>749</v>
      </c>
      <c r="H1472">
        <v>101.86</v>
      </c>
      <c r="O1472" t="s">
        <v>239</v>
      </c>
      <c r="P1472" t="s">
        <v>514</v>
      </c>
      <c r="Y1472">
        <v>1438</v>
      </c>
      <c r="Z1472" s="259" t="s">
        <v>630</v>
      </c>
      <c r="AA1472">
        <v>80</v>
      </c>
      <c r="AB1472">
        <v>8008</v>
      </c>
      <c r="AC1472">
        <v>45772</v>
      </c>
      <c r="AD1472">
        <v>0</v>
      </c>
      <c r="AE1472">
        <v>8148.8</v>
      </c>
      <c r="AF1472">
        <v>8148.8</v>
      </c>
      <c r="AG1472">
        <v>0</v>
      </c>
      <c r="AH1472">
        <v>140.80000000000018</v>
      </c>
    </row>
    <row r="1473" spans="2:34" x14ac:dyDescent="0.35">
      <c r="B1473" t="s">
        <v>565</v>
      </c>
      <c r="C1473">
        <v>45772</v>
      </c>
      <c r="F1473" t="s">
        <v>752</v>
      </c>
      <c r="H1473">
        <v>188.9</v>
      </c>
      <c r="O1473" t="s">
        <v>239</v>
      </c>
      <c r="P1473" t="s">
        <v>514</v>
      </c>
      <c r="Y1473">
        <v>1439</v>
      </c>
      <c r="Z1473" s="259" t="s">
        <v>630</v>
      </c>
      <c r="AA1473">
        <v>100</v>
      </c>
      <c r="AB1473">
        <v>20020</v>
      </c>
      <c r="AC1473">
        <v>45772</v>
      </c>
      <c r="AD1473">
        <v>0</v>
      </c>
      <c r="AE1473">
        <v>18890</v>
      </c>
      <c r="AF1473">
        <v>18890</v>
      </c>
      <c r="AG1473">
        <v>0</v>
      </c>
      <c r="AH1473">
        <v>-1130</v>
      </c>
    </row>
    <row r="1474" spans="2:34" x14ac:dyDescent="0.35">
      <c r="B1474" t="s">
        <v>565</v>
      </c>
      <c r="C1474">
        <v>45772</v>
      </c>
      <c r="F1474" t="s">
        <v>754</v>
      </c>
      <c r="H1474">
        <v>78.31</v>
      </c>
      <c r="O1474" t="s">
        <v>239</v>
      </c>
      <c r="P1474" t="s">
        <v>514</v>
      </c>
      <c r="Y1474">
        <v>1440</v>
      </c>
      <c r="Z1474" s="259" t="s">
        <v>630</v>
      </c>
      <c r="AA1474">
        <v>50</v>
      </c>
      <c r="AB1474">
        <v>4104</v>
      </c>
      <c r="AC1474">
        <v>45772</v>
      </c>
      <c r="AD1474">
        <v>0</v>
      </c>
      <c r="AE1474">
        <v>3915.5</v>
      </c>
      <c r="AF1474">
        <v>3915.5</v>
      </c>
      <c r="AG1474">
        <v>0</v>
      </c>
      <c r="AH1474">
        <v>-188.5</v>
      </c>
    </row>
    <row r="1475" spans="2:34" x14ac:dyDescent="0.35">
      <c r="B1475" t="s">
        <v>565</v>
      </c>
      <c r="C1475">
        <v>45773</v>
      </c>
      <c r="F1475" t="s">
        <v>749</v>
      </c>
      <c r="H1475">
        <v>101.86</v>
      </c>
      <c r="O1475" t="s">
        <v>239</v>
      </c>
      <c r="P1475" t="s">
        <v>514</v>
      </c>
      <c r="Y1475">
        <v>1441</v>
      </c>
      <c r="Z1475" s="259" t="s">
        <v>630</v>
      </c>
      <c r="AA1475">
        <v>80</v>
      </c>
      <c r="AB1475">
        <v>8008</v>
      </c>
      <c r="AC1475">
        <v>45772</v>
      </c>
      <c r="AD1475">
        <v>1</v>
      </c>
      <c r="AE1475">
        <v>8148.8</v>
      </c>
      <c r="AF1475">
        <v>8148.8</v>
      </c>
      <c r="AG1475">
        <v>0</v>
      </c>
      <c r="AH1475">
        <v>140.80000000000018</v>
      </c>
    </row>
    <row r="1476" spans="2:34" x14ac:dyDescent="0.35">
      <c r="B1476" t="s">
        <v>565</v>
      </c>
      <c r="C1476">
        <v>45773</v>
      </c>
      <c r="F1476" t="s">
        <v>752</v>
      </c>
      <c r="H1476">
        <v>188.9</v>
      </c>
      <c r="O1476" t="s">
        <v>239</v>
      </c>
      <c r="P1476" t="s">
        <v>514</v>
      </c>
      <c r="Y1476">
        <v>1442</v>
      </c>
      <c r="Z1476" s="259" t="s">
        <v>630</v>
      </c>
      <c r="AA1476">
        <v>100</v>
      </c>
      <c r="AB1476">
        <v>20020</v>
      </c>
      <c r="AC1476">
        <v>45772</v>
      </c>
      <c r="AD1476">
        <v>1</v>
      </c>
      <c r="AE1476">
        <v>18890</v>
      </c>
      <c r="AF1476">
        <v>18890</v>
      </c>
      <c r="AG1476">
        <v>0</v>
      </c>
      <c r="AH1476">
        <v>-1130</v>
      </c>
    </row>
    <row r="1477" spans="2:34" x14ac:dyDescent="0.35">
      <c r="B1477" t="s">
        <v>565</v>
      </c>
      <c r="C1477">
        <v>45773</v>
      </c>
      <c r="F1477" t="s">
        <v>754</v>
      </c>
      <c r="H1477">
        <v>78.31</v>
      </c>
      <c r="O1477" t="s">
        <v>239</v>
      </c>
      <c r="P1477" t="s">
        <v>514</v>
      </c>
      <c r="Y1477">
        <v>1443</v>
      </c>
      <c r="Z1477" s="259" t="s">
        <v>630</v>
      </c>
      <c r="AA1477">
        <v>50</v>
      </c>
      <c r="AB1477">
        <v>4104</v>
      </c>
      <c r="AC1477">
        <v>45772</v>
      </c>
      <c r="AD1477">
        <v>1</v>
      </c>
      <c r="AE1477">
        <v>3915.5</v>
      </c>
      <c r="AF1477">
        <v>3915.5</v>
      </c>
      <c r="AG1477">
        <v>0</v>
      </c>
      <c r="AH1477">
        <v>-188.5</v>
      </c>
    </row>
    <row r="1478" spans="2:34" x14ac:dyDescent="0.35">
      <c r="B1478" t="s">
        <v>565</v>
      </c>
      <c r="C1478">
        <v>45774</v>
      </c>
      <c r="F1478" t="s">
        <v>749</v>
      </c>
      <c r="H1478">
        <v>101.86</v>
      </c>
      <c r="O1478" t="s">
        <v>239</v>
      </c>
      <c r="P1478" t="s">
        <v>514</v>
      </c>
      <c r="Y1478">
        <v>1444</v>
      </c>
      <c r="Z1478" s="259" t="s">
        <v>630</v>
      </c>
      <c r="AA1478">
        <v>80</v>
      </c>
      <c r="AB1478">
        <v>8008</v>
      </c>
      <c r="AC1478">
        <v>45772</v>
      </c>
      <c r="AD1478">
        <v>2</v>
      </c>
      <c r="AE1478">
        <v>8148.8</v>
      </c>
      <c r="AF1478">
        <v>8148.8</v>
      </c>
      <c r="AG1478">
        <v>0</v>
      </c>
      <c r="AH1478">
        <v>140.80000000000018</v>
      </c>
    </row>
    <row r="1479" spans="2:34" x14ac:dyDescent="0.35">
      <c r="B1479" t="s">
        <v>565</v>
      </c>
      <c r="C1479">
        <v>45774</v>
      </c>
      <c r="F1479" t="s">
        <v>752</v>
      </c>
      <c r="H1479">
        <v>188.9</v>
      </c>
      <c r="O1479" t="s">
        <v>239</v>
      </c>
      <c r="P1479" t="s">
        <v>514</v>
      </c>
      <c r="Y1479">
        <v>1445</v>
      </c>
      <c r="Z1479" s="259" t="s">
        <v>630</v>
      </c>
      <c r="AA1479">
        <v>100</v>
      </c>
      <c r="AB1479">
        <v>20020</v>
      </c>
      <c r="AC1479">
        <v>45772</v>
      </c>
      <c r="AD1479">
        <v>2</v>
      </c>
      <c r="AE1479">
        <v>18890</v>
      </c>
      <c r="AF1479">
        <v>18890</v>
      </c>
      <c r="AG1479">
        <v>0</v>
      </c>
      <c r="AH1479">
        <v>-1130</v>
      </c>
    </row>
    <row r="1480" spans="2:34" x14ac:dyDescent="0.35">
      <c r="B1480" t="s">
        <v>565</v>
      </c>
      <c r="C1480">
        <v>45774</v>
      </c>
      <c r="F1480" t="s">
        <v>754</v>
      </c>
      <c r="H1480">
        <v>78.31</v>
      </c>
      <c r="O1480" t="s">
        <v>239</v>
      </c>
      <c r="P1480" t="s">
        <v>514</v>
      </c>
      <c r="Y1480">
        <v>1446</v>
      </c>
      <c r="Z1480" s="259" t="s">
        <v>630</v>
      </c>
      <c r="AA1480">
        <v>50</v>
      </c>
      <c r="AB1480">
        <v>4104</v>
      </c>
      <c r="AC1480">
        <v>45772</v>
      </c>
      <c r="AD1480">
        <v>2</v>
      </c>
      <c r="AE1480">
        <v>3915.5</v>
      </c>
      <c r="AF1480">
        <v>3915.5</v>
      </c>
      <c r="AG1480">
        <v>0</v>
      </c>
      <c r="AH1480">
        <v>-188.5</v>
      </c>
    </row>
    <row r="1481" spans="2:34" x14ac:dyDescent="0.35">
      <c r="B1481" t="s">
        <v>565</v>
      </c>
      <c r="C1481">
        <v>45775</v>
      </c>
      <c r="F1481" t="s">
        <v>749</v>
      </c>
      <c r="H1481">
        <v>101.34</v>
      </c>
      <c r="O1481" t="s">
        <v>239</v>
      </c>
      <c r="P1481" t="s">
        <v>514</v>
      </c>
      <c r="Y1481">
        <v>1447</v>
      </c>
      <c r="Z1481" s="259" t="s">
        <v>630</v>
      </c>
      <c r="AA1481">
        <v>80</v>
      </c>
      <c r="AB1481">
        <v>8008</v>
      </c>
      <c r="AC1481">
        <v>45775</v>
      </c>
      <c r="AD1481">
        <v>0</v>
      </c>
      <c r="AE1481">
        <v>8107.2000000000007</v>
      </c>
      <c r="AF1481">
        <v>8107.2000000000007</v>
      </c>
      <c r="AG1481">
        <v>0</v>
      </c>
      <c r="AH1481">
        <v>99.200000000000728</v>
      </c>
    </row>
    <row r="1482" spans="2:34" x14ac:dyDescent="0.35">
      <c r="B1482" t="s">
        <v>565</v>
      </c>
      <c r="C1482">
        <v>45775</v>
      </c>
      <c r="F1482" t="s">
        <v>752</v>
      </c>
      <c r="H1482">
        <v>187.76</v>
      </c>
      <c r="O1482" t="s">
        <v>239</v>
      </c>
      <c r="P1482" t="s">
        <v>514</v>
      </c>
      <c r="Y1482">
        <v>1448</v>
      </c>
      <c r="Z1482" s="259" t="s">
        <v>630</v>
      </c>
      <c r="AA1482">
        <v>100</v>
      </c>
      <c r="AB1482">
        <v>20020</v>
      </c>
      <c r="AC1482">
        <v>45775</v>
      </c>
      <c r="AD1482">
        <v>0</v>
      </c>
      <c r="AE1482">
        <v>18776</v>
      </c>
      <c r="AF1482">
        <v>18776</v>
      </c>
      <c r="AG1482">
        <v>0</v>
      </c>
      <c r="AH1482">
        <v>-1244</v>
      </c>
    </row>
    <row r="1483" spans="2:34" x14ac:dyDescent="0.35">
      <c r="B1483" t="s">
        <v>565</v>
      </c>
      <c r="C1483">
        <v>45775</v>
      </c>
      <c r="F1483" t="s">
        <v>754</v>
      </c>
      <c r="H1483">
        <v>78.72</v>
      </c>
      <c r="O1483" t="s">
        <v>239</v>
      </c>
      <c r="P1483" t="s">
        <v>514</v>
      </c>
      <c r="Y1483">
        <v>1449</v>
      </c>
      <c r="Z1483" s="259" t="s">
        <v>630</v>
      </c>
      <c r="AA1483">
        <v>50</v>
      </c>
      <c r="AB1483">
        <v>4104</v>
      </c>
      <c r="AC1483">
        <v>45775</v>
      </c>
      <c r="AD1483">
        <v>0</v>
      </c>
      <c r="AE1483">
        <v>3936</v>
      </c>
      <c r="AF1483">
        <v>3936</v>
      </c>
      <c r="AG1483">
        <v>0</v>
      </c>
      <c r="AH1483">
        <v>-168</v>
      </c>
    </row>
    <row r="1484" spans="2:34" x14ac:dyDescent="0.35">
      <c r="B1484" t="s">
        <v>565</v>
      </c>
      <c r="C1484">
        <v>45776</v>
      </c>
      <c r="F1484" t="s">
        <v>749</v>
      </c>
      <c r="H1484">
        <v>101.17</v>
      </c>
      <c r="O1484" t="s">
        <v>239</v>
      </c>
      <c r="P1484" t="s">
        <v>514</v>
      </c>
      <c r="Y1484">
        <v>1450</v>
      </c>
      <c r="Z1484" s="259" t="s">
        <v>630</v>
      </c>
      <c r="AA1484">
        <v>80</v>
      </c>
      <c r="AB1484">
        <v>8008</v>
      </c>
      <c r="AC1484">
        <v>45776</v>
      </c>
      <c r="AD1484">
        <v>0</v>
      </c>
      <c r="AE1484">
        <v>8093.6</v>
      </c>
      <c r="AF1484">
        <v>8093.6</v>
      </c>
      <c r="AG1484">
        <v>0</v>
      </c>
      <c r="AH1484">
        <v>85.600000000000364</v>
      </c>
    </row>
    <row r="1485" spans="2:34" x14ac:dyDescent="0.35">
      <c r="B1485" t="s">
        <v>565</v>
      </c>
      <c r="C1485">
        <v>45776</v>
      </c>
      <c r="F1485" t="s">
        <v>752</v>
      </c>
      <c r="H1485">
        <v>187.38</v>
      </c>
      <c r="O1485" t="s">
        <v>239</v>
      </c>
      <c r="P1485" t="s">
        <v>514</v>
      </c>
      <c r="Y1485">
        <v>1451</v>
      </c>
      <c r="Z1485" s="259" t="s">
        <v>630</v>
      </c>
      <c r="AA1485">
        <v>100</v>
      </c>
      <c r="AB1485">
        <v>20020</v>
      </c>
      <c r="AC1485">
        <v>45776</v>
      </c>
      <c r="AD1485">
        <v>0</v>
      </c>
      <c r="AE1485">
        <v>18738</v>
      </c>
      <c r="AF1485">
        <v>18738</v>
      </c>
      <c r="AG1485">
        <v>0</v>
      </c>
      <c r="AH1485">
        <v>-1282</v>
      </c>
    </row>
    <row r="1486" spans="2:34" x14ac:dyDescent="0.35">
      <c r="B1486" t="s">
        <v>565</v>
      </c>
      <c r="C1486">
        <v>45776</v>
      </c>
      <c r="F1486" t="s">
        <v>754</v>
      </c>
      <c r="H1486">
        <v>78.86</v>
      </c>
      <c r="O1486" t="s">
        <v>239</v>
      </c>
      <c r="P1486" t="s">
        <v>514</v>
      </c>
      <c r="Y1486">
        <v>1452</v>
      </c>
      <c r="Z1486" s="259" t="s">
        <v>630</v>
      </c>
      <c r="AA1486">
        <v>50</v>
      </c>
      <c r="AB1486">
        <v>4104</v>
      </c>
      <c r="AC1486">
        <v>45776</v>
      </c>
      <c r="AD1486">
        <v>0</v>
      </c>
      <c r="AE1486">
        <v>3943</v>
      </c>
      <c r="AF1486">
        <v>3943</v>
      </c>
      <c r="AG1486">
        <v>0</v>
      </c>
      <c r="AH1486">
        <v>-161</v>
      </c>
    </row>
    <row r="1487" spans="2:34" x14ac:dyDescent="0.35">
      <c r="B1487" t="s">
        <v>565</v>
      </c>
      <c r="C1487">
        <v>45777</v>
      </c>
      <c r="F1487" t="s">
        <v>749</v>
      </c>
      <c r="H1487">
        <v>101</v>
      </c>
      <c r="O1487" t="s">
        <v>239</v>
      </c>
      <c r="P1487" t="s">
        <v>514</v>
      </c>
      <c r="Y1487">
        <v>1453</v>
      </c>
      <c r="Z1487" s="259" t="s">
        <v>630</v>
      </c>
      <c r="AA1487">
        <v>80</v>
      </c>
      <c r="AB1487">
        <v>8008</v>
      </c>
      <c r="AC1487">
        <v>45777</v>
      </c>
      <c r="AD1487">
        <v>0</v>
      </c>
      <c r="AE1487">
        <v>8080</v>
      </c>
      <c r="AF1487">
        <v>8080</v>
      </c>
      <c r="AG1487">
        <v>0</v>
      </c>
      <c r="AH1487">
        <v>72</v>
      </c>
    </row>
    <row r="1488" spans="2:34" x14ac:dyDescent="0.35">
      <c r="B1488" t="s">
        <v>565</v>
      </c>
      <c r="C1488">
        <v>45777</v>
      </c>
      <c r="F1488" t="s">
        <v>752</v>
      </c>
      <c r="H1488">
        <v>187</v>
      </c>
      <c r="O1488" t="s">
        <v>239</v>
      </c>
      <c r="P1488" t="s">
        <v>514</v>
      </c>
      <c r="Y1488">
        <v>1454</v>
      </c>
      <c r="Z1488" s="259" t="s">
        <v>630</v>
      </c>
      <c r="AA1488">
        <v>100</v>
      </c>
      <c r="AB1488">
        <v>20020</v>
      </c>
      <c r="AC1488">
        <v>45777</v>
      </c>
      <c r="AD1488">
        <v>0</v>
      </c>
      <c r="AE1488">
        <v>18700</v>
      </c>
      <c r="AF1488">
        <v>18700</v>
      </c>
      <c r="AG1488">
        <v>0</v>
      </c>
      <c r="AH1488">
        <v>-1320</v>
      </c>
    </row>
    <row r="1489" spans="2:34" x14ac:dyDescent="0.35">
      <c r="B1489" t="s">
        <v>565</v>
      </c>
      <c r="C1489">
        <v>45777</v>
      </c>
      <c r="F1489" t="s">
        <v>754</v>
      </c>
      <c r="H1489">
        <v>79</v>
      </c>
      <c r="O1489" t="s">
        <v>239</v>
      </c>
      <c r="P1489" t="s">
        <v>514</v>
      </c>
      <c r="Y1489">
        <v>1455</v>
      </c>
      <c r="Z1489" s="259" t="s">
        <v>630</v>
      </c>
      <c r="AA1489">
        <v>50</v>
      </c>
      <c r="AB1489">
        <v>4104</v>
      </c>
      <c r="AC1489">
        <v>45777</v>
      </c>
      <c r="AD1489">
        <v>0</v>
      </c>
      <c r="AE1489">
        <v>3950</v>
      </c>
      <c r="AF1489">
        <v>3950</v>
      </c>
      <c r="AG1489">
        <v>0</v>
      </c>
      <c r="AH1489">
        <v>-154</v>
      </c>
    </row>
    <row r="1490" spans="2:34" x14ac:dyDescent="0.35">
      <c r="B1490" t="s">
        <v>565</v>
      </c>
      <c r="C1490">
        <v>45778</v>
      </c>
      <c r="F1490" t="s">
        <v>749</v>
      </c>
      <c r="H1490">
        <v>101</v>
      </c>
      <c r="O1490" t="s">
        <v>239</v>
      </c>
      <c r="P1490" t="s">
        <v>514</v>
      </c>
      <c r="Y1490">
        <v>1456</v>
      </c>
      <c r="Z1490" s="259" t="s">
        <v>630</v>
      </c>
      <c r="AA1490">
        <v>80</v>
      </c>
      <c r="AB1490">
        <v>8008</v>
      </c>
      <c r="AC1490">
        <v>45778</v>
      </c>
      <c r="AD1490">
        <v>0</v>
      </c>
      <c r="AE1490">
        <v>8080</v>
      </c>
      <c r="AF1490">
        <v>8080</v>
      </c>
      <c r="AG1490">
        <v>0</v>
      </c>
      <c r="AH1490">
        <v>72</v>
      </c>
    </row>
    <row r="1491" spans="2:34" x14ac:dyDescent="0.35">
      <c r="B1491" t="s">
        <v>565</v>
      </c>
      <c r="C1491">
        <v>45778</v>
      </c>
      <c r="F1491" t="s">
        <v>752</v>
      </c>
      <c r="H1491">
        <v>187</v>
      </c>
      <c r="O1491" t="s">
        <v>239</v>
      </c>
      <c r="P1491" t="s">
        <v>514</v>
      </c>
      <c r="Y1491">
        <v>1457</v>
      </c>
      <c r="Z1491" s="259" t="s">
        <v>630</v>
      </c>
      <c r="AA1491">
        <v>100</v>
      </c>
      <c r="AB1491">
        <v>20020</v>
      </c>
      <c r="AC1491">
        <v>45778</v>
      </c>
      <c r="AD1491">
        <v>0</v>
      </c>
      <c r="AE1491">
        <v>18700</v>
      </c>
      <c r="AF1491">
        <v>18700</v>
      </c>
      <c r="AG1491">
        <v>0</v>
      </c>
      <c r="AH1491">
        <v>-1320</v>
      </c>
    </row>
    <row r="1492" spans="2:34" x14ac:dyDescent="0.35">
      <c r="B1492" t="s">
        <v>565</v>
      </c>
      <c r="C1492">
        <v>45778</v>
      </c>
      <c r="F1492" t="s">
        <v>754</v>
      </c>
      <c r="H1492">
        <v>79</v>
      </c>
      <c r="O1492" t="s">
        <v>239</v>
      </c>
      <c r="P1492" t="s">
        <v>514</v>
      </c>
      <c r="Y1492">
        <v>1458</v>
      </c>
      <c r="Z1492" s="259" t="s">
        <v>630</v>
      </c>
      <c r="AA1492">
        <v>50</v>
      </c>
      <c r="AB1492">
        <v>4104</v>
      </c>
      <c r="AC1492">
        <v>45778</v>
      </c>
      <c r="AD1492">
        <v>0</v>
      </c>
      <c r="AE1492">
        <v>3950</v>
      </c>
      <c r="AF1492">
        <v>3950</v>
      </c>
      <c r="AG1492">
        <v>0</v>
      </c>
      <c r="AH1492">
        <v>-154</v>
      </c>
    </row>
    <row r="1493" spans="2:34" x14ac:dyDescent="0.35">
      <c r="B1493" t="s">
        <v>565</v>
      </c>
      <c r="C1493">
        <v>45779</v>
      </c>
      <c r="F1493" t="s">
        <v>749</v>
      </c>
      <c r="H1493">
        <v>100.93</v>
      </c>
      <c r="O1493" t="s">
        <v>239</v>
      </c>
      <c r="P1493" t="s">
        <v>514</v>
      </c>
      <c r="Y1493">
        <v>1459</v>
      </c>
      <c r="Z1493" s="259" t="s">
        <v>630</v>
      </c>
      <c r="AA1493">
        <v>80</v>
      </c>
      <c r="AB1493">
        <v>8008</v>
      </c>
      <c r="AC1493">
        <v>45779</v>
      </c>
      <c r="AD1493">
        <v>0</v>
      </c>
      <c r="AE1493">
        <v>8074.4000000000005</v>
      </c>
      <c r="AF1493">
        <v>8074.4000000000005</v>
      </c>
      <c r="AG1493">
        <v>0</v>
      </c>
      <c r="AH1493">
        <v>66.400000000000546</v>
      </c>
    </row>
    <row r="1494" spans="2:34" x14ac:dyDescent="0.35">
      <c r="B1494" t="s">
        <v>565</v>
      </c>
      <c r="C1494">
        <v>45779</v>
      </c>
      <c r="F1494" t="s">
        <v>752</v>
      </c>
      <c r="H1494">
        <v>187.2</v>
      </c>
      <c r="O1494" t="s">
        <v>239</v>
      </c>
      <c r="P1494" t="s">
        <v>514</v>
      </c>
      <c r="Y1494">
        <v>1460</v>
      </c>
      <c r="Z1494" s="259" t="s">
        <v>630</v>
      </c>
      <c r="AA1494">
        <v>100</v>
      </c>
      <c r="AB1494">
        <v>20020</v>
      </c>
      <c r="AC1494">
        <v>45779</v>
      </c>
      <c r="AD1494">
        <v>0</v>
      </c>
      <c r="AE1494">
        <v>18720</v>
      </c>
      <c r="AF1494">
        <v>18720</v>
      </c>
      <c r="AG1494">
        <v>0</v>
      </c>
      <c r="AH1494">
        <v>-1300</v>
      </c>
    </row>
    <row r="1495" spans="2:34" x14ac:dyDescent="0.35">
      <c r="B1495" t="s">
        <v>565</v>
      </c>
      <c r="C1495">
        <v>45779</v>
      </c>
      <c r="F1495" t="s">
        <v>754</v>
      </c>
      <c r="H1495">
        <v>79.2</v>
      </c>
      <c r="O1495" t="s">
        <v>239</v>
      </c>
      <c r="P1495" t="s">
        <v>514</v>
      </c>
      <c r="Y1495">
        <v>1461</v>
      </c>
      <c r="Z1495" s="259" t="s">
        <v>630</v>
      </c>
      <c r="AA1495">
        <v>50</v>
      </c>
      <c r="AB1495">
        <v>4104</v>
      </c>
      <c r="AC1495">
        <v>45779</v>
      </c>
      <c r="AD1495">
        <v>0</v>
      </c>
      <c r="AE1495">
        <v>3960</v>
      </c>
      <c r="AF1495">
        <v>3960</v>
      </c>
      <c r="AG1495">
        <v>0</v>
      </c>
      <c r="AH1495">
        <v>-144</v>
      </c>
    </row>
    <row r="1496" spans="2:34" x14ac:dyDescent="0.35">
      <c r="B1496" t="s">
        <v>565</v>
      </c>
      <c r="C1496">
        <v>45780</v>
      </c>
      <c r="F1496" t="s">
        <v>749</v>
      </c>
      <c r="H1496">
        <v>100.93</v>
      </c>
      <c r="O1496" t="s">
        <v>239</v>
      </c>
      <c r="P1496" t="s">
        <v>514</v>
      </c>
      <c r="Y1496">
        <v>1462</v>
      </c>
      <c r="Z1496" s="259" t="s">
        <v>630</v>
      </c>
      <c r="AA1496">
        <v>80</v>
      </c>
      <c r="AB1496">
        <v>8008</v>
      </c>
      <c r="AC1496">
        <v>45779</v>
      </c>
      <c r="AD1496">
        <v>1</v>
      </c>
      <c r="AE1496">
        <v>8074.4000000000005</v>
      </c>
      <c r="AF1496">
        <v>8074.4000000000005</v>
      </c>
      <c r="AG1496">
        <v>0</v>
      </c>
      <c r="AH1496">
        <v>66.400000000000546</v>
      </c>
    </row>
    <row r="1497" spans="2:34" x14ac:dyDescent="0.35">
      <c r="B1497" t="s">
        <v>565</v>
      </c>
      <c r="C1497">
        <v>45780</v>
      </c>
      <c r="F1497" t="s">
        <v>752</v>
      </c>
      <c r="H1497">
        <v>187.2</v>
      </c>
      <c r="O1497" t="s">
        <v>239</v>
      </c>
      <c r="P1497" t="s">
        <v>514</v>
      </c>
      <c r="Y1497">
        <v>1463</v>
      </c>
      <c r="Z1497" s="259" t="s">
        <v>630</v>
      </c>
      <c r="AA1497">
        <v>100</v>
      </c>
      <c r="AB1497">
        <v>20020</v>
      </c>
      <c r="AC1497">
        <v>45779</v>
      </c>
      <c r="AD1497">
        <v>1</v>
      </c>
      <c r="AE1497">
        <v>18720</v>
      </c>
      <c r="AF1497">
        <v>18720</v>
      </c>
      <c r="AG1497">
        <v>0</v>
      </c>
      <c r="AH1497">
        <v>-1300</v>
      </c>
    </row>
    <row r="1498" spans="2:34" x14ac:dyDescent="0.35">
      <c r="B1498" t="s">
        <v>565</v>
      </c>
      <c r="C1498">
        <v>45780</v>
      </c>
      <c r="F1498" t="s">
        <v>754</v>
      </c>
      <c r="H1498">
        <v>79.2</v>
      </c>
      <c r="O1498" t="s">
        <v>239</v>
      </c>
      <c r="P1498" t="s">
        <v>514</v>
      </c>
      <c r="Y1498">
        <v>1464</v>
      </c>
      <c r="Z1498" s="259" t="s">
        <v>630</v>
      </c>
      <c r="AA1498">
        <v>50</v>
      </c>
      <c r="AB1498">
        <v>4104</v>
      </c>
      <c r="AC1498">
        <v>45779</v>
      </c>
      <c r="AD1498">
        <v>1</v>
      </c>
      <c r="AE1498">
        <v>3960</v>
      </c>
      <c r="AF1498">
        <v>3960</v>
      </c>
      <c r="AG1498">
        <v>0</v>
      </c>
      <c r="AH1498">
        <v>-144</v>
      </c>
    </row>
    <row r="1499" spans="2:34" x14ac:dyDescent="0.35">
      <c r="B1499" t="s">
        <v>565</v>
      </c>
      <c r="C1499">
        <v>45781</v>
      </c>
      <c r="F1499" t="s">
        <v>749</v>
      </c>
      <c r="H1499">
        <v>100.93</v>
      </c>
      <c r="O1499" t="s">
        <v>239</v>
      </c>
      <c r="P1499" t="s">
        <v>514</v>
      </c>
      <c r="Y1499">
        <v>1465</v>
      </c>
      <c r="Z1499" s="259" t="s">
        <v>630</v>
      </c>
      <c r="AA1499">
        <v>80</v>
      </c>
      <c r="AB1499">
        <v>8008</v>
      </c>
      <c r="AC1499">
        <v>45779</v>
      </c>
      <c r="AD1499">
        <v>2</v>
      </c>
      <c r="AE1499">
        <v>8074.4000000000005</v>
      </c>
      <c r="AF1499">
        <v>8074.4000000000005</v>
      </c>
      <c r="AG1499">
        <v>0</v>
      </c>
      <c r="AH1499">
        <v>66.400000000000546</v>
      </c>
    </row>
    <row r="1500" spans="2:34" x14ac:dyDescent="0.35">
      <c r="B1500" t="s">
        <v>565</v>
      </c>
      <c r="C1500">
        <v>45781</v>
      </c>
      <c r="F1500" t="s">
        <v>752</v>
      </c>
      <c r="H1500">
        <v>187.2</v>
      </c>
      <c r="O1500" t="s">
        <v>239</v>
      </c>
      <c r="P1500" t="s">
        <v>514</v>
      </c>
      <c r="Y1500">
        <v>1466</v>
      </c>
      <c r="Z1500" s="259" t="s">
        <v>630</v>
      </c>
      <c r="AA1500">
        <v>100</v>
      </c>
      <c r="AB1500">
        <v>20020</v>
      </c>
      <c r="AC1500">
        <v>45779</v>
      </c>
      <c r="AD1500">
        <v>2</v>
      </c>
      <c r="AE1500">
        <v>18720</v>
      </c>
      <c r="AF1500">
        <v>18720</v>
      </c>
      <c r="AG1500">
        <v>0</v>
      </c>
      <c r="AH1500">
        <v>-1300</v>
      </c>
    </row>
    <row r="1501" spans="2:34" x14ac:dyDescent="0.35">
      <c r="B1501" t="s">
        <v>565</v>
      </c>
      <c r="C1501">
        <v>45781</v>
      </c>
      <c r="F1501" t="s">
        <v>754</v>
      </c>
      <c r="H1501">
        <v>79.2</v>
      </c>
      <c r="O1501" t="s">
        <v>239</v>
      </c>
      <c r="P1501" t="s">
        <v>514</v>
      </c>
      <c r="Y1501">
        <v>1467</v>
      </c>
      <c r="Z1501" s="259" t="s">
        <v>630</v>
      </c>
      <c r="AA1501">
        <v>50</v>
      </c>
      <c r="AB1501">
        <v>4104</v>
      </c>
      <c r="AC1501">
        <v>45779</v>
      </c>
      <c r="AD1501">
        <v>2</v>
      </c>
      <c r="AE1501">
        <v>3960</v>
      </c>
      <c r="AF1501">
        <v>3960</v>
      </c>
      <c r="AG1501">
        <v>0</v>
      </c>
      <c r="AH1501">
        <v>-144</v>
      </c>
    </row>
    <row r="1502" spans="2:34" x14ac:dyDescent="0.35">
      <c r="B1502" t="s">
        <v>565</v>
      </c>
      <c r="C1502">
        <v>45782</v>
      </c>
      <c r="F1502" t="s">
        <v>749</v>
      </c>
      <c r="H1502">
        <v>100.73</v>
      </c>
      <c r="O1502" t="s">
        <v>239</v>
      </c>
      <c r="P1502" t="s">
        <v>514</v>
      </c>
      <c r="Y1502">
        <v>1468</v>
      </c>
      <c r="Z1502" s="259" t="s">
        <v>630</v>
      </c>
      <c r="AA1502">
        <v>80</v>
      </c>
      <c r="AB1502">
        <v>8008</v>
      </c>
      <c r="AC1502">
        <v>45782</v>
      </c>
      <c r="AD1502">
        <v>0</v>
      </c>
      <c r="AE1502">
        <v>8058.4000000000005</v>
      </c>
      <c r="AF1502">
        <v>8058.4000000000005</v>
      </c>
      <c r="AG1502">
        <v>0</v>
      </c>
      <c r="AH1502">
        <v>50.400000000000546</v>
      </c>
    </row>
    <row r="1503" spans="2:34" x14ac:dyDescent="0.35">
      <c r="B1503" t="s">
        <v>565</v>
      </c>
      <c r="C1503">
        <v>45782</v>
      </c>
      <c r="F1503" t="s">
        <v>752</v>
      </c>
      <c r="H1503">
        <v>187.8</v>
      </c>
      <c r="O1503" t="s">
        <v>239</v>
      </c>
      <c r="P1503" t="s">
        <v>514</v>
      </c>
      <c r="Y1503">
        <v>1469</v>
      </c>
      <c r="Z1503" s="259" t="s">
        <v>630</v>
      </c>
      <c r="AA1503">
        <v>100</v>
      </c>
      <c r="AB1503">
        <v>20020</v>
      </c>
      <c r="AC1503">
        <v>45782</v>
      </c>
      <c r="AD1503">
        <v>0</v>
      </c>
      <c r="AE1503">
        <v>18780</v>
      </c>
      <c r="AF1503">
        <v>18780</v>
      </c>
      <c r="AG1503">
        <v>0</v>
      </c>
      <c r="AH1503">
        <v>-1240</v>
      </c>
    </row>
    <row r="1504" spans="2:34" x14ac:dyDescent="0.35">
      <c r="B1504" t="s">
        <v>565</v>
      </c>
      <c r="C1504">
        <v>45782</v>
      </c>
      <c r="F1504" t="s">
        <v>754</v>
      </c>
      <c r="H1504">
        <v>79.8</v>
      </c>
      <c r="O1504" t="s">
        <v>239</v>
      </c>
      <c r="P1504" t="s">
        <v>514</v>
      </c>
      <c r="Y1504">
        <v>1470</v>
      </c>
      <c r="Z1504" s="259" t="s">
        <v>630</v>
      </c>
      <c r="AA1504">
        <v>50</v>
      </c>
      <c r="AB1504">
        <v>4104</v>
      </c>
      <c r="AC1504">
        <v>45782</v>
      </c>
      <c r="AD1504">
        <v>0</v>
      </c>
      <c r="AE1504">
        <v>3990</v>
      </c>
      <c r="AF1504">
        <v>3990</v>
      </c>
      <c r="AG1504">
        <v>0</v>
      </c>
      <c r="AH1504">
        <v>-114</v>
      </c>
    </row>
    <row r="1505" spans="2:34" x14ac:dyDescent="0.35">
      <c r="B1505" t="s">
        <v>565</v>
      </c>
      <c r="C1505">
        <v>45783</v>
      </c>
      <c r="F1505" t="s">
        <v>749</v>
      </c>
      <c r="H1505">
        <v>100.67</v>
      </c>
      <c r="O1505" t="s">
        <v>239</v>
      </c>
      <c r="P1505" t="s">
        <v>514</v>
      </c>
      <c r="Y1505">
        <v>1471</v>
      </c>
      <c r="Z1505" s="259" t="s">
        <v>630</v>
      </c>
      <c r="AA1505">
        <v>80</v>
      </c>
      <c r="AB1505">
        <v>8008</v>
      </c>
      <c r="AC1505">
        <v>45783</v>
      </c>
      <c r="AD1505">
        <v>0</v>
      </c>
      <c r="AE1505">
        <v>8053.6</v>
      </c>
      <c r="AF1505">
        <v>8053.6</v>
      </c>
      <c r="AG1505">
        <v>0</v>
      </c>
      <c r="AH1505">
        <v>45.600000000000364</v>
      </c>
    </row>
    <row r="1506" spans="2:34" x14ac:dyDescent="0.35">
      <c r="B1506" t="s">
        <v>565</v>
      </c>
      <c r="C1506">
        <v>45783</v>
      </c>
      <c r="F1506" t="s">
        <v>752</v>
      </c>
      <c r="H1506">
        <v>188</v>
      </c>
      <c r="O1506" t="s">
        <v>239</v>
      </c>
      <c r="P1506" t="s">
        <v>514</v>
      </c>
      <c r="Y1506">
        <v>1472</v>
      </c>
      <c r="Z1506" s="259" t="s">
        <v>630</v>
      </c>
      <c r="AA1506">
        <v>100</v>
      </c>
      <c r="AB1506">
        <v>20020</v>
      </c>
      <c r="AC1506">
        <v>45783</v>
      </c>
      <c r="AD1506">
        <v>0</v>
      </c>
      <c r="AE1506">
        <v>18800</v>
      </c>
      <c r="AF1506">
        <v>18800</v>
      </c>
      <c r="AG1506">
        <v>0</v>
      </c>
      <c r="AH1506">
        <v>-1220</v>
      </c>
    </row>
    <row r="1507" spans="2:34" x14ac:dyDescent="0.35">
      <c r="B1507" t="s">
        <v>565</v>
      </c>
      <c r="C1507">
        <v>45783</v>
      </c>
      <c r="F1507" t="s">
        <v>754</v>
      </c>
      <c r="H1507">
        <v>80</v>
      </c>
      <c r="O1507" t="s">
        <v>239</v>
      </c>
      <c r="P1507" t="s">
        <v>514</v>
      </c>
      <c r="Y1507">
        <v>1473</v>
      </c>
      <c r="Z1507" s="259" t="s">
        <v>630</v>
      </c>
      <c r="AA1507">
        <v>50</v>
      </c>
      <c r="AB1507">
        <v>4104</v>
      </c>
      <c r="AC1507">
        <v>45783</v>
      </c>
      <c r="AD1507">
        <v>0</v>
      </c>
      <c r="AE1507">
        <v>4000</v>
      </c>
      <c r="AF1507">
        <v>4000</v>
      </c>
      <c r="AG1507">
        <v>0</v>
      </c>
      <c r="AH1507">
        <v>-104</v>
      </c>
    </row>
    <row r="1508" spans="2:34" x14ac:dyDescent="0.35">
      <c r="B1508" t="s">
        <v>565</v>
      </c>
      <c r="C1508">
        <v>45784</v>
      </c>
      <c r="F1508" t="s">
        <v>749</v>
      </c>
      <c r="H1508">
        <v>100.6</v>
      </c>
      <c r="O1508" t="s">
        <v>239</v>
      </c>
      <c r="P1508" t="s">
        <v>514</v>
      </c>
      <c r="Y1508">
        <v>1474</v>
      </c>
      <c r="Z1508" s="259" t="s">
        <v>630</v>
      </c>
      <c r="AA1508">
        <v>80</v>
      </c>
      <c r="AB1508">
        <v>8008</v>
      </c>
      <c r="AC1508">
        <v>45784</v>
      </c>
      <c r="AD1508">
        <v>0</v>
      </c>
      <c r="AE1508">
        <v>8048</v>
      </c>
      <c r="AF1508">
        <v>8048</v>
      </c>
      <c r="AG1508">
        <v>0</v>
      </c>
      <c r="AH1508">
        <v>40</v>
      </c>
    </row>
    <row r="1509" spans="2:34" x14ac:dyDescent="0.35">
      <c r="B1509" t="s">
        <v>565</v>
      </c>
      <c r="C1509">
        <v>45784</v>
      </c>
      <c r="F1509" t="s">
        <v>752</v>
      </c>
      <c r="H1509">
        <v>188.2</v>
      </c>
      <c r="O1509" t="s">
        <v>239</v>
      </c>
      <c r="P1509" t="s">
        <v>514</v>
      </c>
      <c r="Y1509">
        <v>1475</v>
      </c>
      <c r="Z1509" s="259" t="s">
        <v>630</v>
      </c>
      <c r="AA1509">
        <v>100</v>
      </c>
      <c r="AB1509">
        <v>20020</v>
      </c>
      <c r="AC1509">
        <v>45784</v>
      </c>
      <c r="AD1509">
        <v>0</v>
      </c>
      <c r="AE1509">
        <v>18820</v>
      </c>
      <c r="AF1509">
        <v>18820</v>
      </c>
      <c r="AG1509">
        <v>0</v>
      </c>
      <c r="AH1509">
        <v>-1200</v>
      </c>
    </row>
    <row r="1510" spans="2:34" x14ac:dyDescent="0.35">
      <c r="B1510" t="s">
        <v>565</v>
      </c>
      <c r="C1510">
        <v>45784</v>
      </c>
      <c r="F1510" t="s">
        <v>754</v>
      </c>
      <c r="H1510">
        <v>80.2</v>
      </c>
      <c r="O1510" t="s">
        <v>239</v>
      </c>
      <c r="P1510" t="s">
        <v>514</v>
      </c>
      <c r="Y1510">
        <v>1476</v>
      </c>
      <c r="Z1510" s="259" t="s">
        <v>630</v>
      </c>
      <c r="AA1510">
        <v>50</v>
      </c>
      <c r="AB1510">
        <v>4104</v>
      </c>
      <c r="AC1510">
        <v>45784</v>
      </c>
      <c r="AD1510">
        <v>0</v>
      </c>
      <c r="AE1510">
        <v>4010</v>
      </c>
      <c r="AF1510">
        <v>4010</v>
      </c>
      <c r="AG1510">
        <v>0</v>
      </c>
      <c r="AH1510">
        <v>-94</v>
      </c>
    </row>
    <row r="1511" spans="2:34" x14ac:dyDescent="0.35">
      <c r="B1511" t="s">
        <v>565</v>
      </c>
      <c r="C1511">
        <v>45785</v>
      </c>
      <c r="F1511" t="s">
        <v>749</v>
      </c>
      <c r="H1511">
        <v>100.53</v>
      </c>
      <c r="O1511" t="s">
        <v>239</v>
      </c>
      <c r="P1511" t="s">
        <v>514</v>
      </c>
      <c r="Y1511">
        <v>1477</v>
      </c>
      <c r="Z1511" s="259" t="s">
        <v>630</v>
      </c>
      <c r="AA1511">
        <v>80</v>
      </c>
      <c r="AB1511">
        <v>8008</v>
      </c>
      <c r="AC1511">
        <v>45785</v>
      </c>
      <c r="AD1511">
        <v>0</v>
      </c>
      <c r="AE1511">
        <v>8042.4</v>
      </c>
      <c r="AF1511">
        <v>8042.4</v>
      </c>
      <c r="AG1511">
        <v>0</v>
      </c>
      <c r="AH1511">
        <v>34.399999999999636</v>
      </c>
    </row>
    <row r="1512" spans="2:34" x14ac:dyDescent="0.35">
      <c r="B1512" t="s">
        <v>565</v>
      </c>
      <c r="C1512">
        <v>45785</v>
      </c>
      <c r="F1512" t="s">
        <v>752</v>
      </c>
      <c r="H1512">
        <v>188.4</v>
      </c>
      <c r="O1512" t="s">
        <v>239</v>
      </c>
      <c r="P1512" t="s">
        <v>514</v>
      </c>
      <c r="Y1512">
        <v>1478</v>
      </c>
      <c r="Z1512" s="259" t="s">
        <v>630</v>
      </c>
      <c r="AA1512">
        <v>100</v>
      </c>
      <c r="AB1512">
        <v>20020</v>
      </c>
      <c r="AC1512">
        <v>45785</v>
      </c>
      <c r="AD1512">
        <v>0</v>
      </c>
      <c r="AE1512">
        <v>18840</v>
      </c>
      <c r="AF1512">
        <v>18840</v>
      </c>
      <c r="AG1512">
        <v>0</v>
      </c>
      <c r="AH1512">
        <v>-1180</v>
      </c>
    </row>
    <row r="1513" spans="2:34" x14ac:dyDescent="0.35">
      <c r="B1513" t="s">
        <v>565</v>
      </c>
      <c r="C1513">
        <v>45785</v>
      </c>
      <c r="F1513" t="s">
        <v>754</v>
      </c>
      <c r="H1513">
        <v>80.400000000000006</v>
      </c>
      <c r="O1513" t="s">
        <v>239</v>
      </c>
      <c r="P1513" t="s">
        <v>514</v>
      </c>
      <c r="Y1513">
        <v>1479</v>
      </c>
      <c r="Z1513" s="259" t="s">
        <v>630</v>
      </c>
      <c r="AA1513">
        <v>50</v>
      </c>
      <c r="AB1513">
        <v>4104</v>
      </c>
      <c r="AC1513">
        <v>45785</v>
      </c>
      <c r="AD1513">
        <v>0</v>
      </c>
      <c r="AE1513">
        <v>4020.0000000000005</v>
      </c>
      <c r="AF1513">
        <v>4020.0000000000005</v>
      </c>
      <c r="AG1513">
        <v>0</v>
      </c>
      <c r="AH1513">
        <v>-83.999999999999545</v>
      </c>
    </row>
    <row r="1514" spans="2:34" x14ac:dyDescent="0.35">
      <c r="B1514" t="s">
        <v>565</v>
      </c>
      <c r="C1514">
        <v>45786</v>
      </c>
      <c r="F1514" t="s">
        <v>749</v>
      </c>
      <c r="H1514">
        <v>100.47</v>
      </c>
      <c r="O1514" t="s">
        <v>239</v>
      </c>
      <c r="P1514" t="s">
        <v>514</v>
      </c>
      <c r="Y1514">
        <v>1480</v>
      </c>
      <c r="Z1514" s="259" t="s">
        <v>630</v>
      </c>
      <c r="AA1514">
        <v>80</v>
      </c>
      <c r="AB1514">
        <v>8008</v>
      </c>
      <c r="AC1514">
        <v>45786</v>
      </c>
      <c r="AD1514">
        <v>0</v>
      </c>
      <c r="AE1514">
        <v>8037.6</v>
      </c>
      <c r="AF1514">
        <v>8037.6</v>
      </c>
      <c r="AG1514">
        <v>0</v>
      </c>
      <c r="AH1514">
        <v>29.600000000000364</v>
      </c>
    </row>
    <row r="1515" spans="2:34" x14ac:dyDescent="0.35">
      <c r="B1515" t="s">
        <v>565</v>
      </c>
      <c r="C1515">
        <v>45786</v>
      </c>
      <c r="F1515" t="s">
        <v>752</v>
      </c>
      <c r="H1515">
        <v>188.6</v>
      </c>
      <c r="O1515" t="s">
        <v>239</v>
      </c>
      <c r="P1515" t="s">
        <v>514</v>
      </c>
      <c r="Y1515">
        <v>1481</v>
      </c>
      <c r="Z1515" s="259" t="s">
        <v>630</v>
      </c>
      <c r="AA1515">
        <v>100</v>
      </c>
      <c r="AB1515">
        <v>20020</v>
      </c>
      <c r="AC1515">
        <v>45786</v>
      </c>
      <c r="AD1515">
        <v>0</v>
      </c>
      <c r="AE1515">
        <v>18860</v>
      </c>
      <c r="AF1515">
        <v>18860</v>
      </c>
      <c r="AG1515">
        <v>0</v>
      </c>
      <c r="AH1515">
        <v>-1160</v>
      </c>
    </row>
    <row r="1516" spans="2:34" x14ac:dyDescent="0.35">
      <c r="B1516" t="s">
        <v>565</v>
      </c>
      <c r="C1516">
        <v>45786</v>
      </c>
      <c r="F1516" t="s">
        <v>754</v>
      </c>
      <c r="H1516">
        <v>80.599999999999994</v>
      </c>
      <c r="O1516" t="s">
        <v>239</v>
      </c>
      <c r="P1516" t="s">
        <v>514</v>
      </c>
      <c r="Y1516">
        <v>1482</v>
      </c>
      <c r="Z1516" s="259" t="s">
        <v>630</v>
      </c>
      <c r="AA1516">
        <v>50</v>
      </c>
      <c r="AB1516">
        <v>4104</v>
      </c>
      <c r="AC1516">
        <v>45786</v>
      </c>
      <c r="AD1516">
        <v>0</v>
      </c>
      <c r="AE1516">
        <v>4029.9999999999995</v>
      </c>
      <c r="AF1516">
        <v>4029.9999999999995</v>
      </c>
      <c r="AG1516">
        <v>0</v>
      </c>
      <c r="AH1516">
        <v>-74.000000000000455</v>
      </c>
    </row>
    <row r="1517" spans="2:34" x14ac:dyDescent="0.35">
      <c r="B1517" t="s">
        <v>565</v>
      </c>
      <c r="C1517">
        <v>45787</v>
      </c>
      <c r="F1517" t="s">
        <v>749</v>
      </c>
      <c r="H1517">
        <v>100.47</v>
      </c>
      <c r="O1517" t="s">
        <v>239</v>
      </c>
      <c r="P1517" t="s">
        <v>514</v>
      </c>
      <c r="Y1517">
        <v>1483</v>
      </c>
      <c r="Z1517" s="259" t="s">
        <v>630</v>
      </c>
      <c r="AA1517">
        <v>80</v>
      </c>
      <c r="AB1517">
        <v>8008</v>
      </c>
      <c r="AC1517">
        <v>45786</v>
      </c>
      <c r="AD1517">
        <v>1</v>
      </c>
      <c r="AE1517">
        <v>8037.6</v>
      </c>
      <c r="AF1517">
        <v>8037.6</v>
      </c>
      <c r="AG1517">
        <v>0</v>
      </c>
      <c r="AH1517">
        <v>29.600000000000364</v>
      </c>
    </row>
    <row r="1518" spans="2:34" x14ac:dyDescent="0.35">
      <c r="B1518" t="s">
        <v>565</v>
      </c>
      <c r="C1518">
        <v>45787</v>
      </c>
      <c r="F1518" t="s">
        <v>752</v>
      </c>
      <c r="H1518">
        <v>188.6</v>
      </c>
      <c r="O1518" t="s">
        <v>239</v>
      </c>
      <c r="P1518" t="s">
        <v>514</v>
      </c>
      <c r="Y1518">
        <v>1484</v>
      </c>
      <c r="Z1518" s="259" t="s">
        <v>630</v>
      </c>
      <c r="AA1518">
        <v>100</v>
      </c>
      <c r="AB1518">
        <v>20020</v>
      </c>
      <c r="AC1518">
        <v>45786</v>
      </c>
      <c r="AD1518">
        <v>1</v>
      </c>
      <c r="AE1518">
        <v>18860</v>
      </c>
      <c r="AF1518">
        <v>18860</v>
      </c>
      <c r="AG1518">
        <v>0</v>
      </c>
      <c r="AH1518">
        <v>-1160</v>
      </c>
    </row>
    <row r="1519" spans="2:34" x14ac:dyDescent="0.35">
      <c r="B1519" t="s">
        <v>565</v>
      </c>
      <c r="C1519">
        <v>45787</v>
      </c>
      <c r="F1519" t="s">
        <v>754</v>
      </c>
      <c r="H1519">
        <v>80.599999999999994</v>
      </c>
      <c r="O1519" t="s">
        <v>239</v>
      </c>
      <c r="P1519" t="s">
        <v>514</v>
      </c>
      <c r="Y1519">
        <v>1485</v>
      </c>
      <c r="Z1519" s="259" t="s">
        <v>630</v>
      </c>
      <c r="AA1519">
        <v>50</v>
      </c>
      <c r="AB1519">
        <v>4104</v>
      </c>
      <c r="AC1519">
        <v>45786</v>
      </c>
      <c r="AD1519">
        <v>1</v>
      </c>
      <c r="AE1519">
        <v>4029.9999999999995</v>
      </c>
      <c r="AF1519">
        <v>4029.9999999999995</v>
      </c>
      <c r="AG1519">
        <v>0</v>
      </c>
      <c r="AH1519">
        <v>-74.000000000000455</v>
      </c>
    </row>
    <row r="1520" spans="2:34" x14ac:dyDescent="0.35">
      <c r="B1520" t="s">
        <v>565</v>
      </c>
      <c r="C1520">
        <v>45788</v>
      </c>
      <c r="F1520" t="s">
        <v>749</v>
      </c>
      <c r="H1520">
        <v>100.47</v>
      </c>
      <c r="O1520" t="s">
        <v>239</v>
      </c>
      <c r="P1520" t="s">
        <v>514</v>
      </c>
      <c r="Y1520">
        <v>1486</v>
      </c>
      <c r="Z1520" s="259" t="s">
        <v>630</v>
      </c>
      <c r="AA1520">
        <v>80</v>
      </c>
      <c r="AB1520">
        <v>8008</v>
      </c>
      <c r="AC1520">
        <v>45786</v>
      </c>
      <c r="AD1520">
        <v>2</v>
      </c>
      <c r="AE1520">
        <v>8037.6</v>
      </c>
      <c r="AF1520">
        <v>8037.6</v>
      </c>
      <c r="AG1520">
        <v>0</v>
      </c>
      <c r="AH1520">
        <v>29.600000000000364</v>
      </c>
    </row>
    <row r="1521" spans="2:34" x14ac:dyDescent="0.35">
      <c r="B1521" t="s">
        <v>565</v>
      </c>
      <c r="C1521">
        <v>45788</v>
      </c>
      <c r="F1521" t="s">
        <v>752</v>
      </c>
      <c r="H1521">
        <v>188.6</v>
      </c>
      <c r="O1521" t="s">
        <v>239</v>
      </c>
      <c r="P1521" t="s">
        <v>514</v>
      </c>
      <c r="Y1521">
        <v>1487</v>
      </c>
      <c r="Z1521" s="259" t="s">
        <v>630</v>
      </c>
      <c r="AA1521">
        <v>100</v>
      </c>
      <c r="AB1521">
        <v>20020</v>
      </c>
      <c r="AC1521">
        <v>45786</v>
      </c>
      <c r="AD1521">
        <v>2</v>
      </c>
      <c r="AE1521">
        <v>18860</v>
      </c>
      <c r="AF1521">
        <v>18860</v>
      </c>
      <c r="AG1521">
        <v>0</v>
      </c>
      <c r="AH1521">
        <v>-1160</v>
      </c>
    </row>
    <row r="1522" spans="2:34" x14ac:dyDescent="0.35">
      <c r="B1522" t="s">
        <v>565</v>
      </c>
      <c r="C1522">
        <v>45788</v>
      </c>
      <c r="F1522" t="s">
        <v>754</v>
      </c>
      <c r="H1522">
        <v>80.599999999999994</v>
      </c>
      <c r="O1522" t="s">
        <v>239</v>
      </c>
      <c r="P1522" t="s">
        <v>514</v>
      </c>
      <c r="Y1522">
        <v>1488</v>
      </c>
      <c r="Z1522" s="259" t="s">
        <v>630</v>
      </c>
      <c r="AA1522">
        <v>50</v>
      </c>
      <c r="AB1522">
        <v>4104</v>
      </c>
      <c r="AC1522">
        <v>45786</v>
      </c>
      <c r="AD1522">
        <v>2</v>
      </c>
      <c r="AE1522">
        <v>4029.9999999999995</v>
      </c>
      <c r="AF1522">
        <v>4029.9999999999995</v>
      </c>
      <c r="AG1522">
        <v>0</v>
      </c>
      <c r="AH1522">
        <v>-74.000000000000455</v>
      </c>
    </row>
    <row r="1523" spans="2:34" x14ac:dyDescent="0.35">
      <c r="B1523" t="s">
        <v>565</v>
      </c>
      <c r="C1523">
        <v>45789</v>
      </c>
      <c r="F1523" t="s">
        <v>749</v>
      </c>
      <c r="H1523">
        <v>100.27</v>
      </c>
      <c r="O1523" t="s">
        <v>239</v>
      </c>
      <c r="P1523" t="s">
        <v>514</v>
      </c>
      <c r="Y1523">
        <v>1489</v>
      </c>
      <c r="Z1523" s="259" t="s">
        <v>630</v>
      </c>
      <c r="AA1523">
        <v>80</v>
      </c>
      <c r="AB1523">
        <v>8008</v>
      </c>
      <c r="AC1523">
        <v>45789</v>
      </c>
      <c r="AD1523">
        <v>0</v>
      </c>
      <c r="AE1523">
        <v>8021.5999999999995</v>
      </c>
      <c r="AF1523">
        <v>8021.5999999999995</v>
      </c>
      <c r="AG1523">
        <v>0</v>
      </c>
      <c r="AH1523">
        <v>13.599999999999454</v>
      </c>
    </row>
    <row r="1524" spans="2:34" x14ac:dyDescent="0.35">
      <c r="B1524" t="s">
        <v>565</v>
      </c>
      <c r="C1524">
        <v>45789</v>
      </c>
      <c r="F1524" t="s">
        <v>752</v>
      </c>
      <c r="H1524">
        <v>189.2</v>
      </c>
      <c r="O1524" t="s">
        <v>239</v>
      </c>
      <c r="P1524" t="s">
        <v>514</v>
      </c>
      <c r="Y1524">
        <v>1490</v>
      </c>
      <c r="Z1524" s="259" t="s">
        <v>630</v>
      </c>
      <c r="AA1524">
        <v>100</v>
      </c>
      <c r="AB1524">
        <v>20020</v>
      </c>
      <c r="AC1524">
        <v>45789</v>
      </c>
      <c r="AD1524">
        <v>0</v>
      </c>
      <c r="AE1524">
        <v>18920</v>
      </c>
      <c r="AF1524">
        <v>18920</v>
      </c>
      <c r="AG1524">
        <v>0</v>
      </c>
      <c r="AH1524">
        <v>-1100</v>
      </c>
    </row>
    <row r="1525" spans="2:34" x14ac:dyDescent="0.35">
      <c r="B1525" t="s">
        <v>565</v>
      </c>
      <c r="C1525">
        <v>45789</v>
      </c>
      <c r="F1525" t="s">
        <v>754</v>
      </c>
      <c r="H1525">
        <v>81.2</v>
      </c>
      <c r="O1525" t="s">
        <v>239</v>
      </c>
      <c r="P1525" t="s">
        <v>514</v>
      </c>
      <c r="Y1525">
        <v>1491</v>
      </c>
      <c r="Z1525" s="259" t="s">
        <v>630</v>
      </c>
      <c r="AA1525">
        <v>50</v>
      </c>
      <c r="AB1525">
        <v>4104</v>
      </c>
      <c r="AC1525">
        <v>45789</v>
      </c>
      <c r="AD1525">
        <v>0</v>
      </c>
      <c r="AE1525">
        <v>4060</v>
      </c>
      <c r="AF1525">
        <v>4060</v>
      </c>
      <c r="AG1525">
        <v>0</v>
      </c>
      <c r="AH1525">
        <v>-44</v>
      </c>
    </row>
    <row r="1526" spans="2:34" x14ac:dyDescent="0.35">
      <c r="B1526" t="s">
        <v>565</v>
      </c>
      <c r="C1526">
        <v>45790</v>
      </c>
      <c r="F1526" t="s">
        <v>749</v>
      </c>
      <c r="H1526">
        <v>100.2</v>
      </c>
      <c r="O1526" t="s">
        <v>239</v>
      </c>
      <c r="P1526" t="s">
        <v>514</v>
      </c>
      <c r="Y1526">
        <v>1492</v>
      </c>
      <c r="Z1526" s="259" t="s">
        <v>630</v>
      </c>
      <c r="AA1526">
        <v>80</v>
      </c>
      <c r="AB1526">
        <v>8008</v>
      </c>
      <c r="AC1526">
        <v>45790</v>
      </c>
      <c r="AD1526">
        <v>0</v>
      </c>
      <c r="AE1526">
        <v>8016</v>
      </c>
      <c r="AF1526">
        <v>8016</v>
      </c>
      <c r="AG1526">
        <v>0</v>
      </c>
      <c r="AH1526">
        <v>8</v>
      </c>
    </row>
    <row r="1527" spans="2:34" x14ac:dyDescent="0.35">
      <c r="B1527" t="s">
        <v>565</v>
      </c>
      <c r="C1527">
        <v>45790</v>
      </c>
      <c r="F1527" t="s">
        <v>752</v>
      </c>
      <c r="H1527">
        <v>189.4</v>
      </c>
      <c r="O1527" t="s">
        <v>239</v>
      </c>
      <c r="P1527" t="s">
        <v>514</v>
      </c>
      <c r="Y1527">
        <v>1493</v>
      </c>
      <c r="Z1527" s="259" t="s">
        <v>630</v>
      </c>
      <c r="AA1527">
        <v>100</v>
      </c>
      <c r="AB1527">
        <v>20020</v>
      </c>
      <c r="AC1527">
        <v>45790</v>
      </c>
      <c r="AD1527">
        <v>0</v>
      </c>
      <c r="AE1527">
        <v>18940</v>
      </c>
      <c r="AF1527">
        <v>18940</v>
      </c>
      <c r="AG1527">
        <v>0</v>
      </c>
      <c r="AH1527">
        <v>-1080</v>
      </c>
    </row>
    <row r="1528" spans="2:34" x14ac:dyDescent="0.35">
      <c r="B1528" t="s">
        <v>565</v>
      </c>
      <c r="C1528">
        <v>45790</v>
      </c>
      <c r="F1528" t="s">
        <v>754</v>
      </c>
      <c r="H1528">
        <v>81.400000000000006</v>
      </c>
      <c r="O1528" t="s">
        <v>239</v>
      </c>
      <c r="P1528" t="s">
        <v>514</v>
      </c>
      <c r="Y1528">
        <v>1494</v>
      </c>
      <c r="Z1528" s="259" t="s">
        <v>630</v>
      </c>
      <c r="AA1528">
        <v>50</v>
      </c>
      <c r="AB1528">
        <v>4104</v>
      </c>
      <c r="AC1528">
        <v>45790</v>
      </c>
      <c r="AD1528">
        <v>0</v>
      </c>
      <c r="AE1528">
        <v>4070.0000000000005</v>
      </c>
      <c r="AF1528">
        <v>4070.0000000000005</v>
      </c>
      <c r="AG1528">
        <v>0</v>
      </c>
      <c r="AH1528">
        <v>-33.999999999999545</v>
      </c>
    </row>
    <row r="1529" spans="2:34" x14ac:dyDescent="0.35">
      <c r="B1529" t="s">
        <v>565</v>
      </c>
      <c r="C1529">
        <v>45791</v>
      </c>
      <c r="F1529" t="s">
        <v>749</v>
      </c>
      <c r="H1529">
        <v>100.13</v>
      </c>
      <c r="O1529" t="s">
        <v>239</v>
      </c>
      <c r="P1529" t="s">
        <v>514</v>
      </c>
      <c r="Y1529">
        <v>1495</v>
      </c>
      <c r="Z1529" s="259" t="s">
        <v>630</v>
      </c>
      <c r="AA1529">
        <v>80</v>
      </c>
      <c r="AB1529">
        <v>8008</v>
      </c>
      <c r="AC1529">
        <v>45791</v>
      </c>
      <c r="AD1529">
        <v>0</v>
      </c>
      <c r="AE1529">
        <v>8010.4</v>
      </c>
      <c r="AF1529">
        <v>8010.4</v>
      </c>
      <c r="AG1529">
        <v>0</v>
      </c>
      <c r="AH1529">
        <v>2.3999999999996362</v>
      </c>
    </row>
    <row r="1530" spans="2:34" x14ac:dyDescent="0.35">
      <c r="B1530" t="s">
        <v>565</v>
      </c>
      <c r="C1530">
        <v>45791</v>
      </c>
      <c r="F1530" t="s">
        <v>752</v>
      </c>
      <c r="H1530">
        <v>189.6</v>
      </c>
      <c r="O1530" t="s">
        <v>239</v>
      </c>
      <c r="P1530" t="s">
        <v>514</v>
      </c>
      <c r="Y1530">
        <v>1496</v>
      </c>
      <c r="Z1530" s="259" t="s">
        <v>630</v>
      </c>
      <c r="AA1530">
        <v>100</v>
      </c>
      <c r="AB1530">
        <v>20020</v>
      </c>
      <c r="AC1530">
        <v>45791</v>
      </c>
      <c r="AD1530">
        <v>0</v>
      </c>
      <c r="AE1530">
        <v>18960</v>
      </c>
      <c r="AF1530">
        <v>18960</v>
      </c>
      <c r="AG1530">
        <v>0</v>
      </c>
      <c r="AH1530">
        <v>-1060</v>
      </c>
    </row>
    <row r="1531" spans="2:34" x14ac:dyDescent="0.35">
      <c r="B1531" t="s">
        <v>565</v>
      </c>
      <c r="C1531">
        <v>45791</v>
      </c>
      <c r="F1531" t="s">
        <v>754</v>
      </c>
      <c r="H1531">
        <v>81.599999999999994</v>
      </c>
      <c r="O1531" t="s">
        <v>239</v>
      </c>
      <c r="P1531" t="s">
        <v>514</v>
      </c>
      <c r="Y1531">
        <v>1497</v>
      </c>
      <c r="Z1531" s="259" t="s">
        <v>630</v>
      </c>
      <c r="AA1531">
        <v>50</v>
      </c>
      <c r="AB1531">
        <v>4104</v>
      </c>
      <c r="AC1531">
        <v>45791</v>
      </c>
      <c r="AD1531">
        <v>0</v>
      </c>
      <c r="AE1531">
        <v>4079.9999999999995</v>
      </c>
      <c r="AF1531">
        <v>4079.9999999999995</v>
      </c>
      <c r="AG1531">
        <v>0</v>
      </c>
      <c r="AH1531">
        <v>-24.000000000000455</v>
      </c>
    </row>
    <row r="1532" spans="2:34" x14ac:dyDescent="0.35">
      <c r="B1532" t="s">
        <v>565</v>
      </c>
      <c r="C1532">
        <v>45792</v>
      </c>
      <c r="F1532" t="s">
        <v>749</v>
      </c>
      <c r="H1532">
        <v>100.07</v>
      </c>
      <c r="O1532" t="s">
        <v>239</v>
      </c>
      <c r="P1532" t="s">
        <v>514</v>
      </c>
      <c r="Y1532">
        <v>1498</v>
      </c>
      <c r="Z1532" s="259" t="s">
        <v>630</v>
      </c>
      <c r="AA1532">
        <v>80</v>
      </c>
      <c r="AB1532">
        <v>8008</v>
      </c>
      <c r="AC1532">
        <v>45792</v>
      </c>
      <c r="AD1532">
        <v>0</v>
      </c>
      <c r="AE1532">
        <v>8005.5999999999995</v>
      </c>
      <c r="AF1532">
        <v>8005.5999999999995</v>
      </c>
      <c r="AG1532">
        <v>0</v>
      </c>
      <c r="AH1532">
        <v>-2.4000000000005457</v>
      </c>
    </row>
    <row r="1533" spans="2:34" x14ac:dyDescent="0.35">
      <c r="B1533" t="s">
        <v>565</v>
      </c>
      <c r="C1533">
        <v>45792</v>
      </c>
      <c r="F1533" t="s">
        <v>752</v>
      </c>
      <c r="H1533">
        <v>189.8</v>
      </c>
      <c r="O1533" t="s">
        <v>239</v>
      </c>
      <c r="P1533" t="s">
        <v>514</v>
      </c>
      <c r="Y1533">
        <v>1499</v>
      </c>
      <c r="Z1533" s="259" t="s">
        <v>630</v>
      </c>
      <c r="AA1533">
        <v>100</v>
      </c>
      <c r="AB1533">
        <v>20020</v>
      </c>
      <c r="AC1533">
        <v>45792</v>
      </c>
      <c r="AD1533">
        <v>0</v>
      </c>
      <c r="AE1533">
        <v>18980</v>
      </c>
      <c r="AF1533">
        <v>18980</v>
      </c>
      <c r="AG1533">
        <v>0</v>
      </c>
      <c r="AH1533">
        <v>-1040</v>
      </c>
    </row>
    <row r="1534" spans="2:34" x14ac:dyDescent="0.35">
      <c r="B1534" t="s">
        <v>565</v>
      </c>
      <c r="C1534">
        <v>45792</v>
      </c>
      <c r="F1534" t="s">
        <v>754</v>
      </c>
      <c r="H1534">
        <v>81.8</v>
      </c>
      <c r="O1534" t="s">
        <v>239</v>
      </c>
      <c r="P1534" t="s">
        <v>514</v>
      </c>
      <c r="Y1534">
        <v>1500</v>
      </c>
      <c r="Z1534" s="259" t="s">
        <v>630</v>
      </c>
      <c r="AA1534">
        <v>50</v>
      </c>
      <c r="AB1534">
        <v>4104</v>
      </c>
      <c r="AC1534">
        <v>45792</v>
      </c>
      <c r="AD1534">
        <v>0</v>
      </c>
      <c r="AE1534">
        <v>4090</v>
      </c>
      <c r="AF1534">
        <v>4090</v>
      </c>
      <c r="AG1534">
        <v>0</v>
      </c>
      <c r="AH1534">
        <v>-14</v>
      </c>
    </row>
    <row r="1535" spans="2:34" x14ac:dyDescent="0.35">
      <c r="B1535" t="s">
        <v>565</v>
      </c>
      <c r="C1535">
        <v>45793</v>
      </c>
      <c r="F1535" t="s">
        <v>749</v>
      </c>
      <c r="H1535">
        <v>100</v>
      </c>
      <c r="O1535" t="s">
        <v>239</v>
      </c>
      <c r="P1535" t="s">
        <v>514</v>
      </c>
      <c r="Y1535">
        <v>1501</v>
      </c>
      <c r="Z1535" s="259" t="s">
        <v>630</v>
      </c>
      <c r="AA1535">
        <v>80</v>
      </c>
      <c r="AB1535">
        <v>8008</v>
      </c>
      <c r="AC1535">
        <v>45793</v>
      </c>
      <c r="AD1535">
        <v>0</v>
      </c>
      <c r="AE1535">
        <v>8000</v>
      </c>
      <c r="AF1535">
        <v>8000</v>
      </c>
      <c r="AG1535">
        <v>0</v>
      </c>
      <c r="AH1535">
        <v>-8</v>
      </c>
    </row>
    <row r="1536" spans="2:34" x14ac:dyDescent="0.35">
      <c r="B1536" t="s">
        <v>565</v>
      </c>
      <c r="C1536">
        <v>45793</v>
      </c>
      <c r="F1536" t="s">
        <v>752</v>
      </c>
      <c r="H1536">
        <v>190</v>
      </c>
      <c r="O1536" t="s">
        <v>239</v>
      </c>
      <c r="P1536" t="s">
        <v>514</v>
      </c>
      <c r="Y1536">
        <v>1502</v>
      </c>
      <c r="Z1536" s="259" t="s">
        <v>630</v>
      </c>
      <c r="AA1536">
        <v>100</v>
      </c>
      <c r="AB1536">
        <v>20020</v>
      </c>
      <c r="AC1536">
        <v>45793</v>
      </c>
      <c r="AD1536">
        <v>0</v>
      </c>
      <c r="AE1536">
        <v>19000</v>
      </c>
      <c r="AF1536">
        <v>19000</v>
      </c>
      <c r="AG1536">
        <v>0</v>
      </c>
      <c r="AH1536">
        <v>-1020</v>
      </c>
    </row>
    <row r="1537" spans="2:34" x14ac:dyDescent="0.35">
      <c r="B1537" t="s">
        <v>565</v>
      </c>
      <c r="C1537">
        <v>45793</v>
      </c>
      <c r="F1537" t="s">
        <v>754</v>
      </c>
      <c r="H1537">
        <v>82</v>
      </c>
      <c r="O1537" t="s">
        <v>239</v>
      </c>
      <c r="P1537" t="s">
        <v>514</v>
      </c>
      <c r="Y1537">
        <v>1503</v>
      </c>
      <c r="Z1537" s="259" t="s">
        <v>630</v>
      </c>
      <c r="AA1537">
        <v>50</v>
      </c>
      <c r="AB1537">
        <v>4104</v>
      </c>
      <c r="AC1537">
        <v>45793</v>
      </c>
      <c r="AD1537">
        <v>0</v>
      </c>
      <c r="AE1537">
        <v>4100</v>
      </c>
      <c r="AF1537">
        <v>4100</v>
      </c>
      <c r="AG1537">
        <v>0</v>
      </c>
      <c r="AH1537">
        <v>-4</v>
      </c>
    </row>
    <row r="1538" spans="2:34" x14ac:dyDescent="0.35">
      <c r="B1538" t="s">
        <v>565</v>
      </c>
      <c r="C1538">
        <v>45794</v>
      </c>
      <c r="F1538" t="s">
        <v>749</v>
      </c>
      <c r="H1538">
        <v>100</v>
      </c>
      <c r="O1538" t="s">
        <v>239</v>
      </c>
      <c r="P1538" t="s">
        <v>514</v>
      </c>
      <c r="Y1538">
        <v>1504</v>
      </c>
      <c r="Z1538" s="259" t="s">
        <v>630</v>
      </c>
      <c r="AA1538">
        <v>80</v>
      </c>
      <c r="AB1538">
        <v>8008</v>
      </c>
      <c r="AC1538">
        <v>45793</v>
      </c>
      <c r="AD1538">
        <v>1</v>
      </c>
      <c r="AE1538">
        <v>8000</v>
      </c>
      <c r="AF1538">
        <v>8000</v>
      </c>
      <c r="AG1538">
        <v>0</v>
      </c>
      <c r="AH1538">
        <v>-8</v>
      </c>
    </row>
    <row r="1539" spans="2:34" x14ac:dyDescent="0.35">
      <c r="B1539" t="s">
        <v>565</v>
      </c>
      <c r="C1539">
        <v>45794</v>
      </c>
      <c r="F1539" t="s">
        <v>752</v>
      </c>
      <c r="H1539">
        <v>190</v>
      </c>
      <c r="O1539" t="s">
        <v>239</v>
      </c>
      <c r="P1539" t="s">
        <v>514</v>
      </c>
      <c r="Y1539">
        <v>1505</v>
      </c>
      <c r="Z1539" s="259" t="s">
        <v>630</v>
      </c>
      <c r="AA1539">
        <v>100</v>
      </c>
      <c r="AB1539">
        <v>20020</v>
      </c>
      <c r="AC1539">
        <v>45793</v>
      </c>
      <c r="AD1539">
        <v>1</v>
      </c>
      <c r="AE1539">
        <v>19000</v>
      </c>
      <c r="AF1539">
        <v>19000</v>
      </c>
      <c r="AG1539">
        <v>0</v>
      </c>
      <c r="AH1539">
        <v>-1020</v>
      </c>
    </row>
    <row r="1540" spans="2:34" x14ac:dyDescent="0.35">
      <c r="B1540" t="s">
        <v>565</v>
      </c>
      <c r="C1540">
        <v>45794</v>
      </c>
      <c r="F1540" t="s">
        <v>754</v>
      </c>
      <c r="H1540">
        <v>82</v>
      </c>
      <c r="O1540" t="s">
        <v>239</v>
      </c>
      <c r="P1540" t="s">
        <v>514</v>
      </c>
      <c r="Y1540">
        <v>1506</v>
      </c>
      <c r="Z1540" s="259" t="s">
        <v>630</v>
      </c>
      <c r="AA1540">
        <v>50</v>
      </c>
      <c r="AB1540">
        <v>4104</v>
      </c>
      <c r="AC1540">
        <v>45793</v>
      </c>
      <c r="AD1540">
        <v>1</v>
      </c>
      <c r="AE1540">
        <v>4100</v>
      </c>
      <c r="AF1540">
        <v>4100</v>
      </c>
      <c r="AG1540">
        <v>0</v>
      </c>
      <c r="AH1540">
        <v>-4</v>
      </c>
    </row>
    <row r="1541" spans="2:34" x14ac:dyDescent="0.35">
      <c r="B1541" t="s">
        <v>565</v>
      </c>
      <c r="C1541">
        <v>45795</v>
      </c>
      <c r="F1541" t="s">
        <v>749</v>
      </c>
      <c r="H1541">
        <v>100</v>
      </c>
      <c r="O1541" t="s">
        <v>239</v>
      </c>
      <c r="P1541" t="s">
        <v>514</v>
      </c>
      <c r="Y1541">
        <v>1507</v>
      </c>
      <c r="Z1541" s="259" t="s">
        <v>630</v>
      </c>
      <c r="AA1541">
        <v>80</v>
      </c>
      <c r="AB1541">
        <v>8008</v>
      </c>
      <c r="AC1541">
        <v>45793</v>
      </c>
      <c r="AD1541">
        <v>2</v>
      </c>
      <c r="AE1541">
        <v>8000</v>
      </c>
      <c r="AF1541">
        <v>8000</v>
      </c>
      <c r="AG1541">
        <v>0</v>
      </c>
      <c r="AH1541">
        <v>-8</v>
      </c>
    </row>
    <row r="1542" spans="2:34" x14ac:dyDescent="0.35">
      <c r="B1542" t="s">
        <v>565</v>
      </c>
      <c r="C1542">
        <v>45795</v>
      </c>
      <c r="F1542" t="s">
        <v>752</v>
      </c>
      <c r="H1542">
        <v>190</v>
      </c>
      <c r="O1542" t="s">
        <v>239</v>
      </c>
      <c r="P1542" t="s">
        <v>514</v>
      </c>
      <c r="Y1542">
        <v>1508</v>
      </c>
      <c r="Z1542" s="259" t="s">
        <v>630</v>
      </c>
      <c r="AA1542">
        <v>100</v>
      </c>
      <c r="AB1542">
        <v>20020</v>
      </c>
      <c r="AC1542">
        <v>45793</v>
      </c>
      <c r="AD1542">
        <v>2</v>
      </c>
      <c r="AE1542">
        <v>19000</v>
      </c>
      <c r="AF1542">
        <v>19000</v>
      </c>
      <c r="AG1542">
        <v>0</v>
      </c>
      <c r="AH1542">
        <v>-1020</v>
      </c>
    </row>
    <row r="1543" spans="2:34" x14ac:dyDescent="0.35">
      <c r="B1543" t="s">
        <v>565</v>
      </c>
      <c r="C1543">
        <v>45795</v>
      </c>
      <c r="F1543" t="s">
        <v>754</v>
      </c>
      <c r="H1543">
        <v>82</v>
      </c>
      <c r="O1543" t="s">
        <v>239</v>
      </c>
      <c r="P1543" t="s">
        <v>514</v>
      </c>
      <c r="Y1543">
        <v>1509</v>
      </c>
      <c r="Z1543" s="259" t="s">
        <v>630</v>
      </c>
      <c r="AA1543">
        <v>50</v>
      </c>
      <c r="AB1543">
        <v>4104</v>
      </c>
      <c r="AC1543">
        <v>45793</v>
      </c>
      <c r="AD1543">
        <v>2</v>
      </c>
      <c r="AE1543">
        <v>4100</v>
      </c>
      <c r="AF1543">
        <v>4100</v>
      </c>
      <c r="AG1543">
        <v>0</v>
      </c>
      <c r="AH1543">
        <v>-4</v>
      </c>
    </row>
    <row r="1544" spans="2:34" x14ac:dyDescent="0.35">
      <c r="B1544" t="s">
        <v>565</v>
      </c>
      <c r="C1544">
        <v>45796</v>
      </c>
      <c r="F1544" t="s">
        <v>749</v>
      </c>
      <c r="H1544">
        <v>99.8</v>
      </c>
      <c r="O1544" t="s">
        <v>239</v>
      </c>
      <c r="P1544" t="s">
        <v>514</v>
      </c>
      <c r="Y1544">
        <v>1510</v>
      </c>
      <c r="Z1544" s="259" t="s">
        <v>630</v>
      </c>
      <c r="AA1544">
        <v>80</v>
      </c>
      <c r="AB1544">
        <v>8008</v>
      </c>
      <c r="AC1544">
        <v>45796</v>
      </c>
      <c r="AD1544">
        <v>0</v>
      </c>
      <c r="AE1544">
        <v>7984</v>
      </c>
      <c r="AF1544">
        <v>7984</v>
      </c>
      <c r="AG1544">
        <v>0</v>
      </c>
      <c r="AH1544">
        <v>-24</v>
      </c>
    </row>
    <row r="1545" spans="2:34" x14ac:dyDescent="0.35">
      <c r="B1545" t="s">
        <v>565</v>
      </c>
      <c r="C1545">
        <v>45796</v>
      </c>
      <c r="F1545" t="s">
        <v>752</v>
      </c>
      <c r="H1545">
        <v>190.6</v>
      </c>
      <c r="O1545" t="s">
        <v>239</v>
      </c>
      <c r="P1545" t="s">
        <v>514</v>
      </c>
      <c r="Y1545">
        <v>1511</v>
      </c>
      <c r="Z1545" s="259" t="s">
        <v>630</v>
      </c>
      <c r="AA1545">
        <v>100</v>
      </c>
      <c r="AB1545">
        <v>20020</v>
      </c>
      <c r="AC1545">
        <v>45796</v>
      </c>
      <c r="AD1545">
        <v>0</v>
      </c>
      <c r="AE1545">
        <v>19060</v>
      </c>
      <c r="AF1545">
        <v>19060</v>
      </c>
      <c r="AG1545">
        <v>0</v>
      </c>
      <c r="AH1545">
        <v>-960</v>
      </c>
    </row>
    <row r="1546" spans="2:34" x14ac:dyDescent="0.35">
      <c r="B1546" t="s">
        <v>565</v>
      </c>
      <c r="C1546">
        <v>45796</v>
      </c>
      <c r="F1546" t="s">
        <v>754</v>
      </c>
      <c r="H1546">
        <v>82.6</v>
      </c>
      <c r="O1546" t="s">
        <v>239</v>
      </c>
      <c r="P1546" t="s">
        <v>514</v>
      </c>
      <c r="Y1546">
        <v>1512</v>
      </c>
      <c r="Z1546" s="259" t="s">
        <v>630</v>
      </c>
      <c r="AA1546">
        <v>50</v>
      </c>
      <c r="AB1546">
        <v>4104</v>
      </c>
      <c r="AC1546">
        <v>45796</v>
      </c>
      <c r="AD1546">
        <v>0</v>
      </c>
      <c r="AE1546">
        <v>4130</v>
      </c>
      <c r="AF1546">
        <v>4130</v>
      </c>
      <c r="AG1546">
        <v>0</v>
      </c>
      <c r="AH1546">
        <v>26</v>
      </c>
    </row>
    <row r="1547" spans="2:34" x14ac:dyDescent="0.35">
      <c r="B1547" t="s">
        <v>565</v>
      </c>
      <c r="C1547">
        <v>45797</v>
      </c>
      <c r="F1547" t="s">
        <v>749</v>
      </c>
      <c r="H1547">
        <v>99.73</v>
      </c>
      <c r="O1547" t="s">
        <v>239</v>
      </c>
      <c r="P1547" t="s">
        <v>514</v>
      </c>
      <c r="Y1547">
        <v>1513</v>
      </c>
      <c r="Z1547" s="259" t="s">
        <v>630</v>
      </c>
      <c r="AA1547">
        <v>80</v>
      </c>
      <c r="AB1547">
        <v>8008</v>
      </c>
      <c r="AC1547">
        <v>45797</v>
      </c>
      <c r="AD1547">
        <v>0</v>
      </c>
      <c r="AE1547">
        <v>7978.4000000000005</v>
      </c>
      <c r="AF1547">
        <v>7978.4000000000005</v>
      </c>
      <c r="AG1547">
        <v>0</v>
      </c>
      <c r="AH1547">
        <v>-29.599999999999454</v>
      </c>
    </row>
    <row r="1548" spans="2:34" x14ac:dyDescent="0.35">
      <c r="B1548" t="s">
        <v>565</v>
      </c>
      <c r="C1548">
        <v>45797</v>
      </c>
      <c r="F1548" t="s">
        <v>752</v>
      </c>
      <c r="H1548">
        <v>190.8</v>
      </c>
      <c r="O1548" t="s">
        <v>239</v>
      </c>
      <c r="P1548" t="s">
        <v>514</v>
      </c>
      <c r="Y1548">
        <v>1514</v>
      </c>
      <c r="Z1548" s="259" t="s">
        <v>630</v>
      </c>
      <c r="AA1548">
        <v>100</v>
      </c>
      <c r="AB1548">
        <v>20020</v>
      </c>
      <c r="AC1548">
        <v>45797</v>
      </c>
      <c r="AD1548">
        <v>0</v>
      </c>
      <c r="AE1548">
        <v>19080</v>
      </c>
      <c r="AF1548">
        <v>19080</v>
      </c>
      <c r="AG1548">
        <v>0</v>
      </c>
      <c r="AH1548">
        <v>-940</v>
      </c>
    </row>
    <row r="1549" spans="2:34" x14ac:dyDescent="0.35">
      <c r="B1549" t="s">
        <v>565</v>
      </c>
      <c r="C1549">
        <v>45797</v>
      </c>
      <c r="F1549" t="s">
        <v>754</v>
      </c>
      <c r="H1549">
        <v>82.8</v>
      </c>
      <c r="O1549" t="s">
        <v>239</v>
      </c>
      <c r="P1549" t="s">
        <v>514</v>
      </c>
      <c r="Y1549">
        <v>1515</v>
      </c>
      <c r="Z1549" s="259" t="s">
        <v>630</v>
      </c>
      <c r="AA1549">
        <v>50</v>
      </c>
      <c r="AB1549">
        <v>4104</v>
      </c>
      <c r="AC1549">
        <v>45797</v>
      </c>
      <c r="AD1549">
        <v>0</v>
      </c>
      <c r="AE1549">
        <v>4140</v>
      </c>
      <c r="AF1549">
        <v>4140</v>
      </c>
      <c r="AG1549">
        <v>0</v>
      </c>
      <c r="AH1549">
        <v>36</v>
      </c>
    </row>
    <row r="1550" spans="2:34" x14ac:dyDescent="0.35">
      <c r="B1550" t="s">
        <v>565</v>
      </c>
      <c r="C1550">
        <v>45798</v>
      </c>
      <c r="F1550" t="s">
        <v>749</v>
      </c>
      <c r="H1550">
        <v>99.67</v>
      </c>
      <c r="O1550" t="s">
        <v>239</v>
      </c>
      <c r="P1550" t="s">
        <v>514</v>
      </c>
      <c r="Y1550">
        <v>1516</v>
      </c>
      <c r="Z1550" s="259" t="s">
        <v>630</v>
      </c>
      <c r="AA1550">
        <v>80</v>
      </c>
      <c r="AB1550">
        <v>8008</v>
      </c>
      <c r="AC1550">
        <v>45798</v>
      </c>
      <c r="AD1550">
        <v>0</v>
      </c>
      <c r="AE1550">
        <v>7973.6</v>
      </c>
      <c r="AF1550">
        <v>7973.6</v>
      </c>
      <c r="AG1550">
        <v>0</v>
      </c>
      <c r="AH1550">
        <v>-34.399999999999636</v>
      </c>
    </row>
    <row r="1551" spans="2:34" x14ac:dyDescent="0.35">
      <c r="B1551" t="s">
        <v>565</v>
      </c>
      <c r="C1551">
        <v>45798</v>
      </c>
      <c r="F1551" t="s">
        <v>752</v>
      </c>
      <c r="H1551">
        <v>191</v>
      </c>
      <c r="O1551" t="s">
        <v>239</v>
      </c>
      <c r="P1551" t="s">
        <v>514</v>
      </c>
      <c r="Y1551">
        <v>1517</v>
      </c>
      <c r="Z1551" s="259" t="s">
        <v>630</v>
      </c>
      <c r="AA1551">
        <v>100</v>
      </c>
      <c r="AB1551">
        <v>20020</v>
      </c>
      <c r="AC1551">
        <v>45798</v>
      </c>
      <c r="AD1551">
        <v>0</v>
      </c>
      <c r="AE1551">
        <v>19100</v>
      </c>
      <c r="AF1551">
        <v>19100</v>
      </c>
      <c r="AG1551">
        <v>0</v>
      </c>
      <c r="AH1551">
        <v>-920</v>
      </c>
    </row>
    <row r="1552" spans="2:34" x14ac:dyDescent="0.35">
      <c r="B1552" t="s">
        <v>565</v>
      </c>
      <c r="C1552">
        <v>45798</v>
      </c>
      <c r="F1552" t="s">
        <v>754</v>
      </c>
      <c r="H1552">
        <v>83</v>
      </c>
      <c r="O1552" t="s">
        <v>239</v>
      </c>
      <c r="P1552" t="s">
        <v>514</v>
      </c>
      <c r="Y1552">
        <v>1518</v>
      </c>
      <c r="Z1552" s="259" t="s">
        <v>630</v>
      </c>
      <c r="AA1552">
        <v>50</v>
      </c>
      <c r="AB1552">
        <v>4104</v>
      </c>
      <c r="AC1552">
        <v>45798</v>
      </c>
      <c r="AD1552">
        <v>0</v>
      </c>
      <c r="AE1552">
        <v>4150</v>
      </c>
      <c r="AF1552">
        <v>4150</v>
      </c>
      <c r="AG1552">
        <v>0</v>
      </c>
      <c r="AH1552">
        <v>46</v>
      </c>
    </row>
    <row r="1553" spans="2:34" x14ac:dyDescent="0.35">
      <c r="B1553" t="s">
        <v>565</v>
      </c>
      <c r="C1553">
        <v>45799</v>
      </c>
      <c r="F1553" t="s">
        <v>749</v>
      </c>
      <c r="H1553">
        <v>99.6</v>
      </c>
      <c r="O1553" t="s">
        <v>239</v>
      </c>
      <c r="P1553" t="s">
        <v>514</v>
      </c>
      <c r="Y1553">
        <v>1519</v>
      </c>
      <c r="Z1553" s="259" t="s">
        <v>630</v>
      </c>
      <c r="AA1553">
        <v>80</v>
      </c>
      <c r="AB1553">
        <v>8008</v>
      </c>
      <c r="AC1553">
        <v>45799</v>
      </c>
      <c r="AD1553">
        <v>0</v>
      </c>
      <c r="AE1553">
        <v>7968</v>
      </c>
      <c r="AF1553">
        <v>7968</v>
      </c>
      <c r="AG1553">
        <v>0</v>
      </c>
      <c r="AH1553">
        <v>-40</v>
      </c>
    </row>
    <row r="1554" spans="2:34" x14ac:dyDescent="0.35">
      <c r="B1554" t="s">
        <v>565</v>
      </c>
      <c r="C1554">
        <v>45799</v>
      </c>
      <c r="F1554" t="s">
        <v>752</v>
      </c>
      <c r="H1554">
        <v>191.2</v>
      </c>
      <c r="O1554" t="s">
        <v>239</v>
      </c>
      <c r="P1554" t="s">
        <v>514</v>
      </c>
      <c r="Y1554">
        <v>1520</v>
      </c>
      <c r="Z1554" s="259" t="s">
        <v>630</v>
      </c>
      <c r="AA1554">
        <v>100</v>
      </c>
      <c r="AB1554">
        <v>20020</v>
      </c>
      <c r="AC1554">
        <v>45799</v>
      </c>
      <c r="AD1554">
        <v>0</v>
      </c>
      <c r="AE1554">
        <v>19120</v>
      </c>
      <c r="AF1554">
        <v>19120</v>
      </c>
      <c r="AG1554">
        <v>0</v>
      </c>
      <c r="AH1554">
        <v>-900</v>
      </c>
    </row>
    <row r="1555" spans="2:34" x14ac:dyDescent="0.35">
      <c r="B1555" t="s">
        <v>565</v>
      </c>
      <c r="C1555">
        <v>45799</v>
      </c>
      <c r="F1555" t="s">
        <v>754</v>
      </c>
      <c r="H1555">
        <v>83.2</v>
      </c>
      <c r="O1555" t="s">
        <v>239</v>
      </c>
      <c r="P1555" t="s">
        <v>514</v>
      </c>
      <c r="Y1555">
        <v>1521</v>
      </c>
      <c r="Z1555" s="259" t="s">
        <v>630</v>
      </c>
      <c r="AA1555">
        <v>50</v>
      </c>
      <c r="AB1555">
        <v>4104</v>
      </c>
      <c r="AC1555">
        <v>45799</v>
      </c>
      <c r="AD1555">
        <v>0</v>
      </c>
      <c r="AE1555">
        <v>4160</v>
      </c>
      <c r="AF1555">
        <v>4160</v>
      </c>
      <c r="AG1555">
        <v>0</v>
      </c>
      <c r="AH1555">
        <v>56</v>
      </c>
    </row>
    <row r="1556" spans="2:34" x14ac:dyDescent="0.35">
      <c r="B1556" t="s">
        <v>565</v>
      </c>
      <c r="C1556">
        <v>45800</v>
      </c>
      <c r="F1556" t="s">
        <v>749</v>
      </c>
      <c r="H1556">
        <v>99.53</v>
      </c>
      <c r="O1556" t="s">
        <v>239</v>
      </c>
      <c r="P1556" t="s">
        <v>514</v>
      </c>
      <c r="Y1556">
        <v>1522</v>
      </c>
      <c r="Z1556" s="259" t="s">
        <v>630</v>
      </c>
      <c r="AA1556">
        <v>80</v>
      </c>
      <c r="AB1556">
        <v>8008</v>
      </c>
      <c r="AC1556">
        <v>45800</v>
      </c>
      <c r="AD1556">
        <v>0</v>
      </c>
      <c r="AE1556">
        <v>7962.4</v>
      </c>
      <c r="AF1556">
        <v>7962.4</v>
      </c>
      <c r="AG1556">
        <v>0</v>
      </c>
      <c r="AH1556">
        <v>-45.600000000000364</v>
      </c>
    </row>
    <row r="1557" spans="2:34" x14ac:dyDescent="0.35">
      <c r="B1557" t="s">
        <v>565</v>
      </c>
      <c r="C1557">
        <v>45800</v>
      </c>
      <c r="F1557" t="s">
        <v>752</v>
      </c>
      <c r="H1557">
        <v>191.4</v>
      </c>
      <c r="O1557" t="s">
        <v>239</v>
      </c>
      <c r="P1557" t="s">
        <v>514</v>
      </c>
      <c r="Y1557">
        <v>1523</v>
      </c>
      <c r="Z1557" s="259" t="s">
        <v>630</v>
      </c>
      <c r="AA1557">
        <v>100</v>
      </c>
      <c r="AB1557">
        <v>20020</v>
      </c>
      <c r="AC1557">
        <v>45800</v>
      </c>
      <c r="AD1557">
        <v>0</v>
      </c>
      <c r="AE1557">
        <v>19140</v>
      </c>
      <c r="AF1557">
        <v>19140</v>
      </c>
      <c r="AG1557">
        <v>0</v>
      </c>
      <c r="AH1557">
        <v>-880</v>
      </c>
    </row>
    <row r="1558" spans="2:34" x14ac:dyDescent="0.35">
      <c r="B1558" t="s">
        <v>565</v>
      </c>
      <c r="C1558">
        <v>45800</v>
      </c>
      <c r="F1558" t="s">
        <v>754</v>
      </c>
      <c r="H1558">
        <v>83.4</v>
      </c>
      <c r="O1558" t="s">
        <v>239</v>
      </c>
      <c r="P1558" t="s">
        <v>514</v>
      </c>
      <c r="Y1558">
        <v>1524</v>
      </c>
      <c r="Z1558" s="259" t="s">
        <v>630</v>
      </c>
      <c r="AA1558">
        <v>50</v>
      </c>
      <c r="AB1558">
        <v>4104</v>
      </c>
      <c r="AC1558">
        <v>45800</v>
      </c>
      <c r="AD1558">
        <v>0</v>
      </c>
      <c r="AE1558">
        <v>4170</v>
      </c>
      <c r="AF1558">
        <v>4170</v>
      </c>
      <c r="AG1558">
        <v>0</v>
      </c>
      <c r="AH1558">
        <v>66</v>
      </c>
    </row>
    <row r="1559" spans="2:34" x14ac:dyDescent="0.35">
      <c r="B1559" t="s">
        <v>565</v>
      </c>
      <c r="C1559">
        <v>45801</v>
      </c>
      <c r="F1559" t="s">
        <v>749</v>
      </c>
      <c r="H1559">
        <v>99.53</v>
      </c>
      <c r="O1559" t="s">
        <v>239</v>
      </c>
      <c r="P1559" t="s">
        <v>514</v>
      </c>
      <c r="Y1559">
        <v>1525</v>
      </c>
      <c r="Z1559" s="259" t="s">
        <v>630</v>
      </c>
      <c r="AA1559">
        <v>80</v>
      </c>
      <c r="AB1559">
        <v>8008</v>
      </c>
      <c r="AC1559">
        <v>45800</v>
      </c>
      <c r="AD1559">
        <v>1</v>
      </c>
      <c r="AE1559">
        <v>7962.4</v>
      </c>
      <c r="AF1559">
        <v>7962.4</v>
      </c>
      <c r="AG1559">
        <v>0</v>
      </c>
      <c r="AH1559">
        <v>-45.600000000000364</v>
      </c>
    </row>
    <row r="1560" spans="2:34" x14ac:dyDescent="0.35">
      <c r="B1560" t="s">
        <v>565</v>
      </c>
      <c r="C1560">
        <v>45801</v>
      </c>
      <c r="F1560" t="s">
        <v>752</v>
      </c>
      <c r="H1560">
        <v>191.4</v>
      </c>
      <c r="O1560" t="s">
        <v>239</v>
      </c>
      <c r="P1560" t="s">
        <v>514</v>
      </c>
      <c r="Y1560">
        <v>1526</v>
      </c>
      <c r="Z1560" s="259" t="s">
        <v>630</v>
      </c>
      <c r="AA1560">
        <v>100</v>
      </c>
      <c r="AB1560">
        <v>20020</v>
      </c>
      <c r="AC1560">
        <v>45800</v>
      </c>
      <c r="AD1560">
        <v>1</v>
      </c>
      <c r="AE1560">
        <v>19140</v>
      </c>
      <c r="AF1560">
        <v>19140</v>
      </c>
      <c r="AG1560">
        <v>0</v>
      </c>
      <c r="AH1560">
        <v>-880</v>
      </c>
    </row>
    <row r="1561" spans="2:34" x14ac:dyDescent="0.35">
      <c r="B1561" t="s">
        <v>565</v>
      </c>
      <c r="C1561">
        <v>45801</v>
      </c>
      <c r="F1561" t="s">
        <v>754</v>
      </c>
      <c r="H1561">
        <v>83.4</v>
      </c>
      <c r="O1561" t="s">
        <v>239</v>
      </c>
      <c r="P1561" t="s">
        <v>514</v>
      </c>
      <c r="Y1561">
        <v>1527</v>
      </c>
      <c r="Z1561" s="259" t="s">
        <v>630</v>
      </c>
      <c r="AA1561">
        <v>50</v>
      </c>
      <c r="AB1561">
        <v>4104</v>
      </c>
      <c r="AC1561">
        <v>45800</v>
      </c>
      <c r="AD1561">
        <v>1</v>
      </c>
      <c r="AE1561">
        <v>4170</v>
      </c>
      <c r="AF1561">
        <v>4170</v>
      </c>
      <c r="AG1561">
        <v>0</v>
      </c>
      <c r="AH1561">
        <v>66</v>
      </c>
    </row>
    <row r="1562" spans="2:34" x14ac:dyDescent="0.35">
      <c r="B1562" t="s">
        <v>565</v>
      </c>
      <c r="C1562">
        <v>45802</v>
      </c>
      <c r="F1562" t="s">
        <v>749</v>
      </c>
      <c r="H1562">
        <v>99.53</v>
      </c>
      <c r="O1562" t="s">
        <v>239</v>
      </c>
      <c r="P1562" t="s">
        <v>514</v>
      </c>
      <c r="Y1562">
        <v>1528</v>
      </c>
      <c r="Z1562" s="259" t="s">
        <v>630</v>
      </c>
      <c r="AA1562">
        <v>80</v>
      </c>
      <c r="AB1562">
        <v>8008</v>
      </c>
      <c r="AC1562">
        <v>45800</v>
      </c>
      <c r="AD1562">
        <v>2</v>
      </c>
      <c r="AE1562">
        <v>7962.4</v>
      </c>
      <c r="AF1562">
        <v>7962.4</v>
      </c>
      <c r="AG1562">
        <v>0</v>
      </c>
      <c r="AH1562">
        <v>-45.600000000000364</v>
      </c>
    </row>
    <row r="1563" spans="2:34" x14ac:dyDescent="0.35">
      <c r="B1563" t="s">
        <v>565</v>
      </c>
      <c r="C1563">
        <v>45802</v>
      </c>
      <c r="F1563" t="s">
        <v>752</v>
      </c>
      <c r="H1563">
        <v>191.4</v>
      </c>
      <c r="O1563" t="s">
        <v>239</v>
      </c>
      <c r="P1563" t="s">
        <v>514</v>
      </c>
      <c r="Y1563">
        <v>1529</v>
      </c>
      <c r="Z1563" s="259" t="s">
        <v>630</v>
      </c>
      <c r="AA1563">
        <v>100</v>
      </c>
      <c r="AB1563">
        <v>20020</v>
      </c>
      <c r="AC1563">
        <v>45800</v>
      </c>
      <c r="AD1563">
        <v>2</v>
      </c>
      <c r="AE1563">
        <v>19140</v>
      </c>
      <c r="AF1563">
        <v>19140</v>
      </c>
      <c r="AG1563">
        <v>0</v>
      </c>
      <c r="AH1563">
        <v>-880</v>
      </c>
    </row>
    <row r="1564" spans="2:34" x14ac:dyDescent="0.35">
      <c r="B1564" t="s">
        <v>565</v>
      </c>
      <c r="C1564">
        <v>45802</v>
      </c>
      <c r="F1564" t="s">
        <v>754</v>
      </c>
      <c r="H1564">
        <v>83.4</v>
      </c>
      <c r="O1564" t="s">
        <v>239</v>
      </c>
      <c r="P1564" t="s">
        <v>514</v>
      </c>
      <c r="Y1564">
        <v>1530</v>
      </c>
      <c r="Z1564" s="259" t="s">
        <v>630</v>
      </c>
      <c r="AA1564">
        <v>50</v>
      </c>
      <c r="AB1564">
        <v>4104</v>
      </c>
      <c r="AC1564">
        <v>45800</v>
      </c>
      <c r="AD1564">
        <v>2</v>
      </c>
      <c r="AE1564">
        <v>4170</v>
      </c>
      <c r="AF1564">
        <v>4170</v>
      </c>
      <c r="AG1564">
        <v>0</v>
      </c>
      <c r="AH1564">
        <v>66</v>
      </c>
    </row>
    <row r="1565" spans="2:34" x14ac:dyDescent="0.35">
      <c r="B1565" t="s">
        <v>565</v>
      </c>
      <c r="C1565">
        <v>45803</v>
      </c>
      <c r="F1565" t="s">
        <v>749</v>
      </c>
      <c r="H1565">
        <v>99.33</v>
      </c>
      <c r="O1565" t="s">
        <v>239</v>
      </c>
      <c r="P1565" t="s">
        <v>514</v>
      </c>
      <c r="Y1565">
        <v>1531</v>
      </c>
      <c r="Z1565" s="259" t="s">
        <v>630</v>
      </c>
      <c r="AA1565">
        <v>80</v>
      </c>
      <c r="AB1565">
        <v>8008</v>
      </c>
      <c r="AC1565">
        <v>45803</v>
      </c>
      <c r="AD1565">
        <v>0</v>
      </c>
      <c r="AE1565">
        <v>7946.4</v>
      </c>
      <c r="AF1565">
        <v>7946.4</v>
      </c>
      <c r="AG1565">
        <v>0</v>
      </c>
      <c r="AH1565">
        <v>-61.600000000000364</v>
      </c>
    </row>
    <row r="1566" spans="2:34" x14ac:dyDescent="0.35">
      <c r="B1566" t="s">
        <v>565</v>
      </c>
      <c r="C1566">
        <v>45803</v>
      </c>
      <c r="F1566" t="s">
        <v>752</v>
      </c>
      <c r="H1566">
        <v>192</v>
      </c>
      <c r="O1566" t="s">
        <v>239</v>
      </c>
      <c r="P1566" t="s">
        <v>514</v>
      </c>
      <c r="Y1566">
        <v>1532</v>
      </c>
      <c r="Z1566" s="259" t="s">
        <v>630</v>
      </c>
      <c r="AA1566">
        <v>100</v>
      </c>
      <c r="AB1566">
        <v>20020</v>
      </c>
      <c r="AC1566">
        <v>45803</v>
      </c>
      <c r="AD1566">
        <v>0</v>
      </c>
      <c r="AE1566">
        <v>19200</v>
      </c>
      <c r="AF1566">
        <v>19200</v>
      </c>
      <c r="AG1566">
        <v>0</v>
      </c>
      <c r="AH1566">
        <v>-820</v>
      </c>
    </row>
    <row r="1567" spans="2:34" x14ac:dyDescent="0.35">
      <c r="B1567" t="s">
        <v>565</v>
      </c>
      <c r="C1567">
        <v>45803</v>
      </c>
      <c r="F1567" t="s">
        <v>754</v>
      </c>
      <c r="H1567">
        <v>84</v>
      </c>
      <c r="O1567" t="s">
        <v>239</v>
      </c>
      <c r="P1567" t="s">
        <v>514</v>
      </c>
      <c r="Y1567">
        <v>1533</v>
      </c>
      <c r="Z1567" s="259" t="s">
        <v>630</v>
      </c>
      <c r="AA1567">
        <v>50</v>
      </c>
      <c r="AB1567">
        <v>4104</v>
      </c>
      <c r="AC1567">
        <v>45803</v>
      </c>
      <c r="AD1567">
        <v>0</v>
      </c>
      <c r="AE1567">
        <v>4200</v>
      </c>
      <c r="AF1567">
        <v>4200</v>
      </c>
      <c r="AG1567">
        <v>0</v>
      </c>
      <c r="AH1567">
        <v>96</v>
      </c>
    </row>
    <row r="1568" spans="2:34" x14ac:dyDescent="0.35">
      <c r="B1568" t="s">
        <v>565</v>
      </c>
      <c r="C1568">
        <v>45804</v>
      </c>
      <c r="F1568" t="s">
        <v>749</v>
      </c>
      <c r="H1568">
        <v>99.27</v>
      </c>
      <c r="O1568" t="s">
        <v>239</v>
      </c>
      <c r="P1568" t="s">
        <v>514</v>
      </c>
      <c r="Y1568">
        <v>1534</v>
      </c>
      <c r="Z1568" s="259" t="s">
        <v>630</v>
      </c>
      <c r="AA1568">
        <v>80</v>
      </c>
      <c r="AB1568">
        <v>8008</v>
      </c>
      <c r="AC1568">
        <v>45804</v>
      </c>
      <c r="AD1568">
        <v>0</v>
      </c>
      <c r="AE1568">
        <v>7941.5999999999995</v>
      </c>
      <c r="AF1568">
        <v>7941.5999999999995</v>
      </c>
      <c r="AG1568">
        <v>0</v>
      </c>
      <c r="AH1568">
        <v>-66.400000000000546</v>
      </c>
    </row>
    <row r="1569" spans="2:34" x14ac:dyDescent="0.35">
      <c r="B1569" t="s">
        <v>565</v>
      </c>
      <c r="C1569">
        <v>45804</v>
      </c>
      <c r="F1569" t="s">
        <v>752</v>
      </c>
      <c r="H1569">
        <v>192.2</v>
      </c>
      <c r="O1569" t="s">
        <v>239</v>
      </c>
      <c r="P1569" t="s">
        <v>514</v>
      </c>
      <c r="Y1569">
        <v>1535</v>
      </c>
      <c r="Z1569" s="259" t="s">
        <v>630</v>
      </c>
      <c r="AA1569">
        <v>100</v>
      </c>
      <c r="AB1569">
        <v>20020</v>
      </c>
      <c r="AC1569">
        <v>45804</v>
      </c>
      <c r="AD1569">
        <v>0</v>
      </c>
      <c r="AE1569">
        <v>19220</v>
      </c>
      <c r="AF1569">
        <v>19220</v>
      </c>
      <c r="AG1569">
        <v>0</v>
      </c>
      <c r="AH1569">
        <v>-800</v>
      </c>
    </row>
    <row r="1570" spans="2:34" x14ac:dyDescent="0.35">
      <c r="B1570" t="s">
        <v>565</v>
      </c>
      <c r="C1570">
        <v>45804</v>
      </c>
      <c r="F1570" t="s">
        <v>754</v>
      </c>
      <c r="H1570">
        <v>84.2</v>
      </c>
      <c r="O1570" t="s">
        <v>239</v>
      </c>
      <c r="P1570" t="s">
        <v>514</v>
      </c>
      <c r="Y1570">
        <v>1536</v>
      </c>
      <c r="Z1570" s="259" t="s">
        <v>630</v>
      </c>
      <c r="AA1570">
        <v>50</v>
      </c>
      <c r="AB1570">
        <v>4104</v>
      </c>
      <c r="AC1570">
        <v>45804</v>
      </c>
      <c r="AD1570">
        <v>0</v>
      </c>
      <c r="AE1570">
        <v>4210</v>
      </c>
      <c r="AF1570">
        <v>4210</v>
      </c>
      <c r="AG1570">
        <v>0</v>
      </c>
      <c r="AH1570">
        <v>106</v>
      </c>
    </row>
    <row r="1571" spans="2:34" x14ac:dyDescent="0.35">
      <c r="B1571" t="s">
        <v>565</v>
      </c>
      <c r="C1571">
        <v>45805</v>
      </c>
      <c r="F1571" t="s">
        <v>749</v>
      </c>
      <c r="H1571">
        <v>99.2</v>
      </c>
      <c r="O1571" t="s">
        <v>239</v>
      </c>
      <c r="P1571" t="s">
        <v>514</v>
      </c>
      <c r="Y1571">
        <v>1537</v>
      </c>
      <c r="Z1571" s="259" t="s">
        <v>630</v>
      </c>
      <c r="AA1571">
        <v>80</v>
      </c>
      <c r="AB1571">
        <v>8008</v>
      </c>
      <c r="AC1571">
        <v>45805</v>
      </c>
      <c r="AD1571">
        <v>0</v>
      </c>
      <c r="AE1571">
        <v>7936</v>
      </c>
      <c r="AF1571">
        <v>7936</v>
      </c>
      <c r="AG1571">
        <v>0</v>
      </c>
      <c r="AH1571">
        <v>-72</v>
      </c>
    </row>
    <row r="1572" spans="2:34" x14ac:dyDescent="0.35">
      <c r="B1572" t="s">
        <v>565</v>
      </c>
      <c r="C1572">
        <v>45805</v>
      </c>
      <c r="F1572" t="s">
        <v>752</v>
      </c>
      <c r="H1572">
        <v>192.4</v>
      </c>
      <c r="O1572" t="s">
        <v>239</v>
      </c>
      <c r="P1572" t="s">
        <v>514</v>
      </c>
      <c r="Y1572">
        <v>1538</v>
      </c>
      <c r="Z1572" s="259" t="s">
        <v>630</v>
      </c>
      <c r="AA1572">
        <v>100</v>
      </c>
      <c r="AB1572">
        <v>20020</v>
      </c>
      <c r="AC1572">
        <v>45805</v>
      </c>
      <c r="AD1572">
        <v>0</v>
      </c>
      <c r="AE1572">
        <v>19240</v>
      </c>
      <c r="AF1572">
        <v>19240</v>
      </c>
      <c r="AG1572">
        <v>0</v>
      </c>
      <c r="AH1572">
        <v>-780</v>
      </c>
    </row>
    <row r="1573" spans="2:34" x14ac:dyDescent="0.35">
      <c r="B1573" t="s">
        <v>565</v>
      </c>
      <c r="C1573">
        <v>45805</v>
      </c>
      <c r="F1573" t="s">
        <v>754</v>
      </c>
      <c r="H1573">
        <v>84.4</v>
      </c>
      <c r="O1573" t="s">
        <v>239</v>
      </c>
      <c r="P1573" t="s">
        <v>514</v>
      </c>
      <c r="Y1573">
        <v>1539</v>
      </c>
      <c r="Z1573" s="259" t="s">
        <v>630</v>
      </c>
      <c r="AA1573">
        <v>50</v>
      </c>
      <c r="AB1573">
        <v>4104</v>
      </c>
      <c r="AC1573">
        <v>45805</v>
      </c>
      <c r="AD1573">
        <v>0</v>
      </c>
      <c r="AE1573">
        <v>4220</v>
      </c>
      <c r="AF1573">
        <v>4220</v>
      </c>
      <c r="AG1573">
        <v>0</v>
      </c>
      <c r="AH1573">
        <v>116</v>
      </c>
    </row>
    <row r="1574" spans="2:34" x14ac:dyDescent="0.35">
      <c r="B1574" t="s">
        <v>565</v>
      </c>
      <c r="C1574">
        <v>45806</v>
      </c>
      <c r="F1574" t="s">
        <v>749</v>
      </c>
      <c r="H1574">
        <v>99.13</v>
      </c>
      <c r="O1574" t="s">
        <v>239</v>
      </c>
      <c r="P1574" t="s">
        <v>514</v>
      </c>
      <c r="Y1574">
        <v>1540</v>
      </c>
      <c r="Z1574" s="259" t="s">
        <v>630</v>
      </c>
      <c r="AA1574">
        <v>80</v>
      </c>
      <c r="AB1574">
        <v>8008</v>
      </c>
      <c r="AC1574">
        <v>45806</v>
      </c>
      <c r="AD1574">
        <v>0</v>
      </c>
      <c r="AE1574">
        <v>7930.4</v>
      </c>
      <c r="AF1574">
        <v>7930.4</v>
      </c>
      <c r="AG1574">
        <v>0</v>
      </c>
      <c r="AH1574">
        <v>-77.600000000000364</v>
      </c>
    </row>
    <row r="1575" spans="2:34" x14ac:dyDescent="0.35">
      <c r="B1575" t="s">
        <v>565</v>
      </c>
      <c r="C1575">
        <v>45806</v>
      </c>
      <c r="F1575" t="s">
        <v>752</v>
      </c>
      <c r="H1575">
        <v>192.6</v>
      </c>
      <c r="O1575" t="s">
        <v>239</v>
      </c>
      <c r="P1575" t="s">
        <v>514</v>
      </c>
      <c r="Y1575">
        <v>1541</v>
      </c>
      <c r="Z1575" s="259" t="s">
        <v>630</v>
      </c>
      <c r="AA1575">
        <v>100</v>
      </c>
      <c r="AB1575">
        <v>20020</v>
      </c>
      <c r="AC1575">
        <v>45806</v>
      </c>
      <c r="AD1575">
        <v>0</v>
      </c>
      <c r="AE1575">
        <v>19260</v>
      </c>
      <c r="AF1575">
        <v>19260</v>
      </c>
      <c r="AG1575">
        <v>0</v>
      </c>
      <c r="AH1575">
        <v>-760</v>
      </c>
    </row>
    <row r="1576" spans="2:34" x14ac:dyDescent="0.35">
      <c r="B1576" t="s">
        <v>565</v>
      </c>
      <c r="C1576">
        <v>45806</v>
      </c>
      <c r="F1576" t="s">
        <v>754</v>
      </c>
      <c r="H1576">
        <v>84.6</v>
      </c>
      <c r="O1576" t="s">
        <v>239</v>
      </c>
      <c r="P1576" t="s">
        <v>514</v>
      </c>
      <c r="Y1576">
        <v>1542</v>
      </c>
      <c r="Z1576" s="259" t="s">
        <v>630</v>
      </c>
      <c r="AA1576">
        <v>50</v>
      </c>
      <c r="AB1576">
        <v>4104</v>
      </c>
      <c r="AC1576">
        <v>45806</v>
      </c>
      <c r="AD1576">
        <v>0</v>
      </c>
      <c r="AE1576">
        <v>4230</v>
      </c>
      <c r="AF1576">
        <v>4230</v>
      </c>
      <c r="AG1576">
        <v>0</v>
      </c>
      <c r="AH1576">
        <v>126</v>
      </c>
    </row>
    <row r="1577" spans="2:34" x14ac:dyDescent="0.35">
      <c r="B1577" t="s">
        <v>565</v>
      </c>
      <c r="C1577">
        <v>45807</v>
      </c>
      <c r="F1577" t="s">
        <v>749</v>
      </c>
      <c r="H1577">
        <v>99.07</v>
      </c>
      <c r="O1577" t="s">
        <v>239</v>
      </c>
      <c r="P1577" t="s">
        <v>514</v>
      </c>
      <c r="Y1577">
        <v>1543</v>
      </c>
      <c r="Z1577" s="259" t="s">
        <v>630</v>
      </c>
      <c r="AA1577">
        <v>80</v>
      </c>
      <c r="AB1577">
        <v>8008</v>
      </c>
      <c r="AC1577">
        <v>45807</v>
      </c>
      <c r="AD1577">
        <v>0</v>
      </c>
      <c r="AE1577">
        <v>7925.5999999999995</v>
      </c>
      <c r="AF1577">
        <v>7925.5999999999995</v>
      </c>
      <c r="AG1577">
        <v>0</v>
      </c>
      <c r="AH1577">
        <v>-82.400000000000546</v>
      </c>
    </row>
    <row r="1578" spans="2:34" x14ac:dyDescent="0.35">
      <c r="B1578" t="s">
        <v>565</v>
      </c>
      <c r="C1578">
        <v>45807</v>
      </c>
      <c r="F1578" t="s">
        <v>752</v>
      </c>
      <c r="H1578">
        <v>192.8</v>
      </c>
      <c r="O1578" t="s">
        <v>239</v>
      </c>
      <c r="P1578" t="s">
        <v>514</v>
      </c>
      <c r="Y1578">
        <v>1544</v>
      </c>
      <c r="Z1578" s="259" t="s">
        <v>630</v>
      </c>
      <c r="AA1578">
        <v>100</v>
      </c>
      <c r="AB1578">
        <v>20020</v>
      </c>
      <c r="AC1578">
        <v>45807</v>
      </c>
      <c r="AD1578">
        <v>0</v>
      </c>
      <c r="AE1578">
        <v>19280</v>
      </c>
      <c r="AF1578">
        <v>19280</v>
      </c>
      <c r="AG1578">
        <v>0</v>
      </c>
      <c r="AH1578">
        <v>-740</v>
      </c>
    </row>
    <row r="1579" spans="2:34" x14ac:dyDescent="0.35">
      <c r="B1579" t="s">
        <v>565</v>
      </c>
      <c r="C1579">
        <v>45807</v>
      </c>
      <c r="F1579" t="s">
        <v>754</v>
      </c>
      <c r="H1579">
        <v>84.8</v>
      </c>
      <c r="O1579" t="s">
        <v>239</v>
      </c>
      <c r="P1579" t="s">
        <v>514</v>
      </c>
      <c r="Y1579">
        <v>1545</v>
      </c>
      <c r="Z1579" s="259" t="s">
        <v>630</v>
      </c>
      <c r="AA1579">
        <v>50</v>
      </c>
      <c r="AB1579">
        <v>4104</v>
      </c>
      <c r="AC1579">
        <v>45807</v>
      </c>
      <c r="AD1579">
        <v>0</v>
      </c>
      <c r="AE1579">
        <v>4240</v>
      </c>
      <c r="AF1579">
        <v>4240</v>
      </c>
      <c r="AG1579">
        <v>0</v>
      </c>
      <c r="AH1579">
        <v>136</v>
      </c>
    </row>
    <row r="1580" spans="2:34" x14ac:dyDescent="0.35">
      <c r="B1580" t="s">
        <v>565</v>
      </c>
      <c r="C1580">
        <v>45808</v>
      </c>
      <c r="F1580" t="s">
        <v>749</v>
      </c>
      <c r="H1580">
        <v>99.07</v>
      </c>
      <c r="O1580" t="s">
        <v>239</v>
      </c>
      <c r="P1580" t="s">
        <v>514</v>
      </c>
      <c r="Y1580">
        <v>1546</v>
      </c>
      <c r="Z1580" s="259" t="s">
        <v>630</v>
      </c>
      <c r="AA1580">
        <v>80</v>
      </c>
      <c r="AB1580">
        <v>8008</v>
      </c>
      <c r="AC1580">
        <v>45807</v>
      </c>
      <c r="AD1580">
        <v>1</v>
      </c>
      <c r="AE1580">
        <v>7925.5999999999995</v>
      </c>
      <c r="AF1580">
        <v>7925.5999999999995</v>
      </c>
      <c r="AG1580">
        <v>0</v>
      </c>
      <c r="AH1580">
        <v>-82.400000000000546</v>
      </c>
    </row>
    <row r="1581" spans="2:34" x14ac:dyDescent="0.35">
      <c r="B1581" t="s">
        <v>565</v>
      </c>
      <c r="C1581">
        <v>45808</v>
      </c>
      <c r="F1581" t="s">
        <v>752</v>
      </c>
      <c r="H1581">
        <v>192.8</v>
      </c>
      <c r="O1581" t="s">
        <v>239</v>
      </c>
      <c r="P1581" t="s">
        <v>514</v>
      </c>
      <c r="Y1581">
        <v>1547</v>
      </c>
      <c r="Z1581" s="259" t="s">
        <v>630</v>
      </c>
      <c r="AA1581">
        <v>100</v>
      </c>
      <c r="AB1581">
        <v>20020</v>
      </c>
      <c r="AC1581">
        <v>45807</v>
      </c>
      <c r="AD1581">
        <v>1</v>
      </c>
      <c r="AE1581">
        <v>19280</v>
      </c>
      <c r="AF1581">
        <v>19280</v>
      </c>
      <c r="AG1581">
        <v>0</v>
      </c>
      <c r="AH1581">
        <v>-740</v>
      </c>
    </row>
    <row r="1582" spans="2:34" x14ac:dyDescent="0.35">
      <c r="B1582" t="s">
        <v>565</v>
      </c>
      <c r="C1582">
        <v>45808</v>
      </c>
      <c r="F1582" t="s">
        <v>754</v>
      </c>
      <c r="H1582">
        <v>84.8</v>
      </c>
      <c r="O1582" t="s">
        <v>239</v>
      </c>
      <c r="P1582" t="s">
        <v>514</v>
      </c>
      <c r="Y1582">
        <v>1548</v>
      </c>
      <c r="Z1582" s="259" t="s">
        <v>630</v>
      </c>
      <c r="AA1582">
        <v>50</v>
      </c>
      <c r="AB1582">
        <v>4104</v>
      </c>
      <c r="AC1582">
        <v>45807</v>
      </c>
      <c r="AD1582">
        <v>1</v>
      </c>
      <c r="AE1582">
        <v>4240</v>
      </c>
      <c r="AF1582">
        <v>4240</v>
      </c>
      <c r="AG1582">
        <v>0</v>
      </c>
      <c r="AH1582">
        <v>136</v>
      </c>
    </row>
    <row r="1583" spans="2:34" x14ac:dyDescent="0.35">
      <c r="B1583" t="s">
        <v>565</v>
      </c>
      <c r="C1583">
        <v>45809</v>
      </c>
      <c r="F1583" t="s">
        <v>749</v>
      </c>
      <c r="H1583">
        <v>99.07</v>
      </c>
      <c r="O1583" t="s">
        <v>239</v>
      </c>
      <c r="P1583" t="s">
        <v>514</v>
      </c>
      <c r="Y1583">
        <v>1549</v>
      </c>
      <c r="Z1583" s="259" t="s">
        <v>630</v>
      </c>
      <c r="AA1583">
        <v>80</v>
      </c>
      <c r="AB1583">
        <v>8008</v>
      </c>
      <c r="AC1583">
        <v>45807</v>
      </c>
      <c r="AD1583">
        <v>2</v>
      </c>
      <c r="AE1583">
        <v>7925.5999999999995</v>
      </c>
      <c r="AF1583">
        <v>7925.5999999999995</v>
      </c>
      <c r="AG1583">
        <v>0</v>
      </c>
      <c r="AH1583">
        <v>-82.400000000000546</v>
      </c>
    </row>
    <row r="1584" spans="2:34" x14ac:dyDescent="0.35">
      <c r="B1584" t="s">
        <v>565</v>
      </c>
      <c r="C1584">
        <v>45809</v>
      </c>
      <c r="F1584" t="s">
        <v>752</v>
      </c>
      <c r="H1584">
        <v>192.8</v>
      </c>
      <c r="O1584" t="s">
        <v>239</v>
      </c>
      <c r="P1584" t="s">
        <v>514</v>
      </c>
      <c r="Y1584">
        <v>1550</v>
      </c>
      <c r="Z1584" s="259" t="s">
        <v>630</v>
      </c>
      <c r="AA1584">
        <v>100</v>
      </c>
      <c r="AB1584">
        <v>20020</v>
      </c>
      <c r="AC1584">
        <v>45807</v>
      </c>
      <c r="AD1584">
        <v>2</v>
      </c>
      <c r="AE1584">
        <v>19280</v>
      </c>
      <c r="AF1584">
        <v>19280</v>
      </c>
      <c r="AG1584">
        <v>0</v>
      </c>
      <c r="AH1584">
        <v>-740</v>
      </c>
    </row>
    <row r="1585" spans="2:34" x14ac:dyDescent="0.35">
      <c r="B1585" t="s">
        <v>565</v>
      </c>
      <c r="C1585">
        <v>45809</v>
      </c>
      <c r="F1585" t="s">
        <v>754</v>
      </c>
      <c r="H1585">
        <v>84.8</v>
      </c>
      <c r="O1585" t="s">
        <v>239</v>
      </c>
      <c r="P1585" t="s">
        <v>514</v>
      </c>
      <c r="Y1585">
        <v>1551</v>
      </c>
      <c r="Z1585" s="259" t="s">
        <v>630</v>
      </c>
      <c r="AA1585">
        <v>50</v>
      </c>
      <c r="AB1585">
        <v>4104</v>
      </c>
      <c r="AC1585">
        <v>45807</v>
      </c>
      <c r="AD1585">
        <v>2</v>
      </c>
      <c r="AE1585">
        <v>4240</v>
      </c>
      <c r="AF1585">
        <v>4240</v>
      </c>
      <c r="AG1585">
        <v>0</v>
      </c>
      <c r="AH1585">
        <v>136</v>
      </c>
    </row>
    <row r="1586" spans="2:34" x14ac:dyDescent="0.35">
      <c r="B1586" t="s">
        <v>565</v>
      </c>
      <c r="C1586">
        <v>45810</v>
      </c>
      <c r="F1586" t="s">
        <v>749</v>
      </c>
      <c r="H1586">
        <v>99.41</v>
      </c>
      <c r="O1586" t="s">
        <v>239</v>
      </c>
      <c r="P1586" t="s">
        <v>514</v>
      </c>
      <c r="Y1586">
        <v>1552</v>
      </c>
      <c r="Z1586" s="259" t="s">
        <v>630</v>
      </c>
      <c r="AA1586">
        <v>80</v>
      </c>
      <c r="AB1586">
        <v>8008</v>
      </c>
      <c r="AC1586">
        <v>45810</v>
      </c>
      <c r="AD1586">
        <v>0</v>
      </c>
      <c r="AE1586">
        <v>7952.7999999999993</v>
      </c>
      <c r="AF1586">
        <v>7952.7999999999993</v>
      </c>
      <c r="AG1586">
        <v>0</v>
      </c>
      <c r="AH1586">
        <v>-55.200000000000728</v>
      </c>
    </row>
    <row r="1587" spans="2:34" x14ac:dyDescent="0.35">
      <c r="B1587" t="s">
        <v>565</v>
      </c>
      <c r="C1587">
        <v>45810</v>
      </c>
      <c r="F1587" t="s">
        <v>752</v>
      </c>
      <c r="H1587">
        <v>192.62</v>
      </c>
      <c r="O1587" t="s">
        <v>239</v>
      </c>
      <c r="P1587" t="s">
        <v>514</v>
      </c>
      <c r="Y1587">
        <v>1553</v>
      </c>
      <c r="Z1587" s="259" t="s">
        <v>630</v>
      </c>
      <c r="AA1587">
        <v>100</v>
      </c>
      <c r="AB1587">
        <v>20020</v>
      </c>
      <c r="AC1587">
        <v>45810</v>
      </c>
      <c r="AD1587">
        <v>0</v>
      </c>
      <c r="AE1587">
        <v>19262</v>
      </c>
      <c r="AF1587">
        <v>19262</v>
      </c>
      <c r="AG1587">
        <v>0</v>
      </c>
      <c r="AH1587">
        <v>-758</v>
      </c>
    </row>
    <row r="1588" spans="2:34" x14ac:dyDescent="0.35">
      <c r="B1588" t="s">
        <v>565</v>
      </c>
      <c r="C1588">
        <v>45810</v>
      </c>
      <c r="F1588" t="s">
        <v>754</v>
      </c>
      <c r="H1588">
        <v>84.86</v>
      </c>
      <c r="O1588" t="s">
        <v>239</v>
      </c>
      <c r="P1588" t="s">
        <v>514</v>
      </c>
      <c r="Y1588">
        <v>1554</v>
      </c>
      <c r="Z1588" s="259" t="s">
        <v>630</v>
      </c>
      <c r="AA1588">
        <v>50</v>
      </c>
      <c r="AB1588">
        <v>4104</v>
      </c>
      <c r="AC1588">
        <v>45810</v>
      </c>
      <c r="AD1588">
        <v>0</v>
      </c>
      <c r="AE1588">
        <v>4243</v>
      </c>
      <c r="AF1588">
        <v>4243</v>
      </c>
      <c r="AG1588">
        <v>0</v>
      </c>
      <c r="AH1588">
        <v>139</v>
      </c>
    </row>
    <row r="1589" spans="2:34" x14ac:dyDescent="0.35">
      <c r="B1589" t="s">
        <v>565</v>
      </c>
      <c r="C1589">
        <v>45811</v>
      </c>
      <c r="F1589" t="s">
        <v>749</v>
      </c>
      <c r="H1589">
        <v>99.83</v>
      </c>
      <c r="O1589" t="s">
        <v>239</v>
      </c>
      <c r="P1589" t="s">
        <v>514</v>
      </c>
      <c r="Y1589">
        <v>1555</v>
      </c>
      <c r="Z1589" s="259" t="s">
        <v>630</v>
      </c>
      <c r="AA1589">
        <v>80</v>
      </c>
      <c r="AB1589">
        <v>8008</v>
      </c>
      <c r="AC1589">
        <v>45811</v>
      </c>
      <c r="AD1589">
        <v>0</v>
      </c>
      <c r="AE1589">
        <v>7986.4</v>
      </c>
      <c r="AF1589">
        <v>7986.4</v>
      </c>
      <c r="AG1589">
        <v>0</v>
      </c>
      <c r="AH1589">
        <v>-21.600000000000364</v>
      </c>
    </row>
    <row r="1590" spans="2:34" x14ac:dyDescent="0.35">
      <c r="B1590" t="s">
        <v>565</v>
      </c>
      <c r="C1590">
        <v>45811</v>
      </c>
      <c r="F1590" t="s">
        <v>752</v>
      </c>
      <c r="H1590">
        <v>192.24</v>
      </c>
      <c r="O1590" t="s">
        <v>239</v>
      </c>
      <c r="P1590" t="s">
        <v>514</v>
      </c>
      <c r="Y1590">
        <v>1556</v>
      </c>
      <c r="Z1590" s="259" t="s">
        <v>630</v>
      </c>
      <c r="AA1590">
        <v>100</v>
      </c>
      <c r="AB1590">
        <v>20020</v>
      </c>
      <c r="AC1590">
        <v>45811</v>
      </c>
      <c r="AD1590">
        <v>0</v>
      </c>
      <c r="AE1590">
        <v>19224</v>
      </c>
      <c r="AF1590">
        <v>19224</v>
      </c>
      <c r="AG1590">
        <v>0</v>
      </c>
      <c r="AH1590">
        <v>-796</v>
      </c>
    </row>
    <row r="1591" spans="2:34" x14ac:dyDescent="0.35">
      <c r="B1591" t="s">
        <v>565</v>
      </c>
      <c r="C1591">
        <v>45811</v>
      </c>
      <c r="F1591" t="s">
        <v>754</v>
      </c>
      <c r="H1591">
        <v>84.72</v>
      </c>
      <c r="O1591" t="s">
        <v>239</v>
      </c>
      <c r="P1591" t="s">
        <v>514</v>
      </c>
      <c r="Y1591">
        <v>1557</v>
      </c>
      <c r="Z1591" s="259" t="s">
        <v>630</v>
      </c>
      <c r="AA1591">
        <v>50</v>
      </c>
      <c r="AB1591">
        <v>4104</v>
      </c>
      <c r="AC1591">
        <v>45811</v>
      </c>
      <c r="AD1591">
        <v>0</v>
      </c>
      <c r="AE1591">
        <v>4236</v>
      </c>
      <c r="AF1591">
        <v>4236</v>
      </c>
      <c r="AG1591">
        <v>0</v>
      </c>
      <c r="AH1591">
        <v>132</v>
      </c>
    </row>
    <row r="1592" spans="2:34" x14ac:dyDescent="0.35">
      <c r="B1592" t="s">
        <v>565</v>
      </c>
      <c r="C1592">
        <v>45812</v>
      </c>
      <c r="F1592" t="s">
        <v>749</v>
      </c>
      <c r="H1592">
        <v>100.24</v>
      </c>
      <c r="O1592" t="s">
        <v>239</v>
      </c>
      <c r="P1592" t="s">
        <v>514</v>
      </c>
      <c r="Y1592">
        <v>1558</v>
      </c>
      <c r="Z1592" s="259" t="s">
        <v>630</v>
      </c>
      <c r="AA1592">
        <v>80</v>
      </c>
      <c r="AB1592">
        <v>8008</v>
      </c>
      <c r="AC1592">
        <v>45812</v>
      </c>
      <c r="AD1592">
        <v>0</v>
      </c>
      <c r="AE1592">
        <v>8019.2</v>
      </c>
      <c r="AF1592">
        <v>8019.2</v>
      </c>
      <c r="AG1592">
        <v>0</v>
      </c>
      <c r="AH1592">
        <v>11.199999999999818</v>
      </c>
    </row>
    <row r="1593" spans="2:34" x14ac:dyDescent="0.35">
      <c r="B1593" t="s">
        <v>565</v>
      </c>
      <c r="C1593">
        <v>45812</v>
      </c>
      <c r="F1593" t="s">
        <v>752</v>
      </c>
      <c r="H1593">
        <v>191.86</v>
      </c>
      <c r="O1593" t="s">
        <v>239</v>
      </c>
      <c r="P1593" t="s">
        <v>514</v>
      </c>
      <c r="Y1593">
        <v>1559</v>
      </c>
      <c r="Z1593" s="259" t="s">
        <v>630</v>
      </c>
      <c r="AA1593">
        <v>100</v>
      </c>
      <c r="AB1593">
        <v>20020</v>
      </c>
      <c r="AC1593">
        <v>45812</v>
      </c>
      <c r="AD1593">
        <v>0</v>
      </c>
      <c r="AE1593">
        <v>19186</v>
      </c>
      <c r="AF1593">
        <v>19186</v>
      </c>
      <c r="AG1593">
        <v>0</v>
      </c>
      <c r="AH1593">
        <v>-834</v>
      </c>
    </row>
    <row r="1594" spans="2:34" x14ac:dyDescent="0.35">
      <c r="B1594" t="s">
        <v>565</v>
      </c>
      <c r="C1594">
        <v>45812</v>
      </c>
      <c r="F1594" t="s">
        <v>754</v>
      </c>
      <c r="H1594">
        <v>84.59</v>
      </c>
      <c r="O1594" t="s">
        <v>239</v>
      </c>
      <c r="P1594" t="s">
        <v>514</v>
      </c>
      <c r="Y1594">
        <v>1560</v>
      </c>
      <c r="Z1594" s="259" t="s">
        <v>630</v>
      </c>
      <c r="AA1594">
        <v>50</v>
      </c>
      <c r="AB1594">
        <v>4104</v>
      </c>
      <c r="AC1594">
        <v>45812</v>
      </c>
      <c r="AD1594">
        <v>0</v>
      </c>
      <c r="AE1594">
        <v>4229.5</v>
      </c>
      <c r="AF1594">
        <v>4229.5</v>
      </c>
      <c r="AG1594">
        <v>0</v>
      </c>
      <c r="AH1594">
        <v>125.5</v>
      </c>
    </row>
    <row r="1595" spans="2:34" x14ac:dyDescent="0.35">
      <c r="B1595" t="s">
        <v>565</v>
      </c>
      <c r="C1595">
        <v>45813</v>
      </c>
      <c r="F1595" t="s">
        <v>749</v>
      </c>
      <c r="H1595">
        <v>100.66</v>
      </c>
      <c r="O1595" t="s">
        <v>239</v>
      </c>
      <c r="P1595" t="s">
        <v>514</v>
      </c>
      <c r="Y1595">
        <v>1561</v>
      </c>
      <c r="Z1595" s="259" t="s">
        <v>630</v>
      </c>
      <c r="AA1595">
        <v>80</v>
      </c>
      <c r="AB1595">
        <v>8008</v>
      </c>
      <c r="AC1595">
        <v>45813</v>
      </c>
      <c r="AD1595">
        <v>0</v>
      </c>
      <c r="AE1595">
        <v>8052.7999999999993</v>
      </c>
      <c r="AF1595">
        <v>8052.7999999999993</v>
      </c>
      <c r="AG1595">
        <v>0</v>
      </c>
      <c r="AH1595">
        <v>44.799999999999272</v>
      </c>
    </row>
    <row r="1596" spans="2:34" x14ac:dyDescent="0.35">
      <c r="B1596" t="s">
        <v>565</v>
      </c>
      <c r="C1596">
        <v>45813</v>
      </c>
      <c r="F1596" t="s">
        <v>752</v>
      </c>
      <c r="H1596">
        <v>191.48</v>
      </c>
      <c r="O1596" t="s">
        <v>239</v>
      </c>
      <c r="P1596" t="s">
        <v>514</v>
      </c>
      <c r="Y1596">
        <v>1562</v>
      </c>
      <c r="Z1596" s="259" t="s">
        <v>630</v>
      </c>
      <c r="AA1596">
        <v>100</v>
      </c>
      <c r="AB1596">
        <v>20020</v>
      </c>
      <c r="AC1596">
        <v>45813</v>
      </c>
      <c r="AD1596">
        <v>0</v>
      </c>
      <c r="AE1596">
        <v>19148</v>
      </c>
      <c r="AF1596">
        <v>19148</v>
      </c>
      <c r="AG1596">
        <v>0</v>
      </c>
      <c r="AH1596">
        <v>-872</v>
      </c>
    </row>
    <row r="1597" spans="2:34" x14ac:dyDescent="0.35">
      <c r="B1597" t="s">
        <v>565</v>
      </c>
      <c r="C1597">
        <v>45813</v>
      </c>
      <c r="F1597" t="s">
        <v>754</v>
      </c>
      <c r="H1597">
        <v>84.45</v>
      </c>
      <c r="O1597" t="s">
        <v>239</v>
      </c>
      <c r="P1597" t="s">
        <v>514</v>
      </c>
      <c r="Y1597">
        <v>1563</v>
      </c>
      <c r="Z1597" s="259" t="s">
        <v>630</v>
      </c>
      <c r="AA1597">
        <v>50</v>
      </c>
      <c r="AB1597">
        <v>4104</v>
      </c>
      <c r="AC1597">
        <v>45813</v>
      </c>
      <c r="AD1597">
        <v>0</v>
      </c>
      <c r="AE1597">
        <v>4222.5</v>
      </c>
      <c r="AF1597">
        <v>4222.5</v>
      </c>
      <c r="AG1597">
        <v>0</v>
      </c>
      <c r="AH1597">
        <v>118.5</v>
      </c>
    </row>
    <row r="1598" spans="2:34" x14ac:dyDescent="0.35">
      <c r="B1598" t="s">
        <v>565</v>
      </c>
      <c r="C1598">
        <v>45814</v>
      </c>
      <c r="F1598" t="s">
        <v>749</v>
      </c>
      <c r="H1598">
        <v>101.07</v>
      </c>
      <c r="O1598" t="s">
        <v>239</v>
      </c>
      <c r="P1598" t="s">
        <v>514</v>
      </c>
      <c r="Y1598">
        <v>1564</v>
      </c>
      <c r="Z1598" s="259" t="s">
        <v>630</v>
      </c>
      <c r="AA1598">
        <v>80</v>
      </c>
      <c r="AB1598">
        <v>8008</v>
      </c>
      <c r="AC1598">
        <v>45814</v>
      </c>
      <c r="AD1598">
        <v>0</v>
      </c>
      <c r="AE1598">
        <v>8085.5999999999995</v>
      </c>
      <c r="AF1598">
        <v>8085.5999999999995</v>
      </c>
      <c r="AG1598">
        <v>0</v>
      </c>
      <c r="AH1598">
        <v>77.599999999999454</v>
      </c>
    </row>
    <row r="1599" spans="2:34" x14ac:dyDescent="0.35">
      <c r="B1599" t="s">
        <v>565</v>
      </c>
      <c r="C1599">
        <v>45814</v>
      </c>
      <c r="F1599" t="s">
        <v>752</v>
      </c>
      <c r="H1599">
        <v>191.1</v>
      </c>
      <c r="O1599" t="s">
        <v>239</v>
      </c>
      <c r="P1599" t="s">
        <v>514</v>
      </c>
      <c r="Y1599">
        <v>1565</v>
      </c>
      <c r="Z1599" s="259" t="s">
        <v>630</v>
      </c>
      <c r="AA1599">
        <v>100</v>
      </c>
      <c r="AB1599">
        <v>20020</v>
      </c>
      <c r="AC1599">
        <v>45814</v>
      </c>
      <c r="AD1599">
        <v>0</v>
      </c>
      <c r="AE1599">
        <v>19110</v>
      </c>
      <c r="AF1599">
        <v>19110</v>
      </c>
      <c r="AG1599">
        <v>0</v>
      </c>
      <c r="AH1599">
        <v>-910</v>
      </c>
    </row>
    <row r="1600" spans="2:34" x14ac:dyDescent="0.35">
      <c r="B1600" t="s">
        <v>565</v>
      </c>
      <c r="C1600">
        <v>45814</v>
      </c>
      <c r="F1600" t="s">
        <v>754</v>
      </c>
      <c r="H1600">
        <v>84.31</v>
      </c>
      <c r="O1600" t="s">
        <v>239</v>
      </c>
      <c r="P1600" t="s">
        <v>514</v>
      </c>
      <c r="Y1600">
        <v>1566</v>
      </c>
      <c r="Z1600" s="259" t="s">
        <v>630</v>
      </c>
      <c r="AA1600">
        <v>50</v>
      </c>
      <c r="AB1600">
        <v>4104</v>
      </c>
      <c r="AC1600">
        <v>45814</v>
      </c>
      <c r="AD1600">
        <v>0</v>
      </c>
      <c r="AE1600">
        <v>4215.5</v>
      </c>
      <c r="AF1600">
        <v>4215.5</v>
      </c>
      <c r="AG1600">
        <v>0</v>
      </c>
      <c r="AH1600">
        <v>111.5</v>
      </c>
    </row>
    <row r="1601" spans="2:34" x14ac:dyDescent="0.35">
      <c r="B1601" t="s">
        <v>565</v>
      </c>
      <c r="C1601">
        <v>45815</v>
      </c>
      <c r="F1601" t="s">
        <v>749</v>
      </c>
      <c r="H1601">
        <v>101.07</v>
      </c>
      <c r="O1601" t="s">
        <v>239</v>
      </c>
      <c r="P1601" t="s">
        <v>514</v>
      </c>
      <c r="Y1601">
        <v>1567</v>
      </c>
      <c r="Z1601" s="259" t="s">
        <v>630</v>
      </c>
      <c r="AA1601">
        <v>80</v>
      </c>
      <c r="AB1601">
        <v>8008</v>
      </c>
      <c r="AC1601">
        <v>45814</v>
      </c>
      <c r="AD1601">
        <v>1</v>
      </c>
      <c r="AE1601">
        <v>8085.5999999999995</v>
      </c>
      <c r="AF1601">
        <v>8085.5999999999995</v>
      </c>
      <c r="AG1601">
        <v>0</v>
      </c>
      <c r="AH1601">
        <v>77.599999999999454</v>
      </c>
    </row>
    <row r="1602" spans="2:34" x14ac:dyDescent="0.35">
      <c r="B1602" t="s">
        <v>565</v>
      </c>
      <c r="C1602">
        <v>45815</v>
      </c>
      <c r="F1602" t="s">
        <v>752</v>
      </c>
      <c r="H1602">
        <v>191.1</v>
      </c>
      <c r="O1602" t="s">
        <v>239</v>
      </c>
      <c r="P1602" t="s">
        <v>514</v>
      </c>
      <c r="Y1602">
        <v>1568</v>
      </c>
      <c r="Z1602" s="259" t="s">
        <v>630</v>
      </c>
      <c r="AA1602">
        <v>100</v>
      </c>
      <c r="AB1602">
        <v>20020</v>
      </c>
      <c r="AC1602">
        <v>45814</v>
      </c>
      <c r="AD1602">
        <v>1</v>
      </c>
      <c r="AE1602">
        <v>19110</v>
      </c>
      <c r="AF1602">
        <v>19110</v>
      </c>
      <c r="AG1602">
        <v>0</v>
      </c>
      <c r="AH1602">
        <v>-910</v>
      </c>
    </row>
    <row r="1603" spans="2:34" x14ac:dyDescent="0.35">
      <c r="B1603" t="s">
        <v>565</v>
      </c>
      <c r="C1603">
        <v>45815</v>
      </c>
      <c r="F1603" t="s">
        <v>754</v>
      </c>
      <c r="H1603">
        <v>84.31</v>
      </c>
      <c r="O1603" t="s">
        <v>239</v>
      </c>
      <c r="P1603" t="s">
        <v>514</v>
      </c>
      <c r="Y1603">
        <v>1569</v>
      </c>
      <c r="Z1603" s="259" t="s">
        <v>630</v>
      </c>
      <c r="AA1603">
        <v>50</v>
      </c>
      <c r="AB1603">
        <v>4104</v>
      </c>
      <c r="AC1603">
        <v>45814</v>
      </c>
      <c r="AD1603">
        <v>1</v>
      </c>
      <c r="AE1603">
        <v>4215.5</v>
      </c>
      <c r="AF1603">
        <v>4215.5</v>
      </c>
      <c r="AG1603">
        <v>0</v>
      </c>
      <c r="AH1603">
        <v>111.5</v>
      </c>
    </row>
    <row r="1604" spans="2:34" x14ac:dyDescent="0.35">
      <c r="B1604" t="s">
        <v>565</v>
      </c>
      <c r="C1604">
        <v>45816</v>
      </c>
      <c r="F1604" t="s">
        <v>749</v>
      </c>
      <c r="H1604">
        <v>101.07</v>
      </c>
      <c r="O1604" t="s">
        <v>239</v>
      </c>
      <c r="P1604" t="s">
        <v>514</v>
      </c>
      <c r="Y1604">
        <v>1570</v>
      </c>
      <c r="Z1604" s="259" t="s">
        <v>630</v>
      </c>
      <c r="AA1604">
        <v>80</v>
      </c>
      <c r="AB1604">
        <v>8008</v>
      </c>
      <c r="AC1604">
        <v>45814</v>
      </c>
      <c r="AD1604">
        <v>2</v>
      </c>
      <c r="AE1604">
        <v>8085.5999999999995</v>
      </c>
      <c r="AF1604">
        <v>8085.5999999999995</v>
      </c>
      <c r="AG1604">
        <v>0</v>
      </c>
      <c r="AH1604">
        <v>77.599999999999454</v>
      </c>
    </row>
    <row r="1605" spans="2:34" x14ac:dyDescent="0.35">
      <c r="B1605" t="s">
        <v>565</v>
      </c>
      <c r="C1605">
        <v>45816</v>
      </c>
      <c r="F1605" t="s">
        <v>752</v>
      </c>
      <c r="H1605">
        <v>191.1</v>
      </c>
      <c r="O1605" t="s">
        <v>239</v>
      </c>
      <c r="P1605" t="s">
        <v>514</v>
      </c>
      <c r="Y1605">
        <v>1571</v>
      </c>
      <c r="Z1605" s="259" t="s">
        <v>630</v>
      </c>
      <c r="AA1605">
        <v>100</v>
      </c>
      <c r="AB1605">
        <v>20020</v>
      </c>
      <c r="AC1605">
        <v>45814</v>
      </c>
      <c r="AD1605">
        <v>2</v>
      </c>
      <c r="AE1605">
        <v>19110</v>
      </c>
      <c r="AF1605">
        <v>19110</v>
      </c>
      <c r="AG1605">
        <v>0</v>
      </c>
      <c r="AH1605">
        <v>-910</v>
      </c>
    </row>
    <row r="1606" spans="2:34" x14ac:dyDescent="0.35">
      <c r="B1606" t="s">
        <v>565</v>
      </c>
      <c r="C1606">
        <v>45816</v>
      </c>
      <c r="F1606" t="s">
        <v>754</v>
      </c>
      <c r="H1606">
        <v>84.31</v>
      </c>
      <c r="O1606" t="s">
        <v>239</v>
      </c>
      <c r="P1606" t="s">
        <v>514</v>
      </c>
      <c r="Y1606">
        <v>1572</v>
      </c>
      <c r="Z1606" s="259" t="s">
        <v>630</v>
      </c>
      <c r="AA1606">
        <v>50</v>
      </c>
      <c r="AB1606">
        <v>4104</v>
      </c>
      <c r="AC1606">
        <v>45814</v>
      </c>
      <c r="AD1606">
        <v>2</v>
      </c>
      <c r="AE1606">
        <v>4215.5</v>
      </c>
      <c r="AF1606">
        <v>4215.5</v>
      </c>
      <c r="AG1606">
        <v>0</v>
      </c>
      <c r="AH1606">
        <v>111.5</v>
      </c>
    </row>
    <row r="1607" spans="2:34" x14ac:dyDescent="0.35">
      <c r="B1607" t="s">
        <v>565</v>
      </c>
      <c r="C1607">
        <v>45817</v>
      </c>
      <c r="F1607" t="s">
        <v>749</v>
      </c>
      <c r="H1607">
        <v>102.31</v>
      </c>
      <c r="O1607" t="s">
        <v>239</v>
      </c>
      <c r="P1607" t="s">
        <v>514</v>
      </c>
      <c r="Y1607">
        <v>1573</v>
      </c>
      <c r="Z1607" s="259" t="s">
        <v>630</v>
      </c>
      <c r="AA1607">
        <v>80</v>
      </c>
      <c r="AB1607">
        <v>8008</v>
      </c>
      <c r="AC1607">
        <v>45817</v>
      </c>
      <c r="AD1607">
        <v>0</v>
      </c>
      <c r="AE1607">
        <v>8184.8</v>
      </c>
      <c r="AF1607">
        <v>8184.8</v>
      </c>
      <c r="AG1607">
        <v>0</v>
      </c>
      <c r="AH1607">
        <v>176.80000000000018</v>
      </c>
    </row>
    <row r="1608" spans="2:34" x14ac:dyDescent="0.35">
      <c r="B1608" t="s">
        <v>565</v>
      </c>
      <c r="C1608">
        <v>45817</v>
      </c>
      <c r="F1608" t="s">
        <v>752</v>
      </c>
      <c r="H1608">
        <v>189.97</v>
      </c>
      <c r="O1608" t="s">
        <v>239</v>
      </c>
      <c r="P1608" t="s">
        <v>514</v>
      </c>
      <c r="Y1608">
        <v>1574</v>
      </c>
      <c r="Z1608" s="259" t="s">
        <v>630</v>
      </c>
      <c r="AA1608">
        <v>100</v>
      </c>
      <c r="AB1608">
        <v>20020</v>
      </c>
      <c r="AC1608">
        <v>45817</v>
      </c>
      <c r="AD1608">
        <v>0</v>
      </c>
      <c r="AE1608">
        <v>18997</v>
      </c>
      <c r="AF1608">
        <v>18997</v>
      </c>
      <c r="AG1608">
        <v>0</v>
      </c>
      <c r="AH1608">
        <v>-1023</v>
      </c>
    </row>
    <row r="1609" spans="2:34" x14ac:dyDescent="0.35">
      <c r="B1609" t="s">
        <v>565</v>
      </c>
      <c r="C1609">
        <v>45817</v>
      </c>
      <c r="F1609" t="s">
        <v>754</v>
      </c>
      <c r="H1609">
        <v>83.9</v>
      </c>
      <c r="O1609" t="s">
        <v>239</v>
      </c>
      <c r="P1609" t="s">
        <v>514</v>
      </c>
      <c r="Y1609">
        <v>1575</v>
      </c>
      <c r="Z1609" s="259" t="s">
        <v>630</v>
      </c>
      <c r="AA1609">
        <v>50</v>
      </c>
      <c r="AB1609">
        <v>4104</v>
      </c>
      <c r="AC1609">
        <v>45817</v>
      </c>
      <c r="AD1609">
        <v>0</v>
      </c>
      <c r="AE1609">
        <v>4195</v>
      </c>
      <c r="AF1609">
        <v>4195</v>
      </c>
      <c r="AG1609">
        <v>0</v>
      </c>
      <c r="AH1609">
        <v>91</v>
      </c>
    </row>
    <row r="1610" spans="2:34" x14ac:dyDescent="0.35">
      <c r="B1610" t="s">
        <v>565</v>
      </c>
      <c r="C1610">
        <v>45818</v>
      </c>
      <c r="F1610" t="s">
        <v>749</v>
      </c>
      <c r="H1610">
        <v>102.72</v>
      </c>
      <c r="O1610" t="s">
        <v>239</v>
      </c>
      <c r="P1610" t="s">
        <v>514</v>
      </c>
      <c r="Y1610">
        <v>1576</v>
      </c>
      <c r="Z1610" s="259" t="s">
        <v>630</v>
      </c>
      <c r="AA1610">
        <v>80</v>
      </c>
      <c r="AB1610">
        <v>8008</v>
      </c>
      <c r="AC1610">
        <v>45818</v>
      </c>
      <c r="AD1610">
        <v>0</v>
      </c>
      <c r="AE1610">
        <v>8217.6</v>
      </c>
      <c r="AF1610">
        <v>8217.6</v>
      </c>
      <c r="AG1610">
        <v>0</v>
      </c>
      <c r="AH1610">
        <v>209.60000000000036</v>
      </c>
    </row>
    <row r="1611" spans="2:34" x14ac:dyDescent="0.35">
      <c r="B1611" t="s">
        <v>565</v>
      </c>
      <c r="C1611">
        <v>45818</v>
      </c>
      <c r="F1611" t="s">
        <v>752</v>
      </c>
      <c r="H1611">
        <v>189.59</v>
      </c>
      <c r="O1611" t="s">
        <v>239</v>
      </c>
      <c r="P1611" t="s">
        <v>514</v>
      </c>
      <c r="Y1611">
        <v>1577</v>
      </c>
      <c r="Z1611" s="259" t="s">
        <v>630</v>
      </c>
      <c r="AA1611">
        <v>100</v>
      </c>
      <c r="AB1611">
        <v>20020</v>
      </c>
      <c r="AC1611">
        <v>45818</v>
      </c>
      <c r="AD1611">
        <v>0</v>
      </c>
      <c r="AE1611">
        <v>18959</v>
      </c>
      <c r="AF1611">
        <v>18959</v>
      </c>
      <c r="AG1611">
        <v>0</v>
      </c>
      <c r="AH1611">
        <v>-1061</v>
      </c>
    </row>
    <row r="1612" spans="2:34" x14ac:dyDescent="0.35">
      <c r="B1612" t="s">
        <v>565</v>
      </c>
      <c r="C1612">
        <v>45818</v>
      </c>
      <c r="F1612" t="s">
        <v>754</v>
      </c>
      <c r="H1612">
        <v>83.76</v>
      </c>
      <c r="O1612" t="s">
        <v>239</v>
      </c>
      <c r="P1612" t="s">
        <v>514</v>
      </c>
      <c r="Y1612">
        <v>1578</v>
      </c>
      <c r="Z1612" s="259" t="s">
        <v>630</v>
      </c>
      <c r="AA1612">
        <v>50</v>
      </c>
      <c r="AB1612">
        <v>4104</v>
      </c>
      <c r="AC1612">
        <v>45818</v>
      </c>
      <c r="AD1612">
        <v>0</v>
      </c>
      <c r="AE1612">
        <v>4188</v>
      </c>
      <c r="AF1612">
        <v>4188</v>
      </c>
      <c r="AG1612">
        <v>0</v>
      </c>
      <c r="AH1612">
        <v>84</v>
      </c>
    </row>
    <row r="1613" spans="2:34" x14ac:dyDescent="0.35">
      <c r="B1613" t="s">
        <v>565</v>
      </c>
      <c r="C1613">
        <v>45819</v>
      </c>
      <c r="F1613" t="s">
        <v>749</v>
      </c>
      <c r="H1613">
        <v>103.14</v>
      </c>
      <c r="O1613" t="s">
        <v>239</v>
      </c>
      <c r="P1613" t="s">
        <v>514</v>
      </c>
      <c r="Y1613">
        <v>1579</v>
      </c>
      <c r="Z1613" s="259" t="s">
        <v>630</v>
      </c>
      <c r="AA1613">
        <v>80</v>
      </c>
      <c r="AB1613">
        <v>8008</v>
      </c>
      <c r="AC1613">
        <v>45819</v>
      </c>
      <c r="AD1613">
        <v>0</v>
      </c>
      <c r="AE1613">
        <v>8251.2000000000007</v>
      </c>
      <c r="AF1613">
        <v>8251.2000000000007</v>
      </c>
      <c r="AG1613">
        <v>0</v>
      </c>
      <c r="AH1613">
        <v>243.20000000000073</v>
      </c>
    </row>
    <row r="1614" spans="2:34" x14ac:dyDescent="0.35">
      <c r="B1614" t="s">
        <v>565</v>
      </c>
      <c r="C1614">
        <v>45819</v>
      </c>
      <c r="F1614" t="s">
        <v>752</v>
      </c>
      <c r="H1614">
        <v>189.21</v>
      </c>
      <c r="O1614" t="s">
        <v>239</v>
      </c>
      <c r="P1614" t="s">
        <v>514</v>
      </c>
      <c r="Y1614">
        <v>1580</v>
      </c>
      <c r="Z1614" s="259" t="s">
        <v>630</v>
      </c>
      <c r="AA1614">
        <v>100</v>
      </c>
      <c r="AB1614">
        <v>20020</v>
      </c>
      <c r="AC1614">
        <v>45819</v>
      </c>
      <c r="AD1614">
        <v>0</v>
      </c>
      <c r="AE1614">
        <v>18921</v>
      </c>
      <c r="AF1614">
        <v>18921</v>
      </c>
      <c r="AG1614">
        <v>0</v>
      </c>
      <c r="AH1614">
        <v>-1099</v>
      </c>
    </row>
    <row r="1615" spans="2:34" x14ac:dyDescent="0.35">
      <c r="B1615" t="s">
        <v>565</v>
      </c>
      <c r="C1615">
        <v>45819</v>
      </c>
      <c r="F1615" t="s">
        <v>754</v>
      </c>
      <c r="H1615">
        <v>83.62</v>
      </c>
      <c r="O1615" t="s">
        <v>239</v>
      </c>
      <c r="P1615" t="s">
        <v>514</v>
      </c>
      <c r="Y1615">
        <v>1581</v>
      </c>
      <c r="Z1615" s="259" t="s">
        <v>630</v>
      </c>
      <c r="AA1615">
        <v>50</v>
      </c>
      <c r="AB1615">
        <v>4104</v>
      </c>
      <c r="AC1615">
        <v>45819</v>
      </c>
      <c r="AD1615">
        <v>0</v>
      </c>
      <c r="AE1615">
        <v>4181</v>
      </c>
      <c r="AF1615">
        <v>4181</v>
      </c>
      <c r="AG1615">
        <v>0</v>
      </c>
      <c r="AH1615">
        <v>77</v>
      </c>
    </row>
    <row r="1616" spans="2:34" x14ac:dyDescent="0.35">
      <c r="B1616" t="s">
        <v>565</v>
      </c>
      <c r="C1616">
        <v>45820</v>
      </c>
      <c r="F1616" t="s">
        <v>749</v>
      </c>
      <c r="H1616">
        <v>103.55</v>
      </c>
      <c r="O1616" t="s">
        <v>239</v>
      </c>
      <c r="P1616" t="s">
        <v>514</v>
      </c>
      <c r="Y1616">
        <v>1582</v>
      </c>
      <c r="Z1616" s="259" t="s">
        <v>630</v>
      </c>
      <c r="AA1616">
        <v>80</v>
      </c>
      <c r="AB1616">
        <v>8008</v>
      </c>
      <c r="AC1616">
        <v>45820</v>
      </c>
      <c r="AD1616">
        <v>0</v>
      </c>
      <c r="AE1616">
        <v>8284</v>
      </c>
      <c r="AF1616">
        <v>8284</v>
      </c>
      <c r="AG1616">
        <v>0</v>
      </c>
      <c r="AH1616">
        <v>276</v>
      </c>
    </row>
    <row r="1617" spans="2:34" x14ac:dyDescent="0.35">
      <c r="B1617" t="s">
        <v>565</v>
      </c>
      <c r="C1617">
        <v>45820</v>
      </c>
      <c r="F1617" t="s">
        <v>752</v>
      </c>
      <c r="H1617">
        <v>188.83</v>
      </c>
      <c r="O1617" t="s">
        <v>239</v>
      </c>
      <c r="P1617" t="s">
        <v>514</v>
      </c>
      <c r="Y1617">
        <v>1583</v>
      </c>
      <c r="Z1617" s="259" t="s">
        <v>630</v>
      </c>
      <c r="AA1617">
        <v>100</v>
      </c>
      <c r="AB1617">
        <v>20020</v>
      </c>
      <c r="AC1617">
        <v>45820</v>
      </c>
      <c r="AD1617">
        <v>0</v>
      </c>
      <c r="AE1617">
        <v>18883</v>
      </c>
      <c r="AF1617">
        <v>18883</v>
      </c>
      <c r="AG1617">
        <v>0</v>
      </c>
      <c r="AH1617">
        <v>-1137</v>
      </c>
    </row>
    <row r="1618" spans="2:34" x14ac:dyDescent="0.35">
      <c r="B1618" t="s">
        <v>565</v>
      </c>
      <c r="C1618">
        <v>45820</v>
      </c>
      <c r="F1618" t="s">
        <v>754</v>
      </c>
      <c r="H1618">
        <v>83.48</v>
      </c>
      <c r="O1618" t="s">
        <v>239</v>
      </c>
      <c r="P1618" t="s">
        <v>514</v>
      </c>
      <c r="Y1618">
        <v>1584</v>
      </c>
      <c r="Z1618" s="259" t="s">
        <v>630</v>
      </c>
      <c r="AA1618">
        <v>50</v>
      </c>
      <c r="AB1618">
        <v>4104</v>
      </c>
      <c r="AC1618">
        <v>45820</v>
      </c>
      <c r="AD1618">
        <v>0</v>
      </c>
      <c r="AE1618">
        <v>4174</v>
      </c>
      <c r="AF1618">
        <v>4174</v>
      </c>
      <c r="AG1618">
        <v>0</v>
      </c>
      <c r="AH1618">
        <v>70</v>
      </c>
    </row>
    <row r="1619" spans="2:34" x14ac:dyDescent="0.35">
      <c r="B1619" t="s">
        <v>565</v>
      </c>
      <c r="C1619">
        <v>45821</v>
      </c>
      <c r="F1619" t="s">
        <v>749</v>
      </c>
      <c r="H1619">
        <v>103.97</v>
      </c>
      <c r="O1619" t="s">
        <v>239</v>
      </c>
      <c r="P1619" t="s">
        <v>514</v>
      </c>
      <c r="Y1619">
        <v>1585</v>
      </c>
      <c r="Z1619" s="259" t="s">
        <v>630</v>
      </c>
      <c r="AA1619">
        <v>80</v>
      </c>
      <c r="AB1619">
        <v>8008</v>
      </c>
      <c r="AC1619">
        <v>45821</v>
      </c>
      <c r="AD1619">
        <v>0</v>
      </c>
      <c r="AE1619">
        <v>8317.6</v>
      </c>
      <c r="AF1619">
        <v>8317.6</v>
      </c>
      <c r="AG1619">
        <v>0</v>
      </c>
      <c r="AH1619">
        <v>309.60000000000036</v>
      </c>
    </row>
    <row r="1620" spans="2:34" x14ac:dyDescent="0.35">
      <c r="B1620" t="s">
        <v>565</v>
      </c>
      <c r="C1620">
        <v>45821</v>
      </c>
      <c r="F1620" t="s">
        <v>752</v>
      </c>
      <c r="H1620">
        <v>188.45</v>
      </c>
      <c r="O1620" t="s">
        <v>239</v>
      </c>
      <c r="P1620" t="s">
        <v>514</v>
      </c>
      <c r="Y1620">
        <v>1586</v>
      </c>
      <c r="Z1620" s="259" t="s">
        <v>630</v>
      </c>
      <c r="AA1620">
        <v>100</v>
      </c>
      <c r="AB1620">
        <v>20020</v>
      </c>
      <c r="AC1620">
        <v>45821</v>
      </c>
      <c r="AD1620">
        <v>0</v>
      </c>
      <c r="AE1620">
        <v>18845</v>
      </c>
      <c r="AF1620">
        <v>18845</v>
      </c>
      <c r="AG1620">
        <v>0</v>
      </c>
      <c r="AH1620">
        <v>-1175</v>
      </c>
    </row>
    <row r="1621" spans="2:34" x14ac:dyDescent="0.35">
      <c r="B1621" t="s">
        <v>565</v>
      </c>
      <c r="C1621">
        <v>45821</v>
      </c>
      <c r="F1621" t="s">
        <v>754</v>
      </c>
      <c r="H1621">
        <v>83.34</v>
      </c>
      <c r="O1621" t="s">
        <v>239</v>
      </c>
      <c r="P1621" t="s">
        <v>514</v>
      </c>
      <c r="Y1621">
        <v>1587</v>
      </c>
      <c r="Z1621" s="259" t="s">
        <v>630</v>
      </c>
      <c r="AA1621">
        <v>50</v>
      </c>
      <c r="AB1621">
        <v>4104</v>
      </c>
      <c r="AC1621">
        <v>45821</v>
      </c>
      <c r="AD1621">
        <v>0</v>
      </c>
      <c r="AE1621">
        <v>4167</v>
      </c>
      <c r="AF1621">
        <v>4167</v>
      </c>
      <c r="AG1621">
        <v>0</v>
      </c>
      <c r="AH1621">
        <v>63</v>
      </c>
    </row>
    <row r="1622" spans="2:34" x14ac:dyDescent="0.35">
      <c r="B1622" t="s">
        <v>565</v>
      </c>
      <c r="C1622">
        <v>45822</v>
      </c>
      <c r="F1622" t="s">
        <v>749</v>
      </c>
      <c r="H1622">
        <v>103.97</v>
      </c>
      <c r="O1622" t="s">
        <v>239</v>
      </c>
      <c r="P1622" t="s">
        <v>514</v>
      </c>
      <c r="Y1622">
        <v>1588</v>
      </c>
      <c r="Z1622" s="259" t="s">
        <v>630</v>
      </c>
      <c r="AA1622">
        <v>80</v>
      </c>
      <c r="AB1622">
        <v>8008</v>
      </c>
      <c r="AC1622">
        <v>45821</v>
      </c>
      <c r="AD1622">
        <v>1</v>
      </c>
      <c r="AE1622">
        <v>8317.6</v>
      </c>
      <c r="AF1622">
        <v>8317.6</v>
      </c>
      <c r="AG1622">
        <v>0</v>
      </c>
      <c r="AH1622">
        <v>309.60000000000036</v>
      </c>
    </row>
    <row r="1623" spans="2:34" x14ac:dyDescent="0.35">
      <c r="B1623" t="s">
        <v>565</v>
      </c>
      <c r="C1623">
        <v>45822</v>
      </c>
      <c r="F1623" t="s">
        <v>752</v>
      </c>
      <c r="H1623">
        <v>188.45</v>
      </c>
      <c r="O1623" t="s">
        <v>239</v>
      </c>
      <c r="P1623" t="s">
        <v>514</v>
      </c>
      <c r="Y1623">
        <v>1589</v>
      </c>
      <c r="Z1623" s="259" t="s">
        <v>630</v>
      </c>
      <c r="AA1623">
        <v>100</v>
      </c>
      <c r="AB1623">
        <v>20020</v>
      </c>
      <c r="AC1623">
        <v>45821</v>
      </c>
      <c r="AD1623">
        <v>1</v>
      </c>
      <c r="AE1623">
        <v>18845</v>
      </c>
      <c r="AF1623">
        <v>18845</v>
      </c>
      <c r="AG1623">
        <v>0</v>
      </c>
      <c r="AH1623">
        <v>-1175</v>
      </c>
    </row>
    <row r="1624" spans="2:34" x14ac:dyDescent="0.35">
      <c r="B1624" t="s">
        <v>565</v>
      </c>
      <c r="C1624">
        <v>45822</v>
      </c>
      <c r="F1624" t="s">
        <v>754</v>
      </c>
      <c r="H1624">
        <v>83.34</v>
      </c>
      <c r="O1624" t="s">
        <v>239</v>
      </c>
      <c r="P1624" t="s">
        <v>514</v>
      </c>
      <c r="Y1624">
        <v>1590</v>
      </c>
      <c r="Z1624" s="259" t="s">
        <v>630</v>
      </c>
      <c r="AA1624">
        <v>50</v>
      </c>
      <c r="AB1624">
        <v>4104</v>
      </c>
      <c r="AC1624">
        <v>45821</v>
      </c>
      <c r="AD1624">
        <v>1</v>
      </c>
      <c r="AE1624">
        <v>4167</v>
      </c>
      <c r="AF1624">
        <v>4167</v>
      </c>
      <c r="AG1624">
        <v>0</v>
      </c>
      <c r="AH1624">
        <v>63</v>
      </c>
    </row>
    <row r="1625" spans="2:34" x14ac:dyDescent="0.35">
      <c r="B1625" t="s">
        <v>565</v>
      </c>
      <c r="C1625">
        <v>45823</v>
      </c>
      <c r="F1625" t="s">
        <v>749</v>
      </c>
      <c r="H1625">
        <v>103.97</v>
      </c>
      <c r="O1625" t="s">
        <v>239</v>
      </c>
      <c r="P1625" t="s">
        <v>514</v>
      </c>
      <c r="Y1625">
        <v>1591</v>
      </c>
      <c r="Z1625" s="259" t="s">
        <v>630</v>
      </c>
      <c r="AA1625">
        <v>80</v>
      </c>
      <c r="AB1625">
        <v>8008</v>
      </c>
      <c r="AC1625">
        <v>45821</v>
      </c>
      <c r="AD1625">
        <v>2</v>
      </c>
      <c r="AE1625">
        <v>8317.6</v>
      </c>
      <c r="AF1625">
        <v>8317.6</v>
      </c>
      <c r="AG1625">
        <v>0</v>
      </c>
      <c r="AH1625">
        <v>309.60000000000036</v>
      </c>
    </row>
    <row r="1626" spans="2:34" x14ac:dyDescent="0.35">
      <c r="B1626" t="s">
        <v>565</v>
      </c>
      <c r="C1626">
        <v>45823</v>
      </c>
      <c r="F1626" t="s">
        <v>752</v>
      </c>
      <c r="H1626">
        <v>188.45</v>
      </c>
      <c r="O1626" t="s">
        <v>239</v>
      </c>
      <c r="P1626" t="s">
        <v>514</v>
      </c>
      <c r="Y1626">
        <v>1592</v>
      </c>
      <c r="Z1626" s="259" t="s">
        <v>630</v>
      </c>
      <c r="AA1626">
        <v>100</v>
      </c>
      <c r="AB1626">
        <v>20020</v>
      </c>
      <c r="AC1626">
        <v>45821</v>
      </c>
      <c r="AD1626">
        <v>2</v>
      </c>
      <c r="AE1626">
        <v>18845</v>
      </c>
      <c r="AF1626">
        <v>18845</v>
      </c>
      <c r="AG1626">
        <v>0</v>
      </c>
      <c r="AH1626">
        <v>-1175</v>
      </c>
    </row>
    <row r="1627" spans="2:34" x14ac:dyDescent="0.35">
      <c r="B1627" t="s">
        <v>565</v>
      </c>
      <c r="C1627">
        <v>45823</v>
      </c>
      <c r="F1627" t="s">
        <v>754</v>
      </c>
      <c r="H1627">
        <v>83.34</v>
      </c>
      <c r="O1627" t="s">
        <v>239</v>
      </c>
      <c r="P1627" t="s">
        <v>514</v>
      </c>
      <c r="Y1627">
        <v>1593</v>
      </c>
      <c r="Z1627" s="259" t="s">
        <v>630</v>
      </c>
      <c r="AA1627">
        <v>50</v>
      </c>
      <c r="AB1627">
        <v>4104</v>
      </c>
      <c r="AC1627">
        <v>45821</v>
      </c>
      <c r="AD1627">
        <v>2</v>
      </c>
      <c r="AE1627">
        <v>4167</v>
      </c>
      <c r="AF1627">
        <v>4167</v>
      </c>
      <c r="AG1627">
        <v>0</v>
      </c>
      <c r="AH1627">
        <v>63</v>
      </c>
    </row>
    <row r="1628" spans="2:34" x14ac:dyDescent="0.35">
      <c r="B1628" t="s">
        <v>565</v>
      </c>
      <c r="C1628">
        <v>45824</v>
      </c>
      <c r="F1628" t="s">
        <v>749</v>
      </c>
      <c r="H1628">
        <v>52.6</v>
      </c>
      <c r="O1628" t="s">
        <v>239</v>
      </c>
      <c r="P1628" t="s">
        <v>514</v>
      </c>
      <c r="Y1628">
        <v>1594</v>
      </c>
      <c r="Z1628" s="259" t="s">
        <v>630</v>
      </c>
      <c r="AA1628">
        <v>160</v>
      </c>
      <c r="AB1628">
        <v>8008</v>
      </c>
      <c r="AC1628">
        <v>45824</v>
      </c>
      <c r="AD1628">
        <v>0</v>
      </c>
      <c r="AE1628">
        <v>8416</v>
      </c>
      <c r="AF1628">
        <v>8416</v>
      </c>
      <c r="AG1628">
        <v>0</v>
      </c>
      <c r="AH1628">
        <v>408</v>
      </c>
    </row>
    <row r="1629" spans="2:34" x14ac:dyDescent="0.35">
      <c r="B1629" t="s">
        <v>565</v>
      </c>
      <c r="C1629">
        <v>45824</v>
      </c>
      <c r="F1629" t="s">
        <v>752</v>
      </c>
      <c r="H1629">
        <v>187.31</v>
      </c>
      <c r="O1629" t="s">
        <v>239</v>
      </c>
      <c r="P1629" t="s">
        <v>514</v>
      </c>
      <c r="Y1629">
        <v>1595</v>
      </c>
      <c r="Z1629" s="259" t="s">
        <v>630</v>
      </c>
      <c r="AA1629">
        <v>100</v>
      </c>
      <c r="AB1629">
        <v>20020</v>
      </c>
      <c r="AC1629">
        <v>45824</v>
      </c>
      <c r="AD1629">
        <v>0</v>
      </c>
      <c r="AE1629">
        <v>18731</v>
      </c>
      <c r="AF1629">
        <v>18731</v>
      </c>
      <c r="AG1629">
        <v>0</v>
      </c>
      <c r="AH1629">
        <v>-1289</v>
      </c>
    </row>
    <row r="1630" spans="2:34" x14ac:dyDescent="0.35">
      <c r="B1630" t="s">
        <v>565</v>
      </c>
      <c r="C1630">
        <v>45824</v>
      </c>
      <c r="F1630" t="s">
        <v>754</v>
      </c>
      <c r="H1630">
        <v>82.93</v>
      </c>
      <c r="O1630" t="s">
        <v>239</v>
      </c>
      <c r="P1630" t="s">
        <v>514</v>
      </c>
      <c r="Y1630">
        <v>1596</v>
      </c>
      <c r="Z1630" s="259" t="s">
        <v>630</v>
      </c>
      <c r="AA1630">
        <v>50</v>
      </c>
      <c r="AB1630">
        <v>4104</v>
      </c>
      <c r="AC1630">
        <v>45824</v>
      </c>
      <c r="AD1630">
        <v>0</v>
      </c>
      <c r="AE1630">
        <v>4146.5</v>
      </c>
      <c r="AF1630">
        <v>4146.5</v>
      </c>
      <c r="AG1630">
        <v>0</v>
      </c>
      <c r="AH1630">
        <v>42.5</v>
      </c>
    </row>
    <row r="1631" spans="2:34" x14ac:dyDescent="0.35">
      <c r="B1631" t="s">
        <v>565</v>
      </c>
      <c r="C1631">
        <v>45825</v>
      </c>
      <c r="F1631" t="s">
        <v>749</v>
      </c>
      <c r="H1631">
        <v>52.81</v>
      </c>
      <c r="O1631" t="s">
        <v>239</v>
      </c>
      <c r="P1631" t="s">
        <v>514</v>
      </c>
      <c r="Y1631">
        <v>1597</v>
      </c>
      <c r="Z1631" s="259" t="s">
        <v>630</v>
      </c>
      <c r="AA1631">
        <v>160</v>
      </c>
      <c r="AB1631">
        <v>8008</v>
      </c>
      <c r="AC1631">
        <v>45825</v>
      </c>
      <c r="AD1631">
        <v>0</v>
      </c>
      <c r="AE1631">
        <v>8449.6</v>
      </c>
      <c r="AF1631">
        <v>8449.6</v>
      </c>
      <c r="AG1631">
        <v>0</v>
      </c>
      <c r="AH1631">
        <v>441.60000000000036</v>
      </c>
    </row>
    <row r="1632" spans="2:34" x14ac:dyDescent="0.35">
      <c r="B1632" t="s">
        <v>565</v>
      </c>
      <c r="C1632">
        <v>45825</v>
      </c>
      <c r="F1632" t="s">
        <v>752</v>
      </c>
      <c r="H1632">
        <v>186.93</v>
      </c>
      <c r="O1632" t="s">
        <v>239</v>
      </c>
      <c r="P1632" t="s">
        <v>514</v>
      </c>
      <c r="Y1632">
        <v>1598</v>
      </c>
      <c r="Z1632" s="259" t="s">
        <v>630</v>
      </c>
      <c r="AA1632">
        <v>100</v>
      </c>
      <c r="AB1632">
        <v>20020</v>
      </c>
      <c r="AC1632">
        <v>45825</v>
      </c>
      <c r="AD1632">
        <v>0</v>
      </c>
      <c r="AE1632">
        <v>18693</v>
      </c>
      <c r="AF1632">
        <v>18693</v>
      </c>
      <c r="AG1632">
        <v>0</v>
      </c>
      <c r="AH1632">
        <v>-1327</v>
      </c>
    </row>
    <row r="1633" spans="2:34" x14ac:dyDescent="0.35">
      <c r="B1633" t="s">
        <v>565</v>
      </c>
      <c r="C1633">
        <v>45825</v>
      </c>
      <c r="F1633" t="s">
        <v>754</v>
      </c>
      <c r="H1633">
        <v>82.79</v>
      </c>
      <c r="O1633" t="s">
        <v>239</v>
      </c>
      <c r="P1633" t="s">
        <v>514</v>
      </c>
      <c r="Y1633">
        <v>1599</v>
      </c>
      <c r="Z1633" s="259" t="s">
        <v>630</v>
      </c>
      <c r="AA1633">
        <v>50</v>
      </c>
      <c r="AB1633">
        <v>4104</v>
      </c>
      <c r="AC1633">
        <v>45825</v>
      </c>
      <c r="AD1633">
        <v>0</v>
      </c>
      <c r="AE1633">
        <v>4139.5</v>
      </c>
      <c r="AF1633">
        <v>4139.5</v>
      </c>
      <c r="AG1633">
        <v>0</v>
      </c>
      <c r="AH1633">
        <v>35.5</v>
      </c>
    </row>
    <row r="1634" spans="2:34" x14ac:dyDescent="0.35">
      <c r="B1634" t="s">
        <v>565</v>
      </c>
      <c r="C1634">
        <v>45826</v>
      </c>
      <c r="F1634" t="s">
        <v>749</v>
      </c>
      <c r="H1634">
        <v>53.02</v>
      </c>
      <c r="O1634" t="s">
        <v>239</v>
      </c>
      <c r="P1634" t="s">
        <v>514</v>
      </c>
      <c r="Y1634">
        <v>1600</v>
      </c>
      <c r="Z1634" s="259" t="s">
        <v>630</v>
      </c>
      <c r="AA1634">
        <v>160</v>
      </c>
      <c r="AB1634">
        <v>8008</v>
      </c>
      <c r="AC1634">
        <v>45826</v>
      </c>
      <c r="AD1634">
        <v>0</v>
      </c>
      <c r="AE1634">
        <v>8483.2000000000007</v>
      </c>
      <c r="AF1634">
        <v>8483.2000000000007</v>
      </c>
      <c r="AG1634">
        <v>0</v>
      </c>
      <c r="AH1634">
        <v>475.20000000000073</v>
      </c>
    </row>
    <row r="1635" spans="2:34" x14ac:dyDescent="0.35">
      <c r="B1635" t="s">
        <v>565</v>
      </c>
      <c r="C1635">
        <v>45826</v>
      </c>
      <c r="F1635" t="s">
        <v>752</v>
      </c>
      <c r="H1635">
        <v>186.55</v>
      </c>
      <c r="O1635" t="s">
        <v>239</v>
      </c>
      <c r="P1635" t="s">
        <v>514</v>
      </c>
      <c r="Y1635">
        <v>1601</v>
      </c>
      <c r="Z1635" s="259" t="s">
        <v>630</v>
      </c>
      <c r="AA1635">
        <v>100</v>
      </c>
      <c r="AB1635">
        <v>20020</v>
      </c>
      <c r="AC1635">
        <v>45826</v>
      </c>
      <c r="AD1635">
        <v>0</v>
      </c>
      <c r="AE1635">
        <v>18655</v>
      </c>
      <c r="AF1635">
        <v>18655</v>
      </c>
      <c r="AG1635">
        <v>0</v>
      </c>
      <c r="AH1635">
        <v>-1365</v>
      </c>
    </row>
    <row r="1636" spans="2:34" x14ac:dyDescent="0.35">
      <c r="B1636" t="s">
        <v>565</v>
      </c>
      <c r="C1636">
        <v>45826</v>
      </c>
      <c r="F1636" t="s">
        <v>754</v>
      </c>
      <c r="H1636">
        <v>82.66</v>
      </c>
      <c r="O1636" t="s">
        <v>239</v>
      </c>
      <c r="P1636" t="s">
        <v>514</v>
      </c>
      <c r="Y1636">
        <v>1602</v>
      </c>
      <c r="Z1636" s="259" t="s">
        <v>630</v>
      </c>
      <c r="AA1636">
        <v>50</v>
      </c>
      <c r="AB1636">
        <v>4104</v>
      </c>
      <c r="AC1636">
        <v>45826</v>
      </c>
      <c r="AD1636">
        <v>0</v>
      </c>
      <c r="AE1636">
        <v>4133</v>
      </c>
      <c r="AF1636">
        <v>4133</v>
      </c>
      <c r="AG1636">
        <v>0</v>
      </c>
      <c r="AH1636">
        <v>29</v>
      </c>
    </row>
    <row r="1637" spans="2:34" x14ac:dyDescent="0.35">
      <c r="B1637" t="s">
        <v>565</v>
      </c>
      <c r="C1637">
        <v>45827</v>
      </c>
      <c r="F1637" t="s">
        <v>749</v>
      </c>
      <c r="H1637">
        <v>53.22</v>
      </c>
      <c r="O1637" t="s">
        <v>239</v>
      </c>
      <c r="P1637" t="s">
        <v>514</v>
      </c>
      <c r="Y1637">
        <v>1603</v>
      </c>
      <c r="Z1637" s="259" t="s">
        <v>630</v>
      </c>
      <c r="AA1637">
        <v>160</v>
      </c>
      <c r="AB1637">
        <v>8008</v>
      </c>
      <c r="AC1637">
        <v>45827</v>
      </c>
      <c r="AD1637">
        <v>0</v>
      </c>
      <c r="AE1637">
        <v>8515.2000000000007</v>
      </c>
      <c r="AF1637">
        <v>8515.2000000000007</v>
      </c>
      <c r="AG1637">
        <v>0</v>
      </c>
      <c r="AH1637">
        <v>507.20000000000073</v>
      </c>
    </row>
    <row r="1638" spans="2:34" x14ac:dyDescent="0.35">
      <c r="B1638" t="s">
        <v>565</v>
      </c>
      <c r="C1638">
        <v>45827</v>
      </c>
      <c r="F1638" t="s">
        <v>752</v>
      </c>
      <c r="H1638">
        <v>186.17</v>
      </c>
      <c r="O1638" t="s">
        <v>239</v>
      </c>
      <c r="P1638" t="s">
        <v>514</v>
      </c>
      <c r="Y1638">
        <v>1604</v>
      </c>
      <c r="Z1638" s="259" t="s">
        <v>630</v>
      </c>
      <c r="AA1638">
        <v>100</v>
      </c>
      <c r="AB1638">
        <v>20020</v>
      </c>
      <c r="AC1638">
        <v>45827</v>
      </c>
      <c r="AD1638">
        <v>0</v>
      </c>
      <c r="AE1638">
        <v>18617</v>
      </c>
      <c r="AF1638">
        <v>18617</v>
      </c>
      <c r="AG1638">
        <v>0</v>
      </c>
      <c r="AH1638">
        <v>-1403</v>
      </c>
    </row>
    <row r="1639" spans="2:34" x14ac:dyDescent="0.35">
      <c r="B1639" t="s">
        <v>565</v>
      </c>
      <c r="C1639">
        <v>45827</v>
      </c>
      <c r="F1639" t="s">
        <v>754</v>
      </c>
      <c r="H1639">
        <v>82.52</v>
      </c>
      <c r="O1639" t="s">
        <v>239</v>
      </c>
      <c r="P1639" t="s">
        <v>514</v>
      </c>
      <c r="Y1639">
        <v>1605</v>
      </c>
      <c r="Z1639" s="259" t="s">
        <v>630</v>
      </c>
      <c r="AA1639">
        <v>50</v>
      </c>
      <c r="AB1639">
        <v>4104</v>
      </c>
      <c r="AC1639">
        <v>45827</v>
      </c>
      <c r="AD1639">
        <v>0</v>
      </c>
      <c r="AE1639">
        <v>4126</v>
      </c>
      <c r="AF1639">
        <v>4126</v>
      </c>
      <c r="AG1639">
        <v>0</v>
      </c>
      <c r="AH1639">
        <v>22</v>
      </c>
    </row>
    <row r="1640" spans="2:34" x14ac:dyDescent="0.35">
      <c r="B1640" t="s">
        <v>565</v>
      </c>
      <c r="C1640">
        <v>45828</v>
      </c>
      <c r="F1640" t="s">
        <v>749</v>
      </c>
      <c r="H1640">
        <v>53.43</v>
      </c>
      <c r="O1640" t="s">
        <v>239</v>
      </c>
      <c r="P1640" t="s">
        <v>514</v>
      </c>
      <c r="Y1640">
        <v>1606</v>
      </c>
      <c r="Z1640" s="259" t="s">
        <v>630</v>
      </c>
      <c r="AA1640">
        <v>160</v>
      </c>
      <c r="AB1640">
        <v>8008</v>
      </c>
      <c r="AC1640">
        <v>45828</v>
      </c>
      <c r="AD1640">
        <v>0</v>
      </c>
      <c r="AE1640">
        <v>8548.7999999999993</v>
      </c>
      <c r="AF1640">
        <v>8548.7999999999993</v>
      </c>
      <c r="AG1640">
        <v>0</v>
      </c>
      <c r="AH1640">
        <v>540.79999999999927</v>
      </c>
    </row>
    <row r="1641" spans="2:34" x14ac:dyDescent="0.35">
      <c r="B1641" t="s">
        <v>565</v>
      </c>
      <c r="C1641">
        <v>45828</v>
      </c>
      <c r="F1641" t="s">
        <v>752</v>
      </c>
      <c r="H1641">
        <v>185.79</v>
      </c>
      <c r="O1641" t="s">
        <v>239</v>
      </c>
      <c r="P1641" t="s">
        <v>514</v>
      </c>
      <c r="Y1641">
        <v>1607</v>
      </c>
      <c r="Z1641" s="259" t="s">
        <v>630</v>
      </c>
      <c r="AA1641">
        <v>100</v>
      </c>
      <c r="AB1641">
        <v>20020</v>
      </c>
      <c r="AC1641">
        <v>45828</v>
      </c>
      <c r="AD1641">
        <v>0</v>
      </c>
      <c r="AE1641">
        <v>18579</v>
      </c>
      <c r="AF1641">
        <v>18579</v>
      </c>
      <c r="AG1641">
        <v>0</v>
      </c>
      <c r="AH1641">
        <v>-1441</v>
      </c>
    </row>
    <row r="1642" spans="2:34" x14ac:dyDescent="0.35">
      <c r="B1642" t="s">
        <v>565</v>
      </c>
      <c r="C1642">
        <v>45828</v>
      </c>
      <c r="F1642" t="s">
        <v>754</v>
      </c>
      <c r="H1642">
        <v>82.38</v>
      </c>
      <c r="O1642" t="s">
        <v>239</v>
      </c>
      <c r="P1642" t="s">
        <v>514</v>
      </c>
      <c r="Y1642">
        <v>1608</v>
      </c>
      <c r="Z1642" s="259" t="s">
        <v>630</v>
      </c>
      <c r="AA1642">
        <v>50</v>
      </c>
      <c r="AB1642">
        <v>4104</v>
      </c>
      <c r="AC1642">
        <v>45828</v>
      </c>
      <c r="AD1642">
        <v>0</v>
      </c>
      <c r="AE1642">
        <v>4119</v>
      </c>
      <c r="AF1642">
        <v>4119</v>
      </c>
      <c r="AG1642">
        <v>0</v>
      </c>
      <c r="AH1642">
        <v>15</v>
      </c>
    </row>
    <row r="1643" spans="2:34" x14ac:dyDescent="0.35">
      <c r="B1643" t="s">
        <v>565</v>
      </c>
      <c r="C1643">
        <v>45829</v>
      </c>
      <c r="F1643" t="s">
        <v>749</v>
      </c>
      <c r="H1643">
        <v>53.43</v>
      </c>
      <c r="O1643" t="s">
        <v>239</v>
      </c>
      <c r="P1643" t="s">
        <v>514</v>
      </c>
      <c r="Y1643">
        <v>1609</v>
      </c>
      <c r="Z1643" s="259" t="s">
        <v>630</v>
      </c>
      <c r="AA1643">
        <v>160</v>
      </c>
      <c r="AB1643">
        <v>8008</v>
      </c>
      <c r="AC1643">
        <v>45828</v>
      </c>
      <c r="AD1643">
        <v>1</v>
      </c>
      <c r="AE1643">
        <v>8548.7999999999993</v>
      </c>
      <c r="AF1643">
        <v>8548.7999999999993</v>
      </c>
      <c r="AG1643">
        <v>0</v>
      </c>
      <c r="AH1643">
        <v>540.79999999999927</v>
      </c>
    </row>
    <row r="1644" spans="2:34" x14ac:dyDescent="0.35">
      <c r="B1644" t="s">
        <v>565</v>
      </c>
      <c r="C1644">
        <v>45829</v>
      </c>
      <c r="F1644" t="s">
        <v>752</v>
      </c>
      <c r="H1644">
        <v>185.79</v>
      </c>
      <c r="O1644" t="s">
        <v>239</v>
      </c>
      <c r="P1644" t="s">
        <v>514</v>
      </c>
      <c r="Y1644">
        <v>1610</v>
      </c>
      <c r="Z1644" s="259" t="s">
        <v>630</v>
      </c>
      <c r="AA1644">
        <v>100</v>
      </c>
      <c r="AB1644">
        <v>20020</v>
      </c>
      <c r="AC1644">
        <v>45828</v>
      </c>
      <c r="AD1644">
        <v>1</v>
      </c>
      <c r="AE1644">
        <v>18579</v>
      </c>
      <c r="AF1644">
        <v>18579</v>
      </c>
      <c r="AG1644">
        <v>0</v>
      </c>
      <c r="AH1644">
        <v>-1441</v>
      </c>
    </row>
    <row r="1645" spans="2:34" x14ac:dyDescent="0.35">
      <c r="B1645" t="s">
        <v>565</v>
      </c>
      <c r="C1645">
        <v>45829</v>
      </c>
      <c r="F1645" t="s">
        <v>754</v>
      </c>
      <c r="H1645">
        <v>82.38</v>
      </c>
      <c r="O1645" t="s">
        <v>239</v>
      </c>
      <c r="P1645" t="s">
        <v>514</v>
      </c>
      <c r="Y1645">
        <v>1611</v>
      </c>
      <c r="Z1645" s="259" t="s">
        <v>630</v>
      </c>
      <c r="AA1645">
        <v>50</v>
      </c>
      <c r="AB1645">
        <v>4104</v>
      </c>
      <c r="AC1645">
        <v>45828</v>
      </c>
      <c r="AD1645">
        <v>1</v>
      </c>
      <c r="AE1645">
        <v>4119</v>
      </c>
      <c r="AF1645">
        <v>4119</v>
      </c>
      <c r="AG1645">
        <v>0</v>
      </c>
      <c r="AH1645">
        <v>15</v>
      </c>
    </row>
    <row r="1646" spans="2:34" x14ac:dyDescent="0.35">
      <c r="B1646" t="s">
        <v>565</v>
      </c>
      <c r="C1646">
        <v>45830</v>
      </c>
      <c r="F1646" t="s">
        <v>749</v>
      </c>
      <c r="H1646">
        <v>53.43</v>
      </c>
      <c r="O1646" t="s">
        <v>239</v>
      </c>
      <c r="P1646" t="s">
        <v>514</v>
      </c>
      <c r="Y1646">
        <v>1612</v>
      </c>
      <c r="Z1646" s="259" t="s">
        <v>630</v>
      </c>
      <c r="AA1646">
        <v>160</v>
      </c>
      <c r="AB1646">
        <v>8008</v>
      </c>
      <c r="AC1646">
        <v>45828</v>
      </c>
      <c r="AD1646">
        <v>2</v>
      </c>
      <c r="AE1646">
        <v>8548.7999999999993</v>
      </c>
      <c r="AF1646">
        <v>8548.7999999999993</v>
      </c>
      <c r="AG1646">
        <v>0</v>
      </c>
      <c r="AH1646">
        <v>540.79999999999927</v>
      </c>
    </row>
    <row r="1647" spans="2:34" x14ac:dyDescent="0.35">
      <c r="B1647" t="s">
        <v>565</v>
      </c>
      <c r="C1647">
        <v>45830</v>
      </c>
      <c r="F1647" t="s">
        <v>752</v>
      </c>
      <c r="H1647">
        <v>185.79</v>
      </c>
      <c r="O1647" t="s">
        <v>239</v>
      </c>
      <c r="P1647" t="s">
        <v>514</v>
      </c>
      <c r="Y1647">
        <v>1613</v>
      </c>
      <c r="Z1647" s="259" t="s">
        <v>630</v>
      </c>
      <c r="AA1647">
        <v>100</v>
      </c>
      <c r="AB1647">
        <v>20020</v>
      </c>
      <c r="AC1647">
        <v>45828</v>
      </c>
      <c r="AD1647">
        <v>2</v>
      </c>
      <c r="AE1647">
        <v>18579</v>
      </c>
      <c r="AF1647">
        <v>18579</v>
      </c>
      <c r="AG1647">
        <v>0</v>
      </c>
      <c r="AH1647">
        <v>-1441</v>
      </c>
    </row>
    <row r="1648" spans="2:34" x14ac:dyDescent="0.35">
      <c r="B1648" t="s">
        <v>565</v>
      </c>
      <c r="C1648">
        <v>45830</v>
      </c>
      <c r="F1648" t="s">
        <v>754</v>
      </c>
      <c r="H1648">
        <v>82.38</v>
      </c>
      <c r="O1648" t="s">
        <v>239</v>
      </c>
      <c r="P1648" t="s">
        <v>514</v>
      </c>
      <c r="Y1648">
        <v>1614</v>
      </c>
      <c r="Z1648" s="259" t="s">
        <v>630</v>
      </c>
      <c r="AA1648">
        <v>50</v>
      </c>
      <c r="AB1648">
        <v>4104</v>
      </c>
      <c r="AC1648">
        <v>45828</v>
      </c>
      <c r="AD1648">
        <v>2</v>
      </c>
      <c r="AE1648">
        <v>4119</v>
      </c>
      <c r="AF1648">
        <v>4119</v>
      </c>
      <c r="AG1648">
        <v>0</v>
      </c>
      <c r="AH1648">
        <v>15</v>
      </c>
    </row>
    <row r="1649" spans="2:34" x14ac:dyDescent="0.35">
      <c r="B1649" t="s">
        <v>565</v>
      </c>
      <c r="C1649">
        <v>45831</v>
      </c>
      <c r="F1649" t="s">
        <v>749</v>
      </c>
      <c r="H1649">
        <v>54.05</v>
      </c>
      <c r="O1649" t="s">
        <v>239</v>
      </c>
      <c r="P1649" t="s">
        <v>514</v>
      </c>
      <c r="Y1649">
        <v>1615</v>
      </c>
      <c r="Z1649" s="259" t="s">
        <v>630</v>
      </c>
      <c r="AA1649">
        <v>160</v>
      </c>
      <c r="AB1649">
        <v>8008</v>
      </c>
      <c r="AC1649">
        <v>45831</v>
      </c>
      <c r="AD1649">
        <v>0</v>
      </c>
      <c r="AE1649">
        <v>8648</v>
      </c>
      <c r="AF1649">
        <v>8648</v>
      </c>
      <c r="AG1649">
        <v>0</v>
      </c>
      <c r="AH1649">
        <v>640</v>
      </c>
    </row>
    <row r="1650" spans="2:34" x14ac:dyDescent="0.35">
      <c r="B1650" t="s">
        <v>565</v>
      </c>
      <c r="C1650">
        <v>45831</v>
      </c>
      <c r="F1650" t="s">
        <v>752</v>
      </c>
      <c r="H1650">
        <v>184.66</v>
      </c>
      <c r="O1650" t="s">
        <v>239</v>
      </c>
      <c r="P1650" t="s">
        <v>514</v>
      </c>
      <c r="Y1650">
        <v>1616</v>
      </c>
      <c r="Z1650" s="259" t="s">
        <v>630</v>
      </c>
      <c r="AA1650">
        <v>100</v>
      </c>
      <c r="AB1650">
        <v>20020</v>
      </c>
      <c r="AC1650">
        <v>45831</v>
      </c>
      <c r="AD1650">
        <v>0</v>
      </c>
      <c r="AE1650">
        <v>18466</v>
      </c>
      <c r="AF1650">
        <v>18466</v>
      </c>
      <c r="AG1650">
        <v>0</v>
      </c>
      <c r="AH1650">
        <v>-1554</v>
      </c>
    </row>
    <row r="1651" spans="2:34" x14ac:dyDescent="0.35">
      <c r="B1651" t="s">
        <v>565</v>
      </c>
      <c r="C1651">
        <v>45831</v>
      </c>
      <c r="F1651" t="s">
        <v>754</v>
      </c>
      <c r="H1651">
        <v>81.97</v>
      </c>
      <c r="O1651" t="s">
        <v>239</v>
      </c>
      <c r="P1651" t="s">
        <v>514</v>
      </c>
      <c r="Y1651">
        <v>1617</v>
      </c>
      <c r="Z1651" s="259" t="s">
        <v>630</v>
      </c>
      <c r="AA1651">
        <v>50</v>
      </c>
      <c r="AB1651">
        <v>4104</v>
      </c>
      <c r="AC1651">
        <v>45831</v>
      </c>
      <c r="AD1651">
        <v>0</v>
      </c>
      <c r="AE1651">
        <v>4098.5</v>
      </c>
      <c r="AF1651">
        <v>4098.5</v>
      </c>
      <c r="AG1651">
        <v>0</v>
      </c>
      <c r="AH1651">
        <v>-5.5</v>
      </c>
    </row>
    <row r="1652" spans="2:34" x14ac:dyDescent="0.35">
      <c r="B1652" t="s">
        <v>565</v>
      </c>
      <c r="C1652">
        <v>45832</v>
      </c>
      <c r="F1652" t="s">
        <v>749</v>
      </c>
      <c r="H1652">
        <v>54.26</v>
      </c>
      <c r="O1652" t="s">
        <v>239</v>
      </c>
      <c r="P1652" t="s">
        <v>514</v>
      </c>
      <c r="Y1652">
        <v>1618</v>
      </c>
      <c r="Z1652" s="259" t="s">
        <v>630</v>
      </c>
      <c r="AA1652">
        <v>160</v>
      </c>
      <c r="AB1652">
        <v>8008</v>
      </c>
      <c r="AC1652">
        <v>45832</v>
      </c>
      <c r="AD1652">
        <v>0</v>
      </c>
      <c r="AE1652">
        <v>8681.6</v>
      </c>
      <c r="AF1652">
        <v>8681.6</v>
      </c>
      <c r="AG1652">
        <v>0</v>
      </c>
      <c r="AH1652">
        <v>673.60000000000036</v>
      </c>
    </row>
    <row r="1653" spans="2:34" x14ac:dyDescent="0.35">
      <c r="B1653" t="s">
        <v>565</v>
      </c>
      <c r="C1653">
        <v>45832</v>
      </c>
      <c r="F1653" t="s">
        <v>752</v>
      </c>
      <c r="H1653">
        <v>184.28</v>
      </c>
      <c r="O1653" t="s">
        <v>239</v>
      </c>
      <c r="P1653" t="s">
        <v>514</v>
      </c>
      <c r="Y1653">
        <v>1619</v>
      </c>
      <c r="Z1653" s="259" t="s">
        <v>630</v>
      </c>
      <c r="AA1653">
        <v>100</v>
      </c>
      <c r="AB1653">
        <v>20020</v>
      </c>
      <c r="AC1653">
        <v>45832</v>
      </c>
      <c r="AD1653">
        <v>0</v>
      </c>
      <c r="AE1653">
        <v>18428</v>
      </c>
      <c r="AF1653">
        <v>18428</v>
      </c>
      <c r="AG1653">
        <v>0</v>
      </c>
      <c r="AH1653">
        <v>-1592</v>
      </c>
    </row>
    <row r="1654" spans="2:34" x14ac:dyDescent="0.35">
      <c r="B1654" t="s">
        <v>565</v>
      </c>
      <c r="C1654">
        <v>45832</v>
      </c>
      <c r="F1654" t="s">
        <v>754</v>
      </c>
      <c r="H1654">
        <v>81.83</v>
      </c>
      <c r="O1654" t="s">
        <v>239</v>
      </c>
      <c r="P1654" t="s">
        <v>514</v>
      </c>
      <c r="Y1654">
        <v>1620</v>
      </c>
      <c r="Z1654" s="259" t="s">
        <v>630</v>
      </c>
      <c r="AA1654">
        <v>50</v>
      </c>
      <c r="AB1654">
        <v>4104</v>
      </c>
      <c r="AC1654">
        <v>45832</v>
      </c>
      <c r="AD1654">
        <v>0</v>
      </c>
      <c r="AE1654">
        <v>4091.5</v>
      </c>
      <c r="AF1654">
        <v>4091.5</v>
      </c>
      <c r="AG1654">
        <v>0</v>
      </c>
      <c r="AH1654">
        <v>-12.5</v>
      </c>
    </row>
    <row r="1655" spans="2:34" x14ac:dyDescent="0.35">
      <c r="B1655" t="s">
        <v>565</v>
      </c>
      <c r="C1655">
        <v>45833</v>
      </c>
      <c r="F1655" t="s">
        <v>749</v>
      </c>
      <c r="H1655">
        <v>54.47</v>
      </c>
      <c r="O1655" t="s">
        <v>239</v>
      </c>
      <c r="P1655" t="s">
        <v>514</v>
      </c>
      <c r="Y1655">
        <v>1621</v>
      </c>
      <c r="Z1655" s="259" t="s">
        <v>630</v>
      </c>
      <c r="AA1655">
        <v>160</v>
      </c>
      <c r="AB1655">
        <v>8008</v>
      </c>
      <c r="AC1655">
        <v>45833</v>
      </c>
      <c r="AD1655">
        <v>0</v>
      </c>
      <c r="AE1655">
        <v>8715.2000000000007</v>
      </c>
      <c r="AF1655">
        <v>8715.2000000000007</v>
      </c>
      <c r="AG1655">
        <v>0</v>
      </c>
      <c r="AH1655">
        <v>707.20000000000073</v>
      </c>
    </row>
    <row r="1656" spans="2:34" x14ac:dyDescent="0.35">
      <c r="B1656" t="s">
        <v>565</v>
      </c>
      <c r="C1656">
        <v>45833</v>
      </c>
      <c r="F1656" t="s">
        <v>752</v>
      </c>
      <c r="H1656">
        <v>183.9</v>
      </c>
      <c r="O1656" t="s">
        <v>239</v>
      </c>
      <c r="P1656" t="s">
        <v>514</v>
      </c>
      <c r="Y1656">
        <v>1622</v>
      </c>
      <c r="Z1656" s="259" t="s">
        <v>630</v>
      </c>
      <c r="AA1656">
        <v>100</v>
      </c>
      <c r="AB1656">
        <v>20020</v>
      </c>
      <c r="AC1656">
        <v>45833</v>
      </c>
      <c r="AD1656">
        <v>0</v>
      </c>
      <c r="AE1656">
        <v>18390</v>
      </c>
      <c r="AF1656">
        <v>18390</v>
      </c>
      <c r="AG1656">
        <v>0</v>
      </c>
      <c r="AH1656">
        <v>-1630</v>
      </c>
    </row>
    <row r="1657" spans="2:34" x14ac:dyDescent="0.35">
      <c r="B1657" t="s">
        <v>565</v>
      </c>
      <c r="C1657">
        <v>45833</v>
      </c>
      <c r="F1657" t="s">
        <v>754</v>
      </c>
      <c r="H1657">
        <v>81.69</v>
      </c>
      <c r="O1657" t="s">
        <v>239</v>
      </c>
      <c r="P1657" t="s">
        <v>514</v>
      </c>
      <c r="Y1657">
        <v>1623</v>
      </c>
      <c r="Z1657" s="259" t="s">
        <v>630</v>
      </c>
      <c r="AA1657">
        <v>50</v>
      </c>
      <c r="AB1657">
        <v>4104</v>
      </c>
      <c r="AC1657">
        <v>45833</v>
      </c>
      <c r="AD1657">
        <v>0</v>
      </c>
      <c r="AE1657">
        <v>4084.5</v>
      </c>
      <c r="AF1657">
        <v>4084.5</v>
      </c>
      <c r="AG1657">
        <v>0</v>
      </c>
      <c r="AH1657">
        <v>-19.5</v>
      </c>
    </row>
    <row r="1658" spans="2:34" x14ac:dyDescent="0.35">
      <c r="B1658" t="s">
        <v>565</v>
      </c>
      <c r="C1658">
        <v>45834</v>
      </c>
      <c r="F1658" t="s">
        <v>749</v>
      </c>
      <c r="H1658">
        <v>54.67</v>
      </c>
      <c r="O1658" t="s">
        <v>239</v>
      </c>
      <c r="P1658" t="s">
        <v>514</v>
      </c>
      <c r="Y1658">
        <v>1624</v>
      </c>
      <c r="Z1658" s="259" t="s">
        <v>630</v>
      </c>
      <c r="AA1658">
        <v>160</v>
      </c>
      <c r="AB1658">
        <v>8008</v>
      </c>
      <c r="AC1658">
        <v>45834</v>
      </c>
      <c r="AD1658">
        <v>0</v>
      </c>
      <c r="AE1658">
        <v>8747.2000000000007</v>
      </c>
      <c r="AF1658">
        <v>8747.2000000000007</v>
      </c>
      <c r="AG1658">
        <v>0</v>
      </c>
      <c r="AH1658">
        <v>739.20000000000073</v>
      </c>
    </row>
    <row r="1659" spans="2:34" x14ac:dyDescent="0.35">
      <c r="B1659" t="s">
        <v>565</v>
      </c>
      <c r="C1659">
        <v>45834</v>
      </c>
      <c r="F1659" t="s">
        <v>752</v>
      </c>
      <c r="H1659">
        <v>183.52</v>
      </c>
      <c r="O1659" t="s">
        <v>239</v>
      </c>
      <c r="P1659" t="s">
        <v>514</v>
      </c>
      <c r="Y1659">
        <v>1625</v>
      </c>
      <c r="Z1659" s="259" t="s">
        <v>630</v>
      </c>
      <c r="AA1659">
        <v>100</v>
      </c>
      <c r="AB1659">
        <v>20020</v>
      </c>
      <c r="AC1659">
        <v>45834</v>
      </c>
      <c r="AD1659">
        <v>0</v>
      </c>
      <c r="AE1659">
        <v>18352</v>
      </c>
      <c r="AF1659">
        <v>18352</v>
      </c>
      <c r="AG1659">
        <v>0</v>
      </c>
      <c r="AH1659">
        <v>-1668</v>
      </c>
    </row>
    <row r="1660" spans="2:34" x14ac:dyDescent="0.35">
      <c r="B1660" t="s">
        <v>565</v>
      </c>
      <c r="C1660">
        <v>45834</v>
      </c>
      <c r="F1660" t="s">
        <v>754</v>
      </c>
      <c r="H1660">
        <v>81.55</v>
      </c>
      <c r="O1660" t="s">
        <v>239</v>
      </c>
      <c r="P1660" t="s">
        <v>514</v>
      </c>
      <c r="Y1660">
        <v>1626</v>
      </c>
      <c r="Z1660" s="259" t="s">
        <v>630</v>
      </c>
      <c r="AA1660">
        <v>50</v>
      </c>
      <c r="AB1660">
        <v>4104</v>
      </c>
      <c r="AC1660">
        <v>45834</v>
      </c>
      <c r="AD1660">
        <v>0</v>
      </c>
      <c r="AE1660">
        <v>4077.5</v>
      </c>
      <c r="AF1660">
        <v>4077.5</v>
      </c>
      <c r="AG1660">
        <v>0</v>
      </c>
      <c r="AH1660">
        <v>-26.5</v>
      </c>
    </row>
    <row r="1661" spans="2:34" x14ac:dyDescent="0.35">
      <c r="B1661" t="s">
        <v>565</v>
      </c>
      <c r="C1661">
        <v>45835</v>
      </c>
      <c r="F1661" t="s">
        <v>749</v>
      </c>
      <c r="H1661">
        <v>54.88</v>
      </c>
      <c r="O1661" t="s">
        <v>239</v>
      </c>
      <c r="P1661" t="s">
        <v>514</v>
      </c>
      <c r="Y1661">
        <v>1627</v>
      </c>
      <c r="Z1661" s="259" t="s">
        <v>630</v>
      </c>
      <c r="AA1661">
        <v>160</v>
      </c>
      <c r="AB1661">
        <v>8008</v>
      </c>
      <c r="AC1661">
        <v>45835</v>
      </c>
      <c r="AD1661">
        <v>0</v>
      </c>
      <c r="AE1661">
        <v>8780.8000000000011</v>
      </c>
      <c r="AF1661">
        <v>8780.8000000000011</v>
      </c>
      <c r="AG1661">
        <v>0</v>
      </c>
      <c r="AH1661">
        <v>772.80000000000109</v>
      </c>
    </row>
    <row r="1662" spans="2:34" x14ac:dyDescent="0.35">
      <c r="B1662" t="s">
        <v>565</v>
      </c>
      <c r="C1662">
        <v>45835</v>
      </c>
      <c r="F1662" t="s">
        <v>752</v>
      </c>
      <c r="H1662">
        <v>183.14</v>
      </c>
      <c r="O1662" t="s">
        <v>239</v>
      </c>
      <c r="P1662" t="s">
        <v>514</v>
      </c>
      <c r="Y1662">
        <v>1628</v>
      </c>
      <c r="Z1662" s="259" t="s">
        <v>630</v>
      </c>
      <c r="AA1662">
        <v>100</v>
      </c>
      <c r="AB1662">
        <v>20020</v>
      </c>
      <c r="AC1662">
        <v>45835</v>
      </c>
      <c r="AD1662">
        <v>0</v>
      </c>
      <c r="AE1662">
        <v>18314</v>
      </c>
      <c r="AF1662">
        <v>18314</v>
      </c>
      <c r="AG1662">
        <v>0</v>
      </c>
      <c r="AH1662">
        <v>-1706</v>
      </c>
    </row>
    <row r="1663" spans="2:34" x14ac:dyDescent="0.35">
      <c r="B1663" t="s">
        <v>565</v>
      </c>
      <c r="C1663">
        <v>45835</v>
      </c>
      <c r="F1663" t="s">
        <v>754</v>
      </c>
      <c r="H1663">
        <v>81.41</v>
      </c>
      <c r="O1663" t="s">
        <v>239</v>
      </c>
      <c r="P1663" t="s">
        <v>514</v>
      </c>
      <c r="Y1663">
        <v>1629</v>
      </c>
      <c r="Z1663" s="259" t="s">
        <v>630</v>
      </c>
      <c r="AA1663">
        <v>50</v>
      </c>
      <c r="AB1663">
        <v>4104</v>
      </c>
      <c r="AC1663">
        <v>45835</v>
      </c>
      <c r="AD1663">
        <v>0</v>
      </c>
      <c r="AE1663">
        <v>4070.5</v>
      </c>
      <c r="AF1663">
        <v>4070.5</v>
      </c>
      <c r="AG1663">
        <v>0</v>
      </c>
      <c r="AH1663">
        <v>-33.5</v>
      </c>
    </row>
    <row r="1664" spans="2:34" x14ac:dyDescent="0.35">
      <c r="B1664" t="s">
        <v>565</v>
      </c>
      <c r="C1664">
        <v>45836</v>
      </c>
      <c r="F1664" t="s">
        <v>749</v>
      </c>
      <c r="H1664">
        <v>54.88</v>
      </c>
      <c r="O1664" t="s">
        <v>239</v>
      </c>
      <c r="P1664" t="s">
        <v>514</v>
      </c>
      <c r="Y1664">
        <v>1630</v>
      </c>
      <c r="Z1664" s="259" t="s">
        <v>630</v>
      </c>
      <c r="AA1664">
        <v>160</v>
      </c>
      <c r="AB1664">
        <v>8008</v>
      </c>
      <c r="AC1664">
        <v>45835</v>
      </c>
      <c r="AD1664">
        <v>1</v>
      </c>
      <c r="AE1664">
        <v>8780.8000000000011</v>
      </c>
      <c r="AF1664">
        <v>8780.8000000000011</v>
      </c>
      <c r="AG1664">
        <v>0</v>
      </c>
      <c r="AH1664">
        <v>772.80000000000109</v>
      </c>
    </row>
    <row r="1665" spans="2:34" x14ac:dyDescent="0.35">
      <c r="B1665" t="s">
        <v>565</v>
      </c>
      <c r="C1665">
        <v>45836</v>
      </c>
      <c r="F1665" t="s">
        <v>752</v>
      </c>
      <c r="H1665">
        <v>183.14</v>
      </c>
      <c r="O1665" t="s">
        <v>239</v>
      </c>
      <c r="P1665" t="s">
        <v>514</v>
      </c>
      <c r="Y1665">
        <v>1631</v>
      </c>
      <c r="Z1665" s="259" t="s">
        <v>630</v>
      </c>
      <c r="AA1665">
        <v>100</v>
      </c>
      <c r="AB1665">
        <v>20020</v>
      </c>
      <c r="AC1665">
        <v>45835</v>
      </c>
      <c r="AD1665">
        <v>1</v>
      </c>
      <c r="AE1665">
        <v>18314</v>
      </c>
      <c r="AF1665">
        <v>18314</v>
      </c>
      <c r="AG1665">
        <v>0</v>
      </c>
      <c r="AH1665">
        <v>-1706</v>
      </c>
    </row>
    <row r="1666" spans="2:34" x14ac:dyDescent="0.35">
      <c r="B1666" t="s">
        <v>565</v>
      </c>
      <c r="C1666">
        <v>45836</v>
      </c>
      <c r="F1666" t="s">
        <v>754</v>
      </c>
      <c r="H1666">
        <v>81.41</v>
      </c>
      <c r="O1666" t="s">
        <v>239</v>
      </c>
      <c r="P1666" t="s">
        <v>514</v>
      </c>
      <c r="Y1666">
        <v>1632</v>
      </c>
      <c r="Z1666" s="259" t="s">
        <v>630</v>
      </c>
      <c r="AA1666">
        <v>50</v>
      </c>
      <c r="AB1666">
        <v>4104</v>
      </c>
      <c r="AC1666">
        <v>45835</v>
      </c>
      <c r="AD1666">
        <v>1</v>
      </c>
      <c r="AE1666">
        <v>4070.5</v>
      </c>
      <c r="AF1666">
        <v>4070.5</v>
      </c>
      <c r="AG1666">
        <v>0</v>
      </c>
      <c r="AH1666">
        <v>-33.5</v>
      </c>
    </row>
    <row r="1667" spans="2:34" x14ac:dyDescent="0.35">
      <c r="B1667" t="s">
        <v>565</v>
      </c>
      <c r="C1667">
        <v>45837</v>
      </c>
      <c r="F1667" t="s">
        <v>749</v>
      </c>
      <c r="H1667">
        <v>54.88</v>
      </c>
      <c r="O1667" t="s">
        <v>239</v>
      </c>
      <c r="P1667" t="s">
        <v>514</v>
      </c>
      <c r="Y1667">
        <v>1633</v>
      </c>
      <c r="Z1667" s="259" t="s">
        <v>630</v>
      </c>
      <c r="AA1667">
        <v>160</v>
      </c>
      <c r="AB1667">
        <v>8008</v>
      </c>
      <c r="AC1667">
        <v>45835</v>
      </c>
      <c r="AD1667">
        <v>2</v>
      </c>
      <c r="AE1667">
        <v>8780.8000000000011</v>
      </c>
      <c r="AF1667">
        <v>8780.8000000000011</v>
      </c>
      <c r="AG1667">
        <v>0</v>
      </c>
      <c r="AH1667">
        <v>772.80000000000109</v>
      </c>
    </row>
    <row r="1668" spans="2:34" x14ac:dyDescent="0.35">
      <c r="B1668" t="s">
        <v>565</v>
      </c>
      <c r="C1668">
        <v>45837</v>
      </c>
      <c r="F1668" t="s">
        <v>752</v>
      </c>
      <c r="H1668">
        <v>183.14</v>
      </c>
      <c r="O1668" t="s">
        <v>239</v>
      </c>
      <c r="P1668" t="s">
        <v>514</v>
      </c>
      <c r="Y1668">
        <v>1634</v>
      </c>
      <c r="Z1668" s="259" t="s">
        <v>630</v>
      </c>
      <c r="AA1668">
        <v>100</v>
      </c>
      <c r="AB1668">
        <v>20020</v>
      </c>
      <c r="AC1668">
        <v>45835</v>
      </c>
      <c r="AD1668">
        <v>2</v>
      </c>
      <c r="AE1668">
        <v>18314</v>
      </c>
      <c r="AF1668">
        <v>18314</v>
      </c>
      <c r="AG1668">
        <v>0</v>
      </c>
      <c r="AH1668">
        <v>-1706</v>
      </c>
    </row>
    <row r="1669" spans="2:34" x14ac:dyDescent="0.35">
      <c r="B1669" t="s">
        <v>565</v>
      </c>
      <c r="C1669">
        <v>45837</v>
      </c>
      <c r="F1669" t="s">
        <v>754</v>
      </c>
      <c r="H1669">
        <v>81.41</v>
      </c>
      <c r="O1669" t="s">
        <v>239</v>
      </c>
      <c r="P1669" t="s">
        <v>514</v>
      </c>
      <c r="Y1669">
        <v>1635</v>
      </c>
      <c r="Z1669" s="259" t="s">
        <v>630</v>
      </c>
      <c r="AA1669">
        <v>50</v>
      </c>
      <c r="AB1669">
        <v>4104</v>
      </c>
      <c r="AC1669">
        <v>45835</v>
      </c>
      <c r="AD1669">
        <v>2</v>
      </c>
      <c r="AE1669">
        <v>4070.5</v>
      </c>
      <c r="AF1669">
        <v>4070.5</v>
      </c>
      <c r="AG1669">
        <v>0</v>
      </c>
      <c r="AH1669">
        <v>-33.5</v>
      </c>
    </row>
    <row r="1670" spans="2:34" x14ac:dyDescent="0.35">
      <c r="B1670" t="s">
        <v>565</v>
      </c>
      <c r="C1670">
        <v>45838</v>
      </c>
      <c r="F1670" t="s">
        <v>749</v>
      </c>
      <c r="H1670">
        <v>55.5</v>
      </c>
      <c r="O1670" t="s">
        <v>239</v>
      </c>
      <c r="P1670" t="s">
        <v>514</v>
      </c>
      <c r="Y1670">
        <v>1636</v>
      </c>
      <c r="Z1670" s="259" t="s">
        <v>630</v>
      </c>
      <c r="AA1670">
        <v>160</v>
      </c>
      <c r="AB1670">
        <v>8008</v>
      </c>
      <c r="AC1670">
        <v>45838</v>
      </c>
      <c r="AD1670">
        <v>0</v>
      </c>
      <c r="AE1670">
        <v>8880</v>
      </c>
      <c r="AF1670">
        <v>8880</v>
      </c>
      <c r="AG1670">
        <v>0</v>
      </c>
      <c r="AH1670">
        <v>872</v>
      </c>
    </row>
    <row r="1671" spans="2:34" x14ac:dyDescent="0.35">
      <c r="B1671" t="s">
        <v>565</v>
      </c>
      <c r="C1671">
        <v>45838</v>
      </c>
      <c r="F1671" t="s">
        <v>752</v>
      </c>
      <c r="H1671">
        <v>182</v>
      </c>
      <c r="O1671" t="s">
        <v>239</v>
      </c>
      <c r="P1671" t="s">
        <v>514</v>
      </c>
      <c r="Y1671">
        <v>1637</v>
      </c>
      <c r="Z1671" s="259" t="s">
        <v>630</v>
      </c>
      <c r="AA1671">
        <v>100</v>
      </c>
      <c r="AB1671">
        <v>20020</v>
      </c>
      <c r="AC1671">
        <v>45838</v>
      </c>
      <c r="AD1671">
        <v>0</v>
      </c>
      <c r="AE1671">
        <v>18200</v>
      </c>
      <c r="AF1671">
        <v>18200</v>
      </c>
      <c r="AG1671">
        <v>0</v>
      </c>
      <c r="AH1671">
        <v>-1820</v>
      </c>
    </row>
    <row r="1672" spans="2:34" x14ac:dyDescent="0.35">
      <c r="B1672" t="s">
        <v>565</v>
      </c>
      <c r="C1672">
        <v>45838</v>
      </c>
      <c r="F1672" t="s">
        <v>754</v>
      </c>
      <c r="H1672">
        <v>81</v>
      </c>
      <c r="O1672" t="s">
        <v>239</v>
      </c>
      <c r="P1672" t="s">
        <v>514</v>
      </c>
      <c r="Y1672">
        <v>1638</v>
      </c>
      <c r="Z1672" s="259" t="s">
        <v>630</v>
      </c>
      <c r="AA1672">
        <v>50</v>
      </c>
      <c r="AB1672">
        <v>4104</v>
      </c>
      <c r="AC1672">
        <v>45838</v>
      </c>
      <c r="AD1672">
        <v>0</v>
      </c>
      <c r="AE1672">
        <v>4050</v>
      </c>
      <c r="AF1672">
        <v>4050</v>
      </c>
      <c r="AG1672">
        <v>0</v>
      </c>
      <c r="AH1672">
        <v>-54</v>
      </c>
    </row>
    <row r="1673" spans="2:34" x14ac:dyDescent="0.35">
      <c r="B1673" t="s">
        <v>565</v>
      </c>
      <c r="C1673">
        <v>45839</v>
      </c>
      <c r="F1673" t="s">
        <v>749</v>
      </c>
      <c r="H1673">
        <v>55.5</v>
      </c>
      <c r="O1673" t="s">
        <v>239</v>
      </c>
      <c r="P1673" t="s">
        <v>514</v>
      </c>
      <c r="Y1673">
        <v>1639</v>
      </c>
      <c r="Z1673" s="259" t="s">
        <v>630</v>
      </c>
      <c r="AA1673">
        <v>160</v>
      </c>
      <c r="AB1673">
        <v>8008</v>
      </c>
      <c r="AC1673">
        <v>45839</v>
      </c>
      <c r="AD1673">
        <v>0</v>
      </c>
      <c r="AE1673">
        <v>8880</v>
      </c>
      <c r="AF1673">
        <v>8880</v>
      </c>
      <c r="AG1673">
        <v>0</v>
      </c>
      <c r="AH1673">
        <v>872</v>
      </c>
    </row>
    <row r="1674" spans="2:34" x14ac:dyDescent="0.35">
      <c r="B1674" t="s">
        <v>565</v>
      </c>
      <c r="C1674">
        <v>45839</v>
      </c>
      <c r="F1674" t="s">
        <v>752</v>
      </c>
      <c r="H1674">
        <v>182</v>
      </c>
      <c r="O1674" t="s">
        <v>239</v>
      </c>
      <c r="P1674" t="s">
        <v>514</v>
      </c>
      <c r="Y1674">
        <v>1640</v>
      </c>
      <c r="Z1674" s="259" t="s">
        <v>630</v>
      </c>
      <c r="AA1674">
        <v>100</v>
      </c>
      <c r="AB1674">
        <v>20020</v>
      </c>
      <c r="AC1674">
        <v>45839</v>
      </c>
      <c r="AD1674">
        <v>0</v>
      </c>
      <c r="AE1674">
        <v>18200</v>
      </c>
      <c r="AF1674">
        <v>18200</v>
      </c>
      <c r="AG1674">
        <v>0</v>
      </c>
      <c r="AH1674">
        <v>-1820</v>
      </c>
    </row>
    <row r="1675" spans="2:34" x14ac:dyDescent="0.35">
      <c r="B1675" t="s">
        <v>565</v>
      </c>
      <c r="C1675">
        <v>45839</v>
      </c>
      <c r="F1675" t="s">
        <v>754</v>
      </c>
      <c r="H1675">
        <v>81</v>
      </c>
      <c r="O1675" t="s">
        <v>239</v>
      </c>
      <c r="P1675" t="s">
        <v>514</v>
      </c>
      <c r="Y1675">
        <v>1641</v>
      </c>
      <c r="Z1675" s="259" t="s">
        <v>630</v>
      </c>
      <c r="AA1675">
        <v>50</v>
      </c>
      <c r="AB1675">
        <v>4104</v>
      </c>
      <c r="AC1675">
        <v>45839</v>
      </c>
      <c r="AD1675">
        <v>0</v>
      </c>
      <c r="AE1675">
        <v>4050</v>
      </c>
      <c r="AF1675">
        <v>4050</v>
      </c>
      <c r="AG1675">
        <v>0</v>
      </c>
      <c r="AH1675">
        <v>-54</v>
      </c>
    </row>
    <row r="1676" spans="2:34" x14ac:dyDescent="0.35">
      <c r="B1676" t="s">
        <v>565</v>
      </c>
      <c r="C1676">
        <v>45840</v>
      </c>
      <c r="F1676" t="s">
        <v>749</v>
      </c>
      <c r="H1676">
        <v>55.38</v>
      </c>
      <c r="O1676" t="s">
        <v>239</v>
      </c>
      <c r="P1676" t="s">
        <v>514</v>
      </c>
      <c r="Y1676">
        <v>1642</v>
      </c>
      <c r="Z1676" s="259" t="s">
        <v>630</v>
      </c>
      <c r="AA1676">
        <v>160</v>
      </c>
      <c r="AB1676">
        <v>8008</v>
      </c>
      <c r="AC1676">
        <v>45840</v>
      </c>
      <c r="AD1676">
        <v>0</v>
      </c>
      <c r="AE1676">
        <v>8860.8000000000011</v>
      </c>
      <c r="AF1676">
        <v>8860.8000000000011</v>
      </c>
      <c r="AG1676">
        <v>0</v>
      </c>
      <c r="AH1676">
        <v>852.80000000000109</v>
      </c>
    </row>
    <row r="1677" spans="2:34" x14ac:dyDescent="0.35">
      <c r="B1677" t="s">
        <v>565</v>
      </c>
      <c r="C1677">
        <v>45840</v>
      </c>
      <c r="F1677" t="s">
        <v>752</v>
      </c>
      <c r="H1677">
        <v>181.87</v>
      </c>
      <c r="O1677" t="s">
        <v>239</v>
      </c>
      <c r="P1677" t="s">
        <v>514</v>
      </c>
      <c r="Y1677">
        <v>1643</v>
      </c>
      <c r="Z1677" s="259" t="s">
        <v>630</v>
      </c>
      <c r="AA1677">
        <v>100</v>
      </c>
      <c r="AB1677">
        <v>20020</v>
      </c>
      <c r="AC1677">
        <v>45840</v>
      </c>
      <c r="AD1677">
        <v>0</v>
      </c>
      <c r="AE1677">
        <v>18187</v>
      </c>
      <c r="AF1677">
        <v>18187</v>
      </c>
      <c r="AG1677">
        <v>0</v>
      </c>
      <c r="AH1677">
        <v>-1833</v>
      </c>
    </row>
    <row r="1678" spans="2:34" x14ac:dyDescent="0.35">
      <c r="B1678" t="s">
        <v>565</v>
      </c>
      <c r="C1678">
        <v>45840</v>
      </c>
      <c r="F1678" t="s">
        <v>754</v>
      </c>
      <c r="H1678">
        <v>80.87</v>
      </c>
      <c r="O1678" t="s">
        <v>239</v>
      </c>
      <c r="P1678" t="s">
        <v>514</v>
      </c>
      <c r="Y1678">
        <v>1644</v>
      </c>
      <c r="Z1678" s="259" t="s">
        <v>630</v>
      </c>
      <c r="AA1678">
        <v>50</v>
      </c>
      <c r="AB1678">
        <v>4104</v>
      </c>
      <c r="AC1678">
        <v>45840</v>
      </c>
      <c r="AD1678">
        <v>0</v>
      </c>
      <c r="AE1678">
        <v>4043.5</v>
      </c>
      <c r="AF1678">
        <v>4043.5</v>
      </c>
      <c r="AG1678">
        <v>0</v>
      </c>
      <c r="AH1678">
        <v>-60.5</v>
      </c>
    </row>
    <row r="1679" spans="2:34" x14ac:dyDescent="0.35">
      <c r="B1679" t="s">
        <v>565</v>
      </c>
      <c r="C1679">
        <v>45841</v>
      </c>
      <c r="F1679" t="s">
        <v>749</v>
      </c>
      <c r="H1679">
        <v>55.27</v>
      </c>
      <c r="O1679" t="s">
        <v>239</v>
      </c>
      <c r="P1679" t="s">
        <v>514</v>
      </c>
      <c r="Y1679">
        <v>1645</v>
      </c>
      <c r="Z1679" s="259" t="s">
        <v>630</v>
      </c>
      <c r="AA1679">
        <v>160</v>
      </c>
      <c r="AB1679">
        <v>8008</v>
      </c>
      <c r="AC1679">
        <v>45841</v>
      </c>
      <c r="AD1679">
        <v>0</v>
      </c>
      <c r="AE1679">
        <v>8843.2000000000007</v>
      </c>
      <c r="AF1679">
        <v>8843.2000000000007</v>
      </c>
      <c r="AG1679">
        <v>0</v>
      </c>
      <c r="AH1679">
        <v>835.20000000000073</v>
      </c>
    </row>
    <row r="1680" spans="2:34" x14ac:dyDescent="0.35">
      <c r="B1680" t="s">
        <v>565</v>
      </c>
      <c r="C1680">
        <v>45841</v>
      </c>
      <c r="F1680" t="s">
        <v>752</v>
      </c>
      <c r="H1680">
        <v>181.73</v>
      </c>
      <c r="O1680" t="s">
        <v>239</v>
      </c>
      <c r="P1680" t="s">
        <v>514</v>
      </c>
      <c r="Y1680">
        <v>1646</v>
      </c>
      <c r="Z1680" s="259" t="s">
        <v>630</v>
      </c>
      <c r="AA1680">
        <v>100</v>
      </c>
      <c r="AB1680">
        <v>20020</v>
      </c>
      <c r="AC1680">
        <v>45841</v>
      </c>
      <c r="AD1680">
        <v>0</v>
      </c>
      <c r="AE1680">
        <v>18173</v>
      </c>
      <c r="AF1680">
        <v>18173</v>
      </c>
      <c r="AG1680">
        <v>0</v>
      </c>
      <c r="AH1680">
        <v>-1847</v>
      </c>
    </row>
    <row r="1681" spans="2:34" x14ac:dyDescent="0.35">
      <c r="B1681" t="s">
        <v>565</v>
      </c>
      <c r="C1681">
        <v>45841</v>
      </c>
      <c r="F1681" t="s">
        <v>754</v>
      </c>
      <c r="H1681">
        <v>80.73</v>
      </c>
      <c r="O1681" t="s">
        <v>239</v>
      </c>
      <c r="P1681" t="s">
        <v>514</v>
      </c>
      <c r="Y1681">
        <v>1647</v>
      </c>
      <c r="Z1681" s="259" t="s">
        <v>630</v>
      </c>
      <c r="AA1681">
        <v>50</v>
      </c>
      <c r="AB1681">
        <v>4104</v>
      </c>
      <c r="AC1681">
        <v>45841</v>
      </c>
      <c r="AD1681">
        <v>0</v>
      </c>
      <c r="AE1681">
        <v>4036.5</v>
      </c>
      <c r="AF1681">
        <v>4036.5</v>
      </c>
      <c r="AG1681">
        <v>0</v>
      </c>
      <c r="AH1681">
        <v>-67.5</v>
      </c>
    </row>
    <row r="1682" spans="2:34" x14ac:dyDescent="0.35">
      <c r="B1682" t="s">
        <v>565</v>
      </c>
      <c r="C1682">
        <v>45842</v>
      </c>
      <c r="F1682" t="s">
        <v>749</v>
      </c>
      <c r="H1682">
        <v>55.15</v>
      </c>
      <c r="O1682" t="s">
        <v>239</v>
      </c>
      <c r="P1682" t="s">
        <v>514</v>
      </c>
      <c r="Y1682">
        <v>1648</v>
      </c>
      <c r="Z1682" s="259" t="s">
        <v>630</v>
      </c>
      <c r="AA1682">
        <v>160</v>
      </c>
      <c r="AB1682">
        <v>8008</v>
      </c>
      <c r="AC1682">
        <v>45842</v>
      </c>
      <c r="AD1682">
        <v>0</v>
      </c>
      <c r="AE1682">
        <v>8824</v>
      </c>
      <c r="AF1682">
        <v>8824</v>
      </c>
      <c r="AG1682">
        <v>0</v>
      </c>
      <c r="AH1682">
        <v>816</v>
      </c>
    </row>
    <row r="1683" spans="2:34" x14ac:dyDescent="0.35">
      <c r="B1683" t="s">
        <v>565</v>
      </c>
      <c r="C1683">
        <v>45842</v>
      </c>
      <c r="F1683" t="s">
        <v>752</v>
      </c>
      <c r="H1683">
        <v>181.6</v>
      </c>
      <c r="O1683" t="s">
        <v>239</v>
      </c>
      <c r="P1683" t="s">
        <v>514</v>
      </c>
      <c r="Y1683">
        <v>1649</v>
      </c>
      <c r="Z1683" s="259" t="s">
        <v>630</v>
      </c>
      <c r="AA1683">
        <v>100</v>
      </c>
      <c r="AB1683">
        <v>20020</v>
      </c>
      <c r="AC1683">
        <v>45842</v>
      </c>
      <c r="AD1683">
        <v>0</v>
      </c>
      <c r="AE1683">
        <v>18160</v>
      </c>
      <c r="AF1683">
        <v>18160</v>
      </c>
      <c r="AG1683">
        <v>0</v>
      </c>
      <c r="AH1683">
        <v>-1860</v>
      </c>
    </row>
    <row r="1684" spans="2:34" x14ac:dyDescent="0.35">
      <c r="B1684" t="s">
        <v>565</v>
      </c>
      <c r="C1684">
        <v>45842</v>
      </c>
      <c r="F1684" t="s">
        <v>754</v>
      </c>
      <c r="H1684">
        <v>80.599999999999994</v>
      </c>
      <c r="O1684" t="s">
        <v>239</v>
      </c>
      <c r="P1684" t="s">
        <v>514</v>
      </c>
      <c r="Y1684">
        <v>1650</v>
      </c>
      <c r="Z1684" s="259" t="s">
        <v>630</v>
      </c>
      <c r="AA1684">
        <v>50</v>
      </c>
      <c r="AB1684">
        <v>4104</v>
      </c>
      <c r="AC1684">
        <v>45842</v>
      </c>
      <c r="AD1684">
        <v>0</v>
      </c>
      <c r="AE1684">
        <v>4029.9999999999995</v>
      </c>
      <c r="AF1684">
        <v>4029.9999999999995</v>
      </c>
      <c r="AG1684">
        <v>0</v>
      </c>
      <c r="AH1684">
        <v>-74.000000000000455</v>
      </c>
    </row>
    <row r="1685" spans="2:34" x14ac:dyDescent="0.35">
      <c r="B1685" t="s">
        <v>565</v>
      </c>
      <c r="C1685">
        <v>45843</v>
      </c>
      <c r="F1685" t="s">
        <v>749</v>
      </c>
      <c r="H1685">
        <v>55.15</v>
      </c>
      <c r="O1685" t="s">
        <v>239</v>
      </c>
      <c r="P1685" t="s">
        <v>514</v>
      </c>
      <c r="Y1685">
        <v>1651</v>
      </c>
      <c r="Z1685" s="259" t="s">
        <v>630</v>
      </c>
      <c r="AA1685">
        <v>160</v>
      </c>
      <c r="AB1685">
        <v>8008</v>
      </c>
      <c r="AC1685">
        <v>45842</v>
      </c>
      <c r="AD1685">
        <v>1</v>
      </c>
      <c r="AE1685">
        <v>8824</v>
      </c>
      <c r="AF1685">
        <v>8824</v>
      </c>
      <c r="AG1685">
        <v>0</v>
      </c>
      <c r="AH1685">
        <v>816</v>
      </c>
    </row>
    <row r="1686" spans="2:34" x14ac:dyDescent="0.35">
      <c r="B1686" t="s">
        <v>565</v>
      </c>
      <c r="C1686">
        <v>45843</v>
      </c>
      <c r="F1686" t="s">
        <v>752</v>
      </c>
      <c r="H1686">
        <v>181.6</v>
      </c>
      <c r="O1686" t="s">
        <v>239</v>
      </c>
      <c r="P1686" t="s">
        <v>514</v>
      </c>
      <c r="Y1686">
        <v>1652</v>
      </c>
      <c r="Z1686" s="259" t="s">
        <v>630</v>
      </c>
      <c r="AA1686">
        <v>100</v>
      </c>
      <c r="AB1686">
        <v>20020</v>
      </c>
      <c r="AC1686">
        <v>45842</v>
      </c>
      <c r="AD1686">
        <v>1</v>
      </c>
      <c r="AE1686">
        <v>18160</v>
      </c>
      <c r="AF1686">
        <v>18160</v>
      </c>
      <c r="AG1686">
        <v>0</v>
      </c>
      <c r="AH1686">
        <v>-1860</v>
      </c>
    </row>
    <row r="1687" spans="2:34" x14ac:dyDescent="0.35">
      <c r="B1687" t="s">
        <v>565</v>
      </c>
      <c r="C1687">
        <v>45843</v>
      </c>
      <c r="F1687" t="s">
        <v>754</v>
      </c>
      <c r="H1687">
        <v>80.599999999999994</v>
      </c>
      <c r="O1687" t="s">
        <v>239</v>
      </c>
      <c r="P1687" t="s">
        <v>514</v>
      </c>
      <c r="Y1687">
        <v>1653</v>
      </c>
      <c r="Z1687" s="259" t="s">
        <v>630</v>
      </c>
      <c r="AA1687">
        <v>50</v>
      </c>
      <c r="AB1687">
        <v>4104</v>
      </c>
      <c r="AC1687">
        <v>45842</v>
      </c>
      <c r="AD1687">
        <v>1</v>
      </c>
      <c r="AE1687">
        <v>4029.9999999999995</v>
      </c>
      <c r="AF1687">
        <v>4029.9999999999995</v>
      </c>
      <c r="AG1687">
        <v>0</v>
      </c>
      <c r="AH1687">
        <v>-74.000000000000455</v>
      </c>
    </row>
    <row r="1688" spans="2:34" x14ac:dyDescent="0.35">
      <c r="B1688" t="s">
        <v>565</v>
      </c>
      <c r="C1688">
        <v>45844</v>
      </c>
      <c r="F1688" t="s">
        <v>749</v>
      </c>
      <c r="H1688">
        <v>55.15</v>
      </c>
      <c r="O1688" t="s">
        <v>239</v>
      </c>
      <c r="P1688" t="s">
        <v>514</v>
      </c>
      <c r="Y1688">
        <v>1654</v>
      </c>
      <c r="Z1688" s="259" t="s">
        <v>630</v>
      </c>
      <c r="AA1688">
        <v>160</v>
      </c>
      <c r="AB1688">
        <v>8008</v>
      </c>
      <c r="AC1688">
        <v>45842</v>
      </c>
      <c r="AD1688">
        <v>2</v>
      </c>
      <c r="AE1688">
        <v>8824</v>
      </c>
      <c r="AF1688">
        <v>8824</v>
      </c>
      <c r="AG1688">
        <v>0</v>
      </c>
      <c r="AH1688">
        <v>816</v>
      </c>
    </row>
    <row r="1689" spans="2:34" x14ac:dyDescent="0.35">
      <c r="B1689" t="s">
        <v>565</v>
      </c>
      <c r="C1689">
        <v>45844</v>
      </c>
      <c r="F1689" t="s">
        <v>752</v>
      </c>
      <c r="H1689">
        <v>181.6</v>
      </c>
      <c r="O1689" t="s">
        <v>239</v>
      </c>
      <c r="P1689" t="s">
        <v>514</v>
      </c>
      <c r="Y1689">
        <v>1655</v>
      </c>
      <c r="Z1689" s="259" t="s">
        <v>630</v>
      </c>
      <c r="AA1689">
        <v>100</v>
      </c>
      <c r="AB1689">
        <v>20020</v>
      </c>
      <c r="AC1689">
        <v>45842</v>
      </c>
      <c r="AD1689">
        <v>2</v>
      </c>
      <c r="AE1689">
        <v>18160</v>
      </c>
      <c r="AF1689">
        <v>18160</v>
      </c>
      <c r="AG1689">
        <v>0</v>
      </c>
      <c r="AH1689">
        <v>-1860</v>
      </c>
    </row>
    <row r="1690" spans="2:34" x14ac:dyDescent="0.35">
      <c r="B1690" t="s">
        <v>565</v>
      </c>
      <c r="C1690">
        <v>45844</v>
      </c>
      <c r="F1690" t="s">
        <v>754</v>
      </c>
      <c r="H1690">
        <v>80.599999999999994</v>
      </c>
      <c r="O1690" t="s">
        <v>239</v>
      </c>
      <c r="P1690" t="s">
        <v>514</v>
      </c>
      <c r="Y1690">
        <v>1656</v>
      </c>
      <c r="Z1690" s="259" t="s">
        <v>630</v>
      </c>
      <c r="AA1690">
        <v>50</v>
      </c>
      <c r="AB1690">
        <v>4104</v>
      </c>
      <c r="AC1690">
        <v>45842</v>
      </c>
      <c r="AD1690">
        <v>2</v>
      </c>
      <c r="AE1690">
        <v>4029.9999999999995</v>
      </c>
      <c r="AF1690">
        <v>4029.9999999999995</v>
      </c>
      <c r="AG1690">
        <v>0</v>
      </c>
      <c r="AH1690">
        <v>-74.000000000000455</v>
      </c>
    </row>
    <row r="1691" spans="2:34" x14ac:dyDescent="0.35">
      <c r="B1691" t="s">
        <v>565</v>
      </c>
      <c r="C1691">
        <v>45845</v>
      </c>
      <c r="F1691" t="s">
        <v>749</v>
      </c>
      <c r="H1691">
        <v>54.8</v>
      </c>
      <c r="O1691" t="s">
        <v>239</v>
      </c>
      <c r="P1691" t="s">
        <v>514</v>
      </c>
      <c r="Y1691">
        <v>1657</v>
      </c>
      <c r="Z1691" s="259" t="s">
        <v>630</v>
      </c>
      <c r="AA1691">
        <v>160</v>
      </c>
      <c r="AB1691">
        <v>8008</v>
      </c>
      <c r="AC1691">
        <v>45845</v>
      </c>
      <c r="AD1691">
        <v>0</v>
      </c>
      <c r="AE1691">
        <v>8768</v>
      </c>
      <c r="AF1691">
        <v>8768</v>
      </c>
      <c r="AG1691">
        <v>0</v>
      </c>
      <c r="AH1691">
        <v>760</v>
      </c>
    </row>
    <row r="1692" spans="2:34" x14ac:dyDescent="0.35">
      <c r="B1692" t="s">
        <v>565</v>
      </c>
      <c r="C1692">
        <v>45845</v>
      </c>
      <c r="F1692" t="s">
        <v>752</v>
      </c>
      <c r="H1692">
        <v>181.2</v>
      </c>
      <c r="O1692" t="s">
        <v>239</v>
      </c>
      <c r="P1692" t="s">
        <v>514</v>
      </c>
      <c r="Y1692">
        <v>1658</v>
      </c>
      <c r="Z1692" s="259" t="s">
        <v>630</v>
      </c>
      <c r="AA1692">
        <v>100</v>
      </c>
      <c r="AB1692">
        <v>20020</v>
      </c>
      <c r="AC1692">
        <v>45845</v>
      </c>
      <c r="AD1692">
        <v>0</v>
      </c>
      <c r="AE1692">
        <v>18120</v>
      </c>
      <c r="AF1692">
        <v>18120</v>
      </c>
      <c r="AG1692">
        <v>0</v>
      </c>
      <c r="AH1692">
        <v>-1900</v>
      </c>
    </row>
    <row r="1693" spans="2:34" x14ac:dyDescent="0.35">
      <c r="B1693" t="s">
        <v>565</v>
      </c>
      <c r="C1693">
        <v>45845</v>
      </c>
      <c r="F1693" t="s">
        <v>754</v>
      </c>
      <c r="H1693">
        <v>80.2</v>
      </c>
      <c r="O1693" t="s">
        <v>239</v>
      </c>
      <c r="P1693" t="s">
        <v>514</v>
      </c>
      <c r="Y1693">
        <v>1659</v>
      </c>
      <c r="Z1693" s="259" t="s">
        <v>630</v>
      </c>
      <c r="AA1693">
        <v>50</v>
      </c>
      <c r="AB1693">
        <v>4104</v>
      </c>
      <c r="AC1693">
        <v>45845</v>
      </c>
      <c r="AD1693">
        <v>0</v>
      </c>
      <c r="AE1693">
        <v>4010</v>
      </c>
      <c r="AF1693">
        <v>4010</v>
      </c>
      <c r="AG1693">
        <v>0</v>
      </c>
      <c r="AH1693">
        <v>-94</v>
      </c>
    </row>
    <row r="1694" spans="2:34" x14ac:dyDescent="0.35">
      <c r="B1694" t="s">
        <v>565</v>
      </c>
      <c r="C1694">
        <v>45846</v>
      </c>
      <c r="F1694" t="s">
        <v>749</v>
      </c>
      <c r="H1694">
        <v>54.68</v>
      </c>
      <c r="O1694" t="s">
        <v>239</v>
      </c>
      <c r="P1694" t="s">
        <v>514</v>
      </c>
      <c r="Y1694">
        <v>1660</v>
      </c>
      <c r="Z1694" s="259" t="s">
        <v>630</v>
      </c>
      <c r="AA1694">
        <v>160</v>
      </c>
      <c r="AB1694">
        <v>8008</v>
      </c>
      <c r="AC1694">
        <v>45846</v>
      </c>
      <c r="AD1694">
        <v>0</v>
      </c>
      <c r="AE1694">
        <v>8748.7999999999993</v>
      </c>
      <c r="AF1694">
        <v>8748.7999999999993</v>
      </c>
      <c r="AG1694">
        <v>0</v>
      </c>
      <c r="AH1694">
        <v>740.79999999999927</v>
      </c>
    </row>
    <row r="1695" spans="2:34" x14ac:dyDescent="0.35">
      <c r="B1695" t="s">
        <v>565</v>
      </c>
      <c r="C1695">
        <v>45846</v>
      </c>
      <c r="F1695" t="s">
        <v>752</v>
      </c>
      <c r="H1695">
        <v>181.07</v>
      </c>
      <c r="O1695" t="s">
        <v>239</v>
      </c>
      <c r="P1695" t="s">
        <v>514</v>
      </c>
      <c r="Y1695">
        <v>1661</v>
      </c>
      <c r="Z1695" s="259" t="s">
        <v>630</v>
      </c>
      <c r="AA1695">
        <v>100</v>
      </c>
      <c r="AB1695">
        <v>20020</v>
      </c>
      <c r="AC1695">
        <v>45846</v>
      </c>
      <c r="AD1695">
        <v>0</v>
      </c>
      <c r="AE1695">
        <v>18107</v>
      </c>
      <c r="AF1695">
        <v>18107</v>
      </c>
      <c r="AG1695">
        <v>0</v>
      </c>
      <c r="AH1695">
        <v>-1913</v>
      </c>
    </row>
    <row r="1696" spans="2:34" x14ac:dyDescent="0.35">
      <c r="B1696" t="s">
        <v>565</v>
      </c>
      <c r="C1696">
        <v>45846</v>
      </c>
      <c r="F1696" t="s">
        <v>754</v>
      </c>
      <c r="H1696">
        <v>80.069999999999993</v>
      </c>
      <c r="O1696" t="s">
        <v>239</v>
      </c>
      <c r="P1696" t="s">
        <v>514</v>
      </c>
      <c r="Y1696">
        <v>1662</v>
      </c>
      <c r="Z1696" s="259" t="s">
        <v>630</v>
      </c>
      <c r="AA1696">
        <v>50</v>
      </c>
      <c r="AB1696">
        <v>4104</v>
      </c>
      <c r="AC1696">
        <v>45846</v>
      </c>
      <c r="AD1696">
        <v>0</v>
      </c>
      <c r="AE1696">
        <v>4003.4999999999995</v>
      </c>
      <c r="AF1696">
        <v>4003.4999999999995</v>
      </c>
      <c r="AG1696">
        <v>0</v>
      </c>
      <c r="AH1696">
        <v>-100.50000000000045</v>
      </c>
    </row>
    <row r="1697" spans="2:34" x14ac:dyDescent="0.35">
      <c r="B1697" t="s">
        <v>565</v>
      </c>
      <c r="C1697">
        <v>45847</v>
      </c>
      <c r="F1697" t="s">
        <v>749</v>
      </c>
      <c r="H1697">
        <v>54.57</v>
      </c>
      <c r="O1697" t="s">
        <v>239</v>
      </c>
      <c r="P1697" t="s">
        <v>514</v>
      </c>
      <c r="Y1697">
        <v>1663</v>
      </c>
      <c r="Z1697" s="259" t="s">
        <v>630</v>
      </c>
      <c r="AA1697">
        <v>160</v>
      </c>
      <c r="AB1697">
        <v>8008</v>
      </c>
      <c r="AC1697">
        <v>45847</v>
      </c>
      <c r="AD1697">
        <v>0</v>
      </c>
      <c r="AE1697">
        <v>8731.2000000000007</v>
      </c>
      <c r="AF1697">
        <v>8731.2000000000007</v>
      </c>
      <c r="AG1697">
        <v>0</v>
      </c>
      <c r="AH1697">
        <v>723.20000000000073</v>
      </c>
    </row>
    <row r="1698" spans="2:34" x14ac:dyDescent="0.35">
      <c r="B1698" t="s">
        <v>565</v>
      </c>
      <c r="C1698">
        <v>45847</v>
      </c>
      <c r="F1698" t="s">
        <v>752</v>
      </c>
      <c r="H1698">
        <v>180.93</v>
      </c>
      <c r="O1698" t="s">
        <v>239</v>
      </c>
      <c r="P1698" t="s">
        <v>514</v>
      </c>
      <c r="Y1698">
        <v>1664</v>
      </c>
      <c r="Z1698" s="259" t="s">
        <v>630</v>
      </c>
      <c r="AA1698">
        <v>100</v>
      </c>
      <c r="AB1698">
        <v>20020</v>
      </c>
      <c r="AC1698">
        <v>45847</v>
      </c>
      <c r="AD1698">
        <v>0</v>
      </c>
      <c r="AE1698">
        <v>18093</v>
      </c>
      <c r="AF1698">
        <v>18093</v>
      </c>
      <c r="AG1698">
        <v>0</v>
      </c>
      <c r="AH1698">
        <v>-1927</v>
      </c>
    </row>
    <row r="1699" spans="2:34" x14ac:dyDescent="0.35">
      <c r="B1699" t="s">
        <v>565</v>
      </c>
      <c r="C1699">
        <v>45847</v>
      </c>
      <c r="F1699" t="s">
        <v>754</v>
      </c>
      <c r="H1699">
        <v>79.930000000000007</v>
      </c>
      <c r="O1699" t="s">
        <v>239</v>
      </c>
      <c r="P1699" t="s">
        <v>514</v>
      </c>
      <c r="Y1699">
        <v>1665</v>
      </c>
      <c r="Z1699" s="259" t="s">
        <v>630</v>
      </c>
      <c r="AA1699">
        <v>50</v>
      </c>
      <c r="AB1699">
        <v>4104</v>
      </c>
      <c r="AC1699">
        <v>45847</v>
      </c>
      <c r="AD1699">
        <v>0</v>
      </c>
      <c r="AE1699">
        <v>3996.5000000000005</v>
      </c>
      <c r="AF1699">
        <v>3996.5000000000005</v>
      </c>
      <c r="AG1699">
        <v>0</v>
      </c>
      <c r="AH1699">
        <v>-107.49999999999955</v>
      </c>
    </row>
    <row r="1700" spans="2:34" x14ac:dyDescent="0.35">
      <c r="B1700" t="s">
        <v>565</v>
      </c>
      <c r="C1700">
        <v>45848</v>
      </c>
      <c r="F1700" t="s">
        <v>749</v>
      </c>
      <c r="H1700">
        <v>54.45</v>
      </c>
      <c r="O1700" t="s">
        <v>239</v>
      </c>
      <c r="P1700" t="s">
        <v>514</v>
      </c>
      <c r="Y1700">
        <v>1666</v>
      </c>
      <c r="Z1700" s="259" t="s">
        <v>630</v>
      </c>
      <c r="AA1700">
        <v>160</v>
      </c>
      <c r="AB1700">
        <v>8008</v>
      </c>
      <c r="AC1700">
        <v>45848</v>
      </c>
      <c r="AD1700">
        <v>0</v>
      </c>
      <c r="AE1700">
        <v>8712</v>
      </c>
      <c r="AF1700">
        <v>8712</v>
      </c>
      <c r="AG1700">
        <v>0</v>
      </c>
      <c r="AH1700">
        <v>704</v>
      </c>
    </row>
    <row r="1701" spans="2:34" x14ac:dyDescent="0.35">
      <c r="B1701" t="s">
        <v>565</v>
      </c>
      <c r="C1701">
        <v>45848</v>
      </c>
      <c r="F1701" t="s">
        <v>752</v>
      </c>
      <c r="H1701">
        <v>180.8</v>
      </c>
      <c r="O1701" t="s">
        <v>239</v>
      </c>
      <c r="P1701" t="s">
        <v>514</v>
      </c>
      <c r="Y1701">
        <v>1667</v>
      </c>
      <c r="Z1701" s="259" t="s">
        <v>630</v>
      </c>
      <c r="AA1701">
        <v>100</v>
      </c>
      <c r="AB1701">
        <v>20020</v>
      </c>
      <c r="AC1701">
        <v>45848</v>
      </c>
      <c r="AD1701">
        <v>0</v>
      </c>
      <c r="AE1701">
        <v>18080</v>
      </c>
      <c r="AF1701">
        <v>18080</v>
      </c>
      <c r="AG1701">
        <v>0</v>
      </c>
      <c r="AH1701">
        <v>-1940</v>
      </c>
    </row>
    <row r="1702" spans="2:34" x14ac:dyDescent="0.35">
      <c r="B1702" t="s">
        <v>565</v>
      </c>
      <c r="C1702">
        <v>45848</v>
      </c>
      <c r="F1702" t="s">
        <v>754</v>
      </c>
      <c r="H1702">
        <v>79.8</v>
      </c>
      <c r="O1702" t="s">
        <v>239</v>
      </c>
      <c r="P1702" t="s">
        <v>514</v>
      </c>
      <c r="Y1702">
        <v>1668</v>
      </c>
      <c r="Z1702" s="259" t="s">
        <v>630</v>
      </c>
      <c r="AA1702">
        <v>50</v>
      </c>
      <c r="AB1702">
        <v>4104</v>
      </c>
      <c r="AC1702">
        <v>45848</v>
      </c>
      <c r="AD1702">
        <v>0</v>
      </c>
      <c r="AE1702">
        <v>3990</v>
      </c>
      <c r="AF1702">
        <v>3990</v>
      </c>
      <c r="AG1702">
        <v>0</v>
      </c>
      <c r="AH1702">
        <v>-114</v>
      </c>
    </row>
    <row r="1703" spans="2:34" x14ac:dyDescent="0.35">
      <c r="B1703" t="s">
        <v>565</v>
      </c>
      <c r="C1703">
        <v>45849</v>
      </c>
      <c r="F1703" t="s">
        <v>749</v>
      </c>
      <c r="H1703">
        <v>54.33</v>
      </c>
      <c r="O1703" t="s">
        <v>239</v>
      </c>
      <c r="P1703" t="s">
        <v>514</v>
      </c>
      <c r="Y1703">
        <v>1669</v>
      </c>
      <c r="Z1703" s="259" t="s">
        <v>630</v>
      </c>
      <c r="AA1703">
        <v>160</v>
      </c>
      <c r="AB1703">
        <v>8008</v>
      </c>
      <c r="AC1703">
        <v>45849</v>
      </c>
      <c r="AD1703">
        <v>0</v>
      </c>
      <c r="AE1703">
        <v>8692.7999999999993</v>
      </c>
      <c r="AF1703">
        <v>8692.7999999999993</v>
      </c>
      <c r="AG1703">
        <v>0</v>
      </c>
      <c r="AH1703">
        <v>684.79999999999927</v>
      </c>
    </row>
    <row r="1704" spans="2:34" x14ac:dyDescent="0.35">
      <c r="B1704" t="s">
        <v>565</v>
      </c>
      <c r="C1704">
        <v>45849</v>
      </c>
      <c r="F1704" t="s">
        <v>752</v>
      </c>
      <c r="H1704">
        <v>180.67</v>
      </c>
      <c r="O1704" t="s">
        <v>239</v>
      </c>
      <c r="P1704" t="s">
        <v>514</v>
      </c>
      <c r="Y1704">
        <v>1670</v>
      </c>
      <c r="Z1704" s="259" t="s">
        <v>630</v>
      </c>
      <c r="AA1704">
        <v>100</v>
      </c>
      <c r="AB1704">
        <v>20020</v>
      </c>
      <c r="AC1704">
        <v>45849</v>
      </c>
      <c r="AD1704">
        <v>0</v>
      </c>
      <c r="AE1704">
        <v>18067</v>
      </c>
      <c r="AF1704">
        <v>18067</v>
      </c>
      <c r="AG1704">
        <v>0</v>
      </c>
      <c r="AH1704">
        <v>-1953</v>
      </c>
    </row>
    <row r="1705" spans="2:34" x14ac:dyDescent="0.35">
      <c r="B1705" t="s">
        <v>565</v>
      </c>
      <c r="C1705">
        <v>45849</v>
      </c>
      <c r="F1705" t="s">
        <v>754</v>
      </c>
      <c r="H1705">
        <v>79.67</v>
      </c>
      <c r="O1705" t="s">
        <v>239</v>
      </c>
      <c r="P1705" t="s">
        <v>514</v>
      </c>
      <c r="Y1705">
        <v>1671</v>
      </c>
      <c r="Z1705" s="259" t="s">
        <v>630</v>
      </c>
      <c r="AA1705">
        <v>50</v>
      </c>
      <c r="AB1705">
        <v>4104</v>
      </c>
      <c r="AC1705">
        <v>45849</v>
      </c>
      <c r="AD1705">
        <v>0</v>
      </c>
      <c r="AE1705">
        <v>3983.5</v>
      </c>
      <c r="AF1705">
        <v>3983.5</v>
      </c>
      <c r="AG1705">
        <v>0</v>
      </c>
      <c r="AH1705">
        <v>-120.5</v>
      </c>
    </row>
    <row r="1706" spans="2:34" x14ac:dyDescent="0.35">
      <c r="B1706" t="s">
        <v>565</v>
      </c>
      <c r="C1706">
        <v>45850</v>
      </c>
      <c r="F1706" t="s">
        <v>749</v>
      </c>
      <c r="H1706">
        <v>54.33</v>
      </c>
      <c r="O1706" t="s">
        <v>239</v>
      </c>
      <c r="P1706" t="s">
        <v>514</v>
      </c>
      <c r="Y1706">
        <v>1672</v>
      </c>
      <c r="Z1706" s="259" t="s">
        <v>630</v>
      </c>
      <c r="AA1706">
        <v>160</v>
      </c>
      <c r="AB1706">
        <v>8008</v>
      </c>
      <c r="AC1706">
        <v>45849</v>
      </c>
      <c r="AD1706">
        <v>1</v>
      </c>
      <c r="AE1706">
        <v>8692.7999999999993</v>
      </c>
      <c r="AF1706">
        <v>8692.7999999999993</v>
      </c>
      <c r="AG1706">
        <v>0</v>
      </c>
      <c r="AH1706">
        <v>684.79999999999927</v>
      </c>
    </row>
    <row r="1707" spans="2:34" x14ac:dyDescent="0.35">
      <c r="B1707" t="s">
        <v>565</v>
      </c>
      <c r="C1707">
        <v>45850</v>
      </c>
      <c r="F1707" t="s">
        <v>752</v>
      </c>
      <c r="H1707">
        <v>180.67</v>
      </c>
      <c r="O1707" t="s">
        <v>239</v>
      </c>
      <c r="P1707" t="s">
        <v>514</v>
      </c>
      <c r="Y1707">
        <v>1673</v>
      </c>
      <c r="Z1707" s="259" t="s">
        <v>630</v>
      </c>
      <c r="AA1707">
        <v>100</v>
      </c>
      <c r="AB1707">
        <v>20020</v>
      </c>
      <c r="AC1707">
        <v>45849</v>
      </c>
      <c r="AD1707">
        <v>1</v>
      </c>
      <c r="AE1707">
        <v>18067</v>
      </c>
      <c r="AF1707">
        <v>18067</v>
      </c>
      <c r="AG1707">
        <v>0</v>
      </c>
      <c r="AH1707">
        <v>-1953</v>
      </c>
    </row>
    <row r="1708" spans="2:34" x14ac:dyDescent="0.35">
      <c r="B1708" t="s">
        <v>565</v>
      </c>
      <c r="C1708">
        <v>45850</v>
      </c>
      <c r="F1708" t="s">
        <v>754</v>
      </c>
      <c r="H1708">
        <v>79.67</v>
      </c>
      <c r="O1708" t="s">
        <v>239</v>
      </c>
      <c r="P1708" t="s">
        <v>514</v>
      </c>
      <c r="Y1708">
        <v>1674</v>
      </c>
      <c r="Z1708" s="259" t="s">
        <v>630</v>
      </c>
      <c r="AA1708">
        <v>50</v>
      </c>
      <c r="AB1708">
        <v>4104</v>
      </c>
      <c r="AC1708">
        <v>45849</v>
      </c>
      <c r="AD1708">
        <v>1</v>
      </c>
      <c r="AE1708">
        <v>3983.5</v>
      </c>
      <c r="AF1708">
        <v>3983.5</v>
      </c>
      <c r="AG1708">
        <v>0</v>
      </c>
      <c r="AH1708">
        <v>-120.5</v>
      </c>
    </row>
    <row r="1709" spans="2:34" x14ac:dyDescent="0.35">
      <c r="B1709" t="s">
        <v>565</v>
      </c>
      <c r="C1709">
        <v>45851</v>
      </c>
      <c r="F1709" t="s">
        <v>749</v>
      </c>
      <c r="H1709">
        <v>54.33</v>
      </c>
      <c r="O1709" t="s">
        <v>239</v>
      </c>
      <c r="P1709" t="s">
        <v>514</v>
      </c>
      <c r="Y1709">
        <v>1675</v>
      </c>
      <c r="Z1709" s="259" t="s">
        <v>630</v>
      </c>
      <c r="AA1709">
        <v>160</v>
      </c>
      <c r="AB1709">
        <v>8008</v>
      </c>
      <c r="AC1709">
        <v>45849</v>
      </c>
      <c r="AD1709">
        <v>2</v>
      </c>
      <c r="AE1709">
        <v>8692.7999999999993</v>
      </c>
      <c r="AF1709">
        <v>8692.7999999999993</v>
      </c>
      <c r="AG1709">
        <v>0</v>
      </c>
      <c r="AH1709">
        <v>684.79999999999927</v>
      </c>
    </row>
    <row r="1710" spans="2:34" x14ac:dyDescent="0.35">
      <c r="B1710" t="s">
        <v>565</v>
      </c>
      <c r="C1710">
        <v>45851</v>
      </c>
      <c r="F1710" t="s">
        <v>752</v>
      </c>
      <c r="H1710">
        <v>180.67</v>
      </c>
      <c r="O1710" t="s">
        <v>239</v>
      </c>
      <c r="P1710" t="s">
        <v>514</v>
      </c>
      <c r="Y1710">
        <v>1676</v>
      </c>
      <c r="Z1710" s="259" t="s">
        <v>630</v>
      </c>
      <c r="AA1710">
        <v>100</v>
      </c>
      <c r="AB1710">
        <v>20020</v>
      </c>
      <c r="AC1710">
        <v>45849</v>
      </c>
      <c r="AD1710">
        <v>2</v>
      </c>
      <c r="AE1710">
        <v>18067</v>
      </c>
      <c r="AF1710">
        <v>18067</v>
      </c>
      <c r="AG1710">
        <v>0</v>
      </c>
      <c r="AH1710">
        <v>-1953</v>
      </c>
    </row>
    <row r="1711" spans="2:34" x14ac:dyDescent="0.35">
      <c r="B1711" t="s">
        <v>565</v>
      </c>
      <c r="C1711">
        <v>45851</v>
      </c>
      <c r="F1711" t="s">
        <v>754</v>
      </c>
      <c r="H1711">
        <v>79.67</v>
      </c>
      <c r="O1711" t="s">
        <v>239</v>
      </c>
      <c r="P1711" t="s">
        <v>514</v>
      </c>
      <c r="Y1711">
        <v>1677</v>
      </c>
      <c r="Z1711" s="259" t="s">
        <v>630</v>
      </c>
      <c r="AA1711">
        <v>50</v>
      </c>
      <c r="AB1711">
        <v>4104</v>
      </c>
      <c r="AC1711">
        <v>45849</v>
      </c>
      <c r="AD1711">
        <v>2</v>
      </c>
      <c r="AE1711">
        <v>3983.5</v>
      </c>
      <c r="AF1711">
        <v>3983.5</v>
      </c>
      <c r="AG1711">
        <v>0</v>
      </c>
      <c r="AH1711">
        <v>-120.5</v>
      </c>
    </row>
    <row r="1712" spans="2:34" x14ac:dyDescent="0.35">
      <c r="B1712" t="s">
        <v>565</v>
      </c>
      <c r="C1712">
        <v>45852</v>
      </c>
      <c r="F1712" t="s">
        <v>749</v>
      </c>
      <c r="H1712">
        <v>53.98</v>
      </c>
      <c r="O1712" t="s">
        <v>239</v>
      </c>
      <c r="P1712" t="s">
        <v>514</v>
      </c>
      <c r="Y1712">
        <v>1678</v>
      </c>
      <c r="Z1712" s="259" t="s">
        <v>630</v>
      </c>
      <c r="AA1712">
        <v>160</v>
      </c>
      <c r="AB1712">
        <v>8008</v>
      </c>
      <c r="AC1712">
        <v>45852</v>
      </c>
      <c r="AD1712">
        <v>0</v>
      </c>
      <c r="AE1712">
        <v>8636.7999999999993</v>
      </c>
      <c r="AF1712">
        <v>8636.7999999999993</v>
      </c>
      <c r="AG1712">
        <v>0</v>
      </c>
      <c r="AH1712">
        <v>628.79999999999927</v>
      </c>
    </row>
    <row r="1713" spans="2:34" x14ac:dyDescent="0.35">
      <c r="B1713" t="s">
        <v>565</v>
      </c>
      <c r="C1713">
        <v>45852</v>
      </c>
      <c r="F1713" t="s">
        <v>752</v>
      </c>
      <c r="H1713">
        <v>180.27</v>
      </c>
      <c r="O1713" t="s">
        <v>239</v>
      </c>
      <c r="P1713" t="s">
        <v>514</v>
      </c>
      <c r="Y1713">
        <v>1679</v>
      </c>
      <c r="Z1713" s="259" t="s">
        <v>630</v>
      </c>
      <c r="AA1713">
        <v>100</v>
      </c>
      <c r="AB1713">
        <v>20020</v>
      </c>
      <c r="AC1713">
        <v>45852</v>
      </c>
      <c r="AD1713">
        <v>0</v>
      </c>
      <c r="AE1713">
        <v>18027</v>
      </c>
      <c r="AF1713">
        <v>18027</v>
      </c>
      <c r="AG1713">
        <v>0</v>
      </c>
      <c r="AH1713">
        <v>-1993</v>
      </c>
    </row>
    <row r="1714" spans="2:34" x14ac:dyDescent="0.35">
      <c r="B1714" t="s">
        <v>565</v>
      </c>
      <c r="C1714">
        <v>45852</v>
      </c>
      <c r="F1714" t="s">
        <v>754</v>
      </c>
      <c r="H1714">
        <v>79.27</v>
      </c>
      <c r="O1714" t="s">
        <v>239</v>
      </c>
      <c r="P1714" t="s">
        <v>514</v>
      </c>
      <c r="Y1714">
        <v>1680</v>
      </c>
      <c r="Z1714" s="259" t="s">
        <v>630</v>
      </c>
      <c r="AA1714">
        <v>50</v>
      </c>
      <c r="AB1714">
        <v>4104</v>
      </c>
      <c r="AC1714">
        <v>45852</v>
      </c>
      <c r="AD1714">
        <v>0</v>
      </c>
      <c r="AE1714">
        <v>3963.5</v>
      </c>
      <c r="AF1714">
        <v>3963.5</v>
      </c>
      <c r="AG1714">
        <v>0</v>
      </c>
      <c r="AH1714">
        <v>-140.5</v>
      </c>
    </row>
    <row r="1715" spans="2:34" x14ac:dyDescent="0.35">
      <c r="B1715" t="s">
        <v>565</v>
      </c>
      <c r="C1715">
        <v>45853</v>
      </c>
      <c r="F1715" t="s">
        <v>749</v>
      </c>
      <c r="H1715">
        <v>53.87</v>
      </c>
      <c r="O1715" t="s">
        <v>239</v>
      </c>
      <c r="P1715" t="s">
        <v>514</v>
      </c>
      <c r="Y1715">
        <v>1681</v>
      </c>
      <c r="Z1715" s="259" t="s">
        <v>630</v>
      </c>
      <c r="AA1715">
        <v>160</v>
      </c>
      <c r="AB1715">
        <v>8008</v>
      </c>
      <c r="AC1715">
        <v>45853</v>
      </c>
      <c r="AD1715">
        <v>0</v>
      </c>
      <c r="AE1715">
        <v>8619.1999999999989</v>
      </c>
      <c r="AF1715">
        <v>8619.1999999999989</v>
      </c>
      <c r="AG1715">
        <v>0</v>
      </c>
      <c r="AH1715">
        <v>611.19999999999891</v>
      </c>
    </row>
    <row r="1716" spans="2:34" x14ac:dyDescent="0.35">
      <c r="B1716" t="s">
        <v>565</v>
      </c>
      <c r="C1716">
        <v>45853</v>
      </c>
      <c r="F1716" t="s">
        <v>752</v>
      </c>
      <c r="H1716">
        <v>180.13</v>
      </c>
      <c r="O1716" t="s">
        <v>239</v>
      </c>
      <c r="P1716" t="s">
        <v>514</v>
      </c>
      <c r="Y1716">
        <v>1682</v>
      </c>
      <c r="Z1716" s="259" t="s">
        <v>630</v>
      </c>
      <c r="AA1716">
        <v>100</v>
      </c>
      <c r="AB1716">
        <v>20020</v>
      </c>
      <c r="AC1716">
        <v>45853</v>
      </c>
      <c r="AD1716">
        <v>0</v>
      </c>
      <c r="AE1716">
        <v>18013</v>
      </c>
      <c r="AF1716">
        <v>18013</v>
      </c>
      <c r="AG1716">
        <v>0</v>
      </c>
      <c r="AH1716">
        <v>-2007</v>
      </c>
    </row>
    <row r="1717" spans="2:34" x14ac:dyDescent="0.35">
      <c r="B1717" t="s">
        <v>565</v>
      </c>
      <c r="C1717">
        <v>45853</v>
      </c>
      <c r="F1717" t="s">
        <v>754</v>
      </c>
      <c r="H1717">
        <v>79.13</v>
      </c>
      <c r="O1717" t="s">
        <v>239</v>
      </c>
      <c r="P1717" t="s">
        <v>514</v>
      </c>
      <c r="Y1717">
        <v>1683</v>
      </c>
      <c r="Z1717" s="259" t="s">
        <v>630</v>
      </c>
      <c r="AA1717">
        <v>50</v>
      </c>
      <c r="AB1717">
        <v>4104</v>
      </c>
      <c r="AC1717">
        <v>45853</v>
      </c>
      <c r="AD1717">
        <v>0</v>
      </c>
      <c r="AE1717">
        <v>3956.5</v>
      </c>
      <c r="AF1717">
        <v>3956.5</v>
      </c>
      <c r="AG1717">
        <v>0</v>
      </c>
      <c r="AH1717">
        <v>-147.5</v>
      </c>
    </row>
    <row r="1718" spans="2:34" x14ac:dyDescent="0.35">
      <c r="B1718" t="s">
        <v>565</v>
      </c>
      <c r="C1718">
        <v>45854</v>
      </c>
      <c r="F1718" t="s">
        <v>749</v>
      </c>
      <c r="H1718">
        <v>53.75</v>
      </c>
      <c r="O1718" t="s">
        <v>239</v>
      </c>
      <c r="P1718" t="s">
        <v>514</v>
      </c>
      <c r="Y1718">
        <v>1684</v>
      </c>
      <c r="Z1718" s="259" t="s">
        <v>630</v>
      </c>
      <c r="AA1718">
        <v>160</v>
      </c>
      <c r="AB1718">
        <v>8008</v>
      </c>
      <c r="AC1718">
        <v>45854</v>
      </c>
      <c r="AD1718">
        <v>0</v>
      </c>
      <c r="AE1718">
        <v>8600</v>
      </c>
      <c r="AF1718">
        <v>8600</v>
      </c>
      <c r="AG1718">
        <v>0</v>
      </c>
      <c r="AH1718">
        <v>592</v>
      </c>
    </row>
    <row r="1719" spans="2:34" x14ac:dyDescent="0.35">
      <c r="B1719" t="s">
        <v>565</v>
      </c>
      <c r="C1719">
        <v>45854</v>
      </c>
      <c r="F1719" t="s">
        <v>752</v>
      </c>
      <c r="H1719">
        <v>180</v>
      </c>
      <c r="O1719" t="s">
        <v>239</v>
      </c>
      <c r="P1719" t="s">
        <v>514</v>
      </c>
      <c r="Y1719">
        <v>1685</v>
      </c>
      <c r="Z1719" s="259" t="s">
        <v>630</v>
      </c>
      <c r="AA1719">
        <v>100</v>
      </c>
      <c r="AB1719">
        <v>20020</v>
      </c>
      <c r="AC1719">
        <v>45854</v>
      </c>
      <c r="AD1719">
        <v>0</v>
      </c>
      <c r="AE1719">
        <v>18000</v>
      </c>
      <c r="AF1719">
        <v>18000</v>
      </c>
      <c r="AG1719">
        <v>0</v>
      </c>
      <c r="AH1719">
        <v>-2020</v>
      </c>
    </row>
    <row r="1720" spans="2:34" x14ac:dyDescent="0.35">
      <c r="B1720" t="s">
        <v>565</v>
      </c>
      <c r="C1720">
        <v>45854</v>
      </c>
      <c r="F1720" t="s">
        <v>754</v>
      </c>
      <c r="H1720">
        <v>79</v>
      </c>
      <c r="O1720" t="s">
        <v>239</v>
      </c>
      <c r="P1720" t="s">
        <v>514</v>
      </c>
      <c r="Y1720">
        <v>1686</v>
      </c>
      <c r="Z1720" s="259" t="s">
        <v>630</v>
      </c>
      <c r="AA1720">
        <v>50</v>
      </c>
      <c r="AB1720">
        <v>4104</v>
      </c>
      <c r="AC1720">
        <v>45854</v>
      </c>
      <c r="AD1720">
        <v>0</v>
      </c>
      <c r="AE1720">
        <v>3950</v>
      </c>
      <c r="AF1720">
        <v>3950</v>
      </c>
      <c r="AG1720">
        <v>0</v>
      </c>
      <c r="AH1720">
        <v>-154</v>
      </c>
    </row>
    <row r="1721" spans="2:34" x14ac:dyDescent="0.35">
      <c r="B1721" t="s">
        <v>565</v>
      </c>
      <c r="C1721">
        <v>45855</v>
      </c>
      <c r="F1721" t="s">
        <v>749</v>
      </c>
      <c r="H1721">
        <v>53.63</v>
      </c>
      <c r="O1721" t="s">
        <v>239</v>
      </c>
      <c r="P1721" t="s">
        <v>514</v>
      </c>
      <c r="Y1721">
        <v>1687</v>
      </c>
      <c r="Z1721" s="259" t="s">
        <v>630</v>
      </c>
      <c r="AA1721">
        <v>160</v>
      </c>
      <c r="AB1721">
        <v>8008</v>
      </c>
      <c r="AC1721">
        <v>45855</v>
      </c>
      <c r="AD1721">
        <v>0</v>
      </c>
      <c r="AE1721">
        <v>8580.8000000000011</v>
      </c>
      <c r="AF1721">
        <v>8580.8000000000011</v>
      </c>
      <c r="AG1721">
        <v>0</v>
      </c>
      <c r="AH1721">
        <v>572.80000000000109</v>
      </c>
    </row>
    <row r="1722" spans="2:34" x14ac:dyDescent="0.35">
      <c r="B1722" t="s">
        <v>565</v>
      </c>
      <c r="C1722">
        <v>45855</v>
      </c>
      <c r="F1722" t="s">
        <v>752</v>
      </c>
      <c r="H1722">
        <v>179.87</v>
      </c>
      <c r="O1722" t="s">
        <v>239</v>
      </c>
      <c r="P1722" t="s">
        <v>514</v>
      </c>
      <c r="Y1722">
        <v>1688</v>
      </c>
      <c r="Z1722" s="259" t="s">
        <v>630</v>
      </c>
      <c r="AA1722">
        <v>100</v>
      </c>
      <c r="AB1722">
        <v>20020</v>
      </c>
      <c r="AC1722">
        <v>45855</v>
      </c>
      <c r="AD1722">
        <v>0</v>
      </c>
      <c r="AE1722">
        <v>17987</v>
      </c>
      <c r="AF1722">
        <v>17987</v>
      </c>
      <c r="AG1722">
        <v>0</v>
      </c>
      <c r="AH1722">
        <v>-2033</v>
      </c>
    </row>
    <row r="1723" spans="2:34" x14ac:dyDescent="0.35">
      <c r="B1723" t="s">
        <v>565</v>
      </c>
      <c r="C1723">
        <v>45855</v>
      </c>
      <c r="F1723" t="s">
        <v>754</v>
      </c>
      <c r="H1723">
        <v>78.87</v>
      </c>
      <c r="O1723" t="s">
        <v>239</v>
      </c>
      <c r="P1723" t="s">
        <v>514</v>
      </c>
      <c r="Y1723">
        <v>1689</v>
      </c>
      <c r="Z1723" s="259" t="s">
        <v>630</v>
      </c>
      <c r="AA1723">
        <v>50</v>
      </c>
      <c r="AB1723">
        <v>4104</v>
      </c>
      <c r="AC1723">
        <v>45855</v>
      </c>
      <c r="AD1723">
        <v>0</v>
      </c>
      <c r="AE1723">
        <v>3943.5</v>
      </c>
      <c r="AF1723">
        <v>3943.5</v>
      </c>
      <c r="AG1723">
        <v>0</v>
      </c>
      <c r="AH1723">
        <v>-160.5</v>
      </c>
    </row>
    <row r="1724" spans="2:34" x14ac:dyDescent="0.35">
      <c r="B1724" t="s">
        <v>565</v>
      </c>
      <c r="C1724">
        <v>45856</v>
      </c>
      <c r="F1724" t="s">
        <v>749</v>
      </c>
      <c r="H1724">
        <v>53.52</v>
      </c>
      <c r="O1724" t="s">
        <v>239</v>
      </c>
      <c r="P1724" t="s">
        <v>514</v>
      </c>
      <c r="Y1724">
        <v>1690</v>
      </c>
      <c r="Z1724" s="259" t="s">
        <v>630</v>
      </c>
      <c r="AA1724">
        <v>160</v>
      </c>
      <c r="AB1724">
        <v>8008</v>
      </c>
      <c r="AC1724">
        <v>45856</v>
      </c>
      <c r="AD1724">
        <v>0</v>
      </c>
      <c r="AE1724">
        <v>8563.2000000000007</v>
      </c>
      <c r="AF1724">
        <v>8563.2000000000007</v>
      </c>
      <c r="AG1724">
        <v>0</v>
      </c>
      <c r="AH1724">
        <v>555.20000000000073</v>
      </c>
    </row>
    <row r="1725" spans="2:34" x14ac:dyDescent="0.35">
      <c r="B1725" t="s">
        <v>565</v>
      </c>
      <c r="C1725">
        <v>45856</v>
      </c>
      <c r="F1725" t="s">
        <v>752</v>
      </c>
      <c r="H1725">
        <v>179.73</v>
      </c>
      <c r="O1725" t="s">
        <v>239</v>
      </c>
      <c r="P1725" t="s">
        <v>514</v>
      </c>
      <c r="Y1725">
        <v>1691</v>
      </c>
      <c r="Z1725" s="259" t="s">
        <v>630</v>
      </c>
      <c r="AA1725">
        <v>100</v>
      </c>
      <c r="AB1725">
        <v>20020</v>
      </c>
      <c r="AC1725">
        <v>45856</v>
      </c>
      <c r="AD1725">
        <v>0</v>
      </c>
      <c r="AE1725">
        <v>17973</v>
      </c>
      <c r="AF1725">
        <v>17973</v>
      </c>
      <c r="AG1725">
        <v>0</v>
      </c>
      <c r="AH1725">
        <v>-2047</v>
      </c>
    </row>
    <row r="1726" spans="2:34" x14ac:dyDescent="0.35">
      <c r="B1726" t="s">
        <v>565</v>
      </c>
      <c r="C1726">
        <v>45856</v>
      </c>
      <c r="F1726" t="s">
        <v>754</v>
      </c>
      <c r="H1726">
        <v>78.73</v>
      </c>
      <c r="O1726" t="s">
        <v>239</v>
      </c>
      <c r="P1726" t="s">
        <v>514</v>
      </c>
      <c r="Y1726">
        <v>1692</v>
      </c>
      <c r="Z1726" s="259" t="s">
        <v>630</v>
      </c>
      <c r="AA1726">
        <v>50</v>
      </c>
      <c r="AB1726">
        <v>4104</v>
      </c>
      <c r="AC1726">
        <v>45856</v>
      </c>
      <c r="AD1726">
        <v>0</v>
      </c>
      <c r="AE1726">
        <v>3936.5</v>
      </c>
      <c r="AF1726">
        <v>3936.5</v>
      </c>
      <c r="AG1726">
        <v>0</v>
      </c>
      <c r="AH1726">
        <v>-167.5</v>
      </c>
    </row>
    <row r="1727" spans="2:34" x14ac:dyDescent="0.35">
      <c r="B1727" t="s">
        <v>565</v>
      </c>
      <c r="C1727">
        <v>45857</v>
      </c>
      <c r="F1727" t="s">
        <v>749</v>
      </c>
      <c r="H1727">
        <v>53.52</v>
      </c>
      <c r="O1727" t="s">
        <v>239</v>
      </c>
      <c r="P1727" t="s">
        <v>514</v>
      </c>
      <c r="Y1727">
        <v>1693</v>
      </c>
      <c r="Z1727" s="259" t="s">
        <v>630</v>
      </c>
      <c r="AA1727">
        <v>160</v>
      </c>
      <c r="AB1727">
        <v>8008</v>
      </c>
      <c r="AC1727">
        <v>45856</v>
      </c>
      <c r="AD1727">
        <v>1</v>
      </c>
      <c r="AE1727">
        <v>8563.2000000000007</v>
      </c>
      <c r="AF1727">
        <v>8563.2000000000007</v>
      </c>
      <c r="AG1727">
        <v>0</v>
      </c>
      <c r="AH1727">
        <v>555.20000000000073</v>
      </c>
    </row>
    <row r="1728" spans="2:34" x14ac:dyDescent="0.35">
      <c r="B1728" t="s">
        <v>565</v>
      </c>
      <c r="C1728">
        <v>45857</v>
      </c>
      <c r="F1728" t="s">
        <v>752</v>
      </c>
      <c r="H1728">
        <v>179.73</v>
      </c>
      <c r="O1728" t="s">
        <v>239</v>
      </c>
      <c r="P1728" t="s">
        <v>514</v>
      </c>
      <c r="Y1728">
        <v>1694</v>
      </c>
      <c r="Z1728" s="259" t="s">
        <v>630</v>
      </c>
      <c r="AA1728">
        <v>100</v>
      </c>
      <c r="AB1728">
        <v>20020</v>
      </c>
      <c r="AC1728">
        <v>45856</v>
      </c>
      <c r="AD1728">
        <v>1</v>
      </c>
      <c r="AE1728">
        <v>17973</v>
      </c>
      <c r="AF1728">
        <v>17973</v>
      </c>
      <c r="AG1728">
        <v>0</v>
      </c>
      <c r="AH1728">
        <v>-2047</v>
      </c>
    </row>
    <row r="1729" spans="2:34" x14ac:dyDescent="0.35">
      <c r="B1729" t="s">
        <v>565</v>
      </c>
      <c r="C1729">
        <v>45857</v>
      </c>
      <c r="F1729" t="s">
        <v>754</v>
      </c>
      <c r="H1729">
        <v>78.73</v>
      </c>
      <c r="O1729" t="s">
        <v>239</v>
      </c>
      <c r="P1729" t="s">
        <v>514</v>
      </c>
      <c r="Y1729">
        <v>1695</v>
      </c>
      <c r="Z1729" s="259" t="s">
        <v>630</v>
      </c>
      <c r="AA1729">
        <v>50</v>
      </c>
      <c r="AB1729">
        <v>4104</v>
      </c>
      <c r="AC1729">
        <v>45856</v>
      </c>
      <c r="AD1729">
        <v>1</v>
      </c>
      <c r="AE1729">
        <v>3936.5</v>
      </c>
      <c r="AF1729">
        <v>3936.5</v>
      </c>
      <c r="AG1729">
        <v>0</v>
      </c>
      <c r="AH1729">
        <v>-167.5</v>
      </c>
    </row>
    <row r="1730" spans="2:34" x14ac:dyDescent="0.35">
      <c r="B1730" t="s">
        <v>565</v>
      </c>
      <c r="C1730">
        <v>45858</v>
      </c>
      <c r="F1730" t="s">
        <v>749</v>
      </c>
      <c r="H1730">
        <v>53.52</v>
      </c>
      <c r="O1730" t="s">
        <v>239</v>
      </c>
      <c r="P1730" t="s">
        <v>514</v>
      </c>
      <c r="Y1730">
        <v>1696</v>
      </c>
      <c r="Z1730" s="259" t="s">
        <v>630</v>
      </c>
      <c r="AA1730">
        <v>160</v>
      </c>
      <c r="AB1730">
        <v>8008</v>
      </c>
      <c r="AC1730">
        <v>45856</v>
      </c>
      <c r="AD1730">
        <v>2</v>
      </c>
      <c r="AE1730">
        <v>8563.2000000000007</v>
      </c>
      <c r="AF1730">
        <v>8563.2000000000007</v>
      </c>
      <c r="AG1730">
        <v>0</v>
      </c>
      <c r="AH1730">
        <v>555.20000000000073</v>
      </c>
    </row>
    <row r="1731" spans="2:34" x14ac:dyDescent="0.35">
      <c r="B1731" t="s">
        <v>565</v>
      </c>
      <c r="C1731">
        <v>45858</v>
      </c>
      <c r="F1731" t="s">
        <v>752</v>
      </c>
      <c r="H1731">
        <v>179.73</v>
      </c>
      <c r="O1731" t="s">
        <v>239</v>
      </c>
      <c r="P1731" t="s">
        <v>514</v>
      </c>
      <c r="Y1731">
        <v>1697</v>
      </c>
      <c r="Z1731" s="259" t="s">
        <v>630</v>
      </c>
      <c r="AA1731">
        <v>100</v>
      </c>
      <c r="AB1731">
        <v>20020</v>
      </c>
      <c r="AC1731">
        <v>45856</v>
      </c>
      <c r="AD1731">
        <v>2</v>
      </c>
      <c r="AE1731">
        <v>17973</v>
      </c>
      <c r="AF1731">
        <v>17973</v>
      </c>
      <c r="AG1731">
        <v>0</v>
      </c>
      <c r="AH1731">
        <v>-2047</v>
      </c>
    </row>
    <row r="1732" spans="2:34" x14ac:dyDescent="0.35">
      <c r="B1732" t="s">
        <v>565</v>
      </c>
      <c r="C1732">
        <v>45858</v>
      </c>
      <c r="F1732" t="s">
        <v>754</v>
      </c>
      <c r="H1732">
        <v>78.73</v>
      </c>
      <c r="O1732" t="s">
        <v>239</v>
      </c>
      <c r="P1732" t="s">
        <v>514</v>
      </c>
      <c r="Y1732">
        <v>1698</v>
      </c>
      <c r="Z1732" s="259" t="s">
        <v>630</v>
      </c>
      <c r="AA1732">
        <v>50</v>
      </c>
      <c r="AB1732">
        <v>4104</v>
      </c>
      <c r="AC1732">
        <v>45856</v>
      </c>
      <c r="AD1732">
        <v>2</v>
      </c>
      <c r="AE1732">
        <v>3936.5</v>
      </c>
      <c r="AF1732">
        <v>3936.5</v>
      </c>
      <c r="AG1732">
        <v>0</v>
      </c>
      <c r="AH1732">
        <v>-167.5</v>
      </c>
    </row>
    <row r="1733" spans="2:34" x14ac:dyDescent="0.35">
      <c r="B1733" t="s">
        <v>565</v>
      </c>
      <c r="C1733">
        <v>45859</v>
      </c>
      <c r="F1733" t="s">
        <v>749</v>
      </c>
      <c r="H1733">
        <v>53.17</v>
      </c>
      <c r="O1733" t="s">
        <v>239</v>
      </c>
      <c r="P1733" t="s">
        <v>514</v>
      </c>
      <c r="Y1733">
        <v>1699</v>
      </c>
      <c r="Z1733" s="259" t="s">
        <v>630</v>
      </c>
      <c r="AA1733">
        <v>160</v>
      </c>
      <c r="AB1733">
        <v>8008</v>
      </c>
      <c r="AC1733">
        <v>45859</v>
      </c>
      <c r="AD1733">
        <v>0</v>
      </c>
      <c r="AE1733">
        <v>8507.2000000000007</v>
      </c>
      <c r="AF1733">
        <v>8507.2000000000007</v>
      </c>
      <c r="AG1733">
        <v>0</v>
      </c>
      <c r="AH1733">
        <v>499.20000000000073</v>
      </c>
    </row>
    <row r="1734" spans="2:34" x14ac:dyDescent="0.35">
      <c r="B1734" t="s">
        <v>565</v>
      </c>
      <c r="C1734">
        <v>45859</v>
      </c>
      <c r="F1734" t="s">
        <v>752</v>
      </c>
      <c r="H1734">
        <v>179.33</v>
      </c>
      <c r="O1734" t="s">
        <v>239</v>
      </c>
      <c r="P1734" t="s">
        <v>514</v>
      </c>
      <c r="Y1734">
        <v>1700</v>
      </c>
      <c r="Z1734" s="259" t="s">
        <v>630</v>
      </c>
      <c r="AA1734">
        <v>100</v>
      </c>
      <c r="AB1734">
        <v>20020</v>
      </c>
      <c r="AC1734">
        <v>45859</v>
      </c>
      <c r="AD1734">
        <v>0</v>
      </c>
      <c r="AE1734">
        <v>17933</v>
      </c>
      <c r="AF1734">
        <v>17933</v>
      </c>
      <c r="AG1734">
        <v>0</v>
      </c>
      <c r="AH1734">
        <v>-2087</v>
      </c>
    </row>
    <row r="1735" spans="2:34" x14ac:dyDescent="0.35">
      <c r="B1735" t="s">
        <v>565</v>
      </c>
      <c r="C1735">
        <v>45859</v>
      </c>
      <c r="F1735" t="s">
        <v>754</v>
      </c>
      <c r="H1735">
        <v>78.33</v>
      </c>
      <c r="O1735" t="s">
        <v>239</v>
      </c>
      <c r="P1735" t="s">
        <v>514</v>
      </c>
      <c r="Y1735">
        <v>1701</v>
      </c>
      <c r="Z1735" s="259" t="s">
        <v>630</v>
      </c>
      <c r="AA1735">
        <v>50</v>
      </c>
      <c r="AB1735">
        <v>4104</v>
      </c>
      <c r="AC1735">
        <v>45859</v>
      </c>
      <c r="AD1735">
        <v>0</v>
      </c>
      <c r="AE1735">
        <v>3916.5</v>
      </c>
      <c r="AF1735">
        <v>3916.5</v>
      </c>
      <c r="AG1735">
        <v>0</v>
      </c>
      <c r="AH1735">
        <v>-187.5</v>
      </c>
    </row>
    <row r="1736" spans="2:34" x14ac:dyDescent="0.35">
      <c r="B1736" t="s">
        <v>565</v>
      </c>
      <c r="C1736">
        <v>45860</v>
      </c>
      <c r="F1736" t="s">
        <v>749</v>
      </c>
      <c r="H1736">
        <v>53.05</v>
      </c>
      <c r="O1736" t="s">
        <v>239</v>
      </c>
      <c r="P1736" t="s">
        <v>514</v>
      </c>
      <c r="Y1736">
        <v>1702</v>
      </c>
      <c r="Z1736" s="259" t="s">
        <v>630</v>
      </c>
      <c r="AA1736">
        <v>160</v>
      </c>
      <c r="AB1736">
        <v>8008</v>
      </c>
      <c r="AC1736">
        <v>45860</v>
      </c>
      <c r="AD1736">
        <v>0</v>
      </c>
      <c r="AE1736">
        <v>8488</v>
      </c>
      <c r="AF1736">
        <v>8488</v>
      </c>
      <c r="AG1736">
        <v>0</v>
      </c>
      <c r="AH1736">
        <v>480</v>
      </c>
    </row>
    <row r="1737" spans="2:34" x14ac:dyDescent="0.35">
      <c r="B1737" t="s">
        <v>565</v>
      </c>
      <c r="C1737">
        <v>45860</v>
      </c>
      <c r="F1737" t="s">
        <v>752</v>
      </c>
      <c r="H1737">
        <v>179.2</v>
      </c>
      <c r="O1737" t="s">
        <v>239</v>
      </c>
      <c r="P1737" t="s">
        <v>514</v>
      </c>
      <c r="Y1737">
        <v>1703</v>
      </c>
      <c r="Z1737" s="259" t="s">
        <v>630</v>
      </c>
      <c r="AA1737">
        <v>100</v>
      </c>
      <c r="AB1737">
        <v>20020</v>
      </c>
      <c r="AC1737">
        <v>45860</v>
      </c>
      <c r="AD1737">
        <v>0</v>
      </c>
      <c r="AE1737">
        <v>17920</v>
      </c>
      <c r="AF1737">
        <v>17920</v>
      </c>
      <c r="AG1737">
        <v>0</v>
      </c>
      <c r="AH1737">
        <v>-2100</v>
      </c>
    </row>
    <row r="1738" spans="2:34" x14ac:dyDescent="0.35">
      <c r="B1738" t="s">
        <v>565</v>
      </c>
      <c r="C1738">
        <v>45860</v>
      </c>
      <c r="F1738" t="s">
        <v>754</v>
      </c>
      <c r="H1738">
        <v>78.2</v>
      </c>
      <c r="O1738" t="s">
        <v>239</v>
      </c>
      <c r="P1738" t="s">
        <v>514</v>
      </c>
      <c r="Y1738">
        <v>1704</v>
      </c>
      <c r="Z1738" s="259" t="s">
        <v>630</v>
      </c>
      <c r="AA1738">
        <v>50</v>
      </c>
      <c r="AB1738">
        <v>4104</v>
      </c>
      <c r="AC1738">
        <v>45860</v>
      </c>
      <c r="AD1738">
        <v>0</v>
      </c>
      <c r="AE1738">
        <v>3910</v>
      </c>
      <c r="AF1738">
        <v>3910</v>
      </c>
      <c r="AG1738">
        <v>0</v>
      </c>
      <c r="AH1738">
        <v>-194</v>
      </c>
    </row>
    <row r="1739" spans="2:34" x14ac:dyDescent="0.35">
      <c r="B1739" t="s">
        <v>565</v>
      </c>
      <c r="C1739">
        <v>45861</v>
      </c>
      <c r="F1739" t="s">
        <v>749</v>
      </c>
      <c r="H1739">
        <v>52.93</v>
      </c>
      <c r="O1739" t="s">
        <v>239</v>
      </c>
      <c r="P1739" t="s">
        <v>514</v>
      </c>
      <c r="Y1739">
        <v>1705</v>
      </c>
      <c r="Z1739" s="259" t="s">
        <v>630</v>
      </c>
      <c r="AA1739">
        <v>160</v>
      </c>
      <c r="AB1739">
        <v>8008</v>
      </c>
      <c r="AC1739">
        <v>45861</v>
      </c>
      <c r="AD1739">
        <v>0</v>
      </c>
      <c r="AE1739">
        <v>8468.7999999999993</v>
      </c>
      <c r="AF1739">
        <v>8468.7999999999993</v>
      </c>
      <c r="AG1739">
        <v>0</v>
      </c>
      <c r="AH1739">
        <v>460.79999999999927</v>
      </c>
    </row>
    <row r="1740" spans="2:34" x14ac:dyDescent="0.35">
      <c r="B1740" t="s">
        <v>565</v>
      </c>
      <c r="C1740">
        <v>45861</v>
      </c>
      <c r="F1740" t="s">
        <v>752</v>
      </c>
      <c r="H1740">
        <v>179.07</v>
      </c>
      <c r="O1740" t="s">
        <v>239</v>
      </c>
      <c r="P1740" t="s">
        <v>514</v>
      </c>
      <c r="Y1740">
        <v>1706</v>
      </c>
      <c r="Z1740" s="259" t="s">
        <v>630</v>
      </c>
      <c r="AA1740">
        <v>100</v>
      </c>
      <c r="AB1740">
        <v>20020</v>
      </c>
      <c r="AC1740">
        <v>45861</v>
      </c>
      <c r="AD1740">
        <v>0</v>
      </c>
      <c r="AE1740">
        <v>17907</v>
      </c>
      <c r="AF1740">
        <v>17907</v>
      </c>
      <c r="AG1740">
        <v>0</v>
      </c>
      <c r="AH1740">
        <v>-2113</v>
      </c>
    </row>
    <row r="1741" spans="2:34" x14ac:dyDescent="0.35">
      <c r="B1741" t="s">
        <v>565</v>
      </c>
      <c r="C1741">
        <v>45861</v>
      </c>
      <c r="F1741" t="s">
        <v>754</v>
      </c>
      <c r="H1741">
        <v>78.069999999999993</v>
      </c>
      <c r="O1741" t="s">
        <v>239</v>
      </c>
      <c r="P1741" t="s">
        <v>514</v>
      </c>
      <c r="Y1741">
        <v>1707</v>
      </c>
      <c r="Z1741" s="259" t="s">
        <v>630</v>
      </c>
      <c r="AA1741">
        <v>50</v>
      </c>
      <c r="AB1741">
        <v>4104</v>
      </c>
      <c r="AC1741">
        <v>45861</v>
      </c>
      <c r="AD1741">
        <v>0</v>
      </c>
      <c r="AE1741">
        <v>3903.4999999999995</v>
      </c>
      <c r="AF1741">
        <v>3903.4999999999995</v>
      </c>
      <c r="AG1741">
        <v>0</v>
      </c>
      <c r="AH1741">
        <v>-200.50000000000045</v>
      </c>
    </row>
    <row r="1742" spans="2:34" x14ac:dyDescent="0.35">
      <c r="B1742" t="s">
        <v>565</v>
      </c>
      <c r="C1742">
        <v>45862</v>
      </c>
      <c r="F1742" t="s">
        <v>749</v>
      </c>
      <c r="H1742">
        <v>52.82</v>
      </c>
      <c r="O1742" t="s">
        <v>239</v>
      </c>
      <c r="P1742" t="s">
        <v>514</v>
      </c>
      <c r="Y1742">
        <v>1708</v>
      </c>
      <c r="Z1742" s="259" t="s">
        <v>630</v>
      </c>
      <c r="AA1742">
        <v>160</v>
      </c>
      <c r="AB1742">
        <v>8008</v>
      </c>
      <c r="AC1742">
        <v>45862</v>
      </c>
      <c r="AD1742">
        <v>0</v>
      </c>
      <c r="AE1742">
        <v>8451.2000000000007</v>
      </c>
      <c r="AF1742">
        <v>8451.2000000000007</v>
      </c>
      <c r="AG1742">
        <v>0</v>
      </c>
      <c r="AH1742">
        <v>443.20000000000073</v>
      </c>
    </row>
    <row r="1743" spans="2:34" x14ac:dyDescent="0.35">
      <c r="B1743" t="s">
        <v>565</v>
      </c>
      <c r="C1743">
        <v>45862</v>
      </c>
      <c r="F1743" t="s">
        <v>752</v>
      </c>
      <c r="H1743">
        <v>178.93</v>
      </c>
      <c r="O1743" t="s">
        <v>239</v>
      </c>
      <c r="P1743" t="s">
        <v>514</v>
      </c>
      <c r="Y1743">
        <v>1709</v>
      </c>
      <c r="Z1743" s="259" t="s">
        <v>630</v>
      </c>
      <c r="AA1743">
        <v>100</v>
      </c>
      <c r="AB1743">
        <v>20020</v>
      </c>
      <c r="AC1743">
        <v>45862</v>
      </c>
      <c r="AD1743">
        <v>0</v>
      </c>
      <c r="AE1743">
        <v>17893</v>
      </c>
      <c r="AF1743">
        <v>17893</v>
      </c>
      <c r="AG1743">
        <v>0</v>
      </c>
      <c r="AH1743">
        <v>-2127</v>
      </c>
    </row>
    <row r="1744" spans="2:34" x14ac:dyDescent="0.35">
      <c r="B1744" t="s">
        <v>565</v>
      </c>
      <c r="C1744">
        <v>45862</v>
      </c>
      <c r="F1744" t="s">
        <v>754</v>
      </c>
      <c r="H1744">
        <v>77.930000000000007</v>
      </c>
      <c r="O1744" t="s">
        <v>239</v>
      </c>
      <c r="P1744" t="s">
        <v>514</v>
      </c>
      <c r="Y1744">
        <v>1710</v>
      </c>
      <c r="Z1744" s="259" t="s">
        <v>630</v>
      </c>
      <c r="AA1744">
        <v>50</v>
      </c>
      <c r="AB1744">
        <v>4104</v>
      </c>
      <c r="AC1744">
        <v>45862</v>
      </c>
      <c r="AD1744">
        <v>0</v>
      </c>
      <c r="AE1744">
        <v>3896.5000000000005</v>
      </c>
      <c r="AF1744">
        <v>3896.5000000000005</v>
      </c>
      <c r="AG1744">
        <v>0</v>
      </c>
      <c r="AH1744">
        <v>-207.49999999999955</v>
      </c>
    </row>
    <row r="1745" spans="2:34" x14ac:dyDescent="0.35">
      <c r="B1745" t="s">
        <v>565</v>
      </c>
      <c r="C1745">
        <v>45863</v>
      </c>
      <c r="F1745" t="s">
        <v>749</v>
      </c>
      <c r="H1745">
        <v>52.7</v>
      </c>
      <c r="O1745" t="s">
        <v>239</v>
      </c>
      <c r="P1745" t="s">
        <v>514</v>
      </c>
      <c r="Y1745">
        <v>1711</v>
      </c>
      <c r="Z1745" s="259" t="s">
        <v>630</v>
      </c>
      <c r="AA1745">
        <v>160</v>
      </c>
      <c r="AB1745">
        <v>8008</v>
      </c>
      <c r="AC1745">
        <v>45863</v>
      </c>
      <c r="AD1745">
        <v>0</v>
      </c>
      <c r="AE1745">
        <v>8432</v>
      </c>
      <c r="AF1745">
        <v>8432</v>
      </c>
      <c r="AG1745">
        <v>0</v>
      </c>
      <c r="AH1745">
        <v>424</v>
      </c>
    </row>
    <row r="1746" spans="2:34" x14ac:dyDescent="0.35">
      <c r="B1746" t="s">
        <v>565</v>
      </c>
      <c r="C1746">
        <v>45863</v>
      </c>
      <c r="F1746" t="s">
        <v>752</v>
      </c>
      <c r="H1746">
        <v>178.8</v>
      </c>
      <c r="O1746" t="s">
        <v>239</v>
      </c>
      <c r="P1746" t="s">
        <v>514</v>
      </c>
      <c r="Y1746">
        <v>1712</v>
      </c>
      <c r="Z1746" s="259" t="s">
        <v>630</v>
      </c>
      <c r="AA1746">
        <v>100</v>
      </c>
      <c r="AB1746">
        <v>20020</v>
      </c>
      <c r="AC1746">
        <v>45863</v>
      </c>
      <c r="AD1746">
        <v>0</v>
      </c>
      <c r="AE1746">
        <v>17880</v>
      </c>
      <c r="AF1746">
        <v>17880</v>
      </c>
      <c r="AG1746">
        <v>0</v>
      </c>
      <c r="AH1746">
        <v>-2140</v>
      </c>
    </row>
    <row r="1747" spans="2:34" x14ac:dyDescent="0.35">
      <c r="B1747" t="s">
        <v>565</v>
      </c>
      <c r="C1747">
        <v>45863</v>
      </c>
      <c r="F1747" t="s">
        <v>754</v>
      </c>
      <c r="H1747">
        <v>77.8</v>
      </c>
      <c r="O1747" t="s">
        <v>239</v>
      </c>
      <c r="P1747" t="s">
        <v>514</v>
      </c>
      <c r="Y1747">
        <v>1713</v>
      </c>
      <c r="Z1747" s="259" t="s">
        <v>630</v>
      </c>
      <c r="AA1747">
        <v>50</v>
      </c>
      <c r="AB1747">
        <v>4104</v>
      </c>
      <c r="AC1747">
        <v>45863</v>
      </c>
      <c r="AD1747">
        <v>0</v>
      </c>
      <c r="AE1747">
        <v>3890</v>
      </c>
      <c r="AF1747">
        <v>3890</v>
      </c>
      <c r="AG1747">
        <v>0</v>
      </c>
      <c r="AH1747">
        <v>-214</v>
      </c>
    </row>
    <row r="1748" spans="2:34" x14ac:dyDescent="0.35">
      <c r="B1748" t="s">
        <v>565</v>
      </c>
      <c r="C1748">
        <v>45864</v>
      </c>
      <c r="F1748" t="s">
        <v>749</v>
      </c>
      <c r="H1748">
        <v>52.7</v>
      </c>
      <c r="O1748" t="s">
        <v>239</v>
      </c>
      <c r="P1748" t="s">
        <v>514</v>
      </c>
      <c r="Y1748">
        <v>1714</v>
      </c>
      <c r="Z1748" s="259" t="s">
        <v>630</v>
      </c>
      <c r="AA1748">
        <v>160</v>
      </c>
      <c r="AB1748">
        <v>8008</v>
      </c>
      <c r="AC1748">
        <v>45863</v>
      </c>
      <c r="AD1748">
        <v>1</v>
      </c>
      <c r="AE1748">
        <v>8432</v>
      </c>
      <c r="AF1748">
        <v>8432</v>
      </c>
      <c r="AG1748">
        <v>0</v>
      </c>
      <c r="AH1748">
        <v>424</v>
      </c>
    </row>
    <row r="1749" spans="2:34" x14ac:dyDescent="0.35">
      <c r="B1749" t="s">
        <v>565</v>
      </c>
      <c r="C1749">
        <v>45864</v>
      </c>
      <c r="F1749" t="s">
        <v>752</v>
      </c>
      <c r="H1749">
        <v>178.8</v>
      </c>
      <c r="O1749" t="s">
        <v>239</v>
      </c>
      <c r="P1749" t="s">
        <v>514</v>
      </c>
      <c r="Y1749">
        <v>1715</v>
      </c>
      <c r="Z1749" s="259" t="s">
        <v>630</v>
      </c>
      <c r="AA1749">
        <v>100</v>
      </c>
      <c r="AB1749">
        <v>20020</v>
      </c>
      <c r="AC1749">
        <v>45863</v>
      </c>
      <c r="AD1749">
        <v>1</v>
      </c>
      <c r="AE1749">
        <v>17880</v>
      </c>
      <c r="AF1749">
        <v>17880</v>
      </c>
      <c r="AG1749">
        <v>0</v>
      </c>
      <c r="AH1749">
        <v>-2140</v>
      </c>
    </row>
    <row r="1750" spans="2:34" x14ac:dyDescent="0.35">
      <c r="B1750" t="s">
        <v>565</v>
      </c>
      <c r="C1750">
        <v>45864</v>
      </c>
      <c r="F1750" t="s">
        <v>754</v>
      </c>
      <c r="H1750">
        <v>77.8</v>
      </c>
      <c r="O1750" t="s">
        <v>239</v>
      </c>
      <c r="P1750" t="s">
        <v>514</v>
      </c>
      <c r="Y1750">
        <v>1716</v>
      </c>
      <c r="Z1750" s="259" t="s">
        <v>630</v>
      </c>
      <c r="AA1750">
        <v>50</v>
      </c>
      <c r="AB1750">
        <v>4104</v>
      </c>
      <c r="AC1750">
        <v>45863</v>
      </c>
      <c r="AD1750">
        <v>1</v>
      </c>
      <c r="AE1750">
        <v>3890</v>
      </c>
      <c r="AF1750">
        <v>3890</v>
      </c>
      <c r="AG1750">
        <v>0</v>
      </c>
      <c r="AH1750">
        <v>-214</v>
      </c>
    </row>
    <row r="1751" spans="2:34" x14ac:dyDescent="0.35">
      <c r="B1751" t="s">
        <v>565</v>
      </c>
      <c r="C1751">
        <v>45865</v>
      </c>
      <c r="F1751" t="s">
        <v>749</v>
      </c>
      <c r="H1751">
        <v>52.7</v>
      </c>
      <c r="O1751" t="s">
        <v>239</v>
      </c>
      <c r="P1751" t="s">
        <v>514</v>
      </c>
      <c r="Y1751">
        <v>1717</v>
      </c>
      <c r="Z1751" s="259" t="s">
        <v>630</v>
      </c>
      <c r="AA1751">
        <v>160</v>
      </c>
      <c r="AB1751">
        <v>8008</v>
      </c>
      <c r="AC1751">
        <v>45863</v>
      </c>
      <c r="AD1751">
        <v>2</v>
      </c>
      <c r="AE1751">
        <v>8432</v>
      </c>
      <c r="AF1751">
        <v>8432</v>
      </c>
      <c r="AG1751">
        <v>0</v>
      </c>
      <c r="AH1751">
        <v>424</v>
      </c>
    </row>
    <row r="1752" spans="2:34" x14ac:dyDescent="0.35">
      <c r="B1752" t="s">
        <v>565</v>
      </c>
      <c r="C1752">
        <v>45865</v>
      </c>
      <c r="F1752" t="s">
        <v>752</v>
      </c>
      <c r="H1752">
        <v>178.8</v>
      </c>
      <c r="O1752" t="s">
        <v>239</v>
      </c>
      <c r="P1752" t="s">
        <v>514</v>
      </c>
      <c r="Y1752">
        <v>1718</v>
      </c>
      <c r="Z1752" s="259" t="s">
        <v>630</v>
      </c>
      <c r="AA1752">
        <v>100</v>
      </c>
      <c r="AB1752">
        <v>20020</v>
      </c>
      <c r="AC1752">
        <v>45863</v>
      </c>
      <c r="AD1752">
        <v>2</v>
      </c>
      <c r="AE1752">
        <v>17880</v>
      </c>
      <c r="AF1752">
        <v>17880</v>
      </c>
      <c r="AG1752">
        <v>0</v>
      </c>
      <c r="AH1752">
        <v>-2140</v>
      </c>
    </row>
    <row r="1753" spans="2:34" x14ac:dyDescent="0.35">
      <c r="B1753" t="s">
        <v>565</v>
      </c>
      <c r="C1753">
        <v>45865</v>
      </c>
      <c r="F1753" t="s">
        <v>754</v>
      </c>
      <c r="H1753">
        <v>77.8</v>
      </c>
      <c r="O1753" t="s">
        <v>239</v>
      </c>
      <c r="P1753" t="s">
        <v>514</v>
      </c>
      <c r="Y1753">
        <v>1719</v>
      </c>
      <c r="Z1753" s="259" t="s">
        <v>630</v>
      </c>
      <c r="AA1753">
        <v>50</v>
      </c>
      <c r="AB1753">
        <v>4104</v>
      </c>
      <c r="AC1753">
        <v>45863</v>
      </c>
      <c r="AD1753">
        <v>2</v>
      </c>
      <c r="AE1753">
        <v>3890</v>
      </c>
      <c r="AF1753">
        <v>3890</v>
      </c>
      <c r="AG1753">
        <v>0</v>
      </c>
      <c r="AH1753">
        <v>-214</v>
      </c>
    </row>
    <row r="1754" spans="2:34" x14ac:dyDescent="0.35">
      <c r="B1754" t="s">
        <v>565</v>
      </c>
      <c r="C1754">
        <v>45866</v>
      </c>
      <c r="F1754" t="s">
        <v>749</v>
      </c>
      <c r="H1754">
        <v>52.35</v>
      </c>
      <c r="O1754" t="s">
        <v>239</v>
      </c>
      <c r="P1754" t="s">
        <v>514</v>
      </c>
      <c r="Y1754">
        <v>1720</v>
      </c>
      <c r="Z1754" s="259" t="s">
        <v>630</v>
      </c>
      <c r="AA1754">
        <v>160</v>
      </c>
      <c r="AB1754">
        <v>8008</v>
      </c>
      <c r="AC1754">
        <v>45866</v>
      </c>
      <c r="AD1754">
        <v>0</v>
      </c>
      <c r="AE1754">
        <v>8376</v>
      </c>
      <c r="AF1754">
        <v>8376</v>
      </c>
      <c r="AG1754">
        <v>0</v>
      </c>
      <c r="AH1754">
        <v>368</v>
      </c>
    </row>
    <row r="1755" spans="2:34" x14ac:dyDescent="0.35">
      <c r="B1755" t="s">
        <v>565</v>
      </c>
      <c r="C1755">
        <v>45866</v>
      </c>
      <c r="F1755" t="s">
        <v>752</v>
      </c>
      <c r="H1755">
        <v>178.4</v>
      </c>
      <c r="O1755" t="s">
        <v>239</v>
      </c>
      <c r="P1755" t="s">
        <v>514</v>
      </c>
      <c r="Y1755">
        <v>1721</v>
      </c>
      <c r="Z1755" s="259" t="s">
        <v>630</v>
      </c>
      <c r="AA1755">
        <v>100</v>
      </c>
      <c r="AB1755">
        <v>20020</v>
      </c>
      <c r="AC1755">
        <v>45866</v>
      </c>
      <c r="AD1755">
        <v>0</v>
      </c>
      <c r="AE1755">
        <v>17840</v>
      </c>
      <c r="AF1755">
        <v>17840</v>
      </c>
      <c r="AG1755">
        <v>0</v>
      </c>
      <c r="AH1755">
        <v>-2180</v>
      </c>
    </row>
    <row r="1756" spans="2:34" x14ac:dyDescent="0.35">
      <c r="B1756" t="s">
        <v>565</v>
      </c>
      <c r="C1756">
        <v>45866</v>
      </c>
      <c r="F1756" t="s">
        <v>754</v>
      </c>
      <c r="H1756">
        <v>77.400000000000006</v>
      </c>
      <c r="O1756" t="s">
        <v>239</v>
      </c>
      <c r="P1756" t="s">
        <v>514</v>
      </c>
      <c r="Y1756">
        <v>1722</v>
      </c>
      <c r="Z1756" s="259" t="s">
        <v>630</v>
      </c>
      <c r="AA1756">
        <v>50</v>
      </c>
      <c r="AB1756">
        <v>4104</v>
      </c>
      <c r="AC1756">
        <v>45866</v>
      </c>
      <c r="AD1756">
        <v>0</v>
      </c>
      <c r="AE1756">
        <v>3870.0000000000005</v>
      </c>
      <c r="AF1756">
        <v>3870.0000000000005</v>
      </c>
      <c r="AG1756">
        <v>0</v>
      </c>
      <c r="AH1756">
        <v>-233.99999999999955</v>
      </c>
    </row>
    <row r="1757" spans="2:34" x14ac:dyDescent="0.35">
      <c r="B1757" t="s">
        <v>565</v>
      </c>
      <c r="C1757">
        <v>45867</v>
      </c>
      <c r="F1757" t="s">
        <v>749</v>
      </c>
      <c r="H1757">
        <v>52.23</v>
      </c>
      <c r="O1757" t="s">
        <v>239</v>
      </c>
      <c r="P1757" t="s">
        <v>514</v>
      </c>
      <c r="Y1757">
        <v>1723</v>
      </c>
      <c r="Z1757" s="259" t="s">
        <v>630</v>
      </c>
      <c r="AA1757">
        <v>160</v>
      </c>
      <c r="AB1757">
        <v>8008</v>
      </c>
      <c r="AC1757">
        <v>45867</v>
      </c>
      <c r="AD1757">
        <v>0</v>
      </c>
      <c r="AE1757">
        <v>8356.7999999999993</v>
      </c>
      <c r="AF1757">
        <v>8356.7999999999993</v>
      </c>
      <c r="AG1757">
        <v>0</v>
      </c>
      <c r="AH1757">
        <v>348.79999999999927</v>
      </c>
    </row>
    <row r="1758" spans="2:34" x14ac:dyDescent="0.35">
      <c r="B1758" t="s">
        <v>565</v>
      </c>
      <c r="C1758">
        <v>45867</v>
      </c>
      <c r="F1758" t="s">
        <v>752</v>
      </c>
      <c r="H1758">
        <v>178.27</v>
      </c>
      <c r="O1758" t="s">
        <v>239</v>
      </c>
      <c r="P1758" t="s">
        <v>514</v>
      </c>
      <c r="Y1758">
        <v>1724</v>
      </c>
      <c r="Z1758" s="259" t="s">
        <v>630</v>
      </c>
      <c r="AA1758">
        <v>100</v>
      </c>
      <c r="AB1758">
        <v>20020</v>
      </c>
      <c r="AC1758">
        <v>45867</v>
      </c>
      <c r="AD1758">
        <v>0</v>
      </c>
      <c r="AE1758">
        <v>17827</v>
      </c>
      <c r="AF1758">
        <v>17827</v>
      </c>
      <c r="AG1758">
        <v>0</v>
      </c>
      <c r="AH1758">
        <v>-2193</v>
      </c>
    </row>
    <row r="1759" spans="2:34" x14ac:dyDescent="0.35">
      <c r="B1759" t="s">
        <v>565</v>
      </c>
      <c r="C1759">
        <v>45867</v>
      </c>
      <c r="F1759" t="s">
        <v>754</v>
      </c>
      <c r="H1759">
        <v>77.27</v>
      </c>
      <c r="O1759" t="s">
        <v>239</v>
      </c>
      <c r="P1759" t="s">
        <v>514</v>
      </c>
      <c r="Y1759">
        <v>1725</v>
      </c>
      <c r="Z1759" s="259" t="s">
        <v>630</v>
      </c>
      <c r="AA1759">
        <v>50</v>
      </c>
      <c r="AB1759">
        <v>4104</v>
      </c>
      <c r="AC1759">
        <v>45867</v>
      </c>
      <c r="AD1759">
        <v>0</v>
      </c>
      <c r="AE1759">
        <v>3863.5</v>
      </c>
      <c r="AF1759">
        <v>3863.5</v>
      </c>
      <c r="AG1759">
        <v>0</v>
      </c>
      <c r="AH1759">
        <v>-240.5</v>
      </c>
    </row>
    <row r="1760" spans="2:34" x14ac:dyDescent="0.35">
      <c r="B1760" t="s">
        <v>565</v>
      </c>
      <c r="C1760">
        <v>45868</v>
      </c>
      <c r="F1760" t="s">
        <v>749</v>
      </c>
      <c r="H1760">
        <v>52.12</v>
      </c>
      <c r="O1760" t="s">
        <v>239</v>
      </c>
      <c r="P1760" t="s">
        <v>514</v>
      </c>
      <c r="Y1760">
        <v>1726</v>
      </c>
      <c r="Z1760" s="259" t="s">
        <v>630</v>
      </c>
      <c r="AA1760">
        <v>160</v>
      </c>
      <c r="AB1760">
        <v>8008</v>
      </c>
      <c r="AC1760">
        <v>45868</v>
      </c>
      <c r="AD1760">
        <v>0</v>
      </c>
      <c r="AE1760">
        <v>8339.1999999999989</v>
      </c>
      <c r="AF1760">
        <v>8339.1999999999989</v>
      </c>
      <c r="AG1760">
        <v>0</v>
      </c>
      <c r="AH1760">
        <v>331.19999999999891</v>
      </c>
    </row>
    <row r="1761" spans="2:34" x14ac:dyDescent="0.35">
      <c r="B1761" t="s">
        <v>565</v>
      </c>
      <c r="C1761">
        <v>45868</v>
      </c>
      <c r="F1761" t="s">
        <v>752</v>
      </c>
      <c r="H1761">
        <v>178.13</v>
      </c>
      <c r="O1761" t="s">
        <v>239</v>
      </c>
      <c r="P1761" t="s">
        <v>514</v>
      </c>
      <c r="Y1761">
        <v>1727</v>
      </c>
      <c r="Z1761" s="259" t="s">
        <v>630</v>
      </c>
      <c r="AA1761">
        <v>100</v>
      </c>
      <c r="AB1761">
        <v>20020</v>
      </c>
      <c r="AC1761">
        <v>45868</v>
      </c>
      <c r="AD1761">
        <v>0</v>
      </c>
      <c r="AE1761">
        <v>17813</v>
      </c>
      <c r="AF1761">
        <v>17813</v>
      </c>
      <c r="AG1761">
        <v>0</v>
      </c>
      <c r="AH1761">
        <v>-2207</v>
      </c>
    </row>
    <row r="1762" spans="2:34" x14ac:dyDescent="0.35">
      <c r="B1762" t="s">
        <v>565</v>
      </c>
      <c r="C1762">
        <v>45868</v>
      </c>
      <c r="F1762" t="s">
        <v>754</v>
      </c>
      <c r="H1762">
        <v>77.13</v>
      </c>
      <c r="O1762" t="s">
        <v>239</v>
      </c>
      <c r="P1762" t="s">
        <v>514</v>
      </c>
      <c r="Y1762">
        <v>1728</v>
      </c>
      <c r="Z1762" s="259" t="s">
        <v>630</v>
      </c>
      <c r="AA1762">
        <v>50</v>
      </c>
      <c r="AB1762">
        <v>4104</v>
      </c>
      <c r="AC1762">
        <v>45868</v>
      </c>
      <c r="AD1762">
        <v>0</v>
      </c>
      <c r="AE1762">
        <v>3856.5</v>
      </c>
      <c r="AF1762">
        <v>3856.5</v>
      </c>
      <c r="AG1762">
        <v>0</v>
      </c>
      <c r="AH1762">
        <v>-247.5</v>
      </c>
    </row>
    <row r="1763" spans="2:34" x14ac:dyDescent="0.35">
      <c r="B1763" t="s">
        <v>565</v>
      </c>
      <c r="C1763">
        <v>45869</v>
      </c>
      <c r="F1763" t="s">
        <v>749</v>
      </c>
      <c r="H1763">
        <v>52</v>
      </c>
      <c r="O1763" t="s">
        <v>239</v>
      </c>
      <c r="P1763" t="s">
        <v>514</v>
      </c>
      <c r="Y1763">
        <v>1729</v>
      </c>
      <c r="Z1763" s="259" t="s">
        <v>630</v>
      </c>
      <c r="AA1763">
        <v>160</v>
      </c>
      <c r="AB1763">
        <v>8008</v>
      </c>
      <c r="AC1763">
        <v>45869</v>
      </c>
      <c r="AD1763">
        <v>0</v>
      </c>
      <c r="AE1763">
        <v>8320</v>
      </c>
      <c r="AF1763">
        <v>8320</v>
      </c>
      <c r="AG1763">
        <v>0</v>
      </c>
      <c r="AH1763">
        <v>312</v>
      </c>
    </row>
    <row r="1764" spans="2:34" x14ac:dyDescent="0.35">
      <c r="B1764" t="s">
        <v>565</v>
      </c>
      <c r="C1764">
        <v>45869</v>
      </c>
      <c r="F1764" t="s">
        <v>752</v>
      </c>
      <c r="H1764">
        <v>178</v>
      </c>
      <c r="O1764" t="s">
        <v>239</v>
      </c>
      <c r="P1764" t="s">
        <v>514</v>
      </c>
      <c r="Y1764">
        <v>1730</v>
      </c>
      <c r="Z1764" s="259" t="s">
        <v>630</v>
      </c>
      <c r="AA1764">
        <v>100</v>
      </c>
      <c r="AB1764">
        <v>20020</v>
      </c>
      <c r="AC1764">
        <v>45869</v>
      </c>
      <c r="AD1764">
        <v>0</v>
      </c>
      <c r="AE1764">
        <v>17800</v>
      </c>
      <c r="AF1764">
        <v>17800</v>
      </c>
      <c r="AG1764">
        <v>0</v>
      </c>
      <c r="AH1764">
        <v>-2220</v>
      </c>
    </row>
    <row r="1765" spans="2:34" x14ac:dyDescent="0.35">
      <c r="B1765" t="s">
        <v>565</v>
      </c>
      <c r="C1765">
        <v>45869</v>
      </c>
      <c r="F1765" t="s">
        <v>754</v>
      </c>
      <c r="H1765">
        <v>77</v>
      </c>
      <c r="O1765" t="s">
        <v>239</v>
      </c>
      <c r="P1765" t="s">
        <v>514</v>
      </c>
      <c r="Y1765">
        <v>1731</v>
      </c>
      <c r="Z1765" s="259" t="s">
        <v>630</v>
      </c>
      <c r="AA1765">
        <v>50</v>
      </c>
      <c r="AB1765">
        <v>4104</v>
      </c>
      <c r="AC1765">
        <v>45869</v>
      </c>
      <c r="AD1765">
        <v>0</v>
      </c>
      <c r="AE1765">
        <v>3850</v>
      </c>
      <c r="AF1765">
        <v>3850</v>
      </c>
      <c r="AG1765">
        <v>0</v>
      </c>
      <c r="AH1765">
        <v>-254</v>
      </c>
    </row>
    <row r="1766" spans="2:34" x14ac:dyDescent="0.35">
      <c r="B1766" t="s">
        <v>565</v>
      </c>
      <c r="C1766">
        <v>45870</v>
      </c>
      <c r="F1766" t="s">
        <v>749</v>
      </c>
      <c r="H1766">
        <v>52</v>
      </c>
      <c r="O1766" t="s">
        <v>239</v>
      </c>
      <c r="P1766" t="s">
        <v>514</v>
      </c>
      <c r="Y1766">
        <v>1732</v>
      </c>
      <c r="Z1766" s="259" t="s">
        <v>630</v>
      </c>
      <c r="AA1766">
        <v>160</v>
      </c>
      <c r="AB1766">
        <v>8008</v>
      </c>
      <c r="AC1766">
        <v>45870</v>
      </c>
      <c r="AD1766">
        <v>0</v>
      </c>
      <c r="AE1766">
        <v>8320</v>
      </c>
      <c r="AF1766">
        <v>8320</v>
      </c>
      <c r="AG1766">
        <v>0</v>
      </c>
      <c r="AH1766">
        <v>312</v>
      </c>
    </row>
    <row r="1767" spans="2:34" x14ac:dyDescent="0.35">
      <c r="B1767" t="s">
        <v>565</v>
      </c>
      <c r="C1767">
        <v>45870</v>
      </c>
      <c r="F1767" t="s">
        <v>752</v>
      </c>
      <c r="H1767">
        <v>178</v>
      </c>
      <c r="O1767" t="s">
        <v>239</v>
      </c>
      <c r="P1767" t="s">
        <v>514</v>
      </c>
      <c r="Y1767">
        <v>1733</v>
      </c>
      <c r="Z1767" s="259" t="s">
        <v>630</v>
      </c>
      <c r="AA1767">
        <v>100</v>
      </c>
      <c r="AB1767">
        <v>20020</v>
      </c>
      <c r="AC1767">
        <v>45870</v>
      </c>
      <c r="AD1767">
        <v>0</v>
      </c>
      <c r="AE1767">
        <v>17800</v>
      </c>
      <c r="AF1767">
        <v>17800</v>
      </c>
      <c r="AG1767">
        <v>0</v>
      </c>
      <c r="AH1767">
        <v>-2220</v>
      </c>
    </row>
    <row r="1768" spans="2:34" x14ac:dyDescent="0.35">
      <c r="B1768" t="s">
        <v>565</v>
      </c>
      <c r="C1768">
        <v>45870</v>
      </c>
      <c r="F1768" t="s">
        <v>754</v>
      </c>
      <c r="H1768">
        <v>77</v>
      </c>
      <c r="O1768" t="s">
        <v>239</v>
      </c>
      <c r="P1768" t="s">
        <v>514</v>
      </c>
      <c r="Y1768">
        <v>1734</v>
      </c>
      <c r="Z1768" s="259" t="s">
        <v>630</v>
      </c>
      <c r="AA1768">
        <v>50</v>
      </c>
      <c r="AB1768">
        <v>4104</v>
      </c>
      <c r="AC1768">
        <v>45870</v>
      </c>
      <c r="AD1768">
        <v>0</v>
      </c>
      <c r="AE1768">
        <v>3850</v>
      </c>
      <c r="AF1768">
        <v>3850</v>
      </c>
      <c r="AG1768">
        <v>0</v>
      </c>
      <c r="AH1768">
        <v>-254</v>
      </c>
    </row>
    <row r="1769" spans="2:34" x14ac:dyDescent="0.35">
      <c r="B1769" t="s">
        <v>565</v>
      </c>
      <c r="C1769">
        <v>45871</v>
      </c>
      <c r="F1769" t="s">
        <v>749</v>
      </c>
      <c r="H1769">
        <v>52</v>
      </c>
      <c r="O1769" t="s">
        <v>239</v>
      </c>
      <c r="P1769" t="s">
        <v>514</v>
      </c>
      <c r="Y1769">
        <v>1735</v>
      </c>
      <c r="Z1769" s="259" t="s">
        <v>630</v>
      </c>
      <c r="AA1769">
        <v>160</v>
      </c>
      <c r="AB1769">
        <v>8008</v>
      </c>
      <c r="AC1769">
        <v>45870</v>
      </c>
      <c r="AD1769">
        <v>1</v>
      </c>
      <c r="AE1769">
        <v>8320</v>
      </c>
      <c r="AF1769">
        <v>8320</v>
      </c>
      <c r="AG1769">
        <v>0</v>
      </c>
      <c r="AH1769">
        <v>312</v>
      </c>
    </row>
    <row r="1770" spans="2:34" x14ac:dyDescent="0.35">
      <c r="B1770" t="s">
        <v>565</v>
      </c>
      <c r="C1770">
        <v>45871</v>
      </c>
      <c r="F1770" t="s">
        <v>752</v>
      </c>
      <c r="H1770">
        <v>178</v>
      </c>
      <c r="O1770" t="s">
        <v>239</v>
      </c>
      <c r="P1770" t="s">
        <v>514</v>
      </c>
      <c r="Y1770">
        <v>1736</v>
      </c>
      <c r="Z1770" s="259" t="s">
        <v>630</v>
      </c>
      <c r="AA1770">
        <v>100</v>
      </c>
      <c r="AB1770">
        <v>20020</v>
      </c>
      <c r="AC1770">
        <v>45870</v>
      </c>
      <c r="AD1770">
        <v>1</v>
      </c>
      <c r="AE1770">
        <v>17800</v>
      </c>
      <c r="AF1770">
        <v>17800</v>
      </c>
      <c r="AG1770">
        <v>0</v>
      </c>
      <c r="AH1770">
        <v>-2220</v>
      </c>
    </row>
    <row r="1771" spans="2:34" x14ac:dyDescent="0.35">
      <c r="B1771" t="s">
        <v>565</v>
      </c>
      <c r="C1771">
        <v>45871</v>
      </c>
      <c r="F1771" t="s">
        <v>754</v>
      </c>
      <c r="H1771">
        <v>77</v>
      </c>
      <c r="O1771" t="s">
        <v>239</v>
      </c>
      <c r="P1771" t="s">
        <v>514</v>
      </c>
      <c r="Y1771">
        <v>1737</v>
      </c>
      <c r="Z1771" s="259" t="s">
        <v>630</v>
      </c>
      <c r="AA1771">
        <v>50</v>
      </c>
      <c r="AB1771">
        <v>4104</v>
      </c>
      <c r="AC1771">
        <v>45870</v>
      </c>
      <c r="AD1771">
        <v>1</v>
      </c>
      <c r="AE1771">
        <v>3850</v>
      </c>
      <c r="AF1771">
        <v>3850</v>
      </c>
      <c r="AG1771">
        <v>0</v>
      </c>
      <c r="AH1771">
        <v>-254</v>
      </c>
    </row>
    <row r="1772" spans="2:34" x14ac:dyDescent="0.35">
      <c r="B1772" t="s">
        <v>565</v>
      </c>
      <c r="C1772">
        <v>45872</v>
      </c>
      <c r="F1772" t="s">
        <v>749</v>
      </c>
      <c r="H1772">
        <v>52</v>
      </c>
      <c r="O1772" t="s">
        <v>239</v>
      </c>
      <c r="P1772" t="s">
        <v>514</v>
      </c>
      <c r="Y1772">
        <v>1738</v>
      </c>
      <c r="Z1772" s="259" t="s">
        <v>630</v>
      </c>
      <c r="AA1772">
        <v>160</v>
      </c>
      <c r="AB1772">
        <v>8008</v>
      </c>
      <c r="AC1772">
        <v>45870</v>
      </c>
      <c r="AD1772">
        <v>2</v>
      </c>
      <c r="AE1772">
        <v>8320</v>
      </c>
      <c r="AF1772">
        <v>8320</v>
      </c>
      <c r="AG1772">
        <v>0</v>
      </c>
      <c r="AH1772">
        <v>312</v>
      </c>
    </row>
    <row r="1773" spans="2:34" x14ac:dyDescent="0.35">
      <c r="B1773" t="s">
        <v>565</v>
      </c>
      <c r="C1773">
        <v>45872</v>
      </c>
      <c r="F1773" t="s">
        <v>752</v>
      </c>
      <c r="H1773">
        <v>178</v>
      </c>
      <c r="O1773" t="s">
        <v>239</v>
      </c>
      <c r="P1773" t="s">
        <v>514</v>
      </c>
      <c r="Y1773">
        <v>1739</v>
      </c>
      <c r="Z1773" s="259" t="s">
        <v>630</v>
      </c>
      <c r="AA1773">
        <v>100</v>
      </c>
      <c r="AB1773">
        <v>20020</v>
      </c>
      <c r="AC1773">
        <v>45870</v>
      </c>
      <c r="AD1773">
        <v>2</v>
      </c>
      <c r="AE1773">
        <v>17800</v>
      </c>
      <c r="AF1773">
        <v>17800</v>
      </c>
      <c r="AG1773">
        <v>0</v>
      </c>
      <c r="AH1773">
        <v>-2220</v>
      </c>
    </row>
    <row r="1774" spans="2:34" x14ac:dyDescent="0.35">
      <c r="B1774" t="s">
        <v>565</v>
      </c>
      <c r="C1774">
        <v>45872</v>
      </c>
      <c r="F1774" t="s">
        <v>754</v>
      </c>
      <c r="H1774">
        <v>77</v>
      </c>
      <c r="O1774" t="s">
        <v>239</v>
      </c>
      <c r="P1774" t="s">
        <v>514</v>
      </c>
      <c r="Y1774">
        <v>1740</v>
      </c>
      <c r="Z1774" s="259" t="s">
        <v>630</v>
      </c>
      <c r="AA1774">
        <v>50</v>
      </c>
      <c r="AB1774">
        <v>4104</v>
      </c>
      <c r="AC1774">
        <v>45870</v>
      </c>
      <c r="AD1774">
        <v>2</v>
      </c>
      <c r="AE1774">
        <v>3850</v>
      </c>
      <c r="AF1774">
        <v>3850</v>
      </c>
      <c r="AG1774">
        <v>0</v>
      </c>
      <c r="AH1774">
        <v>-254</v>
      </c>
    </row>
    <row r="1775" spans="2:34" x14ac:dyDescent="0.35">
      <c r="B1775" t="s">
        <v>565</v>
      </c>
      <c r="C1775">
        <v>45873</v>
      </c>
      <c r="F1775" t="s">
        <v>749</v>
      </c>
      <c r="H1775">
        <v>51.7</v>
      </c>
      <c r="O1775" t="s">
        <v>239</v>
      </c>
      <c r="P1775" t="s">
        <v>514</v>
      </c>
      <c r="Y1775">
        <v>1741</v>
      </c>
      <c r="Z1775" s="259" t="s">
        <v>630</v>
      </c>
      <c r="AA1775">
        <v>160</v>
      </c>
      <c r="AB1775">
        <v>8008</v>
      </c>
      <c r="AC1775">
        <v>45873</v>
      </c>
      <c r="AD1775">
        <v>0</v>
      </c>
      <c r="AE1775">
        <v>8272</v>
      </c>
      <c r="AF1775">
        <v>8272</v>
      </c>
      <c r="AG1775">
        <v>0</v>
      </c>
      <c r="AH1775">
        <v>264</v>
      </c>
    </row>
    <row r="1776" spans="2:34" x14ac:dyDescent="0.35">
      <c r="B1776" t="s">
        <v>565</v>
      </c>
      <c r="C1776">
        <v>45873</v>
      </c>
      <c r="F1776" t="s">
        <v>752</v>
      </c>
      <c r="H1776">
        <v>179.1</v>
      </c>
      <c r="O1776" t="s">
        <v>239</v>
      </c>
      <c r="P1776" t="s">
        <v>514</v>
      </c>
      <c r="Y1776">
        <v>1742</v>
      </c>
      <c r="Z1776" s="259" t="s">
        <v>630</v>
      </c>
      <c r="AA1776">
        <v>100</v>
      </c>
      <c r="AB1776">
        <v>20020</v>
      </c>
      <c r="AC1776">
        <v>45873</v>
      </c>
      <c r="AD1776">
        <v>0</v>
      </c>
      <c r="AE1776">
        <v>17910</v>
      </c>
      <c r="AF1776">
        <v>17910</v>
      </c>
      <c r="AG1776">
        <v>0</v>
      </c>
      <c r="AH1776">
        <v>-2110</v>
      </c>
    </row>
    <row r="1777" spans="2:34" x14ac:dyDescent="0.35">
      <c r="B1777" t="s">
        <v>565</v>
      </c>
      <c r="C1777">
        <v>45873</v>
      </c>
      <c r="F1777" t="s">
        <v>754</v>
      </c>
      <c r="H1777">
        <v>77.900000000000006</v>
      </c>
      <c r="O1777" t="s">
        <v>239</v>
      </c>
      <c r="P1777" t="s">
        <v>514</v>
      </c>
      <c r="Y1777">
        <v>1743</v>
      </c>
      <c r="Z1777" s="259" t="s">
        <v>630</v>
      </c>
      <c r="AA1777">
        <v>50</v>
      </c>
      <c r="AB1777">
        <v>4104</v>
      </c>
      <c r="AC1777">
        <v>45873</v>
      </c>
      <c r="AD1777">
        <v>0</v>
      </c>
      <c r="AE1777">
        <v>3895.0000000000005</v>
      </c>
      <c r="AF1777">
        <v>3895.0000000000005</v>
      </c>
      <c r="AG1777">
        <v>0</v>
      </c>
      <c r="AH1777">
        <v>-208.99999999999955</v>
      </c>
    </row>
    <row r="1778" spans="2:34" x14ac:dyDescent="0.35">
      <c r="B1778" t="s">
        <v>565</v>
      </c>
      <c r="C1778">
        <v>45874</v>
      </c>
      <c r="F1778" t="s">
        <v>749</v>
      </c>
      <c r="H1778">
        <v>51.6</v>
      </c>
      <c r="O1778" t="s">
        <v>239</v>
      </c>
      <c r="P1778" t="s">
        <v>514</v>
      </c>
      <c r="Y1778">
        <v>1744</v>
      </c>
      <c r="Z1778" s="259" t="s">
        <v>630</v>
      </c>
      <c r="AA1778">
        <v>160</v>
      </c>
      <c r="AB1778">
        <v>8008</v>
      </c>
      <c r="AC1778">
        <v>45874</v>
      </c>
      <c r="AD1778">
        <v>0</v>
      </c>
      <c r="AE1778">
        <v>8256</v>
      </c>
      <c r="AF1778">
        <v>8256</v>
      </c>
      <c r="AG1778">
        <v>0</v>
      </c>
      <c r="AH1778">
        <v>248</v>
      </c>
    </row>
    <row r="1779" spans="2:34" x14ac:dyDescent="0.35">
      <c r="B1779" t="s">
        <v>565</v>
      </c>
      <c r="C1779">
        <v>45874</v>
      </c>
      <c r="F1779" t="s">
        <v>752</v>
      </c>
      <c r="H1779">
        <v>179.47</v>
      </c>
      <c r="O1779" t="s">
        <v>239</v>
      </c>
      <c r="P1779" t="s">
        <v>514</v>
      </c>
      <c r="Y1779">
        <v>1745</v>
      </c>
      <c r="Z1779" s="259" t="s">
        <v>630</v>
      </c>
      <c r="AA1779">
        <v>100</v>
      </c>
      <c r="AB1779">
        <v>20020</v>
      </c>
      <c r="AC1779">
        <v>45874</v>
      </c>
      <c r="AD1779">
        <v>0</v>
      </c>
      <c r="AE1779">
        <v>17947</v>
      </c>
      <c r="AF1779">
        <v>17947</v>
      </c>
      <c r="AG1779">
        <v>0</v>
      </c>
      <c r="AH1779">
        <v>-2073</v>
      </c>
    </row>
    <row r="1780" spans="2:34" x14ac:dyDescent="0.35">
      <c r="B1780" t="s">
        <v>565</v>
      </c>
      <c r="C1780">
        <v>45874</v>
      </c>
      <c r="F1780" t="s">
        <v>754</v>
      </c>
      <c r="H1780">
        <v>78.2</v>
      </c>
      <c r="O1780" t="s">
        <v>239</v>
      </c>
      <c r="P1780" t="s">
        <v>514</v>
      </c>
      <c r="Y1780">
        <v>1746</v>
      </c>
      <c r="Z1780" s="259" t="s">
        <v>630</v>
      </c>
      <c r="AA1780">
        <v>50</v>
      </c>
      <c r="AB1780">
        <v>4104</v>
      </c>
      <c r="AC1780">
        <v>45874</v>
      </c>
      <c r="AD1780">
        <v>0</v>
      </c>
      <c r="AE1780">
        <v>3910</v>
      </c>
      <c r="AF1780">
        <v>3910</v>
      </c>
      <c r="AG1780">
        <v>0</v>
      </c>
      <c r="AH1780">
        <v>-194</v>
      </c>
    </row>
    <row r="1781" spans="2:34" x14ac:dyDescent="0.35">
      <c r="B1781" t="s">
        <v>565</v>
      </c>
      <c r="C1781">
        <v>45875</v>
      </c>
      <c r="F1781" t="s">
        <v>749</v>
      </c>
      <c r="H1781">
        <v>51.5</v>
      </c>
      <c r="O1781" t="s">
        <v>239</v>
      </c>
      <c r="P1781" t="s">
        <v>514</v>
      </c>
      <c r="Y1781">
        <v>1747</v>
      </c>
      <c r="Z1781" s="259" t="s">
        <v>630</v>
      </c>
      <c r="AA1781">
        <v>160</v>
      </c>
      <c r="AB1781">
        <v>8008</v>
      </c>
      <c r="AC1781">
        <v>45875</v>
      </c>
      <c r="AD1781">
        <v>0</v>
      </c>
      <c r="AE1781">
        <v>8240</v>
      </c>
      <c r="AF1781">
        <v>8240</v>
      </c>
      <c r="AG1781">
        <v>0</v>
      </c>
      <c r="AH1781">
        <v>232</v>
      </c>
    </row>
    <row r="1782" spans="2:34" x14ac:dyDescent="0.35">
      <c r="B1782" t="s">
        <v>565</v>
      </c>
      <c r="C1782">
        <v>45875</v>
      </c>
      <c r="F1782" t="s">
        <v>752</v>
      </c>
      <c r="H1782">
        <v>179.83</v>
      </c>
      <c r="O1782" t="s">
        <v>239</v>
      </c>
      <c r="P1782" t="s">
        <v>514</v>
      </c>
      <c r="Y1782">
        <v>1748</v>
      </c>
      <c r="Z1782" s="259" t="s">
        <v>630</v>
      </c>
      <c r="AA1782">
        <v>100</v>
      </c>
      <c r="AB1782">
        <v>20020</v>
      </c>
      <c r="AC1782">
        <v>45875</v>
      </c>
      <c r="AD1782">
        <v>0</v>
      </c>
      <c r="AE1782">
        <v>17983</v>
      </c>
      <c r="AF1782">
        <v>17983</v>
      </c>
      <c r="AG1782">
        <v>0</v>
      </c>
      <c r="AH1782">
        <v>-2037</v>
      </c>
    </row>
    <row r="1783" spans="2:34" x14ac:dyDescent="0.35">
      <c r="B1783" t="s">
        <v>565</v>
      </c>
      <c r="C1783">
        <v>45875</v>
      </c>
      <c r="F1783" t="s">
        <v>754</v>
      </c>
      <c r="H1783">
        <v>78.5</v>
      </c>
      <c r="O1783" t="s">
        <v>239</v>
      </c>
      <c r="P1783" t="s">
        <v>514</v>
      </c>
      <c r="Y1783">
        <v>1749</v>
      </c>
      <c r="Z1783" s="259" t="s">
        <v>630</v>
      </c>
      <c r="AA1783">
        <v>50</v>
      </c>
      <c r="AB1783">
        <v>4104</v>
      </c>
      <c r="AC1783">
        <v>45875</v>
      </c>
      <c r="AD1783">
        <v>0</v>
      </c>
      <c r="AE1783">
        <v>3925</v>
      </c>
      <c r="AF1783">
        <v>3925</v>
      </c>
      <c r="AG1783">
        <v>0</v>
      </c>
      <c r="AH1783">
        <v>-179</v>
      </c>
    </row>
    <row r="1784" spans="2:34" x14ac:dyDescent="0.35">
      <c r="B1784" t="s">
        <v>565</v>
      </c>
      <c r="C1784">
        <v>45876</v>
      </c>
      <c r="F1784" t="s">
        <v>749</v>
      </c>
      <c r="H1784">
        <v>51.4</v>
      </c>
      <c r="O1784" t="s">
        <v>239</v>
      </c>
      <c r="P1784" t="s">
        <v>514</v>
      </c>
      <c r="Y1784">
        <v>1750</v>
      </c>
      <c r="Z1784" s="259" t="s">
        <v>630</v>
      </c>
      <c r="AA1784">
        <v>160</v>
      </c>
      <c r="AB1784">
        <v>8008</v>
      </c>
      <c r="AC1784">
        <v>45876</v>
      </c>
      <c r="AD1784">
        <v>0</v>
      </c>
      <c r="AE1784">
        <v>8224</v>
      </c>
      <c r="AF1784">
        <v>8224</v>
      </c>
      <c r="AG1784">
        <v>0</v>
      </c>
      <c r="AH1784">
        <v>216</v>
      </c>
    </row>
    <row r="1785" spans="2:34" x14ac:dyDescent="0.35">
      <c r="B1785" t="s">
        <v>565</v>
      </c>
      <c r="C1785">
        <v>45876</v>
      </c>
      <c r="F1785" t="s">
        <v>752</v>
      </c>
      <c r="H1785">
        <v>180.2</v>
      </c>
      <c r="O1785" t="s">
        <v>239</v>
      </c>
      <c r="P1785" t="s">
        <v>514</v>
      </c>
      <c r="Y1785">
        <v>1751</v>
      </c>
      <c r="Z1785" s="259" t="s">
        <v>630</v>
      </c>
      <c r="AA1785">
        <v>100</v>
      </c>
      <c r="AB1785">
        <v>20020</v>
      </c>
      <c r="AC1785">
        <v>45876</v>
      </c>
      <c r="AD1785">
        <v>0</v>
      </c>
      <c r="AE1785">
        <v>18020</v>
      </c>
      <c r="AF1785">
        <v>18020</v>
      </c>
      <c r="AG1785">
        <v>0</v>
      </c>
      <c r="AH1785">
        <v>-2000</v>
      </c>
    </row>
    <row r="1786" spans="2:34" x14ac:dyDescent="0.35">
      <c r="B1786" t="s">
        <v>565</v>
      </c>
      <c r="C1786">
        <v>45876</v>
      </c>
      <c r="F1786" t="s">
        <v>754</v>
      </c>
      <c r="H1786">
        <v>78.8</v>
      </c>
      <c r="O1786" t="s">
        <v>239</v>
      </c>
      <c r="P1786" t="s">
        <v>514</v>
      </c>
      <c r="Y1786">
        <v>1752</v>
      </c>
      <c r="Z1786" s="259" t="s">
        <v>630</v>
      </c>
      <c r="AA1786">
        <v>50</v>
      </c>
      <c r="AB1786">
        <v>4104</v>
      </c>
      <c r="AC1786">
        <v>45876</v>
      </c>
      <c r="AD1786">
        <v>0</v>
      </c>
      <c r="AE1786">
        <v>3940</v>
      </c>
      <c r="AF1786">
        <v>3940</v>
      </c>
      <c r="AG1786">
        <v>0</v>
      </c>
      <c r="AH1786">
        <v>-164</v>
      </c>
    </row>
    <row r="1787" spans="2:34" x14ac:dyDescent="0.35">
      <c r="B1787" t="s">
        <v>565</v>
      </c>
      <c r="C1787">
        <v>45877</v>
      </c>
      <c r="F1787" t="s">
        <v>749</v>
      </c>
      <c r="H1787">
        <v>51.3</v>
      </c>
      <c r="O1787" t="s">
        <v>239</v>
      </c>
      <c r="P1787" t="s">
        <v>514</v>
      </c>
      <c r="Y1787">
        <v>1753</v>
      </c>
      <c r="Z1787" s="259" t="s">
        <v>630</v>
      </c>
      <c r="AA1787">
        <v>160</v>
      </c>
      <c r="AB1787">
        <v>8008</v>
      </c>
      <c r="AC1787">
        <v>45877</v>
      </c>
      <c r="AD1787">
        <v>0</v>
      </c>
      <c r="AE1787">
        <v>8208</v>
      </c>
      <c r="AF1787">
        <v>8208</v>
      </c>
      <c r="AG1787">
        <v>0</v>
      </c>
      <c r="AH1787">
        <v>200</v>
      </c>
    </row>
    <row r="1788" spans="2:34" x14ac:dyDescent="0.35">
      <c r="B1788" t="s">
        <v>565</v>
      </c>
      <c r="C1788">
        <v>45877</v>
      </c>
      <c r="F1788" t="s">
        <v>752</v>
      </c>
      <c r="H1788">
        <v>180.57</v>
      </c>
      <c r="O1788" t="s">
        <v>239</v>
      </c>
      <c r="P1788" t="s">
        <v>514</v>
      </c>
      <c r="Y1788">
        <v>1754</v>
      </c>
      <c r="Z1788" s="259" t="s">
        <v>630</v>
      </c>
      <c r="AA1788">
        <v>100</v>
      </c>
      <c r="AB1788">
        <v>20020</v>
      </c>
      <c r="AC1788">
        <v>45877</v>
      </c>
      <c r="AD1788">
        <v>0</v>
      </c>
      <c r="AE1788">
        <v>18057</v>
      </c>
      <c r="AF1788">
        <v>18057</v>
      </c>
      <c r="AG1788">
        <v>0</v>
      </c>
      <c r="AH1788">
        <v>-1963</v>
      </c>
    </row>
    <row r="1789" spans="2:34" x14ac:dyDescent="0.35">
      <c r="B1789" t="s">
        <v>565</v>
      </c>
      <c r="C1789">
        <v>45877</v>
      </c>
      <c r="F1789" t="s">
        <v>754</v>
      </c>
      <c r="H1789">
        <v>79.099999999999994</v>
      </c>
      <c r="O1789" t="s">
        <v>239</v>
      </c>
      <c r="P1789" t="s">
        <v>514</v>
      </c>
      <c r="Y1789">
        <v>1755</v>
      </c>
      <c r="Z1789" s="259" t="s">
        <v>630</v>
      </c>
      <c r="AA1789">
        <v>50</v>
      </c>
      <c r="AB1789">
        <v>4104</v>
      </c>
      <c r="AC1789">
        <v>45877</v>
      </c>
      <c r="AD1789">
        <v>0</v>
      </c>
      <c r="AE1789">
        <v>3954.9999999999995</v>
      </c>
      <c r="AF1789">
        <v>3954.9999999999995</v>
      </c>
      <c r="AG1789">
        <v>0</v>
      </c>
      <c r="AH1789">
        <v>-149.00000000000045</v>
      </c>
    </row>
    <row r="1790" spans="2:34" x14ac:dyDescent="0.35">
      <c r="B1790" t="s">
        <v>565</v>
      </c>
      <c r="C1790">
        <v>45878</v>
      </c>
      <c r="F1790" t="s">
        <v>749</v>
      </c>
      <c r="H1790">
        <v>51.3</v>
      </c>
      <c r="O1790" t="s">
        <v>239</v>
      </c>
      <c r="P1790" t="s">
        <v>514</v>
      </c>
      <c r="Y1790">
        <v>1756</v>
      </c>
      <c r="Z1790" s="259" t="s">
        <v>630</v>
      </c>
      <c r="AA1790">
        <v>160</v>
      </c>
      <c r="AB1790">
        <v>8008</v>
      </c>
      <c r="AC1790">
        <v>45877</v>
      </c>
      <c r="AD1790">
        <v>1</v>
      </c>
      <c r="AE1790">
        <v>8208</v>
      </c>
      <c r="AF1790">
        <v>8208</v>
      </c>
      <c r="AG1790">
        <v>0</v>
      </c>
      <c r="AH1790">
        <v>200</v>
      </c>
    </row>
    <row r="1791" spans="2:34" x14ac:dyDescent="0.35">
      <c r="B1791" t="s">
        <v>565</v>
      </c>
      <c r="C1791">
        <v>45878</v>
      </c>
      <c r="F1791" t="s">
        <v>752</v>
      </c>
      <c r="H1791">
        <v>180.57</v>
      </c>
      <c r="O1791" t="s">
        <v>239</v>
      </c>
      <c r="P1791" t="s">
        <v>514</v>
      </c>
      <c r="Y1791">
        <v>1757</v>
      </c>
      <c r="Z1791" s="259" t="s">
        <v>630</v>
      </c>
      <c r="AA1791">
        <v>100</v>
      </c>
      <c r="AB1791">
        <v>20020</v>
      </c>
      <c r="AC1791">
        <v>45877</v>
      </c>
      <c r="AD1791">
        <v>1</v>
      </c>
      <c r="AE1791">
        <v>18057</v>
      </c>
      <c r="AF1791">
        <v>18057</v>
      </c>
      <c r="AG1791">
        <v>0</v>
      </c>
      <c r="AH1791">
        <v>-1963</v>
      </c>
    </row>
    <row r="1792" spans="2:34" x14ac:dyDescent="0.35">
      <c r="B1792" t="s">
        <v>565</v>
      </c>
      <c r="C1792">
        <v>45878</v>
      </c>
      <c r="F1792" t="s">
        <v>754</v>
      </c>
      <c r="H1792">
        <v>79.099999999999994</v>
      </c>
      <c r="O1792" t="s">
        <v>239</v>
      </c>
      <c r="P1792" t="s">
        <v>514</v>
      </c>
      <c r="Y1792">
        <v>1758</v>
      </c>
      <c r="Z1792" s="259" t="s">
        <v>630</v>
      </c>
      <c r="AA1792">
        <v>50</v>
      </c>
      <c r="AB1792">
        <v>4104</v>
      </c>
      <c r="AC1792">
        <v>45877</v>
      </c>
      <c r="AD1792">
        <v>1</v>
      </c>
      <c r="AE1792">
        <v>3954.9999999999995</v>
      </c>
      <c r="AF1792">
        <v>3954.9999999999995</v>
      </c>
      <c r="AG1792">
        <v>0</v>
      </c>
      <c r="AH1792">
        <v>-149.00000000000045</v>
      </c>
    </row>
    <row r="1793" spans="2:34" x14ac:dyDescent="0.35">
      <c r="B1793" t="s">
        <v>565</v>
      </c>
      <c r="C1793">
        <v>45879</v>
      </c>
      <c r="F1793" t="s">
        <v>749</v>
      </c>
      <c r="H1793">
        <v>51.3</v>
      </c>
      <c r="O1793" t="s">
        <v>239</v>
      </c>
      <c r="P1793" t="s">
        <v>514</v>
      </c>
      <c r="Y1793">
        <v>1759</v>
      </c>
      <c r="Z1793" s="259" t="s">
        <v>630</v>
      </c>
      <c r="AA1793">
        <v>160</v>
      </c>
      <c r="AB1793">
        <v>8008</v>
      </c>
      <c r="AC1793">
        <v>45877</v>
      </c>
      <c r="AD1793">
        <v>2</v>
      </c>
      <c r="AE1793">
        <v>8208</v>
      </c>
      <c r="AF1793">
        <v>8208</v>
      </c>
      <c r="AG1793">
        <v>0</v>
      </c>
      <c r="AH1793">
        <v>200</v>
      </c>
    </row>
    <row r="1794" spans="2:34" x14ac:dyDescent="0.35">
      <c r="B1794" t="s">
        <v>565</v>
      </c>
      <c r="C1794">
        <v>45879</v>
      </c>
      <c r="F1794" t="s">
        <v>752</v>
      </c>
      <c r="H1794">
        <v>180.57</v>
      </c>
      <c r="O1794" t="s">
        <v>239</v>
      </c>
      <c r="P1794" t="s">
        <v>514</v>
      </c>
      <c r="Y1794">
        <v>1760</v>
      </c>
      <c r="Z1794" s="259" t="s">
        <v>630</v>
      </c>
      <c r="AA1794">
        <v>100</v>
      </c>
      <c r="AB1794">
        <v>20020</v>
      </c>
      <c r="AC1794">
        <v>45877</v>
      </c>
      <c r="AD1794">
        <v>2</v>
      </c>
      <c r="AE1794">
        <v>18057</v>
      </c>
      <c r="AF1794">
        <v>18057</v>
      </c>
      <c r="AG1794">
        <v>0</v>
      </c>
      <c r="AH1794">
        <v>-1963</v>
      </c>
    </row>
    <row r="1795" spans="2:34" x14ac:dyDescent="0.35">
      <c r="B1795" t="s">
        <v>565</v>
      </c>
      <c r="C1795">
        <v>45879</v>
      </c>
      <c r="F1795" t="s">
        <v>754</v>
      </c>
      <c r="H1795">
        <v>79.099999999999994</v>
      </c>
      <c r="O1795" t="s">
        <v>239</v>
      </c>
      <c r="P1795" t="s">
        <v>514</v>
      </c>
      <c r="Y1795">
        <v>1761</v>
      </c>
      <c r="Z1795" s="259" t="s">
        <v>630</v>
      </c>
      <c r="AA1795">
        <v>50</v>
      </c>
      <c r="AB1795">
        <v>4104</v>
      </c>
      <c r="AC1795">
        <v>45877</v>
      </c>
      <c r="AD1795">
        <v>2</v>
      </c>
      <c r="AE1795">
        <v>3954.9999999999995</v>
      </c>
      <c r="AF1795">
        <v>3954.9999999999995</v>
      </c>
      <c r="AG1795">
        <v>0</v>
      </c>
      <c r="AH1795">
        <v>-149.00000000000045</v>
      </c>
    </row>
    <row r="1796" spans="2:34" x14ac:dyDescent="0.35">
      <c r="B1796" t="s">
        <v>565</v>
      </c>
      <c r="C1796">
        <v>45880</v>
      </c>
      <c r="F1796" t="s">
        <v>749</v>
      </c>
      <c r="H1796">
        <v>51</v>
      </c>
      <c r="O1796" t="s">
        <v>239</v>
      </c>
      <c r="P1796" t="s">
        <v>514</v>
      </c>
      <c r="Y1796">
        <v>1762</v>
      </c>
      <c r="Z1796" s="259" t="s">
        <v>630</v>
      </c>
      <c r="AA1796">
        <v>160</v>
      </c>
      <c r="AB1796">
        <v>8008</v>
      </c>
      <c r="AC1796">
        <v>45880</v>
      </c>
      <c r="AD1796">
        <v>0</v>
      </c>
      <c r="AE1796">
        <v>8160</v>
      </c>
      <c r="AF1796">
        <v>8160</v>
      </c>
      <c r="AG1796">
        <v>0</v>
      </c>
      <c r="AH1796">
        <v>152</v>
      </c>
    </row>
    <row r="1797" spans="2:34" x14ac:dyDescent="0.35">
      <c r="B1797" t="s">
        <v>565</v>
      </c>
      <c r="C1797">
        <v>45880</v>
      </c>
      <c r="F1797" t="s">
        <v>752</v>
      </c>
      <c r="H1797">
        <v>181.67</v>
      </c>
      <c r="O1797" t="s">
        <v>239</v>
      </c>
      <c r="P1797" t="s">
        <v>514</v>
      </c>
      <c r="Y1797">
        <v>1763</v>
      </c>
      <c r="Z1797" s="259" t="s">
        <v>630</v>
      </c>
      <c r="AA1797">
        <v>100</v>
      </c>
      <c r="AB1797">
        <v>20020</v>
      </c>
      <c r="AC1797">
        <v>45880</v>
      </c>
      <c r="AD1797">
        <v>0</v>
      </c>
      <c r="AE1797">
        <v>18167</v>
      </c>
      <c r="AF1797">
        <v>18167</v>
      </c>
      <c r="AG1797">
        <v>0</v>
      </c>
      <c r="AH1797">
        <v>-1853</v>
      </c>
    </row>
    <row r="1798" spans="2:34" x14ac:dyDescent="0.35">
      <c r="B1798" t="s">
        <v>565</v>
      </c>
      <c r="C1798">
        <v>45880</v>
      </c>
      <c r="F1798" t="s">
        <v>754</v>
      </c>
      <c r="H1798">
        <v>80</v>
      </c>
      <c r="O1798" t="s">
        <v>239</v>
      </c>
      <c r="P1798" t="s">
        <v>514</v>
      </c>
      <c r="Y1798">
        <v>1764</v>
      </c>
      <c r="Z1798" s="259" t="s">
        <v>630</v>
      </c>
      <c r="AA1798">
        <v>50</v>
      </c>
      <c r="AB1798">
        <v>4104</v>
      </c>
      <c r="AC1798">
        <v>45880</v>
      </c>
      <c r="AD1798">
        <v>0</v>
      </c>
      <c r="AE1798">
        <v>4000</v>
      </c>
      <c r="AF1798">
        <v>4000</v>
      </c>
      <c r="AG1798">
        <v>0</v>
      </c>
      <c r="AH1798">
        <v>-104</v>
      </c>
    </row>
    <row r="1799" spans="2:34" x14ac:dyDescent="0.35">
      <c r="B1799" t="s">
        <v>565</v>
      </c>
      <c r="C1799">
        <v>45881</v>
      </c>
      <c r="F1799" t="s">
        <v>749</v>
      </c>
      <c r="H1799">
        <v>50.9</v>
      </c>
      <c r="O1799" t="s">
        <v>239</v>
      </c>
      <c r="P1799" t="s">
        <v>514</v>
      </c>
      <c r="Y1799">
        <v>1765</v>
      </c>
      <c r="Z1799" s="259" t="s">
        <v>630</v>
      </c>
      <c r="AA1799">
        <v>160</v>
      </c>
      <c r="AB1799">
        <v>8008</v>
      </c>
      <c r="AC1799">
        <v>45881</v>
      </c>
      <c r="AD1799">
        <v>0</v>
      </c>
      <c r="AE1799">
        <v>8144</v>
      </c>
      <c r="AF1799">
        <v>8144</v>
      </c>
      <c r="AG1799">
        <v>0</v>
      </c>
      <c r="AH1799">
        <v>136</v>
      </c>
    </row>
    <row r="1800" spans="2:34" x14ac:dyDescent="0.35">
      <c r="B1800" t="s">
        <v>565</v>
      </c>
      <c r="C1800">
        <v>45881</v>
      </c>
      <c r="F1800" t="s">
        <v>752</v>
      </c>
      <c r="H1800">
        <v>182.03</v>
      </c>
      <c r="O1800" t="s">
        <v>239</v>
      </c>
      <c r="P1800" t="s">
        <v>514</v>
      </c>
      <c r="Y1800">
        <v>1766</v>
      </c>
      <c r="Z1800" s="259" t="s">
        <v>630</v>
      </c>
      <c r="AA1800">
        <v>100</v>
      </c>
      <c r="AB1800">
        <v>20020</v>
      </c>
      <c r="AC1800">
        <v>45881</v>
      </c>
      <c r="AD1800">
        <v>0</v>
      </c>
      <c r="AE1800">
        <v>18203</v>
      </c>
      <c r="AF1800">
        <v>18203</v>
      </c>
      <c r="AG1800">
        <v>0</v>
      </c>
      <c r="AH1800">
        <v>-1817</v>
      </c>
    </row>
    <row r="1801" spans="2:34" x14ac:dyDescent="0.35">
      <c r="B1801" t="s">
        <v>565</v>
      </c>
      <c r="C1801">
        <v>45881</v>
      </c>
      <c r="F1801" t="s">
        <v>754</v>
      </c>
      <c r="H1801">
        <v>80.3</v>
      </c>
      <c r="O1801" t="s">
        <v>239</v>
      </c>
      <c r="P1801" t="s">
        <v>514</v>
      </c>
      <c r="Y1801">
        <v>1767</v>
      </c>
      <c r="Z1801" s="259" t="s">
        <v>630</v>
      </c>
      <c r="AA1801">
        <v>50</v>
      </c>
      <c r="AB1801">
        <v>4104</v>
      </c>
      <c r="AC1801">
        <v>45881</v>
      </c>
      <c r="AD1801">
        <v>0</v>
      </c>
      <c r="AE1801">
        <v>4015</v>
      </c>
      <c r="AF1801">
        <v>4015</v>
      </c>
      <c r="AG1801">
        <v>0</v>
      </c>
      <c r="AH1801">
        <v>-89</v>
      </c>
    </row>
    <row r="1802" spans="2:34" x14ac:dyDescent="0.35">
      <c r="B1802" t="s">
        <v>565</v>
      </c>
      <c r="C1802">
        <v>45882</v>
      </c>
      <c r="F1802" t="s">
        <v>749</v>
      </c>
      <c r="H1802">
        <v>50.8</v>
      </c>
      <c r="O1802" t="s">
        <v>239</v>
      </c>
      <c r="P1802" t="s">
        <v>514</v>
      </c>
      <c r="Y1802">
        <v>1768</v>
      </c>
      <c r="Z1802" s="259" t="s">
        <v>630</v>
      </c>
      <c r="AA1802">
        <v>160</v>
      </c>
      <c r="AB1802">
        <v>8008</v>
      </c>
      <c r="AC1802">
        <v>45882</v>
      </c>
      <c r="AD1802">
        <v>0</v>
      </c>
      <c r="AE1802">
        <v>8128</v>
      </c>
      <c r="AF1802">
        <v>8128</v>
      </c>
      <c r="AG1802">
        <v>0</v>
      </c>
      <c r="AH1802">
        <v>120</v>
      </c>
    </row>
    <row r="1803" spans="2:34" x14ac:dyDescent="0.35">
      <c r="B1803" t="s">
        <v>565</v>
      </c>
      <c r="C1803">
        <v>45882</v>
      </c>
      <c r="F1803" t="s">
        <v>752</v>
      </c>
      <c r="H1803">
        <v>182.4</v>
      </c>
      <c r="O1803" t="s">
        <v>239</v>
      </c>
      <c r="P1803" t="s">
        <v>514</v>
      </c>
      <c r="Y1803">
        <v>1769</v>
      </c>
      <c r="Z1803" s="259" t="s">
        <v>630</v>
      </c>
      <c r="AA1803">
        <v>100</v>
      </c>
      <c r="AB1803">
        <v>20020</v>
      </c>
      <c r="AC1803">
        <v>45882</v>
      </c>
      <c r="AD1803">
        <v>0</v>
      </c>
      <c r="AE1803">
        <v>18240</v>
      </c>
      <c r="AF1803">
        <v>18240</v>
      </c>
      <c r="AG1803">
        <v>0</v>
      </c>
      <c r="AH1803">
        <v>-1780</v>
      </c>
    </row>
    <row r="1804" spans="2:34" x14ac:dyDescent="0.35">
      <c r="B1804" t="s">
        <v>565</v>
      </c>
      <c r="C1804">
        <v>45882</v>
      </c>
      <c r="F1804" t="s">
        <v>754</v>
      </c>
      <c r="H1804">
        <v>80.599999999999994</v>
      </c>
      <c r="O1804" t="s">
        <v>239</v>
      </c>
      <c r="P1804" t="s">
        <v>514</v>
      </c>
      <c r="Y1804">
        <v>1770</v>
      </c>
      <c r="Z1804" s="259" t="s">
        <v>630</v>
      </c>
      <c r="AA1804">
        <v>50</v>
      </c>
      <c r="AB1804">
        <v>4104</v>
      </c>
      <c r="AC1804">
        <v>45882</v>
      </c>
      <c r="AD1804">
        <v>0</v>
      </c>
      <c r="AE1804">
        <v>4029.9999999999995</v>
      </c>
      <c r="AF1804">
        <v>4029.9999999999995</v>
      </c>
      <c r="AG1804">
        <v>0</v>
      </c>
      <c r="AH1804">
        <v>-74.000000000000455</v>
      </c>
    </row>
    <row r="1805" spans="2:34" x14ac:dyDescent="0.35">
      <c r="B1805" t="s">
        <v>565</v>
      </c>
      <c r="C1805">
        <v>45883</v>
      </c>
      <c r="F1805" t="s">
        <v>749</v>
      </c>
      <c r="H1805">
        <v>50.7</v>
      </c>
      <c r="O1805" t="s">
        <v>239</v>
      </c>
      <c r="P1805" t="s">
        <v>514</v>
      </c>
      <c r="Y1805">
        <v>1771</v>
      </c>
      <c r="Z1805" s="259" t="s">
        <v>630</v>
      </c>
      <c r="AA1805">
        <v>160</v>
      </c>
      <c r="AB1805">
        <v>8008</v>
      </c>
      <c r="AC1805">
        <v>45883</v>
      </c>
      <c r="AD1805">
        <v>0</v>
      </c>
      <c r="AE1805">
        <v>8112</v>
      </c>
      <c r="AF1805">
        <v>8112</v>
      </c>
      <c r="AG1805">
        <v>0</v>
      </c>
      <c r="AH1805">
        <v>104</v>
      </c>
    </row>
    <row r="1806" spans="2:34" x14ac:dyDescent="0.35">
      <c r="B1806" t="s">
        <v>565</v>
      </c>
      <c r="C1806">
        <v>45883</v>
      </c>
      <c r="F1806" t="s">
        <v>752</v>
      </c>
      <c r="H1806">
        <v>182.77</v>
      </c>
      <c r="O1806" t="s">
        <v>239</v>
      </c>
      <c r="P1806" t="s">
        <v>514</v>
      </c>
      <c r="Y1806">
        <v>1772</v>
      </c>
      <c r="Z1806" s="259" t="s">
        <v>630</v>
      </c>
      <c r="AA1806">
        <v>100</v>
      </c>
      <c r="AB1806">
        <v>20020</v>
      </c>
      <c r="AC1806">
        <v>45883</v>
      </c>
      <c r="AD1806">
        <v>0</v>
      </c>
      <c r="AE1806">
        <v>18277</v>
      </c>
      <c r="AF1806">
        <v>18277</v>
      </c>
      <c r="AG1806">
        <v>0</v>
      </c>
      <c r="AH1806">
        <v>-1743</v>
      </c>
    </row>
    <row r="1807" spans="2:34" x14ac:dyDescent="0.35">
      <c r="B1807" t="s">
        <v>565</v>
      </c>
      <c r="C1807">
        <v>45883</v>
      </c>
      <c r="F1807" t="s">
        <v>754</v>
      </c>
      <c r="H1807">
        <v>80.900000000000006</v>
      </c>
      <c r="O1807" t="s">
        <v>239</v>
      </c>
      <c r="P1807" t="s">
        <v>514</v>
      </c>
      <c r="Y1807">
        <v>1773</v>
      </c>
      <c r="Z1807" s="259" t="s">
        <v>630</v>
      </c>
      <c r="AA1807">
        <v>50</v>
      </c>
      <c r="AB1807">
        <v>4104</v>
      </c>
      <c r="AC1807">
        <v>45883</v>
      </c>
      <c r="AD1807">
        <v>0</v>
      </c>
      <c r="AE1807">
        <v>4045.0000000000005</v>
      </c>
      <c r="AF1807">
        <v>4045.0000000000005</v>
      </c>
      <c r="AG1807">
        <v>0</v>
      </c>
      <c r="AH1807">
        <v>-58.999999999999545</v>
      </c>
    </row>
    <row r="1808" spans="2:34" x14ac:dyDescent="0.35">
      <c r="B1808" t="s">
        <v>565</v>
      </c>
      <c r="C1808">
        <v>45884</v>
      </c>
      <c r="F1808" t="s">
        <v>749</v>
      </c>
      <c r="H1808">
        <v>50.6</v>
      </c>
      <c r="O1808" t="s">
        <v>239</v>
      </c>
      <c r="P1808" t="s">
        <v>514</v>
      </c>
      <c r="Y1808">
        <v>1774</v>
      </c>
      <c r="Z1808" s="259" t="s">
        <v>630</v>
      </c>
      <c r="AA1808">
        <v>160</v>
      </c>
      <c r="AB1808">
        <v>8008</v>
      </c>
      <c r="AC1808">
        <v>45884</v>
      </c>
      <c r="AD1808">
        <v>0</v>
      </c>
      <c r="AE1808">
        <v>8096</v>
      </c>
      <c r="AF1808">
        <v>8096</v>
      </c>
      <c r="AG1808">
        <v>0</v>
      </c>
      <c r="AH1808">
        <v>88</v>
      </c>
    </row>
    <row r="1809" spans="2:34" x14ac:dyDescent="0.35">
      <c r="B1809" t="s">
        <v>565</v>
      </c>
      <c r="C1809">
        <v>45884</v>
      </c>
      <c r="F1809" t="s">
        <v>752</v>
      </c>
      <c r="H1809">
        <v>183.13</v>
      </c>
      <c r="O1809" t="s">
        <v>239</v>
      </c>
      <c r="P1809" t="s">
        <v>514</v>
      </c>
      <c r="Y1809">
        <v>1775</v>
      </c>
      <c r="Z1809" s="259" t="s">
        <v>630</v>
      </c>
      <c r="AA1809">
        <v>100</v>
      </c>
      <c r="AB1809">
        <v>20020</v>
      </c>
      <c r="AC1809">
        <v>45884</v>
      </c>
      <c r="AD1809">
        <v>0</v>
      </c>
      <c r="AE1809">
        <v>18313</v>
      </c>
      <c r="AF1809">
        <v>18313</v>
      </c>
      <c r="AG1809">
        <v>0</v>
      </c>
      <c r="AH1809">
        <v>-1707</v>
      </c>
    </row>
    <row r="1810" spans="2:34" x14ac:dyDescent="0.35">
      <c r="B1810" t="s">
        <v>565</v>
      </c>
      <c r="C1810">
        <v>45884</v>
      </c>
      <c r="F1810" t="s">
        <v>754</v>
      </c>
      <c r="H1810">
        <v>81.2</v>
      </c>
      <c r="O1810" t="s">
        <v>239</v>
      </c>
      <c r="P1810" t="s">
        <v>514</v>
      </c>
      <c r="Y1810">
        <v>1776</v>
      </c>
      <c r="Z1810" s="259" t="s">
        <v>630</v>
      </c>
      <c r="AA1810">
        <v>50</v>
      </c>
      <c r="AB1810">
        <v>4104</v>
      </c>
      <c r="AC1810">
        <v>45884</v>
      </c>
      <c r="AD1810">
        <v>0</v>
      </c>
      <c r="AE1810">
        <v>4060</v>
      </c>
      <c r="AF1810">
        <v>4060</v>
      </c>
      <c r="AG1810">
        <v>0</v>
      </c>
      <c r="AH1810">
        <v>-44</v>
      </c>
    </row>
    <row r="1811" spans="2:34" x14ac:dyDescent="0.35">
      <c r="B1811" t="s">
        <v>565</v>
      </c>
      <c r="C1811">
        <v>45885</v>
      </c>
      <c r="F1811" t="s">
        <v>749</v>
      </c>
      <c r="H1811">
        <v>50.6</v>
      </c>
      <c r="O1811" t="s">
        <v>239</v>
      </c>
      <c r="P1811" t="s">
        <v>514</v>
      </c>
      <c r="Y1811">
        <v>1777</v>
      </c>
      <c r="Z1811" s="259" t="s">
        <v>630</v>
      </c>
      <c r="AA1811">
        <v>160</v>
      </c>
      <c r="AB1811">
        <v>8008</v>
      </c>
      <c r="AC1811">
        <v>45884</v>
      </c>
      <c r="AD1811">
        <v>1</v>
      </c>
      <c r="AE1811">
        <v>8096</v>
      </c>
      <c r="AF1811">
        <v>8096</v>
      </c>
      <c r="AG1811">
        <v>0</v>
      </c>
      <c r="AH1811">
        <v>88</v>
      </c>
    </row>
    <row r="1812" spans="2:34" x14ac:dyDescent="0.35">
      <c r="B1812" t="s">
        <v>565</v>
      </c>
      <c r="C1812">
        <v>45885</v>
      </c>
      <c r="F1812" t="s">
        <v>752</v>
      </c>
      <c r="H1812">
        <v>183.13</v>
      </c>
      <c r="O1812" t="s">
        <v>239</v>
      </c>
      <c r="P1812" t="s">
        <v>514</v>
      </c>
      <c r="Y1812">
        <v>1778</v>
      </c>
      <c r="Z1812" s="259" t="s">
        <v>630</v>
      </c>
      <c r="AA1812">
        <v>100</v>
      </c>
      <c r="AB1812">
        <v>20020</v>
      </c>
      <c r="AC1812">
        <v>45884</v>
      </c>
      <c r="AD1812">
        <v>1</v>
      </c>
      <c r="AE1812">
        <v>18313</v>
      </c>
      <c r="AF1812">
        <v>18313</v>
      </c>
      <c r="AG1812">
        <v>0</v>
      </c>
      <c r="AH1812">
        <v>-1707</v>
      </c>
    </row>
    <row r="1813" spans="2:34" x14ac:dyDescent="0.35">
      <c r="B1813" t="s">
        <v>565</v>
      </c>
      <c r="C1813">
        <v>45885</v>
      </c>
      <c r="F1813" t="s">
        <v>754</v>
      </c>
      <c r="H1813">
        <v>81.2</v>
      </c>
      <c r="O1813" t="s">
        <v>239</v>
      </c>
      <c r="P1813" t="s">
        <v>514</v>
      </c>
      <c r="Y1813">
        <v>1779</v>
      </c>
      <c r="Z1813" s="259" t="s">
        <v>630</v>
      </c>
      <c r="AA1813">
        <v>50</v>
      </c>
      <c r="AB1813">
        <v>4104</v>
      </c>
      <c r="AC1813">
        <v>45884</v>
      </c>
      <c r="AD1813">
        <v>1</v>
      </c>
      <c r="AE1813">
        <v>4060</v>
      </c>
      <c r="AF1813">
        <v>4060</v>
      </c>
      <c r="AG1813">
        <v>0</v>
      </c>
      <c r="AH1813">
        <v>-44</v>
      </c>
    </row>
    <row r="1814" spans="2:34" x14ac:dyDescent="0.35">
      <c r="B1814" t="s">
        <v>565</v>
      </c>
      <c r="C1814">
        <v>45886</v>
      </c>
      <c r="F1814" t="s">
        <v>749</v>
      </c>
      <c r="H1814">
        <v>50.6</v>
      </c>
      <c r="O1814" t="s">
        <v>239</v>
      </c>
      <c r="P1814" t="s">
        <v>514</v>
      </c>
      <c r="Y1814">
        <v>1780</v>
      </c>
      <c r="Z1814" s="259" t="s">
        <v>630</v>
      </c>
      <c r="AA1814">
        <v>160</v>
      </c>
      <c r="AB1814">
        <v>8008</v>
      </c>
      <c r="AC1814">
        <v>45884</v>
      </c>
      <c r="AD1814">
        <v>2</v>
      </c>
      <c r="AE1814">
        <v>8096</v>
      </c>
      <c r="AF1814">
        <v>8096</v>
      </c>
      <c r="AG1814">
        <v>0</v>
      </c>
      <c r="AH1814">
        <v>88</v>
      </c>
    </row>
    <row r="1815" spans="2:34" x14ac:dyDescent="0.35">
      <c r="B1815" t="s">
        <v>565</v>
      </c>
      <c r="C1815">
        <v>45886</v>
      </c>
      <c r="F1815" t="s">
        <v>752</v>
      </c>
      <c r="H1815">
        <v>183.13</v>
      </c>
      <c r="O1815" t="s">
        <v>239</v>
      </c>
      <c r="P1815" t="s">
        <v>514</v>
      </c>
      <c r="Y1815">
        <v>1781</v>
      </c>
      <c r="Z1815" s="259" t="s">
        <v>630</v>
      </c>
      <c r="AA1815">
        <v>100</v>
      </c>
      <c r="AB1815">
        <v>20020</v>
      </c>
      <c r="AC1815">
        <v>45884</v>
      </c>
      <c r="AD1815">
        <v>2</v>
      </c>
      <c r="AE1815">
        <v>18313</v>
      </c>
      <c r="AF1815">
        <v>18313</v>
      </c>
      <c r="AG1815">
        <v>0</v>
      </c>
      <c r="AH1815">
        <v>-1707</v>
      </c>
    </row>
    <row r="1816" spans="2:34" x14ac:dyDescent="0.35">
      <c r="B1816" t="s">
        <v>565</v>
      </c>
      <c r="C1816">
        <v>45886</v>
      </c>
      <c r="F1816" t="s">
        <v>754</v>
      </c>
      <c r="H1816">
        <v>81.2</v>
      </c>
      <c r="O1816" t="s">
        <v>239</v>
      </c>
      <c r="P1816" t="s">
        <v>514</v>
      </c>
      <c r="Y1816">
        <v>1782</v>
      </c>
      <c r="Z1816" s="259" t="s">
        <v>630</v>
      </c>
      <c r="AA1816">
        <v>50</v>
      </c>
      <c r="AB1816">
        <v>4104</v>
      </c>
      <c r="AC1816">
        <v>45884</v>
      </c>
      <c r="AD1816">
        <v>2</v>
      </c>
      <c r="AE1816">
        <v>4060</v>
      </c>
      <c r="AF1816">
        <v>4060</v>
      </c>
      <c r="AG1816">
        <v>0</v>
      </c>
      <c r="AH1816">
        <v>-44</v>
      </c>
    </row>
    <row r="1817" spans="2:34" x14ac:dyDescent="0.35">
      <c r="B1817" t="s">
        <v>565</v>
      </c>
      <c r="C1817">
        <v>45887</v>
      </c>
      <c r="F1817" t="s">
        <v>749</v>
      </c>
      <c r="H1817">
        <v>50.3</v>
      </c>
      <c r="O1817" t="s">
        <v>239</v>
      </c>
      <c r="P1817" t="s">
        <v>514</v>
      </c>
      <c r="Y1817">
        <v>1783</v>
      </c>
      <c r="Z1817" s="259" t="s">
        <v>630</v>
      </c>
      <c r="AA1817">
        <v>160</v>
      </c>
      <c r="AB1817">
        <v>8008</v>
      </c>
      <c r="AC1817">
        <v>45887</v>
      </c>
      <c r="AD1817">
        <v>0</v>
      </c>
      <c r="AE1817">
        <v>8048</v>
      </c>
      <c r="AF1817">
        <v>8048</v>
      </c>
      <c r="AG1817">
        <v>0</v>
      </c>
      <c r="AH1817">
        <v>40</v>
      </c>
    </row>
    <row r="1818" spans="2:34" x14ac:dyDescent="0.35">
      <c r="B1818" t="s">
        <v>565</v>
      </c>
      <c r="C1818">
        <v>45887</v>
      </c>
      <c r="F1818" t="s">
        <v>752</v>
      </c>
      <c r="H1818">
        <v>184.23</v>
      </c>
      <c r="O1818" t="s">
        <v>239</v>
      </c>
      <c r="P1818" t="s">
        <v>514</v>
      </c>
      <c r="Y1818">
        <v>1784</v>
      </c>
      <c r="Z1818" s="259" t="s">
        <v>630</v>
      </c>
      <c r="AA1818">
        <v>100</v>
      </c>
      <c r="AB1818">
        <v>20020</v>
      </c>
      <c r="AC1818">
        <v>45887</v>
      </c>
      <c r="AD1818">
        <v>0</v>
      </c>
      <c r="AE1818">
        <v>18423</v>
      </c>
      <c r="AF1818">
        <v>18423</v>
      </c>
      <c r="AG1818">
        <v>0</v>
      </c>
      <c r="AH1818">
        <v>-1597</v>
      </c>
    </row>
    <row r="1819" spans="2:34" x14ac:dyDescent="0.35">
      <c r="B1819" t="s">
        <v>565</v>
      </c>
      <c r="C1819">
        <v>45887</v>
      </c>
      <c r="F1819" t="s">
        <v>754</v>
      </c>
      <c r="H1819">
        <v>82.1</v>
      </c>
      <c r="O1819" t="s">
        <v>239</v>
      </c>
      <c r="P1819" t="s">
        <v>514</v>
      </c>
      <c r="Y1819">
        <v>1785</v>
      </c>
      <c r="Z1819" s="259" t="s">
        <v>630</v>
      </c>
      <c r="AA1819">
        <v>50</v>
      </c>
      <c r="AB1819">
        <v>4104</v>
      </c>
      <c r="AC1819">
        <v>45887</v>
      </c>
      <c r="AD1819">
        <v>0</v>
      </c>
      <c r="AE1819">
        <v>4105</v>
      </c>
      <c r="AF1819">
        <v>4105</v>
      </c>
      <c r="AG1819">
        <v>0</v>
      </c>
      <c r="AH1819">
        <v>1</v>
      </c>
    </row>
    <row r="1820" spans="2:34" x14ac:dyDescent="0.35">
      <c r="B1820" t="s">
        <v>565</v>
      </c>
      <c r="C1820">
        <v>45888</v>
      </c>
      <c r="F1820" t="s">
        <v>749</v>
      </c>
      <c r="H1820">
        <v>50.2</v>
      </c>
      <c r="O1820" t="s">
        <v>239</v>
      </c>
      <c r="P1820" t="s">
        <v>514</v>
      </c>
      <c r="Y1820">
        <v>1786</v>
      </c>
      <c r="Z1820" s="259" t="s">
        <v>630</v>
      </c>
      <c r="AA1820">
        <v>160</v>
      </c>
      <c r="AB1820">
        <v>8008</v>
      </c>
      <c r="AC1820">
        <v>45888</v>
      </c>
      <c r="AD1820">
        <v>0</v>
      </c>
      <c r="AE1820">
        <v>8032</v>
      </c>
      <c r="AF1820">
        <v>8032</v>
      </c>
      <c r="AG1820">
        <v>0</v>
      </c>
      <c r="AH1820">
        <v>24</v>
      </c>
    </row>
    <row r="1821" spans="2:34" x14ac:dyDescent="0.35">
      <c r="B1821" t="s">
        <v>565</v>
      </c>
      <c r="C1821">
        <v>45888</v>
      </c>
      <c r="F1821" t="s">
        <v>752</v>
      </c>
      <c r="H1821">
        <v>184.6</v>
      </c>
      <c r="O1821" t="s">
        <v>239</v>
      </c>
      <c r="P1821" t="s">
        <v>514</v>
      </c>
      <c r="Y1821">
        <v>1787</v>
      </c>
      <c r="Z1821" s="259" t="s">
        <v>630</v>
      </c>
      <c r="AA1821">
        <v>100</v>
      </c>
      <c r="AB1821">
        <v>20020</v>
      </c>
      <c r="AC1821">
        <v>45888</v>
      </c>
      <c r="AD1821">
        <v>0</v>
      </c>
      <c r="AE1821">
        <v>18460</v>
      </c>
      <c r="AF1821">
        <v>18460</v>
      </c>
      <c r="AG1821">
        <v>0</v>
      </c>
      <c r="AH1821">
        <v>-1560</v>
      </c>
    </row>
    <row r="1822" spans="2:34" x14ac:dyDescent="0.35">
      <c r="B1822" t="s">
        <v>565</v>
      </c>
      <c r="C1822">
        <v>45888</v>
      </c>
      <c r="F1822" t="s">
        <v>754</v>
      </c>
      <c r="H1822">
        <v>82.4</v>
      </c>
      <c r="O1822" t="s">
        <v>239</v>
      </c>
      <c r="P1822" t="s">
        <v>514</v>
      </c>
      <c r="Y1822">
        <v>1788</v>
      </c>
      <c r="Z1822" s="259" t="s">
        <v>630</v>
      </c>
      <c r="AA1822">
        <v>50</v>
      </c>
      <c r="AB1822">
        <v>4104</v>
      </c>
      <c r="AC1822">
        <v>45888</v>
      </c>
      <c r="AD1822">
        <v>0</v>
      </c>
      <c r="AE1822">
        <v>4120</v>
      </c>
      <c r="AF1822">
        <v>4120</v>
      </c>
      <c r="AG1822">
        <v>0</v>
      </c>
      <c r="AH1822">
        <v>16</v>
      </c>
    </row>
    <row r="1823" spans="2:34" x14ac:dyDescent="0.35">
      <c r="B1823" t="s">
        <v>565</v>
      </c>
      <c r="C1823">
        <v>45889</v>
      </c>
      <c r="F1823" t="s">
        <v>749</v>
      </c>
      <c r="H1823">
        <v>50.1</v>
      </c>
      <c r="O1823" t="s">
        <v>239</v>
      </c>
      <c r="P1823" t="s">
        <v>514</v>
      </c>
      <c r="Y1823">
        <v>1789</v>
      </c>
      <c r="Z1823" s="259" t="s">
        <v>630</v>
      </c>
      <c r="AA1823">
        <v>160</v>
      </c>
      <c r="AB1823">
        <v>8008</v>
      </c>
      <c r="AC1823">
        <v>45889</v>
      </c>
      <c r="AD1823">
        <v>0</v>
      </c>
      <c r="AE1823">
        <v>8016</v>
      </c>
      <c r="AF1823">
        <v>8016</v>
      </c>
      <c r="AG1823">
        <v>0</v>
      </c>
      <c r="AH1823">
        <v>8</v>
      </c>
    </row>
    <row r="1824" spans="2:34" x14ac:dyDescent="0.35">
      <c r="B1824" t="s">
        <v>565</v>
      </c>
      <c r="C1824">
        <v>45889</v>
      </c>
      <c r="F1824" t="s">
        <v>752</v>
      </c>
      <c r="H1824">
        <v>184.97</v>
      </c>
      <c r="O1824" t="s">
        <v>239</v>
      </c>
      <c r="P1824" t="s">
        <v>514</v>
      </c>
      <c r="Y1824">
        <v>1790</v>
      </c>
      <c r="Z1824" s="259" t="s">
        <v>630</v>
      </c>
      <c r="AA1824">
        <v>100</v>
      </c>
      <c r="AB1824">
        <v>20020</v>
      </c>
      <c r="AC1824">
        <v>45889</v>
      </c>
      <c r="AD1824">
        <v>0</v>
      </c>
      <c r="AE1824">
        <v>18497</v>
      </c>
      <c r="AF1824">
        <v>18497</v>
      </c>
      <c r="AG1824">
        <v>0</v>
      </c>
      <c r="AH1824">
        <v>-1523</v>
      </c>
    </row>
    <row r="1825" spans="2:34" x14ac:dyDescent="0.35">
      <c r="B1825" t="s">
        <v>565</v>
      </c>
      <c r="C1825">
        <v>45889</v>
      </c>
      <c r="F1825" t="s">
        <v>754</v>
      </c>
      <c r="H1825">
        <v>82.7</v>
      </c>
      <c r="O1825" t="s">
        <v>239</v>
      </c>
      <c r="P1825" t="s">
        <v>514</v>
      </c>
      <c r="Y1825">
        <v>1791</v>
      </c>
      <c r="Z1825" s="259" t="s">
        <v>630</v>
      </c>
      <c r="AA1825">
        <v>50</v>
      </c>
      <c r="AB1825">
        <v>4104</v>
      </c>
      <c r="AC1825">
        <v>45889</v>
      </c>
      <c r="AD1825">
        <v>0</v>
      </c>
      <c r="AE1825">
        <v>4135</v>
      </c>
      <c r="AF1825">
        <v>4135</v>
      </c>
      <c r="AG1825">
        <v>0</v>
      </c>
      <c r="AH1825">
        <v>31</v>
      </c>
    </row>
    <row r="1826" spans="2:34" x14ac:dyDescent="0.35">
      <c r="B1826" t="s">
        <v>565</v>
      </c>
      <c r="C1826">
        <v>45890</v>
      </c>
      <c r="F1826" t="s">
        <v>749</v>
      </c>
      <c r="H1826">
        <v>50</v>
      </c>
      <c r="O1826" t="s">
        <v>239</v>
      </c>
      <c r="P1826" t="s">
        <v>514</v>
      </c>
      <c r="Y1826">
        <v>1792</v>
      </c>
      <c r="Z1826" s="259" t="s">
        <v>630</v>
      </c>
      <c r="AA1826">
        <v>160</v>
      </c>
      <c r="AB1826">
        <v>8008</v>
      </c>
      <c r="AC1826">
        <v>45890</v>
      </c>
      <c r="AD1826">
        <v>0</v>
      </c>
      <c r="AE1826">
        <v>8000</v>
      </c>
      <c r="AF1826">
        <v>8000</v>
      </c>
      <c r="AG1826">
        <v>0</v>
      </c>
      <c r="AH1826">
        <v>-8</v>
      </c>
    </row>
    <row r="1827" spans="2:34" x14ac:dyDescent="0.35">
      <c r="B1827" t="s">
        <v>565</v>
      </c>
      <c r="C1827">
        <v>45890</v>
      </c>
      <c r="F1827" t="s">
        <v>752</v>
      </c>
      <c r="H1827">
        <v>185.33</v>
      </c>
      <c r="O1827" t="s">
        <v>239</v>
      </c>
      <c r="P1827" t="s">
        <v>514</v>
      </c>
      <c r="Y1827">
        <v>1793</v>
      </c>
      <c r="Z1827" s="259" t="s">
        <v>630</v>
      </c>
      <c r="AA1827">
        <v>100</v>
      </c>
      <c r="AB1827">
        <v>20020</v>
      </c>
      <c r="AC1827">
        <v>45890</v>
      </c>
      <c r="AD1827">
        <v>0</v>
      </c>
      <c r="AE1827">
        <v>18533</v>
      </c>
      <c r="AF1827">
        <v>18533</v>
      </c>
      <c r="AG1827">
        <v>0</v>
      </c>
      <c r="AH1827">
        <v>-1487</v>
      </c>
    </row>
    <row r="1828" spans="2:34" x14ac:dyDescent="0.35">
      <c r="B1828" t="s">
        <v>565</v>
      </c>
      <c r="C1828">
        <v>45890</v>
      </c>
      <c r="F1828" t="s">
        <v>754</v>
      </c>
      <c r="H1828">
        <v>83</v>
      </c>
      <c r="O1828" t="s">
        <v>239</v>
      </c>
      <c r="P1828" t="s">
        <v>514</v>
      </c>
      <c r="Y1828">
        <v>1794</v>
      </c>
      <c r="Z1828" s="259" t="s">
        <v>630</v>
      </c>
      <c r="AA1828">
        <v>50</v>
      </c>
      <c r="AB1828">
        <v>4104</v>
      </c>
      <c r="AC1828">
        <v>45890</v>
      </c>
      <c r="AD1828">
        <v>0</v>
      </c>
      <c r="AE1828">
        <v>4150</v>
      </c>
      <c r="AF1828">
        <v>4150</v>
      </c>
      <c r="AG1828">
        <v>0</v>
      </c>
      <c r="AH1828">
        <v>46</v>
      </c>
    </row>
    <row r="1829" spans="2:34" x14ac:dyDescent="0.35">
      <c r="B1829" t="s">
        <v>565</v>
      </c>
      <c r="C1829">
        <v>45891</v>
      </c>
      <c r="F1829" t="s">
        <v>749</v>
      </c>
      <c r="H1829">
        <v>49.9</v>
      </c>
      <c r="O1829" t="s">
        <v>239</v>
      </c>
      <c r="P1829" t="s">
        <v>514</v>
      </c>
      <c r="Y1829">
        <v>1795</v>
      </c>
      <c r="Z1829" s="259" t="s">
        <v>630</v>
      </c>
      <c r="AA1829">
        <v>160</v>
      </c>
      <c r="AB1829">
        <v>8008</v>
      </c>
      <c r="AC1829">
        <v>45891</v>
      </c>
      <c r="AD1829">
        <v>0</v>
      </c>
      <c r="AE1829">
        <v>7984</v>
      </c>
      <c r="AF1829">
        <v>7984</v>
      </c>
      <c r="AG1829">
        <v>0</v>
      </c>
      <c r="AH1829">
        <v>-24</v>
      </c>
    </row>
    <row r="1830" spans="2:34" x14ac:dyDescent="0.35">
      <c r="B1830" t="s">
        <v>565</v>
      </c>
      <c r="C1830">
        <v>45891</v>
      </c>
      <c r="F1830" t="s">
        <v>752</v>
      </c>
      <c r="H1830">
        <v>185.7</v>
      </c>
      <c r="O1830" t="s">
        <v>239</v>
      </c>
      <c r="P1830" t="s">
        <v>514</v>
      </c>
      <c r="Y1830">
        <v>1796</v>
      </c>
      <c r="Z1830" s="259" t="s">
        <v>630</v>
      </c>
      <c r="AA1830">
        <v>100</v>
      </c>
      <c r="AB1830">
        <v>20020</v>
      </c>
      <c r="AC1830">
        <v>45891</v>
      </c>
      <c r="AD1830">
        <v>0</v>
      </c>
      <c r="AE1830">
        <v>18570</v>
      </c>
      <c r="AF1830">
        <v>18570</v>
      </c>
      <c r="AG1830">
        <v>0</v>
      </c>
      <c r="AH1830">
        <v>-1450</v>
      </c>
    </row>
    <row r="1831" spans="2:34" x14ac:dyDescent="0.35">
      <c r="B1831" t="s">
        <v>565</v>
      </c>
      <c r="C1831">
        <v>45891</v>
      </c>
      <c r="F1831" t="s">
        <v>754</v>
      </c>
      <c r="H1831">
        <v>83.3</v>
      </c>
      <c r="O1831" t="s">
        <v>239</v>
      </c>
      <c r="P1831" t="s">
        <v>514</v>
      </c>
      <c r="Y1831">
        <v>1797</v>
      </c>
      <c r="Z1831" s="259" t="s">
        <v>630</v>
      </c>
      <c r="AA1831">
        <v>50</v>
      </c>
      <c r="AB1831">
        <v>4104</v>
      </c>
      <c r="AC1831">
        <v>45891</v>
      </c>
      <c r="AD1831">
        <v>0</v>
      </c>
      <c r="AE1831">
        <v>4165</v>
      </c>
      <c r="AF1831">
        <v>4165</v>
      </c>
      <c r="AG1831">
        <v>0</v>
      </c>
      <c r="AH1831">
        <v>61</v>
      </c>
    </row>
    <row r="1832" spans="2:34" x14ac:dyDescent="0.35">
      <c r="B1832" t="s">
        <v>565</v>
      </c>
      <c r="C1832">
        <v>45892</v>
      </c>
      <c r="F1832" t="s">
        <v>749</v>
      </c>
      <c r="H1832">
        <v>49.9</v>
      </c>
      <c r="O1832" t="s">
        <v>239</v>
      </c>
      <c r="P1832" t="s">
        <v>514</v>
      </c>
      <c r="Y1832">
        <v>1798</v>
      </c>
      <c r="Z1832" s="259" t="s">
        <v>630</v>
      </c>
      <c r="AA1832">
        <v>160</v>
      </c>
      <c r="AB1832">
        <v>8008</v>
      </c>
      <c r="AC1832">
        <v>45891</v>
      </c>
      <c r="AD1832">
        <v>1</v>
      </c>
      <c r="AE1832">
        <v>7984</v>
      </c>
      <c r="AF1832">
        <v>7984</v>
      </c>
      <c r="AG1832">
        <v>0</v>
      </c>
      <c r="AH1832">
        <v>-24</v>
      </c>
    </row>
    <row r="1833" spans="2:34" x14ac:dyDescent="0.35">
      <c r="B1833" t="s">
        <v>565</v>
      </c>
      <c r="C1833">
        <v>45892</v>
      </c>
      <c r="F1833" t="s">
        <v>752</v>
      </c>
      <c r="H1833">
        <v>185.7</v>
      </c>
      <c r="O1833" t="s">
        <v>239</v>
      </c>
      <c r="P1833" t="s">
        <v>514</v>
      </c>
      <c r="Y1833">
        <v>1799</v>
      </c>
      <c r="Z1833" s="259" t="s">
        <v>630</v>
      </c>
      <c r="AA1833">
        <v>100</v>
      </c>
      <c r="AB1833">
        <v>20020</v>
      </c>
      <c r="AC1833">
        <v>45891</v>
      </c>
      <c r="AD1833">
        <v>1</v>
      </c>
      <c r="AE1833">
        <v>18570</v>
      </c>
      <c r="AF1833">
        <v>18570</v>
      </c>
      <c r="AG1833">
        <v>0</v>
      </c>
      <c r="AH1833">
        <v>-1450</v>
      </c>
    </row>
    <row r="1834" spans="2:34" x14ac:dyDescent="0.35">
      <c r="B1834" t="s">
        <v>565</v>
      </c>
      <c r="C1834">
        <v>45892</v>
      </c>
      <c r="F1834" t="s">
        <v>754</v>
      </c>
      <c r="H1834">
        <v>83.3</v>
      </c>
      <c r="O1834" t="s">
        <v>239</v>
      </c>
      <c r="P1834" t="s">
        <v>514</v>
      </c>
      <c r="Y1834">
        <v>1800</v>
      </c>
      <c r="Z1834" s="259" t="s">
        <v>630</v>
      </c>
      <c r="AA1834">
        <v>50</v>
      </c>
      <c r="AB1834">
        <v>4104</v>
      </c>
      <c r="AC1834">
        <v>45891</v>
      </c>
      <c r="AD1834">
        <v>1</v>
      </c>
      <c r="AE1834">
        <v>4165</v>
      </c>
      <c r="AF1834">
        <v>4165</v>
      </c>
      <c r="AG1834">
        <v>0</v>
      </c>
      <c r="AH1834">
        <v>61</v>
      </c>
    </row>
    <row r="1835" spans="2:34" x14ac:dyDescent="0.35">
      <c r="B1835" t="s">
        <v>565</v>
      </c>
      <c r="C1835">
        <v>45893</v>
      </c>
      <c r="F1835" t="s">
        <v>749</v>
      </c>
      <c r="H1835">
        <v>49.9</v>
      </c>
      <c r="O1835" t="s">
        <v>239</v>
      </c>
      <c r="P1835" t="s">
        <v>514</v>
      </c>
      <c r="Y1835">
        <v>1801</v>
      </c>
      <c r="Z1835" s="259" t="s">
        <v>630</v>
      </c>
      <c r="AA1835">
        <v>160</v>
      </c>
      <c r="AB1835">
        <v>8008</v>
      </c>
      <c r="AC1835">
        <v>45891</v>
      </c>
      <c r="AD1835">
        <v>2</v>
      </c>
      <c r="AE1835">
        <v>7984</v>
      </c>
      <c r="AF1835">
        <v>7984</v>
      </c>
      <c r="AG1835">
        <v>0</v>
      </c>
      <c r="AH1835">
        <v>-24</v>
      </c>
    </row>
    <row r="1836" spans="2:34" x14ac:dyDescent="0.35">
      <c r="B1836" t="s">
        <v>565</v>
      </c>
      <c r="C1836">
        <v>45893</v>
      </c>
      <c r="F1836" t="s">
        <v>752</v>
      </c>
      <c r="H1836">
        <v>185.7</v>
      </c>
      <c r="O1836" t="s">
        <v>239</v>
      </c>
      <c r="P1836" t="s">
        <v>514</v>
      </c>
      <c r="Y1836">
        <v>1802</v>
      </c>
      <c r="Z1836" s="259" t="s">
        <v>630</v>
      </c>
      <c r="AA1836">
        <v>100</v>
      </c>
      <c r="AB1836">
        <v>20020</v>
      </c>
      <c r="AC1836">
        <v>45891</v>
      </c>
      <c r="AD1836">
        <v>2</v>
      </c>
      <c r="AE1836">
        <v>18570</v>
      </c>
      <c r="AF1836">
        <v>18570</v>
      </c>
      <c r="AG1836">
        <v>0</v>
      </c>
      <c r="AH1836">
        <v>-1450</v>
      </c>
    </row>
    <row r="1837" spans="2:34" x14ac:dyDescent="0.35">
      <c r="B1837" t="s">
        <v>565</v>
      </c>
      <c r="C1837">
        <v>45893</v>
      </c>
      <c r="F1837" t="s">
        <v>754</v>
      </c>
      <c r="H1837">
        <v>83.3</v>
      </c>
      <c r="O1837" t="s">
        <v>239</v>
      </c>
      <c r="P1837" t="s">
        <v>514</v>
      </c>
      <c r="Y1837">
        <v>1803</v>
      </c>
      <c r="Z1837" s="259" t="s">
        <v>630</v>
      </c>
      <c r="AA1837">
        <v>50</v>
      </c>
      <c r="AB1837">
        <v>4104</v>
      </c>
      <c r="AC1837">
        <v>45891</v>
      </c>
      <c r="AD1837">
        <v>2</v>
      </c>
      <c r="AE1837">
        <v>4165</v>
      </c>
      <c r="AF1837">
        <v>4165</v>
      </c>
      <c r="AG1837">
        <v>0</v>
      </c>
      <c r="AH1837">
        <v>61</v>
      </c>
    </row>
    <row r="1838" spans="2:34" x14ac:dyDescent="0.35">
      <c r="B1838" t="s">
        <v>565</v>
      </c>
      <c r="C1838">
        <v>45894</v>
      </c>
      <c r="F1838" t="s">
        <v>749</v>
      </c>
      <c r="H1838">
        <v>49.6</v>
      </c>
      <c r="O1838" t="s">
        <v>239</v>
      </c>
      <c r="P1838" t="s">
        <v>514</v>
      </c>
      <c r="Y1838">
        <v>1804</v>
      </c>
      <c r="Z1838" s="259" t="s">
        <v>630</v>
      </c>
      <c r="AA1838">
        <v>160</v>
      </c>
      <c r="AB1838">
        <v>8008</v>
      </c>
      <c r="AC1838">
        <v>45894</v>
      </c>
      <c r="AD1838">
        <v>0</v>
      </c>
      <c r="AE1838">
        <v>7936</v>
      </c>
      <c r="AF1838">
        <v>7936</v>
      </c>
      <c r="AG1838">
        <v>0</v>
      </c>
      <c r="AH1838">
        <v>-72</v>
      </c>
    </row>
    <row r="1839" spans="2:34" x14ac:dyDescent="0.35">
      <c r="B1839" t="s">
        <v>565</v>
      </c>
      <c r="C1839">
        <v>45894</v>
      </c>
      <c r="F1839" t="s">
        <v>752</v>
      </c>
      <c r="H1839">
        <v>186.8</v>
      </c>
      <c r="O1839" t="s">
        <v>239</v>
      </c>
      <c r="P1839" t="s">
        <v>514</v>
      </c>
      <c r="Y1839">
        <v>1805</v>
      </c>
      <c r="Z1839" s="259" t="s">
        <v>630</v>
      </c>
      <c r="AA1839">
        <v>100</v>
      </c>
      <c r="AB1839">
        <v>20020</v>
      </c>
      <c r="AC1839">
        <v>45894</v>
      </c>
      <c r="AD1839">
        <v>0</v>
      </c>
      <c r="AE1839">
        <v>18680</v>
      </c>
      <c r="AF1839">
        <v>18680</v>
      </c>
      <c r="AG1839">
        <v>0</v>
      </c>
      <c r="AH1839">
        <v>-1340</v>
      </c>
    </row>
    <row r="1840" spans="2:34" x14ac:dyDescent="0.35">
      <c r="B1840" t="s">
        <v>565</v>
      </c>
      <c r="C1840">
        <v>45894</v>
      </c>
      <c r="F1840" t="s">
        <v>754</v>
      </c>
      <c r="H1840">
        <v>84.2</v>
      </c>
      <c r="O1840" t="s">
        <v>239</v>
      </c>
      <c r="P1840" t="s">
        <v>514</v>
      </c>
      <c r="Y1840">
        <v>1806</v>
      </c>
      <c r="Z1840" s="259" t="s">
        <v>630</v>
      </c>
      <c r="AA1840">
        <v>50</v>
      </c>
      <c r="AB1840">
        <v>4104</v>
      </c>
      <c r="AC1840">
        <v>45894</v>
      </c>
      <c r="AD1840">
        <v>0</v>
      </c>
      <c r="AE1840">
        <v>4210</v>
      </c>
      <c r="AF1840">
        <v>4210</v>
      </c>
      <c r="AG1840">
        <v>0</v>
      </c>
      <c r="AH1840">
        <v>106</v>
      </c>
    </row>
    <row r="1841" spans="2:34" x14ac:dyDescent="0.35">
      <c r="B1841" t="s">
        <v>565</v>
      </c>
      <c r="C1841">
        <v>45895</v>
      </c>
      <c r="F1841" t="s">
        <v>749</v>
      </c>
      <c r="H1841">
        <v>49.5</v>
      </c>
      <c r="O1841" t="s">
        <v>239</v>
      </c>
      <c r="P1841" t="s">
        <v>514</v>
      </c>
      <c r="Y1841">
        <v>1807</v>
      </c>
      <c r="Z1841" s="259" t="s">
        <v>630</v>
      </c>
      <c r="AA1841">
        <v>160</v>
      </c>
      <c r="AB1841">
        <v>8008</v>
      </c>
      <c r="AC1841">
        <v>45895</v>
      </c>
      <c r="AD1841">
        <v>0</v>
      </c>
      <c r="AE1841">
        <v>7920</v>
      </c>
      <c r="AF1841">
        <v>7920</v>
      </c>
      <c r="AG1841">
        <v>0</v>
      </c>
      <c r="AH1841">
        <v>-88</v>
      </c>
    </row>
    <row r="1842" spans="2:34" x14ac:dyDescent="0.35">
      <c r="B1842" t="s">
        <v>565</v>
      </c>
      <c r="C1842">
        <v>45895</v>
      </c>
      <c r="F1842" t="s">
        <v>752</v>
      </c>
      <c r="H1842">
        <v>187.17</v>
      </c>
      <c r="O1842" t="s">
        <v>239</v>
      </c>
      <c r="P1842" t="s">
        <v>514</v>
      </c>
      <c r="Y1842">
        <v>1808</v>
      </c>
      <c r="Z1842" s="259" t="s">
        <v>630</v>
      </c>
      <c r="AA1842">
        <v>100</v>
      </c>
      <c r="AB1842">
        <v>20020</v>
      </c>
      <c r="AC1842">
        <v>45895</v>
      </c>
      <c r="AD1842">
        <v>0</v>
      </c>
      <c r="AE1842">
        <v>18717</v>
      </c>
      <c r="AF1842">
        <v>18717</v>
      </c>
      <c r="AG1842">
        <v>0</v>
      </c>
      <c r="AH1842">
        <v>-1303</v>
      </c>
    </row>
    <row r="1843" spans="2:34" x14ac:dyDescent="0.35">
      <c r="B1843" t="s">
        <v>565</v>
      </c>
      <c r="C1843">
        <v>45895</v>
      </c>
      <c r="F1843" t="s">
        <v>754</v>
      </c>
      <c r="H1843">
        <v>84.5</v>
      </c>
      <c r="O1843" t="s">
        <v>239</v>
      </c>
      <c r="P1843" t="s">
        <v>514</v>
      </c>
      <c r="Y1843">
        <v>1809</v>
      </c>
      <c r="Z1843" s="259" t="s">
        <v>630</v>
      </c>
      <c r="AA1843">
        <v>50</v>
      </c>
      <c r="AB1843">
        <v>4104</v>
      </c>
      <c r="AC1843">
        <v>45895</v>
      </c>
      <c r="AD1843">
        <v>0</v>
      </c>
      <c r="AE1843">
        <v>4225</v>
      </c>
      <c r="AF1843">
        <v>4225</v>
      </c>
      <c r="AG1843">
        <v>0</v>
      </c>
      <c r="AH1843">
        <v>121</v>
      </c>
    </row>
    <row r="1844" spans="2:34" x14ac:dyDescent="0.35">
      <c r="B1844" t="s">
        <v>565</v>
      </c>
      <c r="C1844">
        <v>45896</v>
      </c>
      <c r="F1844" t="s">
        <v>749</v>
      </c>
      <c r="H1844">
        <v>49.4</v>
      </c>
      <c r="O1844" t="s">
        <v>239</v>
      </c>
      <c r="P1844" t="s">
        <v>514</v>
      </c>
      <c r="Y1844">
        <v>1810</v>
      </c>
      <c r="Z1844" s="259" t="s">
        <v>630</v>
      </c>
      <c r="AA1844">
        <v>160</v>
      </c>
      <c r="AB1844">
        <v>8008</v>
      </c>
      <c r="AC1844">
        <v>45896</v>
      </c>
      <c r="AD1844">
        <v>0</v>
      </c>
      <c r="AE1844">
        <v>7904</v>
      </c>
      <c r="AF1844">
        <v>7904</v>
      </c>
      <c r="AG1844">
        <v>0</v>
      </c>
      <c r="AH1844">
        <v>-104</v>
      </c>
    </row>
    <row r="1845" spans="2:34" x14ac:dyDescent="0.35">
      <c r="B1845" t="s">
        <v>565</v>
      </c>
      <c r="C1845">
        <v>45896</v>
      </c>
      <c r="F1845" t="s">
        <v>752</v>
      </c>
      <c r="H1845">
        <v>187.53</v>
      </c>
      <c r="O1845" t="s">
        <v>239</v>
      </c>
      <c r="P1845" t="s">
        <v>514</v>
      </c>
      <c r="Y1845">
        <v>1811</v>
      </c>
      <c r="Z1845" s="259" t="s">
        <v>630</v>
      </c>
      <c r="AA1845">
        <v>100</v>
      </c>
      <c r="AB1845">
        <v>20020</v>
      </c>
      <c r="AC1845">
        <v>45896</v>
      </c>
      <c r="AD1845">
        <v>0</v>
      </c>
      <c r="AE1845">
        <v>18753</v>
      </c>
      <c r="AF1845">
        <v>18753</v>
      </c>
      <c r="AG1845">
        <v>0</v>
      </c>
      <c r="AH1845">
        <v>-1267</v>
      </c>
    </row>
    <row r="1846" spans="2:34" x14ac:dyDescent="0.35">
      <c r="B1846" t="s">
        <v>565</v>
      </c>
      <c r="C1846">
        <v>45896</v>
      </c>
      <c r="F1846" t="s">
        <v>754</v>
      </c>
      <c r="H1846">
        <v>84.8</v>
      </c>
      <c r="O1846" t="s">
        <v>239</v>
      </c>
      <c r="P1846" t="s">
        <v>514</v>
      </c>
      <c r="Y1846">
        <v>1812</v>
      </c>
      <c r="Z1846" s="259" t="s">
        <v>630</v>
      </c>
      <c r="AA1846">
        <v>50</v>
      </c>
      <c r="AB1846">
        <v>4104</v>
      </c>
      <c r="AC1846">
        <v>45896</v>
      </c>
      <c r="AD1846">
        <v>0</v>
      </c>
      <c r="AE1846">
        <v>4240</v>
      </c>
      <c r="AF1846">
        <v>4240</v>
      </c>
      <c r="AG1846">
        <v>0</v>
      </c>
      <c r="AH1846">
        <v>136</v>
      </c>
    </row>
    <row r="1847" spans="2:34" x14ac:dyDescent="0.35">
      <c r="B1847" t="s">
        <v>565</v>
      </c>
      <c r="C1847">
        <v>45897</v>
      </c>
      <c r="F1847" t="s">
        <v>749</v>
      </c>
      <c r="H1847">
        <v>49.3</v>
      </c>
      <c r="O1847" t="s">
        <v>239</v>
      </c>
      <c r="P1847" t="s">
        <v>514</v>
      </c>
      <c r="Y1847">
        <v>1813</v>
      </c>
      <c r="Z1847" s="259" t="s">
        <v>630</v>
      </c>
      <c r="AA1847">
        <v>160</v>
      </c>
      <c r="AB1847">
        <v>8008</v>
      </c>
      <c r="AC1847">
        <v>45897</v>
      </c>
      <c r="AD1847">
        <v>0</v>
      </c>
      <c r="AE1847">
        <v>7888</v>
      </c>
      <c r="AF1847">
        <v>7888</v>
      </c>
      <c r="AG1847">
        <v>0</v>
      </c>
      <c r="AH1847">
        <v>-120</v>
      </c>
    </row>
    <row r="1848" spans="2:34" x14ac:dyDescent="0.35">
      <c r="B1848" t="s">
        <v>565</v>
      </c>
      <c r="C1848">
        <v>45897</v>
      </c>
      <c r="F1848" t="s">
        <v>752</v>
      </c>
      <c r="H1848">
        <v>187.9</v>
      </c>
      <c r="O1848" t="s">
        <v>239</v>
      </c>
      <c r="P1848" t="s">
        <v>514</v>
      </c>
      <c r="Y1848">
        <v>1814</v>
      </c>
      <c r="Z1848" s="259" t="s">
        <v>630</v>
      </c>
      <c r="AA1848">
        <v>100</v>
      </c>
      <c r="AB1848">
        <v>20020</v>
      </c>
      <c r="AC1848">
        <v>45897</v>
      </c>
      <c r="AD1848">
        <v>0</v>
      </c>
      <c r="AE1848">
        <v>18790</v>
      </c>
      <c r="AF1848">
        <v>18790</v>
      </c>
      <c r="AG1848">
        <v>0</v>
      </c>
      <c r="AH1848">
        <v>-1230</v>
      </c>
    </row>
    <row r="1849" spans="2:34" x14ac:dyDescent="0.35">
      <c r="B1849" t="s">
        <v>565</v>
      </c>
      <c r="C1849">
        <v>45897</v>
      </c>
      <c r="F1849" t="s">
        <v>754</v>
      </c>
      <c r="H1849">
        <v>85.1</v>
      </c>
      <c r="O1849" t="s">
        <v>239</v>
      </c>
      <c r="P1849" t="s">
        <v>514</v>
      </c>
      <c r="Y1849">
        <v>1815</v>
      </c>
      <c r="Z1849" s="259" t="s">
        <v>630</v>
      </c>
      <c r="AA1849">
        <v>50</v>
      </c>
      <c r="AB1849">
        <v>4104</v>
      </c>
      <c r="AC1849">
        <v>45897</v>
      </c>
      <c r="AD1849">
        <v>0</v>
      </c>
      <c r="AE1849">
        <v>4255</v>
      </c>
      <c r="AF1849">
        <v>4255</v>
      </c>
      <c r="AG1849">
        <v>0</v>
      </c>
      <c r="AH1849">
        <v>151</v>
      </c>
    </row>
    <row r="1850" spans="2:34" x14ac:dyDescent="0.35">
      <c r="B1850" t="s">
        <v>565</v>
      </c>
      <c r="C1850">
        <v>45898</v>
      </c>
      <c r="F1850" t="s">
        <v>749</v>
      </c>
      <c r="H1850">
        <v>49.2</v>
      </c>
      <c r="O1850" t="s">
        <v>239</v>
      </c>
      <c r="P1850" t="s">
        <v>514</v>
      </c>
      <c r="Y1850">
        <v>1816</v>
      </c>
      <c r="Z1850" s="259" t="s">
        <v>630</v>
      </c>
      <c r="AA1850">
        <v>160</v>
      </c>
      <c r="AB1850">
        <v>8008</v>
      </c>
      <c r="AC1850">
        <v>45898</v>
      </c>
      <c r="AD1850">
        <v>0</v>
      </c>
      <c r="AE1850">
        <v>7872</v>
      </c>
      <c r="AF1850">
        <v>7872</v>
      </c>
      <c r="AG1850">
        <v>0</v>
      </c>
      <c r="AH1850">
        <v>-136</v>
      </c>
    </row>
    <row r="1851" spans="2:34" x14ac:dyDescent="0.35">
      <c r="B1851" t="s">
        <v>565</v>
      </c>
      <c r="C1851">
        <v>45898</v>
      </c>
      <c r="F1851" t="s">
        <v>752</v>
      </c>
      <c r="H1851">
        <v>188.27</v>
      </c>
      <c r="O1851" t="s">
        <v>239</v>
      </c>
      <c r="P1851" t="s">
        <v>514</v>
      </c>
      <c r="Y1851">
        <v>1817</v>
      </c>
      <c r="Z1851" s="259" t="s">
        <v>630</v>
      </c>
      <c r="AA1851">
        <v>100</v>
      </c>
      <c r="AB1851">
        <v>20020</v>
      </c>
      <c r="AC1851">
        <v>45898</v>
      </c>
      <c r="AD1851">
        <v>0</v>
      </c>
      <c r="AE1851">
        <v>18827</v>
      </c>
      <c r="AF1851">
        <v>18827</v>
      </c>
      <c r="AG1851">
        <v>0</v>
      </c>
      <c r="AH1851">
        <v>-1193</v>
      </c>
    </row>
    <row r="1852" spans="2:34" x14ac:dyDescent="0.35">
      <c r="B1852" t="s">
        <v>565</v>
      </c>
      <c r="C1852">
        <v>45898</v>
      </c>
      <c r="F1852" t="s">
        <v>754</v>
      </c>
      <c r="H1852">
        <v>85.4</v>
      </c>
      <c r="O1852" t="s">
        <v>239</v>
      </c>
      <c r="P1852" t="s">
        <v>514</v>
      </c>
      <c r="Y1852">
        <v>1818</v>
      </c>
      <c r="Z1852" s="259" t="s">
        <v>630</v>
      </c>
      <c r="AA1852">
        <v>50</v>
      </c>
      <c r="AB1852">
        <v>4104</v>
      </c>
      <c r="AC1852">
        <v>45898</v>
      </c>
      <c r="AD1852">
        <v>0</v>
      </c>
      <c r="AE1852">
        <v>4270</v>
      </c>
      <c r="AF1852">
        <v>4270</v>
      </c>
      <c r="AG1852">
        <v>0</v>
      </c>
      <c r="AH1852">
        <v>166</v>
      </c>
    </row>
    <row r="1853" spans="2:34" x14ac:dyDescent="0.35">
      <c r="B1853" t="s">
        <v>565</v>
      </c>
      <c r="C1853">
        <v>45899</v>
      </c>
      <c r="F1853" t="s">
        <v>749</v>
      </c>
      <c r="H1853">
        <v>49.2</v>
      </c>
      <c r="O1853" t="s">
        <v>239</v>
      </c>
      <c r="P1853" t="s">
        <v>514</v>
      </c>
      <c r="Y1853">
        <v>1819</v>
      </c>
      <c r="Z1853" s="259" t="s">
        <v>630</v>
      </c>
      <c r="AA1853">
        <v>160</v>
      </c>
      <c r="AB1853">
        <v>8008</v>
      </c>
      <c r="AC1853">
        <v>45898</v>
      </c>
      <c r="AD1853">
        <v>1</v>
      </c>
      <c r="AE1853">
        <v>7872</v>
      </c>
      <c r="AF1853">
        <v>7872</v>
      </c>
      <c r="AG1853">
        <v>0</v>
      </c>
      <c r="AH1853">
        <v>-136</v>
      </c>
    </row>
    <row r="1854" spans="2:34" x14ac:dyDescent="0.35">
      <c r="B1854" t="s">
        <v>565</v>
      </c>
      <c r="C1854">
        <v>45899</v>
      </c>
      <c r="F1854" t="s">
        <v>752</v>
      </c>
      <c r="H1854">
        <v>188.27</v>
      </c>
      <c r="O1854" t="s">
        <v>239</v>
      </c>
      <c r="P1854" t="s">
        <v>514</v>
      </c>
      <c r="Y1854">
        <v>1820</v>
      </c>
      <c r="Z1854" s="259" t="s">
        <v>630</v>
      </c>
      <c r="AA1854">
        <v>100</v>
      </c>
      <c r="AB1854">
        <v>20020</v>
      </c>
      <c r="AC1854">
        <v>45898</v>
      </c>
      <c r="AD1854">
        <v>1</v>
      </c>
      <c r="AE1854">
        <v>18827</v>
      </c>
      <c r="AF1854">
        <v>18827</v>
      </c>
      <c r="AG1854">
        <v>0</v>
      </c>
      <c r="AH1854">
        <v>-1193</v>
      </c>
    </row>
    <row r="1855" spans="2:34" x14ac:dyDescent="0.35">
      <c r="B1855" t="s">
        <v>565</v>
      </c>
      <c r="C1855">
        <v>45899</v>
      </c>
      <c r="F1855" t="s">
        <v>754</v>
      </c>
      <c r="H1855">
        <v>85.4</v>
      </c>
      <c r="O1855" t="s">
        <v>239</v>
      </c>
      <c r="P1855" t="s">
        <v>514</v>
      </c>
      <c r="Y1855">
        <v>1821</v>
      </c>
      <c r="Z1855" s="259" t="s">
        <v>630</v>
      </c>
      <c r="AA1855">
        <v>50</v>
      </c>
      <c r="AB1855">
        <v>4104</v>
      </c>
      <c r="AC1855">
        <v>45898</v>
      </c>
      <c r="AD1855">
        <v>1</v>
      </c>
      <c r="AE1855">
        <v>4270</v>
      </c>
      <c r="AF1855">
        <v>4270</v>
      </c>
      <c r="AG1855">
        <v>0</v>
      </c>
      <c r="AH1855">
        <v>166</v>
      </c>
    </row>
    <row r="1856" spans="2:34" x14ac:dyDescent="0.35">
      <c r="B1856" t="s">
        <v>565</v>
      </c>
      <c r="C1856">
        <v>45900</v>
      </c>
      <c r="F1856" t="s">
        <v>749</v>
      </c>
      <c r="H1856">
        <v>49.2</v>
      </c>
      <c r="O1856" t="s">
        <v>239</v>
      </c>
      <c r="P1856" t="s">
        <v>514</v>
      </c>
      <c r="Y1856">
        <v>1822</v>
      </c>
      <c r="Z1856" s="259" t="s">
        <v>630</v>
      </c>
      <c r="AA1856">
        <v>160</v>
      </c>
      <c r="AB1856">
        <v>8008</v>
      </c>
      <c r="AC1856">
        <v>45898</v>
      </c>
      <c r="AD1856">
        <v>2</v>
      </c>
      <c r="AE1856">
        <v>7872</v>
      </c>
      <c r="AF1856">
        <v>7872</v>
      </c>
      <c r="AG1856">
        <v>0</v>
      </c>
      <c r="AH1856">
        <v>-136</v>
      </c>
    </row>
    <row r="1857" spans="2:34" x14ac:dyDescent="0.35">
      <c r="B1857" t="s">
        <v>565</v>
      </c>
      <c r="C1857">
        <v>45900</v>
      </c>
      <c r="F1857" t="s">
        <v>752</v>
      </c>
      <c r="H1857">
        <v>188.27</v>
      </c>
      <c r="O1857" t="s">
        <v>239</v>
      </c>
      <c r="P1857" t="s">
        <v>514</v>
      </c>
      <c r="Y1857">
        <v>1823</v>
      </c>
      <c r="Z1857" s="259" t="s">
        <v>630</v>
      </c>
      <c r="AA1857">
        <v>100</v>
      </c>
      <c r="AB1857">
        <v>20020</v>
      </c>
      <c r="AC1857">
        <v>45898</v>
      </c>
      <c r="AD1857">
        <v>2</v>
      </c>
      <c r="AE1857">
        <v>18827</v>
      </c>
      <c r="AF1857">
        <v>18827</v>
      </c>
      <c r="AG1857">
        <v>0</v>
      </c>
      <c r="AH1857">
        <v>-1193</v>
      </c>
    </row>
    <row r="1858" spans="2:34" x14ac:dyDescent="0.35">
      <c r="B1858" t="s">
        <v>565</v>
      </c>
      <c r="C1858">
        <v>45900</v>
      </c>
      <c r="F1858" t="s">
        <v>754</v>
      </c>
      <c r="H1858">
        <v>85.4</v>
      </c>
      <c r="O1858" t="s">
        <v>239</v>
      </c>
      <c r="P1858" t="s">
        <v>514</v>
      </c>
      <c r="Y1858">
        <v>1824</v>
      </c>
      <c r="Z1858" s="259" t="s">
        <v>630</v>
      </c>
      <c r="AA1858">
        <v>50</v>
      </c>
      <c r="AB1858">
        <v>4104</v>
      </c>
      <c r="AC1858">
        <v>45898</v>
      </c>
      <c r="AD1858">
        <v>2</v>
      </c>
      <c r="AE1858">
        <v>4270</v>
      </c>
      <c r="AF1858">
        <v>4270</v>
      </c>
      <c r="AG1858">
        <v>0</v>
      </c>
      <c r="AH1858">
        <v>166</v>
      </c>
    </row>
    <row r="1859" spans="2:34" x14ac:dyDescent="0.35">
      <c r="B1859" t="s">
        <v>565</v>
      </c>
      <c r="C1859">
        <v>45901</v>
      </c>
      <c r="F1859" t="s">
        <v>749</v>
      </c>
      <c r="H1859">
        <v>49</v>
      </c>
      <c r="O1859" t="s">
        <v>239</v>
      </c>
      <c r="P1859" t="s">
        <v>514</v>
      </c>
      <c r="Y1859">
        <v>1825</v>
      </c>
      <c r="Z1859" s="259" t="s">
        <v>630</v>
      </c>
      <c r="AA1859">
        <v>100</v>
      </c>
      <c r="AB1859">
        <v>5005</v>
      </c>
      <c r="AC1859">
        <v>45901</v>
      </c>
      <c r="AD1859">
        <v>0</v>
      </c>
      <c r="AE1859">
        <v>4900</v>
      </c>
      <c r="AF1859">
        <v>4900</v>
      </c>
      <c r="AG1859">
        <v>0</v>
      </c>
      <c r="AH1859">
        <v>-105</v>
      </c>
    </row>
    <row r="1860" spans="2:34" x14ac:dyDescent="0.35">
      <c r="B1860" t="s">
        <v>565</v>
      </c>
      <c r="C1860">
        <v>45901</v>
      </c>
      <c r="F1860" t="s">
        <v>752</v>
      </c>
      <c r="H1860">
        <v>186</v>
      </c>
      <c r="O1860" t="s">
        <v>239</v>
      </c>
      <c r="P1860" t="s">
        <v>514</v>
      </c>
      <c r="Y1860">
        <v>1826</v>
      </c>
      <c r="Z1860" s="259" t="s">
        <v>630</v>
      </c>
      <c r="AA1860">
        <v>100</v>
      </c>
      <c r="AB1860">
        <v>20020</v>
      </c>
      <c r="AC1860">
        <v>45901</v>
      </c>
      <c r="AD1860">
        <v>0</v>
      </c>
      <c r="AE1860">
        <v>18600</v>
      </c>
      <c r="AF1860">
        <v>18600</v>
      </c>
      <c r="AG1860">
        <v>300</v>
      </c>
      <c r="AH1860">
        <v>-1420</v>
      </c>
    </row>
    <row r="1861" spans="2:34" x14ac:dyDescent="0.35">
      <c r="B1861" t="s">
        <v>565</v>
      </c>
      <c r="C1861">
        <v>45901</v>
      </c>
      <c r="F1861" t="s">
        <v>754</v>
      </c>
      <c r="H1861">
        <v>86</v>
      </c>
      <c r="O1861" t="s">
        <v>239</v>
      </c>
      <c r="P1861" t="s">
        <v>514</v>
      </c>
      <c r="Y1861">
        <v>1827</v>
      </c>
      <c r="Z1861" s="259" t="s">
        <v>630</v>
      </c>
      <c r="AA1861">
        <v>50</v>
      </c>
      <c r="AB1861">
        <v>4104</v>
      </c>
      <c r="AC1861">
        <v>45901</v>
      </c>
      <c r="AD1861">
        <v>0</v>
      </c>
      <c r="AE1861">
        <v>4300</v>
      </c>
      <c r="AF1861">
        <v>4300</v>
      </c>
      <c r="AG1861">
        <v>0</v>
      </c>
      <c r="AH1861">
        <v>196</v>
      </c>
    </row>
    <row r="1862" spans="2:34" x14ac:dyDescent="0.35">
      <c r="B1862" t="s">
        <v>565</v>
      </c>
      <c r="C1862">
        <v>45902</v>
      </c>
      <c r="F1862" t="s">
        <v>749</v>
      </c>
      <c r="H1862">
        <v>49.17</v>
      </c>
      <c r="O1862" t="s">
        <v>239</v>
      </c>
      <c r="P1862" t="s">
        <v>514</v>
      </c>
      <c r="Y1862">
        <v>1828</v>
      </c>
      <c r="Z1862" s="259" t="s">
        <v>630</v>
      </c>
      <c r="AA1862">
        <v>100</v>
      </c>
      <c r="AB1862">
        <v>5005</v>
      </c>
      <c r="AC1862">
        <v>45902</v>
      </c>
      <c r="AD1862">
        <v>0</v>
      </c>
      <c r="AE1862">
        <v>4917</v>
      </c>
      <c r="AF1862">
        <v>4917</v>
      </c>
      <c r="AG1862">
        <v>0</v>
      </c>
      <c r="AH1862">
        <v>-88</v>
      </c>
    </row>
    <row r="1863" spans="2:34" x14ac:dyDescent="0.35">
      <c r="B1863" t="s">
        <v>565</v>
      </c>
      <c r="C1863">
        <v>45902</v>
      </c>
      <c r="F1863" t="s">
        <v>752</v>
      </c>
      <c r="H1863">
        <v>185.69</v>
      </c>
      <c r="O1863" t="s">
        <v>239</v>
      </c>
      <c r="P1863" t="s">
        <v>514</v>
      </c>
      <c r="Y1863">
        <v>1829</v>
      </c>
      <c r="Z1863" s="259" t="s">
        <v>630</v>
      </c>
      <c r="AA1863">
        <v>100</v>
      </c>
      <c r="AB1863">
        <v>20020</v>
      </c>
      <c r="AC1863">
        <v>45902</v>
      </c>
      <c r="AD1863">
        <v>0</v>
      </c>
      <c r="AE1863">
        <v>18569</v>
      </c>
      <c r="AF1863">
        <v>18569</v>
      </c>
      <c r="AG1863">
        <v>300</v>
      </c>
      <c r="AH1863">
        <v>-1451</v>
      </c>
    </row>
    <row r="1864" spans="2:34" x14ac:dyDescent="0.35">
      <c r="B1864" t="s">
        <v>565</v>
      </c>
      <c r="C1864">
        <v>45902</v>
      </c>
      <c r="F1864" t="s">
        <v>754</v>
      </c>
      <c r="H1864">
        <v>85.86</v>
      </c>
      <c r="O1864" t="s">
        <v>239</v>
      </c>
      <c r="P1864" t="s">
        <v>514</v>
      </c>
      <c r="Y1864">
        <v>1830</v>
      </c>
      <c r="Z1864" s="259" t="s">
        <v>630</v>
      </c>
      <c r="AA1864">
        <v>50</v>
      </c>
      <c r="AB1864">
        <v>4104</v>
      </c>
      <c r="AC1864">
        <v>45902</v>
      </c>
      <c r="AD1864">
        <v>0</v>
      </c>
      <c r="AE1864">
        <v>4293</v>
      </c>
      <c r="AF1864">
        <v>4293</v>
      </c>
      <c r="AG1864">
        <v>0</v>
      </c>
      <c r="AH1864">
        <v>189</v>
      </c>
    </row>
    <row r="1865" spans="2:34" x14ac:dyDescent="0.35">
      <c r="B1865" t="s">
        <v>565</v>
      </c>
      <c r="C1865">
        <v>45903</v>
      </c>
      <c r="F1865" t="s">
        <v>749</v>
      </c>
      <c r="H1865">
        <v>49.34</v>
      </c>
      <c r="O1865" t="s">
        <v>239</v>
      </c>
      <c r="P1865" t="s">
        <v>514</v>
      </c>
      <c r="Y1865">
        <v>1831</v>
      </c>
      <c r="Z1865" s="259" t="s">
        <v>630</v>
      </c>
      <c r="AA1865">
        <v>100</v>
      </c>
      <c r="AB1865">
        <v>5005</v>
      </c>
      <c r="AC1865">
        <v>45903</v>
      </c>
      <c r="AD1865">
        <v>0</v>
      </c>
      <c r="AE1865">
        <v>4934</v>
      </c>
      <c r="AF1865">
        <v>4934</v>
      </c>
      <c r="AG1865">
        <v>0</v>
      </c>
      <c r="AH1865">
        <v>-71</v>
      </c>
    </row>
    <row r="1866" spans="2:34" x14ac:dyDescent="0.35">
      <c r="B1866" t="s">
        <v>565</v>
      </c>
      <c r="C1866">
        <v>45903</v>
      </c>
      <c r="F1866" t="s">
        <v>752</v>
      </c>
      <c r="H1866">
        <v>185.38</v>
      </c>
      <c r="O1866" t="s">
        <v>239</v>
      </c>
      <c r="P1866" t="s">
        <v>514</v>
      </c>
      <c r="Y1866">
        <v>1832</v>
      </c>
      <c r="Z1866" s="259" t="s">
        <v>630</v>
      </c>
      <c r="AA1866">
        <v>100</v>
      </c>
      <c r="AB1866">
        <v>20020</v>
      </c>
      <c r="AC1866">
        <v>45903</v>
      </c>
      <c r="AD1866">
        <v>0</v>
      </c>
      <c r="AE1866">
        <v>18538</v>
      </c>
      <c r="AF1866">
        <v>18538</v>
      </c>
      <c r="AG1866">
        <v>300</v>
      </c>
      <c r="AH1866">
        <v>-1482</v>
      </c>
    </row>
    <row r="1867" spans="2:34" x14ac:dyDescent="0.35">
      <c r="B1867" t="s">
        <v>565</v>
      </c>
      <c r="C1867">
        <v>45903</v>
      </c>
      <c r="F1867" t="s">
        <v>754</v>
      </c>
      <c r="H1867">
        <v>85.72</v>
      </c>
      <c r="O1867" t="s">
        <v>239</v>
      </c>
      <c r="P1867" t="s">
        <v>514</v>
      </c>
      <c r="Y1867">
        <v>1833</v>
      </c>
      <c r="Z1867" s="259" t="s">
        <v>630</v>
      </c>
      <c r="AA1867">
        <v>50</v>
      </c>
      <c r="AB1867">
        <v>4104</v>
      </c>
      <c r="AC1867">
        <v>45903</v>
      </c>
      <c r="AD1867">
        <v>0</v>
      </c>
      <c r="AE1867">
        <v>4286</v>
      </c>
      <c r="AF1867">
        <v>4286</v>
      </c>
      <c r="AG1867">
        <v>0</v>
      </c>
      <c r="AH1867">
        <v>182</v>
      </c>
    </row>
    <row r="1868" spans="2:34" x14ac:dyDescent="0.35">
      <c r="B1868" t="s">
        <v>565</v>
      </c>
      <c r="C1868">
        <v>45904</v>
      </c>
      <c r="F1868" t="s">
        <v>749</v>
      </c>
      <c r="H1868">
        <v>49.52</v>
      </c>
      <c r="O1868" t="s">
        <v>239</v>
      </c>
      <c r="P1868" t="s">
        <v>514</v>
      </c>
      <c r="Y1868">
        <v>1834</v>
      </c>
      <c r="Z1868" s="259" t="s">
        <v>630</v>
      </c>
      <c r="AA1868">
        <v>100</v>
      </c>
      <c r="AB1868">
        <v>5005</v>
      </c>
      <c r="AC1868">
        <v>45904</v>
      </c>
      <c r="AD1868">
        <v>0</v>
      </c>
      <c r="AE1868">
        <v>4952</v>
      </c>
      <c r="AF1868">
        <v>4952</v>
      </c>
      <c r="AG1868">
        <v>0</v>
      </c>
      <c r="AH1868">
        <v>-53</v>
      </c>
    </row>
    <row r="1869" spans="2:34" x14ac:dyDescent="0.35">
      <c r="B1869" t="s">
        <v>565</v>
      </c>
      <c r="C1869">
        <v>45904</v>
      </c>
      <c r="F1869" t="s">
        <v>752</v>
      </c>
      <c r="H1869">
        <v>185.07</v>
      </c>
      <c r="O1869" t="s">
        <v>239</v>
      </c>
      <c r="P1869" t="s">
        <v>514</v>
      </c>
      <c r="Y1869">
        <v>1835</v>
      </c>
      <c r="Z1869" s="259" t="s">
        <v>630</v>
      </c>
      <c r="AA1869">
        <v>100</v>
      </c>
      <c r="AB1869">
        <v>20020</v>
      </c>
      <c r="AC1869">
        <v>45904</v>
      </c>
      <c r="AD1869">
        <v>0</v>
      </c>
      <c r="AE1869">
        <v>18507</v>
      </c>
      <c r="AF1869">
        <v>18507</v>
      </c>
      <c r="AG1869">
        <v>300</v>
      </c>
      <c r="AH1869">
        <v>-1513</v>
      </c>
    </row>
    <row r="1870" spans="2:34" x14ac:dyDescent="0.35">
      <c r="B1870" t="s">
        <v>565</v>
      </c>
      <c r="C1870">
        <v>45904</v>
      </c>
      <c r="F1870" t="s">
        <v>754</v>
      </c>
      <c r="H1870">
        <v>85.59</v>
      </c>
      <c r="O1870" t="s">
        <v>239</v>
      </c>
      <c r="P1870" t="s">
        <v>514</v>
      </c>
      <c r="Y1870">
        <v>1836</v>
      </c>
      <c r="Z1870" s="259" t="s">
        <v>630</v>
      </c>
      <c r="AA1870">
        <v>50</v>
      </c>
      <c r="AB1870">
        <v>4104</v>
      </c>
      <c r="AC1870">
        <v>45904</v>
      </c>
      <c r="AD1870">
        <v>0</v>
      </c>
      <c r="AE1870">
        <v>4279.5</v>
      </c>
      <c r="AF1870">
        <v>4279.5</v>
      </c>
      <c r="AG1870">
        <v>0</v>
      </c>
      <c r="AH1870">
        <v>175.5</v>
      </c>
    </row>
    <row r="1871" spans="2:34" x14ac:dyDescent="0.35">
      <c r="B1871" t="s">
        <v>565</v>
      </c>
      <c r="C1871">
        <v>45905</v>
      </c>
      <c r="F1871" t="s">
        <v>749</v>
      </c>
      <c r="H1871">
        <v>49.69</v>
      </c>
      <c r="O1871" t="s">
        <v>239</v>
      </c>
      <c r="P1871" t="s">
        <v>514</v>
      </c>
      <c r="Y1871">
        <v>1837</v>
      </c>
      <c r="Z1871" s="259" t="s">
        <v>630</v>
      </c>
      <c r="AA1871">
        <v>100</v>
      </c>
      <c r="AB1871">
        <v>5005</v>
      </c>
      <c r="AC1871">
        <v>45905</v>
      </c>
      <c r="AD1871">
        <v>0</v>
      </c>
      <c r="AE1871">
        <v>4969</v>
      </c>
      <c r="AF1871">
        <v>4969</v>
      </c>
      <c r="AG1871">
        <v>0</v>
      </c>
      <c r="AH1871">
        <v>-36</v>
      </c>
    </row>
    <row r="1872" spans="2:34" x14ac:dyDescent="0.35">
      <c r="B1872" t="s">
        <v>565</v>
      </c>
      <c r="C1872">
        <v>45905</v>
      </c>
      <c r="F1872" t="s">
        <v>752</v>
      </c>
      <c r="H1872">
        <v>184.76</v>
      </c>
      <c r="O1872" t="s">
        <v>239</v>
      </c>
      <c r="P1872" t="s">
        <v>514</v>
      </c>
      <c r="Y1872">
        <v>1838</v>
      </c>
      <c r="Z1872" s="259" t="s">
        <v>630</v>
      </c>
      <c r="AA1872">
        <v>100</v>
      </c>
      <c r="AB1872">
        <v>20020</v>
      </c>
      <c r="AC1872">
        <v>45905</v>
      </c>
      <c r="AD1872">
        <v>0</v>
      </c>
      <c r="AE1872">
        <v>18476</v>
      </c>
      <c r="AF1872">
        <v>18476</v>
      </c>
      <c r="AG1872">
        <v>300</v>
      </c>
      <c r="AH1872">
        <v>-1544</v>
      </c>
    </row>
    <row r="1873" spans="2:34" x14ac:dyDescent="0.35">
      <c r="B1873" t="s">
        <v>565</v>
      </c>
      <c r="C1873">
        <v>45905</v>
      </c>
      <c r="F1873" t="s">
        <v>754</v>
      </c>
      <c r="H1873">
        <v>85.45</v>
      </c>
      <c r="O1873" t="s">
        <v>239</v>
      </c>
      <c r="P1873" t="s">
        <v>514</v>
      </c>
      <c r="Y1873">
        <v>1839</v>
      </c>
      <c r="Z1873" s="259" t="s">
        <v>630</v>
      </c>
      <c r="AA1873">
        <v>50</v>
      </c>
      <c r="AB1873">
        <v>4104</v>
      </c>
      <c r="AC1873">
        <v>45905</v>
      </c>
      <c r="AD1873">
        <v>0</v>
      </c>
      <c r="AE1873">
        <v>4272.5</v>
      </c>
      <c r="AF1873">
        <v>4272.5</v>
      </c>
      <c r="AG1873">
        <v>0</v>
      </c>
      <c r="AH1873">
        <v>168.5</v>
      </c>
    </row>
    <row r="1874" spans="2:34" x14ac:dyDescent="0.35">
      <c r="B1874" t="s">
        <v>565</v>
      </c>
      <c r="C1874">
        <v>45906</v>
      </c>
      <c r="F1874" t="s">
        <v>749</v>
      </c>
      <c r="H1874">
        <v>49.69</v>
      </c>
      <c r="O1874" t="s">
        <v>239</v>
      </c>
      <c r="P1874" t="s">
        <v>514</v>
      </c>
      <c r="Y1874">
        <v>1840</v>
      </c>
      <c r="Z1874" s="259" t="s">
        <v>630</v>
      </c>
      <c r="AA1874">
        <v>100</v>
      </c>
      <c r="AB1874">
        <v>5005</v>
      </c>
      <c r="AC1874">
        <v>45905</v>
      </c>
      <c r="AD1874">
        <v>1</v>
      </c>
      <c r="AE1874">
        <v>4969</v>
      </c>
      <c r="AF1874">
        <v>4969</v>
      </c>
      <c r="AG1874">
        <v>0</v>
      </c>
      <c r="AH1874">
        <v>-36</v>
      </c>
    </row>
    <row r="1875" spans="2:34" x14ac:dyDescent="0.35">
      <c r="B1875" t="s">
        <v>565</v>
      </c>
      <c r="C1875">
        <v>45906</v>
      </c>
      <c r="F1875" t="s">
        <v>752</v>
      </c>
      <c r="H1875">
        <v>184.76</v>
      </c>
      <c r="O1875" t="s">
        <v>239</v>
      </c>
      <c r="P1875" t="s">
        <v>514</v>
      </c>
      <c r="Y1875">
        <v>1841</v>
      </c>
      <c r="Z1875" s="259" t="s">
        <v>630</v>
      </c>
      <c r="AA1875">
        <v>100</v>
      </c>
      <c r="AB1875">
        <v>20020</v>
      </c>
      <c r="AC1875">
        <v>45905</v>
      </c>
      <c r="AD1875">
        <v>1</v>
      </c>
      <c r="AE1875">
        <v>18476</v>
      </c>
      <c r="AF1875">
        <v>18476</v>
      </c>
      <c r="AG1875">
        <v>300</v>
      </c>
      <c r="AH1875">
        <v>-1544</v>
      </c>
    </row>
    <row r="1876" spans="2:34" x14ac:dyDescent="0.35">
      <c r="B1876" t="s">
        <v>565</v>
      </c>
      <c r="C1876">
        <v>45906</v>
      </c>
      <c r="F1876" t="s">
        <v>754</v>
      </c>
      <c r="H1876">
        <v>85.45</v>
      </c>
      <c r="O1876" t="s">
        <v>239</v>
      </c>
      <c r="P1876" t="s">
        <v>514</v>
      </c>
      <c r="Y1876">
        <v>1842</v>
      </c>
      <c r="Z1876" s="259" t="s">
        <v>630</v>
      </c>
      <c r="AA1876">
        <v>50</v>
      </c>
      <c r="AB1876">
        <v>4104</v>
      </c>
      <c r="AC1876">
        <v>45905</v>
      </c>
      <c r="AD1876">
        <v>1</v>
      </c>
      <c r="AE1876">
        <v>4272.5</v>
      </c>
      <c r="AF1876">
        <v>4272.5</v>
      </c>
      <c r="AG1876">
        <v>0</v>
      </c>
      <c r="AH1876">
        <v>168.5</v>
      </c>
    </row>
    <row r="1877" spans="2:34" x14ac:dyDescent="0.35">
      <c r="B1877" t="s">
        <v>565</v>
      </c>
      <c r="C1877">
        <v>45907</v>
      </c>
      <c r="F1877" t="s">
        <v>749</v>
      </c>
      <c r="H1877">
        <v>49.69</v>
      </c>
      <c r="O1877" t="s">
        <v>239</v>
      </c>
      <c r="P1877" t="s">
        <v>514</v>
      </c>
      <c r="Y1877">
        <v>1843</v>
      </c>
      <c r="Z1877" s="259" t="s">
        <v>630</v>
      </c>
      <c r="AA1877">
        <v>100</v>
      </c>
      <c r="AB1877">
        <v>5005</v>
      </c>
      <c r="AC1877">
        <v>45905</v>
      </c>
      <c r="AD1877">
        <v>2</v>
      </c>
      <c r="AE1877">
        <v>4969</v>
      </c>
      <c r="AF1877">
        <v>4969</v>
      </c>
      <c r="AG1877">
        <v>0</v>
      </c>
      <c r="AH1877">
        <v>-36</v>
      </c>
    </row>
    <row r="1878" spans="2:34" x14ac:dyDescent="0.35">
      <c r="B1878" t="s">
        <v>565</v>
      </c>
      <c r="C1878">
        <v>45907</v>
      </c>
      <c r="F1878" t="s">
        <v>752</v>
      </c>
      <c r="H1878">
        <v>184.76</v>
      </c>
      <c r="O1878" t="s">
        <v>239</v>
      </c>
      <c r="P1878" t="s">
        <v>514</v>
      </c>
      <c r="Y1878">
        <v>1844</v>
      </c>
      <c r="Z1878" s="259" t="s">
        <v>630</v>
      </c>
      <c r="AA1878">
        <v>100</v>
      </c>
      <c r="AB1878">
        <v>20020</v>
      </c>
      <c r="AC1878">
        <v>45905</v>
      </c>
      <c r="AD1878">
        <v>2</v>
      </c>
      <c r="AE1878">
        <v>18476</v>
      </c>
      <c r="AF1878">
        <v>18476</v>
      </c>
      <c r="AG1878">
        <v>300</v>
      </c>
      <c r="AH1878">
        <v>-1544</v>
      </c>
    </row>
    <row r="1879" spans="2:34" x14ac:dyDescent="0.35">
      <c r="B1879" t="s">
        <v>565</v>
      </c>
      <c r="C1879">
        <v>45907</v>
      </c>
      <c r="F1879" t="s">
        <v>754</v>
      </c>
      <c r="H1879">
        <v>85.45</v>
      </c>
      <c r="O1879" t="s">
        <v>239</v>
      </c>
      <c r="P1879" t="s">
        <v>514</v>
      </c>
      <c r="Y1879">
        <v>1845</v>
      </c>
      <c r="Z1879" s="259" t="s">
        <v>630</v>
      </c>
      <c r="AA1879">
        <v>50</v>
      </c>
      <c r="AB1879">
        <v>4104</v>
      </c>
      <c r="AC1879">
        <v>45905</v>
      </c>
      <c r="AD1879">
        <v>2</v>
      </c>
      <c r="AE1879">
        <v>4272.5</v>
      </c>
      <c r="AF1879">
        <v>4272.5</v>
      </c>
      <c r="AG1879">
        <v>0</v>
      </c>
      <c r="AH1879">
        <v>168.5</v>
      </c>
    </row>
    <row r="1880" spans="2:34" x14ac:dyDescent="0.35">
      <c r="B1880" t="s">
        <v>565</v>
      </c>
      <c r="C1880">
        <v>45908</v>
      </c>
      <c r="F1880" t="s">
        <v>749</v>
      </c>
      <c r="H1880">
        <v>50.21</v>
      </c>
      <c r="O1880" t="s">
        <v>239</v>
      </c>
      <c r="P1880" t="s">
        <v>514</v>
      </c>
      <c r="Y1880">
        <v>1846</v>
      </c>
      <c r="Z1880" s="259" t="s">
        <v>630</v>
      </c>
      <c r="AA1880">
        <v>100</v>
      </c>
      <c r="AB1880">
        <v>5005</v>
      </c>
      <c r="AC1880">
        <v>45908</v>
      </c>
      <c r="AD1880">
        <v>0</v>
      </c>
      <c r="AE1880">
        <v>5021</v>
      </c>
      <c r="AF1880">
        <v>5021</v>
      </c>
      <c r="AG1880">
        <v>0</v>
      </c>
      <c r="AH1880">
        <v>16</v>
      </c>
    </row>
    <row r="1881" spans="2:34" x14ac:dyDescent="0.35">
      <c r="B1881" t="s">
        <v>565</v>
      </c>
      <c r="C1881">
        <v>45908</v>
      </c>
      <c r="F1881" t="s">
        <v>752</v>
      </c>
      <c r="H1881">
        <v>183.83</v>
      </c>
      <c r="O1881" t="s">
        <v>239</v>
      </c>
      <c r="P1881" t="s">
        <v>514</v>
      </c>
      <c r="Y1881">
        <v>1847</v>
      </c>
      <c r="Z1881" s="259" t="s">
        <v>630</v>
      </c>
      <c r="AA1881">
        <v>100</v>
      </c>
      <c r="AB1881">
        <v>20020</v>
      </c>
      <c r="AC1881">
        <v>45908</v>
      </c>
      <c r="AD1881">
        <v>0</v>
      </c>
      <c r="AE1881">
        <v>18383</v>
      </c>
      <c r="AF1881">
        <v>18383</v>
      </c>
      <c r="AG1881">
        <v>300</v>
      </c>
      <c r="AH1881">
        <v>-1637</v>
      </c>
    </row>
    <row r="1882" spans="2:34" x14ac:dyDescent="0.35">
      <c r="B1882" t="s">
        <v>565</v>
      </c>
      <c r="C1882">
        <v>45908</v>
      </c>
      <c r="F1882" t="s">
        <v>754</v>
      </c>
      <c r="H1882">
        <v>85.03</v>
      </c>
      <c r="O1882" t="s">
        <v>239</v>
      </c>
      <c r="P1882" t="s">
        <v>514</v>
      </c>
      <c r="Y1882">
        <v>1848</v>
      </c>
      <c r="Z1882" s="259" t="s">
        <v>630</v>
      </c>
      <c r="AA1882">
        <v>50</v>
      </c>
      <c r="AB1882">
        <v>4104</v>
      </c>
      <c r="AC1882">
        <v>45908</v>
      </c>
      <c r="AD1882">
        <v>0</v>
      </c>
      <c r="AE1882">
        <v>4251.5</v>
      </c>
      <c r="AF1882">
        <v>4251.5</v>
      </c>
      <c r="AG1882">
        <v>0</v>
      </c>
      <c r="AH1882">
        <v>147.5</v>
      </c>
    </row>
    <row r="1883" spans="2:34" x14ac:dyDescent="0.35">
      <c r="B1883" t="s">
        <v>565</v>
      </c>
      <c r="C1883">
        <v>45909</v>
      </c>
      <c r="F1883" t="s">
        <v>749</v>
      </c>
      <c r="H1883">
        <v>50.38</v>
      </c>
      <c r="O1883" t="s">
        <v>239</v>
      </c>
      <c r="P1883" t="s">
        <v>514</v>
      </c>
      <c r="Y1883">
        <v>1849</v>
      </c>
      <c r="Z1883" s="259" t="s">
        <v>630</v>
      </c>
      <c r="AA1883">
        <v>100</v>
      </c>
      <c r="AB1883">
        <v>5005</v>
      </c>
      <c r="AC1883">
        <v>45909</v>
      </c>
      <c r="AD1883">
        <v>0</v>
      </c>
      <c r="AE1883">
        <v>5038</v>
      </c>
      <c r="AF1883">
        <v>5038</v>
      </c>
      <c r="AG1883">
        <v>0</v>
      </c>
      <c r="AH1883">
        <v>33</v>
      </c>
    </row>
    <row r="1884" spans="2:34" x14ac:dyDescent="0.35">
      <c r="B1884" t="s">
        <v>565</v>
      </c>
      <c r="C1884">
        <v>45909</v>
      </c>
      <c r="F1884" t="s">
        <v>752</v>
      </c>
      <c r="H1884">
        <v>183.52</v>
      </c>
      <c r="O1884" t="s">
        <v>239</v>
      </c>
      <c r="P1884" t="s">
        <v>514</v>
      </c>
      <c r="Y1884">
        <v>1850</v>
      </c>
      <c r="Z1884" s="259" t="s">
        <v>630</v>
      </c>
      <c r="AA1884">
        <v>100</v>
      </c>
      <c r="AB1884">
        <v>20020</v>
      </c>
      <c r="AC1884">
        <v>45909</v>
      </c>
      <c r="AD1884">
        <v>0</v>
      </c>
      <c r="AE1884">
        <v>18352</v>
      </c>
      <c r="AF1884">
        <v>18352</v>
      </c>
      <c r="AG1884">
        <v>300</v>
      </c>
      <c r="AH1884">
        <v>-1668</v>
      </c>
    </row>
    <row r="1885" spans="2:34" x14ac:dyDescent="0.35">
      <c r="B1885" t="s">
        <v>565</v>
      </c>
      <c r="C1885">
        <v>45909</v>
      </c>
      <c r="F1885" t="s">
        <v>754</v>
      </c>
      <c r="H1885">
        <v>84.9</v>
      </c>
      <c r="O1885" t="s">
        <v>239</v>
      </c>
      <c r="P1885" t="s">
        <v>514</v>
      </c>
      <c r="Y1885">
        <v>1851</v>
      </c>
      <c r="Z1885" s="259" t="s">
        <v>630</v>
      </c>
      <c r="AA1885">
        <v>50</v>
      </c>
      <c r="AB1885">
        <v>4104</v>
      </c>
      <c r="AC1885">
        <v>45909</v>
      </c>
      <c r="AD1885">
        <v>0</v>
      </c>
      <c r="AE1885">
        <v>4245</v>
      </c>
      <c r="AF1885">
        <v>4245</v>
      </c>
      <c r="AG1885">
        <v>0</v>
      </c>
      <c r="AH1885">
        <v>141</v>
      </c>
    </row>
    <row r="1886" spans="2:34" x14ac:dyDescent="0.35">
      <c r="B1886" t="s">
        <v>565</v>
      </c>
      <c r="C1886">
        <v>45910</v>
      </c>
      <c r="F1886" t="s">
        <v>749</v>
      </c>
      <c r="H1886">
        <v>50.55</v>
      </c>
      <c r="O1886" t="s">
        <v>239</v>
      </c>
      <c r="P1886" t="s">
        <v>514</v>
      </c>
      <c r="Y1886">
        <v>1852</v>
      </c>
      <c r="Z1886" s="259" t="s">
        <v>630</v>
      </c>
      <c r="AA1886">
        <v>100</v>
      </c>
      <c r="AB1886">
        <v>5005</v>
      </c>
      <c r="AC1886">
        <v>45910</v>
      </c>
      <c r="AD1886">
        <v>0</v>
      </c>
      <c r="AE1886">
        <v>5055</v>
      </c>
      <c r="AF1886">
        <v>5055</v>
      </c>
      <c r="AG1886">
        <v>0</v>
      </c>
      <c r="AH1886">
        <v>50</v>
      </c>
    </row>
    <row r="1887" spans="2:34" x14ac:dyDescent="0.35">
      <c r="B1887" t="s">
        <v>565</v>
      </c>
      <c r="C1887">
        <v>45910</v>
      </c>
      <c r="F1887" t="s">
        <v>752</v>
      </c>
      <c r="H1887">
        <v>183.21</v>
      </c>
      <c r="O1887" t="s">
        <v>239</v>
      </c>
      <c r="P1887" t="s">
        <v>514</v>
      </c>
      <c r="Y1887">
        <v>1853</v>
      </c>
      <c r="Z1887" s="259" t="s">
        <v>630</v>
      </c>
      <c r="AA1887">
        <v>100</v>
      </c>
      <c r="AB1887">
        <v>20020</v>
      </c>
      <c r="AC1887">
        <v>45910</v>
      </c>
      <c r="AD1887">
        <v>0</v>
      </c>
      <c r="AE1887">
        <v>18321</v>
      </c>
      <c r="AF1887">
        <v>18321</v>
      </c>
      <c r="AG1887">
        <v>300</v>
      </c>
      <c r="AH1887">
        <v>-1699</v>
      </c>
    </row>
    <row r="1888" spans="2:34" x14ac:dyDescent="0.35">
      <c r="B1888" t="s">
        <v>565</v>
      </c>
      <c r="C1888">
        <v>45910</v>
      </c>
      <c r="F1888" t="s">
        <v>754</v>
      </c>
      <c r="H1888">
        <v>84.76</v>
      </c>
      <c r="O1888" t="s">
        <v>239</v>
      </c>
      <c r="P1888" t="s">
        <v>514</v>
      </c>
      <c r="Y1888">
        <v>1854</v>
      </c>
      <c r="Z1888" s="259" t="s">
        <v>630</v>
      </c>
      <c r="AA1888">
        <v>50</v>
      </c>
      <c r="AB1888">
        <v>4104</v>
      </c>
      <c r="AC1888">
        <v>45910</v>
      </c>
      <c r="AD1888">
        <v>0</v>
      </c>
      <c r="AE1888">
        <v>4238</v>
      </c>
      <c r="AF1888">
        <v>4238</v>
      </c>
      <c r="AG1888">
        <v>0</v>
      </c>
      <c r="AH1888">
        <v>134</v>
      </c>
    </row>
    <row r="1889" spans="2:34" x14ac:dyDescent="0.35">
      <c r="B1889" t="s">
        <v>565</v>
      </c>
      <c r="C1889">
        <v>45911</v>
      </c>
      <c r="F1889" t="s">
        <v>749</v>
      </c>
      <c r="H1889">
        <v>50.72</v>
      </c>
      <c r="O1889" t="s">
        <v>239</v>
      </c>
      <c r="P1889" t="s">
        <v>514</v>
      </c>
      <c r="Y1889">
        <v>1855</v>
      </c>
      <c r="Z1889" s="259" t="s">
        <v>630</v>
      </c>
      <c r="AA1889">
        <v>100</v>
      </c>
      <c r="AB1889">
        <v>5005</v>
      </c>
      <c r="AC1889">
        <v>45911</v>
      </c>
      <c r="AD1889">
        <v>0</v>
      </c>
      <c r="AE1889">
        <v>5072</v>
      </c>
      <c r="AF1889">
        <v>5072</v>
      </c>
      <c r="AG1889">
        <v>0</v>
      </c>
      <c r="AH1889">
        <v>67</v>
      </c>
    </row>
    <row r="1890" spans="2:34" x14ac:dyDescent="0.35">
      <c r="B1890" t="s">
        <v>565</v>
      </c>
      <c r="C1890">
        <v>45911</v>
      </c>
      <c r="F1890" t="s">
        <v>752</v>
      </c>
      <c r="H1890">
        <v>182.9</v>
      </c>
      <c r="O1890" t="s">
        <v>239</v>
      </c>
      <c r="P1890" t="s">
        <v>514</v>
      </c>
      <c r="Y1890">
        <v>1856</v>
      </c>
      <c r="Z1890" s="259" t="s">
        <v>630</v>
      </c>
      <c r="AA1890">
        <v>100</v>
      </c>
      <c r="AB1890">
        <v>20020</v>
      </c>
      <c r="AC1890">
        <v>45911</v>
      </c>
      <c r="AD1890">
        <v>0</v>
      </c>
      <c r="AE1890">
        <v>18290</v>
      </c>
      <c r="AF1890">
        <v>18290</v>
      </c>
      <c r="AG1890">
        <v>300</v>
      </c>
      <c r="AH1890">
        <v>-1730</v>
      </c>
    </row>
    <row r="1891" spans="2:34" x14ac:dyDescent="0.35">
      <c r="B1891" t="s">
        <v>565</v>
      </c>
      <c r="C1891">
        <v>45911</v>
      </c>
      <c r="F1891" t="s">
        <v>754</v>
      </c>
      <c r="H1891">
        <v>84.62</v>
      </c>
      <c r="O1891" t="s">
        <v>239</v>
      </c>
      <c r="P1891" t="s">
        <v>514</v>
      </c>
      <c r="Y1891">
        <v>1857</v>
      </c>
      <c r="Z1891" s="259" t="s">
        <v>630</v>
      </c>
      <c r="AA1891">
        <v>50</v>
      </c>
      <c r="AB1891">
        <v>4104</v>
      </c>
      <c r="AC1891">
        <v>45911</v>
      </c>
      <c r="AD1891">
        <v>0</v>
      </c>
      <c r="AE1891">
        <v>4231</v>
      </c>
      <c r="AF1891">
        <v>4231</v>
      </c>
      <c r="AG1891">
        <v>0</v>
      </c>
      <c r="AH1891">
        <v>127</v>
      </c>
    </row>
    <row r="1892" spans="2:34" x14ac:dyDescent="0.35">
      <c r="B1892" t="s">
        <v>565</v>
      </c>
      <c r="C1892">
        <v>45912</v>
      </c>
      <c r="F1892" t="s">
        <v>749</v>
      </c>
      <c r="H1892">
        <v>50.9</v>
      </c>
      <c r="O1892" t="s">
        <v>239</v>
      </c>
      <c r="P1892" t="s">
        <v>514</v>
      </c>
      <c r="Y1892">
        <v>1858</v>
      </c>
      <c r="Z1892" s="259" t="s">
        <v>630</v>
      </c>
      <c r="AA1892">
        <v>100</v>
      </c>
      <c r="AB1892">
        <v>5005</v>
      </c>
      <c r="AC1892">
        <v>45912</v>
      </c>
      <c r="AD1892">
        <v>0</v>
      </c>
      <c r="AE1892">
        <v>5090</v>
      </c>
      <c r="AF1892">
        <v>5090</v>
      </c>
      <c r="AG1892">
        <v>0</v>
      </c>
      <c r="AH1892">
        <v>85</v>
      </c>
    </row>
    <row r="1893" spans="2:34" x14ac:dyDescent="0.35">
      <c r="B1893" t="s">
        <v>565</v>
      </c>
      <c r="C1893">
        <v>45912</v>
      </c>
      <c r="F1893" t="s">
        <v>752</v>
      </c>
      <c r="H1893">
        <v>182.59</v>
      </c>
      <c r="O1893" t="s">
        <v>239</v>
      </c>
      <c r="P1893" t="s">
        <v>514</v>
      </c>
      <c r="Y1893">
        <v>1859</v>
      </c>
      <c r="Z1893" s="259" t="s">
        <v>630</v>
      </c>
      <c r="AA1893">
        <v>100</v>
      </c>
      <c r="AB1893">
        <v>20020</v>
      </c>
      <c r="AC1893">
        <v>45912</v>
      </c>
      <c r="AD1893">
        <v>0</v>
      </c>
      <c r="AE1893">
        <v>18259</v>
      </c>
      <c r="AF1893">
        <v>18259</v>
      </c>
      <c r="AG1893">
        <v>300</v>
      </c>
      <c r="AH1893">
        <v>-1761</v>
      </c>
    </row>
    <row r="1894" spans="2:34" x14ac:dyDescent="0.35">
      <c r="B1894" t="s">
        <v>565</v>
      </c>
      <c r="C1894">
        <v>45912</v>
      </c>
      <c r="F1894" t="s">
        <v>754</v>
      </c>
      <c r="H1894">
        <v>84.48</v>
      </c>
      <c r="O1894" t="s">
        <v>239</v>
      </c>
      <c r="P1894" t="s">
        <v>514</v>
      </c>
      <c r="Y1894">
        <v>1860</v>
      </c>
      <c r="Z1894" s="259" t="s">
        <v>630</v>
      </c>
      <c r="AA1894">
        <v>50</v>
      </c>
      <c r="AB1894">
        <v>4104</v>
      </c>
      <c r="AC1894">
        <v>45912</v>
      </c>
      <c r="AD1894">
        <v>0</v>
      </c>
      <c r="AE1894">
        <v>4224</v>
      </c>
      <c r="AF1894">
        <v>4224</v>
      </c>
      <c r="AG1894">
        <v>0</v>
      </c>
      <c r="AH1894">
        <v>120</v>
      </c>
    </row>
    <row r="1895" spans="2:34" x14ac:dyDescent="0.35">
      <c r="B1895" t="s">
        <v>565</v>
      </c>
      <c r="C1895">
        <v>45913</v>
      </c>
      <c r="F1895" t="s">
        <v>749</v>
      </c>
      <c r="H1895">
        <v>50.9</v>
      </c>
      <c r="O1895" t="s">
        <v>239</v>
      </c>
      <c r="P1895" t="s">
        <v>514</v>
      </c>
      <c r="Y1895">
        <v>1861</v>
      </c>
      <c r="Z1895" s="259" t="s">
        <v>630</v>
      </c>
      <c r="AA1895">
        <v>100</v>
      </c>
      <c r="AB1895">
        <v>5005</v>
      </c>
      <c r="AC1895">
        <v>45912</v>
      </c>
      <c r="AD1895">
        <v>1</v>
      </c>
      <c r="AE1895">
        <v>5090</v>
      </c>
      <c r="AF1895">
        <v>5090</v>
      </c>
      <c r="AG1895">
        <v>0</v>
      </c>
      <c r="AH1895">
        <v>85</v>
      </c>
    </row>
    <row r="1896" spans="2:34" x14ac:dyDescent="0.35">
      <c r="B1896" t="s">
        <v>565</v>
      </c>
      <c r="C1896">
        <v>45913</v>
      </c>
      <c r="F1896" t="s">
        <v>752</v>
      </c>
      <c r="H1896">
        <v>182.59</v>
      </c>
      <c r="O1896" t="s">
        <v>239</v>
      </c>
      <c r="P1896" t="s">
        <v>514</v>
      </c>
      <c r="Y1896">
        <v>1862</v>
      </c>
      <c r="Z1896" s="259" t="s">
        <v>630</v>
      </c>
      <c r="AA1896">
        <v>100</v>
      </c>
      <c r="AB1896">
        <v>20020</v>
      </c>
      <c r="AC1896">
        <v>45912</v>
      </c>
      <c r="AD1896">
        <v>1</v>
      </c>
      <c r="AE1896">
        <v>18259</v>
      </c>
      <c r="AF1896">
        <v>18259</v>
      </c>
      <c r="AG1896">
        <v>300</v>
      </c>
      <c r="AH1896">
        <v>-1761</v>
      </c>
    </row>
    <row r="1897" spans="2:34" x14ac:dyDescent="0.35">
      <c r="B1897" t="s">
        <v>565</v>
      </c>
      <c r="C1897">
        <v>45913</v>
      </c>
      <c r="F1897" t="s">
        <v>754</v>
      </c>
      <c r="H1897">
        <v>84.48</v>
      </c>
      <c r="O1897" t="s">
        <v>239</v>
      </c>
      <c r="P1897" t="s">
        <v>514</v>
      </c>
      <c r="Y1897">
        <v>1863</v>
      </c>
      <c r="Z1897" s="259" t="s">
        <v>630</v>
      </c>
      <c r="AA1897">
        <v>50</v>
      </c>
      <c r="AB1897">
        <v>4104</v>
      </c>
      <c r="AC1897">
        <v>45912</v>
      </c>
      <c r="AD1897">
        <v>1</v>
      </c>
      <c r="AE1897">
        <v>4224</v>
      </c>
      <c r="AF1897">
        <v>4224</v>
      </c>
      <c r="AG1897">
        <v>0</v>
      </c>
      <c r="AH1897">
        <v>120</v>
      </c>
    </row>
    <row r="1898" spans="2:34" x14ac:dyDescent="0.35">
      <c r="B1898" t="s">
        <v>565</v>
      </c>
      <c r="C1898">
        <v>45914</v>
      </c>
      <c r="F1898" t="s">
        <v>749</v>
      </c>
      <c r="H1898">
        <v>50.9</v>
      </c>
      <c r="O1898" t="s">
        <v>239</v>
      </c>
      <c r="P1898" t="s">
        <v>514</v>
      </c>
      <c r="Y1898">
        <v>1864</v>
      </c>
      <c r="Z1898" s="259" t="s">
        <v>630</v>
      </c>
      <c r="AA1898">
        <v>100</v>
      </c>
      <c r="AB1898">
        <v>5005</v>
      </c>
      <c r="AC1898">
        <v>45912</v>
      </c>
      <c r="AD1898">
        <v>2</v>
      </c>
      <c r="AE1898">
        <v>5090</v>
      </c>
      <c r="AF1898">
        <v>5090</v>
      </c>
      <c r="AG1898">
        <v>0</v>
      </c>
      <c r="AH1898">
        <v>85</v>
      </c>
    </row>
    <row r="1899" spans="2:34" x14ac:dyDescent="0.35">
      <c r="B1899" t="s">
        <v>565</v>
      </c>
      <c r="C1899">
        <v>45914</v>
      </c>
      <c r="F1899" t="s">
        <v>752</v>
      </c>
      <c r="H1899">
        <v>182.59</v>
      </c>
      <c r="O1899" t="s">
        <v>239</v>
      </c>
      <c r="P1899" t="s">
        <v>514</v>
      </c>
      <c r="Y1899">
        <v>1865</v>
      </c>
      <c r="Z1899" s="259" t="s">
        <v>630</v>
      </c>
      <c r="AA1899">
        <v>100</v>
      </c>
      <c r="AB1899">
        <v>20020</v>
      </c>
      <c r="AC1899">
        <v>45912</v>
      </c>
      <c r="AD1899">
        <v>2</v>
      </c>
      <c r="AE1899">
        <v>18259</v>
      </c>
      <c r="AF1899">
        <v>18259</v>
      </c>
      <c r="AG1899">
        <v>300</v>
      </c>
      <c r="AH1899">
        <v>-1761</v>
      </c>
    </row>
    <row r="1900" spans="2:34" x14ac:dyDescent="0.35">
      <c r="B1900" t="s">
        <v>565</v>
      </c>
      <c r="C1900">
        <v>45914</v>
      </c>
      <c r="F1900" t="s">
        <v>754</v>
      </c>
      <c r="H1900">
        <v>84.48</v>
      </c>
      <c r="O1900" t="s">
        <v>239</v>
      </c>
      <c r="P1900" t="s">
        <v>514</v>
      </c>
      <c r="Y1900">
        <v>1866</v>
      </c>
      <c r="Z1900" s="259" t="s">
        <v>630</v>
      </c>
      <c r="AA1900">
        <v>50</v>
      </c>
      <c r="AB1900">
        <v>4104</v>
      </c>
      <c r="AC1900">
        <v>45912</v>
      </c>
      <c r="AD1900">
        <v>2</v>
      </c>
      <c r="AE1900">
        <v>4224</v>
      </c>
      <c r="AF1900">
        <v>4224</v>
      </c>
      <c r="AG1900">
        <v>0</v>
      </c>
      <c r="AH1900">
        <v>120</v>
      </c>
    </row>
    <row r="1901" spans="2:34" x14ac:dyDescent="0.35">
      <c r="B1901" t="s">
        <v>565</v>
      </c>
      <c r="C1901">
        <v>45915</v>
      </c>
      <c r="F1901" t="s">
        <v>749</v>
      </c>
      <c r="H1901">
        <v>51.41</v>
      </c>
      <c r="O1901" t="s">
        <v>239</v>
      </c>
      <c r="P1901" t="s">
        <v>514</v>
      </c>
      <c r="Y1901">
        <v>1867</v>
      </c>
      <c r="Z1901" s="259" t="s">
        <v>630</v>
      </c>
      <c r="AA1901">
        <v>100</v>
      </c>
      <c r="AB1901">
        <v>5005</v>
      </c>
      <c r="AC1901">
        <v>45915</v>
      </c>
      <c r="AD1901">
        <v>0</v>
      </c>
      <c r="AE1901">
        <v>5141</v>
      </c>
      <c r="AF1901">
        <v>5141</v>
      </c>
      <c r="AG1901">
        <v>0</v>
      </c>
      <c r="AH1901">
        <v>136</v>
      </c>
    </row>
    <row r="1902" spans="2:34" x14ac:dyDescent="0.35">
      <c r="B1902" t="s">
        <v>565</v>
      </c>
      <c r="C1902">
        <v>45915</v>
      </c>
      <c r="F1902" t="s">
        <v>752</v>
      </c>
      <c r="H1902">
        <v>181.66</v>
      </c>
      <c r="O1902" t="s">
        <v>239</v>
      </c>
      <c r="P1902" t="s">
        <v>514</v>
      </c>
      <c r="Y1902">
        <v>1868</v>
      </c>
      <c r="Z1902" s="259" t="s">
        <v>630</v>
      </c>
      <c r="AA1902">
        <v>100</v>
      </c>
      <c r="AB1902">
        <v>20020</v>
      </c>
      <c r="AC1902">
        <v>45915</v>
      </c>
      <c r="AD1902">
        <v>0</v>
      </c>
      <c r="AE1902">
        <v>18166</v>
      </c>
      <c r="AF1902">
        <v>18166</v>
      </c>
      <c r="AG1902">
        <v>0</v>
      </c>
      <c r="AH1902">
        <v>-1854</v>
      </c>
    </row>
    <row r="1903" spans="2:34" x14ac:dyDescent="0.35">
      <c r="B1903" t="s">
        <v>565</v>
      </c>
      <c r="C1903">
        <v>45915</v>
      </c>
      <c r="F1903" t="s">
        <v>754</v>
      </c>
      <c r="H1903">
        <v>84.07</v>
      </c>
      <c r="O1903" t="s">
        <v>239</v>
      </c>
      <c r="P1903" t="s">
        <v>514</v>
      </c>
      <c r="Y1903">
        <v>1869</v>
      </c>
      <c r="Z1903" s="259" t="s">
        <v>630</v>
      </c>
      <c r="AA1903">
        <v>50</v>
      </c>
      <c r="AB1903">
        <v>4104</v>
      </c>
      <c r="AC1903">
        <v>45915</v>
      </c>
      <c r="AD1903">
        <v>0</v>
      </c>
      <c r="AE1903">
        <v>4203.5</v>
      </c>
      <c r="AF1903">
        <v>4203.5</v>
      </c>
      <c r="AG1903">
        <v>0</v>
      </c>
      <c r="AH1903">
        <v>99.5</v>
      </c>
    </row>
    <row r="1904" spans="2:34" x14ac:dyDescent="0.35">
      <c r="B1904" t="s">
        <v>565</v>
      </c>
      <c r="C1904">
        <v>45916</v>
      </c>
      <c r="F1904" t="s">
        <v>749</v>
      </c>
      <c r="H1904">
        <v>51.59</v>
      </c>
      <c r="O1904" t="s">
        <v>239</v>
      </c>
      <c r="P1904" t="s">
        <v>514</v>
      </c>
      <c r="Y1904">
        <v>1870</v>
      </c>
      <c r="Z1904" s="259" t="s">
        <v>630</v>
      </c>
      <c r="AA1904">
        <v>100</v>
      </c>
      <c r="AB1904">
        <v>5005</v>
      </c>
      <c r="AC1904">
        <v>45916</v>
      </c>
      <c r="AD1904">
        <v>0</v>
      </c>
      <c r="AE1904">
        <v>5159</v>
      </c>
      <c r="AF1904">
        <v>5159</v>
      </c>
      <c r="AG1904">
        <v>0</v>
      </c>
      <c r="AH1904">
        <v>154</v>
      </c>
    </row>
    <row r="1905" spans="2:34" x14ac:dyDescent="0.35">
      <c r="B1905" t="s">
        <v>565</v>
      </c>
      <c r="C1905">
        <v>45916</v>
      </c>
      <c r="F1905" t="s">
        <v>752</v>
      </c>
      <c r="H1905">
        <v>181.34</v>
      </c>
      <c r="O1905" t="s">
        <v>239</v>
      </c>
      <c r="P1905" t="s">
        <v>514</v>
      </c>
      <c r="Y1905">
        <v>1871</v>
      </c>
      <c r="Z1905" s="259" t="s">
        <v>630</v>
      </c>
      <c r="AA1905">
        <v>100</v>
      </c>
      <c r="AB1905">
        <v>20020</v>
      </c>
      <c r="AC1905">
        <v>45916</v>
      </c>
      <c r="AD1905">
        <v>0</v>
      </c>
      <c r="AE1905">
        <v>18134</v>
      </c>
      <c r="AF1905">
        <v>18134</v>
      </c>
      <c r="AG1905">
        <v>0</v>
      </c>
      <c r="AH1905">
        <v>-1886</v>
      </c>
    </row>
    <row r="1906" spans="2:34" x14ac:dyDescent="0.35">
      <c r="B1906" t="s">
        <v>565</v>
      </c>
      <c r="C1906">
        <v>45916</v>
      </c>
      <c r="F1906" t="s">
        <v>754</v>
      </c>
      <c r="H1906">
        <v>83.93</v>
      </c>
      <c r="O1906" t="s">
        <v>239</v>
      </c>
      <c r="P1906" t="s">
        <v>514</v>
      </c>
      <c r="Y1906">
        <v>1872</v>
      </c>
      <c r="Z1906" s="259" t="s">
        <v>630</v>
      </c>
      <c r="AA1906">
        <v>50</v>
      </c>
      <c r="AB1906">
        <v>4104</v>
      </c>
      <c r="AC1906">
        <v>45916</v>
      </c>
      <c r="AD1906">
        <v>0</v>
      </c>
      <c r="AE1906">
        <v>4196.5</v>
      </c>
      <c r="AF1906">
        <v>4196.5</v>
      </c>
      <c r="AG1906">
        <v>0</v>
      </c>
      <c r="AH1906">
        <v>92.5</v>
      </c>
    </row>
    <row r="1907" spans="2:34" x14ac:dyDescent="0.35">
      <c r="B1907" t="s">
        <v>565</v>
      </c>
      <c r="C1907">
        <v>45917</v>
      </c>
      <c r="F1907" t="s">
        <v>749</v>
      </c>
      <c r="H1907">
        <v>51.76</v>
      </c>
      <c r="O1907" t="s">
        <v>239</v>
      </c>
      <c r="P1907" t="s">
        <v>514</v>
      </c>
      <c r="Y1907">
        <v>1873</v>
      </c>
      <c r="Z1907" s="259" t="s">
        <v>630</v>
      </c>
      <c r="AA1907">
        <v>100</v>
      </c>
      <c r="AB1907">
        <v>5005</v>
      </c>
      <c r="AC1907">
        <v>45917</v>
      </c>
      <c r="AD1907">
        <v>0</v>
      </c>
      <c r="AE1907">
        <v>5176</v>
      </c>
      <c r="AF1907">
        <v>5176</v>
      </c>
      <c r="AG1907">
        <v>0</v>
      </c>
      <c r="AH1907">
        <v>171</v>
      </c>
    </row>
    <row r="1908" spans="2:34" x14ac:dyDescent="0.35">
      <c r="B1908" t="s">
        <v>565</v>
      </c>
      <c r="C1908">
        <v>45917</v>
      </c>
      <c r="F1908" t="s">
        <v>752</v>
      </c>
      <c r="H1908">
        <v>181.03</v>
      </c>
      <c r="O1908" t="s">
        <v>239</v>
      </c>
      <c r="P1908" t="s">
        <v>514</v>
      </c>
      <c r="Y1908">
        <v>1874</v>
      </c>
      <c r="Z1908" s="259" t="s">
        <v>630</v>
      </c>
      <c r="AA1908">
        <v>100</v>
      </c>
      <c r="AB1908">
        <v>20020</v>
      </c>
      <c r="AC1908">
        <v>45917</v>
      </c>
      <c r="AD1908">
        <v>0</v>
      </c>
      <c r="AE1908">
        <v>18103</v>
      </c>
      <c r="AF1908">
        <v>18103</v>
      </c>
      <c r="AG1908">
        <v>0</v>
      </c>
      <c r="AH1908">
        <v>-1917</v>
      </c>
    </row>
    <row r="1909" spans="2:34" x14ac:dyDescent="0.35">
      <c r="B1909" t="s">
        <v>565</v>
      </c>
      <c r="C1909">
        <v>45917</v>
      </c>
      <c r="F1909" t="s">
        <v>754</v>
      </c>
      <c r="H1909">
        <v>83.79</v>
      </c>
      <c r="O1909" t="s">
        <v>239</v>
      </c>
      <c r="P1909" t="s">
        <v>514</v>
      </c>
      <c r="Y1909">
        <v>1875</v>
      </c>
      <c r="Z1909" s="259" t="s">
        <v>630</v>
      </c>
      <c r="AA1909">
        <v>50</v>
      </c>
      <c r="AB1909">
        <v>4104</v>
      </c>
      <c r="AC1909">
        <v>45917</v>
      </c>
      <c r="AD1909">
        <v>0</v>
      </c>
      <c r="AE1909">
        <v>4189.5</v>
      </c>
      <c r="AF1909">
        <v>4189.5</v>
      </c>
      <c r="AG1909">
        <v>0</v>
      </c>
      <c r="AH1909">
        <v>85.5</v>
      </c>
    </row>
    <row r="1910" spans="2:34" x14ac:dyDescent="0.35">
      <c r="B1910" t="s">
        <v>565</v>
      </c>
      <c r="C1910">
        <v>45918</v>
      </c>
      <c r="F1910" t="s">
        <v>749</v>
      </c>
      <c r="H1910">
        <v>51.93</v>
      </c>
      <c r="O1910" t="s">
        <v>239</v>
      </c>
      <c r="P1910" t="s">
        <v>514</v>
      </c>
      <c r="Y1910">
        <v>1876</v>
      </c>
      <c r="Z1910" s="259" t="s">
        <v>630</v>
      </c>
      <c r="AA1910">
        <v>100</v>
      </c>
      <c r="AB1910">
        <v>5005</v>
      </c>
      <c r="AC1910">
        <v>45918</v>
      </c>
      <c r="AD1910">
        <v>0</v>
      </c>
      <c r="AE1910">
        <v>5193</v>
      </c>
      <c r="AF1910">
        <v>5193</v>
      </c>
      <c r="AG1910">
        <v>0</v>
      </c>
      <c r="AH1910">
        <v>188</v>
      </c>
    </row>
    <row r="1911" spans="2:34" x14ac:dyDescent="0.35">
      <c r="B1911" t="s">
        <v>565</v>
      </c>
      <c r="C1911">
        <v>45918</v>
      </c>
      <c r="F1911" t="s">
        <v>752</v>
      </c>
      <c r="H1911">
        <v>180.72</v>
      </c>
      <c r="O1911" t="s">
        <v>239</v>
      </c>
      <c r="P1911" t="s">
        <v>514</v>
      </c>
      <c r="Y1911">
        <v>1877</v>
      </c>
      <c r="Z1911" s="259" t="s">
        <v>630</v>
      </c>
      <c r="AA1911">
        <v>100</v>
      </c>
      <c r="AB1911">
        <v>20020</v>
      </c>
      <c r="AC1911">
        <v>45918</v>
      </c>
      <c r="AD1911">
        <v>0</v>
      </c>
      <c r="AE1911">
        <v>18072</v>
      </c>
      <c r="AF1911">
        <v>18072</v>
      </c>
      <c r="AG1911">
        <v>0</v>
      </c>
      <c r="AH1911">
        <v>-1948</v>
      </c>
    </row>
    <row r="1912" spans="2:34" x14ac:dyDescent="0.35">
      <c r="B1912" t="s">
        <v>565</v>
      </c>
      <c r="C1912">
        <v>45918</v>
      </c>
      <c r="F1912" t="s">
        <v>754</v>
      </c>
      <c r="H1912">
        <v>83.66</v>
      </c>
      <c r="O1912" t="s">
        <v>239</v>
      </c>
      <c r="P1912" t="s">
        <v>514</v>
      </c>
      <c r="Y1912">
        <v>1878</v>
      </c>
      <c r="Z1912" s="259" t="s">
        <v>630</v>
      </c>
      <c r="AA1912">
        <v>50</v>
      </c>
      <c r="AB1912">
        <v>4104</v>
      </c>
      <c r="AC1912">
        <v>45918</v>
      </c>
      <c r="AD1912">
        <v>0</v>
      </c>
      <c r="AE1912">
        <v>4183</v>
      </c>
      <c r="AF1912">
        <v>4183</v>
      </c>
      <c r="AG1912">
        <v>0</v>
      </c>
      <c r="AH1912">
        <v>79</v>
      </c>
    </row>
    <row r="1913" spans="2:34" x14ac:dyDescent="0.35">
      <c r="B1913" t="s">
        <v>565</v>
      </c>
      <c r="C1913">
        <v>45919</v>
      </c>
      <c r="F1913" t="s">
        <v>749</v>
      </c>
      <c r="H1913">
        <v>52.1</v>
      </c>
      <c r="O1913" t="s">
        <v>239</v>
      </c>
      <c r="P1913" t="s">
        <v>514</v>
      </c>
      <c r="Y1913">
        <v>1879</v>
      </c>
      <c r="Z1913" s="259" t="s">
        <v>630</v>
      </c>
      <c r="AA1913">
        <v>100</v>
      </c>
      <c r="AB1913">
        <v>5005</v>
      </c>
      <c r="AC1913">
        <v>45919</v>
      </c>
      <c r="AD1913">
        <v>0</v>
      </c>
      <c r="AE1913">
        <v>5210</v>
      </c>
      <c r="AF1913">
        <v>5210</v>
      </c>
      <c r="AG1913">
        <v>0</v>
      </c>
      <c r="AH1913">
        <v>205</v>
      </c>
    </row>
    <row r="1914" spans="2:34" x14ac:dyDescent="0.35">
      <c r="B1914" t="s">
        <v>565</v>
      </c>
      <c r="C1914">
        <v>45919</v>
      </c>
      <c r="F1914" t="s">
        <v>752</v>
      </c>
      <c r="H1914">
        <v>180.41</v>
      </c>
      <c r="O1914" t="s">
        <v>239</v>
      </c>
      <c r="P1914" t="s">
        <v>514</v>
      </c>
      <c r="Y1914">
        <v>1880</v>
      </c>
      <c r="Z1914" s="259" t="s">
        <v>630</v>
      </c>
      <c r="AA1914">
        <v>100</v>
      </c>
      <c r="AB1914">
        <v>20020</v>
      </c>
      <c r="AC1914">
        <v>45919</v>
      </c>
      <c r="AD1914">
        <v>0</v>
      </c>
      <c r="AE1914">
        <v>18041</v>
      </c>
      <c r="AF1914">
        <v>18041</v>
      </c>
      <c r="AG1914">
        <v>0</v>
      </c>
      <c r="AH1914">
        <v>-1979</v>
      </c>
    </row>
    <row r="1915" spans="2:34" x14ac:dyDescent="0.35">
      <c r="B1915" t="s">
        <v>565</v>
      </c>
      <c r="C1915">
        <v>45919</v>
      </c>
      <c r="F1915" t="s">
        <v>754</v>
      </c>
      <c r="H1915">
        <v>83.52</v>
      </c>
      <c r="O1915" t="s">
        <v>239</v>
      </c>
      <c r="P1915" t="s">
        <v>514</v>
      </c>
      <c r="Y1915">
        <v>1881</v>
      </c>
      <c r="Z1915" s="259" t="s">
        <v>630</v>
      </c>
      <c r="AA1915">
        <v>50</v>
      </c>
      <c r="AB1915">
        <v>4104</v>
      </c>
      <c r="AC1915">
        <v>45919</v>
      </c>
      <c r="AD1915">
        <v>0</v>
      </c>
      <c r="AE1915">
        <v>4176</v>
      </c>
      <c r="AF1915">
        <v>4176</v>
      </c>
      <c r="AG1915">
        <v>0</v>
      </c>
      <c r="AH1915">
        <v>72</v>
      </c>
    </row>
    <row r="1916" spans="2:34" x14ac:dyDescent="0.35">
      <c r="B1916" t="s">
        <v>565</v>
      </c>
      <c r="C1916">
        <v>45920</v>
      </c>
      <c r="F1916" t="s">
        <v>749</v>
      </c>
      <c r="H1916">
        <v>52.1</v>
      </c>
      <c r="O1916" t="s">
        <v>239</v>
      </c>
      <c r="P1916" t="s">
        <v>514</v>
      </c>
      <c r="Y1916">
        <v>1882</v>
      </c>
      <c r="Z1916" s="259" t="s">
        <v>630</v>
      </c>
      <c r="AA1916">
        <v>100</v>
      </c>
      <c r="AB1916">
        <v>5005</v>
      </c>
      <c r="AC1916">
        <v>45919</v>
      </c>
      <c r="AD1916">
        <v>1</v>
      </c>
      <c r="AE1916">
        <v>5210</v>
      </c>
      <c r="AF1916">
        <v>5210</v>
      </c>
      <c r="AG1916">
        <v>0</v>
      </c>
      <c r="AH1916">
        <v>205</v>
      </c>
    </row>
    <row r="1917" spans="2:34" x14ac:dyDescent="0.35">
      <c r="B1917" t="s">
        <v>565</v>
      </c>
      <c r="C1917">
        <v>45920</v>
      </c>
      <c r="F1917" t="s">
        <v>752</v>
      </c>
      <c r="H1917">
        <v>180.41</v>
      </c>
      <c r="O1917" t="s">
        <v>239</v>
      </c>
      <c r="P1917" t="s">
        <v>514</v>
      </c>
      <c r="Y1917">
        <v>1883</v>
      </c>
      <c r="Z1917" s="259" t="s">
        <v>630</v>
      </c>
      <c r="AA1917">
        <v>100</v>
      </c>
      <c r="AB1917">
        <v>20020</v>
      </c>
      <c r="AC1917">
        <v>45919</v>
      </c>
      <c r="AD1917">
        <v>1</v>
      </c>
      <c r="AE1917">
        <v>18041</v>
      </c>
      <c r="AF1917">
        <v>18041</v>
      </c>
      <c r="AG1917">
        <v>0</v>
      </c>
      <c r="AH1917">
        <v>-1979</v>
      </c>
    </row>
    <row r="1918" spans="2:34" x14ac:dyDescent="0.35">
      <c r="B1918" t="s">
        <v>565</v>
      </c>
      <c r="C1918">
        <v>45920</v>
      </c>
      <c r="F1918" t="s">
        <v>754</v>
      </c>
      <c r="H1918">
        <v>83.52</v>
      </c>
      <c r="O1918" t="s">
        <v>239</v>
      </c>
      <c r="P1918" t="s">
        <v>514</v>
      </c>
      <c r="Y1918">
        <v>1884</v>
      </c>
      <c r="Z1918" s="259" t="s">
        <v>630</v>
      </c>
      <c r="AA1918">
        <v>50</v>
      </c>
      <c r="AB1918">
        <v>4104</v>
      </c>
      <c r="AC1918">
        <v>45919</v>
      </c>
      <c r="AD1918">
        <v>1</v>
      </c>
      <c r="AE1918">
        <v>4176</v>
      </c>
      <c r="AF1918">
        <v>4176</v>
      </c>
      <c r="AG1918">
        <v>0</v>
      </c>
      <c r="AH1918">
        <v>72</v>
      </c>
    </row>
    <row r="1919" spans="2:34" x14ac:dyDescent="0.35">
      <c r="B1919" t="s">
        <v>565</v>
      </c>
      <c r="C1919">
        <v>45921</v>
      </c>
      <c r="F1919" t="s">
        <v>749</v>
      </c>
      <c r="H1919">
        <v>52.1</v>
      </c>
      <c r="O1919" t="s">
        <v>239</v>
      </c>
      <c r="P1919" t="s">
        <v>514</v>
      </c>
      <c r="Y1919">
        <v>1885</v>
      </c>
      <c r="Z1919" s="259" t="s">
        <v>630</v>
      </c>
      <c r="AA1919">
        <v>100</v>
      </c>
      <c r="AB1919">
        <v>5005</v>
      </c>
      <c r="AC1919">
        <v>45919</v>
      </c>
      <c r="AD1919">
        <v>2</v>
      </c>
      <c r="AE1919">
        <v>5210</v>
      </c>
      <c r="AF1919">
        <v>5210</v>
      </c>
      <c r="AG1919">
        <v>0</v>
      </c>
      <c r="AH1919">
        <v>205</v>
      </c>
    </row>
    <row r="1920" spans="2:34" x14ac:dyDescent="0.35">
      <c r="B1920" t="s">
        <v>565</v>
      </c>
      <c r="C1920">
        <v>45921</v>
      </c>
      <c r="F1920" t="s">
        <v>752</v>
      </c>
      <c r="H1920">
        <v>180.41</v>
      </c>
      <c r="O1920" t="s">
        <v>239</v>
      </c>
      <c r="P1920" t="s">
        <v>514</v>
      </c>
      <c r="Y1920">
        <v>1886</v>
      </c>
      <c r="Z1920" s="259" t="s">
        <v>630</v>
      </c>
      <c r="AA1920">
        <v>100</v>
      </c>
      <c r="AB1920">
        <v>20020</v>
      </c>
      <c r="AC1920">
        <v>45919</v>
      </c>
      <c r="AD1920">
        <v>2</v>
      </c>
      <c r="AE1920">
        <v>18041</v>
      </c>
      <c r="AF1920">
        <v>18041</v>
      </c>
      <c r="AG1920">
        <v>0</v>
      </c>
      <c r="AH1920">
        <v>-1979</v>
      </c>
    </row>
    <row r="1921" spans="2:34" x14ac:dyDescent="0.35">
      <c r="B1921" t="s">
        <v>565</v>
      </c>
      <c r="C1921">
        <v>45921</v>
      </c>
      <c r="F1921" t="s">
        <v>754</v>
      </c>
      <c r="H1921">
        <v>83.52</v>
      </c>
      <c r="O1921" t="s">
        <v>239</v>
      </c>
      <c r="P1921" t="s">
        <v>514</v>
      </c>
      <c r="Y1921">
        <v>1887</v>
      </c>
      <c r="Z1921" s="259" t="s">
        <v>630</v>
      </c>
      <c r="AA1921">
        <v>50</v>
      </c>
      <c r="AB1921">
        <v>4104</v>
      </c>
      <c r="AC1921">
        <v>45919</v>
      </c>
      <c r="AD1921">
        <v>2</v>
      </c>
      <c r="AE1921">
        <v>4176</v>
      </c>
      <c r="AF1921">
        <v>4176</v>
      </c>
      <c r="AG1921">
        <v>0</v>
      </c>
      <c r="AH1921">
        <v>72</v>
      </c>
    </row>
    <row r="1922" spans="2:34" x14ac:dyDescent="0.35">
      <c r="B1922" t="s">
        <v>565</v>
      </c>
      <c r="C1922">
        <v>45922</v>
      </c>
      <c r="F1922" t="s">
        <v>749</v>
      </c>
      <c r="H1922">
        <v>52.62</v>
      </c>
      <c r="O1922" t="s">
        <v>239</v>
      </c>
      <c r="P1922" t="s">
        <v>514</v>
      </c>
      <c r="Y1922">
        <v>1888</v>
      </c>
      <c r="Z1922" s="259" t="s">
        <v>630</v>
      </c>
      <c r="AA1922">
        <v>100</v>
      </c>
      <c r="AB1922">
        <v>5005</v>
      </c>
      <c r="AC1922">
        <v>45922</v>
      </c>
      <c r="AD1922">
        <v>0</v>
      </c>
      <c r="AE1922">
        <v>5262</v>
      </c>
      <c r="AF1922">
        <v>5262</v>
      </c>
      <c r="AG1922">
        <v>0</v>
      </c>
      <c r="AH1922">
        <v>257</v>
      </c>
    </row>
    <row r="1923" spans="2:34" x14ac:dyDescent="0.35">
      <c r="B1923" t="s">
        <v>565</v>
      </c>
      <c r="C1923">
        <v>45922</v>
      </c>
      <c r="F1923" t="s">
        <v>752</v>
      </c>
      <c r="H1923">
        <v>179.48</v>
      </c>
      <c r="O1923" t="s">
        <v>239</v>
      </c>
      <c r="P1923" t="s">
        <v>514</v>
      </c>
      <c r="Y1923">
        <v>1889</v>
      </c>
      <c r="Z1923" s="259" t="s">
        <v>630</v>
      </c>
      <c r="AA1923">
        <v>100</v>
      </c>
      <c r="AB1923">
        <v>20020</v>
      </c>
      <c r="AC1923">
        <v>45922</v>
      </c>
      <c r="AD1923">
        <v>0</v>
      </c>
      <c r="AE1923">
        <v>17948</v>
      </c>
      <c r="AF1923">
        <v>17948</v>
      </c>
      <c r="AG1923">
        <v>0</v>
      </c>
      <c r="AH1923">
        <v>-2072</v>
      </c>
    </row>
    <row r="1924" spans="2:34" x14ac:dyDescent="0.35">
      <c r="B1924" t="s">
        <v>565</v>
      </c>
      <c r="C1924">
        <v>45922</v>
      </c>
      <c r="F1924" t="s">
        <v>754</v>
      </c>
      <c r="H1924">
        <v>83.1</v>
      </c>
      <c r="O1924" t="s">
        <v>239</v>
      </c>
      <c r="P1924" t="s">
        <v>514</v>
      </c>
      <c r="Y1924">
        <v>1890</v>
      </c>
      <c r="Z1924" s="259" t="s">
        <v>630</v>
      </c>
      <c r="AA1924">
        <v>50</v>
      </c>
      <c r="AB1924">
        <v>4104</v>
      </c>
      <c r="AC1924">
        <v>45922</v>
      </c>
      <c r="AD1924">
        <v>0</v>
      </c>
      <c r="AE1924">
        <v>4155</v>
      </c>
      <c r="AF1924">
        <v>4155</v>
      </c>
      <c r="AG1924">
        <v>0</v>
      </c>
      <c r="AH1924">
        <v>51</v>
      </c>
    </row>
    <row r="1925" spans="2:34" x14ac:dyDescent="0.35">
      <c r="B1925" t="s">
        <v>565</v>
      </c>
      <c r="C1925">
        <v>45923</v>
      </c>
      <c r="F1925" t="s">
        <v>749</v>
      </c>
      <c r="H1925">
        <v>52.79</v>
      </c>
      <c r="O1925" t="s">
        <v>239</v>
      </c>
      <c r="P1925" t="s">
        <v>514</v>
      </c>
      <c r="Y1925">
        <v>1891</v>
      </c>
      <c r="Z1925" s="259" t="s">
        <v>630</v>
      </c>
      <c r="AA1925">
        <v>100</v>
      </c>
      <c r="AB1925">
        <v>5005</v>
      </c>
      <c r="AC1925">
        <v>45923</v>
      </c>
      <c r="AD1925">
        <v>0</v>
      </c>
      <c r="AE1925">
        <v>5279</v>
      </c>
      <c r="AF1925">
        <v>5279</v>
      </c>
      <c r="AG1925">
        <v>0</v>
      </c>
      <c r="AH1925">
        <v>274</v>
      </c>
    </row>
    <row r="1926" spans="2:34" x14ac:dyDescent="0.35">
      <c r="B1926" t="s">
        <v>565</v>
      </c>
      <c r="C1926">
        <v>45923</v>
      </c>
      <c r="F1926" t="s">
        <v>752</v>
      </c>
      <c r="H1926">
        <v>179.17</v>
      </c>
      <c r="O1926" t="s">
        <v>239</v>
      </c>
      <c r="P1926" t="s">
        <v>514</v>
      </c>
      <c r="Y1926">
        <v>1892</v>
      </c>
      <c r="Z1926" s="259" t="s">
        <v>630</v>
      </c>
      <c r="AA1926">
        <v>100</v>
      </c>
      <c r="AB1926">
        <v>20020</v>
      </c>
      <c r="AC1926">
        <v>45923</v>
      </c>
      <c r="AD1926">
        <v>0</v>
      </c>
      <c r="AE1926">
        <v>17917</v>
      </c>
      <c r="AF1926">
        <v>17917</v>
      </c>
      <c r="AG1926">
        <v>0</v>
      </c>
      <c r="AH1926">
        <v>-2103</v>
      </c>
    </row>
    <row r="1927" spans="2:34" x14ac:dyDescent="0.35">
      <c r="B1927" t="s">
        <v>565</v>
      </c>
      <c r="C1927">
        <v>45923</v>
      </c>
      <c r="F1927" t="s">
        <v>754</v>
      </c>
      <c r="H1927">
        <v>82.97</v>
      </c>
      <c r="O1927" t="s">
        <v>239</v>
      </c>
      <c r="P1927" t="s">
        <v>514</v>
      </c>
      <c r="Y1927">
        <v>1893</v>
      </c>
      <c r="Z1927" s="259" t="s">
        <v>630</v>
      </c>
      <c r="AA1927">
        <v>50</v>
      </c>
      <c r="AB1927">
        <v>4104</v>
      </c>
      <c r="AC1927">
        <v>45923</v>
      </c>
      <c r="AD1927">
        <v>0</v>
      </c>
      <c r="AE1927">
        <v>4148.5</v>
      </c>
      <c r="AF1927">
        <v>4148.5</v>
      </c>
      <c r="AG1927">
        <v>0</v>
      </c>
      <c r="AH1927">
        <v>44.5</v>
      </c>
    </row>
    <row r="1928" spans="2:34" x14ac:dyDescent="0.35">
      <c r="B1928" t="s">
        <v>565</v>
      </c>
      <c r="C1928">
        <v>45924</v>
      </c>
      <c r="F1928" t="s">
        <v>749</v>
      </c>
      <c r="H1928">
        <v>52.97</v>
      </c>
      <c r="O1928" t="s">
        <v>239</v>
      </c>
      <c r="P1928" t="s">
        <v>514</v>
      </c>
      <c r="Y1928">
        <v>1894</v>
      </c>
      <c r="Z1928" s="259" t="s">
        <v>630</v>
      </c>
      <c r="AA1928">
        <v>100</v>
      </c>
      <c r="AB1928">
        <v>5005</v>
      </c>
      <c r="AC1928">
        <v>45924</v>
      </c>
      <c r="AD1928">
        <v>0</v>
      </c>
      <c r="AE1928">
        <v>5297</v>
      </c>
      <c r="AF1928">
        <v>5297</v>
      </c>
      <c r="AG1928">
        <v>0</v>
      </c>
      <c r="AH1928">
        <v>292</v>
      </c>
    </row>
    <row r="1929" spans="2:34" x14ac:dyDescent="0.35">
      <c r="B1929" t="s">
        <v>565</v>
      </c>
      <c r="C1929">
        <v>45924</v>
      </c>
      <c r="F1929" t="s">
        <v>752</v>
      </c>
      <c r="H1929">
        <v>178.86</v>
      </c>
      <c r="O1929" t="s">
        <v>239</v>
      </c>
      <c r="P1929" t="s">
        <v>514</v>
      </c>
      <c r="Y1929">
        <v>1895</v>
      </c>
      <c r="Z1929" s="259" t="s">
        <v>630</v>
      </c>
      <c r="AA1929">
        <v>100</v>
      </c>
      <c r="AB1929">
        <v>20020</v>
      </c>
      <c r="AC1929">
        <v>45924</v>
      </c>
      <c r="AD1929">
        <v>0</v>
      </c>
      <c r="AE1929">
        <v>17886</v>
      </c>
      <c r="AF1929">
        <v>17886</v>
      </c>
      <c r="AG1929">
        <v>0</v>
      </c>
      <c r="AH1929">
        <v>-2134</v>
      </c>
    </row>
    <row r="1930" spans="2:34" x14ac:dyDescent="0.35">
      <c r="B1930" t="s">
        <v>565</v>
      </c>
      <c r="C1930">
        <v>45924</v>
      </c>
      <c r="F1930" t="s">
        <v>754</v>
      </c>
      <c r="H1930">
        <v>82.83</v>
      </c>
      <c r="O1930" t="s">
        <v>239</v>
      </c>
      <c r="P1930" t="s">
        <v>514</v>
      </c>
      <c r="Y1930">
        <v>1896</v>
      </c>
      <c r="Z1930" s="259" t="s">
        <v>630</v>
      </c>
      <c r="AA1930">
        <v>50</v>
      </c>
      <c r="AB1930">
        <v>4104</v>
      </c>
      <c r="AC1930">
        <v>45924</v>
      </c>
      <c r="AD1930">
        <v>0</v>
      </c>
      <c r="AE1930">
        <v>4141.5</v>
      </c>
      <c r="AF1930">
        <v>4141.5</v>
      </c>
      <c r="AG1930">
        <v>0</v>
      </c>
      <c r="AH1930">
        <v>37.5</v>
      </c>
    </row>
    <row r="1931" spans="2:34" x14ac:dyDescent="0.35">
      <c r="B1931" t="s">
        <v>565</v>
      </c>
      <c r="C1931">
        <v>45925</v>
      </c>
      <c r="F1931" t="s">
        <v>749</v>
      </c>
      <c r="H1931">
        <v>53.14</v>
      </c>
      <c r="O1931" t="s">
        <v>239</v>
      </c>
      <c r="P1931" t="s">
        <v>514</v>
      </c>
      <c r="Y1931">
        <v>1897</v>
      </c>
      <c r="Z1931" s="259" t="s">
        <v>630</v>
      </c>
      <c r="AA1931">
        <v>100</v>
      </c>
      <c r="AB1931">
        <v>5005</v>
      </c>
      <c r="AC1931">
        <v>45925</v>
      </c>
      <c r="AD1931">
        <v>0</v>
      </c>
      <c r="AE1931">
        <v>5314</v>
      </c>
      <c r="AF1931">
        <v>5314</v>
      </c>
      <c r="AG1931">
        <v>0</v>
      </c>
      <c r="AH1931">
        <v>309</v>
      </c>
    </row>
    <row r="1932" spans="2:34" x14ac:dyDescent="0.35">
      <c r="B1932" t="s">
        <v>565</v>
      </c>
      <c r="C1932">
        <v>45925</v>
      </c>
      <c r="F1932" t="s">
        <v>752</v>
      </c>
      <c r="H1932">
        <v>178.55</v>
      </c>
      <c r="O1932" t="s">
        <v>239</v>
      </c>
      <c r="P1932" t="s">
        <v>514</v>
      </c>
      <c r="Y1932">
        <v>1898</v>
      </c>
      <c r="Z1932" s="259" t="s">
        <v>630</v>
      </c>
      <c r="AA1932">
        <v>100</v>
      </c>
      <c r="AB1932">
        <v>20020</v>
      </c>
      <c r="AC1932">
        <v>45925</v>
      </c>
      <c r="AD1932">
        <v>0</v>
      </c>
      <c r="AE1932">
        <v>17855</v>
      </c>
      <c r="AF1932">
        <v>17855</v>
      </c>
      <c r="AG1932">
        <v>0</v>
      </c>
      <c r="AH1932">
        <v>-2165</v>
      </c>
    </row>
    <row r="1933" spans="2:34" x14ac:dyDescent="0.35">
      <c r="B1933" t="s">
        <v>565</v>
      </c>
      <c r="C1933">
        <v>45925</v>
      </c>
      <c r="F1933" t="s">
        <v>754</v>
      </c>
      <c r="H1933">
        <v>82.69</v>
      </c>
      <c r="O1933" t="s">
        <v>239</v>
      </c>
      <c r="P1933" t="s">
        <v>514</v>
      </c>
      <c r="Y1933">
        <v>1899</v>
      </c>
      <c r="Z1933" s="259" t="s">
        <v>630</v>
      </c>
      <c r="AA1933">
        <v>50</v>
      </c>
      <c r="AB1933">
        <v>4104</v>
      </c>
      <c r="AC1933">
        <v>45925</v>
      </c>
      <c r="AD1933">
        <v>0</v>
      </c>
      <c r="AE1933">
        <v>4134.5</v>
      </c>
      <c r="AF1933">
        <v>4134.5</v>
      </c>
      <c r="AG1933">
        <v>0</v>
      </c>
      <c r="AH1933">
        <v>30.5</v>
      </c>
    </row>
    <row r="1934" spans="2:34" x14ac:dyDescent="0.35">
      <c r="B1934" t="s">
        <v>565</v>
      </c>
      <c r="C1934">
        <v>45926</v>
      </c>
      <c r="F1934" t="s">
        <v>749</v>
      </c>
      <c r="H1934">
        <v>53.31</v>
      </c>
      <c r="O1934" t="s">
        <v>239</v>
      </c>
      <c r="P1934" t="s">
        <v>514</v>
      </c>
      <c r="Y1934">
        <v>1900</v>
      </c>
      <c r="Z1934" s="259" t="s">
        <v>630</v>
      </c>
      <c r="AA1934">
        <v>100</v>
      </c>
      <c r="AB1934">
        <v>5005</v>
      </c>
      <c r="AC1934">
        <v>45926</v>
      </c>
      <c r="AD1934">
        <v>0</v>
      </c>
      <c r="AE1934">
        <v>5331</v>
      </c>
      <c r="AF1934">
        <v>5331</v>
      </c>
      <c r="AG1934">
        <v>0</v>
      </c>
      <c r="AH1934">
        <v>326</v>
      </c>
    </row>
    <row r="1935" spans="2:34" x14ac:dyDescent="0.35">
      <c r="B1935" t="s">
        <v>565</v>
      </c>
      <c r="C1935">
        <v>45926</v>
      </c>
      <c r="F1935" t="s">
        <v>752</v>
      </c>
      <c r="H1935">
        <v>178.24</v>
      </c>
      <c r="O1935" t="s">
        <v>239</v>
      </c>
      <c r="P1935" t="s">
        <v>514</v>
      </c>
      <c r="Y1935">
        <v>1901</v>
      </c>
      <c r="Z1935" s="259" t="s">
        <v>630</v>
      </c>
      <c r="AA1935">
        <v>100</v>
      </c>
      <c r="AB1935">
        <v>20020</v>
      </c>
      <c r="AC1935">
        <v>45926</v>
      </c>
      <c r="AD1935">
        <v>0</v>
      </c>
      <c r="AE1935">
        <v>17824</v>
      </c>
      <c r="AF1935">
        <v>17824</v>
      </c>
      <c r="AG1935">
        <v>0</v>
      </c>
      <c r="AH1935">
        <v>-2196</v>
      </c>
    </row>
    <row r="1936" spans="2:34" x14ac:dyDescent="0.35">
      <c r="B1936" t="s">
        <v>565</v>
      </c>
      <c r="C1936">
        <v>45926</v>
      </c>
      <c r="F1936" t="s">
        <v>754</v>
      </c>
      <c r="H1936">
        <v>82.55</v>
      </c>
      <c r="O1936" t="s">
        <v>239</v>
      </c>
      <c r="P1936" t="s">
        <v>514</v>
      </c>
      <c r="Y1936">
        <v>1902</v>
      </c>
      <c r="Z1936" s="259" t="s">
        <v>630</v>
      </c>
      <c r="AA1936">
        <v>50</v>
      </c>
      <c r="AB1936">
        <v>4104</v>
      </c>
      <c r="AC1936">
        <v>45926</v>
      </c>
      <c r="AD1936">
        <v>0</v>
      </c>
      <c r="AE1936">
        <v>4127.5</v>
      </c>
      <c r="AF1936">
        <v>4127.5</v>
      </c>
      <c r="AG1936">
        <v>0</v>
      </c>
      <c r="AH1936">
        <v>23.5</v>
      </c>
    </row>
    <row r="1937" spans="2:34" x14ac:dyDescent="0.35">
      <c r="B1937" t="s">
        <v>565</v>
      </c>
      <c r="C1937">
        <v>45927</v>
      </c>
      <c r="F1937" t="s">
        <v>749</v>
      </c>
      <c r="H1937">
        <v>53.31</v>
      </c>
      <c r="O1937" t="s">
        <v>239</v>
      </c>
      <c r="P1937" t="s">
        <v>514</v>
      </c>
      <c r="Y1937">
        <v>1903</v>
      </c>
      <c r="Z1937" s="259" t="s">
        <v>630</v>
      </c>
      <c r="AA1937">
        <v>100</v>
      </c>
      <c r="AB1937">
        <v>5005</v>
      </c>
      <c r="AC1937">
        <v>45926</v>
      </c>
      <c r="AD1937">
        <v>1</v>
      </c>
      <c r="AE1937">
        <v>5331</v>
      </c>
      <c r="AF1937">
        <v>5331</v>
      </c>
      <c r="AG1937">
        <v>0</v>
      </c>
      <c r="AH1937">
        <v>326</v>
      </c>
    </row>
    <row r="1938" spans="2:34" x14ac:dyDescent="0.35">
      <c r="B1938" t="s">
        <v>565</v>
      </c>
      <c r="C1938">
        <v>45927</v>
      </c>
      <c r="F1938" t="s">
        <v>752</v>
      </c>
      <c r="H1938">
        <v>178.24</v>
      </c>
      <c r="O1938" t="s">
        <v>239</v>
      </c>
      <c r="P1938" t="s">
        <v>514</v>
      </c>
      <c r="Y1938">
        <v>1904</v>
      </c>
      <c r="Z1938" s="259" t="s">
        <v>630</v>
      </c>
      <c r="AA1938">
        <v>100</v>
      </c>
      <c r="AB1938">
        <v>20020</v>
      </c>
      <c r="AC1938">
        <v>45926</v>
      </c>
      <c r="AD1938">
        <v>1</v>
      </c>
      <c r="AE1938">
        <v>17824</v>
      </c>
      <c r="AF1938">
        <v>17824</v>
      </c>
      <c r="AG1938">
        <v>0</v>
      </c>
      <c r="AH1938">
        <v>-2196</v>
      </c>
    </row>
    <row r="1939" spans="2:34" x14ac:dyDescent="0.35">
      <c r="B1939" t="s">
        <v>565</v>
      </c>
      <c r="C1939">
        <v>45927</v>
      </c>
      <c r="F1939" t="s">
        <v>754</v>
      </c>
      <c r="H1939">
        <v>82.55</v>
      </c>
      <c r="O1939" t="s">
        <v>239</v>
      </c>
      <c r="P1939" t="s">
        <v>514</v>
      </c>
      <c r="Y1939">
        <v>1905</v>
      </c>
      <c r="Z1939" s="259" t="s">
        <v>630</v>
      </c>
      <c r="AA1939">
        <v>50</v>
      </c>
      <c r="AB1939">
        <v>4104</v>
      </c>
      <c r="AC1939">
        <v>45926</v>
      </c>
      <c r="AD1939">
        <v>1</v>
      </c>
      <c r="AE1939">
        <v>4127.5</v>
      </c>
      <c r="AF1939">
        <v>4127.5</v>
      </c>
      <c r="AG1939">
        <v>0</v>
      </c>
      <c r="AH1939">
        <v>23.5</v>
      </c>
    </row>
    <row r="1940" spans="2:34" x14ac:dyDescent="0.35">
      <c r="B1940" t="s">
        <v>565</v>
      </c>
      <c r="C1940">
        <v>45928</v>
      </c>
      <c r="F1940" t="s">
        <v>749</v>
      </c>
      <c r="H1940">
        <v>53.31</v>
      </c>
      <c r="O1940" t="s">
        <v>239</v>
      </c>
      <c r="P1940" t="s">
        <v>514</v>
      </c>
      <c r="Y1940">
        <v>1906</v>
      </c>
      <c r="Z1940" s="259" t="s">
        <v>630</v>
      </c>
      <c r="AA1940">
        <v>100</v>
      </c>
      <c r="AB1940">
        <v>5005</v>
      </c>
      <c r="AC1940">
        <v>45926</v>
      </c>
      <c r="AD1940">
        <v>2</v>
      </c>
      <c r="AE1940">
        <v>5331</v>
      </c>
      <c r="AF1940">
        <v>5331</v>
      </c>
      <c r="AG1940">
        <v>0</v>
      </c>
      <c r="AH1940">
        <v>326</v>
      </c>
    </row>
    <row r="1941" spans="2:34" x14ac:dyDescent="0.35">
      <c r="B1941" t="s">
        <v>565</v>
      </c>
      <c r="C1941">
        <v>45928</v>
      </c>
      <c r="F1941" t="s">
        <v>752</v>
      </c>
      <c r="H1941">
        <v>178.24</v>
      </c>
      <c r="O1941" t="s">
        <v>239</v>
      </c>
      <c r="P1941" t="s">
        <v>514</v>
      </c>
      <c r="Y1941">
        <v>1907</v>
      </c>
      <c r="Z1941" s="259" t="s">
        <v>630</v>
      </c>
      <c r="AA1941">
        <v>100</v>
      </c>
      <c r="AB1941">
        <v>20020</v>
      </c>
      <c r="AC1941">
        <v>45926</v>
      </c>
      <c r="AD1941">
        <v>2</v>
      </c>
      <c r="AE1941">
        <v>17824</v>
      </c>
      <c r="AF1941">
        <v>17824</v>
      </c>
      <c r="AG1941">
        <v>0</v>
      </c>
      <c r="AH1941">
        <v>-2196</v>
      </c>
    </row>
    <row r="1942" spans="2:34" x14ac:dyDescent="0.35">
      <c r="B1942" t="s">
        <v>565</v>
      </c>
      <c r="C1942">
        <v>45928</v>
      </c>
      <c r="F1942" t="s">
        <v>754</v>
      </c>
      <c r="H1942">
        <v>82.55</v>
      </c>
      <c r="O1942" t="s">
        <v>239</v>
      </c>
      <c r="P1942" t="s">
        <v>514</v>
      </c>
      <c r="Y1942">
        <v>1908</v>
      </c>
      <c r="Z1942" s="259" t="s">
        <v>630</v>
      </c>
      <c r="AA1942">
        <v>50</v>
      </c>
      <c r="AB1942">
        <v>4104</v>
      </c>
      <c r="AC1942">
        <v>45926</v>
      </c>
      <c r="AD1942">
        <v>2</v>
      </c>
      <c r="AE1942">
        <v>4127.5</v>
      </c>
      <c r="AF1942">
        <v>4127.5</v>
      </c>
      <c r="AG1942">
        <v>0</v>
      </c>
      <c r="AH1942">
        <v>23.5</v>
      </c>
    </row>
    <row r="1943" spans="2:34" x14ac:dyDescent="0.35">
      <c r="B1943" t="s">
        <v>565</v>
      </c>
      <c r="C1943">
        <v>45929</v>
      </c>
      <c r="F1943" t="s">
        <v>749</v>
      </c>
      <c r="H1943">
        <v>53.83</v>
      </c>
      <c r="O1943" t="s">
        <v>239</v>
      </c>
      <c r="P1943" t="s">
        <v>514</v>
      </c>
      <c r="Y1943">
        <v>1909</v>
      </c>
      <c r="Z1943" s="259" t="s">
        <v>630</v>
      </c>
      <c r="AA1943">
        <v>100</v>
      </c>
      <c r="AB1943">
        <v>5005</v>
      </c>
      <c r="AC1943">
        <v>45929</v>
      </c>
      <c r="AD1943">
        <v>0</v>
      </c>
      <c r="AE1943">
        <v>5383</v>
      </c>
      <c r="AF1943">
        <v>5383</v>
      </c>
      <c r="AG1943">
        <v>0</v>
      </c>
      <c r="AH1943">
        <v>378</v>
      </c>
    </row>
    <row r="1944" spans="2:34" x14ac:dyDescent="0.35">
      <c r="B1944" t="s">
        <v>565</v>
      </c>
      <c r="C1944">
        <v>45929</v>
      </c>
      <c r="F1944" t="s">
        <v>752</v>
      </c>
      <c r="H1944">
        <v>177.31</v>
      </c>
      <c r="O1944" t="s">
        <v>239</v>
      </c>
      <c r="P1944" t="s">
        <v>514</v>
      </c>
      <c r="Y1944">
        <v>1910</v>
      </c>
      <c r="Z1944" s="259" t="s">
        <v>630</v>
      </c>
      <c r="AA1944">
        <v>100</v>
      </c>
      <c r="AB1944">
        <v>20020</v>
      </c>
      <c r="AC1944">
        <v>45929</v>
      </c>
      <c r="AD1944">
        <v>0</v>
      </c>
      <c r="AE1944">
        <v>17731</v>
      </c>
      <c r="AF1944">
        <v>17731</v>
      </c>
      <c r="AG1944">
        <v>0</v>
      </c>
      <c r="AH1944">
        <v>-2289</v>
      </c>
    </row>
    <row r="1945" spans="2:34" x14ac:dyDescent="0.35">
      <c r="B1945" t="s">
        <v>565</v>
      </c>
      <c r="C1945">
        <v>45929</v>
      </c>
      <c r="F1945" t="s">
        <v>754</v>
      </c>
      <c r="H1945">
        <v>82.14</v>
      </c>
      <c r="O1945" t="s">
        <v>239</v>
      </c>
      <c r="P1945" t="s">
        <v>514</v>
      </c>
      <c r="Y1945">
        <v>1911</v>
      </c>
      <c r="Z1945" s="259" t="s">
        <v>630</v>
      </c>
      <c r="AA1945">
        <v>50</v>
      </c>
      <c r="AB1945">
        <v>4104</v>
      </c>
      <c r="AC1945">
        <v>45929</v>
      </c>
      <c r="AD1945">
        <v>0</v>
      </c>
      <c r="AE1945">
        <v>4107</v>
      </c>
      <c r="AF1945">
        <v>4107</v>
      </c>
      <c r="AG1945">
        <v>0</v>
      </c>
      <c r="AH1945">
        <v>3</v>
      </c>
    </row>
    <row r="1946" spans="2:34" x14ac:dyDescent="0.35">
      <c r="B1946" t="s">
        <v>565</v>
      </c>
      <c r="C1946">
        <v>45930</v>
      </c>
      <c r="F1946" t="s">
        <v>749</v>
      </c>
      <c r="H1946">
        <v>54</v>
      </c>
      <c r="O1946" t="s">
        <v>239</v>
      </c>
      <c r="P1946" t="s">
        <v>514</v>
      </c>
      <c r="Y1946">
        <v>1912</v>
      </c>
      <c r="Z1946" s="259" t="s">
        <v>630</v>
      </c>
      <c r="AA1946">
        <v>100</v>
      </c>
      <c r="AB1946">
        <v>5005</v>
      </c>
      <c r="AC1946">
        <v>45930</v>
      </c>
      <c r="AD1946">
        <v>0</v>
      </c>
      <c r="AE1946">
        <v>5400</v>
      </c>
      <c r="AF1946">
        <v>5400</v>
      </c>
      <c r="AG1946">
        <v>0</v>
      </c>
      <c r="AH1946">
        <v>395</v>
      </c>
    </row>
    <row r="1947" spans="2:34" x14ac:dyDescent="0.35">
      <c r="B1947" t="s">
        <v>565</v>
      </c>
      <c r="C1947">
        <v>45930</v>
      </c>
      <c r="F1947" t="s">
        <v>752</v>
      </c>
      <c r="H1947">
        <v>177</v>
      </c>
      <c r="O1947" t="s">
        <v>239</v>
      </c>
      <c r="P1947" t="s">
        <v>514</v>
      </c>
      <c r="Y1947">
        <v>1913</v>
      </c>
      <c r="Z1947" s="259" t="s">
        <v>630</v>
      </c>
      <c r="AA1947">
        <v>100</v>
      </c>
      <c r="AB1947">
        <v>20020</v>
      </c>
      <c r="AC1947">
        <v>45930</v>
      </c>
      <c r="AD1947">
        <v>0</v>
      </c>
      <c r="AE1947">
        <v>17700</v>
      </c>
      <c r="AF1947">
        <v>17700</v>
      </c>
      <c r="AG1947">
        <v>0</v>
      </c>
      <c r="AH1947">
        <v>-2320</v>
      </c>
    </row>
    <row r="1948" spans="2:34" x14ac:dyDescent="0.35">
      <c r="B1948" t="s">
        <v>565</v>
      </c>
      <c r="C1948">
        <v>45930</v>
      </c>
      <c r="F1948" t="s">
        <v>754</v>
      </c>
      <c r="H1948">
        <v>82</v>
      </c>
      <c r="O1948" t="s">
        <v>239</v>
      </c>
      <c r="P1948" t="s">
        <v>514</v>
      </c>
      <c r="Y1948">
        <v>1914</v>
      </c>
      <c r="Z1948" s="259" t="s">
        <v>630</v>
      </c>
      <c r="AA1948">
        <v>50</v>
      </c>
      <c r="AB1948">
        <v>4104</v>
      </c>
      <c r="AC1948">
        <v>45930</v>
      </c>
      <c r="AD1948">
        <v>0</v>
      </c>
      <c r="AE1948">
        <v>4100</v>
      </c>
      <c r="AF1948">
        <v>4100</v>
      </c>
      <c r="AG1948">
        <v>0</v>
      </c>
      <c r="AH1948">
        <v>-4</v>
      </c>
    </row>
    <row r="1949" spans="2:34" x14ac:dyDescent="0.35">
      <c r="B1949" t="s">
        <v>565</v>
      </c>
      <c r="C1949">
        <v>45931</v>
      </c>
      <c r="F1949" t="s">
        <v>749</v>
      </c>
      <c r="H1949">
        <v>54</v>
      </c>
      <c r="O1949" t="s">
        <v>239</v>
      </c>
      <c r="P1949" t="s">
        <v>514</v>
      </c>
      <c r="Y1949">
        <v>1915</v>
      </c>
      <c r="Z1949" s="259" t="s">
        <v>630</v>
      </c>
      <c r="AA1949">
        <v>100</v>
      </c>
      <c r="AB1949">
        <v>5005</v>
      </c>
      <c r="AC1949">
        <v>45931</v>
      </c>
      <c r="AD1949">
        <v>0</v>
      </c>
      <c r="AE1949">
        <v>5400</v>
      </c>
      <c r="AF1949">
        <v>5400</v>
      </c>
      <c r="AG1949">
        <v>0</v>
      </c>
      <c r="AH1949">
        <v>395</v>
      </c>
    </row>
    <row r="1950" spans="2:34" x14ac:dyDescent="0.35">
      <c r="B1950" t="s">
        <v>565</v>
      </c>
      <c r="C1950">
        <v>45931</v>
      </c>
      <c r="F1950" t="s">
        <v>752</v>
      </c>
      <c r="H1950">
        <v>177</v>
      </c>
      <c r="O1950" t="s">
        <v>239</v>
      </c>
      <c r="P1950" t="s">
        <v>514</v>
      </c>
      <c r="Y1950">
        <v>1916</v>
      </c>
      <c r="Z1950" s="259" t="s">
        <v>630</v>
      </c>
      <c r="AA1950">
        <v>100</v>
      </c>
      <c r="AB1950">
        <v>20020</v>
      </c>
      <c r="AC1950">
        <v>45931</v>
      </c>
      <c r="AD1950">
        <v>0</v>
      </c>
      <c r="AE1950">
        <v>17700</v>
      </c>
      <c r="AF1950">
        <v>17700</v>
      </c>
      <c r="AG1950">
        <v>0</v>
      </c>
      <c r="AH1950">
        <v>-2320</v>
      </c>
    </row>
    <row r="1951" spans="2:34" x14ac:dyDescent="0.35">
      <c r="B1951" t="s">
        <v>565</v>
      </c>
      <c r="C1951">
        <v>45931</v>
      </c>
      <c r="F1951" t="s">
        <v>754</v>
      </c>
      <c r="H1951">
        <v>82</v>
      </c>
      <c r="O1951" t="s">
        <v>239</v>
      </c>
      <c r="P1951" t="s">
        <v>514</v>
      </c>
      <c r="Y1951">
        <v>1917</v>
      </c>
      <c r="Z1951" s="259" t="s">
        <v>630</v>
      </c>
      <c r="AA1951">
        <v>50</v>
      </c>
      <c r="AB1951">
        <v>4104</v>
      </c>
      <c r="AC1951">
        <v>45931</v>
      </c>
      <c r="AD1951">
        <v>0</v>
      </c>
      <c r="AE1951">
        <v>4100</v>
      </c>
      <c r="AF1951">
        <v>4100</v>
      </c>
      <c r="AG1951">
        <v>0</v>
      </c>
      <c r="AH1951">
        <v>-4</v>
      </c>
    </row>
    <row r="1952" spans="2:34" x14ac:dyDescent="0.35">
      <c r="B1952" t="s">
        <v>565</v>
      </c>
      <c r="C1952">
        <v>45932</v>
      </c>
      <c r="F1952" t="s">
        <v>749</v>
      </c>
      <c r="H1952">
        <v>53.9</v>
      </c>
      <c r="O1952" t="s">
        <v>239</v>
      </c>
      <c r="P1952" t="s">
        <v>514</v>
      </c>
      <c r="Y1952">
        <v>1918</v>
      </c>
      <c r="Z1952" s="259" t="s">
        <v>630</v>
      </c>
      <c r="AA1952">
        <v>100</v>
      </c>
      <c r="AB1952">
        <v>5005</v>
      </c>
      <c r="AC1952">
        <v>45932</v>
      </c>
      <c r="AD1952">
        <v>0</v>
      </c>
      <c r="AE1952">
        <v>5390</v>
      </c>
      <c r="AF1952">
        <v>5390</v>
      </c>
      <c r="AG1952">
        <v>0</v>
      </c>
      <c r="AH1952">
        <v>385</v>
      </c>
    </row>
    <row r="1953" spans="2:34" x14ac:dyDescent="0.35">
      <c r="B1953" t="s">
        <v>565</v>
      </c>
      <c r="C1953">
        <v>45932</v>
      </c>
      <c r="F1953" t="s">
        <v>752</v>
      </c>
      <c r="H1953">
        <v>177.13</v>
      </c>
      <c r="O1953" t="s">
        <v>239</v>
      </c>
      <c r="P1953" t="s">
        <v>514</v>
      </c>
      <c r="Y1953">
        <v>1919</v>
      </c>
      <c r="Z1953" s="259" t="s">
        <v>630</v>
      </c>
      <c r="AA1953">
        <v>100</v>
      </c>
      <c r="AB1953">
        <v>20020</v>
      </c>
      <c r="AC1953">
        <v>45932</v>
      </c>
      <c r="AD1953">
        <v>0</v>
      </c>
      <c r="AE1953">
        <v>17713</v>
      </c>
      <c r="AF1953">
        <v>17713</v>
      </c>
      <c r="AG1953">
        <v>0</v>
      </c>
      <c r="AH1953">
        <v>-2307</v>
      </c>
    </row>
    <row r="1954" spans="2:34" x14ac:dyDescent="0.35">
      <c r="B1954" t="s">
        <v>565</v>
      </c>
      <c r="C1954">
        <v>45932</v>
      </c>
      <c r="F1954" t="s">
        <v>754</v>
      </c>
      <c r="H1954">
        <v>81.83</v>
      </c>
      <c r="O1954" t="s">
        <v>239</v>
      </c>
      <c r="P1954" t="s">
        <v>514</v>
      </c>
      <c r="Y1954">
        <v>1920</v>
      </c>
      <c r="Z1954" s="259" t="s">
        <v>630</v>
      </c>
      <c r="AA1954">
        <v>50</v>
      </c>
      <c r="AB1954">
        <v>4104</v>
      </c>
      <c r="AC1954">
        <v>45932</v>
      </c>
      <c r="AD1954">
        <v>0</v>
      </c>
      <c r="AE1954">
        <v>4091.5</v>
      </c>
      <c r="AF1954">
        <v>4091.5</v>
      </c>
      <c r="AG1954">
        <v>0</v>
      </c>
      <c r="AH1954">
        <v>-12.5</v>
      </c>
    </row>
    <row r="1955" spans="2:34" x14ac:dyDescent="0.35">
      <c r="B1955" t="s">
        <v>565</v>
      </c>
      <c r="C1955">
        <v>45933</v>
      </c>
      <c r="F1955" t="s">
        <v>749</v>
      </c>
      <c r="H1955">
        <v>53.8</v>
      </c>
      <c r="O1955" t="s">
        <v>239</v>
      </c>
      <c r="P1955" t="s">
        <v>514</v>
      </c>
      <c r="Y1955">
        <v>1921</v>
      </c>
      <c r="Z1955" s="259" t="s">
        <v>630</v>
      </c>
      <c r="AA1955">
        <v>100</v>
      </c>
      <c r="AB1955">
        <v>5005</v>
      </c>
      <c r="AC1955">
        <v>45933</v>
      </c>
      <c r="AD1955">
        <v>0</v>
      </c>
      <c r="AE1955">
        <v>5380</v>
      </c>
      <c r="AF1955">
        <v>5380</v>
      </c>
      <c r="AG1955">
        <v>0</v>
      </c>
      <c r="AH1955">
        <v>375</v>
      </c>
    </row>
    <row r="1956" spans="2:34" x14ac:dyDescent="0.35">
      <c r="B1956" t="s">
        <v>565</v>
      </c>
      <c r="C1956">
        <v>45933</v>
      </c>
      <c r="F1956" t="s">
        <v>752</v>
      </c>
      <c r="H1956">
        <v>177.27</v>
      </c>
      <c r="O1956" t="s">
        <v>239</v>
      </c>
      <c r="P1956" t="s">
        <v>514</v>
      </c>
      <c r="Y1956">
        <v>1922</v>
      </c>
      <c r="Z1956" s="259" t="s">
        <v>630</v>
      </c>
      <c r="AA1956">
        <v>100</v>
      </c>
      <c r="AB1956">
        <v>20020</v>
      </c>
      <c r="AC1956">
        <v>45933</v>
      </c>
      <c r="AD1956">
        <v>0</v>
      </c>
      <c r="AE1956">
        <v>17727</v>
      </c>
      <c r="AF1956">
        <v>17727</v>
      </c>
      <c r="AG1956">
        <v>0</v>
      </c>
      <c r="AH1956">
        <v>-2293</v>
      </c>
    </row>
    <row r="1957" spans="2:34" x14ac:dyDescent="0.35">
      <c r="B1957" t="s">
        <v>565</v>
      </c>
      <c r="C1957">
        <v>45933</v>
      </c>
      <c r="F1957" t="s">
        <v>754</v>
      </c>
      <c r="H1957">
        <v>81.67</v>
      </c>
      <c r="O1957" t="s">
        <v>239</v>
      </c>
      <c r="P1957" t="s">
        <v>514</v>
      </c>
      <c r="Y1957">
        <v>1923</v>
      </c>
      <c r="Z1957" s="259" t="s">
        <v>630</v>
      </c>
      <c r="AA1957">
        <v>50</v>
      </c>
      <c r="AB1957">
        <v>4104</v>
      </c>
      <c r="AC1957">
        <v>45933</v>
      </c>
      <c r="AD1957">
        <v>0</v>
      </c>
      <c r="AE1957">
        <v>4083.5</v>
      </c>
      <c r="AF1957">
        <v>4083.5</v>
      </c>
      <c r="AG1957">
        <v>0</v>
      </c>
      <c r="AH1957">
        <v>-20.5</v>
      </c>
    </row>
    <row r="1958" spans="2:34" x14ac:dyDescent="0.35">
      <c r="B1958" t="s">
        <v>565</v>
      </c>
      <c r="C1958">
        <v>45934</v>
      </c>
      <c r="F1958" t="s">
        <v>749</v>
      </c>
      <c r="H1958">
        <v>53.8</v>
      </c>
      <c r="O1958" t="s">
        <v>239</v>
      </c>
      <c r="P1958" t="s">
        <v>514</v>
      </c>
      <c r="Y1958">
        <v>1924</v>
      </c>
      <c r="Z1958" s="259" t="s">
        <v>630</v>
      </c>
      <c r="AA1958">
        <v>100</v>
      </c>
      <c r="AB1958">
        <v>5005</v>
      </c>
      <c r="AC1958">
        <v>45933</v>
      </c>
      <c r="AD1958">
        <v>1</v>
      </c>
      <c r="AE1958">
        <v>5380</v>
      </c>
      <c r="AF1958">
        <v>5380</v>
      </c>
      <c r="AG1958">
        <v>0</v>
      </c>
      <c r="AH1958">
        <v>375</v>
      </c>
    </row>
    <row r="1959" spans="2:34" x14ac:dyDescent="0.35">
      <c r="B1959" t="s">
        <v>565</v>
      </c>
      <c r="C1959">
        <v>45934</v>
      </c>
      <c r="F1959" t="s">
        <v>752</v>
      </c>
      <c r="H1959">
        <v>177.27</v>
      </c>
      <c r="O1959" t="s">
        <v>239</v>
      </c>
      <c r="P1959" t="s">
        <v>514</v>
      </c>
      <c r="Y1959">
        <v>1925</v>
      </c>
      <c r="Z1959" s="259" t="s">
        <v>630</v>
      </c>
      <c r="AA1959">
        <v>100</v>
      </c>
      <c r="AB1959">
        <v>20020</v>
      </c>
      <c r="AC1959">
        <v>45933</v>
      </c>
      <c r="AD1959">
        <v>1</v>
      </c>
      <c r="AE1959">
        <v>17727</v>
      </c>
      <c r="AF1959">
        <v>17727</v>
      </c>
      <c r="AG1959">
        <v>0</v>
      </c>
      <c r="AH1959">
        <v>-2293</v>
      </c>
    </row>
    <row r="1960" spans="2:34" x14ac:dyDescent="0.35">
      <c r="B1960" t="s">
        <v>565</v>
      </c>
      <c r="C1960">
        <v>45934</v>
      </c>
      <c r="F1960" t="s">
        <v>754</v>
      </c>
      <c r="H1960">
        <v>81.67</v>
      </c>
      <c r="O1960" t="s">
        <v>239</v>
      </c>
      <c r="P1960" t="s">
        <v>514</v>
      </c>
      <c r="Y1960">
        <v>1926</v>
      </c>
      <c r="Z1960" s="259" t="s">
        <v>630</v>
      </c>
      <c r="AA1960">
        <v>50</v>
      </c>
      <c r="AB1960">
        <v>4104</v>
      </c>
      <c r="AC1960">
        <v>45933</v>
      </c>
      <c r="AD1960">
        <v>1</v>
      </c>
      <c r="AE1960">
        <v>4083.5</v>
      </c>
      <c r="AF1960">
        <v>4083.5</v>
      </c>
      <c r="AG1960">
        <v>0</v>
      </c>
      <c r="AH1960">
        <v>-20.5</v>
      </c>
    </row>
    <row r="1961" spans="2:34" x14ac:dyDescent="0.35">
      <c r="B1961" t="s">
        <v>565</v>
      </c>
      <c r="C1961">
        <v>45935</v>
      </c>
      <c r="F1961" t="s">
        <v>749</v>
      </c>
      <c r="H1961">
        <v>53.8</v>
      </c>
      <c r="O1961" t="s">
        <v>239</v>
      </c>
      <c r="P1961" t="s">
        <v>514</v>
      </c>
      <c r="Y1961">
        <v>1927</v>
      </c>
      <c r="Z1961" s="259" t="s">
        <v>630</v>
      </c>
      <c r="AA1961">
        <v>100</v>
      </c>
      <c r="AB1961">
        <v>5005</v>
      </c>
      <c r="AC1961">
        <v>45933</v>
      </c>
      <c r="AD1961">
        <v>2</v>
      </c>
      <c r="AE1961">
        <v>5380</v>
      </c>
      <c r="AF1961">
        <v>5380</v>
      </c>
      <c r="AG1961">
        <v>0</v>
      </c>
      <c r="AH1961">
        <v>375</v>
      </c>
    </row>
    <row r="1962" spans="2:34" x14ac:dyDescent="0.35">
      <c r="B1962" t="s">
        <v>565</v>
      </c>
      <c r="C1962">
        <v>45935</v>
      </c>
      <c r="F1962" t="s">
        <v>752</v>
      </c>
      <c r="H1962">
        <v>177.27</v>
      </c>
      <c r="O1962" t="s">
        <v>239</v>
      </c>
      <c r="P1962" t="s">
        <v>514</v>
      </c>
      <c r="Y1962">
        <v>1928</v>
      </c>
      <c r="Z1962" s="259" t="s">
        <v>630</v>
      </c>
      <c r="AA1962">
        <v>100</v>
      </c>
      <c r="AB1962">
        <v>20020</v>
      </c>
      <c r="AC1962">
        <v>45933</v>
      </c>
      <c r="AD1962">
        <v>2</v>
      </c>
      <c r="AE1962">
        <v>17727</v>
      </c>
      <c r="AF1962">
        <v>17727</v>
      </c>
      <c r="AG1962">
        <v>0</v>
      </c>
      <c r="AH1962">
        <v>-2293</v>
      </c>
    </row>
    <row r="1963" spans="2:34" x14ac:dyDescent="0.35">
      <c r="B1963" t="s">
        <v>565</v>
      </c>
      <c r="C1963">
        <v>45935</v>
      </c>
      <c r="F1963" t="s">
        <v>754</v>
      </c>
      <c r="H1963">
        <v>81.67</v>
      </c>
      <c r="O1963" t="s">
        <v>239</v>
      </c>
      <c r="P1963" t="s">
        <v>514</v>
      </c>
      <c r="Y1963">
        <v>1929</v>
      </c>
      <c r="Z1963" s="259" t="s">
        <v>630</v>
      </c>
      <c r="AA1963">
        <v>50</v>
      </c>
      <c r="AB1963">
        <v>4104</v>
      </c>
      <c r="AC1963">
        <v>45933</v>
      </c>
      <c r="AD1963">
        <v>2</v>
      </c>
      <c r="AE1963">
        <v>4083.5</v>
      </c>
      <c r="AF1963">
        <v>4083.5</v>
      </c>
      <c r="AG1963">
        <v>0</v>
      </c>
      <c r="AH1963">
        <v>-20.5</v>
      </c>
    </row>
    <row r="1964" spans="2:34" x14ac:dyDescent="0.35">
      <c r="B1964" t="s">
        <v>565</v>
      </c>
      <c r="C1964">
        <v>45936</v>
      </c>
      <c r="F1964" t="s">
        <v>749</v>
      </c>
      <c r="H1964">
        <v>53.5</v>
      </c>
      <c r="O1964" t="s">
        <v>239</v>
      </c>
      <c r="P1964" t="s">
        <v>514</v>
      </c>
      <c r="Y1964">
        <v>1930</v>
      </c>
      <c r="Z1964" s="259" t="s">
        <v>630</v>
      </c>
      <c r="AA1964">
        <v>100</v>
      </c>
      <c r="AB1964">
        <v>5005</v>
      </c>
      <c r="AC1964">
        <v>45936</v>
      </c>
      <c r="AD1964">
        <v>0</v>
      </c>
      <c r="AE1964">
        <v>5350</v>
      </c>
      <c r="AF1964">
        <v>5350</v>
      </c>
      <c r="AG1964">
        <v>0</v>
      </c>
      <c r="AH1964">
        <v>345</v>
      </c>
    </row>
    <row r="1965" spans="2:34" x14ac:dyDescent="0.35">
      <c r="B1965" t="s">
        <v>565</v>
      </c>
      <c r="C1965">
        <v>45936</v>
      </c>
      <c r="F1965" t="s">
        <v>752</v>
      </c>
      <c r="H1965">
        <v>177.67</v>
      </c>
      <c r="O1965" t="s">
        <v>239</v>
      </c>
      <c r="P1965" t="s">
        <v>514</v>
      </c>
      <c r="Y1965">
        <v>1931</v>
      </c>
      <c r="Z1965" s="259" t="s">
        <v>630</v>
      </c>
      <c r="AA1965">
        <v>100</v>
      </c>
      <c r="AB1965">
        <v>20020</v>
      </c>
      <c r="AC1965">
        <v>45936</v>
      </c>
      <c r="AD1965">
        <v>0</v>
      </c>
      <c r="AE1965">
        <v>17767</v>
      </c>
      <c r="AF1965">
        <v>17767</v>
      </c>
      <c r="AG1965">
        <v>0</v>
      </c>
      <c r="AH1965">
        <v>-2253</v>
      </c>
    </row>
    <row r="1966" spans="2:34" x14ac:dyDescent="0.35">
      <c r="B1966" t="s">
        <v>565</v>
      </c>
      <c r="C1966">
        <v>45936</v>
      </c>
      <c r="F1966" t="s">
        <v>754</v>
      </c>
      <c r="H1966">
        <v>81.17</v>
      </c>
      <c r="O1966" t="s">
        <v>239</v>
      </c>
      <c r="P1966" t="s">
        <v>514</v>
      </c>
      <c r="Y1966">
        <v>1932</v>
      </c>
      <c r="Z1966" s="259" t="s">
        <v>630</v>
      </c>
      <c r="AA1966">
        <v>50</v>
      </c>
      <c r="AB1966">
        <v>4104</v>
      </c>
      <c r="AC1966">
        <v>45936</v>
      </c>
      <c r="AD1966">
        <v>0</v>
      </c>
      <c r="AE1966">
        <v>4058.5</v>
      </c>
      <c r="AF1966">
        <v>4058.5</v>
      </c>
      <c r="AG1966">
        <v>0</v>
      </c>
      <c r="AH1966">
        <v>-45.5</v>
      </c>
    </row>
    <row r="1967" spans="2:34" x14ac:dyDescent="0.35">
      <c r="B1967" t="s">
        <v>565</v>
      </c>
      <c r="C1967">
        <v>45937</v>
      </c>
      <c r="F1967" t="s">
        <v>749</v>
      </c>
      <c r="H1967">
        <v>53.4</v>
      </c>
      <c r="O1967" t="s">
        <v>239</v>
      </c>
      <c r="P1967" t="s">
        <v>514</v>
      </c>
      <c r="Y1967">
        <v>1933</v>
      </c>
      <c r="Z1967" s="259" t="s">
        <v>630</v>
      </c>
      <c r="AA1967">
        <v>100</v>
      </c>
      <c r="AB1967">
        <v>5005</v>
      </c>
      <c r="AC1967">
        <v>45937</v>
      </c>
      <c r="AD1967">
        <v>0</v>
      </c>
      <c r="AE1967">
        <v>5340</v>
      </c>
      <c r="AF1967">
        <v>5340</v>
      </c>
      <c r="AG1967">
        <v>0</v>
      </c>
      <c r="AH1967">
        <v>335</v>
      </c>
    </row>
    <row r="1968" spans="2:34" x14ac:dyDescent="0.35">
      <c r="B1968" t="s">
        <v>565</v>
      </c>
      <c r="C1968">
        <v>45937</v>
      </c>
      <c r="F1968" t="s">
        <v>752</v>
      </c>
      <c r="H1968">
        <v>177.8</v>
      </c>
      <c r="O1968" t="s">
        <v>239</v>
      </c>
      <c r="P1968" t="s">
        <v>514</v>
      </c>
      <c r="Y1968">
        <v>1934</v>
      </c>
      <c r="Z1968" s="259" t="s">
        <v>630</v>
      </c>
      <c r="AA1968">
        <v>100</v>
      </c>
      <c r="AB1968">
        <v>20020</v>
      </c>
      <c r="AC1968">
        <v>45937</v>
      </c>
      <c r="AD1968">
        <v>0</v>
      </c>
      <c r="AE1968">
        <v>17780</v>
      </c>
      <c r="AF1968">
        <v>17780</v>
      </c>
      <c r="AG1968">
        <v>0</v>
      </c>
      <c r="AH1968">
        <v>-2240</v>
      </c>
    </row>
    <row r="1969" spans="2:34" x14ac:dyDescent="0.35">
      <c r="B1969" t="s">
        <v>565</v>
      </c>
      <c r="C1969">
        <v>45937</v>
      </c>
      <c r="F1969" t="s">
        <v>754</v>
      </c>
      <c r="H1969">
        <v>81</v>
      </c>
      <c r="O1969" t="s">
        <v>239</v>
      </c>
      <c r="P1969" t="s">
        <v>514</v>
      </c>
      <c r="Y1969">
        <v>1935</v>
      </c>
      <c r="Z1969" s="259" t="s">
        <v>630</v>
      </c>
      <c r="AA1969">
        <v>50</v>
      </c>
      <c r="AB1969">
        <v>4104</v>
      </c>
      <c r="AC1969">
        <v>45937</v>
      </c>
      <c r="AD1969">
        <v>0</v>
      </c>
      <c r="AE1969">
        <v>4050</v>
      </c>
      <c r="AF1969">
        <v>4050</v>
      </c>
      <c r="AG1969">
        <v>0</v>
      </c>
      <c r="AH1969">
        <v>-54</v>
      </c>
    </row>
    <row r="1970" spans="2:34" x14ac:dyDescent="0.35">
      <c r="B1970" t="s">
        <v>565</v>
      </c>
      <c r="C1970">
        <v>45938</v>
      </c>
      <c r="F1970" t="s">
        <v>749</v>
      </c>
      <c r="H1970">
        <v>53.3</v>
      </c>
      <c r="O1970" t="s">
        <v>239</v>
      </c>
      <c r="P1970" t="s">
        <v>514</v>
      </c>
      <c r="Y1970">
        <v>1936</v>
      </c>
      <c r="Z1970" s="259" t="s">
        <v>630</v>
      </c>
      <c r="AA1970">
        <v>100</v>
      </c>
      <c r="AB1970">
        <v>5005</v>
      </c>
      <c r="AC1970">
        <v>45938</v>
      </c>
      <c r="AD1970">
        <v>0</v>
      </c>
      <c r="AE1970">
        <v>5330</v>
      </c>
      <c r="AF1970">
        <v>5330</v>
      </c>
      <c r="AG1970">
        <v>0</v>
      </c>
      <c r="AH1970">
        <v>325</v>
      </c>
    </row>
    <row r="1971" spans="2:34" x14ac:dyDescent="0.35">
      <c r="B1971" t="s">
        <v>565</v>
      </c>
      <c r="C1971">
        <v>45938</v>
      </c>
      <c r="F1971" t="s">
        <v>752</v>
      </c>
      <c r="H1971">
        <v>177.93</v>
      </c>
      <c r="O1971" t="s">
        <v>239</v>
      </c>
      <c r="P1971" t="s">
        <v>514</v>
      </c>
      <c r="Y1971">
        <v>1937</v>
      </c>
      <c r="Z1971" s="259" t="s">
        <v>630</v>
      </c>
      <c r="AA1971">
        <v>100</v>
      </c>
      <c r="AB1971">
        <v>20020</v>
      </c>
      <c r="AC1971">
        <v>45938</v>
      </c>
      <c r="AD1971">
        <v>0</v>
      </c>
      <c r="AE1971">
        <v>17793</v>
      </c>
      <c r="AF1971">
        <v>17793</v>
      </c>
      <c r="AG1971">
        <v>0</v>
      </c>
      <c r="AH1971">
        <v>-2227</v>
      </c>
    </row>
    <row r="1972" spans="2:34" x14ac:dyDescent="0.35">
      <c r="B1972" t="s">
        <v>565</v>
      </c>
      <c r="C1972">
        <v>45938</v>
      </c>
      <c r="F1972" t="s">
        <v>754</v>
      </c>
      <c r="H1972">
        <v>80.83</v>
      </c>
      <c r="O1972" t="s">
        <v>239</v>
      </c>
      <c r="P1972" t="s">
        <v>514</v>
      </c>
      <c r="Y1972">
        <v>1938</v>
      </c>
      <c r="Z1972" s="259" t="s">
        <v>630</v>
      </c>
      <c r="AA1972">
        <v>50</v>
      </c>
      <c r="AB1972">
        <v>4104</v>
      </c>
      <c r="AC1972">
        <v>45938</v>
      </c>
      <c r="AD1972">
        <v>0</v>
      </c>
      <c r="AE1972">
        <v>4041.5</v>
      </c>
      <c r="AF1972">
        <v>4041.5</v>
      </c>
      <c r="AG1972">
        <v>0</v>
      </c>
      <c r="AH1972">
        <v>-62.5</v>
      </c>
    </row>
    <row r="1973" spans="2:34" x14ac:dyDescent="0.35">
      <c r="B1973" t="s">
        <v>565</v>
      </c>
      <c r="C1973">
        <v>45939</v>
      </c>
      <c r="F1973" t="s">
        <v>749</v>
      </c>
      <c r="H1973">
        <v>53.2</v>
      </c>
      <c r="O1973" t="s">
        <v>239</v>
      </c>
      <c r="P1973" t="s">
        <v>514</v>
      </c>
      <c r="Y1973">
        <v>1939</v>
      </c>
      <c r="Z1973" s="259" t="s">
        <v>630</v>
      </c>
      <c r="AA1973">
        <v>100</v>
      </c>
      <c r="AB1973">
        <v>5005</v>
      </c>
      <c r="AC1973">
        <v>45939</v>
      </c>
      <c r="AD1973">
        <v>0</v>
      </c>
      <c r="AE1973">
        <v>5320</v>
      </c>
      <c r="AF1973">
        <v>5320</v>
      </c>
      <c r="AG1973">
        <v>0</v>
      </c>
      <c r="AH1973">
        <v>315</v>
      </c>
    </row>
    <row r="1974" spans="2:34" x14ac:dyDescent="0.35">
      <c r="B1974" t="s">
        <v>565</v>
      </c>
      <c r="C1974">
        <v>45939</v>
      </c>
      <c r="F1974" t="s">
        <v>752</v>
      </c>
      <c r="H1974">
        <v>178.07</v>
      </c>
      <c r="O1974" t="s">
        <v>239</v>
      </c>
      <c r="P1974" t="s">
        <v>514</v>
      </c>
      <c r="Y1974">
        <v>1940</v>
      </c>
      <c r="Z1974" s="259" t="s">
        <v>630</v>
      </c>
      <c r="AA1974">
        <v>100</v>
      </c>
      <c r="AB1974">
        <v>20020</v>
      </c>
      <c r="AC1974">
        <v>45939</v>
      </c>
      <c r="AD1974">
        <v>0</v>
      </c>
      <c r="AE1974">
        <v>17807</v>
      </c>
      <c r="AF1974">
        <v>17807</v>
      </c>
      <c r="AG1974">
        <v>0</v>
      </c>
      <c r="AH1974">
        <v>-2213</v>
      </c>
    </row>
    <row r="1975" spans="2:34" x14ac:dyDescent="0.35">
      <c r="B1975" t="s">
        <v>565</v>
      </c>
      <c r="C1975">
        <v>45939</v>
      </c>
      <c r="F1975" t="s">
        <v>754</v>
      </c>
      <c r="H1975">
        <v>80.67</v>
      </c>
      <c r="O1975" t="s">
        <v>239</v>
      </c>
      <c r="P1975" t="s">
        <v>514</v>
      </c>
      <c r="Y1975">
        <v>1941</v>
      </c>
      <c r="Z1975" s="259" t="s">
        <v>630</v>
      </c>
      <c r="AA1975">
        <v>50</v>
      </c>
      <c r="AB1975">
        <v>4104</v>
      </c>
      <c r="AC1975">
        <v>45939</v>
      </c>
      <c r="AD1975">
        <v>0</v>
      </c>
      <c r="AE1975">
        <v>4033.5</v>
      </c>
      <c r="AF1975">
        <v>4033.5</v>
      </c>
      <c r="AG1975">
        <v>0</v>
      </c>
      <c r="AH1975">
        <v>-70.5</v>
      </c>
    </row>
    <row r="1976" spans="2:34" x14ac:dyDescent="0.35">
      <c r="B1976" t="s">
        <v>565</v>
      </c>
      <c r="C1976">
        <v>45940</v>
      </c>
      <c r="F1976" t="s">
        <v>749</v>
      </c>
      <c r="H1976">
        <v>53.1</v>
      </c>
      <c r="O1976" t="s">
        <v>239</v>
      </c>
      <c r="P1976" t="s">
        <v>514</v>
      </c>
      <c r="Y1976">
        <v>1942</v>
      </c>
      <c r="Z1976" s="259" t="s">
        <v>630</v>
      </c>
      <c r="AA1976">
        <v>100</v>
      </c>
      <c r="AB1976">
        <v>5005</v>
      </c>
      <c r="AC1976">
        <v>45940</v>
      </c>
      <c r="AD1976">
        <v>0</v>
      </c>
      <c r="AE1976">
        <v>5310</v>
      </c>
      <c r="AF1976">
        <v>5310</v>
      </c>
      <c r="AG1976">
        <v>0</v>
      </c>
      <c r="AH1976">
        <v>305</v>
      </c>
    </row>
    <row r="1977" spans="2:34" x14ac:dyDescent="0.35">
      <c r="B1977" t="s">
        <v>565</v>
      </c>
      <c r="C1977">
        <v>45940</v>
      </c>
      <c r="F1977" t="s">
        <v>752</v>
      </c>
      <c r="H1977">
        <v>178.2</v>
      </c>
      <c r="O1977" t="s">
        <v>239</v>
      </c>
      <c r="P1977" t="s">
        <v>514</v>
      </c>
      <c r="Y1977">
        <v>1943</v>
      </c>
      <c r="Z1977" s="259" t="s">
        <v>630</v>
      </c>
      <c r="AA1977">
        <v>100</v>
      </c>
      <c r="AB1977">
        <v>20020</v>
      </c>
      <c r="AC1977">
        <v>45940</v>
      </c>
      <c r="AD1977">
        <v>0</v>
      </c>
      <c r="AE1977">
        <v>17820</v>
      </c>
      <c r="AF1977">
        <v>17820</v>
      </c>
      <c r="AG1977">
        <v>0</v>
      </c>
      <c r="AH1977">
        <v>-2200</v>
      </c>
    </row>
    <row r="1978" spans="2:34" x14ac:dyDescent="0.35">
      <c r="B1978" t="s">
        <v>565</v>
      </c>
      <c r="C1978">
        <v>45940</v>
      </c>
      <c r="F1978" t="s">
        <v>754</v>
      </c>
      <c r="H1978">
        <v>80.5</v>
      </c>
      <c r="O1978" t="s">
        <v>239</v>
      </c>
      <c r="P1978" t="s">
        <v>514</v>
      </c>
      <c r="Y1978">
        <v>1944</v>
      </c>
      <c r="Z1978" s="259" t="s">
        <v>630</v>
      </c>
      <c r="AA1978">
        <v>50</v>
      </c>
      <c r="AB1978">
        <v>4104</v>
      </c>
      <c r="AC1978">
        <v>45940</v>
      </c>
      <c r="AD1978">
        <v>0</v>
      </c>
      <c r="AE1978">
        <v>4025</v>
      </c>
      <c r="AF1978">
        <v>4025</v>
      </c>
      <c r="AG1978">
        <v>0</v>
      </c>
      <c r="AH1978">
        <v>-79</v>
      </c>
    </row>
    <row r="1979" spans="2:34" x14ac:dyDescent="0.35">
      <c r="B1979" t="s">
        <v>565</v>
      </c>
      <c r="C1979">
        <v>45941</v>
      </c>
      <c r="F1979" t="s">
        <v>749</v>
      </c>
      <c r="H1979">
        <v>53.1</v>
      </c>
      <c r="O1979" t="s">
        <v>239</v>
      </c>
      <c r="P1979" t="s">
        <v>514</v>
      </c>
      <c r="Y1979">
        <v>1945</v>
      </c>
      <c r="Z1979" s="259" t="s">
        <v>630</v>
      </c>
      <c r="AA1979">
        <v>100</v>
      </c>
      <c r="AB1979">
        <v>5005</v>
      </c>
      <c r="AC1979">
        <v>45940</v>
      </c>
      <c r="AD1979">
        <v>1</v>
      </c>
      <c r="AE1979">
        <v>5310</v>
      </c>
      <c r="AF1979">
        <v>5310</v>
      </c>
      <c r="AG1979">
        <v>0</v>
      </c>
      <c r="AH1979">
        <v>305</v>
      </c>
    </row>
    <row r="1980" spans="2:34" x14ac:dyDescent="0.35">
      <c r="B1980" t="s">
        <v>565</v>
      </c>
      <c r="C1980">
        <v>45941</v>
      </c>
      <c r="F1980" t="s">
        <v>752</v>
      </c>
      <c r="H1980">
        <v>178.2</v>
      </c>
      <c r="O1980" t="s">
        <v>239</v>
      </c>
      <c r="P1980" t="s">
        <v>514</v>
      </c>
      <c r="Y1980">
        <v>1946</v>
      </c>
      <c r="Z1980" s="259" t="s">
        <v>630</v>
      </c>
      <c r="AA1980">
        <v>100</v>
      </c>
      <c r="AB1980">
        <v>20020</v>
      </c>
      <c r="AC1980">
        <v>45940</v>
      </c>
      <c r="AD1980">
        <v>1</v>
      </c>
      <c r="AE1980">
        <v>17820</v>
      </c>
      <c r="AF1980">
        <v>17820</v>
      </c>
      <c r="AG1980">
        <v>0</v>
      </c>
      <c r="AH1980">
        <v>-2200</v>
      </c>
    </row>
    <row r="1981" spans="2:34" x14ac:dyDescent="0.35">
      <c r="B1981" t="s">
        <v>565</v>
      </c>
      <c r="C1981">
        <v>45941</v>
      </c>
      <c r="F1981" t="s">
        <v>754</v>
      </c>
      <c r="H1981">
        <v>80.5</v>
      </c>
      <c r="O1981" t="s">
        <v>239</v>
      </c>
      <c r="P1981" t="s">
        <v>514</v>
      </c>
      <c r="Y1981">
        <v>1947</v>
      </c>
      <c r="Z1981" s="259" t="s">
        <v>630</v>
      </c>
      <c r="AA1981">
        <v>50</v>
      </c>
      <c r="AB1981">
        <v>4104</v>
      </c>
      <c r="AC1981">
        <v>45940</v>
      </c>
      <c r="AD1981">
        <v>1</v>
      </c>
      <c r="AE1981">
        <v>4025</v>
      </c>
      <c r="AF1981">
        <v>4025</v>
      </c>
      <c r="AG1981">
        <v>0</v>
      </c>
      <c r="AH1981">
        <v>-79</v>
      </c>
    </row>
    <row r="1982" spans="2:34" x14ac:dyDescent="0.35">
      <c r="B1982" t="s">
        <v>565</v>
      </c>
      <c r="C1982">
        <v>45942</v>
      </c>
      <c r="F1982" t="s">
        <v>749</v>
      </c>
      <c r="H1982">
        <v>53.1</v>
      </c>
      <c r="O1982" t="s">
        <v>239</v>
      </c>
      <c r="P1982" t="s">
        <v>514</v>
      </c>
      <c r="Y1982">
        <v>1948</v>
      </c>
      <c r="Z1982" s="259" t="s">
        <v>630</v>
      </c>
      <c r="AA1982">
        <v>100</v>
      </c>
      <c r="AB1982">
        <v>5005</v>
      </c>
      <c r="AC1982">
        <v>45940</v>
      </c>
      <c r="AD1982">
        <v>2</v>
      </c>
      <c r="AE1982">
        <v>5310</v>
      </c>
      <c r="AF1982">
        <v>5310</v>
      </c>
      <c r="AG1982">
        <v>0</v>
      </c>
      <c r="AH1982">
        <v>305</v>
      </c>
    </row>
    <row r="1983" spans="2:34" x14ac:dyDescent="0.35">
      <c r="B1983" t="s">
        <v>565</v>
      </c>
      <c r="C1983">
        <v>45942</v>
      </c>
      <c r="F1983" t="s">
        <v>752</v>
      </c>
      <c r="H1983">
        <v>178.2</v>
      </c>
      <c r="O1983" t="s">
        <v>239</v>
      </c>
      <c r="P1983" t="s">
        <v>514</v>
      </c>
      <c r="Y1983">
        <v>1949</v>
      </c>
      <c r="Z1983" s="259" t="s">
        <v>630</v>
      </c>
      <c r="AA1983">
        <v>100</v>
      </c>
      <c r="AB1983">
        <v>20020</v>
      </c>
      <c r="AC1983">
        <v>45940</v>
      </c>
      <c r="AD1983">
        <v>2</v>
      </c>
      <c r="AE1983">
        <v>17820</v>
      </c>
      <c r="AF1983">
        <v>17820</v>
      </c>
      <c r="AG1983">
        <v>0</v>
      </c>
      <c r="AH1983">
        <v>-2200</v>
      </c>
    </row>
    <row r="1984" spans="2:34" x14ac:dyDescent="0.35">
      <c r="B1984" t="s">
        <v>565</v>
      </c>
      <c r="C1984">
        <v>45942</v>
      </c>
      <c r="F1984" t="s">
        <v>754</v>
      </c>
      <c r="H1984">
        <v>80.5</v>
      </c>
      <c r="O1984" t="s">
        <v>239</v>
      </c>
      <c r="P1984" t="s">
        <v>514</v>
      </c>
      <c r="Y1984">
        <v>1950</v>
      </c>
      <c r="Z1984" s="259" t="s">
        <v>630</v>
      </c>
      <c r="AA1984">
        <v>50</v>
      </c>
      <c r="AB1984">
        <v>4104</v>
      </c>
      <c r="AC1984">
        <v>45940</v>
      </c>
      <c r="AD1984">
        <v>2</v>
      </c>
      <c r="AE1984">
        <v>4025</v>
      </c>
      <c r="AF1984">
        <v>4025</v>
      </c>
      <c r="AG1984">
        <v>0</v>
      </c>
      <c r="AH1984">
        <v>-79</v>
      </c>
    </row>
    <row r="1985" spans="2:34" x14ac:dyDescent="0.35">
      <c r="B1985" t="s">
        <v>565</v>
      </c>
      <c r="C1985">
        <v>45943</v>
      </c>
      <c r="F1985" t="s">
        <v>749</v>
      </c>
      <c r="H1985">
        <v>52.8</v>
      </c>
      <c r="O1985" t="s">
        <v>239</v>
      </c>
      <c r="P1985" t="s">
        <v>514</v>
      </c>
      <c r="Y1985">
        <v>1951</v>
      </c>
      <c r="Z1985" s="259" t="s">
        <v>630</v>
      </c>
      <c r="AA1985">
        <v>100</v>
      </c>
      <c r="AB1985">
        <v>5005</v>
      </c>
      <c r="AC1985">
        <v>45943</v>
      </c>
      <c r="AD1985">
        <v>0</v>
      </c>
      <c r="AE1985">
        <v>5280</v>
      </c>
      <c r="AF1985">
        <v>5280</v>
      </c>
      <c r="AG1985">
        <v>0</v>
      </c>
      <c r="AH1985">
        <v>275</v>
      </c>
    </row>
    <row r="1986" spans="2:34" x14ac:dyDescent="0.35">
      <c r="B1986" t="s">
        <v>565</v>
      </c>
      <c r="C1986">
        <v>45943</v>
      </c>
      <c r="F1986" t="s">
        <v>752</v>
      </c>
      <c r="H1986">
        <v>178.6</v>
      </c>
      <c r="O1986" t="s">
        <v>239</v>
      </c>
      <c r="P1986" t="s">
        <v>514</v>
      </c>
      <c r="Y1986">
        <v>1952</v>
      </c>
      <c r="Z1986" s="259" t="s">
        <v>630</v>
      </c>
      <c r="AA1986">
        <v>100</v>
      </c>
      <c r="AB1986">
        <v>20020</v>
      </c>
      <c r="AC1986">
        <v>45943</v>
      </c>
      <c r="AD1986">
        <v>0</v>
      </c>
      <c r="AE1986">
        <v>17860</v>
      </c>
      <c r="AF1986">
        <v>17860</v>
      </c>
      <c r="AG1986">
        <v>0</v>
      </c>
      <c r="AH1986">
        <v>-2160</v>
      </c>
    </row>
    <row r="1987" spans="2:34" x14ac:dyDescent="0.35">
      <c r="B1987" t="s">
        <v>565</v>
      </c>
      <c r="C1987">
        <v>45943</v>
      </c>
      <c r="F1987" t="s">
        <v>754</v>
      </c>
      <c r="H1987">
        <v>80</v>
      </c>
      <c r="O1987" t="s">
        <v>239</v>
      </c>
      <c r="P1987" t="s">
        <v>514</v>
      </c>
      <c r="Y1987">
        <v>1953</v>
      </c>
      <c r="Z1987" s="259" t="s">
        <v>630</v>
      </c>
      <c r="AA1987">
        <v>50</v>
      </c>
      <c r="AB1987">
        <v>4104</v>
      </c>
      <c r="AC1987">
        <v>45943</v>
      </c>
      <c r="AD1987">
        <v>0</v>
      </c>
      <c r="AE1987">
        <v>4000</v>
      </c>
      <c r="AF1987">
        <v>4000</v>
      </c>
      <c r="AG1987">
        <v>0</v>
      </c>
      <c r="AH1987">
        <v>-104</v>
      </c>
    </row>
    <row r="1988" spans="2:34" x14ac:dyDescent="0.35">
      <c r="B1988" t="s">
        <v>565</v>
      </c>
      <c r="C1988">
        <v>45944</v>
      </c>
      <c r="F1988" t="s">
        <v>749</v>
      </c>
      <c r="H1988">
        <v>52.7</v>
      </c>
      <c r="O1988" t="s">
        <v>239</v>
      </c>
      <c r="P1988" t="s">
        <v>514</v>
      </c>
      <c r="Y1988">
        <v>1954</v>
      </c>
      <c r="Z1988" s="259" t="s">
        <v>630</v>
      </c>
      <c r="AA1988">
        <v>100</v>
      </c>
      <c r="AB1988">
        <v>5005</v>
      </c>
      <c r="AC1988">
        <v>45944</v>
      </c>
      <c r="AD1988">
        <v>0</v>
      </c>
      <c r="AE1988">
        <v>5270</v>
      </c>
      <c r="AF1988">
        <v>5270</v>
      </c>
      <c r="AG1988">
        <v>0</v>
      </c>
      <c r="AH1988">
        <v>265</v>
      </c>
    </row>
    <row r="1989" spans="2:34" x14ac:dyDescent="0.35">
      <c r="B1989" t="s">
        <v>565</v>
      </c>
      <c r="C1989">
        <v>45944</v>
      </c>
      <c r="F1989" t="s">
        <v>752</v>
      </c>
      <c r="H1989">
        <v>178.73</v>
      </c>
      <c r="O1989" t="s">
        <v>239</v>
      </c>
      <c r="P1989" t="s">
        <v>514</v>
      </c>
      <c r="Y1989">
        <v>1955</v>
      </c>
      <c r="Z1989" s="259" t="s">
        <v>630</v>
      </c>
      <c r="AA1989">
        <v>100</v>
      </c>
      <c r="AB1989">
        <v>20020</v>
      </c>
      <c r="AC1989">
        <v>45944</v>
      </c>
      <c r="AD1989">
        <v>0</v>
      </c>
      <c r="AE1989">
        <v>17873</v>
      </c>
      <c r="AF1989">
        <v>17873</v>
      </c>
      <c r="AG1989">
        <v>0</v>
      </c>
      <c r="AH1989">
        <v>-2147</v>
      </c>
    </row>
    <row r="1990" spans="2:34" x14ac:dyDescent="0.35">
      <c r="B1990" t="s">
        <v>565</v>
      </c>
      <c r="C1990">
        <v>45944</v>
      </c>
      <c r="F1990" t="s">
        <v>754</v>
      </c>
      <c r="H1990">
        <v>79.83</v>
      </c>
      <c r="O1990" t="s">
        <v>239</v>
      </c>
      <c r="P1990" t="s">
        <v>514</v>
      </c>
      <c r="Y1990">
        <v>1956</v>
      </c>
      <c r="Z1990" s="259" t="s">
        <v>630</v>
      </c>
      <c r="AA1990">
        <v>50</v>
      </c>
      <c r="AB1990">
        <v>4104</v>
      </c>
      <c r="AC1990">
        <v>45944</v>
      </c>
      <c r="AD1990">
        <v>0</v>
      </c>
      <c r="AE1990">
        <v>3991.5</v>
      </c>
      <c r="AF1990">
        <v>3991.5</v>
      </c>
      <c r="AG1990">
        <v>0</v>
      </c>
      <c r="AH1990">
        <v>-112.5</v>
      </c>
    </row>
    <row r="1991" spans="2:34" x14ac:dyDescent="0.35">
      <c r="B1991" t="s">
        <v>565</v>
      </c>
      <c r="C1991">
        <v>45945</v>
      </c>
      <c r="F1991" t="s">
        <v>749</v>
      </c>
      <c r="H1991">
        <v>52.6</v>
      </c>
      <c r="O1991" t="s">
        <v>239</v>
      </c>
      <c r="P1991" t="s">
        <v>514</v>
      </c>
      <c r="Y1991">
        <v>1957</v>
      </c>
      <c r="Z1991" s="259" t="s">
        <v>630</v>
      </c>
      <c r="AA1991">
        <v>100</v>
      </c>
      <c r="AB1991">
        <v>5005</v>
      </c>
      <c r="AC1991">
        <v>45945</v>
      </c>
      <c r="AD1991">
        <v>0</v>
      </c>
      <c r="AE1991">
        <v>5260</v>
      </c>
      <c r="AF1991">
        <v>5260</v>
      </c>
      <c r="AG1991">
        <v>0</v>
      </c>
      <c r="AH1991">
        <v>255</v>
      </c>
    </row>
    <row r="1992" spans="2:34" x14ac:dyDescent="0.35">
      <c r="B1992" t="s">
        <v>565</v>
      </c>
      <c r="C1992">
        <v>45945</v>
      </c>
      <c r="F1992" t="s">
        <v>752</v>
      </c>
      <c r="H1992">
        <v>178.87</v>
      </c>
      <c r="O1992" t="s">
        <v>239</v>
      </c>
      <c r="P1992" t="s">
        <v>514</v>
      </c>
      <c r="Y1992">
        <v>1958</v>
      </c>
      <c r="Z1992" s="259" t="s">
        <v>630</v>
      </c>
      <c r="AA1992">
        <v>100</v>
      </c>
      <c r="AB1992">
        <v>20020</v>
      </c>
      <c r="AC1992">
        <v>45945</v>
      </c>
      <c r="AD1992">
        <v>0</v>
      </c>
      <c r="AE1992">
        <v>17887</v>
      </c>
      <c r="AF1992">
        <v>17887</v>
      </c>
      <c r="AG1992">
        <v>0</v>
      </c>
      <c r="AH1992">
        <v>-2133</v>
      </c>
    </row>
    <row r="1993" spans="2:34" x14ac:dyDescent="0.35">
      <c r="B1993" t="s">
        <v>565</v>
      </c>
      <c r="C1993">
        <v>45945</v>
      </c>
      <c r="F1993" t="s">
        <v>754</v>
      </c>
      <c r="H1993">
        <v>79.67</v>
      </c>
      <c r="O1993" t="s">
        <v>239</v>
      </c>
      <c r="P1993" t="s">
        <v>514</v>
      </c>
      <c r="Y1993">
        <v>1959</v>
      </c>
      <c r="Z1993" s="259" t="s">
        <v>630</v>
      </c>
      <c r="AA1993">
        <v>50</v>
      </c>
      <c r="AB1993">
        <v>4104</v>
      </c>
      <c r="AC1993">
        <v>45945</v>
      </c>
      <c r="AD1993">
        <v>0</v>
      </c>
      <c r="AE1993">
        <v>3983.5</v>
      </c>
      <c r="AF1993">
        <v>3983.5</v>
      </c>
      <c r="AG1993">
        <v>0</v>
      </c>
      <c r="AH1993">
        <v>-120.5</v>
      </c>
    </row>
    <row r="1994" spans="2:34" x14ac:dyDescent="0.35">
      <c r="B1994" t="s">
        <v>565</v>
      </c>
      <c r="C1994">
        <v>45946</v>
      </c>
      <c r="F1994" t="s">
        <v>749</v>
      </c>
      <c r="H1994">
        <v>52.5</v>
      </c>
      <c r="O1994" t="s">
        <v>239</v>
      </c>
      <c r="P1994" t="s">
        <v>514</v>
      </c>
      <c r="Y1994">
        <v>1960</v>
      </c>
      <c r="Z1994" s="259" t="s">
        <v>630</v>
      </c>
      <c r="AA1994">
        <v>100</v>
      </c>
      <c r="AB1994">
        <v>5005</v>
      </c>
      <c r="AC1994">
        <v>45946</v>
      </c>
      <c r="AD1994">
        <v>0</v>
      </c>
      <c r="AE1994">
        <v>5250</v>
      </c>
      <c r="AF1994">
        <v>5250</v>
      </c>
      <c r="AG1994">
        <v>0</v>
      </c>
      <c r="AH1994">
        <v>245</v>
      </c>
    </row>
    <row r="1995" spans="2:34" x14ac:dyDescent="0.35">
      <c r="B1995" t="s">
        <v>565</v>
      </c>
      <c r="C1995">
        <v>45946</v>
      </c>
      <c r="F1995" t="s">
        <v>752</v>
      </c>
      <c r="H1995">
        <v>179</v>
      </c>
      <c r="O1995" t="s">
        <v>239</v>
      </c>
      <c r="P1995" t="s">
        <v>514</v>
      </c>
      <c r="Y1995">
        <v>1961</v>
      </c>
      <c r="Z1995" s="259" t="s">
        <v>630</v>
      </c>
      <c r="AA1995">
        <v>100</v>
      </c>
      <c r="AB1995">
        <v>20020</v>
      </c>
      <c r="AC1995">
        <v>45946</v>
      </c>
      <c r="AD1995">
        <v>0</v>
      </c>
      <c r="AE1995">
        <v>17900</v>
      </c>
      <c r="AF1995">
        <v>17900</v>
      </c>
      <c r="AG1995">
        <v>0</v>
      </c>
      <c r="AH1995">
        <v>-2120</v>
      </c>
    </row>
    <row r="1996" spans="2:34" x14ac:dyDescent="0.35">
      <c r="B1996" t="s">
        <v>565</v>
      </c>
      <c r="C1996">
        <v>45946</v>
      </c>
      <c r="F1996" t="s">
        <v>754</v>
      </c>
      <c r="H1996">
        <v>79.5</v>
      </c>
      <c r="O1996" t="s">
        <v>239</v>
      </c>
      <c r="P1996" t="s">
        <v>514</v>
      </c>
      <c r="Y1996">
        <v>1962</v>
      </c>
      <c r="Z1996" s="259" t="s">
        <v>630</v>
      </c>
      <c r="AA1996">
        <v>50</v>
      </c>
      <c r="AB1996">
        <v>4104</v>
      </c>
      <c r="AC1996">
        <v>45946</v>
      </c>
      <c r="AD1996">
        <v>0</v>
      </c>
      <c r="AE1996">
        <v>3975</v>
      </c>
      <c r="AF1996">
        <v>3975</v>
      </c>
      <c r="AG1996">
        <v>0</v>
      </c>
      <c r="AH1996">
        <v>-129</v>
      </c>
    </row>
    <row r="1997" spans="2:34" x14ac:dyDescent="0.35">
      <c r="B1997" t="s">
        <v>565</v>
      </c>
      <c r="C1997">
        <v>45947</v>
      </c>
      <c r="F1997" t="s">
        <v>749</v>
      </c>
      <c r="H1997">
        <v>52.4</v>
      </c>
      <c r="O1997" t="s">
        <v>239</v>
      </c>
      <c r="P1997" t="s">
        <v>514</v>
      </c>
      <c r="Y1997">
        <v>1963</v>
      </c>
      <c r="Z1997" s="259" t="s">
        <v>630</v>
      </c>
      <c r="AA1997">
        <v>100</v>
      </c>
      <c r="AB1997">
        <v>5005</v>
      </c>
      <c r="AC1997">
        <v>45947</v>
      </c>
      <c r="AD1997">
        <v>0</v>
      </c>
      <c r="AE1997">
        <v>5240</v>
      </c>
      <c r="AF1997">
        <v>5240</v>
      </c>
      <c r="AG1997">
        <v>0</v>
      </c>
      <c r="AH1997">
        <v>235</v>
      </c>
    </row>
    <row r="1998" spans="2:34" x14ac:dyDescent="0.35">
      <c r="B1998" t="s">
        <v>565</v>
      </c>
      <c r="C1998">
        <v>45947</v>
      </c>
      <c r="F1998" t="s">
        <v>752</v>
      </c>
      <c r="H1998">
        <v>179.13</v>
      </c>
      <c r="O1998" t="s">
        <v>239</v>
      </c>
      <c r="P1998" t="s">
        <v>514</v>
      </c>
      <c r="Y1998">
        <v>1964</v>
      </c>
      <c r="Z1998" s="259" t="s">
        <v>630</v>
      </c>
      <c r="AA1998">
        <v>100</v>
      </c>
      <c r="AB1998">
        <v>20020</v>
      </c>
      <c r="AC1998">
        <v>45947</v>
      </c>
      <c r="AD1998">
        <v>0</v>
      </c>
      <c r="AE1998">
        <v>17913</v>
      </c>
      <c r="AF1998">
        <v>17913</v>
      </c>
      <c r="AG1998">
        <v>0</v>
      </c>
      <c r="AH1998">
        <v>-2107</v>
      </c>
    </row>
    <row r="1999" spans="2:34" x14ac:dyDescent="0.35">
      <c r="B1999" t="s">
        <v>565</v>
      </c>
      <c r="C1999">
        <v>45947</v>
      </c>
      <c r="F1999" t="s">
        <v>754</v>
      </c>
      <c r="H1999">
        <v>79.33</v>
      </c>
      <c r="O1999" t="s">
        <v>239</v>
      </c>
      <c r="P1999" t="s">
        <v>514</v>
      </c>
      <c r="Y1999">
        <v>1965</v>
      </c>
      <c r="Z1999" s="259" t="s">
        <v>630</v>
      </c>
      <c r="AA1999">
        <v>50</v>
      </c>
      <c r="AB1999">
        <v>4104</v>
      </c>
      <c r="AC1999">
        <v>45947</v>
      </c>
      <c r="AD1999">
        <v>0</v>
      </c>
      <c r="AE1999">
        <v>3966.5</v>
      </c>
      <c r="AF1999">
        <v>3966.5</v>
      </c>
      <c r="AG1999">
        <v>0</v>
      </c>
      <c r="AH1999">
        <v>-137.5</v>
      </c>
    </row>
    <row r="2000" spans="2:34" x14ac:dyDescent="0.35">
      <c r="B2000" t="s">
        <v>565</v>
      </c>
      <c r="C2000">
        <v>45948</v>
      </c>
      <c r="F2000" t="s">
        <v>749</v>
      </c>
      <c r="H2000">
        <v>52.4</v>
      </c>
      <c r="O2000" t="s">
        <v>239</v>
      </c>
      <c r="P2000" t="s">
        <v>514</v>
      </c>
      <c r="Y2000">
        <v>1966</v>
      </c>
      <c r="Z2000" s="259" t="s">
        <v>630</v>
      </c>
      <c r="AA2000">
        <v>100</v>
      </c>
      <c r="AB2000">
        <v>5005</v>
      </c>
      <c r="AC2000">
        <v>45947</v>
      </c>
      <c r="AD2000">
        <v>1</v>
      </c>
      <c r="AE2000">
        <v>5240</v>
      </c>
      <c r="AF2000">
        <v>5240</v>
      </c>
      <c r="AG2000">
        <v>0</v>
      </c>
      <c r="AH2000">
        <v>235</v>
      </c>
    </row>
    <row r="2001" spans="2:34" x14ac:dyDescent="0.35">
      <c r="B2001" t="s">
        <v>565</v>
      </c>
      <c r="C2001">
        <v>45948</v>
      </c>
      <c r="F2001" t="s">
        <v>752</v>
      </c>
      <c r="H2001">
        <v>179.13</v>
      </c>
      <c r="O2001" t="s">
        <v>239</v>
      </c>
      <c r="P2001" t="s">
        <v>514</v>
      </c>
      <c r="Y2001">
        <v>1967</v>
      </c>
      <c r="Z2001" s="259" t="s">
        <v>630</v>
      </c>
      <c r="AA2001">
        <v>100</v>
      </c>
      <c r="AB2001">
        <v>20020</v>
      </c>
      <c r="AC2001">
        <v>45947</v>
      </c>
      <c r="AD2001">
        <v>1</v>
      </c>
      <c r="AE2001">
        <v>17913</v>
      </c>
      <c r="AF2001">
        <v>17913</v>
      </c>
      <c r="AG2001">
        <v>0</v>
      </c>
      <c r="AH2001">
        <v>-2107</v>
      </c>
    </row>
    <row r="2002" spans="2:34" x14ac:dyDescent="0.35">
      <c r="B2002" t="s">
        <v>565</v>
      </c>
      <c r="C2002">
        <v>45948</v>
      </c>
      <c r="F2002" t="s">
        <v>754</v>
      </c>
      <c r="H2002">
        <v>79.33</v>
      </c>
      <c r="O2002" t="s">
        <v>239</v>
      </c>
      <c r="P2002" t="s">
        <v>514</v>
      </c>
      <c r="Y2002">
        <v>1968</v>
      </c>
      <c r="Z2002" s="259" t="s">
        <v>630</v>
      </c>
      <c r="AA2002">
        <v>50</v>
      </c>
      <c r="AB2002">
        <v>4104</v>
      </c>
      <c r="AC2002">
        <v>45947</v>
      </c>
      <c r="AD2002">
        <v>1</v>
      </c>
      <c r="AE2002">
        <v>3966.5</v>
      </c>
      <c r="AF2002">
        <v>3966.5</v>
      </c>
      <c r="AG2002">
        <v>0</v>
      </c>
      <c r="AH2002">
        <v>-137.5</v>
      </c>
    </row>
    <row r="2003" spans="2:34" x14ac:dyDescent="0.35">
      <c r="B2003" t="s">
        <v>565</v>
      </c>
      <c r="C2003">
        <v>45949</v>
      </c>
      <c r="F2003" t="s">
        <v>749</v>
      </c>
      <c r="H2003">
        <v>52.4</v>
      </c>
      <c r="O2003" t="s">
        <v>239</v>
      </c>
      <c r="P2003" t="s">
        <v>514</v>
      </c>
      <c r="Y2003">
        <v>1969</v>
      </c>
      <c r="Z2003" s="259" t="s">
        <v>630</v>
      </c>
      <c r="AA2003">
        <v>100</v>
      </c>
      <c r="AB2003">
        <v>5005</v>
      </c>
      <c r="AC2003">
        <v>45947</v>
      </c>
      <c r="AD2003">
        <v>2</v>
      </c>
      <c r="AE2003">
        <v>5240</v>
      </c>
      <c r="AF2003">
        <v>5240</v>
      </c>
      <c r="AG2003">
        <v>0</v>
      </c>
      <c r="AH2003">
        <v>235</v>
      </c>
    </row>
    <row r="2004" spans="2:34" x14ac:dyDescent="0.35">
      <c r="B2004" t="s">
        <v>565</v>
      </c>
      <c r="C2004">
        <v>45949</v>
      </c>
      <c r="F2004" t="s">
        <v>752</v>
      </c>
      <c r="H2004">
        <v>179.13</v>
      </c>
      <c r="O2004" t="s">
        <v>239</v>
      </c>
      <c r="P2004" t="s">
        <v>514</v>
      </c>
      <c r="Y2004">
        <v>1970</v>
      </c>
      <c r="Z2004" s="259" t="s">
        <v>630</v>
      </c>
      <c r="AA2004">
        <v>100</v>
      </c>
      <c r="AB2004">
        <v>20020</v>
      </c>
      <c r="AC2004">
        <v>45947</v>
      </c>
      <c r="AD2004">
        <v>2</v>
      </c>
      <c r="AE2004">
        <v>17913</v>
      </c>
      <c r="AF2004">
        <v>17913</v>
      </c>
      <c r="AG2004">
        <v>0</v>
      </c>
      <c r="AH2004">
        <v>-2107</v>
      </c>
    </row>
    <row r="2005" spans="2:34" x14ac:dyDescent="0.35">
      <c r="B2005" t="s">
        <v>565</v>
      </c>
      <c r="C2005">
        <v>45949</v>
      </c>
      <c r="F2005" t="s">
        <v>754</v>
      </c>
      <c r="H2005">
        <v>79.33</v>
      </c>
      <c r="O2005" t="s">
        <v>239</v>
      </c>
      <c r="P2005" t="s">
        <v>514</v>
      </c>
      <c r="Y2005">
        <v>1971</v>
      </c>
      <c r="Z2005" s="259" t="s">
        <v>630</v>
      </c>
      <c r="AA2005">
        <v>50</v>
      </c>
      <c r="AB2005">
        <v>4104</v>
      </c>
      <c r="AC2005">
        <v>45947</v>
      </c>
      <c r="AD2005">
        <v>2</v>
      </c>
      <c r="AE2005">
        <v>3966.5</v>
      </c>
      <c r="AF2005">
        <v>3966.5</v>
      </c>
      <c r="AG2005">
        <v>0</v>
      </c>
      <c r="AH2005">
        <v>-137.5</v>
      </c>
    </row>
    <row r="2006" spans="2:34" x14ac:dyDescent="0.35">
      <c r="B2006" t="s">
        <v>565</v>
      </c>
      <c r="C2006">
        <v>45950</v>
      </c>
      <c r="F2006" t="s">
        <v>749</v>
      </c>
      <c r="H2006">
        <v>52.1</v>
      </c>
      <c r="O2006" t="s">
        <v>239</v>
      </c>
      <c r="P2006" t="s">
        <v>514</v>
      </c>
      <c r="Y2006">
        <v>1972</v>
      </c>
      <c r="Z2006" s="259" t="s">
        <v>630</v>
      </c>
      <c r="AA2006">
        <v>100</v>
      </c>
      <c r="AB2006">
        <v>5005</v>
      </c>
      <c r="AC2006">
        <v>45950</v>
      </c>
      <c r="AD2006">
        <v>0</v>
      </c>
      <c r="AE2006">
        <v>5210</v>
      </c>
      <c r="AF2006">
        <v>5210</v>
      </c>
      <c r="AG2006">
        <v>0</v>
      </c>
      <c r="AH2006">
        <v>205</v>
      </c>
    </row>
    <row r="2007" spans="2:34" x14ac:dyDescent="0.35">
      <c r="B2007" t="s">
        <v>565</v>
      </c>
      <c r="C2007">
        <v>45950</v>
      </c>
      <c r="F2007" t="s">
        <v>752</v>
      </c>
      <c r="H2007">
        <v>179.53</v>
      </c>
      <c r="O2007" t="s">
        <v>239</v>
      </c>
      <c r="P2007" t="s">
        <v>514</v>
      </c>
      <c r="Y2007">
        <v>1973</v>
      </c>
      <c r="Z2007" s="259" t="s">
        <v>630</v>
      </c>
      <c r="AA2007">
        <v>100</v>
      </c>
      <c r="AB2007">
        <v>20020</v>
      </c>
      <c r="AC2007">
        <v>45950</v>
      </c>
      <c r="AD2007">
        <v>0</v>
      </c>
      <c r="AE2007">
        <v>17953</v>
      </c>
      <c r="AF2007">
        <v>17953</v>
      </c>
      <c r="AG2007">
        <v>0</v>
      </c>
      <c r="AH2007">
        <v>-2067</v>
      </c>
    </row>
    <row r="2008" spans="2:34" x14ac:dyDescent="0.35">
      <c r="B2008" t="s">
        <v>565</v>
      </c>
      <c r="C2008">
        <v>45950</v>
      </c>
      <c r="F2008" t="s">
        <v>754</v>
      </c>
      <c r="H2008">
        <v>78.83</v>
      </c>
      <c r="O2008" t="s">
        <v>239</v>
      </c>
      <c r="P2008" t="s">
        <v>514</v>
      </c>
      <c r="Y2008">
        <v>1974</v>
      </c>
      <c r="Z2008" s="259" t="s">
        <v>630</v>
      </c>
      <c r="AA2008">
        <v>50</v>
      </c>
      <c r="AB2008">
        <v>4104</v>
      </c>
      <c r="AC2008">
        <v>45950</v>
      </c>
      <c r="AD2008">
        <v>0</v>
      </c>
      <c r="AE2008">
        <v>3941.5</v>
      </c>
      <c r="AF2008">
        <v>3941.5</v>
      </c>
      <c r="AG2008">
        <v>0</v>
      </c>
      <c r="AH2008">
        <v>-162.5</v>
      </c>
    </row>
    <row r="2009" spans="2:34" x14ac:dyDescent="0.35">
      <c r="B2009" t="s">
        <v>565</v>
      </c>
      <c r="C2009">
        <v>45951</v>
      </c>
      <c r="F2009" t="s">
        <v>749</v>
      </c>
      <c r="H2009">
        <v>52</v>
      </c>
      <c r="O2009" t="s">
        <v>239</v>
      </c>
      <c r="P2009" t="s">
        <v>514</v>
      </c>
      <c r="Y2009">
        <v>1975</v>
      </c>
      <c r="Z2009" s="259" t="s">
        <v>630</v>
      </c>
      <c r="AA2009">
        <v>100</v>
      </c>
      <c r="AB2009">
        <v>5005</v>
      </c>
      <c r="AC2009">
        <v>45951</v>
      </c>
      <c r="AD2009">
        <v>0</v>
      </c>
      <c r="AE2009">
        <v>5200</v>
      </c>
      <c r="AF2009">
        <v>5200</v>
      </c>
      <c r="AG2009">
        <v>0</v>
      </c>
      <c r="AH2009">
        <v>195</v>
      </c>
    </row>
    <row r="2010" spans="2:34" x14ac:dyDescent="0.35">
      <c r="B2010" t="s">
        <v>565</v>
      </c>
      <c r="C2010">
        <v>45951</v>
      </c>
      <c r="F2010" t="s">
        <v>752</v>
      </c>
      <c r="H2010">
        <v>179.67</v>
      </c>
      <c r="O2010" t="s">
        <v>239</v>
      </c>
      <c r="P2010" t="s">
        <v>514</v>
      </c>
      <c r="Y2010">
        <v>1976</v>
      </c>
      <c r="Z2010" s="259" t="s">
        <v>630</v>
      </c>
      <c r="AA2010">
        <v>100</v>
      </c>
      <c r="AB2010">
        <v>20020</v>
      </c>
      <c r="AC2010">
        <v>45951</v>
      </c>
      <c r="AD2010">
        <v>0</v>
      </c>
      <c r="AE2010">
        <v>17967</v>
      </c>
      <c r="AF2010">
        <v>17967</v>
      </c>
      <c r="AG2010">
        <v>0</v>
      </c>
      <c r="AH2010">
        <v>-2053</v>
      </c>
    </row>
    <row r="2011" spans="2:34" x14ac:dyDescent="0.35">
      <c r="B2011" t="s">
        <v>565</v>
      </c>
      <c r="C2011">
        <v>45951</v>
      </c>
      <c r="F2011" t="s">
        <v>754</v>
      </c>
      <c r="H2011">
        <v>78.67</v>
      </c>
      <c r="O2011" t="s">
        <v>239</v>
      </c>
      <c r="P2011" t="s">
        <v>514</v>
      </c>
      <c r="Y2011">
        <v>1977</v>
      </c>
      <c r="Z2011" s="259" t="s">
        <v>630</v>
      </c>
      <c r="AA2011">
        <v>50</v>
      </c>
      <c r="AB2011">
        <v>4104</v>
      </c>
      <c r="AC2011">
        <v>45951</v>
      </c>
      <c r="AD2011">
        <v>0</v>
      </c>
      <c r="AE2011">
        <v>3933.5</v>
      </c>
      <c r="AF2011">
        <v>3933.5</v>
      </c>
      <c r="AG2011">
        <v>0</v>
      </c>
      <c r="AH2011">
        <v>-170.5</v>
      </c>
    </row>
    <row r="2012" spans="2:34" x14ac:dyDescent="0.35">
      <c r="B2012" t="s">
        <v>565</v>
      </c>
      <c r="C2012">
        <v>45952</v>
      </c>
      <c r="F2012" t="s">
        <v>749</v>
      </c>
      <c r="H2012">
        <v>51.9</v>
      </c>
      <c r="O2012" t="s">
        <v>239</v>
      </c>
      <c r="P2012" t="s">
        <v>514</v>
      </c>
      <c r="Y2012">
        <v>1978</v>
      </c>
      <c r="Z2012" s="259" t="s">
        <v>630</v>
      </c>
      <c r="AA2012">
        <v>100</v>
      </c>
      <c r="AB2012">
        <v>5005</v>
      </c>
      <c r="AC2012">
        <v>45952</v>
      </c>
      <c r="AD2012">
        <v>0</v>
      </c>
      <c r="AE2012">
        <v>5190</v>
      </c>
      <c r="AF2012">
        <v>5190</v>
      </c>
      <c r="AG2012">
        <v>0</v>
      </c>
      <c r="AH2012">
        <v>185</v>
      </c>
    </row>
    <row r="2013" spans="2:34" x14ac:dyDescent="0.35">
      <c r="B2013" t="s">
        <v>565</v>
      </c>
      <c r="C2013">
        <v>45952</v>
      </c>
      <c r="F2013" t="s">
        <v>752</v>
      </c>
      <c r="H2013">
        <v>179.8</v>
      </c>
      <c r="O2013" t="s">
        <v>239</v>
      </c>
      <c r="P2013" t="s">
        <v>514</v>
      </c>
      <c r="Y2013">
        <v>1979</v>
      </c>
      <c r="Z2013" s="259" t="s">
        <v>630</v>
      </c>
      <c r="AA2013">
        <v>100</v>
      </c>
      <c r="AB2013">
        <v>20020</v>
      </c>
      <c r="AC2013">
        <v>45952</v>
      </c>
      <c r="AD2013">
        <v>0</v>
      </c>
      <c r="AE2013">
        <v>17980</v>
      </c>
      <c r="AF2013">
        <v>17980</v>
      </c>
      <c r="AG2013">
        <v>0</v>
      </c>
      <c r="AH2013">
        <v>-2040</v>
      </c>
    </row>
    <row r="2014" spans="2:34" x14ac:dyDescent="0.35">
      <c r="B2014" t="s">
        <v>565</v>
      </c>
      <c r="C2014">
        <v>45952</v>
      </c>
      <c r="F2014" t="s">
        <v>754</v>
      </c>
      <c r="H2014">
        <v>78.5</v>
      </c>
      <c r="O2014" t="s">
        <v>239</v>
      </c>
      <c r="P2014" t="s">
        <v>514</v>
      </c>
      <c r="Y2014">
        <v>1980</v>
      </c>
      <c r="Z2014" s="259" t="s">
        <v>630</v>
      </c>
      <c r="AA2014">
        <v>50</v>
      </c>
      <c r="AB2014">
        <v>4104</v>
      </c>
      <c r="AC2014">
        <v>45952</v>
      </c>
      <c r="AD2014">
        <v>0</v>
      </c>
      <c r="AE2014">
        <v>3925</v>
      </c>
      <c r="AF2014">
        <v>3925</v>
      </c>
      <c r="AG2014">
        <v>0</v>
      </c>
      <c r="AH2014">
        <v>-179</v>
      </c>
    </row>
    <row r="2015" spans="2:34" x14ac:dyDescent="0.35">
      <c r="B2015" t="s">
        <v>565</v>
      </c>
      <c r="C2015">
        <v>45953</v>
      </c>
      <c r="F2015" t="s">
        <v>749</v>
      </c>
      <c r="H2015">
        <v>51.8</v>
      </c>
      <c r="O2015" t="s">
        <v>239</v>
      </c>
      <c r="P2015" t="s">
        <v>514</v>
      </c>
      <c r="Y2015">
        <v>1981</v>
      </c>
      <c r="Z2015" s="259" t="s">
        <v>630</v>
      </c>
      <c r="AA2015">
        <v>100</v>
      </c>
      <c r="AB2015">
        <v>5005</v>
      </c>
      <c r="AC2015">
        <v>45953</v>
      </c>
      <c r="AD2015">
        <v>0</v>
      </c>
      <c r="AE2015">
        <v>5180</v>
      </c>
      <c r="AF2015">
        <v>5180</v>
      </c>
      <c r="AG2015">
        <v>0</v>
      </c>
      <c r="AH2015">
        <v>175</v>
      </c>
    </row>
    <row r="2016" spans="2:34" x14ac:dyDescent="0.35">
      <c r="B2016" t="s">
        <v>565</v>
      </c>
      <c r="C2016">
        <v>45953</v>
      </c>
      <c r="F2016" t="s">
        <v>752</v>
      </c>
      <c r="H2016">
        <v>179.93</v>
      </c>
      <c r="O2016" t="s">
        <v>239</v>
      </c>
      <c r="P2016" t="s">
        <v>514</v>
      </c>
      <c r="Y2016">
        <v>1982</v>
      </c>
      <c r="Z2016" s="259" t="s">
        <v>630</v>
      </c>
      <c r="AA2016">
        <v>100</v>
      </c>
      <c r="AB2016">
        <v>20020</v>
      </c>
      <c r="AC2016">
        <v>45953</v>
      </c>
      <c r="AD2016">
        <v>0</v>
      </c>
      <c r="AE2016">
        <v>17993</v>
      </c>
      <c r="AF2016">
        <v>17993</v>
      </c>
      <c r="AG2016">
        <v>0</v>
      </c>
      <c r="AH2016">
        <v>-2027</v>
      </c>
    </row>
    <row r="2017" spans="2:34" x14ac:dyDescent="0.35">
      <c r="B2017" t="s">
        <v>565</v>
      </c>
      <c r="C2017">
        <v>45953</v>
      </c>
      <c r="F2017" t="s">
        <v>754</v>
      </c>
      <c r="H2017">
        <v>78.33</v>
      </c>
      <c r="O2017" t="s">
        <v>239</v>
      </c>
      <c r="P2017" t="s">
        <v>514</v>
      </c>
      <c r="Y2017">
        <v>1983</v>
      </c>
      <c r="Z2017" s="259" t="s">
        <v>630</v>
      </c>
      <c r="AA2017">
        <v>50</v>
      </c>
      <c r="AB2017">
        <v>4104</v>
      </c>
      <c r="AC2017">
        <v>45953</v>
      </c>
      <c r="AD2017">
        <v>0</v>
      </c>
      <c r="AE2017">
        <v>3916.5</v>
      </c>
      <c r="AF2017">
        <v>3916.5</v>
      </c>
      <c r="AG2017">
        <v>0</v>
      </c>
      <c r="AH2017">
        <v>-187.5</v>
      </c>
    </row>
    <row r="2018" spans="2:34" x14ac:dyDescent="0.35">
      <c r="B2018" t="s">
        <v>565</v>
      </c>
      <c r="C2018">
        <v>45954</v>
      </c>
      <c r="F2018" t="s">
        <v>749</v>
      </c>
      <c r="H2018">
        <v>51.7</v>
      </c>
      <c r="O2018" t="s">
        <v>239</v>
      </c>
      <c r="P2018" t="s">
        <v>514</v>
      </c>
      <c r="Y2018">
        <v>1984</v>
      </c>
      <c r="Z2018" s="259" t="s">
        <v>630</v>
      </c>
      <c r="AA2018">
        <v>100</v>
      </c>
      <c r="AB2018">
        <v>5005</v>
      </c>
      <c r="AC2018">
        <v>45954</v>
      </c>
      <c r="AD2018">
        <v>0</v>
      </c>
      <c r="AE2018">
        <v>5170</v>
      </c>
      <c r="AF2018">
        <v>5170</v>
      </c>
      <c r="AG2018">
        <v>0</v>
      </c>
      <c r="AH2018">
        <v>165</v>
      </c>
    </row>
    <row r="2019" spans="2:34" x14ac:dyDescent="0.35">
      <c r="B2019" t="s">
        <v>565</v>
      </c>
      <c r="C2019">
        <v>45954</v>
      </c>
      <c r="F2019" t="s">
        <v>752</v>
      </c>
      <c r="H2019">
        <v>180.07</v>
      </c>
      <c r="O2019" t="s">
        <v>239</v>
      </c>
      <c r="P2019" t="s">
        <v>514</v>
      </c>
      <c r="Y2019">
        <v>1985</v>
      </c>
      <c r="Z2019" s="259" t="s">
        <v>630</v>
      </c>
      <c r="AA2019">
        <v>100</v>
      </c>
      <c r="AB2019">
        <v>20020</v>
      </c>
      <c r="AC2019">
        <v>45954</v>
      </c>
      <c r="AD2019">
        <v>0</v>
      </c>
      <c r="AE2019">
        <v>18007</v>
      </c>
      <c r="AF2019">
        <v>18007</v>
      </c>
      <c r="AG2019">
        <v>0</v>
      </c>
      <c r="AH2019">
        <v>-2013</v>
      </c>
    </row>
    <row r="2020" spans="2:34" x14ac:dyDescent="0.35">
      <c r="B2020" t="s">
        <v>565</v>
      </c>
      <c r="C2020">
        <v>45954</v>
      </c>
      <c r="F2020" t="s">
        <v>754</v>
      </c>
      <c r="H2020">
        <v>78.17</v>
      </c>
      <c r="O2020" t="s">
        <v>239</v>
      </c>
      <c r="P2020" t="s">
        <v>514</v>
      </c>
      <c r="Y2020">
        <v>1986</v>
      </c>
      <c r="Z2020" s="259" t="s">
        <v>630</v>
      </c>
      <c r="AA2020">
        <v>50</v>
      </c>
      <c r="AB2020">
        <v>4104</v>
      </c>
      <c r="AC2020">
        <v>45954</v>
      </c>
      <c r="AD2020">
        <v>0</v>
      </c>
      <c r="AE2020">
        <v>3908.5</v>
      </c>
      <c r="AF2020">
        <v>3908.5</v>
      </c>
      <c r="AG2020">
        <v>0</v>
      </c>
      <c r="AH2020">
        <v>-195.5</v>
      </c>
    </row>
    <row r="2021" spans="2:34" x14ac:dyDescent="0.35">
      <c r="B2021" t="s">
        <v>565</v>
      </c>
      <c r="C2021">
        <v>45955</v>
      </c>
      <c r="F2021" t="s">
        <v>749</v>
      </c>
      <c r="H2021">
        <v>51.7</v>
      </c>
      <c r="O2021" t="s">
        <v>239</v>
      </c>
      <c r="P2021" t="s">
        <v>514</v>
      </c>
      <c r="Y2021">
        <v>1987</v>
      </c>
      <c r="Z2021" s="259" t="s">
        <v>630</v>
      </c>
      <c r="AA2021">
        <v>100</v>
      </c>
      <c r="AB2021">
        <v>5005</v>
      </c>
      <c r="AC2021">
        <v>45954</v>
      </c>
      <c r="AD2021">
        <v>1</v>
      </c>
      <c r="AE2021">
        <v>5170</v>
      </c>
      <c r="AF2021">
        <v>5170</v>
      </c>
      <c r="AG2021">
        <v>0</v>
      </c>
      <c r="AH2021">
        <v>165</v>
      </c>
    </row>
    <row r="2022" spans="2:34" x14ac:dyDescent="0.35">
      <c r="B2022" t="s">
        <v>565</v>
      </c>
      <c r="C2022">
        <v>45955</v>
      </c>
      <c r="F2022" t="s">
        <v>752</v>
      </c>
      <c r="H2022">
        <v>180.07</v>
      </c>
      <c r="O2022" t="s">
        <v>239</v>
      </c>
      <c r="P2022" t="s">
        <v>514</v>
      </c>
      <c r="Y2022">
        <v>1988</v>
      </c>
      <c r="Z2022" s="259" t="s">
        <v>630</v>
      </c>
      <c r="AA2022">
        <v>100</v>
      </c>
      <c r="AB2022">
        <v>20020</v>
      </c>
      <c r="AC2022">
        <v>45954</v>
      </c>
      <c r="AD2022">
        <v>1</v>
      </c>
      <c r="AE2022">
        <v>18007</v>
      </c>
      <c r="AF2022">
        <v>18007</v>
      </c>
      <c r="AG2022">
        <v>0</v>
      </c>
      <c r="AH2022">
        <v>-2013</v>
      </c>
    </row>
    <row r="2023" spans="2:34" x14ac:dyDescent="0.35">
      <c r="B2023" t="s">
        <v>565</v>
      </c>
      <c r="C2023">
        <v>45955</v>
      </c>
      <c r="F2023" t="s">
        <v>754</v>
      </c>
      <c r="H2023">
        <v>78.17</v>
      </c>
      <c r="O2023" t="s">
        <v>239</v>
      </c>
      <c r="P2023" t="s">
        <v>514</v>
      </c>
      <c r="Y2023">
        <v>1989</v>
      </c>
      <c r="Z2023" s="259" t="s">
        <v>630</v>
      </c>
      <c r="AA2023">
        <v>50</v>
      </c>
      <c r="AB2023">
        <v>4104</v>
      </c>
      <c r="AC2023">
        <v>45954</v>
      </c>
      <c r="AD2023">
        <v>1</v>
      </c>
      <c r="AE2023">
        <v>3908.5</v>
      </c>
      <c r="AF2023">
        <v>3908.5</v>
      </c>
      <c r="AG2023">
        <v>0</v>
      </c>
      <c r="AH2023">
        <v>-195.5</v>
      </c>
    </row>
    <row r="2024" spans="2:34" x14ac:dyDescent="0.35">
      <c r="B2024" t="s">
        <v>565</v>
      </c>
      <c r="C2024">
        <v>45956</v>
      </c>
      <c r="F2024" t="s">
        <v>749</v>
      </c>
      <c r="H2024">
        <v>51.7</v>
      </c>
      <c r="O2024" t="s">
        <v>239</v>
      </c>
      <c r="P2024" t="s">
        <v>514</v>
      </c>
      <c r="Y2024">
        <v>1990</v>
      </c>
      <c r="Z2024" s="259" t="s">
        <v>630</v>
      </c>
      <c r="AA2024">
        <v>100</v>
      </c>
      <c r="AB2024">
        <v>5005</v>
      </c>
      <c r="AC2024">
        <v>45954</v>
      </c>
      <c r="AD2024">
        <v>2</v>
      </c>
      <c r="AE2024">
        <v>5170</v>
      </c>
      <c r="AF2024">
        <v>5170</v>
      </c>
      <c r="AG2024">
        <v>0</v>
      </c>
      <c r="AH2024">
        <v>165</v>
      </c>
    </row>
    <row r="2025" spans="2:34" x14ac:dyDescent="0.35">
      <c r="B2025" t="s">
        <v>565</v>
      </c>
      <c r="C2025">
        <v>45956</v>
      </c>
      <c r="F2025" t="s">
        <v>752</v>
      </c>
      <c r="H2025">
        <v>180.07</v>
      </c>
      <c r="O2025" t="s">
        <v>239</v>
      </c>
      <c r="P2025" t="s">
        <v>514</v>
      </c>
      <c r="Y2025">
        <v>1991</v>
      </c>
      <c r="Z2025" s="259" t="s">
        <v>630</v>
      </c>
      <c r="AA2025">
        <v>100</v>
      </c>
      <c r="AB2025">
        <v>20020</v>
      </c>
      <c r="AC2025">
        <v>45954</v>
      </c>
      <c r="AD2025">
        <v>2</v>
      </c>
      <c r="AE2025">
        <v>18007</v>
      </c>
      <c r="AF2025">
        <v>18007</v>
      </c>
      <c r="AG2025">
        <v>0</v>
      </c>
      <c r="AH2025">
        <v>-2013</v>
      </c>
    </row>
    <row r="2026" spans="2:34" x14ac:dyDescent="0.35">
      <c r="B2026" t="s">
        <v>565</v>
      </c>
      <c r="C2026">
        <v>45956</v>
      </c>
      <c r="F2026" t="s">
        <v>754</v>
      </c>
      <c r="H2026">
        <v>78.17</v>
      </c>
      <c r="O2026" t="s">
        <v>239</v>
      </c>
      <c r="P2026" t="s">
        <v>514</v>
      </c>
      <c r="Y2026">
        <v>1992</v>
      </c>
      <c r="Z2026" s="259" t="s">
        <v>630</v>
      </c>
      <c r="AA2026">
        <v>50</v>
      </c>
      <c r="AB2026">
        <v>4104</v>
      </c>
      <c r="AC2026">
        <v>45954</v>
      </c>
      <c r="AD2026">
        <v>2</v>
      </c>
      <c r="AE2026">
        <v>3908.5</v>
      </c>
      <c r="AF2026">
        <v>3908.5</v>
      </c>
      <c r="AG2026">
        <v>0</v>
      </c>
      <c r="AH2026">
        <v>-195.5</v>
      </c>
    </row>
    <row r="2027" spans="2:34" x14ac:dyDescent="0.35">
      <c r="B2027" t="s">
        <v>565</v>
      </c>
      <c r="C2027">
        <v>45957</v>
      </c>
      <c r="F2027" t="s">
        <v>749</v>
      </c>
      <c r="H2027">
        <v>51.4</v>
      </c>
      <c r="O2027" t="s">
        <v>239</v>
      </c>
      <c r="P2027" t="s">
        <v>514</v>
      </c>
      <c r="Y2027">
        <v>1993</v>
      </c>
      <c r="Z2027" s="259" t="s">
        <v>630</v>
      </c>
      <c r="AA2027">
        <v>100</v>
      </c>
      <c r="AB2027">
        <v>5005</v>
      </c>
      <c r="AC2027">
        <v>45957</v>
      </c>
      <c r="AD2027">
        <v>0</v>
      </c>
      <c r="AE2027">
        <v>5140</v>
      </c>
      <c r="AF2027">
        <v>5140</v>
      </c>
      <c r="AG2027">
        <v>0</v>
      </c>
      <c r="AH2027">
        <v>135</v>
      </c>
    </row>
    <row r="2028" spans="2:34" x14ac:dyDescent="0.35">
      <c r="B2028" t="s">
        <v>565</v>
      </c>
      <c r="C2028">
        <v>45957</v>
      </c>
      <c r="F2028" t="s">
        <v>752</v>
      </c>
      <c r="H2028">
        <v>180.47</v>
      </c>
      <c r="O2028" t="s">
        <v>239</v>
      </c>
      <c r="P2028" t="s">
        <v>514</v>
      </c>
      <c r="Y2028">
        <v>1994</v>
      </c>
      <c r="Z2028" s="259" t="s">
        <v>630</v>
      </c>
      <c r="AA2028">
        <v>100</v>
      </c>
      <c r="AB2028">
        <v>20020</v>
      </c>
      <c r="AC2028">
        <v>45957</v>
      </c>
      <c r="AD2028">
        <v>0</v>
      </c>
      <c r="AE2028">
        <v>18047</v>
      </c>
      <c r="AF2028">
        <v>18047</v>
      </c>
      <c r="AG2028">
        <v>0</v>
      </c>
      <c r="AH2028">
        <v>-1973</v>
      </c>
    </row>
    <row r="2029" spans="2:34" x14ac:dyDescent="0.35">
      <c r="B2029" t="s">
        <v>565</v>
      </c>
      <c r="C2029">
        <v>45957</v>
      </c>
      <c r="F2029" t="s">
        <v>754</v>
      </c>
      <c r="H2029">
        <v>77.67</v>
      </c>
      <c r="O2029" t="s">
        <v>239</v>
      </c>
      <c r="P2029" t="s">
        <v>514</v>
      </c>
      <c r="Y2029">
        <v>1995</v>
      </c>
      <c r="Z2029" s="259" t="s">
        <v>630</v>
      </c>
      <c r="AA2029">
        <v>50</v>
      </c>
      <c r="AB2029">
        <v>4104</v>
      </c>
      <c r="AC2029">
        <v>45957</v>
      </c>
      <c r="AD2029">
        <v>0</v>
      </c>
      <c r="AE2029">
        <v>3883.5</v>
      </c>
      <c r="AF2029">
        <v>3883.5</v>
      </c>
      <c r="AG2029">
        <v>0</v>
      </c>
      <c r="AH2029">
        <v>-220.5</v>
      </c>
    </row>
    <row r="2030" spans="2:34" x14ac:dyDescent="0.35">
      <c r="B2030" t="s">
        <v>565</v>
      </c>
      <c r="C2030">
        <v>45958</v>
      </c>
      <c r="F2030" t="s">
        <v>749</v>
      </c>
      <c r="H2030">
        <v>51.3</v>
      </c>
      <c r="O2030" t="s">
        <v>239</v>
      </c>
      <c r="P2030" t="s">
        <v>514</v>
      </c>
      <c r="Y2030">
        <v>1996</v>
      </c>
      <c r="Z2030" s="259" t="s">
        <v>630</v>
      </c>
      <c r="AA2030">
        <v>100</v>
      </c>
      <c r="AB2030">
        <v>5005</v>
      </c>
      <c r="AC2030">
        <v>45958</v>
      </c>
      <c r="AD2030">
        <v>0</v>
      </c>
      <c r="AE2030">
        <v>5130</v>
      </c>
      <c r="AF2030">
        <v>5130</v>
      </c>
      <c r="AG2030">
        <v>0</v>
      </c>
      <c r="AH2030">
        <v>125</v>
      </c>
    </row>
    <row r="2031" spans="2:34" x14ac:dyDescent="0.35">
      <c r="B2031" t="s">
        <v>565</v>
      </c>
      <c r="C2031">
        <v>45958</v>
      </c>
      <c r="F2031" t="s">
        <v>752</v>
      </c>
      <c r="H2031">
        <v>180.6</v>
      </c>
      <c r="O2031" t="s">
        <v>239</v>
      </c>
      <c r="P2031" t="s">
        <v>514</v>
      </c>
      <c r="Y2031">
        <v>1997</v>
      </c>
      <c r="Z2031" s="259" t="s">
        <v>630</v>
      </c>
      <c r="AA2031">
        <v>100</v>
      </c>
      <c r="AB2031">
        <v>20020</v>
      </c>
      <c r="AC2031">
        <v>45958</v>
      </c>
      <c r="AD2031">
        <v>0</v>
      </c>
      <c r="AE2031">
        <v>18060</v>
      </c>
      <c r="AF2031">
        <v>18060</v>
      </c>
      <c r="AG2031">
        <v>0</v>
      </c>
      <c r="AH2031">
        <v>-1960</v>
      </c>
    </row>
    <row r="2032" spans="2:34" x14ac:dyDescent="0.35">
      <c r="B2032" t="s">
        <v>565</v>
      </c>
      <c r="C2032">
        <v>45958</v>
      </c>
      <c r="F2032" t="s">
        <v>754</v>
      </c>
      <c r="H2032">
        <v>77.5</v>
      </c>
      <c r="O2032" t="s">
        <v>239</v>
      </c>
      <c r="P2032" t="s">
        <v>514</v>
      </c>
      <c r="Y2032">
        <v>1998</v>
      </c>
      <c r="Z2032" s="259" t="s">
        <v>630</v>
      </c>
      <c r="AA2032">
        <v>50</v>
      </c>
      <c r="AB2032">
        <v>4104</v>
      </c>
      <c r="AC2032">
        <v>45958</v>
      </c>
      <c r="AD2032">
        <v>0</v>
      </c>
      <c r="AE2032">
        <v>3875</v>
      </c>
      <c r="AF2032">
        <v>3875</v>
      </c>
      <c r="AG2032">
        <v>0</v>
      </c>
      <c r="AH2032">
        <v>-229</v>
      </c>
    </row>
    <row r="2033" spans="2:34" x14ac:dyDescent="0.35">
      <c r="B2033" t="s">
        <v>565</v>
      </c>
      <c r="C2033">
        <v>45959</v>
      </c>
      <c r="F2033" t="s">
        <v>749</v>
      </c>
      <c r="H2033">
        <v>51.2</v>
      </c>
      <c r="O2033" t="s">
        <v>239</v>
      </c>
      <c r="P2033" t="s">
        <v>514</v>
      </c>
      <c r="Y2033">
        <v>1999</v>
      </c>
      <c r="Z2033" s="259" t="s">
        <v>630</v>
      </c>
      <c r="AA2033">
        <v>100</v>
      </c>
      <c r="AB2033">
        <v>5005</v>
      </c>
      <c r="AC2033">
        <v>45959</v>
      </c>
      <c r="AD2033">
        <v>0</v>
      </c>
      <c r="AE2033">
        <v>5120</v>
      </c>
      <c r="AF2033">
        <v>5120</v>
      </c>
      <c r="AG2033">
        <v>0</v>
      </c>
      <c r="AH2033">
        <v>115</v>
      </c>
    </row>
    <row r="2034" spans="2:34" x14ac:dyDescent="0.35">
      <c r="B2034" t="s">
        <v>565</v>
      </c>
      <c r="C2034">
        <v>45959</v>
      </c>
      <c r="F2034" t="s">
        <v>752</v>
      </c>
      <c r="H2034">
        <v>180.73</v>
      </c>
      <c r="O2034" t="s">
        <v>239</v>
      </c>
      <c r="P2034" t="s">
        <v>514</v>
      </c>
      <c r="Y2034">
        <v>2000</v>
      </c>
      <c r="Z2034" s="259" t="s">
        <v>630</v>
      </c>
      <c r="AA2034">
        <v>100</v>
      </c>
      <c r="AB2034">
        <v>20020</v>
      </c>
      <c r="AC2034">
        <v>45959</v>
      </c>
      <c r="AD2034">
        <v>0</v>
      </c>
      <c r="AE2034">
        <v>18073</v>
      </c>
      <c r="AF2034">
        <v>18073</v>
      </c>
      <c r="AG2034">
        <v>0</v>
      </c>
      <c r="AH2034">
        <v>-1947</v>
      </c>
    </row>
    <row r="2035" spans="2:34" x14ac:dyDescent="0.35">
      <c r="B2035" t="s">
        <v>565</v>
      </c>
      <c r="C2035">
        <v>45959</v>
      </c>
      <c r="F2035" t="s">
        <v>754</v>
      </c>
      <c r="H2035">
        <v>77.33</v>
      </c>
      <c r="O2035" t="s">
        <v>239</v>
      </c>
      <c r="P2035" t="s">
        <v>514</v>
      </c>
      <c r="Y2035">
        <v>2001</v>
      </c>
      <c r="Z2035" s="259" t="s">
        <v>630</v>
      </c>
      <c r="AA2035">
        <v>50</v>
      </c>
      <c r="AB2035">
        <v>4104</v>
      </c>
      <c r="AC2035">
        <v>45959</v>
      </c>
      <c r="AD2035">
        <v>0</v>
      </c>
      <c r="AE2035">
        <v>3866.5</v>
      </c>
      <c r="AF2035">
        <v>3866.5</v>
      </c>
      <c r="AG2035">
        <v>0</v>
      </c>
      <c r="AH2035">
        <v>-237.5</v>
      </c>
    </row>
    <row r="2036" spans="2:34" x14ac:dyDescent="0.35">
      <c r="B2036" t="s">
        <v>565</v>
      </c>
      <c r="C2036">
        <v>45960</v>
      </c>
      <c r="F2036" t="s">
        <v>749</v>
      </c>
      <c r="H2036">
        <v>51.1</v>
      </c>
      <c r="O2036" t="s">
        <v>239</v>
      </c>
      <c r="P2036" t="s">
        <v>514</v>
      </c>
      <c r="Y2036">
        <v>2002</v>
      </c>
      <c r="Z2036" s="259" t="s">
        <v>630</v>
      </c>
      <c r="AA2036">
        <v>100</v>
      </c>
      <c r="AB2036">
        <v>5005</v>
      </c>
      <c r="AC2036">
        <v>45960</v>
      </c>
      <c r="AD2036">
        <v>0</v>
      </c>
      <c r="AE2036">
        <v>5110</v>
      </c>
      <c r="AF2036">
        <v>5110</v>
      </c>
      <c r="AG2036">
        <v>0</v>
      </c>
      <c r="AH2036">
        <v>105</v>
      </c>
    </row>
    <row r="2037" spans="2:34" x14ac:dyDescent="0.35">
      <c r="B2037" t="s">
        <v>565</v>
      </c>
      <c r="C2037">
        <v>45960</v>
      </c>
      <c r="F2037" t="s">
        <v>752</v>
      </c>
      <c r="H2037">
        <v>180.87</v>
      </c>
      <c r="O2037" t="s">
        <v>239</v>
      </c>
      <c r="P2037" t="s">
        <v>514</v>
      </c>
      <c r="Y2037">
        <v>2003</v>
      </c>
      <c r="Z2037" s="259" t="s">
        <v>630</v>
      </c>
      <c r="AA2037">
        <v>100</v>
      </c>
      <c r="AB2037">
        <v>20020</v>
      </c>
      <c r="AC2037">
        <v>45960</v>
      </c>
      <c r="AD2037">
        <v>0</v>
      </c>
      <c r="AE2037">
        <v>18087</v>
      </c>
      <c r="AF2037">
        <v>18087</v>
      </c>
      <c r="AG2037">
        <v>0</v>
      </c>
      <c r="AH2037">
        <v>-1933</v>
      </c>
    </row>
    <row r="2038" spans="2:34" x14ac:dyDescent="0.35">
      <c r="B2038" t="s">
        <v>565</v>
      </c>
      <c r="C2038">
        <v>45960</v>
      </c>
      <c r="F2038" t="s">
        <v>754</v>
      </c>
      <c r="H2038">
        <v>77.17</v>
      </c>
      <c r="O2038" t="s">
        <v>239</v>
      </c>
      <c r="P2038" t="s">
        <v>514</v>
      </c>
      <c r="Y2038">
        <v>2004</v>
      </c>
      <c r="Z2038" s="259" t="s">
        <v>630</v>
      </c>
      <c r="AA2038">
        <v>50</v>
      </c>
      <c r="AB2038">
        <v>4104</v>
      </c>
      <c r="AC2038">
        <v>45960</v>
      </c>
      <c r="AD2038">
        <v>0</v>
      </c>
      <c r="AE2038">
        <v>3858.5</v>
      </c>
      <c r="AF2038">
        <v>3858.5</v>
      </c>
      <c r="AG2038">
        <v>0</v>
      </c>
      <c r="AH2038">
        <v>-245.5</v>
      </c>
    </row>
    <row r="2039" spans="2:34" x14ac:dyDescent="0.35">
      <c r="B2039" t="s">
        <v>565</v>
      </c>
      <c r="C2039">
        <v>45961</v>
      </c>
      <c r="F2039" t="s">
        <v>749</v>
      </c>
      <c r="H2039">
        <v>51</v>
      </c>
      <c r="O2039" t="s">
        <v>239</v>
      </c>
      <c r="P2039" t="s">
        <v>514</v>
      </c>
      <c r="Y2039">
        <v>2005</v>
      </c>
      <c r="Z2039" s="259" t="s">
        <v>630</v>
      </c>
      <c r="AA2039">
        <v>100</v>
      </c>
      <c r="AB2039">
        <v>5005</v>
      </c>
      <c r="AC2039">
        <v>45961</v>
      </c>
      <c r="AD2039">
        <v>0</v>
      </c>
      <c r="AE2039">
        <v>5100</v>
      </c>
      <c r="AF2039">
        <v>5100</v>
      </c>
      <c r="AG2039">
        <v>0</v>
      </c>
      <c r="AH2039">
        <v>95</v>
      </c>
    </row>
    <row r="2040" spans="2:34" x14ac:dyDescent="0.35">
      <c r="B2040" t="s">
        <v>565</v>
      </c>
      <c r="C2040">
        <v>45961</v>
      </c>
      <c r="F2040" t="s">
        <v>752</v>
      </c>
      <c r="H2040">
        <v>181</v>
      </c>
      <c r="O2040" t="s">
        <v>239</v>
      </c>
      <c r="P2040" t="s">
        <v>514</v>
      </c>
      <c r="Y2040">
        <v>2006</v>
      </c>
      <c r="Z2040" s="259" t="s">
        <v>630</v>
      </c>
      <c r="AA2040">
        <v>100</v>
      </c>
      <c r="AB2040">
        <v>20020</v>
      </c>
      <c r="AC2040">
        <v>45961</v>
      </c>
      <c r="AD2040">
        <v>0</v>
      </c>
      <c r="AE2040">
        <v>18100</v>
      </c>
      <c r="AF2040">
        <v>18100</v>
      </c>
      <c r="AG2040">
        <v>0</v>
      </c>
      <c r="AH2040">
        <v>-1920</v>
      </c>
    </row>
    <row r="2041" spans="2:34" x14ac:dyDescent="0.35">
      <c r="B2041" t="s">
        <v>565</v>
      </c>
      <c r="C2041">
        <v>45961</v>
      </c>
      <c r="F2041" t="s">
        <v>754</v>
      </c>
      <c r="H2041">
        <v>77</v>
      </c>
      <c r="O2041" t="s">
        <v>239</v>
      </c>
      <c r="P2041" t="s">
        <v>514</v>
      </c>
      <c r="Y2041">
        <v>2007</v>
      </c>
      <c r="Z2041" s="259" t="s">
        <v>630</v>
      </c>
      <c r="AA2041">
        <v>50</v>
      </c>
      <c r="AB2041">
        <v>4104</v>
      </c>
      <c r="AC2041">
        <v>45961</v>
      </c>
      <c r="AD2041">
        <v>0</v>
      </c>
      <c r="AE2041">
        <v>3850</v>
      </c>
      <c r="AF2041">
        <v>3850</v>
      </c>
      <c r="AG2041">
        <v>0</v>
      </c>
      <c r="AH2041">
        <v>-254</v>
      </c>
    </row>
    <row r="2042" spans="2:34" x14ac:dyDescent="0.35">
      <c r="B2042" t="s">
        <v>565</v>
      </c>
      <c r="C2042">
        <v>45962</v>
      </c>
      <c r="F2042" t="s">
        <v>749</v>
      </c>
      <c r="H2042">
        <v>51</v>
      </c>
      <c r="O2042" t="s">
        <v>239</v>
      </c>
      <c r="P2042" t="s">
        <v>514</v>
      </c>
      <c r="Y2042">
        <v>2008</v>
      </c>
      <c r="Z2042" s="259" t="s">
        <v>630</v>
      </c>
      <c r="AA2042">
        <v>100</v>
      </c>
      <c r="AB2042">
        <v>5005</v>
      </c>
      <c r="AC2042">
        <v>45961</v>
      </c>
      <c r="AD2042">
        <v>1</v>
      </c>
      <c r="AE2042">
        <v>5100</v>
      </c>
      <c r="AF2042">
        <v>5100</v>
      </c>
      <c r="AG2042">
        <v>0</v>
      </c>
      <c r="AH2042">
        <v>95</v>
      </c>
    </row>
    <row r="2043" spans="2:34" x14ac:dyDescent="0.35">
      <c r="B2043" t="s">
        <v>565</v>
      </c>
      <c r="C2043">
        <v>45962</v>
      </c>
      <c r="F2043" t="s">
        <v>752</v>
      </c>
      <c r="H2043">
        <v>181</v>
      </c>
      <c r="O2043" t="s">
        <v>239</v>
      </c>
      <c r="P2043" t="s">
        <v>514</v>
      </c>
      <c r="Y2043">
        <v>2009</v>
      </c>
      <c r="Z2043" s="259" t="s">
        <v>630</v>
      </c>
      <c r="AA2043">
        <v>100</v>
      </c>
      <c r="AB2043">
        <v>20020</v>
      </c>
      <c r="AC2043">
        <v>45961</v>
      </c>
      <c r="AD2043">
        <v>1</v>
      </c>
      <c r="AE2043">
        <v>18100</v>
      </c>
      <c r="AF2043">
        <v>18100</v>
      </c>
      <c r="AG2043">
        <v>0</v>
      </c>
      <c r="AH2043">
        <v>-1920</v>
      </c>
    </row>
    <row r="2044" spans="2:34" x14ac:dyDescent="0.35">
      <c r="B2044" t="s">
        <v>565</v>
      </c>
      <c r="C2044">
        <v>45962</v>
      </c>
      <c r="F2044" t="s">
        <v>754</v>
      </c>
      <c r="H2044">
        <v>77</v>
      </c>
      <c r="O2044" t="s">
        <v>239</v>
      </c>
      <c r="P2044" t="s">
        <v>514</v>
      </c>
      <c r="Y2044">
        <v>2010</v>
      </c>
      <c r="Z2044" s="259" t="s">
        <v>630</v>
      </c>
      <c r="AA2044">
        <v>50</v>
      </c>
      <c r="AB2044">
        <v>4104</v>
      </c>
      <c r="AC2044">
        <v>45961</v>
      </c>
      <c r="AD2044">
        <v>1</v>
      </c>
      <c r="AE2044">
        <v>3850</v>
      </c>
      <c r="AF2044">
        <v>3850</v>
      </c>
      <c r="AG2044">
        <v>0</v>
      </c>
      <c r="AH2044">
        <v>-254</v>
      </c>
    </row>
    <row r="2045" spans="2:34" x14ac:dyDescent="0.35">
      <c r="B2045" t="s">
        <v>565</v>
      </c>
      <c r="C2045">
        <v>45963</v>
      </c>
      <c r="F2045" t="s">
        <v>749</v>
      </c>
      <c r="H2045">
        <v>51</v>
      </c>
      <c r="O2045" t="s">
        <v>239</v>
      </c>
      <c r="P2045" t="s">
        <v>514</v>
      </c>
      <c r="Y2045">
        <v>2011</v>
      </c>
      <c r="Z2045" s="259" t="s">
        <v>630</v>
      </c>
      <c r="AA2045">
        <v>100</v>
      </c>
      <c r="AB2045">
        <v>5005</v>
      </c>
      <c r="AC2045">
        <v>45961</v>
      </c>
      <c r="AD2045">
        <v>2</v>
      </c>
      <c r="AE2045">
        <v>5100</v>
      </c>
      <c r="AF2045">
        <v>5100</v>
      </c>
      <c r="AG2045">
        <v>0</v>
      </c>
      <c r="AH2045">
        <v>95</v>
      </c>
    </row>
    <row r="2046" spans="2:34" x14ac:dyDescent="0.35">
      <c r="B2046" t="s">
        <v>565</v>
      </c>
      <c r="C2046">
        <v>45963</v>
      </c>
      <c r="F2046" t="s">
        <v>752</v>
      </c>
      <c r="H2046">
        <v>181</v>
      </c>
      <c r="O2046" t="s">
        <v>239</v>
      </c>
      <c r="P2046" t="s">
        <v>514</v>
      </c>
      <c r="Y2046">
        <v>2012</v>
      </c>
      <c r="Z2046" s="259" t="s">
        <v>630</v>
      </c>
      <c r="AA2046">
        <v>100</v>
      </c>
      <c r="AB2046">
        <v>20020</v>
      </c>
      <c r="AC2046">
        <v>45961</v>
      </c>
      <c r="AD2046">
        <v>2</v>
      </c>
      <c r="AE2046">
        <v>18100</v>
      </c>
      <c r="AF2046">
        <v>18100</v>
      </c>
      <c r="AG2046">
        <v>0</v>
      </c>
      <c r="AH2046">
        <v>-1920</v>
      </c>
    </row>
    <row r="2047" spans="2:34" x14ac:dyDescent="0.35">
      <c r="B2047" t="s">
        <v>565</v>
      </c>
      <c r="C2047">
        <v>45963</v>
      </c>
      <c r="F2047" t="s">
        <v>754</v>
      </c>
      <c r="H2047">
        <v>77</v>
      </c>
      <c r="O2047" t="s">
        <v>239</v>
      </c>
      <c r="P2047" t="s">
        <v>514</v>
      </c>
      <c r="Y2047">
        <v>2013</v>
      </c>
      <c r="Z2047" s="259" t="s">
        <v>630</v>
      </c>
      <c r="AA2047">
        <v>50</v>
      </c>
      <c r="AB2047">
        <v>4104</v>
      </c>
      <c r="AC2047">
        <v>45961</v>
      </c>
      <c r="AD2047">
        <v>2</v>
      </c>
      <c r="AE2047">
        <v>3850</v>
      </c>
      <c r="AF2047">
        <v>3850</v>
      </c>
      <c r="AG2047">
        <v>0</v>
      </c>
      <c r="AH2047">
        <v>-254</v>
      </c>
    </row>
    <row r="2048" spans="2:34" x14ac:dyDescent="0.35">
      <c r="B2048" t="s">
        <v>565</v>
      </c>
      <c r="C2048">
        <v>45964</v>
      </c>
      <c r="F2048" t="s">
        <v>749</v>
      </c>
      <c r="H2048">
        <v>50.79</v>
      </c>
      <c r="O2048" t="s">
        <v>239</v>
      </c>
      <c r="P2048" t="s">
        <v>514</v>
      </c>
      <c r="Y2048">
        <v>2014</v>
      </c>
      <c r="Z2048" s="259" t="s">
        <v>630</v>
      </c>
      <c r="AA2048">
        <v>100</v>
      </c>
      <c r="AB2048">
        <v>5005</v>
      </c>
      <c r="AC2048">
        <v>45964</v>
      </c>
      <c r="AD2048">
        <v>0</v>
      </c>
      <c r="AE2048">
        <v>5079</v>
      </c>
      <c r="AF2048">
        <v>5079</v>
      </c>
      <c r="AG2048">
        <v>0</v>
      </c>
      <c r="AH2048">
        <v>74</v>
      </c>
    </row>
    <row r="2049" spans="2:34" x14ac:dyDescent="0.35">
      <c r="B2049" t="s">
        <v>565</v>
      </c>
      <c r="C2049">
        <v>45964</v>
      </c>
      <c r="F2049" t="s">
        <v>752</v>
      </c>
      <c r="H2049">
        <v>180.24</v>
      </c>
      <c r="O2049" t="s">
        <v>239</v>
      </c>
      <c r="P2049" t="s">
        <v>514</v>
      </c>
      <c r="Y2049">
        <v>2015</v>
      </c>
      <c r="Z2049" s="259" t="s">
        <v>630</v>
      </c>
      <c r="AA2049">
        <v>100</v>
      </c>
      <c r="AB2049">
        <v>20020</v>
      </c>
      <c r="AC2049">
        <v>45964</v>
      </c>
      <c r="AD2049">
        <v>0</v>
      </c>
      <c r="AE2049">
        <v>18024</v>
      </c>
      <c r="AF2049">
        <v>18024</v>
      </c>
      <c r="AG2049">
        <v>0</v>
      </c>
      <c r="AH2049">
        <v>-1996</v>
      </c>
    </row>
    <row r="2050" spans="2:34" x14ac:dyDescent="0.35">
      <c r="B2050" t="s">
        <v>565</v>
      </c>
      <c r="C2050">
        <v>45964</v>
      </c>
      <c r="F2050" t="s">
        <v>754</v>
      </c>
      <c r="H2050">
        <v>76.010000000000005</v>
      </c>
      <c r="O2050" t="s">
        <v>239</v>
      </c>
      <c r="P2050" t="s">
        <v>514</v>
      </c>
      <c r="Y2050">
        <v>2016</v>
      </c>
      <c r="Z2050" s="259" t="s">
        <v>630</v>
      </c>
      <c r="AA2050">
        <v>50</v>
      </c>
      <c r="AB2050">
        <v>4104</v>
      </c>
      <c r="AC2050">
        <v>45964</v>
      </c>
      <c r="AD2050">
        <v>0</v>
      </c>
      <c r="AE2050">
        <v>3800.5000000000005</v>
      </c>
      <c r="AF2050">
        <v>3800.5000000000005</v>
      </c>
      <c r="AG2050">
        <v>60</v>
      </c>
      <c r="AH2050">
        <v>-303.49999999999955</v>
      </c>
    </row>
    <row r="2051" spans="2:34" x14ac:dyDescent="0.35">
      <c r="B2051" t="s">
        <v>565</v>
      </c>
      <c r="C2051">
        <v>45965</v>
      </c>
      <c r="F2051" t="s">
        <v>749</v>
      </c>
      <c r="H2051">
        <v>50.69</v>
      </c>
      <c r="O2051" t="s">
        <v>239</v>
      </c>
      <c r="P2051" t="s">
        <v>514</v>
      </c>
      <c r="Y2051">
        <v>2017</v>
      </c>
      <c r="Z2051" s="259" t="s">
        <v>630</v>
      </c>
      <c r="AA2051">
        <v>100</v>
      </c>
      <c r="AB2051">
        <v>5005</v>
      </c>
      <c r="AC2051">
        <v>45965</v>
      </c>
      <c r="AD2051">
        <v>0</v>
      </c>
      <c r="AE2051">
        <v>5069</v>
      </c>
      <c r="AF2051">
        <v>5069</v>
      </c>
      <c r="AG2051">
        <v>0</v>
      </c>
      <c r="AH2051">
        <v>64</v>
      </c>
    </row>
    <row r="2052" spans="2:34" x14ac:dyDescent="0.35">
      <c r="B2052" t="s">
        <v>565</v>
      </c>
      <c r="C2052">
        <v>45965</v>
      </c>
      <c r="F2052" t="s">
        <v>752</v>
      </c>
      <c r="H2052">
        <v>179.86</v>
      </c>
      <c r="O2052" t="s">
        <v>239</v>
      </c>
      <c r="P2052" t="s">
        <v>514</v>
      </c>
      <c r="Y2052">
        <v>2018</v>
      </c>
      <c r="Z2052" s="259" t="s">
        <v>630</v>
      </c>
      <c r="AA2052">
        <v>100</v>
      </c>
      <c r="AB2052">
        <v>20020</v>
      </c>
      <c r="AC2052">
        <v>45965</v>
      </c>
      <c r="AD2052">
        <v>0</v>
      </c>
      <c r="AE2052">
        <v>17986</v>
      </c>
      <c r="AF2052">
        <v>17986</v>
      </c>
      <c r="AG2052">
        <v>0</v>
      </c>
      <c r="AH2052">
        <v>-2034</v>
      </c>
    </row>
    <row r="2053" spans="2:34" x14ac:dyDescent="0.35">
      <c r="B2053" t="s">
        <v>565</v>
      </c>
      <c r="C2053">
        <v>45965</v>
      </c>
      <c r="F2053" t="s">
        <v>754</v>
      </c>
      <c r="H2053">
        <v>76.11</v>
      </c>
      <c r="O2053" t="s">
        <v>239</v>
      </c>
      <c r="P2053" t="s">
        <v>514</v>
      </c>
      <c r="Y2053">
        <v>2019</v>
      </c>
      <c r="Z2053" s="259" t="s">
        <v>630</v>
      </c>
      <c r="AA2053">
        <v>50</v>
      </c>
      <c r="AB2053">
        <v>4104</v>
      </c>
      <c r="AC2053">
        <v>45965</v>
      </c>
      <c r="AD2053">
        <v>0</v>
      </c>
      <c r="AE2053">
        <v>3805.5</v>
      </c>
      <c r="AF2053">
        <v>3805.5</v>
      </c>
      <c r="AG2053">
        <v>60</v>
      </c>
      <c r="AH2053">
        <v>-298.5</v>
      </c>
    </row>
    <row r="2054" spans="2:34" x14ac:dyDescent="0.35">
      <c r="B2054" t="s">
        <v>565</v>
      </c>
      <c r="C2054">
        <v>45966</v>
      </c>
      <c r="F2054" t="s">
        <v>749</v>
      </c>
      <c r="H2054">
        <v>50.59</v>
      </c>
      <c r="O2054" t="s">
        <v>239</v>
      </c>
      <c r="P2054" t="s">
        <v>514</v>
      </c>
      <c r="Y2054">
        <v>2020</v>
      </c>
      <c r="Z2054" s="259" t="s">
        <v>630</v>
      </c>
      <c r="AA2054">
        <v>100</v>
      </c>
      <c r="AB2054">
        <v>5005</v>
      </c>
      <c r="AC2054">
        <v>45966</v>
      </c>
      <c r="AD2054">
        <v>0</v>
      </c>
      <c r="AE2054">
        <v>5059</v>
      </c>
      <c r="AF2054">
        <v>5059</v>
      </c>
      <c r="AG2054">
        <v>0</v>
      </c>
      <c r="AH2054">
        <v>54</v>
      </c>
    </row>
    <row r="2055" spans="2:34" x14ac:dyDescent="0.35">
      <c r="B2055" t="s">
        <v>565</v>
      </c>
      <c r="C2055">
        <v>45966</v>
      </c>
      <c r="F2055" t="s">
        <v>752</v>
      </c>
      <c r="H2055">
        <v>179.48</v>
      </c>
      <c r="O2055" t="s">
        <v>239</v>
      </c>
      <c r="P2055" t="s">
        <v>514</v>
      </c>
      <c r="Y2055">
        <v>2021</v>
      </c>
      <c r="Z2055" s="259" t="s">
        <v>630</v>
      </c>
      <c r="AA2055">
        <v>100</v>
      </c>
      <c r="AB2055">
        <v>20020</v>
      </c>
      <c r="AC2055">
        <v>45966</v>
      </c>
      <c r="AD2055">
        <v>0</v>
      </c>
      <c r="AE2055">
        <v>17948</v>
      </c>
      <c r="AF2055">
        <v>17948</v>
      </c>
      <c r="AG2055">
        <v>0</v>
      </c>
      <c r="AH2055">
        <v>-2072</v>
      </c>
    </row>
    <row r="2056" spans="2:34" x14ac:dyDescent="0.35">
      <c r="B2056" t="s">
        <v>565</v>
      </c>
      <c r="C2056">
        <v>45966</v>
      </c>
      <c r="F2056" t="s">
        <v>754</v>
      </c>
      <c r="H2056">
        <v>76.209999999999994</v>
      </c>
      <c r="O2056" t="s">
        <v>239</v>
      </c>
      <c r="P2056" t="s">
        <v>514</v>
      </c>
      <c r="Y2056">
        <v>2022</v>
      </c>
      <c r="Z2056" s="259" t="s">
        <v>630</v>
      </c>
      <c r="AA2056">
        <v>50</v>
      </c>
      <c r="AB2056">
        <v>4104</v>
      </c>
      <c r="AC2056">
        <v>45966</v>
      </c>
      <c r="AD2056">
        <v>0</v>
      </c>
      <c r="AE2056">
        <v>3810.4999999999995</v>
      </c>
      <c r="AF2056">
        <v>3810.4999999999995</v>
      </c>
      <c r="AG2056">
        <v>60</v>
      </c>
      <c r="AH2056">
        <v>-293.50000000000045</v>
      </c>
    </row>
    <row r="2057" spans="2:34" x14ac:dyDescent="0.35">
      <c r="B2057" t="s">
        <v>565</v>
      </c>
      <c r="C2057">
        <v>45967</v>
      </c>
      <c r="F2057" t="s">
        <v>749</v>
      </c>
      <c r="H2057">
        <v>50.48</v>
      </c>
      <c r="O2057" t="s">
        <v>239</v>
      </c>
      <c r="P2057" t="s">
        <v>514</v>
      </c>
      <c r="Y2057">
        <v>2023</v>
      </c>
      <c r="Z2057" s="259" t="s">
        <v>630</v>
      </c>
      <c r="AA2057">
        <v>100</v>
      </c>
      <c r="AB2057">
        <v>5005</v>
      </c>
      <c r="AC2057">
        <v>45967</v>
      </c>
      <c r="AD2057">
        <v>0</v>
      </c>
      <c r="AE2057">
        <v>5048</v>
      </c>
      <c r="AF2057">
        <v>5048</v>
      </c>
      <c r="AG2057">
        <v>0</v>
      </c>
      <c r="AH2057">
        <v>43</v>
      </c>
    </row>
    <row r="2058" spans="2:34" x14ac:dyDescent="0.35">
      <c r="B2058" t="s">
        <v>565</v>
      </c>
      <c r="C2058">
        <v>45967</v>
      </c>
      <c r="F2058" t="s">
        <v>752</v>
      </c>
      <c r="H2058">
        <v>179.1</v>
      </c>
      <c r="O2058" t="s">
        <v>239</v>
      </c>
      <c r="P2058" t="s">
        <v>514</v>
      </c>
      <c r="Y2058">
        <v>2024</v>
      </c>
      <c r="Z2058" s="259" t="s">
        <v>630</v>
      </c>
      <c r="AA2058">
        <v>100</v>
      </c>
      <c r="AB2058">
        <v>20020</v>
      </c>
      <c r="AC2058">
        <v>45967</v>
      </c>
      <c r="AD2058">
        <v>0</v>
      </c>
      <c r="AE2058">
        <v>17910</v>
      </c>
      <c r="AF2058">
        <v>17910</v>
      </c>
      <c r="AG2058">
        <v>0</v>
      </c>
      <c r="AH2058">
        <v>-2110</v>
      </c>
    </row>
    <row r="2059" spans="2:34" x14ac:dyDescent="0.35">
      <c r="B2059" t="s">
        <v>565</v>
      </c>
      <c r="C2059">
        <v>45967</v>
      </c>
      <c r="F2059" t="s">
        <v>754</v>
      </c>
      <c r="H2059">
        <v>76.319999999999993</v>
      </c>
      <c r="O2059" t="s">
        <v>239</v>
      </c>
      <c r="P2059" t="s">
        <v>514</v>
      </c>
      <c r="Y2059">
        <v>2025</v>
      </c>
      <c r="Z2059" s="259" t="s">
        <v>630</v>
      </c>
      <c r="AA2059">
        <v>50</v>
      </c>
      <c r="AB2059">
        <v>4104</v>
      </c>
      <c r="AC2059">
        <v>45967</v>
      </c>
      <c r="AD2059">
        <v>0</v>
      </c>
      <c r="AE2059">
        <v>3815.9999999999995</v>
      </c>
      <c r="AF2059">
        <v>3815.9999999999995</v>
      </c>
      <c r="AG2059">
        <v>60</v>
      </c>
      <c r="AH2059">
        <v>-288.00000000000045</v>
      </c>
    </row>
    <row r="2060" spans="2:34" x14ac:dyDescent="0.35">
      <c r="B2060" t="s">
        <v>565</v>
      </c>
      <c r="C2060">
        <v>45968</v>
      </c>
      <c r="F2060" t="s">
        <v>749</v>
      </c>
      <c r="H2060">
        <v>50.38</v>
      </c>
      <c r="O2060" t="s">
        <v>239</v>
      </c>
      <c r="P2060" t="s">
        <v>514</v>
      </c>
      <c r="Y2060">
        <v>2026</v>
      </c>
      <c r="Z2060" s="259" t="s">
        <v>630</v>
      </c>
      <c r="AA2060">
        <v>100</v>
      </c>
      <c r="AB2060">
        <v>5005</v>
      </c>
      <c r="AC2060">
        <v>45968</v>
      </c>
      <c r="AD2060">
        <v>0</v>
      </c>
      <c r="AE2060">
        <v>5038</v>
      </c>
      <c r="AF2060">
        <v>5038</v>
      </c>
      <c r="AG2060">
        <v>0</v>
      </c>
      <c r="AH2060">
        <v>33</v>
      </c>
    </row>
    <row r="2061" spans="2:34" x14ac:dyDescent="0.35">
      <c r="B2061" t="s">
        <v>565</v>
      </c>
      <c r="C2061">
        <v>45968</v>
      </c>
      <c r="F2061" t="s">
        <v>752</v>
      </c>
      <c r="H2061">
        <v>178.72</v>
      </c>
      <c r="O2061" t="s">
        <v>239</v>
      </c>
      <c r="P2061" t="s">
        <v>514</v>
      </c>
      <c r="Y2061">
        <v>2027</v>
      </c>
      <c r="Z2061" s="259" t="s">
        <v>630</v>
      </c>
      <c r="AA2061">
        <v>100</v>
      </c>
      <c r="AB2061">
        <v>20020</v>
      </c>
      <c r="AC2061">
        <v>45968</v>
      </c>
      <c r="AD2061">
        <v>0</v>
      </c>
      <c r="AE2061">
        <v>17872</v>
      </c>
      <c r="AF2061">
        <v>17872</v>
      </c>
      <c r="AG2061">
        <v>0</v>
      </c>
      <c r="AH2061">
        <v>-2148</v>
      </c>
    </row>
    <row r="2062" spans="2:34" x14ac:dyDescent="0.35">
      <c r="B2062" t="s">
        <v>565</v>
      </c>
      <c r="C2062">
        <v>45968</v>
      </c>
      <c r="F2062" t="s">
        <v>754</v>
      </c>
      <c r="H2062">
        <v>76.42</v>
      </c>
      <c r="O2062" t="s">
        <v>239</v>
      </c>
      <c r="P2062" t="s">
        <v>514</v>
      </c>
      <c r="Y2062">
        <v>2028</v>
      </c>
      <c r="Z2062" s="259" t="s">
        <v>630</v>
      </c>
      <c r="AA2062">
        <v>50</v>
      </c>
      <c r="AB2062">
        <v>4104</v>
      </c>
      <c r="AC2062">
        <v>45968</v>
      </c>
      <c r="AD2062">
        <v>0</v>
      </c>
      <c r="AE2062">
        <v>3821</v>
      </c>
      <c r="AF2062">
        <v>3821</v>
      </c>
      <c r="AG2062">
        <v>60</v>
      </c>
      <c r="AH2062">
        <v>-283</v>
      </c>
    </row>
    <row r="2063" spans="2:34" x14ac:dyDescent="0.35">
      <c r="B2063" t="s">
        <v>565</v>
      </c>
      <c r="C2063">
        <v>45969</v>
      </c>
      <c r="F2063" t="s">
        <v>749</v>
      </c>
      <c r="H2063">
        <v>50.38</v>
      </c>
      <c r="O2063" t="s">
        <v>239</v>
      </c>
      <c r="P2063" t="s">
        <v>514</v>
      </c>
      <c r="Y2063">
        <v>2029</v>
      </c>
      <c r="Z2063" s="259" t="s">
        <v>630</v>
      </c>
      <c r="AA2063">
        <v>100</v>
      </c>
      <c r="AB2063">
        <v>5005</v>
      </c>
      <c r="AC2063">
        <v>45968</v>
      </c>
      <c r="AD2063">
        <v>1</v>
      </c>
      <c r="AE2063">
        <v>5038</v>
      </c>
      <c r="AF2063">
        <v>5038</v>
      </c>
      <c r="AG2063">
        <v>0</v>
      </c>
      <c r="AH2063">
        <v>33</v>
      </c>
    </row>
    <row r="2064" spans="2:34" x14ac:dyDescent="0.35">
      <c r="B2064" t="s">
        <v>565</v>
      </c>
      <c r="C2064">
        <v>45969</v>
      </c>
      <c r="F2064" t="s">
        <v>752</v>
      </c>
      <c r="H2064">
        <v>178.72</v>
      </c>
      <c r="O2064" t="s">
        <v>239</v>
      </c>
      <c r="P2064" t="s">
        <v>514</v>
      </c>
      <c r="Y2064">
        <v>2030</v>
      </c>
      <c r="Z2064" s="259" t="s">
        <v>630</v>
      </c>
      <c r="AA2064">
        <v>100</v>
      </c>
      <c r="AB2064">
        <v>20020</v>
      </c>
      <c r="AC2064">
        <v>45968</v>
      </c>
      <c r="AD2064">
        <v>1</v>
      </c>
      <c r="AE2064">
        <v>17872</v>
      </c>
      <c r="AF2064">
        <v>17872</v>
      </c>
      <c r="AG2064">
        <v>0</v>
      </c>
      <c r="AH2064">
        <v>-2148</v>
      </c>
    </row>
    <row r="2065" spans="2:34" x14ac:dyDescent="0.35">
      <c r="B2065" t="s">
        <v>565</v>
      </c>
      <c r="C2065">
        <v>45969</v>
      </c>
      <c r="F2065" t="s">
        <v>754</v>
      </c>
      <c r="H2065">
        <v>76.42</v>
      </c>
      <c r="O2065" t="s">
        <v>239</v>
      </c>
      <c r="P2065" t="s">
        <v>514</v>
      </c>
      <c r="Y2065">
        <v>2031</v>
      </c>
      <c r="Z2065" s="259" t="s">
        <v>630</v>
      </c>
      <c r="AA2065">
        <v>50</v>
      </c>
      <c r="AB2065">
        <v>4104</v>
      </c>
      <c r="AC2065">
        <v>45968</v>
      </c>
      <c r="AD2065">
        <v>1</v>
      </c>
      <c r="AE2065">
        <v>3821</v>
      </c>
      <c r="AF2065">
        <v>3821</v>
      </c>
      <c r="AG2065">
        <v>60</v>
      </c>
      <c r="AH2065">
        <v>-283</v>
      </c>
    </row>
    <row r="2066" spans="2:34" x14ac:dyDescent="0.35">
      <c r="B2066" t="s">
        <v>565</v>
      </c>
      <c r="C2066">
        <v>45970</v>
      </c>
      <c r="F2066" t="s">
        <v>749</v>
      </c>
      <c r="H2066">
        <v>50.38</v>
      </c>
      <c r="O2066" t="s">
        <v>239</v>
      </c>
      <c r="P2066" t="s">
        <v>514</v>
      </c>
      <c r="Y2066">
        <v>2032</v>
      </c>
      <c r="Z2066" s="259" t="s">
        <v>630</v>
      </c>
      <c r="AA2066">
        <v>100</v>
      </c>
      <c r="AB2066">
        <v>5005</v>
      </c>
      <c r="AC2066">
        <v>45968</v>
      </c>
      <c r="AD2066">
        <v>2</v>
      </c>
      <c r="AE2066">
        <v>5038</v>
      </c>
      <c r="AF2066">
        <v>5038</v>
      </c>
      <c r="AG2066">
        <v>0</v>
      </c>
      <c r="AH2066">
        <v>33</v>
      </c>
    </row>
    <row r="2067" spans="2:34" x14ac:dyDescent="0.35">
      <c r="B2067" t="s">
        <v>565</v>
      </c>
      <c r="C2067">
        <v>45970</v>
      </c>
      <c r="F2067" t="s">
        <v>752</v>
      </c>
      <c r="H2067">
        <v>178.72</v>
      </c>
      <c r="O2067" t="s">
        <v>239</v>
      </c>
      <c r="P2067" t="s">
        <v>514</v>
      </c>
      <c r="Y2067">
        <v>2033</v>
      </c>
      <c r="Z2067" s="259" t="s">
        <v>630</v>
      </c>
      <c r="AA2067">
        <v>100</v>
      </c>
      <c r="AB2067">
        <v>20020</v>
      </c>
      <c r="AC2067">
        <v>45968</v>
      </c>
      <c r="AD2067">
        <v>2</v>
      </c>
      <c r="AE2067">
        <v>17872</v>
      </c>
      <c r="AF2067">
        <v>17872</v>
      </c>
      <c r="AG2067">
        <v>0</v>
      </c>
      <c r="AH2067">
        <v>-2148</v>
      </c>
    </row>
    <row r="2068" spans="2:34" x14ac:dyDescent="0.35">
      <c r="B2068" t="s">
        <v>565</v>
      </c>
      <c r="C2068">
        <v>45970</v>
      </c>
      <c r="F2068" t="s">
        <v>754</v>
      </c>
      <c r="H2068">
        <v>76.42</v>
      </c>
      <c r="O2068" t="s">
        <v>239</v>
      </c>
      <c r="P2068" t="s">
        <v>514</v>
      </c>
      <c r="Y2068">
        <v>2034</v>
      </c>
      <c r="Z2068" s="259" t="s">
        <v>630</v>
      </c>
      <c r="AA2068">
        <v>50</v>
      </c>
      <c r="AB2068">
        <v>4104</v>
      </c>
      <c r="AC2068">
        <v>45968</v>
      </c>
      <c r="AD2068">
        <v>2</v>
      </c>
      <c r="AE2068">
        <v>3821</v>
      </c>
      <c r="AF2068">
        <v>3821</v>
      </c>
      <c r="AG2068">
        <v>60</v>
      </c>
      <c r="AH2068">
        <v>-283</v>
      </c>
    </row>
    <row r="2069" spans="2:34" x14ac:dyDescent="0.35">
      <c r="B2069" t="s">
        <v>565</v>
      </c>
      <c r="C2069">
        <v>45971</v>
      </c>
      <c r="F2069" t="s">
        <v>749</v>
      </c>
      <c r="H2069">
        <v>50.07</v>
      </c>
      <c r="O2069" t="s">
        <v>239</v>
      </c>
      <c r="P2069" t="s">
        <v>514</v>
      </c>
      <c r="Y2069">
        <v>2035</v>
      </c>
      <c r="Z2069" s="259" t="s">
        <v>630</v>
      </c>
      <c r="AA2069">
        <v>100</v>
      </c>
      <c r="AB2069">
        <v>5005</v>
      </c>
      <c r="AC2069">
        <v>45971</v>
      </c>
      <c r="AD2069">
        <v>0</v>
      </c>
      <c r="AE2069">
        <v>5007</v>
      </c>
      <c r="AF2069">
        <v>5007</v>
      </c>
      <c r="AG2069">
        <v>0</v>
      </c>
      <c r="AH2069">
        <v>2</v>
      </c>
    </row>
    <row r="2070" spans="2:34" x14ac:dyDescent="0.35">
      <c r="B2070" t="s">
        <v>565</v>
      </c>
      <c r="C2070">
        <v>45971</v>
      </c>
      <c r="F2070" t="s">
        <v>752</v>
      </c>
      <c r="H2070">
        <v>177.59</v>
      </c>
      <c r="O2070" t="s">
        <v>239</v>
      </c>
      <c r="P2070" t="s">
        <v>514</v>
      </c>
      <c r="Y2070">
        <v>2036</v>
      </c>
      <c r="Z2070" s="259" t="s">
        <v>630</v>
      </c>
      <c r="AA2070">
        <v>100</v>
      </c>
      <c r="AB2070">
        <v>20020</v>
      </c>
      <c r="AC2070">
        <v>45971</v>
      </c>
      <c r="AD2070">
        <v>0</v>
      </c>
      <c r="AE2070">
        <v>17759</v>
      </c>
      <c r="AF2070">
        <v>17759</v>
      </c>
      <c r="AG2070">
        <v>0</v>
      </c>
      <c r="AH2070">
        <v>-2261</v>
      </c>
    </row>
    <row r="2071" spans="2:34" x14ac:dyDescent="0.35">
      <c r="B2071" t="s">
        <v>565</v>
      </c>
      <c r="C2071">
        <v>45971</v>
      </c>
      <c r="F2071" t="s">
        <v>754</v>
      </c>
      <c r="H2071">
        <v>76.73</v>
      </c>
      <c r="O2071" t="s">
        <v>239</v>
      </c>
      <c r="P2071" t="s">
        <v>514</v>
      </c>
      <c r="Y2071">
        <v>2037</v>
      </c>
      <c r="Z2071" s="259" t="s">
        <v>630</v>
      </c>
      <c r="AA2071">
        <v>50</v>
      </c>
      <c r="AB2071">
        <v>4104</v>
      </c>
      <c r="AC2071">
        <v>45971</v>
      </c>
      <c r="AD2071">
        <v>0</v>
      </c>
      <c r="AE2071">
        <v>3836.5</v>
      </c>
      <c r="AF2071">
        <v>3836.5</v>
      </c>
      <c r="AG2071">
        <v>60</v>
      </c>
      <c r="AH2071">
        <v>-267.5</v>
      </c>
    </row>
    <row r="2072" spans="2:34" x14ac:dyDescent="0.35">
      <c r="B2072" t="s">
        <v>565</v>
      </c>
      <c r="C2072">
        <v>45972</v>
      </c>
      <c r="F2072" t="s">
        <v>749</v>
      </c>
      <c r="H2072">
        <v>49.97</v>
      </c>
      <c r="O2072" t="s">
        <v>239</v>
      </c>
      <c r="P2072" t="s">
        <v>514</v>
      </c>
      <c r="Y2072">
        <v>2038</v>
      </c>
      <c r="Z2072" s="259" t="s">
        <v>630</v>
      </c>
      <c r="AA2072">
        <v>100</v>
      </c>
      <c r="AB2072">
        <v>5005</v>
      </c>
      <c r="AC2072">
        <v>45972</v>
      </c>
      <c r="AD2072">
        <v>0</v>
      </c>
      <c r="AE2072">
        <v>4997</v>
      </c>
      <c r="AF2072">
        <v>4997</v>
      </c>
      <c r="AG2072">
        <v>0</v>
      </c>
      <c r="AH2072">
        <v>-8</v>
      </c>
    </row>
    <row r="2073" spans="2:34" x14ac:dyDescent="0.35">
      <c r="B2073" t="s">
        <v>565</v>
      </c>
      <c r="C2073">
        <v>45972</v>
      </c>
      <c r="F2073" t="s">
        <v>752</v>
      </c>
      <c r="H2073">
        <v>177.21</v>
      </c>
      <c r="O2073" t="s">
        <v>239</v>
      </c>
      <c r="P2073" t="s">
        <v>514</v>
      </c>
      <c r="Y2073">
        <v>2039</v>
      </c>
      <c r="Z2073" s="259" t="s">
        <v>630</v>
      </c>
      <c r="AA2073">
        <v>100</v>
      </c>
      <c r="AB2073">
        <v>20020</v>
      </c>
      <c r="AC2073">
        <v>45972</v>
      </c>
      <c r="AD2073">
        <v>0</v>
      </c>
      <c r="AE2073">
        <v>17721</v>
      </c>
      <c r="AF2073">
        <v>17721</v>
      </c>
      <c r="AG2073">
        <v>0</v>
      </c>
      <c r="AH2073">
        <v>-2299</v>
      </c>
    </row>
    <row r="2074" spans="2:34" x14ac:dyDescent="0.35">
      <c r="B2074" t="s">
        <v>565</v>
      </c>
      <c r="C2074">
        <v>45972</v>
      </c>
      <c r="F2074" t="s">
        <v>754</v>
      </c>
      <c r="H2074">
        <v>76.83</v>
      </c>
      <c r="O2074" t="s">
        <v>239</v>
      </c>
      <c r="P2074" t="s">
        <v>514</v>
      </c>
      <c r="Y2074">
        <v>2040</v>
      </c>
      <c r="Z2074" s="259" t="s">
        <v>630</v>
      </c>
      <c r="AA2074">
        <v>50</v>
      </c>
      <c r="AB2074">
        <v>4104</v>
      </c>
      <c r="AC2074">
        <v>45972</v>
      </c>
      <c r="AD2074">
        <v>0</v>
      </c>
      <c r="AE2074">
        <v>3841.5</v>
      </c>
      <c r="AF2074">
        <v>3841.5</v>
      </c>
      <c r="AG2074">
        <v>60</v>
      </c>
      <c r="AH2074">
        <v>-262.5</v>
      </c>
    </row>
    <row r="2075" spans="2:34" x14ac:dyDescent="0.35">
      <c r="B2075" t="s">
        <v>565</v>
      </c>
      <c r="C2075">
        <v>45973</v>
      </c>
      <c r="F2075" t="s">
        <v>749</v>
      </c>
      <c r="H2075">
        <v>49.86</v>
      </c>
      <c r="O2075" t="s">
        <v>239</v>
      </c>
      <c r="P2075" t="s">
        <v>514</v>
      </c>
      <c r="Y2075">
        <v>2041</v>
      </c>
      <c r="Z2075" s="259" t="s">
        <v>630</v>
      </c>
      <c r="AA2075">
        <v>100</v>
      </c>
      <c r="AB2075">
        <v>5005</v>
      </c>
      <c r="AC2075">
        <v>45973</v>
      </c>
      <c r="AD2075">
        <v>0</v>
      </c>
      <c r="AE2075">
        <v>4986</v>
      </c>
      <c r="AF2075">
        <v>4986</v>
      </c>
      <c r="AG2075">
        <v>0</v>
      </c>
      <c r="AH2075">
        <v>-19</v>
      </c>
    </row>
    <row r="2076" spans="2:34" x14ac:dyDescent="0.35">
      <c r="B2076" t="s">
        <v>565</v>
      </c>
      <c r="C2076">
        <v>45973</v>
      </c>
      <c r="F2076" t="s">
        <v>752</v>
      </c>
      <c r="H2076">
        <v>176.83</v>
      </c>
      <c r="O2076" t="s">
        <v>239</v>
      </c>
      <c r="P2076" t="s">
        <v>514</v>
      </c>
      <c r="Y2076">
        <v>2042</v>
      </c>
      <c r="Z2076" s="259" t="s">
        <v>630</v>
      </c>
      <c r="AA2076">
        <v>100</v>
      </c>
      <c r="AB2076">
        <v>20020</v>
      </c>
      <c r="AC2076">
        <v>45973</v>
      </c>
      <c r="AD2076">
        <v>0</v>
      </c>
      <c r="AE2076">
        <v>17683</v>
      </c>
      <c r="AF2076">
        <v>17683</v>
      </c>
      <c r="AG2076">
        <v>0</v>
      </c>
      <c r="AH2076">
        <v>-2337</v>
      </c>
    </row>
    <row r="2077" spans="2:34" x14ac:dyDescent="0.35">
      <c r="B2077" t="s">
        <v>565</v>
      </c>
      <c r="C2077">
        <v>45973</v>
      </c>
      <c r="F2077" t="s">
        <v>754</v>
      </c>
      <c r="H2077">
        <v>76.94</v>
      </c>
      <c r="O2077" t="s">
        <v>239</v>
      </c>
      <c r="P2077" t="s">
        <v>514</v>
      </c>
      <c r="Y2077">
        <v>2043</v>
      </c>
      <c r="Z2077" s="259" t="s">
        <v>630</v>
      </c>
      <c r="AA2077">
        <v>50</v>
      </c>
      <c r="AB2077">
        <v>4104</v>
      </c>
      <c r="AC2077">
        <v>45973</v>
      </c>
      <c r="AD2077">
        <v>0</v>
      </c>
      <c r="AE2077">
        <v>3847</v>
      </c>
      <c r="AF2077">
        <v>3847</v>
      </c>
      <c r="AG2077">
        <v>60</v>
      </c>
      <c r="AH2077">
        <v>-257</v>
      </c>
    </row>
    <row r="2078" spans="2:34" x14ac:dyDescent="0.35">
      <c r="B2078" t="s">
        <v>565</v>
      </c>
      <c r="C2078">
        <v>45974</v>
      </c>
      <c r="F2078" t="s">
        <v>749</v>
      </c>
      <c r="H2078">
        <v>49.76</v>
      </c>
      <c r="O2078" t="s">
        <v>239</v>
      </c>
      <c r="P2078" t="s">
        <v>514</v>
      </c>
      <c r="Y2078">
        <v>2044</v>
      </c>
      <c r="Z2078" s="259" t="s">
        <v>630</v>
      </c>
      <c r="AA2078">
        <v>100</v>
      </c>
      <c r="AB2078">
        <v>5005</v>
      </c>
      <c r="AC2078">
        <v>45974</v>
      </c>
      <c r="AD2078">
        <v>0</v>
      </c>
      <c r="AE2078">
        <v>4976</v>
      </c>
      <c r="AF2078">
        <v>4976</v>
      </c>
      <c r="AG2078">
        <v>0</v>
      </c>
      <c r="AH2078">
        <v>-29</v>
      </c>
    </row>
    <row r="2079" spans="2:34" x14ac:dyDescent="0.35">
      <c r="B2079" t="s">
        <v>565</v>
      </c>
      <c r="C2079">
        <v>45974</v>
      </c>
      <c r="F2079" t="s">
        <v>752</v>
      </c>
      <c r="H2079">
        <v>176.45</v>
      </c>
      <c r="O2079" t="s">
        <v>239</v>
      </c>
      <c r="P2079" t="s">
        <v>514</v>
      </c>
      <c r="Y2079">
        <v>2045</v>
      </c>
      <c r="Z2079" s="259" t="s">
        <v>630</v>
      </c>
      <c r="AA2079">
        <v>100</v>
      </c>
      <c r="AB2079">
        <v>20020</v>
      </c>
      <c r="AC2079">
        <v>45974</v>
      </c>
      <c r="AD2079">
        <v>0</v>
      </c>
      <c r="AE2079">
        <v>17645</v>
      </c>
      <c r="AF2079">
        <v>17645</v>
      </c>
      <c r="AG2079">
        <v>0</v>
      </c>
      <c r="AH2079">
        <v>-2375</v>
      </c>
    </row>
    <row r="2080" spans="2:34" x14ac:dyDescent="0.35">
      <c r="B2080" t="s">
        <v>565</v>
      </c>
      <c r="C2080">
        <v>45974</v>
      </c>
      <c r="F2080" t="s">
        <v>754</v>
      </c>
      <c r="H2080">
        <v>77.040000000000006</v>
      </c>
      <c r="O2080" t="s">
        <v>239</v>
      </c>
      <c r="P2080" t="s">
        <v>514</v>
      </c>
      <c r="Y2080">
        <v>2046</v>
      </c>
      <c r="Z2080" s="259" t="s">
        <v>630</v>
      </c>
      <c r="AA2080">
        <v>50</v>
      </c>
      <c r="AB2080">
        <v>4104</v>
      </c>
      <c r="AC2080">
        <v>45974</v>
      </c>
      <c r="AD2080">
        <v>0</v>
      </c>
      <c r="AE2080">
        <v>3852.0000000000005</v>
      </c>
      <c r="AF2080">
        <v>3852.0000000000005</v>
      </c>
      <c r="AG2080">
        <v>60</v>
      </c>
      <c r="AH2080">
        <v>-251.99999999999955</v>
      </c>
    </row>
    <row r="2081" spans="2:34" x14ac:dyDescent="0.35">
      <c r="B2081" t="s">
        <v>565</v>
      </c>
      <c r="C2081">
        <v>45975</v>
      </c>
      <c r="F2081" t="s">
        <v>749</v>
      </c>
      <c r="H2081">
        <v>49.66</v>
      </c>
      <c r="O2081" t="s">
        <v>239</v>
      </c>
      <c r="P2081" t="s">
        <v>514</v>
      </c>
      <c r="Y2081">
        <v>2047</v>
      </c>
      <c r="Z2081" s="259" t="s">
        <v>630</v>
      </c>
      <c r="AA2081">
        <v>100</v>
      </c>
      <c r="AB2081">
        <v>5005</v>
      </c>
      <c r="AC2081">
        <v>45975</v>
      </c>
      <c r="AD2081">
        <v>0</v>
      </c>
      <c r="AE2081">
        <v>4966</v>
      </c>
      <c r="AF2081">
        <v>4966</v>
      </c>
      <c r="AG2081">
        <v>0</v>
      </c>
      <c r="AH2081">
        <v>-39</v>
      </c>
    </row>
    <row r="2082" spans="2:34" x14ac:dyDescent="0.35">
      <c r="B2082" t="s">
        <v>565</v>
      </c>
      <c r="C2082">
        <v>45975</v>
      </c>
      <c r="F2082" t="s">
        <v>752</v>
      </c>
      <c r="H2082">
        <v>176.07</v>
      </c>
      <c r="O2082" t="s">
        <v>239</v>
      </c>
      <c r="P2082" t="s">
        <v>514</v>
      </c>
      <c r="Y2082">
        <v>2048</v>
      </c>
      <c r="Z2082" s="259" t="s">
        <v>630</v>
      </c>
      <c r="AA2082">
        <v>100</v>
      </c>
      <c r="AB2082">
        <v>20020</v>
      </c>
      <c r="AC2082">
        <v>45975</v>
      </c>
      <c r="AD2082">
        <v>0</v>
      </c>
      <c r="AE2082">
        <v>17607</v>
      </c>
      <c r="AF2082">
        <v>17607</v>
      </c>
      <c r="AG2082">
        <v>0</v>
      </c>
      <c r="AH2082">
        <v>-2413</v>
      </c>
    </row>
    <row r="2083" spans="2:34" x14ac:dyDescent="0.35">
      <c r="B2083" t="s">
        <v>565</v>
      </c>
      <c r="C2083">
        <v>45975</v>
      </c>
      <c r="F2083" t="s">
        <v>754</v>
      </c>
      <c r="H2083">
        <v>77.14</v>
      </c>
      <c r="O2083" t="s">
        <v>239</v>
      </c>
      <c r="P2083" t="s">
        <v>514</v>
      </c>
      <c r="Y2083">
        <v>2049</v>
      </c>
      <c r="Z2083" s="259" t="s">
        <v>630</v>
      </c>
      <c r="AA2083">
        <v>50</v>
      </c>
      <c r="AB2083">
        <v>4104</v>
      </c>
      <c r="AC2083">
        <v>45975</v>
      </c>
      <c r="AD2083">
        <v>0</v>
      </c>
      <c r="AE2083">
        <v>3857</v>
      </c>
      <c r="AF2083">
        <v>3857</v>
      </c>
      <c r="AG2083">
        <v>60</v>
      </c>
      <c r="AH2083">
        <v>-247</v>
      </c>
    </row>
    <row r="2084" spans="2:34" x14ac:dyDescent="0.35">
      <c r="B2084" t="s">
        <v>565</v>
      </c>
      <c r="C2084">
        <v>45976</v>
      </c>
      <c r="F2084" t="s">
        <v>749</v>
      </c>
      <c r="H2084">
        <v>49.66</v>
      </c>
      <c r="O2084" t="s">
        <v>239</v>
      </c>
      <c r="P2084" t="s">
        <v>514</v>
      </c>
      <c r="Y2084">
        <v>2050</v>
      </c>
      <c r="Z2084" s="259" t="s">
        <v>630</v>
      </c>
      <c r="AA2084">
        <v>100</v>
      </c>
      <c r="AB2084">
        <v>5005</v>
      </c>
      <c r="AC2084">
        <v>45975</v>
      </c>
      <c r="AD2084">
        <v>1</v>
      </c>
      <c r="AE2084">
        <v>4966</v>
      </c>
      <c r="AF2084">
        <v>4966</v>
      </c>
      <c r="AG2084">
        <v>0</v>
      </c>
      <c r="AH2084">
        <v>-39</v>
      </c>
    </row>
    <row r="2085" spans="2:34" x14ac:dyDescent="0.35">
      <c r="B2085" t="s">
        <v>565</v>
      </c>
      <c r="C2085">
        <v>45976</v>
      </c>
      <c r="F2085" t="s">
        <v>752</v>
      </c>
      <c r="H2085">
        <v>176.07</v>
      </c>
      <c r="O2085" t="s">
        <v>239</v>
      </c>
      <c r="P2085" t="s">
        <v>514</v>
      </c>
      <c r="Y2085">
        <v>2051</v>
      </c>
      <c r="Z2085" s="259" t="s">
        <v>630</v>
      </c>
      <c r="AA2085">
        <v>100</v>
      </c>
      <c r="AB2085">
        <v>20020</v>
      </c>
      <c r="AC2085">
        <v>45975</v>
      </c>
      <c r="AD2085">
        <v>1</v>
      </c>
      <c r="AE2085">
        <v>17607</v>
      </c>
      <c r="AF2085">
        <v>17607</v>
      </c>
      <c r="AG2085">
        <v>0</v>
      </c>
      <c r="AH2085">
        <v>-2413</v>
      </c>
    </row>
    <row r="2086" spans="2:34" x14ac:dyDescent="0.35">
      <c r="B2086" t="s">
        <v>565</v>
      </c>
      <c r="C2086">
        <v>45976</v>
      </c>
      <c r="F2086" t="s">
        <v>754</v>
      </c>
      <c r="H2086">
        <v>77.14</v>
      </c>
      <c r="O2086" t="s">
        <v>239</v>
      </c>
      <c r="P2086" t="s">
        <v>514</v>
      </c>
      <c r="Y2086">
        <v>2052</v>
      </c>
      <c r="Z2086" s="259" t="s">
        <v>630</v>
      </c>
      <c r="AA2086">
        <v>50</v>
      </c>
      <c r="AB2086">
        <v>4104</v>
      </c>
      <c r="AC2086">
        <v>45975</v>
      </c>
      <c r="AD2086">
        <v>1</v>
      </c>
      <c r="AE2086">
        <v>3857</v>
      </c>
      <c r="AF2086">
        <v>3857</v>
      </c>
      <c r="AG2086">
        <v>60</v>
      </c>
      <c r="AH2086">
        <v>-247</v>
      </c>
    </row>
    <row r="2087" spans="2:34" x14ac:dyDescent="0.35">
      <c r="B2087" t="s">
        <v>565</v>
      </c>
      <c r="C2087">
        <v>45977</v>
      </c>
      <c r="F2087" t="s">
        <v>749</v>
      </c>
      <c r="H2087">
        <v>49.66</v>
      </c>
      <c r="O2087" t="s">
        <v>239</v>
      </c>
      <c r="P2087" t="s">
        <v>514</v>
      </c>
      <c r="Y2087">
        <v>2053</v>
      </c>
      <c r="Z2087" s="259" t="s">
        <v>630</v>
      </c>
      <c r="AA2087">
        <v>100</v>
      </c>
      <c r="AB2087">
        <v>5005</v>
      </c>
      <c r="AC2087">
        <v>45975</v>
      </c>
      <c r="AD2087">
        <v>2</v>
      </c>
      <c r="AE2087">
        <v>4966</v>
      </c>
      <c r="AF2087">
        <v>4966</v>
      </c>
      <c r="AG2087">
        <v>0</v>
      </c>
      <c r="AH2087">
        <v>-39</v>
      </c>
    </row>
    <row r="2088" spans="2:34" x14ac:dyDescent="0.35">
      <c r="B2088" t="s">
        <v>565</v>
      </c>
      <c r="C2088">
        <v>45977</v>
      </c>
      <c r="F2088" t="s">
        <v>752</v>
      </c>
      <c r="H2088">
        <v>176.07</v>
      </c>
      <c r="O2088" t="s">
        <v>239</v>
      </c>
      <c r="P2088" t="s">
        <v>514</v>
      </c>
      <c r="Y2088">
        <v>2054</v>
      </c>
      <c r="Z2088" s="259" t="s">
        <v>630</v>
      </c>
      <c r="AA2088">
        <v>100</v>
      </c>
      <c r="AB2088">
        <v>20020</v>
      </c>
      <c r="AC2088">
        <v>45975</v>
      </c>
      <c r="AD2088">
        <v>2</v>
      </c>
      <c r="AE2088">
        <v>17607</v>
      </c>
      <c r="AF2088">
        <v>17607</v>
      </c>
      <c r="AG2088">
        <v>0</v>
      </c>
      <c r="AH2088">
        <v>-2413</v>
      </c>
    </row>
    <row r="2089" spans="2:34" x14ac:dyDescent="0.35">
      <c r="B2089" t="s">
        <v>565</v>
      </c>
      <c r="C2089">
        <v>45977</v>
      </c>
      <c r="F2089" t="s">
        <v>754</v>
      </c>
      <c r="H2089">
        <v>77.14</v>
      </c>
      <c r="O2089" t="s">
        <v>239</v>
      </c>
      <c r="P2089" t="s">
        <v>514</v>
      </c>
      <c r="Y2089">
        <v>2055</v>
      </c>
      <c r="Z2089" s="259" t="s">
        <v>630</v>
      </c>
      <c r="AA2089">
        <v>50</v>
      </c>
      <c r="AB2089">
        <v>4104</v>
      </c>
      <c r="AC2089">
        <v>45975</v>
      </c>
      <c r="AD2089">
        <v>2</v>
      </c>
      <c r="AE2089">
        <v>3857</v>
      </c>
      <c r="AF2089">
        <v>3857</v>
      </c>
      <c r="AG2089">
        <v>60</v>
      </c>
      <c r="AH2089">
        <v>-247</v>
      </c>
    </row>
    <row r="2090" spans="2:34" x14ac:dyDescent="0.35">
      <c r="B2090" t="s">
        <v>565</v>
      </c>
      <c r="C2090">
        <v>45978</v>
      </c>
      <c r="F2090" t="s">
        <v>749</v>
      </c>
      <c r="H2090">
        <v>49.34</v>
      </c>
      <c r="O2090" t="s">
        <v>239</v>
      </c>
      <c r="P2090" t="s">
        <v>514</v>
      </c>
      <c r="Y2090">
        <v>2056</v>
      </c>
      <c r="Z2090" s="259" t="s">
        <v>630</v>
      </c>
      <c r="AA2090">
        <v>100</v>
      </c>
      <c r="AB2090">
        <v>5005</v>
      </c>
      <c r="AC2090">
        <v>45978</v>
      </c>
      <c r="AD2090">
        <v>0</v>
      </c>
      <c r="AE2090">
        <v>4934</v>
      </c>
      <c r="AF2090">
        <v>4934</v>
      </c>
      <c r="AG2090">
        <v>0</v>
      </c>
      <c r="AH2090">
        <v>-71</v>
      </c>
    </row>
    <row r="2091" spans="2:34" x14ac:dyDescent="0.35">
      <c r="B2091" t="s">
        <v>565</v>
      </c>
      <c r="C2091">
        <v>45978</v>
      </c>
      <c r="F2091" t="s">
        <v>752</v>
      </c>
      <c r="H2091">
        <v>174.93</v>
      </c>
      <c r="O2091" t="s">
        <v>239</v>
      </c>
      <c r="P2091" t="s">
        <v>514</v>
      </c>
      <c r="Y2091">
        <v>2057</v>
      </c>
      <c r="Z2091" s="259" t="s">
        <v>630</v>
      </c>
      <c r="AA2091">
        <v>100</v>
      </c>
      <c r="AB2091">
        <v>20020</v>
      </c>
      <c r="AC2091">
        <v>45978</v>
      </c>
      <c r="AD2091">
        <v>0</v>
      </c>
      <c r="AE2091">
        <v>17493</v>
      </c>
      <c r="AF2091">
        <v>17493</v>
      </c>
      <c r="AG2091">
        <v>0</v>
      </c>
      <c r="AH2091">
        <v>-2527</v>
      </c>
    </row>
    <row r="2092" spans="2:34" x14ac:dyDescent="0.35">
      <c r="B2092" t="s">
        <v>565</v>
      </c>
      <c r="C2092">
        <v>45978</v>
      </c>
      <c r="F2092" t="s">
        <v>754</v>
      </c>
      <c r="H2092">
        <v>77.459999999999994</v>
      </c>
      <c r="O2092" t="s">
        <v>239</v>
      </c>
      <c r="P2092" t="s">
        <v>514</v>
      </c>
      <c r="Y2092">
        <v>2058</v>
      </c>
      <c r="Z2092" s="259" t="s">
        <v>630</v>
      </c>
      <c r="AA2092">
        <v>50</v>
      </c>
      <c r="AB2092">
        <v>4104</v>
      </c>
      <c r="AC2092">
        <v>45978</v>
      </c>
      <c r="AD2092">
        <v>0</v>
      </c>
      <c r="AE2092">
        <v>3872.9999999999995</v>
      </c>
      <c r="AF2092">
        <v>3872.9999999999995</v>
      </c>
      <c r="AG2092">
        <v>60</v>
      </c>
      <c r="AH2092">
        <v>-231.00000000000045</v>
      </c>
    </row>
    <row r="2093" spans="2:34" x14ac:dyDescent="0.35">
      <c r="B2093" t="s">
        <v>565</v>
      </c>
      <c r="C2093">
        <v>45979</v>
      </c>
      <c r="F2093" t="s">
        <v>749</v>
      </c>
      <c r="H2093">
        <v>49.24</v>
      </c>
      <c r="O2093" t="s">
        <v>239</v>
      </c>
      <c r="P2093" t="s">
        <v>514</v>
      </c>
      <c r="Y2093">
        <v>2059</v>
      </c>
      <c r="Z2093" s="259" t="s">
        <v>630</v>
      </c>
      <c r="AA2093">
        <v>100</v>
      </c>
      <c r="AB2093">
        <v>5005</v>
      </c>
      <c r="AC2093">
        <v>45979</v>
      </c>
      <c r="AD2093">
        <v>0</v>
      </c>
      <c r="AE2093">
        <v>4924</v>
      </c>
      <c r="AF2093">
        <v>4924</v>
      </c>
      <c r="AG2093">
        <v>0</v>
      </c>
      <c r="AH2093">
        <v>-81</v>
      </c>
    </row>
    <row r="2094" spans="2:34" x14ac:dyDescent="0.35">
      <c r="B2094" t="s">
        <v>565</v>
      </c>
      <c r="C2094">
        <v>45979</v>
      </c>
      <c r="F2094" t="s">
        <v>752</v>
      </c>
      <c r="H2094">
        <v>174.55</v>
      </c>
      <c r="O2094" t="s">
        <v>239</v>
      </c>
      <c r="P2094" t="s">
        <v>514</v>
      </c>
      <c r="Y2094">
        <v>2060</v>
      </c>
      <c r="Z2094" s="259" t="s">
        <v>630</v>
      </c>
      <c r="AA2094">
        <v>100</v>
      </c>
      <c r="AB2094">
        <v>20020</v>
      </c>
      <c r="AC2094">
        <v>45979</v>
      </c>
      <c r="AD2094">
        <v>0</v>
      </c>
      <c r="AE2094">
        <v>17455</v>
      </c>
      <c r="AF2094">
        <v>17455</v>
      </c>
      <c r="AG2094">
        <v>0</v>
      </c>
      <c r="AH2094">
        <v>-2565</v>
      </c>
    </row>
    <row r="2095" spans="2:34" x14ac:dyDescent="0.35">
      <c r="B2095" t="s">
        <v>565</v>
      </c>
      <c r="C2095">
        <v>45979</v>
      </c>
      <c r="F2095" t="s">
        <v>754</v>
      </c>
      <c r="H2095">
        <v>77.56</v>
      </c>
      <c r="O2095" t="s">
        <v>239</v>
      </c>
      <c r="P2095" t="s">
        <v>514</v>
      </c>
      <c r="Y2095">
        <v>2061</v>
      </c>
      <c r="Z2095" s="259" t="s">
        <v>630</v>
      </c>
      <c r="AA2095">
        <v>50</v>
      </c>
      <c r="AB2095">
        <v>4104</v>
      </c>
      <c r="AC2095">
        <v>45979</v>
      </c>
      <c r="AD2095">
        <v>0</v>
      </c>
      <c r="AE2095">
        <v>3878</v>
      </c>
      <c r="AF2095">
        <v>3878</v>
      </c>
      <c r="AG2095">
        <v>60</v>
      </c>
      <c r="AH2095">
        <v>-226</v>
      </c>
    </row>
    <row r="2096" spans="2:34" x14ac:dyDescent="0.35">
      <c r="B2096" t="s">
        <v>565</v>
      </c>
      <c r="C2096">
        <v>45980</v>
      </c>
      <c r="F2096" t="s">
        <v>749</v>
      </c>
      <c r="H2096">
        <v>49.14</v>
      </c>
      <c r="O2096" t="s">
        <v>239</v>
      </c>
      <c r="P2096" t="s">
        <v>514</v>
      </c>
      <c r="Y2096">
        <v>2062</v>
      </c>
      <c r="Z2096" s="259" t="s">
        <v>630</v>
      </c>
      <c r="AA2096">
        <v>100</v>
      </c>
      <c r="AB2096">
        <v>5005</v>
      </c>
      <c r="AC2096">
        <v>45980</v>
      </c>
      <c r="AD2096">
        <v>0</v>
      </c>
      <c r="AE2096">
        <v>4914</v>
      </c>
      <c r="AF2096">
        <v>4914</v>
      </c>
      <c r="AG2096">
        <v>0</v>
      </c>
      <c r="AH2096">
        <v>-91</v>
      </c>
    </row>
    <row r="2097" spans="2:34" x14ac:dyDescent="0.35">
      <c r="B2097" t="s">
        <v>565</v>
      </c>
      <c r="C2097">
        <v>45980</v>
      </c>
      <c r="F2097" t="s">
        <v>752</v>
      </c>
      <c r="H2097">
        <v>174.17</v>
      </c>
      <c r="O2097" t="s">
        <v>239</v>
      </c>
      <c r="P2097" t="s">
        <v>514</v>
      </c>
      <c r="Y2097">
        <v>2063</v>
      </c>
      <c r="Z2097" s="259" t="s">
        <v>630</v>
      </c>
      <c r="AA2097">
        <v>100</v>
      </c>
      <c r="AB2097">
        <v>20020</v>
      </c>
      <c r="AC2097">
        <v>45980</v>
      </c>
      <c r="AD2097">
        <v>0</v>
      </c>
      <c r="AE2097">
        <v>17417</v>
      </c>
      <c r="AF2097">
        <v>17417</v>
      </c>
      <c r="AG2097">
        <v>0</v>
      </c>
      <c r="AH2097">
        <v>-2603</v>
      </c>
    </row>
    <row r="2098" spans="2:34" x14ac:dyDescent="0.35">
      <c r="B2098" t="s">
        <v>565</v>
      </c>
      <c r="C2098">
        <v>45980</v>
      </c>
      <c r="F2098" t="s">
        <v>754</v>
      </c>
      <c r="H2098">
        <v>77.66</v>
      </c>
      <c r="O2098" t="s">
        <v>239</v>
      </c>
      <c r="P2098" t="s">
        <v>514</v>
      </c>
      <c r="Y2098">
        <v>2064</v>
      </c>
      <c r="Z2098" s="259" t="s">
        <v>630</v>
      </c>
      <c r="AA2098">
        <v>50</v>
      </c>
      <c r="AB2098">
        <v>4104</v>
      </c>
      <c r="AC2098">
        <v>45980</v>
      </c>
      <c r="AD2098">
        <v>0</v>
      </c>
      <c r="AE2098">
        <v>3883</v>
      </c>
      <c r="AF2098">
        <v>3883</v>
      </c>
      <c r="AG2098">
        <v>60</v>
      </c>
      <c r="AH2098">
        <v>-221</v>
      </c>
    </row>
    <row r="2099" spans="2:34" x14ac:dyDescent="0.35">
      <c r="B2099" t="s">
        <v>565</v>
      </c>
      <c r="C2099">
        <v>45981</v>
      </c>
      <c r="F2099" t="s">
        <v>749</v>
      </c>
      <c r="H2099">
        <v>49.03</v>
      </c>
      <c r="O2099" t="s">
        <v>239</v>
      </c>
      <c r="P2099" t="s">
        <v>514</v>
      </c>
      <c r="Y2099">
        <v>2065</v>
      </c>
      <c r="Z2099" s="259" t="s">
        <v>630</v>
      </c>
      <c r="AA2099">
        <v>100</v>
      </c>
      <c r="AB2099">
        <v>5005</v>
      </c>
      <c r="AC2099">
        <v>45981</v>
      </c>
      <c r="AD2099">
        <v>0</v>
      </c>
      <c r="AE2099">
        <v>4903</v>
      </c>
      <c r="AF2099">
        <v>4903</v>
      </c>
      <c r="AG2099">
        <v>0</v>
      </c>
      <c r="AH2099">
        <v>-102</v>
      </c>
    </row>
    <row r="2100" spans="2:34" x14ac:dyDescent="0.35">
      <c r="B2100" t="s">
        <v>565</v>
      </c>
      <c r="C2100">
        <v>45981</v>
      </c>
      <c r="F2100" t="s">
        <v>752</v>
      </c>
      <c r="H2100">
        <v>173.79</v>
      </c>
      <c r="O2100" t="s">
        <v>239</v>
      </c>
      <c r="P2100" t="s">
        <v>514</v>
      </c>
      <c r="Y2100">
        <v>2066</v>
      </c>
      <c r="Z2100" s="259" t="s">
        <v>630</v>
      </c>
      <c r="AA2100">
        <v>100</v>
      </c>
      <c r="AB2100">
        <v>20020</v>
      </c>
      <c r="AC2100">
        <v>45981</v>
      </c>
      <c r="AD2100">
        <v>0</v>
      </c>
      <c r="AE2100">
        <v>17379</v>
      </c>
      <c r="AF2100">
        <v>17379</v>
      </c>
      <c r="AG2100">
        <v>0</v>
      </c>
      <c r="AH2100">
        <v>-2641</v>
      </c>
    </row>
    <row r="2101" spans="2:34" x14ac:dyDescent="0.35">
      <c r="B2101" t="s">
        <v>565</v>
      </c>
      <c r="C2101">
        <v>45981</v>
      </c>
      <c r="F2101" t="s">
        <v>754</v>
      </c>
      <c r="H2101">
        <v>77.77</v>
      </c>
      <c r="O2101" t="s">
        <v>239</v>
      </c>
      <c r="P2101" t="s">
        <v>514</v>
      </c>
      <c r="Y2101">
        <v>2067</v>
      </c>
      <c r="Z2101" s="259" t="s">
        <v>630</v>
      </c>
      <c r="AA2101">
        <v>50</v>
      </c>
      <c r="AB2101">
        <v>4104</v>
      </c>
      <c r="AC2101">
        <v>45981</v>
      </c>
      <c r="AD2101">
        <v>0</v>
      </c>
      <c r="AE2101">
        <v>3888.5</v>
      </c>
      <c r="AF2101">
        <v>3888.5</v>
      </c>
      <c r="AG2101">
        <v>60</v>
      </c>
      <c r="AH2101">
        <v>-215.5</v>
      </c>
    </row>
    <row r="2102" spans="2:34" x14ac:dyDescent="0.35">
      <c r="B2102" t="s">
        <v>565</v>
      </c>
      <c r="C2102">
        <v>45982</v>
      </c>
      <c r="F2102" t="s">
        <v>749</v>
      </c>
      <c r="H2102">
        <v>48.93</v>
      </c>
      <c r="O2102" t="s">
        <v>239</v>
      </c>
      <c r="P2102" t="s">
        <v>514</v>
      </c>
      <c r="Y2102">
        <v>2068</v>
      </c>
      <c r="Z2102" s="259" t="s">
        <v>630</v>
      </c>
      <c r="AA2102">
        <v>100</v>
      </c>
      <c r="AB2102">
        <v>5005</v>
      </c>
      <c r="AC2102">
        <v>45982</v>
      </c>
      <c r="AD2102">
        <v>0</v>
      </c>
      <c r="AE2102">
        <v>4893</v>
      </c>
      <c r="AF2102">
        <v>4893</v>
      </c>
      <c r="AG2102">
        <v>0</v>
      </c>
      <c r="AH2102">
        <v>-112</v>
      </c>
    </row>
    <row r="2103" spans="2:34" x14ac:dyDescent="0.35">
      <c r="B2103" t="s">
        <v>565</v>
      </c>
      <c r="C2103">
        <v>45982</v>
      </c>
      <c r="F2103" t="s">
        <v>752</v>
      </c>
      <c r="H2103">
        <v>173.41</v>
      </c>
      <c r="O2103" t="s">
        <v>239</v>
      </c>
      <c r="P2103" t="s">
        <v>514</v>
      </c>
      <c r="Y2103">
        <v>2069</v>
      </c>
      <c r="Z2103" s="259" t="s">
        <v>630</v>
      </c>
      <c r="AA2103">
        <v>100</v>
      </c>
      <c r="AB2103">
        <v>20020</v>
      </c>
      <c r="AC2103">
        <v>45982</v>
      </c>
      <c r="AD2103">
        <v>0</v>
      </c>
      <c r="AE2103">
        <v>17341</v>
      </c>
      <c r="AF2103">
        <v>17341</v>
      </c>
      <c r="AG2103">
        <v>0</v>
      </c>
      <c r="AH2103">
        <v>-2679</v>
      </c>
    </row>
    <row r="2104" spans="2:34" x14ac:dyDescent="0.35">
      <c r="B2104" t="s">
        <v>565</v>
      </c>
      <c r="C2104">
        <v>45982</v>
      </c>
      <c r="F2104" t="s">
        <v>754</v>
      </c>
      <c r="H2104">
        <v>77.87</v>
      </c>
      <c r="O2104" t="s">
        <v>239</v>
      </c>
      <c r="P2104" t="s">
        <v>514</v>
      </c>
      <c r="Y2104">
        <v>2070</v>
      </c>
      <c r="Z2104" s="259" t="s">
        <v>630</v>
      </c>
      <c r="AA2104">
        <v>50</v>
      </c>
      <c r="AB2104">
        <v>4104</v>
      </c>
      <c r="AC2104">
        <v>45982</v>
      </c>
      <c r="AD2104">
        <v>0</v>
      </c>
      <c r="AE2104">
        <v>3893.5</v>
      </c>
      <c r="AF2104">
        <v>3893.5</v>
      </c>
      <c r="AG2104">
        <v>60</v>
      </c>
      <c r="AH2104">
        <v>-210.5</v>
      </c>
    </row>
    <row r="2105" spans="2:34" x14ac:dyDescent="0.35">
      <c r="B2105" t="s">
        <v>565</v>
      </c>
      <c r="C2105">
        <v>45983</v>
      </c>
      <c r="F2105" t="s">
        <v>749</v>
      </c>
      <c r="H2105">
        <v>48.93</v>
      </c>
      <c r="O2105" t="s">
        <v>239</v>
      </c>
      <c r="P2105" t="s">
        <v>514</v>
      </c>
      <c r="Y2105">
        <v>2071</v>
      </c>
      <c r="Z2105" s="259" t="s">
        <v>630</v>
      </c>
      <c r="AA2105">
        <v>100</v>
      </c>
      <c r="AB2105">
        <v>5005</v>
      </c>
      <c r="AC2105">
        <v>45982</v>
      </c>
      <c r="AD2105">
        <v>1</v>
      </c>
      <c r="AE2105">
        <v>4893</v>
      </c>
      <c r="AF2105">
        <v>4893</v>
      </c>
      <c r="AG2105">
        <v>0</v>
      </c>
      <c r="AH2105">
        <v>-112</v>
      </c>
    </row>
    <row r="2106" spans="2:34" x14ac:dyDescent="0.35">
      <c r="B2106" t="s">
        <v>565</v>
      </c>
      <c r="C2106">
        <v>45983</v>
      </c>
      <c r="F2106" t="s">
        <v>752</v>
      </c>
      <c r="H2106">
        <v>173.41</v>
      </c>
      <c r="O2106" t="s">
        <v>239</v>
      </c>
      <c r="P2106" t="s">
        <v>514</v>
      </c>
      <c r="Y2106">
        <v>2072</v>
      </c>
      <c r="Z2106" s="259" t="s">
        <v>630</v>
      </c>
      <c r="AA2106">
        <v>100</v>
      </c>
      <c r="AB2106">
        <v>20020</v>
      </c>
      <c r="AC2106">
        <v>45982</v>
      </c>
      <c r="AD2106">
        <v>1</v>
      </c>
      <c r="AE2106">
        <v>17341</v>
      </c>
      <c r="AF2106">
        <v>17341</v>
      </c>
      <c r="AG2106">
        <v>0</v>
      </c>
      <c r="AH2106">
        <v>-2679</v>
      </c>
    </row>
    <row r="2107" spans="2:34" x14ac:dyDescent="0.35">
      <c r="B2107" t="s">
        <v>565</v>
      </c>
      <c r="C2107">
        <v>45983</v>
      </c>
      <c r="F2107" t="s">
        <v>754</v>
      </c>
      <c r="H2107">
        <v>77.87</v>
      </c>
      <c r="O2107" t="s">
        <v>239</v>
      </c>
      <c r="P2107" t="s">
        <v>514</v>
      </c>
      <c r="Y2107">
        <v>2073</v>
      </c>
      <c r="Z2107" s="259" t="s">
        <v>630</v>
      </c>
      <c r="AA2107">
        <v>50</v>
      </c>
      <c r="AB2107">
        <v>4104</v>
      </c>
      <c r="AC2107">
        <v>45982</v>
      </c>
      <c r="AD2107">
        <v>1</v>
      </c>
      <c r="AE2107">
        <v>3893.5</v>
      </c>
      <c r="AF2107">
        <v>3893.5</v>
      </c>
      <c r="AG2107">
        <v>60</v>
      </c>
      <c r="AH2107">
        <v>-210.5</v>
      </c>
    </row>
    <row r="2108" spans="2:34" x14ac:dyDescent="0.35">
      <c r="B2108" t="s">
        <v>565</v>
      </c>
      <c r="C2108">
        <v>45984</v>
      </c>
      <c r="F2108" t="s">
        <v>749</v>
      </c>
      <c r="H2108">
        <v>48.93</v>
      </c>
      <c r="O2108" t="s">
        <v>239</v>
      </c>
      <c r="P2108" t="s">
        <v>514</v>
      </c>
      <c r="Y2108">
        <v>2074</v>
      </c>
      <c r="Z2108" s="259" t="s">
        <v>630</v>
      </c>
      <c r="AA2108">
        <v>100</v>
      </c>
      <c r="AB2108">
        <v>5005</v>
      </c>
      <c r="AC2108">
        <v>45982</v>
      </c>
      <c r="AD2108">
        <v>2</v>
      </c>
      <c r="AE2108">
        <v>4893</v>
      </c>
      <c r="AF2108">
        <v>4893</v>
      </c>
      <c r="AG2108">
        <v>0</v>
      </c>
      <c r="AH2108">
        <v>-112</v>
      </c>
    </row>
    <row r="2109" spans="2:34" x14ac:dyDescent="0.35">
      <c r="B2109" t="s">
        <v>565</v>
      </c>
      <c r="C2109">
        <v>45984</v>
      </c>
      <c r="F2109" t="s">
        <v>752</v>
      </c>
      <c r="H2109">
        <v>173.41</v>
      </c>
      <c r="O2109" t="s">
        <v>239</v>
      </c>
      <c r="P2109" t="s">
        <v>514</v>
      </c>
      <c r="Y2109">
        <v>2075</v>
      </c>
      <c r="Z2109" s="259" t="s">
        <v>630</v>
      </c>
      <c r="AA2109">
        <v>100</v>
      </c>
      <c r="AB2109">
        <v>20020</v>
      </c>
      <c r="AC2109">
        <v>45982</v>
      </c>
      <c r="AD2109">
        <v>2</v>
      </c>
      <c r="AE2109">
        <v>17341</v>
      </c>
      <c r="AF2109">
        <v>17341</v>
      </c>
      <c r="AG2109">
        <v>0</v>
      </c>
      <c r="AH2109">
        <v>-2679</v>
      </c>
    </row>
    <row r="2110" spans="2:34" x14ac:dyDescent="0.35">
      <c r="B2110" t="s">
        <v>565</v>
      </c>
      <c r="C2110">
        <v>45984</v>
      </c>
      <c r="F2110" t="s">
        <v>754</v>
      </c>
      <c r="H2110">
        <v>77.87</v>
      </c>
      <c r="O2110" t="s">
        <v>239</v>
      </c>
      <c r="P2110" t="s">
        <v>514</v>
      </c>
      <c r="Y2110">
        <v>2076</v>
      </c>
      <c r="Z2110" s="259" t="s">
        <v>630</v>
      </c>
      <c r="AA2110">
        <v>50</v>
      </c>
      <c r="AB2110">
        <v>4104</v>
      </c>
      <c r="AC2110">
        <v>45982</v>
      </c>
      <c r="AD2110">
        <v>2</v>
      </c>
      <c r="AE2110">
        <v>3893.5</v>
      </c>
      <c r="AF2110">
        <v>3893.5</v>
      </c>
      <c r="AG2110">
        <v>60</v>
      </c>
      <c r="AH2110">
        <v>-210.5</v>
      </c>
    </row>
    <row r="2111" spans="2:34" x14ac:dyDescent="0.35">
      <c r="B2111" t="s">
        <v>565</v>
      </c>
      <c r="C2111">
        <v>45985</v>
      </c>
      <c r="F2111" t="s">
        <v>749</v>
      </c>
      <c r="H2111">
        <v>48.62</v>
      </c>
      <c r="O2111" t="s">
        <v>239</v>
      </c>
      <c r="P2111" t="s">
        <v>514</v>
      </c>
      <c r="Y2111">
        <v>2077</v>
      </c>
      <c r="Z2111" s="259" t="s">
        <v>630</v>
      </c>
      <c r="AA2111">
        <v>100</v>
      </c>
      <c r="AB2111">
        <v>5005</v>
      </c>
      <c r="AC2111">
        <v>45985</v>
      </c>
      <c r="AD2111">
        <v>0</v>
      </c>
      <c r="AE2111">
        <v>4862</v>
      </c>
      <c r="AF2111">
        <v>4862</v>
      </c>
      <c r="AG2111">
        <v>0</v>
      </c>
      <c r="AH2111">
        <v>-143</v>
      </c>
    </row>
    <row r="2112" spans="2:34" x14ac:dyDescent="0.35">
      <c r="B2112" t="s">
        <v>565</v>
      </c>
      <c r="C2112">
        <v>45985</v>
      </c>
      <c r="F2112" t="s">
        <v>752</v>
      </c>
      <c r="H2112">
        <v>172.28</v>
      </c>
      <c r="O2112" t="s">
        <v>239</v>
      </c>
      <c r="P2112" t="s">
        <v>514</v>
      </c>
      <c r="Y2112">
        <v>2078</v>
      </c>
      <c r="Z2112" s="259" t="s">
        <v>630</v>
      </c>
      <c r="AA2112">
        <v>100</v>
      </c>
      <c r="AB2112">
        <v>20020</v>
      </c>
      <c r="AC2112">
        <v>45985</v>
      </c>
      <c r="AD2112">
        <v>0</v>
      </c>
      <c r="AE2112">
        <v>17228</v>
      </c>
      <c r="AF2112">
        <v>17228</v>
      </c>
      <c r="AG2112">
        <v>0</v>
      </c>
      <c r="AH2112">
        <v>-2792</v>
      </c>
    </row>
    <row r="2113" spans="2:34" x14ac:dyDescent="0.35">
      <c r="B2113" t="s">
        <v>565</v>
      </c>
      <c r="C2113">
        <v>45985</v>
      </c>
      <c r="F2113" t="s">
        <v>754</v>
      </c>
      <c r="H2113">
        <v>78.180000000000007</v>
      </c>
      <c r="O2113" t="s">
        <v>239</v>
      </c>
      <c r="P2113" t="s">
        <v>514</v>
      </c>
      <c r="Y2113">
        <v>2079</v>
      </c>
      <c r="Z2113" s="259" t="s">
        <v>630</v>
      </c>
      <c r="AA2113">
        <v>50</v>
      </c>
      <c r="AB2113">
        <v>4104</v>
      </c>
      <c r="AC2113">
        <v>45985</v>
      </c>
      <c r="AD2113">
        <v>0</v>
      </c>
      <c r="AE2113">
        <v>3909.0000000000005</v>
      </c>
      <c r="AF2113">
        <v>3909.0000000000005</v>
      </c>
      <c r="AG2113">
        <v>60</v>
      </c>
      <c r="AH2113">
        <v>-194.99999999999955</v>
      </c>
    </row>
    <row r="2114" spans="2:34" x14ac:dyDescent="0.35">
      <c r="B2114" t="s">
        <v>565</v>
      </c>
      <c r="C2114">
        <v>45986</v>
      </c>
      <c r="F2114" t="s">
        <v>749</v>
      </c>
      <c r="H2114">
        <v>48.52</v>
      </c>
      <c r="O2114" t="s">
        <v>239</v>
      </c>
      <c r="P2114" t="s">
        <v>514</v>
      </c>
      <c r="Y2114">
        <v>2080</v>
      </c>
      <c r="Z2114" s="259" t="s">
        <v>630</v>
      </c>
      <c r="AA2114">
        <v>100</v>
      </c>
      <c r="AB2114">
        <v>5005</v>
      </c>
      <c r="AC2114">
        <v>45986</v>
      </c>
      <c r="AD2114">
        <v>0</v>
      </c>
      <c r="AE2114">
        <v>4852</v>
      </c>
      <c r="AF2114">
        <v>4852</v>
      </c>
      <c r="AG2114">
        <v>0</v>
      </c>
      <c r="AH2114">
        <v>-153</v>
      </c>
    </row>
    <row r="2115" spans="2:34" x14ac:dyDescent="0.35">
      <c r="B2115" t="s">
        <v>565</v>
      </c>
      <c r="C2115">
        <v>45986</v>
      </c>
      <c r="F2115" t="s">
        <v>752</v>
      </c>
      <c r="H2115">
        <v>171.9</v>
      </c>
      <c r="O2115" t="s">
        <v>239</v>
      </c>
      <c r="P2115" t="s">
        <v>514</v>
      </c>
      <c r="Y2115">
        <v>2081</v>
      </c>
      <c r="Z2115" s="259" t="s">
        <v>630</v>
      </c>
      <c r="AA2115">
        <v>100</v>
      </c>
      <c r="AB2115">
        <v>20020</v>
      </c>
      <c r="AC2115">
        <v>45986</v>
      </c>
      <c r="AD2115">
        <v>0</v>
      </c>
      <c r="AE2115">
        <v>17190</v>
      </c>
      <c r="AF2115">
        <v>17190</v>
      </c>
      <c r="AG2115">
        <v>0</v>
      </c>
      <c r="AH2115">
        <v>-2830</v>
      </c>
    </row>
    <row r="2116" spans="2:34" x14ac:dyDescent="0.35">
      <c r="B2116" t="s">
        <v>565</v>
      </c>
      <c r="C2116">
        <v>45986</v>
      </c>
      <c r="F2116" t="s">
        <v>754</v>
      </c>
      <c r="H2116">
        <v>78.28</v>
      </c>
      <c r="O2116" t="s">
        <v>239</v>
      </c>
      <c r="P2116" t="s">
        <v>514</v>
      </c>
      <c r="Y2116">
        <v>2082</v>
      </c>
      <c r="Z2116" s="259" t="s">
        <v>630</v>
      </c>
      <c r="AA2116">
        <v>50</v>
      </c>
      <c r="AB2116">
        <v>4104</v>
      </c>
      <c r="AC2116">
        <v>45986</v>
      </c>
      <c r="AD2116">
        <v>0</v>
      </c>
      <c r="AE2116">
        <v>3914</v>
      </c>
      <c r="AF2116">
        <v>3914</v>
      </c>
      <c r="AG2116">
        <v>60</v>
      </c>
      <c r="AH2116">
        <v>-190</v>
      </c>
    </row>
    <row r="2117" spans="2:34" x14ac:dyDescent="0.35">
      <c r="B2117" t="s">
        <v>565</v>
      </c>
      <c r="C2117">
        <v>45987</v>
      </c>
      <c r="F2117" t="s">
        <v>749</v>
      </c>
      <c r="H2117">
        <v>48.41</v>
      </c>
      <c r="O2117" t="s">
        <v>239</v>
      </c>
      <c r="P2117" t="s">
        <v>514</v>
      </c>
      <c r="Y2117">
        <v>2083</v>
      </c>
      <c r="Z2117" s="259" t="s">
        <v>630</v>
      </c>
      <c r="AA2117">
        <v>100</v>
      </c>
      <c r="AB2117">
        <v>5005</v>
      </c>
      <c r="AC2117">
        <v>45987</v>
      </c>
      <c r="AD2117">
        <v>0</v>
      </c>
      <c r="AE2117">
        <v>4841</v>
      </c>
      <c r="AF2117">
        <v>4841</v>
      </c>
      <c r="AG2117">
        <v>0</v>
      </c>
      <c r="AH2117">
        <v>-164</v>
      </c>
    </row>
    <row r="2118" spans="2:34" x14ac:dyDescent="0.35">
      <c r="B2118" t="s">
        <v>565</v>
      </c>
      <c r="C2118">
        <v>45987</v>
      </c>
      <c r="F2118" t="s">
        <v>752</v>
      </c>
      <c r="H2118">
        <v>171.52</v>
      </c>
      <c r="O2118" t="s">
        <v>239</v>
      </c>
      <c r="P2118" t="s">
        <v>514</v>
      </c>
      <c r="Y2118">
        <v>2084</v>
      </c>
      <c r="Z2118" s="259" t="s">
        <v>630</v>
      </c>
      <c r="AA2118">
        <v>100</v>
      </c>
      <c r="AB2118">
        <v>20020</v>
      </c>
      <c r="AC2118">
        <v>45987</v>
      </c>
      <c r="AD2118">
        <v>0</v>
      </c>
      <c r="AE2118">
        <v>17152</v>
      </c>
      <c r="AF2118">
        <v>17152</v>
      </c>
      <c r="AG2118">
        <v>0</v>
      </c>
      <c r="AH2118">
        <v>-2868</v>
      </c>
    </row>
    <row r="2119" spans="2:34" x14ac:dyDescent="0.35">
      <c r="B2119" t="s">
        <v>565</v>
      </c>
      <c r="C2119">
        <v>45987</v>
      </c>
      <c r="F2119" t="s">
        <v>754</v>
      </c>
      <c r="H2119">
        <v>78.39</v>
      </c>
      <c r="O2119" t="s">
        <v>239</v>
      </c>
      <c r="P2119" t="s">
        <v>514</v>
      </c>
      <c r="Y2119">
        <v>2085</v>
      </c>
      <c r="Z2119" s="259" t="s">
        <v>630</v>
      </c>
      <c r="AA2119">
        <v>50</v>
      </c>
      <c r="AB2119">
        <v>4104</v>
      </c>
      <c r="AC2119">
        <v>45987</v>
      </c>
      <c r="AD2119">
        <v>0</v>
      </c>
      <c r="AE2119">
        <v>3919.5</v>
      </c>
      <c r="AF2119">
        <v>3919.5</v>
      </c>
      <c r="AG2119">
        <v>60</v>
      </c>
      <c r="AH2119">
        <v>-184.5</v>
      </c>
    </row>
    <row r="2120" spans="2:34" x14ac:dyDescent="0.35">
      <c r="B2120" t="s">
        <v>565</v>
      </c>
      <c r="C2120">
        <v>45988</v>
      </c>
      <c r="F2120" t="s">
        <v>749</v>
      </c>
      <c r="H2120">
        <v>48.31</v>
      </c>
      <c r="O2120" t="s">
        <v>239</v>
      </c>
      <c r="P2120" t="s">
        <v>514</v>
      </c>
      <c r="Y2120">
        <v>2086</v>
      </c>
      <c r="Z2120" s="259" t="s">
        <v>630</v>
      </c>
      <c r="AA2120">
        <v>100</v>
      </c>
      <c r="AB2120">
        <v>5005</v>
      </c>
      <c r="AC2120">
        <v>45988</v>
      </c>
      <c r="AD2120">
        <v>0</v>
      </c>
      <c r="AE2120">
        <v>4831</v>
      </c>
      <c r="AF2120">
        <v>4831</v>
      </c>
      <c r="AG2120">
        <v>0</v>
      </c>
      <c r="AH2120">
        <v>-174</v>
      </c>
    </row>
    <row r="2121" spans="2:34" x14ac:dyDescent="0.35">
      <c r="B2121" t="s">
        <v>565</v>
      </c>
      <c r="C2121">
        <v>45988</v>
      </c>
      <c r="F2121" t="s">
        <v>752</v>
      </c>
      <c r="H2121">
        <v>171.14</v>
      </c>
      <c r="O2121" t="s">
        <v>239</v>
      </c>
      <c r="P2121" t="s">
        <v>514</v>
      </c>
      <c r="Y2121">
        <v>2087</v>
      </c>
      <c r="Z2121" s="259" t="s">
        <v>630</v>
      </c>
      <c r="AA2121">
        <v>100</v>
      </c>
      <c r="AB2121">
        <v>20020</v>
      </c>
      <c r="AC2121">
        <v>45988</v>
      </c>
      <c r="AD2121">
        <v>0</v>
      </c>
      <c r="AE2121">
        <v>17114</v>
      </c>
      <c r="AF2121">
        <v>17114</v>
      </c>
      <c r="AG2121">
        <v>0</v>
      </c>
      <c r="AH2121">
        <v>-2906</v>
      </c>
    </row>
    <row r="2122" spans="2:34" x14ac:dyDescent="0.35">
      <c r="B2122" t="s">
        <v>565</v>
      </c>
      <c r="C2122">
        <v>45988</v>
      </c>
      <c r="F2122" t="s">
        <v>754</v>
      </c>
      <c r="H2122">
        <v>78.489999999999995</v>
      </c>
      <c r="O2122" t="s">
        <v>239</v>
      </c>
      <c r="P2122" t="s">
        <v>514</v>
      </c>
      <c r="Y2122">
        <v>2088</v>
      </c>
      <c r="Z2122" s="259" t="s">
        <v>630</v>
      </c>
      <c r="AA2122">
        <v>50</v>
      </c>
      <c r="AB2122">
        <v>4104</v>
      </c>
      <c r="AC2122">
        <v>45988</v>
      </c>
      <c r="AD2122">
        <v>0</v>
      </c>
      <c r="AE2122">
        <v>3924.4999999999995</v>
      </c>
      <c r="AF2122">
        <v>3924.4999999999995</v>
      </c>
      <c r="AG2122">
        <v>60</v>
      </c>
      <c r="AH2122">
        <v>-179.50000000000045</v>
      </c>
    </row>
    <row r="2123" spans="2:34" x14ac:dyDescent="0.35">
      <c r="B2123" t="s">
        <v>565</v>
      </c>
      <c r="C2123">
        <v>45989</v>
      </c>
      <c r="F2123" t="s">
        <v>749</v>
      </c>
      <c r="H2123">
        <v>48.21</v>
      </c>
      <c r="O2123" t="s">
        <v>239</v>
      </c>
      <c r="P2123" t="s">
        <v>514</v>
      </c>
      <c r="Y2123">
        <v>2089</v>
      </c>
      <c r="Z2123" s="259" t="s">
        <v>630</v>
      </c>
      <c r="AA2123">
        <v>100</v>
      </c>
      <c r="AB2123">
        <v>5005</v>
      </c>
      <c r="AC2123">
        <v>45989</v>
      </c>
      <c r="AD2123">
        <v>0</v>
      </c>
      <c r="AE2123">
        <v>4821</v>
      </c>
      <c r="AF2123">
        <v>4821</v>
      </c>
      <c r="AG2123">
        <v>0</v>
      </c>
      <c r="AH2123">
        <v>-184</v>
      </c>
    </row>
    <row r="2124" spans="2:34" x14ac:dyDescent="0.35">
      <c r="B2124" t="s">
        <v>565</v>
      </c>
      <c r="C2124">
        <v>45989</v>
      </c>
      <c r="F2124" t="s">
        <v>752</v>
      </c>
      <c r="H2124">
        <v>170.76</v>
      </c>
      <c r="O2124" t="s">
        <v>239</v>
      </c>
      <c r="P2124" t="s">
        <v>514</v>
      </c>
      <c r="Y2124">
        <v>2090</v>
      </c>
      <c r="Z2124" s="259" t="s">
        <v>630</v>
      </c>
      <c r="AA2124">
        <v>100</v>
      </c>
      <c r="AB2124">
        <v>20020</v>
      </c>
      <c r="AC2124">
        <v>45989</v>
      </c>
      <c r="AD2124">
        <v>0</v>
      </c>
      <c r="AE2124">
        <v>17076</v>
      </c>
      <c r="AF2124">
        <v>17076</v>
      </c>
      <c r="AG2124">
        <v>0</v>
      </c>
      <c r="AH2124">
        <v>-2944</v>
      </c>
    </row>
    <row r="2125" spans="2:34" x14ac:dyDescent="0.35">
      <c r="B2125" t="s">
        <v>565</v>
      </c>
      <c r="C2125">
        <v>45989</v>
      </c>
      <c r="F2125" t="s">
        <v>754</v>
      </c>
      <c r="H2125">
        <v>78.59</v>
      </c>
      <c r="O2125" t="s">
        <v>239</v>
      </c>
      <c r="P2125" t="s">
        <v>514</v>
      </c>
      <c r="Y2125">
        <v>2091</v>
      </c>
      <c r="Z2125" s="259" t="s">
        <v>630</v>
      </c>
      <c r="AA2125">
        <v>50</v>
      </c>
      <c r="AB2125">
        <v>4104</v>
      </c>
      <c r="AC2125">
        <v>45989</v>
      </c>
      <c r="AD2125">
        <v>0</v>
      </c>
      <c r="AE2125">
        <v>3929.5</v>
      </c>
      <c r="AF2125">
        <v>3929.5</v>
      </c>
      <c r="AG2125">
        <v>60</v>
      </c>
      <c r="AH2125">
        <v>-174.5</v>
      </c>
    </row>
    <row r="2126" spans="2:34" x14ac:dyDescent="0.35">
      <c r="B2126" t="s">
        <v>565</v>
      </c>
      <c r="C2126">
        <v>45990</v>
      </c>
      <c r="F2126" t="s">
        <v>749</v>
      </c>
      <c r="H2126">
        <v>48.21</v>
      </c>
      <c r="O2126" t="s">
        <v>239</v>
      </c>
      <c r="P2126" t="s">
        <v>514</v>
      </c>
      <c r="Y2126">
        <v>2092</v>
      </c>
      <c r="Z2126" s="259" t="s">
        <v>630</v>
      </c>
      <c r="AA2126">
        <v>100</v>
      </c>
      <c r="AB2126">
        <v>5005</v>
      </c>
      <c r="AC2126">
        <v>45989</v>
      </c>
      <c r="AD2126">
        <v>1</v>
      </c>
      <c r="AE2126">
        <v>4821</v>
      </c>
      <c r="AF2126">
        <v>4821</v>
      </c>
      <c r="AG2126">
        <v>0</v>
      </c>
      <c r="AH2126">
        <v>-184</v>
      </c>
    </row>
    <row r="2127" spans="2:34" x14ac:dyDescent="0.35">
      <c r="B2127" t="s">
        <v>565</v>
      </c>
      <c r="C2127">
        <v>45990</v>
      </c>
      <c r="F2127" t="s">
        <v>752</v>
      </c>
      <c r="H2127">
        <v>170.76</v>
      </c>
      <c r="O2127" t="s">
        <v>239</v>
      </c>
      <c r="P2127" t="s">
        <v>514</v>
      </c>
      <c r="Y2127">
        <v>2093</v>
      </c>
      <c r="Z2127" s="259" t="s">
        <v>630</v>
      </c>
      <c r="AA2127">
        <v>100</v>
      </c>
      <c r="AB2127">
        <v>20020</v>
      </c>
      <c r="AC2127">
        <v>45989</v>
      </c>
      <c r="AD2127">
        <v>1</v>
      </c>
      <c r="AE2127">
        <v>17076</v>
      </c>
      <c r="AF2127">
        <v>17076</v>
      </c>
      <c r="AG2127">
        <v>0</v>
      </c>
      <c r="AH2127">
        <v>-2944</v>
      </c>
    </row>
    <row r="2128" spans="2:34" x14ac:dyDescent="0.35">
      <c r="B2128" t="s">
        <v>565</v>
      </c>
      <c r="C2128">
        <v>45990</v>
      </c>
      <c r="F2128" t="s">
        <v>754</v>
      </c>
      <c r="H2128">
        <v>78.59</v>
      </c>
      <c r="O2128" t="s">
        <v>239</v>
      </c>
      <c r="P2128" t="s">
        <v>514</v>
      </c>
      <c r="Y2128">
        <v>2094</v>
      </c>
      <c r="Z2128" s="259" t="s">
        <v>630</v>
      </c>
      <c r="AA2128">
        <v>50</v>
      </c>
      <c r="AB2128">
        <v>4104</v>
      </c>
      <c r="AC2128">
        <v>45989</v>
      </c>
      <c r="AD2128">
        <v>1</v>
      </c>
      <c r="AE2128">
        <v>3929.5</v>
      </c>
      <c r="AF2128">
        <v>3929.5</v>
      </c>
      <c r="AG2128">
        <v>60</v>
      </c>
      <c r="AH2128">
        <v>-174.5</v>
      </c>
    </row>
    <row r="2129" spans="2:34" x14ac:dyDescent="0.35">
      <c r="B2129" t="s">
        <v>565</v>
      </c>
      <c r="C2129">
        <v>45991</v>
      </c>
      <c r="F2129" t="s">
        <v>749</v>
      </c>
      <c r="H2129">
        <v>48.21</v>
      </c>
      <c r="O2129" t="s">
        <v>239</v>
      </c>
      <c r="P2129" t="s">
        <v>514</v>
      </c>
      <c r="Y2129">
        <v>2095</v>
      </c>
      <c r="Z2129" s="259" t="s">
        <v>630</v>
      </c>
      <c r="AA2129">
        <v>100</v>
      </c>
      <c r="AB2129">
        <v>5005</v>
      </c>
      <c r="AC2129">
        <v>45989</v>
      </c>
      <c r="AD2129">
        <v>2</v>
      </c>
      <c r="AE2129">
        <v>4821</v>
      </c>
      <c r="AF2129">
        <v>4821</v>
      </c>
      <c r="AG2129">
        <v>0</v>
      </c>
      <c r="AH2129">
        <v>-184</v>
      </c>
    </row>
    <row r="2130" spans="2:34" x14ac:dyDescent="0.35">
      <c r="B2130" t="s">
        <v>565</v>
      </c>
      <c r="C2130">
        <v>45991</v>
      </c>
      <c r="F2130" t="s">
        <v>752</v>
      </c>
      <c r="H2130">
        <v>170.76</v>
      </c>
      <c r="O2130" t="s">
        <v>239</v>
      </c>
      <c r="P2130" t="s">
        <v>514</v>
      </c>
      <c r="Y2130">
        <v>2096</v>
      </c>
      <c r="Z2130" s="259" t="s">
        <v>630</v>
      </c>
      <c r="AA2130">
        <v>100</v>
      </c>
      <c r="AB2130">
        <v>20020</v>
      </c>
      <c r="AC2130">
        <v>45989</v>
      </c>
      <c r="AD2130">
        <v>2</v>
      </c>
      <c r="AE2130">
        <v>17076</v>
      </c>
      <c r="AF2130">
        <v>17076</v>
      </c>
      <c r="AG2130">
        <v>0</v>
      </c>
      <c r="AH2130">
        <v>-2944</v>
      </c>
    </row>
    <row r="2131" spans="2:34" x14ac:dyDescent="0.35">
      <c r="B2131" t="s">
        <v>565</v>
      </c>
      <c r="C2131">
        <v>45991</v>
      </c>
      <c r="F2131" t="s">
        <v>754</v>
      </c>
      <c r="H2131">
        <v>78.59</v>
      </c>
      <c r="O2131" t="s">
        <v>239</v>
      </c>
      <c r="P2131" t="s">
        <v>514</v>
      </c>
      <c r="Y2131">
        <v>2097</v>
      </c>
      <c r="Z2131" s="259" t="s">
        <v>630</v>
      </c>
      <c r="AA2131">
        <v>50</v>
      </c>
      <c r="AB2131">
        <v>4104</v>
      </c>
      <c r="AC2131">
        <v>45989</v>
      </c>
      <c r="AD2131">
        <v>2</v>
      </c>
      <c r="AE2131">
        <v>3929.5</v>
      </c>
      <c r="AF2131">
        <v>3929.5</v>
      </c>
      <c r="AG2131">
        <v>60</v>
      </c>
      <c r="AH2131">
        <v>-174.5</v>
      </c>
    </row>
    <row r="2132" spans="2:34" x14ac:dyDescent="0.35">
      <c r="B2132" t="s">
        <v>565</v>
      </c>
      <c r="C2132">
        <v>45992</v>
      </c>
      <c r="F2132" t="s">
        <v>749</v>
      </c>
      <c r="H2132">
        <v>48</v>
      </c>
      <c r="O2132" t="s">
        <v>239</v>
      </c>
      <c r="P2132" t="s">
        <v>514</v>
      </c>
      <c r="Y2132">
        <v>2098</v>
      </c>
      <c r="Z2132" s="259" t="s">
        <v>630</v>
      </c>
      <c r="AA2132">
        <v>100</v>
      </c>
      <c r="AB2132">
        <v>5005</v>
      </c>
      <c r="AC2132">
        <v>45992</v>
      </c>
      <c r="AD2132">
        <v>0</v>
      </c>
      <c r="AE2132">
        <v>4800</v>
      </c>
      <c r="AF2132">
        <v>4800</v>
      </c>
      <c r="AG2132">
        <v>0</v>
      </c>
      <c r="AH2132">
        <v>-205</v>
      </c>
    </row>
    <row r="2133" spans="2:34" x14ac:dyDescent="0.35">
      <c r="B2133" t="s">
        <v>565</v>
      </c>
      <c r="C2133">
        <v>45992</v>
      </c>
      <c r="F2133" t="s">
        <v>752</v>
      </c>
      <c r="H2133">
        <v>170</v>
      </c>
      <c r="O2133" t="s">
        <v>239</v>
      </c>
      <c r="P2133" t="s">
        <v>514</v>
      </c>
      <c r="Y2133">
        <v>2099</v>
      </c>
      <c r="Z2133" s="259" t="s">
        <v>630</v>
      </c>
      <c r="AA2133">
        <v>100</v>
      </c>
      <c r="AB2133">
        <v>20020</v>
      </c>
      <c r="AC2133">
        <v>45992</v>
      </c>
      <c r="AD2133">
        <v>0</v>
      </c>
      <c r="AE2133">
        <v>17000</v>
      </c>
      <c r="AF2133">
        <v>17000</v>
      </c>
      <c r="AG2133">
        <v>0</v>
      </c>
      <c r="AH2133">
        <v>-3020</v>
      </c>
    </row>
    <row r="2134" spans="2:34" x14ac:dyDescent="0.35">
      <c r="B2134" t="s">
        <v>565</v>
      </c>
      <c r="C2134">
        <v>45992</v>
      </c>
      <c r="F2134" t="s">
        <v>754</v>
      </c>
      <c r="H2134">
        <v>78.8</v>
      </c>
      <c r="O2134" t="s">
        <v>239</v>
      </c>
      <c r="P2134" t="s">
        <v>514</v>
      </c>
      <c r="Y2134">
        <v>2100</v>
      </c>
      <c r="Z2134" s="259" t="s">
        <v>630</v>
      </c>
      <c r="AA2134">
        <v>50</v>
      </c>
      <c r="AB2134">
        <v>4104</v>
      </c>
      <c r="AC2134">
        <v>45992</v>
      </c>
      <c r="AD2134">
        <v>0</v>
      </c>
      <c r="AE2134">
        <v>3940</v>
      </c>
      <c r="AF2134">
        <v>3940</v>
      </c>
      <c r="AG2134">
        <v>60</v>
      </c>
      <c r="AH2134">
        <v>-164</v>
      </c>
    </row>
    <row r="2135" spans="2:34" x14ac:dyDescent="0.35">
      <c r="B2135" t="s">
        <v>565</v>
      </c>
      <c r="C2135">
        <v>45993</v>
      </c>
      <c r="F2135" t="s">
        <v>749</v>
      </c>
      <c r="H2135">
        <v>47.98</v>
      </c>
      <c r="O2135" t="s">
        <v>239</v>
      </c>
      <c r="P2135" t="s">
        <v>514</v>
      </c>
      <c r="Y2135">
        <v>2101</v>
      </c>
      <c r="Z2135" s="259" t="s">
        <v>630</v>
      </c>
      <c r="AA2135">
        <v>100</v>
      </c>
      <c r="AB2135">
        <v>5005</v>
      </c>
      <c r="AC2135">
        <v>45993</v>
      </c>
      <c r="AD2135">
        <v>0</v>
      </c>
      <c r="AE2135">
        <v>4798</v>
      </c>
      <c r="AF2135">
        <v>4798</v>
      </c>
      <c r="AG2135">
        <v>0</v>
      </c>
      <c r="AH2135">
        <v>-207</v>
      </c>
    </row>
    <row r="2136" spans="2:34" x14ac:dyDescent="0.35">
      <c r="B2136" t="s">
        <v>565</v>
      </c>
      <c r="C2136">
        <v>45993</v>
      </c>
      <c r="F2136" t="s">
        <v>752</v>
      </c>
      <c r="H2136">
        <v>169.97</v>
      </c>
      <c r="O2136" t="s">
        <v>239</v>
      </c>
      <c r="P2136" t="s">
        <v>514</v>
      </c>
      <c r="Y2136">
        <v>2102</v>
      </c>
      <c r="Z2136" s="259" t="s">
        <v>630</v>
      </c>
      <c r="AA2136">
        <v>100</v>
      </c>
      <c r="AB2136">
        <v>20020</v>
      </c>
      <c r="AC2136">
        <v>45993</v>
      </c>
      <c r="AD2136">
        <v>0</v>
      </c>
      <c r="AE2136">
        <v>16997</v>
      </c>
      <c r="AF2136">
        <v>16997</v>
      </c>
      <c r="AG2136">
        <v>0</v>
      </c>
      <c r="AH2136">
        <v>-3023</v>
      </c>
    </row>
    <row r="2137" spans="2:34" x14ac:dyDescent="0.35">
      <c r="B2137" t="s">
        <v>565</v>
      </c>
      <c r="C2137">
        <v>45993</v>
      </c>
      <c r="F2137" t="s">
        <v>754</v>
      </c>
      <c r="H2137">
        <v>78.77</v>
      </c>
      <c r="O2137" t="s">
        <v>239</v>
      </c>
      <c r="P2137" t="s">
        <v>514</v>
      </c>
      <c r="Y2137">
        <v>2103</v>
      </c>
      <c r="Z2137" s="259" t="s">
        <v>630</v>
      </c>
      <c r="AA2137">
        <v>50</v>
      </c>
      <c r="AB2137">
        <v>4104</v>
      </c>
      <c r="AC2137">
        <v>45993</v>
      </c>
      <c r="AD2137">
        <v>0</v>
      </c>
      <c r="AE2137">
        <v>3938.5</v>
      </c>
      <c r="AF2137">
        <v>3938.5</v>
      </c>
      <c r="AG2137">
        <v>60</v>
      </c>
      <c r="AH2137">
        <v>-165.5</v>
      </c>
    </row>
    <row r="2138" spans="2:34" x14ac:dyDescent="0.35">
      <c r="B2138" t="s">
        <v>565</v>
      </c>
      <c r="C2138">
        <v>45994</v>
      </c>
      <c r="F2138" t="s">
        <v>749</v>
      </c>
      <c r="H2138">
        <v>47.97</v>
      </c>
      <c r="O2138" t="s">
        <v>239</v>
      </c>
      <c r="P2138" t="s">
        <v>514</v>
      </c>
      <c r="Y2138">
        <v>2104</v>
      </c>
      <c r="Z2138" s="259" t="s">
        <v>630</v>
      </c>
      <c r="AA2138">
        <v>100</v>
      </c>
      <c r="AB2138">
        <v>5005</v>
      </c>
      <c r="AC2138">
        <v>45994</v>
      </c>
      <c r="AD2138">
        <v>0</v>
      </c>
      <c r="AE2138">
        <v>4797</v>
      </c>
      <c r="AF2138">
        <v>4797</v>
      </c>
      <c r="AG2138">
        <v>0</v>
      </c>
      <c r="AH2138">
        <v>-208</v>
      </c>
    </row>
    <row r="2139" spans="2:34" x14ac:dyDescent="0.35">
      <c r="B2139" t="s">
        <v>565</v>
      </c>
      <c r="C2139">
        <v>45994</v>
      </c>
      <c r="F2139" t="s">
        <v>752</v>
      </c>
      <c r="H2139">
        <v>169.93</v>
      </c>
      <c r="O2139" t="s">
        <v>239</v>
      </c>
      <c r="P2139" t="s">
        <v>514</v>
      </c>
      <c r="Y2139">
        <v>2105</v>
      </c>
      <c r="Z2139" s="259" t="s">
        <v>630</v>
      </c>
      <c r="AA2139">
        <v>100</v>
      </c>
      <c r="AB2139">
        <v>20020</v>
      </c>
      <c r="AC2139">
        <v>45994</v>
      </c>
      <c r="AD2139">
        <v>0</v>
      </c>
      <c r="AE2139">
        <v>16993</v>
      </c>
      <c r="AF2139">
        <v>16993</v>
      </c>
      <c r="AG2139">
        <v>0</v>
      </c>
      <c r="AH2139">
        <v>-3027</v>
      </c>
    </row>
    <row r="2140" spans="2:34" x14ac:dyDescent="0.35">
      <c r="B2140" t="s">
        <v>565</v>
      </c>
      <c r="C2140">
        <v>45994</v>
      </c>
      <c r="F2140" t="s">
        <v>754</v>
      </c>
      <c r="H2140">
        <v>78.73</v>
      </c>
      <c r="O2140" t="s">
        <v>239</v>
      </c>
      <c r="P2140" t="s">
        <v>514</v>
      </c>
      <c r="Y2140">
        <v>2106</v>
      </c>
      <c r="Z2140" s="259" t="s">
        <v>630</v>
      </c>
      <c r="AA2140">
        <v>50</v>
      </c>
      <c r="AB2140">
        <v>4104</v>
      </c>
      <c r="AC2140">
        <v>45994</v>
      </c>
      <c r="AD2140">
        <v>0</v>
      </c>
      <c r="AE2140">
        <v>3936.5</v>
      </c>
      <c r="AF2140">
        <v>3936.5</v>
      </c>
      <c r="AG2140">
        <v>60</v>
      </c>
      <c r="AH2140">
        <v>-167.5</v>
      </c>
    </row>
    <row r="2141" spans="2:34" x14ac:dyDescent="0.35">
      <c r="B2141" t="s">
        <v>565</v>
      </c>
      <c r="C2141">
        <v>45995</v>
      </c>
      <c r="F2141" t="s">
        <v>749</v>
      </c>
      <c r="H2141">
        <v>47.95</v>
      </c>
      <c r="O2141" t="s">
        <v>239</v>
      </c>
      <c r="P2141" t="s">
        <v>514</v>
      </c>
      <c r="Y2141">
        <v>2107</v>
      </c>
      <c r="Z2141" s="259" t="s">
        <v>630</v>
      </c>
      <c r="AA2141">
        <v>100</v>
      </c>
      <c r="AB2141">
        <v>5005</v>
      </c>
      <c r="AC2141">
        <v>45995</v>
      </c>
      <c r="AD2141">
        <v>0</v>
      </c>
      <c r="AE2141">
        <v>4795</v>
      </c>
      <c r="AF2141">
        <v>4795</v>
      </c>
      <c r="AG2141">
        <v>0</v>
      </c>
      <c r="AH2141">
        <v>-210</v>
      </c>
    </row>
    <row r="2142" spans="2:34" x14ac:dyDescent="0.35">
      <c r="B2142" t="s">
        <v>565</v>
      </c>
      <c r="C2142">
        <v>45995</v>
      </c>
      <c r="F2142" t="s">
        <v>752</v>
      </c>
      <c r="H2142">
        <v>169.9</v>
      </c>
      <c r="O2142" t="s">
        <v>239</v>
      </c>
      <c r="P2142" t="s">
        <v>514</v>
      </c>
      <c r="Y2142">
        <v>2108</v>
      </c>
      <c r="Z2142" s="259" t="s">
        <v>630</v>
      </c>
      <c r="AA2142">
        <v>100</v>
      </c>
      <c r="AB2142">
        <v>20020</v>
      </c>
      <c r="AC2142">
        <v>45995</v>
      </c>
      <c r="AD2142">
        <v>0</v>
      </c>
      <c r="AE2142">
        <v>16990</v>
      </c>
      <c r="AF2142">
        <v>16990</v>
      </c>
      <c r="AG2142">
        <v>0</v>
      </c>
      <c r="AH2142">
        <v>-3030</v>
      </c>
    </row>
    <row r="2143" spans="2:34" x14ac:dyDescent="0.35">
      <c r="B2143" t="s">
        <v>565</v>
      </c>
      <c r="C2143">
        <v>45995</v>
      </c>
      <c r="F2143" t="s">
        <v>754</v>
      </c>
      <c r="H2143">
        <v>78.7</v>
      </c>
      <c r="O2143" t="s">
        <v>239</v>
      </c>
      <c r="P2143" t="s">
        <v>514</v>
      </c>
      <c r="Y2143">
        <v>2109</v>
      </c>
      <c r="Z2143" s="259" t="s">
        <v>630</v>
      </c>
      <c r="AA2143">
        <v>50</v>
      </c>
      <c r="AB2143">
        <v>4104</v>
      </c>
      <c r="AC2143">
        <v>45995</v>
      </c>
      <c r="AD2143">
        <v>0</v>
      </c>
      <c r="AE2143">
        <v>3935</v>
      </c>
      <c r="AF2143">
        <v>3935</v>
      </c>
      <c r="AG2143">
        <v>60</v>
      </c>
      <c r="AH2143">
        <v>-169</v>
      </c>
    </row>
    <row r="2144" spans="2:34" x14ac:dyDescent="0.35">
      <c r="B2144" t="s">
        <v>565</v>
      </c>
      <c r="C2144">
        <v>45996</v>
      </c>
      <c r="F2144" t="s">
        <v>749</v>
      </c>
      <c r="H2144">
        <v>47.93</v>
      </c>
      <c r="O2144" t="s">
        <v>239</v>
      </c>
      <c r="P2144" t="s">
        <v>514</v>
      </c>
      <c r="Y2144">
        <v>2110</v>
      </c>
      <c r="Z2144" s="259" t="s">
        <v>630</v>
      </c>
      <c r="AA2144">
        <v>100</v>
      </c>
      <c r="AB2144">
        <v>5005</v>
      </c>
      <c r="AC2144">
        <v>45996</v>
      </c>
      <c r="AD2144">
        <v>0</v>
      </c>
      <c r="AE2144">
        <v>4793</v>
      </c>
      <c r="AF2144">
        <v>4793</v>
      </c>
      <c r="AG2144">
        <v>0</v>
      </c>
      <c r="AH2144">
        <v>-212</v>
      </c>
    </row>
    <row r="2145" spans="2:34" x14ac:dyDescent="0.35">
      <c r="B2145" t="s">
        <v>565</v>
      </c>
      <c r="C2145">
        <v>45996</v>
      </c>
      <c r="F2145" t="s">
        <v>752</v>
      </c>
      <c r="H2145">
        <v>169.87</v>
      </c>
      <c r="O2145" t="s">
        <v>239</v>
      </c>
      <c r="P2145" t="s">
        <v>514</v>
      </c>
      <c r="Y2145">
        <v>2111</v>
      </c>
      <c r="Z2145" s="259" t="s">
        <v>630</v>
      </c>
      <c r="AA2145">
        <v>100</v>
      </c>
      <c r="AB2145">
        <v>20020</v>
      </c>
      <c r="AC2145">
        <v>45996</v>
      </c>
      <c r="AD2145">
        <v>0</v>
      </c>
      <c r="AE2145">
        <v>16987</v>
      </c>
      <c r="AF2145">
        <v>16987</v>
      </c>
      <c r="AG2145">
        <v>0</v>
      </c>
      <c r="AH2145">
        <v>-3033</v>
      </c>
    </row>
    <row r="2146" spans="2:34" x14ac:dyDescent="0.35">
      <c r="B2146" t="s">
        <v>565</v>
      </c>
      <c r="C2146">
        <v>45996</v>
      </c>
      <c r="F2146" t="s">
        <v>754</v>
      </c>
      <c r="H2146">
        <v>78.67</v>
      </c>
      <c r="O2146" t="s">
        <v>239</v>
      </c>
      <c r="P2146" t="s">
        <v>514</v>
      </c>
      <c r="Y2146">
        <v>2112</v>
      </c>
      <c r="Z2146" s="259" t="s">
        <v>630</v>
      </c>
      <c r="AA2146">
        <v>50</v>
      </c>
      <c r="AB2146">
        <v>4104</v>
      </c>
      <c r="AC2146">
        <v>45996</v>
      </c>
      <c r="AD2146">
        <v>0</v>
      </c>
      <c r="AE2146">
        <v>3933.5</v>
      </c>
      <c r="AF2146">
        <v>3933.5</v>
      </c>
      <c r="AG2146">
        <v>60</v>
      </c>
      <c r="AH2146">
        <v>-170.5</v>
      </c>
    </row>
    <row r="2147" spans="2:34" x14ac:dyDescent="0.35">
      <c r="B2147" t="s">
        <v>565</v>
      </c>
      <c r="C2147">
        <v>45997</v>
      </c>
      <c r="F2147" t="s">
        <v>749</v>
      </c>
      <c r="H2147">
        <v>47.93</v>
      </c>
      <c r="O2147" t="s">
        <v>239</v>
      </c>
      <c r="P2147" t="s">
        <v>514</v>
      </c>
      <c r="Y2147">
        <v>2113</v>
      </c>
      <c r="Z2147" s="259" t="s">
        <v>630</v>
      </c>
      <c r="AA2147">
        <v>100</v>
      </c>
      <c r="AB2147">
        <v>5005</v>
      </c>
      <c r="AC2147">
        <v>45996</v>
      </c>
      <c r="AD2147">
        <v>1</v>
      </c>
      <c r="AE2147">
        <v>4793</v>
      </c>
      <c r="AF2147">
        <v>4793</v>
      </c>
      <c r="AG2147">
        <v>0</v>
      </c>
      <c r="AH2147">
        <v>-212</v>
      </c>
    </row>
    <row r="2148" spans="2:34" x14ac:dyDescent="0.35">
      <c r="B2148" t="s">
        <v>565</v>
      </c>
      <c r="C2148">
        <v>45997</v>
      </c>
      <c r="F2148" t="s">
        <v>752</v>
      </c>
      <c r="H2148">
        <v>169.87</v>
      </c>
      <c r="O2148" t="s">
        <v>239</v>
      </c>
      <c r="P2148" t="s">
        <v>514</v>
      </c>
      <c r="Y2148">
        <v>2114</v>
      </c>
      <c r="Z2148" s="259" t="s">
        <v>630</v>
      </c>
      <c r="AA2148">
        <v>100</v>
      </c>
      <c r="AB2148">
        <v>20020</v>
      </c>
      <c r="AC2148">
        <v>45996</v>
      </c>
      <c r="AD2148">
        <v>1</v>
      </c>
      <c r="AE2148">
        <v>16987</v>
      </c>
      <c r="AF2148">
        <v>16987</v>
      </c>
      <c r="AG2148">
        <v>0</v>
      </c>
      <c r="AH2148">
        <v>-3033</v>
      </c>
    </row>
    <row r="2149" spans="2:34" x14ac:dyDescent="0.35">
      <c r="B2149" t="s">
        <v>565</v>
      </c>
      <c r="C2149">
        <v>45997</v>
      </c>
      <c r="F2149" t="s">
        <v>754</v>
      </c>
      <c r="H2149">
        <v>78.67</v>
      </c>
      <c r="O2149" t="s">
        <v>239</v>
      </c>
      <c r="P2149" t="s">
        <v>514</v>
      </c>
      <c r="Y2149">
        <v>2115</v>
      </c>
      <c r="Z2149" s="259" t="s">
        <v>630</v>
      </c>
      <c r="AA2149">
        <v>50</v>
      </c>
      <c r="AB2149">
        <v>4104</v>
      </c>
      <c r="AC2149">
        <v>45996</v>
      </c>
      <c r="AD2149">
        <v>1</v>
      </c>
      <c r="AE2149">
        <v>3933.5</v>
      </c>
      <c r="AF2149">
        <v>3933.5</v>
      </c>
      <c r="AG2149">
        <v>60</v>
      </c>
      <c r="AH2149">
        <v>-170.5</v>
      </c>
    </row>
    <row r="2150" spans="2:34" x14ac:dyDescent="0.35">
      <c r="B2150" t="s">
        <v>565</v>
      </c>
      <c r="C2150">
        <v>45998</v>
      </c>
      <c r="F2150" t="s">
        <v>749</v>
      </c>
      <c r="H2150">
        <v>47.93</v>
      </c>
      <c r="O2150" t="s">
        <v>239</v>
      </c>
      <c r="P2150" t="s">
        <v>514</v>
      </c>
      <c r="Y2150">
        <v>2116</v>
      </c>
      <c r="Z2150" s="259" t="s">
        <v>630</v>
      </c>
      <c r="AA2150">
        <v>100</v>
      </c>
      <c r="AB2150">
        <v>5005</v>
      </c>
      <c r="AC2150">
        <v>45996</v>
      </c>
      <c r="AD2150">
        <v>2</v>
      </c>
      <c r="AE2150">
        <v>4793</v>
      </c>
      <c r="AF2150">
        <v>4793</v>
      </c>
      <c r="AG2150">
        <v>0</v>
      </c>
      <c r="AH2150">
        <v>-212</v>
      </c>
    </row>
    <row r="2151" spans="2:34" x14ac:dyDescent="0.35">
      <c r="B2151" t="s">
        <v>565</v>
      </c>
      <c r="C2151">
        <v>45998</v>
      </c>
      <c r="F2151" t="s">
        <v>752</v>
      </c>
      <c r="H2151">
        <v>169.87</v>
      </c>
      <c r="O2151" t="s">
        <v>239</v>
      </c>
      <c r="P2151" t="s">
        <v>514</v>
      </c>
      <c r="Y2151">
        <v>2117</v>
      </c>
      <c r="Z2151" s="259" t="s">
        <v>630</v>
      </c>
      <c r="AA2151">
        <v>100</v>
      </c>
      <c r="AB2151">
        <v>20020</v>
      </c>
      <c r="AC2151">
        <v>45996</v>
      </c>
      <c r="AD2151">
        <v>2</v>
      </c>
      <c r="AE2151">
        <v>16987</v>
      </c>
      <c r="AF2151">
        <v>16987</v>
      </c>
      <c r="AG2151">
        <v>0</v>
      </c>
      <c r="AH2151">
        <v>-3033</v>
      </c>
    </row>
    <row r="2152" spans="2:34" x14ac:dyDescent="0.35">
      <c r="B2152" t="s">
        <v>565</v>
      </c>
      <c r="C2152">
        <v>45998</v>
      </c>
      <c r="F2152" t="s">
        <v>754</v>
      </c>
      <c r="H2152">
        <v>78.67</v>
      </c>
      <c r="O2152" t="s">
        <v>239</v>
      </c>
      <c r="P2152" t="s">
        <v>514</v>
      </c>
      <c r="Y2152">
        <v>2118</v>
      </c>
      <c r="Z2152" s="259" t="s">
        <v>630</v>
      </c>
      <c r="AA2152">
        <v>50</v>
      </c>
      <c r="AB2152">
        <v>4104</v>
      </c>
      <c r="AC2152">
        <v>45996</v>
      </c>
      <c r="AD2152">
        <v>2</v>
      </c>
      <c r="AE2152">
        <v>3933.5</v>
      </c>
      <c r="AF2152">
        <v>3933.5</v>
      </c>
      <c r="AG2152">
        <v>60</v>
      </c>
      <c r="AH2152">
        <v>-170.5</v>
      </c>
    </row>
    <row r="2153" spans="2:34" x14ac:dyDescent="0.35">
      <c r="B2153" t="s">
        <v>565</v>
      </c>
      <c r="C2153">
        <v>45999</v>
      </c>
      <c r="F2153" t="s">
        <v>749</v>
      </c>
      <c r="H2153">
        <v>47.88</v>
      </c>
      <c r="O2153" t="s">
        <v>239</v>
      </c>
      <c r="P2153" t="s">
        <v>514</v>
      </c>
      <c r="Y2153">
        <v>2119</v>
      </c>
      <c r="Z2153" s="259" t="s">
        <v>630</v>
      </c>
      <c r="AA2153">
        <v>100</v>
      </c>
      <c r="AB2153">
        <v>5005</v>
      </c>
      <c r="AC2153">
        <v>45999</v>
      </c>
      <c r="AD2153">
        <v>0</v>
      </c>
      <c r="AE2153">
        <v>4788</v>
      </c>
      <c r="AF2153">
        <v>4788</v>
      </c>
      <c r="AG2153">
        <v>0</v>
      </c>
      <c r="AH2153">
        <v>-217</v>
      </c>
    </row>
    <row r="2154" spans="2:34" x14ac:dyDescent="0.35">
      <c r="B2154" t="s">
        <v>565</v>
      </c>
      <c r="C2154">
        <v>45999</v>
      </c>
      <c r="F2154" t="s">
        <v>752</v>
      </c>
      <c r="H2154">
        <v>169.77</v>
      </c>
      <c r="O2154" t="s">
        <v>239</v>
      </c>
      <c r="P2154" t="s">
        <v>514</v>
      </c>
      <c r="Y2154">
        <v>2120</v>
      </c>
      <c r="Z2154" s="259" t="s">
        <v>630</v>
      </c>
      <c r="AA2154">
        <v>100</v>
      </c>
      <c r="AB2154">
        <v>20020</v>
      </c>
      <c r="AC2154">
        <v>45999</v>
      </c>
      <c r="AD2154">
        <v>0</v>
      </c>
      <c r="AE2154">
        <v>16977</v>
      </c>
      <c r="AF2154">
        <v>16977</v>
      </c>
      <c r="AG2154">
        <v>0</v>
      </c>
      <c r="AH2154">
        <v>-3043</v>
      </c>
    </row>
    <row r="2155" spans="2:34" x14ac:dyDescent="0.35">
      <c r="B2155" t="s">
        <v>565</v>
      </c>
      <c r="C2155">
        <v>45999</v>
      </c>
      <c r="F2155" t="s">
        <v>754</v>
      </c>
      <c r="H2155">
        <v>78.569999999999993</v>
      </c>
      <c r="O2155" t="s">
        <v>239</v>
      </c>
      <c r="P2155" t="s">
        <v>514</v>
      </c>
      <c r="Y2155">
        <v>2121</v>
      </c>
      <c r="Z2155" s="259" t="s">
        <v>630</v>
      </c>
      <c r="AA2155">
        <v>50</v>
      </c>
      <c r="AB2155">
        <v>4104</v>
      </c>
      <c r="AC2155">
        <v>45999</v>
      </c>
      <c r="AD2155">
        <v>0</v>
      </c>
      <c r="AE2155">
        <v>3928.4999999999995</v>
      </c>
      <c r="AF2155">
        <v>3928.4999999999995</v>
      </c>
      <c r="AG2155">
        <v>60</v>
      </c>
      <c r="AH2155">
        <v>-175.50000000000045</v>
      </c>
    </row>
    <row r="2156" spans="2:34" x14ac:dyDescent="0.35">
      <c r="B2156" t="s">
        <v>565</v>
      </c>
      <c r="C2156">
        <v>46000</v>
      </c>
      <c r="F2156" t="s">
        <v>749</v>
      </c>
      <c r="H2156">
        <v>47.87</v>
      </c>
      <c r="O2156" t="s">
        <v>239</v>
      </c>
      <c r="P2156" t="s">
        <v>514</v>
      </c>
      <c r="Y2156">
        <v>2122</v>
      </c>
      <c r="Z2156" s="259" t="s">
        <v>630</v>
      </c>
      <c r="AA2156">
        <v>100</v>
      </c>
      <c r="AB2156">
        <v>5005</v>
      </c>
      <c r="AC2156">
        <v>46000</v>
      </c>
      <c r="AD2156">
        <v>0</v>
      </c>
      <c r="AE2156">
        <v>4787</v>
      </c>
      <c r="AF2156">
        <v>4787</v>
      </c>
      <c r="AG2156">
        <v>0</v>
      </c>
      <c r="AH2156">
        <v>-218</v>
      </c>
    </row>
    <row r="2157" spans="2:34" x14ac:dyDescent="0.35">
      <c r="B2157" t="s">
        <v>565</v>
      </c>
      <c r="C2157">
        <v>46000</v>
      </c>
      <c r="F2157" t="s">
        <v>752</v>
      </c>
      <c r="H2157">
        <v>169.73</v>
      </c>
      <c r="O2157" t="s">
        <v>239</v>
      </c>
      <c r="P2157" t="s">
        <v>514</v>
      </c>
      <c r="Y2157">
        <v>2123</v>
      </c>
      <c r="Z2157" s="259" t="s">
        <v>630</v>
      </c>
      <c r="AA2157">
        <v>100</v>
      </c>
      <c r="AB2157">
        <v>20020</v>
      </c>
      <c r="AC2157">
        <v>46000</v>
      </c>
      <c r="AD2157">
        <v>0</v>
      </c>
      <c r="AE2157">
        <v>16973</v>
      </c>
      <c r="AF2157">
        <v>16973</v>
      </c>
      <c r="AG2157">
        <v>0</v>
      </c>
      <c r="AH2157">
        <v>-3047</v>
      </c>
    </row>
    <row r="2158" spans="2:34" x14ac:dyDescent="0.35">
      <c r="B2158" t="s">
        <v>565</v>
      </c>
      <c r="C2158">
        <v>46000</v>
      </c>
      <c r="F2158" t="s">
        <v>754</v>
      </c>
      <c r="H2158">
        <v>78.53</v>
      </c>
      <c r="O2158" t="s">
        <v>239</v>
      </c>
      <c r="P2158" t="s">
        <v>514</v>
      </c>
      <c r="Y2158">
        <v>2124</v>
      </c>
      <c r="Z2158" s="259" t="s">
        <v>630</v>
      </c>
      <c r="AA2158">
        <v>50</v>
      </c>
      <c r="AB2158">
        <v>4104</v>
      </c>
      <c r="AC2158">
        <v>46000</v>
      </c>
      <c r="AD2158">
        <v>0</v>
      </c>
      <c r="AE2158">
        <v>3926.5</v>
      </c>
      <c r="AF2158">
        <v>3926.5</v>
      </c>
      <c r="AG2158">
        <v>60</v>
      </c>
      <c r="AH2158">
        <v>-177.5</v>
      </c>
    </row>
    <row r="2159" spans="2:34" x14ac:dyDescent="0.35">
      <c r="B2159" t="s">
        <v>565</v>
      </c>
      <c r="C2159">
        <v>46001</v>
      </c>
      <c r="F2159" t="s">
        <v>749</v>
      </c>
      <c r="H2159">
        <v>47.85</v>
      </c>
      <c r="O2159" t="s">
        <v>239</v>
      </c>
      <c r="P2159" t="s">
        <v>514</v>
      </c>
      <c r="Y2159">
        <v>2125</v>
      </c>
      <c r="Z2159" s="259" t="s">
        <v>630</v>
      </c>
      <c r="AA2159">
        <v>100</v>
      </c>
      <c r="AB2159">
        <v>5005</v>
      </c>
      <c r="AC2159">
        <v>46001</v>
      </c>
      <c r="AD2159">
        <v>0</v>
      </c>
      <c r="AE2159">
        <v>4785</v>
      </c>
      <c r="AF2159">
        <v>4785</v>
      </c>
      <c r="AG2159">
        <v>0</v>
      </c>
      <c r="AH2159">
        <v>-220</v>
      </c>
    </row>
    <row r="2160" spans="2:34" x14ac:dyDescent="0.35">
      <c r="B2160" t="s">
        <v>565</v>
      </c>
      <c r="C2160">
        <v>46001</v>
      </c>
      <c r="F2160" t="s">
        <v>752</v>
      </c>
      <c r="H2160">
        <v>169.7</v>
      </c>
      <c r="O2160" t="s">
        <v>239</v>
      </c>
      <c r="P2160" t="s">
        <v>514</v>
      </c>
      <c r="Y2160">
        <v>2126</v>
      </c>
      <c r="Z2160" s="259" t="s">
        <v>630</v>
      </c>
      <c r="AA2160">
        <v>100</v>
      </c>
      <c r="AB2160">
        <v>20020</v>
      </c>
      <c r="AC2160">
        <v>46001</v>
      </c>
      <c r="AD2160">
        <v>0</v>
      </c>
      <c r="AE2160">
        <v>16970</v>
      </c>
      <c r="AF2160">
        <v>16970</v>
      </c>
      <c r="AG2160">
        <v>0</v>
      </c>
      <c r="AH2160">
        <v>-3050</v>
      </c>
    </row>
    <row r="2161" spans="2:34" x14ac:dyDescent="0.35">
      <c r="B2161" t="s">
        <v>565</v>
      </c>
      <c r="C2161">
        <v>46001</v>
      </c>
      <c r="F2161" t="s">
        <v>754</v>
      </c>
      <c r="H2161">
        <v>78.5</v>
      </c>
      <c r="O2161" t="s">
        <v>239</v>
      </c>
      <c r="P2161" t="s">
        <v>514</v>
      </c>
      <c r="Y2161">
        <v>2127</v>
      </c>
      <c r="Z2161" s="259" t="s">
        <v>630</v>
      </c>
      <c r="AA2161">
        <v>50</v>
      </c>
      <c r="AB2161">
        <v>4104</v>
      </c>
      <c r="AC2161">
        <v>46001</v>
      </c>
      <c r="AD2161">
        <v>0</v>
      </c>
      <c r="AE2161">
        <v>3925</v>
      </c>
      <c r="AF2161">
        <v>3925</v>
      </c>
      <c r="AG2161">
        <v>60</v>
      </c>
      <c r="AH2161">
        <v>-179</v>
      </c>
    </row>
    <row r="2162" spans="2:34" x14ac:dyDescent="0.35">
      <c r="B2162" t="s">
        <v>565</v>
      </c>
      <c r="C2162">
        <v>46002</v>
      </c>
      <c r="F2162" t="s">
        <v>749</v>
      </c>
      <c r="H2162">
        <v>47.83</v>
      </c>
      <c r="O2162" t="s">
        <v>239</v>
      </c>
      <c r="P2162" t="s">
        <v>514</v>
      </c>
      <c r="Y2162">
        <v>2128</v>
      </c>
      <c r="Z2162" s="259" t="s">
        <v>630</v>
      </c>
      <c r="AA2162">
        <v>100</v>
      </c>
      <c r="AB2162">
        <v>5005</v>
      </c>
      <c r="AC2162">
        <v>46002</v>
      </c>
      <c r="AD2162">
        <v>0</v>
      </c>
      <c r="AE2162">
        <v>4783</v>
      </c>
      <c r="AF2162">
        <v>4783</v>
      </c>
      <c r="AG2162">
        <v>0</v>
      </c>
      <c r="AH2162">
        <v>-222</v>
      </c>
    </row>
    <row r="2163" spans="2:34" x14ac:dyDescent="0.35">
      <c r="B2163" t="s">
        <v>565</v>
      </c>
      <c r="C2163">
        <v>46002</v>
      </c>
      <c r="F2163" t="s">
        <v>752</v>
      </c>
      <c r="H2163">
        <v>169.67</v>
      </c>
      <c r="O2163" t="s">
        <v>239</v>
      </c>
      <c r="P2163" t="s">
        <v>514</v>
      </c>
      <c r="Y2163">
        <v>2129</v>
      </c>
      <c r="Z2163" s="259" t="s">
        <v>630</v>
      </c>
      <c r="AA2163">
        <v>100</v>
      </c>
      <c r="AB2163">
        <v>20020</v>
      </c>
      <c r="AC2163">
        <v>46002</v>
      </c>
      <c r="AD2163">
        <v>0</v>
      </c>
      <c r="AE2163">
        <v>16967</v>
      </c>
      <c r="AF2163">
        <v>16967</v>
      </c>
      <c r="AG2163">
        <v>0</v>
      </c>
      <c r="AH2163">
        <v>-3053</v>
      </c>
    </row>
    <row r="2164" spans="2:34" x14ac:dyDescent="0.35">
      <c r="B2164" t="s">
        <v>565</v>
      </c>
      <c r="C2164">
        <v>46002</v>
      </c>
      <c r="F2164" t="s">
        <v>754</v>
      </c>
      <c r="H2164">
        <v>78.47</v>
      </c>
      <c r="O2164" t="s">
        <v>239</v>
      </c>
      <c r="P2164" t="s">
        <v>514</v>
      </c>
      <c r="Y2164">
        <v>2130</v>
      </c>
      <c r="Z2164" s="259" t="s">
        <v>630</v>
      </c>
      <c r="AA2164">
        <v>50</v>
      </c>
      <c r="AB2164">
        <v>4104</v>
      </c>
      <c r="AC2164">
        <v>46002</v>
      </c>
      <c r="AD2164">
        <v>0</v>
      </c>
      <c r="AE2164">
        <v>3923.5</v>
      </c>
      <c r="AF2164">
        <v>3923.5</v>
      </c>
      <c r="AG2164">
        <v>60</v>
      </c>
      <c r="AH2164">
        <v>-180.5</v>
      </c>
    </row>
    <row r="2165" spans="2:34" x14ac:dyDescent="0.35">
      <c r="B2165" t="s">
        <v>565</v>
      </c>
      <c r="C2165">
        <v>46003</v>
      </c>
      <c r="F2165" t="s">
        <v>749</v>
      </c>
      <c r="H2165">
        <v>47.82</v>
      </c>
      <c r="O2165" t="s">
        <v>239</v>
      </c>
      <c r="P2165" t="s">
        <v>514</v>
      </c>
      <c r="Y2165">
        <v>2131</v>
      </c>
      <c r="Z2165" s="259" t="s">
        <v>630</v>
      </c>
      <c r="AA2165">
        <v>100</v>
      </c>
      <c r="AB2165">
        <v>5005</v>
      </c>
      <c r="AC2165">
        <v>46003</v>
      </c>
      <c r="AD2165">
        <v>0</v>
      </c>
      <c r="AE2165">
        <v>4782</v>
      </c>
      <c r="AF2165">
        <v>4782</v>
      </c>
      <c r="AG2165">
        <v>0</v>
      </c>
      <c r="AH2165">
        <v>-223</v>
      </c>
    </row>
    <row r="2166" spans="2:34" x14ac:dyDescent="0.35">
      <c r="B2166" t="s">
        <v>565</v>
      </c>
      <c r="C2166">
        <v>46003</v>
      </c>
      <c r="F2166" t="s">
        <v>752</v>
      </c>
      <c r="H2166">
        <v>169.63</v>
      </c>
      <c r="O2166" t="s">
        <v>239</v>
      </c>
      <c r="P2166" t="s">
        <v>514</v>
      </c>
      <c r="Y2166">
        <v>2132</v>
      </c>
      <c r="Z2166" s="259" t="s">
        <v>630</v>
      </c>
      <c r="AA2166">
        <v>100</v>
      </c>
      <c r="AB2166">
        <v>20020</v>
      </c>
      <c r="AC2166">
        <v>46003</v>
      </c>
      <c r="AD2166">
        <v>0</v>
      </c>
      <c r="AE2166">
        <v>16963</v>
      </c>
      <c r="AF2166">
        <v>16963</v>
      </c>
      <c r="AG2166">
        <v>0</v>
      </c>
      <c r="AH2166">
        <v>-3057</v>
      </c>
    </row>
    <row r="2167" spans="2:34" x14ac:dyDescent="0.35">
      <c r="B2167" t="s">
        <v>565</v>
      </c>
      <c r="C2167">
        <v>46003</v>
      </c>
      <c r="F2167" t="s">
        <v>754</v>
      </c>
      <c r="H2167">
        <v>78.430000000000007</v>
      </c>
      <c r="O2167" t="s">
        <v>239</v>
      </c>
      <c r="P2167" t="s">
        <v>514</v>
      </c>
      <c r="Y2167">
        <v>2133</v>
      </c>
      <c r="Z2167" s="259" t="s">
        <v>630</v>
      </c>
      <c r="AA2167">
        <v>50</v>
      </c>
      <c r="AB2167">
        <v>4104</v>
      </c>
      <c r="AC2167">
        <v>46003</v>
      </c>
      <c r="AD2167">
        <v>0</v>
      </c>
      <c r="AE2167">
        <v>3921.5000000000005</v>
      </c>
      <c r="AF2167">
        <v>3921.5000000000005</v>
      </c>
      <c r="AG2167">
        <v>60</v>
      </c>
      <c r="AH2167">
        <v>-182.49999999999955</v>
      </c>
    </row>
    <row r="2168" spans="2:34" x14ac:dyDescent="0.35">
      <c r="B2168" t="s">
        <v>565</v>
      </c>
      <c r="C2168">
        <v>46004</v>
      </c>
      <c r="F2168" t="s">
        <v>749</v>
      </c>
      <c r="H2168">
        <v>47.82</v>
      </c>
      <c r="O2168" t="s">
        <v>239</v>
      </c>
      <c r="P2168" t="s">
        <v>514</v>
      </c>
      <c r="Y2168">
        <v>2134</v>
      </c>
      <c r="Z2168" s="259" t="s">
        <v>630</v>
      </c>
      <c r="AA2168">
        <v>100</v>
      </c>
      <c r="AB2168">
        <v>5005</v>
      </c>
      <c r="AC2168">
        <v>46003</v>
      </c>
      <c r="AD2168">
        <v>1</v>
      </c>
      <c r="AE2168">
        <v>4782</v>
      </c>
      <c r="AF2168">
        <v>4782</v>
      </c>
      <c r="AG2168">
        <v>0</v>
      </c>
      <c r="AH2168">
        <v>-223</v>
      </c>
    </row>
    <row r="2169" spans="2:34" x14ac:dyDescent="0.35">
      <c r="B2169" t="s">
        <v>565</v>
      </c>
      <c r="C2169">
        <v>46004</v>
      </c>
      <c r="F2169" t="s">
        <v>752</v>
      </c>
      <c r="H2169">
        <v>169.63</v>
      </c>
      <c r="O2169" t="s">
        <v>239</v>
      </c>
      <c r="P2169" t="s">
        <v>514</v>
      </c>
      <c r="Y2169">
        <v>2135</v>
      </c>
      <c r="Z2169" s="259" t="s">
        <v>630</v>
      </c>
      <c r="AA2169">
        <v>100</v>
      </c>
      <c r="AB2169">
        <v>20020</v>
      </c>
      <c r="AC2169">
        <v>46003</v>
      </c>
      <c r="AD2169">
        <v>1</v>
      </c>
      <c r="AE2169">
        <v>16963</v>
      </c>
      <c r="AF2169">
        <v>16963</v>
      </c>
      <c r="AG2169">
        <v>0</v>
      </c>
      <c r="AH2169">
        <v>-3057</v>
      </c>
    </row>
    <row r="2170" spans="2:34" x14ac:dyDescent="0.35">
      <c r="B2170" t="s">
        <v>565</v>
      </c>
      <c r="C2170">
        <v>46004</v>
      </c>
      <c r="F2170" t="s">
        <v>754</v>
      </c>
      <c r="H2170">
        <v>78.430000000000007</v>
      </c>
      <c r="O2170" t="s">
        <v>239</v>
      </c>
      <c r="P2170" t="s">
        <v>514</v>
      </c>
      <c r="Y2170">
        <v>2136</v>
      </c>
      <c r="Z2170" s="259" t="s">
        <v>630</v>
      </c>
      <c r="AA2170">
        <v>50</v>
      </c>
      <c r="AB2170">
        <v>4104</v>
      </c>
      <c r="AC2170">
        <v>46003</v>
      </c>
      <c r="AD2170">
        <v>1</v>
      </c>
      <c r="AE2170">
        <v>3921.5000000000005</v>
      </c>
      <c r="AF2170">
        <v>3921.5000000000005</v>
      </c>
      <c r="AG2170">
        <v>60</v>
      </c>
      <c r="AH2170">
        <v>-182.49999999999955</v>
      </c>
    </row>
    <row r="2171" spans="2:34" x14ac:dyDescent="0.35">
      <c r="B2171" t="s">
        <v>565</v>
      </c>
      <c r="C2171">
        <v>46005</v>
      </c>
      <c r="F2171" t="s">
        <v>749</v>
      </c>
      <c r="H2171">
        <v>47.82</v>
      </c>
      <c r="O2171" t="s">
        <v>239</v>
      </c>
      <c r="P2171" t="s">
        <v>514</v>
      </c>
      <c r="Y2171">
        <v>2137</v>
      </c>
      <c r="Z2171" s="259" t="s">
        <v>630</v>
      </c>
      <c r="AA2171">
        <v>100</v>
      </c>
      <c r="AB2171">
        <v>5005</v>
      </c>
      <c r="AC2171">
        <v>46003</v>
      </c>
      <c r="AD2171">
        <v>2</v>
      </c>
      <c r="AE2171">
        <v>4782</v>
      </c>
      <c r="AF2171">
        <v>4782</v>
      </c>
      <c r="AG2171">
        <v>0</v>
      </c>
      <c r="AH2171">
        <v>-223</v>
      </c>
    </row>
    <row r="2172" spans="2:34" x14ac:dyDescent="0.35">
      <c r="B2172" t="s">
        <v>565</v>
      </c>
      <c r="C2172">
        <v>46005</v>
      </c>
      <c r="F2172" t="s">
        <v>752</v>
      </c>
      <c r="H2172">
        <v>169.63</v>
      </c>
      <c r="O2172" t="s">
        <v>239</v>
      </c>
      <c r="P2172" t="s">
        <v>514</v>
      </c>
      <c r="Y2172">
        <v>2138</v>
      </c>
      <c r="Z2172" s="259" t="s">
        <v>630</v>
      </c>
      <c r="AA2172">
        <v>100</v>
      </c>
      <c r="AB2172">
        <v>20020</v>
      </c>
      <c r="AC2172">
        <v>46003</v>
      </c>
      <c r="AD2172">
        <v>2</v>
      </c>
      <c r="AE2172">
        <v>16963</v>
      </c>
      <c r="AF2172">
        <v>16963</v>
      </c>
      <c r="AG2172">
        <v>0</v>
      </c>
      <c r="AH2172">
        <v>-3057</v>
      </c>
    </row>
    <row r="2173" spans="2:34" x14ac:dyDescent="0.35">
      <c r="B2173" t="s">
        <v>565</v>
      </c>
      <c r="C2173">
        <v>46005</v>
      </c>
      <c r="F2173" t="s">
        <v>754</v>
      </c>
      <c r="H2173">
        <v>78.430000000000007</v>
      </c>
      <c r="O2173" t="s">
        <v>239</v>
      </c>
      <c r="P2173" t="s">
        <v>514</v>
      </c>
      <c r="Y2173">
        <v>2139</v>
      </c>
      <c r="Z2173" s="259" t="s">
        <v>630</v>
      </c>
      <c r="AA2173">
        <v>50</v>
      </c>
      <c r="AB2173">
        <v>4104</v>
      </c>
      <c r="AC2173">
        <v>46003</v>
      </c>
      <c r="AD2173">
        <v>2</v>
      </c>
      <c r="AE2173">
        <v>3921.5000000000005</v>
      </c>
      <c r="AF2173">
        <v>3921.5000000000005</v>
      </c>
      <c r="AG2173">
        <v>60</v>
      </c>
      <c r="AH2173">
        <v>-182.49999999999955</v>
      </c>
    </row>
    <row r="2174" spans="2:34" x14ac:dyDescent="0.35">
      <c r="B2174" t="s">
        <v>565</v>
      </c>
      <c r="C2174">
        <v>46006</v>
      </c>
      <c r="F2174" t="s">
        <v>749</v>
      </c>
      <c r="H2174">
        <v>47.77</v>
      </c>
      <c r="O2174" t="s">
        <v>239</v>
      </c>
      <c r="P2174" t="s">
        <v>514</v>
      </c>
      <c r="Y2174">
        <v>2140</v>
      </c>
      <c r="Z2174" s="259" t="s">
        <v>630</v>
      </c>
      <c r="AA2174">
        <v>100</v>
      </c>
      <c r="AB2174">
        <v>5005</v>
      </c>
      <c r="AC2174">
        <v>46006</v>
      </c>
      <c r="AD2174">
        <v>0</v>
      </c>
      <c r="AE2174">
        <v>4777</v>
      </c>
      <c r="AF2174">
        <v>4777</v>
      </c>
      <c r="AG2174">
        <v>0</v>
      </c>
      <c r="AH2174">
        <v>-228</v>
      </c>
    </row>
    <row r="2175" spans="2:34" x14ac:dyDescent="0.35">
      <c r="B2175" t="s">
        <v>565</v>
      </c>
      <c r="C2175">
        <v>46006</v>
      </c>
      <c r="F2175" t="s">
        <v>752</v>
      </c>
      <c r="H2175">
        <v>169.53</v>
      </c>
      <c r="O2175" t="s">
        <v>239</v>
      </c>
      <c r="P2175" t="s">
        <v>514</v>
      </c>
      <c r="Y2175">
        <v>2141</v>
      </c>
      <c r="Z2175" s="259" t="s">
        <v>630</v>
      </c>
      <c r="AA2175">
        <v>100</v>
      </c>
      <c r="AB2175">
        <v>20020</v>
      </c>
      <c r="AC2175">
        <v>46006</v>
      </c>
      <c r="AD2175">
        <v>0</v>
      </c>
      <c r="AE2175">
        <v>16953</v>
      </c>
      <c r="AF2175">
        <v>16953</v>
      </c>
      <c r="AG2175">
        <v>0</v>
      </c>
      <c r="AH2175">
        <v>-3067</v>
      </c>
    </row>
    <row r="2176" spans="2:34" x14ac:dyDescent="0.35">
      <c r="B2176" t="s">
        <v>565</v>
      </c>
      <c r="C2176">
        <v>46006</v>
      </c>
      <c r="F2176" t="s">
        <v>754</v>
      </c>
      <c r="H2176">
        <v>78.33</v>
      </c>
      <c r="O2176" t="s">
        <v>239</v>
      </c>
      <c r="P2176" t="s">
        <v>514</v>
      </c>
      <c r="Y2176">
        <v>2142</v>
      </c>
      <c r="Z2176" s="259" t="s">
        <v>630</v>
      </c>
      <c r="AA2176">
        <v>50</v>
      </c>
      <c r="AB2176">
        <v>4104</v>
      </c>
      <c r="AC2176">
        <v>46006</v>
      </c>
      <c r="AD2176">
        <v>0</v>
      </c>
      <c r="AE2176">
        <v>3916.5</v>
      </c>
      <c r="AF2176">
        <v>3916.5</v>
      </c>
      <c r="AG2176">
        <v>0</v>
      </c>
      <c r="AH2176">
        <v>-187.5</v>
      </c>
    </row>
    <row r="2177" spans="2:34" x14ac:dyDescent="0.35">
      <c r="B2177" t="s">
        <v>565</v>
      </c>
      <c r="C2177">
        <v>46007</v>
      </c>
      <c r="F2177" t="s">
        <v>749</v>
      </c>
      <c r="H2177">
        <v>47.75</v>
      </c>
      <c r="O2177" t="s">
        <v>239</v>
      </c>
      <c r="P2177" t="s">
        <v>514</v>
      </c>
      <c r="Y2177">
        <v>2143</v>
      </c>
      <c r="Z2177" s="259" t="s">
        <v>630</v>
      </c>
      <c r="AA2177">
        <v>100</v>
      </c>
      <c r="AB2177">
        <v>5005</v>
      </c>
      <c r="AC2177">
        <v>46007</v>
      </c>
      <c r="AD2177">
        <v>0</v>
      </c>
      <c r="AE2177">
        <v>4775</v>
      </c>
      <c r="AF2177">
        <v>4775</v>
      </c>
      <c r="AG2177">
        <v>0</v>
      </c>
      <c r="AH2177">
        <v>-230</v>
      </c>
    </row>
    <row r="2178" spans="2:34" x14ac:dyDescent="0.35">
      <c r="B2178" t="s">
        <v>565</v>
      </c>
      <c r="C2178">
        <v>46007</v>
      </c>
      <c r="F2178" t="s">
        <v>752</v>
      </c>
      <c r="H2178">
        <v>169.5</v>
      </c>
      <c r="O2178" t="s">
        <v>239</v>
      </c>
      <c r="P2178" t="s">
        <v>514</v>
      </c>
      <c r="Y2178">
        <v>2144</v>
      </c>
      <c r="Z2178" s="259" t="s">
        <v>630</v>
      </c>
      <c r="AA2178">
        <v>100</v>
      </c>
      <c r="AB2178">
        <v>20020</v>
      </c>
      <c r="AC2178">
        <v>46007</v>
      </c>
      <c r="AD2178">
        <v>0</v>
      </c>
      <c r="AE2178">
        <v>16950</v>
      </c>
      <c r="AF2178">
        <v>16950</v>
      </c>
      <c r="AG2178">
        <v>0</v>
      </c>
      <c r="AH2178">
        <v>-3070</v>
      </c>
    </row>
    <row r="2179" spans="2:34" x14ac:dyDescent="0.35">
      <c r="B2179" t="s">
        <v>565</v>
      </c>
      <c r="C2179">
        <v>46007</v>
      </c>
      <c r="F2179" t="s">
        <v>754</v>
      </c>
      <c r="H2179">
        <v>78.3</v>
      </c>
      <c r="O2179" t="s">
        <v>239</v>
      </c>
      <c r="P2179" t="s">
        <v>514</v>
      </c>
      <c r="Y2179">
        <v>2145</v>
      </c>
      <c r="Z2179" s="259" t="s">
        <v>630</v>
      </c>
      <c r="AA2179">
        <v>50</v>
      </c>
      <c r="AB2179">
        <v>4104</v>
      </c>
      <c r="AC2179">
        <v>46007</v>
      </c>
      <c r="AD2179">
        <v>0</v>
      </c>
      <c r="AE2179">
        <v>3915</v>
      </c>
      <c r="AF2179">
        <v>3915</v>
      </c>
      <c r="AG2179">
        <v>0</v>
      </c>
      <c r="AH2179">
        <v>-189</v>
      </c>
    </row>
    <row r="2180" spans="2:34" x14ac:dyDescent="0.35">
      <c r="B2180" t="s">
        <v>565</v>
      </c>
      <c r="C2180">
        <v>46008</v>
      </c>
      <c r="F2180" t="s">
        <v>749</v>
      </c>
      <c r="H2180">
        <v>47.73</v>
      </c>
      <c r="O2180" t="s">
        <v>239</v>
      </c>
      <c r="P2180" t="s">
        <v>514</v>
      </c>
      <c r="Y2180">
        <v>2146</v>
      </c>
      <c r="Z2180" s="259" t="s">
        <v>630</v>
      </c>
      <c r="AA2180">
        <v>100</v>
      </c>
      <c r="AB2180">
        <v>5005</v>
      </c>
      <c r="AC2180">
        <v>46008</v>
      </c>
      <c r="AD2180">
        <v>0</v>
      </c>
      <c r="AE2180">
        <v>4773</v>
      </c>
      <c r="AF2180">
        <v>4773</v>
      </c>
      <c r="AG2180">
        <v>0</v>
      </c>
      <c r="AH2180">
        <v>-232</v>
      </c>
    </row>
    <row r="2181" spans="2:34" x14ac:dyDescent="0.35">
      <c r="B2181" t="s">
        <v>565</v>
      </c>
      <c r="C2181">
        <v>46008</v>
      </c>
      <c r="F2181" t="s">
        <v>752</v>
      </c>
      <c r="H2181">
        <v>169.47</v>
      </c>
      <c r="O2181" t="s">
        <v>239</v>
      </c>
      <c r="P2181" t="s">
        <v>514</v>
      </c>
      <c r="Y2181">
        <v>2147</v>
      </c>
      <c r="Z2181" s="259" t="s">
        <v>630</v>
      </c>
      <c r="AA2181">
        <v>100</v>
      </c>
      <c r="AB2181">
        <v>20020</v>
      </c>
      <c r="AC2181">
        <v>46008</v>
      </c>
      <c r="AD2181">
        <v>0</v>
      </c>
      <c r="AE2181">
        <v>16947</v>
      </c>
      <c r="AF2181">
        <v>16947</v>
      </c>
      <c r="AG2181">
        <v>0</v>
      </c>
      <c r="AH2181">
        <v>-3073</v>
      </c>
    </row>
    <row r="2182" spans="2:34" x14ac:dyDescent="0.35">
      <c r="B2182" t="s">
        <v>565</v>
      </c>
      <c r="C2182">
        <v>46008</v>
      </c>
      <c r="F2182" t="s">
        <v>754</v>
      </c>
      <c r="H2182">
        <v>78.27</v>
      </c>
      <c r="O2182" t="s">
        <v>239</v>
      </c>
      <c r="P2182" t="s">
        <v>514</v>
      </c>
      <c r="Y2182">
        <v>2148</v>
      </c>
      <c r="Z2182" s="259" t="s">
        <v>630</v>
      </c>
      <c r="AA2182">
        <v>50</v>
      </c>
      <c r="AB2182">
        <v>4104</v>
      </c>
      <c r="AC2182">
        <v>46008</v>
      </c>
      <c r="AD2182">
        <v>0</v>
      </c>
      <c r="AE2182">
        <v>3913.5</v>
      </c>
      <c r="AF2182">
        <v>3913.5</v>
      </c>
      <c r="AG2182">
        <v>0</v>
      </c>
      <c r="AH2182">
        <v>-190.5</v>
      </c>
    </row>
    <row r="2183" spans="2:34" x14ac:dyDescent="0.35">
      <c r="B2183" t="s">
        <v>565</v>
      </c>
      <c r="C2183">
        <v>46009</v>
      </c>
      <c r="F2183" t="s">
        <v>749</v>
      </c>
      <c r="H2183">
        <v>47.72</v>
      </c>
      <c r="O2183" t="s">
        <v>239</v>
      </c>
      <c r="P2183" t="s">
        <v>514</v>
      </c>
      <c r="Y2183">
        <v>2149</v>
      </c>
      <c r="Z2183" s="259" t="s">
        <v>630</v>
      </c>
      <c r="AA2183">
        <v>100</v>
      </c>
      <c r="AB2183">
        <v>5005</v>
      </c>
      <c r="AC2183">
        <v>46009</v>
      </c>
      <c r="AD2183">
        <v>0</v>
      </c>
      <c r="AE2183">
        <v>4772</v>
      </c>
      <c r="AF2183">
        <v>4772</v>
      </c>
      <c r="AG2183">
        <v>0</v>
      </c>
      <c r="AH2183">
        <v>-233</v>
      </c>
    </row>
    <row r="2184" spans="2:34" x14ac:dyDescent="0.35">
      <c r="B2184" t="s">
        <v>565</v>
      </c>
      <c r="C2184">
        <v>46009</v>
      </c>
      <c r="F2184" t="s">
        <v>752</v>
      </c>
      <c r="H2184">
        <v>169.43</v>
      </c>
      <c r="O2184" t="s">
        <v>239</v>
      </c>
      <c r="P2184" t="s">
        <v>514</v>
      </c>
      <c r="Y2184">
        <v>2150</v>
      </c>
      <c r="Z2184" s="259" t="s">
        <v>630</v>
      </c>
      <c r="AA2184">
        <v>100</v>
      </c>
      <c r="AB2184">
        <v>20020</v>
      </c>
      <c r="AC2184">
        <v>46009</v>
      </c>
      <c r="AD2184">
        <v>0</v>
      </c>
      <c r="AE2184">
        <v>16943</v>
      </c>
      <c r="AF2184">
        <v>16943</v>
      </c>
      <c r="AG2184">
        <v>0</v>
      </c>
      <c r="AH2184">
        <v>-3077</v>
      </c>
    </row>
    <row r="2185" spans="2:34" x14ac:dyDescent="0.35">
      <c r="B2185" t="s">
        <v>565</v>
      </c>
      <c r="C2185">
        <v>46009</v>
      </c>
      <c r="F2185" t="s">
        <v>754</v>
      </c>
      <c r="H2185">
        <v>78.23</v>
      </c>
      <c r="O2185" t="s">
        <v>239</v>
      </c>
      <c r="P2185" t="s">
        <v>514</v>
      </c>
      <c r="Y2185">
        <v>2151</v>
      </c>
      <c r="Z2185" s="259" t="s">
        <v>630</v>
      </c>
      <c r="AA2185">
        <v>50</v>
      </c>
      <c r="AB2185">
        <v>4104</v>
      </c>
      <c r="AC2185">
        <v>46009</v>
      </c>
      <c r="AD2185">
        <v>0</v>
      </c>
      <c r="AE2185">
        <v>3911.5</v>
      </c>
      <c r="AF2185">
        <v>3911.5</v>
      </c>
      <c r="AG2185">
        <v>0</v>
      </c>
      <c r="AH2185">
        <v>-192.5</v>
      </c>
    </row>
    <row r="2186" spans="2:34" x14ac:dyDescent="0.35">
      <c r="B2186" t="s">
        <v>565</v>
      </c>
      <c r="C2186">
        <v>46010</v>
      </c>
      <c r="F2186" t="s">
        <v>749</v>
      </c>
      <c r="H2186">
        <v>47.7</v>
      </c>
      <c r="O2186" t="s">
        <v>239</v>
      </c>
      <c r="P2186" t="s">
        <v>514</v>
      </c>
      <c r="Y2186">
        <v>2152</v>
      </c>
      <c r="Z2186" s="259" t="s">
        <v>630</v>
      </c>
      <c r="AA2186">
        <v>100</v>
      </c>
      <c r="AB2186">
        <v>5005</v>
      </c>
      <c r="AC2186">
        <v>46010</v>
      </c>
      <c r="AD2186">
        <v>0</v>
      </c>
      <c r="AE2186">
        <v>4770</v>
      </c>
      <c r="AF2186">
        <v>4770</v>
      </c>
      <c r="AG2186">
        <v>0</v>
      </c>
      <c r="AH2186">
        <v>-235</v>
      </c>
    </row>
    <row r="2187" spans="2:34" x14ac:dyDescent="0.35">
      <c r="B2187" t="s">
        <v>565</v>
      </c>
      <c r="C2187">
        <v>46010</v>
      </c>
      <c r="F2187" t="s">
        <v>752</v>
      </c>
      <c r="H2187">
        <v>169.4</v>
      </c>
      <c r="O2187" t="s">
        <v>239</v>
      </c>
      <c r="P2187" t="s">
        <v>514</v>
      </c>
      <c r="Y2187">
        <v>2153</v>
      </c>
      <c r="Z2187" s="259" t="s">
        <v>630</v>
      </c>
      <c r="AA2187">
        <v>100</v>
      </c>
      <c r="AB2187">
        <v>20020</v>
      </c>
      <c r="AC2187">
        <v>46010</v>
      </c>
      <c r="AD2187">
        <v>0</v>
      </c>
      <c r="AE2187">
        <v>16940</v>
      </c>
      <c r="AF2187">
        <v>16940</v>
      </c>
      <c r="AG2187">
        <v>0</v>
      </c>
      <c r="AH2187">
        <v>-3080</v>
      </c>
    </row>
    <row r="2188" spans="2:34" x14ac:dyDescent="0.35">
      <c r="B2188" t="s">
        <v>565</v>
      </c>
      <c r="C2188">
        <v>46010</v>
      </c>
      <c r="F2188" t="s">
        <v>754</v>
      </c>
      <c r="H2188">
        <v>78.2</v>
      </c>
      <c r="O2188" t="s">
        <v>239</v>
      </c>
      <c r="P2188" t="s">
        <v>514</v>
      </c>
      <c r="Y2188">
        <v>2154</v>
      </c>
      <c r="Z2188" s="259" t="s">
        <v>630</v>
      </c>
      <c r="AA2188">
        <v>50</v>
      </c>
      <c r="AB2188">
        <v>4104</v>
      </c>
      <c r="AC2188">
        <v>46010</v>
      </c>
      <c r="AD2188">
        <v>0</v>
      </c>
      <c r="AE2188">
        <v>3910</v>
      </c>
      <c r="AF2188">
        <v>3910</v>
      </c>
      <c r="AG2188">
        <v>0</v>
      </c>
      <c r="AH2188">
        <v>-194</v>
      </c>
    </row>
    <row r="2189" spans="2:34" x14ac:dyDescent="0.35">
      <c r="B2189" t="s">
        <v>565</v>
      </c>
      <c r="C2189">
        <v>46011</v>
      </c>
      <c r="F2189" t="s">
        <v>749</v>
      </c>
      <c r="H2189">
        <v>47.7</v>
      </c>
      <c r="O2189" t="s">
        <v>239</v>
      </c>
      <c r="P2189" t="s">
        <v>514</v>
      </c>
      <c r="Y2189">
        <v>2155</v>
      </c>
      <c r="Z2189" s="259" t="s">
        <v>630</v>
      </c>
      <c r="AA2189">
        <v>100</v>
      </c>
      <c r="AB2189">
        <v>5005</v>
      </c>
      <c r="AC2189">
        <v>46010</v>
      </c>
      <c r="AD2189">
        <v>1</v>
      </c>
      <c r="AE2189">
        <v>4770</v>
      </c>
      <c r="AF2189">
        <v>4770</v>
      </c>
      <c r="AG2189">
        <v>0</v>
      </c>
      <c r="AH2189">
        <v>-235</v>
      </c>
    </row>
    <row r="2190" spans="2:34" x14ac:dyDescent="0.35">
      <c r="B2190" t="s">
        <v>565</v>
      </c>
      <c r="C2190">
        <v>46011</v>
      </c>
      <c r="F2190" t="s">
        <v>752</v>
      </c>
      <c r="H2190">
        <v>169.4</v>
      </c>
      <c r="O2190" t="s">
        <v>239</v>
      </c>
      <c r="P2190" t="s">
        <v>514</v>
      </c>
      <c r="Y2190">
        <v>2156</v>
      </c>
      <c r="Z2190" s="259" t="s">
        <v>630</v>
      </c>
      <c r="AA2190">
        <v>100</v>
      </c>
      <c r="AB2190">
        <v>20020</v>
      </c>
      <c r="AC2190">
        <v>46010</v>
      </c>
      <c r="AD2190">
        <v>1</v>
      </c>
      <c r="AE2190">
        <v>16940</v>
      </c>
      <c r="AF2190">
        <v>16940</v>
      </c>
      <c r="AG2190">
        <v>0</v>
      </c>
      <c r="AH2190">
        <v>-3080</v>
      </c>
    </row>
    <row r="2191" spans="2:34" x14ac:dyDescent="0.35">
      <c r="B2191" t="s">
        <v>565</v>
      </c>
      <c r="C2191">
        <v>46011</v>
      </c>
      <c r="F2191" t="s">
        <v>754</v>
      </c>
      <c r="H2191">
        <v>78.2</v>
      </c>
      <c r="O2191" t="s">
        <v>239</v>
      </c>
      <c r="P2191" t="s">
        <v>514</v>
      </c>
      <c r="Y2191">
        <v>2157</v>
      </c>
      <c r="Z2191" s="259" t="s">
        <v>630</v>
      </c>
      <c r="AA2191">
        <v>50</v>
      </c>
      <c r="AB2191">
        <v>4104</v>
      </c>
      <c r="AC2191">
        <v>46010</v>
      </c>
      <c r="AD2191">
        <v>1</v>
      </c>
      <c r="AE2191">
        <v>3910</v>
      </c>
      <c r="AF2191">
        <v>3910</v>
      </c>
      <c r="AG2191">
        <v>0</v>
      </c>
      <c r="AH2191">
        <v>-194</v>
      </c>
    </row>
    <row r="2192" spans="2:34" x14ac:dyDescent="0.35">
      <c r="B2192" t="s">
        <v>565</v>
      </c>
      <c r="C2192">
        <v>46012</v>
      </c>
      <c r="F2192" t="s">
        <v>749</v>
      </c>
      <c r="H2192">
        <v>47.7</v>
      </c>
      <c r="O2192" t="s">
        <v>239</v>
      </c>
      <c r="P2192" t="s">
        <v>514</v>
      </c>
      <c r="Y2192">
        <v>2158</v>
      </c>
      <c r="Z2192" s="259" t="s">
        <v>630</v>
      </c>
      <c r="AA2192">
        <v>100</v>
      </c>
      <c r="AB2192">
        <v>5005</v>
      </c>
      <c r="AC2192">
        <v>46010</v>
      </c>
      <c r="AD2192">
        <v>2</v>
      </c>
      <c r="AE2192">
        <v>4770</v>
      </c>
      <c r="AF2192">
        <v>4770</v>
      </c>
      <c r="AG2192">
        <v>0</v>
      </c>
      <c r="AH2192">
        <v>-235</v>
      </c>
    </row>
    <row r="2193" spans="2:34" x14ac:dyDescent="0.35">
      <c r="B2193" t="s">
        <v>565</v>
      </c>
      <c r="C2193">
        <v>46012</v>
      </c>
      <c r="F2193" t="s">
        <v>752</v>
      </c>
      <c r="H2193">
        <v>169.4</v>
      </c>
      <c r="O2193" t="s">
        <v>239</v>
      </c>
      <c r="P2193" t="s">
        <v>514</v>
      </c>
      <c r="Y2193">
        <v>2159</v>
      </c>
      <c r="Z2193" s="259" t="s">
        <v>630</v>
      </c>
      <c r="AA2193">
        <v>100</v>
      </c>
      <c r="AB2193">
        <v>20020</v>
      </c>
      <c r="AC2193">
        <v>46010</v>
      </c>
      <c r="AD2193">
        <v>2</v>
      </c>
      <c r="AE2193">
        <v>16940</v>
      </c>
      <c r="AF2193">
        <v>16940</v>
      </c>
      <c r="AG2193">
        <v>0</v>
      </c>
      <c r="AH2193">
        <v>-3080</v>
      </c>
    </row>
    <row r="2194" spans="2:34" x14ac:dyDescent="0.35">
      <c r="B2194" t="s">
        <v>565</v>
      </c>
      <c r="C2194">
        <v>46012</v>
      </c>
      <c r="F2194" t="s">
        <v>754</v>
      </c>
      <c r="H2194">
        <v>78.2</v>
      </c>
      <c r="O2194" t="s">
        <v>239</v>
      </c>
      <c r="P2194" t="s">
        <v>514</v>
      </c>
      <c r="Y2194">
        <v>2160</v>
      </c>
      <c r="Z2194" s="259" t="s">
        <v>630</v>
      </c>
      <c r="AA2194">
        <v>50</v>
      </c>
      <c r="AB2194">
        <v>4104</v>
      </c>
      <c r="AC2194">
        <v>46010</v>
      </c>
      <c r="AD2194">
        <v>2</v>
      </c>
      <c r="AE2194">
        <v>3910</v>
      </c>
      <c r="AF2194">
        <v>3910</v>
      </c>
      <c r="AG2194">
        <v>0</v>
      </c>
      <c r="AH2194">
        <v>-194</v>
      </c>
    </row>
    <row r="2195" spans="2:34" x14ac:dyDescent="0.35">
      <c r="B2195" t="s">
        <v>565</v>
      </c>
      <c r="C2195">
        <v>46013</v>
      </c>
      <c r="F2195" t="s">
        <v>749</v>
      </c>
      <c r="H2195">
        <v>47.65</v>
      </c>
      <c r="O2195" t="s">
        <v>239</v>
      </c>
      <c r="P2195" t="s">
        <v>514</v>
      </c>
      <c r="Y2195">
        <v>2161</v>
      </c>
      <c r="Z2195" s="259" t="s">
        <v>630</v>
      </c>
      <c r="AA2195">
        <v>100</v>
      </c>
      <c r="AB2195">
        <v>5005</v>
      </c>
      <c r="AC2195">
        <v>46013</v>
      </c>
      <c r="AD2195">
        <v>0</v>
      </c>
      <c r="AE2195">
        <v>4765</v>
      </c>
      <c r="AF2195">
        <v>4765</v>
      </c>
      <c r="AG2195">
        <v>0</v>
      </c>
      <c r="AH2195">
        <v>-240</v>
      </c>
    </row>
    <row r="2196" spans="2:34" x14ac:dyDescent="0.35">
      <c r="B2196" t="s">
        <v>565</v>
      </c>
      <c r="C2196">
        <v>46013</v>
      </c>
      <c r="F2196" t="s">
        <v>752</v>
      </c>
      <c r="H2196">
        <v>169.3</v>
      </c>
      <c r="O2196" t="s">
        <v>239</v>
      </c>
      <c r="P2196" t="s">
        <v>514</v>
      </c>
      <c r="Y2196">
        <v>2162</v>
      </c>
      <c r="Z2196" s="259" t="s">
        <v>630</v>
      </c>
      <c r="AA2196">
        <v>100</v>
      </c>
      <c r="AB2196">
        <v>20020</v>
      </c>
      <c r="AC2196">
        <v>46013</v>
      </c>
      <c r="AD2196">
        <v>0</v>
      </c>
      <c r="AE2196">
        <v>16930</v>
      </c>
      <c r="AF2196">
        <v>16930</v>
      </c>
      <c r="AG2196">
        <v>0</v>
      </c>
      <c r="AH2196">
        <v>-3090</v>
      </c>
    </row>
    <row r="2197" spans="2:34" x14ac:dyDescent="0.35">
      <c r="B2197" t="s">
        <v>565</v>
      </c>
      <c r="C2197">
        <v>46013</v>
      </c>
      <c r="F2197" t="s">
        <v>754</v>
      </c>
      <c r="H2197">
        <v>78.099999999999994</v>
      </c>
      <c r="O2197" t="s">
        <v>239</v>
      </c>
      <c r="P2197" t="s">
        <v>514</v>
      </c>
      <c r="Y2197">
        <v>2163</v>
      </c>
      <c r="Z2197" s="259" t="s">
        <v>630</v>
      </c>
      <c r="AA2197">
        <v>50</v>
      </c>
      <c r="AB2197">
        <v>4104</v>
      </c>
      <c r="AC2197">
        <v>46013</v>
      </c>
      <c r="AD2197">
        <v>0</v>
      </c>
      <c r="AE2197">
        <v>3904.9999999999995</v>
      </c>
      <c r="AF2197">
        <v>3904.9999999999995</v>
      </c>
      <c r="AG2197">
        <v>0</v>
      </c>
      <c r="AH2197">
        <v>-199.00000000000045</v>
      </c>
    </row>
    <row r="2198" spans="2:34" x14ac:dyDescent="0.35">
      <c r="B2198" t="s">
        <v>565</v>
      </c>
      <c r="C2198">
        <v>46014</v>
      </c>
      <c r="F2198" t="s">
        <v>749</v>
      </c>
      <c r="H2198">
        <v>47.63</v>
      </c>
      <c r="O2198" t="s">
        <v>239</v>
      </c>
      <c r="P2198" t="s">
        <v>514</v>
      </c>
      <c r="Y2198">
        <v>2164</v>
      </c>
      <c r="Z2198" s="259" t="s">
        <v>630</v>
      </c>
      <c r="AA2198">
        <v>100</v>
      </c>
      <c r="AB2198">
        <v>5005</v>
      </c>
      <c r="AC2198">
        <v>46014</v>
      </c>
      <c r="AD2198">
        <v>0</v>
      </c>
      <c r="AE2198">
        <v>4763</v>
      </c>
      <c r="AF2198">
        <v>4763</v>
      </c>
      <c r="AG2198">
        <v>0</v>
      </c>
      <c r="AH2198">
        <v>-242</v>
      </c>
    </row>
    <row r="2199" spans="2:34" x14ac:dyDescent="0.35">
      <c r="B2199" t="s">
        <v>565</v>
      </c>
      <c r="C2199">
        <v>46014</v>
      </c>
      <c r="F2199" t="s">
        <v>752</v>
      </c>
      <c r="H2199">
        <v>169.27</v>
      </c>
      <c r="O2199" t="s">
        <v>239</v>
      </c>
      <c r="P2199" t="s">
        <v>514</v>
      </c>
      <c r="Y2199">
        <v>2165</v>
      </c>
      <c r="Z2199" s="259" t="s">
        <v>630</v>
      </c>
      <c r="AA2199">
        <v>100</v>
      </c>
      <c r="AB2199">
        <v>20020</v>
      </c>
      <c r="AC2199">
        <v>46014</v>
      </c>
      <c r="AD2199">
        <v>0</v>
      </c>
      <c r="AE2199">
        <v>16927</v>
      </c>
      <c r="AF2199">
        <v>16927</v>
      </c>
      <c r="AG2199">
        <v>0</v>
      </c>
      <c r="AH2199">
        <v>-3093</v>
      </c>
    </row>
    <row r="2200" spans="2:34" x14ac:dyDescent="0.35">
      <c r="B2200" t="s">
        <v>565</v>
      </c>
      <c r="C2200">
        <v>46014</v>
      </c>
      <c r="F2200" t="s">
        <v>754</v>
      </c>
      <c r="H2200">
        <v>78.069999999999993</v>
      </c>
      <c r="O2200" t="s">
        <v>239</v>
      </c>
      <c r="P2200" t="s">
        <v>514</v>
      </c>
      <c r="Y2200">
        <v>2166</v>
      </c>
      <c r="Z2200" s="259" t="s">
        <v>630</v>
      </c>
      <c r="AA2200">
        <v>50</v>
      </c>
      <c r="AB2200">
        <v>4104</v>
      </c>
      <c r="AC2200">
        <v>46014</v>
      </c>
      <c r="AD2200">
        <v>0</v>
      </c>
      <c r="AE2200">
        <v>3903.4999999999995</v>
      </c>
      <c r="AF2200">
        <v>3903.4999999999995</v>
      </c>
      <c r="AG2200">
        <v>0</v>
      </c>
      <c r="AH2200">
        <v>-200.50000000000045</v>
      </c>
    </row>
    <row r="2201" spans="2:34" x14ac:dyDescent="0.35">
      <c r="B2201" t="s">
        <v>565</v>
      </c>
      <c r="C2201">
        <v>46015</v>
      </c>
      <c r="F2201" t="s">
        <v>749</v>
      </c>
      <c r="H2201">
        <v>47.62</v>
      </c>
      <c r="O2201" t="s">
        <v>239</v>
      </c>
      <c r="P2201" t="s">
        <v>514</v>
      </c>
      <c r="Y2201">
        <v>2167</v>
      </c>
      <c r="Z2201" s="259" t="s">
        <v>630</v>
      </c>
      <c r="AA2201">
        <v>100</v>
      </c>
      <c r="AB2201">
        <v>5005</v>
      </c>
      <c r="AC2201">
        <v>46015</v>
      </c>
      <c r="AD2201">
        <v>0</v>
      </c>
      <c r="AE2201">
        <v>4762</v>
      </c>
      <c r="AF2201">
        <v>4762</v>
      </c>
      <c r="AG2201">
        <v>0</v>
      </c>
      <c r="AH2201">
        <v>-243</v>
      </c>
    </row>
    <row r="2202" spans="2:34" x14ac:dyDescent="0.35">
      <c r="B2202" t="s">
        <v>565</v>
      </c>
      <c r="C2202">
        <v>46015</v>
      </c>
      <c r="F2202" t="s">
        <v>752</v>
      </c>
      <c r="H2202">
        <v>169.23</v>
      </c>
      <c r="O2202" t="s">
        <v>239</v>
      </c>
      <c r="P2202" t="s">
        <v>514</v>
      </c>
      <c r="Y2202">
        <v>2168</v>
      </c>
      <c r="Z2202" s="259" t="s">
        <v>630</v>
      </c>
      <c r="AA2202">
        <v>100</v>
      </c>
      <c r="AB2202">
        <v>20020</v>
      </c>
      <c r="AC2202">
        <v>46015</v>
      </c>
      <c r="AD2202">
        <v>0</v>
      </c>
      <c r="AE2202">
        <v>16923</v>
      </c>
      <c r="AF2202">
        <v>16923</v>
      </c>
      <c r="AG2202">
        <v>0</v>
      </c>
      <c r="AH2202">
        <v>-3097</v>
      </c>
    </row>
    <row r="2203" spans="2:34" x14ac:dyDescent="0.35">
      <c r="B2203" t="s">
        <v>565</v>
      </c>
      <c r="C2203">
        <v>46015</v>
      </c>
      <c r="F2203" t="s">
        <v>754</v>
      </c>
      <c r="H2203">
        <v>78.03</v>
      </c>
      <c r="O2203" t="s">
        <v>239</v>
      </c>
      <c r="P2203" t="s">
        <v>514</v>
      </c>
      <c r="Y2203">
        <v>2169</v>
      </c>
      <c r="Z2203" s="259" t="s">
        <v>630</v>
      </c>
      <c r="AA2203">
        <v>50</v>
      </c>
      <c r="AB2203">
        <v>4104</v>
      </c>
      <c r="AC2203">
        <v>46015</v>
      </c>
      <c r="AD2203">
        <v>0</v>
      </c>
      <c r="AE2203">
        <v>3901.5</v>
      </c>
      <c r="AF2203">
        <v>3901.5</v>
      </c>
      <c r="AG2203">
        <v>0</v>
      </c>
      <c r="AH2203">
        <v>-202.5</v>
      </c>
    </row>
    <row r="2204" spans="2:34" x14ac:dyDescent="0.35">
      <c r="B2204" t="s">
        <v>565</v>
      </c>
      <c r="C2204">
        <v>46016</v>
      </c>
      <c r="F2204" t="s">
        <v>749</v>
      </c>
      <c r="H2204">
        <v>47.6</v>
      </c>
      <c r="O2204" t="s">
        <v>239</v>
      </c>
      <c r="P2204" t="s">
        <v>514</v>
      </c>
      <c r="Y2204">
        <v>2170</v>
      </c>
      <c r="Z2204" s="259" t="s">
        <v>630</v>
      </c>
      <c r="AA2204">
        <v>100</v>
      </c>
      <c r="AB2204">
        <v>5005</v>
      </c>
      <c r="AC2204">
        <v>46016</v>
      </c>
      <c r="AD2204">
        <v>0</v>
      </c>
      <c r="AE2204">
        <v>4760</v>
      </c>
      <c r="AF2204">
        <v>4760</v>
      </c>
      <c r="AG2204">
        <v>0</v>
      </c>
      <c r="AH2204">
        <v>-245</v>
      </c>
    </row>
    <row r="2205" spans="2:34" x14ac:dyDescent="0.35">
      <c r="B2205" t="s">
        <v>565</v>
      </c>
      <c r="C2205">
        <v>46016</v>
      </c>
      <c r="F2205" t="s">
        <v>752</v>
      </c>
      <c r="H2205">
        <v>169.2</v>
      </c>
      <c r="O2205" t="s">
        <v>239</v>
      </c>
      <c r="P2205" t="s">
        <v>514</v>
      </c>
      <c r="Y2205">
        <v>2171</v>
      </c>
      <c r="Z2205" s="259" t="s">
        <v>630</v>
      </c>
      <c r="AA2205">
        <v>100</v>
      </c>
      <c r="AB2205">
        <v>20020</v>
      </c>
      <c r="AC2205">
        <v>46016</v>
      </c>
      <c r="AD2205">
        <v>0</v>
      </c>
      <c r="AE2205">
        <v>16920</v>
      </c>
      <c r="AF2205">
        <v>16920</v>
      </c>
      <c r="AG2205">
        <v>0</v>
      </c>
      <c r="AH2205">
        <v>-3100</v>
      </c>
    </row>
    <row r="2206" spans="2:34" x14ac:dyDescent="0.35">
      <c r="B2206" t="s">
        <v>565</v>
      </c>
      <c r="C2206">
        <v>46016</v>
      </c>
      <c r="F2206" t="s">
        <v>754</v>
      </c>
      <c r="H2206">
        <v>78</v>
      </c>
      <c r="O2206" t="s">
        <v>239</v>
      </c>
      <c r="P2206" t="s">
        <v>514</v>
      </c>
      <c r="Y2206">
        <v>2172</v>
      </c>
      <c r="Z2206" s="259" t="s">
        <v>630</v>
      </c>
      <c r="AA2206">
        <v>50</v>
      </c>
      <c r="AB2206">
        <v>4104</v>
      </c>
      <c r="AC2206">
        <v>46016</v>
      </c>
      <c r="AD2206">
        <v>0</v>
      </c>
      <c r="AE2206">
        <v>3900</v>
      </c>
      <c r="AF2206">
        <v>3900</v>
      </c>
      <c r="AG2206">
        <v>0</v>
      </c>
      <c r="AH2206">
        <v>-204</v>
      </c>
    </row>
    <row r="2207" spans="2:34" x14ac:dyDescent="0.35">
      <c r="B2207" t="s">
        <v>565</v>
      </c>
      <c r="C2207">
        <v>46017</v>
      </c>
      <c r="F2207" t="s">
        <v>749</v>
      </c>
      <c r="H2207">
        <v>47.58</v>
      </c>
      <c r="O2207" t="s">
        <v>239</v>
      </c>
      <c r="P2207" t="s">
        <v>514</v>
      </c>
      <c r="Y2207">
        <v>2173</v>
      </c>
      <c r="Z2207" s="259" t="s">
        <v>630</v>
      </c>
      <c r="AA2207">
        <v>100</v>
      </c>
      <c r="AB2207">
        <v>5005</v>
      </c>
      <c r="AC2207">
        <v>46017</v>
      </c>
      <c r="AD2207">
        <v>0</v>
      </c>
      <c r="AE2207">
        <v>4758</v>
      </c>
      <c r="AF2207">
        <v>4758</v>
      </c>
      <c r="AG2207">
        <v>0</v>
      </c>
      <c r="AH2207">
        <v>-247</v>
      </c>
    </row>
    <row r="2208" spans="2:34" x14ac:dyDescent="0.35">
      <c r="B2208" t="s">
        <v>565</v>
      </c>
      <c r="C2208">
        <v>46017</v>
      </c>
      <c r="F2208" t="s">
        <v>752</v>
      </c>
      <c r="H2208">
        <v>169.17</v>
      </c>
      <c r="O2208" t="s">
        <v>239</v>
      </c>
      <c r="P2208" t="s">
        <v>514</v>
      </c>
      <c r="Y2208">
        <v>2174</v>
      </c>
      <c r="Z2208" s="259" t="s">
        <v>630</v>
      </c>
      <c r="AA2208">
        <v>100</v>
      </c>
      <c r="AB2208">
        <v>20020</v>
      </c>
      <c r="AC2208">
        <v>46017</v>
      </c>
      <c r="AD2208">
        <v>0</v>
      </c>
      <c r="AE2208">
        <v>16917</v>
      </c>
      <c r="AF2208">
        <v>16917</v>
      </c>
      <c r="AG2208">
        <v>0</v>
      </c>
      <c r="AH2208">
        <v>-3103</v>
      </c>
    </row>
    <row r="2209" spans="2:34" x14ac:dyDescent="0.35">
      <c r="B2209" t="s">
        <v>565</v>
      </c>
      <c r="C2209">
        <v>46017</v>
      </c>
      <c r="F2209" t="s">
        <v>754</v>
      </c>
      <c r="H2209">
        <v>77.97</v>
      </c>
      <c r="O2209" t="s">
        <v>239</v>
      </c>
      <c r="P2209" t="s">
        <v>514</v>
      </c>
      <c r="Y2209">
        <v>2175</v>
      </c>
      <c r="Z2209" s="259" t="s">
        <v>630</v>
      </c>
      <c r="AA2209">
        <v>50</v>
      </c>
      <c r="AB2209">
        <v>4104</v>
      </c>
      <c r="AC2209">
        <v>46017</v>
      </c>
      <c r="AD2209">
        <v>0</v>
      </c>
      <c r="AE2209">
        <v>3898.5</v>
      </c>
      <c r="AF2209">
        <v>3898.5</v>
      </c>
      <c r="AG2209">
        <v>0</v>
      </c>
      <c r="AH2209">
        <v>-205.5</v>
      </c>
    </row>
    <row r="2210" spans="2:34" x14ac:dyDescent="0.35">
      <c r="B2210" t="s">
        <v>565</v>
      </c>
      <c r="C2210">
        <v>46018</v>
      </c>
      <c r="F2210" t="s">
        <v>749</v>
      </c>
      <c r="H2210">
        <v>47.58</v>
      </c>
      <c r="O2210" t="s">
        <v>239</v>
      </c>
      <c r="P2210" t="s">
        <v>514</v>
      </c>
      <c r="Y2210">
        <v>2176</v>
      </c>
      <c r="Z2210" s="259" t="s">
        <v>630</v>
      </c>
      <c r="AA2210">
        <v>100</v>
      </c>
      <c r="AB2210">
        <v>5005</v>
      </c>
      <c r="AC2210">
        <v>46017</v>
      </c>
      <c r="AD2210">
        <v>1</v>
      </c>
      <c r="AE2210">
        <v>4758</v>
      </c>
      <c r="AF2210">
        <v>4758</v>
      </c>
      <c r="AG2210">
        <v>0</v>
      </c>
      <c r="AH2210">
        <v>-247</v>
      </c>
    </row>
    <row r="2211" spans="2:34" x14ac:dyDescent="0.35">
      <c r="B2211" t="s">
        <v>565</v>
      </c>
      <c r="C2211">
        <v>46018</v>
      </c>
      <c r="F2211" t="s">
        <v>752</v>
      </c>
      <c r="H2211">
        <v>169.17</v>
      </c>
      <c r="O2211" t="s">
        <v>239</v>
      </c>
      <c r="P2211" t="s">
        <v>514</v>
      </c>
      <c r="Y2211">
        <v>2177</v>
      </c>
      <c r="Z2211" s="259" t="s">
        <v>630</v>
      </c>
      <c r="AA2211">
        <v>100</v>
      </c>
      <c r="AB2211">
        <v>20020</v>
      </c>
      <c r="AC2211">
        <v>46017</v>
      </c>
      <c r="AD2211">
        <v>1</v>
      </c>
      <c r="AE2211">
        <v>16917</v>
      </c>
      <c r="AF2211">
        <v>16917</v>
      </c>
      <c r="AG2211">
        <v>0</v>
      </c>
      <c r="AH2211">
        <v>-3103</v>
      </c>
    </row>
    <row r="2212" spans="2:34" x14ac:dyDescent="0.35">
      <c r="B2212" t="s">
        <v>565</v>
      </c>
      <c r="C2212">
        <v>46018</v>
      </c>
      <c r="F2212" t="s">
        <v>754</v>
      </c>
      <c r="H2212">
        <v>77.97</v>
      </c>
      <c r="O2212" t="s">
        <v>239</v>
      </c>
      <c r="P2212" t="s">
        <v>514</v>
      </c>
      <c r="Y2212">
        <v>2178</v>
      </c>
      <c r="Z2212" s="259" t="s">
        <v>630</v>
      </c>
      <c r="AA2212">
        <v>50</v>
      </c>
      <c r="AB2212">
        <v>4104</v>
      </c>
      <c r="AC2212">
        <v>46017</v>
      </c>
      <c r="AD2212">
        <v>1</v>
      </c>
      <c r="AE2212">
        <v>3898.5</v>
      </c>
      <c r="AF2212">
        <v>3898.5</v>
      </c>
      <c r="AG2212">
        <v>0</v>
      </c>
      <c r="AH2212">
        <v>-205.5</v>
      </c>
    </row>
    <row r="2213" spans="2:34" x14ac:dyDescent="0.35">
      <c r="B2213" t="s">
        <v>565</v>
      </c>
      <c r="C2213">
        <v>46019</v>
      </c>
      <c r="F2213" t="s">
        <v>749</v>
      </c>
      <c r="H2213">
        <v>47.58</v>
      </c>
      <c r="O2213" t="s">
        <v>239</v>
      </c>
      <c r="P2213" t="s">
        <v>514</v>
      </c>
      <c r="Y2213">
        <v>2179</v>
      </c>
      <c r="Z2213" s="259" t="s">
        <v>630</v>
      </c>
      <c r="AA2213">
        <v>100</v>
      </c>
      <c r="AB2213">
        <v>5005</v>
      </c>
      <c r="AC2213">
        <v>46017</v>
      </c>
      <c r="AD2213">
        <v>2</v>
      </c>
      <c r="AE2213">
        <v>4758</v>
      </c>
      <c r="AF2213">
        <v>4758</v>
      </c>
      <c r="AG2213">
        <v>0</v>
      </c>
      <c r="AH2213">
        <v>-247</v>
      </c>
    </row>
    <row r="2214" spans="2:34" x14ac:dyDescent="0.35">
      <c r="B2214" t="s">
        <v>565</v>
      </c>
      <c r="C2214">
        <v>46019</v>
      </c>
      <c r="F2214" t="s">
        <v>752</v>
      </c>
      <c r="H2214">
        <v>169.17</v>
      </c>
      <c r="O2214" t="s">
        <v>239</v>
      </c>
      <c r="P2214" t="s">
        <v>514</v>
      </c>
      <c r="Y2214">
        <v>2180</v>
      </c>
      <c r="Z2214" s="259" t="s">
        <v>630</v>
      </c>
      <c r="AA2214">
        <v>100</v>
      </c>
      <c r="AB2214">
        <v>20020</v>
      </c>
      <c r="AC2214">
        <v>46017</v>
      </c>
      <c r="AD2214">
        <v>2</v>
      </c>
      <c r="AE2214">
        <v>16917</v>
      </c>
      <c r="AF2214">
        <v>16917</v>
      </c>
      <c r="AG2214">
        <v>0</v>
      </c>
      <c r="AH2214">
        <v>-3103</v>
      </c>
    </row>
    <row r="2215" spans="2:34" x14ac:dyDescent="0.35">
      <c r="B2215" t="s">
        <v>565</v>
      </c>
      <c r="C2215">
        <v>46019</v>
      </c>
      <c r="F2215" t="s">
        <v>754</v>
      </c>
      <c r="H2215">
        <v>77.97</v>
      </c>
      <c r="O2215" t="s">
        <v>239</v>
      </c>
      <c r="P2215" t="s">
        <v>514</v>
      </c>
      <c r="Y2215">
        <v>2181</v>
      </c>
      <c r="Z2215" s="259" t="s">
        <v>630</v>
      </c>
      <c r="AA2215">
        <v>50</v>
      </c>
      <c r="AB2215">
        <v>4104</v>
      </c>
      <c r="AC2215">
        <v>46017</v>
      </c>
      <c r="AD2215">
        <v>2</v>
      </c>
      <c r="AE2215">
        <v>3898.5</v>
      </c>
      <c r="AF2215">
        <v>3898.5</v>
      </c>
      <c r="AG2215">
        <v>0</v>
      </c>
      <c r="AH2215">
        <v>-205.5</v>
      </c>
    </row>
    <row r="2216" spans="2:34" x14ac:dyDescent="0.35">
      <c r="B2216" t="s">
        <v>565</v>
      </c>
      <c r="C2216">
        <v>46020</v>
      </c>
      <c r="F2216" t="s">
        <v>749</v>
      </c>
      <c r="H2216">
        <v>47.53</v>
      </c>
      <c r="O2216" t="s">
        <v>239</v>
      </c>
      <c r="P2216" t="s">
        <v>514</v>
      </c>
      <c r="Y2216">
        <v>2182</v>
      </c>
      <c r="Z2216" s="259" t="s">
        <v>630</v>
      </c>
      <c r="AA2216">
        <v>100</v>
      </c>
      <c r="AB2216">
        <v>5005</v>
      </c>
      <c r="AC2216">
        <v>46020</v>
      </c>
      <c r="AD2216">
        <v>0</v>
      </c>
      <c r="AE2216">
        <v>4753</v>
      </c>
      <c r="AF2216">
        <v>4753</v>
      </c>
      <c r="AG2216">
        <v>0</v>
      </c>
      <c r="AH2216">
        <v>-252</v>
      </c>
    </row>
    <row r="2217" spans="2:34" x14ac:dyDescent="0.35">
      <c r="B2217" t="s">
        <v>565</v>
      </c>
      <c r="C2217">
        <v>46020</v>
      </c>
      <c r="F2217" t="s">
        <v>752</v>
      </c>
      <c r="H2217">
        <v>169.07</v>
      </c>
      <c r="O2217" t="s">
        <v>239</v>
      </c>
      <c r="P2217" t="s">
        <v>514</v>
      </c>
      <c r="Y2217">
        <v>2183</v>
      </c>
      <c r="Z2217" s="259" t="s">
        <v>630</v>
      </c>
      <c r="AA2217">
        <v>100</v>
      </c>
      <c r="AB2217">
        <v>20020</v>
      </c>
      <c r="AC2217">
        <v>46020</v>
      </c>
      <c r="AD2217">
        <v>0</v>
      </c>
      <c r="AE2217">
        <v>16907</v>
      </c>
      <c r="AF2217">
        <v>16907</v>
      </c>
      <c r="AG2217">
        <v>0</v>
      </c>
      <c r="AH2217">
        <v>-3113</v>
      </c>
    </row>
    <row r="2218" spans="2:34" x14ac:dyDescent="0.35">
      <c r="B2218" t="s">
        <v>565</v>
      </c>
      <c r="C2218">
        <v>46020</v>
      </c>
      <c r="F2218" t="s">
        <v>754</v>
      </c>
      <c r="H2218">
        <v>77.87</v>
      </c>
      <c r="O2218" t="s">
        <v>239</v>
      </c>
      <c r="P2218" t="s">
        <v>514</v>
      </c>
      <c r="Y2218">
        <v>2184</v>
      </c>
      <c r="Z2218" s="259" t="s">
        <v>630</v>
      </c>
      <c r="AA2218">
        <v>50</v>
      </c>
      <c r="AB2218">
        <v>4104</v>
      </c>
      <c r="AC2218">
        <v>46020</v>
      </c>
      <c r="AD2218">
        <v>0</v>
      </c>
      <c r="AE2218">
        <v>3893.5</v>
      </c>
      <c r="AF2218">
        <v>3893.5</v>
      </c>
      <c r="AG2218">
        <v>0</v>
      </c>
      <c r="AH2218">
        <v>-210.5</v>
      </c>
    </row>
    <row r="2219" spans="2:34" x14ac:dyDescent="0.35">
      <c r="B2219" t="s">
        <v>565</v>
      </c>
      <c r="C2219">
        <v>46021</v>
      </c>
      <c r="F2219" t="s">
        <v>749</v>
      </c>
      <c r="H2219">
        <v>47.52</v>
      </c>
      <c r="O2219" t="s">
        <v>239</v>
      </c>
      <c r="P2219" t="s">
        <v>514</v>
      </c>
      <c r="Y2219">
        <v>2185</v>
      </c>
      <c r="Z2219" s="259" t="s">
        <v>630</v>
      </c>
      <c r="AA2219">
        <v>100</v>
      </c>
      <c r="AB2219">
        <v>5005</v>
      </c>
      <c r="AC2219">
        <v>46021</v>
      </c>
      <c r="AD2219">
        <v>0</v>
      </c>
      <c r="AE2219">
        <v>4752</v>
      </c>
      <c r="AF2219">
        <v>4752</v>
      </c>
      <c r="AG2219">
        <v>0</v>
      </c>
      <c r="AH2219">
        <v>-253</v>
      </c>
    </row>
    <row r="2220" spans="2:34" x14ac:dyDescent="0.35">
      <c r="B2220" t="s">
        <v>565</v>
      </c>
      <c r="C2220">
        <v>46021</v>
      </c>
      <c r="F2220" t="s">
        <v>752</v>
      </c>
      <c r="H2220">
        <v>169.03</v>
      </c>
      <c r="O2220" t="s">
        <v>239</v>
      </c>
      <c r="P2220" t="s">
        <v>514</v>
      </c>
      <c r="Y2220">
        <v>2186</v>
      </c>
      <c r="Z2220" s="259" t="s">
        <v>630</v>
      </c>
      <c r="AA2220">
        <v>100</v>
      </c>
      <c r="AB2220">
        <v>20020</v>
      </c>
      <c r="AC2220">
        <v>46021</v>
      </c>
      <c r="AD2220">
        <v>0</v>
      </c>
      <c r="AE2220">
        <v>16903</v>
      </c>
      <c r="AF2220">
        <v>16903</v>
      </c>
      <c r="AG2220">
        <v>0</v>
      </c>
      <c r="AH2220">
        <v>-3117</v>
      </c>
    </row>
    <row r="2221" spans="2:34" x14ac:dyDescent="0.35">
      <c r="B2221" t="s">
        <v>565</v>
      </c>
      <c r="C2221">
        <v>46021</v>
      </c>
      <c r="F2221" t="s">
        <v>754</v>
      </c>
      <c r="H2221">
        <v>77.83</v>
      </c>
      <c r="O2221" t="s">
        <v>239</v>
      </c>
      <c r="P2221" t="s">
        <v>514</v>
      </c>
      <c r="Y2221">
        <v>2187</v>
      </c>
      <c r="Z2221" s="259" t="s">
        <v>630</v>
      </c>
      <c r="AA2221">
        <v>50</v>
      </c>
      <c r="AB2221">
        <v>4104</v>
      </c>
      <c r="AC2221">
        <v>46021</v>
      </c>
      <c r="AD2221">
        <v>0</v>
      </c>
      <c r="AE2221">
        <v>3891.5</v>
      </c>
      <c r="AF2221">
        <v>3891.5</v>
      </c>
      <c r="AG2221">
        <v>0</v>
      </c>
      <c r="AH2221">
        <v>-212.5</v>
      </c>
    </row>
    <row r="2222" spans="2:34" x14ac:dyDescent="0.35">
      <c r="B2222" t="s">
        <v>565</v>
      </c>
      <c r="C2222">
        <v>46022</v>
      </c>
      <c r="F2222" t="s">
        <v>749</v>
      </c>
      <c r="H2222">
        <v>47.5</v>
      </c>
      <c r="O2222" t="s">
        <v>239</v>
      </c>
      <c r="P2222" t="s">
        <v>514</v>
      </c>
      <c r="Y2222">
        <v>2188</v>
      </c>
      <c r="Z2222" s="259" t="s">
        <v>630</v>
      </c>
      <c r="AA2222">
        <v>100</v>
      </c>
      <c r="AB2222">
        <v>5005</v>
      </c>
      <c r="AC2222">
        <v>46022</v>
      </c>
      <c r="AD2222">
        <v>0</v>
      </c>
      <c r="AE2222">
        <v>4750</v>
      </c>
      <c r="AF2222">
        <v>4750</v>
      </c>
      <c r="AG2222">
        <v>0</v>
      </c>
      <c r="AH2222">
        <v>-255</v>
      </c>
    </row>
    <row r="2223" spans="2:34" x14ac:dyDescent="0.35">
      <c r="B2223" t="s">
        <v>565</v>
      </c>
      <c r="C2223">
        <v>46022</v>
      </c>
      <c r="F2223" t="s">
        <v>752</v>
      </c>
      <c r="H2223">
        <v>169</v>
      </c>
      <c r="O2223" t="s">
        <v>239</v>
      </c>
      <c r="P2223" t="s">
        <v>514</v>
      </c>
      <c r="Y2223">
        <v>2189</v>
      </c>
      <c r="Z2223" s="259" t="s">
        <v>630</v>
      </c>
      <c r="AA2223">
        <v>100</v>
      </c>
      <c r="AB2223">
        <v>20020</v>
      </c>
      <c r="AC2223">
        <v>46022</v>
      </c>
      <c r="AD2223">
        <v>0</v>
      </c>
      <c r="AE2223">
        <v>16900</v>
      </c>
      <c r="AF2223">
        <v>16900</v>
      </c>
      <c r="AG2223">
        <v>0</v>
      </c>
      <c r="AH2223">
        <v>-3120</v>
      </c>
    </row>
    <row r="2224" spans="2:34" x14ac:dyDescent="0.35">
      <c r="B2224" t="s">
        <v>565</v>
      </c>
      <c r="C2224">
        <v>46022</v>
      </c>
      <c r="F2224" t="s">
        <v>754</v>
      </c>
      <c r="H2224">
        <v>77.8</v>
      </c>
      <c r="O2224" t="s">
        <v>239</v>
      </c>
      <c r="P2224" t="s">
        <v>514</v>
      </c>
      <c r="Y2224">
        <v>2190</v>
      </c>
      <c r="Z2224" s="259" t="s">
        <v>630</v>
      </c>
      <c r="AA2224">
        <v>50</v>
      </c>
      <c r="AB2224">
        <v>4104</v>
      </c>
      <c r="AC2224">
        <v>46022</v>
      </c>
      <c r="AD2224">
        <v>0</v>
      </c>
      <c r="AE2224">
        <v>3890</v>
      </c>
      <c r="AF2224">
        <v>3890</v>
      </c>
      <c r="AG2224">
        <v>0</v>
      </c>
      <c r="AH2224">
        <v>-214</v>
      </c>
    </row>
    <row r="2225" spans="2:34" x14ac:dyDescent="0.35">
      <c r="B2225" t="s">
        <v>566</v>
      </c>
      <c r="C2225">
        <v>45658</v>
      </c>
      <c r="F2225" t="s">
        <v>749</v>
      </c>
      <c r="H2225">
        <v>100</v>
      </c>
      <c r="O2225" t="s">
        <v>239</v>
      </c>
      <c r="P2225" t="s">
        <v>514</v>
      </c>
      <c r="Y2225">
        <v>2191</v>
      </c>
      <c r="Z2225" s="259" t="s">
        <v>630</v>
      </c>
      <c r="AA2225">
        <v>0</v>
      </c>
      <c r="AB2225">
        <v>0</v>
      </c>
      <c r="AC2225">
        <v>45658</v>
      </c>
      <c r="AD2225">
        <v>0</v>
      </c>
      <c r="AE2225">
        <v>0</v>
      </c>
      <c r="AF2225">
        <v>0</v>
      </c>
      <c r="AG2225">
        <v>0</v>
      </c>
      <c r="AH2225">
        <v>0</v>
      </c>
    </row>
    <row r="2226" spans="2:34" x14ac:dyDescent="0.35">
      <c r="B2226" t="s">
        <v>566</v>
      </c>
      <c r="C2226">
        <v>45658</v>
      </c>
      <c r="F2226" t="s">
        <v>752</v>
      </c>
      <c r="H2226">
        <v>200</v>
      </c>
      <c r="O2226" t="s">
        <v>239</v>
      </c>
      <c r="P2226" t="s">
        <v>514</v>
      </c>
      <c r="Y2226">
        <v>2192</v>
      </c>
      <c r="Z2226" s="259" t="s">
        <v>630</v>
      </c>
      <c r="AA2226">
        <v>0</v>
      </c>
      <c r="AB2226">
        <v>0</v>
      </c>
      <c r="AC2226">
        <v>45658</v>
      </c>
      <c r="AD2226">
        <v>0</v>
      </c>
      <c r="AE2226">
        <v>0</v>
      </c>
      <c r="AF2226">
        <v>0</v>
      </c>
      <c r="AG2226">
        <v>0</v>
      </c>
      <c r="AH2226">
        <v>0</v>
      </c>
    </row>
    <row r="2227" spans="2:34" x14ac:dyDescent="0.35">
      <c r="B2227" t="s">
        <v>566</v>
      </c>
      <c r="C2227">
        <v>45658</v>
      </c>
      <c r="F2227" t="s">
        <v>754</v>
      </c>
      <c r="H2227">
        <v>80</v>
      </c>
      <c r="O2227" t="s">
        <v>239</v>
      </c>
      <c r="P2227" t="s">
        <v>514</v>
      </c>
      <c r="Y2227">
        <v>2193</v>
      </c>
      <c r="Z2227" s="259" t="s">
        <v>630</v>
      </c>
      <c r="AA2227">
        <v>0</v>
      </c>
      <c r="AB2227">
        <v>0</v>
      </c>
      <c r="AC2227">
        <v>45658</v>
      </c>
      <c r="AD2227">
        <v>0</v>
      </c>
      <c r="AE2227">
        <v>0</v>
      </c>
      <c r="AF2227">
        <v>0</v>
      </c>
      <c r="AG2227">
        <v>0</v>
      </c>
      <c r="AH2227">
        <v>0</v>
      </c>
    </row>
    <row r="2228" spans="2:34" x14ac:dyDescent="0.35">
      <c r="B2228" t="s">
        <v>566</v>
      </c>
      <c r="C2228">
        <v>45659</v>
      </c>
      <c r="F2228" t="s">
        <v>749</v>
      </c>
      <c r="H2228">
        <v>100.07</v>
      </c>
      <c r="O2228" t="s">
        <v>239</v>
      </c>
      <c r="P2228" t="s">
        <v>514</v>
      </c>
      <c r="Y2228">
        <v>2194</v>
      </c>
      <c r="Z2228" s="259" t="s">
        <v>630</v>
      </c>
      <c r="AA2228">
        <v>0</v>
      </c>
      <c r="AB2228">
        <v>0</v>
      </c>
      <c r="AC2228">
        <v>45659</v>
      </c>
      <c r="AD2228">
        <v>0</v>
      </c>
      <c r="AE2228">
        <v>0</v>
      </c>
      <c r="AF2228">
        <v>0</v>
      </c>
      <c r="AG2228">
        <v>0</v>
      </c>
      <c r="AH2228">
        <v>0</v>
      </c>
    </row>
    <row r="2229" spans="2:34" x14ac:dyDescent="0.35">
      <c r="B2229" t="s">
        <v>566</v>
      </c>
      <c r="C2229">
        <v>45659</v>
      </c>
      <c r="F2229" t="s">
        <v>752</v>
      </c>
      <c r="H2229">
        <v>199.83</v>
      </c>
      <c r="O2229" t="s">
        <v>239</v>
      </c>
      <c r="P2229" t="s">
        <v>514</v>
      </c>
      <c r="Y2229">
        <v>2195</v>
      </c>
      <c r="Z2229" s="259" t="s">
        <v>630</v>
      </c>
      <c r="AA2229">
        <v>0</v>
      </c>
      <c r="AB2229">
        <v>0</v>
      </c>
      <c r="AC2229">
        <v>45659</v>
      </c>
      <c r="AD2229">
        <v>0</v>
      </c>
      <c r="AE2229">
        <v>0</v>
      </c>
      <c r="AF2229">
        <v>0</v>
      </c>
      <c r="AG2229">
        <v>0</v>
      </c>
      <c r="AH2229">
        <v>0</v>
      </c>
    </row>
    <row r="2230" spans="2:34" x14ac:dyDescent="0.35">
      <c r="B2230" t="s">
        <v>566</v>
      </c>
      <c r="C2230">
        <v>45659</v>
      </c>
      <c r="F2230" t="s">
        <v>754</v>
      </c>
      <c r="H2230">
        <v>80.069999999999993</v>
      </c>
      <c r="O2230" t="s">
        <v>239</v>
      </c>
      <c r="P2230" t="s">
        <v>514</v>
      </c>
      <c r="Y2230">
        <v>2196</v>
      </c>
      <c r="Z2230" s="259" t="s">
        <v>630</v>
      </c>
      <c r="AA2230">
        <v>0</v>
      </c>
      <c r="AB2230">
        <v>0</v>
      </c>
      <c r="AC2230">
        <v>45659</v>
      </c>
      <c r="AD2230">
        <v>0</v>
      </c>
      <c r="AE2230">
        <v>0</v>
      </c>
      <c r="AF2230">
        <v>0</v>
      </c>
      <c r="AG2230">
        <v>0</v>
      </c>
      <c r="AH2230">
        <v>0</v>
      </c>
    </row>
    <row r="2231" spans="2:34" x14ac:dyDescent="0.35">
      <c r="B2231" t="s">
        <v>566</v>
      </c>
      <c r="C2231">
        <v>45660</v>
      </c>
      <c r="F2231" t="s">
        <v>749</v>
      </c>
      <c r="H2231">
        <v>100.13</v>
      </c>
      <c r="O2231" t="s">
        <v>239</v>
      </c>
      <c r="P2231" t="s">
        <v>514</v>
      </c>
      <c r="Y2231">
        <v>2197</v>
      </c>
      <c r="Z2231" s="259" t="s">
        <v>630</v>
      </c>
      <c r="AA2231">
        <v>0</v>
      </c>
      <c r="AB2231">
        <v>0</v>
      </c>
      <c r="AC2231">
        <v>45660</v>
      </c>
      <c r="AD2231">
        <v>0</v>
      </c>
      <c r="AE2231">
        <v>0</v>
      </c>
      <c r="AF2231">
        <v>0</v>
      </c>
      <c r="AG2231">
        <v>0</v>
      </c>
      <c r="AH2231">
        <v>0</v>
      </c>
    </row>
    <row r="2232" spans="2:34" x14ac:dyDescent="0.35">
      <c r="B2232" t="s">
        <v>566</v>
      </c>
      <c r="C2232">
        <v>45660</v>
      </c>
      <c r="F2232" t="s">
        <v>752</v>
      </c>
      <c r="H2232">
        <v>199.67</v>
      </c>
      <c r="O2232" t="s">
        <v>239</v>
      </c>
      <c r="P2232" t="s">
        <v>514</v>
      </c>
      <c r="Y2232">
        <v>2198</v>
      </c>
      <c r="Z2232" s="259" t="s">
        <v>630</v>
      </c>
      <c r="AA2232">
        <v>0</v>
      </c>
      <c r="AB2232">
        <v>0</v>
      </c>
      <c r="AC2232">
        <v>45660</v>
      </c>
      <c r="AD2232">
        <v>0</v>
      </c>
      <c r="AE2232">
        <v>0</v>
      </c>
      <c r="AF2232">
        <v>0</v>
      </c>
      <c r="AG2232">
        <v>0</v>
      </c>
      <c r="AH2232">
        <v>0</v>
      </c>
    </row>
    <row r="2233" spans="2:34" x14ac:dyDescent="0.35">
      <c r="B2233" t="s">
        <v>566</v>
      </c>
      <c r="C2233">
        <v>45660</v>
      </c>
      <c r="F2233" t="s">
        <v>754</v>
      </c>
      <c r="H2233">
        <v>80.13</v>
      </c>
      <c r="O2233" t="s">
        <v>239</v>
      </c>
      <c r="P2233" t="s">
        <v>514</v>
      </c>
      <c r="Y2233">
        <v>2199</v>
      </c>
      <c r="Z2233" s="259" t="s">
        <v>630</v>
      </c>
      <c r="AA2233">
        <v>0</v>
      </c>
      <c r="AB2233">
        <v>0</v>
      </c>
      <c r="AC2233">
        <v>45660</v>
      </c>
      <c r="AD2233">
        <v>0</v>
      </c>
      <c r="AE2233">
        <v>0</v>
      </c>
      <c r="AF2233">
        <v>0</v>
      </c>
      <c r="AG2233">
        <v>0</v>
      </c>
      <c r="AH2233">
        <v>0</v>
      </c>
    </row>
    <row r="2234" spans="2:34" x14ac:dyDescent="0.35">
      <c r="B2234" t="s">
        <v>566</v>
      </c>
      <c r="C2234">
        <v>45661</v>
      </c>
      <c r="F2234" t="s">
        <v>749</v>
      </c>
      <c r="H2234">
        <v>100.13</v>
      </c>
      <c r="O2234" t="s">
        <v>239</v>
      </c>
      <c r="P2234" t="s">
        <v>514</v>
      </c>
      <c r="Y2234">
        <v>2200</v>
      </c>
      <c r="Z2234" s="259" t="s">
        <v>630</v>
      </c>
      <c r="AA2234">
        <v>0</v>
      </c>
      <c r="AB2234">
        <v>0</v>
      </c>
      <c r="AC2234">
        <v>45660</v>
      </c>
      <c r="AD2234">
        <v>1</v>
      </c>
      <c r="AE2234">
        <v>0</v>
      </c>
      <c r="AF2234">
        <v>0</v>
      </c>
      <c r="AG2234">
        <v>0</v>
      </c>
      <c r="AH2234">
        <v>0</v>
      </c>
    </row>
    <row r="2235" spans="2:34" x14ac:dyDescent="0.35">
      <c r="B2235" t="s">
        <v>566</v>
      </c>
      <c r="C2235">
        <v>45661</v>
      </c>
      <c r="F2235" t="s">
        <v>752</v>
      </c>
      <c r="H2235">
        <v>199.67</v>
      </c>
      <c r="O2235" t="s">
        <v>239</v>
      </c>
      <c r="P2235" t="s">
        <v>514</v>
      </c>
      <c r="Y2235">
        <v>2201</v>
      </c>
      <c r="Z2235" s="259" t="s">
        <v>630</v>
      </c>
      <c r="AA2235">
        <v>0</v>
      </c>
      <c r="AB2235">
        <v>0</v>
      </c>
      <c r="AC2235">
        <v>45660</v>
      </c>
      <c r="AD2235">
        <v>1</v>
      </c>
      <c r="AE2235">
        <v>0</v>
      </c>
      <c r="AF2235">
        <v>0</v>
      </c>
      <c r="AG2235">
        <v>0</v>
      </c>
      <c r="AH2235">
        <v>0</v>
      </c>
    </row>
    <row r="2236" spans="2:34" x14ac:dyDescent="0.35">
      <c r="B2236" t="s">
        <v>566</v>
      </c>
      <c r="C2236">
        <v>45661</v>
      </c>
      <c r="F2236" t="s">
        <v>754</v>
      </c>
      <c r="H2236">
        <v>80.13</v>
      </c>
      <c r="O2236" t="s">
        <v>239</v>
      </c>
      <c r="P2236" t="s">
        <v>514</v>
      </c>
      <c r="Y2236">
        <v>2202</v>
      </c>
      <c r="Z2236" s="259" t="s">
        <v>630</v>
      </c>
      <c r="AA2236">
        <v>0</v>
      </c>
      <c r="AB2236">
        <v>0</v>
      </c>
      <c r="AC2236">
        <v>45660</v>
      </c>
      <c r="AD2236">
        <v>1</v>
      </c>
      <c r="AE2236">
        <v>0</v>
      </c>
      <c r="AF2236">
        <v>0</v>
      </c>
      <c r="AG2236">
        <v>0</v>
      </c>
      <c r="AH2236">
        <v>0</v>
      </c>
    </row>
    <row r="2237" spans="2:34" x14ac:dyDescent="0.35">
      <c r="B2237" t="s">
        <v>566</v>
      </c>
      <c r="C2237">
        <v>45662</v>
      </c>
      <c r="F2237" t="s">
        <v>749</v>
      </c>
      <c r="H2237">
        <v>100.13</v>
      </c>
      <c r="O2237" t="s">
        <v>239</v>
      </c>
      <c r="P2237" t="s">
        <v>514</v>
      </c>
      <c r="Y2237">
        <v>2203</v>
      </c>
      <c r="Z2237" s="259" t="s">
        <v>630</v>
      </c>
      <c r="AA2237">
        <v>0</v>
      </c>
      <c r="AB2237">
        <v>0</v>
      </c>
      <c r="AC2237">
        <v>45660</v>
      </c>
      <c r="AD2237">
        <v>2</v>
      </c>
      <c r="AE2237">
        <v>0</v>
      </c>
      <c r="AF2237">
        <v>0</v>
      </c>
      <c r="AG2237">
        <v>0</v>
      </c>
      <c r="AH2237">
        <v>0</v>
      </c>
    </row>
    <row r="2238" spans="2:34" x14ac:dyDescent="0.35">
      <c r="B2238" t="s">
        <v>566</v>
      </c>
      <c r="C2238">
        <v>45662</v>
      </c>
      <c r="F2238" t="s">
        <v>752</v>
      </c>
      <c r="H2238">
        <v>199.67</v>
      </c>
      <c r="O2238" t="s">
        <v>239</v>
      </c>
      <c r="P2238" t="s">
        <v>514</v>
      </c>
      <c r="Y2238">
        <v>2204</v>
      </c>
      <c r="Z2238" s="259" t="s">
        <v>630</v>
      </c>
      <c r="AA2238">
        <v>0</v>
      </c>
      <c r="AB2238">
        <v>0</v>
      </c>
      <c r="AC2238">
        <v>45660</v>
      </c>
      <c r="AD2238">
        <v>2</v>
      </c>
      <c r="AE2238">
        <v>0</v>
      </c>
      <c r="AF2238">
        <v>0</v>
      </c>
      <c r="AG2238">
        <v>0</v>
      </c>
      <c r="AH2238">
        <v>0</v>
      </c>
    </row>
    <row r="2239" spans="2:34" x14ac:dyDescent="0.35">
      <c r="B2239" t="s">
        <v>566</v>
      </c>
      <c r="C2239">
        <v>45662</v>
      </c>
      <c r="F2239" t="s">
        <v>754</v>
      </c>
      <c r="H2239">
        <v>80.13</v>
      </c>
      <c r="O2239" t="s">
        <v>239</v>
      </c>
      <c r="P2239" t="s">
        <v>514</v>
      </c>
      <c r="Y2239">
        <v>2205</v>
      </c>
      <c r="Z2239" s="259" t="s">
        <v>630</v>
      </c>
      <c r="AA2239">
        <v>0</v>
      </c>
      <c r="AB2239">
        <v>0</v>
      </c>
      <c r="AC2239">
        <v>45660</v>
      </c>
      <c r="AD2239">
        <v>2</v>
      </c>
      <c r="AE2239">
        <v>0</v>
      </c>
      <c r="AF2239">
        <v>0</v>
      </c>
      <c r="AG2239">
        <v>0</v>
      </c>
      <c r="AH2239">
        <v>0</v>
      </c>
    </row>
    <row r="2240" spans="2:34" x14ac:dyDescent="0.35">
      <c r="B2240" t="s">
        <v>566</v>
      </c>
      <c r="C2240">
        <v>45663</v>
      </c>
      <c r="F2240" t="s">
        <v>749</v>
      </c>
      <c r="H2240">
        <v>100.33</v>
      </c>
      <c r="O2240" t="s">
        <v>239</v>
      </c>
      <c r="P2240" t="s">
        <v>514</v>
      </c>
      <c r="Y2240">
        <v>2206</v>
      </c>
      <c r="Z2240" s="259" t="s">
        <v>630</v>
      </c>
      <c r="AA2240">
        <v>0</v>
      </c>
      <c r="AB2240">
        <v>0</v>
      </c>
      <c r="AC2240">
        <v>45663</v>
      </c>
      <c r="AD2240">
        <v>0</v>
      </c>
      <c r="AE2240">
        <v>0</v>
      </c>
      <c r="AF2240">
        <v>0</v>
      </c>
      <c r="AG2240">
        <v>0</v>
      </c>
      <c r="AH2240">
        <v>0</v>
      </c>
    </row>
    <row r="2241" spans="2:34" x14ac:dyDescent="0.35">
      <c r="B2241" t="s">
        <v>566</v>
      </c>
      <c r="C2241">
        <v>45663</v>
      </c>
      <c r="F2241" t="s">
        <v>752</v>
      </c>
      <c r="H2241">
        <v>199.17</v>
      </c>
      <c r="O2241" t="s">
        <v>239</v>
      </c>
      <c r="P2241" t="s">
        <v>514</v>
      </c>
      <c r="Y2241">
        <v>2207</v>
      </c>
      <c r="Z2241" s="259" t="s">
        <v>630</v>
      </c>
      <c r="AA2241">
        <v>0</v>
      </c>
      <c r="AB2241">
        <v>0</v>
      </c>
      <c r="AC2241">
        <v>45663</v>
      </c>
      <c r="AD2241">
        <v>0</v>
      </c>
      <c r="AE2241">
        <v>0</v>
      </c>
      <c r="AF2241">
        <v>0</v>
      </c>
      <c r="AG2241">
        <v>0</v>
      </c>
      <c r="AH2241">
        <v>0</v>
      </c>
    </row>
    <row r="2242" spans="2:34" x14ac:dyDescent="0.35">
      <c r="B2242" t="s">
        <v>566</v>
      </c>
      <c r="C2242">
        <v>45663</v>
      </c>
      <c r="F2242" t="s">
        <v>754</v>
      </c>
      <c r="H2242">
        <v>80.33</v>
      </c>
      <c r="O2242" t="s">
        <v>239</v>
      </c>
      <c r="P2242" t="s">
        <v>514</v>
      </c>
      <c r="Y2242">
        <v>2208</v>
      </c>
      <c r="Z2242" s="259" t="s">
        <v>630</v>
      </c>
      <c r="AA2242">
        <v>0</v>
      </c>
      <c r="AB2242">
        <v>0</v>
      </c>
      <c r="AC2242">
        <v>45663</v>
      </c>
      <c r="AD2242">
        <v>0</v>
      </c>
      <c r="AE2242">
        <v>0</v>
      </c>
      <c r="AF2242">
        <v>0</v>
      </c>
      <c r="AG2242">
        <v>0</v>
      </c>
      <c r="AH2242">
        <v>0</v>
      </c>
    </row>
    <row r="2243" spans="2:34" x14ac:dyDescent="0.35">
      <c r="B2243" t="s">
        <v>566</v>
      </c>
      <c r="C2243">
        <v>45664</v>
      </c>
      <c r="F2243" t="s">
        <v>749</v>
      </c>
      <c r="H2243">
        <v>100.4</v>
      </c>
      <c r="O2243" t="s">
        <v>239</v>
      </c>
      <c r="P2243" t="s">
        <v>514</v>
      </c>
      <c r="Y2243">
        <v>2209</v>
      </c>
      <c r="Z2243" s="259" t="s">
        <v>630</v>
      </c>
      <c r="AA2243">
        <v>0</v>
      </c>
      <c r="AB2243">
        <v>0</v>
      </c>
      <c r="AC2243">
        <v>45664</v>
      </c>
      <c r="AD2243">
        <v>0</v>
      </c>
      <c r="AE2243">
        <v>0</v>
      </c>
      <c r="AF2243">
        <v>0</v>
      </c>
      <c r="AG2243">
        <v>0</v>
      </c>
      <c r="AH2243">
        <v>0</v>
      </c>
    </row>
    <row r="2244" spans="2:34" x14ac:dyDescent="0.35">
      <c r="B2244" t="s">
        <v>566</v>
      </c>
      <c r="C2244">
        <v>45664</v>
      </c>
      <c r="F2244" t="s">
        <v>752</v>
      </c>
      <c r="H2244">
        <v>199</v>
      </c>
      <c r="O2244" t="s">
        <v>239</v>
      </c>
      <c r="P2244" t="s">
        <v>514</v>
      </c>
      <c r="Y2244">
        <v>2210</v>
      </c>
      <c r="Z2244" s="259" t="s">
        <v>630</v>
      </c>
      <c r="AA2244">
        <v>0</v>
      </c>
      <c r="AB2244">
        <v>0</v>
      </c>
      <c r="AC2244">
        <v>45664</v>
      </c>
      <c r="AD2244">
        <v>0</v>
      </c>
      <c r="AE2244">
        <v>0</v>
      </c>
      <c r="AF2244">
        <v>0</v>
      </c>
      <c r="AG2244">
        <v>0</v>
      </c>
      <c r="AH2244">
        <v>0</v>
      </c>
    </row>
    <row r="2245" spans="2:34" x14ac:dyDescent="0.35">
      <c r="B2245" t="s">
        <v>566</v>
      </c>
      <c r="C2245">
        <v>45664</v>
      </c>
      <c r="F2245" t="s">
        <v>754</v>
      </c>
      <c r="H2245">
        <v>80.400000000000006</v>
      </c>
      <c r="O2245" t="s">
        <v>239</v>
      </c>
      <c r="P2245" t="s">
        <v>514</v>
      </c>
      <c r="Y2245">
        <v>2211</v>
      </c>
      <c r="Z2245" s="259" t="s">
        <v>630</v>
      </c>
      <c r="AA2245">
        <v>0</v>
      </c>
      <c r="AB2245">
        <v>0</v>
      </c>
      <c r="AC2245">
        <v>45664</v>
      </c>
      <c r="AD2245">
        <v>0</v>
      </c>
      <c r="AE2245">
        <v>0</v>
      </c>
      <c r="AF2245">
        <v>0</v>
      </c>
      <c r="AG2245">
        <v>0</v>
      </c>
      <c r="AH2245">
        <v>0</v>
      </c>
    </row>
    <row r="2246" spans="2:34" x14ac:dyDescent="0.35">
      <c r="B2246" t="s">
        <v>566</v>
      </c>
      <c r="C2246">
        <v>45665</v>
      </c>
      <c r="F2246" t="s">
        <v>749</v>
      </c>
      <c r="H2246">
        <v>100.47</v>
      </c>
      <c r="O2246" t="s">
        <v>239</v>
      </c>
      <c r="P2246" t="s">
        <v>514</v>
      </c>
      <c r="Y2246">
        <v>2212</v>
      </c>
      <c r="Z2246" s="259" t="s">
        <v>630</v>
      </c>
      <c r="AA2246">
        <v>0</v>
      </c>
      <c r="AB2246">
        <v>0</v>
      </c>
      <c r="AC2246">
        <v>45665</v>
      </c>
      <c r="AD2246">
        <v>0</v>
      </c>
      <c r="AE2246">
        <v>0</v>
      </c>
      <c r="AF2246">
        <v>0</v>
      </c>
      <c r="AG2246">
        <v>0</v>
      </c>
      <c r="AH2246">
        <v>0</v>
      </c>
    </row>
    <row r="2247" spans="2:34" x14ac:dyDescent="0.35">
      <c r="B2247" t="s">
        <v>566</v>
      </c>
      <c r="C2247">
        <v>45665</v>
      </c>
      <c r="F2247" t="s">
        <v>752</v>
      </c>
      <c r="H2247">
        <v>198.83</v>
      </c>
      <c r="O2247" t="s">
        <v>239</v>
      </c>
      <c r="P2247" t="s">
        <v>514</v>
      </c>
      <c r="Y2247">
        <v>2213</v>
      </c>
      <c r="Z2247" s="259" t="s">
        <v>630</v>
      </c>
      <c r="AA2247">
        <v>0</v>
      </c>
      <c r="AB2247">
        <v>0</v>
      </c>
      <c r="AC2247">
        <v>45665</v>
      </c>
      <c r="AD2247">
        <v>0</v>
      </c>
      <c r="AE2247">
        <v>0</v>
      </c>
      <c r="AF2247">
        <v>0</v>
      </c>
      <c r="AG2247">
        <v>0</v>
      </c>
      <c r="AH2247">
        <v>0</v>
      </c>
    </row>
    <row r="2248" spans="2:34" x14ac:dyDescent="0.35">
      <c r="B2248" t="s">
        <v>566</v>
      </c>
      <c r="C2248">
        <v>45665</v>
      </c>
      <c r="F2248" t="s">
        <v>754</v>
      </c>
      <c r="H2248">
        <v>80.47</v>
      </c>
      <c r="O2248" t="s">
        <v>239</v>
      </c>
      <c r="P2248" t="s">
        <v>514</v>
      </c>
      <c r="Y2248">
        <v>2214</v>
      </c>
      <c r="Z2248" s="259" t="s">
        <v>630</v>
      </c>
      <c r="AA2248">
        <v>0</v>
      </c>
      <c r="AB2248">
        <v>0</v>
      </c>
      <c r="AC2248">
        <v>45665</v>
      </c>
      <c r="AD2248">
        <v>0</v>
      </c>
      <c r="AE2248">
        <v>0</v>
      </c>
      <c r="AF2248">
        <v>0</v>
      </c>
      <c r="AG2248">
        <v>0</v>
      </c>
      <c r="AH2248">
        <v>0</v>
      </c>
    </row>
    <row r="2249" spans="2:34" x14ac:dyDescent="0.35">
      <c r="B2249" t="s">
        <v>566</v>
      </c>
      <c r="C2249">
        <v>45666</v>
      </c>
      <c r="F2249" t="s">
        <v>749</v>
      </c>
      <c r="H2249">
        <v>100.53</v>
      </c>
      <c r="O2249" t="s">
        <v>239</v>
      </c>
      <c r="P2249" t="s">
        <v>514</v>
      </c>
      <c r="Y2249">
        <v>2215</v>
      </c>
      <c r="Z2249" s="259" t="s">
        <v>630</v>
      </c>
      <c r="AA2249">
        <v>0</v>
      </c>
      <c r="AB2249">
        <v>0</v>
      </c>
      <c r="AC2249">
        <v>45666</v>
      </c>
      <c r="AD2249">
        <v>0</v>
      </c>
      <c r="AE2249">
        <v>0</v>
      </c>
      <c r="AF2249">
        <v>0</v>
      </c>
      <c r="AG2249">
        <v>0</v>
      </c>
      <c r="AH2249">
        <v>0</v>
      </c>
    </row>
    <row r="2250" spans="2:34" x14ac:dyDescent="0.35">
      <c r="B2250" t="s">
        <v>566</v>
      </c>
      <c r="C2250">
        <v>45666</v>
      </c>
      <c r="F2250" t="s">
        <v>752</v>
      </c>
      <c r="H2250">
        <v>198.67</v>
      </c>
      <c r="O2250" t="s">
        <v>239</v>
      </c>
      <c r="P2250" t="s">
        <v>514</v>
      </c>
      <c r="Y2250">
        <v>2216</v>
      </c>
      <c r="Z2250" s="259" t="s">
        <v>630</v>
      </c>
      <c r="AA2250">
        <v>0</v>
      </c>
      <c r="AB2250">
        <v>0</v>
      </c>
      <c r="AC2250">
        <v>45666</v>
      </c>
      <c r="AD2250">
        <v>0</v>
      </c>
      <c r="AE2250">
        <v>0</v>
      </c>
      <c r="AF2250">
        <v>0</v>
      </c>
      <c r="AG2250">
        <v>0</v>
      </c>
      <c r="AH2250">
        <v>0</v>
      </c>
    </row>
    <row r="2251" spans="2:34" x14ac:dyDescent="0.35">
      <c r="B2251" t="s">
        <v>566</v>
      </c>
      <c r="C2251">
        <v>45666</v>
      </c>
      <c r="F2251" t="s">
        <v>754</v>
      </c>
      <c r="H2251">
        <v>80.53</v>
      </c>
      <c r="O2251" t="s">
        <v>239</v>
      </c>
      <c r="P2251" t="s">
        <v>514</v>
      </c>
      <c r="Y2251">
        <v>2217</v>
      </c>
      <c r="Z2251" s="259" t="s">
        <v>630</v>
      </c>
      <c r="AA2251">
        <v>0</v>
      </c>
      <c r="AB2251">
        <v>0</v>
      </c>
      <c r="AC2251">
        <v>45666</v>
      </c>
      <c r="AD2251">
        <v>0</v>
      </c>
      <c r="AE2251">
        <v>0</v>
      </c>
      <c r="AF2251">
        <v>0</v>
      </c>
      <c r="AG2251">
        <v>0</v>
      </c>
      <c r="AH2251">
        <v>0</v>
      </c>
    </row>
    <row r="2252" spans="2:34" x14ac:dyDescent="0.35">
      <c r="B2252" t="s">
        <v>566</v>
      </c>
      <c r="C2252">
        <v>45667</v>
      </c>
      <c r="F2252" t="s">
        <v>749</v>
      </c>
      <c r="H2252">
        <v>100.6</v>
      </c>
      <c r="O2252" t="s">
        <v>239</v>
      </c>
      <c r="P2252" t="s">
        <v>514</v>
      </c>
      <c r="Y2252">
        <v>2218</v>
      </c>
      <c r="Z2252" s="259" t="s">
        <v>630</v>
      </c>
      <c r="AA2252">
        <v>0</v>
      </c>
      <c r="AB2252">
        <v>0</v>
      </c>
      <c r="AC2252">
        <v>45667</v>
      </c>
      <c r="AD2252">
        <v>0</v>
      </c>
      <c r="AE2252">
        <v>0</v>
      </c>
      <c r="AF2252">
        <v>0</v>
      </c>
      <c r="AG2252">
        <v>0</v>
      </c>
      <c r="AH2252">
        <v>0</v>
      </c>
    </row>
    <row r="2253" spans="2:34" x14ac:dyDescent="0.35">
      <c r="B2253" t="s">
        <v>566</v>
      </c>
      <c r="C2253">
        <v>45667</v>
      </c>
      <c r="F2253" t="s">
        <v>752</v>
      </c>
      <c r="H2253">
        <v>198.5</v>
      </c>
      <c r="O2253" t="s">
        <v>239</v>
      </c>
      <c r="P2253" t="s">
        <v>514</v>
      </c>
      <c r="Y2253">
        <v>2219</v>
      </c>
      <c r="Z2253" s="259" t="s">
        <v>630</v>
      </c>
      <c r="AA2253">
        <v>0</v>
      </c>
      <c r="AB2253">
        <v>0</v>
      </c>
      <c r="AC2253">
        <v>45667</v>
      </c>
      <c r="AD2253">
        <v>0</v>
      </c>
      <c r="AE2253">
        <v>0</v>
      </c>
      <c r="AF2253">
        <v>0</v>
      </c>
      <c r="AG2253">
        <v>0</v>
      </c>
      <c r="AH2253">
        <v>0</v>
      </c>
    </row>
    <row r="2254" spans="2:34" x14ac:dyDescent="0.35">
      <c r="B2254" t="s">
        <v>566</v>
      </c>
      <c r="C2254">
        <v>45667</v>
      </c>
      <c r="F2254" t="s">
        <v>754</v>
      </c>
      <c r="H2254">
        <v>80.599999999999994</v>
      </c>
      <c r="O2254" t="s">
        <v>239</v>
      </c>
      <c r="P2254" t="s">
        <v>514</v>
      </c>
      <c r="Y2254">
        <v>2220</v>
      </c>
      <c r="Z2254" s="259" t="s">
        <v>630</v>
      </c>
      <c r="AA2254">
        <v>0</v>
      </c>
      <c r="AB2254">
        <v>0</v>
      </c>
      <c r="AC2254">
        <v>45667</v>
      </c>
      <c r="AD2254">
        <v>0</v>
      </c>
      <c r="AE2254">
        <v>0</v>
      </c>
      <c r="AF2254">
        <v>0</v>
      </c>
      <c r="AG2254">
        <v>0</v>
      </c>
      <c r="AH2254">
        <v>0</v>
      </c>
    </row>
    <row r="2255" spans="2:34" x14ac:dyDescent="0.35">
      <c r="B2255" t="s">
        <v>566</v>
      </c>
      <c r="C2255">
        <v>45668</v>
      </c>
      <c r="F2255" t="s">
        <v>749</v>
      </c>
      <c r="H2255">
        <v>100.6</v>
      </c>
      <c r="O2255" t="s">
        <v>239</v>
      </c>
      <c r="P2255" t="s">
        <v>514</v>
      </c>
      <c r="Y2255">
        <v>2221</v>
      </c>
      <c r="Z2255" s="259" t="s">
        <v>630</v>
      </c>
      <c r="AA2255">
        <v>0</v>
      </c>
      <c r="AB2255">
        <v>0</v>
      </c>
      <c r="AC2255">
        <v>45667</v>
      </c>
      <c r="AD2255">
        <v>1</v>
      </c>
      <c r="AE2255">
        <v>0</v>
      </c>
      <c r="AF2255">
        <v>0</v>
      </c>
      <c r="AG2255">
        <v>0</v>
      </c>
      <c r="AH2255">
        <v>0</v>
      </c>
    </row>
    <row r="2256" spans="2:34" x14ac:dyDescent="0.35">
      <c r="B2256" t="s">
        <v>566</v>
      </c>
      <c r="C2256">
        <v>45668</v>
      </c>
      <c r="F2256" t="s">
        <v>752</v>
      </c>
      <c r="H2256">
        <v>198.5</v>
      </c>
      <c r="O2256" t="s">
        <v>239</v>
      </c>
      <c r="P2256" t="s">
        <v>514</v>
      </c>
      <c r="Y2256">
        <v>2222</v>
      </c>
      <c r="Z2256" s="259" t="s">
        <v>630</v>
      </c>
      <c r="AA2256">
        <v>0</v>
      </c>
      <c r="AB2256">
        <v>0</v>
      </c>
      <c r="AC2256">
        <v>45667</v>
      </c>
      <c r="AD2256">
        <v>1</v>
      </c>
      <c r="AE2256">
        <v>0</v>
      </c>
      <c r="AF2256">
        <v>0</v>
      </c>
      <c r="AG2256">
        <v>0</v>
      </c>
      <c r="AH2256">
        <v>0</v>
      </c>
    </row>
    <row r="2257" spans="2:34" x14ac:dyDescent="0.35">
      <c r="B2257" t="s">
        <v>566</v>
      </c>
      <c r="C2257">
        <v>45668</v>
      </c>
      <c r="F2257" t="s">
        <v>754</v>
      </c>
      <c r="H2257">
        <v>80.599999999999994</v>
      </c>
      <c r="O2257" t="s">
        <v>239</v>
      </c>
      <c r="P2257" t="s">
        <v>514</v>
      </c>
      <c r="Y2257">
        <v>2223</v>
      </c>
      <c r="Z2257" s="259" t="s">
        <v>630</v>
      </c>
      <c r="AA2257">
        <v>0</v>
      </c>
      <c r="AB2257">
        <v>0</v>
      </c>
      <c r="AC2257">
        <v>45667</v>
      </c>
      <c r="AD2257">
        <v>1</v>
      </c>
      <c r="AE2257">
        <v>0</v>
      </c>
      <c r="AF2257">
        <v>0</v>
      </c>
      <c r="AG2257">
        <v>0</v>
      </c>
      <c r="AH2257">
        <v>0</v>
      </c>
    </row>
    <row r="2258" spans="2:34" x14ac:dyDescent="0.35">
      <c r="B2258" t="s">
        <v>566</v>
      </c>
      <c r="C2258">
        <v>45669</v>
      </c>
      <c r="F2258" t="s">
        <v>749</v>
      </c>
      <c r="H2258">
        <v>100.6</v>
      </c>
      <c r="O2258" t="s">
        <v>239</v>
      </c>
      <c r="P2258" t="s">
        <v>514</v>
      </c>
      <c r="Y2258">
        <v>2224</v>
      </c>
      <c r="Z2258" s="259" t="s">
        <v>630</v>
      </c>
      <c r="AA2258">
        <v>0</v>
      </c>
      <c r="AB2258">
        <v>0</v>
      </c>
      <c r="AC2258">
        <v>45667</v>
      </c>
      <c r="AD2258">
        <v>2</v>
      </c>
      <c r="AE2258">
        <v>0</v>
      </c>
      <c r="AF2258">
        <v>0</v>
      </c>
      <c r="AG2258">
        <v>0</v>
      </c>
      <c r="AH2258">
        <v>0</v>
      </c>
    </row>
    <row r="2259" spans="2:34" x14ac:dyDescent="0.35">
      <c r="B2259" t="s">
        <v>566</v>
      </c>
      <c r="C2259">
        <v>45669</v>
      </c>
      <c r="F2259" t="s">
        <v>752</v>
      </c>
      <c r="H2259">
        <v>198.5</v>
      </c>
      <c r="O2259" t="s">
        <v>239</v>
      </c>
      <c r="P2259" t="s">
        <v>514</v>
      </c>
      <c r="Y2259">
        <v>2225</v>
      </c>
      <c r="Z2259" s="259" t="s">
        <v>630</v>
      </c>
      <c r="AA2259">
        <v>0</v>
      </c>
      <c r="AB2259">
        <v>0</v>
      </c>
      <c r="AC2259">
        <v>45667</v>
      </c>
      <c r="AD2259">
        <v>2</v>
      </c>
      <c r="AE2259">
        <v>0</v>
      </c>
      <c r="AF2259">
        <v>0</v>
      </c>
      <c r="AG2259">
        <v>0</v>
      </c>
      <c r="AH2259">
        <v>0</v>
      </c>
    </row>
    <row r="2260" spans="2:34" x14ac:dyDescent="0.35">
      <c r="B2260" t="s">
        <v>566</v>
      </c>
      <c r="C2260">
        <v>45669</v>
      </c>
      <c r="F2260" t="s">
        <v>754</v>
      </c>
      <c r="H2260">
        <v>80.599999999999994</v>
      </c>
      <c r="O2260" t="s">
        <v>239</v>
      </c>
      <c r="P2260" t="s">
        <v>514</v>
      </c>
      <c r="Y2260">
        <v>2226</v>
      </c>
      <c r="Z2260" s="259" t="s">
        <v>630</v>
      </c>
      <c r="AA2260">
        <v>0</v>
      </c>
      <c r="AB2260">
        <v>0</v>
      </c>
      <c r="AC2260">
        <v>45667</v>
      </c>
      <c r="AD2260">
        <v>2</v>
      </c>
      <c r="AE2260">
        <v>0</v>
      </c>
      <c r="AF2260">
        <v>0</v>
      </c>
      <c r="AG2260">
        <v>0</v>
      </c>
      <c r="AH2260">
        <v>0</v>
      </c>
    </row>
    <row r="2261" spans="2:34" x14ac:dyDescent="0.35">
      <c r="B2261" t="s">
        <v>566</v>
      </c>
      <c r="C2261">
        <v>45670</v>
      </c>
      <c r="F2261" t="s">
        <v>749</v>
      </c>
      <c r="H2261">
        <v>100.8</v>
      </c>
      <c r="O2261" t="s">
        <v>239</v>
      </c>
      <c r="P2261" t="s">
        <v>514</v>
      </c>
      <c r="Y2261">
        <v>2227</v>
      </c>
      <c r="Z2261" s="259" t="s">
        <v>630</v>
      </c>
      <c r="AA2261">
        <v>0</v>
      </c>
      <c r="AB2261">
        <v>0</v>
      </c>
      <c r="AC2261">
        <v>45670</v>
      </c>
      <c r="AD2261">
        <v>0</v>
      </c>
      <c r="AE2261">
        <v>0</v>
      </c>
      <c r="AF2261">
        <v>0</v>
      </c>
      <c r="AG2261">
        <v>0</v>
      </c>
      <c r="AH2261">
        <v>0</v>
      </c>
    </row>
    <row r="2262" spans="2:34" x14ac:dyDescent="0.35">
      <c r="B2262" t="s">
        <v>566</v>
      </c>
      <c r="C2262">
        <v>45670</v>
      </c>
      <c r="F2262" t="s">
        <v>752</v>
      </c>
      <c r="H2262">
        <v>198</v>
      </c>
      <c r="O2262" t="s">
        <v>239</v>
      </c>
      <c r="P2262" t="s">
        <v>514</v>
      </c>
      <c r="Y2262">
        <v>2228</v>
      </c>
      <c r="Z2262" s="259" t="s">
        <v>630</v>
      </c>
      <c r="AA2262">
        <v>0</v>
      </c>
      <c r="AB2262">
        <v>0</v>
      </c>
      <c r="AC2262">
        <v>45670</v>
      </c>
      <c r="AD2262">
        <v>0</v>
      </c>
      <c r="AE2262">
        <v>0</v>
      </c>
      <c r="AF2262">
        <v>0</v>
      </c>
      <c r="AG2262">
        <v>0</v>
      </c>
      <c r="AH2262">
        <v>0</v>
      </c>
    </row>
    <row r="2263" spans="2:34" x14ac:dyDescent="0.35">
      <c r="B2263" t="s">
        <v>566</v>
      </c>
      <c r="C2263">
        <v>45670</v>
      </c>
      <c r="F2263" t="s">
        <v>754</v>
      </c>
      <c r="H2263">
        <v>80.8</v>
      </c>
      <c r="O2263" t="s">
        <v>239</v>
      </c>
      <c r="P2263" t="s">
        <v>514</v>
      </c>
      <c r="Y2263">
        <v>2229</v>
      </c>
      <c r="Z2263" s="259" t="s">
        <v>630</v>
      </c>
      <c r="AA2263">
        <v>0</v>
      </c>
      <c r="AB2263">
        <v>0</v>
      </c>
      <c r="AC2263">
        <v>45670</v>
      </c>
      <c r="AD2263">
        <v>0</v>
      </c>
      <c r="AE2263">
        <v>0</v>
      </c>
      <c r="AF2263">
        <v>0</v>
      </c>
      <c r="AG2263">
        <v>0</v>
      </c>
      <c r="AH2263">
        <v>0</v>
      </c>
    </row>
    <row r="2264" spans="2:34" x14ac:dyDescent="0.35">
      <c r="B2264" t="s">
        <v>566</v>
      </c>
      <c r="C2264">
        <v>45671</v>
      </c>
      <c r="F2264" t="s">
        <v>749</v>
      </c>
      <c r="H2264">
        <v>100.87</v>
      </c>
      <c r="O2264" t="s">
        <v>239</v>
      </c>
      <c r="P2264" t="s">
        <v>514</v>
      </c>
      <c r="Y2264">
        <v>2230</v>
      </c>
      <c r="Z2264" s="259" t="s">
        <v>630</v>
      </c>
      <c r="AA2264">
        <v>0</v>
      </c>
      <c r="AB2264">
        <v>0</v>
      </c>
      <c r="AC2264">
        <v>45671</v>
      </c>
      <c r="AD2264">
        <v>0</v>
      </c>
      <c r="AE2264">
        <v>0</v>
      </c>
      <c r="AF2264">
        <v>0</v>
      </c>
      <c r="AG2264">
        <v>0</v>
      </c>
      <c r="AH2264">
        <v>0</v>
      </c>
    </row>
    <row r="2265" spans="2:34" x14ac:dyDescent="0.35">
      <c r="B2265" t="s">
        <v>566</v>
      </c>
      <c r="C2265">
        <v>45671</v>
      </c>
      <c r="F2265" t="s">
        <v>752</v>
      </c>
      <c r="H2265">
        <v>197.83</v>
      </c>
      <c r="O2265" t="s">
        <v>239</v>
      </c>
      <c r="P2265" t="s">
        <v>514</v>
      </c>
      <c r="Y2265">
        <v>2231</v>
      </c>
      <c r="Z2265" s="259" t="s">
        <v>630</v>
      </c>
      <c r="AA2265">
        <v>0</v>
      </c>
      <c r="AB2265">
        <v>0</v>
      </c>
      <c r="AC2265">
        <v>45671</v>
      </c>
      <c r="AD2265">
        <v>0</v>
      </c>
      <c r="AE2265">
        <v>0</v>
      </c>
      <c r="AF2265">
        <v>0</v>
      </c>
      <c r="AG2265">
        <v>0</v>
      </c>
      <c r="AH2265">
        <v>0</v>
      </c>
    </row>
    <row r="2266" spans="2:34" x14ac:dyDescent="0.35">
      <c r="B2266" t="s">
        <v>566</v>
      </c>
      <c r="C2266">
        <v>45671</v>
      </c>
      <c r="F2266" t="s">
        <v>754</v>
      </c>
      <c r="H2266">
        <v>80.87</v>
      </c>
      <c r="O2266" t="s">
        <v>239</v>
      </c>
      <c r="P2266" t="s">
        <v>514</v>
      </c>
      <c r="Y2266">
        <v>2232</v>
      </c>
      <c r="Z2266" s="259" t="s">
        <v>630</v>
      </c>
      <c r="AA2266">
        <v>0</v>
      </c>
      <c r="AB2266">
        <v>0</v>
      </c>
      <c r="AC2266">
        <v>45671</v>
      </c>
      <c r="AD2266">
        <v>0</v>
      </c>
      <c r="AE2266">
        <v>0</v>
      </c>
      <c r="AF2266">
        <v>0</v>
      </c>
      <c r="AG2266">
        <v>0</v>
      </c>
      <c r="AH2266">
        <v>0</v>
      </c>
    </row>
    <row r="2267" spans="2:34" x14ac:dyDescent="0.35">
      <c r="B2267" t="s">
        <v>566</v>
      </c>
      <c r="C2267">
        <v>45672</v>
      </c>
      <c r="F2267" t="s">
        <v>749</v>
      </c>
      <c r="H2267">
        <v>100.93</v>
      </c>
      <c r="O2267" t="s">
        <v>239</v>
      </c>
      <c r="P2267" t="s">
        <v>514</v>
      </c>
      <c r="Y2267">
        <v>2233</v>
      </c>
      <c r="Z2267" s="259" t="s">
        <v>630</v>
      </c>
      <c r="AA2267">
        <v>0</v>
      </c>
      <c r="AB2267">
        <v>0</v>
      </c>
      <c r="AC2267">
        <v>45672</v>
      </c>
      <c r="AD2267">
        <v>0</v>
      </c>
      <c r="AE2267">
        <v>0</v>
      </c>
      <c r="AF2267">
        <v>0</v>
      </c>
      <c r="AG2267">
        <v>0</v>
      </c>
      <c r="AH2267">
        <v>0</v>
      </c>
    </row>
    <row r="2268" spans="2:34" x14ac:dyDescent="0.35">
      <c r="B2268" t="s">
        <v>566</v>
      </c>
      <c r="C2268">
        <v>45672</v>
      </c>
      <c r="F2268" t="s">
        <v>752</v>
      </c>
      <c r="H2268">
        <v>197.67</v>
      </c>
      <c r="O2268" t="s">
        <v>239</v>
      </c>
      <c r="P2268" t="s">
        <v>514</v>
      </c>
      <c r="Y2268">
        <v>2234</v>
      </c>
      <c r="Z2268" s="259" t="s">
        <v>630</v>
      </c>
      <c r="AA2268">
        <v>0</v>
      </c>
      <c r="AB2268">
        <v>0</v>
      </c>
      <c r="AC2268">
        <v>45672</v>
      </c>
      <c r="AD2268">
        <v>0</v>
      </c>
      <c r="AE2268">
        <v>0</v>
      </c>
      <c r="AF2268">
        <v>0</v>
      </c>
      <c r="AG2268">
        <v>0</v>
      </c>
      <c r="AH2268">
        <v>0</v>
      </c>
    </row>
    <row r="2269" spans="2:34" x14ac:dyDescent="0.35">
      <c r="B2269" t="s">
        <v>566</v>
      </c>
      <c r="C2269">
        <v>45672</v>
      </c>
      <c r="F2269" t="s">
        <v>754</v>
      </c>
      <c r="H2269">
        <v>80.930000000000007</v>
      </c>
      <c r="O2269" t="s">
        <v>239</v>
      </c>
      <c r="P2269" t="s">
        <v>514</v>
      </c>
      <c r="Y2269">
        <v>2235</v>
      </c>
      <c r="Z2269" s="259" t="s">
        <v>630</v>
      </c>
      <c r="AA2269">
        <v>0</v>
      </c>
      <c r="AB2269">
        <v>0</v>
      </c>
      <c r="AC2269">
        <v>45672</v>
      </c>
      <c r="AD2269">
        <v>0</v>
      </c>
      <c r="AE2269">
        <v>0</v>
      </c>
      <c r="AF2269">
        <v>0</v>
      </c>
      <c r="AG2269">
        <v>0</v>
      </c>
      <c r="AH2269">
        <v>0</v>
      </c>
    </row>
    <row r="2270" spans="2:34" x14ac:dyDescent="0.35">
      <c r="B2270" t="s">
        <v>566</v>
      </c>
      <c r="C2270">
        <v>45673</v>
      </c>
      <c r="F2270" t="s">
        <v>749</v>
      </c>
      <c r="H2270">
        <v>101</v>
      </c>
      <c r="O2270" t="s">
        <v>239</v>
      </c>
      <c r="P2270" t="s">
        <v>514</v>
      </c>
      <c r="Y2270">
        <v>2236</v>
      </c>
      <c r="Z2270" s="259" t="s">
        <v>630</v>
      </c>
      <c r="AA2270">
        <v>0</v>
      </c>
      <c r="AB2270">
        <v>0</v>
      </c>
      <c r="AC2270">
        <v>45673</v>
      </c>
      <c r="AD2270">
        <v>0</v>
      </c>
      <c r="AE2270">
        <v>0</v>
      </c>
      <c r="AF2270">
        <v>0</v>
      </c>
      <c r="AG2270">
        <v>0</v>
      </c>
      <c r="AH2270">
        <v>0</v>
      </c>
    </row>
    <row r="2271" spans="2:34" x14ac:dyDescent="0.35">
      <c r="B2271" t="s">
        <v>566</v>
      </c>
      <c r="C2271">
        <v>45673</v>
      </c>
      <c r="F2271" t="s">
        <v>752</v>
      </c>
      <c r="H2271">
        <v>197.5</v>
      </c>
      <c r="O2271" t="s">
        <v>239</v>
      </c>
      <c r="P2271" t="s">
        <v>514</v>
      </c>
      <c r="Y2271">
        <v>2237</v>
      </c>
      <c r="Z2271" s="259" t="s">
        <v>630</v>
      </c>
      <c r="AA2271">
        <v>0</v>
      </c>
      <c r="AB2271">
        <v>0</v>
      </c>
      <c r="AC2271">
        <v>45673</v>
      </c>
      <c r="AD2271">
        <v>0</v>
      </c>
      <c r="AE2271">
        <v>0</v>
      </c>
      <c r="AF2271">
        <v>0</v>
      </c>
      <c r="AG2271">
        <v>0</v>
      </c>
      <c r="AH2271">
        <v>0</v>
      </c>
    </row>
    <row r="2272" spans="2:34" x14ac:dyDescent="0.35">
      <c r="B2272" t="s">
        <v>566</v>
      </c>
      <c r="C2272">
        <v>45673</v>
      </c>
      <c r="F2272" t="s">
        <v>754</v>
      </c>
      <c r="H2272">
        <v>81</v>
      </c>
      <c r="O2272" t="s">
        <v>239</v>
      </c>
      <c r="P2272" t="s">
        <v>514</v>
      </c>
      <c r="Y2272">
        <v>2238</v>
      </c>
      <c r="Z2272" s="259" t="s">
        <v>630</v>
      </c>
      <c r="AA2272">
        <v>0</v>
      </c>
      <c r="AB2272">
        <v>0</v>
      </c>
      <c r="AC2272">
        <v>45673</v>
      </c>
      <c r="AD2272">
        <v>0</v>
      </c>
      <c r="AE2272">
        <v>0</v>
      </c>
      <c r="AF2272">
        <v>0</v>
      </c>
      <c r="AG2272">
        <v>0</v>
      </c>
      <c r="AH2272">
        <v>0</v>
      </c>
    </row>
    <row r="2273" spans="2:34" x14ac:dyDescent="0.35">
      <c r="B2273" t="s">
        <v>566</v>
      </c>
      <c r="C2273">
        <v>45674</v>
      </c>
      <c r="F2273" t="s">
        <v>749</v>
      </c>
      <c r="H2273">
        <v>101.07</v>
      </c>
      <c r="O2273" t="s">
        <v>239</v>
      </c>
      <c r="P2273" t="s">
        <v>514</v>
      </c>
      <c r="Y2273">
        <v>2239</v>
      </c>
      <c r="Z2273" s="259" t="s">
        <v>630</v>
      </c>
      <c r="AA2273">
        <v>0</v>
      </c>
      <c r="AB2273">
        <v>0</v>
      </c>
      <c r="AC2273">
        <v>45674</v>
      </c>
      <c r="AD2273">
        <v>0</v>
      </c>
      <c r="AE2273">
        <v>0</v>
      </c>
      <c r="AF2273">
        <v>0</v>
      </c>
      <c r="AG2273">
        <v>0</v>
      </c>
      <c r="AH2273">
        <v>0</v>
      </c>
    </row>
    <row r="2274" spans="2:34" x14ac:dyDescent="0.35">
      <c r="B2274" t="s">
        <v>566</v>
      </c>
      <c r="C2274">
        <v>45674</v>
      </c>
      <c r="F2274" t="s">
        <v>752</v>
      </c>
      <c r="H2274">
        <v>197.33</v>
      </c>
      <c r="O2274" t="s">
        <v>239</v>
      </c>
      <c r="P2274" t="s">
        <v>514</v>
      </c>
      <c r="Y2274">
        <v>2240</v>
      </c>
      <c r="Z2274" s="259" t="s">
        <v>630</v>
      </c>
      <c r="AA2274">
        <v>0</v>
      </c>
      <c r="AB2274">
        <v>0</v>
      </c>
      <c r="AC2274">
        <v>45674</v>
      </c>
      <c r="AD2274">
        <v>0</v>
      </c>
      <c r="AE2274">
        <v>0</v>
      </c>
      <c r="AF2274">
        <v>0</v>
      </c>
      <c r="AG2274">
        <v>0</v>
      </c>
      <c r="AH2274">
        <v>0</v>
      </c>
    </row>
    <row r="2275" spans="2:34" x14ac:dyDescent="0.35">
      <c r="B2275" t="s">
        <v>566</v>
      </c>
      <c r="C2275">
        <v>45674</v>
      </c>
      <c r="F2275" t="s">
        <v>754</v>
      </c>
      <c r="H2275">
        <v>81.069999999999993</v>
      </c>
      <c r="O2275" t="s">
        <v>239</v>
      </c>
      <c r="P2275" t="s">
        <v>514</v>
      </c>
      <c r="Y2275">
        <v>2241</v>
      </c>
      <c r="Z2275" s="259" t="s">
        <v>630</v>
      </c>
      <c r="AA2275">
        <v>0</v>
      </c>
      <c r="AB2275">
        <v>0</v>
      </c>
      <c r="AC2275">
        <v>45674</v>
      </c>
      <c r="AD2275">
        <v>0</v>
      </c>
      <c r="AE2275">
        <v>0</v>
      </c>
      <c r="AF2275">
        <v>0</v>
      </c>
      <c r="AG2275">
        <v>0</v>
      </c>
      <c r="AH2275">
        <v>0</v>
      </c>
    </row>
    <row r="2276" spans="2:34" x14ac:dyDescent="0.35">
      <c r="B2276" t="s">
        <v>566</v>
      </c>
      <c r="C2276">
        <v>45675</v>
      </c>
      <c r="F2276" t="s">
        <v>749</v>
      </c>
      <c r="H2276">
        <v>101.07</v>
      </c>
      <c r="O2276" t="s">
        <v>239</v>
      </c>
      <c r="P2276" t="s">
        <v>514</v>
      </c>
      <c r="Y2276">
        <v>2242</v>
      </c>
      <c r="Z2276" s="259" t="s">
        <v>630</v>
      </c>
      <c r="AA2276">
        <v>0</v>
      </c>
      <c r="AB2276">
        <v>0</v>
      </c>
      <c r="AC2276">
        <v>45674</v>
      </c>
      <c r="AD2276">
        <v>1</v>
      </c>
      <c r="AE2276">
        <v>0</v>
      </c>
      <c r="AF2276">
        <v>0</v>
      </c>
      <c r="AG2276">
        <v>0</v>
      </c>
      <c r="AH2276">
        <v>0</v>
      </c>
    </row>
    <row r="2277" spans="2:34" x14ac:dyDescent="0.35">
      <c r="B2277" t="s">
        <v>566</v>
      </c>
      <c r="C2277">
        <v>45675</v>
      </c>
      <c r="F2277" t="s">
        <v>752</v>
      </c>
      <c r="H2277">
        <v>197.33</v>
      </c>
      <c r="O2277" t="s">
        <v>239</v>
      </c>
      <c r="P2277" t="s">
        <v>514</v>
      </c>
      <c r="Y2277">
        <v>2243</v>
      </c>
      <c r="Z2277" s="259" t="s">
        <v>630</v>
      </c>
      <c r="AA2277">
        <v>0</v>
      </c>
      <c r="AB2277">
        <v>0</v>
      </c>
      <c r="AC2277">
        <v>45674</v>
      </c>
      <c r="AD2277">
        <v>1</v>
      </c>
      <c r="AE2277">
        <v>0</v>
      </c>
      <c r="AF2277">
        <v>0</v>
      </c>
      <c r="AG2277">
        <v>0</v>
      </c>
      <c r="AH2277">
        <v>0</v>
      </c>
    </row>
    <row r="2278" spans="2:34" x14ac:dyDescent="0.35">
      <c r="B2278" t="s">
        <v>566</v>
      </c>
      <c r="C2278">
        <v>45675</v>
      </c>
      <c r="F2278" t="s">
        <v>754</v>
      </c>
      <c r="H2278">
        <v>81.069999999999993</v>
      </c>
      <c r="O2278" t="s">
        <v>239</v>
      </c>
      <c r="P2278" t="s">
        <v>514</v>
      </c>
      <c r="Y2278">
        <v>2244</v>
      </c>
      <c r="Z2278" s="259" t="s">
        <v>630</v>
      </c>
      <c r="AA2278">
        <v>0</v>
      </c>
      <c r="AB2278">
        <v>0</v>
      </c>
      <c r="AC2278">
        <v>45674</v>
      </c>
      <c r="AD2278">
        <v>1</v>
      </c>
      <c r="AE2278">
        <v>0</v>
      </c>
      <c r="AF2278">
        <v>0</v>
      </c>
      <c r="AG2278">
        <v>0</v>
      </c>
      <c r="AH2278">
        <v>0</v>
      </c>
    </row>
    <row r="2279" spans="2:34" x14ac:dyDescent="0.35">
      <c r="B2279" t="s">
        <v>566</v>
      </c>
      <c r="C2279">
        <v>45676</v>
      </c>
      <c r="F2279" t="s">
        <v>749</v>
      </c>
      <c r="H2279">
        <v>101.07</v>
      </c>
      <c r="O2279" t="s">
        <v>239</v>
      </c>
      <c r="P2279" t="s">
        <v>514</v>
      </c>
      <c r="Y2279">
        <v>2245</v>
      </c>
      <c r="Z2279" s="259" t="s">
        <v>630</v>
      </c>
      <c r="AA2279">
        <v>0</v>
      </c>
      <c r="AB2279">
        <v>0</v>
      </c>
      <c r="AC2279">
        <v>45674</v>
      </c>
      <c r="AD2279">
        <v>2</v>
      </c>
      <c r="AE2279">
        <v>0</v>
      </c>
      <c r="AF2279">
        <v>0</v>
      </c>
      <c r="AG2279">
        <v>0</v>
      </c>
      <c r="AH2279">
        <v>0</v>
      </c>
    </row>
    <row r="2280" spans="2:34" x14ac:dyDescent="0.35">
      <c r="B2280" t="s">
        <v>566</v>
      </c>
      <c r="C2280">
        <v>45676</v>
      </c>
      <c r="F2280" t="s">
        <v>752</v>
      </c>
      <c r="H2280">
        <v>197.33</v>
      </c>
      <c r="O2280" t="s">
        <v>239</v>
      </c>
      <c r="P2280" t="s">
        <v>514</v>
      </c>
      <c r="Y2280">
        <v>2246</v>
      </c>
      <c r="Z2280" s="259" t="s">
        <v>630</v>
      </c>
      <c r="AA2280">
        <v>0</v>
      </c>
      <c r="AB2280">
        <v>0</v>
      </c>
      <c r="AC2280">
        <v>45674</v>
      </c>
      <c r="AD2280">
        <v>2</v>
      </c>
      <c r="AE2280">
        <v>0</v>
      </c>
      <c r="AF2280">
        <v>0</v>
      </c>
      <c r="AG2280">
        <v>0</v>
      </c>
      <c r="AH2280">
        <v>0</v>
      </c>
    </row>
    <row r="2281" spans="2:34" x14ac:dyDescent="0.35">
      <c r="B2281" t="s">
        <v>566</v>
      </c>
      <c r="C2281">
        <v>45676</v>
      </c>
      <c r="F2281" t="s">
        <v>754</v>
      </c>
      <c r="H2281">
        <v>81.069999999999993</v>
      </c>
      <c r="O2281" t="s">
        <v>239</v>
      </c>
      <c r="P2281" t="s">
        <v>514</v>
      </c>
      <c r="Y2281">
        <v>2247</v>
      </c>
      <c r="Z2281" s="259" t="s">
        <v>630</v>
      </c>
      <c r="AA2281">
        <v>0</v>
      </c>
      <c r="AB2281">
        <v>0</v>
      </c>
      <c r="AC2281">
        <v>45674</v>
      </c>
      <c r="AD2281">
        <v>2</v>
      </c>
      <c r="AE2281">
        <v>0</v>
      </c>
      <c r="AF2281">
        <v>0</v>
      </c>
      <c r="AG2281">
        <v>0</v>
      </c>
      <c r="AH2281">
        <v>0</v>
      </c>
    </row>
    <row r="2282" spans="2:34" x14ac:dyDescent="0.35">
      <c r="B2282" t="s">
        <v>566</v>
      </c>
      <c r="C2282">
        <v>45677</v>
      </c>
      <c r="F2282" t="s">
        <v>749</v>
      </c>
      <c r="H2282">
        <v>101.27</v>
      </c>
      <c r="O2282" t="s">
        <v>239</v>
      </c>
      <c r="P2282" t="s">
        <v>514</v>
      </c>
      <c r="Y2282">
        <v>2248</v>
      </c>
      <c r="Z2282" s="259" t="s">
        <v>630</v>
      </c>
      <c r="AA2282">
        <v>0</v>
      </c>
      <c r="AB2282">
        <v>0</v>
      </c>
      <c r="AC2282">
        <v>45677</v>
      </c>
      <c r="AD2282">
        <v>0</v>
      </c>
      <c r="AE2282">
        <v>0</v>
      </c>
      <c r="AF2282">
        <v>0</v>
      </c>
      <c r="AG2282">
        <v>0</v>
      </c>
      <c r="AH2282">
        <v>0</v>
      </c>
    </row>
    <row r="2283" spans="2:34" x14ac:dyDescent="0.35">
      <c r="B2283" t="s">
        <v>566</v>
      </c>
      <c r="C2283">
        <v>45677</v>
      </c>
      <c r="F2283" t="s">
        <v>752</v>
      </c>
      <c r="H2283">
        <v>196.83</v>
      </c>
      <c r="O2283" t="s">
        <v>239</v>
      </c>
      <c r="P2283" t="s">
        <v>514</v>
      </c>
      <c r="Y2283">
        <v>2249</v>
      </c>
      <c r="Z2283" s="259" t="s">
        <v>630</v>
      </c>
      <c r="AA2283">
        <v>0</v>
      </c>
      <c r="AB2283">
        <v>0</v>
      </c>
      <c r="AC2283">
        <v>45677</v>
      </c>
      <c r="AD2283">
        <v>0</v>
      </c>
      <c r="AE2283">
        <v>0</v>
      </c>
      <c r="AF2283">
        <v>0</v>
      </c>
      <c r="AG2283">
        <v>0</v>
      </c>
      <c r="AH2283">
        <v>0</v>
      </c>
    </row>
    <row r="2284" spans="2:34" x14ac:dyDescent="0.35">
      <c r="B2284" t="s">
        <v>566</v>
      </c>
      <c r="C2284">
        <v>45677</v>
      </c>
      <c r="F2284" t="s">
        <v>754</v>
      </c>
      <c r="H2284">
        <v>81.27</v>
      </c>
      <c r="O2284" t="s">
        <v>239</v>
      </c>
      <c r="P2284" t="s">
        <v>514</v>
      </c>
      <c r="Y2284">
        <v>2250</v>
      </c>
      <c r="Z2284" s="259" t="s">
        <v>630</v>
      </c>
      <c r="AA2284">
        <v>0</v>
      </c>
      <c r="AB2284">
        <v>0</v>
      </c>
      <c r="AC2284">
        <v>45677</v>
      </c>
      <c r="AD2284">
        <v>0</v>
      </c>
      <c r="AE2284">
        <v>0</v>
      </c>
      <c r="AF2284">
        <v>0</v>
      </c>
      <c r="AG2284">
        <v>0</v>
      </c>
      <c r="AH2284">
        <v>0</v>
      </c>
    </row>
    <row r="2285" spans="2:34" x14ac:dyDescent="0.35">
      <c r="B2285" t="s">
        <v>566</v>
      </c>
      <c r="C2285">
        <v>45678</v>
      </c>
      <c r="F2285" t="s">
        <v>749</v>
      </c>
      <c r="H2285">
        <v>101.33</v>
      </c>
      <c r="O2285" t="s">
        <v>239</v>
      </c>
      <c r="P2285" t="s">
        <v>514</v>
      </c>
      <c r="Y2285">
        <v>2251</v>
      </c>
      <c r="Z2285" s="259" t="s">
        <v>630</v>
      </c>
      <c r="AA2285">
        <v>0</v>
      </c>
      <c r="AB2285">
        <v>0</v>
      </c>
      <c r="AC2285">
        <v>45678</v>
      </c>
      <c r="AD2285">
        <v>0</v>
      </c>
      <c r="AE2285">
        <v>0</v>
      </c>
      <c r="AF2285">
        <v>0</v>
      </c>
      <c r="AG2285">
        <v>0</v>
      </c>
      <c r="AH2285">
        <v>0</v>
      </c>
    </row>
    <row r="2286" spans="2:34" x14ac:dyDescent="0.35">
      <c r="B2286" t="s">
        <v>566</v>
      </c>
      <c r="C2286">
        <v>45678</v>
      </c>
      <c r="F2286" t="s">
        <v>752</v>
      </c>
      <c r="H2286">
        <v>196.67</v>
      </c>
      <c r="O2286" t="s">
        <v>239</v>
      </c>
      <c r="P2286" t="s">
        <v>514</v>
      </c>
      <c r="Y2286">
        <v>2252</v>
      </c>
      <c r="Z2286" s="259" t="s">
        <v>630</v>
      </c>
      <c r="AA2286">
        <v>0</v>
      </c>
      <c r="AB2286">
        <v>0</v>
      </c>
      <c r="AC2286">
        <v>45678</v>
      </c>
      <c r="AD2286">
        <v>0</v>
      </c>
      <c r="AE2286">
        <v>0</v>
      </c>
      <c r="AF2286">
        <v>0</v>
      </c>
      <c r="AG2286">
        <v>0</v>
      </c>
      <c r="AH2286">
        <v>0</v>
      </c>
    </row>
    <row r="2287" spans="2:34" x14ac:dyDescent="0.35">
      <c r="B2287" t="s">
        <v>566</v>
      </c>
      <c r="C2287">
        <v>45678</v>
      </c>
      <c r="F2287" t="s">
        <v>754</v>
      </c>
      <c r="H2287">
        <v>81.33</v>
      </c>
      <c r="O2287" t="s">
        <v>239</v>
      </c>
      <c r="P2287" t="s">
        <v>514</v>
      </c>
      <c r="Y2287">
        <v>2253</v>
      </c>
      <c r="Z2287" s="259" t="s">
        <v>630</v>
      </c>
      <c r="AA2287">
        <v>0</v>
      </c>
      <c r="AB2287">
        <v>0</v>
      </c>
      <c r="AC2287">
        <v>45678</v>
      </c>
      <c r="AD2287">
        <v>0</v>
      </c>
      <c r="AE2287">
        <v>0</v>
      </c>
      <c r="AF2287">
        <v>0</v>
      </c>
      <c r="AG2287">
        <v>0</v>
      </c>
      <c r="AH2287">
        <v>0</v>
      </c>
    </row>
    <row r="2288" spans="2:34" x14ac:dyDescent="0.35">
      <c r="B2288" t="s">
        <v>566</v>
      </c>
      <c r="C2288">
        <v>45679</v>
      </c>
      <c r="F2288" t="s">
        <v>749</v>
      </c>
      <c r="H2288">
        <v>101.4</v>
      </c>
      <c r="O2288" t="s">
        <v>239</v>
      </c>
      <c r="P2288" t="s">
        <v>514</v>
      </c>
      <c r="Y2288">
        <v>2254</v>
      </c>
      <c r="Z2288" s="259" t="s">
        <v>630</v>
      </c>
      <c r="AA2288">
        <v>0</v>
      </c>
      <c r="AB2288">
        <v>0</v>
      </c>
      <c r="AC2288">
        <v>45679</v>
      </c>
      <c r="AD2288">
        <v>0</v>
      </c>
      <c r="AE2288">
        <v>0</v>
      </c>
      <c r="AF2288">
        <v>0</v>
      </c>
      <c r="AG2288">
        <v>0</v>
      </c>
      <c r="AH2288">
        <v>0</v>
      </c>
    </row>
    <row r="2289" spans="2:34" x14ac:dyDescent="0.35">
      <c r="B2289" t="s">
        <v>566</v>
      </c>
      <c r="C2289">
        <v>45679</v>
      </c>
      <c r="F2289" t="s">
        <v>752</v>
      </c>
      <c r="H2289">
        <v>196.5</v>
      </c>
      <c r="O2289" t="s">
        <v>239</v>
      </c>
      <c r="P2289" t="s">
        <v>514</v>
      </c>
      <c r="Y2289">
        <v>2255</v>
      </c>
      <c r="Z2289" s="259" t="s">
        <v>630</v>
      </c>
      <c r="AA2289">
        <v>0</v>
      </c>
      <c r="AB2289">
        <v>0</v>
      </c>
      <c r="AC2289">
        <v>45679</v>
      </c>
      <c r="AD2289">
        <v>0</v>
      </c>
      <c r="AE2289">
        <v>0</v>
      </c>
      <c r="AF2289">
        <v>0</v>
      </c>
      <c r="AG2289">
        <v>0</v>
      </c>
      <c r="AH2289">
        <v>0</v>
      </c>
    </row>
    <row r="2290" spans="2:34" x14ac:dyDescent="0.35">
      <c r="B2290" t="s">
        <v>566</v>
      </c>
      <c r="C2290">
        <v>45679</v>
      </c>
      <c r="F2290" t="s">
        <v>754</v>
      </c>
      <c r="H2290">
        <v>81.400000000000006</v>
      </c>
      <c r="O2290" t="s">
        <v>239</v>
      </c>
      <c r="P2290" t="s">
        <v>514</v>
      </c>
      <c r="Y2290">
        <v>2256</v>
      </c>
      <c r="Z2290" s="259" t="s">
        <v>630</v>
      </c>
      <c r="AA2290">
        <v>0</v>
      </c>
      <c r="AB2290">
        <v>0</v>
      </c>
      <c r="AC2290">
        <v>45679</v>
      </c>
      <c r="AD2290">
        <v>0</v>
      </c>
      <c r="AE2290">
        <v>0</v>
      </c>
      <c r="AF2290">
        <v>0</v>
      </c>
      <c r="AG2290">
        <v>0</v>
      </c>
      <c r="AH2290">
        <v>0</v>
      </c>
    </row>
    <row r="2291" spans="2:34" x14ac:dyDescent="0.35">
      <c r="B2291" t="s">
        <v>566</v>
      </c>
      <c r="C2291">
        <v>45680</v>
      </c>
      <c r="F2291" t="s">
        <v>749</v>
      </c>
      <c r="H2291">
        <v>101.47</v>
      </c>
      <c r="O2291" t="s">
        <v>239</v>
      </c>
      <c r="P2291" t="s">
        <v>514</v>
      </c>
      <c r="Y2291">
        <v>2257</v>
      </c>
      <c r="Z2291" s="259" t="s">
        <v>630</v>
      </c>
      <c r="AA2291">
        <v>0</v>
      </c>
      <c r="AB2291">
        <v>0</v>
      </c>
      <c r="AC2291">
        <v>45680</v>
      </c>
      <c r="AD2291">
        <v>0</v>
      </c>
      <c r="AE2291">
        <v>0</v>
      </c>
      <c r="AF2291">
        <v>0</v>
      </c>
      <c r="AG2291">
        <v>0</v>
      </c>
      <c r="AH2291">
        <v>0</v>
      </c>
    </row>
    <row r="2292" spans="2:34" x14ac:dyDescent="0.35">
      <c r="B2292" t="s">
        <v>566</v>
      </c>
      <c r="C2292">
        <v>45680</v>
      </c>
      <c r="F2292" t="s">
        <v>752</v>
      </c>
      <c r="H2292">
        <v>196.33</v>
      </c>
      <c r="O2292" t="s">
        <v>239</v>
      </c>
      <c r="P2292" t="s">
        <v>514</v>
      </c>
      <c r="Y2292">
        <v>2258</v>
      </c>
      <c r="Z2292" s="259" t="s">
        <v>630</v>
      </c>
      <c r="AA2292">
        <v>0</v>
      </c>
      <c r="AB2292">
        <v>0</v>
      </c>
      <c r="AC2292">
        <v>45680</v>
      </c>
      <c r="AD2292">
        <v>0</v>
      </c>
      <c r="AE2292">
        <v>0</v>
      </c>
      <c r="AF2292">
        <v>0</v>
      </c>
      <c r="AG2292">
        <v>0</v>
      </c>
      <c r="AH2292">
        <v>0</v>
      </c>
    </row>
    <row r="2293" spans="2:34" x14ac:dyDescent="0.35">
      <c r="B2293" t="s">
        <v>566</v>
      </c>
      <c r="C2293">
        <v>45680</v>
      </c>
      <c r="F2293" t="s">
        <v>754</v>
      </c>
      <c r="H2293">
        <v>81.47</v>
      </c>
      <c r="O2293" t="s">
        <v>239</v>
      </c>
      <c r="P2293" t="s">
        <v>514</v>
      </c>
      <c r="Y2293">
        <v>2259</v>
      </c>
      <c r="Z2293" s="259" t="s">
        <v>630</v>
      </c>
      <c r="AA2293">
        <v>0</v>
      </c>
      <c r="AB2293">
        <v>0</v>
      </c>
      <c r="AC2293">
        <v>45680</v>
      </c>
      <c r="AD2293">
        <v>0</v>
      </c>
      <c r="AE2293">
        <v>0</v>
      </c>
      <c r="AF2293">
        <v>0</v>
      </c>
      <c r="AG2293">
        <v>0</v>
      </c>
      <c r="AH2293">
        <v>0</v>
      </c>
    </row>
    <row r="2294" spans="2:34" x14ac:dyDescent="0.35">
      <c r="B2294" t="s">
        <v>566</v>
      </c>
      <c r="C2294">
        <v>45681</v>
      </c>
      <c r="F2294" t="s">
        <v>749</v>
      </c>
      <c r="H2294">
        <v>101.53</v>
      </c>
      <c r="O2294" t="s">
        <v>239</v>
      </c>
      <c r="P2294" t="s">
        <v>514</v>
      </c>
      <c r="Y2294">
        <v>2260</v>
      </c>
      <c r="Z2294" s="259" t="s">
        <v>630</v>
      </c>
      <c r="AA2294">
        <v>0</v>
      </c>
      <c r="AB2294">
        <v>0</v>
      </c>
      <c r="AC2294">
        <v>45681</v>
      </c>
      <c r="AD2294">
        <v>0</v>
      </c>
      <c r="AE2294">
        <v>0</v>
      </c>
      <c r="AF2294">
        <v>0</v>
      </c>
      <c r="AG2294">
        <v>0</v>
      </c>
      <c r="AH2294">
        <v>0</v>
      </c>
    </row>
    <row r="2295" spans="2:34" x14ac:dyDescent="0.35">
      <c r="B2295" t="s">
        <v>566</v>
      </c>
      <c r="C2295">
        <v>45681</v>
      </c>
      <c r="F2295" t="s">
        <v>752</v>
      </c>
      <c r="H2295">
        <v>196.17</v>
      </c>
      <c r="O2295" t="s">
        <v>239</v>
      </c>
      <c r="P2295" t="s">
        <v>514</v>
      </c>
      <c r="Y2295">
        <v>2261</v>
      </c>
      <c r="Z2295" s="259" t="s">
        <v>630</v>
      </c>
      <c r="AA2295">
        <v>0</v>
      </c>
      <c r="AB2295">
        <v>0</v>
      </c>
      <c r="AC2295">
        <v>45681</v>
      </c>
      <c r="AD2295">
        <v>0</v>
      </c>
      <c r="AE2295">
        <v>0</v>
      </c>
      <c r="AF2295">
        <v>0</v>
      </c>
      <c r="AG2295">
        <v>0</v>
      </c>
      <c r="AH2295">
        <v>0</v>
      </c>
    </row>
    <row r="2296" spans="2:34" x14ac:dyDescent="0.35">
      <c r="B2296" t="s">
        <v>566</v>
      </c>
      <c r="C2296">
        <v>45681</v>
      </c>
      <c r="F2296" t="s">
        <v>754</v>
      </c>
      <c r="H2296">
        <v>81.53</v>
      </c>
      <c r="O2296" t="s">
        <v>239</v>
      </c>
      <c r="P2296" t="s">
        <v>514</v>
      </c>
      <c r="Y2296">
        <v>2262</v>
      </c>
      <c r="Z2296" s="259" t="s">
        <v>630</v>
      </c>
      <c r="AA2296">
        <v>0</v>
      </c>
      <c r="AB2296">
        <v>0</v>
      </c>
      <c r="AC2296">
        <v>45681</v>
      </c>
      <c r="AD2296">
        <v>0</v>
      </c>
      <c r="AE2296">
        <v>0</v>
      </c>
      <c r="AF2296">
        <v>0</v>
      </c>
      <c r="AG2296">
        <v>0</v>
      </c>
      <c r="AH2296">
        <v>0</v>
      </c>
    </row>
    <row r="2297" spans="2:34" x14ac:dyDescent="0.35">
      <c r="B2297" t="s">
        <v>566</v>
      </c>
      <c r="C2297">
        <v>45682</v>
      </c>
      <c r="F2297" t="s">
        <v>749</v>
      </c>
      <c r="H2297">
        <v>101.53</v>
      </c>
      <c r="O2297" t="s">
        <v>239</v>
      </c>
      <c r="P2297" t="s">
        <v>514</v>
      </c>
      <c r="Y2297">
        <v>2263</v>
      </c>
      <c r="Z2297" s="259" t="s">
        <v>630</v>
      </c>
      <c r="AA2297">
        <v>0</v>
      </c>
      <c r="AB2297">
        <v>0</v>
      </c>
      <c r="AC2297">
        <v>45681</v>
      </c>
      <c r="AD2297">
        <v>1</v>
      </c>
      <c r="AE2297">
        <v>0</v>
      </c>
      <c r="AF2297">
        <v>0</v>
      </c>
      <c r="AG2297">
        <v>0</v>
      </c>
      <c r="AH2297">
        <v>0</v>
      </c>
    </row>
    <row r="2298" spans="2:34" x14ac:dyDescent="0.35">
      <c r="B2298" t="s">
        <v>566</v>
      </c>
      <c r="C2298">
        <v>45682</v>
      </c>
      <c r="F2298" t="s">
        <v>752</v>
      </c>
      <c r="H2298">
        <v>196.17</v>
      </c>
      <c r="O2298" t="s">
        <v>239</v>
      </c>
      <c r="P2298" t="s">
        <v>514</v>
      </c>
      <c r="Y2298">
        <v>2264</v>
      </c>
      <c r="Z2298" s="259" t="s">
        <v>630</v>
      </c>
      <c r="AA2298">
        <v>0</v>
      </c>
      <c r="AB2298">
        <v>0</v>
      </c>
      <c r="AC2298">
        <v>45681</v>
      </c>
      <c r="AD2298">
        <v>1</v>
      </c>
      <c r="AE2298">
        <v>0</v>
      </c>
      <c r="AF2298">
        <v>0</v>
      </c>
      <c r="AG2298">
        <v>0</v>
      </c>
      <c r="AH2298">
        <v>0</v>
      </c>
    </row>
    <row r="2299" spans="2:34" x14ac:dyDescent="0.35">
      <c r="B2299" t="s">
        <v>566</v>
      </c>
      <c r="C2299">
        <v>45682</v>
      </c>
      <c r="F2299" t="s">
        <v>754</v>
      </c>
      <c r="H2299">
        <v>81.53</v>
      </c>
      <c r="O2299" t="s">
        <v>239</v>
      </c>
      <c r="P2299" t="s">
        <v>514</v>
      </c>
      <c r="Y2299">
        <v>2265</v>
      </c>
      <c r="Z2299" s="259" t="s">
        <v>630</v>
      </c>
      <c r="AA2299">
        <v>0</v>
      </c>
      <c r="AB2299">
        <v>0</v>
      </c>
      <c r="AC2299">
        <v>45681</v>
      </c>
      <c r="AD2299">
        <v>1</v>
      </c>
      <c r="AE2299">
        <v>0</v>
      </c>
      <c r="AF2299">
        <v>0</v>
      </c>
      <c r="AG2299">
        <v>0</v>
      </c>
      <c r="AH2299">
        <v>0</v>
      </c>
    </row>
    <row r="2300" spans="2:34" x14ac:dyDescent="0.35">
      <c r="B2300" t="s">
        <v>566</v>
      </c>
      <c r="C2300">
        <v>45683</v>
      </c>
      <c r="F2300" t="s">
        <v>749</v>
      </c>
      <c r="H2300">
        <v>101.53</v>
      </c>
      <c r="O2300" t="s">
        <v>239</v>
      </c>
      <c r="P2300" t="s">
        <v>514</v>
      </c>
      <c r="Y2300">
        <v>2266</v>
      </c>
      <c r="Z2300" s="259" t="s">
        <v>630</v>
      </c>
      <c r="AA2300">
        <v>0</v>
      </c>
      <c r="AB2300">
        <v>0</v>
      </c>
      <c r="AC2300">
        <v>45681</v>
      </c>
      <c r="AD2300">
        <v>2</v>
      </c>
      <c r="AE2300">
        <v>0</v>
      </c>
      <c r="AF2300">
        <v>0</v>
      </c>
      <c r="AG2300">
        <v>0</v>
      </c>
      <c r="AH2300">
        <v>0</v>
      </c>
    </row>
    <row r="2301" spans="2:34" x14ac:dyDescent="0.35">
      <c r="B2301" t="s">
        <v>566</v>
      </c>
      <c r="C2301">
        <v>45683</v>
      </c>
      <c r="F2301" t="s">
        <v>752</v>
      </c>
      <c r="H2301">
        <v>196.17</v>
      </c>
      <c r="O2301" t="s">
        <v>239</v>
      </c>
      <c r="P2301" t="s">
        <v>514</v>
      </c>
      <c r="Y2301">
        <v>2267</v>
      </c>
      <c r="Z2301" s="259" t="s">
        <v>630</v>
      </c>
      <c r="AA2301">
        <v>0</v>
      </c>
      <c r="AB2301">
        <v>0</v>
      </c>
      <c r="AC2301">
        <v>45681</v>
      </c>
      <c r="AD2301">
        <v>2</v>
      </c>
      <c r="AE2301">
        <v>0</v>
      </c>
      <c r="AF2301">
        <v>0</v>
      </c>
      <c r="AG2301">
        <v>0</v>
      </c>
      <c r="AH2301">
        <v>0</v>
      </c>
    </row>
    <row r="2302" spans="2:34" x14ac:dyDescent="0.35">
      <c r="B2302" t="s">
        <v>566</v>
      </c>
      <c r="C2302">
        <v>45683</v>
      </c>
      <c r="F2302" t="s">
        <v>754</v>
      </c>
      <c r="H2302">
        <v>81.53</v>
      </c>
      <c r="O2302" t="s">
        <v>239</v>
      </c>
      <c r="P2302" t="s">
        <v>514</v>
      </c>
      <c r="Y2302">
        <v>2268</v>
      </c>
      <c r="Z2302" s="259" t="s">
        <v>630</v>
      </c>
      <c r="AA2302">
        <v>0</v>
      </c>
      <c r="AB2302">
        <v>0</v>
      </c>
      <c r="AC2302">
        <v>45681</v>
      </c>
      <c r="AD2302">
        <v>2</v>
      </c>
      <c r="AE2302">
        <v>0</v>
      </c>
      <c r="AF2302">
        <v>0</v>
      </c>
      <c r="AG2302">
        <v>0</v>
      </c>
      <c r="AH2302">
        <v>0</v>
      </c>
    </row>
    <row r="2303" spans="2:34" x14ac:dyDescent="0.35">
      <c r="B2303" t="s">
        <v>566</v>
      </c>
      <c r="C2303">
        <v>45684</v>
      </c>
      <c r="F2303" t="s">
        <v>749</v>
      </c>
      <c r="H2303">
        <v>101.73</v>
      </c>
      <c r="O2303" t="s">
        <v>239</v>
      </c>
      <c r="P2303" t="s">
        <v>514</v>
      </c>
      <c r="Y2303">
        <v>2269</v>
      </c>
      <c r="Z2303" s="259" t="s">
        <v>630</v>
      </c>
      <c r="AA2303">
        <v>0</v>
      </c>
      <c r="AB2303">
        <v>0</v>
      </c>
      <c r="AC2303">
        <v>45684</v>
      </c>
      <c r="AD2303">
        <v>0</v>
      </c>
      <c r="AE2303">
        <v>0</v>
      </c>
      <c r="AF2303">
        <v>0</v>
      </c>
      <c r="AG2303">
        <v>0</v>
      </c>
      <c r="AH2303">
        <v>0</v>
      </c>
    </row>
    <row r="2304" spans="2:34" x14ac:dyDescent="0.35">
      <c r="B2304" t="s">
        <v>566</v>
      </c>
      <c r="C2304">
        <v>45684</v>
      </c>
      <c r="F2304" t="s">
        <v>752</v>
      </c>
      <c r="H2304">
        <v>195.67</v>
      </c>
      <c r="O2304" t="s">
        <v>239</v>
      </c>
      <c r="P2304" t="s">
        <v>514</v>
      </c>
      <c r="Y2304">
        <v>2270</v>
      </c>
      <c r="Z2304" s="259" t="s">
        <v>630</v>
      </c>
      <c r="AA2304">
        <v>0</v>
      </c>
      <c r="AB2304">
        <v>0</v>
      </c>
      <c r="AC2304">
        <v>45684</v>
      </c>
      <c r="AD2304">
        <v>0</v>
      </c>
      <c r="AE2304">
        <v>0</v>
      </c>
      <c r="AF2304">
        <v>0</v>
      </c>
      <c r="AG2304">
        <v>0</v>
      </c>
      <c r="AH2304">
        <v>0</v>
      </c>
    </row>
    <row r="2305" spans="2:34" x14ac:dyDescent="0.35">
      <c r="B2305" t="s">
        <v>566</v>
      </c>
      <c r="C2305">
        <v>45684</v>
      </c>
      <c r="F2305" t="s">
        <v>754</v>
      </c>
      <c r="H2305">
        <v>81.73</v>
      </c>
      <c r="O2305" t="s">
        <v>239</v>
      </c>
      <c r="P2305" t="s">
        <v>514</v>
      </c>
      <c r="Y2305">
        <v>2271</v>
      </c>
      <c r="Z2305" s="259" t="s">
        <v>630</v>
      </c>
      <c r="AA2305">
        <v>0</v>
      </c>
      <c r="AB2305">
        <v>0</v>
      </c>
      <c r="AC2305">
        <v>45684</v>
      </c>
      <c r="AD2305">
        <v>0</v>
      </c>
      <c r="AE2305">
        <v>0</v>
      </c>
      <c r="AF2305">
        <v>0</v>
      </c>
      <c r="AG2305">
        <v>0</v>
      </c>
      <c r="AH2305">
        <v>0</v>
      </c>
    </row>
    <row r="2306" spans="2:34" x14ac:dyDescent="0.35">
      <c r="B2306" t="s">
        <v>566</v>
      </c>
      <c r="C2306">
        <v>45685</v>
      </c>
      <c r="F2306" t="s">
        <v>749</v>
      </c>
      <c r="H2306">
        <v>101.8</v>
      </c>
      <c r="O2306" t="s">
        <v>239</v>
      </c>
      <c r="P2306" t="s">
        <v>514</v>
      </c>
      <c r="Y2306">
        <v>2272</v>
      </c>
      <c r="Z2306" s="259" t="s">
        <v>630</v>
      </c>
      <c r="AA2306">
        <v>0</v>
      </c>
      <c r="AB2306">
        <v>0</v>
      </c>
      <c r="AC2306">
        <v>45685</v>
      </c>
      <c r="AD2306">
        <v>0</v>
      </c>
      <c r="AE2306">
        <v>0</v>
      </c>
      <c r="AF2306">
        <v>0</v>
      </c>
      <c r="AG2306">
        <v>0</v>
      </c>
      <c r="AH2306">
        <v>0</v>
      </c>
    </row>
    <row r="2307" spans="2:34" x14ac:dyDescent="0.35">
      <c r="B2307" t="s">
        <v>566</v>
      </c>
      <c r="C2307">
        <v>45685</v>
      </c>
      <c r="F2307" t="s">
        <v>752</v>
      </c>
      <c r="H2307">
        <v>195.5</v>
      </c>
      <c r="O2307" t="s">
        <v>239</v>
      </c>
      <c r="P2307" t="s">
        <v>514</v>
      </c>
      <c r="Y2307">
        <v>2273</v>
      </c>
      <c r="Z2307" s="259" t="s">
        <v>630</v>
      </c>
      <c r="AA2307">
        <v>0</v>
      </c>
      <c r="AB2307">
        <v>0</v>
      </c>
      <c r="AC2307">
        <v>45685</v>
      </c>
      <c r="AD2307">
        <v>0</v>
      </c>
      <c r="AE2307">
        <v>0</v>
      </c>
      <c r="AF2307">
        <v>0</v>
      </c>
      <c r="AG2307">
        <v>0</v>
      </c>
      <c r="AH2307">
        <v>0</v>
      </c>
    </row>
    <row r="2308" spans="2:34" x14ac:dyDescent="0.35">
      <c r="B2308" t="s">
        <v>566</v>
      </c>
      <c r="C2308">
        <v>45685</v>
      </c>
      <c r="F2308" t="s">
        <v>754</v>
      </c>
      <c r="H2308">
        <v>81.8</v>
      </c>
      <c r="O2308" t="s">
        <v>239</v>
      </c>
      <c r="P2308" t="s">
        <v>514</v>
      </c>
      <c r="Y2308">
        <v>2274</v>
      </c>
      <c r="Z2308" s="259" t="s">
        <v>630</v>
      </c>
      <c r="AA2308">
        <v>0</v>
      </c>
      <c r="AB2308">
        <v>0</v>
      </c>
      <c r="AC2308">
        <v>45685</v>
      </c>
      <c r="AD2308">
        <v>0</v>
      </c>
      <c r="AE2308">
        <v>0</v>
      </c>
      <c r="AF2308">
        <v>0</v>
      </c>
      <c r="AG2308">
        <v>0</v>
      </c>
      <c r="AH2308">
        <v>0</v>
      </c>
    </row>
    <row r="2309" spans="2:34" x14ac:dyDescent="0.35">
      <c r="B2309" t="s">
        <v>566</v>
      </c>
      <c r="C2309">
        <v>45686</v>
      </c>
      <c r="F2309" t="s">
        <v>749</v>
      </c>
      <c r="H2309">
        <v>101.87</v>
      </c>
      <c r="O2309" t="s">
        <v>239</v>
      </c>
      <c r="P2309" t="s">
        <v>514</v>
      </c>
      <c r="Y2309">
        <v>2275</v>
      </c>
      <c r="Z2309" s="259" t="s">
        <v>630</v>
      </c>
      <c r="AA2309">
        <v>0</v>
      </c>
      <c r="AB2309">
        <v>0</v>
      </c>
      <c r="AC2309">
        <v>45686</v>
      </c>
      <c r="AD2309">
        <v>0</v>
      </c>
      <c r="AE2309">
        <v>0</v>
      </c>
      <c r="AF2309">
        <v>0</v>
      </c>
      <c r="AG2309">
        <v>0</v>
      </c>
      <c r="AH2309">
        <v>0</v>
      </c>
    </row>
    <row r="2310" spans="2:34" x14ac:dyDescent="0.35">
      <c r="B2310" t="s">
        <v>566</v>
      </c>
      <c r="C2310">
        <v>45686</v>
      </c>
      <c r="F2310" t="s">
        <v>752</v>
      </c>
      <c r="H2310">
        <v>195.33</v>
      </c>
      <c r="O2310" t="s">
        <v>239</v>
      </c>
      <c r="P2310" t="s">
        <v>514</v>
      </c>
      <c r="Y2310">
        <v>2276</v>
      </c>
      <c r="Z2310" s="259" t="s">
        <v>630</v>
      </c>
      <c r="AA2310">
        <v>0</v>
      </c>
      <c r="AB2310">
        <v>0</v>
      </c>
      <c r="AC2310">
        <v>45686</v>
      </c>
      <c r="AD2310">
        <v>0</v>
      </c>
      <c r="AE2310">
        <v>0</v>
      </c>
      <c r="AF2310">
        <v>0</v>
      </c>
      <c r="AG2310">
        <v>0</v>
      </c>
      <c r="AH2310">
        <v>0</v>
      </c>
    </row>
    <row r="2311" spans="2:34" x14ac:dyDescent="0.35">
      <c r="B2311" t="s">
        <v>566</v>
      </c>
      <c r="C2311">
        <v>45686</v>
      </c>
      <c r="F2311" t="s">
        <v>754</v>
      </c>
      <c r="H2311">
        <v>81.87</v>
      </c>
      <c r="O2311" t="s">
        <v>239</v>
      </c>
      <c r="P2311" t="s">
        <v>514</v>
      </c>
      <c r="Y2311">
        <v>2277</v>
      </c>
      <c r="Z2311" s="259" t="s">
        <v>630</v>
      </c>
      <c r="AA2311">
        <v>0</v>
      </c>
      <c r="AB2311">
        <v>0</v>
      </c>
      <c r="AC2311">
        <v>45686</v>
      </c>
      <c r="AD2311">
        <v>0</v>
      </c>
      <c r="AE2311">
        <v>0</v>
      </c>
      <c r="AF2311">
        <v>0</v>
      </c>
      <c r="AG2311">
        <v>0</v>
      </c>
      <c r="AH2311">
        <v>0</v>
      </c>
    </row>
    <row r="2312" spans="2:34" x14ac:dyDescent="0.35">
      <c r="B2312" t="s">
        <v>566</v>
      </c>
      <c r="C2312">
        <v>45687</v>
      </c>
      <c r="F2312" t="s">
        <v>749</v>
      </c>
      <c r="H2312">
        <v>101.93</v>
      </c>
      <c r="O2312" t="s">
        <v>239</v>
      </c>
      <c r="P2312" t="s">
        <v>514</v>
      </c>
      <c r="Y2312">
        <v>2278</v>
      </c>
      <c r="Z2312" s="259" t="s">
        <v>630</v>
      </c>
      <c r="AA2312">
        <v>0</v>
      </c>
      <c r="AB2312">
        <v>0</v>
      </c>
      <c r="AC2312">
        <v>45687</v>
      </c>
      <c r="AD2312">
        <v>0</v>
      </c>
      <c r="AE2312">
        <v>0</v>
      </c>
      <c r="AF2312">
        <v>0</v>
      </c>
      <c r="AG2312">
        <v>0</v>
      </c>
      <c r="AH2312">
        <v>0</v>
      </c>
    </row>
    <row r="2313" spans="2:34" x14ac:dyDescent="0.35">
      <c r="B2313" t="s">
        <v>566</v>
      </c>
      <c r="C2313">
        <v>45687</v>
      </c>
      <c r="F2313" t="s">
        <v>752</v>
      </c>
      <c r="H2313">
        <v>195.17</v>
      </c>
      <c r="O2313" t="s">
        <v>239</v>
      </c>
      <c r="P2313" t="s">
        <v>514</v>
      </c>
      <c r="Y2313">
        <v>2279</v>
      </c>
      <c r="Z2313" s="259" t="s">
        <v>630</v>
      </c>
      <c r="AA2313">
        <v>0</v>
      </c>
      <c r="AB2313">
        <v>0</v>
      </c>
      <c r="AC2313">
        <v>45687</v>
      </c>
      <c r="AD2313">
        <v>0</v>
      </c>
      <c r="AE2313">
        <v>0</v>
      </c>
      <c r="AF2313">
        <v>0</v>
      </c>
      <c r="AG2313">
        <v>0</v>
      </c>
      <c r="AH2313">
        <v>0</v>
      </c>
    </row>
    <row r="2314" spans="2:34" x14ac:dyDescent="0.35">
      <c r="B2314" t="s">
        <v>566</v>
      </c>
      <c r="C2314">
        <v>45687</v>
      </c>
      <c r="F2314" t="s">
        <v>754</v>
      </c>
      <c r="H2314">
        <v>81.93</v>
      </c>
      <c r="O2314" t="s">
        <v>239</v>
      </c>
      <c r="P2314" t="s">
        <v>514</v>
      </c>
      <c r="Y2314">
        <v>2280</v>
      </c>
      <c r="Z2314" s="259" t="s">
        <v>630</v>
      </c>
      <c r="AA2314">
        <v>0</v>
      </c>
      <c r="AB2314">
        <v>0</v>
      </c>
      <c r="AC2314">
        <v>45687</v>
      </c>
      <c r="AD2314">
        <v>0</v>
      </c>
      <c r="AE2314">
        <v>0</v>
      </c>
      <c r="AF2314">
        <v>0</v>
      </c>
      <c r="AG2314">
        <v>0</v>
      </c>
      <c r="AH2314">
        <v>0</v>
      </c>
    </row>
    <row r="2315" spans="2:34" x14ac:dyDescent="0.35">
      <c r="B2315" t="s">
        <v>566</v>
      </c>
      <c r="C2315">
        <v>45688</v>
      </c>
      <c r="F2315" t="s">
        <v>749</v>
      </c>
      <c r="H2315">
        <v>102</v>
      </c>
      <c r="O2315" t="s">
        <v>239</v>
      </c>
      <c r="P2315" t="s">
        <v>514</v>
      </c>
      <c r="Y2315">
        <v>2281</v>
      </c>
      <c r="Z2315" s="259" t="s">
        <v>630</v>
      </c>
      <c r="AA2315">
        <v>0</v>
      </c>
      <c r="AB2315">
        <v>0</v>
      </c>
      <c r="AC2315">
        <v>45688</v>
      </c>
      <c r="AD2315">
        <v>0</v>
      </c>
      <c r="AE2315">
        <v>0</v>
      </c>
      <c r="AF2315">
        <v>0</v>
      </c>
      <c r="AG2315">
        <v>0</v>
      </c>
      <c r="AH2315">
        <v>0</v>
      </c>
    </row>
    <row r="2316" spans="2:34" x14ac:dyDescent="0.35">
      <c r="B2316" t="s">
        <v>566</v>
      </c>
      <c r="C2316">
        <v>45688</v>
      </c>
      <c r="F2316" t="s">
        <v>752</v>
      </c>
      <c r="H2316">
        <v>195</v>
      </c>
      <c r="O2316" t="s">
        <v>239</v>
      </c>
      <c r="P2316" t="s">
        <v>514</v>
      </c>
      <c r="Y2316">
        <v>2282</v>
      </c>
      <c r="Z2316" s="259" t="s">
        <v>630</v>
      </c>
      <c r="AA2316">
        <v>0</v>
      </c>
      <c r="AB2316">
        <v>0</v>
      </c>
      <c r="AC2316">
        <v>45688</v>
      </c>
      <c r="AD2316">
        <v>0</v>
      </c>
      <c r="AE2316">
        <v>0</v>
      </c>
      <c r="AF2316">
        <v>0</v>
      </c>
      <c r="AG2316">
        <v>0</v>
      </c>
      <c r="AH2316">
        <v>0</v>
      </c>
    </row>
    <row r="2317" spans="2:34" x14ac:dyDescent="0.35">
      <c r="B2317" t="s">
        <v>566</v>
      </c>
      <c r="C2317">
        <v>45688</v>
      </c>
      <c r="F2317" t="s">
        <v>754</v>
      </c>
      <c r="H2317">
        <v>82</v>
      </c>
      <c r="O2317" t="s">
        <v>239</v>
      </c>
      <c r="P2317" t="s">
        <v>514</v>
      </c>
      <c r="Y2317">
        <v>2283</v>
      </c>
      <c r="Z2317" s="259" t="s">
        <v>630</v>
      </c>
      <c r="AA2317">
        <v>0</v>
      </c>
      <c r="AB2317">
        <v>0</v>
      </c>
      <c r="AC2317">
        <v>45688</v>
      </c>
      <c r="AD2317">
        <v>0</v>
      </c>
      <c r="AE2317">
        <v>0</v>
      </c>
      <c r="AF2317">
        <v>0</v>
      </c>
      <c r="AG2317">
        <v>0</v>
      </c>
      <c r="AH2317">
        <v>0</v>
      </c>
    </row>
    <row r="2318" spans="2:34" x14ac:dyDescent="0.35">
      <c r="B2318" t="s">
        <v>566</v>
      </c>
      <c r="C2318">
        <v>45689</v>
      </c>
      <c r="F2318" t="s">
        <v>749</v>
      </c>
      <c r="H2318">
        <v>102</v>
      </c>
      <c r="O2318" t="s">
        <v>239</v>
      </c>
      <c r="P2318" t="s">
        <v>514</v>
      </c>
      <c r="Y2318">
        <v>2284</v>
      </c>
      <c r="Z2318" s="259" t="s">
        <v>630</v>
      </c>
      <c r="AA2318">
        <v>0</v>
      </c>
      <c r="AB2318">
        <v>0</v>
      </c>
      <c r="AC2318">
        <v>45688</v>
      </c>
      <c r="AD2318">
        <v>1</v>
      </c>
      <c r="AE2318">
        <v>0</v>
      </c>
      <c r="AF2318">
        <v>0</v>
      </c>
      <c r="AG2318">
        <v>0</v>
      </c>
      <c r="AH2318">
        <v>0</v>
      </c>
    </row>
    <row r="2319" spans="2:34" x14ac:dyDescent="0.35">
      <c r="B2319" t="s">
        <v>566</v>
      </c>
      <c r="C2319">
        <v>45689</v>
      </c>
      <c r="F2319" t="s">
        <v>752</v>
      </c>
      <c r="H2319">
        <v>195</v>
      </c>
      <c r="O2319" t="s">
        <v>239</v>
      </c>
      <c r="P2319" t="s">
        <v>514</v>
      </c>
      <c r="Y2319">
        <v>2285</v>
      </c>
      <c r="Z2319" s="259" t="s">
        <v>630</v>
      </c>
      <c r="AA2319">
        <v>0</v>
      </c>
      <c r="AB2319">
        <v>0</v>
      </c>
      <c r="AC2319">
        <v>45688</v>
      </c>
      <c r="AD2319">
        <v>1</v>
      </c>
      <c r="AE2319">
        <v>0</v>
      </c>
      <c r="AF2319">
        <v>0</v>
      </c>
      <c r="AG2319">
        <v>0</v>
      </c>
      <c r="AH2319">
        <v>0</v>
      </c>
    </row>
    <row r="2320" spans="2:34" x14ac:dyDescent="0.35">
      <c r="B2320" t="s">
        <v>566</v>
      </c>
      <c r="C2320">
        <v>45689</v>
      </c>
      <c r="F2320" t="s">
        <v>754</v>
      </c>
      <c r="H2320">
        <v>82</v>
      </c>
      <c r="O2320" t="s">
        <v>239</v>
      </c>
      <c r="P2320" t="s">
        <v>514</v>
      </c>
      <c r="Y2320">
        <v>2286</v>
      </c>
      <c r="Z2320" s="259" t="s">
        <v>630</v>
      </c>
      <c r="AA2320">
        <v>0</v>
      </c>
      <c r="AB2320">
        <v>0</v>
      </c>
      <c r="AC2320">
        <v>45688</v>
      </c>
      <c r="AD2320">
        <v>1</v>
      </c>
      <c r="AE2320">
        <v>0</v>
      </c>
      <c r="AF2320">
        <v>0</v>
      </c>
      <c r="AG2320">
        <v>0</v>
      </c>
      <c r="AH2320">
        <v>0</v>
      </c>
    </row>
    <row r="2321" spans="2:34" x14ac:dyDescent="0.35">
      <c r="B2321" t="s">
        <v>566</v>
      </c>
      <c r="C2321">
        <v>45690</v>
      </c>
      <c r="F2321" t="s">
        <v>749</v>
      </c>
      <c r="H2321">
        <v>102</v>
      </c>
      <c r="O2321" t="s">
        <v>239</v>
      </c>
      <c r="P2321" t="s">
        <v>514</v>
      </c>
      <c r="Y2321">
        <v>2287</v>
      </c>
      <c r="Z2321" s="259" t="s">
        <v>630</v>
      </c>
      <c r="AA2321">
        <v>0</v>
      </c>
      <c r="AB2321">
        <v>0</v>
      </c>
      <c r="AC2321">
        <v>45688</v>
      </c>
      <c r="AD2321">
        <v>2</v>
      </c>
      <c r="AE2321">
        <v>0</v>
      </c>
      <c r="AF2321">
        <v>0</v>
      </c>
      <c r="AG2321">
        <v>0</v>
      </c>
      <c r="AH2321">
        <v>0</v>
      </c>
    </row>
    <row r="2322" spans="2:34" x14ac:dyDescent="0.35">
      <c r="B2322" t="s">
        <v>566</v>
      </c>
      <c r="C2322">
        <v>45690</v>
      </c>
      <c r="F2322" t="s">
        <v>752</v>
      </c>
      <c r="H2322">
        <v>195</v>
      </c>
      <c r="O2322" t="s">
        <v>239</v>
      </c>
      <c r="P2322" t="s">
        <v>514</v>
      </c>
      <c r="Y2322">
        <v>2288</v>
      </c>
      <c r="Z2322" s="259" t="s">
        <v>630</v>
      </c>
      <c r="AA2322">
        <v>0</v>
      </c>
      <c r="AB2322">
        <v>0</v>
      </c>
      <c r="AC2322">
        <v>45688</v>
      </c>
      <c r="AD2322">
        <v>2</v>
      </c>
      <c r="AE2322">
        <v>0</v>
      </c>
      <c r="AF2322">
        <v>0</v>
      </c>
      <c r="AG2322">
        <v>0</v>
      </c>
      <c r="AH2322">
        <v>0</v>
      </c>
    </row>
    <row r="2323" spans="2:34" x14ac:dyDescent="0.35">
      <c r="B2323" t="s">
        <v>566</v>
      </c>
      <c r="C2323">
        <v>45690</v>
      </c>
      <c r="F2323" t="s">
        <v>754</v>
      </c>
      <c r="H2323">
        <v>82</v>
      </c>
      <c r="O2323" t="s">
        <v>239</v>
      </c>
      <c r="P2323" t="s">
        <v>514</v>
      </c>
      <c r="Y2323">
        <v>2289</v>
      </c>
      <c r="Z2323" s="259" t="s">
        <v>630</v>
      </c>
      <c r="AA2323">
        <v>0</v>
      </c>
      <c r="AB2323">
        <v>0</v>
      </c>
      <c r="AC2323">
        <v>45688</v>
      </c>
      <c r="AD2323">
        <v>2</v>
      </c>
      <c r="AE2323">
        <v>0</v>
      </c>
      <c r="AF2323">
        <v>0</v>
      </c>
      <c r="AG2323">
        <v>0</v>
      </c>
      <c r="AH2323">
        <v>0</v>
      </c>
    </row>
    <row r="2324" spans="2:34" x14ac:dyDescent="0.35">
      <c r="B2324" t="s">
        <v>566</v>
      </c>
      <c r="C2324">
        <v>45691</v>
      </c>
      <c r="F2324" t="s">
        <v>749</v>
      </c>
      <c r="H2324">
        <v>101.63</v>
      </c>
      <c r="O2324" t="s">
        <v>239</v>
      </c>
      <c r="P2324" t="s">
        <v>514</v>
      </c>
      <c r="Y2324">
        <v>2290</v>
      </c>
      <c r="Z2324" s="259" t="s">
        <v>630</v>
      </c>
      <c r="AA2324">
        <v>0</v>
      </c>
      <c r="AB2324">
        <v>0</v>
      </c>
      <c r="AC2324">
        <v>45691</v>
      </c>
      <c r="AD2324">
        <v>0</v>
      </c>
      <c r="AE2324">
        <v>0</v>
      </c>
      <c r="AF2324">
        <v>0</v>
      </c>
      <c r="AG2324">
        <v>0</v>
      </c>
      <c r="AH2324">
        <v>0</v>
      </c>
    </row>
    <row r="2325" spans="2:34" x14ac:dyDescent="0.35">
      <c r="B2325" t="s">
        <v>566</v>
      </c>
      <c r="C2325">
        <v>45691</v>
      </c>
      <c r="F2325" t="s">
        <v>752</v>
      </c>
      <c r="H2325">
        <v>195.44</v>
      </c>
      <c r="O2325" t="s">
        <v>239</v>
      </c>
      <c r="P2325" t="s">
        <v>514</v>
      </c>
      <c r="Y2325">
        <v>2291</v>
      </c>
      <c r="Z2325" s="259" t="s">
        <v>630</v>
      </c>
      <c r="AA2325">
        <v>0</v>
      </c>
      <c r="AB2325">
        <v>0</v>
      </c>
      <c r="AC2325">
        <v>45691</v>
      </c>
      <c r="AD2325">
        <v>0</v>
      </c>
      <c r="AE2325">
        <v>0</v>
      </c>
      <c r="AF2325">
        <v>0</v>
      </c>
      <c r="AG2325">
        <v>0</v>
      </c>
      <c r="AH2325">
        <v>0</v>
      </c>
    </row>
    <row r="2326" spans="2:34" x14ac:dyDescent="0.35">
      <c r="B2326" t="s">
        <v>566</v>
      </c>
      <c r="C2326">
        <v>45691</v>
      </c>
      <c r="F2326" t="s">
        <v>754</v>
      </c>
      <c r="H2326">
        <v>81.7</v>
      </c>
      <c r="O2326" t="s">
        <v>239</v>
      </c>
      <c r="P2326" t="s">
        <v>514</v>
      </c>
      <c r="Y2326">
        <v>2292</v>
      </c>
      <c r="Z2326" s="259" t="s">
        <v>630</v>
      </c>
      <c r="AA2326">
        <v>0</v>
      </c>
      <c r="AB2326">
        <v>0</v>
      </c>
      <c r="AC2326">
        <v>45691</v>
      </c>
      <c r="AD2326">
        <v>0</v>
      </c>
      <c r="AE2326">
        <v>0</v>
      </c>
      <c r="AF2326">
        <v>0</v>
      </c>
      <c r="AG2326">
        <v>0</v>
      </c>
      <c r="AH2326">
        <v>0</v>
      </c>
    </row>
    <row r="2327" spans="2:34" x14ac:dyDescent="0.35">
      <c r="B2327" t="s">
        <v>566</v>
      </c>
      <c r="C2327">
        <v>45692</v>
      </c>
      <c r="F2327" t="s">
        <v>749</v>
      </c>
      <c r="H2327">
        <v>101.44</v>
      </c>
      <c r="O2327" t="s">
        <v>239</v>
      </c>
      <c r="P2327" t="s">
        <v>514</v>
      </c>
      <c r="Y2327">
        <v>2293</v>
      </c>
      <c r="Z2327" s="259" t="s">
        <v>630</v>
      </c>
      <c r="AA2327">
        <v>0</v>
      </c>
      <c r="AB2327">
        <v>0</v>
      </c>
      <c r="AC2327">
        <v>45692</v>
      </c>
      <c r="AD2327">
        <v>0</v>
      </c>
      <c r="AE2327">
        <v>0</v>
      </c>
      <c r="AF2327">
        <v>0</v>
      </c>
      <c r="AG2327">
        <v>0</v>
      </c>
      <c r="AH2327">
        <v>0</v>
      </c>
    </row>
    <row r="2328" spans="2:34" x14ac:dyDescent="0.35">
      <c r="B2328" t="s">
        <v>566</v>
      </c>
      <c r="C2328">
        <v>45692</v>
      </c>
      <c r="F2328" t="s">
        <v>752</v>
      </c>
      <c r="H2328">
        <v>195.67</v>
      </c>
      <c r="O2328" t="s">
        <v>239</v>
      </c>
      <c r="P2328" t="s">
        <v>514</v>
      </c>
      <c r="Y2328">
        <v>2294</v>
      </c>
      <c r="Z2328" s="259" t="s">
        <v>630</v>
      </c>
      <c r="AA2328">
        <v>0</v>
      </c>
      <c r="AB2328">
        <v>0</v>
      </c>
      <c r="AC2328">
        <v>45692</v>
      </c>
      <c r="AD2328">
        <v>0</v>
      </c>
      <c r="AE2328">
        <v>0</v>
      </c>
      <c r="AF2328">
        <v>0</v>
      </c>
      <c r="AG2328">
        <v>0</v>
      </c>
      <c r="AH2328">
        <v>0</v>
      </c>
    </row>
    <row r="2329" spans="2:34" x14ac:dyDescent="0.35">
      <c r="B2329" t="s">
        <v>566</v>
      </c>
      <c r="C2329">
        <v>45692</v>
      </c>
      <c r="F2329" t="s">
        <v>754</v>
      </c>
      <c r="H2329">
        <v>81.56</v>
      </c>
      <c r="O2329" t="s">
        <v>239</v>
      </c>
      <c r="P2329" t="s">
        <v>514</v>
      </c>
      <c r="Y2329">
        <v>2295</v>
      </c>
      <c r="Z2329" s="259" t="s">
        <v>630</v>
      </c>
      <c r="AA2329">
        <v>0</v>
      </c>
      <c r="AB2329">
        <v>0</v>
      </c>
      <c r="AC2329">
        <v>45692</v>
      </c>
      <c r="AD2329">
        <v>0</v>
      </c>
      <c r="AE2329">
        <v>0</v>
      </c>
      <c r="AF2329">
        <v>0</v>
      </c>
      <c r="AG2329">
        <v>0</v>
      </c>
      <c r="AH2329">
        <v>0</v>
      </c>
    </row>
    <row r="2330" spans="2:34" x14ac:dyDescent="0.35">
      <c r="B2330" t="s">
        <v>566</v>
      </c>
      <c r="C2330">
        <v>45693</v>
      </c>
      <c r="F2330" t="s">
        <v>749</v>
      </c>
      <c r="H2330">
        <v>101.26</v>
      </c>
      <c r="O2330" t="s">
        <v>239</v>
      </c>
      <c r="P2330" t="s">
        <v>514</v>
      </c>
      <c r="Y2330">
        <v>2296</v>
      </c>
      <c r="Z2330" s="259" t="s">
        <v>630</v>
      </c>
      <c r="AA2330">
        <v>0</v>
      </c>
      <c r="AB2330">
        <v>0</v>
      </c>
      <c r="AC2330">
        <v>45693</v>
      </c>
      <c r="AD2330">
        <v>0</v>
      </c>
      <c r="AE2330">
        <v>0</v>
      </c>
      <c r="AF2330">
        <v>0</v>
      </c>
      <c r="AG2330">
        <v>0</v>
      </c>
      <c r="AH2330">
        <v>0</v>
      </c>
    </row>
    <row r="2331" spans="2:34" x14ac:dyDescent="0.35">
      <c r="B2331" t="s">
        <v>566</v>
      </c>
      <c r="C2331">
        <v>45693</v>
      </c>
      <c r="F2331" t="s">
        <v>752</v>
      </c>
      <c r="H2331">
        <v>195.89</v>
      </c>
      <c r="O2331" t="s">
        <v>239</v>
      </c>
      <c r="P2331" t="s">
        <v>514</v>
      </c>
      <c r="Y2331">
        <v>2297</v>
      </c>
      <c r="Z2331" s="259" t="s">
        <v>630</v>
      </c>
      <c r="AA2331">
        <v>0</v>
      </c>
      <c r="AB2331">
        <v>0</v>
      </c>
      <c r="AC2331">
        <v>45693</v>
      </c>
      <c r="AD2331">
        <v>0</v>
      </c>
      <c r="AE2331">
        <v>0</v>
      </c>
      <c r="AF2331">
        <v>0</v>
      </c>
      <c r="AG2331">
        <v>0</v>
      </c>
      <c r="AH2331">
        <v>0</v>
      </c>
    </row>
    <row r="2332" spans="2:34" x14ac:dyDescent="0.35">
      <c r="B2332" t="s">
        <v>566</v>
      </c>
      <c r="C2332">
        <v>45693</v>
      </c>
      <c r="F2332" t="s">
        <v>754</v>
      </c>
      <c r="H2332">
        <v>81.41</v>
      </c>
      <c r="O2332" t="s">
        <v>239</v>
      </c>
      <c r="P2332" t="s">
        <v>514</v>
      </c>
      <c r="Y2332">
        <v>2298</v>
      </c>
      <c r="Z2332" s="259" t="s">
        <v>630</v>
      </c>
      <c r="AA2332">
        <v>0</v>
      </c>
      <c r="AB2332">
        <v>0</v>
      </c>
      <c r="AC2332">
        <v>45693</v>
      </c>
      <c r="AD2332">
        <v>0</v>
      </c>
      <c r="AE2332">
        <v>0</v>
      </c>
      <c r="AF2332">
        <v>0</v>
      </c>
      <c r="AG2332">
        <v>0</v>
      </c>
      <c r="AH2332">
        <v>0</v>
      </c>
    </row>
    <row r="2333" spans="2:34" x14ac:dyDescent="0.35">
      <c r="B2333" t="s">
        <v>566</v>
      </c>
      <c r="C2333">
        <v>45694</v>
      </c>
      <c r="F2333" t="s">
        <v>749</v>
      </c>
      <c r="H2333">
        <v>101.07</v>
      </c>
      <c r="O2333" t="s">
        <v>239</v>
      </c>
      <c r="P2333" t="s">
        <v>514</v>
      </c>
      <c r="Y2333">
        <v>2299</v>
      </c>
      <c r="Z2333" s="259" t="s">
        <v>630</v>
      </c>
      <c r="AA2333">
        <v>0</v>
      </c>
      <c r="AB2333">
        <v>0</v>
      </c>
      <c r="AC2333">
        <v>45694</v>
      </c>
      <c r="AD2333">
        <v>0</v>
      </c>
      <c r="AE2333">
        <v>0</v>
      </c>
      <c r="AF2333">
        <v>0</v>
      </c>
      <c r="AG2333">
        <v>0</v>
      </c>
      <c r="AH2333">
        <v>0</v>
      </c>
    </row>
    <row r="2334" spans="2:34" x14ac:dyDescent="0.35">
      <c r="B2334" t="s">
        <v>566</v>
      </c>
      <c r="C2334">
        <v>45694</v>
      </c>
      <c r="F2334" t="s">
        <v>752</v>
      </c>
      <c r="H2334">
        <v>196.11</v>
      </c>
      <c r="O2334" t="s">
        <v>239</v>
      </c>
      <c r="P2334" t="s">
        <v>514</v>
      </c>
      <c r="Y2334">
        <v>2300</v>
      </c>
      <c r="Z2334" s="259" t="s">
        <v>630</v>
      </c>
      <c r="AA2334">
        <v>0</v>
      </c>
      <c r="AB2334">
        <v>0</v>
      </c>
      <c r="AC2334">
        <v>45694</v>
      </c>
      <c r="AD2334">
        <v>0</v>
      </c>
      <c r="AE2334">
        <v>0</v>
      </c>
      <c r="AF2334">
        <v>0</v>
      </c>
      <c r="AG2334">
        <v>0</v>
      </c>
      <c r="AH2334">
        <v>0</v>
      </c>
    </row>
    <row r="2335" spans="2:34" x14ac:dyDescent="0.35">
      <c r="B2335" t="s">
        <v>566</v>
      </c>
      <c r="C2335">
        <v>45694</v>
      </c>
      <c r="F2335" t="s">
        <v>754</v>
      </c>
      <c r="H2335">
        <v>81.260000000000005</v>
      </c>
      <c r="O2335" t="s">
        <v>239</v>
      </c>
      <c r="P2335" t="s">
        <v>514</v>
      </c>
      <c r="Y2335">
        <v>2301</v>
      </c>
      <c r="Z2335" s="259" t="s">
        <v>630</v>
      </c>
      <c r="AA2335">
        <v>0</v>
      </c>
      <c r="AB2335">
        <v>0</v>
      </c>
      <c r="AC2335">
        <v>45694</v>
      </c>
      <c r="AD2335">
        <v>0</v>
      </c>
      <c r="AE2335">
        <v>0</v>
      </c>
      <c r="AF2335">
        <v>0</v>
      </c>
      <c r="AG2335">
        <v>0</v>
      </c>
      <c r="AH2335">
        <v>0</v>
      </c>
    </row>
    <row r="2336" spans="2:34" x14ac:dyDescent="0.35">
      <c r="B2336" t="s">
        <v>566</v>
      </c>
      <c r="C2336">
        <v>45695</v>
      </c>
      <c r="F2336" t="s">
        <v>749</v>
      </c>
      <c r="H2336">
        <v>100.89</v>
      </c>
      <c r="O2336" t="s">
        <v>239</v>
      </c>
      <c r="P2336" t="s">
        <v>514</v>
      </c>
      <c r="Y2336">
        <v>2302</v>
      </c>
      <c r="Z2336" s="259" t="s">
        <v>630</v>
      </c>
      <c r="AA2336">
        <v>0</v>
      </c>
      <c r="AB2336">
        <v>0</v>
      </c>
      <c r="AC2336">
        <v>45695</v>
      </c>
      <c r="AD2336">
        <v>0</v>
      </c>
      <c r="AE2336">
        <v>0</v>
      </c>
      <c r="AF2336">
        <v>0</v>
      </c>
      <c r="AG2336">
        <v>0</v>
      </c>
      <c r="AH2336">
        <v>0</v>
      </c>
    </row>
    <row r="2337" spans="2:34" x14ac:dyDescent="0.35">
      <c r="B2337" t="s">
        <v>566</v>
      </c>
      <c r="C2337">
        <v>45695</v>
      </c>
      <c r="F2337" t="s">
        <v>752</v>
      </c>
      <c r="H2337">
        <v>196.33</v>
      </c>
      <c r="O2337" t="s">
        <v>239</v>
      </c>
      <c r="P2337" t="s">
        <v>514</v>
      </c>
      <c r="Y2337">
        <v>2303</v>
      </c>
      <c r="Z2337" s="259" t="s">
        <v>630</v>
      </c>
      <c r="AA2337">
        <v>0</v>
      </c>
      <c r="AB2337">
        <v>0</v>
      </c>
      <c r="AC2337">
        <v>45695</v>
      </c>
      <c r="AD2337">
        <v>0</v>
      </c>
      <c r="AE2337">
        <v>0</v>
      </c>
      <c r="AF2337">
        <v>0</v>
      </c>
      <c r="AG2337">
        <v>0</v>
      </c>
      <c r="AH2337">
        <v>0</v>
      </c>
    </row>
    <row r="2338" spans="2:34" x14ac:dyDescent="0.35">
      <c r="B2338" t="s">
        <v>566</v>
      </c>
      <c r="C2338">
        <v>45695</v>
      </c>
      <c r="F2338" t="s">
        <v>754</v>
      </c>
      <c r="H2338">
        <v>81.11</v>
      </c>
      <c r="O2338" t="s">
        <v>239</v>
      </c>
      <c r="P2338" t="s">
        <v>514</v>
      </c>
      <c r="Y2338">
        <v>2304</v>
      </c>
      <c r="Z2338" s="259" t="s">
        <v>630</v>
      </c>
      <c r="AA2338">
        <v>0</v>
      </c>
      <c r="AB2338">
        <v>0</v>
      </c>
      <c r="AC2338">
        <v>45695</v>
      </c>
      <c r="AD2338">
        <v>0</v>
      </c>
      <c r="AE2338">
        <v>0</v>
      </c>
      <c r="AF2338">
        <v>0</v>
      </c>
      <c r="AG2338">
        <v>0</v>
      </c>
      <c r="AH2338">
        <v>0</v>
      </c>
    </row>
    <row r="2339" spans="2:34" x14ac:dyDescent="0.35">
      <c r="B2339" t="s">
        <v>566</v>
      </c>
      <c r="C2339">
        <v>45696</v>
      </c>
      <c r="F2339" t="s">
        <v>749</v>
      </c>
      <c r="H2339">
        <v>100.89</v>
      </c>
      <c r="O2339" t="s">
        <v>239</v>
      </c>
      <c r="P2339" t="s">
        <v>514</v>
      </c>
      <c r="Y2339">
        <v>2305</v>
      </c>
      <c r="Z2339" s="259" t="s">
        <v>630</v>
      </c>
      <c r="AA2339">
        <v>0</v>
      </c>
      <c r="AB2339">
        <v>0</v>
      </c>
      <c r="AC2339">
        <v>45695</v>
      </c>
      <c r="AD2339">
        <v>1</v>
      </c>
      <c r="AE2339">
        <v>0</v>
      </c>
      <c r="AF2339">
        <v>0</v>
      </c>
      <c r="AG2339">
        <v>0</v>
      </c>
      <c r="AH2339">
        <v>0</v>
      </c>
    </row>
    <row r="2340" spans="2:34" x14ac:dyDescent="0.35">
      <c r="B2340" t="s">
        <v>566</v>
      </c>
      <c r="C2340">
        <v>45696</v>
      </c>
      <c r="F2340" t="s">
        <v>752</v>
      </c>
      <c r="H2340">
        <v>196.33</v>
      </c>
      <c r="O2340" t="s">
        <v>239</v>
      </c>
      <c r="P2340" t="s">
        <v>514</v>
      </c>
      <c r="Y2340">
        <v>2306</v>
      </c>
      <c r="Z2340" s="259" t="s">
        <v>630</v>
      </c>
      <c r="AA2340">
        <v>0</v>
      </c>
      <c r="AB2340">
        <v>0</v>
      </c>
      <c r="AC2340">
        <v>45695</v>
      </c>
      <c r="AD2340">
        <v>1</v>
      </c>
      <c r="AE2340">
        <v>0</v>
      </c>
      <c r="AF2340">
        <v>0</v>
      </c>
      <c r="AG2340">
        <v>0</v>
      </c>
      <c r="AH2340">
        <v>0</v>
      </c>
    </row>
    <row r="2341" spans="2:34" x14ac:dyDescent="0.35">
      <c r="B2341" t="s">
        <v>566</v>
      </c>
      <c r="C2341">
        <v>45696</v>
      </c>
      <c r="F2341" t="s">
        <v>754</v>
      </c>
      <c r="H2341">
        <v>81.11</v>
      </c>
      <c r="O2341" t="s">
        <v>239</v>
      </c>
      <c r="P2341" t="s">
        <v>514</v>
      </c>
      <c r="Y2341">
        <v>2307</v>
      </c>
      <c r="Z2341" s="259" t="s">
        <v>630</v>
      </c>
      <c r="AA2341">
        <v>0</v>
      </c>
      <c r="AB2341">
        <v>0</v>
      </c>
      <c r="AC2341">
        <v>45695</v>
      </c>
      <c r="AD2341">
        <v>1</v>
      </c>
      <c r="AE2341">
        <v>0</v>
      </c>
      <c r="AF2341">
        <v>0</v>
      </c>
      <c r="AG2341">
        <v>0</v>
      </c>
      <c r="AH2341">
        <v>0</v>
      </c>
    </row>
    <row r="2342" spans="2:34" x14ac:dyDescent="0.35">
      <c r="B2342" t="s">
        <v>566</v>
      </c>
      <c r="C2342">
        <v>45697</v>
      </c>
      <c r="F2342" t="s">
        <v>749</v>
      </c>
      <c r="H2342">
        <v>100.89</v>
      </c>
      <c r="O2342" t="s">
        <v>239</v>
      </c>
      <c r="P2342" t="s">
        <v>514</v>
      </c>
      <c r="Y2342">
        <v>2308</v>
      </c>
      <c r="Z2342" s="259" t="s">
        <v>630</v>
      </c>
      <c r="AA2342">
        <v>0</v>
      </c>
      <c r="AB2342">
        <v>0</v>
      </c>
      <c r="AC2342">
        <v>45695</v>
      </c>
      <c r="AD2342">
        <v>2</v>
      </c>
      <c r="AE2342">
        <v>0</v>
      </c>
      <c r="AF2342">
        <v>0</v>
      </c>
      <c r="AG2342">
        <v>0</v>
      </c>
      <c r="AH2342">
        <v>0</v>
      </c>
    </row>
    <row r="2343" spans="2:34" x14ac:dyDescent="0.35">
      <c r="B2343" t="s">
        <v>566</v>
      </c>
      <c r="C2343">
        <v>45697</v>
      </c>
      <c r="F2343" t="s">
        <v>752</v>
      </c>
      <c r="H2343">
        <v>196.33</v>
      </c>
      <c r="O2343" t="s">
        <v>239</v>
      </c>
      <c r="P2343" t="s">
        <v>514</v>
      </c>
      <c r="Y2343">
        <v>2309</v>
      </c>
      <c r="Z2343" s="259" t="s">
        <v>630</v>
      </c>
      <c r="AA2343">
        <v>0</v>
      </c>
      <c r="AB2343">
        <v>0</v>
      </c>
      <c r="AC2343">
        <v>45695</v>
      </c>
      <c r="AD2343">
        <v>2</v>
      </c>
      <c r="AE2343">
        <v>0</v>
      </c>
      <c r="AF2343">
        <v>0</v>
      </c>
      <c r="AG2343">
        <v>0</v>
      </c>
      <c r="AH2343">
        <v>0</v>
      </c>
    </row>
    <row r="2344" spans="2:34" x14ac:dyDescent="0.35">
      <c r="B2344" t="s">
        <v>566</v>
      </c>
      <c r="C2344">
        <v>45697</v>
      </c>
      <c r="F2344" t="s">
        <v>754</v>
      </c>
      <c r="H2344">
        <v>81.11</v>
      </c>
      <c r="O2344" t="s">
        <v>239</v>
      </c>
      <c r="P2344" t="s">
        <v>514</v>
      </c>
      <c r="Y2344">
        <v>2310</v>
      </c>
      <c r="Z2344" s="259" t="s">
        <v>630</v>
      </c>
      <c r="AA2344">
        <v>0</v>
      </c>
      <c r="AB2344">
        <v>0</v>
      </c>
      <c r="AC2344">
        <v>45695</v>
      </c>
      <c r="AD2344">
        <v>2</v>
      </c>
      <c r="AE2344">
        <v>0</v>
      </c>
      <c r="AF2344">
        <v>0</v>
      </c>
      <c r="AG2344">
        <v>0</v>
      </c>
      <c r="AH2344">
        <v>0</v>
      </c>
    </row>
    <row r="2345" spans="2:34" x14ac:dyDescent="0.35">
      <c r="B2345" t="s">
        <v>566</v>
      </c>
      <c r="C2345">
        <v>45698</v>
      </c>
      <c r="F2345" t="s">
        <v>749</v>
      </c>
      <c r="H2345">
        <v>100.33</v>
      </c>
      <c r="O2345" t="s">
        <v>239</v>
      </c>
      <c r="P2345" t="s">
        <v>514</v>
      </c>
      <c r="Y2345">
        <v>2311</v>
      </c>
      <c r="Z2345" s="259" t="s">
        <v>630</v>
      </c>
      <c r="AA2345">
        <v>0</v>
      </c>
      <c r="AB2345">
        <v>0</v>
      </c>
      <c r="AC2345">
        <v>45698</v>
      </c>
      <c r="AD2345">
        <v>0</v>
      </c>
      <c r="AE2345">
        <v>0</v>
      </c>
      <c r="AF2345">
        <v>0</v>
      </c>
      <c r="AG2345">
        <v>0</v>
      </c>
      <c r="AH2345">
        <v>0</v>
      </c>
    </row>
    <row r="2346" spans="2:34" x14ac:dyDescent="0.35">
      <c r="B2346" t="s">
        <v>566</v>
      </c>
      <c r="C2346">
        <v>45698</v>
      </c>
      <c r="F2346" t="s">
        <v>752</v>
      </c>
      <c r="H2346">
        <v>197</v>
      </c>
      <c r="O2346" t="s">
        <v>239</v>
      </c>
      <c r="P2346" t="s">
        <v>514</v>
      </c>
      <c r="Y2346">
        <v>2312</v>
      </c>
      <c r="Z2346" s="259" t="s">
        <v>630</v>
      </c>
      <c r="AA2346">
        <v>0</v>
      </c>
      <c r="AB2346">
        <v>0</v>
      </c>
      <c r="AC2346">
        <v>45698</v>
      </c>
      <c r="AD2346">
        <v>0</v>
      </c>
      <c r="AE2346">
        <v>0</v>
      </c>
      <c r="AF2346">
        <v>0</v>
      </c>
      <c r="AG2346">
        <v>0</v>
      </c>
      <c r="AH2346">
        <v>0</v>
      </c>
    </row>
    <row r="2347" spans="2:34" x14ac:dyDescent="0.35">
      <c r="B2347" t="s">
        <v>566</v>
      </c>
      <c r="C2347">
        <v>45698</v>
      </c>
      <c r="F2347" t="s">
        <v>754</v>
      </c>
      <c r="H2347">
        <v>80.67</v>
      </c>
      <c r="O2347" t="s">
        <v>239</v>
      </c>
      <c r="P2347" t="s">
        <v>514</v>
      </c>
      <c r="Y2347">
        <v>2313</v>
      </c>
      <c r="Z2347" s="259" t="s">
        <v>630</v>
      </c>
      <c r="AA2347">
        <v>0</v>
      </c>
      <c r="AB2347">
        <v>0</v>
      </c>
      <c r="AC2347">
        <v>45698</v>
      </c>
      <c r="AD2347">
        <v>0</v>
      </c>
      <c r="AE2347">
        <v>0</v>
      </c>
      <c r="AF2347">
        <v>0</v>
      </c>
      <c r="AG2347">
        <v>0</v>
      </c>
      <c r="AH2347">
        <v>0</v>
      </c>
    </row>
    <row r="2348" spans="2:34" x14ac:dyDescent="0.35">
      <c r="B2348" t="s">
        <v>566</v>
      </c>
      <c r="C2348">
        <v>45699</v>
      </c>
      <c r="F2348" t="s">
        <v>749</v>
      </c>
      <c r="H2348">
        <v>100.15</v>
      </c>
      <c r="O2348" t="s">
        <v>239</v>
      </c>
      <c r="P2348" t="s">
        <v>514</v>
      </c>
      <c r="Y2348">
        <v>2314</v>
      </c>
      <c r="Z2348" s="259" t="s">
        <v>630</v>
      </c>
      <c r="AA2348">
        <v>0</v>
      </c>
      <c r="AB2348">
        <v>0</v>
      </c>
      <c r="AC2348">
        <v>45699</v>
      </c>
      <c r="AD2348">
        <v>0</v>
      </c>
      <c r="AE2348">
        <v>0</v>
      </c>
      <c r="AF2348">
        <v>0</v>
      </c>
      <c r="AG2348">
        <v>0</v>
      </c>
      <c r="AH2348">
        <v>0</v>
      </c>
    </row>
    <row r="2349" spans="2:34" x14ac:dyDescent="0.35">
      <c r="B2349" t="s">
        <v>566</v>
      </c>
      <c r="C2349">
        <v>45699</v>
      </c>
      <c r="F2349" t="s">
        <v>752</v>
      </c>
      <c r="H2349">
        <v>197.22</v>
      </c>
      <c r="O2349" t="s">
        <v>239</v>
      </c>
      <c r="P2349" t="s">
        <v>514</v>
      </c>
      <c r="Y2349">
        <v>2315</v>
      </c>
      <c r="Z2349" s="259" t="s">
        <v>630</v>
      </c>
      <c r="AA2349">
        <v>0</v>
      </c>
      <c r="AB2349">
        <v>0</v>
      </c>
      <c r="AC2349">
        <v>45699</v>
      </c>
      <c r="AD2349">
        <v>0</v>
      </c>
      <c r="AE2349">
        <v>0</v>
      </c>
      <c r="AF2349">
        <v>0</v>
      </c>
      <c r="AG2349">
        <v>0</v>
      </c>
      <c r="AH2349">
        <v>0</v>
      </c>
    </row>
    <row r="2350" spans="2:34" x14ac:dyDescent="0.35">
      <c r="B2350" t="s">
        <v>566</v>
      </c>
      <c r="C2350">
        <v>45699</v>
      </c>
      <c r="F2350" t="s">
        <v>754</v>
      </c>
      <c r="H2350">
        <v>80.52</v>
      </c>
      <c r="O2350" t="s">
        <v>239</v>
      </c>
      <c r="P2350" t="s">
        <v>514</v>
      </c>
      <c r="Y2350">
        <v>2316</v>
      </c>
      <c r="Z2350" s="259" t="s">
        <v>630</v>
      </c>
      <c r="AA2350">
        <v>0</v>
      </c>
      <c r="AB2350">
        <v>0</v>
      </c>
      <c r="AC2350">
        <v>45699</v>
      </c>
      <c r="AD2350">
        <v>0</v>
      </c>
      <c r="AE2350">
        <v>0</v>
      </c>
      <c r="AF2350">
        <v>0</v>
      </c>
      <c r="AG2350">
        <v>0</v>
      </c>
      <c r="AH2350">
        <v>0</v>
      </c>
    </row>
    <row r="2351" spans="2:34" x14ac:dyDescent="0.35">
      <c r="B2351" t="s">
        <v>566</v>
      </c>
      <c r="C2351">
        <v>45700</v>
      </c>
      <c r="F2351" t="s">
        <v>749</v>
      </c>
      <c r="H2351">
        <v>99.96</v>
      </c>
      <c r="O2351" t="s">
        <v>239</v>
      </c>
      <c r="P2351" t="s">
        <v>514</v>
      </c>
      <c r="Y2351">
        <v>2317</v>
      </c>
      <c r="Z2351" s="259" t="s">
        <v>630</v>
      </c>
      <c r="AA2351">
        <v>0</v>
      </c>
      <c r="AB2351">
        <v>0</v>
      </c>
      <c r="AC2351">
        <v>45700</v>
      </c>
      <c r="AD2351">
        <v>0</v>
      </c>
      <c r="AE2351">
        <v>0</v>
      </c>
      <c r="AF2351">
        <v>0</v>
      </c>
      <c r="AG2351">
        <v>0</v>
      </c>
      <c r="AH2351">
        <v>0</v>
      </c>
    </row>
    <row r="2352" spans="2:34" x14ac:dyDescent="0.35">
      <c r="B2352" t="s">
        <v>566</v>
      </c>
      <c r="C2352">
        <v>45700</v>
      </c>
      <c r="F2352" t="s">
        <v>752</v>
      </c>
      <c r="H2352">
        <v>197.44</v>
      </c>
      <c r="O2352" t="s">
        <v>239</v>
      </c>
      <c r="P2352" t="s">
        <v>514</v>
      </c>
      <c r="Y2352">
        <v>2318</v>
      </c>
      <c r="Z2352" s="259" t="s">
        <v>630</v>
      </c>
      <c r="AA2352">
        <v>0</v>
      </c>
      <c r="AB2352">
        <v>0</v>
      </c>
      <c r="AC2352">
        <v>45700</v>
      </c>
      <c r="AD2352">
        <v>0</v>
      </c>
      <c r="AE2352">
        <v>0</v>
      </c>
      <c r="AF2352">
        <v>0</v>
      </c>
      <c r="AG2352">
        <v>0</v>
      </c>
      <c r="AH2352">
        <v>0</v>
      </c>
    </row>
    <row r="2353" spans="2:34" x14ac:dyDescent="0.35">
      <c r="B2353" t="s">
        <v>566</v>
      </c>
      <c r="C2353">
        <v>45700</v>
      </c>
      <c r="F2353" t="s">
        <v>754</v>
      </c>
      <c r="H2353">
        <v>80.37</v>
      </c>
      <c r="O2353" t="s">
        <v>239</v>
      </c>
      <c r="P2353" t="s">
        <v>514</v>
      </c>
      <c r="Y2353">
        <v>2319</v>
      </c>
      <c r="Z2353" s="259" t="s">
        <v>630</v>
      </c>
      <c r="AA2353">
        <v>0</v>
      </c>
      <c r="AB2353">
        <v>0</v>
      </c>
      <c r="AC2353">
        <v>45700</v>
      </c>
      <c r="AD2353">
        <v>0</v>
      </c>
      <c r="AE2353">
        <v>0</v>
      </c>
      <c r="AF2353">
        <v>0</v>
      </c>
      <c r="AG2353">
        <v>0</v>
      </c>
      <c r="AH2353">
        <v>0</v>
      </c>
    </row>
    <row r="2354" spans="2:34" x14ac:dyDescent="0.35">
      <c r="B2354" t="s">
        <v>566</v>
      </c>
      <c r="C2354">
        <v>45701</v>
      </c>
      <c r="F2354" t="s">
        <v>749</v>
      </c>
      <c r="H2354">
        <v>99.78</v>
      </c>
      <c r="O2354" t="s">
        <v>239</v>
      </c>
      <c r="P2354" t="s">
        <v>514</v>
      </c>
      <c r="Y2354">
        <v>2320</v>
      </c>
      <c r="Z2354" s="259" t="s">
        <v>630</v>
      </c>
      <c r="AA2354">
        <v>0</v>
      </c>
      <c r="AB2354">
        <v>0</v>
      </c>
      <c r="AC2354">
        <v>45701</v>
      </c>
      <c r="AD2354">
        <v>0</v>
      </c>
      <c r="AE2354">
        <v>0</v>
      </c>
      <c r="AF2354">
        <v>0</v>
      </c>
      <c r="AG2354">
        <v>0</v>
      </c>
      <c r="AH2354">
        <v>0</v>
      </c>
    </row>
    <row r="2355" spans="2:34" x14ac:dyDescent="0.35">
      <c r="B2355" t="s">
        <v>566</v>
      </c>
      <c r="C2355">
        <v>45701</v>
      </c>
      <c r="F2355" t="s">
        <v>752</v>
      </c>
      <c r="H2355">
        <v>197.67</v>
      </c>
      <c r="O2355" t="s">
        <v>239</v>
      </c>
      <c r="P2355" t="s">
        <v>514</v>
      </c>
      <c r="Y2355">
        <v>2321</v>
      </c>
      <c r="Z2355" s="259" t="s">
        <v>630</v>
      </c>
      <c r="AA2355">
        <v>0</v>
      </c>
      <c r="AB2355">
        <v>0</v>
      </c>
      <c r="AC2355">
        <v>45701</v>
      </c>
      <c r="AD2355">
        <v>0</v>
      </c>
      <c r="AE2355">
        <v>0</v>
      </c>
      <c r="AF2355">
        <v>0</v>
      </c>
      <c r="AG2355">
        <v>0</v>
      </c>
      <c r="AH2355">
        <v>0</v>
      </c>
    </row>
    <row r="2356" spans="2:34" x14ac:dyDescent="0.35">
      <c r="B2356" t="s">
        <v>566</v>
      </c>
      <c r="C2356">
        <v>45701</v>
      </c>
      <c r="F2356" t="s">
        <v>754</v>
      </c>
      <c r="H2356">
        <v>80.22</v>
      </c>
      <c r="O2356" t="s">
        <v>239</v>
      </c>
      <c r="P2356" t="s">
        <v>514</v>
      </c>
      <c r="Y2356">
        <v>2322</v>
      </c>
      <c r="Z2356" s="259" t="s">
        <v>630</v>
      </c>
      <c r="AA2356">
        <v>0</v>
      </c>
      <c r="AB2356">
        <v>0</v>
      </c>
      <c r="AC2356">
        <v>45701</v>
      </c>
      <c r="AD2356">
        <v>0</v>
      </c>
      <c r="AE2356">
        <v>0</v>
      </c>
      <c r="AF2356">
        <v>0</v>
      </c>
      <c r="AG2356">
        <v>0</v>
      </c>
      <c r="AH2356">
        <v>0</v>
      </c>
    </row>
    <row r="2357" spans="2:34" x14ac:dyDescent="0.35">
      <c r="B2357" t="s">
        <v>566</v>
      </c>
      <c r="C2357">
        <v>45702</v>
      </c>
      <c r="F2357" t="s">
        <v>749</v>
      </c>
      <c r="H2357">
        <v>99.59</v>
      </c>
      <c r="O2357" t="s">
        <v>239</v>
      </c>
      <c r="P2357" t="s">
        <v>514</v>
      </c>
      <c r="Y2357">
        <v>2323</v>
      </c>
      <c r="Z2357" s="259" t="s">
        <v>630</v>
      </c>
      <c r="AA2357">
        <v>0</v>
      </c>
      <c r="AB2357">
        <v>0</v>
      </c>
      <c r="AC2357">
        <v>45702</v>
      </c>
      <c r="AD2357">
        <v>0</v>
      </c>
      <c r="AE2357">
        <v>0</v>
      </c>
      <c r="AF2357">
        <v>0</v>
      </c>
      <c r="AG2357">
        <v>0</v>
      </c>
      <c r="AH2357">
        <v>0</v>
      </c>
    </row>
    <row r="2358" spans="2:34" x14ac:dyDescent="0.35">
      <c r="B2358" t="s">
        <v>566</v>
      </c>
      <c r="C2358">
        <v>45702</v>
      </c>
      <c r="F2358" t="s">
        <v>752</v>
      </c>
      <c r="H2358">
        <v>197.89</v>
      </c>
      <c r="O2358" t="s">
        <v>239</v>
      </c>
      <c r="P2358" t="s">
        <v>514</v>
      </c>
      <c r="Y2358">
        <v>2324</v>
      </c>
      <c r="Z2358" s="259" t="s">
        <v>630</v>
      </c>
      <c r="AA2358">
        <v>0</v>
      </c>
      <c r="AB2358">
        <v>0</v>
      </c>
      <c r="AC2358">
        <v>45702</v>
      </c>
      <c r="AD2358">
        <v>0</v>
      </c>
      <c r="AE2358">
        <v>0</v>
      </c>
      <c r="AF2358">
        <v>0</v>
      </c>
      <c r="AG2358">
        <v>0</v>
      </c>
      <c r="AH2358">
        <v>0</v>
      </c>
    </row>
    <row r="2359" spans="2:34" x14ac:dyDescent="0.35">
      <c r="B2359" t="s">
        <v>566</v>
      </c>
      <c r="C2359">
        <v>45702</v>
      </c>
      <c r="F2359" t="s">
        <v>754</v>
      </c>
      <c r="H2359">
        <v>80.069999999999993</v>
      </c>
      <c r="O2359" t="s">
        <v>239</v>
      </c>
      <c r="P2359" t="s">
        <v>514</v>
      </c>
      <c r="Y2359">
        <v>2325</v>
      </c>
      <c r="Z2359" s="259" t="s">
        <v>630</v>
      </c>
      <c r="AA2359">
        <v>0</v>
      </c>
      <c r="AB2359">
        <v>0</v>
      </c>
      <c r="AC2359">
        <v>45702</v>
      </c>
      <c r="AD2359">
        <v>0</v>
      </c>
      <c r="AE2359">
        <v>0</v>
      </c>
      <c r="AF2359">
        <v>0</v>
      </c>
      <c r="AG2359">
        <v>0</v>
      </c>
      <c r="AH2359">
        <v>0</v>
      </c>
    </row>
    <row r="2360" spans="2:34" x14ac:dyDescent="0.35">
      <c r="B2360" t="s">
        <v>566</v>
      </c>
      <c r="C2360">
        <v>45703</v>
      </c>
      <c r="F2360" t="s">
        <v>749</v>
      </c>
      <c r="H2360">
        <v>99.59</v>
      </c>
      <c r="O2360" t="s">
        <v>239</v>
      </c>
      <c r="P2360" t="s">
        <v>514</v>
      </c>
      <c r="Y2360">
        <v>2326</v>
      </c>
      <c r="Z2360" s="259" t="s">
        <v>630</v>
      </c>
      <c r="AA2360">
        <v>0</v>
      </c>
      <c r="AB2360">
        <v>0</v>
      </c>
      <c r="AC2360">
        <v>45702</v>
      </c>
      <c r="AD2360">
        <v>1</v>
      </c>
      <c r="AE2360">
        <v>0</v>
      </c>
      <c r="AF2360">
        <v>0</v>
      </c>
      <c r="AG2360">
        <v>0</v>
      </c>
      <c r="AH2360">
        <v>0</v>
      </c>
    </row>
    <row r="2361" spans="2:34" x14ac:dyDescent="0.35">
      <c r="B2361" t="s">
        <v>566</v>
      </c>
      <c r="C2361">
        <v>45703</v>
      </c>
      <c r="F2361" t="s">
        <v>752</v>
      </c>
      <c r="H2361">
        <v>197.89</v>
      </c>
      <c r="O2361" t="s">
        <v>239</v>
      </c>
      <c r="P2361" t="s">
        <v>514</v>
      </c>
      <c r="Y2361">
        <v>2327</v>
      </c>
      <c r="Z2361" s="259" t="s">
        <v>630</v>
      </c>
      <c r="AA2361">
        <v>0</v>
      </c>
      <c r="AB2361">
        <v>0</v>
      </c>
      <c r="AC2361">
        <v>45702</v>
      </c>
      <c r="AD2361">
        <v>1</v>
      </c>
      <c r="AE2361">
        <v>0</v>
      </c>
      <c r="AF2361">
        <v>0</v>
      </c>
      <c r="AG2361">
        <v>0</v>
      </c>
      <c r="AH2361">
        <v>0</v>
      </c>
    </row>
    <row r="2362" spans="2:34" x14ac:dyDescent="0.35">
      <c r="B2362" t="s">
        <v>566</v>
      </c>
      <c r="C2362">
        <v>45703</v>
      </c>
      <c r="F2362" t="s">
        <v>754</v>
      </c>
      <c r="H2362">
        <v>80.069999999999993</v>
      </c>
      <c r="O2362" t="s">
        <v>239</v>
      </c>
      <c r="P2362" t="s">
        <v>514</v>
      </c>
      <c r="Y2362">
        <v>2328</v>
      </c>
      <c r="Z2362" s="259" t="s">
        <v>630</v>
      </c>
      <c r="AA2362">
        <v>0</v>
      </c>
      <c r="AB2362">
        <v>0</v>
      </c>
      <c r="AC2362">
        <v>45702</v>
      </c>
      <c r="AD2362">
        <v>1</v>
      </c>
      <c r="AE2362">
        <v>0</v>
      </c>
      <c r="AF2362">
        <v>0</v>
      </c>
      <c r="AG2362">
        <v>0</v>
      </c>
      <c r="AH2362">
        <v>0</v>
      </c>
    </row>
    <row r="2363" spans="2:34" x14ac:dyDescent="0.35">
      <c r="B2363" t="s">
        <v>566</v>
      </c>
      <c r="C2363">
        <v>45704</v>
      </c>
      <c r="F2363" t="s">
        <v>749</v>
      </c>
      <c r="H2363">
        <v>99.59</v>
      </c>
      <c r="O2363" t="s">
        <v>239</v>
      </c>
      <c r="P2363" t="s">
        <v>514</v>
      </c>
      <c r="Y2363">
        <v>2329</v>
      </c>
      <c r="Z2363" s="259" t="s">
        <v>630</v>
      </c>
      <c r="AA2363">
        <v>0</v>
      </c>
      <c r="AB2363">
        <v>0</v>
      </c>
      <c r="AC2363">
        <v>45702</v>
      </c>
      <c r="AD2363">
        <v>2</v>
      </c>
      <c r="AE2363">
        <v>0</v>
      </c>
      <c r="AF2363">
        <v>0</v>
      </c>
      <c r="AG2363">
        <v>0</v>
      </c>
      <c r="AH2363">
        <v>0</v>
      </c>
    </row>
    <row r="2364" spans="2:34" x14ac:dyDescent="0.35">
      <c r="B2364" t="s">
        <v>566</v>
      </c>
      <c r="C2364">
        <v>45704</v>
      </c>
      <c r="F2364" t="s">
        <v>752</v>
      </c>
      <c r="H2364">
        <v>197.89</v>
      </c>
      <c r="O2364" t="s">
        <v>239</v>
      </c>
      <c r="P2364" t="s">
        <v>514</v>
      </c>
      <c r="Y2364">
        <v>2330</v>
      </c>
      <c r="Z2364" s="259" t="s">
        <v>630</v>
      </c>
      <c r="AA2364">
        <v>0</v>
      </c>
      <c r="AB2364">
        <v>0</v>
      </c>
      <c r="AC2364">
        <v>45702</v>
      </c>
      <c r="AD2364">
        <v>2</v>
      </c>
      <c r="AE2364">
        <v>0</v>
      </c>
      <c r="AF2364">
        <v>0</v>
      </c>
      <c r="AG2364">
        <v>0</v>
      </c>
      <c r="AH2364">
        <v>0</v>
      </c>
    </row>
    <row r="2365" spans="2:34" x14ac:dyDescent="0.35">
      <c r="B2365" t="s">
        <v>566</v>
      </c>
      <c r="C2365">
        <v>45704</v>
      </c>
      <c r="F2365" t="s">
        <v>754</v>
      </c>
      <c r="H2365">
        <v>80.069999999999993</v>
      </c>
      <c r="O2365" t="s">
        <v>239</v>
      </c>
      <c r="P2365" t="s">
        <v>514</v>
      </c>
      <c r="Y2365">
        <v>2331</v>
      </c>
      <c r="Z2365" s="259" t="s">
        <v>630</v>
      </c>
      <c r="AA2365">
        <v>0</v>
      </c>
      <c r="AB2365">
        <v>0</v>
      </c>
      <c r="AC2365">
        <v>45702</v>
      </c>
      <c r="AD2365">
        <v>2</v>
      </c>
      <c r="AE2365">
        <v>0</v>
      </c>
      <c r="AF2365">
        <v>0</v>
      </c>
      <c r="AG2365">
        <v>0</v>
      </c>
      <c r="AH2365">
        <v>0</v>
      </c>
    </row>
    <row r="2366" spans="2:34" x14ac:dyDescent="0.35">
      <c r="B2366" t="s">
        <v>566</v>
      </c>
      <c r="C2366">
        <v>45705</v>
      </c>
      <c r="F2366" t="s">
        <v>749</v>
      </c>
      <c r="H2366">
        <v>99.04</v>
      </c>
      <c r="O2366" t="s">
        <v>239</v>
      </c>
      <c r="P2366" t="s">
        <v>514</v>
      </c>
      <c r="Y2366">
        <v>2332</v>
      </c>
      <c r="Z2366" s="259" t="s">
        <v>630</v>
      </c>
      <c r="AA2366">
        <v>0</v>
      </c>
      <c r="AB2366">
        <v>0</v>
      </c>
      <c r="AC2366">
        <v>45705</v>
      </c>
      <c r="AD2366">
        <v>0</v>
      </c>
      <c r="AE2366">
        <v>0</v>
      </c>
      <c r="AF2366">
        <v>0</v>
      </c>
      <c r="AG2366">
        <v>0</v>
      </c>
      <c r="AH2366">
        <v>0</v>
      </c>
    </row>
    <row r="2367" spans="2:34" x14ac:dyDescent="0.35">
      <c r="B2367" t="s">
        <v>566</v>
      </c>
      <c r="C2367">
        <v>45705</v>
      </c>
      <c r="F2367" t="s">
        <v>752</v>
      </c>
      <c r="H2367">
        <v>198.56</v>
      </c>
      <c r="O2367" t="s">
        <v>239</v>
      </c>
      <c r="P2367" t="s">
        <v>514</v>
      </c>
      <c r="Y2367">
        <v>2333</v>
      </c>
      <c r="Z2367" s="259" t="s">
        <v>630</v>
      </c>
      <c r="AA2367">
        <v>0</v>
      </c>
      <c r="AB2367">
        <v>0</v>
      </c>
      <c r="AC2367">
        <v>45705</v>
      </c>
      <c r="AD2367">
        <v>0</v>
      </c>
      <c r="AE2367">
        <v>0</v>
      </c>
      <c r="AF2367">
        <v>0</v>
      </c>
      <c r="AG2367">
        <v>0</v>
      </c>
      <c r="AH2367">
        <v>0</v>
      </c>
    </row>
    <row r="2368" spans="2:34" x14ac:dyDescent="0.35">
      <c r="B2368" t="s">
        <v>566</v>
      </c>
      <c r="C2368">
        <v>45705</v>
      </c>
      <c r="F2368" t="s">
        <v>754</v>
      </c>
      <c r="H2368">
        <v>79.63</v>
      </c>
      <c r="O2368" t="s">
        <v>239</v>
      </c>
      <c r="P2368" t="s">
        <v>514</v>
      </c>
      <c r="Y2368">
        <v>2334</v>
      </c>
      <c r="Z2368" s="259" t="s">
        <v>630</v>
      </c>
      <c r="AA2368">
        <v>0</v>
      </c>
      <c r="AB2368">
        <v>0</v>
      </c>
      <c r="AC2368">
        <v>45705</v>
      </c>
      <c r="AD2368">
        <v>0</v>
      </c>
      <c r="AE2368">
        <v>0</v>
      </c>
      <c r="AF2368">
        <v>0</v>
      </c>
      <c r="AG2368">
        <v>0</v>
      </c>
      <c r="AH2368">
        <v>0</v>
      </c>
    </row>
    <row r="2369" spans="2:34" x14ac:dyDescent="0.35">
      <c r="B2369" t="s">
        <v>566</v>
      </c>
      <c r="C2369">
        <v>45706</v>
      </c>
      <c r="F2369" t="s">
        <v>749</v>
      </c>
      <c r="H2369">
        <v>98.85</v>
      </c>
      <c r="O2369" t="s">
        <v>239</v>
      </c>
      <c r="P2369" t="s">
        <v>514</v>
      </c>
      <c r="Y2369">
        <v>2335</v>
      </c>
      <c r="Z2369" s="259" t="s">
        <v>630</v>
      </c>
      <c r="AA2369">
        <v>0</v>
      </c>
      <c r="AB2369">
        <v>0</v>
      </c>
      <c r="AC2369">
        <v>45706</v>
      </c>
      <c r="AD2369">
        <v>0</v>
      </c>
      <c r="AE2369">
        <v>0</v>
      </c>
      <c r="AF2369">
        <v>0</v>
      </c>
      <c r="AG2369">
        <v>0</v>
      </c>
      <c r="AH2369">
        <v>0</v>
      </c>
    </row>
    <row r="2370" spans="2:34" x14ac:dyDescent="0.35">
      <c r="B2370" t="s">
        <v>566</v>
      </c>
      <c r="C2370">
        <v>45706</v>
      </c>
      <c r="F2370" t="s">
        <v>752</v>
      </c>
      <c r="H2370">
        <v>198.78</v>
      </c>
      <c r="O2370" t="s">
        <v>239</v>
      </c>
      <c r="P2370" t="s">
        <v>514</v>
      </c>
      <c r="Y2370">
        <v>2336</v>
      </c>
      <c r="Z2370" s="259" t="s">
        <v>630</v>
      </c>
      <c r="AA2370">
        <v>0</v>
      </c>
      <c r="AB2370">
        <v>0</v>
      </c>
      <c r="AC2370">
        <v>45706</v>
      </c>
      <c r="AD2370">
        <v>0</v>
      </c>
      <c r="AE2370">
        <v>0</v>
      </c>
      <c r="AF2370">
        <v>0</v>
      </c>
      <c r="AG2370">
        <v>0</v>
      </c>
      <c r="AH2370">
        <v>0</v>
      </c>
    </row>
    <row r="2371" spans="2:34" x14ac:dyDescent="0.35">
      <c r="B2371" t="s">
        <v>566</v>
      </c>
      <c r="C2371">
        <v>45706</v>
      </c>
      <c r="F2371" t="s">
        <v>754</v>
      </c>
      <c r="H2371">
        <v>79.48</v>
      </c>
      <c r="O2371" t="s">
        <v>239</v>
      </c>
      <c r="P2371" t="s">
        <v>514</v>
      </c>
      <c r="Y2371">
        <v>2337</v>
      </c>
      <c r="Z2371" s="259" t="s">
        <v>630</v>
      </c>
      <c r="AA2371">
        <v>0</v>
      </c>
      <c r="AB2371">
        <v>0</v>
      </c>
      <c r="AC2371">
        <v>45706</v>
      </c>
      <c r="AD2371">
        <v>0</v>
      </c>
      <c r="AE2371">
        <v>0</v>
      </c>
      <c r="AF2371">
        <v>0</v>
      </c>
      <c r="AG2371">
        <v>0</v>
      </c>
      <c r="AH2371">
        <v>0</v>
      </c>
    </row>
    <row r="2372" spans="2:34" x14ac:dyDescent="0.35">
      <c r="B2372" t="s">
        <v>566</v>
      </c>
      <c r="C2372">
        <v>45707</v>
      </c>
      <c r="F2372" t="s">
        <v>749</v>
      </c>
      <c r="H2372">
        <v>98.67</v>
      </c>
      <c r="O2372" t="s">
        <v>239</v>
      </c>
      <c r="P2372" t="s">
        <v>514</v>
      </c>
      <c r="Y2372">
        <v>2338</v>
      </c>
      <c r="Z2372" s="259" t="s">
        <v>630</v>
      </c>
      <c r="AA2372">
        <v>0</v>
      </c>
      <c r="AB2372">
        <v>0</v>
      </c>
      <c r="AC2372">
        <v>45707</v>
      </c>
      <c r="AD2372">
        <v>0</v>
      </c>
      <c r="AE2372">
        <v>0</v>
      </c>
      <c r="AF2372">
        <v>0</v>
      </c>
      <c r="AG2372">
        <v>0</v>
      </c>
      <c r="AH2372">
        <v>0</v>
      </c>
    </row>
    <row r="2373" spans="2:34" x14ac:dyDescent="0.35">
      <c r="B2373" t="s">
        <v>566</v>
      </c>
      <c r="C2373">
        <v>45707</v>
      </c>
      <c r="F2373" t="s">
        <v>752</v>
      </c>
      <c r="H2373">
        <v>199</v>
      </c>
      <c r="O2373" t="s">
        <v>239</v>
      </c>
      <c r="P2373" t="s">
        <v>514</v>
      </c>
      <c r="Y2373">
        <v>2339</v>
      </c>
      <c r="Z2373" s="259" t="s">
        <v>630</v>
      </c>
      <c r="AA2373">
        <v>0</v>
      </c>
      <c r="AB2373">
        <v>0</v>
      </c>
      <c r="AC2373">
        <v>45707</v>
      </c>
      <c r="AD2373">
        <v>0</v>
      </c>
      <c r="AE2373">
        <v>0</v>
      </c>
      <c r="AF2373">
        <v>0</v>
      </c>
      <c r="AG2373">
        <v>0</v>
      </c>
      <c r="AH2373">
        <v>0</v>
      </c>
    </row>
    <row r="2374" spans="2:34" x14ac:dyDescent="0.35">
      <c r="B2374" t="s">
        <v>566</v>
      </c>
      <c r="C2374">
        <v>45707</v>
      </c>
      <c r="F2374" t="s">
        <v>754</v>
      </c>
      <c r="H2374">
        <v>79.33</v>
      </c>
      <c r="O2374" t="s">
        <v>239</v>
      </c>
      <c r="P2374" t="s">
        <v>514</v>
      </c>
      <c r="Y2374">
        <v>2340</v>
      </c>
      <c r="Z2374" s="259" t="s">
        <v>630</v>
      </c>
      <c r="AA2374">
        <v>0</v>
      </c>
      <c r="AB2374">
        <v>0</v>
      </c>
      <c r="AC2374">
        <v>45707</v>
      </c>
      <c r="AD2374">
        <v>0</v>
      </c>
      <c r="AE2374">
        <v>0</v>
      </c>
      <c r="AF2374">
        <v>0</v>
      </c>
      <c r="AG2374">
        <v>0</v>
      </c>
      <c r="AH2374">
        <v>0</v>
      </c>
    </row>
    <row r="2375" spans="2:34" x14ac:dyDescent="0.35">
      <c r="B2375" t="s">
        <v>566</v>
      </c>
      <c r="C2375">
        <v>45708</v>
      </c>
      <c r="F2375" t="s">
        <v>749</v>
      </c>
      <c r="H2375">
        <v>98.48</v>
      </c>
      <c r="O2375" t="s">
        <v>239</v>
      </c>
      <c r="P2375" t="s">
        <v>514</v>
      </c>
      <c r="Y2375">
        <v>2341</v>
      </c>
      <c r="Z2375" s="259" t="s">
        <v>630</v>
      </c>
      <c r="AA2375">
        <v>0</v>
      </c>
      <c r="AB2375">
        <v>0</v>
      </c>
      <c r="AC2375">
        <v>45708</v>
      </c>
      <c r="AD2375">
        <v>0</v>
      </c>
      <c r="AE2375">
        <v>0</v>
      </c>
      <c r="AF2375">
        <v>0</v>
      </c>
      <c r="AG2375">
        <v>0</v>
      </c>
      <c r="AH2375">
        <v>0</v>
      </c>
    </row>
    <row r="2376" spans="2:34" x14ac:dyDescent="0.35">
      <c r="B2376" t="s">
        <v>566</v>
      </c>
      <c r="C2376">
        <v>45708</v>
      </c>
      <c r="F2376" t="s">
        <v>752</v>
      </c>
      <c r="H2376">
        <v>199.22</v>
      </c>
      <c r="O2376" t="s">
        <v>239</v>
      </c>
      <c r="P2376" t="s">
        <v>514</v>
      </c>
      <c r="Y2376">
        <v>2342</v>
      </c>
      <c r="Z2376" s="259" t="s">
        <v>630</v>
      </c>
      <c r="AA2376">
        <v>0</v>
      </c>
      <c r="AB2376">
        <v>0</v>
      </c>
      <c r="AC2376">
        <v>45708</v>
      </c>
      <c r="AD2376">
        <v>0</v>
      </c>
      <c r="AE2376">
        <v>0</v>
      </c>
      <c r="AF2376">
        <v>0</v>
      </c>
      <c r="AG2376">
        <v>0</v>
      </c>
      <c r="AH2376">
        <v>0</v>
      </c>
    </row>
    <row r="2377" spans="2:34" x14ac:dyDescent="0.35">
      <c r="B2377" t="s">
        <v>566</v>
      </c>
      <c r="C2377">
        <v>45708</v>
      </c>
      <c r="F2377" t="s">
        <v>754</v>
      </c>
      <c r="H2377">
        <v>79.19</v>
      </c>
      <c r="O2377" t="s">
        <v>239</v>
      </c>
      <c r="P2377" t="s">
        <v>514</v>
      </c>
      <c r="Y2377">
        <v>2343</v>
      </c>
      <c r="Z2377" s="259" t="s">
        <v>630</v>
      </c>
      <c r="AA2377">
        <v>0</v>
      </c>
      <c r="AB2377">
        <v>0</v>
      </c>
      <c r="AC2377">
        <v>45708</v>
      </c>
      <c r="AD2377">
        <v>0</v>
      </c>
      <c r="AE2377">
        <v>0</v>
      </c>
      <c r="AF2377">
        <v>0</v>
      </c>
      <c r="AG2377">
        <v>0</v>
      </c>
      <c r="AH2377">
        <v>0</v>
      </c>
    </row>
    <row r="2378" spans="2:34" x14ac:dyDescent="0.35">
      <c r="B2378" t="s">
        <v>566</v>
      </c>
      <c r="C2378">
        <v>45709</v>
      </c>
      <c r="F2378" t="s">
        <v>749</v>
      </c>
      <c r="H2378">
        <v>98.3</v>
      </c>
      <c r="O2378" t="s">
        <v>239</v>
      </c>
      <c r="P2378" t="s">
        <v>514</v>
      </c>
      <c r="Y2378">
        <v>2344</v>
      </c>
      <c r="Z2378" s="259" t="s">
        <v>630</v>
      </c>
      <c r="AA2378">
        <v>0</v>
      </c>
      <c r="AB2378">
        <v>0</v>
      </c>
      <c r="AC2378">
        <v>45709</v>
      </c>
      <c r="AD2378">
        <v>0</v>
      </c>
      <c r="AE2378">
        <v>0</v>
      </c>
      <c r="AF2378">
        <v>0</v>
      </c>
      <c r="AG2378">
        <v>0</v>
      </c>
      <c r="AH2378">
        <v>0</v>
      </c>
    </row>
    <row r="2379" spans="2:34" x14ac:dyDescent="0.35">
      <c r="B2379" t="s">
        <v>566</v>
      </c>
      <c r="C2379">
        <v>45709</v>
      </c>
      <c r="F2379" t="s">
        <v>752</v>
      </c>
      <c r="H2379">
        <v>199.44</v>
      </c>
      <c r="O2379" t="s">
        <v>239</v>
      </c>
      <c r="P2379" t="s">
        <v>514</v>
      </c>
      <c r="Y2379">
        <v>2345</v>
      </c>
      <c r="Z2379" s="259" t="s">
        <v>630</v>
      </c>
      <c r="AA2379">
        <v>0</v>
      </c>
      <c r="AB2379">
        <v>0</v>
      </c>
      <c r="AC2379">
        <v>45709</v>
      </c>
      <c r="AD2379">
        <v>0</v>
      </c>
      <c r="AE2379">
        <v>0</v>
      </c>
      <c r="AF2379">
        <v>0</v>
      </c>
      <c r="AG2379">
        <v>0</v>
      </c>
      <c r="AH2379">
        <v>0</v>
      </c>
    </row>
    <row r="2380" spans="2:34" x14ac:dyDescent="0.35">
      <c r="B2380" t="s">
        <v>566</v>
      </c>
      <c r="C2380">
        <v>45709</v>
      </c>
      <c r="F2380" t="s">
        <v>754</v>
      </c>
      <c r="H2380">
        <v>79.040000000000006</v>
      </c>
      <c r="O2380" t="s">
        <v>239</v>
      </c>
      <c r="P2380" t="s">
        <v>514</v>
      </c>
      <c r="Y2380">
        <v>2346</v>
      </c>
      <c r="Z2380" s="259" t="s">
        <v>630</v>
      </c>
      <c r="AA2380">
        <v>0</v>
      </c>
      <c r="AB2380">
        <v>0</v>
      </c>
      <c r="AC2380">
        <v>45709</v>
      </c>
      <c r="AD2380">
        <v>0</v>
      </c>
      <c r="AE2380">
        <v>0</v>
      </c>
      <c r="AF2380">
        <v>0</v>
      </c>
      <c r="AG2380">
        <v>0</v>
      </c>
      <c r="AH2380">
        <v>0</v>
      </c>
    </row>
    <row r="2381" spans="2:34" x14ac:dyDescent="0.35">
      <c r="B2381" t="s">
        <v>566</v>
      </c>
      <c r="C2381">
        <v>45710</v>
      </c>
      <c r="F2381" t="s">
        <v>749</v>
      </c>
      <c r="H2381">
        <v>98.3</v>
      </c>
      <c r="O2381" t="s">
        <v>239</v>
      </c>
      <c r="P2381" t="s">
        <v>514</v>
      </c>
      <c r="Y2381">
        <v>2347</v>
      </c>
      <c r="Z2381" s="259" t="s">
        <v>630</v>
      </c>
      <c r="AA2381">
        <v>0</v>
      </c>
      <c r="AB2381">
        <v>0</v>
      </c>
      <c r="AC2381">
        <v>45709</v>
      </c>
      <c r="AD2381">
        <v>1</v>
      </c>
      <c r="AE2381">
        <v>0</v>
      </c>
      <c r="AF2381">
        <v>0</v>
      </c>
      <c r="AG2381">
        <v>0</v>
      </c>
      <c r="AH2381">
        <v>0</v>
      </c>
    </row>
    <row r="2382" spans="2:34" x14ac:dyDescent="0.35">
      <c r="B2382" t="s">
        <v>566</v>
      </c>
      <c r="C2382">
        <v>45710</v>
      </c>
      <c r="F2382" t="s">
        <v>752</v>
      </c>
      <c r="H2382">
        <v>199.44</v>
      </c>
      <c r="O2382" t="s">
        <v>239</v>
      </c>
      <c r="P2382" t="s">
        <v>514</v>
      </c>
      <c r="Y2382">
        <v>2348</v>
      </c>
      <c r="Z2382" s="259" t="s">
        <v>630</v>
      </c>
      <c r="AA2382">
        <v>0</v>
      </c>
      <c r="AB2382">
        <v>0</v>
      </c>
      <c r="AC2382">
        <v>45709</v>
      </c>
      <c r="AD2382">
        <v>1</v>
      </c>
      <c r="AE2382">
        <v>0</v>
      </c>
      <c r="AF2382">
        <v>0</v>
      </c>
      <c r="AG2382">
        <v>0</v>
      </c>
      <c r="AH2382">
        <v>0</v>
      </c>
    </row>
    <row r="2383" spans="2:34" x14ac:dyDescent="0.35">
      <c r="B2383" t="s">
        <v>566</v>
      </c>
      <c r="C2383">
        <v>45710</v>
      </c>
      <c r="F2383" t="s">
        <v>754</v>
      </c>
      <c r="H2383">
        <v>79.040000000000006</v>
      </c>
      <c r="O2383" t="s">
        <v>239</v>
      </c>
      <c r="P2383" t="s">
        <v>514</v>
      </c>
      <c r="Y2383">
        <v>2349</v>
      </c>
      <c r="Z2383" s="259" t="s">
        <v>630</v>
      </c>
      <c r="AA2383">
        <v>0</v>
      </c>
      <c r="AB2383">
        <v>0</v>
      </c>
      <c r="AC2383">
        <v>45709</v>
      </c>
      <c r="AD2383">
        <v>1</v>
      </c>
      <c r="AE2383">
        <v>0</v>
      </c>
      <c r="AF2383">
        <v>0</v>
      </c>
      <c r="AG2383">
        <v>0</v>
      </c>
      <c r="AH2383">
        <v>0</v>
      </c>
    </row>
    <row r="2384" spans="2:34" x14ac:dyDescent="0.35">
      <c r="B2384" t="s">
        <v>566</v>
      </c>
      <c r="C2384">
        <v>45711</v>
      </c>
      <c r="F2384" t="s">
        <v>749</v>
      </c>
      <c r="H2384">
        <v>98.3</v>
      </c>
      <c r="O2384" t="s">
        <v>239</v>
      </c>
      <c r="P2384" t="s">
        <v>514</v>
      </c>
      <c r="Y2384">
        <v>2350</v>
      </c>
      <c r="Z2384" s="259" t="s">
        <v>630</v>
      </c>
      <c r="AA2384">
        <v>0</v>
      </c>
      <c r="AB2384">
        <v>0</v>
      </c>
      <c r="AC2384">
        <v>45709</v>
      </c>
      <c r="AD2384">
        <v>2</v>
      </c>
      <c r="AE2384">
        <v>0</v>
      </c>
      <c r="AF2384">
        <v>0</v>
      </c>
      <c r="AG2384">
        <v>0</v>
      </c>
      <c r="AH2384">
        <v>0</v>
      </c>
    </row>
    <row r="2385" spans="2:34" x14ac:dyDescent="0.35">
      <c r="B2385" t="s">
        <v>566</v>
      </c>
      <c r="C2385">
        <v>45711</v>
      </c>
      <c r="F2385" t="s">
        <v>752</v>
      </c>
      <c r="H2385">
        <v>199.44</v>
      </c>
      <c r="O2385" t="s">
        <v>239</v>
      </c>
      <c r="P2385" t="s">
        <v>514</v>
      </c>
      <c r="Y2385">
        <v>2351</v>
      </c>
      <c r="Z2385" s="259" t="s">
        <v>630</v>
      </c>
      <c r="AA2385">
        <v>0</v>
      </c>
      <c r="AB2385">
        <v>0</v>
      </c>
      <c r="AC2385">
        <v>45709</v>
      </c>
      <c r="AD2385">
        <v>2</v>
      </c>
      <c r="AE2385">
        <v>0</v>
      </c>
      <c r="AF2385">
        <v>0</v>
      </c>
      <c r="AG2385">
        <v>0</v>
      </c>
      <c r="AH2385">
        <v>0</v>
      </c>
    </row>
    <row r="2386" spans="2:34" x14ac:dyDescent="0.35">
      <c r="B2386" t="s">
        <v>566</v>
      </c>
      <c r="C2386">
        <v>45711</v>
      </c>
      <c r="F2386" t="s">
        <v>754</v>
      </c>
      <c r="H2386">
        <v>79.040000000000006</v>
      </c>
      <c r="O2386" t="s">
        <v>239</v>
      </c>
      <c r="P2386" t="s">
        <v>514</v>
      </c>
      <c r="Y2386">
        <v>2352</v>
      </c>
      <c r="Z2386" s="259" t="s">
        <v>630</v>
      </c>
      <c r="AA2386">
        <v>0</v>
      </c>
      <c r="AB2386">
        <v>0</v>
      </c>
      <c r="AC2386">
        <v>45709</v>
      </c>
      <c r="AD2386">
        <v>2</v>
      </c>
      <c r="AE2386">
        <v>0</v>
      </c>
      <c r="AF2386">
        <v>0</v>
      </c>
      <c r="AG2386">
        <v>0</v>
      </c>
      <c r="AH2386">
        <v>0</v>
      </c>
    </row>
    <row r="2387" spans="2:34" x14ac:dyDescent="0.35">
      <c r="B2387" t="s">
        <v>566</v>
      </c>
      <c r="C2387">
        <v>45712</v>
      </c>
      <c r="F2387" t="s">
        <v>749</v>
      </c>
      <c r="H2387">
        <v>97.74</v>
      </c>
      <c r="O2387" t="s">
        <v>239</v>
      </c>
      <c r="P2387" t="s">
        <v>514</v>
      </c>
      <c r="Y2387">
        <v>2353</v>
      </c>
      <c r="Z2387" s="259" t="s">
        <v>630</v>
      </c>
      <c r="AA2387">
        <v>0</v>
      </c>
      <c r="AB2387">
        <v>0</v>
      </c>
      <c r="AC2387">
        <v>45712</v>
      </c>
      <c r="AD2387">
        <v>0</v>
      </c>
      <c r="AE2387">
        <v>0</v>
      </c>
      <c r="AF2387">
        <v>0</v>
      </c>
      <c r="AG2387">
        <v>0</v>
      </c>
      <c r="AH2387">
        <v>0</v>
      </c>
    </row>
    <row r="2388" spans="2:34" x14ac:dyDescent="0.35">
      <c r="B2388" t="s">
        <v>566</v>
      </c>
      <c r="C2388">
        <v>45712</v>
      </c>
      <c r="F2388" t="s">
        <v>752</v>
      </c>
      <c r="H2388">
        <v>200.11</v>
      </c>
      <c r="O2388" t="s">
        <v>239</v>
      </c>
      <c r="P2388" t="s">
        <v>514</v>
      </c>
      <c r="Y2388">
        <v>2354</v>
      </c>
      <c r="Z2388" s="259" t="s">
        <v>630</v>
      </c>
      <c r="AA2388">
        <v>0</v>
      </c>
      <c r="AB2388">
        <v>0</v>
      </c>
      <c r="AC2388">
        <v>45712</v>
      </c>
      <c r="AD2388">
        <v>0</v>
      </c>
      <c r="AE2388">
        <v>0</v>
      </c>
      <c r="AF2388">
        <v>0</v>
      </c>
      <c r="AG2388">
        <v>0</v>
      </c>
      <c r="AH2388">
        <v>0</v>
      </c>
    </row>
    <row r="2389" spans="2:34" x14ac:dyDescent="0.35">
      <c r="B2389" t="s">
        <v>566</v>
      </c>
      <c r="C2389">
        <v>45712</v>
      </c>
      <c r="F2389" t="s">
        <v>754</v>
      </c>
      <c r="H2389">
        <v>78.59</v>
      </c>
      <c r="O2389" t="s">
        <v>239</v>
      </c>
      <c r="P2389" t="s">
        <v>514</v>
      </c>
      <c r="Y2389">
        <v>2355</v>
      </c>
      <c r="Z2389" s="259" t="s">
        <v>630</v>
      </c>
      <c r="AA2389">
        <v>0</v>
      </c>
      <c r="AB2389">
        <v>0</v>
      </c>
      <c r="AC2389">
        <v>45712</v>
      </c>
      <c r="AD2389">
        <v>0</v>
      </c>
      <c r="AE2389">
        <v>0</v>
      </c>
      <c r="AF2389">
        <v>0</v>
      </c>
      <c r="AG2389">
        <v>0</v>
      </c>
      <c r="AH2389">
        <v>0</v>
      </c>
    </row>
    <row r="2390" spans="2:34" x14ac:dyDescent="0.35">
      <c r="B2390" t="s">
        <v>566</v>
      </c>
      <c r="C2390">
        <v>45713</v>
      </c>
      <c r="F2390" t="s">
        <v>749</v>
      </c>
      <c r="H2390">
        <v>97.56</v>
      </c>
      <c r="O2390" t="s">
        <v>239</v>
      </c>
      <c r="P2390" t="s">
        <v>514</v>
      </c>
      <c r="Y2390">
        <v>2356</v>
      </c>
      <c r="Z2390" s="259" t="s">
        <v>630</v>
      </c>
      <c r="AA2390">
        <v>0</v>
      </c>
      <c r="AB2390">
        <v>0</v>
      </c>
      <c r="AC2390">
        <v>45713</v>
      </c>
      <c r="AD2390">
        <v>0</v>
      </c>
      <c r="AE2390">
        <v>0</v>
      </c>
      <c r="AF2390">
        <v>0</v>
      </c>
      <c r="AG2390">
        <v>0</v>
      </c>
      <c r="AH2390">
        <v>0</v>
      </c>
    </row>
    <row r="2391" spans="2:34" x14ac:dyDescent="0.35">
      <c r="B2391" t="s">
        <v>566</v>
      </c>
      <c r="C2391">
        <v>45713</v>
      </c>
      <c r="F2391" t="s">
        <v>752</v>
      </c>
      <c r="H2391">
        <v>200.33</v>
      </c>
      <c r="O2391" t="s">
        <v>239</v>
      </c>
      <c r="P2391" t="s">
        <v>514</v>
      </c>
      <c r="Y2391">
        <v>2357</v>
      </c>
      <c r="Z2391" s="259" t="s">
        <v>630</v>
      </c>
      <c r="AA2391">
        <v>0</v>
      </c>
      <c r="AB2391">
        <v>0</v>
      </c>
      <c r="AC2391">
        <v>45713</v>
      </c>
      <c r="AD2391">
        <v>0</v>
      </c>
      <c r="AE2391">
        <v>0</v>
      </c>
      <c r="AF2391">
        <v>0</v>
      </c>
      <c r="AG2391">
        <v>0</v>
      </c>
      <c r="AH2391">
        <v>0</v>
      </c>
    </row>
    <row r="2392" spans="2:34" x14ac:dyDescent="0.35">
      <c r="B2392" t="s">
        <v>566</v>
      </c>
      <c r="C2392">
        <v>45713</v>
      </c>
      <c r="F2392" t="s">
        <v>754</v>
      </c>
      <c r="H2392">
        <v>78.44</v>
      </c>
      <c r="O2392" t="s">
        <v>239</v>
      </c>
      <c r="P2392" t="s">
        <v>514</v>
      </c>
      <c r="Y2392">
        <v>2358</v>
      </c>
      <c r="Z2392" s="259" t="s">
        <v>630</v>
      </c>
      <c r="AA2392">
        <v>0</v>
      </c>
      <c r="AB2392">
        <v>0</v>
      </c>
      <c r="AC2392">
        <v>45713</v>
      </c>
      <c r="AD2392">
        <v>0</v>
      </c>
      <c r="AE2392">
        <v>0</v>
      </c>
      <c r="AF2392">
        <v>0</v>
      </c>
      <c r="AG2392">
        <v>0</v>
      </c>
      <c r="AH2392">
        <v>0</v>
      </c>
    </row>
    <row r="2393" spans="2:34" x14ac:dyDescent="0.35">
      <c r="B2393" t="s">
        <v>566</v>
      </c>
      <c r="C2393">
        <v>45714</v>
      </c>
      <c r="F2393" t="s">
        <v>749</v>
      </c>
      <c r="H2393">
        <v>97.37</v>
      </c>
      <c r="O2393" t="s">
        <v>239</v>
      </c>
      <c r="P2393" t="s">
        <v>514</v>
      </c>
      <c r="Y2393">
        <v>2359</v>
      </c>
      <c r="Z2393" s="259" t="s">
        <v>630</v>
      </c>
      <c r="AA2393">
        <v>0</v>
      </c>
      <c r="AB2393">
        <v>0</v>
      </c>
      <c r="AC2393">
        <v>45714</v>
      </c>
      <c r="AD2393">
        <v>0</v>
      </c>
      <c r="AE2393">
        <v>0</v>
      </c>
      <c r="AF2393">
        <v>0</v>
      </c>
      <c r="AG2393">
        <v>0</v>
      </c>
      <c r="AH2393">
        <v>0</v>
      </c>
    </row>
    <row r="2394" spans="2:34" x14ac:dyDescent="0.35">
      <c r="B2394" t="s">
        <v>566</v>
      </c>
      <c r="C2394">
        <v>45714</v>
      </c>
      <c r="F2394" t="s">
        <v>752</v>
      </c>
      <c r="H2394">
        <v>200.56</v>
      </c>
      <c r="O2394" t="s">
        <v>239</v>
      </c>
      <c r="P2394" t="s">
        <v>514</v>
      </c>
      <c r="Y2394">
        <v>2360</v>
      </c>
      <c r="Z2394" s="259" t="s">
        <v>630</v>
      </c>
      <c r="AA2394">
        <v>0</v>
      </c>
      <c r="AB2394">
        <v>0</v>
      </c>
      <c r="AC2394">
        <v>45714</v>
      </c>
      <c r="AD2394">
        <v>0</v>
      </c>
      <c r="AE2394">
        <v>0</v>
      </c>
      <c r="AF2394">
        <v>0</v>
      </c>
      <c r="AG2394">
        <v>0</v>
      </c>
      <c r="AH2394">
        <v>0</v>
      </c>
    </row>
    <row r="2395" spans="2:34" x14ac:dyDescent="0.35">
      <c r="B2395" t="s">
        <v>566</v>
      </c>
      <c r="C2395">
        <v>45714</v>
      </c>
      <c r="F2395" t="s">
        <v>754</v>
      </c>
      <c r="H2395">
        <v>78.3</v>
      </c>
      <c r="O2395" t="s">
        <v>239</v>
      </c>
      <c r="P2395" t="s">
        <v>514</v>
      </c>
      <c r="Y2395">
        <v>2361</v>
      </c>
      <c r="Z2395" s="259" t="s">
        <v>630</v>
      </c>
      <c r="AA2395">
        <v>0</v>
      </c>
      <c r="AB2395">
        <v>0</v>
      </c>
      <c r="AC2395">
        <v>45714</v>
      </c>
      <c r="AD2395">
        <v>0</v>
      </c>
      <c r="AE2395">
        <v>0</v>
      </c>
      <c r="AF2395">
        <v>0</v>
      </c>
      <c r="AG2395">
        <v>0</v>
      </c>
      <c r="AH2395">
        <v>0</v>
      </c>
    </row>
    <row r="2396" spans="2:34" x14ac:dyDescent="0.35">
      <c r="B2396" t="s">
        <v>566</v>
      </c>
      <c r="C2396">
        <v>45715</v>
      </c>
      <c r="F2396" t="s">
        <v>749</v>
      </c>
      <c r="H2396">
        <v>97.19</v>
      </c>
      <c r="O2396" t="s">
        <v>239</v>
      </c>
      <c r="P2396" t="s">
        <v>514</v>
      </c>
      <c r="Y2396">
        <v>2362</v>
      </c>
      <c r="Z2396" s="259" t="s">
        <v>630</v>
      </c>
      <c r="AA2396">
        <v>0</v>
      </c>
      <c r="AB2396">
        <v>0</v>
      </c>
      <c r="AC2396">
        <v>45715</v>
      </c>
      <c r="AD2396">
        <v>0</v>
      </c>
      <c r="AE2396">
        <v>0</v>
      </c>
      <c r="AF2396">
        <v>0</v>
      </c>
      <c r="AG2396">
        <v>0</v>
      </c>
      <c r="AH2396">
        <v>0</v>
      </c>
    </row>
    <row r="2397" spans="2:34" x14ac:dyDescent="0.35">
      <c r="B2397" t="s">
        <v>566</v>
      </c>
      <c r="C2397">
        <v>45715</v>
      </c>
      <c r="F2397" t="s">
        <v>752</v>
      </c>
      <c r="H2397">
        <v>200.78</v>
      </c>
      <c r="O2397" t="s">
        <v>239</v>
      </c>
      <c r="P2397" t="s">
        <v>514</v>
      </c>
      <c r="Y2397">
        <v>2363</v>
      </c>
      <c r="Z2397" s="259" t="s">
        <v>630</v>
      </c>
      <c r="AA2397">
        <v>0</v>
      </c>
      <c r="AB2397">
        <v>0</v>
      </c>
      <c r="AC2397">
        <v>45715</v>
      </c>
      <c r="AD2397">
        <v>0</v>
      </c>
      <c r="AE2397">
        <v>0</v>
      </c>
      <c r="AF2397">
        <v>0</v>
      </c>
      <c r="AG2397">
        <v>0</v>
      </c>
      <c r="AH2397">
        <v>0</v>
      </c>
    </row>
    <row r="2398" spans="2:34" x14ac:dyDescent="0.35">
      <c r="B2398" t="s">
        <v>566</v>
      </c>
      <c r="C2398">
        <v>45715</v>
      </c>
      <c r="F2398" t="s">
        <v>754</v>
      </c>
      <c r="H2398">
        <v>78.150000000000006</v>
      </c>
      <c r="O2398" t="s">
        <v>239</v>
      </c>
      <c r="P2398" t="s">
        <v>514</v>
      </c>
      <c r="Y2398">
        <v>2364</v>
      </c>
      <c r="Z2398" s="259" t="s">
        <v>630</v>
      </c>
      <c r="AA2398">
        <v>0</v>
      </c>
      <c r="AB2398">
        <v>0</v>
      </c>
      <c r="AC2398">
        <v>45715</v>
      </c>
      <c r="AD2398">
        <v>0</v>
      </c>
      <c r="AE2398">
        <v>0</v>
      </c>
      <c r="AF2398">
        <v>0</v>
      </c>
      <c r="AG2398">
        <v>0</v>
      </c>
      <c r="AH2398">
        <v>0</v>
      </c>
    </row>
    <row r="2399" spans="2:34" x14ac:dyDescent="0.35">
      <c r="B2399" t="s">
        <v>566</v>
      </c>
      <c r="C2399">
        <v>45716</v>
      </c>
      <c r="F2399" t="s">
        <v>749</v>
      </c>
      <c r="H2399">
        <v>97</v>
      </c>
      <c r="O2399" t="s">
        <v>239</v>
      </c>
      <c r="P2399" t="s">
        <v>514</v>
      </c>
      <c r="Y2399">
        <v>2365</v>
      </c>
      <c r="Z2399" s="259" t="s">
        <v>630</v>
      </c>
      <c r="AA2399">
        <v>0</v>
      </c>
      <c r="AB2399">
        <v>0</v>
      </c>
      <c r="AC2399">
        <v>45716</v>
      </c>
      <c r="AD2399">
        <v>0</v>
      </c>
      <c r="AE2399">
        <v>0</v>
      </c>
      <c r="AF2399">
        <v>0</v>
      </c>
      <c r="AG2399">
        <v>0</v>
      </c>
      <c r="AH2399">
        <v>0</v>
      </c>
    </row>
    <row r="2400" spans="2:34" x14ac:dyDescent="0.35">
      <c r="B2400" t="s">
        <v>566</v>
      </c>
      <c r="C2400">
        <v>45716</v>
      </c>
      <c r="F2400" t="s">
        <v>752</v>
      </c>
      <c r="H2400">
        <v>201</v>
      </c>
      <c r="O2400" t="s">
        <v>239</v>
      </c>
      <c r="P2400" t="s">
        <v>514</v>
      </c>
      <c r="Y2400">
        <v>2366</v>
      </c>
      <c r="Z2400" s="259" t="s">
        <v>630</v>
      </c>
      <c r="AA2400">
        <v>0</v>
      </c>
      <c r="AB2400">
        <v>0</v>
      </c>
      <c r="AC2400">
        <v>45716</v>
      </c>
      <c r="AD2400">
        <v>0</v>
      </c>
      <c r="AE2400">
        <v>0</v>
      </c>
      <c r="AF2400">
        <v>0</v>
      </c>
      <c r="AG2400">
        <v>0</v>
      </c>
      <c r="AH2400">
        <v>0</v>
      </c>
    </row>
    <row r="2401" spans="2:34" x14ac:dyDescent="0.35">
      <c r="B2401" t="s">
        <v>566</v>
      </c>
      <c r="C2401">
        <v>45716</v>
      </c>
      <c r="F2401" t="s">
        <v>754</v>
      </c>
      <c r="H2401">
        <v>78</v>
      </c>
      <c r="O2401" t="s">
        <v>239</v>
      </c>
      <c r="P2401" t="s">
        <v>514</v>
      </c>
      <c r="Y2401">
        <v>2367</v>
      </c>
      <c r="Z2401" s="259" t="s">
        <v>630</v>
      </c>
      <c r="AA2401">
        <v>0</v>
      </c>
      <c r="AB2401">
        <v>0</v>
      </c>
      <c r="AC2401">
        <v>45716</v>
      </c>
      <c r="AD2401">
        <v>0</v>
      </c>
      <c r="AE2401">
        <v>0</v>
      </c>
      <c r="AF2401">
        <v>0</v>
      </c>
      <c r="AG2401">
        <v>0</v>
      </c>
      <c r="AH2401">
        <v>0</v>
      </c>
    </row>
    <row r="2402" spans="2:34" x14ac:dyDescent="0.35">
      <c r="B2402" t="s">
        <v>566</v>
      </c>
      <c r="C2402">
        <v>45717</v>
      </c>
      <c r="F2402" t="s">
        <v>749</v>
      </c>
      <c r="H2402">
        <v>97</v>
      </c>
      <c r="O2402" t="s">
        <v>239</v>
      </c>
      <c r="P2402" t="s">
        <v>514</v>
      </c>
      <c r="Y2402">
        <v>2368</v>
      </c>
      <c r="Z2402" s="259" t="s">
        <v>630</v>
      </c>
      <c r="AA2402">
        <v>0</v>
      </c>
      <c r="AB2402">
        <v>0</v>
      </c>
      <c r="AC2402">
        <v>45716</v>
      </c>
      <c r="AD2402">
        <v>1</v>
      </c>
      <c r="AE2402">
        <v>0</v>
      </c>
      <c r="AF2402">
        <v>0</v>
      </c>
      <c r="AG2402">
        <v>0</v>
      </c>
      <c r="AH2402">
        <v>0</v>
      </c>
    </row>
    <row r="2403" spans="2:34" x14ac:dyDescent="0.35">
      <c r="B2403" t="s">
        <v>566</v>
      </c>
      <c r="C2403">
        <v>45717</v>
      </c>
      <c r="F2403" t="s">
        <v>752</v>
      </c>
      <c r="H2403">
        <v>201</v>
      </c>
      <c r="O2403" t="s">
        <v>239</v>
      </c>
      <c r="P2403" t="s">
        <v>514</v>
      </c>
      <c r="Y2403">
        <v>2369</v>
      </c>
      <c r="Z2403" s="259" t="s">
        <v>630</v>
      </c>
      <c r="AA2403">
        <v>0</v>
      </c>
      <c r="AB2403">
        <v>0</v>
      </c>
      <c r="AC2403">
        <v>45716</v>
      </c>
      <c r="AD2403">
        <v>1</v>
      </c>
      <c r="AE2403">
        <v>0</v>
      </c>
      <c r="AF2403">
        <v>0</v>
      </c>
      <c r="AG2403">
        <v>0</v>
      </c>
      <c r="AH2403">
        <v>0</v>
      </c>
    </row>
    <row r="2404" spans="2:34" x14ac:dyDescent="0.35">
      <c r="B2404" t="s">
        <v>566</v>
      </c>
      <c r="C2404">
        <v>45717</v>
      </c>
      <c r="F2404" t="s">
        <v>754</v>
      </c>
      <c r="H2404">
        <v>78</v>
      </c>
      <c r="O2404" t="s">
        <v>239</v>
      </c>
      <c r="P2404" t="s">
        <v>514</v>
      </c>
      <c r="Y2404">
        <v>2370</v>
      </c>
      <c r="Z2404" s="259" t="s">
        <v>630</v>
      </c>
      <c r="AA2404">
        <v>0</v>
      </c>
      <c r="AB2404">
        <v>0</v>
      </c>
      <c r="AC2404">
        <v>45716</v>
      </c>
      <c r="AD2404">
        <v>1</v>
      </c>
      <c r="AE2404">
        <v>0</v>
      </c>
      <c r="AF2404">
        <v>0</v>
      </c>
      <c r="AG2404">
        <v>0</v>
      </c>
      <c r="AH2404">
        <v>0</v>
      </c>
    </row>
    <row r="2405" spans="2:34" x14ac:dyDescent="0.35">
      <c r="B2405" t="s">
        <v>566</v>
      </c>
      <c r="C2405">
        <v>45718</v>
      </c>
      <c r="F2405" t="s">
        <v>749</v>
      </c>
      <c r="H2405">
        <v>97</v>
      </c>
      <c r="O2405" t="s">
        <v>239</v>
      </c>
      <c r="P2405" t="s">
        <v>514</v>
      </c>
      <c r="Y2405">
        <v>2371</v>
      </c>
      <c r="Z2405" s="259" t="s">
        <v>630</v>
      </c>
      <c r="AA2405">
        <v>0</v>
      </c>
      <c r="AB2405">
        <v>0</v>
      </c>
      <c r="AC2405">
        <v>45716</v>
      </c>
      <c r="AD2405">
        <v>2</v>
      </c>
      <c r="AE2405">
        <v>0</v>
      </c>
      <c r="AF2405">
        <v>0</v>
      </c>
      <c r="AG2405">
        <v>0</v>
      </c>
      <c r="AH2405">
        <v>0</v>
      </c>
    </row>
    <row r="2406" spans="2:34" x14ac:dyDescent="0.35">
      <c r="B2406" t="s">
        <v>566</v>
      </c>
      <c r="C2406">
        <v>45718</v>
      </c>
      <c r="F2406" t="s">
        <v>752</v>
      </c>
      <c r="H2406">
        <v>201</v>
      </c>
      <c r="O2406" t="s">
        <v>239</v>
      </c>
      <c r="P2406" t="s">
        <v>514</v>
      </c>
      <c r="Y2406">
        <v>2372</v>
      </c>
      <c r="Z2406" s="259" t="s">
        <v>630</v>
      </c>
      <c r="AA2406">
        <v>0</v>
      </c>
      <c r="AB2406">
        <v>0</v>
      </c>
      <c r="AC2406">
        <v>45716</v>
      </c>
      <c r="AD2406">
        <v>2</v>
      </c>
      <c r="AE2406">
        <v>0</v>
      </c>
      <c r="AF2406">
        <v>0</v>
      </c>
      <c r="AG2406">
        <v>0</v>
      </c>
      <c r="AH2406">
        <v>0</v>
      </c>
    </row>
    <row r="2407" spans="2:34" x14ac:dyDescent="0.35">
      <c r="B2407" t="s">
        <v>566</v>
      </c>
      <c r="C2407">
        <v>45718</v>
      </c>
      <c r="F2407" t="s">
        <v>754</v>
      </c>
      <c r="H2407">
        <v>78</v>
      </c>
      <c r="O2407" t="s">
        <v>239</v>
      </c>
      <c r="P2407" t="s">
        <v>514</v>
      </c>
      <c r="Y2407">
        <v>2373</v>
      </c>
      <c r="Z2407" s="259" t="s">
        <v>630</v>
      </c>
      <c r="AA2407">
        <v>0</v>
      </c>
      <c r="AB2407">
        <v>0</v>
      </c>
      <c r="AC2407">
        <v>45716</v>
      </c>
      <c r="AD2407">
        <v>2</v>
      </c>
      <c r="AE2407">
        <v>0</v>
      </c>
      <c r="AF2407">
        <v>0</v>
      </c>
      <c r="AG2407">
        <v>0</v>
      </c>
      <c r="AH2407">
        <v>0</v>
      </c>
    </row>
    <row r="2408" spans="2:34" x14ac:dyDescent="0.35">
      <c r="B2408" t="s">
        <v>566</v>
      </c>
      <c r="C2408">
        <v>45719</v>
      </c>
      <c r="F2408" t="s">
        <v>749</v>
      </c>
      <c r="H2408">
        <v>97.6</v>
      </c>
      <c r="O2408" t="s">
        <v>239</v>
      </c>
      <c r="P2408" t="s">
        <v>514</v>
      </c>
      <c r="Y2408">
        <v>2374</v>
      </c>
      <c r="Z2408" s="259" t="s">
        <v>630</v>
      </c>
      <c r="AA2408">
        <v>0</v>
      </c>
      <c r="AB2408">
        <v>0</v>
      </c>
      <c r="AC2408">
        <v>45719</v>
      </c>
      <c r="AD2408">
        <v>0</v>
      </c>
      <c r="AE2408">
        <v>0</v>
      </c>
      <c r="AF2408">
        <v>0</v>
      </c>
      <c r="AG2408">
        <v>0</v>
      </c>
      <c r="AH2408">
        <v>0</v>
      </c>
    </row>
    <row r="2409" spans="2:34" x14ac:dyDescent="0.35">
      <c r="B2409" t="s">
        <v>566</v>
      </c>
      <c r="C2409">
        <v>45719</v>
      </c>
      <c r="F2409" t="s">
        <v>752</v>
      </c>
      <c r="H2409">
        <v>200.8</v>
      </c>
      <c r="O2409" t="s">
        <v>239</v>
      </c>
      <c r="P2409" t="s">
        <v>514</v>
      </c>
      <c r="Y2409">
        <v>2375</v>
      </c>
      <c r="Z2409" s="259" t="s">
        <v>630</v>
      </c>
      <c r="AA2409">
        <v>0</v>
      </c>
      <c r="AB2409">
        <v>0</v>
      </c>
      <c r="AC2409">
        <v>45719</v>
      </c>
      <c r="AD2409">
        <v>0</v>
      </c>
      <c r="AE2409">
        <v>0</v>
      </c>
      <c r="AF2409">
        <v>0</v>
      </c>
      <c r="AG2409">
        <v>0</v>
      </c>
      <c r="AH2409">
        <v>0</v>
      </c>
    </row>
    <row r="2410" spans="2:34" x14ac:dyDescent="0.35">
      <c r="B2410" t="s">
        <v>566</v>
      </c>
      <c r="C2410">
        <v>45719</v>
      </c>
      <c r="F2410" t="s">
        <v>754</v>
      </c>
      <c r="H2410">
        <v>77.8</v>
      </c>
      <c r="O2410" t="s">
        <v>239</v>
      </c>
      <c r="P2410" t="s">
        <v>514</v>
      </c>
      <c r="Y2410">
        <v>2376</v>
      </c>
      <c r="Z2410" s="259" t="s">
        <v>630</v>
      </c>
      <c r="AA2410">
        <v>0</v>
      </c>
      <c r="AB2410">
        <v>0</v>
      </c>
      <c r="AC2410">
        <v>45719</v>
      </c>
      <c r="AD2410">
        <v>0</v>
      </c>
      <c r="AE2410">
        <v>0</v>
      </c>
      <c r="AF2410">
        <v>0</v>
      </c>
      <c r="AG2410">
        <v>0</v>
      </c>
      <c r="AH2410">
        <v>0</v>
      </c>
    </row>
    <row r="2411" spans="2:34" x14ac:dyDescent="0.35">
      <c r="B2411" t="s">
        <v>566</v>
      </c>
      <c r="C2411">
        <v>45720</v>
      </c>
      <c r="F2411" t="s">
        <v>749</v>
      </c>
      <c r="H2411">
        <v>97.9</v>
      </c>
      <c r="O2411" t="s">
        <v>239</v>
      </c>
      <c r="P2411" t="s">
        <v>514</v>
      </c>
      <c r="Y2411">
        <v>2377</v>
      </c>
      <c r="Z2411" s="259" t="s">
        <v>630</v>
      </c>
      <c r="AA2411">
        <v>0</v>
      </c>
      <c r="AB2411">
        <v>0</v>
      </c>
      <c r="AC2411">
        <v>45720</v>
      </c>
      <c r="AD2411">
        <v>0</v>
      </c>
      <c r="AE2411">
        <v>0</v>
      </c>
      <c r="AF2411">
        <v>0</v>
      </c>
      <c r="AG2411">
        <v>0</v>
      </c>
      <c r="AH2411">
        <v>0</v>
      </c>
    </row>
    <row r="2412" spans="2:34" x14ac:dyDescent="0.35">
      <c r="B2412" t="s">
        <v>566</v>
      </c>
      <c r="C2412">
        <v>45720</v>
      </c>
      <c r="F2412" t="s">
        <v>752</v>
      </c>
      <c r="H2412">
        <v>200.7</v>
      </c>
      <c r="O2412" t="s">
        <v>239</v>
      </c>
      <c r="P2412" t="s">
        <v>514</v>
      </c>
      <c r="Y2412">
        <v>2378</v>
      </c>
      <c r="Z2412" s="259" t="s">
        <v>630</v>
      </c>
      <c r="AA2412">
        <v>0</v>
      </c>
      <c r="AB2412">
        <v>0</v>
      </c>
      <c r="AC2412">
        <v>45720</v>
      </c>
      <c r="AD2412">
        <v>0</v>
      </c>
      <c r="AE2412">
        <v>0</v>
      </c>
      <c r="AF2412">
        <v>0</v>
      </c>
      <c r="AG2412">
        <v>0</v>
      </c>
      <c r="AH2412">
        <v>0</v>
      </c>
    </row>
    <row r="2413" spans="2:34" x14ac:dyDescent="0.35">
      <c r="B2413" t="s">
        <v>566</v>
      </c>
      <c r="C2413">
        <v>45720</v>
      </c>
      <c r="F2413" t="s">
        <v>754</v>
      </c>
      <c r="H2413">
        <v>77.7</v>
      </c>
      <c r="O2413" t="s">
        <v>239</v>
      </c>
      <c r="P2413" t="s">
        <v>514</v>
      </c>
      <c r="Y2413">
        <v>2379</v>
      </c>
      <c r="Z2413" s="259" t="s">
        <v>630</v>
      </c>
      <c r="AA2413">
        <v>0</v>
      </c>
      <c r="AB2413">
        <v>0</v>
      </c>
      <c r="AC2413">
        <v>45720</v>
      </c>
      <c r="AD2413">
        <v>0</v>
      </c>
      <c r="AE2413">
        <v>0</v>
      </c>
      <c r="AF2413">
        <v>0</v>
      </c>
      <c r="AG2413">
        <v>0</v>
      </c>
      <c r="AH2413">
        <v>0</v>
      </c>
    </row>
    <row r="2414" spans="2:34" x14ac:dyDescent="0.35">
      <c r="B2414" t="s">
        <v>566</v>
      </c>
      <c r="C2414">
        <v>45721</v>
      </c>
      <c r="F2414" t="s">
        <v>749</v>
      </c>
      <c r="H2414">
        <v>98.2</v>
      </c>
      <c r="O2414" t="s">
        <v>239</v>
      </c>
      <c r="P2414" t="s">
        <v>514</v>
      </c>
      <c r="Y2414">
        <v>2380</v>
      </c>
      <c r="Z2414" s="259" t="s">
        <v>630</v>
      </c>
      <c r="AA2414">
        <v>0</v>
      </c>
      <c r="AB2414">
        <v>0</v>
      </c>
      <c r="AC2414">
        <v>45721</v>
      </c>
      <c r="AD2414">
        <v>0</v>
      </c>
      <c r="AE2414">
        <v>0</v>
      </c>
      <c r="AF2414">
        <v>0</v>
      </c>
      <c r="AG2414">
        <v>0</v>
      </c>
      <c r="AH2414">
        <v>0</v>
      </c>
    </row>
    <row r="2415" spans="2:34" x14ac:dyDescent="0.35">
      <c r="B2415" t="s">
        <v>566</v>
      </c>
      <c r="C2415">
        <v>45721</v>
      </c>
      <c r="F2415" t="s">
        <v>752</v>
      </c>
      <c r="H2415">
        <v>200.6</v>
      </c>
      <c r="O2415" t="s">
        <v>239</v>
      </c>
      <c r="P2415" t="s">
        <v>514</v>
      </c>
      <c r="Y2415">
        <v>2381</v>
      </c>
      <c r="Z2415" s="259" t="s">
        <v>630</v>
      </c>
      <c r="AA2415">
        <v>0</v>
      </c>
      <c r="AB2415">
        <v>0</v>
      </c>
      <c r="AC2415">
        <v>45721</v>
      </c>
      <c r="AD2415">
        <v>0</v>
      </c>
      <c r="AE2415">
        <v>0</v>
      </c>
      <c r="AF2415">
        <v>0</v>
      </c>
      <c r="AG2415">
        <v>0</v>
      </c>
      <c r="AH2415">
        <v>0</v>
      </c>
    </row>
    <row r="2416" spans="2:34" x14ac:dyDescent="0.35">
      <c r="B2416" t="s">
        <v>566</v>
      </c>
      <c r="C2416">
        <v>45721</v>
      </c>
      <c r="F2416" t="s">
        <v>754</v>
      </c>
      <c r="H2416">
        <v>77.599999999999994</v>
      </c>
      <c r="O2416" t="s">
        <v>239</v>
      </c>
      <c r="P2416" t="s">
        <v>514</v>
      </c>
      <c r="Y2416">
        <v>2382</v>
      </c>
      <c r="Z2416" s="259" t="s">
        <v>630</v>
      </c>
      <c r="AA2416">
        <v>0</v>
      </c>
      <c r="AB2416">
        <v>0</v>
      </c>
      <c r="AC2416">
        <v>45721</v>
      </c>
      <c r="AD2416">
        <v>0</v>
      </c>
      <c r="AE2416">
        <v>0</v>
      </c>
      <c r="AF2416">
        <v>0</v>
      </c>
      <c r="AG2416">
        <v>0</v>
      </c>
      <c r="AH2416">
        <v>0</v>
      </c>
    </row>
    <row r="2417" spans="2:34" x14ac:dyDescent="0.35">
      <c r="B2417" t="s">
        <v>566</v>
      </c>
      <c r="C2417">
        <v>45722</v>
      </c>
      <c r="F2417" t="s">
        <v>749</v>
      </c>
      <c r="H2417">
        <v>98.5</v>
      </c>
      <c r="O2417" t="s">
        <v>239</v>
      </c>
      <c r="P2417" t="s">
        <v>514</v>
      </c>
      <c r="Y2417">
        <v>2383</v>
      </c>
      <c r="Z2417" s="259" t="s">
        <v>630</v>
      </c>
      <c r="AA2417">
        <v>0</v>
      </c>
      <c r="AB2417">
        <v>0</v>
      </c>
      <c r="AC2417">
        <v>45722</v>
      </c>
      <c r="AD2417">
        <v>0</v>
      </c>
      <c r="AE2417">
        <v>0</v>
      </c>
      <c r="AF2417">
        <v>0</v>
      </c>
      <c r="AG2417">
        <v>0</v>
      </c>
      <c r="AH2417">
        <v>0</v>
      </c>
    </row>
    <row r="2418" spans="2:34" x14ac:dyDescent="0.35">
      <c r="B2418" t="s">
        <v>566</v>
      </c>
      <c r="C2418">
        <v>45722</v>
      </c>
      <c r="F2418" t="s">
        <v>752</v>
      </c>
      <c r="H2418">
        <v>200.5</v>
      </c>
      <c r="O2418" t="s">
        <v>239</v>
      </c>
      <c r="P2418" t="s">
        <v>514</v>
      </c>
      <c r="Y2418">
        <v>2384</v>
      </c>
      <c r="Z2418" s="259" t="s">
        <v>630</v>
      </c>
      <c r="AA2418">
        <v>0</v>
      </c>
      <c r="AB2418">
        <v>0</v>
      </c>
      <c r="AC2418">
        <v>45722</v>
      </c>
      <c r="AD2418">
        <v>0</v>
      </c>
      <c r="AE2418">
        <v>0</v>
      </c>
      <c r="AF2418">
        <v>0</v>
      </c>
      <c r="AG2418">
        <v>0</v>
      </c>
      <c r="AH2418">
        <v>0</v>
      </c>
    </row>
    <row r="2419" spans="2:34" x14ac:dyDescent="0.35">
      <c r="B2419" t="s">
        <v>566</v>
      </c>
      <c r="C2419">
        <v>45722</v>
      </c>
      <c r="F2419" t="s">
        <v>754</v>
      </c>
      <c r="H2419">
        <v>77.5</v>
      </c>
      <c r="O2419" t="s">
        <v>239</v>
      </c>
      <c r="P2419" t="s">
        <v>514</v>
      </c>
      <c r="Y2419">
        <v>2385</v>
      </c>
      <c r="Z2419" s="259" t="s">
        <v>630</v>
      </c>
      <c r="AA2419">
        <v>0</v>
      </c>
      <c r="AB2419">
        <v>0</v>
      </c>
      <c r="AC2419">
        <v>45722</v>
      </c>
      <c r="AD2419">
        <v>0</v>
      </c>
      <c r="AE2419">
        <v>0</v>
      </c>
      <c r="AF2419">
        <v>0</v>
      </c>
      <c r="AG2419">
        <v>0</v>
      </c>
      <c r="AH2419">
        <v>0</v>
      </c>
    </row>
    <row r="2420" spans="2:34" x14ac:dyDescent="0.35">
      <c r="B2420" t="s">
        <v>566</v>
      </c>
      <c r="C2420">
        <v>45723</v>
      </c>
      <c r="F2420" t="s">
        <v>749</v>
      </c>
      <c r="H2420">
        <v>98.8</v>
      </c>
      <c r="O2420" t="s">
        <v>239</v>
      </c>
      <c r="P2420" t="s">
        <v>514</v>
      </c>
      <c r="Y2420">
        <v>2386</v>
      </c>
      <c r="Z2420" s="259" t="s">
        <v>630</v>
      </c>
      <c r="AA2420">
        <v>0</v>
      </c>
      <c r="AB2420">
        <v>0</v>
      </c>
      <c r="AC2420">
        <v>45723</v>
      </c>
      <c r="AD2420">
        <v>0</v>
      </c>
      <c r="AE2420">
        <v>0</v>
      </c>
      <c r="AF2420">
        <v>0</v>
      </c>
      <c r="AG2420">
        <v>0</v>
      </c>
      <c r="AH2420">
        <v>0</v>
      </c>
    </row>
    <row r="2421" spans="2:34" x14ac:dyDescent="0.35">
      <c r="B2421" t="s">
        <v>566</v>
      </c>
      <c r="C2421">
        <v>45723</v>
      </c>
      <c r="F2421" t="s">
        <v>752</v>
      </c>
      <c r="H2421">
        <v>200.4</v>
      </c>
      <c r="O2421" t="s">
        <v>239</v>
      </c>
      <c r="P2421" t="s">
        <v>514</v>
      </c>
      <c r="Y2421">
        <v>2387</v>
      </c>
      <c r="Z2421" s="259" t="s">
        <v>630</v>
      </c>
      <c r="AA2421">
        <v>0</v>
      </c>
      <c r="AB2421">
        <v>0</v>
      </c>
      <c r="AC2421">
        <v>45723</v>
      </c>
      <c r="AD2421">
        <v>0</v>
      </c>
      <c r="AE2421">
        <v>0</v>
      </c>
      <c r="AF2421">
        <v>0</v>
      </c>
      <c r="AG2421">
        <v>0</v>
      </c>
      <c r="AH2421">
        <v>0</v>
      </c>
    </row>
    <row r="2422" spans="2:34" x14ac:dyDescent="0.35">
      <c r="B2422" t="s">
        <v>566</v>
      </c>
      <c r="C2422">
        <v>45723</v>
      </c>
      <c r="F2422" t="s">
        <v>754</v>
      </c>
      <c r="H2422">
        <v>77.400000000000006</v>
      </c>
      <c r="O2422" t="s">
        <v>239</v>
      </c>
      <c r="P2422" t="s">
        <v>514</v>
      </c>
      <c r="Y2422">
        <v>2388</v>
      </c>
      <c r="Z2422" s="259" t="s">
        <v>630</v>
      </c>
      <c r="AA2422">
        <v>0</v>
      </c>
      <c r="AB2422">
        <v>0</v>
      </c>
      <c r="AC2422">
        <v>45723</v>
      </c>
      <c r="AD2422">
        <v>0</v>
      </c>
      <c r="AE2422">
        <v>0</v>
      </c>
      <c r="AF2422">
        <v>0</v>
      </c>
      <c r="AG2422">
        <v>0</v>
      </c>
      <c r="AH2422">
        <v>0</v>
      </c>
    </row>
    <row r="2423" spans="2:34" x14ac:dyDescent="0.35">
      <c r="B2423" t="s">
        <v>566</v>
      </c>
      <c r="C2423">
        <v>45724</v>
      </c>
      <c r="F2423" t="s">
        <v>749</v>
      </c>
      <c r="H2423">
        <v>98.8</v>
      </c>
      <c r="O2423" t="s">
        <v>239</v>
      </c>
      <c r="P2423" t="s">
        <v>514</v>
      </c>
      <c r="Y2423">
        <v>2389</v>
      </c>
      <c r="Z2423" s="259" t="s">
        <v>630</v>
      </c>
      <c r="AA2423">
        <v>0</v>
      </c>
      <c r="AB2423">
        <v>0</v>
      </c>
      <c r="AC2423">
        <v>45723</v>
      </c>
      <c r="AD2423">
        <v>1</v>
      </c>
      <c r="AE2423">
        <v>0</v>
      </c>
      <c r="AF2423">
        <v>0</v>
      </c>
      <c r="AG2423">
        <v>0</v>
      </c>
      <c r="AH2423">
        <v>0</v>
      </c>
    </row>
    <row r="2424" spans="2:34" x14ac:dyDescent="0.35">
      <c r="B2424" t="s">
        <v>566</v>
      </c>
      <c r="C2424">
        <v>45724</v>
      </c>
      <c r="F2424" t="s">
        <v>752</v>
      </c>
      <c r="H2424">
        <v>200.4</v>
      </c>
      <c r="O2424" t="s">
        <v>239</v>
      </c>
      <c r="P2424" t="s">
        <v>514</v>
      </c>
      <c r="Y2424">
        <v>2390</v>
      </c>
      <c r="Z2424" s="259" t="s">
        <v>630</v>
      </c>
      <c r="AA2424">
        <v>0</v>
      </c>
      <c r="AB2424">
        <v>0</v>
      </c>
      <c r="AC2424">
        <v>45723</v>
      </c>
      <c r="AD2424">
        <v>1</v>
      </c>
      <c r="AE2424">
        <v>0</v>
      </c>
      <c r="AF2424">
        <v>0</v>
      </c>
      <c r="AG2424">
        <v>0</v>
      </c>
      <c r="AH2424">
        <v>0</v>
      </c>
    </row>
    <row r="2425" spans="2:34" x14ac:dyDescent="0.35">
      <c r="B2425" t="s">
        <v>566</v>
      </c>
      <c r="C2425">
        <v>45724</v>
      </c>
      <c r="F2425" t="s">
        <v>754</v>
      </c>
      <c r="H2425">
        <v>77.400000000000006</v>
      </c>
      <c r="O2425" t="s">
        <v>239</v>
      </c>
      <c r="P2425" t="s">
        <v>514</v>
      </c>
      <c r="Y2425">
        <v>2391</v>
      </c>
      <c r="Z2425" s="259" t="s">
        <v>630</v>
      </c>
      <c r="AA2425">
        <v>0</v>
      </c>
      <c r="AB2425">
        <v>0</v>
      </c>
      <c r="AC2425">
        <v>45723</v>
      </c>
      <c r="AD2425">
        <v>1</v>
      </c>
      <c r="AE2425">
        <v>0</v>
      </c>
      <c r="AF2425">
        <v>0</v>
      </c>
      <c r="AG2425">
        <v>0</v>
      </c>
      <c r="AH2425">
        <v>0</v>
      </c>
    </row>
    <row r="2426" spans="2:34" x14ac:dyDescent="0.35">
      <c r="B2426" t="s">
        <v>566</v>
      </c>
      <c r="C2426">
        <v>45725</v>
      </c>
      <c r="F2426" t="s">
        <v>749</v>
      </c>
      <c r="H2426">
        <v>98.8</v>
      </c>
      <c r="O2426" t="s">
        <v>239</v>
      </c>
      <c r="P2426" t="s">
        <v>514</v>
      </c>
      <c r="Y2426">
        <v>2392</v>
      </c>
      <c r="Z2426" s="259" t="s">
        <v>630</v>
      </c>
      <c r="AA2426">
        <v>0</v>
      </c>
      <c r="AB2426">
        <v>0</v>
      </c>
      <c r="AC2426">
        <v>45723</v>
      </c>
      <c r="AD2426">
        <v>2</v>
      </c>
      <c r="AE2426">
        <v>0</v>
      </c>
      <c r="AF2426">
        <v>0</v>
      </c>
      <c r="AG2426">
        <v>0</v>
      </c>
      <c r="AH2426">
        <v>0</v>
      </c>
    </row>
    <row r="2427" spans="2:34" x14ac:dyDescent="0.35">
      <c r="B2427" t="s">
        <v>566</v>
      </c>
      <c r="C2427">
        <v>45725</v>
      </c>
      <c r="F2427" t="s">
        <v>752</v>
      </c>
      <c r="H2427">
        <v>200.4</v>
      </c>
      <c r="O2427" t="s">
        <v>239</v>
      </c>
      <c r="P2427" t="s">
        <v>514</v>
      </c>
      <c r="Y2427">
        <v>2393</v>
      </c>
      <c r="Z2427" s="259" t="s">
        <v>630</v>
      </c>
      <c r="AA2427">
        <v>0</v>
      </c>
      <c r="AB2427">
        <v>0</v>
      </c>
      <c r="AC2427">
        <v>45723</v>
      </c>
      <c r="AD2427">
        <v>2</v>
      </c>
      <c r="AE2427">
        <v>0</v>
      </c>
      <c r="AF2427">
        <v>0</v>
      </c>
      <c r="AG2427">
        <v>0</v>
      </c>
      <c r="AH2427">
        <v>0</v>
      </c>
    </row>
    <row r="2428" spans="2:34" x14ac:dyDescent="0.35">
      <c r="B2428" t="s">
        <v>566</v>
      </c>
      <c r="C2428">
        <v>45725</v>
      </c>
      <c r="F2428" t="s">
        <v>754</v>
      </c>
      <c r="H2428">
        <v>77.400000000000006</v>
      </c>
      <c r="O2428" t="s">
        <v>239</v>
      </c>
      <c r="P2428" t="s">
        <v>514</v>
      </c>
      <c r="Y2428">
        <v>2394</v>
      </c>
      <c r="Z2428" s="259" t="s">
        <v>630</v>
      </c>
      <c r="AA2428">
        <v>0</v>
      </c>
      <c r="AB2428">
        <v>0</v>
      </c>
      <c r="AC2428">
        <v>45723</v>
      </c>
      <c r="AD2428">
        <v>2</v>
      </c>
      <c r="AE2428">
        <v>0</v>
      </c>
      <c r="AF2428">
        <v>0</v>
      </c>
      <c r="AG2428">
        <v>0</v>
      </c>
      <c r="AH2428">
        <v>0</v>
      </c>
    </row>
    <row r="2429" spans="2:34" x14ac:dyDescent="0.35">
      <c r="B2429" t="s">
        <v>566</v>
      </c>
      <c r="C2429">
        <v>45726</v>
      </c>
      <c r="F2429" t="s">
        <v>749</v>
      </c>
      <c r="H2429">
        <v>99.7</v>
      </c>
      <c r="O2429" t="s">
        <v>239</v>
      </c>
      <c r="P2429" t="s">
        <v>514</v>
      </c>
      <c r="Y2429">
        <v>2395</v>
      </c>
      <c r="Z2429" s="259" t="s">
        <v>630</v>
      </c>
      <c r="AA2429">
        <v>0</v>
      </c>
      <c r="AB2429">
        <v>0</v>
      </c>
      <c r="AC2429">
        <v>45726</v>
      </c>
      <c r="AD2429">
        <v>0</v>
      </c>
      <c r="AE2429">
        <v>0</v>
      </c>
      <c r="AF2429">
        <v>0</v>
      </c>
      <c r="AG2429">
        <v>0</v>
      </c>
      <c r="AH2429">
        <v>0</v>
      </c>
    </row>
    <row r="2430" spans="2:34" x14ac:dyDescent="0.35">
      <c r="B2430" t="s">
        <v>566</v>
      </c>
      <c r="C2430">
        <v>45726</v>
      </c>
      <c r="F2430" t="s">
        <v>752</v>
      </c>
      <c r="H2430">
        <v>200.1</v>
      </c>
      <c r="O2430" t="s">
        <v>239</v>
      </c>
      <c r="P2430" t="s">
        <v>514</v>
      </c>
      <c r="Y2430">
        <v>2396</v>
      </c>
      <c r="Z2430" s="259" t="s">
        <v>630</v>
      </c>
      <c r="AA2430">
        <v>0</v>
      </c>
      <c r="AB2430">
        <v>0</v>
      </c>
      <c r="AC2430">
        <v>45726</v>
      </c>
      <c r="AD2430">
        <v>0</v>
      </c>
      <c r="AE2430">
        <v>0</v>
      </c>
      <c r="AF2430">
        <v>0</v>
      </c>
      <c r="AG2430">
        <v>0</v>
      </c>
      <c r="AH2430">
        <v>0</v>
      </c>
    </row>
    <row r="2431" spans="2:34" x14ac:dyDescent="0.35">
      <c r="B2431" t="s">
        <v>566</v>
      </c>
      <c r="C2431">
        <v>45726</v>
      </c>
      <c r="F2431" t="s">
        <v>754</v>
      </c>
      <c r="H2431">
        <v>77.099999999999994</v>
      </c>
      <c r="O2431" t="s">
        <v>239</v>
      </c>
      <c r="P2431" t="s">
        <v>514</v>
      </c>
      <c r="Y2431">
        <v>2397</v>
      </c>
      <c r="Z2431" s="259" t="s">
        <v>630</v>
      </c>
      <c r="AA2431">
        <v>0</v>
      </c>
      <c r="AB2431">
        <v>0</v>
      </c>
      <c r="AC2431">
        <v>45726</v>
      </c>
      <c r="AD2431">
        <v>0</v>
      </c>
      <c r="AE2431">
        <v>0</v>
      </c>
      <c r="AF2431">
        <v>0</v>
      </c>
      <c r="AG2431">
        <v>0</v>
      </c>
      <c r="AH2431">
        <v>0</v>
      </c>
    </row>
    <row r="2432" spans="2:34" x14ac:dyDescent="0.35">
      <c r="B2432" t="s">
        <v>566</v>
      </c>
      <c r="C2432">
        <v>45727</v>
      </c>
      <c r="F2432" t="s">
        <v>749</v>
      </c>
      <c r="H2432">
        <v>100</v>
      </c>
      <c r="O2432" t="s">
        <v>239</v>
      </c>
      <c r="P2432" t="s">
        <v>514</v>
      </c>
      <c r="Y2432">
        <v>2398</v>
      </c>
      <c r="Z2432" s="259" t="s">
        <v>630</v>
      </c>
      <c r="AA2432">
        <v>0</v>
      </c>
      <c r="AB2432">
        <v>0</v>
      </c>
      <c r="AC2432">
        <v>45727</v>
      </c>
      <c r="AD2432">
        <v>0</v>
      </c>
      <c r="AE2432">
        <v>0</v>
      </c>
      <c r="AF2432">
        <v>0</v>
      </c>
      <c r="AG2432">
        <v>0</v>
      </c>
      <c r="AH2432">
        <v>0</v>
      </c>
    </row>
    <row r="2433" spans="2:34" x14ac:dyDescent="0.35">
      <c r="B2433" t="s">
        <v>566</v>
      </c>
      <c r="C2433">
        <v>45727</v>
      </c>
      <c r="F2433" t="s">
        <v>752</v>
      </c>
      <c r="H2433">
        <v>200</v>
      </c>
      <c r="O2433" t="s">
        <v>239</v>
      </c>
      <c r="P2433" t="s">
        <v>514</v>
      </c>
      <c r="Y2433">
        <v>2399</v>
      </c>
      <c r="Z2433" s="259" t="s">
        <v>630</v>
      </c>
      <c r="AA2433">
        <v>0</v>
      </c>
      <c r="AB2433">
        <v>0</v>
      </c>
      <c r="AC2433">
        <v>45727</v>
      </c>
      <c r="AD2433">
        <v>0</v>
      </c>
      <c r="AE2433">
        <v>0</v>
      </c>
      <c r="AF2433">
        <v>0</v>
      </c>
      <c r="AG2433">
        <v>0</v>
      </c>
      <c r="AH2433">
        <v>0</v>
      </c>
    </row>
    <row r="2434" spans="2:34" x14ac:dyDescent="0.35">
      <c r="B2434" t="s">
        <v>566</v>
      </c>
      <c r="C2434">
        <v>45727</v>
      </c>
      <c r="F2434" t="s">
        <v>754</v>
      </c>
      <c r="H2434">
        <v>77</v>
      </c>
      <c r="O2434" t="s">
        <v>239</v>
      </c>
      <c r="P2434" t="s">
        <v>514</v>
      </c>
      <c r="Y2434">
        <v>2400</v>
      </c>
      <c r="Z2434" s="259" t="s">
        <v>630</v>
      </c>
      <c r="AA2434">
        <v>0</v>
      </c>
      <c r="AB2434">
        <v>0</v>
      </c>
      <c r="AC2434">
        <v>45727</v>
      </c>
      <c r="AD2434">
        <v>0</v>
      </c>
      <c r="AE2434">
        <v>0</v>
      </c>
      <c r="AF2434">
        <v>0</v>
      </c>
      <c r="AG2434">
        <v>0</v>
      </c>
      <c r="AH2434">
        <v>0</v>
      </c>
    </row>
    <row r="2435" spans="2:34" x14ac:dyDescent="0.35">
      <c r="B2435" t="s">
        <v>566</v>
      </c>
      <c r="C2435">
        <v>45728</v>
      </c>
      <c r="F2435" t="s">
        <v>749</v>
      </c>
      <c r="H2435">
        <v>100.3</v>
      </c>
      <c r="O2435" t="s">
        <v>239</v>
      </c>
      <c r="P2435" t="s">
        <v>514</v>
      </c>
      <c r="Y2435">
        <v>2401</v>
      </c>
      <c r="Z2435" s="259" t="s">
        <v>630</v>
      </c>
      <c r="AA2435">
        <v>0</v>
      </c>
      <c r="AB2435">
        <v>0</v>
      </c>
      <c r="AC2435">
        <v>45728</v>
      </c>
      <c r="AD2435">
        <v>0</v>
      </c>
      <c r="AE2435">
        <v>0</v>
      </c>
      <c r="AF2435">
        <v>0</v>
      </c>
      <c r="AG2435">
        <v>0</v>
      </c>
      <c r="AH2435">
        <v>0</v>
      </c>
    </row>
    <row r="2436" spans="2:34" x14ac:dyDescent="0.35">
      <c r="B2436" t="s">
        <v>566</v>
      </c>
      <c r="C2436">
        <v>45728</v>
      </c>
      <c r="F2436" t="s">
        <v>752</v>
      </c>
      <c r="H2436">
        <v>199.9</v>
      </c>
      <c r="O2436" t="s">
        <v>239</v>
      </c>
      <c r="P2436" t="s">
        <v>514</v>
      </c>
      <c r="Y2436">
        <v>2402</v>
      </c>
      <c r="Z2436" s="259" t="s">
        <v>630</v>
      </c>
      <c r="AA2436">
        <v>0</v>
      </c>
      <c r="AB2436">
        <v>0</v>
      </c>
      <c r="AC2436">
        <v>45728</v>
      </c>
      <c r="AD2436">
        <v>0</v>
      </c>
      <c r="AE2436">
        <v>0</v>
      </c>
      <c r="AF2436">
        <v>0</v>
      </c>
      <c r="AG2436">
        <v>0</v>
      </c>
      <c r="AH2436">
        <v>0</v>
      </c>
    </row>
    <row r="2437" spans="2:34" x14ac:dyDescent="0.35">
      <c r="B2437" t="s">
        <v>566</v>
      </c>
      <c r="C2437">
        <v>45728</v>
      </c>
      <c r="F2437" t="s">
        <v>754</v>
      </c>
      <c r="H2437">
        <v>76.900000000000006</v>
      </c>
      <c r="O2437" t="s">
        <v>239</v>
      </c>
      <c r="P2437" t="s">
        <v>514</v>
      </c>
      <c r="Y2437">
        <v>2403</v>
      </c>
      <c r="Z2437" s="259" t="s">
        <v>630</v>
      </c>
      <c r="AA2437">
        <v>0</v>
      </c>
      <c r="AB2437">
        <v>0</v>
      </c>
      <c r="AC2437">
        <v>45728</v>
      </c>
      <c r="AD2437">
        <v>0</v>
      </c>
      <c r="AE2437">
        <v>0</v>
      </c>
      <c r="AF2437">
        <v>0</v>
      </c>
      <c r="AG2437">
        <v>0</v>
      </c>
      <c r="AH2437">
        <v>0</v>
      </c>
    </row>
    <row r="2438" spans="2:34" x14ac:dyDescent="0.35">
      <c r="B2438" t="s">
        <v>566</v>
      </c>
      <c r="C2438">
        <v>45729</v>
      </c>
      <c r="F2438" t="s">
        <v>749</v>
      </c>
      <c r="H2438">
        <v>100.6</v>
      </c>
      <c r="O2438" t="s">
        <v>239</v>
      </c>
      <c r="P2438" t="s">
        <v>514</v>
      </c>
      <c r="Y2438">
        <v>2404</v>
      </c>
      <c r="Z2438" s="259" t="s">
        <v>630</v>
      </c>
      <c r="AA2438">
        <v>0</v>
      </c>
      <c r="AB2438">
        <v>0</v>
      </c>
      <c r="AC2438">
        <v>45729</v>
      </c>
      <c r="AD2438">
        <v>0</v>
      </c>
      <c r="AE2438">
        <v>0</v>
      </c>
      <c r="AF2438">
        <v>0</v>
      </c>
      <c r="AG2438">
        <v>0</v>
      </c>
      <c r="AH2438">
        <v>0</v>
      </c>
    </row>
    <row r="2439" spans="2:34" x14ac:dyDescent="0.35">
      <c r="B2439" t="s">
        <v>566</v>
      </c>
      <c r="C2439">
        <v>45729</v>
      </c>
      <c r="F2439" t="s">
        <v>752</v>
      </c>
      <c r="H2439">
        <v>199.8</v>
      </c>
      <c r="O2439" t="s">
        <v>239</v>
      </c>
      <c r="P2439" t="s">
        <v>514</v>
      </c>
      <c r="Y2439">
        <v>2405</v>
      </c>
      <c r="Z2439" s="259" t="s">
        <v>630</v>
      </c>
      <c r="AA2439">
        <v>0</v>
      </c>
      <c r="AB2439">
        <v>0</v>
      </c>
      <c r="AC2439">
        <v>45729</v>
      </c>
      <c r="AD2439">
        <v>0</v>
      </c>
      <c r="AE2439">
        <v>0</v>
      </c>
      <c r="AF2439">
        <v>0</v>
      </c>
      <c r="AG2439">
        <v>0</v>
      </c>
      <c r="AH2439">
        <v>0</v>
      </c>
    </row>
    <row r="2440" spans="2:34" x14ac:dyDescent="0.35">
      <c r="B2440" t="s">
        <v>566</v>
      </c>
      <c r="C2440">
        <v>45729</v>
      </c>
      <c r="F2440" t="s">
        <v>754</v>
      </c>
      <c r="H2440">
        <v>76.8</v>
      </c>
      <c r="O2440" t="s">
        <v>239</v>
      </c>
      <c r="P2440" t="s">
        <v>514</v>
      </c>
      <c r="Y2440">
        <v>2406</v>
      </c>
      <c r="Z2440" s="259" t="s">
        <v>630</v>
      </c>
      <c r="AA2440">
        <v>0</v>
      </c>
      <c r="AB2440">
        <v>0</v>
      </c>
      <c r="AC2440">
        <v>45729</v>
      </c>
      <c r="AD2440">
        <v>0</v>
      </c>
      <c r="AE2440">
        <v>0</v>
      </c>
      <c r="AF2440">
        <v>0</v>
      </c>
      <c r="AG2440">
        <v>0</v>
      </c>
      <c r="AH2440">
        <v>0</v>
      </c>
    </row>
    <row r="2441" spans="2:34" x14ac:dyDescent="0.35">
      <c r="B2441" t="s">
        <v>566</v>
      </c>
      <c r="C2441">
        <v>45730</v>
      </c>
      <c r="F2441" t="s">
        <v>749</v>
      </c>
      <c r="H2441">
        <v>100.9</v>
      </c>
      <c r="O2441" t="s">
        <v>239</v>
      </c>
      <c r="P2441" t="s">
        <v>514</v>
      </c>
      <c r="Y2441">
        <v>2407</v>
      </c>
      <c r="Z2441" s="259" t="s">
        <v>630</v>
      </c>
      <c r="AA2441">
        <v>0</v>
      </c>
      <c r="AB2441">
        <v>0</v>
      </c>
      <c r="AC2441">
        <v>45730</v>
      </c>
      <c r="AD2441">
        <v>0</v>
      </c>
      <c r="AE2441">
        <v>0</v>
      </c>
      <c r="AF2441">
        <v>0</v>
      </c>
      <c r="AG2441">
        <v>0</v>
      </c>
      <c r="AH2441">
        <v>0</v>
      </c>
    </row>
    <row r="2442" spans="2:34" x14ac:dyDescent="0.35">
      <c r="B2442" t="s">
        <v>566</v>
      </c>
      <c r="C2442">
        <v>45730</v>
      </c>
      <c r="F2442" t="s">
        <v>752</v>
      </c>
      <c r="H2442">
        <v>199.7</v>
      </c>
      <c r="O2442" t="s">
        <v>239</v>
      </c>
      <c r="P2442" t="s">
        <v>514</v>
      </c>
      <c r="Y2442">
        <v>2408</v>
      </c>
      <c r="Z2442" s="259" t="s">
        <v>630</v>
      </c>
      <c r="AA2442">
        <v>0</v>
      </c>
      <c r="AB2442">
        <v>0</v>
      </c>
      <c r="AC2442">
        <v>45730</v>
      </c>
      <c r="AD2442">
        <v>0</v>
      </c>
      <c r="AE2442">
        <v>0</v>
      </c>
      <c r="AF2442">
        <v>0</v>
      </c>
      <c r="AG2442">
        <v>0</v>
      </c>
      <c r="AH2442">
        <v>0</v>
      </c>
    </row>
    <row r="2443" spans="2:34" x14ac:dyDescent="0.35">
      <c r="B2443" t="s">
        <v>566</v>
      </c>
      <c r="C2443">
        <v>45730</v>
      </c>
      <c r="F2443" t="s">
        <v>754</v>
      </c>
      <c r="H2443">
        <v>76.7</v>
      </c>
      <c r="O2443" t="s">
        <v>239</v>
      </c>
      <c r="P2443" t="s">
        <v>514</v>
      </c>
      <c r="Y2443">
        <v>2409</v>
      </c>
      <c r="Z2443" s="259" t="s">
        <v>630</v>
      </c>
      <c r="AA2443">
        <v>0</v>
      </c>
      <c r="AB2443">
        <v>0</v>
      </c>
      <c r="AC2443">
        <v>45730</v>
      </c>
      <c r="AD2443">
        <v>0</v>
      </c>
      <c r="AE2443">
        <v>0</v>
      </c>
      <c r="AF2443">
        <v>0</v>
      </c>
      <c r="AG2443">
        <v>0</v>
      </c>
      <c r="AH2443">
        <v>0</v>
      </c>
    </row>
    <row r="2444" spans="2:34" x14ac:dyDescent="0.35">
      <c r="B2444" t="s">
        <v>566</v>
      </c>
      <c r="C2444">
        <v>45731</v>
      </c>
      <c r="F2444" t="s">
        <v>749</v>
      </c>
      <c r="H2444">
        <v>100.9</v>
      </c>
      <c r="O2444" t="s">
        <v>239</v>
      </c>
      <c r="P2444" t="s">
        <v>514</v>
      </c>
      <c r="Y2444">
        <v>2410</v>
      </c>
      <c r="Z2444" s="259" t="s">
        <v>630</v>
      </c>
      <c r="AA2444">
        <v>0</v>
      </c>
      <c r="AB2444">
        <v>0</v>
      </c>
      <c r="AC2444">
        <v>45730</v>
      </c>
      <c r="AD2444">
        <v>1</v>
      </c>
      <c r="AE2444">
        <v>0</v>
      </c>
      <c r="AF2444">
        <v>0</v>
      </c>
      <c r="AG2444">
        <v>0</v>
      </c>
      <c r="AH2444">
        <v>0</v>
      </c>
    </row>
    <row r="2445" spans="2:34" x14ac:dyDescent="0.35">
      <c r="B2445" t="s">
        <v>566</v>
      </c>
      <c r="C2445">
        <v>45731</v>
      </c>
      <c r="F2445" t="s">
        <v>752</v>
      </c>
      <c r="H2445">
        <v>199.7</v>
      </c>
      <c r="O2445" t="s">
        <v>239</v>
      </c>
      <c r="P2445" t="s">
        <v>514</v>
      </c>
      <c r="Y2445">
        <v>2411</v>
      </c>
      <c r="Z2445" s="259" t="s">
        <v>630</v>
      </c>
      <c r="AA2445">
        <v>0</v>
      </c>
      <c r="AB2445">
        <v>0</v>
      </c>
      <c r="AC2445">
        <v>45730</v>
      </c>
      <c r="AD2445">
        <v>1</v>
      </c>
      <c r="AE2445">
        <v>0</v>
      </c>
      <c r="AF2445">
        <v>0</v>
      </c>
      <c r="AG2445">
        <v>0</v>
      </c>
      <c r="AH2445">
        <v>0</v>
      </c>
    </row>
    <row r="2446" spans="2:34" x14ac:dyDescent="0.35">
      <c r="B2446" t="s">
        <v>566</v>
      </c>
      <c r="C2446">
        <v>45731</v>
      </c>
      <c r="F2446" t="s">
        <v>754</v>
      </c>
      <c r="H2446">
        <v>76.7</v>
      </c>
      <c r="O2446" t="s">
        <v>239</v>
      </c>
      <c r="P2446" t="s">
        <v>514</v>
      </c>
      <c r="Y2446">
        <v>2412</v>
      </c>
      <c r="Z2446" s="259" t="s">
        <v>630</v>
      </c>
      <c r="AA2446">
        <v>0</v>
      </c>
      <c r="AB2446">
        <v>0</v>
      </c>
      <c r="AC2446">
        <v>45730</v>
      </c>
      <c r="AD2446">
        <v>1</v>
      </c>
      <c r="AE2446">
        <v>0</v>
      </c>
      <c r="AF2446">
        <v>0</v>
      </c>
      <c r="AG2446">
        <v>0</v>
      </c>
      <c r="AH2446">
        <v>0</v>
      </c>
    </row>
    <row r="2447" spans="2:34" x14ac:dyDescent="0.35">
      <c r="B2447" t="s">
        <v>566</v>
      </c>
      <c r="C2447">
        <v>45732</v>
      </c>
      <c r="F2447" t="s">
        <v>749</v>
      </c>
      <c r="H2447">
        <v>100.9</v>
      </c>
      <c r="O2447" t="s">
        <v>239</v>
      </c>
      <c r="P2447" t="s">
        <v>514</v>
      </c>
      <c r="Y2447">
        <v>2413</v>
      </c>
      <c r="Z2447" s="259" t="s">
        <v>630</v>
      </c>
      <c r="AA2447">
        <v>0</v>
      </c>
      <c r="AB2447">
        <v>0</v>
      </c>
      <c r="AC2447">
        <v>45730</v>
      </c>
      <c r="AD2447">
        <v>2</v>
      </c>
      <c r="AE2447">
        <v>0</v>
      </c>
      <c r="AF2447">
        <v>0</v>
      </c>
      <c r="AG2447">
        <v>0</v>
      </c>
      <c r="AH2447">
        <v>0</v>
      </c>
    </row>
    <row r="2448" spans="2:34" x14ac:dyDescent="0.35">
      <c r="B2448" t="s">
        <v>566</v>
      </c>
      <c r="C2448">
        <v>45732</v>
      </c>
      <c r="F2448" t="s">
        <v>752</v>
      </c>
      <c r="H2448">
        <v>199.7</v>
      </c>
      <c r="O2448" t="s">
        <v>239</v>
      </c>
      <c r="P2448" t="s">
        <v>514</v>
      </c>
      <c r="Y2448">
        <v>2414</v>
      </c>
      <c r="Z2448" s="259" t="s">
        <v>630</v>
      </c>
      <c r="AA2448">
        <v>0</v>
      </c>
      <c r="AB2448">
        <v>0</v>
      </c>
      <c r="AC2448">
        <v>45730</v>
      </c>
      <c r="AD2448">
        <v>2</v>
      </c>
      <c r="AE2448">
        <v>0</v>
      </c>
      <c r="AF2448">
        <v>0</v>
      </c>
      <c r="AG2448">
        <v>0</v>
      </c>
      <c r="AH2448">
        <v>0</v>
      </c>
    </row>
    <row r="2449" spans="2:34" x14ac:dyDescent="0.35">
      <c r="B2449" t="s">
        <v>566</v>
      </c>
      <c r="C2449">
        <v>45732</v>
      </c>
      <c r="F2449" t="s">
        <v>754</v>
      </c>
      <c r="H2449">
        <v>76.7</v>
      </c>
      <c r="O2449" t="s">
        <v>239</v>
      </c>
      <c r="P2449" t="s">
        <v>514</v>
      </c>
      <c r="Y2449">
        <v>2415</v>
      </c>
      <c r="Z2449" s="259" t="s">
        <v>630</v>
      </c>
      <c r="AA2449">
        <v>0</v>
      </c>
      <c r="AB2449">
        <v>0</v>
      </c>
      <c r="AC2449">
        <v>45730</v>
      </c>
      <c r="AD2449">
        <v>2</v>
      </c>
      <c r="AE2449">
        <v>0</v>
      </c>
      <c r="AF2449">
        <v>0</v>
      </c>
      <c r="AG2449">
        <v>0</v>
      </c>
      <c r="AH2449">
        <v>0</v>
      </c>
    </row>
    <row r="2450" spans="2:34" x14ac:dyDescent="0.35">
      <c r="B2450" t="s">
        <v>566</v>
      </c>
      <c r="C2450">
        <v>45733</v>
      </c>
      <c r="F2450" t="s">
        <v>749</v>
      </c>
      <c r="H2450">
        <v>101.8</v>
      </c>
      <c r="O2450" t="s">
        <v>239</v>
      </c>
      <c r="P2450" t="s">
        <v>514</v>
      </c>
      <c r="Y2450">
        <v>2416</v>
      </c>
      <c r="Z2450" s="259" t="s">
        <v>630</v>
      </c>
      <c r="AA2450">
        <v>0</v>
      </c>
      <c r="AB2450">
        <v>0</v>
      </c>
      <c r="AC2450">
        <v>45733</v>
      </c>
      <c r="AD2450">
        <v>0</v>
      </c>
      <c r="AE2450">
        <v>0</v>
      </c>
      <c r="AF2450">
        <v>0</v>
      </c>
      <c r="AG2450">
        <v>0</v>
      </c>
      <c r="AH2450">
        <v>0</v>
      </c>
    </row>
    <row r="2451" spans="2:34" x14ac:dyDescent="0.35">
      <c r="B2451" t="s">
        <v>566</v>
      </c>
      <c r="C2451">
        <v>45733</v>
      </c>
      <c r="F2451" t="s">
        <v>752</v>
      </c>
      <c r="H2451">
        <v>199.4</v>
      </c>
      <c r="O2451" t="s">
        <v>239</v>
      </c>
      <c r="P2451" t="s">
        <v>514</v>
      </c>
      <c r="Y2451">
        <v>2417</v>
      </c>
      <c r="Z2451" s="259" t="s">
        <v>630</v>
      </c>
      <c r="AA2451">
        <v>0</v>
      </c>
      <c r="AB2451">
        <v>0</v>
      </c>
      <c r="AC2451">
        <v>45733</v>
      </c>
      <c r="AD2451">
        <v>0</v>
      </c>
      <c r="AE2451">
        <v>0</v>
      </c>
      <c r="AF2451">
        <v>0</v>
      </c>
      <c r="AG2451">
        <v>0</v>
      </c>
      <c r="AH2451">
        <v>0</v>
      </c>
    </row>
    <row r="2452" spans="2:34" x14ac:dyDescent="0.35">
      <c r="B2452" t="s">
        <v>566</v>
      </c>
      <c r="C2452">
        <v>45733</v>
      </c>
      <c r="F2452" t="s">
        <v>754</v>
      </c>
      <c r="H2452">
        <v>76.400000000000006</v>
      </c>
      <c r="O2452" t="s">
        <v>239</v>
      </c>
      <c r="P2452" t="s">
        <v>514</v>
      </c>
      <c r="Y2452">
        <v>2418</v>
      </c>
      <c r="Z2452" s="259" t="s">
        <v>630</v>
      </c>
      <c r="AA2452">
        <v>0</v>
      </c>
      <c r="AB2452">
        <v>0</v>
      </c>
      <c r="AC2452">
        <v>45733</v>
      </c>
      <c r="AD2452">
        <v>0</v>
      </c>
      <c r="AE2452">
        <v>0</v>
      </c>
      <c r="AF2452">
        <v>0</v>
      </c>
      <c r="AG2452">
        <v>0</v>
      </c>
      <c r="AH2452">
        <v>0</v>
      </c>
    </row>
    <row r="2453" spans="2:34" x14ac:dyDescent="0.35">
      <c r="B2453" t="s">
        <v>566</v>
      </c>
      <c r="C2453">
        <v>45734</v>
      </c>
      <c r="F2453" t="s">
        <v>749</v>
      </c>
      <c r="H2453">
        <v>102.1</v>
      </c>
      <c r="O2453" t="s">
        <v>239</v>
      </c>
      <c r="P2453" t="s">
        <v>514</v>
      </c>
      <c r="Y2453">
        <v>2419</v>
      </c>
      <c r="Z2453" s="259" t="s">
        <v>630</v>
      </c>
      <c r="AA2453">
        <v>0</v>
      </c>
      <c r="AB2453">
        <v>0</v>
      </c>
      <c r="AC2453">
        <v>45734</v>
      </c>
      <c r="AD2453">
        <v>0</v>
      </c>
      <c r="AE2453">
        <v>0</v>
      </c>
      <c r="AF2453">
        <v>0</v>
      </c>
      <c r="AG2453">
        <v>0</v>
      </c>
      <c r="AH2453">
        <v>0</v>
      </c>
    </row>
    <row r="2454" spans="2:34" x14ac:dyDescent="0.35">
      <c r="B2454" t="s">
        <v>566</v>
      </c>
      <c r="C2454">
        <v>45734</v>
      </c>
      <c r="F2454" t="s">
        <v>752</v>
      </c>
      <c r="H2454">
        <v>199.3</v>
      </c>
      <c r="O2454" t="s">
        <v>239</v>
      </c>
      <c r="P2454" t="s">
        <v>514</v>
      </c>
      <c r="Y2454">
        <v>2420</v>
      </c>
      <c r="Z2454" s="259" t="s">
        <v>630</v>
      </c>
      <c r="AA2454">
        <v>0</v>
      </c>
      <c r="AB2454">
        <v>0</v>
      </c>
      <c r="AC2454">
        <v>45734</v>
      </c>
      <c r="AD2454">
        <v>0</v>
      </c>
      <c r="AE2454">
        <v>0</v>
      </c>
      <c r="AF2454">
        <v>0</v>
      </c>
      <c r="AG2454">
        <v>0</v>
      </c>
      <c r="AH2454">
        <v>0</v>
      </c>
    </row>
    <row r="2455" spans="2:34" x14ac:dyDescent="0.35">
      <c r="B2455" t="s">
        <v>566</v>
      </c>
      <c r="C2455">
        <v>45734</v>
      </c>
      <c r="F2455" t="s">
        <v>754</v>
      </c>
      <c r="H2455">
        <v>76.3</v>
      </c>
      <c r="O2455" t="s">
        <v>239</v>
      </c>
      <c r="P2455" t="s">
        <v>514</v>
      </c>
      <c r="Y2455">
        <v>2421</v>
      </c>
      <c r="Z2455" s="259" t="s">
        <v>630</v>
      </c>
      <c r="AA2455">
        <v>0</v>
      </c>
      <c r="AB2455">
        <v>0</v>
      </c>
      <c r="AC2455">
        <v>45734</v>
      </c>
      <c r="AD2455">
        <v>0</v>
      </c>
      <c r="AE2455">
        <v>0</v>
      </c>
      <c r="AF2455">
        <v>0</v>
      </c>
      <c r="AG2455">
        <v>0</v>
      </c>
      <c r="AH2455">
        <v>0</v>
      </c>
    </row>
    <row r="2456" spans="2:34" x14ac:dyDescent="0.35">
      <c r="B2456" t="s">
        <v>566</v>
      </c>
      <c r="C2456">
        <v>45735</v>
      </c>
      <c r="F2456" t="s">
        <v>749</v>
      </c>
      <c r="H2456">
        <v>102.4</v>
      </c>
      <c r="O2456" t="s">
        <v>239</v>
      </c>
      <c r="P2456" t="s">
        <v>514</v>
      </c>
      <c r="Y2456">
        <v>2422</v>
      </c>
      <c r="Z2456" s="259" t="s">
        <v>630</v>
      </c>
      <c r="AA2456">
        <v>0</v>
      </c>
      <c r="AB2456">
        <v>0</v>
      </c>
      <c r="AC2456">
        <v>45735</v>
      </c>
      <c r="AD2456">
        <v>0</v>
      </c>
      <c r="AE2456">
        <v>0</v>
      </c>
      <c r="AF2456">
        <v>0</v>
      </c>
      <c r="AG2456">
        <v>0</v>
      </c>
      <c r="AH2456">
        <v>0</v>
      </c>
    </row>
    <row r="2457" spans="2:34" x14ac:dyDescent="0.35">
      <c r="B2457" t="s">
        <v>566</v>
      </c>
      <c r="C2457">
        <v>45735</v>
      </c>
      <c r="F2457" t="s">
        <v>752</v>
      </c>
      <c r="H2457">
        <v>199.2</v>
      </c>
      <c r="O2457" t="s">
        <v>239</v>
      </c>
      <c r="P2457" t="s">
        <v>514</v>
      </c>
      <c r="Y2457">
        <v>2423</v>
      </c>
      <c r="Z2457" s="259" t="s">
        <v>630</v>
      </c>
      <c r="AA2457">
        <v>0</v>
      </c>
      <c r="AB2457">
        <v>0</v>
      </c>
      <c r="AC2457">
        <v>45735</v>
      </c>
      <c r="AD2457">
        <v>0</v>
      </c>
      <c r="AE2457">
        <v>0</v>
      </c>
      <c r="AF2457">
        <v>0</v>
      </c>
      <c r="AG2457">
        <v>0</v>
      </c>
      <c r="AH2457">
        <v>0</v>
      </c>
    </row>
    <row r="2458" spans="2:34" x14ac:dyDescent="0.35">
      <c r="B2458" t="s">
        <v>566</v>
      </c>
      <c r="C2458">
        <v>45735</v>
      </c>
      <c r="F2458" t="s">
        <v>754</v>
      </c>
      <c r="H2458">
        <v>76.2</v>
      </c>
      <c r="O2458" t="s">
        <v>239</v>
      </c>
      <c r="P2458" t="s">
        <v>514</v>
      </c>
      <c r="Y2458">
        <v>2424</v>
      </c>
      <c r="Z2458" s="259" t="s">
        <v>630</v>
      </c>
      <c r="AA2458">
        <v>0</v>
      </c>
      <c r="AB2458">
        <v>0</v>
      </c>
      <c r="AC2458">
        <v>45735</v>
      </c>
      <c r="AD2458">
        <v>0</v>
      </c>
      <c r="AE2458">
        <v>0</v>
      </c>
      <c r="AF2458">
        <v>0</v>
      </c>
      <c r="AG2458">
        <v>0</v>
      </c>
      <c r="AH2458">
        <v>0</v>
      </c>
    </row>
    <row r="2459" spans="2:34" x14ac:dyDescent="0.35">
      <c r="B2459" t="s">
        <v>566</v>
      </c>
      <c r="C2459">
        <v>45736</v>
      </c>
      <c r="F2459" t="s">
        <v>749</v>
      </c>
      <c r="H2459">
        <v>102.7</v>
      </c>
      <c r="O2459" t="s">
        <v>239</v>
      </c>
      <c r="P2459" t="s">
        <v>514</v>
      </c>
      <c r="Y2459">
        <v>2425</v>
      </c>
      <c r="Z2459" s="259" t="s">
        <v>630</v>
      </c>
      <c r="AA2459">
        <v>0</v>
      </c>
      <c r="AB2459">
        <v>0</v>
      </c>
      <c r="AC2459">
        <v>45736</v>
      </c>
      <c r="AD2459">
        <v>0</v>
      </c>
      <c r="AE2459">
        <v>0</v>
      </c>
      <c r="AF2459">
        <v>0</v>
      </c>
      <c r="AG2459">
        <v>0</v>
      </c>
      <c r="AH2459">
        <v>0</v>
      </c>
    </row>
    <row r="2460" spans="2:34" x14ac:dyDescent="0.35">
      <c r="B2460" t="s">
        <v>566</v>
      </c>
      <c r="C2460">
        <v>45736</v>
      </c>
      <c r="F2460" t="s">
        <v>752</v>
      </c>
      <c r="H2460">
        <v>199.1</v>
      </c>
      <c r="O2460" t="s">
        <v>239</v>
      </c>
      <c r="P2460" t="s">
        <v>514</v>
      </c>
      <c r="Y2460">
        <v>2426</v>
      </c>
      <c r="Z2460" s="259" t="s">
        <v>630</v>
      </c>
      <c r="AA2460">
        <v>0</v>
      </c>
      <c r="AB2460">
        <v>0</v>
      </c>
      <c r="AC2460">
        <v>45736</v>
      </c>
      <c r="AD2460">
        <v>0</v>
      </c>
      <c r="AE2460">
        <v>0</v>
      </c>
      <c r="AF2460">
        <v>0</v>
      </c>
      <c r="AG2460">
        <v>0</v>
      </c>
      <c r="AH2460">
        <v>0</v>
      </c>
    </row>
    <row r="2461" spans="2:34" x14ac:dyDescent="0.35">
      <c r="B2461" t="s">
        <v>566</v>
      </c>
      <c r="C2461">
        <v>45736</v>
      </c>
      <c r="F2461" t="s">
        <v>754</v>
      </c>
      <c r="H2461">
        <v>76.099999999999994</v>
      </c>
      <c r="O2461" t="s">
        <v>239</v>
      </c>
      <c r="P2461" t="s">
        <v>514</v>
      </c>
      <c r="Y2461">
        <v>2427</v>
      </c>
      <c r="Z2461" s="259" t="s">
        <v>630</v>
      </c>
      <c r="AA2461">
        <v>0</v>
      </c>
      <c r="AB2461">
        <v>0</v>
      </c>
      <c r="AC2461">
        <v>45736</v>
      </c>
      <c r="AD2461">
        <v>0</v>
      </c>
      <c r="AE2461">
        <v>0</v>
      </c>
      <c r="AF2461">
        <v>0</v>
      </c>
      <c r="AG2461">
        <v>0</v>
      </c>
      <c r="AH2461">
        <v>0</v>
      </c>
    </row>
    <row r="2462" spans="2:34" x14ac:dyDescent="0.35">
      <c r="B2462" t="s">
        <v>566</v>
      </c>
      <c r="C2462">
        <v>45737</v>
      </c>
      <c r="F2462" t="s">
        <v>749</v>
      </c>
      <c r="H2462">
        <v>103</v>
      </c>
      <c r="O2462" t="s">
        <v>239</v>
      </c>
      <c r="P2462" t="s">
        <v>514</v>
      </c>
      <c r="Y2462">
        <v>2428</v>
      </c>
      <c r="Z2462" s="259" t="s">
        <v>630</v>
      </c>
      <c r="AA2462">
        <v>0</v>
      </c>
      <c r="AB2462">
        <v>0</v>
      </c>
      <c r="AC2462">
        <v>45737</v>
      </c>
      <c r="AD2462">
        <v>0</v>
      </c>
      <c r="AE2462">
        <v>0</v>
      </c>
      <c r="AF2462">
        <v>0</v>
      </c>
      <c r="AG2462">
        <v>0</v>
      </c>
      <c r="AH2462">
        <v>0</v>
      </c>
    </row>
    <row r="2463" spans="2:34" x14ac:dyDescent="0.35">
      <c r="B2463" t="s">
        <v>566</v>
      </c>
      <c r="C2463">
        <v>45737</v>
      </c>
      <c r="F2463" t="s">
        <v>752</v>
      </c>
      <c r="H2463">
        <v>199</v>
      </c>
      <c r="O2463" t="s">
        <v>239</v>
      </c>
      <c r="P2463" t="s">
        <v>514</v>
      </c>
      <c r="Y2463">
        <v>2429</v>
      </c>
      <c r="Z2463" s="259" t="s">
        <v>630</v>
      </c>
      <c r="AA2463">
        <v>0</v>
      </c>
      <c r="AB2463">
        <v>0</v>
      </c>
      <c r="AC2463">
        <v>45737</v>
      </c>
      <c r="AD2463">
        <v>0</v>
      </c>
      <c r="AE2463">
        <v>0</v>
      </c>
      <c r="AF2463">
        <v>0</v>
      </c>
      <c r="AG2463">
        <v>0</v>
      </c>
      <c r="AH2463">
        <v>0</v>
      </c>
    </row>
    <row r="2464" spans="2:34" x14ac:dyDescent="0.35">
      <c r="B2464" t="s">
        <v>566</v>
      </c>
      <c r="C2464">
        <v>45737</v>
      </c>
      <c r="F2464" t="s">
        <v>754</v>
      </c>
      <c r="H2464">
        <v>76</v>
      </c>
      <c r="O2464" t="s">
        <v>239</v>
      </c>
      <c r="P2464" t="s">
        <v>514</v>
      </c>
      <c r="Y2464">
        <v>2430</v>
      </c>
      <c r="Z2464" s="259" t="s">
        <v>630</v>
      </c>
      <c r="AA2464">
        <v>0</v>
      </c>
      <c r="AB2464">
        <v>0</v>
      </c>
      <c r="AC2464">
        <v>45737</v>
      </c>
      <c r="AD2464">
        <v>0</v>
      </c>
      <c r="AE2464">
        <v>0</v>
      </c>
      <c r="AF2464">
        <v>0</v>
      </c>
      <c r="AG2464">
        <v>0</v>
      </c>
      <c r="AH2464">
        <v>0</v>
      </c>
    </row>
    <row r="2465" spans="2:34" x14ac:dyDescent="0.35">
      <c r="B2465" t="s">
        <v>566</v>
      </c>
      <c r="C2465">
        <v>45738</v>
      </c>
      <c r="F2465" t="s">
        <v>749</v>
      </c>
      <c r="H2465">
        <v>103</v>
      </c>
      <c r="O2465" t="s">
        <v>239</v>
      </c>
      <c r="P2465" t="s">
        <v>514</v>
      </c>
      <c r="Y2465">
        <v>2431</v>
      </c>
      <c r="Z2465" s="259" t="s">
        <v>630</v>
      </c>
      <c r="AA2465">
        <v>0</v>
      </c>
      <c r="AB2465">
        <v>0</v>
      </c>
      <c r="AC2465">
        <v>45737</v>
      </c>
      <c r="AD2465">
        <v>1</v>
      </c>
      <c r="AE2465">
        <v>0</v>
      </c>
      <c r="AF2465">
        <v>0</v>
      </c>
      <c r="AG2465">
        <v>0</v>
      </c>
      <c r="AH2465">
        <v>0</v>
      </c>
    </row>
    <row r="2466" spans="2:34" x14ac:dyDescent="0.35">
      <c r="B2466" t="s">
        <v>566</v>
      </c>
      <c r="C2466">
        <v>45738</v>
      </c>
      <c r="F2466" t="s">
        <v>752</v>
      </c>
      <c r="H2466">
        <v>199</v>
      </c>
      <c r="O2466" t="s">
        <v>239</v>
      </c>
      <c r="P2466" t="s">
        <v>514</v>
      </c>
      <c r="Y2466">
        <v>2432</v>
      </c>
      <c r="Z2466" s="259" t="s">
        <v>630</v>
      </c>
      <c r="AA2466">
        <v>0</v>
      </c>
      <c r="AB2466">
        <v>0</v>
      </c>
      <c r="AC2466">
        <v>45737</v>
      </c>
      <c r="AD2466">
        <v>1</v>
      </c>
      <c r="AE2466">
        <v>0</v>
      </c>
      <c r="AF2466">
        <v>0</v>
      </c>
      <c r="AG2466">
        <v>0</v>
      </c>
      <c r="AH2466">
        <v>0</v>
      </c>
    </row>
    <row r="2467" spans="2:34" x14ac:dyDescent="0.35">
      <c r="B2467" t="s">
        <v>566</v>
      </c>
      <c r="C2467">
        <v>45738</v>
      </c>
      <c r="F2467" t="s">
        <v>754</v>
      </c>
      <c r="H2467">
        <v>76</v>
      </c>
      <c r="O2467" t="s">
        <v>239</v>
      </c>
      <c r="P2467" t="s">
        <v>514</v>
      </c>
      <c r="Y2467">
        <v>2433</v>
      </c>
      <c r="Z2467" s="259" t="s">
        <v>630</v>
      </c>
      <c r="AA2467">
        <v>0</v>
      </c>
      <c r="AB2467">
        <v>0</v>
      </c>
      <c r="AC2467">
        <v>45737</v>
      </c>
      <c r="AD2467">
        <v>1</v>
      </c>
      <c r="AE2467">
        <v>0</v>
      </c>
      <c r="AF2467">
        <v>0</v>
      </c>
      <c r="AG2467">
        <v>0</v>
      </c>
      <c r="AH2467">
        <v>0</v>
      </c>
    </row>
    <row r="2468" spans="2:34" x14ac:dyDescent="0.35">
      <c r="B2468" t="s">
        <v>566</v>
      </c>
      <c r="C2468">
        <v>45739</v>
      </c>
      <c r="F2468" t="s">
        <v>749</v>
      </c>
      <c r="H2468">
        <v>103</v>
      </c>
      <c r="O2468" t="s">
        <v>239</v>
      </c>
      <c r="P2468" t="s">
        <v>514</v>
      </c>
      <c r="Y2468">
        <v>2434</v>
      </c>
      <c r="Z2468" s="259" t="s">
        <v>630</v>
      </c>
      <c r="AA2468">
        <v>0</v>
      </c>
      <c r="AB2468">
        <v>0</v>
      </c>
      <c r="AC2468">
        <v>45737</v>
      </c>
      <c r="AD2468">
        <v>2</v>
      </c>
      <c r="AE2468">
        <v>0</v>
      </c>
      <c r="AF2468">
        <v>0</v>
      </c>
      <c r="AG2468">
        <v>0</v>
      </c>
      <c r="AH2468">
        <v>0</v>
      </c>
    </row>
    <row r="2469" spans="2:34" x14ac:dyDescent="0.35">
      <c r="B2469" t="s">
        <v>566</v>
      </c>
      <c r="C2469">
        <v>45739</v>
      </c>
      <c r="F2469" t="s">
        <v>752</v>
      </c>
      <c r="H2469">
        <v>199</v>
      </c>
      <c r="O2469" t="s">
        <v>239</v>
      </c>
      <c r="P2469" t="s">
        <v>514</v>
      </c>
      <c r="Y2469">
        <v>2435</v>
      </c>
      <c r="Z2469" s="259" t="s">
        <v>630</v>
      </c>
      <c r="AA2469">
        <v>0</v>
      </c>
      <c r="AB2469">
        <v>0</v>
      </c>
      <c r="AC2469">
        <v>45737</v>
      </c>
      <c r="AD2469">
        <v>2</v>
      </c>
      <c r="AE2469">
        <v>0</v>
      </c>
      <c r="AF2469">
        <v>0</v>
      </c>
      <c r="AG2469">
        <v>0</v>
      </c>
      <c r="AH2469">
        <v>0</v>
      </c>
    </row>
    <row r="2470" spans="2:34" x14ac:dyDescent="0.35">
      <c r="B2470" t="s">
        <v>566</v>
      </c>
      <c r="C2470">
        <v>45739</v>
      </c>
      <c r="F2470" t="s">
        <v>754</v>
      </c>
      <c r="H2470">
        <v>76</v>
      </c>
      <c r="O2470" t="s">
        <v>239</v>
      </c>
      <c r="P2470" t="s">
        <v>514</v>
      </c>
      <c r="Y2470">
        <v>2436</v>
      </c>
      <c r="Z2470" s="259" t="s">
        <v>630</v>
      </c>
      <c r="AA2470">
        <v>0</v>
      </c>
      <c r="AB2470">
        <v>0</v>
      </c>
      <c r="AC2470">
        <v>45737</v>
      </c>
      <c r="AD2470">
        <v>2</v>
      </c>
      <c r="AE2470">
        <v>0</v>
      </c>
      <c r="AF2470">
        <v>0</v>
      </c>
      <c r="AG2470">
        <v>0</v>
      </c>
      <c r="AH2470">
        <v>0</v>
      </c>
    </row>
    <row r="2471" spans="2:34" x14ac:dyDescent="0.35">
      <c r="B2471" t="s">
        <v>566</v>
      </c>
      <c r="C2471">
        <v>45740</v>
      </c>
      <c r="F2471" t="s">
        <v>749</v>
      </c>
      <c r="H2471">
        <v>103.9</v>
      </c>
      <c r="O2471" t="s">
        <v>239</v>
      </c>
      <c r="P2471" t="s">
        <v>514</v>
      </c>
      <c r="Y2471">
        <v>2437</v>
      </c>
      <c r="Z2471" s="259" t="s">
        <v>630</v>
      </c>
      <c r="AA2471">
        <v>0</v>
      </c>
      <c r="AB2471">
        <v>0</v>
      </c>
      <c r="AC2471">
        <v>45740</v>
      </c>
      <c r="AD2471">
        <v>0</v>
      </c>
      <c r="AE2471">
        <v>0</v>
      </c>
      <c r="AF2471">
        <v>0</v>
      </c>
      <c r="AG2471">
        <v>0</v>
      </c>
      <c r="AH2471">
        <v>0</v>
      </c>
    </row>
    <row r="2472" spans="2:34" x14ac:dyDescent="0.35">
      <c r="B2472" t="s">
        <v>566</v>
      </c>
      <c r="C2472">
        <v>45740</v>
      </c>
      <c r="F2472" t="s">
        <v>752</v>
      </c>
      <c r="H2472">
        <v>198.7</v>
      </c>
      <c r="O2472" t="s">
        <v>239</v>
      </c>
      <c r="P2472" t="s">
        <v>514</v>
      </c>
      <c r="Y2472">
        <v>2438</v>
      </c>
      <c r="Z2472" s="259" t="s">
        <v>630</v>
      </c>
      <c r="AA2472">
        <v>0</v>
      </c>
      <c r="AB2472">
        <v>0</v>
      </c>
      <c r="AC2472">
        <v>45740</v>
      </c>
      <c r="AD2472">
        <v>0</v>
      </c>
      <c r="AE2472">
        <v>0</v>
      </c>
      <c r="AF2472">
        <v>0</v>
      </c>
      <c r="AG2472">
        <v>0</v>
      </c>
      <c r="AH2472">
        <v>0</v>
      </c>
    </row>
    <row r="2473" spans="2:34" x14ac:dyDescent="0.35">
      <c r="B2473" t="s">
        <v>566</v>
      </c>
      <c r="C2473">
        <v>45740</v>
      </c>
      <c r="F2473" t="s">
        <v>754</v>
      </c>
      <c r="H2473">
        <v>75.7</v>
      </c>
      <c r="O2473" t="s">
        <v>239</v>
      </c>
      <c r="P2473" t="s">
        <v>514</v>
      </c>
      <c r="Y2473">
        <v>2439</v>
      </c>
      <c r="Z2473" s="259" t="s">
        <v>630</v>
      </c>
      <c r="AA2473">
        <v>0</v>
      </c>
      <c r="AB2473">
        <v>0</v>
      </c>
      <c r="AC2473">
        <v>45740</v>
      </c>
      <c r="AD2473">
        <v>0</v>
      </c>
      <c r="AE2473">
        <v>0</v>
      </c>
      <c r="AF2473">
        <v>0</v>
      </c>
      <c r="AG2473">
        <v>0</v>
      </c>
      <c r="AH2473">
        <v>0</v>
      </c>
    </row>
    <row r="2474" spans="2:34" x14ac:dyDescent="0.35">
      <c r="B2474" t="s">
        <v>566</v>
      </c>
      <c r="C2474">
        <v>45741</v>
      </c>
      <c r="F2474" t="s">
        <v>749</v>
      </c>
      <c r="H2474">
        <v>104.2</v>
      </c>
      <c r="O2474" t="s">
        <v>239</v>
      </c>
      <c r="P2474" t="s">
        <v>514</v>
      </c>
      <c r="Y2474">
        <v>2440</v>
      </c>
      <c r="Z2474" s="259" t="s">
        <v>630</v>
      </c>
      <c r="AA2474">
        <v>0</v>
      </c>
      <c r="AB2474">
        <v>0</v>
      </c>
      <c r="AC2474">
        <v>45741</v>
      </c>
      <c r="AD2474">
        <v>0</v>
      </c>
      <c r="AE2474">
        <v>0</v>
      </c>
      <c r="AF2474">
        <v>0</v>
      </c>
      <c r="AG2474">
        <v>0</v>
      </c>
      <c r="AH2474">
        <v>0</v>
      </c>
    </row>
    <row r="2475" spans="2:34" x14ac:dyDescent="0.35">
      <c r="B2475" t="s">
        <v>566</v>
      </c>
      <c r="C2475">
        <v>45741</v>
      </c>
      <c r="F2475" t="s">
        <v>752</v>
      </c>
      <c r="H2475">
        <v>198.6</v>
      </c>
      <c r="O2475" t="s">
        <v>239</v>
      </c>
      <c r="P2475" t="s">
        <v>514</v>
      </c>
      <c r="Y2475">
        <v>2441</v>
      </c>
      <c r="Z2475" s="259" t="s">
        <v>630</v>
      </c>
      <c r="AA2475">
        <v>0</v>
      </c>
      <c r="AB2475">
        <v>0</v>
      </c>
      <c r="AC2475">
        <v>45741</v>
      </c>
      <c r="AD2475">
        <v>0</v>
      </c>
      <c r="AE2475">
        <v>0</v>
      </c>
      <c r="AF2475">
        <v>0</v>
      </c>
      <c r="AG2475">
        <v>0</v>
      </c>
      <c r="AH2475">
        <v>0</v>
      </c>
    </row>
    <row r="2476" spans="2:34" x14ac:dyDescent="0.35">
      <c r="B2476" t="s">
        <v>566</v>
      </c>
      <c r="C2476">
        <v>45741</v>
      </c>
      <c r="F2476" t="s">
        <v>754</v>
      </c>
      <c r="H2476">
        <v>75.599999999999994</v>
      </c>
      <c r="O2476" t="s">
        <v>239</v>
      </c>
      <c r="P2476" t="s">
        <v>514</v>
      </c>
      <c r="Y2476">
        <v>2442</v>
      </c>
      <c r="Z2476" s="259" t="s">
        <v>630</v>
      </c>
      <c r="AA2476">
        <v>0</v>
      </c>
      <c r="AB2476">
        <v>0</v>
      </c>
      <c r="AC2476">
        <v>45741</v>
      </c>
      <c r="AD2476">
        <v>0</v>
      </c>
      <c r="AE2476">
        <v>0</v>
      </c>
      <c r="AF2476">
        <v>0</v>
      </c>
      <c r="AG2476">
        <v>0</v>
      </c>
      <c r="AH2476">
        <v>0</v>
      </c>
    </row>
    <row r="2477" spans="2:34" x14ac:dyDescent="0.35">
      <c r="B2477" t="s">
        <v>566</v>
      </c>
      <c r="C2477">
        <v>45742</v>
      </c>
      <c r="F2477" t="s">
        <v>749</v>
      </c>
      <c r="H2477">
        <v>104.5</v>
      </c>
      <c r="O2477" t="s">
        <v>239</v>
      </c>
      <c r="P2477" t="s">
        <v>514</v>
      </c>
      <c r="Y2477">
        <v>2443</v>
      </c>
      <c r="Z2477" s="259" t="s">
        <v>630</v>
      </c>
      <c r="AA2477">
        <v>0</v>
      </c>
      <c r="AB2477">
        <v>0</v>
      </c>
      <c r="AC2477">
        <v>45742</v>
      </c>
      <c r="AD2477">
        <v>0</v>
      </c>
      <c r="AE2477">
        <v>0</v>
      </c>
      <c r="AF2477">
        <v>0</v>
      </c>
      <c r="AG2477">
        <v>0</v>
      </c>
      <c r="AH2477">
        <v>0</v>
      </c>
    </row>
    <row r="2478" spans="2:34" x14ac:dyDescent="0.35">
      <c r="B2478" t="s">
        <v>566</v>
      </c>
      <c r="C2478">
        <v>45742</v>
      </c>
      <c r="F2478" t="s">
        <v>752</v>
      </c>
      <c r="H2478">
        <v>198.5</v>
      </c>
      <c r="O2478" t="s">
        <v>239</v>
      </c>
      <c r="P2478" t="s">
        <v>514</v>
      </c>
      <c r="Y2478">
        <v>2444</v>
      </c>
      <c r="Z2478" s="259" t="s">
        <v>630</v>
      </c>
      <c r="AA2478">
        <v>0</v>
      </c>
      <c r="AB2478">
        <v>0</v>
      </c>
      <c r="AC2478">
        <v>45742</v>
      </c>
      <c r="AD2478">
        <v>0</v>
      </c>
      <c r="AE2478">
        <v>0</v>
      </c>
      <c r="AF2478">
        <v>0</v>
      </c>
      <c r="AG2478">
        <v>0</v>
      </c>
      <c r="AH2478">
        <v>0</v>
      </c>
    </row>
    <row r="2479" spans="2:34" x14ac:dyDescent="0.35">
      <c r="B2479" t="s">
        <v>566</v>
      </c>
      <c r="C2479">
        <v>45742</v>
      </c>
      <c r="F2479" t="s">
        <v>754</v>
      </c>
      <c r="H2479">
        <v>75.5</v>
      </c>
      <c r="O2479" t="s">
        <v>239</v>
      </c>
      <c r="P2479" t="s">
        <v>514</v>
      </c>
      <c r="Y2479">
        <v>2445</v>
      </c>
      <c r="Z2479" s="259" t="s">
        <v>630</v>
      </c>
      <c r="AA2479">
        <v>0</v>
      </c>
      <c r="AB2479">
        <v>0</v>
      </c>
      <c r="AC2479">
        <v>45742</v>
      </c>
      <c r="AD2479">
        <v>0</v>
      </c>
      <c r="AE2479">
        <v>0</v>
      </c>
      <c r="AF2479">
        <v>0</v>
      </c>
      <c r="AG2479">
        <v>0</v>
      </c>
      <c r="AH2479">
        <v>0</v>
      </c>
    </row>
    <row r="2480" spans="2:34" x14ac:dyDescent="0.35">
      <c r="B2480" t="s">
        <v>566</v>
      </c>
      <c r="C2480">
        <v>45743</v>
      </c>
      <c r="F2480" t="s">
        <v>749</v>
      </c>
      <c r="H2480">
        <v>104.8</v>
      </c>
      <c r="O2480" t="s">
        <v>239</v>
      </c>
      <c r="P2480" t="s">
        <v>514</v>
      </c>
      <c r="Y2480">
        <v>2446</v>
      </c>
      <c r="Z2480" s="259" t="s">
        <v>630</v>
      </c>
      <c r="AA2480">
        <v>0</v>
      </c>
      <c r="AB2480">
        <v>0</v>
      </c>
      <c r="AC2480">
        <v>45743</v>
      </c>
      <c r="AD2480">
        <v>0</v>
      </c>
      <c r="AE2480">
        <v>0</v>
      </c>
      <c r="AF2480">
        <v>0</v>
      </c>
      <c r="AG2480">
        <v>0</v>
      </c>
      <c r="AH2480">
        <v>0</v>
      </c>
    </row>
    <row r="2481" spans="2:34" x14ac:dyDescent="0.35">
      <c r="B2481" t="s">
        <v>566</v>
      </c>
      <c r="C2481">
        <v>45743</v>
      </c>
      <c r="F2481" t="s">
        <v>752</v>
      </c>
      <c r="H2481">
        <v>198.4</v>
      </c>
      <c r="O2481" t="s">
        <v>239</v>
      </c>
      <c r="P2481" t="s">
        <v>514</v>
      </c>
      <c r="Y2481">
        <v>2447</v>
      </c>
      <c r="Z2481" s="259" t="s">
        <v>630</v>
      </c>
      <c r="AA2481">
        <v>0</v>
      </c>
      <c r="AB2481">
        <v>0</v>
      </c>
      <c r="AC2481">
        <v>45743</v>
      </c>
      <c r="AD2481">
        <v>0</v>
      </c>
      <c r="AE2481">
        <v>0</v>
      </c>
      <c r="AF2481">
        <v>0</v>
      </c>
      <c r="AG2481">
        <v>0</v>
      </c>
      <c r="AH2481">
        <v>0</v>
      </c>
    </row>
    <row r="2482" spans="2:34" x14ac:dyDescent="0.35">
      <c r="B2482" t="s">
        <v>566</v>
      </c>
      <c r="C2482">
        <v>45743</v>
      </c>
      <c r="F2482" t="s">
        <v>754</v>
      </c>
      <c r="H2482">
        <v>75.400000000000006</v>
      </c>
      <c r="O2482" t="s">
        <v>239</v>
      </c>
      <c r="P2482" t="s">
        <v>514</v>
      </c>
      <c r="Y2482">
        <v>2448</v>
      </c>
      <c r="Z2482" s="259" t="s">
        <v>630</v>
      </c>
      <c r="AA2482">
        <v>0</v>
      </c>
      <c r="AB2482">
        <v>0</v>
      </c>
      <c r="AC2482">
        <v>45743</v>
      </c>
      <c r="AD2482">
        <v>0</v>
      </c>
      <c r="AE2482">
        <v>0</v>
      </c>
      <c r="AF2482">
        <v>0</v>
      </c>
      <c r="AG2482">
        <v>0</v>
      </c>
      <c r="AH2482">
        <v>0</v>
      </c>
    </row>
    <row r="2483" spans="2:34" x14ac:dyDescent="0.35">
      <c r="B2483" t="s">
        <v>566</v>
      </c>
      <c r="C2483">
        <v>45744</v>
      </c>
      <c r="F2483" t="s">
        <v>749</v>
      </c>
      <c r="H2483">
        <v>105.1</v>
      </c>
      <c r="O2483" t="s">
        <v>239</v>
      </c>
      <c r="P2483" t="s">
        <v>514</v>
      </c>
      <c r="Y2483">
        <v>2449</v>
      </c>
      <c r="Z2483" s="259" t="s">
        <v>630</v>
      </c>
      <c r="AA2483">
        <v>0</v>
      </c>
      <c r="AB2483">
        <v>0</v>
      </c>
      <c r="AC2483">
        <v>45744</v>
      </c>
      <c r="AD2483">
        <v>0</v>
      </c>
      <c r="AE2483">
        <v>0</v>
      </c>
      <c r="AF2483">
        <v>0</v>
      </c>
      <c r="AG2483">
        <v>0</v>
      </c>
      <c r="AH2483">
        <v>0</v>
      </c>
    </row>
    <row r="2484" spans="2:34" x14ac:dyDescent="0.35">
      <c r="B2484" t="s">
        <v>566</v>
      </c>
      <c r="C2484">
        <v>45744</v>
      </c>
      <c r="F2484" t="s">
        <v>752</v>
      </c>
      <c r="H2484">
        <v>198.3</v>
      </c>
      <c r="O2484" t="s">
        <v>239</v>
      </c>
      <c r="P2484" t="s">
        <v>514</v>
      </c>
      <c r="Y2484">
        <v>2450</v>
      </c>
      <c r="Z2484" s="259" t="s">
        <v>630</v>
      </c>
      <c r="AA2484">
        <v>0</v>
      </c>
      <c r="AB2484">
        <v>0</v>
      </c>
      <c r="AC2484">
        <v>45744</v>
      </c>
      <c r="AD2484">
        <v>0</v>
      </c>
      <c r="AE2484">
        <v>0</v>
      </c>
      <c r="AF2484">
        <v>0</v>
      </c>
      <c r="AG2484">
        <v>0</v>
      </c>
      <c r="AH2484">
        <v>0</v>
      </c>
    </row>
    <row r="2485" spans="2:34" x14ac:dyDescent="0.35">
      <c r="B2485" t="s">
        <v>566</v>
      </c>
      <c r="C2485">
        <v>45744</v>
      </c>
      <c r="F2485" t="s">
        <v>754</v>
      </c>
      <c r="H2485">
        <v>75.3</v>
      </c>
      <c r="O2485" t="s">
        <v>239</v>
      </c>
      <c r="P2485" t="s">
        <v>514</v>
      </c>
      <c r="Y2485">
        <v>2451</v>
      </c>
      <c r="Z2485" s="259" t="s">
        <v>630</v>
      </c>
      <c r="AA2485">
        <v>0</v>
      </c>
      <c r="AB2485">
        <v>0</v>
      </c>
      <c r="AC2485">
        <v>45744</v>
      </c>
      <c r="AD2485">
        <v>0</v>
      </c>
      <c r="AE2485">
        <v>0</v>
      </c>
      <c r="AF2485">
        <v>0</v>
      </c>
      <c r="AG2485">
        <v>0</v>
      </c>
      <c r="AH2485">
        <v>0</v>
      </c>
    </row>
    <row r="2486" spans="2:34" x14ac:dyDescent="0.35">
      <c r="B2486" t="s">
        <v>566</v>
      </c>
      <c r="C2486">
        <v>45745</v>
      </c>
      <c r="F2486" t="s">
        <v>749</v>
      </c>
      <c r="H2486">
        <v>105.1</v>
      </c>
      <c r="O2486" t="s">
        <v>239</v>
      </c>
      <c r="P2486" t="s">
        <v>514</v>
      </c>
      <c r="Y2486">
        <v>2452</v>
      </c>
      <c r="Z2486" s="259" t="s">
        <v>630</v>
      </c>
      <c r="AA2486">
        <v>0</v>
      </c>
      <c r="AB2486">
        <v>0</v>
      </c>
      <c r="AC2486">
        <v>45744</v>
      </c>
      <c r="AD2486">
        <v>1</v>
      </c>
      <c r="AE2486">
        <v>0</v>
      </c>
      <c r="AF2486">
        <v>0</v>
      </c>
      <c r="AG2486">
        <v>0</v>
      </c>
      <c r="AH2486">
        <v>0</v>
      </c>
    </row>
    <row r="2487" spans="2:34" x14ac:dyDescent="0.35">
      <c r="B2487" t="s">
        <v>566</v>
      </c>
      <c r="C2487">
        <v>45745</v>
      </c>
      <c r="F2487" t="s">
        <v>752</v>
      </c>
      <c r="H2487">
        <v>198.3</v>
      </c>
      <c r="O2487" t="s">
        <v>239</v>
      </c>
      <c r="P2487" t="s">
        <v>514</v>
      </c>
      <c r="Y2487">
        <v>2453</v>
      </c>
      <c r="Z2487" s="259" t="s">
        <v>630</v>
      </c>
      <c r="AA2487">
        <v>0</v>
      </c>
      <c r="AB2487">
        <v>0</v>
      </c>
      <c r="AC2487">
        <v>45744</v>
      </c>
      <c r="AD2487">
        <v>1</v>
      </c>
      <c r="AE2487">
        <v>0</v>
      </c>
      <c r="AF2487">
        <v>0</v>
      </c>
      <c r="AG2487">
        <v>0</v>
      </c>
      <c r="AH2487">
        <v>0</v>
      </c>
    </row>
    <row r="2488" spans="2:34" x14ac:dyDescent="0.35">
      <c r="B2488" t="s">
        <v>566</v>
      </c>
      <c r="C2488">
        <v>45745</v>
      </c>
      <c r="F2488" t="s">
        <v>754</v>
      </c>
      <c r="H2488">
        <v>75.3</v>
      </c>
      <c r="O2488" t="s">
        <v>239</v>
      </c>
      <c r="P2488" t="s">
        <v>514</v>
      </c>
      <c r="Y2488">
        <v>2454</v>
      </c>
      <c r="Z2488" s="259" t="s">
        <v>630</v>
      </c>
      <c r="AA2488">
        <v>0</v>
      </c>
      <c r="AB2488">
        <v>0</v>
      </c>
      <c r="AC2488">
        <v>45744</v>
      </c>
      <c r="AD2488">
        <v>1</v>
      </c>
      <c r="AE2488">
        <v>0</v>
      </c>
      <c r="AF2488">
        <v>0</v>
      </c>
      <c r="AG2488">
        <v>0</v>
      </c>
      <c r="AH2488">
        <v>0</v>
      </c>
    </row>
    <row r="2489" spans="2:34" x14ac:dyDescent="0.35">
      <c r="B2489" t="s">
        <v>566</v>
      </c>
      <c r="C2489">
        <v>45746</v>
      </c>
      <c r="F2489" t="s">
        <v>749</v>
      </c>
      <c r="H2489">
        <v>105.1</v>
      </c>
      <c r="O2489" t="s">
        <v>239</v>
      </c>
      <c r="P2489" t="s">
        <v>514</v>
      </c>
      <c r="Y2489">
        <v>2455</v>
      </c>
      <c r="Z2489" s="259" t="s">
        <v>630</v>
      </c>
      <c r="AA2489">
        <v>0</v>
      </c>
      <c r="AB2489">
        <v>0</v>
      </c>
      <c r="AC2489">
        <v>45744</v>
      </c>
      <c r="AD2489">
        <v>2</v>
      </c>
      <c r="AE2489">
        <v>0</v>
      </c>
      <c r="AF2489">
        <v>0</v>
      </c>
      <c r="AG2489">
        <v>0</v>
      </c>
      <c r="AH2489">
        <v>0</v>
      </c>
    </row>
    <row r="2490" spans="2:34" x14ac:dyDescent="0.35">
      <c r="B2490" t="s">
        <v>566</v>
      </c>
      <c r="C2490">
        <v>45746</v>
      </c>
      <c r="F2490" t="s">
        <v>752</v>
      </c>
      <c r="H2490">
        <v>198.3</v>
      </c>
      <c r="O2490" t="s">
        <v>239</v>
      </c>
      <c r="P2490" t="s">
        <v>514</v>
      </c>
      <c r="Y2490">
        <v>2456</v>
      </c>
      <c r="Z2490" s="259" t="s">
        <v>630</v>
      </c>
      <c r="AA2490">
        <v>0</v>
      </c>
      <c r="AB2490">
        <v>0</v>
      </c>
      <c r="AC2490">
        <v>45744</v>
      </c>
      <c r="AD2490">
        <v>2</v>
      </c>
      <c r="AE2490">
        <v>0</v>
      </c>
      <c r="AF2490">
        <v>0</v>
      </c>
      <c r="AG2490">
        <v>0</v>
      </c>
      <c r="AH2490">
        <v>0</v>
      </c>
    </row>
    <row r="2491" spans="2:34" x14ac:dyDescent="0.35">
      <c r="B2491" t="s">
        <v>566</v>
      </c>
      <c r="C2491">
        <v>45746</v>
      </c>
      <c r="F2491" t="s">
        <v>754</v>
      </c>
      <c r="H2491">
        <v>75.3</v>
      </c>
      <c r="O2491" t="s">
        <v>239</v>
      </c>
      <c r="P2491" t="s">
        <v>514</v>
      </c>
      <c r="Y2491">
        <v>2457</v>
      </c>
      <c r="Z2491" s="259" t="s">
        <v>630</v>
      </c>
      <c r="AA2491">
        <v>0</v>
      </c>
      <c r="AB2491">
        <v>0</v>
      </c>
      <c r="AC2491">
        <v>45744</v>
      </c>
      <c r="AD2491">
        <v>2</v>
      </c>
      <c r="AE2491">
        <v>0</v>
      </c>
      <c r="AF2491">
        <v>0</v>
      </c>
      <c r="AG2491">
        <v>0</v>
      </c>
      <c r="AH2491">
        <v>0</v>
      </c>
    </row>
    <row r="2492" spans="2:34" x14ac:dyDescent="0.35">
      <c r="B2492" t="s">
        <v>566</v>
      </c>
      <c r="C2492">
        <v>45747</v>
      </c>
      <c r="F2492" t="s">
        <v>749</v>
      </c>
      <c r="H2492">
        <v>106</v>
      </c>
      <c r="O2492" t="s">
        <v>239</v>
      </c>
      <c r="P2492" t="s">
        <v>514</v>
      </c>
      <c r="Y2492">
        <v>2458</v>
      </c>
      <c r="Z2492" s="259" t="s">
        <v>630</v>
      </c>
      <c r="AA2492">
        <v>0</v>
      </c>
      <c r="AB2492">
        <v>0</v>
      </c>
      <c r="AC2492">
        <v>45747</v>
      </c>
      <c r="AD2492">
        <v>0</v>
      </c>
      <c r="AE2492">
        <v>0</v>
      </c>
      <c r="AF2492">
        <v>0</v>
      </c>
      <c r="AG2492">
        <v>0</v>
      </c>
      <c r="AH2492">
        <v>0</v>
      </c>
    </row>
    <row r="2493" spans="2:34" x14ac:dyDescent="0.35">
      <c r="B2493" t="s">
        <v>566</v>
      </c>
      <c r="C2493">
        <v>45747</v>
      </c>
      <c r="F2493" t="s">
        <v>752</v>
      </c>
      <c r="H2493">
        <v>198</v>
      </c>
      <c r="O2493" t="s">
        <v>239</v>
      </c>
      <c r="P2493" t="s">
        <v>514</v>
      </c>
      <c r="Y2493">
        <v>2459</v>
      </c>
      <c r="Z2493" s="259" t="s">
        <v>630</v>
      </c>
      <c r="AA2493">
        <v>0</v>
      </c>
      <c r="AB2493">
        <v>0</v>
      </c>
      <c r="AC2493">
        <v>45747</v>
      </c>
      <c r="AD2493">
        <v>0</v>
      </c>
      <c r="AE2493">
        <v>0</v>
      </c>
      <c r="AF2493">
        <v>0</v>
      </c>
      <c r="AG2493">
        <v>0</v>
      </c>
      <c r="AH2493">
        <v>0</v>
      </c>
    </row>
    <row r="2494" spans="2:34" x14ac:dyDescent="0.35">
      <c r="B2494" t="s">
        <v>566</v>
      </c>
      <c r="C2494">
        <v>45747</v>
      </c>
      <c r="F2494" t="s">
        <v>754</v>
      </c>
      <c r="H2494">
        <v>75</v>
      </c>
      <c r="O2494" t="s">
        <v>239</v>
      </c>
      <c r="P2494" t="s">
        <v>514</v>
      </c>
      <c r="Y2494">
        <v>2460</v>
      </c>
      <c r="Z2494" s="259" t="s">
        <v>630</v>
      </c>
      <c r="AA2494">
        <v>0</v>
      </c>
      <c r="AB2494">
        <v>0</v>
      </c>
      <c r="AC2494">
        <v>45747</v>
      </c>
      <c r="AD2494">
        <v>0</v>
      </c>
      <c r="AE2494">
        <v>0</v>
      </c>
      <c r="AF2494">
        <v>0</v>
      </c>
      <c r="AG2494">
        <v>0</v>
      </c>
      <c r="AH2494">
        <v>0</v>
      </c>
    </row>
    <row r="2495" spans="2:34" x14ac:dyDescent="0.35">
      <c r="B2495" t="s">
        <v>566</v>
      </c>
      <c r="C2495">
        <v>45748</v>
      </c>
      <c r="F2495" t="s">
        <v>749</v>
      </c>
      <c r="H2495">
        <v>106</v>
      </c>
      <c r="O2495" t="s">
        <v>239</v>
      </c>
      <c r="P2495" t="s">
        <v>514</v>
      </c>
      <c r="Y2495">
        <v>2461</v>
      </c>
      <c r="Z2495" s="259" t="s">
        <v>630</v>
      </c>
      <c r="AA2495">
        <v>0</v>
      </c>
      <c r="AB2495">
        <v>0</v>
      </c>
      <c r="AC2495">
        <v>45748</v>
      </c>
      <c r="AD2495">
        <v>0</v>
      </c>
      <c r="AE2495">
        <v>0</v>
      </c>
      <c r="AF2495">
        <v>0</v>
      </c>
      <c r="AG2495">
        <v>0</v>
      </c>
      <c r="AH2495">
        <v>0</v>
      </c>
    </row>
    <row r="2496" spans="2:34" x14ac:dyDescent="0.35">
      <c r="B2496" t="s">
        <v>566</v>
      </c>
      <c r="C2496">
        <v>45748</v>
      </c>
      <c r="F2496" t="s">
        <v>752</v>
      </c>
      <c r="H2496">
        <v>198</v>
      </c>
      <c r="O2496" t="s">
        <v>239</v>
      </c>
      <c r="P2496" t="s">
        <v>514</v>
      </c>
      <c r="Y2496">
        <v>2462</v>
      </c>
      <c r="Z2496" s="259" t="s">
        <v>630</v>
      </c>
      <c r="AA2496">
        <v>0</v>
      </c>
      <c r="AB2496">
        <v>0</v>
      </c>
      <c r="AC2496">
        <v>45748</v>
      </c>
      <c r="AD2496">
        <v>0</v>
      </c>
      <c r="AE2496">
        <v>0</v>
      </c>
      <c r="AF2496">
        <v>0</v>
      </c>
      <c r="AG2496">
        <v>0</v>
      </c>
      <c r="AH2496">
        <v>0</v>
      </c>
    </row>
    <row r="2497" spans="2:34" x14ac:dyDescent="0.35">
      <c r="B2497" t="s">
        <v>566</v>
      </c>
      <c r="C2497">
        <v>45748</v>
      </c>
      <c r="F2497" t="s">
        <v>754</v>
      </c>
      <c r="H2497">
        <v>75</v>
      </c>
      <c r="O2497" t="s">
        <v>239</v>
      </c>
      <c r="P2497" t="s">
        <v>514</v>
      </c>
      <c r="Y2497">
        <v>2463</v>
      </c>
      <c r="Z2497" s="259" t="s">
        <v>630</v>
      </c>
      <c r="AA2497">
        <v>0</v>
      </c>
      <c r="AB2497">
        <v>0</v>
      </c>
      <c r="AC2497">
        <v>45748</v>
      </c>
      <c r="AD2497">
        <v>0</v>
      </c>
      <c r="AE2497">
        <v>0</v>
      </c>
      <c r="AF2497">
        <v>0</v>
      </c>
      <c r="AG2497">
        <v>0</v>
      </c>
      <c r="AH2497">
        <v>0</v>
      </c>
    </row>
    <row r="2498" spans="2:34" x14ac:dyDescent="0.35">
      <c r="B2498" t="s">
        <v>566</v>
      </c>
      <c r="C2498">
        <v>45749</v>
      </c>
      <c r="F2498" t="s">
        <v>749</v>
      </c>
      <c r="H2498">
        <v>105.83</v>
      </c>
      <c r="O2498" t="s">
        <v>239</v>
      </c>
      <c r="P2498" t="s">
        <v>514</v>
      </c>
      <c r="Y2498">
        <v>2464</v>
      </c>
      <c r="Z2498" s="259" t="s">
        <v>630</v>
      </c>
      <c r="AA2498">
        <v>0</v>
      </c>
      <c r="AB2498">
        <v>0</v>
      </c>
      <c r="AC2498">
        <v>45749</v>
      </c>
      <c r="AD2498">
        <v>0</v>
      </c>
      <c r="AE2498">
        <v>0</v>
      </c>
      <c r="AF2498">
        <v>0</v>
      </c>
      <c r="AG2498">
        <v>0</v>
      </c>
      <c r="AH2498">
        <v>0</v>
      </c>
    </row>
    <row r="2499" spans="2:34" x14ac:dyDescent="0.35">
      <c r="B2499" t="s">
        <v>566</v>
      </c>
      <c r="C2499">
        <v>45749</v>
      </c>
      <c r="F2499" t="s">
        <v>752</v>
      </c>
      <c r="H2499">
        <v>197.62</v>
      </c>
      <c r="O2499" t="s">
        <v>239</v>
      </c>
      <c r="P2499" t="s">
        <v>514</v>
      </c>
      <c r="Y2499">
        <v>2465</v>
      </c>
      <c r="Z2499" s="259" t="s">
        <v>630</v>
      </c>
      <c r="AA2499">
        <v>0</v>
      </c>
      <c r="AB2499">
        <v>0</v>
      </c>
      <c r="AC2499">
        <v>45749</v>
      </c>
      <c r="AD2499">
        <v>0</v>
      </c>
      <c r="AE2499">
        <v>0</v>
      </c>
      <c r="AF2499">
        <v>0</v>
      </c>
      <c r="AG2499">
        <v>0</v>
      </c>
      <c r="AH2499">
        <v>0</v>
      </c>
    </row>
    <row r="2500" spans="2:34" x14ac:dyDescent="0.35">
      <c r="B2500" t="s">
        <v>566</v>
      </c>
      <c r="C2500">
        <v>45749</v>
      </c>
      <c r="F2500" t="s">
        <v>754</v>
      </c>
      <c r="H2500">
        <v>75.14</v>
      </c>
      <c r="O2500" t="s">
        <v>239</v>
      </c>
      <c r="P2500" t="s">
        <v>514</v>
      </c>
      <c r="Y2500">
        <v>2466</v>
      </c>
      <c r="Z2500" s="259" t="s">
        <v>630</v>
      </c>
      <c r="AA2500">
        <v>0</v>
      </c>
      <c r="AB2500">
        <v>0</v>
      </c>
      <c r="AC2500">
        <v>45749</v>
      </c>
      <c r="AD2500">
        <v>0</v>
      </c>
      <c r="AE2500">
        <v>0</v>
      </c>
      <c r="AF2500">
        <v>0</v>
      </c>
      <c r="AG2500">
        <v>0</v>
      </c>
      <c r="AH2500">
        <v>0</v>
      </c>
    </row>
    <row r="2501" spans="2:34" x14ac:dyDescent="0.35">
      <c r="B2501" t="s">
        <v>566</v>
      </c>
      <c r="C2501">
        <v>45750</v>
      </c>
      <c r="F2501" t="s">
        <v>749</v>
      </c>
      <c r="H2501">
        <v>105.66</v>
      </c>
      <c r="O2501" t="s">
        <v>239</v>
      </c>
      <c r="P2501" t="s">
        <v>514</v>
      </c>
      <c r="Y2501">
        <v>2467</v>
      </c>
      <c r="Z2501" s="259" t="s">
        <v>630</v>
      </c>
      <c r="AA2501">
        <v>0</v>
      </c>
      <c r="AB2501">
        <v>0</v>
      </c>
      <c r="AC2501">
        <v>45750</v>
      </c>
      <c r="AD2501">
        <v>0</v>
      </c>
      <c r="AE2501">
        <v>0</v>
      </c>
      <c r="AF2501">
        <v>0</v>
      </c>
      <c r="AG2501">
        <v>0</v>
      </c>
      <c r="AH2501">
        <v>0</v>
      </c>
    </row>
    <row r="2502" spans="2:34" x14ac:dyDescent="0.35">
      <c r="B2502" t="s">
        <v>566</v>
      </c>
      <c r="C2502">
        <v>45750</v>
      </c>
      <c r="F2502" t="s">
        <v>752</v>
      </c>
      <c r="H2502">
        <v>197.24</v>
      </c>
      <c r="O2502" t="s">
        <v>239</v>
      </c>
      <c r="P2502" t="s">
        <v>514</v>
      </c>
      <c r="Y2502">
        <v>2468</v>
      </c>
      <c r="Z2502" s="259" t="s">
        <v>630</v>
      </c>
      <c r="AA2502">
        <v>0</v>
      </c>
      <c r="AB2502">
        <v>0</v>
      </c>
      <c r="AC2502">
        <v>45750</v>
      </c>
      <c r="AD2502">
        <v>0</v>
      </c>
      <c r="AE2502">
        <v>0</v>
      </c>
      <c r="AF2502">
        <v>0</v>
      </c>
      <c r="AG2502">
        <v>0</v>
      </c>
      <c r="AH2502">
        <v>0</v>
      </c>
    </row>
    <row r="2503" spans="2:34" x14ac:dyDescent="0.35">
      <c r="B2503" t="s">
        <v>566</v>
      </c>
      <c r="C2503">
        <v>45750</v>
      </c>
      <c r="F2503" t="s">
        <v>754</v>
      </c>
      <c r="H2503">
        <v>75.28</v>
      </c>
      <c r="O2503" t="s">
        <v>239</v>
      </c>
      <c r="P2503" t="s">
        <v>514</v>
      </c>
      <c r="Y2503">
        <v>2469</v>
      </c>
      <c r="Z2503" s="259" t="s">
        <v>630</v>
      </c>
      <c r="AA2503">
        <v>0</v>
      </c>
      <c r="AB2503">
        <v>0</v>
      </c>
      <c r="AC2503">
        <v>45750</v>
      </c>
      <c r="AD2503">
        <v>0</v>
      </c>
      <c r="AE2503">
        <v>0</v>
      </c>
      <c r="AF2503">
        <v>0</v>
      </c>
      <c r="AG2503">
        <v>0</v>
      </c>
      <c r="AH2503">
        <v>0</v>
      </c>
    </row>
    <row r="2504" spans="2:34" x14ac:dyDescent="0.35">
      <c r="B2504" t="s">
        <v>566</v>
      </c>
      <c r="C2504">
        <v>45751</v>
      </c>
      <c r="F2504" t="s">
        <v>749</v>
      </c>
      <c r="H2504">
        <v>105.48</v>
      </c>
      <c r="O2504" t="s">
        <v>239</v>
      </c>
      <c r="P2504" t="s">
        <v>514</v>
      </c>
      <c r="Y2504">
        <v>2470</v>
      </c>
      <c r="Z2504" s="259" t="s">
        <v>630</v>
      </c>
      <c r="AA2504">
        <v>0</v>
      </c>
      <c r="AB2504">
        <v>0</v>
      </c>
      <c r="AC2504">
        <v>45751</v>
      </c>
      <c r="AD2504">
        <v>0</v>
      </c>
      <c r="AE2504">
        <v>0</v>
      </c>
      <c r="AF2504">
        <v>0</v>
      </c>
      <c r="AG2504">
        <v>0</v>
      </c>
      <c r="AH2504">
        <v>0</v>
      </c>
    </row>
    <row r="2505" spans="2:34" x14ac:dyDescent="0.35">
      <c r="B2505" t="s">
        <v>566</v>
      </c>
      <c r="C2505">
        <v>45751</v>
      </c>
      <c r="F2505" t="s">
        <v>752</v>
      </c>
      <c r="H2505">
        <v>196.86</v>
      </c>
      <c r="O2505" t="s">
        <v>239</v>
      </c>
      <c r="P2505" t="s">
        <v>514</v>
      </c>
      <c r="Y2505">
        <v>2471</v>
      </c>
      <c r="Z2505" s="259" t="s">
        <v>630</v>
      </c>
      <c r="AA2505">
        <v>0</v>
      </c>
      <c r="AB2505">
        <v>0</v>
      </c>
      <c r="AC2505">
        <v>45751</v>
      </c>
      <c r="AD2505">
        <v>0</v>
      </c>
      <c r="AE2505">
        <v>0</v>
      </c>
      <c r="AF2505">
        <v>0</v>
      </c>
      <c r="AG2505">
        <v>0</v>
      </c>
      <c r="AH2505">
        <v>0</v>
      </c>
    </row>
    <row r="2506" spans="2:34" x14ac:dyDescent="0.35">
      <c r="B2506" t="s">
        <v>566</v>
      </c>
      <c r="C2506">
        <v>45751</v>
      </c>
      <c r="F2506" t="s">
        <v>754</v>
      </c>
      <c r="H2506">
        <v>75.41</v>
      </c>
      <c r="O2506" t="s">
        <v>239</v>
      </c>
      <c r="P2506" t="s">
        <v>514</v>
      </c>
      <c r="Y2506">
        <v>2472</v>
      </c>
      <c r="Z2506" s="259" t="s">
        <v>630</v>
      </c>
      <c r="AA2506">
        <v>0</v>
      </c>
      <c r="AB2506">
        <v>0</v>
      </c>
      <c r="AC2506">
        <v>45751</v>
      </c>
      <c r="AD2506">
        <v>0</v>
      </c>
      <c r="AE2506">
        <v>0</v>
      </c>
      <c r="AF2506">
        <v>0</v>
      </c>
      <c r="AG2506">
        <v>0</v>
      </c>
      <c r="AH2506">
        <v>0</v>
      </c>
    </row>
    <row r="2507" spans="2:34" x14ac:dyDescent="0.35">
      <c r="B2507" t="s">
        <v>566</v>
      </c>
      <c r="C2507">
        <v>45752</v>
      </c>
      <c r="F2507" t="s">
        <v>749</v>
      </c>
      <c r="H2507">
        <v>105.48</v>
      </c>
      <c r="O2507" t="s">
        <v>239</v>
      </c>
      <c r="P2507" t="s">
        <v>514</v>
      </c>
      <c r="Y2507">
        <v>2473</v>
      </c>
      <c r="Z2507" s="259" t="s">
        <v>630</v>
      </c>
      <c r="AA2507">
        <v>0</v>
      </c>
      <c r="AB2507">
        <v>0</v>
      </c>
      <c r="AC2507">
        <v>45751</v>
      </c>
      <c r="AD2507">
        <v>1</v>
      </c>
      <c r="AE2507">
        <v>0</v>
      </c>
      <c r="AF2507">
        <v>0</v>
      </c>
      <c r="AG2507">
        <v>0</v>
      </c>
      <c r="AH2507">
        <v>0</v>
      </c>
    </row>
    <row r="2508" spans="2:34" x14ac:dyDescent="0.35">
      <c r="B2508" t="s">
        <v>566</v>
      </c>
      <c r="C2508">
        <v>45752</v>
      </c>
      <c r="F2508" t="s">
        <v>752</v>
      </c>
      <c r="H2508">
        <v>196.86</v>
      </c>
      <c r="O2508" t="s">
        <v>239</v>
      </c>
      <c r="P2508" t="s">
        <v>514</v>
      </c>
      <c r="Y2508">
        <v>2474</v>
      </c>
      <c r="Z2508" s="259" t="s">
        <v>630</v>
      </c>
      <c r="AA2508">
        <v>0</v>
      </c>
      <c r="AB2508">
        <v>0</v>
      </c>
      <c r="AC2508">
        <v>45751</v>
      </c>
      <c r="AD2508">
        <v>1</v>
      </c>
      <c r="AE2508">
        <v>0</v>
      </c>
      <c r="AF2508">
        <v>0</v>
      </c>
      <c r="AG2508">
        <v>0</v>
      </c>
      <c r="AH2508">
        <v>0</v>
      </c>
    </row>
    <row r="2509" spans="2:34" x14ac:dyDescent="0.35">
      <c r="B2509" t="s">
        <v>566</v>
      </c>
      <c r="C2509">
        <v>45752</v>
      </c>
      <c r="F2509" t="s">
        <v>754</v>
      </c>
      <c r="H2509">
        <v>75.41</v>
      </c>
      <c r="O2509" t="s">
        <v>239</v>
      </c>
      <c r="P2509" t="s">
        <v>514</v>
      </c>
      <c r="Y2509">
        <v>2475</v>
      </c>
      <c r="Z2509" s="259" t="s">
        <v>630</v>
      </c>
      <c r="AA2509">
        <v>0</v>
      </c>
      <c r="AB2509">
        <v>0</v>
      </c>
      <c r="AC2509">
        <v>45751</v>
      </c>
      <c r="AD2509">
        <v>1</v>
      </c>
      <c r="AE2509">
        <v>0</v>
      </c>
      <c r="AF2509">
        <v>0</v>
      </c>
      <c r="AG2509">
        <v>0</v>
      </c>
      <c r="AH2509">
        <v>0</v>
      </c>
    </row>
    <row r="2510" spans="2:34" x14ac:dyDescent="0.35">
      <c r="B2510" t="s">
        <v>566</v>
      </c>
      <c r="C2510">
        <v>45753</v>
      </c>
      <c r="F2510" t="s">
        <v>749</v>
      </c>
      <c r="H2510">
        <v>105.48</v>
      </c>
      <c r="O2510" t="s">
        <v>239</v>
      </c>
      <c r="P2510" t="s">
        <v>514</v>
      </c>
      <c r="Y2510">
        <v>2476</v>
      </c>
      <c r="Z2510" s="259" t="s">
        <v>630</v>
      </c>
      <c r="AA2510">
        <v>0</v>
      </c>
      <c r="AB2510">
        <v>0</v>
      </c>
      <c r="AC2510">
        <v>45751</v>
      </c>
      <c r="AD2510">
        <v>2</v>
      </c>
      <c r="AE2510">
        <v>0</v>
      </c>
      <c r="AF2510">
        <v>0</v>
      </c>
      <c r="AG2510">
        <v>0</v>
      </c>
      <c r="AH2510">
        <v>0</v>
      </c>
    </row>
    <row r="2511" spans="2:34" x14ac:dyDescent="0.35">
      <c r="B2511" t="s">
        <v>566</v>
      </c>
      <c r="C2511">
        <v>45753</v>
      </c>
      <c r="F2511" t="s">
        <v>752</v>
      </c>
      <c r="H2511">
        <v>196.86</v>
      </c>
      <c r="O2511" t="s">
        <v>239</v>
      </c>
      <c r="P2511" t="s">
        <v>514</v>
      </c>
      <c r="Y2511">
        <v>2477</v>
      </c>
      <c r="Z2511" s="259" t="s">
        <v>630</v>
      </c>
      <c r="AA2511">
        <v>0</v>
      </c>
      <c r="AB2511">
        <v>0</v>
      </c>
      <c r="AC2511">
        <v>45751</v>
      </c>
      <c r="AD2511">
        <v>2</v>
      </c>
      <c r="AE2511">
        <v>0</v>
      </c>
      <c r="AF2511">
        <v>0</v>
      </c>
      <c r="AG2511">
        <v>0</v>
      </c>
      <c r="AH2511">
        <v>0</v>
      </c>
    </row>
    <row r="2512" spans="2:34" x14ac:dyDescent="0.35">
      <c r="B2512" t="s">
        <v>566</v>
      </c>
      <c r="C2512">
        <v>45753</v>
      </c>
      <c r="F2512" t="s">
        <v>754</v>
      </c>
      <c r="H2512">
        <v>75.41</v>
      </c>
      <c r="O2512" t="s">
        <v>239</v>
      </c>
      <c r="P2512" t="s">
        <v>514</v>
      </c>
      <c r="Y2512">
        <v>2478</v>
      </c>
      <c r="Z2512" s="259" t="s">
        <v>630</v>
      </c>
      <c r="AA2512">
        <v>0</v>
      </c>
      <c r="AB2512">
        <v>0</v>
      </c>
      <c r="AC2512">
        <v>45751</v>
      </c>
      <c r="AD2512">
        <v>2</v>
      </c>
      <c r="AE2512">
        <v>0</v>
      </c>
      <c r="AF2512">
        <v>0</v>
      </c>
      <c r="AG2512">
        <v>0</v>
      </c>
      <c r="AH2512">
        <v>0</v>
      </c>
    </row>
    <row r="2513" spans="2:34" x14ac:dyDescent="0.35">
      <c r="B2513" t="s">
        <v>566</v>
      </c>
      <c r="C2513">
        <v>45754</v>
      </c>
      <c r="F2513" t="s">
        <v>749</v>
      </c>
      <c r="H2513">
        <v>104.97</v>
      </c>
      <c r="O2513" t="s">
        <v>239</v>
      </c>
      <c r="P2513" t="s">
        <v>514</v>
      </c>
      <c r="Y2513">
        <v>2479</v>
      </c>
      <c r="Z2513" s="259" t="s">
        <v>630</v>
      </c>
      <c r="AA2513">
        <v>0</v>
      </c>
      <c r="AB2513">
        <v>0</v>
      </c>
      <c r="AC2513">
        <v>45754</v>
      </c>
      <c r="AD2513">
        <v>0</v>
      </c>
      <c r="AE2513">
        <v>0</v>
      </c>
      <c r="AF2513">
        <v>0</v>
      </c>
      <c r="AG2513">
        <v>0</v>
      </c>
      <c r="AH2513">
        <v>0</v>
      </c>
    </row>
    <row r="2514" spans="2:34" x14ac:dyDescent="0.35">
      <c r="B2514" t="s">
        <v>566</v>
      </c>
      <c r="C2514">
        <v>45754</v>
      </c>
      <c r="F2514" t="s">
        <v>752</v>
      </c>
      <c r="H2514">
        <v>195.72</v>
      </c>
      <c r="O2514" t="s">
        <v>239</v>
      </c>
      <c r="P2514" t="s">
        <v>514</v>
      </c>
      <c r="Y2514">
        <v>2480</v>
      </c>
      <c r="Z2514" s="259" t="s">
        <v>630</v>
      </c>
      <c r="AA2514">
        <v>0</v>
      </c>
      <c r="AB2514">
        <v>0</v>
      </c>
      <c r="AC2514">
        <v>45754</v>
      </c>
      <c r="AD2514">
        <v>0</v>
      </c>
      <c r="AE2514">
        <v>0</v>
      </c>
      <c r="AF2514">
        <v>0</v>
      </c>
      <c r="AG2514">
        <v>0</v>
      </c>
      <c r="AH2514">
        <v>0</v>
      </c>
    </row>
    <row r="2515" spans="2:34" x14ac:dyDescent="0.35">
      <c r="B2515" t="s">
        <v>566</v>
      </c>
      <c r="C2515">
        <v>45754</v>
      </c>
      <c r="F2515" t="s">
        <v>754</v>
      </c>
      <c r="H2515">
        <v>75.83</v>
      </c>
      <c r="O2515" t="s">
        <v>239</v>
      </c>
      <c r="P2515" t="s">
        <v>514</v>
      </c>
      <c r="Y2515">
        <v>2481</v>
      </c>
      <c r="Z2515" s="259" t="s">
        <v>630</v>
      </c>
      <c r="AA2515">
        <v>0</v>
      </c>
      <c r="AB2515">
        <v>0</v>
      </c>
      <c r="AC2515">
        <v>45754</v>
      </c>
      <c r="AD2515">
        <v>0</v>
      </c>
      <c r="AE2515">
        <v>0</v>
      </c>
      <c r="AF2515">
        <v>0</v>
      </c>
      <c r="AG2515">
        <v>0</v>
      </c>
      <c r="AH2515">
        <v>0</v>
      </c>
    </row>
    <row r="2516" spans="2:34" x14ac:dyDescent="0.35">
      <c r="B2516" t="s">
        <v>566</v>
      </c>
      <c r="C2516">
        <v>45755</v>
      </c>
      <c r="F2516" t="s">
        <v>749</v>
      </c>
      <c r="H2516">
        <v>104.79</v>
      </c>
      <c r="O2516" t="s">
        <v>239</v>
      </c>
      <c r="P2516" t="s">
        <v>514</v>
      </c>
      <c r="Y2516">
        <v>2482</v>
      </c>
      <c r="Z2516" s="259" t="s">
        <v>630</v>
      </c>
      <c r="AA2516">
        <v>0</v>
      </c>
      <c r="AB2516">
        <v>0</v>
      </c>
      <c r="AC2516">
        <v>45755</v>
      </c>
      <c r="AD2516">
        <v>0</v>
      </c>
      <c r="AE2516">
        <v>0</v>
      </c>
      <c r="AF2516">
        <v>0</v>
      </c>
      <c r="AG2516">
        <v>0</v>
      </c>
      <c r="AH2516">
        <v>0</v>
      </c>
    </row>
    <row r="2517" spans="2:34" x14ac:dyDescent="0.35">
      <c r="B2517" t="s">
        <v>566</v>
      </c>
      <c r="C2517">
        <v>45755</v>
      </c>
      <c r="F2517" t="s">
        <v>752</v>
      </c>
      <c r="H2517">
        <v>195.34</v>
      </c>
      <c r="O2517" t="s">
        <v>239</v>
      </c>
      <c r="P2517" t="s">
        <v>514</v>
      </c>
      <c r="Y2517">
        <v>2483</v>
      </c>
      <c r="Z2517" s="259" t="s">
        <v>630</v>
      </c>
      <c r="AA2517">
        <v>0</v>
      </c>
      <c r="AB2517">
        <v>0</v>
      </c>
      <c r="AC2517">
        <v>45755</v>
      </c>
      <c r="AD2517">
        <v>0</v>
      </c>
      <c r="AE2517">
        <v>0</v>
      </c>
      <c r="AF2517">
        <v>0</v>
      </c>
      <c r="AG2517">
        <v>0</v>
      </c>
      <c r="AH2517">
        <v>0</v>
      </c>
    </row>
    <row r="2518" spans="2:34" x14ac:dyDescent="0.35">
      <c r="B2518" t="s">
        <v>566</v>
      </c>
      <c r="C2518">
        <v>45755</v>
      </c>
      <c r="F2518" t="s">
        <v>754</v>
      </c>
      <c r="H2518">
        <v>75.97</v>
      </c>
      <c r="O2518" t="s">
        <v>239</v>
      </c>
      <c r="P2518" t="s">
        <v>514</v>
      </c>
      <c r="Y2518">
        <v>2484</v>
      </c>
      <c r="Z2518" s="259" t="s">
        <v>630</v>
      </c>
      <c r="AA2518">
        <v>0</v>
      </c>
      <c r="AB2518">
        <v>0</v>
      </c>
      <c r="AC2518">
        <v>45755</v>
      </c>
      <c r="AD2518">
        <v>0</v>
      </c>
      <c r="AE2518">
        <v>0</v>
      </c>
      <c r="AF2518">
        <v>0</v>
      </c>
      <c r="AG2518">
        <v>0</v>
      </c>
      <c r="AH2518">
        <v>0</v>
      </c>
    </row>
    <row r="2519" spans="2:34" x14ac:dyDescent="0.35">
      <c r="B2519" t="s">
        <v>566</v>
      </c>
      <c r="C2519">
        <v>45756</v>
      </c>
      <c r="F2519" t="s">
        <v>749</v>
      </c>
      <c r="H2519">
        <v>104.62</v>
      </c>
      <c r="O2519" t="s">
        <v>239</v>
      </c>
      <c r="P2519" t="s">
        <v>514</v>
      </c>
      <c r="Y2519">
        <v>2485</v>
      </c>
      <c r="Z2519" s="259" t="s">
        <v>630</v>
      </c>
      <c r="AA2519">
        <v>0</v>
      </c>
      <c r="AB2519">
        <v>0</v>
      </c>
      <c r="AC2519">
        <v>45756</v>
      </c>
      <c r="AD2519">
        <v>0</v>
      </c>
      <c r="AE2519">
        <v>0</v>
      </c>
      <c r="AF2519">
        <v>0</v>
      </c>
      <c r="AG2519">
        <v>0</v>
      </c>
      <c r="AH2519">
        <v>0</v>
      </c>
    </row>
    <row r="2520" spans="2:34" x14ac:dyDescent="0.35">
      <c r="B2520" t="s">
        <v>566</v>
      </c>
      <c r="C2520">
        <v>45756</v>
      </c>
      <c r="F2520" t="s">
        <v>752</v>
      </c>
      <c r="H2520">
        <v>194.97</v>
      </c>
      <c r="O2520" t="s">
        <v>239</v>
      </c>
      <c r="P2520" t="s">
        <v>514</v>
      </c>
      <c r="Y2520">
        <v>2486</v>
      </c>
      <c r="Z2520" s="259" t="s">
        <v>630</v>
      </c>
      <c r="AA2520">
        <v>0</v>
      </c>
      <c r="AB2520">
        <v>0</v>
      </c>
      <c r="AC2520">
        <v>45756</v>
      </c>
      <c r="AD2520">
        <v>0</v>
      </c>
      <c r="AE2520">
        <v>0</v>
      </c>
      <c r="AF2520">
        <v>0</v>
      </c>
      <c r="AG2520">
        <v>0</v>
      </c>
      <c r="AH2520">
        <v>0</v>
      </c>
    </row>
    <row r="2521" spans="2:34" x14ac:dyDescent="0.35">
      <c r="B2521" t="s">
        <v>566</v>
      </c>
      <c r="C2521">
        <v>45756</v>
      </c>
      <c r="F2521" t="s">
        <v>754</v>
      </c>
      <c r="H2521">
        <v>76.099999999999994</v>
      </c>
      <c r="O2521" t="s">
        <v>239</v>
      </c>
      <c r="P2521" t="s">
        <v>514</v>
      </c>
      <c r="Y2521">
        <v>2487</v>
      </c>
      <c r="Z2521" s="259" t="s">
        <v>630</v>
      </c>
      <c r="AA2521">
        <v>0</v>
      </c>
      <c r="AB2521">
        <v>0</v>
      </c>
      <c r="AC2521">
        <v>45756</v>
      </c>
      <c r="AD2521">
        <v>0</v>
      </c>
      <c r="AE2521">
        <v>0</v>
      </c>
      <c r="AF2521">
        <v>0</v>
      </c>
      <c r="AG2521">
        <v>0</v>
      </c>
      <c r="AH2521">
        <v>0</v>
      </c>
    </row>
    <row r="2522" spans="2:34" x14ac:dyDescent="0.35">
      <c r="B2522" t="s">
        <v>566</v>
      </c>
      <c r="C2522">
        <v>45757</v>
      </c>
      <c r="F2522" t="s">
        <v>749</v>
      </c>
      <c r="H2522">
        <v>104.45</v>
      </c>
      <c r="O2522" t="s">
        <v>239</v>
      </c>
      <c r="P2522" t="s">
        <v>514</v>
      </c>
      <c r="Y2522">
        <v>2488</v>
      </c>
      <c r="Z2522" s="259" t="s">
        <v>630</v>
      </c>
      <c r="AA2522">
        <v>0</v>
      </c>
      <c r="AB2522">
        <v>0</v>
      </c>
      <c r="AC2522">
        <v>45757</v>
      </c>
      <c r="AD2522">
        <v>0</v>
      </c>
      <c r="AE2522">
        <v>0</v>
      </c>
      <c r="AF2522">
        <v>0</v>
      </c>
      <c r="AG2522">
        <v>0</v>
      </c>
      <c r="AH2522">
        <v>0</v>
      </c>
    </row>
    <row r="2523" spans="2:34" x14ac:dyDescent="0.35">
      <c r="B2523" t="s">
        <v>566</v>
      </c>
      <c r="C2523">
        <v>45757</v>
      </c>
      <c r="F2523" t="s">
        <v>752</v>
      </c>
      <c r="H2523">
        <v>194.59</v>
      </c>
      <c r="O2523" t="s">
        <v>239</v>
      </c>
      <c r="P2523" t="s">
        <v>514</v>
      </c>
      <c r="Y2523">
        <v>2489</v>
      </c>
      <c r="Z2523" s="259" t="s">
        <v>630</v>
      </c>
      <c r="AA2523">
        <v>0</v>
      </c>
      <c r="AB2523">
        <v>0</v>
      </c>
      <c r="AC2523">
        <v>45757</v>
      </c>
      <c r="AD2523">
        <v>0</v>
      </c>
      <c r="AE2523">
        <v>0</v>
      </c>
      <c r="AF2523">
        <v>0</v>
      </c>
      <c r="AG2523">
        <v>0</v>
      </c>
      <c r="AH2523">
        <v>0</v>
      </c>
    </row>
    <row r="2524" spans="2:34" x14ac:dyDescent="0.35">
      <c r="B2524" t="s">
        <v>566</v>
      </c>
      <c r="C2524">
        <v>45757</v>
      </c>
      <c r="F2524" t="s">
        <v>754</v>
      </c>
      <c r="H2524">
        <v>76.239999999999995</v>
      </c>
      <c r="O2524" t="s">
        <v>239</v>
      </c>
      <c r="P2524" t="s">
        <v>514</v>
      </c>
      <c r="Y2524">
        <v>2490</v>
      </c>
      <c r="Z2524" s="259" t="s">
        <v>630</v>
      </c>
      <c r="AA2524">
        <v>0</v>
      </c>
      <c r="AB2524">
        <v>0</v>
      </c>
      <c r="AC2524">
        <v>45757</v>
      </c>
      <c r="AD2524">
        <v>0</v>
      </c>
      <c r="AE2524">
        <v>0</v>
      </c>
      <c r="AF2524">
        <v>0</v>
      </c>
      <c r="AG2524">
        <v>0</v>
      </c>
      <c r="AH2524">
        <v>0</v>
      </c>
    </row>
    <row r="2525" spans="2:34" x14ac:dyDescent="0.35">
      <c r="B2525" t="s">
        <v>566</v>
      </c>
      <c r="C2525">
        <v>45758</v>
      </c>
      <c r="F2525" t="s">
        <v>749</v>
      </c>
      <c r="H2525">
        <v>104.28</v>
      </c>
      <c r="O2525" t="s">
        <v>239</v>
      </c>
      <c r="P2525" t="s">
        <v>514</v>
      </c>
      <c r="Y2525">
        <v>2491</v>
      </c>
      <c r="Z2525" s="259" t="s">
        <v>630</v>
      </c>
      <c r="AA2525">
        <v>0</v>
      </c>
      <c r="AB2525">
        <v>0</v>
      </c>
      <c r="AC2525">
        <v>45758</v>
      </c>
      <c r="AD2525">
        <v>0</v>
      </c>
      <c r="AE2525">
        <v>0</v>
      </c>
      <c r="AF2525">
        <v>0</v>
      </c>
      <c r="AG2525">
        <v>0</v>
      </c>
      <c r="AH2525">
        <v>0</v>
      </c>
    </row>
    <row r="2526" spans="2:34" x14ac:dyDescent="0.35">
      <c r="B2526" t="s">
        <v>566</v>
      </c>
      <c r="C2526">
        <v>45758</v>
      </c>
      <c r="F2526" t="s">
        <v>752</v>
      </c>
      <c r="H2526">
        <v>194.21</v>
      </c>
      <c r="O2526" t="s">
        <v>239</v>
      </c>
      <c r="P2526" t="s">
        <v>514</v>
      </c>
      <c r="Y2526">
        <v>2492</v>
      </c>
      <c r="Z2526" s="259" t="s">
        <v>630</v>
      </c>
      <c r="AA2526">
        <v>0</v>
      </c>
      <c r="AB2526">
        <v>0</v>
      </c>
      <c r="AC2526">
        <v>45758</v>
      </c>
      <c r="AD2526">
        <v>0</v>
      </c>
      <c r="AE2526">
        <v>0</v>
      </c>
      <c r="AF2526">
        <v>0</v>
      </c>
      <c r="AG2526">
        <v>0</v>
      </c>
      <c r="AH2526">
        <v>0</v>
      </c>
    </row>
    <row r="2527" spans="2:34" x14ac:dyDescent="0.35">
      <c r="B2527" t="s">
        <v>566</v>
      </c>
      <c r="C2527">
        <v>45758</v>
      </c>
      <c r="F2527" t="s">
        <v>754</v>
      </c>
      <c r="H2527">
        <v>76.38</v>
      </c>
      <c r="O2527" t="s">
        <v>239</v>
      </c>
      <c r="P2527" t="s">
        <v>514</v>
      </c>
      <c r="Y2527">
        <v>2493</v>
      </c>
      <c r="Z2527" s="259" t="s">
        <v>630</v>
      </c>
      <c r="AA2527">
        <v>0</v>
      </c>
      <c r="AB2527">
        <v>0</v>
      </c>
      <c r="AC2527">
        <v>45758</v>
      </c>
      <c r="AD2527">
        <v>0</v>
      </c>
      <c r="AE2527">
        <v>0</v>
      </c>
      <c r="AF2527">
        <v>0</v>
      </c>
      <c r="AG2527">
        <v>0</v>
      </c>
      <c r="AH2527">
        <v>0</v>
      </c>
    </row>
    <row r="2528" spans="2:34" x14ac:dyDescent="0.35">
      <c r="B2528" t="s">
        <v>566</v>
      </c>
      <c r="C2528">
        <v>45759</v>
      </c>
      <c r="F2528" t="s">
        <v>749</v>
      </c>
      <c r="H2528">
        <v>104.28</v>
      </c>
      <c r="O2528" t="s">
        <v>239</v>
      </c>
      <c r="P2528" t="s">
        <v>514</v>
      </c>
      <c r="Y2528">
        <v>2494</v>
      </c>
      <c r="Z2528" s="259" t="s">
        <v>630</v>
      </c>
      <c r="AA2528">
        <v>0</v>
      </c>
      <c r="AB2528">
        <v>0</v>
      </c>
      <c r="AC2528">
        <v>45758</v>
      </c>
      <c r="AD2528">
        <v>1</v>
      </c>
      <c r="AE2528">
        <v>0</v>
      </c>
      <c r="AF2528">
        <v>0</v>
      </c>
      <c r="AG2528">
        <v>0</v>
      </c>
      <c r="AH2528">
        <v>0</v>
      </c>
    </row>
    <row r="2529" spans="2:34" x14ac:dyDescent="0.35">
      <c r="B2529" t="s">
        <v>566</v>
      </c>
      <c r="C2529">
        <v>45759</v>
      </c>
      <c r="F2529" t="s">
        <v>752</v>
      </c>
      <c r="H2529">
        <v>194.21</v>
      </c>
      <c r="O2529" t="s">
        <v>239</v>
      </c>
      <c r="P2529" t="s">
        <v>514</v>
      </c>
      <c r="Y2529">
        <v>2495</v>
      </c>
      <c r="Z2529" s="259" t="s">
        <v>630</v>
      </c>
      <c r="AA2529">
        <v>0</v>
      </c>
      <c r="AB2529">
        <v>0</v>
      </c>
      <c r="AC2529">
        <v>45758</v>
      </c>
      <c r="AD2529">
        <v>1</v>
      </c>
      <c r="AE2529">
        <v>0</v>
      </c>
      <c r="AF2529">
        <v>0</v>
      </c>
      <c r="AG2529">
        <v>0</v>
      </c>
      <c r="AH2529">
        <v>0</v>
      </c>
    </row>
    <row r="2530" spans="2:34" x14ac:dyDescent="0.35">
      <c r="B2530" t="s">
        <v>566</v>
      </c>
      <c r="C2530">
        <v>45759</v>
      </c>
      <c r="F2530" t="s">
        <v>754</v>
      </c>
      <c r="H2530">
        <v>76.38</v>
      </c>
      <c r="O2530" t="s">
        <v>239</v>
      </c>
      <c r="P2530" t="s">
        <v>514</v>
      </c>
      <c r="Y2530">
        <v>2496</v>
      </c>
      <c r="Z2530" s="259" t="s">
        <v>630</v>
      </c>
      <c r="AA2530">
        <v>0</v>
      </c>
      <c r="AB2530">
        <v>0</v>
      </c>
      <c r="AC2530">
        <v>45758</v>
      </c>
      <c r="AD2530">
        <v>1</v>
      </c>
      <c r="AE2530">
        <v>0</v>
      </c>
      <c r="AF2530">
        <v>0</v>
      </c>
      <c r="AG2530">
        <v>0</v>
      </c>
      <c r="AH2530">
        <v>0</v>
      </c>
    </row>
    <row r="2531" spans="2:34" x14ac:dyDescent="0.35">
      <c r="B2531" t="s">
        <v>566</v>
      </c>
      <c r="C2531">
        <v>45760</v>
      </c>
      <c r="F2531" t="s">
        <v>749</v>
      </c>
      <c r="H2531">
        <v>104.28</v>
      </c>
      <c r="O2531" t="s">
        <v>239</v>
      </c>
      <c r="P2531" t="s">
        <v>514</v>
      </c>
      <c r="Y2531">
        <v>2497</v>
      </c>
      <c r="Z2531" s="259" t="s">
        <v>630</v>
      </c>
      <c r="AA2531">
        <v>0</v>
      </c>
      <c r="AB2531">
        <v>0</v>
      </c>
      <c r="AC2531">
        <v>45758</v>
      </c>
      <c r="AD2531">
        <v>2</v>
      </c>
      <c r="AE2531">
        <v>0</v>
      </c>
      <c r="AF2531">
        <v>0</v>
      </c>
      <c r="AG2531">
        <v>0</v>
      </c>
      <c r="AH2531">
        <v>0</v>
      </c>
    </row>
    <row r="2532" spans="2:34" x14ac:dyDescent="0.35">
      <c r="B2532" t="s">
        <v>566</v>
      </c>
      <c r="C2532">
        <v>45760</v>
      </c>
      <c r="F2532" t="s">
        <v>752</v>
      </c>
      <c r="H2532">
        <v>194.21</v>
      </c>
      <c r="O2532" t="s">
        <v>239</v>
      </c>
      <c r="P2532" t="s">
        <v>514</v>
      </c>
      <c r="Y2532">
        <v>2498</v>
      </c>
      <c r="Z2532" s="259" t="s">
        <v>630</v>
      </c>
      <c r="AA2532">
        <v>0</v>
      </c>
      <c r="AB2532">
        <v>0</v>
      </c>
      <c r="AC2532">
        <v>45758</v>
      </c>
      <c r="AD2532">
        <v>2</v>
      </c>
      <c r="AE2532">
        <v>0</v>
      </c>
      <c r="AF2532">
        <v>0</v>
      </c>
      <c r="AG2532">
        <v>0</v>
      </c>
      <c r="AH2532">
        <v>0</v>
      </c>
    </row>
    <row r="2533" spans="2:34" x14ac:dyDescent="0.35">
      <c r="B2533" t="s">
        <v>566</v>
      </c>
      <c r="C2533">
        <v>45760</v>
      </c>
      <c r="F2533" t="s">
        <v>754</v>
      </c>
      <c r="H2533">
        <v>76.38</v>
      </c>
      <c r="O2533" t="s">
        <v>239</v>
      </c>
      <c r="P2533" t="s">
        <v>514</v>
      </c>
      <c r="Y2533">
        <v>2499</v>
      </c>
      <c r="Z2533" s="259" t="s">
        <v>630</v>
      </c>
      <c r="AA2533">
        <v>0</v>
      </c>
      <c r="AB2533">
        <v>0</v>
      </c>
      <c r="AC2533">
        <v>45758</v>
      </c>
      <c r="AD2533">
        <v>2</v>
      </c>
      <c r="AE2533">
        <v>0</v>
      </c>
      <c r="AF2533">
        <v>0</v>
      </c>
      <c r="AG2533">
        <v>0</v>
      </c>
      <c r="AH2533">
        <v>0</v>
      </c>
    </row>
    <row r="2534" spans="2:34" x14ac:dyDescent="0.35">
      <c r="B2534" t="s">
        <v>566</v>
      </c>
      <c r="C2534">
        <v>45761</v>
      </c>
      <c r="F2534" t="s">
        <v>749</v>
      </c>
      <c r="H2534">
        <v>103.76</v>
      </c>
      <c r="O2534" t="s">
        <v>239</v>
      </c>
      <c r="P2534" t="s">
        <v>514</v>
      </c>
      <c r="Y2534">
        <v>2500</v>
      </c>
      <c r="Z2534" s="259" t="s">
        <v>630</v>
      </c>
      <c r="AA2534">
        <v>0</v>
      </c>
      <c r="AB2534">
        <v>0</v>
      </c>
      <c r="AC2534">
        <v>45761</v>
      </c>
      <c r="AD2534">
        <v>0</v>
      </c>
      <c r="AE2534">
        <v>0</v>
      </c>
      <c r="AF2534">
        <v>0</v>
      </c>
      <c r="AG2534">
        <v>0</v>
      </c>
      <c r="AH2534">
        <v>0</v>
      </c>
    </row>
    <row r="2535" spans="2:34" x14ac:dyDescent="0.35">
      <c r="B2535" t="s">
        <v>566</v>
      </c>
      <c r="C2535">
        <v>45761</v>
      </c>
      <c r="F2535" t="s">
        <v>752</v>
      </c>
      <c r="H2535">
        <v>193.07</v>
      </c>
      <c r="O2535" t="s">
        <v>239</v>
      </c>
      <c r="P2535" t="s">
        <v>514</v>
      </c>
      <c r="Y2535">
        <v>2501</v>
      </c>
      <c r="Z2535" s="259" t="s">
        <v>630</v>
      </c>
      <c r="AA2535">
        <v>0</v>
      </c>
      <c r="AB2535">
        <v>0</v>
      </c>
      <c r="AC2535">
        <v>45761</v>
      </c>
      <c r="AD2535">
        <v>0</v>
      </c>
      <c r="AE2535">
        <v>0</v>
      </c>
      <c r="AF2535">
        <v>0</v>
      </c>
      <c r="AG2535">
        <v>0</v>
      </c>
      <c r="AH2535">
        <v>0</v>
      </c>
    </row>
    <row r="2536" spans="2:34" x14ac:dyDescent="0.35">
      <c r="B2536" t="s">
        <v>566</v>
      </c>
      <c r="C2536">
        <v>45761</v>
      </c>
      <c r="F2536" t="s">
        <v>754</v>
      </c>
      <c r="H2536">
        <v>76.790000000000006</v>
      </c>
      <c r="O2536" t="s">
        <v>239</v>
      </c>
      <c r="P2536" t="s">
        <v>514</v>
      </c>
      <c r="Y2536">
        <v>2502</v>
      </c>
      <c r="Z2536" s="259" t="s">
        <v>630</v>
      </c>
      <c r="AA2536">
        <v>0</v>
      </c>
      <c r="AB2536">
        <v>0</v>
      </c>
      <c r="AC2536">
        <v>45761</v>
      </c>
      <c r="AD2536">
        <v>0</v>
      </c>
      <c r="AE2536">
        <v>0</v>
      </c>
      <c r="AF2536">
        <v>0</v>
      </c>
      <c r="AG2536">
        <v>0</v>
      </c>
      <c r="AH2536">
        <v>0</v>
      </c>
    </row>
    <row r="2537" spans="2:34" x14ac:dyDescent="0.35">
      <c r="B2537" t="s">
        <v>566</v>
      </c>
      <c r="C2537">
        <v>45762</v>
      </c>
      <c r="F2537" t="s">
        <v>749</v>
      </c>
      <c r="H2537">
        <v>103.59</v>
      </c>
      <c r="O2537" t="s">
        <v>239</v>
      </c>
      <c r="P2537" t="s">
        <v>514</v>
      </c>
      <c r="Y2537">
        <v>2503</v>
      </c>
      <c r="Z2537" s="259" t="s">
        <v>630</v>
      </c>
      <c r="AA2537">
        <v>0</v>
      </c>
      <c r="AB2537">
        <v>0</v>
      </c>
      <c r="AC2537">
        <v>45762</v>
      </c>
      <c r="AD2537">
        <v>0</v>
      </c>
      <c r="AE2537">
        <v>0</v>
      </c>
      <c r="AF2537">
        <v>0</v>
      </c>
      <c r="AG2537">
        <v>0</v>
      </c>
      <c r="AH2537">
        <v>0</v>
      </c>
    </row>
    <row r="2538" spans="2:34" x14ac:dyDescent="0.35">
      <c r="B2538" t="s">
        <v>566</v>
      </c>
      <c r="C2538">
        <v>45762</v>
      </c>
      <c r="F2538" t="s">
        <v>752</v>
      </c>
      <c r="H2538">
        <v>192.69</v>
      </c>
      <c r="O2538" t="s">
        <v>239</v>
      </c>
      <c r="P2538" t="s">
        <v>514</v>
      </c>
      <c r="Y2538">
        <v>2504</v>
      </c>
      <c r="Z2538" s="259" t="s">
        <v>630</v>
      </c>
      <c r="AA2538">
        <v>0</v>
      </c>
      <c r="AB2538">
        <v>0</v>
      </c>
      <c r="AC2538">
        <v>45762</v>
      </c>
      <c r="AD2538">
        <v>0</v>
      </c>
      <c r="AE2538">
        <v>0</v>
      </c>
      <c r="AF2538">
        <v>0</v>
      </c>
      <c r="AG2538">
        <v>0</v>
      </c>
      <c r="AH2538">
        <v>0</v>
      </c>
    </row>
    <row r="2539" spans="2:34" x14ac:dyDescent="0.35">
      <c r="B2539" t="s">
        <v>566</v>
      </c>
      <c r="C2539">
        <v>45762</v>
      </c>
      <c r="F2539" t="s">
        <v>754</v>
      </c>
      <c r="H2539">
        <v>76.930000000000007</v>
      </c>
      <c r="O2539" t="s">
        <v>239</v>
      </c>
      <c r="P2539" t="s">
        <v>514</v>
      </c>
      <c r="Y2539">
        <v>2505</v>
      </c>
      <c r="Z2539" s="259" t="s">
        <v>630</v>
      </c>
      <c r="AA2539">
        <v>0</v>
      </c>
      <c r="AB2539">
        <v>0</v>
      </c>
      <c r="AC2539">
        <v>45762</v>
      </c>
      <c r="AD2539">
        <v>0</v>
      </c>
      <c r="AE2539">
        <v>0</v>
      </c>
      <c r="AF2539">
        <v>0</v>
      </c>
      <c r="AG2539">
        <v>0</v>
      </c>
      <c r="AH2539">
        <v>0</v>
      </c>
    </row>
    <row r="2540" spans="2:34" x14ac:dyDescent="0.35">
      <c r="B2540" t="s">
        <v>566</v>
      </c>
      <c r="C2540">
        <v>45763</v>
      </c>
      <c r="F2540" t="s">
        <v>749</v>
      </c>
      <c r="H2540">
        <v>103.41</v>
      </c>
      <c r="O2540" t="s">
        <v>239</v>
      </c>
      <c r="P2540" t="s">
        <v>514</v>
      </c>
      <c r="Y2540">
        <v>2506</v>
      </c>
      <c r="Z2540" s="259" t="s">
        <v>630</v>
      </c>
      <c r="AA2540">
        <v>0</v>
      </c>
      <c r="AB2540">
        <v>0</v>
      </c>
      <c r="AC2540">
        <v>45763</v>
      </c>
      <c r="AD2540">
        <v>0</v>
      </c>
      <c r="AE2540">
        <v>0</v>
      </c>
      <c r="AF2540">
        <v>0</v>
      </c>
      <c r="AG2540">
        <v>0</v>
      </c>
      <c r="AH2540">
        <v>0</v>
      </c>
    </row>
    <row r="2541" spans="2:34" x14ac:dyDescent="0.35">
      <c r="B2541" t="s">
        <v>566</v>
      </c>
      <c r="C2541">
        <v>45763</v>
      </c>
      <c r="F2541" t="s">
        <v>752</v>
      </c>
      <c r="H2541">
        <v>192.31</v>
      </c>
      <c r="O2541" t="s">
        <v>239</v>
      </c>
      <c r="P2541" t="s">
        <v>514</v>
      </c>
      <c r="Y2541">
        <v>2507</v>
      </c>
      <c r="Z2541" s="259" t="s">
        <v>630</v>
      </c>
      <c r="AA2541">
        <v>0</v>
      </c>
      <c r="AB2541">
        <v>0</v>
      </c>
      <c r="AC2541">
        <v>45763</v>
      </c>
      <c r="AD2541">
        <v>0</v>
      </c>
      <c r="AE2541">
        <v>0</v>
      </c>
      <c r="AF2541">
        <v>0</v>
      </c>
      <c r="AG2541">
        <v>0</v>
      </c>
      <c r="AH2541">
        <v>0</v>
      </c>
    </row>
    <row r="2542" spans="2:34" x14ac:dyDescent="0.35">
      <c r="B2542" t="s">
        <v>566</v>
      </c>
      <c r="C2542">
        <v>45763</v>
      </c>
      <c r="F2542" t="s">
        <v>754</v>
      </c>
      <c r="H2542">
        <v>77.069999999999993</v>
      </c>
      <c r="O2542" t="s">
        <v>239</v>
      </c>
      <c r="P2542" t="s">
        <v>514</v>
      </c>
      <c r="Y2542">
        <v>2508</v>
      </c>
      <c r="Z2542" s="259" t="s">
        <v>630</v>
      </c>
      <c r="AA2542">
        <v>0</v>
      </c>
      <c r="AB2542">
        <v>0</v>
      </c>
      <c r="AC2542">
        <v>45763</v>
      </c>
      <c r="AD2542">
        <v>0</v>
      </c>
      <c r="AE2542">
        <v>0</v>
      </c>
      <c r="AF2542">
        <v>0</v>
      </c>
      <c r="AG2542">
        <v>0</v>
      </c>
      <c r="AH2542">
        <v>0</v>
      </c>
    </row>
    <row r="2543" spans="2:34" x14ac:dyDescent="0.35">
      <c r="B2543" t="s">
        <v>566</v>
      </c>
      <c r="C2543">
        <v>45764</v>
      </c>
      <c r="F2543" t="s">
        <v>749</v>
      </c>
      <c r="H2543">
        <v>103.24</v>
      </c>
      <c r="O2543" t="s">
        <v>239</v>
      </c>
      <c r="P2543" t="s">
        <v>514</v>
      </c>
      <c r="Y2543">
        <v>2509</v>
      </c>
      <c r="Z2543" s="259" t="s">
        <v>630</v>
      </c>
      <c r="AA2543">
        <v>0</v>
      </c>
      <c r="AB2543">
        <v>0</v>
      </c>
      <c r="AC2543">
        <v>45764</v>
      </c>
      <c r="AD2543">
        <v>0</v>
      </c>
      <c r="AE2543">
        <v>0</v>
      </c>
      <c r="AF2543">
        <v>0</v>
      </c>
      <c r="AG2543">
        <v>0</v>
      </c>
      <c r="AH2543">
        <v>0</v>
      </c>
    </row>
    <row r="2544" spans="2:34" x14ac:dyDescent="0.35">
      <c r="B2544" t="s">
        <v>566</v>
      </c>
      <c r="C2544">
        <v>45764</v>
      </c>
      <c r="F2544" t="s">
        <v>752</v>
      </c>
      <c r="H2544">
        <v>191.93</v>
      </c>
      <c r="O2544" t="s">
        <v>239</v>
      </c>
      <c r="P2544" t="s">
        <v>514</v>
      </c>
      <c r="Y2544">
        <v>2510</v>
      </c>
      <c r="Z2544" s="259" t="s">
        <v>630</v>
      </c>
      <c r="AA2544">
        <v>0</v>
      </c>
      <c r="AB2544">
        <v>0</v>
      </c>
      <c r="AC2544">
        <v>45764</v>
      </c>
      <c r="AD2544">
        <v>0</v>
      </c>
      <c r="AE2544">
        <v>0</v>
      </c>
      <c r="AF2544">
        <v>0</v>
      </c>
      <c r="AG2544">
        <v>0</v>
      </c>
      <c r="AH2544">
        <v>0</v>
      </c>
    </row>
    <row r="2545" spans="2:34" x14ac:dyDescent="0.35">
      <c r="B2545" t="s">
        <v>566</v>
      </c>
      <c r="C2545">
        <v>45764</v>
      </c>
      <c r="F2545" t="s">
        <v>754</v>
      </c>
      <c r="H2545">
        <v>77.209999999999994</v>
      </c>
      <c r="O2545" t="s">
        <v>239</v>
      </c>
      <c r="P2545" t="s">
        <v>514</v>
      </c>
      <c r="Y2545">
        <v>2511</v>
      </c>
      <c r="Z2545" s="259" t="s">
        <v>630</v>
      </c>
      <c r="AA2545">
        <v>0</v>
      </c>
      <c r="AB2545">
        <v>0</v>
      </c>
      <c r="AC2545">
        <v>45764</v>
      </c>
      <c r="AD2545">
        <v>0</v>
      </c>
      <c r="AE2545">
        <v>0</v>
      </c>
      <c r="AF2545">
        <v>0</v>
      </c>
      <c r="AG2545">
        <v>0</v>
      </c>
      <c r="AH2545">
        <v>0</v>
      </c>
    </row>
    <row r="2546" spans="2:34" x14ac:dyDescent="0.35">
      <c r="B2546" t="s">
        <v>566</v>
      </c>
      <c r="C2546">
        <v>45765</v>
      </c>
      <c r="F2546" t="s">
        <v>749</v>
      </c>
      <c r="H2546">
        <v>103.07</v>
      </c>
      <c r="O2546" t="s">
        <v>239</v>
      </c>
      <c r="P2546" t="s">
        <v>514</v>
      </c>
      <c r="Y2546">
        <v>2512</v>
      </c>
      <c r="Z2546" s="259" t="s">
        <v>630</v>
      </c>
      <c r="AA2546">
        <v>0</v>
      </c>
      <c r="AB2546">
        <v>0</v>
      </c>
      <c r="AC2546">
        <v>45765</v>
      </c>
      <c r="AD2546">
        <v>0</v>
      </c>
      <c r="AE2546">
        <v>0</v>
      </c>
      <c r="AF2546">
        <v>0</v>
      </c>
      <c r="AG2546">
        <v>0</v>
      </c>
      <c r="AH2546">
        <v>0</v>
      </c>
    </row>
    <row r="2547" spans="2:34" x14ac:dyDescent="0.35">
      <c r="B2547" t="s">
        <v>566</v>
      </c>
      <c r="C2547">
        <v>45765</v>
      </c>
      <c r="F2547" t="s">
        <v>752</v>
      </c>
      <c r="H2547">
        <v>191.55</v>
      </c>
      <c r="O2547" t="s">
        <v>239</v>
      </c>
      <c r="P2547" t="s">
        <v>514</v>
      </c>
      <c r="Y2547">
        <v>2513</v>
      </c>
      <c r="Z2547" s="259" t="s">
        <v>630</v>
      </c>
      <c r="AA2547">
        <v>0</v>
      </c>
      <c r="AB2547">
        <v>0</v>
      </c>
      <c r="AC2547">
        <v>45765</v>
      </c>
      <c r="AD2547">
        <v>0</v>
      </c>
      <c r="AE2547">
        <v>0</v>
      </c>
      <c r="AF2547">
        <v>0</v>
      </c>
      <c r="AG2547">
        <v>0</v>
      </c>
      <c r="AH2547">
        <v>0</v>
      </c>
    </row>
    <row r="2548" spans="2:34" x14ac:dyDescent="0.35">
      <c r="B2548" t="s">
        <v>566</v>
      </c>
      <c r="C2548">
        <v>45765</v>
      </c>
      <c r="F2548" t="s">
        <v>754</v>
      </c>
      <c r="H2548">
        <v>77.34</v>
      </c>
      <c r="O2548" t="s">
        <v>239</v>
      </c>
      <c r="P2548" t="s">
        <v>514</v>
      </c>
      <c r="Y2548">
        <v>2514</v>
      </c>
      <c r="Z2548" s="259" t="s">
        <v>630</v>
      </c>
      <c r="AA2548">
        <v>0</v>
      </c>
      <c r="AB2548">
        <v>0</v>
      </c>
      <c r="AC2548">
        <v>45765</v>
      </c>
      <c r="AD2548">
        <v>0</v>
      </c>
      <c r="AE2548">
        <v>0</v>
      </c>
      <c r="AF2548">
        <v>0</v>
      </c>
      <c r="AG2548">
        <v>0</v>
      </c>
      <c r="AH2548">
        <v>0</v>
      </c>
    </row>
    <row r="2549" spans="2:34" x14ac:dyDescent="0.35">
      <c r="B2549" t="s">
        <v>566</v>
      </c>
      <c r="C2549">
        <v>45766</v>
      </c>
      <c r="F2549" t="s">
        <v>749</v>
      </c>
      <c r="H2549">
        <v>103.07</v>
      </c>
      <c r="O2549" t="s">
        <v>239</v>
      </c>
      <c r="P2549" t="s">
        <v>514</v>
      </c>
      <c r="Y2549">
        <v>2515</v>
      </c>
      <c r="Z2549" s="259" t="s">
        <v>630</v>
      </c>
      <c r="AA2549">
        <v>0</v>
      </c>
      <c r="AB2549">
        <v>0</v>
      </c>
      <c r="AC2549">
        <v>45765</v>
      </c>
      <c r="AD2549">
        <v>1</v>
      </c>
      <c r="AE2549">
        <v>0</v>
      </c>
      <c r="AF2549">
        <v>0</v>
      </c>
      <c r="AG2549">
        <v>0</v>
      </c>
      <c r="AH2549">
        <v>0</v>
      </c>
    </row>
    <row r="2550" spans="2:34" x14ac:dyDescent="0.35">
      <c r="B2550" t="s">
        <v>566</v>
      </c>
      <c r="C2550">
        <v>45766</v>
      </c>
      <c r="F2550" t="s">
        <v>752</v>
      </c>
      <c r="H2550">
        <v>191.55</v>
      </c>
      <c r="O2550" t="s">
        <v>239</v>
      </c>
      <c r="P2550" t="s">
        <v>514</v>
      </c>
      <c r="Y2550">
        <v>2516</v>
      </c>
      <c r="Z2550" s="259" t="s">
        <v>630</v>
      </c>
      <c r="AA2550">
        <v>0</v>
      </c>
      <c r="AB2550">
        <v>0</v>
      </c>
      <c r="AC2550">
        <v>45765</v>
      </c>
      <c r="AD2550">
        <v>1</v>
      </c>
      <c r="AE2550">
        <v>0</v>
      </c>
      <c r="AF2550">
        <v>0</v>
      </c>
      <c r="AG2550">
        <v>0</v>
      </c>
      <c r="AH2550">
        <v>0</v>
      </c>
    </row>
    <row r="2551" spans="2:34" x14ac:dyDescent="0.35">
      <c r="B2551" t="s">
        <v>566</v>
      </c>
      <c r="C2551">
        <v>45766</v>
      </c>
      <c r="F2551" t="s">
        <v>754</v>
      </c>
      <c r="H2551">
        <v>77.34</v>
      </c>
      <c r="O2551" t="s">
        <v>239</v>
      </c>
      <c r="P2551" t="s">
        <v>514</v>
      </c>
      <c r="Y2551">
        <v>2517</v>
      </c>
      <c r="Z2551" s="259" t="s">
        <v>630</v>
      </c>
      <c r="AA2551">
        <v>0</v>
      </c>
      <c r="AB2551">
        <v>0</v>
      </c>
      <c r="AC2551">
        <v>45765</v>
      </c>
      <c r="AD2551">
        <v>1</v>
      </c>
      <c r="AE2551">
        <v>0</v>
      </c>
      <c r="AF2551">
        <v>0</v>
      </c>
      <c r="AG2551">
        <v>0</v>
      </c>
      <c r="AH2551">
        <v>0</v>
      </c>
    </row>
    <row r="2552" spans="2:34" x14ac:dyDescent="0.35">
      <c r="B2552" t="s">
        <v>566</v>
      </c>
      <c r="C2552">
        <v>45767</v>
      </c>
      <c r="F2552" t="s">
        <v>749</v>
      </c>
      <c r="H2552">
        <v>103.07</v>
      </c>
      <c r="O2552" t="s">
        <v>239</v>
      </c>
      <c r="P2552" t="s">
        <v>514</v>
      </c>
      <c r="Y2552">
        <v>2518</v>
      </c>
      <c r="Z2552" s="259" t="s">
        <v>630</v>
      </c>
      <c r="AA2552">
        <v>0</v>
      </c>
      <c r="AB2552">
        <v>0</v>
      </c>
      <c r="AC2552">
        <v>45765</v>
      </c>
      <c r="AD2552">
        <v>2</v>
      </c>
      <c r="AE2552">
        <v>0</v>
      </c>
      <c r="AF2552">
        <v>0</v>
      </c>
      <c r="AG2552">
        <v>0</v>
      </c>
      <c r="AH2552">
        <v>0</v>
      </c>
    </row>
    <row r="2553" spans="2:34" x14ac:dyDescent="0.35">
      <c r="B2553" t="s">
        <v>566</v>
      </c>
      <c r="C2553">
        <v>45767</v>
      </c>
      <c r="F2553" t="s">
        <v>752</v>
      </c>
      <c r="H2553">
        <v>191.55</v>
      </c>
      <c r="O2553" t="s">
        <v>239</v>
      </c>
      <c r="P2553" t="s">
        <v>514</v>
      </c>
      <c r="Y2553">
        <v>2519</v>
      </c>
      <c r="Z2553" s="259" t="s">
        <v>630</v>
      </c>
      <c r="AA2553">
        <v>0</v>
      </c>
      <c r="AB2553">
        <v>0</v>
      </c>
      <c r="AC2553">
        <v>45765</v>
      </c>
      <c r="AD2553">
        <v>2</v>
      </c>
      <c r="AE2553">
        <v>0</v>
      </c>
      <c r="AF2553">
        <v>0</v>
      </c>
      <c r="AG2553">
        <v>0</v>
      </c>
      <c r="AH2553">
        <v>0</v>
      </c>
    </row>
    <row r="2554" spans="2:34" x14ac:dyDescent="0.35">
      <c r="B2554" t="s">
        <v>566</v>
      </c>
      <c r="C2554">
        <v>45767</v>
      </c>
      <c r="F2554" t="s">
        <v>754</v>
      </c>
      <c r="H2554">
        <v>77.34</v>
      </c>
      <c r="O2554" t="s">
        <v>239</v>
      </c>
      <c r="P2554" t="s">
        <v>514</v>
      </c>
      <c r="Y2554">
        <v>2520</v>
      </c>
      <c r="Z2554" s="259" t="s">
        <v>630</v>
      </c>
      <c r="AA2554">
        <v>0</v>
      </c>
      <c r="AB2554">
        <v>0</v>
      </c>
      <c r="AC2554">
        <v>45765</v>
      </c>
      <c r="AD2554">
        <v>2</v>
      </c>
      <c r="AE2554">
        <v>0</v>
      </c>
      <c r="AF2554">
        <v>0</v>
      </c>
      <c r="AG2554">
        <v>0</v>
      </c>
      <c r="AH2554">
        <v>0</v>
      </c>
    </row>
    <row r="2555" spans="2:34" x14ac:dyDescent="0.35">
      <c r="B2555" t="s">
        <v>566</v>
      </c>
      <c r="C2555">
        <v>45768</v>
      </c>
      <c r="F2555" t="s">
        <v>749</v>
      </c>
      <c r="H2555">
        <v>102.55</v>
      </c>
      <c r="O2555" t="s">
        <v>239</v>
      </c>
      <c r="P2555" t="s">
        <v>514</v>
      </c>
      <c r="Y2555">
        <v>2521</v>
      </c>
      <c r="Z2555" s="259" t="s">
        <v>630</v>
      </c>
      <c r="AA2555">
        <v>0</v>
      </c>
      <c r="AB2555">
        <v>0</v>
      </c>
      <c r="AC2555">
        <v>45768</v>
      </c>
      <c r="AD2555">
        <v>0</v>
      </c>
      <c r="AE2555">
        <v>0</v>
      </c>
      <c r="AF2555">
        <v>0</v>
      </c>
      <c r="AG2555">
        <v>0</v>
      </c>
      <c r="AH2555">
        <v>0</v>
      </c>
    </row>
    <row r="2556" spans="2:34" x14ac:dyDescent="0.35">
      <c r="B2556" t="s">
        <v>566</v>
      </c>
      <c r="C2556">
        <v>45768</v>
      </c>
      <c r="F2556" t="s">
        <v>752</v>
      </c>
      <c r="H2556">
        <v>190.41</v>
      </c>
      <c r="O2556" t="s">
        <v>239</v>
      </c>
      <c r="P2556" t="s">
        <v>514</v>
      </c>
      <c r="Y2556">
        <v>2522</v>
      </c>
      <c r="Z2556" s="259" t="s">
        <v>630</v>
      </c>
      <c r="AA2556">
        <v>0</v>
      </c>
      <c r="AB2556">
        <v>0</v>
      </c>
      <c r="AC2556">
        <v>45768</v>
      </c>
      <c r="AD2556">
        <v>0</v>
      </c>
      <c r="AE2556">
        <v>0</v>
      </c>
      <c r="AF2556">
        <v>0</v>
      </c>
      <c r="AG2556">
        <v>0</v>
      </c>
      <c r="AH2556">
        <v>0</v>
      </c>
    </row>
    <row r="2557" spans="2:34" x14ac:dyDescent="0.35">
      <c r="B2557" t="s">
        <v>566</v>
      </c>
      <c r="C2557">
        <v>45768</v>
      </c>
      <c r="F2557" t="s">
        <v>754</v>
      </c>
      <c r="H2557">
        <v>77.760000000000005</v>
      </c>
      <c r="O2557" t="s">
        <v>239</v>
      </c>
      <c r="P2557" t="s">
        <v>514</v>
      </c>
      <c r="Y2557">
        <v>2523</v>
      </c>
      <c r="Z2557" s="259" t="s">
        <v>630</v>
      </c>
      <c r="AA2557">
        <v>0</v>
      </c>
      <c r="AB2557">
        <v>0</v>
      </c>
      <c r="AC2557">
        <v>45768</v>
      </c>
      <c r="AD2557">
        <v>0</v>
      </c>
      <c r="AE2557">
        <v>0</v>
      </c>
      <c r="AF2557">
        <v>0</v>
      </c>
      <c r="AG2557">
        <v>0</v>
      </c>
      <c r="AH2557">
        <v>0</v>
      </c>
    </row>
    <row r="2558" spans="2:34" x14ac:dyDescent="0.35">
      <c r="B2558" t="s">
        <v>566</v>
      </c>
      <c r="C2558">
        <v>45769</v>
      </c>
      <c r="F2558" t="s">
        <v>749</v>
      </c>
      <c r="H2558">
        <v>102.38</v>
      </c>
      <c r="O2558" t="s">
        <v>239</v>
      </c>
      <c r="P2558" t="s">
        <v>514</v>
      </c>
      <c r="Y2558">
        <v>2524</v>
      </c>
      <c r="Z2558" s="259" t="s">
        <v>630</v>
      </c>
      <c r="AA2558">
        <v>0</v>
      </c>
      <c r="AB2558">
        <v>0</v>
      </c>
      <c r="AC2558">
        <v>45769</v>
      </c>
      <c r="AD2558">
        <v>0</v>
      </c>
      <c r="AE2558">
        <v>0</v>
      </c>
      <c r="AF2558">
        <v>0</v>
      </c>
      <c r="AG2558">
        <v>0</v>
      </c>
      <c r="AH2558">
        <v>0</v>
      </c>
    </row>
    <row r="2559" spans="2:34" x14ac:dyDescent="0.35">
      <c r="B2559" t="s">
        <v>566</v>
      </c>
      <c r="C2559">
        <v>45769</v>
      </c>
      <c r="F2559" t="s">
        <v>752</v>
      </c>
      <c r="H2559">
        <v>190.03</v>
      </c>
      <c r="O2559" t="s">
        <v>239</v>
      </c>
      <c r="P2559" t="s">
        <v>514</v>
      </c>
      <c r="Y2559">
        <v>2525</v>
      </c>
      <c r="Z2559" s="259" t="s">
        <v>630</v>
      </c>
      <c r="AA2559">
        <v>0</v>
      </c>
      <c r="AB2559">
        <v>0</v>
      </c>
      <c r="AC2559">
        <v>45769</v>
      </c>
      <c r="AD2559">
        <v>0</v>
      </c>
      <c r="AE2559">
        <v>0</v>
      </c>
      <c r="AF2559">
        <v>0</v>
      </c>
      <c r="AG2559">
        <v>0</v>
      </c>
      <c r="AH2559">
        <v>0</v>
      </c>
    </row>
    <row r="2560" spans="2:34" x14ac:dyDescent="0.35">
      <c r="B2560" t="s">
        <v>566</v>
      </c>
      <c r="C2560">
        <v>45769</v>
      </c>
      <c r="F2560" t="s">
        <v>754</v>
      </c>
      <c r="H2560">
        <v>77.900000000000006</v>
      </c>
      <c r="O2560" t="s">
        <v>239</v>
      </c>
      <c r="P2560" t="s">
        <v>514</v>
      </c>
      <c r="Y2560">
        <v>2526</v>
      </c>
      <c r="Z2560" s="259" t="s">
        <v>630</v>
      </c>
      <c r="AA2560">
        <v>0</v>
      </c>
      <c r="AB2560">
        <v>0</v>
      </c>
      <c r="AC2560">
        <v>45769</v>
      </c>
      <c r="AD2560">
        <v>0</v>
      </c>
      <c r="AE2560">
        <v>0</v>
      </c>
      <c r="AF2560">
        <v>0</v>
      </c>
      <c r="AG2560">
        <v>0</v>
      </c>
      <c r="AH2560">
        <v>0</v>
      </c>
    </row>
    <row r="2561" spans="2:34" x14ac:dyDescent="0.35">
      <c r="B2561" t="s">
        <v>566</v>
      </c>
      <c r="C2561">
        <v>45770</v>
      </c>
      <c r="F2561" t="s">
        <v>749</v>
      </c>
      <c r="H2561">
        <v>102.21</v>
      </c>
      <c r="O2561" t="s">
        <v>239</v>
      </c>
      <c r="P2561" t="s">
        <v>514</v>
      </c>
      <c r="Y2561">
        <v>2527</v>
      </c>
      <c r="Z2561" s="259" t="s">
        <v>630</v>
      </c>
      <c r="AA2561">
        <v>0</v>
      </c>
      <c r="AB2561">
        <v>0</v>
      </c>
      <c r="AC2561">
        <v>45770</v>
      </c>
      <c r="AD2561">
        <v>0</v>
      </c>
      <c r="AE2561">
        <v>0</v>
      </c>
      <c r="AF2561">
        <v>0</v>
      </c>
      <c r="AG2561">
        <v>0</v>
      </c>
      <c r="AH2561">
        <v>0</v>
      </c>
    </row>
    <row r="2562" spans="2:34" x14ac:dyDescent="0.35">
      <c r="B2562" t="s">
        <v>566</v>
      </c>
      <c r="C2562">
        <v>45770</v>
      </c>
      <c r="F2562" t="s">
        <v>752</v>
      </c>
      <c r="H2562">
        <v>189.66</v>
      </c>
      <c r="O2562" t="s">
        <v>239</v>
      </c>
      <c r="P2562" t="s">
        <v>514</v>
      </c>
      <c r="Y2562">
        <v>2528</v>
      </c>
      <c r="Z2562" s="259" t="s">
        <v>630</v>
      </c>
      <c r="AA2562">
        <v>0</v>
      </c>
      <c r="AB2562">
        <v>0</v>
      </c>
      <c r="AC2562">
        <v>45770</v>
      </c>
      <c r="AD2562">
        <v>0</v>
      </c>
      <c r="AE2562">
        <v>0</v>
      </c>
      <c r="AF2562">
        <v>0</v>
      </c>
      <c r="AG2562">
        <v>0</v>
      </c>
      <c r="AH2562">
        <v>0</v>
      </c>
    </row>
    <row r="2563" spans="2:34" x14ac:dyDescent="0.35">
      <c r="B2563" t="s">
        <v>566</v>
      </c>
      <c r="C2563">
        <v>45770</v>
      </c>
      <c r="F2563" t="s">
        <v>754</v>
      </c>
      <c r="H2563">
        <v>78.03</v>
      </c>
      <c r="O2563" t="s">
        <v>239</v>
      </c>
      <c r="P2563" t="s">
        <v>514</v>
      </c>
      <c r="Y2563">
        <v>2529</v>
      </c>
      <c r="Z2563" s="259" t="s">
        <v>630</v>
      </c>
      <c r="AA2563">
        <v>0</v>
      </c>
      <c r="AB2563">
        <v>0</v>
      </c>
      <c r="AC2563">
        <v>45770</v>
      </c>
      <c r="AD2563">
        <v>0</v>
      </c>
      <c r="AE2563">
        <v>0</v>
      </c>
      <c r="AF2563">
        <v>0</v>
      </c>
      <c r="AG2563">
        <v>0</v>
      </c>
      <c r="AH2563">
        <v>0</v>
      </c>
    </row>
    <row r="2564" spans="2:34" x14ac:dyDescent="0.35">
      <c r="B2564" t="s">
        <v>566</v>
      </c>
      <c r="C2564">
        <v>45771</v>
      </c>
      <c r="F2564" t="s">
        <v>749</v>
      </c>
      <c r="H2564">
        <v>102.03</v>
      </c>
      <c r="O2564" t="s">
        <v>239</v>
      </c>
      <c r="P2564" t="s">
        <v>514</v>
      </c>
      <c r="Y2564">
        <v>2530</v>
      </c>
      <c r="Z2564" s="259" t="s">
        <v>630</v>
      </c>
      <c r="AA2564">
        <v>0</v>
      </c>
      <c r="AB2564">
        <v>0</v>
      </c>
      <c r="AC2564">
        <v>45771</v>
      </c>
      <c r="AD2564">
        <v>0</v>
      </c>
      <c r="AE2564">
        <v>0</v>
      </c>
      <c r="AF2564">
        <v>0</v>
      </c>
      <c r="AG2564">
        <v>0</v>
      </c>
      <c r="AH2564">
        <v>0</v>
      </c>
    </row>
    <row r="2565" spans="2:34" x14ac:dyDescent="0.35">
      <c r="B2565" t="s">
        <v>566</v>
      </c>
      <c r="C2565">
        <v>45771</v>
      </c>
      <c r="F2565" t="s">
        <v>752</v>
      </c>
      <c r="H2565">
        <v>189.28</v>
      </c>
      <c r="O2565" t="s">
        <v>239</v>
      </c>
      <c r="P2565" t="s">
        <v>514</v>
      </c>
      <c r="Y2565">
        <v>2531</v>
      </c>
      <c r="Z2565" s="259" t="s">
        <v>630</v>
      </c>
      <c r="AA2565">
        <v>0</v>
      </c>
      <c r="AB2565">
        <v>0</v>
      </c>
      <c r="AC2565">
        <v>45771</v>
      </c>
      <c r="AD2565">
        <v>0</v>
      </c>
      <c r="AE2565">
        <v>0</v>
      </c>
      <c r="AF2565">
        <v>0</v>
      </c>
      <c r="AG2565">
        <v>0</v>
      </c>
      <c r="AH2565">
        <v>0</v>
      </c>
    </row>
    <row r="2566" spans="2:34" x14ac:dyDescent="0.35">
      <c r="B2566" t="s">
        <v>566</v>
      </c>
      <c r="C2566">
        <v>45771</v>
      </c>
      <c r="F2566" t="s">
        <v>754</v>
      </c>
      <c r="H2566">
        <v>78.17</v>
      </c>
      <c r="O2566" t="s">
        <v>239</v>
      </c>
      <c r="P2566" t="s">
        <v>514</v>
      </c>
      <c r="Y2566">
        <v>2532</v>
      </c>
      <c r="Z2566" s="259" t="s">
        <v>630</v>
      </c>
      <c r="AA2566">
        <v>0</v>
      </c>
      <c r="AB2566">
        <v>0</v>
      </c>
      <c r="AC2566">
        <v>45771</v>
      </c>
      <c r="AD2566">
        <v>0</v>
      </c>
      <c r="AE2566">
        <v>0</v>
      </c>
      <c r="AF2566">
        <v>0</v>
      </c>
      <c r="AG2566">
        <v>0</v>
      </c>
      <c r="AH2566">
        <v>0</v>
      </c>
    </row>
    <row r="2567" spans="2:34" x14ac:dyDescent="0.35">
      <c r="B2567" t="s">
        <v>566</v>
      </c>
      <c r="C2567">
        <v>45772</v>
      </c>
      <c r="F2567" t="s">
        <v>749</v>
      </c>
      <c r="H2567">
        <v>101.86</v>
      </c>
      <c r="O2567" t="s">
        <v>239</v>
      </c>
      <c r="P2567" t="s">
        <v>514</v>
      </c>
      <c r="Y2567">
        <v>2533</v>
      </c>
      <c r="Z2567" s="259" t="s">
        <v>630</v>
      </c>
      <c r="AA2567">
        <v>0</v>
      </c>
      <c r="AB2567">
        <v>0</v>
      </c>
      <c r="AC2567">
        <v>45772</v>
      </c>
      <c r="AD2567">
        <v>0</v>
      </c>
      <c r="AE2567">
        <v>0</v>
      </c>
      <c r="AF2567">
        <v>0</v>
      </c>
      <c r="AG2567">
        <v>0</v>
      </c>
      <c r="AH2567">
        <v>0</v>
      </c>
    </row>
    <row r="2568" spans="2:34" x14ac:dyDescent="0.35">
      <c r="B2568" t="s">
        <v>566</v>
      </c>
      <c r="C2568">
        <v>45772</v>
      </c>
      <c r="F2568" t="s">
        <v>752</v>
      </c>
      <c r="H2568">
        <v>188.9</v>
      </c>
      <c r="O2568" t="s">
        <v>239</v>
      </c>
      <c r="P2568" t="s">
        <v>514</v>
      </c>
      <c r="Y2568">
        <v>2534</v>
      </c>
      <c r="Z2568" s="259" t="s">
        <v>630</v>
      </c>
      <c r="AA2568">
        <v>0</v>
      </c>
      <c r="AB2568">
        <v>0</v>
      </c>
      <c r="AC2568">
        <v>45772</v>
      </c>
      <c r="AD2568">
        <v>0</v>
      </c>
      <c r="AE2568">
        <v>0</v>
      </c>
      <c r="AF2568">
        <v>0</v>
      </c>
      <c r="AG2568">
        <v>0</v>
      </c>
      <c r="AH2568">
        <v>0</v>
      </c>
    </row>
    <row r="2569" spans="2:34" x14ac:dyDescent="0.35">
      <c r="B2569" t="s">
        <v>566</v>
      </c>
      <c r="C2569">
        <v>45772</v>
      </c>
      <c r="F2569" t="s">
        <v>754</v>
      </c>
      <c r="H2569">
        <v>78.31</v>
      </c>
      <c r="O2569" t="s">
        <v>239</v>
      </c>
      <c r="P2569" t="s">
        <v>514</v>
      </c>
      <c r="Y2569">
        <v>2535</v>
      </c>
      <c r="Z2569" s="259" t="s">
        <v>630</v>
      </c>
      <c r="AA2569">
        <v>0</v>
      </c>
      <c r="AB2569">
        <v>0</v>
      </c>
      <c r="AC2569">
        <v>45772</v>
      </c>
      <c r="AD2569">
        <v>0</v>
      </c>
      <c r="AE2569">
        <v>0</v>
      </c>
      <c r="AF2569">
        <v>0</v>
      </c>
      <c r="AG2569">
        <v>0</v>
      </c>
      <c r="AH2569">
        <v>0</v>
      </c>
    </row>
    <row r="2570" spans="2:34" x14ac:dyDescent="0.35">
      <c r="B2570" t="s">
        <v>566</v>
      </c>
      <c r="C2570">
        <v>45773</v>
      </c>
      <c r="F2570" t="s">
        <v>749</v>
      </c>
      <c r="H2570">
        <v>101.86</v>
      </c>
      <c r="O2570" t="s">
        <v>239</v>
      </c>
      <c r="P2570" t="s">
        <v>514</v>
      </c>
      <c r="Y2570">
        <v>2536</v>
      </c>
      <c r="Z2570" s="259" t="s">
        <v>630</v>
      </c>
      <c r="AA2570">
        <v>0</v>
      </c>
      <c r="AB2570">
        <v>0</v>
      </c>
      <c r="AC2570">
        <v>45772</v>
      </c>
      <c r="AD2570">
        <v>1</v>
      </c>
      <c r="AE2570">
        <v>0</v>
      </c>
      <c r="AF2570">
        <v>0</v>
      </c>
      <c r="AG2570">
        <v>0</v>
      </c>
      <c r="AH2570">
        <v>0</v>
      </c>
    </row>
    <row r="2571" spans="2:34" x14ac:dyDescent="0.35">
      <c r="B2571" t="s">
        <v>566</v>
      </c>
      <c r="C2571">
        <v>45773</v>
      </c>
      <c r="F2571" t="s">
        <v>752</v>
      </c>
      <c r="H2571">
        <v>188.9</v>
      </c>
      <c r="O2571" t="s">
        <v>239</v>
      </c>
      <c r="P2571" t="s">
        <v>514</v>
      </c>
      <c r="Y2571">
        <v>2537</v>
      </c>
      <c r="Z2571" s="259" t="s">
        <v>630</v>
      </c>
      <c r="AA2571">
        <v>0</v>
      </c>
      <c r="AB2571">
        <v>0</v>
      </c>
      <c r="AC2571">
        <v>45772</v>
      </c>
      <c r="AD2571">
        <v>1</v>
      </c>
      <c r="AE2571">
        <v>0</v>
      </c>
      <c r="AF2571">
        <v>0</v>
      </c>
      <c r="AG2571">
        <v>0</v>
      </c>
      <c r="AH2571">
        <v>0</v>
      </c>
    </row>
    <row r="2572" spans="2:34" x14ac:dyDescent="0.35">
      <c r="B2572" t="s">
        <v>566</v>
      </c>
      <c r="C2572">
        <v>45773</v>
      </c>
      <c r="F2572" t="s">
        <v>754</v>
      </c>
      <c r="H2572">
        <v>78.31</v>
      </c>
      <c r="O2572" t="s">
        <v>239</v>
      </c>
      <c r="P2572" t="s">
        <v>514</v>
      </c>
      <c r="Y2572">
        <v>2538</v>
      </c>
      <c r="Z2572" s="259" t="s">
        <v>630</v>
      </c>
      <c r="AA2572">
        <v>0</v>
      </c>
      <c r="AB2572">
        <v>0</v>
      </c>
      <c r="AC2572">
        <v>45772</v>
      </c>
      <c r="AD2572">
        <v>1</v>
      </c>
      <c r="AE2572">
        <v>0</v>
      </c>
      <c r="AF2572">
        <v>0</v>
      </c>
      <c r="AG2572">
        <v>0</v>
      </c>
      <c r="AH2572">
        <v>0</v>
      </c>
    </row>
    <row r="2573" spans="2:34" x14ac:dyDescent="0.35">
      <c r="B2573" t="s">
        <v>566</v>
      </c>
      <c r="C2573">
        <v>45774</v>
      </c>
      <c r="F2573" t="s">
        <v>749</v>
      </c>
      <c r="H2573">
        <v>101.86</v>
      </c>
      <c r="O2573" t="s">
        <v>239</v>
      </c>
      <c r="P2573" t="s">
        <v>514</v>
      </c>
      <c r="Y2573">
        <v>2539</v>
      </c>
      <c r="Z2573" s="259" t="s">
        <v>630</v>
      </c>
      <c r="AA2573">
        <v>0</v>
      </c>
      <c r="AB2573">
        <v>0</v>
      </c>
      <c r="AC2573">
        <v>45772</v>
      </c>
      <c r="AD2573">
        <v>2</v>
      </c>
      <c r="AE2573">
        <v>0</v>
      </c>
      <c r="AF2573">
        <v>0</v>
      </c>
      <c r="AG2573">
        <v>0</v>
      </c>
      <c r="AH2573">
        <v>0</v>
      </c>
    </row>
    <row r="2574" spans="2:34" x14ac:dyDescent="0.35">
      <c r="B2574" t="s">
        <v>566</v>
      </c>
      <c r="C2574">
        <v>45774</v>
      </c>
      <c r="F2574" t="s">
        <v>752</v>
      </c>
      <c r="H2574">
        <v>188.9</v>
      </c>
      <c r="O2574" t="s">
        <v>239</v>
      </c>
      <c r="P2574" t="s">
        <v>514</v>
      </c>
      <c r="Y2574">
        <v>2540</v>
      </c>
      <c r="Z2574" s="259" t="s">
        <v>630</v>
      </c>
      <c r="AA2574">
        <v>0</v>
      </c>
      <c r="AB2574">
        <v>0</v>
      </c>
      <c r="AC2574">
        <v>45772</v>
      </c>
      <c r="AD2574">
        <v>2</v>
      </c>
      <c r="AE2574">
        <v>0</v>
      </c>
      <c r="AF2574">
        <v>0</v>
      </c>
      <c r="AG2574">
        <v>0</v>
      </c>
      <c r="AH2574">
        <v>0</v>
      </c>
    </row>
    <row r="2575" spans="2:34" x14ac:dyDescent="0.35">
      <c r="B2575" t="s">
        <v>566</v>
      </c>
      <c r="C2575">
        <v>45774</v>
      </c>
      <c r="F2575" t="s">
        <v>754</v>
      </c>
      <c r="H2575">
        <v>78.31</v>
      </c>
      <c r="O2575" t="s">
        <v>239</v>
      </c>
      <c r="P2575" t="s">
        <v>514</v>
      </c>
      <c r="Y2575">
        <v>2541</v>
      </c>
      <c r="Z2575" s="259" t="s">
        <v>630</v>
      </c>
      <c r="AA2575">
        <v>0</v>
      </c>
      <c r="AB2575">
        <v>0</v>
      </c>
      <c r="AC2575">
        <v>45772</v>
      </c>
      <c r="AD2575">
        <v>2</v>
      </c>
      <c r="AE2575">
        <v>0</v>
      </c>
      <c r="AF2575">
        <v>0</v>
      </c>
      <c r="AG2575">
        <v>0</v>
      </c>
      <c r="AH2575">
        <v>0</v>
      </c>
    </row>
    <row r="2576" spans="2:34" x14ac:dyDescent="0.35">
      <c r="B2576" t="s">
        <v>566</v>
      </c>
      <c r="C2576">
        <v>45775</v>
      </c>
      <c r="F2576" t="s">
        <v>749</v>
      </c>
      <c r="H2576">
        <v>101.34</v>
      </c>
      <c r="O2576" t="s">
        <v>239</v>
      </c>
      <c r="P2576" t="s">
        <v>514</v>
      </c>
      <c r="Y2576">
        <v>2542</v>
      </c>
      <c r="Z2576" s="259" t="s">
        <v>630</v>
      </c>
      <c r="AA2576">
        <v>0</v>
      </c>
      <c r="AB2576">
        <v>0</v>
      </c>
      <c r="AC2576">
        <v>45775</v>
      </c>
      <c r="AD2576">
        <v>0</v>
      </c>
      <c r="AE2576">
        <v>0</v>
      </c>
      <c r="AF2576">
        <v>0</v>
      </c>
      <c r="AG2576">
        <v>0</v>
      </c>
      <c r="AH2576">
        <v>0</v>
      </c>
    </row>
    <row r="2577" spans="2:34" x14ac:dyDescent="0.35">
      <c r="B2577" t="s">
        <v>566</v>
      </c>
      <c r="C2577">
        <v>45775</v>
      </c>
      <c r="F2577" t="s">
        <v>752</v>
      </c>
      <c r="H2577">
        <v>187.76</v>
      </c>
      <c r="O2577" t="s">
        <v>239</v>
      </c>
      <c r="P2577" t="s">
        <v>514</v>
      </c>
      <c r="Y2577">
        <v>2543</v>
      </c>
      <c r="Z2577" s="259" t="s">
        <v>630</v>
      </c>
      <c r="AA2577">
        <v>0</v>
      </c>
      <c r="AB2577">
        <v>0</v>
      </c>
      <c r="AC2577">
        <v>45775</v>
      </c>
      <c r="AD2577">
        <v>0</v>
      </c>
      <c r="AE2577">
        <v>0</v>
      </c>
      <c r="AF2577">
        <v>0</v>
      </c>
      <c r="AG2577">
        <v>0</v>
      </c>
      <c r="AH2577">
        <v>0</v>
      </c>
    </row>
    <row r="2578" spans="2:34" x14ac:dyDescent="0.35">
      <c r="B2578" t="s">
        <v>566</v>
      </c>
      <c r="C2578">
        <v>45775</v>
      </c>
      <c r="F2578" t="s">
        <v>754</v>
      </c>
      <c r="H2578">
        <v>78.72</v>
      </c>
      <c r="O2578" t="s">
        <v>239</v>
      </c>
      <c r="P2578" t="s">
        <v>514</v>
      </c>
      <c r="Y2578">
        <v>2544</v>
      </c>
      <c r="Z2578" s="259" t="s">
        <v>630</v>
      </c>
      <c r="AA2578">
        <v>0</v>
      </c>
      <c r="AB2578">
        <v>0</v>
      </c>
      <c r="AC2578">
        <v>45775</v>
      </c>
      <c r="AD2578">
        <v>0</v>
      </c>
      <c r="AE2578">
        <v>0</v>
      </c>
      <c r="AF2578">
        <v>0</v>
      </c>
      <c r="AG2578">
        <v>0</v>
      </c>
      <c r="AH2578">
        <v>0</v>
      </c>
    </row>
    <row r="2579" spans="2:34" x14ac:dyDescent="0.35">
      <c r="B2579" t="s">
        <v>566</v>
      </c>
      <c r="C2579">
        <v>45776</v>
      </c>
      <c r="F2579" t="s">
        <v>749</v>
      </c>
      <c r="H2579">
        <v>101.17</v>
      </c>
      <c r="O2579" t="s">
        <v>239</v>
      </c>
      <c r="P2579" t="s">
        <v>514</v>
      </c>
      <c r="Y2579">
        <v>2545</v>
      </c>
      <c r="Z2579" s="259" t="s">
        <v>630</v>
      </c>
      <c r="AA2579">
        <v>0</v>
      </c>
      <c r="AB2579">
        <v>0</v>
      </c>
      <c r="AC2579">
        <v>45776</v>
      </c>
      <c r="AD2579">
        <v>0</v>
      </c>
      <c r="AE2579">
        <v>0</v>
      </c>
      <c r="AF2579">
        <v>0</v>
      </c>
      <c r="AG2579">
        <v>0</v>
      </c>
      <c r="AH2579">
        <v>0</v>
      </c>
    </row>
    <row r="2580" spans="2:34" x14ac:dyDescent="0.35">
      <c r="B2580" t="s">
        <v>566</v>
      </c>
      <c r="C2580">
        <v>45776</v>
      </c>
      <c r="F2580" t="s">
        <v>752</v>
      </c>
      <c r="H2580">
        <v>187.38</v>
      </c>
      <c r="O2580" t="s">
        <v>239</v>
      </c>
      <c r="P2580" t="s">
        <v>514</v>
      </c>
      <c r="Y2580">
        <v>2546</v>
      </c>
      <c r="Z2580" s="259" t="s">
        <v>630</v>
      </c>
      <c r="AA2580">
        <v>0</v>
      </c>
      <c r="AB2580">
        <v>0</v>
      </c>
      <c r="AC2580">
        <v>45776</v>
      </c>
      <c r="AD2580">
        <v>0</v>
      </c>
      <c r="AE2580">
        <v>0</v>
      </c>
      <c r="AF2580">
        <v>0</v>
      </c>
      <c r="AG2580">
        <v>0</v>
      </c>
      <c r="AH2580">
        <v>0</v>
      </c>
    </row>
    <row r="2581" spans="2:34" x14ac:dyDescent="0.35">
      <c r="B2581" t="s">
        <v>566</v>
      </c>
      <c r="C2581">
        <v>45776</v>
      </c>
      <c r="F2581" t="s">
        <v>754</v>
      </c>
      <c r="H2581">
        <v>78.86</v>
      </c>
      <c r="O2581" t="s">
        <v>239</v>
      </c>
      <c r="P2581" t="s">
        <v>514</v>
      </c>
      <c r="Y2581">
        <v>2547</v>
      </c>
      <c r="Z2581" s="259" t="s">
        <v>630</v>
      </c>
      <c r="AA2581">
        <v>0</v>
      </c>
      <c r="AB2581">
        <v>0</v>
      </c>
      <c r="AC2581">
        <v>45776</v>
      </c>
      <c r="AD2581">
        <v>0</v>
      </c>
      <c r="AE2581">
        <v>0</v>
      </c>
      <c r="AF2581">
        <v>0</v>
      </c>
      <c r="AG2581">
        <v>0</v>
      </c>
      <c r="AH2581">
        <v>0</v>
      </c>
    </row>
    <row r="2582" spans="2:34" x14ac:dyDescent="0.35">
      <c r="B2582" t="s">
        <v>566</v>
      </c>
      <c r="C2582">
        <v>45777</v>
      </c>
      <c r="F2582" t="s">
        <v>749</v>
      </c>
      <c r="H2582">
        <v>101</v>
      </c>
      <c r="O2582" t="s">
        <v>239</v>
      </c>
      <c r="P2582" t="s">
        <v>514</v>
      </c>
      <c r="Y2582">
        <v>2548</v>
      </c>
      <c r="Z2582" s="259" t="s">
        <v>630</v>
      </c>
      <c r="AA2582">
        <v>0</v>
      </c>
      <c r="AB2582">
        <v>0</v>
      </c>
      <c r="AC2582">
        <v>45777</v>
      </c>
      <c r="AD2582">
        <v>0</v>
      </c>
      <c r="AE2582">
        <v>0</v>
      </c>
      <c r="AF2582">
        <v>0</v>
      </c>
      <c r="AG2582">
        <v>0</v>
      </c>
      <c r="AH2582">
        <v>0</v>
      </c>
    </row>
    <row r="2583" spans="2:34" x14ac:dyDescent="0.35">
      <c r="B2583" t="s">
        <v>566</v>
      </c>
      <c r="C2583">
        <v>45777</v>
      </c>
      <c r="F2583" t="s">
        <v>752</v>
      </c>
      <c r="H2583">
        <v>187</v>
      </c>
      <c r="O2583" t="s">
        <v>239</v>
      </c>
      <c r="P2583" t="s">
        <v>514</v>
      </c>
      <c r="Y2583">
        <v>2549</v>
      </c>
      <c r="Z2583" s="259" t="s">
        <v>630</v>
      </c>
      <c r="AA2583">
        <v>0</v>
      </c>
      <c r="AB2583">
        <v>0</v>
      </c>
      <c r="AC2583">
        <v>45777</v>
      </c>
      <c r="AD2583">
        <v>0</v>
      </c>
      <c r="AE2583">
        <v>0</v>
      </c>
      <c r="AF2583">
        <v>0</v>
      </c>
      <c r="AG2583">
        <v>0</v>
      </c>
      <c r="AH2583">
        <v>0</v>
      </c>
    </row>
    <row r="2584" spans="2:34" x14ac:dyDescent="0.35">
      <c r="B2584" t="s">
        <v>566</v>
      </c>
      <c r="C2584">
        <v>45777</v>
      </c>
      <c r="F2584" t="s">
        <v>754</v>
      </c>
      <c r="H2584">
        <v>79</v>
      </c>
      <c r="O2584" t="s">
        <v>239</v>
      </c>
      <c r="P2584" t="s">
        <v>514</v>
      </c>
      <c r="Y2584">
        <v>2550</v>
      </c>
      <c r="Z2584" s="259" t="s">
        <v>630</v>
      </c>
      <c r="AA2584">
        <v>0</v>
      </c>
      <c r="AB2584">
        <v>0</v>
      </c>
      <c r="AC2584">
        <v>45777</v>
      </c>
      <c r="AD2584">
        <v>0</v>
      </c>
      <c r="AE2584">
        <v>0</v>
      </c>
      <c r="AF2584">
        <v>0</v>
      </c>
      <c r="AG2584">
        <v>0</v>
      </c>
      <c r="AH2584">
        <v>0</v>
      </c>
    </row>
    <row r="2585" spans="2:34" x14ac:dyDescent="0.35">
      <c r="B2585" t="s">
        <v>566</v>
      </c>
      <c r="C2585">
        <v>45778</v>
      </c>
      <c r="F2585" t="s">
        <v>749</v>
      </c>
      <c r="H2585">
        <v>101</v>
      </c>
      <c r="O2585" t="s">
        <v>239</v>
      </c>
      <c r="P2585" t="s">
        <v>514</v>
      </c>
      <c r="Y2585">
        <v>2551</v>
      </c>
      <c r="Z2585" s="259" t="s">
        <v>630</v>
      </c>
      <c r="AA2585">
        <v>0</v>
      </c>
      <c r="AB2585">
        <v>0</v>
      </c>
      <c r="AC2585">
        <v>45778</v>
      </c>
      <c r="AD2585">
        <v>0</v>
      </c>
      <c r="AE2585">
        <v>0</v>
      </c>
      <c r="AF2585">
        <v>0</v>
      </c>
      <c r="AG2585">
        <v>0</v>
      </c>
      <c r="AH2585">
        <v>0</v>
      </c>
    </row>
    <row r="2586" spans="2:34" x14ac:dyDescent="0.35">
      <c r="B2586" t="s">
        <v>566</v>
      </c>
      <c r="C2586">
        <v>45778</v>
      </c>
      <c r="F2586" t="s">
        <v>752</v>
      </c>
      <c r="H2586">
        <v>187</v>
      </c>
      <c r="O2586" t="s">
        <v>239</v>
      </c>
      <c r="P2586" t="s">
        <v>514</v>
      </c>
      <c r="Y2586">
        <v>2552</v>
      </c>
      <c r="Z2586" s="259" t="s">
        <v>630</v>
      </c>
      <c r="AA2586">
        <v>0</v>
      </c>
      <c r="AB2586">
        <v>0</v>
      </c>
      <c r="AC2586">
        <v>45778</v>
      </c>
      <c r="AD2586">
        <v>0</v>
      </c>
      <c r="AE2586">
        <v>0</v>
      </c>
      <c r="AF2586">
        <v>0</v>
      </c>
      <c r="AG2586">
        <v>0</v>
      </c>
      <c r="AH2586">
        <v>0</v>
      </c>
    </row>
    <row r="2587" spans="2:34" x14ac:dyDescent="0.35">
      <c r="B2587" t="s">
        <v>566</v>
      </c>
      <c r="C2587">
        <v>45778</v>
      </c>
      <c r="F2587" t="s">
        <v>754</v>
      </c>
      <c r="H2587">
        <v>79</v>
      </c>
      <c r="O2587" t="s">
        <v>239</v>
      </c>
      <c r="P2587" t="s">
        <v>514</v>
      </c>
      <c r="Y2587">
        <v>2553</v>
      </c>
      <c r="Z2587" s="259" t="s">
        <v>630</v>
      </c>
      <c r="AA2587">
        <v>0</v>
      </c>
      <c r="AB2587">
        <v>0</v>
      </c>
      <c r="AC2587">
        <v>45778</v>
      </c>
      <c r="AD2587">
        <v>0</v>
      </c>
      <c r="AE2587">
        <v>0</v>
      </c>
      <c r="AF2587">
        <v>0</v>
      </c>
      <c r="AG2587">
        <v>0</v>
      </c>
      <c r="AH2587">
        <v>0</v>
      </c>
    </row>
    <row r="2588" spans="2:34" x14ac:dyDescent="0.35">
      <c r="B2588" t="s">
        <v>566</v>
      </c>
      <c r="C2588">
        <v>45779</v>
      </c>
      <c r="F2588" t="s">
        <v>749</v>
      </c>
      <c r="H2588">
        <v>100.93</v>
      </c>
      <c r="O2588" t="s">
        <v>239</v>
      </c>
      <c r="P2588" t="s">
        <v>514</v>
      </c>
      <c r="Y2588">
        <v>2554</v>
      </c>
      <c r="Z2588" s="259" t="s">
        <v>630</v>
      </c>
      <c r="AA2588">
        <v>0</v>
      </c>
      <c r="AB2588">
        <v>0</v>
      </c>
      <c r="AC2588">
        <v>45779</v>
      </c>
      <c r="AD2588">
        <v>0</v>
      </c>
      <c r="AE2588">
        <v>0</v>
      </c>
      <c r="AF2588">
        <v>0</v>
      </c>
      <c r="AG2588">
        <v>0</v>
      </c>
      <c r="AH2588">
        <v>0</v>
      </c>
    </row>
    <row r="2589" spans="2:34" x14ac:dyDescent="0.35">
      <c r="B2589" t="s">
        <v>566</v>
      </c>
      <c r="C2589">
        <v>45779</v>
      </c>
      <c r="F2589" t="s">
        <v>752</v>
      </c>
      <c r="H2589">
        <v>187.2</v>
      </c>
      <c r="O2589" t="s">
        <v>239</v>
      </c>
      <c r="P2589" t="s">
        <v>514</v>
      </c>
      <c r="Y2589">
        <v>2555</v>
      </c>
      <c r="Z2589" s="259" t="s">
        <v>630</v>
      </c>
      <c r="AA2589">
        <v>0</v>
      </c>
      <c r="AB2589">
        <v>0</v>
      </c>
      <c r="AC2589">
        <v>45779</v>
      </c>
      <c r="AD2589">
        <v>0</v>
      </c>
      <c r="AE2589">
        <v>0</v>
      </c>
      <c r="AF2589">
        <v>0</v>
      </c>
      <c r="AG2589">
        <v>0</v>
      </c>
      <c r="AH2589">
        <v>0</v>
      </c>
    </row>
    <row r="2590" spans="2:34" x14ac:dyDescent="0.35">
      <c r="B2590" t="s">
        <v>566</v>
      </c>
      <c r="C2590">
        <v>45779</v>
      </c>
      <c r="F2590" t="s">
        <v>754</v>
      </c>
      <c r="H2590">
        <v>79.2</v>
      </c>
      <c r="O2590" t="s">
        <v>239</v>
      </c>
      <c r="P2590" t="s">
        <v>514</v>
      </c>
      <c r="Y2590">
        <v>2556</v>
      </c>
      <c r="Z2590" s="259" t="s">
        <v>630</v>
      </c>
      <c r="AA2590">
        <v>0</v>
      </c>
      <c r="AB2590">
        <v>0</v>
      </c>
      <c r="AC2590">
        <v>45779</v>
      </c>
      <c r="AD2590">
        <v>0</v>
      </c>
      <c r="AE2590">
        <v>0</v>
      </c>
      <c r="AF2590">
        <v>0</v>
      </c>
      <c r="AG2590">
        <v>0</v>
      </c>
      <c r="AH2590">
        <v>0</v>
      </c>
    </row>
    <row r="2591" spans="2:34" x14ac:dyDescent="0.35">
      <c r="B2591" t="s">
        <v>566</v>
      </c>
      <c r="C2591">
        <v>45780</v>
      </c>
      <c r="F2591" t="s">
        <v>749</v>
      </c>
      <c r="H2591">
        <v>100.93</v>
      </c>
      <c r="O2591" t="s">
        <v>239</v>
      </c>
      <c r="P2591" t="s">
        <v>514</v>
      </c>
      <c r="Y2591">
        <v>2557</v>
      </c>
      <c r="Z2591" s="259" t="s">
        <v>630</v>
      </c>
      <c r="AA2591">
        <v>0</v>
      </c>
      <c r="AB2591">
        <v>0</v>
      </c>
      <c r="AC2591">
        <v>45779</v>
      </c>
      <c r="AD2591">
        <v>1</v>
      </c>
      <c r="AE2591">
        <v>0</v>
      </c>
      <c r="AF2591">
        <v>0</v>
      </c>
      <c r="AG2591">
        <v>0</v>
      </c>
      <c r="AH2591">
        <v>0</v>
      </c>
    </row>
    <row r="2592" spans="2:34" x14ac:dyDescent="0.35">
      <c r="B2592" t="s">
        <v>566</v>
      </c>
      <c r="C2592">
        <v>45780</v>
      </c>
      <c r="F2592" t="s">
        <v>752</v>
      </c>
      <c r="H2592">
        <v>187.2</v>
      </c>
      <c r="O2592" t="s">
        <v>239</v>
      </c>
      <c r="P2592" t="s">
        <v>514</v>
      </c>
      <c r="Y2592">
        <v>2558</v>
      </c>
      <c r="Z2592" s="259" t="s">
        <v>630</v>
      </c>
      <c r="AA2592">
        <v>0</v>
      </c>
      <c r="AB2592">
        <v>0</v>
      </c>
      <c r="AC2592">
        <v>45779</v>
      </c>
      <c r="AD2592">
        <v>1</v>
      </c>
      <c r="AE2592">
        <v>0</v>
      </c>
      <c r="AF2592">
        <v>0</v>
      </c>
      <c r="AG2592">
        <v>0</v>
      </c>
      <c r="AH2592">
        <v>0</v>
      </c>
    </row>
    <row r="2593" spans="2:34" x14ac:dyDescent="0.35">
      <c r="B2593" t="s">
        <v>566</v>
      </c>
      <c r="C2593">
        <v>45780</v>
      </c>
      <c r="F2593" t="s">
        <v>754</v>
      </c>
      <c r="H2593">
        <v>79.2</v>
      </c>
      <c r="O2593" t="s">
        <v>239</v>
      </c>
      <c r="P2593" t="s">
        <v>514</v>
      </c>
      <c r="Y2593">
        <v>2559</v>
      </c>
      <c r="Z2593" s="259" t="s">
        <v>630</v>
      </c>
      <c r="AA2593">
        <v>0</v>
      </c>
      <c r="AB2593">
        <v>0</v>
      </c>
      <c r="AC2593">
        <v>45779</v>
      </c>
      <c r="AD2593">
        <v>1</v>
      </c>
      <c r="AE2593">
        <v>0</v>
      </c>
      <c r="AF2593">
        <v>0</v>
      </c>
      <c r="AG2593">
        <v>0</v>
      </c>
      <c r="AH2593">
        <v>0</v>
      </c>
    </row>
    <row r="2594" spans="2:34" x14ac:dyDescent="0.35">
      <c r="B2594" t="s">
        <v>566</v>
      </c>
      <c r="C2594">
        <v>45781</v>
      </c>
      <c r="F2594" t="s">
        <v>749</v>
      </c>
      <c r="H2594">
        <v>100.93</v>
      </c>
      <c r="O2594" t="s">
        <v>239</v>
      </c>
      <c r="P2594" t="s">
        <v>514</v>
      </c>
      <c r="Y2594">
        <v>2560</v>
      </c>
      <c r="Z2594" s="259" t="s">
        <v>630</v>
      </c>
      <c r="AA2594">
        <v>0</v>
      </c>
      <c r="AB2594">
        <v>0</v>
      </c>
      <c r="AC2594">
        <v>45779</v>
      </c>
      <c r="AD2594">
        <v>2</v>
      </c>
      <c r="AE2594">
        <v>0</v>
      </c>
      <c r="AF2594">
        <v>0</v>
      </c>
      <c r="AG2594">
        <v>0</v>
      </c>
      <c r="AH2594">
        <v>0</v>
      </c>
    </row>
    <row r="2595" spans="2:34" x14ac:dyDescent="0.35">
      <c r="B2595" t="s">
        <v>566</v>
      </c>
      <c r="C2595">
        <v>45781</v>
      </c>
      <c r="F2595" t="s">
        <v>752</v>
      </c>
      <c r="H2595">
        <v>187.2</v>
      </c>
      <c r="O2595" t="s">
        <v>239</v>
      </c>
      <c r="P2595" t="s">
        <v>514</v>
      </c>
      <c r="Y2595">
        <v>2561</v>
      </c>
      <c r="Z2595" s="259" t="s">
        <v>630</v>
      </c>
      <c r="AA2595">
        <v>0</v>
      </c>
      <c r="AB2595">
        <v>0</v>
      </c>
      <c r="AC2595">
        <v>45779</v>
      </c>
      <c r="AD2595">
        <v>2</v>
      </c>
      <c r="AE2595">
        <v>0</v>
      </c>
      <c r="AF2595">
        <v>0</v>
      </c>
      <c r="AG2595">
        <v>0</v>
      </c>
      <c r="AH2595">
        <v>0</v>
      </c>
    </row>
    <row r="2596" spans="2:34" x14ac:dyDescent="0.35">
      <c r="B2596" t="s">
        <v>566</v>
      </c>
      <c r="C2596">
        <v>45781</v>
      </c>
      <c r="F2596" t="s">
        <v>754</v>
      </c>
      <c r="H2596">
        <v>79.2</v>
      </c>
      <c r="O2596" t="s">
        <v>239</v>
      </c>
      <c r="P2596" t="s">
        <v>514</v>
      </c>
      <c r="Y2596">
        <v>2562</v>
      </c>
      <c r="Z2596" s="259" t="s">
        <v>630</v>
      </c>
      <c r="AA2596">
        <v>0</v>
      </c>
      <c r="AB2596">
        <v>0</v>
      </c>
      <c r="AC2596">
        <v>45779</v>
      </c>
      <c r="AD2596">
        <v>2</v>
      </c>
      <c r="AE2596">
        <v>0</v>
      </c>
      <c r="AF2596">
        <v>0</v>
      </c>
      <c r="AG2596">
        <v>0</v>
      </c>
      <c r="AH2596">
        <v>0</v>
      </c>
    </row>
    <row r="2597" spans="2:34" x14ac:dyDescent="0.35">
      <c r="B2597" t="s">
        <v>566</v>
      </c>
      <c r="C2597">
        <v>45782</v>
      </c>
      <c r="F2597" t="s">
        <v>749</v>
      </c>
      <c r="H2597">
        <v>100.73</v>
      </c>
      <c r="O2597" t="s">
        <v>239</v>
      </c>
      <c r="P2597" t="s">
        <v>514</v>
      </c>
      <c r="Y2597">
        <v>2563</v>
      </c>
      <c r="Z2597" s="259" t="s">
        <v>630</v>
      </c>
      <c r="AA2597">
        <v>0</v>
      </c>
      <c r="AB2597">
        <v>0</v>
      </c>
      <c r="AC2597">
        <v>45782</v>
      </c>
      <c r="AD2597">
        <v>0</v>
      </c>
      <c r="AE2597">
        <v>0</v>
      </c>
      <c r="AF2597">
        <v>0</v>
      </c>
      <c r="AG2597">
        <v>0</v>
      </c>
      <c r="AH2597">
        <v>0</v>
      </c>
    </row>
    <row r="2598" spans="2:34" x14ac:dyDescent="0.35">
      <c r="B2598" t="s">
        <v>566</v>
      </c>
      <c r="C2598">
        <v>45782</v>
      </c>
      <c r="F2598" t="s">
        <v>752</v>
      </c>
      <c r="H2598">
        <v>187.8</v>
      </c>
      <c r="O2598" t="s">
        <v>239</v>
      </c>
      <c r="P2598" t="s">
        <v>514</v>
      </c>
      <c r="Y2598">
        <v>2564</v>
      </c>
      <c r="Z2598" s="259" t="s">
        <v>630</v>
      </c>
      <c r="AA2598">
        <v>0</v>
      </c>
      <c r="AB2598">
        <v>0</v>
      </c>
      <c r="AC2598">
        <v>45782</v>
      </c>
      <c r="AD2598">
        <v>0</v>
      </c>
      <c r="AE2598">
        <v>0</v>
      </c>
      <c r="AF2598">
        <v>0</v>
      </c>
      <c r="AG2598">
        <v>0</v>
      </c>
      <c r="AH2598">
        <v>0</v>
      </c>
    </row>
    <row r="2599" spans="2:34" x14ac:dyDescent="0.35">
      <c r="B2599" t="s">
        <v>566</v>
      </c>
      <c r="C2599">
        <v>45782</v>
      </c>
      <c r="F2599" t="s">
        <v>754</v>
      </c>
      <c r="H2599">
        <v>79.8</v>
      </c>
      <c r="O2599" t="s">
        <v>239</v>
      </c>
      <c r="P2599" t="s">
        <v>514</v>
      </c>
      <c r="Y2599">
        <v>2565</v>
      </c>
      <c r="Z2599" s="259" t="s">
        <v>630</v>
      </c>
      <c r="AA2599">
        <v>0</v>
      </c>
      <c r="AB2599">
        <v>0</v>
      </c>
      <c r="AC2599">
        <v>45782</v>
      </c>
      <c r="AD2599">
        <v>0</v>
      </c>
      <c r="AE2599">
        <v>0</v>
      </c>
      <c r="AF2599">
        <v>0</v>
      </c>
      <c r="AG2599">
        <v>0</v>
      </c>
      <c r="AH2599">
        <v>0</v>
      </c>
    </row>
    <row r="2600" spans="2:34" x14ac:dyDescent="0.35">
      <c r="B2600" t="s">
        <v>566</v>
      </c>
      <c r="C2600">
        <v>45783</v>
      </c>
      <c r="F2600" t="s">
        <v>749</v>
      </c>
      <c r="H2600">
        <v>100.67</v>
      </c>
      <c r="O2600" t="s">
        <v>239</v>
      </c>
      <c r="P2600" t="s">
        <v>514</v>
      </c>
      <c r="Y2600">
        <v>2566</v>
      </c>
      <c r="Z2600" s="259" t="s">
        <v>630</v>
      </c>
      <c r="AA2600">
        <v>0</v>
      </c>
      <c r="AB2600">
        <v>0</v>
      </c>
      <c r="AC2600">
        <v>45783</v>
      </c>
      <c r="AD2600">
        <v>0</v>
      </c>
      <c r="AE2600">
        <v>0</v>
      </c>
      <c r="AF2600">
        <v>0</v>
      </c>
      <c r="AG2600">
        <v>0</v>
      </c>
      <c r="AH2600">
        <v>0</v>
      </c>
    </row>
    <row r="2601" spans="2:34" x14ac:dyDescent="0.35">
      <c r="B2601" t="s">
        <v>566</v>
      </c>
      <c r="C2601">
        <v>45783</v>
      </c>
      <c r="F2601" t="s">
        <v>752</v>
      </c>
      <c r="H2601">
        <v>188</v>
      </c>
      <c r="O2601" t="s">
        <v>239</v>
      </c>
      <c r="P2601" t="s">
        <v>514</v>
      </c>
      <c r="Y2601">
        <v>2567</v>
      </c>
      <c r="Z2601" s="259" t="s">
        <v>630</v>
      </c>
      <c r="AA2601">
        <v>0</v>
      </c>
      <c r="AB2601">
        <v>0</v>
      </c>
      <c r="AC2601">
        <v>45783</v>
      </c>
      <c r="AD2601">
        <v>0</v>
      </c>
      <c r="AE2601">
        <v>0</v>
      </c>
      <c r="AF2601">
        <v>0</v>
      </c>
      <c r="AG2601">
        <v>0</v>
      </c>
      <c r="AH2601">
        <v>0</v>
      </c>
    </row>
    <row r="2602" spans="2:34" x14ac:dyDescent="0.35">
      <c r="B2602" t="s">
        <v>566</v>
      </c>
      <c r="C2602">
        <v>45783</v>
      </c>
      <c r="F2602" t="s">
        <v>754</v>
      </c>
      <c r="H2602">
        <v>80</v>
      </c>
      <c r="O2602" t="s">
        <v>239</v>
      </c>
      <c r="P2602" t="s">
        <v>514</v>
      </c>
      <c r="Y2602">
        <v>2568</v>
      </c>
      <c r="Z2602" s="259" t="s">
        <v>630</v>
      </c>
      <c r="AA2602">
        <v>0</v>
      </c>
      <c r="AB2602">
        <v>0</v>
      </c>
      <c r="AC2602">
        <v>45783</v>
      </c>
      <c r="AD2602">
        <v>0</v>
      </c>
      <c r="AE2602">
        <v>0</v>
      </c>
      <c r="AF2602">
        <v>0</v>
      </c>
      <c r="AG2602">
        <v>0</v>
      </c>
      <c r="AH2602">
        <v>0</v>
      </c>
    </row>
    <row r="2603" spans="2:34" x14ac:dyDescent="0.35">
      <c r="B2603" t="s">
        <v>566</v>
      </c>
      <c r="C2603">
        <v>45784</v>
      </c>
      <c r="F2603" t="s">
        <v>749</v>
      </c>
      <c r="H2603">
        <v>100.6</v>
      </c>
      <c r="O2603" t="s">
        <v>239</v>
      </c>
      <c r="P2603" t="s">
        <v>514</v>
      </c>
      <c r="Y2603">
        <v>2569</v>
      </c>
      <c r="Z2603" s="259" t="s">
        <v>630</v>
      </c>
      <c r="AA2603">
        <v>0</v>
      </c>
      <c r="AB2603">
        <v>0</v>
      </c>
      <c r="AC2603">
        <v>45784</v>
      </c>
      <c r="AD2603">
        <v>0</v>
      </c>
      <c r="AE2603">
        <v>0</v>
      </c>
      <c r="AF2603">
        <v>0</v>
      </c>
      <c r="AG2603">
        <v>0</v>
      </c>
      <c r="AH2603">
        <v>0</v>
      </c>
    </row>
    <row r="2604" spans="2:34" x14ac:dyDescent="0.35">
      <c r="B2604" t="s">
        <v>566</v>
      </c>
      <c r="C2604">
        <v>45784</v>
      </c>
      <c r="F2604" t="s">
        <v>752</v>
      </c>
      <c r="H2604">
        <v>188.2</v>
      </c>
      <c r="O2604" t="s">
        <v>239</v>
      </c>
      <c r="P2604" t="s">
        <v>514</v>
      </c>
      <c r="Y2604">
        <v>2570</v>
      </c>
      <c r="Z2604" s="259" t="s">
        <v>630</v>
      </c>
      <c r="AA2604">
        <v>0</v>
      </c>
      <c r="AB2604">
        <v>0</v>
      </c>
      <c r="AC2604">
        <v>45784</v>
      </c>
      <c r="AD2604">
        <v>0</v>
      </c>
      <c r="AE2604">
        <v>0</v>
      </c>
      <c r="AF2604">
        <v>0</v>
      </c>
      <c r="AG2604">
        <v>0</v>
      </c>
      <c r="AH2604">
        <v>0</v>
      </c>
    </row>
    <row r="2605" spans="2:34" x14ac:dyDescent="0.35">
      <c r="B2605" t="s">
        <v>566</v>
      </c>
      <c r="C2605">
        <v>45784</v>
      </c>
      <c r="F2605" t="s">
        <v>754</v>
      </c>
      <c r="H2605">
        <v>80.2</v>
      </c>
      <c r="O2605" t="s">
        <v>239</v>
      </c>
      <c r="P2605" t="s">
        <v>514</v>
      </c>
      <c r="Y2605">
        <v>2571</v>
      </c>
      <c r="Z2605" s="259" t="s">
        <v>630</v>
      </c>
      <c r="AA2605">
        <v>0</v>
      </c>
      <c r="AB2605">
        <v>0</v>
      </c>
      <c r="AC2605">
        <v>45784</v>
      </c>
      <c r="AD2605">
        <v>0</v>
      </c>
      <c r="AE2605">
        <v>0</v>
      </c>
      <c r="AF2605">
        <v>0</v>
      </c>
      <c r="AG2605">
        <v>0</v>
      </c>
      <c r="AH2605">
        <v>0</v>
      </c>
    </row>
    <row r="2606" spans="2:34" x14ac:dyDescent="0.35">
      <c r="B2606" t="s">
        <v>566</v>
      </c>
      <c r="C2606">
        <v>45785</v>
      </c>
      <c r="F2606" t="s">
        <v>749</v>
      </c>
      <c r="H2606">
        <v>100.53</v>
      </c>
      <c r="O2606" t="s">
        <v>239</v>
      </c>
      <c r="P2606" t="s">
        <v>514</v>
      </c>
      <c r="Y2606">
        <v>2572</v>
      </c>
      <c r="Z2606" s="259" t="s">
        <v>630</v>
      </c>
      <c r="AA2606">
        <v>0</v>
      </c>
      <c r="AB2606">
        <v>0</v>
      </c>
      <c r="AC2606">
        <v>45785</v>
      </c>
      <c r="AD2606">
        <v>0</v>
      </c>
      <c r="AE2606">
        <v>0</v>
      </c>
      <c r="AF2606">
        <v>0</v>
      </c>
      <c r="AG2606">
        <v>0</v>
      </c>
      <c r="AH2606">
        <v>0</v>
      </c>
    </row>
    <row r="2607" spans="2:34" x14ac:dyDescent="0.35">
      <c r="B2607" t="s">
        <v>566</v>
      </c>
      <c r="C2607">
        <v>45785</v>
      </c>
      <c r="F2607" t="s">
        <v>752</v>
      </c>
      <c r="H2607">
        <v>188.4</v>
      </c>
      <c r="O2607" t="s">
        <v>239</v>
      </c>
      <c r="P2607" t="s">
        <v>514</v>
      </c>
      <c r="Y2607">
        <v>2573</v>
      </c>
      <c r="Z2607" s="259" t="s">
        <v>630</v>
      </c>
      <c r="AA2607">
        <v>0</v>
      </c>
      <c r="AB2607">
        <v>0</v>
      </c>
      <c r="AC2607">
        <v>45785</v>
      </c>
      <c r="AD2607">
        <v>0</v>
      </c>
      <c r="AE2607">
        <v>0</v>
      </c>
      <c r="AF2607">
        <v>0</v>
      </c>
      <c r="AG2607">
        <v>0</v>
      </c>
      <c r="AH2607">
        <v>0</v>
      </c>
    </row>
    <row r="2608" spans="2:34" x14ac:dyDescent="0.35">
      <c r="B2608" t="s">
        <v>566</v>
      </c>
      <c r="C2608">
        <v>45785</v>
      </c>
      <c r="F2608" t="s">
        <v>754</v>
      </c>
      <c r="H2608">
        <v>80.400000000000006</v>
      </c>
      <c r="O2608" t="s">
        <v>239</v>
      </c>
      <c r="P2608" t="s">
        <v>514</v>
      </c>
      <c r="Y2608">
        <v>2574</v>
      </c>
      <c r="Z2608" s="259" t="s">
        <v>630</v>
      </c>
      <c r="AA2608">
        <v>0</v>
      </c>
      <c r="AB2608">
        <v>0</v>
      </c>
      <c r="AC2608">
        <v>45785</v>
      </c>
      <c r="AD2608">
        <v>0</v>
      </c>
      <c r="AE2608">
        <v>0</v>
      </c>
      <c r="AF2608">
        <v>0</v>
      </c>
      <c r="AG2608">
        <v>0</v>
      </c>
      <c r="AH2608">
        <v>0</v>
      </c>
    </row>
    <row r="2609" spans="2:34" x14ac:dyDescent="0.35">
      <c r="B2609" t="s">
        <v>566</v>
      </c>
      <c r="C2609">
        <v>45786</v>
      </c>
      <c r="F2609" t="s">
        <v>749</v>
      </c>
      <c r="H2609">
        <v>100.47</v>
      </c>
      <c r="O2609" t="s">
        <v>239</v>
      </c>
      <c r="P2609" t="s">
        <v>514</v>
      </c>
      <c r="Y2609">
        <v>2575</v>
      </c>
      <c r="Z2609" s="259" t="s">
        <v>630</v>
      </c>
      <c r="AA2609">
        <v>0</v>
      </c>
      <c r="AB2609">
        <v>0</v>
      </c>
      <c r="AC2609">
        <v>45786</v>
      </c>
      <c r="AD2609">
        <v>0</v>
      </c>
      <c r="AE2609">
        <v>0</v>
      </c>
      <c r="AF2609">
        <v>0</v>
      </c>
      <c r="AG2609">
        <v>0</v>
      </c>
      <c r="AH2609">
        <v>0</v>
      </c>
    </row>
    <row r="2610" spans="2:34" x14ac:dyDescent="0.35">
      <c r="B2610" t="s">
        <v>566</v>
      </c>
      <c r="C2610">
        <v>45786</v>
      </c>
      <c r="F2610" t="s">
        <v>752</v>
      </c>
      <c r="H2610">
        <v>188.6</v>
      </c>
      <c r="O2610" t="s">
        <v>239</v>
      </c>
      <c r="P2610" t="s">
        <v>514</v>
      </c>
      <c r="Y2610">
        <v>2576</v>
      </c>
      <c r="Z2610" s="259" t="s">
        <v>630</v>
      </c>
      <c r="AA2610">
        <v>0</v>
      </c>
      <c r="AB2610">
        <v>0</v>
      </c>
      <c r="AC2610">
        <v>45786</v>
      </c>
      <c r="AD2610">
        <v>0</v>
      </c>
      <c r="AE2610">
        <v>0</v>
      </c>
      <c r="AF2610">
        <v>0</v>
      </c>
      <c r="AG2610">
        <v>0</v>
      </c>
      <c r="AH2610">
        <v>0</v>
      </c>
    </row>
    <row r="2611" spans="2:34" x14ac:dyDescent="0.35">
      <c r="B2611" t="s">
        <v>566</v>
      </c>
      <c r="C2611">
        <v>45786</v>
      </c>
      <c r="F2611" t="s">
        <v>754</v>
      </c>
      <c r="H2611">
        <v>80.599999999999994</v>
      </c>
      <c r="O2611" t="s">
        <v>239</v>
      </c>
      <c r="P2611" t="s">
        <v>514</v>
      </c>
      <c r="Y2611">
        <v>2577</v>
      </c>
      <c r="Z2611" s="259" t="s">
        <v>630</v>
      </c>
      <c r="AA2611">
        <v>0</v>
      </c>
      <c r="AB2611">
        <v>0</v>
      </c>
      <c r="AC2611">
        <v>45786</v>
      </c>
      <c r="AD2611">
        <v>0</v>
      </c>
      <c r="AE2611">
        <v>0</v>
      </c>
      <c r="AF2611">
        <v>0</v>
      </c>
      <c r="AG2611">
        <v>0</v>
      </c>
      <c r="AH2611">
        <v>0</v>
      </c>
    </row>
    <row r="2612" spans="2:34" x14ac:dyDescent="0.35">
      <c r="B2612" t="s">
        <v>566</v>
      </c>
      <c r="C2612">
        <v>45787</v>
      </c>
      <c r="F2612" t="s">
        <v>749</v>
      </c>
      <c r="H2612">
        <v>100.47</v>
      </c>
      <c r="O2612" t="s">
        <v>239</v>
      </c>
      <c r="P2612" t="s">
        <v>514</v>
      </c>
      <c r="Y2612">
        <v>2578</v>
      </c>
      <c r="Z2612" s="259" t="s">
        <v>630</v>
      </c>
      <c r="AA2612">
        <v>0</v>
      </c>
      <c r="AB2612">
        <v>0</v>
      </c>
      <c r="AC2612">
        <v>45786</v>
      </c>
      <c r="AD2612">
        <v>1</v>
      </c>
      <c r="AE2612">
        <v>0</v>
      </c>
      <c r="AF2612">
        <v>0</v>
      </c>
      <c r="AG2612">
        <v>0</v>
      </c>
      <c r="AH2612">
        <v>0</v>
      </c>
    </row>
    <row r="2613" spans="2:34" x14ac:dyDescent="0.35">
      <c r="B2613" t="s">
        <v>566</v>
      </c>
      <c r="C2613">
        <v>45787</v>
      </c>
      <c r="F2613" t="s">
        <v>752</v>
      </c>
      <c r="H2613">
        <v>188.6</v>
      </c>
      <c r="O2613" t="s">
        <v>239</v>
      </c>
      <c r="P2613" t="s">
        <v>514</v>
      </c>
      <c r="Y2613">
        <v>2579</v>
      </c>
      <c r="Z2613" s="259" t="s">
        <v>630</v>
      </c>
      <c r="AA2613">
        <v>0</v>
      </c>
      <c r="AB2613">
        <v>0</v>
      </c>
      <c r="AC2613">
        <v>45786</v>
      </c>
      <c r="AD2613">
        <v>1</v>
      </c>
      <c r="AE2613">
        <v>0</v>
      </c>
      <c r="AF2613">
        <v>0</v>
      </c>
      <c r="AG2613">
        <v>0</v>
      </c>
      <c r="AH2613">
        <v>0</v>
      </c>
    </row>
    <row r="2614" spans="2:34" x14ac:dyDescent="0.35">
      <c r="B2614" t="s">
        <v>566</v>
      </c>
      <c r="C2614">
        <v>45787</v>
      </c>
      <c r="F2614" t="s">
        <v>754</v>
      </c>
      <c r="H2614">
        <v>80.599999999999994</v>
      </c>
      <c r="O2614" t="s">
        <v>239</v>
      </c>
      <c r="P2614" t="s">
        <v>514</v>
      </c>
      <c r="Y2614">
        <v>2580</v>
      </c>
      <c r="Z2614" s="259" t="s">
        <v>630</v>
      </c>
      <c r="AA2614">
        <v>0</v>
      </c>
      <c r="AB2614">
        <v>0</v>
      </c>
      <c r="AC2614">
        <v>45786</v>
      </c>
      <c r="AD2614">
        <v>1</v>
      </c>
      <c r="AE2614">
        <v>0</v>
      </c>
      <c r="AF2614">
        <v>0</v>
      </c>
      <c r="AG2614">
        <v>0</v>
      </c>
      <c r="AH2614">
        <v>0</v>
      </c>
    </row>
    <row r="2615" spans="2:34" x14ac:dyDescent="0.35">
      <c r="B2615" t="s">
        <v>566</v>
      </c>
      <c r="C2615">
        <v>45788</v>
      </c>
      <c r="F2615" t="s">
        <v>749</v>
      </c>
      <c r="H2615">
        <v>100.47</v>
      </c>
      <c r="O2615" t="s">
        <v>239</v>
      </c>
      <c r="P2615" t="s">
        <v>514</v>
      </c>
      <c r="Y2615">
        <v>2581</v>
      </c>
      <c r="Z2615" s="259" t="s">
        <v>630</v>
      </c>
      <c r="AA2615">
        <v>0</v>
      </c>
      <c r="AB2615">
        <v>0</v>
      </c>
      <c r="AC2615">
        <v>45786</v>
      </c>
      <c r="AD2615">
        <v>2</v>
      </c>
      <c r="AE2615">
        <v>0</v>
      </c>
      <c r="AF2615">
        <v>0</v>
      </c>
      <c r="AG2615">
        <v>0</v>
      </c>
      <c r="AH2615">
        <v>0</v>
      </c>
    </row>
    <row r="2616" spans="2:34" x14ac:dyDescent="0.35">
      <c r="B2616" t="s">
        <v>566</v>
      </c>
      <c r="C2616">
        <v>45788</v>
      </c>
      <c r="F2616" t="s">
        <v>752</v>
      </c>
      <c r="H2616">
        <v>188.6</v>
      </c>
      <c r="O2616" t="s">
        <v>239</v>
      </c>
      <c r="P2616" t="s">
        <v>514</v>
      </c>
      <c r="Y2616">
        <v>2582</v>
      </c>
      <c r="Z2616" s="259" t="s">
        <v>630</v>
      </c>
      <c r="AA2616">
        <v>0</v>
      </c>
      <c r="AB2616">
        <v>0</v>
      </c>
      <c r="AC2616">
        <v>45786</v>
      </c>
      <c r="AD2616">
        <v>2</v>
      </c>
      <c r="AE2616">
        <v>0</v>
      </c>
      <c r="AF2616">
        <v>0</v>
      </c>
      <c r="AG2616">
        <v>0</v>
      </c>
      <c r="AH2616">
        <v>0</v>
      </c>
    </row>
    <row r="2617" spans="2:34" x14ac:dyDescent="0.35">
      <c r="B2617" t="s">
        <v>566</v>
      </c>
      <c r="C2617">
        <v>45788</v>
      </c>
      <c r="F2617" t="s">
        <v>754</v>
      </c>
      <c r="H2617">
        <v>80.599999999999994</v>
      </c>
      <c r="O2617" t="s">
        <v>239</v>
      </c>
      <c r="P2617" t="s">
        <v>514</v>
      </c>
      <c r="Y2617">
        <v>2583</v>
      </c>
      <c r="Z2617" s="259" t="s">
        <v>630</v>
      </c>
      <c r="AA2617">
        <v>0</v>
      </c>
      <c r="AB2617">
        <v>0</v>
      </c>
      <c r="AC2617">
        <v>45786</v>
      </c>
      <c r="AD2617">
        <v>2</v>
      </c>
      <c r="AE2617">
        <v>0</v>
      </c>
      <c r="AF2617">
        <v>0</v>
      </c>
      <c r="AG2617">
        <v>0</v>
      </c>
      <c r="AH2617">
        <v>0</v>
      </c>
    </row>
    <row r="2618" spans="2:34" x14ac:dyDescent="0.35">
      <c r="B2618" t="s">
        <v>566</v>
      </c>
      <c r="C2618">
        <v>45789</v>
      </c>
      <c r="F2618" t="s">
        <v>749</v>
      </c>
      <c r="H2618">
        <v>100.27</v>
      </c>
      <c r="O2618" t="s">
        <v>239</v>
      </c>
      <c r="P2618" t="s">
        <v>514</v>
      </c>
      <c r="Y2618">
        <v>2584</v>
      </c>
      <c r="Z2618" s="259" t="s">
        <v>630</v>
      </c>
      <c r="AA2618">
        <v>0</v>
      </c>
      <c r="AB2618">
        <v>0</v>
      </c>
      <c r="AC2618">
        <v>45789</v>
      </c>
      <c r="AD2618">
        <v>0</v>
      </c>
      <c r="AE2618">
        <v>0</v>
      </c>
      <c r="AF2618">
        <v>0</v>
      </c>
      <c r="AG2618">
        <v>0</v>
      </c>
      <c r="AH2618">
        <v>0</v>
      </c>
    </row>
    <row r="2619" spans="2:34" x14ac:dyDescent="0.35">
      <c r="B2619" t="s">
        <v>566</v>
      </c>
      <c r="C2619">
        <v>45789</v>
      </c>
      <c r="F2619" t="s">
        <v>752</v>
      </c>
      <c r="H2619">
        <v>189.2</v>
      </c>
      <c r="O2619" t="s">
        <v>239</v>
      </c>
      <c r="P2619" t="s">
        <v>514</v>
      </c>
      <c r="Y2619">
        <v>2585</v>
      </c>
      <c r="Z2619" s="259" t="s">
        <v>630</v>
      </c>
      <c r="AA2619">
        <v>0</v>
      </c>
      <c r="AB2619">
        <v>0</v>
      </c>
      <c r="AC2619">
        <v>45789</v>
      </c>
      <c r="AD2619">
        <v>0</v>
      </c>
      <c r="AE2619">
        <v>0</v>
      </c>
      <c r="AF2619">
        <v>0</v>
      </c>
      <c r="AG2619">
        <v>0</v>
      </c>
      <c r="AH2619">
        <v>0</v>
      </c>
    </row>
    <row r="2620" spans="2:34" x14ac:dyDescent="0.35">
      <c r="B2620" t="s">
        <v>566</v>
      </c>
      <c r="C2620">
        <v>45789</v>
      </c>
      <c r="F2620" t="s">
        <v>754</v>
      </c>
      <c r="H2620">
        <v>81.2</v>
      </c>
      <c r="O2620" t="s">
        <v>239</v>
      </c>
      <c r="P2620" t="s">
        <v>514</v>
      </c>
      <c r="Y2620">
        <v>2586</v>
      </c>
      <c r="Z2620" s="259" t="s">
        <v>630</v>
      </c>
      <c r="AA2620">
        <v>0</v>
      </c>
      <c r="AB2620">
        <v>0</v>
      </c>
      <c r="AC2620">
        <v>45789</v>
      </c>
      <c r="AD2620">
        <v>0</v>
      </c>
      <c r="AE2620">
        <v>0</v>
      </c>
      <c r="AF2620">
        <v>0</v>
      </c>
      <c r="AG2620">
        <v>0</v>
      </c>
      <c r="AH2620">
        <v>0</v>
      </c>
    </row>
    <row r="2621" spans="2:34" x14ac:dyDescent="0.35">
      <c r="B2621" t="s">
        <v>566</v>
      </c>
      <c r="C2621">
        <v>45790</v>
      </c>
      <c r="F2621" t="s">
        <v>749</v>
      </c>
      <c r="H2621">
        <v>100.2</v>
      </c>
      <c r="O2621" t="s">
        <v>239</v>
      </c>
      <c r="P2621" t="s">
        <v>514</v>
      </c>
      <c r="Y2621">
        <v>2587</v>
      </c>
      <c r="Z2621" s="259" t="s">
        <v>630</v>
      </c>
      <c r="AA2621">
        <v>0</v>
      </c>
      <c r="AB2621">
        <v>0</v>
      </c>
      <c r="AC2621">
        <v>45790</v>
      </c>
      <c r="AD2621">
        <v>0</v>
      </c>
      <c r="AE2621">
        <v>0</v>
      </c>
      <c r="AF2621">
        <v>0</v>
      </c>
      <c r="AG2621">
        <v>0</v>
      </c>
      <c r="AH2621">
        <v>0</v>
      </c>
    </row>
    <row r="2622" spans="2:34" x14ac:dyDescent="0.35">
      <c r="B2622" t="s">
        <v>566</v>
      </c>
      <c r="C2622">
        <v>45790</v>
      </c>
      <c r="F2622" t="s">
        <v>752</v>
      </c>
      <c r="H2622">
        <v>189.4</v>
      </c>
      <c r="O2622" t="s">
        <v>239</v>
      </c>
      <c r="P2622" t="s">
        <v>514</v>
      </c>
      <c r="Y2622">
        <v>2588</v>
      </c>
      <c r="Z2622" s="259" t="s">
        <v>630</v>
      </c>
      <c r="AA2622">
        <v>0</v>
      </c>
      <c r="AB2622">
        <v>0</v>
      </c>
      <c r="AC2622">
        <v>45790</v>
      </c>
      <c r="AD2622">
        <v>0</v>
      </c>
      <c r="AE2622">
        <v>0</v>
      </c>
      <c r="AF2622">
        <v>0</v>
      </c>
      <c r="AG2622">
        <v>0</v>
      </c>
      <c r="AH2622">
        <v>0</v>
      </c>
    </row>
    <row r="2623" spans="2:34" x14ac:dyDescent="0.35">
      <c r="B2623" t="s">
        <v>566</v>
      </c>
      <c r="C2623">
        <v>45790</v>
      </c>
      <c r="F2623" t="s">
        <v>754</v>
      </c>
      <c r="H2623">
        <v>81.400000000000006</v>
      </c>
      <c r="O2623" t="s">
        <v>239</v>
      </c>
      <c r="P2623" t="s">
        <v>514</v>
      </c>
      <c r="Y2623">
        <v>2589</v>
      </c>
      <c r="Z2623" s="259" t="s">
        <v>630</v>
      </c>
      <c r="AA2623">
        <v>0</v>
      </c>
      <c r="AB2623">
        <v>0</v>
      </c>
      <c r="AC2623">
        <v>45790</v>
      </c>
      <c r="AD2623">
        <v>0</v>
      </c>
      <c r="AE2623">
        <v>0</v>
      </c>
      <c r="AF2623">
        <v>0</v>
      </c>
      <c r="AG2623">
        <v>0</v>
      </c>
      <c r="AH2623">
        <v>0</v>
      </c>
    </row>
    <row r="2624" spans="2:34" x14ac:dyDescent="0.35">
      <c r="B2624" t="s">
        <v>566</v>
      </c>
      <c r="C2624">
        <v>45791</v>
      </c>
      <c r="F2624" t="s">
        <v>749</v>
      </c>
      <c r="H2624">
        <v>100.13</v>
      </c>
      <c r="O2624" t="s">
        <v>239</v>
      </c>
      <c r="P2624" t="s">
        <v>514</v>
      </c>
      <c r="Y2624">
        <v>2590</v>
      </c>
      <c r="Z2624" s="259" t="s">
        <v>630</v>
      </c>
      <c r="AA2624">
        <v>0</v>
      </c>
      <c r="AB2624">
        <v>0</v>
      </c>
      <c r="AC2624">
        <v>45791</v>
      </c>
      <c r="AD2624">
        <v>0</v>
      </c>
      <c r="AE2624">
        <v>0</v>
      </c>
      <c r="AF2624">
        <v>0</v>
      </c>
      <c r="AG2624">
        <v>0</v>
      </c>
      <c r="AH2624">
        <v>0</v>
      </c>
    </row>
    <row r="2625" spans="2:34" x14ac:dyDescent="0.35">
      <c r="B2625" t="s">
        <v>566</v>
      </c>
      <c r="C2625">
        <v>45791</v>
      </c>
      <c r="F2625" t="s">
        <v>752</v>
      </c>
      <c r="H2625">
        <v>189.6</v>
      </c>
      <c r="O2625" t="s">
        <v>239</v>
      </c>
      <c r="P2625" t="s">
        <v>514</v>
      </c>
      <c r="Y2625">
        <v>2591</v>
      </c>
      <c r="Z2625" s="259" t="s">
        <v>630</v>
      </c>
      <c r="AA2625">
        <v>0</v>
      </c>
      <c r="AB2625">
        <v>0</v>
      </c>
      <c r="AC2625">
        <v>45791</v>
      </c>
      <c r="AD2625">
        <v>0</v>
      </c>
      <c r="AE2625">
        <v>0</v>
      </c>
      <c r="AF2625">
        <v>0</v>
      </c>
      <c r="AG2625">
        <v>0</v>
      </c>
      <c r="AH2625">
        <v>0</v>
      </c>
    </row>
    <row r="2626" spans="2:34" x14ac:dyDescent="0.35">
      <c r="B2626" t="s">
        <v>566</v>
      </c>
      <c r="C2626">
        <v>45791</v>
      </c>
      <c r="F2626" t="s">
        <v>754</v>
      </c>
      <c r="H2626">
        <v>81.599999999999994</v>
      </c>
      <c r="O2626" t="s">
        <v>239</v>
      </c>
      <c r="P2626" t="s">
        <v>514</v>
      </c>
      <c r="Y2626">
        <v>2592</v>
      </c>
      <c r="Z2626" s="259" t="s">
        <v>630</v>
      </c>
      <c r="AA2626">
        <v>0</v>
      </c>
      <c r="AB2626">
        <v>0</v>
      </c>
      <c r="AC2626">
        <v>45791</v>
      </c>
      <c r="AD2626">
        <v>0</v>
      </c>
      <c r="AE2626">
        <v>0</v>
      </c>
      <c r="AF2626">
        <v>0</v>
      </c>
      <c r="AG2626">
        <v>0</v>
      </c>
      <c r="AH2626">
        <v>0</v>
      </c>
    </row>
    <row r="2627" spans="2:34" x14ac:dyDescent="0.35">
      <c r="B2627" t="s">
        <v>566</v>
      </c>
      <c r="C2627">
        <v>45792</v>
      </c>
      <c r="F2627" t="s">
        <v>749</v>
      </c>
      <c r="H2627">
        <v>100.07</v>
      </c>
      <c r="O2627" t="s">
        <v>239</v>
      </c>
      <c r="P2627" t="s">
        <v>514</v>
      </c>
      <c r="Y2627">
        <v>2593</v>
      </c>
      <c r="Z2627" s="259" t="s">
        <v>630</v>
      </c>
      <c r="AA2627">
        <v>0</v>
      </c>
      <c r="AB2627">
        <v>0</v>
      </c>
      <c r="AC2627">
        <v>45792</v>
      </c>
      <c r="AD2627">
        <v>0</v>
      </c>
      <c r="AE2627">
        <v>0</v>
      </c>
      <c r="AF2627">
        <v>0</v>
      </c>
      <c r="AG2627">
        <v>0</v>
      </c>
      <c r="AH2627">
        <v>0</v>
      </c>
    </row>
    <row r="2628" spans="2:34" x14ac:dyDescent="0.35">
      <c r="B2628" t="s">
        <v>566</v>
      </c>
      <c r="C2628">
        <v>45792</v>
      </c>
      <c r="F2628" t="s">
        <v>752</v>
      </c>
      <c r="H2628">
        <v>189.8</v>
      </c>
      <c r="O2628" t="s">
        <v>239</v>
      </c>
      <c r="P2628" t="s">
        <v>514</v>
      </c>
      <c r="Y2628">
        <v>2594</v>
      </c>
      <c r="Z2628" s="259" t="s">
        <v>630</v>
      </c>
      <c r="AA2628">
        <v>0</v>
      </c>
      <c r="AB2628">
        <v>0</v>
      </c>
      <c r="AC2628">
        <v>45792</v>
      </c>
      <c r="AD2628">
        <v>0</v>
      </c>
      <c r="AE2628">
        <v>0</v>
      </c>
      <c r="AF2628">
        <v>0</v>
      </c>
      <c r="AG2628">
        <v>0</v>
      </c>
      <c r="AH2628">
        <v>0</v>
      </c>
    </row>
    <row r="2629" spans="2:34" x14ac:dyDescent="0.35">
      <c r="B2629" t="s">
        <v>566</v>
      </c>
      <c r="C2629">
        <v>45792</v>
      </c>
      <c r="F2629" t="s">
        <v>754</v>
      </c>
      <c r="H2629">
        <v>81.8</v>
      </c>
      <c r="O2629" t="s">
        <v>239</v>
      </c>
      <c r="P2629" t="s">
        <v>514</v>
      </c>
      <c r="Y2629">
        <v>2595</v>
      </c>
      <c r="Z2629" s="259" t="s">
        <v>630</v>
      </c>
      <c r="AA2629">
        <v>0</v>
      </c>
      <c r="AB2629">
        <v>0</v>
      </c>
      <c r="AC2629">
        <v>45792</v>
      </c>
      <c r="AD2629">
        <v>0</v>
      </c>
      <c r="AE2629">
        <v>0</v>
      </c>
      <c r="AF2629">
        <v>0</v>
      </c>
      <c r="AG2629">
        <v>0</v>
      </c>
      <c r="AH2629">
        <v>0</v>
      </c>
    </row>
    <row r="2630" spans="2:34" x14ac:dyDescent="0.35">
      <c r="B2630" t="s">
        <v>566</v>
      </c>
      <c r="C2630">
        <v>45793</v>
      </c>
      <c r="F2630" t="s">
        <v>749</v>
      </c>
      <c r="H2630">
        <v>100</v>
      </c>
      <c r="O2630" t="s">
        <v>239</v>
      </c>
      <c r="P2630" t="s">
        <v>514</v>
      </c>
      <c r="Y2630">
        <v>2596</v>
      </c>
      <c r="Z2630" s="259" t="s">
        <v>630</v>
      </c>
      <c r="AA2630">
        <v>0</v>
      </c>
      <c r="AB2630">
        <v>0</v>
      </c>
      <c r="AC2630">
        <v>45793</v>
      </c>
      <c r="AD2630">
        <v>0</v>
      </c>
      <c r="AE2630">
        <v>0</v>
      </c>
      <c r="AF2630">
        <v>0</v>
      </c>
      <c r="AG2630">
        <v>0</v>
      </c>
      <c r="AH2630">
        <v>0</v>
      </c>
    </row>
    <row r="2631" spans="2:34" x14ac:dyDescent="0.35">
      <c r="B2631" t="s">
        <v>566</v>
      </c>
      <c r="C2631">
        <v>45793</v>
      </c>
      <c r="F2631" t="s">
        <v>752</v>
      </c>
      <c r="H2631">
        <v>190</v>
      </c>
      <c r="O2631" t="s">
        <v>239</v>
      </c>
      <c r="P2631" t="s">
        <v>514</v>
      </c>
      <c r="Y2631">
        <v>2597</v>
      </c>
      <c r="Z2631" s="259" t="s">
        <v>630</v>
      </c>
      <c r="AA2631">
        <v>0</v>
      </c>
      <c r="AB2631">
        <v>0</v>
      </c>
      <c r="AC2631">
        <v>45793</v>
      </c>
      <c r="AD2631">
        <v>0</v>
      </c>
      <c r="AE2631">
        <v>0</v>
      </c>
      <c r="AF2631">
        <v>0</v>
      </c>
      <c r="AG2631">
        <v>0</v>
      </c>
      <c r="AH2631">
        <v>0</v>
      </c>
    </row>
    <row r="2632" spans="2:34" x14ac:dyDescent="0.35">
      <c r="B2632" t="s">
        <v>566</v>
      </c>
      <c r="C2632">
        <v>45793</v>
      </c>
      <c r="F2632" t="s">
        <v>754</v>
      </c>
      <c r="H2632">
        <v>82</v>
      </c>
      <c r="O2632" t="s">
        <v>239</v>
      </c>
      <c r="P2632" t="s">
        <v>514</v>
      </c>
      <c r="Y2632">
        <v>2598</v>
      </c>
      <c r="Z2632" s="259" t="s">
        <v>630</v>
      </c>
      <c r="AA2632">
        <v>0</v>
      </c>
      <c r="AB2632">
        <v>0</v>
      </c>
      <c r="AC2632">
        <v>45793</v>
      </c>
      <c r="AD2632">
        <v>0</v>
      </c>
      <c r="AE2632">
        <v>0</v>
      </c>
      <c r="AF2632">
        <v>0</v>
      </c>
      <c r="AG2632">
        <v>0</v>
      </c>
      <c r="AH2632">
        <v>0</v>
      </c>
    </row>
    <row r="2633" spans="2:34" x14ac:dyDescent="0.35">
      <c r="B2633" t="s">
        <v>566</v>
      </c>
      <c r="C2633">
        <v>45794</v>
      </c>
      <c r="F2633" t="s">
        <v>749</v>
      </c>
      <c r="H2633">
        <v>100</v>
      </c>
      <c r="O2633" t="s">
        <v>239</v>
      </c>
      <c r="P2633" t="s">
        <v>514</v>
      </c>
      <c r="Y2633">
        <v>2599</v>
      </c>
      <c r="Z2633" s="259" t="s">
        <v>630</v>
      </c>
      <c r="AA2633">
        <v>0</v>
      </c>
      <c r="AB2633">
        <v>0</v>
      </c>
      <c r="AC2633">
        <v>45793</v>
      </c>
      <c r="AD2633">
        <v>1</v>
      </c>
      <c r="AE2633">
        <v>0</v>
      </c>
      <c r="AF2633">
        <v>0</v>
      </c>
      <c r="AG2633">
        <v>0</v>
      </c>
      <c r="AH2633">
        <v>0</v>
      </c>
    </row>
    <row r="2634" spans="2:34" x14ac:dyDescent="0.35">
      <c r="B2634" t="s">
        <v>566</v>
      </c>
      <c r="C2634">
        <v>45794</v>
      </c>
      <c r="F2634" t="s">
        <v>752</v>
      </c>
      <c r="H2634">
        <v>190</v>
      </c>
      <c r="O2634" t="s">
        <v>239</v>
      </c>
      <c r="P2634" t="s">
        <v>514</v>
      </c>
      <c r="Y2634">
        <v>2600</v>
      </c>
      <c r="Z2634" s="259" t="s">
        <v>630</v>
      </c>
      <c r="AA2634">
        <v>0</v>
      </c>
      <c r="AB2634">
        <v>0</v>
      </c>
      <c r="AC2634">
        <v>45793</v>
      </c>
      <c r="AD2634">
        <v>1</v>
      </c>
      <c r="AE2634">
        <v>0</v>
      </c>
      <c r="AF2634">
        <v>0</v>
      </c>
      <c r="AG2634">
        <v>0</v>
      </c>
      <c r="AH2634">
        <v>0</v>
      </c>
    </row>
    <row r="2635" spans="2:34" x14ac:dyDescent="0.35">
      <c r="B2635" t="s">
        <v>566</v>
      </c>
      <c r="C2635">
        <v>45794</v>
      </c>
      <c r="F2635" t="s">
        <v>754</v>
      </c>
      <c r="H2635">
        <v>82</v>
      </c>
      <c r="O2635" t="s">
        <v>239</v>
      </c>
      <c r="P2635" t="s">
        <v>514</v>
      </c>
      <c r="Y2635">
        <v>2601</v>
      </c>
      <c r="Z2635" s="259" t="s">
        <v>630</v>
      </c>
      <c r="AA2635">
        <v>0</v>
      </c>
      <c r="AB2635">
        <v>0</v>
      </c>
      <c r="AC2635">
        <v>45793</v>
      </c>
      <c r="AD2635">
        <v>1</v>
      </c>
      <c r="AE2635">
        <v>0</v>
      </c>
      <c r="AF2635">
        <v>0</v>
      </c>
      <c r="AG2635">
        <v>0</v>
      </c>
      <c r="AH2635">
        <v>0</v>
      </c>
    </row>
    <row r="2636" spans="2:34" x14ac:dyDescent="0.35">
      <c r="B2636" t="s">
        <v>566</v>
      </c>
      <c r="C2636">
        <v>45795</v>
      </c>
      <c r="F2636" t="s">
        <v>749</v>
      </c>
      <c r="H2636">
        <v>100</v>
      </c>
      <c r="O2636" t="s">
        <v>239</v>
      </c>
      <c r="P2636" t="s">
        <v>514</v>
      </c>
      <c r="Y2636">
        <v>2602</v>
      </c>
      <c r="Z2636" s="259" t="s">
        <v>630</v>
      </c>
      <c r="AA2636">
        <v>0</v>
      </c>
      <c r="AB2636">
        <v>0</v>
      </c>
      <c r="AC2636">
        <v>45793</v>
      </c>
      <c r="AD2636">
        <v>2</v>
      </c>
      <c r="AE2636">
        <v>0</v>
      </c>
      <c r="AF2636">
        <v>0</v>
      </c>
      <c r="AG2636">
        <v>0</v>
      </c>
      <c r="AH2636">
        <v>0</v>
      </c>
    </row>
    <row r="2637" spans="2:34" x14ac:dyDescent="0.35">
      <c r="B2637" t="s">
        <v>566</v>
      </c>
      <c r="C2637">
        <v>45795</v>
      </c>
      <c r="F2637" t="s">
        <v>752</v>
      </c>
      <c r="H2637">
        <v>190</v>
      </c>
      <c r="O2637" t="s">
        <v>239</v>
      </c>
      <c r="P2637" t="s">
        <v>514</v>
      </c>
      <c r="Y2637">
        <v>2603</v>
      </c>
      <c r="Z2637" s="259" t="s">
        <v>630</v>
      </c>
      <c r="AA2637">
        <v>0</v>
      </c>
      <c r="AB2637">
        <v>0</v>
      </c>
      <c r="AC2637">
        <v>45793</v>
      </c>
      <c r="AD2637">
        <v>2</v>
      </c>
      <c r="AE2637">
        <v>0</v>
      </c>
      <c r="AF2637">
        <v>0</v>
      </c>
      <c r="AG2637">
        <v>0</v>
      </c>
      <c r="AH2637">
        <v>0</v>
      </c>
    </row>
    <row r="2638" spans="2:34" x14ac:dyDescent="0.35">
      <c r="B2638" t="s">
        <v>566</v>
      </c>
      <c r="C2638">
        <v>45795</v>
      </c>
      <c r="F2638" t="s">
        <v>754</v>
      </c>
      <c r="H2638">
        <v>82</v>
      </c>
      <c r="O2638" t="s">
        <v>239</v>
      </c>
      <c r="P2638" t="s">
        <v>514</v>
      </c>
      <c r="Y2638">
        <v>2604</v>
      </c>
      <c r="Z2638" s="259" t="s">
        <v>630</v>
      </c>
      <c r="AA2638">
        <v>0</v>
      </c>
      <c r="AB2638">
        <v>0</v>
      </c>
      <c r="AC2638">
        <v>45793</v>
      </c>
      <c r="AD2638">
        <v>2</v>
      </c>
      <c r="AE2638">
        <v>0</v>
      </c>
      <c r="AF2638">
        <v>0</v>
      </c>
      <c r="AG2638">
        <v>0</v>
      </c>
      <c r="AH2638">
        <v>0</v>
      </c>
    </row>
    <row r="2639" spans="2:34" x14ac:dyDescent="0.35">
      <c r="B2639" t="s">
        <v>566</v>
      </c>
      <c r="C2639">
        <v>45796</v>
      </c>
      <c r="F2639" t="s">
        <v>749</v>
      </c>
      <c r="H2639">
        <v>99.8</v>
      </c>
      <c r="O2639" t="s">
        <v>239</v>
      </c>
      <c r="P2639" t="s">
        <v>514</v>
      </c>
      <c r="Y2639">
        <v>2605</v>
      </c>
      <c r="Z2639" s="259" t="s">
        <v>630</v>
      </c>
      <c r="AA2639">
        <v>0</v>
      </c>
      <c r="AB2639">
        <v>0</v>
      </c>
      <c r="AC2639">
        <v>45796</v>
      </c>
      <c r="AD2639">
        <v>0</v>
      </c>
      <c r="AE2639">
        <v>0</v>
      </c>
      <c r="AF2639">
        <v>0</v>
      </c>
      <c r="AG2639">
        <v>0</v>
      </c>
      <c r="AH2639">
        <v>0</v>
      </c>
    </row>
    <row r="2640" spans="2:34" x14ac:dyDescent="0.35">
      <c r="B2640" t="s">
        <v>566</v>
      </c>
      <c r="C2640">
        <v>45796</v>
      </c>
      <c r="F2640" t="s">
        <v>752</v>
      </c>
      <c r="H2640">
        <v>190.6</v>
      </c>
      <c r="O2640" t="s">
        <v>239</v>
      </c>
      <c r="P2640" t="s">
        <v>514</v>
      </c>
      <c r="Y2640">
        <v>2606</v>
      </c>
      <c r="Z2640" s="259" t="s">
        <v>630</v>
      </c>
      <c r="AA2640">
        <v>0</v>
      </c>
      <c r="AB2640">
        <v>0</v>
      </c>
      <c r="AC2640">
        <v>45796</v>
      </c>
      <c r="AD2640">
        <v>0</v>
      </c>
      <c r="AE2640">
        <v>0</v>
      </c>
      <c r="AF2640">
        <v>0</v>
      </c>
      <c r="AG2640">
        <v>0</v>
      </c>
      <c r="AH2640">
        <v>0</v>
      </c>
    </row>
    <row r="2641" spans="2:34" x14ac:dyDescent="0.35">
      <c r="B2641" t="s">
        <v>566</v>
      </c>
      <c r="C2641">
        <v>45796</v>
      </c>
      <c r="F2641" t="s">
        <v>754</v>
      </c>
      <c r="H2641">
        <v>82.6</v>
      </c>
      <c r="O2641" t="s">
        <v>239</v>
      </c>
      <c r="P2641" t="s">
        <v>514</v>
      </c>
      <c r="Y2641">
        <v>2607</v>
      </c>
      <c r="Z2641" s="259" t="s">
        <v>630</v>
      </c>
      <c r="AA2641">
        <v>0</v>
      </c>
      <c r="AB2641">
        <v>0</v>
      </c>
      <c r="AC2641">
        <v>45796</v>
      </c>
      <c r="AD2641">
        <v>0</v>
      </c>
      <c r="AE2641">
        <v>0</v>
      </c>
      <c r="AF2641">
        <v>0</v>
      </c>
      <c r="AG2641">
        <v>0</v>
      </c>
      <c r="AH2641">
        <v>0</v>
      </c>
    </row>
    <row r="2642" spans="2:34" x14ac:dyDescent="0.35">
      <c r="B2642" t="s">
        <v>566</v>
      </c>
      <c r="C2642">
        <v>45797</v>
      </c>
      <c r="F2642" t="s">
        <v>749</v>
      </c>
      <c r="H2642">
        <v>99.73</v>
      </c>
      <c r="O2642" t="s">
        <v>239</v>
      </c>
      <c r="P2642" t="s">
        <v>514</v>
      </c>
      <c r="Y2642">
        <v>2608</v>
      </c>
      <c r="Z2642" s="259" t="s">
        <v>630</v>
      </c>
      <c r="AA2642">
        <v>0</v>
      </c>
      <c r="AB2642">
        <v>0</v>
      </c>
      <c r="AC2642">
        <v>45797</v>
      </c>
      <c r="AD2642">
        <v>0</v>
      </c>
      <c r="AE2642">
        <v>0</v>
      </c>
      <c r="AF2642">
        <v>0</v>
      </c>
      <c r="AG2642">
        <v>0</v>
      </c>
      <c r="AH2642">
        <v>0</v>
      </c>
    </row>
    <row r="2643" spans="2:34" x14ac:dyDescent="0.35">
      <c r="B2643" t="s">
        <v>566</v>
      </c>
      <c r="C2643">
        <v>45797</v>
      </c>
      <c r="F2643" t="s">
        <v>752</v>
      </c>
      <c r="H2643">
        <v>190.8</v>
      </c>
      <c r="O2643" t="s">
        <v>239</v>
      </c>
      <c r="P2643" t="s">
        <v>514</v>
      </c>
      <c r="Y2643">
        <v>2609</v>
      </c>
      <c r="Z2643" s="259" t="s">
        <v>630</v>
      </c>
      <c r="AA2643">
        <v>0</v>
      </c>
      <c r="AB2643">
        <v>0</v>
      </c>
      <c r="AC2643">
        <v>45797</v>
      </c>
      <c r="AD2643">
        <v>0</v>
      </c>
      <c r="AE2643">
        <v>0</v>
      </c>
      <c r="AF2643">
        <v>0</v>
      </c>
      <c r="AG2643">
        <v>0</v>
      </c>
      <c r="AH2643">
        <v>0</v>
      </c>
    </row>
    <row r="2644" spans="2:34" x14ac:dyDescent="0.35">
      <c r="B2644" t="s">
        <v>566</v>
      </c>
      <c r="C2644">
        <v>45797</v>
      </c>
      <c r="F2644" t="s">
        <v>754</v>
      </c>
      <c r="H2644">
        <v>82.8</v>
      </c>
      <c r="O2644" t="s">
        <v>239</v>
      </c>
      <c r="P2644" t="s">
        <v>514</v>
      </c>
      <c r="Y2644">
        <v>2610</v>
      </c>
      <c r="Z2644" s="259" t="s">
        <v>630</v>
      </c>
      <c r="AA2644">
        <v>0</v>
      </c>
      <c r="AB2644">
        <v>0</v>
      </c>
      <c r="AC2644">
        <v>45797</v>
      </c>
      <c r="AD2644">
        <v>0</v>
      </c>
      <c r="AE2644">
        <v>0</v>
      </c>
      <c r="AF2644">
        <v>0</v>
      </c>
      <c r="AG2644">
        <v>0</v>
      </c>
      <c r="AH2644">
        <v>0</v>
      </c>
    </row>
    <row r="2645" spans="2:34" x14ac:dyDescent="0.35">
      <c r="B2645" t="s">
        <v>566</v>
      </c>
      <c r="C2645">
        <v>45798</v>
      </c>
      <c r="F2645" t="s">
        <v>749</v>
      </c>
      <c r="H2645">
        <v>99.67</v>
      </c>
      <c r="O2645" t="s">
        <v>239</v>
      </c>
      <c r="P2645" t="s">
        <v>514</v>
      </c>
      <c r="Y2645">
        <v>2611</v>
      </c>
      <c r="Z2645" s="259" t="s">
        <v>630</v>
      </c>
      <c r="AA2645">
        <v>0</v>
      </c>
      <c r="AB2645">
        <v>0</v>
      </c>
      <c r="AC2645">
        <v>45798</v>
      </c>
      <c r="AD2645">
        <v>0</v>
      </c>
      <c r="AE2645">
        <v>0</v>
      </c>
      <c r="AF2645">
        <v>0</v>
      </c>
      <c r="AG2645">
        <v>0</v>
      </c>
      <c r="AH2645">
        <v>0</v>
      </c>
    </row>
    <row r="2646" spans="2:34" x14ac:dyDescent="0.35">
      <c r="B2646" t="s">
        <v>566</v>
      </c>
      <c r="C2646">
        <v>45798</v>
      </c>
      <c r="F2646" t="s">
        <v>752</v>
      </c>
      <c r="H2646">
        <v>191</v>
      </c>
      <c r="O2646" t="s">
        <v>239</v>
      </c>
      <c r="P2646" t="s">
        <v>514</v>
      </c>
      <c r="Y2646">
        <v>2612</v>
      </c>
      <c r="Z2646" s="259" t="s">
        <v>630</v>
      </c>
      <c r="AA2646">
        <v>0</v>
      </c>
      <c r="AB2646">
        <v>0</v>
      </c>
      <c r="AC2646">
        <v>45798</v>
      </c>
      <c r="AD2646">
        <v>0</v>
      </c>
      <c r="AE2646">
        <v>0</v>
      </c>
      <c r="AF2646">
        <v>0</v>
      </c>
      <c r="AG2646">
        <v>0</v>
      </c>
      <c r="AH2646">
        <v>0</v>
      </c>
    </row>
    <row r="2647" spans="2:34" x14ac:dyDescent="0.35">
      <c r="B2647" t="s">
        <v>566</v>
      </c>
      <c r="C2647">
        <v>45798</v>
      </c>
      <c r="F2647" t="s">
        <v>754</v>
      </c>
      <c r="H2647">
        <v>83</v>
      </c>
      <c r="O2647" t="s">
        <v>239</v>
      </c>
      <c r="P2647" t="s">
        <v>514</v>
      </c>
      <c r="Y2647">
        <v>2613</v>
      </c>
      <c r="Z2647" s="259" t="s">
        <v>630</v>
      </c>
      <c r="AA2647">
        <v>0</v>
      </c>
      <c r="AB2647">
        <v>0</v>
      </c>
      <c r="AC2647">
        <v>45798</v>
      </c>
      <c r="AD2647">
        <v>0</v>
      </c>
      <c r="AE2647">
        <v>0</v>
      </c>
      <c r="AF2647">
        <v>0</v>
      </c>
      <c r="AG2647">
        <v>0</v>
      </c>
      <c r="AH2647">
        <v>0</v>
      </c>
    </row>
    <row r="2648" spans="2:34" x14ac:dyDescent="0.35">
      <c r="B2648" t="s">
        <v>566</v>
      </c>
      <c r="C2648">
        <v>45799</v>
      </c>
      <c r="F2648" t="s">
        <v>749</v>
      </c>
      <c r="H2648">
        <v>99.6</v>
      </c>
      <c r="O2648" t="s">
        <v>239</v>
      </c>
      <c r="P2648" t="s">
        <v>514</v>
      </c>
      <c r="Y2648">
        <v>2614</v>
      </c>
      <c r="Z2648" s="259" t="s">
        <v>630</v>
      </c>
      <c r="AA2648">
        <v>0</v>
      </c>
      <c r="AB2648">
        <v>0</v>
      </c>
      <c r="AC2648">
        <v>45799</v>
      </c>
      <c r="AD2648">
        <v>0</v>
      </c>
      <c r="AE2648">
        <v>0</v>
      </c>
      <c r="AF2648">
        <v>0</v>
      </c>
      <c r="AG2648">
        <v>0</v>
      </c>
      <c r="AH2648">
        <v>0</v>
      </c>
    </row>
    <row r="2649" spans="2:34" x14ac:dyDescent="0.35">
      <c r="B2649" t="s">
        <v>566</v>
      </c>
      <c r="C2649">
        <v>45799</v>
      </c>
      <c r="F2649" t="s">
        <v>752</v>
      </c>
      <c r="H2649">
        <v>191.2</v>
      </c>
      <c r="O2649" t="s">
        <v>239</v>
      </c>
      <c r="P2649" t="s">
        <v>514</v>
      </c>
      <c r="Y2649">
        <v>2615</v>
      </c>
      <c r="Z2649" s="259" t="s">
        <v>630</v>
      </c>
      <c r="AA2649">
        <v>0</v>
      </c>
      <c r="AB2649">
        <v>0</v>
      </c>
      <c r="AC2649">
        <v>45799</v>
      </c>
      <c r="AD2649">
        <v>0</v>
      </c>
      <c r="AE2649">
        <v>0</v>
      </c>
      <c r="AF2649">
        <v>0</v>
      </c>
      <c r="AG2649">
        <v>0</v>
      </c>
      <c r="AH2649">
        <v>0</v>
      </c>
    </row>
    <row r="2650" spans="2:34" x14ac:dyDescent="0.35">
      <c r="B2650" t="s">
        <v>566</v>
      </c>
      <c r="C2650">
        <v>45799</v>
      </c>
      <c r="F2650" t="s">
        <v>754</v>
      </c>
      <c r="H2650">
        <v>83.2</v>
      </c>
      <c r="O2650" t="s">
        <v>239</v>
      </c>
      <c r="P2650" t="s">
        <v>514</v>
      </c>
      <c r="Y2650">
        <v>2616</v>
      </c>
      <c r="Z2650" s="259" t="s">
        <v>630</v>
      </c>
      <c r="AA2650">
        <v>0</v>
      </c>
      <c r="AB2650">
        <v>0</v>
      </c>
      <c r="AC2650">
        <v>45799</v>
      </c>
      <c r="AD2650">
        <v>0</v>
      </c>
      <c r="AE2650">
        <v>0</v>
      </c>
      <c r="AF2650">
        <v>0</v>
      </c>
      <c r="AG2650">
        <v>0</v>
      </c>
      <c r="AH2650">
        <v>0</v>
      </c>
    </row>
    <row r="2651" spans="2:34" x14ac:dyDescent="0.35">
      <c r="B2651" t="s">
        <v>566</v>
      </c>
      <c r="C2651">
        <v>45800</v>
      </c>
      <c r="F2651" t="s">
        <v>749</v>
      </c>
      <c r="H2651">
        <v>99.53</v>
      </c>
      <c r="O2651" t="s">
        <v>239</v>
      </c>
      <c r="P2651" t="s">
        <v>514</v>
      </c>
      <c r="Y2651">
        <v>2617</v>
      </c>
      <c r="Z2651" s="259" t="s">
        <v>630</v>
      </c>
      <c r="AA2651">
        <v>0</v>
      </c>
      <c r="AB2651">
        <v>0</v>
      </c>
      <c r="AC2651">
        <v>45800</v>
      </c>
      <c r="AD2651">
        <v>0</v>
      </c>
      <c r="AE2651">
        <v>0</v>
      </c>
      <c r="AF2651">
        <v>0</v>
      </c>
      <c r="AG2651">
        <v>0</v>
      </c>
      <c r="AH2651">
        <v>0</v>
      </c>
    </row>
    <row r="2652" spans="2:34" x14ac:dyDescent="0.35">
      <c r="B2652" t="s">
        <v>566</v>
      </c>
      <c r="C2652">
        <v>45800</v>
      </c>
      <c r="F2652" t="s">
        <v>752</v>
      </c>
      <c r="H2652">
        <v>191.4</v>
      </c>
      <c r="O2652" t="s">
        <v>239</v>
      </c>
      <c r="P2652" t="s">
        <v>514</v>
      </c>
      <c r="Y2652">
        <v>2618</v>
      </c>
      <c r="Z2652" s="259" t="s">
        <v>630</v>
      </c>
      <c r="AA2652">
        <v>0</v>
      </c>
      <c r="AB2652">
        <v>0</v>
      </c>
      <c r="AC2652">
        <v>45800</v>
      </c>
      <c r="AD2652">
        <v>0</v>
      </c>
      <c r="AE2652">
        <v>0</v>
      </c>
      <c r="AF2652">
        <v>0</v>
      </c>
      <c r="AG2652">
        <v>0</v>
      </c>
      <c r="AH2652">
        <v>0</v>
      </c>
    </row>
    <row r="2653" spans="2:34" x14ac:dyDescent="0.35">
      <c r="B2653" t="s">
        <v>566</v>
      </c>
      <c r="C2653">
        <v>45800</v>
      </c>
      <c r="F2653" t="s">
        <v>754</v>
      </c>
      <c r="H2653">
        <v>83.4</v>
      </c>
      <c r="O2653" t="s">
        <v>239</v>
      </c>
      <c r="P2653" t="s">
        <v>514</v>
      </c>
      <c r="Y2653">
        <v>2619</v>
      </c>
      <c r="Z2653" s="259" t="s">
        <v>630</v>
      </c>
      <c r="AA2653">
        <v>0</v>
      </c>
      <c r="AB2653">
        <v>0</v>
      </c>
      <c r="AC2653">
        <v>45800</v>
      </c>
      <c r="AD2653">
        <v>0</v>
      </c>
      <c r="AE2653">
        <v>0</v>
      </c>
      <c r="AF2653">
        <v>0</v>
      </c>
      <c r="AG2653">
        <v>0</v>
      </c>
      <c r="AH2653">
        <v>0</v>
      </c>
    </row>
    <row r="2654" spans="2:34" x14ac:dyDescent="0.35">
      <c r="B2654" t="s">
        <v>566</v>
      </c>
      <c r="C2654">
        <v>45801</v>
      </c>
      <c r="F2654" t="s">
        <v>749</v>
      </c>
      <c r="H2654">
        <v>99.53</v>
      </c>
      <c r="O2654" t="s">
        <v>239</v>
      </c>
      <c r="P2654" t="s">
        <v>514</v>
      </c>
      <c r="Y2654">
        <v>2620</v>
      </c>
      <c r="Z2654" s="259" t="s">
        <v>630</v>
      </c>
      <c r="AA2654">
        <v>0</v>
      </c>
      <c r="AB2654">
        <v>0</v>
      </c>
      <c r="AC2654">
        <v>45800</v>
      </c>
      <c r="AD2654">
        <v>1</v>
      </c>
      <c r="AE2654">
        <v>0</v>
      </c>
      <c r="AF2654">
        <v>0</v>
      </c>
      <c r="AG2654">
        <v>0</v>
      </c>
      <c r="AH2654">
        <v>0</v>
      </c>
    </row>
    <row r="2655" spans="2:34" x14ac:dyDescent="0.35">
      <c r="B2655" t="s">
        <v>566</v>
      </c>
      <c r="C2655">
        <v>45801</v>
      </c>
      <c r="F2655" t="s">
        <v>752</v>
      </c>
      <c r="H2655">
        <v>191.4</v>
      </c>
      <c r="O2655" t="s">
        <v>239</v>
      </c>
      <c r="P2655" t="s">
        <v>514</v>
      </c>
      <c r="Y2655">
        <v>2621</v>
      </c>
      <c r="Z2655" s="259" t="s">
        <v>630</v>
      </c>
      <c r="AA2655">
        <v>0</v>
      </c>
      <c r="AB2655">
        <v>0</v>
      </c>
      <c r="AC2655">
        <v>45800</v>
      </c>
      <c r="AD2655">
        <v>1</v>
      </c>
      <c r="AE2655">
        <v>0</v>
      </c>
      <c r="AF2655">
        <v>0</v>
      </c>
      <c r="AG2655">
        <v>0</v>
      </c>
      <c r="AH2655">
        <v>0</v>
      </c>
    </row>
    <row r="2656" spans="2:34" x14ac:dyDescent="0.35">
      <c r="B2656" t="s">
        <v>566</v>
      </c>
      <c r="C2656">
        <v>45801</v>
      </c>
      <c r="F2656" t="s">
        <v>754</v>
      </c>
      <c r="H2656">
        <v>83.4</v>
      </c>
      <c r="O2656" t="s">
        <v>239</v>
      </c>
      <c r="P2656" t="s">
        <v>514</v>
      </c>
      <c r="Y2656">
        <v>2622</v>
      </c>
      <c r="Z2656" s="259" t="s">
        <v>630</v>
      </c>
      <c r="AA2656">
        <v>0</v>
      </c>
      <c r="AB2656">
        <v>0</v>
      </c>
      <c r="AC2656">
        <v>45800</v>
      </c>
      <c r="AD2656">
        <v>1</v>
      </c>
      <c r="AE2656">
        <v>0</v>
      </c>
      <c r="AF2656">
        <v>0</v>
      </c>
      <c r="AG2656">
        <v>0</v>
      </c>
      <c r="AH2656">
        <v>0</v>
      </c>
    </row>
    <row r="2657" spans="2:34" x14ac:dyDescent="0.35">
      <c r="B2657" t="s">
        <v>566</v>
      </c>
      <c r="C2657">
        <v>45802</v>
      </c>
      <c r="F2657" t="s">
        <v>749</v>
      </c>
      <c r="H2657">
        <v>99.53</v>
      </c>
      <c r="O2657" t="s">
        <v>239</v>
      </c>
      <c r="P2657" t="s">
        <v>514</v>
      </c>
      <c r="Y2657">
        <v>2623</v>
      </c>
      <c r="Z2657" s="259" t="s">
        <v>630</v>
      </c>
      <c r="AA2657">
        <v>0</v>
      </c>
      <c r="AB2657">
        <v>0</v>
      </c>
      <c r="AC2657">
        <v>45800</v>
      </c>
      <c r="AD2657">
        <v>2</v>
      </c>
      <c r="AE2657">
        <v>0</v>
      </c>
      <c r="AF2657">
        <v>0</v>
      </c>
      <c r="AG2657">
        <v>0</v>
      </c>
      <c r="AH2657">
        <v>0</v>
      </c>
    </row>
    <row r="2658" spans="2:34" x14ac:dyDescent="0.35">
      <c r="B2658" t="s">
        <v>566</v>
      </c>
      <c r="C2658">
        <v>45802</v>
      </c>
      <c r="F2658" t="s">
        <v>752</v>
      </c>
      <c r="H2658">
        <v>191.4</v>
      </c>
      <c r="O2658" t="s">
        <v>239</v>
      </c>
      <c r="P2658" t="s">
        <v>514</v>
      </c>
      <c r="Y2658">
        <v>2624</v>
      </c>
      <c r="Z2658" s="259" t="s">
        <v>630</v>
      </c>
      <c r="AA2658">
        <v>0</v>
      </c>
      <c r="AB2658">
        <v>0</v>
      </c>
      <c r="AC2658">
        <v>45800</v>
      </c>
      <c r="AD2658">
        <v>2</v>
      </c>
      <c r="AE2658">
        <v>0</v>
      </c>
      <c r="AF2658">
        <v>0</v>
      </c>
      <c r="AG2658">
        <v>0</v>
      </c>
      <c r="AH2658">
        <v>0</v>
      </c>
    </row>
    <row r="2659" spans="2:34" x14ac:dyDescent="0.35">
      <c r="B2659" t="s">
        <v>566</v>
      </c>
      <c r="C2659">
        <v>45802</v>
      </c>
      <c r="F2659" t="s">
        <v>754</v>
      </c>
      <c r="H2659">
        <v>83.4</v>
      </c>
      <c r="O2659" t="s">
        <v>239</v>
      </c>
      <c r="P2659" t="s">
        <v>514</v>
      </c>
      <c r="Y2659">
        <v>2625</v>
      </c>
      <c r="Z2659" s="259" t="s">
        <v>630</v>
      </c>
      <c r="AA2659">
        <v>0</v>
      </c>
      <c r="AB2659">
        <v>0</v>
      </c>
      <c r="AC2659">
        <v>45800</v>
      </c>
      <c r="AD2659">
        <v>2</v>
      </c>
      <c r="AE2659">
        <v>0</v>
      </c>
      <c r="AF2659">
        <v>0</v>
      </c>
      <c r="AG2659">
        <v>0</v>
      </c>
      <c r="AH2659">
        <v>0</v>
      </c>
    </row>
    <row r="2660" spans="2:34" x14ac:dyDescent="0.35">
      <c r="B2660" t="s">
        <v>566</v>
      </c>
      <c r="C2660">
        <v>45803</v>
      </c>
      <c r="F2660" t="s">
        <v>749</v>
      </c>
      <c r="H2660">
        <v>99.33</v>
      </c>
      <c r="O2660" t="s">
        <v>239</v>
      </c>
      <c r="P2660" t="s">
        <v>514</v>
      </c>
      <c r="Y2660">
        <v>2626</v>
      </c>
      <c r="Z2660" s="259" t="s">
        <v>630</v>
      </c>
      <c r="AA2660">
        <v>0</v>
      </c>
      <c r="AB2660">
        <v>0</v>
      </c>
      <c r="AC2660">
        <v>45803</v>
      </c>
      <c r="AD2660">
        <v>0</v>
      </c>
      <c r="AE2660">
        <v>0</v>
      </c>
      <c r="AF2660">
        <v>0</v>
      </c>
      <c r="AG2660">
        <v>0</v>
      </c>
      <c r="AH2660">
        <v>0</v>
      </c>
    </row>
    <row r="2661" spans="2:34" x14ac:dyDescent="0.35">
      <c r="B2661" t="s">
        <v>566</v>
      </c>
      <c r="C2661">
        <v>45803</v>
      </c>
      <c r="F2661" t="s">
        <v>752</v>
      </c>
      <c r="H2661">
        <v>192</v>
      </c>
      <c r="O2661" t="s">
        <v>239</v>
      </c>
      <c r="P2661" t="s">
        <v>514</v>
      </c>
      <c r="Y2661">
        <v>2627</v>
      </c>
      <c r="Z2661" s="259" t="s">
        <v>630</v>
      </c>
      <c r="AA2661">
        <v>0</v>
      </c>
      <c r="AB2661">
        <v>0</v>
      </c>
      <c r="AC2661">
        <v>45803</v>
      </c>
      <c r="AD2661">
        <v>0</v>
      </c>
      <c r="AE2661">
        <v>0</v>
      </c>
      <c r="AF2661">
        <v>0</v>
      </c>
      <c r="AG2661">
        <v>0</v>
      </c>
      <c r="AH2661">
        <v>0</v>
      </c>
    </row>
    <row r="2662" spans="2:34" x14ac:dyDescent="0.35">
      <c r="B2662" t="s">
        <v>566</v>
      </c>
      <c r="C2662">
        <v>45803</v>
      </c>
      <c r="F2662" t="s">
        <v>754</v>
      </c>
      <c r="H2662">
        <v>84</v>
      </c>
      <c r="O2662" t="s">
        <v>239</v>
      </c>
      <c r="P2662" t="s">
        <v>514</v>
      </c>
      <c r="Y2662">
        <v>2628</v>
      </c>
      <c r="Z2662" s="259" t="s">
        <v>630</v>
      </c>
      <c r="AA2662">
        <v>0</v>
      </c>
      <c r="AB2662">
        <v>0</v>
      </c>
      <c r="AC2662">
        <v>45803</v>
      </c>
      <c r="AD2662">
        <v>0</v>
      </c>
      <c r="AE2662">
        <v>0</v>
      </c>
      <c r="AF2662">
        <v>0</v>
      </c>
      <c r="AG2662">
        <v>0</v>
      </c>
      <c r="AH2662">
        <v>0</v>
      </c>
    </row>
    <row r="2663" spans="2:34" x14ac:dyDescent="0.35">
      <c r="B2663" t="s">
        <v>566</v>
      </c>
      <c r="C2663">
        <v>45804</v>
      </c>
      <c r="F2663" t="s">
        <v>749</v>
      </c>
      <c r="H2663">
        <v>99.27</v>
      </c>
      <c r="O2663" t="s">
        <v>239</v>
      </c>
      <c r="P2663" t="s">
        <v>514</v>
      </c>
      <c r="Y2663">
        <v>2629</v>
      </c>
      <c r="Z2663" s="259" t="s">
        <v>630</v>
      </c>
      <c r="AA2663">
        <v>0</v>
      </c>
      <c r="AB2663">
        <v>0</v>
      </c>
      <c r="AC2663">
        <v>45804</v>
      </c>
      <c r="AD2663">
        <v>0</v>
      </c>
      <c r="AE2663">
        <v>0</v>
      </c>
      <c r="AF2663">
        <v>0</v>
      </c>
      <c r="AG2663">
        <v>0</v>
      </c>
      <c r="AH2663">
        <v>0</v>
      </c>
    </row>
    <row r="2664" spans="2:34" x14ac:dyDescent="0.35">
      <c r="B2664" t="s">
        <v>566</v>
      </c>
      <c r="C2664">
        <v>45804</v>
      </c>
      <c r="F2664" t="s">
        <v>752</v>
      </c>
      <c r="H2664">
        <v>192.2</v>
      </c>
      <c r="O2664" t="s">
        <v>239</v>
      </c>
      <c r="P2664" t="s">
        <v>514</v>
      </c>
      <c r="Y2664">
        <v>2630</v>
      </c>
      <c r="Z2664" s="259" t="s">
        <v>630</v>
      </c>
      <c r="AA2664">
        <v>0</v>
      </c>
      <c r="AB2664">
        <v>0</v>
      </c>
      <c r="AC2664">
        <v>45804</v>
      </c>
      <c r="AD2664">
        <v>0</v>
      </c>
      <c r="AE2664">
        <v>0</v>
      </c>
      <c r="AF2664">
        <v>0</v>
      </c>
      <c r="AG2664">
        <v>0</v>
      </c>
      <c r="AH2664">
        <v>0</v>
      </c>
    </row>
    <row r="2665" spans="2:34" x14ac:dyDescent="0.35">
      <c r="B2665" t="s">
        <v>566</v>
      </c>
      <c r="C2665">
        <v>45804</v>
      </c>
      <c r="F2665" t="s">
        <v>754</v>
      </c>
      <c r="H2665">
        <v>84.2</v>
      </c>
      <c r="O2665" t="s">
        <v>239</v>
      </c>
      <c r="P2665" t="s">
        <v>514</v>
      </c>
      <c r="Y2665">
        <v>2631</v>
      </c>
      <c r="Z2665" s="259" t="s">
        <v>630</v>
      </c>
      <c r="AA2665">
        <v>0</v>
      </c>
      <c r="AB2665">
        <v>0</v>
      </c>
      <c r="AC2665">
        <v>45804</v>
      </c>
      <c r="AD2665">
        <v>0</v>
      </c>
      <c r="AE2665">
        <v>0</v>
      </c>
      <c r="AF2665">
        <v>0</v>
      </c>
      <c r="AG2665">
        <v>0</v>
      </c>
      <c r="AH2665">
        <v>0</v>
      </c>
    </row>
    <row r="2666" spans="2:34" x14ac:dyDescent="0.35">
      <c r="B2666" t="s">
        <v>566</v>
      </c>
      <c r="C2666">
        <v>45805</v>
      </c>
      <c r="F2666" t="s">
        <v>749</v>
      </c>
      <c r="H2666">
        <v>99.2</v>
      </c>
      <c r="O2666" t="s">
        <v>239</v>
      </c>
      <c r="P2666" t="s">
        <v>514</v>
      </c>
      <c r="Y2666">
        <v>2632</v>
      </c>
      <c r="Z2666" s="259" t="s">
        <v>630</v>
      </c>
      <c r="AA2666">
        <v>0</v>
      </c>
      <c r="AB2666">
        <v>0</v>
      </c>
      <c r="AC2666">
        <v>45805</v>
      </c>
      <c r="AD2666">
        <v>0</v>
      </c>
      <c r="AE2666">
        <v>0</v>
      </c>
      <c r="AF2666">
        <v>0</v>
      </c>
      <c r="AG2666">
        <v>0</v>
      </c>
      <c r="AH2666">
        <v>0</v>
      </c>
    </row>
    <row r="2667" spans="2:34" x14ac:dyDescent="0.35">
      <c r="B2667" t="s">
        <v>566</v>
      </c>
      <c r="C2667">
        <v>45805</v>
      </c>
      <c r="F2667" t="s">
        <v>752</v>
      </c>
      <c r="H2667">
        <v>192.4</v>
      </c>
      <c r="O2667" t="s">
        <v>239</v>
      </c>
      <c r="P2667" t="s">
        <v>514</v>
      </c>
      <c r="Y2667">
        <v>2633</v>
      </c>
      <c r="Z2667" s="259" t="s">
        <v>630</v>
      </c>
      <c r="AA2667">
        <v>0</v>
      </c>
      <c r="AB2667">
        <v>0</v>
      </c>
      <c r="AC2667">
        <v>45805</v>
      </c>
      <c r="AD2667">
        <v>0</v>
      </c>
      <c r="AE2667">
        <v>0</v>
      </c>
      <c r="AF2667">
        <v>0</v>
      </c>
      <c r="AG2667">
        <v>0</v>
      </c>
      <c r="AH2667">
        <v>0</v>
      </c>
    </row>
    <row r="2668" spans="2:34" x14ac:dyDescent="0.35">
      <c r="B2668" t="s">
        <v>566</v>
      </c>
      <c r="C2668">
        <v>45805</v>
      </c>
      <c r="F2668" t="s">
        <v>754</v>
      </c>
      <c r="H2668">
        <v>84.4</v>
      </c>
      <c r="O2668" t="s">
        <v>239</v>
      </c>
      <c r="P2668" t="s">
        <v>514</v>
      </c>
      <c r="Y2668">
        <v>2634</v>
      </c>
      <c r="Z2668" s="259" t="s">
        <v>630</v>
      </c>
      <c r="AA2668">
        <v>0</v>
      </c>
      <c r="AB2668">
        <v>0</v>
      </c>
      <c r="AC2668">
        <v>45805</v>
      </c>
      <c r="AD2668">
        <v>0</v>
      </c>
      <c r="AE2668">
        <v>0</v>
      </c>
      <c r="AF2668">
        <v>0</v>
      </c>
      <c r="AG2668">
        <v>0</v>
      </c>
      <c r="AH2668">
        <v>0</v>
      </c>
    </row>
    <row r="2669" spans="2:34" x14ac:dyDescent="0.35">
      <c r="B2669" t="s">
        <v>566</v>
      </c>
      <c r="C2669">
        <v>45806</v>
      </c>
      <c r="F2669" t="s">
        <v>749</v>
      </c>
      <c r="H2669">
        <v>99.13</v>
      </c>
      <c r="O2669" t="s">
        <v>239</v>
      </c>
      <c r="P2669" t="s">
        <v>514</v>
      </c>
      <c r="Y2669">
        <v>2635</v>
      </c>
      <c r="Z2669" s="259" t="s">
        <v>630</v>
      </c>
      <c r="AA2669">
        <v>0</v>
      </c>
      <c r="AB2669">
        <v>0</v>
      </c>
      <c r="AC2669">
        <v>45806</v>
      </c>
      <c r="AD2669">
        <v>0</v>
      </c>
      <c r="AE2669">
        <v>0</v>
      </c>
      <c r="AF2669">
        <v>0</v>
      </c>
      <c r="AG2669">
        <v>0</v>
      </c>
      <c r="AH2669">
        <v>0</v>
      </c>
    </row>
    <row r="2670" spans="2:34" x14ac:dyDescent="0.35">
      <c r="B2670" t="s">
        <v>566</v>
      </c>
      <c r="C2670">
        <v>45806</v>
      </c>
      <c r="F2670" t="s">
        <v>752</v>
      </c>
      <c r="H2670">
        <v>192.6</v>
      </c>
      <c r="O2670" t="s">
        <v>239</v>
      </c>
      <c r="P2670" t="s">
        <v>514</v>
      </c>
      <c r="Y2670">
        <v>2636</v>
      </c>
      <c r="Z2670" s="259" t="s">
        <v>630</v>
      </c>
      <c r="AA2670">
        <v>0</v>
      </c>
      <c r="AB2670">
        <v>0</v>
      </c>
      <c r="AC2670">
        <v>45806</v>
      </c>
      <c r="AD2670">
        <v>0</v>
      </c>
      <c r="AE2670">
        <v>0</v>
      </c>
      <c r="AF2670">
        <v>0</v>
      </c>
      <c r="AG2670">
        <v>0</v>
      </c>
      <c r="AH2670">
        <v>0</v>
      </c>
    </row>
    <row r="2671" spans="2:34" x14ac:dyDescent="0.35">
      <c r="B2671" t="s">
        <v>566</v>
      </c>
      <c r="C2671">
        <v>45806</v>
      </c>
      <c r="F2671" t="s">
        <v>754</v>
      </c>
      <c r="H2671">
        <v>84.6</v>
      </c>
      <c r="O2671" t="s">
        <v>239</v>
      </c>
      <c r="P2671" t="s">
        <v>514</v>
      </c>
      <c r="Y2671">
        <v>2637</v>
      </c>
      <c r="Z2671" s="259" t="s">
        <v>630</v>
      </c>
      <c r="AA2671">
        <v>0</v>
      </c>
      <c r="AB2671">
        <v>0</v>
      </c>
      <c r="AC2671">
        <v>45806</v>
      </c>
      <c r="AD2671">
        <v>0</v>
      </c>
      <c r="AE2671">
        <v>0</v>
      </c>
      <c r="AF2671">
        <v>0</v>
      </c>
      <c r="AG2671">
        <v>0</v>
      </c>
      <c r="AH2671">
        <v>0</v>
      </c>
    </row>
    <row r="2672" spans="2:34" x14ac:dyDescent="0.35">
      <c r="B2672" t="s">
        <v>566</v>
      </c>
      <c r="C2672">
        <v>45807</v>
      </c>
      <c r="F2672" t="s">
        <v>749</v>
      </c>
      <c r="H2672">
        <v>99.07</v>
      </c>
      <c r="O2672" t="s">
        <v>239</v>
      </c>
      <c r="P2672" t="s">
        <v>514</v>
      </c>
      <c r="Y2672">
        <v>2638</v>
      </c>
      <c r="Z2672" s="259" t="s">
        <v>630</v>
      </c>
      <c r="AA2672">
        <v>0</v>
      </c>
      <c r="AB2672">
        <v>0</v>
      </c>
      <c r="AC2672">
        <v>45807</v>
      </c>
      <c r="AD2672">
        <v>0</v>
      </c>
      <c r="AE2672">
        <v>0</v>
      </c>
      <c r="AF2672">
        <v>0</v>
      </c>
      <c r="AG2672">
        <v>0</v>
      </c>
      <c r="AH2672">
        <v>0</v>
      </c>
    </row>
    <row r="2673" spans="2:34" x14ac:dyDescent="0.35">
      <c r="B2673" t="s">
        <v>566</v>
      </c>
      <c r="C2673">
        <v>45807</v>
      </c>
      <c r="F2673" t="s">
        <v>752</v>
      </c>
      <c r="H2673">
        <v>192.8</v>
      </c>
      <c r="O2673" t="s">
        <v>239</v>
      </c>
      <c r="P2673" t="s">
        <v>514</v>
      </c>
      <c r="Y2673">
        <v>2639</v>
      </c>
      <c r="Z2673" s="259" t="s">
        <v>630</v>
      </c>
      <c r="AA2673">
        <v>0</v>
      </c>
      <c r="AB2673">
        <v>0</v>
      </c>
      <c r="AC2673">
        <v>45807</v>
      </c>
      <c r="AD2673">
        <v>0</v>
      </c>
      <c r="AE2673">
        <v>0</v>
      </c>
      <c r="AF2673">
        <v>0</v>
      </c>
      <c r="AG2673">
        <v>0</v>
      </c>
      <c r="AH2673">
        <v>0</v>
      </c>
    </row>
    <row r="2674" spans="2:34" x14ac:dyDescent="0.35">
      <c r="B2674" t="s">
        <v>566</v>
      </c>
      <c r="C2674">
        <v>45807</v>
      </c>
      <c r="F2674" t="s">
        <v>754</v>
      </c>
      <c r="H2674">
        <v>84.8</v>
      </c>
      <c r="O2674" t="s">
        <v>239</v>
      </c>
      <c r="P2674" t="s">
        <v>514</v>
      </c>
      <c r="Y2674">
        <v>2640</v>
      </c>
      <c r="Z2674" s="259" t="s">
        <v>630</v>
      </c>
      <c r="AA2674">
        <v>0</v>
      </c>
      <c r="AB2674">
        <v>0</v>
      </c>
      <c r="AC2674">
        <v>45807</v>
      </c>
      <c r="AD2674">
        <v>0</v>
      </c>
      <c r="AE2674">
        <v>0</v>
      </c>
      <c r="AF2674">
        <v>0</v>
      </c>
      <c r="AG2674">
        <v>0</v>
      </c>
      <c r="AH2674">
        <v>0</v>
      </c>
    </row>
    <row r="2675" spans="2:34" x14ac:dyDescent="0.35">
      <c r="B2675" t="s">
        <v>566</v>
      </c>
      <c r="C2675">
        <v>45808</v>
      </c>
      <c r="F2675" t="s">
        <v>749</v>
      </c>
      <c r="H2675">
        <v>99.07</v>
      </c>
      <c r="O2675" t="s">
        <v>239</v>
      </c>
      <c r="P2675" t="s">
        <v>514</v>
      </c>
      <c r="Y2675">
        <v>2641</v>
      </c>
      <c r="Z2675" s="259" t="s">
        <v>630</v>
      </c>
      <c r="AA2675">
        <v>0</v>
      </c>
      <c r="AB2675">
        <v>0</v>
      </c>
      <c r="AC2675">
        <v>45807</v>
      </c>
      <c r="AD2675">
        <v>1</v>
      </c>
      <c r="AE2675">
        <v>0</v>
      </c>
      <c r="AF2675">
        <v>0</v>
      </c>
      <c r="AG2675">
        <v>0</v>
      </c>
      <c r="AH2675">
        <v>0</v>
      </c>
    </row>
    <row r="2676" spans="2:34" x14ac:dyDescent="0.35">
      <c r="B2676" t="s">
        <v>566</v>
      </c>
      <c r="C2676">
        <v>45808</v>
      </c>
      <c r="F2676" t="s">
        <v>752</v>
      </c>
      <c r="H2676">
        <v>192.8</v>
      </c>
      <c r="O2676" t="s">
        <v>239</v>
      </c>
      <c r="P2676" t="s">
        <v>514</v>
      </c>
      <c r="Y2676">
        <v>2642</v>
      </c>
      <c r="Z2676" s="259" t="s">
        <v>630</v>
      </c>
      <c r="AA2676">
        <v>0</v>
      </c>
      <c r="AB2676">
        <v>0</v>
      </c>
      <c r="AC2676">
        <v>45807</v>
      </c>
      <c r="AD2676">
        <v>1</v>
      </c>
      <c r="AE2676">
        <v>0</v>
      </c>
      <c r="AF2676">
        <v>0</v>
      </c>
      <c r="AG2676">
        <v>0</v>
      </c>
      <c r="AH2676">
        <v>0</v>
      </c>
    </row>
    <row r="2677" spans="2:34" x14ac:dyDescent="0.35">
      <c r="B2677" t="s">
        <v>566</v>
      </c>
      <c r="C2677">
        <v>45808</v>
      </c>
      <c r="F2677" t="s">
        <v>754</v>
      </c>
      <c r="H2677">
        <v>84.8</v>
      </c>
      <c r="O2677" t="s">
        <v>239</v>
      </c>
      <c r="P2677" t="s">
        <v>514</v>
      </c>
      <c r="Y2677">
        <v>2643</v>
      </c>
      <c r="Z2677" s="259" t="s">
        <v>630</v>
      </c>
      <c r="AA2677">
        <v>0</v>
      </c>
      <c r="AB2677">
        <v>0</v>
      </c>
      <c r="AC2677">
        <v>45807</v>
      </c>
      <c r="AD2677">
        <v>1</v>
      </c>
      <c r="AE2677">
        <v>0</v>
      </c>
      <c r="AF2677">
        <v>0</v>
      </c>
      <c r="AG2677">
        <v>0</v>
      </c>
      <c r="AH2677">
        <v>0</v>
      </c>
    </row>
    <row r="2678" spans="2:34" x14ac:dyDescent="0.35">
      <c r="B2678" t="s">
        <v>566</v>
      </c>
      <c r="C2678">
        <v>45809</v>
      </c>
      <c r="F2678" t="s">
        <v>749</v>
      </c>
      <c r="H2678">
        <v>99.07</v>
      </c>
      <c r="O2678" t="s">
        <v>239</v>
      </c>
      <c r="P2678" t="s">
        <v>514</v>
      </c>
      <c r="Y2678">
        <v>2644</v>
      </c>
      <c r="Z2678" s="259" t="s">
        <v>630</v>
      </c>
      <c r="AA2678">
        <v>0</v>
      </c>
      <c r="AB2678">
        <v>0</v>
      </c>
      <c r="AC2678">
        <v>45807</v>
      </c>
      <c r="AD2678">
        <v>2</v>
      </c>
      <c r="AE2678">
        <v>0</v>
      </c>
      <c r="AF2678">
        <v>0</v>
      </c>
      <c r="AG2678">
        <v>0</v>
      </c>
      <c r="AH2678">
        <v>0</v>
      </c>
    </row>
    <row r="2679" spans="2:34" x14ac:dyDescent="0.35">
      <c r="B2679" t="s">
        <v>566</v>
      </c>
      <c r="C2679">
        <v>45809</v>
      </c>
      <c r="F2679" t="s">
        <v>752</v>
      </c>
      <c r="H2679">
        <v>192.8</v>
      </c>
      <c r="O2679" t="s">
        <v>239</v>
      </c>
      <c r="P2679" t="s">
        <v>514</v>
      </c>
      <c r="Y2679">
        <v>2645</v>
      </c>
      <c r="Z2679" s="259" t="s">
        <v>630</v>
      </c>
      <c r="AA2679">
        <v>0</v>
      </c>
      <c r="AB2679">
        <v>0</v>
      </c>
      <c r="AC2679">
        <v>45807</v>
      </c>
      <c r="AD2679">
        <v>2</v>
      </c>
      <c r="AE2679">
        <v>0</v>
      </c>
      <c r="AF2679">
        <v>0</v>
      </c>
      <c r="AG2679">
        <v>0</v>
      </c>
      <c r="AH2679">
        <v>0</v>
      </c>
    </row>
    <row r="2680" spans="2:34" x14ac:dyDescent="0.35">
      <c r="B2680" t="s">
        <v>566</v>
      </c>
      <c r="C2680">
        <v>45809</v>
      </c>
      <c r="F2680" t="s">
        <v>754</v>
      </c>
      <c r="H2680">
        <v>84.8</v>
      </c>
      <c r="O2680" t="s">
        <v>239</v>
      </c>
      <c r="P2680" t="s">
        <v>514</v>
      </c>
      <c r="Y2680">
        <v>2646</v>
      </c>
      <c r="Z2680" s="259" t="s">
        <v>630</v>
      </c>
      <c r="AA2680">
        <v>0</v>
      </c>
      <c r="AB2680">
        <v>0</v>
      </c>
      <c r="AC2680">
        <v>45807</v>
      </c>
      <c r="AD2680">
        <v>2</v>
      </c>
      <c r="AE2680">
        <v>0</v>
      </c>
      <c r="AF2680">
        <v>0</v>
      </c>
      <c r="AG2680">
        <v>0</v>
      </c>
      <c r="AH2680">
        <v>0</v>
      </c>
    </row>
    <row r="2681" spans="2:34" x14ac:dyDescent="0.35">
      <c r="B2681" t="s">
        <v>566</v>
      </c>
      <c r="C2681">
        <v>45810</v>
      </c>
      <c r="F2681" t="s">
        <v>749</v>
      </c>
      <c r="H2681">
        <v>99.41</v>
      </c>
      <c r="O2681" t="s">
        <v>239</v>
      </c>
      <c r="P2681" t="s">
        <v>514</v>
      </c>
      <c r="Y2681">
        <v>2647</v>
      </c>
      <c r="Z2681" s="259" t="s">
        <v>630</v>
      </c>
      <c r="AA2681">
        <v>0</v>
      </c>
      <c r="AB2681">
        <v>0</v>
      </c>
      <c r="AC2681">
        <v>45810</v>
      </c>
      <c r="AD2681">
        <v>0</v>
      </c>
      <c r="AE2681">
        <v>0</v>
      </c>
      <c r="AF2681">
        <v>0</v>
      </c>
      <c r="AG2681">
        <v>0</v>
      </c>
      <c r="AH2681">
        <v>0</v>
      </c>
    </row>
    <row r="2682" spans="2:34" x14ac:dyDescent="0.35">
      <c r="B2682" t="s">
        <v>566</v>
      </c>
      <c r="C2682">
        <v>45810</v>
      </c>
      <c r="F2682" t="s">
        <v>752</v>
      </c>
      <c r="H2682">
        <v>192.62</v>
      </c>
      <c r="O2682" t="s">
        <v>239</v>
      </c>
      <c r="P2682" t="s">
        <v>514</v>
      </c>
      <c r="Y2682">
        <v>2648</v>
      </c>
      <c r="Z2682" s="259" t="s">
        <v>630</v>
      </c>
      <c r="AA2682">
        <v>0</v>
      </c>
      <c r="AB2682">
        <v>0</v>
      </c>
      <c r="AC2682">
        <v>45810</v>
      </c>
      <c r="AD2682">
        <v>0</v>
      </c>
      <c r="AE2682">
        <v>0</v>
      </c>
      <c r="AF2682">
        <v>0</v>
      </c>
      <c r="AG2682">
        <v>0</v>
      </c>
      <c r="AH2682">
        <v>0</v>
      </c>
    </row>
    <row r="2683" spans="2:34" x14ac:dyDescent="0.35">
      <c r="B2683" t="s">
        <v>566</v>
      </c>
      <c r="C2683">
        <v>45810</v>
      </c>
      <c r="F2683" t="s">
        <v>754</v>
      </c>
      <c r="H2683">
        <v>84.86</v>
      </c>
      <c r="O2683" t="s">
        <v>239</v>
      </c>
      <c r="P2683" t="s">
        <v>514</v>
      </c>
      <c r="Y2683">
        <v>2649</v>
      </c>
      <c r="Z2683" s="259" t="s">
        <v>630</v>
      </c>
      <c r="AA2683">
        <v>0</v>
      </c>
      <c r="AB2683">
        <v>0</v>
      </c>
      <c r="AC2683">
        <v>45810</v>
      </c>
      <c r="AD2683">
        <v>0</v>
      </c>
      <c r="AE2683">
        <v>0</v>
      </c>
      <c r="AF2683">
        <v>0</v>
      </c>
      <c r="AG2683">
        <v>0</v>
      </c>
      <c r="AH2683">
        <v>0</v>
      </c>
    </row>
    <row r="2684" spans="2:34" x14ac:dyDescent="0.35">
      <c r="B2684" t="s">
        <v>566</v>
      </c>
      <c r="C2684">
        <v>45811</v>
      </c>
      <c r="F2684" t="s">
        <v>749</v>
      </c>
      <c r="H2684">
        <v>99.83</v>
      </c>
      <c r="O2684" t="s">
        <v>239</v>
      </c>
      <c r="P2684" t="s">
        <v>514</v>
      </c>
      <c r="Y2684">
        <v>2650</v>
      </c>
      <c r="Z2684" s="259" t="s">
        <v>630</v>
      </c>
      <c r="AA2684">
        <v>0</v>
      </c>
      <c r="AB2684">
        <v>0</v>
      </c>
      <c r="AC2684">
        <v>45811</v>
      </c>
      <c r="AD2684">
        <v>0</v>
      </c>
      <c r="AE2684">
        <v>0</v>
      </c>
      <c r="AF2684">
        <v>0</v>
      </c>
      <c r="AG2684">
        <v>0</v>
      </c>
      <c r="AH2684">
        <v>0</v>
      </c>
    </row>
    <row r="2685" spans="2:34" x14ac:dyDescent="0.35">
      <c r="B2685" t="s">
        <v>566</v>
      </c>
      <c r="C2685">
        <v>45811</v>
      </c>
      <c r="F2685" t="s">
        <v>752</v>
      </c>
      <c r="H2685">
        <v>192.24</v>
      </c>
      <c r="O2685" t="s">
        <v>239</v>
      </c>
      <c r="P2685" t="s">
        <v>514</v>
      </c>
      <c r="Y2685">
        <v>2651</v>
      </c>
      <c r="Z2685" s="259" t="s">
        <v>630</v>
      </c>
      <c r="AA2685">
        <v>0</v>
      </c>
      <c r="AB2685">
        <v>0</v>
      </c>
      <c r="AC2685">
        <v>45811</v>
      </c>
      <c r="AD2685">
        <v>0</v>
      </c>
      <c r="AE2685">
        <v>0</v>
      </c>
      <c r="AF2685">
        <v>0</v>
      </c>
      <c r="AG2685">
        <v>0</v>
      </c>
      <c r="AH2685">
        <v>0</v>
      </c>
    </row>
    <row r="2686" spans="2:34" x14ac:dyDescent="0.35">
      <c r="B2686" t="s">
        <v>566</v>
      </c>
      <c r="C2686">
        <v>45811</v>
      </c>
      <c r="F2686" t="s">
        <v>754</v>
      </c>
      <c r="H2686">
        <v>84.72</v>
      </c>
      <c r="O2686" t="s">
        <v>239</v>
      </c>
      <c r="P2686" t="s">
        <v>514</v>
      </c>
      <c r="Y2686">
        <v>2652</v>
      </c>
      <c r="Z2686" s="259" t="s">
        <v>630</v>
      </c>
      <c r="AA2686">
        <v>0</v>
      </c>
      <c r="AB2686">
        <v>0</v>
      </c>
      <c r="AC2686">
        <v>45811</v>
      </c>
      <c r="AD2686">
        <v>0</v>
      </c>
      <c r="AE2686">
        <v>0</v>
      </c>
      <c r="AF2686">
        <v>0</v>
      </c>
      <c r="AG2686">
        <v>0</v>
      </c>
      <c r="AH2686">
        <v>0</v>
      </c>
    </row>
    <row r="2687" spans="2:34" x14ac:dyDescent="0.35">
      <c r="B2687" t="s">
        <v>566</v>
      </c>
      <c r="C2687">
        <v>45812</v>
      </c>
      <c r="F2687" t="s">
        <v>749</v>
      </c>
      <c r="H2687">
        <v>100.24</v>
      </c>
      <c r="O2687" t="s">
        <v>239</v>
      </c>
      <c r="P2687" t="s">
        <v>514</v>
      </c>
      <c r="Y2687">
        <v>2653</v>
      </c>
      <c r="Z2687" s="259" t="s">
        <v>630</v>
      </c>
      <c r="AA2687">
        <v>0</v>
      </c>
      <c r="AB2687">
        <v>0</v>
      </c>
      <c r="AC2687">
        <v>45812</v>
      </c>
      <c r="AD2687">
        <v>0</v>
      </c>
      <c r="AE2687">
        <v>0</v>
      </c>
      <c r="AF2687">
        <v>0</v>
      </c>
      <c r="AG2687">
        <v>0</v>
      </c>
      <c r="AH2687">
        <v>0</v>
      </c>
    </row>
    <row r="2688" spans="2:34" x14ac:dyDescent="0.35">
      <c r="B2688" t="s">
        <v>566</v>
      </c>
      <c r="C2688">
        <v>45812</v>
      </c>
      <c r="F2688" t="s">
        <v>752</v>
      </c>
      <c r="H2688">
        <v>191.86</v>
      </c>
      <c r="O2688" t="s">
        <v>239</v>
      </c>
      <c r="P2688" t="s">
        <v>514</v>
      </c>
      <c r="Y2688">
        <v>2654</v>
      </c>
      <c r="Z2688" s="259" t="s">
        <v>630</v>
      </c>
      <c r="AA2688">
        <v>0</v>
      </c>
      <c r="AB2688">
        <v>0</v>
      </c>
      <c r="AC2688">
        <v>45812</v>
      </c>
      <c r="AD2688">
        <v>0</v>
      </c>
      <c r="AE2688">
        <v>0</v>
      </c>
      <c r="AF2688">
        <v>0</v>
      </c>
      <c r="AG2688">
        <v>0</v>
      </c>
      <c r="AH2688">
        <v>0</v>
      </c>
    </row>
    <row r="2689" spans="2:34" x14ac:dyDescent="0.35">
      <c r="B2689" t="s">
        <v>566</v>
      </c>
      <c r="C2689">
        <v>45812</v>
      </c>
      <c r="F2689" t="s">
        <v>754</v>
      </c>
      <c r="H2689">
        <v>84.59</v>
      </c>
      <c r="O2689" t="s">
        <v>239</v>
      </c>
      <c r="P2689" t="s">
        <v>514</v>
      </c>
      <c r="Y2689">
        <v>2655</v>
      </c>
      <c r="Z2689" s="259" t="s">
        <v>630</v>
      </c>
      <c r="AA2689">
        <v>0</v>
      </c>
      <c r="AB2689">
        <v>0</v>
      </c>
      <c r="AC2689">
        <v>45812</v>
      </c>
      <c r="AD2689">
        <v>0</v>
      </c>
      <c r="AE2689">
        <v>0</v>
      </c>
      <c r="AF2689">
        <v>0</v>
      </c>
      <c r="AG2689">
        <v>0</v>
      </c>
      <c r="AH2689">
        <v>0</v>
      </c>
    </row>
    <row r="2690" spans="2:34" x14ac:dyDescent="0.35">
      <c r="B2690" t="s">
        <v>566</v>
      </c>
      <c r="C2690">
        <v>45813</v>
      </c>
      <c r="F2690" t="s">
        <v>749</v>
      </c>
      <c r="H2690">
        <v>100.66</v>
      </c>
      <c r="O2690" t="s">
        <v>239</v>
      </c>
      <c r="P2690" t="s">
        <v>514</v>
      </c>
      <c r="Y2690">
        <v>2656</v>
      </c>
      <c r="Z2690" s="259" t="s">
        <v>630</v>
      </c>
      <c r="AA2690">
        <v>0</v>
      </c>
      <c r="AB2690">
        <v>0</v>
      </c>
      <c r="AC2690">
        <v>45813</v>
      </c>
      <c r="AD2690">
        <v>0</v>
      </c>
      <c r="AE2690">
        <v>0</v>
      </c>
      <c r="AF2690">
        <v>0</v>
      </c>
      <c r="AG2690">
        <v>0</v>
      </c>
      <c r="AH2690">
        <v>0</v>
      </c>
    </row>
    <row r="2691" spans="2:34" x14ac:dyDescent="0.35">
      <c r="B2691" t="s">
        <v>566</v>
      </c>
      <c r="C2691">
        <v>45813</v>
      </c>
      <c r="F2691" t="s">
        <v>752</v>
      </c>
      <c r="H2691">
        <v>191.48</v>
      </c>
      <c r="O2691" t="s">
        <v>239</v>
      </c>
      <c r="P2691" t="s">
        <v>514</v>
      </c>
      <c r="Y2691">
        <v>2657</v>
      </c>
      <c r="Z2691" s="259" t="s">
        <v>630</v>
      </c>
      <c r="AA2691">
        <v>0</v>
      </c>
      <c r="AB2691">
        <v>0</v>
      </c>
      <c r="AC2691">
        <v>45813</v>
      </c>
      <c r="AD2691">
        <v>0</v>
      </c>
      <c r="AE2691">
        <v>0</v>
      </c>
      <c r="AF2691">
        <v>0</v>
      </c>
      <c r="AG2691">
        <v>0</v>
      </c>
      <c r="AH2691">
        <v>0</v>
      </c>
    </row>
    <row r="2692" spans="2:34" x14ac:dyDescent="0.35">
      <c r="B2692" t="s">
        <v>566</v>
      </c>
      <c r="C2692">
        <v>45813</v>
      </c>
      <c r="F2692" t="s">
        <v>754</v>
      </c>
      <c r="H2692">
        <v>84.45</v>
      </c>
      <c r="O2692" t="s">
        <v>239</v>
      </c>
      <c r="P2692" t="s">
        <v>514</v>
      </c>
      <c r="Y2692">
        <v>2658</v>
      </c>
      <c r="Z2692" s="259" t="s">
        <v>630</v>
      </c>
      <c r="AA2692">
        <v>0</v>
      </c>
      <c r="AB2692">
        <v>0</v>
      </c>
      <c r="AC2692">
        <v>45813</v>
      </c>
      <c r="AD2692">
        <v>0</v>
      </c>
      <c r="AE2692">
        <v>0</v>
      </c>
      <c r="AF2692">
        <v>0</v>
      </c>
      <c r="AG2692">
        <v>0</v>
      </c>
      <c r="AH2692">
        <v>0</v>
      </c>
    </row>
    <row r="2693" spans="2:34" x14ac:dyDescent="0.35">
      <c r="B2693" t="s">
        <v>566</v>
      </c>
      <c r="C2693">
        <v>45814</v>
      </c>
      <c r="F2693" t="s">
        <v>749</v>
      </c>
      <c r="H2693">
        <v>101.07</v>
      </c>
      <c r="O2693" t="s">
        <v>239</v>
      </c>
      <c r="P2693" t="s">
        <v>514</v>
      </c>
      <c r="Y2693">
        <v>2659</v>
      </c>
      <c r="Z2693" s="259" t="s">
        <v>630</v>
      </c>
      <c r="AA2693">
        <v>0</v>
      </c>
      <c r="AB2693">
        <v>0</v>
      </c>
      <c r="AC2693">
        <v>45814</v>
      </c>
      <c r="AD2693">
        <v>0</v>
      </c>
      <c r="AE2693">
        <v>0</v>
      </c>
      <c r="AF2693">
        <v>0</v>
      </c>
      <c r="AG2693">
        <v>0</v>
      </c>
      <c r="AH2693">
        <v>0</v>
      </c>
    </row>
    <row r="2694" spans="2:34" x14ac:dyDescent="0.35">
      <c r="B2694" t="s">
        <v>566</v>
      </c>
      <c r="C2694">
        <v>45814</v>
      </c>
      <c r="F2694" t="s">
        <v>752</v>
      </c>
      <c r="H2694">
        <v>191.1</v>
      </c>
      <c r="O2694" t="s">
        <v>239</v>
      </c>
      <c r="P2694" t="s">
        <v>514</v>
      </c>
      <c r="Y2694">
        <v>2660</v>
      </c>
      <c r="Z2694" s="259" t="s">
        <v>630</v>
      </c>
      <c r="AA2694">
        <v>0</v>
      </c>
      <c r="AB2694">
        <v>0</v>
      </c>
      <c r="AC2694">
        <v>45814</v>
      </c>
      <c r="AD2694">
        <v>0</v>
      </c>
      <c r="AE2694">
        <v>0</v>
      </c>
      <c r="AF2694">
        <v>0</v>
      </c>
      <c r="AG2694">
        <v>0</v>
      </c>
      <c r="AH2694">
        <v>0</v>
      </c>
    </row>
    <row r="2695" spans="2:34" x14ac:dyDescent="0.35">
      <c r="B2695" t="s">
        <v>566</v>
      </c>
      <c r="C2695">
        <v>45814</v>
      </c>
      <c r="F2695" t="s">
        <v>754</v>
      </c>
      <c r="H2695">
        <v>84.31</v>
      </c>
      <c r="O2695" t="s">
        <v>239</v>
      </c>
      <c r="P2695" t="s">
        <v>514</v>
      </c>
      <c r="Y2695">
        <v>2661</v>
      </c>
      <c r="Z2695" s="259" t="s">
        <v>630</v>
      </c>
      <c r="AA2695">
        <v>0</v>
      </c>
      <c r="AB2695">
        <v>0</v>
      </c>
      <c r="AC2695">
        <v>45814</v>
      </c>
      <c r="AD2695">
        <v>0</v>
      </c>
      <c r="AE2695">
        <v>0</v>
      </c>
      <c r="AF2695">
        <v>0</v>
      </c>
      <c r="AG2695">
        <v>0</v>
      </c>
      <c r="AH2695">
        <v>0</v>
      </c>
    </row>
    <row r="2696" spans="2:34" x14ac:dyDescent="0.35">
      <c r="B2696" t="s">
        <v>566</v>
      </c>
      <c r="C2696">
        <v>45815</v>
      </c>
      <c r="F2696" t="s">
        <v>749</v>
      </c>
      <c r="H2696">
        <v>101.07</v>
      </c>
      <c r="O2696" t="s">
        <v>239</v>
      </c>
      <c r="P2696" t="s">
        <v>514</v>
      </c>
      <c r="Y2696">
        <v>2662</v>
      </c>
      <c r="Z2696" s="259" t="s">
        <v>630</v>
      </c>
      <c r="AA2696">
        <v>0</v>
      </c>
      <c r="AB2696">
        <v>0</v>
      </c>
      <c r="AC2696">
        <v>45814</v>
      </c>
      <c r="AD2696">
        <v>1</v>
      </c>
      <c r="AE2696">
        <v>0</v>
      </c>
      <c r="AF2696">
        <v>0</v>
      </c>
      <c r="AG2696">
        <v>0</v>
      </c>
      <c r="AH2696">
        <v>0</v>
      </c>
    </row>
    <row r="2697" spans="2:34" x14ac:dyDescent="0.35">
      <c r="B2697" t="s">
        <v>566</v>
      </c>
      <c r="C2697">
        <v>45815</v>
      </c>
      <c r="F2697" t="s">
        <v>752</v>
      </c>
      <c r="H2697">
        <v>191.1</v>
      </c>
      <c r="O2697" t="s">
        <v>239</v>
      </c>
      <c r="P2697" t="s">
        <v>514</v>
      </c>
      <c r="Y2697">
        <v>2663</v>
      </c>
      <c r="Z2697" s="259" t="s">
        <v>630</v>
      </c>
      <c r="AA2697">
        <v>0</v>
      </c>
      <c r="AB2697">
        <v>0</v>
      </c>
      <c r="AC2697">
        <v>45814</v>
      </c>
      <c r="AD2697">
        <v>1</v>
      </c>
      <c r="AE2697">
        <v>0</v>
      </c>
      <c r="AF2697">
        <v>0</v>
      </c>
      <c r="AG2697">
        <v>0</v>
      </c>
      <c r="AH2697">
        <v>0</v>
      </c>
    </row>
    <row r="2698" spans="2:34" x14ac:dyDescent="0.35">
      <c r="B2698" t="s">
        <v>566</v>
      </c>
      <c r="C2698">
        <v>45815</v>
      </c>
      <c r="F2698" t="s">
        <v>754</v>
      </c>
      <c r="H2698">
        <v>84.31</v>
      </c>
      <c r="O2698" t="s">
        <v>239</v>
      </c>
      <c r="P2698" t="s">
        <v>514</v>
      </c>
      <c r="Y2698">
        <v>2664</v>
      </c>
      <c r="Z2698" s="259" t="s">
        <v>630</v>
      </c>
      <c r="AA2698">
        <v>0</v>
      </c>
      <c r="AB2698">
        <v>0</v>
      </c>
      <c r="AC2698">
        <v>45814</v>
      </c>
      <c r="AD2698">
        <v>1</v>
      </c>
      <c r="AE2698">
        <v>0</v>
      </c>
      <c r="AF2698">
        <v>0</v>
      </c>
      <c r="AG2698">
        <v>0</v>
      </c>
      <c r="AH2698">
        <v>0</v>
      </c>
    </row>
    <row r="2699" spans="2:34" x14ac:dyDescent="0.35">
      <c r="B2699" t="s">
        <v>566</v>
      </c>
      <c r="C2699">
        <v>45816</v>
      </c>
      <c r="F2699" t="s">
        <v>749</v>
      </c>
      <c r="H2699">
        <v>101.07</v>
      </c>
      <c r="O2699" t="s">
        <v>239</v>
      </c>
      <c r="P2699" t="s">
        <v>514</v>
      </c>
      <c r="Y2699">
        <v>2665</v>
      </c>
      <c r="Z2699" s="259" t="s">
        <v>630</v>
      </c>
      <c r="AA2699">
        <v>0</v>
      </c>
      <c r="AB2699">
        <v>0</v>
      </c>
      <c r="AC2699">
        <v>45814</v>
      </c>
      <c r="AD2699">
        <v>2</v>
      </c>
      <c r="AE2699">
        <v>0</v>
      </c>
      <c r="AF2699">
        <v>0</v>
      </c>
      <c r="AG2699">
        <v>0</v>
      </c>
      <c r="AH2699">
        <v>0</v>
      </c>
    </row>
    <row r="2700" spans="2:34" x14ac:dyDescent="0.35">
      <c r="B2700" t="s">
        <v>566</v>
      </c>
      <c r="C2700">
        <v>45816</v>
      </c>
      <c r="F2700" t="s">
        <v>752</v>
      </c>
      <c r="H2700">
        <v>191.1</v>
      </c>
      <c r="O2700" t="s">
        <v>239</v>
      </c>
      <c r="P2700" t="s">
        <v>514</v>
      </c>
      <c r="Y2700">
        <v>2666</v>
      </c>
      <c r="Z2700" s="259" t="s">
        <v>630</v>
      </c>
      <c r="AA2700">
        <v>0</v>
      </c>
      <c r="AB2700">
        <v>0</v>
      </c>
      <c r="AC2700">
        <v>45814</v>
      </c>
      <c r="AD2700">
        <v>2</v>
      </c>
      <c r="AE2700">
        <v>0</v>
      </c>
      <c r="AF2700">
        <v>0</v>
      </c>
      <c r="AG2700">
        <v>0</v>
      </c>
      <c r="AH2700">
        <v>0</v>
      </c>
    </row>
    <row r="2701" spans="2:34" x14ac:dyDescent="0.35">
      <c r="B2701" t="s">
        <v>566</v>
      </c>
      <c r="C2701">
        <v>45816</v>
      </c>
      <c r="F2701" t="s">
        <v>754</v>
      </c>
      <c r="H2701">
        <v>84.31</v>
      </c>
      <c r="O2701" t="s">
        <v>239</v>
      </c>
      <c r="P2701" t="s">
        <v>514</v>
      </c>
      <c r="Y2701">
        <v>2667</v>
      </c>
      <c r="Z2701" s="259" t="s">
        <v>630</v>
      </c>
      <c r="AA2701">
        <v>0</v>
      </c>
      <c r="AB2701">
        <v>0</v>
      </c>
      <c r="AC2701">
        <v>45814</v>
      </c>
      <c r="AD2701">
        <v>2</v>
      </c>
      <c r="AE2701">
        <v>0</v>
      </c>
      <c r="AF2701">
        <v>0</v>
      </c>
      <c r="AG2701">
        <v>0</v>
      </c>
      <c r="AH2701">
        <v>0</v>
      </c>
    </row>
    <row r="2702" spans="2:34" x14ac:dyDescent="0.35">
      <c r="B2702" t="s">
        <v>566</v>
      </c>
      <c r="C2702">
        <v>45817</v>
      </c>
      <c r="F2702" t="s">
        <v>749</v>
      </c>
      <c r="H2702">
        <v>102.31</v>
      </c>
      <c r="O2702" t="s">
        <v>239</v>
      </c>
      <c r="P2702" t="s">
        <v>514</v>
      </c>
      <c r="Y2702">
        <v>2668</v>
      </c>
      <c r="Z2702" s="259" t="s">
        <v>630</v>
      </c>
      <c r="AA2702">
        <v>0</v>
      </c>
      <c r="AB2702">
        <v>0</v>
      </c>
      <c r="AC2702">
        <v>45817</v>
      </c>
      <c r="AD2702">
        <v>0</v>
      </c>
      <c r="AE2702">
        <v>0</v>
      </c>
      <c r="AF2702">
        <v>0</v>
      </c>
      <c r="AG2702">
        <v>0</v>
      </c>
      <c r="AH2702">
        <v>0</v>
      </c>
    </row>
    <row r="2703" spans="2:34" x14ac:dyDescent="0.35">
      <c r="B2703" t="s">
        <v>566</v>
      </c>
      <c r="C2703">
        <v>45817</v>
      </c>
      <c r="F2703" t="s">
        <v>752</v>
      </c>
      <c r="H2703">
        <v>189.97</v>
      </c>
      <c r="O2703" t="s">
        <v>239</v>
      </c>
      <c r="P2703" t="s">
        <v>514</v>
      </c>
      <c r="Y2703">
        <v>2669</v>
      </c>
      <c r="Z2703" s="259" t="s">
        <v>630</v>
      </c>
      <c r="AA2703">
        <v>0</v>
      </c>
      <c r="AB2703">
        <v>0</v>
      </c>
      <c r="AC2703">
        <v>45817</v>
      </c>
      <c r="AD2703">
        <v>0</v>
      </c>
      <c r="AE2703">
        <v>0</v>
      </c>
      <c r="AF2703">
        <v>0</v>
      </c>
      <c r="AG2703">
        <v>0</v>
      </c>
      <c r="AH2703">
        <v>0</v>
      </c>
    </row>
    <row r="2704" spans="2:34" x14ac:dyDescent="0.35">
      <c r="B2704" t="s">
        <v>566</v>
      </c>
      <c r="C2704">
        <v>45817</v>
      </c>
      <c r="F2704" t="s">
        <v>754</v>
      </c>
      <c r="H2704">
        <v>83.9</v>
      </c>
      <c r="O2704" t="s">
        <v>239</v>
      </c>
      <c r="P2704" t="s">
        <v>514</v>
      </c>
      <c r="Y2704">
        <v>2670</v>
      </c>
      <c r="Z2704" s="259" t="s">
        <v>630</v>
      </c>
      <c r="AA2704">
        <v>0</v>
      </c>
      <c r="AB2704">
        <v>0</v>
      </c>
      <c r="AC2704">
        <v>45817</v>
      </c>
      <c r="AD2704">
        <v>0</v>
      </c>
      <c r="AE2704">
        <v>0</v>
      </c>
      <c r="AF2704">
        <v>0</v>
      </c>
      <c r="AG2704">
        <v>0</v>
      </c>
      <c r="AH2704">
        <v>0</v>
      </c>
    </row>
    <row r="2705" spans="2:34" x14ac:dyDescent="0.35">
      <c r="B2705" t="s">
        <v>566</v>
      </c>
      <c r="C2705">
        <v>45818</v>
      </c>
      <c r="F2705" t="s">
        <v>749</v>
      </c>
      <c r="H2705">
        <v>102.72</v>
      </c>
      <c r="O2705" t="s">
        <v>239</v>
      </c>
      <c r="P2705" t="s">
        <v>514</v>
      </c>
      <c r="Y2705">
        <v>2671</v>
      </c>
      <c r="Z2705" s="259" t="s">
        <v>630</v>
      </c>
      <c r="AA2705">
        <v>0</v>
      </c>
      <c r="AB2705">
        <v>0</v>
      </c>
      <c r="AC2705">
        <v>45818</v>
      </c>
      <c r="AD2705">
        <v>0</v>
      </c>
      <c r="AE2705">
        <v>0</v>
      </c>
      <c r="AF2705">
        <v>0</v>
      </c>
      <c r="AG2705">
        <v>0</v>
      </c>
      <c r="AH2705">
        <v>0</v>
      </c>
    </row>
    <row r="2706" spans="2:34" x14ac:dyDescent="0.35">
      <c r="B2706" t="s">
        <v>566</v>
      </c>
      <c r="C2706">
        <v>45818</v>
      </c>
      <c r="F2706" t="s">
        <v>752</v>
      </c>
      <c r="H2706">
        <v>189.59</v>
      </c>
      <c r="O2706" t="s">
        <v>239</v>
      </c>
      <c r="P2706" t="s">
        <v>514</v>
      </c>
      <c r="Y2706">
        <v>2672</v>
      </c>
      <c r="Z2706" s="259" t="s">
        <v>630</v>
      </c>
      <c r="AA2706">
        <v>0</v>
      </c>
      <c r="AB2706">
        <v>0</v>
      </c>
      <c r="AC2706">
        <v>45818</v>
      </c>
      <c r="AD2706">
        <v>0</v>
      </c>
      <c r="AE2706">
        <v>0</v>
      </c>
      <c r="AF2706">
        <v>0</v>
      </c>
      <c r="AG2706">
        <v>0</v>
      </c>
      <c r="AH2706">
        <v>0</v>
      </c>
    </row>
    <row r="2707" spans="2:34" x14ac:dyDescent="0.35">
      <c r="B2707" t="s">
        <v>566</v>
      </c>
      <c r="C2707">
        <v>45818</v>
      </c>
      <c r="F2707" t="s">
        <v>754</v>
      </c>
      <c r="H2707">
        <v>83.76</v>
      </c>
      <c r="O2707" t="s">
        <v>239</v>
      </c>
      <c r="P2707" t="s">
        <v>514</v>
      </c>
      <c r="Y2707">
        <v>2673</v>
      </c>
      <c r="Z2707" s="259" t="s">
        <v>630</v>
      </c>
      <c r="AA2707">
        <v>0</v>
      </c>
      <c r="AB2707">
        <v>0</v>
      </c>
      <c r="AC2707">
        <v>45818</v>
      </c>
      <c r="AD2707">
        <v>0</v>
      </c>
      <c r="AE2707">
        <v>0</v>
      </c>
      <c r="AF2707">
        <v>0</v>
      </c>
      <c r="AG2707">
        <v>0</v>
      </c>
      <c r="AH2707">
        <v>0</v>
      </c>
    </row>
    <row r="2708" spans="2:34" x14ac:dyDescent="0.35">
      <c r="B2708" t="s">
        <v>566</v>
      </c>
      <c r="C2708">
        <v>45819</v>
      </c>
      <c r="F2708" t="s">
        <v>749</v>
      </c>
      <c r="H2708">
        <v>103.14</v>
      </c>
      <c r="O2708" t="s">
        <v>239</v>
      </c>
      <c r="P2708" t="s">
        <v>514</v>
      </c>
      <c r="Y2708">
        <v>2674</v>
      </c>
      <c r="Z2708" s="259" t="s">
        <v>630</v>
      </c>
      <c r="AA2708">
        <v>0</v>
      </c>
      <c r="AB2708">
        <v>0</v>
      </c>
      <c r="AC2708">
        <v>45819</v>
      </c>
      <c r="AD2708">
        <v>0</v>
      </c>
      <c r="AE2708">
        <v>0</v>
      </c>
      <c r="AF2708">
        <v>0</v>
      </c>
      <c r="AG2708">
        <v>0</v>
      </c>
      <c r="AH2708">
        <v>0</v>
      </c>
    </row>
    <row r="2709" spans="2:34" x14ac:dyDescent="0.35">
      <c r="B2709" t="s">
        <v>566</v>
      </c>
      <c r="C2709">
        <v>45819</v>
      </c>
      <c r="F2709" t="s">
        <v>752</v>
      </c>
      <c r="H2709">
        <v>189.21</v>
      </c>
      <c r="O2709" t="s">
        <v>239</v>
      </c>
      <c r="P2709" t="s">
        <v>514</v>
      </c>
      <c r="Y2709">
        <v>2675</v>
      </c>
      <c r="Z2709" s="259" t="s">
        <v>630</v>
      </c>
      <c r="AA2709">
        <v>0</v>
      </c>
      <c r="AB2709">
        <v>0</v>
      </c>
      <c r="AC2709">
        <v>45819</v>
      </c>
      <c r="AD2709">
        <v>0</v>
      </c>
      <c r="AE2709">
        <v>0</v>
      </c>
      <c r="AF2709">
        <v>0</v>
      </c>
      <c r="AG2709">
        <v>0</v>
      </c>
      <c r="AH2709">
        <v>0</v>
      </c>
    </row>
    <row r="2710" spans="2:34" x14ac:dyDescent="0.35">
      <c r="B2710" t="s">
        <v>566</v>
      </c>
      <c r="C2710">
        <v>45819</v>
      </c>
      <c r="F2710" t="s">
        <v>754</v>
      </c>
      <c r="H2710">
        <v>83.62</v>
      </c>
      <c r="O2710" t="s">
        <v>239</v>
      </c>
      <c r="P2710" t="s">
        <v>514</v>
      </c>
      <c r="Y2710">
        <v>2676</v>
      </c>
      <c r="Z2710" s="259" t="s">
        <v>630</v>
      </c>
      <c r="AA2710">
        <v>0</v>
      </c>
      <c r="AB2710">
        <v>0</v>
      </c>
      <c r="AC2710">
        <v>45819</v>
      </c>
      <c r="AD2710">
        <v>0</v>
      </c>
      <c r="AE2710">
        <v>0</v>
      </c>
      <c r="AF2710">
        <v>0</v>
      </c>
      <c r="AG2710">
        <v>0</v>
      </c>
      <c r="AH2710">
        <v>0</v>
      </c>
    </row>
    <row r="2711" spans="2:34" x14ac:dyDescent="0.35">
      <c r="B2711" t="s">
        <v>566</v>
      </c>
      <c r="C2711">
        <v>45820</v>
      </c>
      <c r="F2711" t="s">
        <v>749</v>
      </c>
      <c r="H2711">
        <v>103.55</v>
      </c>
      <c r="O2711" t="s">
        <v>239</v>
      </c>
      <c r="P2711" t="s">
        <v>514</v>
      </c>
      <c r="Y2711">
        <v>2677</v>
      </c>
      <c r="Z2711" s="259" t="s">
        <v>630</v>
      </c>
      <c r="AA2711">
        <v>0</v>
      </c>
      <c r="AB2711">
        <v>0</v>
      </c>
      <c r="AC2711">
        <v>45820</v>
      </c>
      <c r="AD2711">
        <v>0</v>
      </c>
      <c r="AE2711">
        <v>0</v>
      </c>
      <c r="AF2711">
        <v>0</v>
      </c>
      <c r="AG2711">
        <v>0</v>
      </c>
      <c r="AH2711">
        <v>0</v>
      </c>
    </row>
    <row r="2712" spans="2:34" x14ac:dyDescent="0.35">
      <c r="B2712" t="s">
        <v>566</v>
      </c>
      <c r="C2712">
        <v>45820</v>
      </c>
      <c r="F2712" t="s">
        <v>752</v>
      </c>
      <c r="H2712">
        <v>188.83</v>
      </c>
      <c r="O2712" t="s">
        <v>239</v>
      </c>
      <c r="P2712" t="s">
        <v>514</v>
      </c>
      <c r="Y2712">
        <v>2678</v>
      </c>
      <c r="Z2712" s="259" t="s">
        <v>630</v>
      </c>
      <c r="AA2712">
        <v>0</v>
      </c>
      <c r="AB2712">
        <v>0</v>
      </c>
      <c r="AC2712">
        <v>45820</v>
      </c>
      <c r="AD2712">
        <v>0</v>
      </c>
      <c r="AE2712">
        <v>0</v>
      </c>
      <c r="AF2712">
        <v>0</v>
      </c>
      <c r="AG2712">
        <v>0</v>
      </c>
      <c r="AH2712">
        <v>0</v>
      </c>
    </row>
    <row r="2713" spans="2:34" x14ac:dyDescent="0.35">
      <c r="B2713" t="s">
        <v>566</v>
      </c>
      <c r="C2713">
        <v>45820</v>
      </c>
      <c r="F2713" t="s">
        <v>754</v>
      </c>
      <c r="H2713">
        <v>83.48</v>
      </c>
      <c r="O2713" t="s">
        <v>239</v>
      </c>
      <c r="P2713" t="s">
        <v>514</v>
      </c>
      <c r="Y2713">
        <v>2679</v>
      </c>
      <c r="Z2713" s="259" t="s">
        <v>630</v>
      </c>
      <c r="AA2713">
        <v>0</v>
      </c>
      <c r="AB2713">
        <v>0</v>
      </c>
      <c r="AC2713">
        <v>45820</v>
      </c>
      <c r="AD2713">
        <v>0</v>
      </c>
      <c r="AE2713">
        <v>0</v>
      </c>
      <c r="AF2713">
        <v>0</v>
      </c>
      <c r="AG2713">
        <v>0</v>
      </c>
      <c r="AH2713">
        <v>0</v>
      </c>
    </row>
    <row r="2714" spans="2:34" x14ac:dyDescent="0.35">
      <c r="B2714" t="s">
        <v>566</v>
      </c>
      <c r="C2714">
        <v>45821</v>
      </c>
      <c r="F2714" t="s">
        <v>749</v>
      </c>
      <c r="H2714">
        <v>103.97</v>
      </c>
      <c r="O2714" t="s">
        <v>239</v>
      </c>
      <c r="P2714" t="s">
        <v>514</v>
      </c>
      <c r="Y2714">
        <v>2680</v>
      </c>
      <c r="Z2714" s="259" t="s">
        <v>630</v>
      </c>
      <c r="AA2714">
        <v>0</v>
      </c>
      <c r="AB2714">
        <v>0</v>
      </c>
      <c r="AC2714">
        <v>45821</v>
      </c>
      <c r="AD2714">
        <v>0</v>
      </c>
      <c r="AE2714">
        <v>0</v>
      </c>
      <c r="AF2714">
        <v>0</v>
      </c>
      <c r="AG2714">
        <v>0</v>
      </c>
      <c r="AH2714">
        <v>0</v>
      </c>
    </row>
    <row r="2715" spans="2:34" x14ac:dyDescent="0.35">
      <c r="B2715" t="s">
        <v>566</v>
      </c>
      <c r="C2715">
        <v>45821</v>
      </c>
      <c r="F2715" t="s">
        <v>752</v>
      </c>
      <c r="H2715">
        <v>188.45</v>
      </c>
      <c r="O2715" t="s">
        <v>239</v>
      </c>
      <c r="P2715" t="s">
        <v>514</v>
      </c>
      <c r="Y2715">
        <v>2681</v>
      </c>
      <c r="Z2715" s="259" t="s">
        <v>630</v>
      </c>
      <c r="AA2715">
        <v>0</v>
      </c>
      <c r="AB2715">
        <v>0</v>
      </c>
      <c r="AC2715">
        <v>45821</v>
      </c>
      <c r="AD2715">
        <v>0</v>
      </c>
      <c r="AE2715">
        <v>0</v>
      </c>
      <c r="AF2715">
        <v>0</v>
      </c>
      <c r="AG2715">
        <v>0</v>
      </c>
      <c r="AH2715">
        <v>0</v>
      </c>
    </row>
    <row r="2716" spans="2:34" x14ac:dyDescent="0.35">
      <c r="B2716" t="s">
        <v>566</v>
      </c>
      <c r="C2716">
        <v>45821</v>
      </c>
      <c r="F2716" t="s">
        <v>754</v>
      </c>
      <c r="H2716">
        <v>83.34</v>
      </c>
      <c r="O2716" t="s">
        <v>239</v>
      </c>
      <c r="P2716" t="s">
        <v>514</v>
      </c>
      <c r="Y2716">
        <v>2682</v>
      </c>
      <c r="Z2716" s="259" t="s">
        <v>630</v>
      </c>
      <c r="AA2716">
        <v>0</v>
      </c>
      <c r="AB2716">
        <v>0</v>
      </c>
      <c r="AC2716">
        <v>45821</v>
      </c>
      <c r="AD2716">
        <v>0</v>
      </c>
      <c r="AE2716">
        <v>0</v>
      </c>
      <c r="AF2716">
        <v>0</v>
      </c>
      <c r="AG2716">
        <v>0</v>
      </c>
      <c r="AH2716">
        <v>0</v>
      </c>
    </row>
    <row r="2717" spans="2:34" x14ac:dyDescent="0.35">
      <c r="B2717" t="s">
        <v>566</v>
      </c>
      <c r="C2717">
        <v>45822</v>
      </c>
      <c r="F2717" t="s">
        <v>749</v>
      </c>
      <c r="H2717">
        <v>103.97</v>
      </c>
      <c r="O2717" t="s">
        <v>239</v>
      </c>
      <c r="P2717" t="s">
        <v>514</v>
      </c>
      <c r="Y2717">
        <v>2683</v>
      </c>
      <c r="Z2717" s="259" t="s">
        <v>630</v>
      </c>
      <c r="AA2717">
        <v>0</v>
      </c>
      <c r="AB2717">
        <v>0</v>
      </c>
      <c r="AC2717">
        <v>45821</v>
      </c>
      <c r="AD2717">
        <v>1</v>
      </c>
      <c r="AE2717">
        <v>0</v>
      </c>
      <c r="AF2717">
        <v>0</v>
      </c>
      <c r="AG2717">
        <v>0</v>
      </c>
      <c r="AH2717">
        <v>0</v>
      </c>
    </row>
    <row r="2718" spans="2:34" x14ac:dyDescent="0.35">
      <c r="B2718" t="s">
        <v>566</v>
      </c>
      <c r="C2718">
        <v>45822</v>
      </c>
      <c r="F2718" t="s">
        <v>752</v>
      </c>
      <c r="H2718">
        <v>188.45</v>
      </c>
      <c r="O2718" t="s">
        <v>239</v>
      </c>
      <c r="P2718" t="s">
        <v>514</v>
      </c>
      <c r="Y2718">
        <v>2684</v>
      </c>
      <c r="Z2718" s="259" t="s">
        <v>630</v>
      </c>
      <c r="AA2718">
        <v>0</v>
      </c>
      <c r="AB2718">
        <v>0</v>
      </c>
      <c r="AC2718">
        <v>45821</v>
      </c>
      <c r="AD2718">
        <v>1</v>
      </c>
      <c r="AE2718">
        <v>0</v>
      </c>
      <c r="AF2718">
        <v>0</v>
      </c>
      <c r="AG2718">
        <v>0</v>
      </c>
      <c r="AH2718">
        <v>0</v>
      </c>
    </row>
    <row r="2719" spans="2:34" x14ac:dyDescent="0.35">
      <c r="B2719" t="s">
        <v>566</v>
      </c>
      <c r="C2719">
        <v>45822</v>
      </c>
      <c r="F2719" t="s">
        <v>754</v>
      </c>
      <c r="H2719">
        <v>83.34</v>
      </c>
      <c r="O2719" t="s">
        <v>239</v>
      </c>
      <c r="P2719" t="s">
        <v>514</v>
      </c>
      <c r="Y2719">
        <v>2685</v>
      </c>
      <c r="Z2719" s="259" t="s">
        <v>630</v>
      </c>
      <c r="AA2719">
        <v>0</v>
      </c>
      <c r="AB2719">
        <v>0</v>
      </c>
      <c r="AC2719">
        <v>45821</v>
      </c>
      <c r="AD2719">
        <v>1</v>
      </c>
      <c r="AE2719">
        <v>0</v>
      </c>
      <c r="AF2719">
        <v>0</v>
      </c>
      <c r="AG2719">
        <v>0</v>
      </c>
      <c r="AH2719">
        <v>0</v>
      </c>
    </row>
    <row r="2720" spans="2:34" x14ac:dyDescent="0.35">
      <c r="B2720" t="s">
        <v>566</v>
      </c>
      <c r="C2720">
        <v>45823</v>
      </c>
      <c r="F2720" t="s">
        <v>749</v>
      </c>
      <c r="H2720">
        <v>103.97</v>
      </c>
      <c r="O2720" t="s">
        <v>239</v>
      </c>
      <c r="P2720" t="s">
        <v>514</v>
      </c>
      <c r="Y2720">
        <v>2686</v>
      </c>
      <c r="Z2720" s="259" t="s">
        <v>630</v>
      </c>
      <c r="AA2720">
        <v>0</v>
      </c>
      <c r="AB2720">
        <v>0</v>
      </c>
      <c r="AC2720">
        <v>45821</v>
      </c>
      <c r="AD2720">
        <v>2</v>
      </c>
      <c r="AE2720">
        <v>0</v>
      </c>
      <c r="AF2720">
        <v>0</v>
      </c>
      <c r="AG2720">
        <v>0</v>
      </c>
      <c r="AH2720">
        <v>0</v>
      </c>
    </row>
    <row r="2721" spans="2:34" x14ac:dyDescent="0.35">
      <c r="B2721" t="s">
        <v>566</v>
      </c>
      <c r="C2721">
        <v>45823</v>
      </c>
      <c r="F2721" t="s">
        <v>752</v>
      </c>
      <c r="H2721">
        <v>188.45</v>
      </c>
      <c r="O2721" t="s">
        <v>239</v>
      </c>
      <c r="P2721" t="s">
        <v>514</v>
      </c>
      <c r="Y2721">
        <v>2687</v>
      </c>
      <c r="Z2721" s="259" t="s">
        <v>630</v>
      </c>
      <c r="AA2721">
        <v>0</v>
      </c>
      <c r="AB2721">
        <v>0</v>
      </c>
      <c r="AC2721">
        <v>45821</v>
      </c>
      <c r="AD2721">
        <v>2</v>
      </c>
      <c r="AE2721">
        <v>0</v>
      </c>
      <c r="AF2721">
        <v>0</v>
      </c>
      <c r="AG2721">
        <v>0</v>
      </c>
      <c r="AH2721">
        <v>0</v>
      </c>
    </row>
    <row r="2722" spans="2:34" x14ac:dyDescent="0.35">
      <c r="B2722" t="s">
        <v>566</v>
      </c>
      <c r="C2722">
        <v>45823</v>
      </c>
      <c r="F2722" t="s">
        <v>754</v>
      </c>
      <c r="H2722">
        <v>83.34</v>
      </c>
      <c r="O2722" t="s">
        <v>239</v>
      </c>
      <c r="P2722" t="s">
        <v>514</v>
      </c>
      <c r="Y2722">
        <v>2688</v>
      </c>
      <c r="Z2722" s="259" t="s">
        <v>630</v>
      </c>
      <c r="AA2722">
        <v>0</v>
      </c>
      <c r="AB2722">
        <v>0</v>
      </c>
      <c r="AC2722">
        <v>45821</v>
      </c>
      <c r="AD2722">
        <v>2</v>
      </c>
      <c r="AE2722">
        <v>0</v>
      </c>
      <c r="AF2722">
        <v>0</v>
      </c>
      <c r="AG2722">
        <v>0</v>
      </c>
      <c r="AH2722">
        <v>0</v>
      </c>
    </row>
    <row r="2723" spans="2:34" x14ac:dyDescent="0.35">
      <c r="B2723" t="s">
        <v>566</v>
      </c>
      <c r="C2723">
        <v>45824</v>
      </c>
      <c r="F2723" t="s">
        <v>749</v>
      </c>
      <c r="H2723">
        <v>52.6</v>
      </c>
      <c r="O2723" t="s">
        <v>239</v>
      </c>
      <c r="P2723" t="s">
        <v>514</v>
      </c>
      <c r="Y2723">
        <v>2689</v>
      </c>
      <c r="Z2723" s="259" t="s">
        <v>630</v>
      </c>
      <c r="AA2723">
        <v>0</v>
      </c>
      <c r="AB2723">
        <v>0</v>
      </c>
      <c r="AC2723">
        <v>45824</v>
      </c>
      <c r="AD2723">
        <v>0</v>
      </c>
      <c r="AE2723">
        <v>0</v>
      </c>
      <c r="AF2723">
        <v>0</v>
      </c>
      <c r="AG2723">
        <v>0</v>
      </c>
      <c r="AH2723">
        <v>0</v>
      </c>
    </row>
    <row r="2724" spans="2:34" x14ac:dyDescent="0.35">
      <c r="B2724" t="s">
        <v>566</v>
      </c>
      <c r="C2724">
        <v>45824</v>
      </c>
      <c r="F2724" t="s">
        <v>752</v>
      </c>
      <c r="H2724">
        <v>187.31</v>
      </c>
      <c r="O2724" t="s">
        <v>239</v>
      </c>
      <c r="P2724" t="s">
        <v>514</v>
      </c>
      <c r="Y2724">
        <v>2690</v>
      </c>
      <c r="Z2724" s="259" t="s">
        <v>630</v>
      </c>
      <c r="AA2724">
        <v>0</v>
      </c>
      <c r="AB2724">
        <v>0</v>
      </c>
      <c r="AC2724">
        <v>45824</v>
      </c>
      <c r="AD2724">
        <v>0</v>
      </c>
      <c r="AE2724">
        <v>0</v>
      </c>
      <c r="AF2724">
        <v>0</v>
      </c>
      <c r="AG2724">
        <v>0</v>
      </c>
      <c r="AH2724">
        <v>0</v>
      </c>
    </row>
    <row r="2725" spans="2:34" x14ac:dyDescent="0.35">
      <c r="B2725" t="s">
        <v>566</v>
      </c>
      <c r="C2725">
        <v>45824</v>
      </c>
      <c r="F2725" t="s">
        <v>754</v>
      </c>
      <c r="H2725">
        <v>82.93</v>
      </c>
      <c r="O2725" t="s">
        <v>239</v>
      </c>
      <c r="P2725" t="s">
        <v>514</v>
      </c>
      <c r="Y2725">
        <v>2691</v>
      </c>
      <c r="Z2725" s="259" t="s">
        <v>630</v>
      </c>
      <c r="AA2725">
        <v>0</v>
      </c>
      <c r="AB2725">
        <v>0</v>
      </c>
      <c r="AC2725">
        <v>45824</v>
      </c>
      <c r="AD2725">
        <v>0</v>
      </c>
      <c r="AE2725">
        <v>0</v>
      </c>
      <c r="AF2725">
        <v>0</v>
      </c>
      <c r="AG2725">
        <v>0</v>
      </c>
      <c r="AH2725">
        <v>0</v>
      </c>
    </row>
    <row r="2726" spans="2:34" x14ac:dyDescent="0.35">
      <c r="B2726" t="s">
        <v>566</v>
      </c>
      <c r="C2726">
        <v>45825</v>
      </c>
      <c r="F2726" t="s">
        <v>749</v>
      </c>
      <c r="H2726">
        <v>52.81</v>
      </c>
      <c r="O2726" t="s">
        <v>239</v>
      </c>
      <c r="P2726" t="s">
        <v>514</v>
      </c>
      <c r="Y2726">
        <v>2692</v>
      </c>
      <c r="Z2726" s="259" t="s">
        <v>630</v>
      </c>
      <c r="AA2726">
        <v>0</v>
      </c>
      <c r="AB2726">
        <v>0</v>
      </c>
      <c r="AC2726">
        <v>45825</v>
      </c>
      <c r="AD2726">
        <v>0</v>
      </c>
      <c r="AE2726">
        <v>0</v>
      </c>
      <c r="AF2726">
        <v>0</v>
      </c>
      <c r="AG2726">
        <v>0</v>
      </c>
      <c r="AH2726">
        <v>0</v>
      </c>
    </row>
    <row r="2727" spans="2:34" x14ac:dyDescent="0.35">
      <c r="B2727" t="s">
        <v>566</v>
      </c>
      <c r="C2727">
        <v>45825</v>
      </c>
      <c r="F2727" t="s">
        <v>752</v>
      </c>
      <c r="H2727">
        <v>186.93</v>
      </c>
      <c r="O2727" t="s">
        <v>239</v>
      </c>
      <c r="P2727" t="s">
        <v>514</v>
      </c>
      <c r="Y2727">
        <v>2693</v>
      </c>
      <c r="Z2727" s="259" t="s">
        <v>630</v>
      </c>
      <c r="AA2727">
        <v>0</v>
      </c>
      <c r="AB2727">
        <v>0</v>
      </c>
      <c r="AC2727">
        <v>45825</v>
      </c>
      <c r="AD2727">
        <v>0</v>
      </c>
      <c r="AE2727">
        <v>0</v>
      </c>
      <c r="AF2727">
        <v>0</v>
      </c>
      <c r="AG2727">
        <v>0</v>
      </c>
      <c r="AH2727">
        <v>0</v>
      </c>
    </row>
    <row r="2728" spans="2:34" x14ac:dyDescent="0.35">
      <c r="B2728" t="s">
        <v>566</v>
      </c>
      <c r="C2728">
        <v>45825</v>
      </c>
      <c r="F2728" t="s">
        <v>754</v>
      </c>
      <c r="H2728">
        <v>82.79</v>
      </c>
      <c r="O2728" t="s">
        <v>239</v>
      </c>
      <c r="P2728" t="s">
        <v>514</v>
      </c>
      <c r="Y2728">
        <v>2694</v>
      </c>
      <c r="Z2728" s="259" t="s">
        <v>630</v>
      </c>
      <c r="AA2728">
        <v>0</v>
      </c>
      <c r="AB2728">
        <v>0</v>
      </c>
      <c r="AC2728">
        <v>45825</v>
      </c>
      <c r="AD2728">
        <v>0</v>
      </c>
      <c r="AE2728">
        <v>0</v>
      </c>
      <c r="AF2728">
        <v>0</v>
      </c>
      <c r="AG2728">
        <v>0</v>
      </c>
      <c r="AH2728">
        <v>0</v>
      </c>
    </row>
    <row r="2729" spans="2:34" x14ac:dyDescent="0.35">
      <c r="B2729" t="s">
        <v>566</v>
      </c>
      <c r="C2729">
        <v>45826</v>
      </c>
      <c r="F2729" t="s">
        <v>749</v>
      </c>
      <c r="H2729">
        <v>53.02</v>
      </c>
      <c r="O2729" t="s">
        <v>239</v>
      </c>
      <c r="P2729" t="s">
        <v>514</v>
      </c>
      <c r="Y2729">
        <v>2695</v>
      </c>
      <c r="Z2729" s="259" t="s">
        <v>630</v>
      </c>
      <c r="AA2729">
        <v>0</v>
      </c>
      <c r="AB2729">
        <v>0</v>
      </c>
      <c r="AC2729">
        <v>45826</v>
      </c>
      <c r="AD2729">
        <v>0</v>
      </c>
      <c r="AE2729">
        <v>0</v>
      </c>
      <c r="AF2729">
        <v>0</v>
      </c>
      <c r="AG2729">
        <v>0</v>
      </c>
      <c r="AH2729">
        <v>0</v>
      </c>
    </row>
    <row r="2730" spans="2:34" x14ac:dyDescent="0.35">
      <c r="B2730" t="s">
        <v>566</v>
      </c>
      <c r="C2730">
        <v>45826</v>
      </c>
      <c r="F2730" t="s">
        <v>752</v>
      </c>
      <c r="H2730">
        <v>186.55</v>
      </c>
      <c r="O2730" t="s">
        <v>239</v>
      </c>
      <c r="P2730" t="s">
        <v>514</v>
      </c>
      <c r="Y2730">
        <v>2696</v>
      </c>
      <c r="Z2730" s="259" t="s">
        <v>630</v>
      </c>
      <c r="AA2730">
        <v>0</v>
      </c>
      <c r="AB2730">
        <v>0</v>
      </c>
      <c r="AC2730">
        <v>45826</v>
      </c>
      <c r="AD2730">
        <v>0</v>
      </c>
      <c r="AE2730">
        <v>0</v>
      </c>
      <c r="AF2730">
        <v>0</v>
      </c>
      <c r="AG2730">
        <v>0</v>
      </c>
      <c r="AH2730">
        <v>0</v>
      </c>
    </row>
    <row r="2731" spans="2:34" x14ac:dyDescent="0.35">
      <c r="B2731" t="s">
        <v>566</v>
      </c>
      <c r="C2731">
        <v>45826</v>
      </c>
      <c r="F2731" t="s">
        <v>754</v>
      </c>
      <c r="H2731">
        <v>82.66</v>
      </c>
      <c r="O2731" t="s">
        <v>239</v>
      </c>
      <c r="P2731" t="s">
        <v>514</v>
      </c>
      <c r="Y2731">
        <v>2697</v>
      </c>
      <c r="Z2731" s="259" t="s">
        <v>630</v>
      </c>
      <c r="AA2731">
        <v>0</v>
      </c>
      <c r="AB2731">
        <v>0</v>
      </c>
      <c r="AC2731">
        <v>45826</v>
      </c>
      <c r="AD2731">
        <v>0</v>
      </c>
      <c r="AE2731">
        <v>0</v>
      </c>
      <c r="AF2731">
        <v>0</v>
      </c>
      <c r="AG2731">
        <v>0</v>
      </c>
      <c r="AH2731">
        <v>0</v>
      </c>
    </row>
    <row r="2732" spans="2:34" x14ac:dyDescent="0.35">
      <c r="B2732" t="s">
        <v>566</v>
      </c>
      <c r="C2732">
        <v>45827</v>
      </c>
      <c r="F2732" t="s">
        <v>749</v>
      </c>
      <c r="H2732">
        <v>53.22</v>
      </c>
      <c r="O2732" t="s">
        <v>239</v>
      </c>
      <c r="P2732" t="s">
        <v>514</v>
      </c>
      <c r="Y2732">
        <v>2698</v>
      </c>
      <c r="Z2732" s="259" t="s">
        <v>630</v>
      </c>
      <c r="AA2732">
        <v>0</v>
      </c>
      <c r="AB2732">
        <v>0</v>
      </c>
      <c r="AC2732">
        <v>45827</v>
      </c>
      <c r="AD2732">
        <v>0</v>
      </c>
      <c r="AE2732">
        <v>0</v>
      </c>
      <c r="AF2732">
        <v>0</v>
      </c>
      <c r="AG2732">
        <v>0</v>
      </c>
      <c r="AH2732">
        <v>0</v>
      </c>
    </row>
    <row r="2733" spans="2:34" x14ac:dyDescent="0.35">
      <c r="B2733" t="s">
        <v>566</v>
      </c>
      <c r="C2733">
        <v>45827</v>
      </c>
      <c r="F2733" t="s">
        <v>752</v>
      </c>
      <c r="H2733">
        <v>186.17</v>
      </c>
      <c r="O2733" t="s">
        <v>239</v>
      </c>
      <c r="P2733" t="s">
        <v>514</v>
      </c>
      <c r="Y2733">
        <v>2699</v>
      </c>
      <c r="Z2733" s="259" t="s">
        <v>630</v>
      </c>
      <c r="AA2733">
        <v>0</v>
      </c>
      <c r="AB2733">
        <v>0</v>
      </c>
      <c r="AC2733">
        <v>45827</v>
      </c>
      <c r="AD2733">
        <v>0</v>
      </c>
      <c r="AE2733">
        <v>0</v>
      </c>
      <c r="AF2733">
        <v>0</v>
      </c>
      <c r="AG2733">
        <v>0</v>
      </c>
      <c r="AH2733">
        <v>0</v>
      </c>
    </row>
    <row r="2734" spans="2:34" x14ac:dyDescent="0.35">
      <c r="B2734" t="s">
        <v>566</v>
      </c>
      <c r="C2734">
        <v>45827</v>
      </c>
      <c r="F2734" t="s">
        <v>754</v>
      </c>
      <c r="H2734">
        <v>82.52</v>
      </c>
      <c r="O2734" t="s">
        <v>239</v>
      </c>
      <c r="P2734" t="s">
        <v>514</v>
      </c>
      <c r="Y2734">
        <v>2700</v>
      </c>
      <c r="Z2734" s="259" t="s">
        <v>630</v>
      </c>
      <c r="AA2734">
        <v>0</v>
      </c>
      <c r="AB2734">
        <v>0</v>
      </c>
      <c r="AC2734">
        <v>45827</v>
      </c>
      <c r="AD2734">
        <v>0</v>
      </c>
      <c r="AE2734">
        <v>0</v>
      </c>
      <c r="AF2734">
        <v>0</v>
      </c>
      <c r="AG2734">
        <v>0</v>
      </c>
      <c r="AH2734">
        <v>0</v>
      </c>
    </row>
    <row r="2735" spans="2:34" x14ac:dyDescent="0.35">
      <c r="B2735" t="s">
        <v>566</v>
      </c>
      <c r="C2735">
        <v>45828</v>
      </c>
      <c r="F2735" t="s">
        <v>749</v>
      </c>
      <c r="H2735">
        <v>53.43</v>
      </c>
      <c r="O2735" t="s">
        <v>239</v>
      </c>
      <c r="P2735" t="s">
        <v>514</v>
      </c>
      <c r="Y2735">
        <v>2701</v>
      </c>
      <c r="Z2735" s="259" t="s">
        <v>630</v>
      </c>
      <c r="AA2735">
        <v>0</v>
      </c>
      <c r="AB2735">
        <v>0</v>
      </c>
      <c r="AC2735">
        <v>45828</v>
      </c>
      <c r="AD2735">
        <v>0</v>
      </c>
      <c r="AE2735">
        <v>0</v>
      </c>
      <c r="AF2735">
        <v>0</v>
      </c>
      <c r="AG2735">
        <v>0</v>
      </c>
      <c r="AH2735">
        <v>0</v>
      </c>
    </row>
    <row r="2736" spans="2:34" x14ac:dyDescent="0.35">
      <c r="B2736" t="s">
        <v>566</v>
      </c>
      <c r="C2736">
        <v>45828</v>
      </c>
      <c r="F2736" t="s">
        <v>752</v>
      </c>
      <c r="H2736">
        <v>185.79</v>
      </c>
      <c r="O2736" t="s">
        <v>239</v>
      </c>
      <c r="P2736" t="s">
        <v>514</v>
      </c>
      <c r="Y2736">
        <v>2702</v>
      </c>
      <c r="Z2736" s="259" t="s">
        <v>630</v>
      </c>
      <c r="AA2736">
        <v>0</v>
      </c>
      <c r="AB2736">
        <v>0</v>
      </c>
      <c r="AC2736">
        <v>45828</v>
      </c>
      <c r="AD2736">
        <v>0</v>
      </c>
      <c r="AE2736">
        <v>0</v>
      </c>
      <c r="AF2736">
        <v>0</v>
      </c>
      <c r="AG2736">
        <v>0</v>
      </c>
      <c r="AH2736">
        <v>0</v>
      </c>
    </row>
    <row r="2737" spans="2:34" x14ac:dyDescent="0.35">
      <c r="B2737" t="s">
        <v>566</v>
      </c>
      <c r="C2737">
        <v>45828</v>
      </c>
      <c r="F2737" t="s">
        <v>754</v>
      </c>
      <c r="H2737">
        <v>82.38</v>
      </c>
      <c r="O2737" t="s">
        <v>239</v>
      </c>
      <c r="P2737" t="s">
        <v>514</v>
      </c>
      <c r="Y2737">
        <v>2703</v>
      </c>
      <c r="Z2737" s="259" t="s">
        <v>630</v>
      </c>
      <c r="AA2737">
        <v>0</v>
      </c>
      <c r="AB2737">
        <v>0</v>
      </c>
      <c r="AC2737">
        <v>45828</v>
      </c>
      <c r="AD2737">
        <v>0</v>
      </c>
      <c r="AE2737">
        <v>0</v>
      </c>
      <c r="AF2737">
        <v>0</v>
      </c>
      <c r="AG2737">
        <v>0</v>
      </c>
      <c r="AH2737">
        <v>0</v>
      </c>
    </row>
    <row r="2738" spans="2:34" x14ac:dyDescent="0.35">
      <c r="B2738" t="s">
        <v>566</v>
      </c>
      <c r="C2738">
        <v>45829</v>
      </c>
      <c r="F2738" t="s">
        <v>749</v>
      </c>
      <c r="H2738">
        <v>53.43</v>
      </c>
      <c r="O2738" t="s">
        <v>239</v>
      </c>
      <c r="P2738" t="s">
        <v>514</v>
      </c>
      <c r="Y2738">
        <v>2704</v>
      </c>
      <c r="Z2738" s="259" t="s">
        <v>630</v>
      </c>
      <c r="AA2738">
        <v>0</v>
      </c>
      <c r="AB2738">
        <v>0</v>
      </c>
      <c r="AC2738">
        <v>45828</v>
      </c>
      <c r="AD2738">
        <v>1</v>
      </c>
      <c r="AE2738">
        <v>0</v>
      </c>
      <c r="AF2738">
        <v>0</v>
      </c>
      <c r="AG2738">
        <v>0</v>
      </c>
      <c r="AH2738">
        <v>0</v>
      </c>
    </row>
    <row r="2739" spans="2:34" x14ac:dyDescent="0.35">
      <c r="B2739" t="s">
        <v>566</v>
      </c>
      <c r="C2739">
        <v>45829</v>
      </c>
      <c r="F2739" t="s">
        <v>752</v>
      </c>
      <c r="H2739">
        <v>185.79</v>
      </c>
      <c r="O2739" t="s">
        <v>239</v>
      </c>
      <c r="P2739" t="s">
        <v>514</v>
      </c>
      <c r="Y2739">
        <v>2705</v>
      </c>
      <c r="Z2739" s="259" t="s">
        <v>630</v>
      </c>
      <c r="AA2739">
        <v>0</v>
      </c>
      <c r="AB2739">
        <v>0</v>
      </c>
      <c r="AC2739">
        <v>45828</v>
      </c>
      <c r="AD2739">
        <v>1</v>
      </c>
      <c r="AE2739">
        <v>0</v>
      </c>
      <c r="AF2739">
        <v>0</v>
      </c>
      <c r="AG2739">
        <v>0</v>
      </c>
      <c r="AH2739">
        <v>0</v>
      </c>
    </row>
    <row r="2740" spans="2:34" x14ac:dyDescent="0.35">
      <c r="B2740" t="s">
        <v>566</v>
      </c>
      <c r="C2740">
        <v>45829</v>
      </c>
      <c r="F2740" t="s">
        <v>754</v>
      </c>
      <c r="H2740">
        <v>82.38</v>
      </c>
      <c r="O2740" t="s">
        <v>239</v>
      </c>
      <c r="P2740" t="s">
        <v>514</v>
      </c>
      <c r="Y2740">
        <v>2706</v>
      </c>
      <c r="Z2740" s="259" t="s">
        <v>630</v>
      </c>
      <c r="AA2740">
        <v>0</v>
      </c>
      <c r="AB2740">
        <v>0</v>
      </c>
      <c r="AC2740">
        <v>45828</v>
      </c>
      <c r="AD2740">
        <v>1</v>
      </c>
      <c r="AE2740">
        <v>0</v>
      </c>
      <c r="AF2740">
        <v>0</v>
      </c>
      <c r="AG2740">
        <v>0</v>
      </c>
      <c r="AH2740">
        <v>0</v>
      </c>
    </row>
    <row r="2741" spans="2:34" x14ac:dyDescent="0.35">
      <c r="B2741" t="s">
        <v>566</v>
      </c>
      <c r="C2741">
        <v>45830</v>
      </c>
      <c r="F2741" t="s">
        <v>749</v>
      </c>
      <c r="H2741">
        <v>53.43</v>
      </c>
      <c r="O2741" t="s">
        <v>239</v>
      </c>
      <c r="P2741" t="s">
        <v>514</v>
      </c>
      <c r="Y2741">
        <v>2707</v>
      </c>
      <c r="Z2741" s="259" t="s">
        <v>630</v>
      </c>
      <c r="AA2741">
        <v>0</v>
      </c>
      <c r="AB2741">
        <v>0</v>
      </c>
      <c r="AC2741">
        <v>45828</v>
      </c>
      <c r="AD2741">
        <v>2</v>
      </c>
      <c r="AE2741">
        <v>0</v>
      </c>
      <c r="AF2741">
        <v>0</v>
      </c>
      <c r="AG2741">
        <v>0</v>
      </c>
      <c r="AH2741">
        <v>0</v>
      </c>
    </row>
    <row r="2742" spans="2:34" x14ac:dyDescent="0.35">
      <c r="B2742" t="s">
        <v>566</v>
      </c>
      <c r="C2742">
        <v>45830</v>
      </c>
      <c r="F2742" t="s">
        <v>752</v>
      </c>
      <c r="H2742">
        <v>185.79</v>
      </c>
      <c r="O2742" t="s">
        <v>239</v>
      </c>
      <c r="P2742" t="s">
        <v>514</v>
      </c>
      <c r="Y2742">
        <v>2708</v>
      </c>
      <c r="Z2742" s="259" t="s">
        <v>630</v>
      </c>
      <c r="AA2742">
        <v>0</v>
      </c>
      <c r="AB2742">
        <v>0</v>
      </c>
      <c r="AC2742">
        <v>45828</v>
      </c>
      <c r="AD2742">
        <v>2</v>
      </c>
      <c r="AE2742">
        <v>0</v>
      </c>
      <c r="AF2742">
        <v>0</v>
      </c>
      <c r="AG2742">
        <v>0</v>
      </c>
      <c r="AH2742">
        <v>0</v>
      </c>
    </row>
    <row r="2743" spans="2:34" x14ac:dyDescent="0.35">
      <c r="B2743" t="s">
        <v>566</v>
      </c>
      <c r="C2743">
        <v>45830</v>
      </c>
      <c r="F2743" t="s">
        <v>754</v>
      </c>
      <c r="H2743">
        <v>82.38</v>
      </c>
      <c r="O2743" t="s">
        <v>239</v>
      </c>
      <c r="P2743" t="s">
        <v>514</v>
      </c>
      <c r="Y2743">
        <v>2709</v>
      </c>
      <c r="Z2743" s="259" t="s">
        <v>630</v>
      </c>
      <c r="AA2743">
        <v>0</v>
      </c>
      <c r="AB2743">
        <v>0</v>
      </c>
      <c r="AC2743">
        <v>45828</v>
      </c>
      <c r="AD2743">
        <v>2</v>
      </c>
      <c r="AE2743">
        <v>0</v>
      </c>
      <c r="AF2743">
        <v>0</v>
      </c>
      <c r="AG2743">
        <v>0</v>
      </c>
      <c r="AH2743">
        <v>0</v>
      </c>
    </row>
    <row r="2744" spans="2:34" x14ac:dyDescent="0.35">
      <c r="B2744" t="s">
        <v>566</v>
      </c>
      <c r="C2744">
        <v>45831</v>
      </c>
      <c r="F2744" t="s">
        <v>749</v>
      </c>
      <c r="H2744">
        <v>54.05</v>
      </c>
      <c r="O2744" t="s">
        <v>239</v>
      </c>
      <c r="P2744" t="s">
        <v>514</v>
      </c>
      <c r="Y2744">
        <v>2710</v>
      </c>
      <c r="Z2744" s="259" t="s">
        <v>630</v>
      </c>
      <c r="AA2744">
        <v>0</v>
      </c>
      <c r="AB2744">
        <v>0</v>
      </c>
      <c r="AC2744">
        <v>45831</v>
      </c>
      <c r="AD2744">
        <v>0</v>
      </c>
      <c r="AE2744">
        <v>0</v>
      </c>
      <c r="AF2744">
        <v>0</v>
      </c>
      <c r="AG2744">
        <v>0</v>
      </c>
      <c r="AH2744">
        <v>0</v>
      </c>
    </row>
    <row r="2745" spans="2:34" x14ac:dyDescent="0.35">
      <c r="B2745" t="s">
        <v>566</v>
      </c>
      <c r="C2745">
        <v>45831</v>
      </c>
      <c r="F2745" t="s">
        <v>752</v>
      </c>
      <c r="H2745">
        <v>184.66</v>
      </c>
      <c r="O2745" t="s">
        <v>239</v>
      </c>
      <c r="P2745" t="s">
        <v>514</v>
      </c>
      <c r="Y2745">
        <v>2711</v>
      </c>
      <c r="Z2745" s="259" t="s">
        <v>630</v>
      </c>
      <c r="AA2745">
        <v>0</v>
      </c>
      <c r="AB2745">
        <v>0</v>
      </c>
      <c r="AC2745">
        <v>45831</v>
      </c>
      <c r="AD2745">
        <v>0</v>
      </c>
      <c r="AE2745">
        <v>0</v>
      </c>
      <c r="AF2745">
        <v>0</v>
      </c>
      <c r="AG2745">
        <v>0</v>
      </c>
      <c r="AH2745">
        <v>0</v>
      </c>
    </row>
    <row r="2746" spans="2:34" x14ac:dyDescent="0.35">
      <c r="B2746" t="s">
        <v>566</v>
      </c>
      <c r="C2746">
        <v>45831</v>
      </c>
      <c r="F2746" t="s">
        <v>754</v>
      </c>
      <c r="H2746">
        <v>81.97</v>
      </c>
      <c r="O2746" t="s">
        <v>239</v>
      </c>
      <c r="P2746" t="s">
        <v>514</v>
      </c>
      <c r="Y2746">
        <v>2712</v>
      </c>
      <c r="Z2746" s="259" t="s">
        <v>630</v>
      </c>
      <c r="AA2746">
        <v>0</v>
      </c>
      <c r="AB2746">
        <v>0</v>
      </c>
      <c r="AC2746">
        <v>45831</v>
      </c>
      <c r="AD2746">
        <v>0</v>
      </c>
      <c r="AE2746">
        <v>0</v>
      </c>
      <c r="AF2746">
        <v>0</v>
      </c>
      <c r="AG2746">
        <v>0</v>
      </c>
      <c r="AH2746">
        <v>0</v>
      </c>
    </row>
    <row r="2747" spans="2:34" x14ac:dyDescent="0.35">
      <c r="B2747" t="s">
        <v>566</v>
      </c>
      <c r="C2747">
        <v>45832</v>
      </c>
      <c r="F2747" t="s">
        <v>749</v>
      </c>
      <c r="H2747">
        <v>54.26</v>
      </c>
      <c r="O2747" t="s">
        <v>239</v>
      </c>
      <c r="P2747" t="s">
        <v>514</v>
      </c>
      <c r="Y2747">
        <v>2713</v>
      </c>
      <c r="Z2747" s="259" t="s">
        <v>630</v>
      </c>
      <c r="AA2747">
        <v>0</v>
      </c>
      <c r="AB2747">
        <v>0</v>
      </c>
      <c r="AC2747">
        <v>45832</v>
      </c>
      <c r="AD2747">
        <v>0</v>
      </c>
      <c r="AE2747">
        <v>0</v>
      </c>
      <c r="AF2747">
        <v>0</v>
      </c>
      <c r="AG2747">
        <v>0</v>
      </c>
      <c r="AH2747">
        <v>0</v>
      </c>
    </row>
    <row r="2748" spans="2:34" x14ac:dyDescent="0.35">
      <c r="B2748" t="s">
        <v>566</v>
      </c>
      <c r="C2748">
        <v>45832</v>
      </c>
      <c r="F2748" t="s">
        <v>752</v>
      </c>
      <c r="H2748">
        <v>184.28</v>
      </c>
      <c r="O2748" t="s">
        <v>239</v>
      </c>
      <c r="P2748" t="s">
        <v>514</v>
      </c>
      <c r="Y2748">
        <v>2714</v>
      </c>
      <c r="Z2748" s="259" t="s">
        <v>630</v>
      </c>
      <c r="AA2748">
        <v>0</v>
      </c>
      <c r="AB2748">
        <v>0</v>
      </c>
      <c r="AC2748">
        <v>45832</v>
      </c>
      <c r="AD2748">
        <v>0</v>
      </c>
      <c r="AE2748">
        <v>0</v>
      </c>
      <c r="AF2748">
        <v>0</v>
      </c>
      <c r="AG2748">
        <v>0</v>
      </c>
      <c r="AH2748">
        <v>0</v>
      </c>
    </row>
    <row r="2749" spans="2:34" x14ac:dyDescent="0.35">
      <c r="B2749" t="s">
        <v>566</v>
      </c>
      <c r="C2749">
        <v>45832</v>
      </c>
      <c r="F2749" t="s">
        <v>754</v>
      </c>
      <c r="H2749">
        <v>81.83</v>
      </c>
      <c r="O2749" t="s">
        <v>239</v>
      </c>
      <c r="P2749" t="s">
        <v>514</v>
      </c>
      <c r="Y2749">
        <v>2715</v>
      </c>
      <c r="Z2749" s="259" t="s">
        <v>630</v>
      </c>
      <c r="AA2749">
        <v>0</v>
      </c>
      <c r="AB2749">
        <v>0</v>
      </c>
      <c r="AC2749">
        <v>45832</v>
      </c>
      <c r="AD2749">
        <v>0</v>
      </c>
      <c r="AE2749">
        <v>0</v>
      </c>
      <c r="AF2749">
        <v>0</v>
      </c>
      <c r="AG2749">
        <v>0</v>
      </c>
      <c r="AH2749">
        <v>0</v>
      </c>
    </row>
    <row r="2750" spans="2:34" x14ac:dyDescent="0.35">
      <c r="B2750" t="s">
        <v>566</v>
      </c>
      <c r="C2750">
        <v>45833</v>
      </c>
      <c r="F2750" t="s">
        <v>749</v>
      </c>
      <c r="H2750">
        <v>54.47</v>
      </c>
      <c r="O2750" t="s">
        <v>239</v>
      </c>
      <c r="P2750" t="s">
        <v>514</v>
      </c>
      <c r="Y2750">
        <v>2716</v>
      </c>
      <c r="Z2750" s="259" t="s">
        <v>630</v>
      </c>
      <c r="AA2750">
        <v>0</v>
      </c>
      <c r="AB2750">
        <v>0</v>
      </c>
      <c r="AC2750">
        <v>45833</v>
      </c>
      <c r="AD2750">
        <v>0</v>
      </c>
      <c r="AE2750">
        <v>0</v>
      </c>
      <c r="AF2750">
        <v>0</v>
      </c>
      <c r="AG2750">
        <v>0</v>
      </c>
      <c r="AH2750">
        <v>0</v>
      </c>
    </row>
    <row r="2751" spans="2:34" x14ac:dyDescent="0.35">
      <c r="B2751" t="s">
        <v>566</v>
      </c>
      <c r="C2751">
        <v>45833</v>
      </c>
      <c r="F2751" t="s">
        <v>752</v>
      </c>
      <c r="H2751">
        <v>183.9</v>
      </c>
      <c r="O2751" t="s">
        <v>239</v>
      </c>
      <c r="P2751" t="s">
        <v>514</v>
      </c>
      <c r="Y2751">
        <v>2717</v>
      </c>
      <c r="Z2751" s="259" t="s">
        <v>630</v>
      </c>
      <c r="AA2751">
        <v>0</v>
      </c>
      <c r="AB2751">
        <v>0</v>
      </c>
      <c r="AC2751">
        <v>45833</v>
      </c>
      <c r="AD2751">
        <v>0</v>
      </c>
      <c r="AE2751">
        <v>0</v>
      </c>
      <c r="AF2751">
        <v>0</v>
      </c>
      <c r="AG2751">
        <v>0</v>
      </c>
      <c r="AH2751">
        <v>0</v>
      </c>
    </row>
    <row r="2752" spans="2:34" x14ac:dyDescent="0.35">
      <c r="B2752" t="s">
        <v>566</v>
      </c>
      <c r="C2752">
        <v>45833</v>
      </c>
      <c r="F2752" t="s">
        <v>754</v>
      </c>
      <c r="H2752">
        <v>81.69</v>
      </c>
      <c r="O2752" t="s">
        <v>239</v>
      </c>
      <c r="P2752" t="s">
        <v>514</v>
      </c>
      <c r="Y2752">
        <v>2718</v>
      </c>
      <c r="Z2752" s="259" t="s">
        <v>630</v>
      </c>
      <c r="AA2752">
        <v>0</v>
      </c>
      <c r="AB2752">
        <v>0</v>
      </c>
      <c r="AC2752">
        <v>45833</v>
      </c>
      <c r="AD2752">
        <v>0</v>
      </c>
      <c r="AE2752">
        <v>0</v>
      </c>
      <c r="AF2752">
        <v>0</v>
      </c>
      <c r="AG2752">
        <v>0</v>
      </c>
      <c r="AH2752">
        <v>0</v>
      </c>
    </row>
    <row r="2753" spans="2:34" x14ac:dyDescent="0.35">
      <c r="B2753" t="s">
        <v>566</v>
      </c>
      <c r="C2753">
        <v>45834</v>
      </c>
      <c r="F2753" t="s">
        <v>749</v>
      </c>
      <c r="H2753">
        <v>54.67</v>
      </c>
      <c r="O2753" t="s">
        <v>239</v>
      </c>
      <c r="P2753" t="s">
        <v>514</v>
      </c>
      <c r="Y2753">
        <v>2719</v>
      </c>
      <c r="Z2753" s="259" t="s">
        <v>630</v>
      </c>
      <c r="AA2753">
        <v>0</v>
      </c>
      <c r="AB2753">
        <v>0</v>
      </c>
      <c r="AC2753">
        <v>45834</v>
      </c>
      <c r="AD2753">
        <v>0</v>
      </c>
      <c r="AE2753">
        <v>0</v>
      </c>
      <c r="AF2753">
        <v>0</v>
      </c>
      <c r="AG2753">
        <v>0</v>
      </c>
      <c r="AH2753">
        <v>0</v>
      </c>
    </row>
    <row r="2754" spans="2:34" x14ac:dyDescent="0.35">
      <c r="B2754" t="s">
        <v>566</v>
      </c>
      <c r="C2754">
        <v>45834</v>
      </c>
      <c r="F2754" t="s">
        <v>752</v>
      </c>
      <c r="H2754">
        <v>183.52</v>
      </c>
      <c r="O2754" t="s">
        <v>239</v>
      </c>
      <c r="P2754" t="s">
        <v>514</v>
      </c>
      <c r="Y2754">
        <v>2720</v>
      </c>
      <c r="Z2754" s="259" t="s">
        <v>630</v>
      </c>
      <c r="AA2754">
        <v>0</v>
      </c>
      <c r="AB2754">
        <v>0</v>
      </c>
      <c r="AC2754">
        <v>45834</v>
      </c>
      <c r="AD2754">
        <v>0</v>
      </c>
      <c r="AE2754">
        <v>0</v>
      </c>
      <c r="AF2754">
        <v>0</v>
      </c>
      <c r="AG2754">
        <v>0</v>
      </c>
      <c r="AH2754">
        <v>0</v>
      </c>
    </row>
    <row r="2755" spans="2:34" x14ac:dyDescent="0.35">
      <c r="B2755" t="s">
        <v>566</v>
      </c>
      <c r="C2755">
        <v>45834</v>
      </c>
      <c r="F2755" t="s">
        <v>754</v>
      </c>
      <c r="H2755">
        <v>81.55</v>
      </c>
      <c r="O2755" t="s">
        <v>239</v>
      </c>
      <c r="P2755" t="s">
        <v>514</v>
      </c>
      <c r="Y2755">
        <v>2721</v>
      </c>
      <c r="Z2755" s="259" t="s">
        <v>630</v>
      </c>
      <c r="AA2755">
        <v>0</v>
      </c>
      <c r="AB2755">
        <v>0</v>
      </c>
      <c r="AC2755">
        <v>45834</v>
      </c>
      <c r="AD2755">
        <v>0</v>
      </c>
      <c r="AE2755">
        <v>0</v>
      </c>
      <c r="AF2755">
        <v>0</v>
      </c>
      <c r="AG2755">
        <v>0</v>
      </c>
      <c r="AH2755">
        <v>0</v>
      </c>
    </row>
    <row r="2756" spans="2:34" x14ac:dyDescent="0.35">
      <c r="B2756" t="s">
        <v>566</v>
      </c>
      <c r="C2756">
        <v>45835</v>
      </c>
      <c r="F2756" t="s">
        <v>749</v>
      </c>
      <c r="H2756">
        <v>54.88</v>
      </c>
      <c r="O2756" t="s">
        <v>239</v>
      </c>
      <c r="P2756" t="s">
        <v>514</v>
      </c>
      <c r="Y2756">
        <v>2722</v>
      </c>
      <c r="Z2756" s="259" t="s">
        <v>630</v>
      </c>
      <c r="AA2756">
        <v>0</v>
      </c>
      <c r="AB2756">
        <v>0</v>
      </c>
      <c r="AC2756">
        <v>45835</v>
      </c>
      <c r="AD2756">
        <v>0</v>
      </c>
      <c r="AE2756">
        <v>0</v>
      </c>
      <c r="AF2756">
        <v>0</v>
      </c>
      <c r="AG2756">
        <v>0</v>
      </c>
      <c r="AH2756">
        <v>0</v>
      </c>
    </row>
    <row r="2757" spans="2:34" x14ac:dyDescent="0.35">
      <c r="B2757" t="s">
        <v>566</v>
      </c>
      <c r="C2757">
        <v>45835</v>
      </c>
      <c r="F2757" t="s">
        <v>752</v>
      </c>
      <c r="H2757">
        <v>183.14</v>
      </c>
      <c r="O2757" t="s">
        <v>239</v>
      </c>
      <c r="P2757" t="s">
        <v>514</v>
      </c>
      <c r="Y2757">
        <v>2723</v>
      </c>
      <c r="Z2757" s="259" t="s">
        <v>630</v>
      </c>
      <c r="AA2757">
        <v>0</v>
      </c>
      <c r="AB2757">
        <v>0</v>
      </c>
      <c r="AC2757">
        <v>45835</v>
      </c>
      <c r="AD2757">
        <v>0</v>
      </c>
      <c r="AE2757">
        <v>0</v>
      </c>
      <c r="AF2757">
        <v>0</v>
      </c>
      <c r="AG2757">
        <v>0</v>
      </c>
      <c r="AH2757">
        <v>0</v>
      </c>
    </row>
    <row r="2758" spans="2:34" x14ac:dyDescent="0.35">
      <c r="B2758" t="s">
        <v>566</v>
      </c>
      <c r="C2758">
        <v>45835</v>
      </c>
      <c r="F2758" t="s">
        <v>754</v>
      </c>
      <c r="H2758">
        <v>81.41</v>
      </c>
      <c r="O2758" t="s">
        <v>239</v>
      </c>
      <c r="P2758" t="s">
        <v>514</v>
      </c>
      <c r="Y2758">
        <v>2724</v>
      </c>
      <c r="Z2758" s="259" t="s">
        <v>630</v>
      </c>
      <c r="AA2758">
        <v>0</v>
      </c>
      <c r="AB2758">
        <v>0</v>
      </c>
      <c r="AC2758">
        <v>45835</v>
      </c>
      <c r="AD2758">
        <v>0</v>
      </c>
      <c r="AE2758">
        <v>0</v>
      </c>
      <c r="AF2758">
        <v>0</v>
      </c>
      <c r="AG2758">
        <v>0</v>
      </c>
      <c r="AH2758">
        <v>0</v>
      </c>
    </row>
    <row r="2759" spans="2:34" x14ac:dyDescent="0.35">
      <c r="B2759" t="s">
        <v>566</v>
      </c>
      <c r="C2759">
        <v>45836</v>
      </c>
      <c r="F2759" t="s">
        <v>749</v>
      </c>
      <c r="H2759">
        <v>54.88</v>
      </c>
      <c r="O2759" t="s">
        <v>239</v>
      </c>
      <c r="P2759" t="s">
        <v>514</v>
      </c>
      <c r="Y2759">
        <v>2725</v>
      </c>
      <c r="Z2759" s="259" t="s">
        <v>630</v>
      </c>
      <c r="AA2759">
        <v>0</v>
      </c>
      <c r="AB2759">
        <v>0</v>
      </c>
      <c r="AC2759">
        <v>45835</v>
      </c>
      <c r="AD2759">
        <v>1</v>
      </c>
      <c r="AE2759">
        <v>0</v>
      </c>
      <c r="AF2759">
        <v>0</v>
      </c>
      <c r="AG2759">
        <v>0</v>
      </c>
      <c r="AH2759">
        <v>0</v>
      </c>
    </row>
    <row r="2760" spans="2:34" x14ac:dyDescent="0.35">
      <c r="B2760" t="s">
        <v>566</v>
      </c>
      <c r="C2760">
        <v>45836</v>
      </c>
      <c r="F2760" t="s">
        <v>752</v>
      </c>
      <c r="H2760">
        <v>183.14</v>
      </c>
      <c r="O2760" t="s">
        <v>239</v>
      </c>
      <c r="P2760" t="s">
        <v>514</v>
      </c>
      <c r="Y2760">
        <v>2726</v>
      </c>
      <c r="Z2760" s="259" t="s">
        <v>630</v>
      </c>
      <c r="AA2760">
        <v>0</v>
      </c>
      <c r="AB2760">
        <v>0</v>
      </c>
      <c r="AC2760">
        <v>45835</v>
      </c>
      <c r="AD2760">
        <v>1</v>
      </c>
      <c r="AE2760">
        <v>0</v>
      </c>
      <c r="AF2760">
        <v>0</v>
      </c>
      <c r="AG2760">
        <v>0</v>
      </c>
      <c r="AH2760">
        <v>0</v>
      </c>
    </row>
    <row r="2761" spans="2:34" x14ac:dyDescent="0.35">
      <c r="B2761" t="s">
        <v>566</v>
      </c>
      <c r="C2761">
        <v>45836</v>
      </c>
      <c r="F2761" t="s">
        <v>754</v>
      </c>
      <c r="H2761">
        <v>81.41</v>
      </c>
      <c r="O2761" t="s">
        <v>239</v>
      </c>
      <c r="P2761" t="s">
        <v>514</v>
      </c>
      <c r="Y2761">
        <v>2727</v>
      </c>
      <c r="Z2761" s="259" t="s">
        <v>630</v>
      </c>
      <c r="AA2761">
        <v>0</v>
      </c>
      <c r="AB2761">
        <v>0</v>
      </c>
      <c r="AC2761">
        <v>45835</v>
      </c>
      <c r="AD2761">
        <v>1</v>
      </c>
      <c r="AE2761">
        <v>0</v>
      </c>
      <c r="AF2761">
        <v>0</v>
      </c>
      <c r="AG2761">
        <v>0</v>
      </c>
      <c r="AH2761">
        <v>0</v>
      </c>
    </row>
    <row r="2762" spans="2:34" x14ac:dyDescent="0.35">
      <c r="B2762" t="s">
        <v>566</v>
      </c>
      <c r="C2762">
        <v>45837</v>
      </c>
      <c r="F2762" t="s">
        <v>749</v>
      </c>
      <c r="H2762">
        <v>54.88</v>
      </c>
      <c r="O2762" t="s">
        <v>239</v>
      </c>
      <c r="P2762" t="s">
        <v>514</v>
      </c>
      <c r="Y2762">
        <v>2728</v>
      </c>
      <c r="Z2762" s="259" t="s">
        <v>630</v>
      </c>
      <c r="AA2762">
        <v>0</v>
      </c>
      <c r="AB2762">
        <v>0</v>
      </c>
      <c r="AC2762">
        <v>45835</v>
      </c>
      <c r="AD2762">
        <v>2</v>
      </c>
      <c r="AE2762">
        <v>0</v>
      </c>
      <c r="AF2762">
        <v>0</v>
      </c>
      <c r="AG2762">
        <v>0</v>
      </c>
      <c r="AH2762">
        <v>0</v>
      </c>
    </row>
    <row r="2763" spans="2:34" x14ac:dyDescent="0.35">
      <c r="B2763" t="s">
        <v>566</v>
      </c>
      <c r="C2763">
        <v>45837</v>
      </c>
      <c r="F2763" t="s">
        <v>752</v>
      </c>
      <c r="H2763">
        <v>183.14</v>
      </c>
      <c r="O2763" t="s">
        <v>239</v>
      </c>
      <c r="P2763" t="s">
        <v>514</v>
      </c>
      <c r="Y2763">
        <v>2729</v>
      </c>
      <c r="Z2763" s="259" t="s">
        <v>630</v>
      </c>
      <c r="AA2763">
        <v>0</v>
      </c>
      <c r="AB2763">
        <v>0</v>
      </c>
      <c r="AC2763">
        <v>45835</v>
      </c>
      <c r="AD2763">
        <v>2</v>
      </c>
      <c r="AE2763">
        <v>0</v>
      </c>
      <c r="AF2763">
        <v>0</v>
      </c>
      <c r="AG2763">
        <v>0</v>
      </c>
      <c r="AH2763">
        <v>0</v>
      </c>
    </row>
    <row r="2764" spans="2:34" x14ac:dyDescent="0.35">
      <c r="B2764" t="s">
        <v>566</v>
      </c>
      <c r="C2764">
        <v>45837</v>
      </c>
      <c r="F2764" t="s">
        <v>754</v>
      </c>
      <c r="H2764">
        <v>81.41</v>
      </c>
      <c r="O2764" t="s">
        <v>239</v>
      </c>
      <c r="P2764" t="s">
        <v>514</v>
      </c>
      <c r="Y2764">
        <v>2730</v>
      </c>
      <c r="Z2764" s="259" t="s">
        <v>630</v>
      </c>
      <c r="AA2764">
        <v>0</v>
      </c>
      <c r="AB2764">
        <v>0</v>
      </c>
      <c r="AC2764">
        <v>45835</v>
      </c>
      <c r="AD2764">
        <v>2</v>
      </c>
      <c r="AE2764">
        <v>0</v>
      </c>
      <c r="AF2764">
        <v>0</v>
      </c>
      <c r="AG2764">
        <v>0</v>
      </c>
      <c r="AH2764">
        <v>0</v>
      </c>
    </row>
    <row r="2765" spans="2:34" x14ac:dyDescent="0.35">
      <c r="B2765" t="s">
        <v>566</v>
      </c>
      <c r="C2765">
        <v>45838</v>
      </c>
      <c r="F2765" t="s">
        <v>749</v>
      </c>
      <c r="H2765">
        <v>55.5</v>
      </c>
      <c r="O2765" t="s">
        <v>239</v>
      </c>
      <c r="P2765" t="s">
        <v>514</v>
      </c>
      <c r="Y2765">
        <v>2731</v>
      </c>
      <c r="Z2765" s="259" t="s">
        <v>630</v>
      </c>
      <c r="AA2765">
        <v>0</v>
      </c>
      <c r="AB2765">
        <v>0</v>
      </c>
      <c r="AC2765">
        <v>45838</v>
      </c>
      <c r="AD2765">
        <v>0</v>
      </c>
      <c r="AE2765">
        <v>0</v>
      </c>
      <c r="AF2765">
        <v>0</v>
      </c>
      <c r="AG2765">
        <v>0</v>
      </c>
      <c r="AH2765">
        <v>0</v>
      </c>
    </row>
    <row r="2766" spans="2:34" x14ac:dyDescent="0.35">
      <c r="B2766" t="s">
        <v>566</v>
      </c>
      <c r="C2766">
        <v>45838</v>
      </c>
      <c r="F2766" t="s">
        <v>752</v>
      </c>
      <c r="H2766">
        <v>182</v>
      </c>
      <c r="O2766" t="s">
        <v>239</v>
      </c>
      <c r="P2766" t="s">
        <v>514</v>
      </c>
      <c r="Y2766">
        <v>2732</v>
      </c>
      <c r="Z2766" s="259" t="s">
        <v>630</v>
      </c>
      <c r="AA2766">
        <v>0</v>
      </c>
      <c r="AB2766">
        <v>0</v>
      </c>
      <c r="AC2766">
        <v>45838</v>
      </c>
      <c r="AD2766">
        <v>0</v>
      </c>
      <c r="AE2766">
        <v>0</v>
      </c>
      <c r="AF2766">
        <v>0</v>
      </c>
      <c r="AG2766">
        <v>0</v>
      </c>
      <c r="AH2766">
        <v>0</v>
      </c>
    </row>
    <row r="2767" spans="2:34" x14ac:dyDescent="0.35">
      <c r="B2767" t="s">
        <v>566</v>
      </c>
      <c r="C2767">
        <v>45838</v>
      </c>
      <c r="F2767" t="s">
        <v>754</v>
      </c>
      <c r="H2767">
        <v>81</v>
      </c>
      <c r="O2767" t="s">
        <v>239</v>
      </c>
      <c r="P2767" t="s">
        <v>514</v>
      </c>
      <c r="Y2767">
        <v>2733</v>
      </c>
      <c r="Z2767" s="259" t="s">
        <v>630</v>
      </c>
      <c r="AA2767">
        <v>0</v>
      </c>
      <c r="AB2767">
        <v>0</v>
      </c>
      <c r="AC2767">
        <v>45838</v>
      </c>
      <c r="AD2767">
        <v>0</v>
      </c>
      <c r="AE2767">
        <v>0</v>
      </c>
      <c r="AF2767">
        <v>0</v>
      </c>
      <c r="AG2767">
        <v>0</v>
      </c>
      <c r="AH2767">
        <v>0</v>
      </c>
    </row>
    <row r="2768" spans="2:34" x14ac:dyDescent="0.35">
      <c r="B2768" t="s">
        <v>566</v>
      </c>
      <c r="C2768">
        <v>45839</v>
      </c>
      <c r="F2768" t="s">
        <v>749</v>
      </c>
      <c r="H2768">
        <v>55.5</v>
      </c>
      <c r="O2768" t="s">
        <v>239</v>
      </c>
      <c r="P2768" t="s">
        <v>514</v>
      </c>
      <c r="Y2768">
        <v>2734</v>
      </c>
      <c r="Z2768" s="259" t="s">
        <v>630</v>
      </c>
      <c r="AA2768">
        <v>0</v>
      </c>
      <c r="AB2768">
        <v>0</v>
      </c>
      <c r="AC2768">
        <v>45839</v>
      </c>
      <c r="AD2768">
        <v>0</v>
      </c>
      <c r="AE2768">
        <v>0</v>
      </c>
      <c r="AF2768">
        <v>0</v>
      </c>
      <c r="AG2768">
        <v>0</v>
      </c>
      <c r="AH2768">
        <v>0</v>
      </c>
    </row>
    <row r="2769" spans="2:34" x14ac:dyDescent="0.35">
      <c r="B2769" t="s">
        <v>566</v>
      </c>
      <c r="C2769">
        <v>45839</v>
      </c>
      <c r="F2769" t="s">
        <v>752</v>
      </c>
      <c r="H2769">
        <v>182</v>
      </c>
      <c r="O2769" t="s">
        <v>239</v>
      </c>
      <c r="P2769" t="s">
        <v>514</v>
      </c>
      <c r="Y2769">
        <v>2735</v>
      </c>
      <c r="Z2769" s="259" t="s">
        <v>630</v>
      </c>
      <c r="AA2769">
        <v>0</v>
      </c>
      <c r="AB2769">
        <v>0</v>
      </c>
      <c r="AC2769">
        <v>45839</v>
      </c>
      <c r="AD2769">
        <v>0</v>
      </c>
      <c r="AE2769">
        <v>0</v>
      </c>
      <c r="AF2769">
        <v>0</v>
      </c>
      <c r="AG2769">
        <v>0</v>
      </c>
      <c r="AH2769">
        <v>0</v>
      </c>
    </row>
    <row r="2770" spans="2:34" x14ac:dyDescent="0.35">
      <c r="B2770" t="s">
        <v>566</v>
      </c>
      <c r="C2770">
        <v>45839</v>
      </c>
      <c r="F2770" t="s">
        <v>754</v>
      </c>
      <c r="H2770">
        <v>81</v>
      </c>
      <c r="O2770" t="s">
        <v>239</v>
      </c>
      <c r="P2770" t="s">
        <v>514</v>
      </c>
      <c r="Y2770">
        <v>2736</v>
      </c>
      <c r="Z2770" s="259" t="s">
        <v>630</v>
      </c>
      <c r="AA2770">
        <v>0</v>
      </c>
      <c r="AB2770">
        <v>0</v>
      </c>
      <c r="AC2770">
        <v>45839</v>
      </c>
      <c r="AD2770">
        <v>0</v>
      </c>
      <c r="AE2770">
        <v>0</v>
      </c>
      <c r="AF2770">
        <v>0</v>
      </c>
      <c r="AG2770">
        <v>0</v>
      </c>
      <c r="AH2770">
        <v>0</v>
      </c>
    </row>
    <row r="2771" spans="2:34" x14ac:dyDescent="0.35">
      <c r="B2771" t="s">
        <v>566</v>
      </c>
      <c r="C2771">
        <v>45840</v>
      </c>
      <c r="F2771" t="s">
        <v>749</v>
      </c>
      <c r="H2771">
        <v>55.38</v>
      </c>
      <c r="O2771" t="s">
        <v>239</v>
      </c>
      <c r="P2771" t="s">
        <v>514</v>
      </c>
      <c r="Y2771">
        <v>2737</v>
      </c>
      <c r="Z2771" s="259" t="s">
        <v>630</v>
      </c>
      <c r="AA2771">
        <v>0</v>
      </c>
      <c r="AB2771">
        <v>0</v>
      </c>
      <c r="AC2771">
        <v>45840</v>
      </c>
      <c r="AD2771">
        <v>0</v>
      </c>
      <c r="AE2771">
        <v>0</v>
      </c>
      <c r="AF2771">
        <v>0</v>
      </c>
      <c r="AG2771">
        <v>0</v>
      </c>
      <c r="AH2771">
        <v>0</v>
      </c>
    </row>
    <row r="2772" spans="2:34" x14ac:dyDescent="0.35">
      <c r="B2772" t="s">
        <v>566</v>
      </c>
      <c r="C2772">
        <v>45840</v>
      </c>
      <c r="F2772" t="s">
        <v>752</v>
      </c>
      <c r="H2772">
        <v>181.87</v>
      </c>
      <c r="O2772" t="s">
        <v>239</v>
      </c>
      <c r="P2772" t="s">
        <v>514</v>
      </c>
      <c r="Y2772">
        <v>2738</v>
      </c>
      <c r="Z2772" s="259" t="s">
        <v>630</v>
      </c>
      <c r="AA2772">
        <v>0</v>
      </c>
      <c r="AB2772">
        <v>0</v>
      </c>
      <c r="AC2772">
        <v>45840</v>
      </c>
      <c r="AD2772">
        <v>0</v>
      </c>
      <c r="AE2772">
        <v>0</v>
      </c>
      <c r="AF2772">
        <v>0</v>
      </c>
      <c r="AG2772">
        <v>0</v>
      </c>
      <c r="AH2772">
        <v>0</v>
      </c>
    </row>
    <row r="2773" spans="2:34" x14ac:dyDescent="0.35">
      <c r="B2773" t="s">
        <v>566</v>
      </c>
      <c r="C2773">
        <v>45840</v>
      </c>
      <c r="F2773" t="s">
        <v>754</v>
      </c>
      <c r="H2773">
        <v>80.87</v>
      </c>
      <c r="O2773" t="s">
        <v>239</v>
      </c>
      <c r="P2773" t="s">
        <v>514</v>
      </c>
      <c r="Y2773">
        <v>2739</v>
      </c>
      <c r="Z2773" s="259" t="s">
        <v>630</v>
      </c>
      <c r="AA2773">
        <v>0</v>
      </c>
      <c r="AB2773">
        <v>0</v>
      </c>
      <c r="AC2773">
        <v>45840</v>
      </c>
      <c r="AD2773">
        <v>0</v>
      </c>
      <c r="AE2773">
        <v>0</v>
      </c>
      <c r="AF2773">
        <v>0</v>
      </c>
      <c r="AG2773">
        <v>0</v>
      </c>
      <c r="AH2773">
        <v>0</v>
      </c>
    </row>
    <row r="2774" spans="2:34" x14ac:dyDescent="0.35">
      <c r="B2774" t="s">
        <v>566</v>
      </c>
      <c r="C2774">
        <v>45841</v>
      </c>
      <c r="F2774" t="s">
        <v>749</v>
      </c>
      <c r="H2774">
        <v>55.27</v>
      </c>
      <c r="O2774" t="s">
        <v>239</v>
      </c>
      <c r="P2774" t="s">
        <v>514</v>
      </c>
      <c r="Y2774">
        <v>2740</v>
      </c>
      <c r="Z2774" s="259" t="s">
        <v>630</v>
      </c>
      <c r="AA2774">
        <v>0</v>
      </c>
      <c r="AB2774">
        <v>0</v>
      </c>
      <c r="AC2774">
        <v>45841</v>
      </c>
      <c r="AD2774">
        <v>0</v>
      </c>
      <c r="AE2774">
        <v>0</v>
      </c>
      <c r="AF2774">
        <v>0</v>
      </c>
      <c r="AG2774">
        <v>0</v>
      </c>
      <c r="AH2774">
        <v>0</v>
      </c>
    </row>
    <row r="2775" spans="2:34" x14ac:dyDescent="0.35">
      <c r="B2775" t="s">
        <v>566</v>
      </c>
      <c r="C2775">
        <v>45841</v>
      </c>
      <c r="F2775" t="s">
        <v>752</v>
      </c>
      <c r="H2775">
        <v>181.73</v>
      </c>
      <c r="O2775" t="s">
        <v>239</v>
      </c>
      <c r="P2775" t="s">
        <v>514</v>
      </c>
      <c r="Y2775">
        <v>2741</v>
      </c>
      <c r="Z2775" s="259" t="s">
        <v>630</v>
      </c>
      <c r="AA2775">
        <v>0</v>
      </c>
      <c r="AB2775">
        <v>0</v>
      </c>
      <c r="AC2775">
        <v>45841</v>
      </c>
      <c r="AD2775">
        <v>0</v>
      </c>
      <c r="AE2775">
        <v>0</v>
      </c>
      <c r="AF2775">
        <v>0</v>
      </c>
      <c r="AG2775">
        <v>0</v>
      </c>
      <c r="AH2775">
        <v>0</v>
      </c>
    </row>
    <row r="2776" spans="2:34" x14ac:dyDescent="0.35">
      <c r="B2776" t="s">
        <v>566</v>
      </c>
      <c r="C2776">
        <v>45841</v>
      </c>
      <c r="F2776" t="s">
        <v>754</v>
      </c>
      <c r="H2776">
        <v>80.73</v>
      </c>
      <c r="O2776" t="s">
        <v>239</v>
      </c>
      <c r="P2776" t="s">
        <v>514</v>
      </c>
      <c r="Y2776">
        <v>2742</v>
      </c>
      <c r="Z2776" s="259" t="s">
        <v>630</v>
      </c>
      <c r="AA2776">
        <v>0</v>
      </c>
      <c r="AB2776">
        <v>0</v>
      </c>
      <c r="AC2776">
        <v>45841</v>
      </c>
      <c r="AD2776">
        <v>0</v>
      </c>
      <c r="AE2776">
        <v>0</v>
      </c>
      <c r="AF2776">
        <v>0</v>
      </c>
      <c r="AG2776">
        <v>0</v>
      </c>
      <c r="AH2776">
        <v>0</v>
      </c>
    </row>
    <row r="2777" spans="2:34" x14ac:dyDescent="0.35">
      <c r="B2777" t="s">
        <v>566</v>
      </c>
      <c r="C2777">
        <v>45842</v>
      </c>
      <c r="F2777" t="s">
        <v>749</v>
      </c>
      <c r="H2777">
        <v>55.15</v>
      </c>
      <c r="O2777" t="s">
        <v>239</v>
      </c>
      <c r="P2777" t="s">
        <v>514</v>
      </c>
      <c r="Y2777">
        <v>2743</v>
      </c>
      <c r="Z2777" s="259" t="s">
        <v>630</v>
      </c>
      <c r="AA2777">
        <v>0</v>
      </c>
      <c r="AB2777">
        <v>0</v>
      </c>
      <c r="AC2777">
        <v>45842</v>
      </c>
      <c r="AD2777">
        <v>0</v>
      </c>
      <c r="AE2777">
        <v>0</v>
      </c>
      <c r="AF2777">
        <v>0</v>
      </c>
      <c r="AG2777">
        <v>0</v>
      </c>
      <c r="AH2777">
        <v>0</v>
      </c>
    </row>
    <row r="2778" spans="2:34" x14ac:dyDescent="0.35">
      <c r="B2778" t="s">
        <v>566</v>
      </c>
      <c r="C2778">
        <v>45842</v>
      </c>
      <c r="F2778" t="s">
        <v>752</v>
      </c>
      <c r="H2778">
        <v>181.6</v>
      </c>
      <c r="O2778" t="s">
        <v>239</v>
      </c>
      <c r="P2778" t="s">
        <v>514</v>
      </c>
      <c r="Y2778">
        <v>2744</v>
      </c>
      <c r="Z2778" s="259" t="s">
        <v>630</v>
      </c>
      <c r="AA2778">
        <v>0</v>
      </c>
      <c r="AB2778">
        <v>0</v>
      </c>
      <c r="AC2778">
        <v>45842</v>
      </c>
      <c r="AD2778">
        <v>0</v>
      </c>
      <c r="AE2778">
        <v>0</v>
      </c>
      <c r="AF2778">
        <v>0</v>
      </c>
      <c r="AG2778">
        <v>0</v>
      </c>
      <c r="AH2778">
        <v>0</v>
      </c>
    </row>
    <row r="2779" spans="2:34" x14ac:dyDescent="0.35">
      <c r="B2779" t="s">
        <v>566</v>
      </c>
      <c r="C2779">
        <v>45842</v>
      </c>
      <c r="F2779" t="s">
        <v>754</v>
      </c>
      <c r="H2779">
        <v>80.599999999999994</v>
      </c>
      <c r="O2779" t="s">
        <v>239</v>
      </c>
      <c r="P2779" t="s">
        <v>514</v>
      </c>
      <c r="Y2779">
        <v>2745</v>
      </c>
      <c r="Z2779" s="259" t="s">
        <v>630</v>
      </c>
      <c r="AA2779">
        <v>0</v>
      </c>
      <c r="AB2779">
        <v>0</v>
      </c>
      <c r="AC2779">
        <v>45842</v>
      </c>
      <c r="AD2779">
        <v>0</v>
      </c>
      <c r="AE2779">
        <v>0</v>
      </c>
      <c r="AF2779">
        <v>0</v>
      </c>
      <c r="AG2779">
        <v>0</v>
      </c>
      <c r="AH2779">
        <v>0</v>
      </c>
    </row>
    <row r="2780" spans="2:34" x14ac:dyDescent="0.35">
      <c r="B2780" t="s">
        <v>566</v>
      </c>
      <c r="C2780">
        <v>45843</v>
      </c>
      <c r="F2780" t="s">
        <v>749</v>
      </c>
      <c r="H2780">
        <v>55.15</v>
      </c>
      <c r="O2780" t="s">
        <v>239</v>
      </c>
      <c r="P2780" t="s">
        <v>514</v>
      </c>
      <c r="Y2780">
        <v>2746</v>
      </c>
      <c r="Z2780" s="259" t="s">
        <v>630</v>
      </c>
      <c r="AA2780">
        <v>0</v>
      </c>
      <c r="AB2780">
        <v>0</v>
      </c>
      <c r="AC2780">
        <v>45842</v>
      </c>
      <c r="AD2780">
        <v>1</v>
      </c>
      <c r="AE2780">
        <v>0</v>
      </c>
      <c r="AF2780">
        <v>0</v>
      </c>
      <c r="AG2780">
        <v>0</v>
      </c>
      <c r="AH2780">
        <v>0</v>
      </c>
    </row>
    <row r="2781" spans="2:34" x14ac:dyDescent="0.35">
      <c r="B2781" t="s">
        <v>566</v>
      </c>
      <c r="C2781">
        <v>45843</v>
      </c>
      <c r="F2781" t="s">
        <v>752</v>
      </c>
      <c r="H2781">
        <v>181.6</v>
      </c>
      <c r="O2781" t="s">
        <v>239</v>
      </c>
      <c r="P2781" t="s">
        <v>514</v>
      </c>
      <c r="Y2781">
        <v>2747</v>
      </c>
      <c r="Z2781" s="259" t="s">
        <v>630</v>
      </c>
      <c r="AA2781">
        <v>0</v>
      </c>
      <c r="AB2781">
        <v>0</v>
      </c>
      <c r="AC2781">
        <v>45842</v>
      </c>
      <c r="AD2781">
        <v>1</v>
      </c>
      <c r="AE2781">
        <v>0</v>
      </c>
      <c r="AF2781">
        <v>0</v>
      </c>
      <c r="AG2781">
        <v>0</v>
      </c>
      <c r="AH2781">
        <v>0</v>
      </c>
    </row>
    <row r="2782" spans="2:34" x14ac:dyDescent="0.35">
      <c r="B2782" t="s">
        <v>566</v>
      </c>
      <c r="C2782">
        <v>45843</v>
      </c>
      <c r="F2782" t="s">
        <v>754</v>
      </c>
      <c r="H2782">
        <v>80.599999999999994</v>
      </c>
      <c r="O2782" t="s">
        <v>239</v>
      </c>
      <c r="P2782" t="s">
        <v>514</v>
      </c>
      <c r="Y2782">
        <v>2748</v>
      </c>
      <c r="Z2782" s="259" t="s">
        <v>630</v>
      </c>
      <c r="AA2782">
        <v>0</v>
      </c>
      <c r="AB2782">
        <v>0</v>
      </c>
      <c r="AC2782">
        <v>45842</v>
      </c>
      <c r="AD2782">
        <v>1</v>
      </c>
      <c r="AE2782">
        <v>0</v>
      </c>
      <c r="AF2782">
        <v>0</v>
      </c>
      <c r="AG2782">
        <v>0</v>
      </c>
      <c r="AH2782">
        <v>0</v>
      </c>
    </row>
    <row r="2783" spans="2:34" x14ac:dyDescent="0.35">
      <c r="B2783" t="s">
        <v>566</v>
      </c>
      <c r="C2783">
        <v>45844</v>
      </c>
      <c r="F2783" t="s">
        <v>749</v>
      </c>
      <c r="H2783">
        <v>55.15</v>
      </c>
      <c r="O2783" t="s">
        <v>239</v>
      </c>
      <c r="P2783" t="s">
        <v>514</v>
      </c>
      <c r="Y2783">
        <v>2749</v>
      </c>
      <c r="Z2783" s="259" t="s">
        <v>630</v>
      </c>
      <c r="AA2783">
        <v>0</v>
      </c>
      <c r="AB2783">
        <v>0</v>
      </c>
      <c r="AC2783">
        <v>45842</v>
      </c>
      <c r="AD2783">
        <v>2</v>
      </c>
      <c r="AE2783">
        <v>0</v>
      </c>
      <c r="AF2783">
        <v>0</v>
      </c>
      <c r="AG2783">
        <v>0</v>
      </c>
      <c r="AH2783">
        <v>0</v>
      </c>
    </row>
    <row r="2784" spans="2:34" x14ac:dyDescent="0.35">
      <c r="B2784" t="s">
        <v>566</v>
      </c>
      <c r="C2784">
        <v>45844</v>
      </c>
      <c r="F2784" t="s">
        <v>752</v>
      </c>
      <c r="H2784">
        <v>181.6</v>
      </c>
      <c r="O2784" t="s">
        <v>239</v>
      </c>
      <c r="P2784" t="s">
        <v>514</v>
      </c>
      <c r="Y2784">
        <v>2750</v>
      </c>
      <c r="Z2784" s="259" t="s">
        <v>630</v>
      </c>
      <c r="AA2784">
        <v>0</v>
      </c>
      <c r="AB2784">
        <v>0</v>
      </c>
      <c r="AC2784">
        <v>45842</v>
      </c>
      <c r="AD2784">
        <v>2</v>
      </c>
      <c r="AE2784">
        <v>0</v>
      </c>
      <c r="AF2784">
        <v>0</v>
      </c>
      <c r="AG2784">
        <v>0</v>
      </c>
      <c r="AH2784">
        <v>0</v>
      </c>
    </row>
    <row r="2785" spans="2:34" x14ac:dyDescent="0.35">
      <c r="B2785" t="s">
        <v>566</v>
      </c>
      <c r="C2785">
        <v>45844</v>
      </c>
      <c r="F2785" t="s">
        <v>754</v>
      </c>
      <c r="H2785">
        <v>80.599999999999994</v>
      </c>
      <c r="O2785" t="s">
        <v>239</v>
      </c>
      <c r="P2785" t="s">
        <v>514</v>
      </c>
      <c r="Y2785">
        <v>2751</v>
      </c>
      <c r="Z2785" s="259" t="s">
        <v>630</v>
      </c>
      <c r="AA2785">
        <v>0</v>
      </c>
      <c r="AB2785">
        <v>0</v>
      </c>
      <c r="AC2785">
        <v>45842</v>
      </c>
      <c r="AD2785">
        <v>2</v>
      </c>
      <c r="AE2785">
        <v>0</v>
      </c>
      <c r="AF2785">
        <v>0</v>
      </c>
      <c r="AG2785">
        <v>0</v>
      </c>
      <c r="AH2785">
        <v>0</v>
      </c>
    </row>
    <row r="2786" spans="2:34" x14ac:dyDescent="0.35">
      <c r="B2786" t="s">
        <v>566</v>
      </c>
      <c r="C2786">
        <v>45845</v>
      </c>
      <c r="F2786" t="s">
        <v>749</v>
      </c>
      <c r="H2786">
        <v>54.8</v>
      </c>
      <c r="O2786" t="s">
        <v>239</v>
      </c>
      <c r="P2786" t="s">
        <v>514</v>
      </c>
      <c r="Y2786">
        <v>2752</v>
      </c>
      <c r="Z2786" s="259" t="s">
        <v>630</v>
      </c>
      <c r="AA2786">
        <v>0</v>
      </c>
      <c r="AB2786">
        <v>0</v>
      </c>
      <c r="AC2786">
        <v>45845</v>
      </c>
      <c r="AD2786">
        <v>0</v>
      </c>
      <c r="AE2786">
        <v>0</v>
      </c>
      <c r="AF2786">
        <v>0</v>
      </c>
      <c r="AG2786">
        <v>0</v>
      </c>
      <c r="AH2786">
        <v>0</v>
      </c>
    </row>
    <row r="2787" spans="2:34" x14ac:dyDescent="0.35">
      <c r="B2787" t="s">
        <v>566</v>
      </c>
      <c r="C2787">
        <v>45845</v>
      </c>
      <c r="F2787" t="s">
        <v>752</v>
      </c>
      <c r="H2787">
        <v>181.2</v>
      </c>
      <c r="O2787" t="s">
        <v>239</v>
      </c>
      <c r="P2787" t="s">
        <v>514</v>
      </c>
      <c r="Y2787">
        <v>2753</v>
      </c>
      <c r="Z2787" s="259" t="s">
        <v>630</v>
      </c>
      <c r="AA2787">
        <v>0</v>
      </c>
      <c r="AB2787">
        <v>0</v>
      </c>
      <c r="AC2787">
        <v>45845</v>
      </c>
      <c r="AD2787">
        <v>0</v>
      </c>
      <c r="AE2787">
        <v>0</v>
      </c>
      <c r="AF2787">
        <v>0</v>
      </c>
      <c r="AG2787">
        <v>0</v>
      </c>
      <c r="AH2787">
        <v>0</v>
      </c>
    </row>
    <row r="2788" spans="2:34" x14ac:dyDescent="0.35">
      <c r="B2788" t="s">
        <v>566</v>
      </c>
      <c r="C2788">
        <v>45845</v>
      </c>
      <c r="F2788" t="s">
        <v>754</v>
      </c>
      <c r="H2788">
        <v>80.2</v>
      </c>
      <c r="O2788" t="s">
        <v>239</v>
      </c>
      <c r="P2788" t="s">
        <v>514</v>
      </c>
      <c r="Y2788">
        <v>2754</v>
      </c>
      <c r="Z2788" s="259" t="s">
        <v>630</v>
      </c>
      <c r="AA2788">
        <v>0</v>
      </c>
      <c r="AB2788">
        <v>0</v>
      </c>
      <c r="AC2788">
        <v>45845</v>
      </c>
      <c r="AD2788">
        <v>0</v>
      </c>
      <c r="AE2788">
        <v>0</v>
      </c>
      <c r="AF2788">
        <v>0</v>
      </c>
      <c r="AG2788">
        <v>0</v>
      </c>
      <c r="AH2788">
        <v>0</v>
      </c>
    </row>
    <row r="2789" spans="2:34" x14ac:dyDescent="0.35">
      <c r="B2789" t="s">
        <v>566</v>
      </c>
      <c r="C2789">
        <v>45846</v>
      </c>
      <c r="F2789" t="s">
        <v>749</v>
      </c>
      <c r="H2789">
        <v>54.68</v>
      </c>
      <c r="O2789" t="s">
        <v>239</v>
      </c>
      <c r="P2789" t="s">
        <v>514</v>
      </c>
      <c r="Y2789">
        <v>2755</v>
      </c>
      <c r="Z2789" s="259" t="s">
        <v>630</v>
      </c>
      <c r="AA2789">
        <v>0</v>
      </c>
      <c r="AB2789">
        <v>0</v>
      </c>
      <c r="AC2789">
        <v>45846</v>
      </c>
      <c r="AD2789">
        <v>0</v>
      </c>
      <c r="AE2789">
        <v>0</v>
      </c>
      <c r="AF2789">
        <v>0</v>
      </c>
      <c r="AG2789">
        <v>0</v>
      </c>
      <c r="AH2789">
        <v>0</v>
      </c>
    </row>
    <row r="2790" spans="2:34" x14ac:dyDescent="0.35">
      <c r="B2790" t="s">
        <v>566</v>
      </c>
      <c r="C2790">
        <v>45846</v>
      </c>
      <c r="F2790" t="s">
        <v>752</v>
      </c>
      <c r="H2790">
        <v>181.07</v>
      </c>
      <c r="O2790" t="s">
        <v>239</v>
      </c>
      <c r="P2790" t="s">
        <v>514</v>
      </c>
      <c r="Y2790">
        <v>2756</v>
      </c>
      <c r="Z2790" s="259" t="s">
        <v>630</v>
      </c>
      <c r="AA2790">
        <v>0</v>
      </c>
      <c r="AB2790">
        <v>0</v>
      </c>
      <c r="AC2790">
        <v>45846</v>
      </c>
      <c r="AD2790">
        <v>0</v>
      </c>
      <c r="AE2790">
        <v>0</v>
      </c>
      <c r="AF2790">
        <v>0</v>
      </c>
      <c r="AG2790">
        <v>0</v>
      </c>
      <c r="AH2790">
        <v>0</v>
      </c>
    </row>
    <row r="2791" spans="2:34" x14ac:dyDescent="0.35">
      <c r="B2791" t="s">
        <v>566</v>
      </c>
      <c r="C2791">
        <v>45846</v>
      </c>
      <c r="F2791" t="s">
        <v>754</v>
      </c>
      <c r="H2791">
        <v>80.069999999999993</v>
      </c>
      <c r="O2791" t="s">
        <v>239</v>
      </c>
      <c r="P2791" t="s">
        <v>514</v>
      </c>
      <c r="Y2791">
        <v>2757</v>
      </c>
      <c r="Z2791" s="259" t="s">
        <v>630</v>
      </c>
      <c r="AA2791">
        <v>0</v>
      </c>
      <c r="AB2791">
        <v>0</v>
      </c>
      <c r="AC2791">
        <v>45846</v>
      </c>
      <c r="AD2791">
        <v>0</v>
      </c>
      <c r="AE2791">
        <v>0</v>
      </c>
      <c r="AF2791">
        <v>0</v>
      </c>
      <c r="AG2791">
        <v>0</v>
      </c>
      <c r="AH2791">
        <v>0</v>
      </c>
    </row>
    <row r="2792" spans="2:34" x14ac:dyDescent="0.35">
      <c r="B2792" t="s">
        <v>566</v>
      </c>
      <c r="C2792">
        <v>45847</v>
      </c>
      <c r="F2792" t="s">
        <v>749</v>
      </c>
      <c r="H2792">
        <v>54.57</v>
      </c>
      <c r="O2792" t="s">
        <v>239</v>
      </c>
      <c r="P2792" t="s">
        <v>514</v>
      </c>
      <c r="Y2792">
        <v>2758</v>
      </c>
      <c r="Z2792" s="259" t="s">
        <v>630</v>
      </c>
      <c r="AA2792">
        <v>0</v>
      </c>
      <c r="AB2792">
        <v>0</v>
      </c>
      <c r="AC2792">
        <v>45847</v>
      </c>
      <c r="AD2792">
        <v>0</v>
      </c>
      <c r="AE2792">
        <v>0</v>
      </c>
      <c r="AF2792">
        <v>0</v>
      </c>
      <c r="AG2792">
        <v>0</v>
      </c>
      <c r="AH2792">
        <v>0</v>
      </c>
    </row>
    <row r="2793" spans="2:34" x14ac:dyDescent="0.35">
      <c r="B2793" t="s">
        <v>566</v>
      </c>
      <c r="C2793">
        <v>45847</v>
      </c>
      <c r="F2793" t="s">
        <v>752</v>
      </c>
      <c r="H2793">
        <v>180.93</v>
      </c>
      <c r="O2793" t="s">
        <v>239</v>
      </c>
      <c r="P2793" t="s">
        <v>514</v>
      </c>
      <c r="Y2793">
        <v>2759</v>
      </c>
      <c r="Z2793" s="259" t="s">
        <v>630</v>
      </c>
      <c r="AA2793">
        <v>0</v>
      </c>
      <c r="AB2793">
        <v>0</v>
      </c>
      <c r="AC2793">
        <v>45847</v>
      </c>
      <c r="AD2793">
        <v>0</v>
      </c>
      <c r="AE2793">
        <v>0</v>
      </c>
      <c r="AF2793">
        <v>0</v>
      </c>
      <c r="AG2793">
        <v>0</v>
      </c>
      <c r="AH2793">
        <v>0</v>
      </c>
    </row>
    <row r="2794" spans="2:34" x14ac:dyDescent="0.35">
      <c r="B2794" t="s">
        <v>566</v>
      </c>
      <c r="C2794">
        <v>45847</v>
      </c>
      <c r="F2794" t="s">
        <v>754</v>
      </c>
      <c r="H2794">
        <v>79.930000000000007</v>
      </c>
      <c r="O2794" t="s">
        <v>239</v>
      </c>
      <c r="P2794" t="s">
        <v>514</v>
      </c>
      <c r="Y2794">
        <v>2760</v>
      </c>
      <c r="Z2794" s="259" t="s">
        <v>630</v>
      </c>
      <c r="AA2794">
        <v>0</v>
      </c>
      <c r="AB2794">
        <v>0</v>
      </c>
      <c r="AC2794">
        <v>45847</v>
      </c>
      <c r="AD2794">
        <v>0</v>
      </c>
      <c r="AE2794">
        <v>0</v>
      </c>
      <c r="AF2794">
        <v>0</v>
      </c>
      <c r="AG2794">
        <v>0</v>
      </c>
      <c r="AH2794">
        <v>0</v>
      </c>
    </row>
    <row r="2795" spans="2:34" x14ac:dyDescent="0.35">
      <c r="B2795" t="s">
        <v>566</v>
      </c>
      <c r="C2795">
        <v>45848</v>
      </c>
      <c r="F2795" t="s">
        <v>749</v>
      </c>
      <c r="H2795">
        <v>54.45</v>
      </c>
      <c r="O2795" t="s">
        <v>239</v>
      </c>
      <c r="P2795" t="s">
        <v>514</v>
      </c>
      <c r="Y2795">
        <v>2761</v>
      </c>
      <c r="Z2795" s="259" t="s">
        <v>630</v>
      </c>
      <c r="AA2795">
        <v>0</v>
      </c>
      <c r="AB2795">
        <v>0</v>
      </c>
      <c r="AC2795">
        <v>45848</v>
      </c>
      <c r="AD2795">
        <v>0</v>
      </c>
      <c r="AE2795">
        <v>0</v>
      </c>
      <c r="AF2795">
        <v>0</v>
      </c>
      <c r="AG2795">
        <v>0</v>
      </c>
      <c r="AH2795">
        <v>0</v>
      </c>
    </row>
    <row r="2796" spans="2:34" x14ac:dyDescent="0.35">
      <c r="B2796" t="s">
        <v>566</v>
      </c>
      <c r="C2796">
        <v>45848</v>
      </c>
      <c r="F2796" t="s">
        <v>752</v>
      </c>
      <c r="H2796">
        <v>180.8</v>
      </c>
      <c r="O2796" t="s">
        <v>239</v>
      </c>
      <c r="P2796" t="s">
        <v>514</v>
      </c>
      <c r="Y2796">
        <v>2762</v>
      </c>
      <c r="Z2796" s="259" t="s">
        <v>630</v>
      </c>
      <c r="AA2796">
        <v>0</v>
      </c>
      <c r="AB2796">
        <v>0</v>
      </c>
      <c r="AC2796">
        <v>45848</v>
      </c>
      <c r="AD2796">
        <v>0</v>
      </c>
      <c r="AE2796">
        <v>0</v>
      </c>
      <c r="AF2796">
        <v>0</v>
      </c>
      <c r="AG2796">
        <v>0</v>
      </c>
      <c r="AH2796">
        <v>0</v>
      </c>
    </row>
    <row r="2797" spans="2:34" x14ac:dyDescent="0.35">
      <c r="B2797" t="s">
        <v>566</v>
      </c>
      <c r="C2797">
        <v>45848</v>
      </c>
      <c r="F2797" t="s">
        <v>754</v>
      </c>
      <c r="H2797">
        <v>79.8</v>
      </c>
      <c r="O2797" t="s">
        <v>239</v>
      </c>
      <c r="P2797" t="s">
        <v>514</v>
      </c>
      <c r="Y2797">
        <v>2763</v>
      </c>
      <c r="Z2797" s="259" t="s">
        <v>630</v>
      </c>
      <c r="AA2797">
        <v>0</v>
      </c>
      <c r="AB2797">
        <v>0</v>
      </c>
      <c r="AC2797">
        <v>45848</v>
      </c>
      <c r="AD2797">
        <v>0</v>
      </c>
      <c r="AE2797">
        <v>0</v>
      </c>
      <c r="AF2797">
        <v>0</v>
      </c>
      <c r="AG2797">
        <v>0</v>
      </c>
      <c r="AH2797">
        <v>0</v>
      </c>
    </row>
    <row r="2798" spans="2:34" x14ac:dyDescent="0.35">
      <c r="B2798" t="s">
        <v>566</v>
      </c>
      <c r="C2798">
        <v>45849</v>
      </c>
      <c r="F2798" t="s">
        <v>749</v>
      </c>
      <c r="H2798">
        <v>54.33</v>
      </c>
      <c r="O2798" t="s">
        <v>239</v>
      </c>
      <c r="P2798" t="s">
        <v>514</v>
      </c>
      <c r="Y2798">
        <v>2764</v>
      </c>
      <c r="Z2798" s="259" t="s">
        <v>630</v>
      </c>
      <c r="AA2798">
        <v>0</v>
      </c>
      <c r="AB2798">
        <v>0</v>
      </c>
      <c r="AC2798">
        <v>45849</v>
      </c>
      <c r="AD2798">
        <v>0</v>
      </c>
      <c r="AE2798">
        <v>0</v>
      </c>
      <c r="AF2798">
        <v>0</v>
      </c>
      <c r="AG2798">
        <v>0</v>
      </c>
      <c r="AH2798">
        <v>0</v>
      </c>
    </row>
    <row r="2799" spans="2:34" x14ac:dyDescent="0.35">
      <c r="B2799" t="s">
        <v>566</v>
      </c>
      <c r="C2799">
        <v>45849</v>
      </c>
      <c r="F2799" t="s">
        <v>752</v>
      </c>
      <c r="H2799">
        <v>180.67</v>
      </c>
      <c r="O2799" t="s">
        <v>239</v>
      </c>
      <c r="P2799" t="s">
        <v>514</v>
      </c>
      <c r="Y2799">
        <v>2765</v>
      </c>
      <c r="Z2799" s="259" t="s">
        <v>630</v>
      </c>
      <c r="AA2799">
        <v>0</v>
      </c>
      <c r="AB2799">
        <v>0</v>
      </c>
      <c r="AC2799">
        <v>45849</v>
      </c>
      <c r="AD2799">
        <v>0</v>
      </c>
      <c r="AE2799">
        <v>0</v>
      </c>
      <c r="AF2799">
        <v>0</v>
      </c>
      <c r="AG2799">
        <v>0</v>
      </c>
      <c r="AH2799">
        <v>0</v>
      </c>
    </row>
    <row r="2800" spans="2:34" x14ac:dyDescent="0.35">
      <c r="B2800" t="s">
        <v>566</v>
      </c>
      <c r="C2800">
        <v>45849</v>
      </c>
      <c r="F2800" t="s">
        <v>754</v>
      </c>
      <c r="H2800">
        <v>79.67</v>
      </c>
      <c r="O2800" t="s">
        <v>239</v>
      </c>
      <c r="P2800" t="s">
        <v>514</v>
      </c>
      <c r="Y2800">
        <v>2766</v>
      </c>
      <c r="Z2800" s="259" t="s">
        <v>630</v>
      </c>
      <c r="AA2800">
        <v>0</v>
      </c>
      <c r="AB2800">
        <v>0</v>
      </c>
      <c r="AC2800">
        <v>45849</v>
      </c>
      <c r="AD2800">
        <v>0</v>
      </c>
      <c r="AE2800">
        <v>0</v>
      </c>
      <c r="AF2800">
        <v>0</v>
      </c>
      <c r="AG2800">
        <v>0</v>
      </c>
      <c r="AH2800">
        <v>0</v>
      </c>
    </row>
    <row r="2801" spans="2:34" x14ac:dyDescent="0.35">
      <c r="B2801" t="s">
        <v>566</v>
      </c>
      <c r="C2801">
        <v>45850</v>
      </c>
      <c r="F2801" t="s">
        <v>749</v>
      </c>
      <c r="H2801">
        <v>54.33</v>
      </c>
      <c r="O2801" t="s">
        <v>239</v>
      </c>
      <c r="P2801" t="s">
        <v>514</v>
      </c>
      <c r="Y2801">
        <v>2767</v>
      </c>
      <c r="Z2801" s="259" t="s">
        <v>630</v>
      </c>
      <c r="AA2801">
        <v>0</v>
      </c>
      <c r="AB2801">
        <v>0</v>
      </c>
      <c r="AC2801">
        <v>45849</v>
      </c>
      <c r="AD2801">
        <v>1</v>
      </c>
      <c r="AE2801">
        <v>0</v>
      </c>
      <c r="AF2801">
        <v>0</v>
      </c>
      <c r="AG2801">
        <v>0</v>
      </c>
      <c r="AH2801">
        <v>0</v>
      </c>
    </row>
    <row r="2802" spans="2:34" x14ac:dyDescent="0.35">
      <c r="B2802" t="s">
        <v>566</v>
      </c>
      <c r="C2802">
        <v>45850</v>
      </c>
      <c r="F2802" t="s">
        <v>752</v>
      </c>
      <c r="H2802">
        <v>180.67</v>
      </c>
      <c r="O2802" t="s">
        <v>239</v>
      </c>
      <c r="P2802" t="s">
        <v>514</v>
      </c>
      <c r="Y2802">
        <v>2768</v>
      </c>
      <c r="Z2802" s="259" t="s">
        <v>630</v>
      </c>
      <c r="AA2802">
        <v>0</v>
      </c>
      <c r="AB2802">
        <v>0</v>
      </c>
      <c r="AC2802">
        <v>45849</v>
      </c>
      <c r="AD2802">
        <v>1</v>
      </c>
      <c r="AE2802">
        <v>0</v>
      </c>
      <c r="AF2802">
        <v>0</v>
      </c>
      <c r="AG2802">
        <v>0</v>
      </c>
      <c r="AH2802">
        <v>0</v>
      </c>
    </row>
    <row r="2803" spans="2:34" x14ac:dyDescent="0.35">
      <c r="B2803" t="s">
        <v>566</v>
      </c>
      <c r="C2803">
        <v>45850</v>
      </c>
      <c r="F2803" t="s">
        <v>754</v>
      </c>
      <c r="H2803">
        <v>79.67</v>
      </c>
      <c r="O2803" t="s">
        <v>239</v>
      </c>
      <c r="P2803" t="s">
        <v>514</v>
      </c>
      <c r="Y2803">
        <v>2769</v>
      </c>
      <c r="Z2803" s="259" t="s">
        <v>630</v>
      </c>
      <c r="AA2803">
        <v>0</v>
      </c>
      <c r="AB2803">
        <v>0</v>
      </c>
      <c r="AC2803">
        <v>45849</v>
      </c>
      <c r="AD2803">
        <v>1</v>
      </c>
      <c r="AE2803">
        <v>0</v>
      </c>
      <c r="AF2803">
        <v>0</v>
      </c>
      <c r="AG2803">
        <v>0</v>
      </c>
      <c r="AH2803">
        <v>0</v>
      </c>
    </row>
    <row r="2804" spans="2:34" x14ac:dyDescent="0.35">
      <c r="B2804" t="s">
        <v>566</v>
      </c>
      <c r="C2804">
        <v>45851</v>
      </c>
      <c r="F2804" t="s">
        <v>749</v>
      </c>
      <c r="H2804">
        <v>54.33</v>
      </c>
      <c r="O2804" t="s">
        <v>239</v>
      </c>
      <c r="P2804" t="s">
        <v>514</v>
      </c>
      <c r="Y2804">
        <v>2770</v>
      </c>
      <c r="Z2804" s="259" t="s">
        <v>630</v>
      </c>
      <c r="AA2804">
        <v>0</v>
      </c>
      <c r="AB2804">
        <v>0</v>
      </c>
      <c r="AC2804">
        <v>45849</v>
      </c>
      <c r="AD2804">
        <v>2</v>
      </c>
      <c r="AE2804">
        <v>0</v>
      </c>
      <c r="AF2804">
        <v>0</v>
      </c>
      <c r="AG2804">
        <v>0</v>
      </c>
      <c r="AH2804">
        <v>0</v>
      </c>
    </row>
    <row r="2805" spans="2:34" x14ac:dyDescent="0.35">
      <c r="B2805" t="s">
        <v>566</v>
      </c>
      <c r="C2805">
        <v>45851</v>
      </c>
      <c r="F2805" t="s">
        <v>752</v>
      </c>
      <c r="H2805">
        <v>180.67</v>
      </c>
      <c r="O2805" t="s">
        <v>239</v>
      </c>
      <c r="P2805" t="s">
        <v>514</v>
      </c>
      <c r="Y2805">
        <v>2771</v>
      </c>
      <c r="Z2805" s="259" t="s">
        <v>630</v>
      </c>
      <c r="AA2805">
        <v>0</v>
      </c>
      <c r="AB2805">
        <v>0</v>
      </c>
      <c r="AC2805">
        <v>45849</v>
      </c>
      <c r="AD2805">
        <v>2</v>
      </c>
      <c r="AE2805">
        <v>0</v>
      </c>
      <c r="AF2805">
        <v>0</v>
      </c>
      <c r="AG2805">
        <v>0</v>
      </c>
      <c r="AH2805">
        <v>0</v>
      </c>
    </row>
    <row r="2806" spans="2:34" x14ac:dyDescent="0.35">
      <c r="B2806" t="s">
        <v>566</v>
      </c>
      <c r="C2806">
        <v>45851</v>
      </c>
      <c r="F2806" t="s">
        <v>754</v>
      </c>
      <c r="H2806">
        <v>79.67</v>
      </c>
      <c r="O2806" t="s">
        <v>239</v>
      </c>
      <c r="P2806" t="s">
        <v>514</v>
      </c>
      <c r="Y2806">
        <v>2772</v>
      </c>
      <c r="Z2806" s="259" t="s">
        <v>630</v>
      </c>
      <c r="AA2806">
        <v>0</v>
      </c>
      <c r="AB2806">
        <v>0</v>
      </c>
      <c r="AC2806">
        <v>45849</v>
      </c>
      <c r="AD2806">
        <v>2</v>
      </c>
      <c r="AE2806">
        <v>0</v>
      </c>
      <c r="AF2806">
        <v>0</v>
      </c>
      <c r="AG2806">
        <v>0</v>
      </c>
      <c r="AH2806">
        <v>0</v>
      </c>
    </row>
    <row r="2807" spans="2:34" x14ac:dyDescent="0.35">
      <c r="B2807" t="s">
        <v>566</v>
      </c>
      <c r="C2807">
        <v>45852</v>
      </c>
      <c r="F2807" t="s">
        <v>749</v>
      </c>
      <c r="H2807">
        <v>53.98</v>
      </c>
      <c r="O2807" t="s">
        <v>239</v>
      </c>
      <c r="P2807" t="s">
        <v>514</v>
      </c>
      <c r="Y2807">
        <v>2773</v>
      </c>
      <c r="Z2807" s="259" t="s">
        <v>630</v>
      </c>
      <c r="AA2807">
        <v>0</v>
      </c>
      <c r="AB2807">
        <v>0</v>
      </c>
      <c r="AC2807">
        <v>45852</v>
      </c>
      <c r="AD2807">
        <v>0</v>
      </c>
      <c r="AE2807">
        <v>0</v>
      </c>
      <c r="AF2807">
        <v>0</v>
      </c>
      <c r="AG2807">
        <v>0</v>
      </c>
      <c r="AH2807">
        <v>0</v>
      </c>
    </row>
    <row r="2808" spans="2:34" x14ac:dyDescent="0.35">
      <c r="B2808" t="s">
        <v>566</v>
      </c>
      <c r="C2808">
        <v>45852</v>
      </c>
      <c r="F2808" t="s">
        <v>752</v>
      </c>
      <c r="H2808">
        <v>180.27</v>
      </c>
      <c r="O2808" t="s">
        <v>239</v>
      </c>
      <c r="P2808" t="s">
        <v>514</v>
      </c>
      <c r="Y2808">
        <v>2774</v>
      </c>
      <c r="Z2808" s="259" t="s">
        <v>630</v>
      </c>
      <c r="AA2808">
        <v>0</v>
      </c>
      <c r="AB2808">
        <v>0</v>
      </c>
      <c r="AC2808">
        <v>45852</v>
      </c>
      <c r="AD2808">
        <v>0</v>
      </c>
      <c r="AE2808">
        <v>0</v>
      </c>
      <c r="AF2808">
        <v>0</v>
      </c>
      <c r="AG2808">
        <v>0</v>
      </c>
      <c r="AH2808">
        <v>0</v>
      </c>
    </row>
    <row r="2809" spans="2:34" x14ac:dyDescent="0.35">
      <c r="B2809" t="s">
        <v>566</v>
      </c>
      <c r="C2809">
        <v>45852</v>
      </c>
      <c r="F2809" t="s">
        <v>754</v>
      </c>
      <c r="H2809">
        <v>79.27</v>
      </c>
      <c r="O2809" t="s">
        <v>239</v>
      </c>
      <c r="P2809" t="s">
        <v>514</v>
      </c>
      <c r="Y2809">
        <v>2775</v>
      </c>
      <c r="Z2809" s="259" t="s">
        <v>630</v>
      </c>
      <c r="AA2809">
        <v>0</v>
      </c>
      <c r="AB2809">
        <v>0</v>
      </c>
      <c r="AC2809">
        <v>45852</v>
      </c>
      <c r="AD2809">
        <v>0</v>
      </c>
      <c r="AE2809">
        <v>0</v>
      </c>
      <c r="AF2809">
        <v>0</v>
      </c>
      <c r="AG2809">
        <v>0</v>
      </c>
      <c r="AH2809">
        <v>0</v>
      </c>
    </row>
    <row r="2810" spans="2:34" x14ac:dyDescent="0.35">
      <c r="B2810" t="s">
        <v>566</v>
      </c>
      <c r="C2810">
        <v>45853</v>
      </c>
      <c r="F2810" t="s">
        <v>749</v>
      </c>
      <c r="H2810">
        <v>53.87</v>
      </c>
      <c r="O2810" t="s">
        <v>239</v>
      </c>
      <c r="P2810" t="s">
        <v>514</v>
      </c>
      <c r="Y2810">
        <v>2776</v>
      </c>
      <c r="Z2810" s="259" t="s">
        <v>630</v>
      </c>
      <c r="AA2810">
        <v>0</v>
      </c>
      <c r="AB2810">
        <v>0</v>
      </c>
      <c r="AC2810">
        <v>45853</v>
      </c>
      <c r="AD2810">
        <v>0</v>
      </c>
      <c r="AE2810">
        <v>0</v>
      </c>
      <c r="AF2810">
        <v>0</v>
      </c>
      <c r="AG2810">
        <v>0</v>
      </c>
      <c r="AH2810">
        <v>0</v>
      </c>
    </row>
    <row r="2811" spans="2:34" x14ac:dyDescent="0.35">
      <c r="B2811" t="s">
        <v>566</v>
      </c>
      <c r="C2811">
        <v>45853</v>
      </c>
      <c r="F2811" t="s">
        <v>752</v>
      </c>
      <c r="H2811">
        <v>180.13</v>
      </c>
      <c r="O2811" t="s">
        <v>239</v>
      </c>
      <c r="P2811" t="s">
        <v>514</v>
      </c>
      <c r="Y2811">
        <v>2777</v>
      </c>
      <c r="Z2811" s="259" t="s">
        <v>630</v>
      </c>
      <c r="AA2811">
        <v>0</v>
      </c>
      <c r="AB2811">
        <v>0</v>
      </c>
      <c r="AC2811">
        <v>45853</v>
      </c>
      <c r="AD2811">
        <v>0</v>
      </c>
      <c r="AE2811">
        <v>0</v>
      </c>
      <c r="AF2811">
        <v>0</v>
      </c>
      <c r="AG2811">
        <v>0</v>
      </c>
      <c r="AH2811">
        <v>0</v>
      </c>
    </row>
    <row r="2812" spans="2:34" x14ac:dyDescent="0.35">
      <c r="B2812" t="s">
        <v>566</v>
      </c>
      <c r="C2812">
        <v>45853</v>
      </c>
      <c r="F2812" t="s">
        <v>754</v>
      </c>
      <c r="H2812">
        <v>79.13</v>
      </c>
      <c r="O2812" t="s">
        <v>239</v>
      </c>
      <c r="P2812" t="s">
        <v>514</v>
      </c>
      <c r="Y2812">
        <v>2778</v>
      </c>
      <c r="Z2812" s="259" t="s">
        <v>630</v>
      </c>
      <c r="AA2812">
        <v>0</v>
      </c>
      <c r="AB2812">
        <v>0</v>
      </c>
      <c r="AC2812">
        <v>45853</v>
      </c>
      <c r="AD2812">
        <v>0</v>
      </c>
      <c r="AE2812">
        <v>0</v>
      </c>
      <c r="AF2812">
        <v>0</v>
      </c>
      <c r="AG2812">
        <v>0</v>
      </c>
      <c r="AH2812">
        <v>0</v>
      </c>
    </row>
    <row r="2813" spans="2:34" x14ac:dyDescent="0.35">
      <c r="B2813" t="s">
        <v>566</v>
      </c>
      <c r="C2813">
        <v>45854</v>
      </c>
      <c r="F2813" t="s">
        <v>749</v>
      </c>
      <c r="H2813">
        <v>53.75</v>
      </c>
      <c r="O2813" t="s">
        <v>239</v>
      </c>
      <c r="P2813" t="s">
        <v>514</v>
      </c>
      <c r="Y2813">
        <v>2779</v>
      </c>
      <c r="Z2813" s="259" t="s">
        <v>630</v>
      </c>
      <c r="AA2813">
        <v>0</v>
      </c>
      <c r="AB2813">
        <v>0</v>
      </c>
      <c r="AC2813">
        <v>45854</v>
      </c>
      <c r="AD2813">
        <v>0</v>
      </c>
      <c r="AE2813">
        <v>0</v>
      </c>
      <c r="AF2813">
        <v>0</v>
      </c>
      <c r="AG2813">
        <v>0</v>
      </c>
      <c r="AH2813">
        <v>0</v>
      </c>
    </row>
    <row r="2814" spans="2:34" x14ac:dyDescent="0.35">
      <c r="B2814" t="s">
        <v>566</v>
      </c>
      <c r="C2814">
        <v>45854</v>
      </c>
      <c r="F2814" t="s">
        <v>752</v>
      </c>
      <c r="H2814">
        <v>180</v>
      </c>
      <c r="O2814" t="s">
        <v>239</v>
      </c>
      <c r="P2814" t="s">
        <v>514</v>
      </c>
      <c r="Y2814">
        <v>2780</v>
      </c>
      <c r="Z2814" s="259" t="s">
        <v>630</v>
      </c>
      <c r="AA2814">
        <v>0</v>
      </c>
      <c r="AB2814">
        <v>0</v>
      </c>
      <c r="AC2814">
        <v>45854</v>
      </c>
      <c r="AD2814">
        <v>0</v>
      </c>
      <c r="AE2814">
        <v>0</v>
      </c>
      <c r="AF2814">
        <v>0</v>
      </c>
      <c r="AG2814">
        <v>0</v>
      </c>
      <c r="AH2814">
        <v>0</v>
      </c>
    </row>
    <row r="2815" spans="2:34" x14ac:dyDescent="0.35">
      <c r="B2815" t="s">
        <v>566</v>
      </c>
      <c r="C2815">
        <v>45854</v>
      </c>
      <c r="F2815" t="s">
        <v>754</v>
      </c>
      <c r="H2815">
        <v>79</v>
      </c>
      <c r="O2815" t="s">
        <v>239</v>
      </c>
      <c r="P2815" t="s">
        <v>514</v>
      </c>
      <c r="Y2815">
        <v>2781</v>
      </c>
      <c r="Z2815" s="259" t="s">
        <v>630</v>
      </c>
      <c r="AA2815">
        <v>0</v>
      </c>
      <c r="AB2815">
        <v>0</v>
      </c>
      <c r="AC2815">
        <v>45854</v>
      </c>
      <c r="AD2815">
        <v>0</v>
      </c>
      <c r="AE2815">
        <v>0</v>
      </c>
      <c r="AF2815">
        <v>0</v>
      </c>
      <c r="AG2815">
        <v>0</v>
      </c>
      <c r="AH2815">
        <v>0</v>
      </c>
    </row>
    <row r="2816" spans="2:34" x14ac:dyDescent="0.35">
      <c r="B2816" t="s">
        <v>566</v>
      </c>
      <c r="C2816">
        <v>45855</v>
      </c>
      <c r="F2816" t="s">
        <v>749</v>
      </c>
      <c r="H2816">
        <v>53.63</v>
      </c>
      <c r="O2816" t="s">
        <v>239</v>
      </c>
      <c r="P2816" t="s">
        <v>514</v>
      </c>
      <c r="Y2816">
        <v>2782</v>
      </c>
      <c r="Z2816" s="259" t="s">
        <v>630</v>
      </c>
      <c r="AA2816">
        <v>0</v>
      </c>
      <c r="AB2816">
        <v>0</v>
      </c>
      <c r="AC2816">
        <v>45855</v>
      </c>
      <c r="AD2816">
        <v>0</v>
      </c>
      <c r="AE2816">
        <v>0</v>
      </c>
      <c r="AF2816">
        <v>0</v>
      </c>
      <c r="AG2816">
        <v>0</v>
      </c>
      <c r="AH2816">
        <v>0</v>
      </c>
    </row>
    <row r="2817" spans="2:34" x14ac:dyDescent="0.35">
      <c r="B2817" t="s">
        <v>566</v>
      </c>
      <c r="C2817">
        <v>45855</v>
      </c>
      <c r="F2817" t="s">
        <v>752</v>
      </c>
      <c r="H2817">
        <v>179.87</v>
      </c>
      <c r="O2817" t="s">
        <v>239</v>
      </c>
      <c r="P2817" t="s">
        <v>514</v>
      </c>
      <c r="Y2817">
        <v>2783</v>
      </c>
      <c r="Z2817" s="259" t="s">
        <v>630</v>
      </c>
      <c r="AA2817">
        <v>0</v>
      </c>
      <c r="AB2817">
        <v>0</v>
      </c>
      <c r="AC2817">
        <v>45855</v>
      </c>
      <c r="AD2817">
        <v>0</v>
      </c>
      <c r="AE2817">
        <v>0</v>
      </c>
      <c r="AF2817">
        <v>0</v>
      </c>
      <c r="AG2817">
        <v>0</v>
      </c>
      <c r="AH2817">
        <v>0</v>
      </c>
    </row>
    <row r="2818" spans="2:34" x14ac:dyDescent="0.35">
      <c r="B2818" t="s">
        <v>566</v>
      </c>
      <c r="C2818">
        <v>45855</v>
      </c>
      <c r="F2818" t="s">
        <v>754</v>
      </c>
      <c r="H2818">
        <v>78.87</v>
      </c>
      <c r="O2818" t="s">
        <v>239</v>
      </c>
      <c r="P2818" t="s">
        <v>514</v>
      </c>
      <c r="Y2818">
        <v>2784</v>
      </c>
      <c r="Z2818" s="259" t="s">
        <v>630</v>
      </c>
      <c r="AA2818">
        <v>0</v>
      </c>
      <c r="AB2818">
        <v>0</v>
      </c>
      <c r="AC2818">
        <v>45855</v>
      </c>
      <c r="AD2818">
        <v>0</v>
      </c>
      <c r="AE2818">
        <v>0</v>
      </c>
      <c r="AF2818">
        <v>0</v>
      </c>
      <c r="AG2818">
        <v>0</v>
      </c>
      <c r="AH2818">
        <v>0</v>
      </c>
    </row>
    <row r="2819" spans="2:34" x14ac:dyDescent="0.35">
      <c r="B2819" t="s">
        <v>566</v>
      </c>
      <c r="C2819">
        <v>45856</v>
      </c>
      <c r="F2819" t="s">
        <v>749</v>
      </c>
      <c r="H2819">
        <v>53.52</v>
      </c>
      <c r="O2819" t="s">
        <v>239</v>
      </c>
      <c r="P2819" t="s">
        <v>514</v>
      </c>
      <c r="Y2819">
        <v>2785</v>
      </c>
      <c r="Z2819" s="259" t="s">
        <v>630</v>
      </c>
      <c r="AA2819">
        <v>0</v>
      </c>
      <c r="AB2819">
        <v>0</v>
      </c>
      <c r="AC2819">
        <v>45856</v>
      </c>
      <c r="AD2819">
        <v>0</v>
      </c>
      <c r="AE2819">
        <v>0</v>
      </c>
      <c r="AF2819">
        <v>0</v>
      </c>
      <c r="AG2819">
        <v>0</v>
      </c>
      <c r="AH2819">
        <v>0</v>
      </c>
    </row>
    <row r="2820" spans="2:34" x14ac:dyDescent="0.35">
      <c r="B2820" t="s">
        <v>566</v>
      </c>
      <c r="C2820">
        <v>45856</v>
      </c>
      <c r="F2820" t="s">
        <v>752</v>
      </c>
      <c r="H2820">
        <v>179.73</v>
      </c>
      <c r="O2820" t="s">
        <v>239</v>
      </c>
      <c r="P2820" t="s">
        <v>514</v>
      </c>
      <c r="Y2820">
        <v>2786</v>
      </c>
      <c r="Z2820" s="259" t="s">
        <v>630</v>
      </c>
      <c r="AA2820">
        <v>0</v>
      </c>
      <c r="AB2820">
        <v>0</v>
      </c>
      <c r="AC2820">
        <v>45856</v>
      </c>
      <c r="AD2820">
        <v>0</v>
      </c>
      <c r="AE2820">
        <v>0</v>
      </c>
      <c r="AF2820">
        <v>0</v>
      </c>
      <c r="AG2820">
        <v>0</v>
      </c>
      <c r="AH2820">
        <v>0</v>
      </c>
    </row>
    <row r="2821" spans="2:34" x14ac:dyDescent="0.35">
      <c r="B2821" t="s">
        <v>566</v>
      </c>
      <c r="C2821">
        <v>45856</v>
      </c>
      <c r="F2821" t="s">
        <v>754</v>
      </c>
      <c r="H2821">
        <v>78.73</v>
      </c>
      <c r="O2821" t="s">
        <v>239</v>
      </c>
      <c r="P2821" t="s">
        <v>514</v>
      </c>
      <c r="Y2821">
        <v>2787</v>
      </c>
      <c r="Z2821" s="259" t="s">
        <v>630</v>
      </c>
      <c r="AA2821">
        <v>0</v>
      </c>
      <c r="AB2821">
        <v>0</v>
      </c>
      <c r="AC2821">
        <v>45856</v>
      </c>
      <c r="AD2821">
        <v>0</v>
      </c>
      <c r="AE2821">
        <v>0</v>
      </c>
      <c r="AF2821">
        <v>0</v>
      </c>
      <c r="AG2821">
        <v>0</v>
      </c>
      <c r="AH2821">
        <v>0</v>
      </c>
    </row>
    <row r="2822" spans="2:34" x14ac:dyDescent="0.35">
      <c r="B2822" t="s">
        <v>566</v>
      </c>
      <c r="C2822">
        <v>45857</v>
      </c>
      <c r="F2822" t="s">
        <v>749</v>
      </c>
      <c r="H2822">
        <v>53.52</v>
      </c>
      <c r="O2822" t="s">
        <v>239</v>
      </c>
      <c r="P2822" t="s">
        <v>514</v>
      </c>
      <c r="Y2822">
        <v>2788</v>
      </c>
      <c r="Z2822" s="259" t="s">
        <v>630</v>
      </c>
      <c r="AA2822">
        <v>0</v>
      </c>
      <c r="AB2822">
        <v>0</v>
      </c>
      <c r="AC2822">
        <v>45856</v>
      </c>
      <c r="AD2822">
        <v>1</v>
      </c>
      <c r="AE2822">
        <v>0</v>
      </c>
      <c r="AF2822">
        <v>0</v>
      </c>
      <c r="AG2822">
        <v>0</v>
      </c>
      <c r="AH2822">
        <v>0</v>
      </c>
    </row>
    <row r="2823" spans="2:34" x14ac:dyDescent="0.35">
      <c r="B2823" t="s">
        <v>566</v>
      </c>
      <c r="C2823">
        <v>45857</v>
      </c>
      <c r="F2823" t="s">
        <v>752</v>
      </c>
      <c r="H2823">
        <v>179.73</v>
      </c>
      <c r="O2823" t="s">
        <v>239</v>
      </c>
      <c r="P2823" t="s">
        <v>514</v>
      </c>
      <c r="Y2823">
        <v>2789</v>
      </c>
      <c r="Z2823" s="259" t="s">
        <v>630</v>
      </c>
      <c r="AA2823">
        <v>0</v>
      </c>
      <c r="AB2823">
        <v>0</v>
      </c>
      <c r="AC2823">
        <v>45856</v>
      </c>
      <c r="AD2823">
        <v>1</v>
      </c>
      <c r="AE2823">
        <v>0</v>
      </c>
      <c r="AF2823">
        <v>0</v>
      </c>
      <c r="AG2823">
        <v>0</v>
      </c>
      <c r="AH2823">
        <v>0</v>
      </c>
    </row>
    <row r="2824" spans="2:34" x14ac:dyDescent="0.35">
      <c r="B2824" t="s">
        <v>566</v>
      </c>
      <c r="C2824">
        <v>45857</v>
      </c>
      <c r="F2824" t="s">
        <v>754</v>
      </c>
      <c r="H2824">
        <v>78.73</v>
      </c>
      <c r="O2824" t="s">
        <v>239</v>
      </c>
      <c r="P2824" t="s">
        <v>514</v>
      </c>
      <c r="Y2824">
        <v>2790</v>
      </c>
      <c r="Z2824" s="259" t="s">
        <v>630</v>
      </c>
      <c r="AA2824">
        <v>0</v>
      </c>
      <c r="AB2824">
        <v>0</v>
      </c>
      <c r="AC2824">
        <v>45856</v>
      </c>
      <c r="AD2824">
        <v>1</v>
      </c>
      <c r="AE2824">
        <v>0</v>
      </c>
      <c r="AF2824">
        <v>0</v>
      </c>
      <c r="AG2824">
        <v>0</v>
      </c>
      <c r="AH2824">
        <v>0</v>
      </c>
    </row>
    <row r="2825" spans="2:34" x14ac:dyDescent="0.35">
      <c r="B2825" t="s">
        <v>566</v>
      </c>
      <c r="C2825">
        <v>45858</v>
      </c>
      <c r="F2825" t="s">
        <v>749</v>
      </c>
      <c r="H2825">
        <v>53.52</v>
      </c>
      <c r="O2825" t="s">
        <v>239</v>
      </c>
      <c r="P2825" t="s">
        <v>514</v>
      </c>
      <c r="Y2825">
        <v>2791</v>
      </c>
      <c r="Z2825" s="259" t="s">
        <v>630</v>
      </c>
      <c r="AA2825">
        <v>0</v>
      </c>
      <c r="AB2825">
        <v>0</v>
      </c>
      <c r="AC2825">
        <v>45856</v>
      </c>
      <c r="AD2825">
        <v>2</v>
      </c>
      <c r="AE2825">
        <v>0</v>
      </c>
      <c r="AF2825">
        <v>0</v>
      </c>
      <c r="AG2825">
        <v>0</v>
      </c>
      <c r="AH2825">
        <v>0</v>
      </c>
    </row>
    <row r="2826" spans="2:34" x14ac:dyDescent="0.35">
      <c r="B2826" t="s">
        <v>566</v>
      </c>
      <c r="C2826">
        <v>45858</v>
      </c>
      <c r="F2826" t="s">
        <v>752</v>
      </c>
      <c r="H2826">
        <v>179.73</v>
      </c>
      <c r="O2826" t="s">
        <v>239</v>
      </c>
      <c r="P2826" t="s">
        <v>514</v>
      </c>
      <c r="Y2826">
        <v>2792</v>
      </c>
      <c r="Z2826" s="259" t="s">
        <v>630</v>
      </c>
      <c r="AA2826">
        <v>0</v>
      </c>
      <c r="AB2826">
        <v>0</v>
      </c>
      <c r="AC2826">
        <v>45856</v>
      </c>
      <c r="AD2826">
        <v>2</v>
      </c>
      <c r="AE2826">
        <v>0</v>
      </c>
      <c r="AF2826">
        <v>0</v>
      </c>
      <c r="AG2826">
        <v>0</v>
      </c>
      <c r="AH2826">
        <v>0</v>
      </c>
    </row>
    <row r="2827" spans="2:34" x14ac:dyDescent="0.35">
      <c r="B2827" t="s">
        <v>566</v>
      </c>
      <c r="C2827">
        <v>45858</v>
      </c>
      <c r="F2827" t="s">
        <v>754</v>
      </c>
      <c r="H2827">
        <v>78.73</v>
      </c>
      <c r="O2827" t="s">
        <v>239</v>
      </c>
      <c r="P2827" t="s">
        <v>514</v>
      </c>
      <c r="Y2827">
        <v>2793</v>
      </c>
      <c r="Z2827" s="259" t="s">
        <v>630</v>
      </c>
      <c r="AA2827">
        <v>0</v>
      </c>
      <c r="AB2827">
        <v>0</v>
      </c>
      <c r="AC2827">
        <v>45856</v>
      </c>
      <c r="AD2827">
        <v>2</v>
      </c>
      <c r="AE2827">
        <v>0</v>
      </c>
      <c r="AF2827">
        <v>0</v>
      </c>
      <c r="AG2827">
        <v>0</v>
      </c>
      <c r="AH2827">
        <v>0</v>
      </c>
    </row>
    <row r="2828" spans="2:34" x14ac:dyDescent="0.35">
      <c r="B2828" t="s">
        <v>566</v>
      </c>
      <c r="C2828">
        <v>45859</v>
      </c>
      <c r="F2828" t="s">
        <v>749</v>
      </c>
      <c r="H2828">
        <v>53.17</v>
      </c>
      <c r="O2828" t="s">
        <v>239</v>
      </c>
      <c r="P2828" t="s">
        <v>514</v>
      </c>
      <c r="Y2828">
        <v>2794</v>
      </c>
      <c r="Z2828" s="259" t="s">
        <v>630</v>
      </c>
      <c r="AA2828">
        <v>0</v>
      </c>
      <c r="AB2828">
        <v>0</v>
      </c>
      <c r="AC2828">
        <v>45859</v>
      </c>
      <c r="AD2828">
        <v>0</v>
      </c>
      <c r="AE2828">
        <v>0</v>
      </c>
      <c r="AF2828">
        <v>0</v>
      </c>
      <c r="AG2828">
        <v>0</v>
      </c>
      <c r="AH2828">
        <v>0</v>
      </c>
    </row>
    <row r="2829" spans="2:34" x14ac:dyDescent="0.35">
      <c r="B2829" t="s">
        <v>566</v>
      </c>
      <c r="C2829">
        <v>45859</v>
      </c>
      <c r="F2829" t="s">
        <v>752</v>
      </c>
      <c r="H2829">
        <v>179.33</v>
      </c>
      <c r="O2829" t="s">
        <v>239</v>
      </c>
      <c r="P2829" t="s">
        <v>514</v>
      </c>
      <c r="Y2829">
        <v>2795</v>
      </c>
      <c r="Z2829" s="259" t="s">
        <v>630</v>
      </c>
      <c r="AA2829">
        <v>0</v>
      </c>
      <c r="AB2829">
        <v>0</v>
      </c>
      <c r="AC2829">
        <v>45859</v>
      </c>
      <c r="AD2829">
        <v>0</v>
      </c>
      <c r="AE2829">
        <v>0</v>
      </c>
      <c r="AF2829">
        <v>0</v>
      </c>
      <c r="AG2829">
        <v>0</v>
      </c>
      <c r="AH2829">
        <v>0</v>
      </c>
    </row>
    <row r="2830" spans="2:34" x14ac:dyDescent="0.35">
      <c r="B2830" t="s">
        <v>566</v>
      </c>
      <c r="C2830">
        <v>45859</v>
      </c>
      <c r="F2830" t="s">
        <v>754</v>
      </c>
      <c r="H2830">
        <v>78.33</v>
      </c>
      <c r="O2830" t="s">
        <v>239</v>
      </c>
      <c r="P2830" t="s">
        <v>514</v>
      </c>
      <c r="Y2830">
        <v>2796</v>
      </c>
      <c r="Z2830" s="259" t="s">
        <v>630</v>
      </c>
      <c r="AA2830">
        <v>0</v>
      </c>
      <c r="AB2830">
        <v>0</v>
      </c>
      <c r="AC2830">
        <v>45859</v>
      </c>
      <c r="AD2830">
        <v>0</v>
      </c>
      <c r="AE2830">
        <v>0</v>
      </c>
      <c r="AF2830">
        <v>0</v>
      </c>
      <c r="AG2830">
        <v>0</v>
      </c>
      <c r="AH2830">
        <v>0</v>
      </c>
    </row>
    <row r="2831" spans="2:34" x14ac:dyDescent="0.35">
      <c r="B2831" t="s">
        <v>566</v>
      </c>
      <c r="C2831">
        <v>45860</v>
      </c>
      <c r="F2831" t="s">
        <v>749</v>
      </c>
      <c r="H2831">
        <v>53.05</v>
      </c>
      <c r="O2831" t="s">
        <v>239</v>
      </c>
      <c r="P2831" t="s">
        <v>514</v>
      </c>
      <c r="Y2831">
        <v>2797</v>
      </c>
      <c r="Z2831" s="259" t="s">
        <v>630</v>
      </c>
      <c r="AA2831">
        <v>0</v>
      </c>
      <c r="AB2831">
        <v>0</v>
      </c>
      <c r="AC2831">
        <v>45860</v>
      </c>
      <c r="AD2831">
        <v>0</v>
      </c>
      <c r="AE2831">
        <v>0</v>
      </c>
      <c r="AF2831">
        <v>0</v>
      </c>
      <c r="AG2831">
        <v>0</v>
      </c>
      <c r="AH2831">
        <v>0</v>
      </c>
    </row>
    <row r="2832" spans="2:34" x14ac:dyDescent="0.35">
      <c r="B2832" t="s">
        <v>566</v>
      </c>
      <c r="C2832">
        <v>45860</v>
      </c>
      <c r="F2832" t="s">
        <v>752</v>
      </c>
      <c r="H2832">
        <v>179.2</v>
      </c>
      <c r="O2832" t="s">
        <v>239</v>
      </c>
      <c r="P2832" t="s">
        <v>514</v>
      </c>
      <c r="Y2832">
        <v>2798</v>
      </c>
      <c r="Z2832" s="259" t="s">
        <v>630</v>
      </c>
      <c r="AA2832">
        <v>0</v>
      </c>
      <c r="AB2832">
        <v>0</v>
      </c>
      <c r="AC2832">
        <v>45860</v>
      </c>
      <c r="AD2832">
        <v>0</v>
      </c>
      <c r="AE2832">
        <v>0</v>
      </c>
      <c r="AF2832">
        <v>0</v>
      </c>
      <c r="AG2832">
        <v>0</v>
      </c>
      <c r="AH2832">
        <v>0</v>
      </c>
    </row>
    <row r="2833" spans="2:34" x14ac:dyDescent="0.35">
      <c r="B2833" t="s">
        <v>566</v>
      </c>
      <c r="C2833">
        <v>45860</v>
      </c>
      <c r="F2833" t="s">
        <v>754</v>
      </c>
      <c r="H2833">
        <v>78.2</v>
      </c>
      <c r="O2833" t="s">
        <v>239</v>
      </c>
      <c r="P2833" t="s">
        <v>514</v>
      </c>
      <c r="Y2833">
        <v>2799</v>
      </c>
      <c r="Z2833" s="259" t="s">
        <v>630</v>
      </c>
      <c r="AA2833">
        <v>0</v>
      </c>
      <c r="AB2833">
        <v>0</v>
      </c>
      <c r="AC2833">
        <v>45860</v>
      </c>
      <c r="AD2833">
        <v>0</v>
      </c>
      <c r="AE2833">
        <v>0</v>
      </c>
      <c r="AF2833">
        <v>0</v>
      </c>
      <c r="AG2833">
        <v>0</v>
      </c>
      <c r="AH2833">
        <v>0</v>
      </c>
    </row>
    <row r="2834" spans="2:34" x14ac:dyDescent="0.35">
      <c r="B2834" t="s">
        <v>566</v>
      </c>
      <c r="C2834">
        <v>45861</v>
      </c>
      <c r="F2834" t="s">
        <v>749</v>
      </c>
      <c r="H2834">
        <v>52.93</v>
      </c>
      <c r="O2834" t="s">
        <v>239</v>
      </c>
      <c r="P2834" t="s">
        <v>514</v>
      </c>
      <c r="Y2834">
        <v>2800</v>
      </c>
      <c r="Z2834" s="259" t="s">
        <v>630</v>
      </c>
      <c r="AA2834">
        <v>0</v>
      </c>
      <c r="AB2834">
        <v>0</v>
      </c>
      <c r="AC2834">
        <v>45861</v>
      </c>
      <c r="AD2834">
        <v>0</v>
      </c>
      <c r="AE2834">
        <v>0</v>
      </c>
      <c r="AF2834">
        <v>0</v>
      </c>
      <c r="AG2834">
        <v>0</v>
      </c>
      <c r="AH2834">
        <v>0</v>
      </c>
    </row>
    <row r="2835" spans="2:34" x14ac:dyDescent="0.35">
      <c r="B2835" t="s">
        <v>566</v>
      </c>
      <c r="C2835">
        <v>45861</v>
      </c>
      <c r="F2835" t="s">
        <v>752</v>
      </c>
      <c r="H2835">
        <v>179.07</v>
      </c>
      <c r="O2835" t="s">
        <v>239</v>
      </c>
      <c r="P2835" t="s">
        <v>514</v>
      </c>
      <c r="Y2835">
        <v>2801</v>
      </c>
      <c r="Z2835" s="259" t="s">
        <v>630</v>
      </c>
      <c r="AA2835">
        <v>0</v>
      </c>
      <c r="AB2835">
        <v>0</v>
      </c>
      <c r="AC2835">
        <v>45861</v>
      </c>
      <c r="AD2835">
        <v>0</v>
      </c>
      <c r="AE2835">
        <v>0</v>
      </c>
      <c r="AF2835">
        <v>0</v>
      </c>
      <c r="AG2835">
        <v>0</v>
      </c>
      <c r="AH2835">
        <v>0</v>
      </c>
    </row>
    <row r="2836" spans="2:34" x14ac:dyDescent="0.35">
      <c r="B2836" t="s">
        <v>566</v>
      </c>
      <c r="C2836">
        <v>45861</v>
      </c>
      <c r="F2836" t="s">
        <v>754</v>
      </c>
      <c r="H2836">
        <v>78.069999999999993</v>
      </c>
      <c r="O2836" t="s">
        <v>239</v>
      </c>
      <c r="P2836" t="s">
        <v>514</v>
      </c>
      <c r="Y2836">
        <v>2802</v>
      </c>
      <c r="Z2836" s="259" t="s">
        <v>630</v>
      </c>
      <c r="AA2836">
        <v>0</v>
      </c>
      <c r="AB2836">
        <v>0</v>
      </c>
      <c r="AC2836">
        <v>45861</v>
      </c>
      <c r="AD2836">
        <v>0</v>
      </c>
      <c r="AE2836">
        <v>0</v>
      </c>
      <c r="AF2836">
        <v>0</v>
      </c>
      <c r="AG2836">
        <v>0</v>
      </c>
      <c r="AH2836">
        <v>0</v>
      </c>
    </row>
    <row r="2837" spans="2:34" x14ac:dyDescent="0.35">
      <c r="B2837" t="s">
        <v>566</v>
      </c>
      <c r="C2837">
        <v>45862</v>
      </c>
      <c r="F2837" t="s">
        <v>749</v>
      </c>
      <c r="H2837">
        <v>52.82</v>
      </c>
      <c r="O2837" t="s">
        <v>239</v>
      </c>
      <c r="P2837" t="s">
        <v>514</v>
      </c>
      <c r="Y2837">
        <v>2803</v>
      </c>
      <c r="Z2837" s="259" t="s">
        <v>630</v>
      </c>
      <c r="AA2837">
        <v>0</v>
      </c>
      <c r="AB2837">
        <v>0</v>
      </c>
      <c r="AC2837">
        <v>45862</v>
      </c>
      <c r="AD2837">
        <v>0</v>
      </c>
      <c r="AE2837">
        <v>0</v>
      </c>
      <c r="AF2837">
        <v>0</v>
      </c>
      <c r="AG2837">
        <v>0</v>
      </c>
      <c r="AH2837">
        <v>0</v>
      </c>
    </row>
    <row r="2838" spans="2:34" x14ac:dyDescent="0.35">
      <c r="B2838" t="s">
        <v>566</v>
      </c>
      <c r="C2838">
        <v>45862</v>
      </c>
      <c r="F2838" t="s">
        <v>752</v>
      </c>
      <c r="H2838">
        <v>178.93</v>
      </c>
      <c r="O2838" t="s">
        <v>239</v>
      </c>
      <c r="P2838" t="s">
        <v>514</v>
      </c>
      <c r="Y2838">
        <v>2804</v>
      </c>
      <c r="Z2838" s="259" t="s">
        <v>630</v>
      </c>
      <c r="AA2838">
        <v>0</v>
      </c>
      <c r="AB2838">
        <v>0</v>
      </c>
      <c r="AC2838">
        <v>45862</v>
      </c>
      <c r="AD2838">
        <v>0</v>
      </c>
      <c r="AE2838">
        <v>0</v>
      </c>
      <c r="AF2838">
        <v>0</v>
      </c>
      <c r="AG2838">
        <v>0</v>
      </c>
      <c r="AH2838">
        <v>0</v>
      </c>
    </row>
    <row r="2839" spans="2:34" x14ac:dyDescent="0.35">
      <c r="B2839" t="s">
        <v>566</v>
      </c>
      <c r="C2839">
        <v>45862</v>
      </c>
      <c r="F2839" t="s">
        <v>754</v>
      </c>
      <c r="H2839">
        <v>77.930000000000007</v>
      </c>
      <c r="O2839" t="s">
        <v>239</v>
      </c>
      <c r="P2839" t="s">
        <v>514</v>
      </c>
      <c r="Y2839">
        <v>2805</v>
      </c>
      <c r="Z2839" s="259" t="s">
        <v>630</v>
      </c>
      <c r="AA2839">
        <v>0</v>
      </c>
      <c r="AB2839">
        <v>0</v>
      </c>
      <c r="AC2839">
        <v>45862</v>
      </c>
      <c r="AD2839">
        <v>0</v>
      </c>
      <c r="AE2839">
        <v>0</v>
      </c>
      <c r="AF2839">
        <v>0</v>
      </c>
      <c r="AG2839">
        <v>0</v>
      </c>
      <c r="AH2839">
        <v>0</v>
      </c>
    </row>
    <row r="2840" spans="2:34" x14ac:dyDescent="0.35">
      <c r="B2840" t="s">
        <v>566</v>
      </c>
      <c r="C2840">
        <v>45863</v>
      </c>
      <c r="F2840" t="s">
        <v>749</v>
      </c>
      <c r="H2840">
        <v>52.7</v>
      </c>
      <c r="O2840" t="s">
        <v>239</v>
      </c>
      <c r="P2840" t="s">
        <v>514</v>
      </c>
      <c r="Y2840">
        <v>2806</v>
      </c>
      <c r="Z2840" s="259" t="s">
        <v>630</v>
      </c>
      <c r="AA2840">
        <v>0</v>
      </c>
      <c r="AB2840">
        <v>0</v>
      </c>
      <c r="AC2840">
        <v>45863</v>
      </c>
      <c r="AD2840">
        <v>0</v>
      </c>
      <c r="AE2840">
        <v>0</v>
      </c>
      <c r="AF2840">
        <v>0</v>
      </c>
      <c r="AG2840">
        <v>0</v>
      </c>
      <c r="AH2840">
        <v>0</v>
      </c>
    </row>
    <row r="2841" spans="2:34" x14ac:dyDescent="0.35">
      <c r="B2841" t="s">
        <v>566</v>
      </c>
      <c r="C2841">
        <v>45863</v>
      </c>
      <c r="F2841" t="s">
        <v>752</v>
      </c>
      <c r="H2841">
        <v>178.8</v>
      </c>
      <c r="O2841" t="s">
        <v>239</v>
      </c>
      <c r="P2841" t="s">
        <v>514</v>
      </c>
      <c r="Y2841">
        <v>2807</v>
      </c>
      <c r="Z2841" s="259" t="s">
        <v>630</v>
      </c>
      <c r="AA2841">
        <v>0</v>
      </c>
      <c r="AB2841">
        <v>0</v>
      </c>
      <c r="AC2841">
        <v>45863</v>
      </c>
      <c r="AD2841">
        <v>0</v>
      </c>
      <c r="AE2841">
        <v>0</v>
      </c>
      <c r="AF2841">
        <v>0</v>
      </c>
      <c r="AG2841">
        <v>0</v>
      </c>
      <c r="AH2841">
        <v>0</v>
      </c>
    </row>
    <row r="2842" spans="2:34" x14ac:dyDescent="0.35">
      <c r="B2842" t="s">
        <v>566</v>
      </c>
      <c r="C2842">
        <v>45863</v>
      </c>
      <c r="F2842" t="s">
        <v>754</v>
      </c>
      <c r="H2842">
        <v>77.8</v>
      </c>
      <c r="O2842" t="s">
        <v>239</v>
      </c>
      <c r="P2842" t="s">
        <v>514</v>
      </c>
      <c r="Y2842">
        <v>2808</v>
      </c>
      <c r="Z2842" s="259" t="s">
        <v>630</v>
      </c>
      <c r="AA2842">
        <v>0</v>
      </c>
      <c r="AB2842">
        <v>0</v>
      </c>
      <c r="AC2842">
        <v>45863</v>
      </c>
      <c r="AD2842">
        <v>0</v>
      </c>
      <c r="AE2842">
        <v>0</v>
      </c>
      <c r="AF2842">
        <v>0</v>
      </c>
      <c r="AG2842">
        <v>0</v>
      </c>
      <c r="AH2842">
        <v>0</v>
      </c>
    </row>
    <row r="2843" spans="2:34" x14ac:dyDescent="0.35">
      <c r="B2843" t="s">
        <v>566</v>
      </c>
      <c r="C2843">
        <v>45864</v>
      </c>
      <c r="F2843" t="s">
        <v>749</v>
      </c>
      <c r="H2843">
        <v>52.7</v>
      </c>
      <c r="O2843" t="s">
        <v>239</v>
      </c>
      <c r="P2843" t="s">
        <v>514</v>
      </c>
      <c r="Y2843">
        <v>2809</v>
      </c>
      <c r="Z2843" s="259" t="s">
        <v>630</v>
      </c>
      <c r="AA2843">
        <v>0</v>
      </c>
      <c r="AB2843">
        <v>0</v>
      </c>
      <c r="AC2843">
        <v>45863</v>
      </c>
      <c r="AD2843">
        <v>1</v>
      </c>
      <c r="AE2843">
        <v>0</v>
      </c>
      <c r="AF2843">
        <v>0</v>
      </c>
      <c r="AG2843">
        <v>0</v>
      </c>
      <c r="AH2843">
        <v>0</v>
      </c>
    </row>
    <row r="2844" spans="2:34" x14ac:dyDescent="0.35">
      <c r="B2844" t="s">
        <v>566</v>
      </c>
      <c r="C2844">
        <v>45864</v>
      </c>
      <c r="F2844" t="s">
        <v>752</v>
      </c>
      <c r="H2844">
        <v>178.8</v>
      </c>
      <c r="O2844" t="s">
        <v>239</v>
      </c>
      <c r="P2844" t="s">
        <v>514</v>
      </c>
      <c r="Y2844">
        <v>2810</v>
      </c>
      <c r="Z2844" s="259" t="s">
        <v>630</v>
      </c>
      <c r="AA2844">
        <v>0</v>
      </c>
      <c r="AB2844">
        <v>0</v>
      </c>
      <c r="AC2844">
        <v>45863</v>
      </c>
      <c r="AD2844">
        <v>1</v>
      </c>
      <c r="AE2844">
        <v>0</v>
      </c>
      <c r="AF2844">
        <v>0</v>
      </c>
      <c r="AG2844">
        <v>0</v>
      </c>
      <c r="AH2844">
        <v>0</v>
      </c>
    </row>
    <row r="2845" spans="2:34" x14ac:dyDescent="0.35">
      <c r="B2845" t="s">
        <v>566</v>
      </c>
      <c r="C2845">
        <v>45864</v>
      </c>
      <c r="F2845" t="s">
        <v>754</v>
      </c>
      <c r="H2845">
        <v>77.8</v>
      </c>
      <c r="O2845" t="s">
        <v>239</v>
      </c>
      <c r="P2845" t="s">
        <v>514</v>
      </c>
      <c r="Y2845">
        <v>2811</v>
      </c>
      <c r="Z2845" s="259" t="s">
        <v>630</v>
      </c>
      <c r="AA2845">
        <v>0</v>
      </c>
      <c r="AB2845">
        <v>0</v>
      </c>
      <c r="AC2845">
        <v>45863</v>
      </c>
      <c r="AD2845">
        <v>1</v>
      </c>
      <c r="AE2845">
        <v>0</v>
      </c>
      <c r="AF2845">
        <v>0</v>
      </c>
      <c r="AG2845">
        <v>0</v>
      </c>
      <c r="AH2845">
        <v>0</v>
      </c>
    </row>
    <row r="2846" spans="2:34" x14ac:dyDescent="0.35">
      <c r="B2846" t="s">
        <v>566</v>
      </c>
      <c r="C2846">
        <v>45865</v>
      </c>
      <c r="F2846" t="s">
        <v>749</v>
      </c>
      <c r="H2846">
        <v>52.7</v>
      </c>
      <c r="O2846" t="s">
        <v>239</v>
      </c>
      <c r="P2846" t="s">
        <v>514</v>
      </c>
      <c r="Y2846">
        <v>2812</v>
      </c>
      <c r="Z2846" s="259" t="s">
        <v>630</v>
      </c>
      <c r="AA2846">
        <v>0</v>
      </c>
      <c r="AB2846">
        <v>0</v>
      </c>
      <c r="AC2846">
        <v>45863</v>
      </c>
      <c r="AD2846">
        <v>2</v>
      </c>
      <c r="AE2846">
        <v>0</v>
      </c>
      <c r="AF2846">
        <v>0</v>
      </c>
      <c r="AG2846">
        <v>0</v>
      </c>
      <c r="AH2846">
        <v>0</v>
      </c>
    </row>
    <row r="2847" spans="2:34" x14ac:dyDescent="0.35">
      <c r="B2847" t="s">
        <v>566</v>
      </c>
      <c r="C2847">
        <v>45865</v>
      </c>
      <c r="F2847" t="s">
        <v>752</v>
      </c>
      <c r="H2847">
        <v>178.8</v>
      </c>
      <c r="O2847" t="s">
        <v>239</v>
      </c>
      <c r="P2847" t="s">
        <v>514</v>
      </c>
      <c r="Y2847">
        <v>2813</v>
      </c>
      <c r="Z2847" s="259" t="s">
        <v>630</v>
      </c>
      <c r="AA2847">
        <v>0</v>
      </c>
      <c r="AB2847">
        <v>0</v>
      </c>
      <c r="AC2847">
        <v>45863</v>
      </c>
      <c r="AD2847">
        <v>2</v>
      </c>
      <c r="AE2847">
        <v>0</v>
      </c>
      <c r="AF2847">
        <v>0</v>
      </c>
      <c r="AG2847">
        <v>0</v>
      </c>
      <c r="AH2847">
        <v>0</v>
      </c>
    </row>
    <row r="2848" spans="2:34" x14ac:dyDescent="0.35">
      <c r="B2848" t="s">
        <v>566</v>
      </c>
      <c r="C2848">
        <v>45865</v>
      </c>
      <c r="F2848" t="s">
        <v>754</v>
      </c>
      <c r="H2848">
        <v>77.8</v>
      </c>
      <c r="O2848" t="s">
        <v>239</v>
      </c>
      <c r="P2848" t="s">
        <v>514</v>
      </c>
      <c r="Y2848">
        <v>2814</v>
      </c>
      <c r="Z2848" s="259" t="s">
        <v>630</v>
      </c>
      <c r="AA2848">
        <v>0</v>
      </c>
      <c r="AB2848">
        <v>0</v>
      </c>
      <c r="AC2848">
        <v>45863</v>
      </c>
      <c r="AD2848">
        <v>2</v>
      </c>
      <c r="AE2848">
        <v>0</v>
      </c>
      <c r="AF2848">
        <v>0</v>
      </c>
      <c r="AG2848">
        <v>0</v>
      </c>
      <c r="AH2848">
        <v>0</v>
      </c>
    </row>
    <row r="2849" spans="2:34" x14ac:dyDescent="0.35">
      <c r="B2849" t="s">
        <v>566</v>
      </c>
      <c r="C2849">
        <v>45866</v>
      </c>
      <c r="F2849" t="s">
        <v>749</v>
      </c>
      <c r="H2849">
        <v>52.35</v>
      </c>
      <c r="O2849" t="s">
        <v>239</v>
      </c>
      <c r="P2849" t="s">
        <v>514</v>
      </c>
      <c r="Y2849">
        <v>2815</v>
      </c>
      <c r="Z2849" s="259" t="s">
        <v>630</v>
      </c>
      <c r="AA2849">
        <v>0</v>
      </c>
      <c r="AB2849">
        <v>0</v>
      </c>
      <c r="AC2849">
        <v>45866</v>
      </c>
      <c r="AD2849">
        <v>0</v>
      </c>
      <c r="AE2849">
        <v>0</v>
      </c>
      <c r="AF2849">
        <v>0</v>
      </c>
      <c r="AG2849">
        <v>0</v>
      </c>
      <c r="AH2849">
        <v>0</v>
      </c>
    </row>
    <row r="2850" spans="2:34" x14ac:dyDescent="0.35">
      <c r="B2850" t="s">
        <v>566</v>
      </c>
      <c r="C2850">
        <v>45866</v>
      </c>
      <c r="F2850" t="s">
        <v>752</v>
      </c>
      <c r="H2850">
        <v>178.4</v>
      </c>
      <c r="O2850" t="s">
        <v>239</v>
      </c>
      <c r="P2850" t="s">
        <v>514</v>
      </c>
      <c r="Y2850">
        <v>2816</v>
      </c>
      <c r="Z2850" s="259" t="s">
        <v>630</v>
      </c>
      <c r="AA2850">
        <v>0</v>
      </c>
      <c r="AB2850">
        <v>0</v>
      </c>
      <c r="AC2850">
        <v>45866</v>
      </c>
      <c r="AD2850">
        <v>0</v>
      </c>
      <c r="AE2850">
        <v>0</v>
      </c>
      <c r="AF2850">
        <v>0</v>
      </c>
      <c r="AG2850">
        <v>0</v>
      </c>
      <c r="AH2850">
        <v>0</v>
      </c>
    </row>
    <row r="2851" spans="2:34" x14ac:dyDescent="0.35">
      <c r="B2851" t="s">
        <v>566</v>
      </c>
      <c r="C2851">
        <v>45866</v>
      </c>
      <c r="F2851" t="s">
        <v>754</v>
      </c>
      <c r="H2851">
        <v>77.400000000000006</v>
      </c>
      <c r="O2851" t="s">
        <v>239</v>
      </c>
      <c r="P2851" t="s">
        <v>514</v>
      </c>
      <c r="Y2851">
        <v>2817</v>
      </c>
      <c r="Z2851" s="259" t="s">
        <v>630</v>
      </c>
      <c r="AA2851">
        <v>0</v>
      </c>
      <c r="AB2851">
        <v>0</v>
      </c>
      <c r="AC2851">
        <v>45866</v>
      </c>
      <c r="AD2851">
        <v>0</v>
      </c>
      <c r="AE2851">
        <v>0</v>
      </c>
      <c r="AF2851">
        <v>0</v>
      </c>
      <c r="AG2851">
        <v>0</v>
      </c>
      <c r="AH2851">
        <v>0</v>
      </c>
    </row>
    <row r="2852" spans="2:34" x14ac:dyDescent="0.35">
      <c r="B2852" t="s">
        <v>566</v>
      </c>
      <c r="C2852">
        <v>45867</v>
      </c>
      <c r="F2852" t="s">
        <v>749</v>
      </c>
      <c r="H2852">
        <v>52.23</v>
      </c>
      <c r="O2852" t="s">
        <v>239</v>
      </c>
      <c r="P2852" t="s">
        <v>514</v>
      </c>
      <c r="Y2852">
        <v>2818</v>
      </c>
      <c r="Z2852" s="259" t="s">
        <v>630</v>
      </c>
      <c r="AA2852">
        <v>0</v>
      </c>
      <c r="AB2852">
        <v>0</v>
      </c>
      <c r="AC2852">
        <v>45867</v>
      </c>
      <c r="AD2852">
        <v>0</v>
      </c>
      <c r="AE2852">
        <v>0</v>
      </c>
      <c r="AF2852">
        <v>0</v>
      </c>
      <c r="AG2852">
        <v>0</v>
      </c>
      <c r="AH2852">
        <v>0</v>
      </c>
    </row>
    <row r="2853" spans="2:34" x14ac:dyDescent="0.35">
      <c r="B2853" t="s">
        <v>566</v>
      </c>
      <c r="C2853">
        <v>45867</v>
      </c>
      <c r="F2853" t="s">
        <v>752</v>
      </c>
      <c r="H2853">
        <v>178.27</v>
      </c>
      <c r="O2853" t="s">
        <v>239</v>
      </c>
      <c r="P2853" t="s">
        <v>514</v>
      </c>
      <c r="Y2853">
        <v>2819</v>
      </c>
      <c r="Z2853" s="259" t="s">
        <v>630</v>
      </c>
      <c r="AA2853">
        <v>0</v>
      </c>
      <c r="AB2853">
        <v>0</v>
      </c>
      <c r="AC2853">
        <v>45867</v>
      </c>
      <c r="AD2853">
        <v>0</v>
      </c>
      <c r="AE2853">
        <v>0</v>
      </c>
      <c r="AF2853">
        <v>0</v>
      </c>
      <c r="AG2853">
        <v>0</v>
      </c>
      <c r="AH2853">
        <v>0</v>
      </c>
    </row>
    <row r="2854" spans="2:34" x14ac:dyDescent="0.35">
      <c r="B2854" t="s">
        <v>566</v>
      </c>
      <c r="C2854">
        <v>45867</v>
      </c>
      <c r="F2854" t="s">
        <v>754</v>
      </c>
      <c r="H2854">
        <v>77.27</v>
      </c>
      <c r="O2854" t="s">
        <v>239</v>
      </c>
      <c r="P2854" t="s">
        <v>514</v>
      </c>
      <c r="Y2854">
        <v>2820</v>
      </c>
      <c r="Z2854" s="259" t="s">
        <v>630</v>
      </c>
      <c r="AA2854">
        <v>0</v>
      </c>
      <c r="AB2854">
        <v>0</v>
      </c>
      <c r="AC2854">
        <v>45867</v>
      </c>
      <c r="AD2854">
        <v>0</v>
      </c>
      <c r="AE2854">
        <v>0</v>
      </c>
      <c r="AF2854">
        <v>0</v>
      </c>
      <c r="AG2854">
        <v>0</v>
      </c>
      <c r="AH2854">
        <v>0</v>
      </c>
    </row>
    <row r="2855" spans="2:34" x14ac:dyDescent="0.35">
      <c r="B2855" t="s">
        <v>566</v>
      </c>
      <c r="C2855">
        <v>45868</v>
      </c>
      <c r="F2855" t="s">
        <v>749</v>
      </c>
      <c r="H2855">
        <v>52.12</v>
      </c>
      <c r="O2855" t="s">
        <v>239</v>
      </c>
      <c r="P2855" t="s">
        <v>514</v>
      </c>
      <c r="Y2855">
        <v>2821</v>
      </c>
      <c r="Z2855" s="259" t="s">
        <v>630</v>
      </c>
      <c r="AA2855">
        <v>0</v>
      </c>
      <c r="AB2855">
        <v>0</v>
      </c>
      <c r="AC2855">
        <v>45868</v>
      </c>
      <c r="AD2855">
        <v>0</v>
      </c>
      <c r="AE2855">
        <v>0</v>
      </c>
      <c r="AF2855">
        <v>0</v>
      </c>
      <c r="AG2855">
        <v>0</v>
      </c>
      <c r="AH2855">
        <v>0</v>
      </c>
    </row>
    <row r="2856" spans="2:34" x14ac:dyDescent="0.35">
      <c r="B2856" t="s">
        <v>566</v>
      </c>
      <c r="C2856">
        <v>45868</v>
      </c>
      <c r="F2856" t="s">
        <v>752</v>
      </c>
      <c r="H2856">
        <v>178.13</v>
      </c>
      <c r="O2856" t="s">
        <v>239</v>
      </c>
      <c r="P2856" t="s">
        <v>514</v>
      </c>
      <c r="Y2856">
        <v>2822</v>
      </c>
      <c r="Z2856" s="259" t="s">
        <v>630</v>
      </c>
      <c r="AA2856">
        <v>0</v>
      </c>
      <c r="AB2856">
        <v>0</v>
      </c>
      <c r="AC2856">
        <v>45868</v>
      </c>
      <c r="AD2856">
        <v>0</v>
      </c>
      <c r="AE2856">
        <v>0</v>
      </c>
      <c r="AF2856">
        <v>0</v>
      </c>
      <c r="AG2856">
        <v>0</v>
      </c>
      <c r="AH2856">
        <v>0</v>
      </c>
    </row>
    <row r="2857" spans="2:34" x14ac:dyDescent="0.35">
      <c r="B2857" t="s">
        <v>566</v>
      </c>
      <c r="C2857">
        <v>45868</v>
      </c>
      <c r="F2857" t="s">
        <v>754</v>
      </c>
      <c r="H2857">
        <v>77.13</v>
      </c>
      <c r="O2857" t="s">
        <v>239</v>
      </c>
      <c r="P2857" t="s">
        <v>514</v>
      </c>
      <c r="Y2857">
        <v>2823</v>
      </c>
      <c r="Z2857" s="259" t="s">
        <v>630</v>
      </c>
      <c r="AA2857">
        <v>0</v>
      </c>
      <c r="AB2857">
        <v>0</v>
      </c>
      <c r="AC2857">
        <v>45868</v>
      </c>
      <c r="AD2857">
        <v>0</v>
      </c>
      <c r="AE2857">
        <v>0</v>
      </c>
      <c r="AF2857">
        <v>0</v>
      </c>
      <c r="AG2857">
        <v>0</v>
      </c>
      <c r="AH2857">
        <v>0</v>
      </c>
    </row>
    <row r="2858" spans="2:34" x14ac:dyDescent="0.35">
      <c r="B2858" t="s">
        <v>566</v>
      </c>
      <c r="C2858">
        <v>45869</v>
      </c>
      <c r="F2858" t="s">
        <v>749</v>
      </c>
      <c r="H2858">
        <v>52</v>
      </c>
      <c r="O2858" t="s">
        <v>239</v>
      </c>
      <c r="P2858" t="s">
        <v>514</v>
      </c>
      <c r="Y2858">
        <v>2824</v>
      </c>
      <c r="Z2858" s="259" t="s">
        <v>630</v>
      </c>
      <c r="AA2858">
        <v>0</v>
      </c>
      <c r="AB2858">
        <v>0</v>
      </c>
      <c r="AC2858">
        <v>45869</v>
      </c>
      <c r="AD2858">
        <v>0</v>
      </c>
      <c r="AE2858">
        <v>0</v>
      </c>
      <c r="AF2858">
        <v>0</v>
      </c>
      <c r="AG2858">
        <v>0</v>
      </c>
      <c r="AH2858">
        <v>0</v>
      </c>
    </row>
    <row r="2859" spans="2:34" x14ac:dyDescent="0.35">
      <c r="B2859" t="s">
        <v>566</v>
      </c>
      <c r="C2859">
        <v>45869</v>
      </c>
      <c r="F2859" t="s">
        <v>752</v>
      </c>
      <c r="H2859">
        <v>178</v>
      </c>
      <c r="O2859" t="s">
        <v>239</v>
      </c>
      <c r="P2859" t="s">
        <v>514</v>
      </c>
      <c r="Y2859">
        <v>2825</v>
      </c>
      <c r="Z2859" s="259" t="s">
        <v>630</v>
      </c>
      <c r="AA2859">
        <v>0</v>
      </c>
      <c r="AB2859">
        <v>0</v>
      </c>
      <c r="AC2859">
        <v>45869</v>
      </c>
      <c r="AD2859">
        <v>0</v>
      </c>
      <c r="AE2859">
        <v>0</v>
      </c>
      <c r="AF2859">
        <v>0</v>
      </c>
      <c r="AG2859">
        <v>0</v>
      </c>
      <c r="AH2859">
        <v>0</v>
      </c>
    </row>
    <row r="2860" spans="2:34" x14ac:dyDescent="0.35">
      <c r="B2860" t="s">
        <v>566</v>
      </c>
      <c r="C2860">
        <v>45869</v>
      </c>
      <c r="F2860" t="s">
        <v>754</v>
      </c>
      <c r="H2860">
        <v>77</v>
      </c>
      <c r="O2860" t="s">
        <v>239</v>
      </c>
      <c r="P2860" t="s">
        <v>514</v>
      </c>
      <c r="Y2860">
        <v>2826</v>
      </c>
      <c r="Z2860" s="259" t="s">
        <v>630</v>
      </c>
      <c r="AA2860">
        <v>0</v>
      </c>
      <c r="AB2860">
        <v>0</v>
      </c>
      <c r="AC2860">
        <v>45869</v>
      </c>
      <c r="AD2860">
        <v>0</v>
      </c>
      <c r="AE2860">
        <v>0</v>
      </c>
      <c r="AF2860">
        <v>0</v>
      </c>
      <c r="AG2860">
        <v>0</v>
      </c>
      <c r="AH2860">
        <v>0</v>
      </c>
    </row>
    <row r="2861" spans="2:34" x14ac:dyDescent="0.35">
      <c r="B2861" t="s">
        <v>566</v>
      </c>
      <c r="C2861">
        <v>45870</v>
      </c>
      <c r="F2861" t="s">
        <v>749</v>
      </c>
      <c r="H2861">
        <v>52</v>
      </c>
      <c r="O2861" t="s">
        <v>239</v>
      </c>
      <c r="P2861" t="s">
        <v>514</v>
      </c>
      <c r="Y2861">
        <v>2827</v>
      </c>
      <c r="Z2861" s="259" t="s">
        <v>630</v>
      </c>
      <c r="AA2861">
        <v>0</v>
      </c>
      <c r="AB2861">
        <v>0</v>
      </c>
      <c r="AC2861">
        <v>45870</v>
      </c>
      <c r="AD2861">
        <v>0</v>
      </c>
      <c r="AE2861">
        <v>0</v>
      </c>
      <c r="AF2861">
        <v>0</v>
      </c>
      <c r="AG2861">
        <v>0</v>
      </c>
      <c r="AH2861">
        <v>0</v>
      </c>
    </row>
    <row r="2862" spans="2:34" x14ac:dyDescent="0.35">
      <c r="B2862" t="s">
        <v>566</v>
      </c>
      <c r="C2862">
        <v>45870</v>
      </c>
      <c r="F2862" t="s">
        <v>752</v>
      </c>
      <c r="H2862">
        <v>178</v>
      </c>
      <c r="O2862" t="s">
        <v>239</v>
      </c>
      <c r="P2862" t="s">
        <v>514</v>
      </c>
      <c r="Y2862">
        <v>2828</v>
      </c>
      <c r="Z2862" s="259" t="s">
        <v>630</v>
      </c>
      <c r="AA2862">
        <v>0</v>
      </c>
      <c r="AB2862">
        <v>0</v>
      </c>
      <c r="AC2862">
        <v>45870</v>
      </c>
      <c r="AD2862">
        <v>0</v>
      </c>
      <c r="AE2862">
        <v>0</v>
      </c>
      <c r="AF2862">
        <v>0</v>
      </c>
      <c r="AG2862">
        <v>0</v>
      </c>
      <c r="AH2862">
        <v>0</v>
      </c>
    </row>
    <row r="2863" spans="2:34" x14ac:dyDescent="0.35">
      <c r="B2863" t="s">
        <v>566</v>
      </c>
      <c r="C2863">
        <v>45870</v>
      </c>
      <c r="F2863" t="s">
        <v>754</v>
      </c>
      <c r="H2863">
        <v>77</v>
      </c>
      <c r="O2863" t="s">
        <v>239</v>
      </c>
      <c r="P2863" t="s">
        <v>514</v>
      </c>
      <c r="Y2863">
        <v>2829</v>
      </c>
      <c r="Z2863" s="259" t="s">
        <v>630</v>
      </c>
      <c r="AA2863">
        <v>0</v>
      </c>
      <c r="AB2863">
        <v>0</v>
      </c>
      <c r="AC2863">
        <v>45870</v>
      </c>
      <c r="AD2863">
        <v>0</v>
      </c>
      <c r="AE2863">
        <v>0</v>
      </c>
      <c r="AF2863">
        <v>0</v>
      </c>
      <c r="AG2863">
        <v>0</v>
      </c>
      <c r="AH2863">
        <v>0</v>
      </c>
    </row>
    <row r="2864" spans="2:34" x14ac:dyDescent="0.35">
      <c r="B2864" t="s">
        <v>566</v>
      </c>
      <c r="C2864">
        <v>45871</v>
      </c>
      <c r="F2864" t="s">
        <v>749</v>
      </c>
      <c r="H2864">
        <v>52</v>
      </c>
      <c r="O2864" t="s">
        <v>239</v>
      </c>
      <c r="P2864" t="s">
        <v>514</v>
      </c>
      <c r="Y2864">
        <v>2830</v>
      </c>
      <c r="Z2864" s="259" t="s">
        <v>630</v>
      </c>
      <c r="AA2864">
        <v>0</v>
      </c>
      <c r="AB2864">
        <v>0</v>
      </c>
      <c r="AC2864">
        <v>45870</v>
      </c>
      <c r="AD2864">
        <v>1</v>
      </c>
      <c r="AE2864">
        <v>0</v>
      </c>
      <c r="AF2864">
        <v>0</v>
      </c>
      <c r="AG2864">
        <v>0</v>
      </c>
      <c r="AH2864">
        <v>0</v>
      </c>
    </row>
    <row r="2865" spans="2:34" x14ac:dyDescent="0.35">
      <c r="B2865" t="s">
        <v>566</v>
      </c>
      <c r="C2865">
        <v>45871</v>
      </c>
      <c r="F2865" t="s">
        <v>752</v>
      </c>
      <c r="H2865">
        <v>178</v>
      </c>
      <c r="O2865" t="s">
        <v>239</v>
      </c>
      <c r="P2865" t="s">
        <v>514</v>
      </c>
      <c r="Y2865">
        <v>2831</v>
      </c>
      <c r="Z2865" s="259" t="s">
        <v>630</v>
      </c>
      <c r="AA2865">
        <v>0</v>
      </c>
      <c r="AB2865">
        <v>0</v>
      </c>
      <c r="AC2865">
        <v>45870</v>
      </c>
      <c r="AD2865">
        <v>1</v>
      </c>
      <c r="AE2865">
        <v>0</v>
      </c>
      <c r="AF2865">
        <v>0</v>
      </c>
      <c r="AG2865">
        <v>0</v>
      </c>
      <c r="AH2865">
        <v>0</v>
      </c>
    </row>
    <row r="2866" spans="2:34" x14ac:dyDescent="0.35">
      <c r="B2866" t="s">
        <v>566</v>
      </c>
      <c r="C2866">
        <v>45871</v>
      </c>
      <c r="F2866" t="s">
        <v>754</v>
      </c>
      <c r="H2866">
        <v>77</v>
      </c>
      <c r="O2866" t="s">
        <v>239</v>
      </c>
      <c r="P2866" t="s">
        <v>514</v>
      </c>
      <c r="Y2866">
        <v>2832</v>
      </c>
      <c r="Z2866" s="259" t="s">
        <v>630</v>
      </c>
      <c r="AA2866">
        <v>0</v>
      </c>
      <c r="AB2866">
        <v>0</v>
      </c>
      <c r="AC2866">
        <v>45870</v>
      </c>
      <c r="AD2866">
        <v>1</v>
      </c>
      <c r="AE2866">
        <v>0</v>
      </c>
      <c r="AF2866">
        <v>0</v>
      </c>
      <c r="AG2866">
        <v>0</v>
      </c>
      <c r="AH2866">
        <v>0</v>
      </c>
    </row>
    <row r="2867" spans="2:34" x14ac:dyDescent="0.35">
      <c r="B2867" t="s">
        <v>566</v>
      </c>
      <c r="C2867">
        <v>45872</v>
      </c>
      <c r="F2867" t="s">
        <v>749</v>
      </c>
      <c r="H2867">
        <v>52</v>
      </c>
      <c r="O2867" t="s">
        <v>239</v>
      </c>
      <c r="P2867" t="s">
        <v>514</v>
      </c>
      <c r="Y2867">
        <v>2833</v>
      </c>
      <c r="Z2867" s="259" t="s">
        <v>630</v>
      </c>
      <c r="AA2867">
        <v>0</v>
      </c>
      <c r="AB2867">
        <v>0</v>
      </c>
      <c r="AC2867">
        <v>45870</v>
      </c>
      <c r="AD2867">
        <v>2</v>
      </c>
      <c r="AE2867">
        <v>0</v>
      </c>
      <c r="AF2867">
        <v>0</v>
      </c>
      <c r="AG2867">
        <v>0</v>
      </c>
      <c r="AH2867">
        <v>0</v>
      </c>
    </row>
    <row r="2868" spans="2:34" x14ac:dyDescent="0.35">
      <c r="B2868" t="s">
        <v>566</v>
      </c>
      <c r="C2868">
        <v>45872</v>
      </c>
      <c r="F2868" t="s">
        <v>752</v>
      </c>
      <c r="H2868">
        <v>178</v>
      </c>
      <c r="O2868" t="s">
        <v>239</v>
      </c>
      <c r="P2868" t="s">
        <v>514</v>
      </c>
      <c r="Y2868">
        <v>2834</v>
      </c>
      <c r="Z2868" s="259" t="s">
        <v>630</v>
      </c>
      <c r="AA2868">
        <v>0</v>
      </c>
      <c r="AB2868">
        <v>0</v>
      </c>
      <c r="AC2868">
        <v>45870</v>
      </c>
      <c r="AD2868">
        <v>2</v>
      </c>
      <c r="AE2868">
        <v>0</v>
      </c>
      <c r="AF2868">
        <v>0</v>
      </c>
      <c r="AG2868">
        <v>0</v>
      </c>
      <c r="AH2868">
        <v>0</v>
      </c>
    </row>
    <row r="2869" spans="2:34" x14ac:dyDescent="0.35">
      <c r="B2869" t="s">
        <v>566</v>
      </c>
      <c r="C2869">
        <v>45872</v>
      </c>
      <c r="F2869" t="s">
        <v>754</v>
      </c>
      <c r="H2869">
        <v>77</v>
      </c>
      <c r="O2869" t="s">
        <v>239</v>
      </c>
      <c r="P2869" t="s">
        <v>514</v>
      </c>
      <c r="Y2869">
        <v>2835</v>
      </c>
      <c r="Z2869" s="259" t="s">
        <v>630</v>
      </c>
      <c r="AA2869">
        <v>0</v>
      </c>
      <c r="AB2869">
        <v>0</v>
      </c>
      <c r="AC2869">
        <v>45870</v>
      </c>
      <c r="AD2869">
        <v>2</v>
      </c>
      <c r="AE2869">
        <v>0</v>
      </c>
      <c r="AF2869">
        <v>0</v>
      </c>
      <c r="AG2869">
        <v>0</v>
      </c>
      <c r="AH2869">
        <v>0</v>
      </c>
    </row>
    <row r="2870" spans="2:34" x14ac:dyDescent="0.35">
      <c r="B2870" t="s">
        <v>566</v>
      </c>
      <c r="C2870">
        <v>45873</v>
      </c>
      <c r="F2870" t="s">
        <v>749</v>
      </c>
      <c r="H2870">
        <v>51.7</v>
      </c>
      <c r="O2870" t="s">
        <v>239</v>
      </c>
      <c r="P2870" t="s">
        <v>514</v>
      </c>
      <c r="Y2870">
        <v>2836</v>
      </c>
      <c r="Z2870" s="259" t="s">
        <v>630</v>
      </c>
      <c r="AA2870">
        <v>0</v>
      </c>
      <c r="AB2870">
        <v>0</v>
      </c>
      <c r="AC2870">
        <v>45873</v>
      </c>
      <c r="AD2870">
        <v>0</v>
      </c>
      <c r="AE2870">
        <v>0</v>
      </c>
      <c r="AF2870">
        <v>0</v>
      </c>
      <c r="AG2870">
        <v>0</v>
      </c>
      <c r="AH2870">
        <v>0</v>
      </c>
    </row>
    <row r="2871" spans="2:34" x14ac:dyDescent="0.35">
      <c r="B2871" t="s">
        <v>566</v>
      </c>
      <c r="C2871">
        <v>45873</v>
      </c>
      <c r="F2871" t="s">
        <v>752</v>
      </c>
      <c r="H2871">
        <v>179.1</v>
      </c>
      <c r="O2871" t="s">
        <v>239</v>
      </c>
      <c r="P2871" t="s">
        <v>514</v>
      </c>
      <c r="Y2871">
        <v>2837</v>
      </c>
      <c r="Z2871" s="259" t="s">
        <v>630</v>
      </c>
      <c r="AA2871">
        <v>0</v>
      </c>
      <c r="AB2871">
        <v>0</v>
      </c>
      <c r="AC2871">
        <v>45873</v>
      </c>
      <c r="AD2871">
        <v>0</v>
      </c>
      <c r="AE2871">
        <v>0</v>
      </c>
      <c r="AF2871">
        <v>0</v>
      </c>
      <c r="AG2871">
        <v>0</v>
      </c>
      <c r="AH2871">
        <v>0</v>
      </c>
    </row>
    <row r="2872" spans="2:34" x14ac:dyDescent="0.35">
      <c r="B2872" t="s">
        <v>566</v>
      </c>
      <c r="C2872">
        <v>45873</v>
      </c>
      <c r="F2872" t="s">
        <v>754</v>
      </c>
      <c r="H2872">
        <v>77.900000000000006</v>
      </c>
      <c r="O2872" t="s">
        <v>239</v>
      </c>
      <c r="P2872" t="s">
        <v>514</v>
      </c>
      <c r="Y2872">
        <v>2838</v>
      </c>
      <c r="Z2872" s="259" t="s">
        <v>630</v>
      </c>
      <c r="AA2872">
        <v>0</v>
      </c>
      <c r="AB2872">
        <v>0</v>
      </c>
      <c r="AC2872">
        <v>45873</v>
      </c>
      <c r="AD2872">
        <v>0</v>
      </c>
      <c r="AE2872">
        <v>0</v>
      </c>
      <c r="AF2872">
        <v>0</v>
      </c>
      <c r="AG2872">
        <v>0</v>
      </c>
      <c r="AH2872">
        <v>0</v>
      </c>
    </row>
    <row r="2873" spans="2:34" x14ac:dyDescent="0.35">
      <c r="B2873" t="s">
        <v>566</v>
      </c>
      <c r="C2873">
        <v>45874</v>
      </c>
      <c r="F2873" t="s">
        <v>749</v>
      </c>
      <c r="H2873">
        <v>51.6</v>
      </c>
      <c r="O2873" t="s">
        <v>239</v>
      </c>
      <c r="P2873" t="s">
        <v>514</v>
      </c>
      <c r="Y2873">
        <v>2839</v>
      </c>
      <c r="Z2873" s="259" t="s">
        <v>630</v>
      </c>
      <c r="AA2873">
        <v>0</v>
      </c>
      <c r="AB2873">
        <v>0</v>
      </c>
      <c r="AC2873">
        <v>45874</v>
      </c>
      <c r="AD2873">
        <v>0</v>
      </c>
      <c r="AE2873">
        <v>0</v>
      </c>
      <c r="AF2873">
        <v>0</v>
      </c>
      <c r="AG2873">
        <v>0</v>
      </c>
      <c r="AH2873">
        <v>0</v>
      </c>
    </row>
    <row r="2874" spans="2:34" x14ac:dyDescent="0.35">
      <c r="B2874" t="s">
        <v>566</v>
      </c>
      <c r="C2874">
        <v>45874</v>
      </c>
      <c r="F2874" t="s">
        <v>752</v>
      </c>
      <c r="H2874">
        <v>179.47</v>
      </c>
      <c r="O2874" t="s">
        <v>239</v>
      </c>
      <c r="P2874" t="s">
        <v>514</v>
      </c>
      <c r="Y2874">
        <v>2840</v>
      </c>
      <c r="Z2874" s="259" t="s">
        <v>630</v>
      </c>
      <c r="AA2874">
        <v>0</v>
      </c>
      <c r="AB2874">
        <v>0</v>
      </c>
      <c r="AC2874">
        <v>45874</v>
      </c>
      <c r="AD2874">
        <v>0</v>
      </c>
      <c r="AE2874">
        <v>0</v>
      </c>
      <c r="AF2874">
        <v>0</v>
      </c>
      <c r="AG2874">
        <v>0</v>
      </c>
      <c r="AH2874">
        <v>0</v>
      </c>
    </row>
    <row r="2875" spans="2:34" x14ac:dyDescent="0.35">
      <c r="B2875" t="s">
        <v>566</v>
      </c>
      <c r="C2875">
        <v>45874</v>
      </c>
      <c r="F2875" t="s">
        <v>754</v>
      </c>
      <c r="H2875">
        <v>78.2</v>
      </c>
      <c r="O2875" t="s">
        <v>239</v>
      </c>
      <c r="P2875" t="s">
        <v>514</v>
      </c>
      <c r="Y2875">
        <v>2841</v>
      </c>
      <c r="Z2875" s="259" t="s">
        <v>630</v>
      </c>
      <c r="AA2875">
        <v>0</v>
      </c>
      <c r="AB2875">
        <v>0</v>
      </c>
      <c r="AC2875">
        <v>45874</v>
      </c>
      <c r="AD2875">
        <v>0</v>
      </c>
      <c r="AE2875">
        <v>0</v>
      </c>
      <c r="AF2875">
        <v>0</v>
      </c>
      <c r="AG2875">
        <v>0</v>
      </c>
      <c r="AH2875">
        <v>0</v>
      </c>
    </row>
    <row r="2876" spans="2:34" x14ac:dyDescent="0.35">
      <c r="B2876" t="s">
        <v>566</v>
      </c>
      <c r="C2876">
        <v>45875</v>
      </c>
      <c r="F2876" t="s">
        <v>749</v>
      </c>
      <c r="H2876">
        <v>51.5</v>
      </c>
      <c r="O2876" t="s">
        <v>239</v>
      </c>
      <c r="P2876" t="s">
        <v>514</v>
      </c>
      <c r="Y2876">
        <v>2842</v>
      </c>
      <c r="Z2876" s="259" t="s">
        <v>630</v>
      </c>
      <c r="AA2876">
        <v>0</v>
      </c>
      <c r="AB2876">
        <v>0</v>
      </c>
      <c r="AC2876">
        <v>45875</v>
      </c>
      <c r="AD2876">
        <v>0</v>
      </c>
      <c r="AE2876">
        <v>0</v>
      </c>
      <c r="AF2876">
        <v>0</v>
      </c>
      <c r="AG2876">
        <v>0</v>
      </c>
      <c r="AH2876">
        <v>0</v>
      </c>
    </row>
    <row r="2877" spans="2:34" x14ac:dyDescent="0.35">
      <c r="B2877" t="s">
        <v>566</v>
      </c>
      <c r="C2877">
        <v>45875</v>
      </c>
      <c r="F2877" t="s">
        <v>752</v>
      </c>
      <c r="H2877">
        <v>179.83</v>
      </c>
      <c r="O2877" t="s">
        <v>239</v>
      </c>
      <c r="P2877" t="s">
        <v>514</v>
      </c>
      <c r="Y2877">
        <v>2843</v>
      </c>
      <c r="Z2877" s="259" t="s">
        <v>630</v>
      </c>
      <c r="AA2877">
        <v>0</v>
      </c>
      <c r="AB2877">
        <v>0</v>
      </c>
      <c r="AC2877">
        <v>45875</v>
      </c>
      <c r="AD2877">
        <v>0</v>
      </c>
      <c r="AE2877">
        <v>0</v>
      </c>
      <c r="AF2877">
        <v>0</v>
      </c>
      <c r="AG2877">
        <v>0</v>
      </c>
      <c r="AH2877">
        <v>0</v>
      </c>
    </row>
    <row r="2878" spans="2:34" x14ac:dyDescent="0.35">
      <c r="B2878" t="s">
        <v>566</v>
      </c>
      <c r="C2878">
        <v>45875</v>
      </c>
      <c r="F2878" t="s">
        <v>754</v>
      </c>
      <c r="H2878">
        <v>78.5</v>
      </c>
      <c r="O2878" t="s">
        <v>239</v>
      </c>
      <c r="P2878" t="s">
        <v>514</v>
      </c>
      <c r="Y2878">
        <v>2844</v>
      </c>
      <c r="Z2878" s="259" t="s">
        <v>630</v>
      </c>
      <c r="AA2878">
        <v>0</v>
      </c>
      <c r="AB2878">
        <v>0</v>
      </c>
      <c r="AC2878">
        <v>45875</v>
      </c>
      <c r="AD2878">
        <v>0</v>
      </c>
      <c r="AE2878">
        <v>0</v>
      </c>
      <c r="AF2878">
        <v>0</v>
      </c>
      <c r="AG2878">
        <v>0</v>
      </c>
      <c r="AH2878">
        <v>0</v>
      </c>
    </row>
    <row r="2879" spans="2:34" x14ac:dyDescent="0.35">
      <c r="B2879" t="s">
        <v>566</v>
      </c>
      <c r="C2879">
        <v>45876</v>
      </c>
      <c r="F2879" t="s">
        <v>749</v>
      </c>
      <c r="H2879">
        <v>51.4</v>
      </c>
      <c r="O2879" t="s">
        <v>239</v>
      </c>
      <c r="P2879" t="s">
        <v>514</v>
      </c>
      <c r="Y2879">
        <v>2845</v>
      </c>
      <c r="Z2879" s="259" t="s">
        <v>630</v>
      </c>
      <c r="AA2879">
        <v>0</v>
      </c>
      <c r="AB2879">
        <v>0</v>
      </c>
      <c r="AC2879">
        <v>45876</v>
      </c>
      <c r="AD2879">
        <v>0</v>
      </c>
      <c r="AE2879">
        <v>0</v>
      </c>
      <c r="AF2879">
        <v>0</v>
      </c>
      <c r="AG2879">
        <v>0</v>
      </c>
      <c r="AH2879">
        <v>0</v>
      </c>
    </row>
    <row r="2880" spans="2:34" x14ac:dyDescent="0.35">
      <c r="B2880" t="s">
        <v>566</v>
      </c>
      <c r="C2880">
        <v>45876</v>
      </c>
      <c r="F2880" t="s">
        <v>752</v>
      </c>
      <c r="H2880">
        <v>180.2</v>
      </c>
      <c r="O2880" t="s">
        <v>239</v>
      </c>
      <c r="P2880" t="s">
        <v>514</v>
      </c>
      <c r="Y2880">
        <v>2846</v>
      </c>
      <c r="Z2880" s="259" t="s">
        <v>630</v>
      </c>
      <c r="AA2880">
        <v>0</v>
      </c>
      <c r="AB2880">
        <v>0</v>
      </c>
      <c r="AC2880">
        <v>45876</v>
      </c>
      <c r="AD2880">
        <v>0</v>
      </c>
      <c r="AE2880">
        <v>0</v>
      </c>
      <c r="AF2880">
        <v>0</v>
      </c>
      <c r="AG2880">
        <v>0</v>
      </c>
      <c r="AH2880">
        <v>0</v>
      </c>
    </row>
    <row r="2881" spans="2:34" x14ac:dyDescent="0.35">
      <c r="B2881" t="s">
        <v>566</v>
      </c>
      <c r="C2881">
        <v>45876</v>
      </c>
      <c r="F2881" t="s">
        <v>754</v>
      </c>
      <c r="H2881">
        <v>78.8</v>
      </c>
      <c r="O2881" t="s">
        <v>239</v>
      </c>
      <c r="P2881" t="s">
        <v>514</v>
      </c>
      <c r="Y2881">
        <v>2847</v>
      </c>
      <c r="Z2881" s="259" t="s">
        <v>630</v>
      </c>
      <c r="AA2881">
        <v>0</v>
      </c>
      <c r="AB2881">
        <v>0</v>
      </c>
      <c r="AC2881">
        <v>45876</v>
      </c>
      <c r="AD2881">
        <v>0</v>
      </c>
      <c r="AE2881">
        <v>0</v>
      </c>
      <c r="AF2881">
        <v>0</v>
      </c>
      <c r="AG2881">
        <v>0</v>
      </c>
      <c r="AH2881">
        <v>0</v>
      </c>
    </row>
    <row r="2882" spans="2:34" x14ac:dyDescent="0.35">
      <c r="B2882" t="s">
        <v>566</v>
      </c>
      <c r="C2882">
        <v>45877</v>
      </c>
      <c r="F2882" t="s">
        <v>749</v>
      </c>
      <c r="H2882">
        <v>51.3</v>
      </c>
      <c r="O2882" t="s">
        <v>239</v>
      </c>
      <c r="P2882" t="s">
        <v>514</v>
      </c>
      <c r="Y2882">
        <v>2848</v>
      </c>
      <c r="Z2882" s="259" t="s">
        <v>630</v>
      </c>
      <c r="AA2882">
        <v>0</v>
      </c>
      <c r="AB2882">
        <v>0</v>
      </c>
      <c r="AC2882">
        <v>45877</v>
      </c>
      <c r="AD2882">
        <v>0</v>
      </c>
      <c r="AE2882">
        <v>0</v>
      </c>
      <c r="AF2882">
        <v>0</v>
      </c>
      <c r="AG2882">
        <v>0</v>
      </c>
      <c r="AH2882">
        <v>0</v>
      </c>
    </row>
    <row r="2883" spans="2:34" x14ac:dyDescent="0.35">
      <c r="B2883" t="s">
        <v>566</v>
      </c>
      <c r="C2883">
        <v>45877</v>
      </c>
      <c r="F2883" t="s">
        <v>752</v>
      </c>
      <c r="H2883">
        <v>180.57</v>
      </c>
      <c r="O2883" t="s">
        <v>239</v>
      </c>
      <c r="P2883" t="s">
        <v>514</v>
      </c>
      <c r="Y2883">
        <v>2849</v>
      </c>
      <c r="Z2883" s="259" t="s">
        <v>630</v>
      </c>
      <c r="AA2883">
        <v>0</v>
      </c>
      <c r="AB2883">
        <v>0</v>
      </c>
      <c r="AC2883">
        <v>45877</v>
      </c>
      <c r="AD2883">
        <v>0</v>
      </c>
      <c r="AE2883">
        <v>0</v>
      </c>
      <c r="AF2883">
        <v>0</v>
      </c>
      <c r="AG2883">
        <v>0</v>
      </c>
      <c r="AH2883">
        <v>0</v>
      </c>
    </row>
    <row r="2884" spans="2:34" x14ac:dyDescent="0.35">
      <c r="B2884" t="s">
        <v>566</v>
      </c>
      <c r="C2884">
        <v>45877</v>
      </c>
      <c r="F2884" t="s">
        <v>754</v>
      </c>
      <c r="H2884">
        <v>79.099999999999994</v>
      </c>
      <c r="O2884" t="s">
        <v>239</v>
      </c>
      <c r="P2884" t="s">
        <v>514</v>
      </c>
      <c r="Y2884">
        <v>2850</v>
      </c>
      <c r="Z2884" s="259" t="s">
        <v>630</v>
      </c>
      <c r="AA2884">
        <v>0</v>
      </c>
      <c r="AB2884">
        <v>0</v>
      </c>
      <c r="AC2884">
        <v>45877</v>
      </c>
      <c r="AD2884">
        <v>0</v>
      </c>
      <c r="AE2884">
        <v>0</v>
      </c>
      <c r="AF2884">
        <v>0</v>
      </c>
      <c r="AG2884">
        <v>0</v>
      </c>
      <c r="AH2884">
        <v>0</v>
      </c>
    </row>
    <row r="2885" spans="2:34" x14ac:dyDescent="0.35">
      <c r="B2885" t="s">
        <v>566</v>
      </c>
      <c r="C2885">
        <v>45878</v>
      </c>
      <c r="F2885" t="s">
        <v>749</v>
      </c>
      <c r="H2885">
        <v>51.3</v>
      </c>
      <c r="O2885" t="s">
        <v>239</v>
      </c>
      <c r="P2885" t="s">
        <v>514</v>
      </c>
      <c r="Y2885">
        <v>2851</v>
      </c>
      <c r="Z2885" s="259" t="s">
        <v>630</v>
      </c>
      <c r="AA2885">
        <v>0</v>
      </c>
      <c r="AB2885">
        <v>0</v>
      </c>
      <c r="AC2885">
        <v>45877</v>
      </c>
      <c r="AD2885">
        <v>1</v>
      </c>
      <c r="AE2885">
        <v>0</v>
      </c>
      <c r="AF2885">
        <v>0</v>
      </c>
      <c r="AG2885">
        <v>0</v>
      </c>
      <c r="AH2885">
        <v>0</v>
      </c>
    </row>
    <row r="2886" spans="2:34" x14ac:dyDescent="0.35">
      <c r="B2886" t="s">
        <v>566</v>
      </c>
      <c r="C2886">
        <v>45878</v>
      </c>
      <c r="F2886" t="s">
        <v>752</v>
      </c>
      <c r="H2886">
        <v>180.57</v>
      </c>
      <c r="O2886" t="s">
        <v>239</v>
      </c>
      <c r="P2886" t="s">
        <v>514</v>
      </c>
      <c r="Y2886">
        <v>2852</v>
      </c>
      <c r="Z2886" s="259" t="s">
        <v>630</v>
      </c>
      <c r="AA2886">
        <v>0</v>
      </c>
      <c r="AB2886">
        <v>0</v>
      </c>
      <c r="AC2886">
        <v>45877</v>
      </c>
      <c r="AD2886">
        <v>1</v>
      </c>
      <c r="AE2886">
        <v>0</v>
      </c>
      <c r="AF2886">
        <v>0</v>
      </c>
      <c r="AG2886">
        <v>0</v>
      </c>
      <c r="AH2886">
        <v>0</v>
      </c>
    </row>
    <row r="2887" spans="2:34" x14ac:dyDescent="0.35">
      <c r="B2887" t="s">
        <v>566</v>
      </c>
      <c r="C2887">
        <v>45878</v>
      </c>
      <c r="F2887" t="s">
        <v>754</v>
      </c>
      <c r="H2887">
        <v>79.099999999999994</v>
      </c>
      <c r="O2887" t="s">
        <v>239</v>
      </c>
      <c r="P2887" t="s">
        <v>514</v>
      </c>
      <c r="Y2887">
        <v>2853</v>
      </c>
      <c r="Z2887" s="259" t="s">
        <v>630</v>
      </c>
      <c r="AA2887">
        <v>0</v>
      </c>
      <c r="AB2887">
        <v>0</v>
      </c>
      <c r="AC2887">
        <v>45877</v>
      </c>
      <c r="AD2887">
        <v>1</v>
      </c>
      <c r="AE2887">
        <v>0</v>
      </c>
      <c r="AF2887">
        <v>0</v>
      </c>
      <c r="AG2887">
        <v>0</v>
      </c>
      <c r="AH2887">
        <v>0</v>
      </c>
    </row>
    <row r="2888" spans="2:34" x14ac:dyDescent="0.35">
      <c r="B2888" t="s">
        <v>566</v>
      </c>
      <c r="C2888">
        <v>45879</v>
      </c>
      <c r="F2888" t="s">
        <v>749</v>
      </c>
      <c r="H2888">
        <v>51.3</v>
      </c>
      <c r="O2888" t="s">
        <v>239</v>
      </c>
      <c r="P2888" t="s">
        <v>514</v>
      </c>
      <c r="Y2888">
        <v>2854</v>
      </c>
      <c r="Z2888" s="259" t="s">
        <v>630</v>
      </c>
      <c r="AA2888">
        <v>0</v>
      </c>
      <c r="AB2888">
        <v>0</v>
      </c>
      <c r="AC2888">
        <v>45877</v>
      </c>
      <c r="AD2888">
        <v>2</v>
      </c>
      <c r="AE2888">
        <v>0</v>
      </c>
      <c r="AF2888">
        <v>0</v>
      </c>
      <c r="AG2888">
        <v>0</v>
      </c>
      <c r="AH2888">
        <v>0</v>
      </c>
    </row>
    <row r="2889" spans="2:34" x14ac:dyDescent="0.35">
      <c r="B2889" t="s">
        <v>566</v>
      </c>
      <c r="C2889">
        <v>45879</v>
      </c>
      <c r="F2889" t="s">
        <v>752</v>
      </c>
      <c r="H2889">
        <v>180.57</v>
      </c>
      <c r="O2889" t="s">
        <v>239</v>
      </c>
      <c r="P2889" t="s">
        <v>514</v>
      </c>
      <c r="Y2889">
        <v>2855</v>
      </c>
      <c r="Z2889" s="259" t="s">
        <v>630</v>
      </c>
      <c r="AA2889">
        <v>0</v>
      </c>
      <c r="AB2889">
        <v>0</v>
      </c>
      <c r="AC2889">
        <v>45877</v>
      </c>
      <c r="AD2889">
        <v>2</v>
      </c>
      <c r="AE2889">
        <v>0</v>
      </c>
      <c r="AF2889">
        <v>0</v>
      </c>
      <c r="AG2889">
        <v>0</v>
      </c>
      <c r="AH2889">
        <v>0</v>
      </c>
    </row>
    <row r="2890" spans="2:34" x14ac:dyDescent="0.35">
      <c r="B2890" t="s">
        <v>566</v>
      </c>
      <c r="C2890">
        <v>45879</v>
      </c>
      <c r="F2890" t="s">
        <v>754</v>
      </c>
      <c r="H2890">
        <v>79.099999999999994</v>
      </c>
      <c r="O2890" t="s">
        <v>239</v>
      </c>
      <c r="P2890" t="s">
        <v>514</v>
      </c>
      <c r="Y2890">
        <v>2856</v>
      </c>
      <c r="Z2890" s="259" t="s">
        <v>630</v>
      </c>
      <c r="AA2890">
        <v>0</v>
      </c>
      <c r="AB2890">
        <v>0</v>
      </c>
      <c r="AC2890">
        <v>45877</v>
      </c>
      <c r="AD2890">
        <v>2</v>
      </c>
      <c r="AE2890">
        <v>0</v>
      </c>
      <c r="AF2890">
        <v>0</v>
      </c>
      <c r="AG2890">
        <v>0</v>
      </c>
      <c r="AH2890">
        <v>0</v>
      </c>
    </row>
    <row r="2891" spans="2:34" x14ac:dyDescent="0.35">
      <c r="B2891" t="s">
        <v>566</v>
      </c>
      <c r="C2891">
        <v>45880</v>
      </c>
      <c r="F2891" t="s">
        <v>749</v>
      </c>
      <c r="H2891">
        <v>51</v>
      </c>
      <c r="O2891" t="s">
        <v>239</v>
      </c>
      <c r="P2891" t="s">
        <v>514</v>
      </c>
      <c r="Y2891">
        <v>2857</v>
      </c>
      <c r="Z2891" s="259" t="s">
        <v>630</v>
      </c>
      <c r="AA2891">
        <v>0</v>
      </c>
      <c r="AB2891">
        <v>0</v>
      </c>
      <c r="AC2891">
        <v>45880</v>
      </c>
      <c r="AD2891">
        <v>0</v>
      </c>
      <c r="AE2891">
        <v>0</v>
      </c>
      <c r="AF2891">
        <v>0</v>
      </c>
      <c r="AG2891">
        <v>0</v>
      </c>
      <c r="AH2891">
        <v>0</v>
      </c>
    </row>
    <row r="2892" spans="2:34" x14ac:dyDescent="0.35">
      <c r="B2892" t="s">
        <v>566</v>
      </c>
      <c r="C2892">
        <v>45880</v>
      </c>
      <c r="F2892" t="s">
        <v>752</v>
      </c>
      <c r="H2892">
        <v>181.67</v>
      </c>
      <c r="O2892" t="s">
        <v>239</v>
      </c>
      <c r="P2892" t="s">
        <v>514</v>
      </c>
      <c r="Y2892">
        <v>2858</v>
      </c>
      <c r="Z2892" s="259" t="s">
        <v>630</v>
      </c>
      <c r="AA2892">
        <v>0</v>
      </c>
      <c r="AB2892">
        <v>0</v>
      </c>
      <c r="AC2892">
        <v>45880</v>
      </c>
      <c r="AD2892">
        <v>0</v>
      </c>
      <c r="AE2892">
        <v>0</v>
      </c>
      <c r="AF2892">
        <v>0</v>
      </c>
      <c r="AG2892">
        <v>0</v>
      </c>
      <c r="AH2892">
        <v>0</v>
      </c>
    </row>
    <row r="2893" spans="2:34" x14ac:dyDescent="0.35">
      <c r="B2893" t="s">
        <v>566</v>
      </c>
      <c r="C2893">
        <v>45880</v>
      </c>
      <c r="F2893" t="s">
        <v>754</v>
      </c>
      <c r="H2893">
        <v>80</v>
      </c>
      <c r="O2893" t="s">
        <v>239</v>
      </c>
      <c r="P2893" t="s">
        <v>514</v>
      </c>
      <c r="Y2893">
        <v>2859</v>
      </c>
      <c r="Z2893" s="259" t="s">
        <v>630</v>
      </c>
      <c r="AA2893">
        <v>0</v>
      </c>
      <c r="AB2893">
        <v>0</v>
      </c>
      <c r="AC2893">
        <v>45880</v>
      </c>
      <c r="AD2893">
        <v>0</v>
      </c>
      <c r="AE2893">
        <v>0</v>
      </c>
      <c r="AF2893">
        <v>0</v>
      </c>
      <c r="AG2893">
        <v>0</v>
      </c>
      <c r="AH2893">
        <v>0</v>
      </c>
    </row>
    <row r="2894" spans="2:34" x14ac:dyDescent="0.35">
      <c r="B2894" t="s">
        <v>566</v>
      </c>
      <c r="C2894">
        <v>45881</v>
      </c>
      <c r="F2894" t="s">
        <v>749</v>
      </c>
      <c r="H2894">
        <v>50.9</v>
      </c>
      <c r="O2894" t="s">
        <v>239</v>
      </c>
      <c r="P2894" t="s">
        <v>514</v>
      </c>
      <c r="Y2894">
        <v>2860</v>
      </c>
      <c r="Z2894" s="259" t="s">
        <v>630</v>
      </c>
      <c r="AA2894">
        <v>0</v>
      </c>
      <c r="AB2894">
        <v>0</v>
      </c>
      <c r="AC2894">
        <v>45881</v>
      </c>
      <c r="AD2894">
        <v>0</v>
      </c>
      <c r="AE2894">
        <v>0</v>
      </c>
      <c r="AF2894">
        <v>0</v>
      </c>
      <c r="AG2894">
        <v>0</v>
      </c>
      <c r="AH2894">
        <v>0</v>
      </c>
    </row>
    <row r="2895" spans="2:34" x14ac:dyDescent="0.35">
      <c r="B2895" t="s">
        <v>566</v>
      </c>
      <c r="C2895">
        <v>45881</v>
      </c>
      <c r="F2895" t="s">
        <v>752</v>
      </c>
      <c r="H2895">
        <v>182.03</v>
      </c>
      <c r="O2895" t="s">
        <v>239</v>
      </c>
      <c r="P2895" t="s">
        <v>514</v>
      </c>
      <c r="Y2895">
        <v>2861</v>
      </c>
      <c r="Z2895" s="259" t="s">
        <v>630</v>
      </c>
      <c r="AA2895">
        <v>0</v>
      </c>
      <c r="AB2895">
        <v>0</v>
      </c>
      <c r="AC2895">
        <v>45881</v>
      </c>
      <c r="AD2895">
        <v>0</v>
      </c>
      <c r="AE2895">
        <v>0</v>
      </c>
      <c r="AF2895">
        <v>0</v>
      </c>
      <c r="AG2895">
        <v>0</v>
      </c>
      <c r="AH2895">
        <v>0</v>
      </c>
    </row>
    <row r="2896" spans="2:34" x14ac:dyDescent="0.35">
      <c r="B2896" t="s">
        <v>566</v>
      </c>
      <c r="C2896">
        <v>45881</v>
      </c>
      <c r="F2896" t="s">
        <v>754</v>
      </c>
      <c r="H2896">
        <v>80.3</v>
      </c>
      <c r="O2896" t="s">
        <v>239</v>
      </c>
      <c r="P2896" t="s">
        <v>514</v>
      </c>
      <c r="Y2896">
        <v>2862</v>
      </c>
      <c r="Z2896" s="259" t="s">
        <v>630</v>
      </c>
      <c r="AA2896">
        <v>0</v>
      </c>
      <c r="AB2896">
        <v>0</v>
      </c>
      <c r="AC2896">
        <v>45881</v>
      </c>
      <c r="AD2896">
        <v>0</v>
      </c>
      <c r="AE2896">
        <v>0</v>
      </c>
      <c r="AF2896">
        <v>0</v>
      </c>
      <c r="AG2896">
        <v>0</v>
      </c>
      <c r="AH2896">
        <v>0</v>
      </c>
    </row>
    <row r="2897" spans="2:34" x14ac:dyDescent="0.35">
      <c r="B2897" t="s">
        <v>566</v>
      </c>
      <c r="C2897">
        <v>45882</v>
      </c>
      <c r="F2897" t="s">
        <v>749</v>
      </c>
      <c r="H2897">
        <v>50.8</v>
      </c>
      <c r="O2897" t="s">
        <v>239</v>
      </c>
      <c r="P2897" t="s">
        <v>514</v>
      </c>
      <c r="Y2897">
        <v>2863</v>
      </c>
      <c r="Z2897" s="259" t="s">
        <v>630</v>
      </c>
      <c r="AA2897">
        <v>0</v>
      </c>
      <c r="AB2897">
        <v>0</v>
      </c>
      <c r="AC2897">
        <v>45882</v>
      </c>
      <c r="AD2897">
        <v>0</v>
      </c>
      <c r="AE2897">
        <v>0</v>
      </c>
      <c r="AF2897">
        <v>0</v>
      </c>
      <c r="AG2897">
        <v>0</v>
      </c>
      <c r="AH2897">
        <v>0</v>
      </c>
    </row>
    <row r="2898" spans="2:34" x14ac:dyDescent="0.35">
      <c r="B2898" t="s">
        <v>566</v>
      </c>
      <c r="C2898">
        <v>45882</v>
      </c>
      <c r="F2898" t="s">
        <v>752</v>
      </c>
      <c r="H2898">
        <v>182.4</v>
      </c>
      <c r="O2898" t="s">
        <v>239</v>
      </c>
      <c r="P2898" t="s">
        <v>514</v>
      </c>
      <c r="Y2898">
        <v>2864</v>
      </c>
      <c r="Z2898" s="259" t="s">
        <v>630</v>
      </c>
      <c r="AA2898">
        <v>0</v>
      </c>
      <c r="AB2898">
        <v>0</v>
      </c>
      <c r="AC2898">
        <v>45882</v>
      </c>
      <c r="AD2898">
        <v>0</v>
      </c>
      <c r="AE2898">
        <v>0</v>
      </c>
      <c r="AF2898">
        <v>0</v>
      </c>
      <c r="AG2898">
        <v>0</v>
      </c>
      <c r="AH2898">
        <v>0</v>
      </c>
    </row>
    <row r="2899" spans="2:34" x14ac:dyDescent="0.35">
      <c r="B2899" t="s">
        <v>566</v>
      </c>
      <c r="C2899">
        <v>45882</v>
      </c>
      <c r="F2899" t="s">
        <v>754</v>
      </c>
      <c r="H2899">
        <v>80.599999999999994</v>
      </c>
      <c r="O2899" t="s">
        <v>239</v>
      </c>
      <c r="P2899" t="s">
        <v>514</v>
      </c>
      <c r="Y2899">
        <v>2865</v>
      </c>
      <c r="Z2899" s="259" t="s">
        <v>630</v>
      </c>
      <c r="AA2899">
        <v>0</v>
      </c>
      <c r="AB2899">
        <v>0</v>
      </c>
      <c r="AC2899">
        <v>45882</v>
      </c>
      <c r="AD2899">
        <v>0</v>
      </c>
      <c r="AE2899">
        <v>0</v>
      </c>
      <c r="AF2899">
        <v>0</v>
      </c>
      <c r="AG2899">
        <v>0</v>
      </c>
      <c r="AH2899">
        <v>0</v>
      </c>
    </row>
    <row r="2900" spans="2:34" x14ac:dyDescent="0.35">
      <c r="B2900" t="s">
        <v>566</v>
      </c>
      <c r="C2900">
        <v>45883</v>
      </c>
      <c r="F2900" t="s">
        <v>749</v>
      </c>
      <c r="H2900">
        <v>50.7</v>
      </c>
      <c r="O2900" t="s">
        <v>239</v>
      </c>
      <c r="P2900" t="s">
        <v>514</v>
      </c>
      <c r="Y2900">
        <v>2866</v>
      </c>
      <c r="Z2900" s="259" t="s">
        <v>630</v>
      </c>
      <c r="AA2900">
        <v>0</v>
      </c>
      <c r="AB2900">
        <v>0</v>
      </c>
      <c r="AC2900">
        <v>45883</v>
      </c>
      <c r="AD2900">
        <v>0</v>
      </c>
      <c r="AE2900">
        <v>0</v>
      </c>
      <c r="AF2900">
        <v>0</v>
      </c>
      <c r="AG2900">
        <v>0</v>
      </c>
      <c r="AH2900">
        <v>0</v>
      </c>
    </row>
    <row r="2901" spans="2:34" x14ac:dyDescent="0.35">
      <c r="B2901" t="s">
        <v>566</v>
      </c>
      <c r="C2901">
        <v>45883</v>
      </c>
      <c r="F2901" t="s">
        <v>752</v>
      </c>
      <c r="H2901">
        <v>182.77</v>
      </c>
      <c r="O2901" t="s">
        <v>239</v>
      </c>
      <c r="P2901" t="s">
        <v>514</v>
      </c>
      <c r="Y2901">
        <v>2867</v>
      </c>
      <c r="Z2901" s="259" t="s">
        <v>630</v>
      </c>
      <c r="AA2901">
        <v>0</v>
      </c>
      <c r="AB2901">
        <v>0</v>
      </c>
      <c r="AC2901">
        <v>45883</v>
      </c>
      <c r="AD2901">
        <v>0</v>
      </c>
      <c r="AE2901">
        <v>0</v>
      </c>
      <c r="AF2901">
        <v>0</v>
      </c>
      <c r="AG2901">
        <v>0</v>
      </c>
      <c r="AH2901">
        <v>0</v>
      </c>
    </row>
    <row r="2902" spans="2:34" x14ac:dyDescent="0.35">
      <c r="B2902" t="s">
        <v>566</v>
      </c>
      <c r="C2902">
        <v>45883</v>
      </c>
      <c r="F2902" t="s">
        <v>754</v>
      </c>
      <c r="H2902">
        <v>80.900000000000006</v>
      </c>
      <c r="O2902" t="s">
        <v>239</v>
      </c>
      <c r="P2902" t="s">
        <v>514</v>
      </c>
      <c r="Y2902">
        <v>2868</v>
      </c>
      <c r="Z2902" s="259" t="s">
        <v>630</v>
      </c>
      <c r="AA2902">
        <v>0</v>
      </c>
      <c r="AB2902">
        <v>0</v>
      </c>
      <c r="AC2902">
        <v>45883</v>
      </c>
      <c r="AD2902">
        <v>0</v>
      </c>
      <c r="AE2902">
        <v>0</v>
      </c>
      <c r="AF2902">
        <v>0</v>
      </c>
      <c r="AG2902">
        <v>0</v>
      </c>
      <c r="AH2902">
        <v>0</v>
      </c>
    </row>
    <row r="2903" spans="2:34" x14ac:dyDescent="0.35">
      <c r="B2903" t="s">
        <v>566</v>
      </c>
      <c r="C2903">
        <v>45884</v>
      </c>
      <c r="F2903" t="s">
        <v>749</v>
      </c>
      <c r="H2903">
        <v>50.6</v>
      </c>
      <c r="O2903" t="s">
        <v>239</v>
      </c>
      <c r="P2903" t="s">
        <v>514</v>
      </c>
      <c r="Y2903">
        <v>2869</v>
      </c>
      <c r="Z2903" s="259" t="s">
        <v>630</v>
      </c>
      <c r="AA2903">
        <v>0</v>
      </c>
      <c r="AB2903">
        <v>0</v>
      </c>
      <c r="AC2903">
        <v>45884</v>
      </c>
      <c r="AD2903">
        <v>0</v>
      </c>
      <c r="AE2903">
        <v>0</v>
      </c>
      <c r="AF2903">
        <v>0</v>
      </c>
      <c r="AG2903">
        <v>0</v>
      </c>
      <c r="AH2903">
        <v>0</v>
      </c>
    </row>
    <row r="2904" spans="2:34" x14ac:dyDescent="0.35">
      <c r="B2904" t="s">
        <v>566</v>
      </c>
      <c r="C2904">
        <v>45884</v>
      </c>
      <c r="F2904" t="s">
        <v>752</v>
      </c>
      <c r="H2904">
        <v>183.13</v>
      </c>
      <c r="O2904" t="s">
        <v>239</v>
      </c>
      <c r="P2904" t="s">
        <v>514</v>
      </c>
      <c r="Y2904">
        <v>2870</v>
      </c>
      <c r="Z2904" s="259" t="s">
        <v>630</v>
      </c>
      <c r="AA2904">
        <v>0</v>
      </c>
      <c r="AB2904">
        <v>0</v>
      </c>
      <c r="AC2904">
        <v>45884</v>
      </c>
      <c r="AD2904">
        <v>0</v>
      </c>
      <c r="AE2904">
        <v>0</v>
      </c>
      <c r="AF2904">
        <v>0</v>
      </c>
      <c r="AG2904">
        <v>0</v>
      </c>
      <c r="AH2904">
        <v>0</v>
      </c>
    </row>
    <row r="2905" spans="2:34" x14ac:dyDescent="0.35">
      <c r="B2905" t="s">
        <v>566</v>
      </c>
      <c r="C2905">
        <v>45884</v>
      </c>
      <c r="F2905" t="s">
        <v>754</v>
      </c>
      <c r="H2905">
        <v>81.2</v>
      </c>
      <c r="O2905" t="s">
        <v>239</v>
      </c>
      <c r="P2905" t="s">
        <v>514</v>
      </c>
      <c r="Y2905">
        <v>2871</v>
      </c>
      <c r="Z2905" s="259" t="s">
        <v>630</v>
      </c>
      <c r="AA2905">
        <v>0</v>
      </c>
      <c r="AB2905">
        <v>0</v>
      </c>
      <c r="AC2905">
        <v>45884</v>
      </c>
      <c r="AD2905">
        <v>0</v>
      </c>
      <c r="AE2905">
        <v>0</v>
      </c>
      <c r="AF2905">
        <v>0</v>
      </c>
      <c r="AG2905">
        <v>0</v>
      </c>
      <c r="AH2905">
        <v>0</v>
      </c>
    </row>
    <row r="2906" spans="2:34" x14ac:dyDescent="0.35">
      <c r="B2906" t="s">
        <v>566</v>
      </c>
      <c r="C2906">
        <v>45885</v>
      </c>
      <c r="F2906" t="s">
        <v>749</v>
      </c>
      <c r="H2906">
        <v>50.6</v>
      </c>
      <c r="O2906" t="s">
        <v>239</v>
      </c>
      <c r="P2906" t="s">
        <v>514</v>
      </c>
      <c r="Y2906">
        <v>2872</v>
      </c>
      <c r="Z2906" s="259" t="s">
        <v>630</v>
      </c>
      <c r="AA2906">
        <v>0</v>
      </c>
      <c r="AB2906">
        <v>0</v>
      </c>
      <c r="AC2906">
        <v>45884</v>
      </c>
      <c r="AD2906">
        <v>1</v>
      </c>
      <c r="AE2906">
        <v>0</v>
      </c>
      <c r="AF2906">
        <v>0</v>
      </c>
      <c r="AG2906">
        <v>0</v>
      </c>
      <c r="AH2906">
        <v>0</v>
      </c>
    </row>
    <row r="2907" spans="2:34" x14ac:dyDescent="0.35">
      <c r="B2907" t="s">
        <v>566</v>
      </c>
      <c r="C2907">
        <v>45885</v>
      </c>
      <c r="F2907" t="s">
        <v>752</v>
      </c>
      <c r="H2907">
        <v>183.13</v>
      </c>
      <c r="O2907" t="s">
        <v>239</v>
      </c>
      <c r="P2907" t="s">
        <v>514</v>
      </c>
      <c r="Y2907">
        <v>2873</v>
      </c>
      <c r="Z2907" s="259" t="s">
        <v>630</v>
      </c>
      <c r="AA2907">
        <v>0</v>
      </c>
      <c r="AB2907">
        <v>0</v>
      </c>
      <c r="AC2907">
        <v>45884</v>
      </c>
      <c r="AD2907">
        <v>1</v>
      </c>
      <c r="AE2907">
        <v>0</v>
      </c>
      <c r="AF2907">
        <v>0</v>
      </c>
      <c r="AG2907">
        <v>0</v>
      </c>
      <c r="AH2907">
        <v>0</v>
      </c>
    </row>
    <row r="2908" spans="2:34" x14ac:dyDescent="0.35">
      <c r="B2908" t="s">
        <v>566</v>
      </c>
      <c r="C2908">
        <v>45885</v>
      </c>
      <c r="F2908" t="s">
        <v>754</v>
      </c>
      <c r="H2908">
        <v>81.2</v>
      </c>
      <c r="O2908" t="s">
        <v>239</v>
      </c>
      <c r="P2908" t="s">
        <v>514</v>
      </c>
      <c r="Y2908">
        <v>2874</v>
      </c>
      <c r="Z2908" s="259" t="s">
        <v>630</v>
      </c>
      <c r="AA2908">
        <v>0</v>
      </c>
      <c r="AB2908">
        <v>0</v>
      </c>
      <c r="AC2908">
        <v>45884</v>
      </c>
      <c r="AD2908">
        <v>1</v>
      </c>
      <c r="AE2908">
        <v>0</v>
      </c>
      <c r="AF2908">
        <v>0</v>
      </c>
      <c r="AG2908">
        <v>0</v>
      </c>
      <c r="AH2908">
        <v>0</v>
      </c>
    </row>
    <row r="2909" spans="2:34" x14ac:dyDescent="0.35">
      <c r="B2909" t="s">
        <v>566</v>
      </c>
      <c r="C2909">
        <v>45886</v>
      </c>
      <c r="F2909" t="s">
        <v>749</v>
      </c>
      <c r="H2909">
        <v>50.6</v>
      </c>
      <c r="O2909" t="s">
        <v>239</v>
      </c>
      <c r="P2909" t="s">
        <v>514</v>
      </c>
      <c r="Y2909">
        <v>2875</v>
      </c>
      <c r="Z2909" s="259" t="s">
        <v>630</v>
      </c>
      <c r="AA2909">
        <v>0</v>
      </c>
      <c r="AB2909">
        <v>0</v>
      </c>
      <c r="AC2909">
        <v>45884</v>
      </c>
      <c r="AD2909">
        <v>2</v>
      </c>
      <c r="AE2909">
        <v>0</v>
      </c>
      <c r="AF2909">
        <v>0</v>
      </c>
      <c r="AG2909">
        <v>0</v>
      </c>
      <c r="AH2909">
        <v>0</v>
      </c>
    </row>
    <row r="2910" spans="2:34" x14ac:dyDescent="0.35">
      <c r="B2910" t="s">
        <v>566</v>
      </c>
      <c r="C2910">
        <v>45886</v>
      </c>
      <c r="F2910" t="s">
        <v>752</v>
      </c>
      <c r="H2910">
        <v>183.13</v>
      </c>
      <c r="O2910" t="s">
        <v>239</v>
      </c>
      <c r="P2910" t="s">
        <v>514</v>
      </c>
      <c r="Y2910">
        <v>2876</v>
      </c>
      <c r="Z2910" s="259" t="s">
        <v>630</v>
      </c>
      <c r="AA2910">
        <v>0</v>
      </c>
      <c r="AB2910">
        <v>0</v>
      </c>
      <c r="AC2910">
        <v>45884</v>
      </c>
      <c r="AD2910">
        <v>2</v>
      </c>
      <c r="AE2910">
        <v>0</v>
      </c>
      <c r="AF2910">
        <v>0</v>
      </c>
      <c r="AG2910">
        <v>0</v>
      </c>
      <c r="AH2910">
        <v>0</v>
      </c>
    </row>
    <row r="2911" spans="2:34" x14ac:dyDescent="0.35">
      <c r="B2911" t="s">
        <v>566</v>
      </c>
      <c r="C2911">
        <v>45886</v>
      </c>
      <c r="F2911" t="s">
        <v>754</v>
      </c>
      <c r="H2911">
        <v>81.2</v>
      </c>
      <c r="O2911" t="s">
        <v>239</v>
      </c>
      <c r="P2911" t="s">
        <v>514</v>
      </c>
      <c r="Y2911">
        <v>2877</v>
      </c>
      <c r="Z2911" s="259" t="s">
        <v>630</v>
      </c>
      <c r="AA2911">
        <v>0</v>
      </c>
      <c r="AB2911">
        <v>0</v>
      </c>
      <c r="AC2911">
        <v>45884</v>
      </c>
      <c r="AD2911">
        <v>2</v>
      </c>
      <c r="AE2911">
        <v>0</v>
      </c>
      <c r="AF2911">
        <v>0</v>
      </c>
      <c r="AG2911">
        <v>0</v>
      </c>
      <c r="AH2911">
        <v>0</v>
      </c>
    </row>
    <row r="2912" spans="2:34" x14ac:dyDescent="0.35">
      <c r="B2912" t="s">
        <v>566</v>
      </c>
      <c r="C2912">
        <v>45887</v>
      </c>
      <c r="F2912" t="s">
        <v>749</v>
      </c>
      <c r="H2912">
        <v>50.3</v>
      </c>
      <c r="O2912" t="s">
        <v>239</v>
      </c>
      <c r="P2912" t="s">
        <v>514</v>
      </c>
      <c r="Y2912">
        <v>2878</v>
      </c>
      <c r="Z2912" s="259" t="s">
        <v>630</v>
      </c>
      <c r="AA2912">
        <v>0</v>
      </c>
      <c r="AB2912">
        <v>0</v>
      </c>
      <c r="AC2912">
        <v>45887</v>
      </c>
      <c r="AD2912">
        <v>0</v>
      </c>
      <c r="AE2912">
        <v>0</v>
      </c>
      <c r="AF2912">
        <v>0</v>
      </c>
      <c r="AG2912">
        <v>0</v>
      </c>
      <c r="AH2912">
        <v>0</v>
      </c>
    </row>
    <row r="2913" spans="2:34" x14ac:dyDescent="0.35">
      <c r="B2913" t="s">
        <v>566</v>
      </c>
      <c r="C2913">
        <v>45887</v>
      </c>
      <c r="F2913" t="s">
        <v>752</v>
      </c>
      <c r="H2913">
        <v>184.23</v>
      </c>
      <c r="O2913" t="s">
        <v>239</v>
      </c>
      <c r="P2913" t="s">
        <v>514</v>
      </c>
      <c r="Y2913">
        <v>2879</v>
      </c>
      <c r="Z2913" s="259" t="s">
        <v>630</v>
      </c>
      <c r="AA2913">
        <v>0</v>
      </c>
      <c r="AB2913">
        <v>0</v>
      </c>
      <c r="AC2913">
        <v>45887</v>
      </c>
      <c r="AD2913">
        <v>0</v>
      </c>
      <c r="AE2913">
        <v>0</v>
      </c>
      <c r="AF2913">
        <v>0</v>
      </c>
      <c r="AG2913">
        <v>0</v>
      </c>
      <c r="AH2913">
        <v>0</v>
      </c>
    </row>
    <row r="2914" spans="2:34" x14ac:dyDescent="0.35">
      <c r="B2914" t="s">
        <v>566</v>
      </c>
      <c r="C2914">
        <v>45887</v>
      </c>
      <c r="F2914" t="s">
        <v>754</v>
      </c>
      <c r="H2914">
        <v>82.1</v>
      </c>
      <c r="O2914" t="s">
        <v>239</v>
      </c>
      <c r="P2914" t="s">
        <v>514</v>
      </c>
      <c r="Y2914">
        <v>2880</v>
      </c>
      <c r="Z2914" s="259" t="s">
        <v>630</v>
      </c>
      <c r="AA2914">
        <v>0</v>
      </c>
      <c r="AB2914">
        <v>0</v>
      </c>
      <c r="AC2914">
        <v>45887</v>
      </c>
      <c r="AD2914">
        <v>0</v>
      </c>
      <c r="AE2914">
        <v>0</v>
      </c>
      <c r="AF2914">
        <v>0</v>
      </c>
      <c r="AG2914">
        <v>0</v>
      </c>
      <c r="AH2914">
        <v>0</v>
      </c>
    </row>
    <row r="2915" spans="2:34" x14ac:dyDescent="0.35">
      <c r="B2915" t="s">
        <v>566</v>
      </c>
      <c r="C2915">
        <v>45888</v>
      </c>
      <c r="F2915" t="s">
        <v>749</v>
      </c>
      <c r="H2915">
        <v>50.2</v>
      </c>
      <c r="O2915" t="s">
        <v>239</v>
      </c>
      <c r="P2915" t="s">
        <v>514</v>
      </c>
      <c r="Y2915">
        <v>2881</v>
      </c>
      <c r="Z2915" s="259" t="s">
        <v>630</v>
      </c>
      <c r="AA2915">
        <v>0</v>
      </c>
      <c r="AB2915">
        <v>0</v>
      </c>
      <c r="AC2915">
        <v>45888</v>
      </c>
      <c r="AD2915">
        <v>0</v>
      </c>
      <c r="AE2915">
        <v>0</v>
      </c>
      <c r="AF2915">
        <v>0</v>
      </c>
      <c r="AG2915">
        <v>0</v>
      </c>
      <c r="AH2915">
        <v>0</v>
      </c>
    </row>
    <row r="2916" spans="2:34" x14ac:dyDescent="0.35">
      <c r="B2916" t="s">
        <v>566</v>
      </c>
      <c r="C2916">
        <v>45888</v>
      </c>
      <c r="F2916" t="s">
        <v>752</v>
      </c>
      <c r="H2916">
        <v>184.6</v>
      </c>
      <c r="O2916" t="s">
        <v>239</v>
      </c>
      <c r="P2916" t="s">
        <v>514</v>
      </c>
      <c r="Y2916">
        <v>2882</v>
      </c>
      <c r="Z2916" s="259" t="s">
        <v>630</v>
      </c>
      <c r="AA2916">
        <v>0</v>
      </c>
      <c r="AB2916">
        <v>0</v>
      </c>
      <c r="AC2916">
        <v>45888</v>
      </c>
      <c r="AD2916">
        <v>0</v>
      </c>
      <c r="AE2916">
        <v>0</v>
      </c>
      <c r="AF2916">
        <v>0</v>
      </c>
      <c r="AG2916">
        <v>0</v>
      </c>
      <c r="AH2916">
        <v>0</v>
      </c>
    </row>
    <row r="2917" spans="2:34" x14ac:dyDescent="0.35">
      <c r="B2917" t="s">
        <v>566</v>
      </c>
      <c r="C2917">
        <v>45888</v>
      </c>
      <c r="F2917" t="s">
        <v>754</v>
      </c>
      <c r="H2917">
        <v>82.4</v>
      </c>
      <c r="O2917" t="s">
        <v>239</v>
      </c>
      <c r="P2917" t="s">
        <v>514</v>
      </c>
      <c r="Y2917">
        <v>2883</v>
      </c>
      <c r="Z2917" s="259" t="s">
        <v>630</v>
      </c>
      <c r="AA2917">
        <v>0</v>
      </c>
      <c r="AB2917">
        <v>0</v>
      </c>
      <c r="AC2917">
        <v>45888</v>
      </c>
      <c r="AD2917">
        <v>0</v>
      </c>
      <c r="AE2917">
        <v>0</v>
      </c>
      <c r="AF2917">
        <v>0</v>
      </c>
      <c r="AG2917">
        <v>0</v>
      </c>
      <c r="AH2917">
        <v>0</v>
      </c>
    </row>
    <row r="2918" spans="2:34" x14ac:dyDescent="0.35">
      <c r="B2918" t="s">
        <v>566</v>
      </c>
      <c r="C2918">
        <v>45889</v>
      </c>
      <c r="F2918" t="s">
        <v>749</v>
      </c>
      <c r="H2918">
        <v>50.1</v>
      </c>
      <c r="O2918" t="s">
        <v>239</v>
      </c>
      <c r="P2918" t="s">
        <v>514</v>
      </c>
      <c r="Y2918">
        <v>2884</v>
      </c>
      <c r="Z2918" s="259" t="s">
        <v>630</v>
      </c>
      <c r="AA2918">
        <v>0</v>
      </c>
      <c r="AB2918">
        <v>0</v>
      </c>
      <c r="AC2918">
        <v>45889</v>
      </c>
      <c r="AD2918">
        <v>0</v>
      </c>
      <c r="AE2918">
        <v>0</v>
      </c>
      <c r="AF2918">
        <v>0</v>
      </c>
      <c r="AG2918">
        <v>0</v>
      </c>
      <c r="AH2918">
        <v>0</v>
      </c>
    </row>
    <row r="2919" spans="2:34" x14ac:dyDescent="0.35">
      <c r="B2919" t="s">
        <v>566</v>
      </c>
      <c r="C2919">
        <v>45889</v>
      </c>
      <c r="F2919" t="s">
        <v>752</v>
      </c>
      <c r="H2919">
        <v>184.97</v>
      </c>
      <c r="O2919" t="s">
        <v>239</v>
      </c>
      <c r="P2919" t="s">
        <v>514</v>
      </c>
      <c r="Y2919">
        <v>2885</v>
      </c>
      <c r="Z2919" s="259" t="s">
        <v>630</v>
      </c>
      <c r="AA2919">
        <v>0</v>
      </c>
      <c r="AB2919">
        <v>0</v>
      </c>
      <c r="AC2919">
        <v>45889</v>
      </c>
      <c r="AD2919">
        <v>0</v>
      </c>
      <c r="AE2919">
        <v>0</v>
      </c>
      <c r="AF2919">
        <v>0</v>
      </c>
      <c r="AG2919">
        <v>0</v>
      </c>
      <c r="AH2919">
        <v>0</v>
      </c>
    </row>
    <row r="2920" spans="2:34" x14ac:dyDescent="0.35">
      <c r="B2920" t="s">
        <v>566</v>
      </c>
      <c r="C2920">
        <v>45889</v>
      </c>
      <c r="F2920" t="s">
        <v>754</v>
      </c>
      <c r="H2920">
        <v>82.7</v>
      </c>
      <c r="O2920" t="s">
        <v>239</v>
      </c>
      <c r="P2920" t="s">
        <v>514</v>
      </c>
      <c r="Y2920">
        <v>2886</v>
      </c>
      <c r="Z2920" s="259" t="s">
        <v>630</v>
      </c>
      <c r="AA2920">
        <v>0</v>
      </c>
      <c r="AB2920">
        <v>0</v>
      </c>
      <c r="AC2920">
        <v>45889</v>
      </c>
      <c r="AD2920">
        <v>0</v>
      </c>
      <c r="AE2920">
        <v>0</v>
      </c>
      <c r="AF2920">
        <v>0</v>
      </c>
      <c r="AG2920">
        <v>0</v>
      </c>
      <c r="AH2920">
        <v>0</v>
      </c>
    </row>
    <row r="2921" spans="2:34" x14ac:dyDescent="0.35">
      <c r="B2921" t="s">
        <v>566</v>
      </c>
      <c r="C2921">
        <v>45890</v>
      </c>
      <c r="F2921" t="s">
        <v>749</v>
      </c>
      <c r="H2921">
        <v>50</v>
      </c>
      <c r="O2921" t="s">
        <v>239</v>
      </c>
      <c r="P2921" t="s">
        <v>514</v>
      </c>
      <c r="Y2921">
        <v>2887</v>
      </c>
      <c r="Z2921" s="259" t="s">
        <v>630</v>
      </c>
      <c r="AA2921">
        <v>0</v>
      </c>
      <c r="AB2921">
        <v>0</v>
      </c>
      <c r="AC2921">
        <v>45890</v>
      </c>
      <c r="AD2921">
        <v>0</v>
      </c>
      <c r="AE2921">
        <v>0</v>
      </c>
      <c r="AF2921">
        <v>0</v>
      </c>
      <c r="AG2921">
        <v>0</v>
      </c>
      <c r="AH2921">
        <v>0</v>
      </c>
    </row>
    <row r="2922" spans="2:34" x14ac:dyDescent="0.35">
      <c r="B2922" t="s">
        <v>566</v>
      </c>
      <c r="C2922">
        <v>45890</v>
      </c>
      <c r="F2922" t="s">
        <v>752</v>
      </c>
      <c r="H2922">
        <v>185.33</v>
      </c>
      <c r="O2922" t="s">
        <v>239</v>
      </c>
      <c r="P2922" t="s">
        <v>514</v>
      </c>
      <c r="Y2922">
        <v>2888</v>
      </c>
      <c r="Z2922" s="259" t="s">
        <v>630</v>
      </c>
      <c r="AA2922">
        <v>0</v>
      </c>
      <c r="AB2922">
        <v>0</v>
      </c>
      <c r="AC2922">
        <v>45890</v>
      </c>
      <c r="AD2922">
        <v>0</v>
      </c>
      <c r="AE2922">
        <v>0</v>
      </c>
      <c r="AF2922">
        <v>0</v>
      </c>
      <c r="AG2922">
        <v>0</v>
      </c>
      <c r="AH2922">
        <v>0</v>
      </c>
    </row>
    <row r="2923" spans="2:34" x14ac:dyDescent="0.35">
      <c r="B2923" t="s">
        <v>566</v>
      </c>
      <c r="C2923">
        <v>45890</v>
      </c>
      <c r="F2923" t="s">
        <v>754</v>
      </c>
      <c r="H2923">
        <v>83</v>
      </c>
      <c r="O2923" t="s">
        <v>239</v>
      </c>
      <c r="P2923" t="s">
        <v>514</v>
      </c>
      <c r="Y2923">
        <v>2889</v>
      </c>
      <c r="Z2923" s="259" t="s">
        <v>630</v>
      </c>
      <c r="AA2923">
        <v>0</v>
      </c>
      <c r="AB2923">
        <v>0</v>
      </c>
      <c r="AC2923">
        <v>45890</v>
      </c>
      <c r="AD2923">
        <v>0</v>
      </c>
      <c r="AE2923">
        <v>0</v>
      </c>
      <c r="AF2923">
        <v>0</v>
      </c>
      <c r="AG2923">
        <v>0</v>
      </c>
      <c r="AH2923">
        <v>0</v>
      </c>
    </row>
    <row r="2924" spans="2:34" x14ac:dyDescent="0.35">
      <c r="B2924" t="s">
        <v>566</v>
      </c>
      <c r="C2924">
        <v>45891</v>
      </c>
      <c r="F2924" t="s">
        <v>749</v>
      </c>
      <c r="H2924">
        <v>49.9</v>
      </c>
      <c r="O2924" t="s">
        <v>239</v>
      </c>
      <c r="P2924" t="s">
        <v>514</v>
      </c>
      <c r="Y2924">
        <v>2890</v>
      </c>
      <c r="Z2924" s="259" t="s">
        <v>630</v>
      </c>
      <c r="AA2924">
        <v>0</v>
      </c>
      <c r="AB2924">
        <v>0</v>
      </c>
      <c r="AC2924">
        <v>45891</v>
      </c>
      <c r="AD2924">
        <v>0</v>
      </c>
      <c r="AE2924">
        <v>0</v>
      </c>
      <c r="AF2924">
        <v>0</v>
      </c>
      <c r="AG2924">
        <v>0</v>
      </c>
      <c r="AH2924">
        <v>0</v>
      </c>
    </row>
    <row r="2925" spans="2:34" x14ac:dyDescent="0.35">
      <c r="B2925" t="s">
        <v>566</v>
      </c>
      <c r="C2925">
        <v>45891</v>
      </c>
      <c r="F2925" t="s">
        <v>752</v>
      </c>
      <c r="H2925">
        <v>185.7</v>
      </c>
      <c r="O2925" t="s">
        <v>239</v>
      </c>
      <c r="P2925" t="s">
        <v>514</v>
      </c>
      <c r="Y2925">
        <v>2891</v>
      </c>
      <c r="Z2925" s="259" t="s">
        <v>630</v>
      </c>
      <c r="AA2925">
        <v>0</v>
      </c>
      <c r="AB2925">
        <v>0</v>
      </c>
      <c r="AC2925">
        <v>45891</v>
      </c>
      <c r="AD2925">
        <v>0</v>
      </c>
      <c r="AE2925">
        <v>0</v>
      </c>
      <c r="AF2925">
        <v>0</v>
      </c>
      <c r="AG2925">
        <v>0</v>
      </c>
      <c r="AH2925">
        <v>0</v>
      </c>
    </row>
    <row r="2926" spans="2:34" x14ac:dyDescent="0.35">
      <c r="B2926" t="s">
        <v>566</v>
      </c>
      <c r="C2926">
        <v>45891</v>
      </c>
      <c r="F2926" t="s">
        <v>754</v>
      </c>
      <c r="H2926">
        <v>83.3</v>
      </c>
      <c r="O2926" t="s">
        <v>239</v>
      </c>
      <c r="P2926" t="s">
        <v>514</v>
      </c>
      <c r="Y2926">
        <v>2892</v>
      </c>
      <c r="Z2926" s="259" t="s">
        <v>630</v>
      </c>
      <c r="AA2926">
        <v>0</v>
      </c>
      <c r="AB2926">
        <v>0</v>
      </c>
      <c r="AC2926">
        <v>45891</v>
      </c>
      <c r="AD2926">
        <v>0</v>
      </c>
      <c r="AE2926">
        <v>0</v>
      </c>
      <c r="AF2926">
        <v>0</v>
      </c>
      <c r="AG2926">
        <v>0</v>
      </c>
      <c r="AH2926">
        <v>0</v>
      </c>
    </row>
    <row r="2927" spans="2:34" x14ac:dyDescent="0.35">
      <c r="B2927" t="s">
        <v>566</v>
      </c>
      <c r="C2927">
        <v>45892</v>
      </c>
      <c r="F2927" t="s">
        <v>749</v>
      </c>
      <c r="H2927">
        <v>49.9</v>
      </c>
      <c r="O2927" t="s">
        <v>239</v>
      </c>
      <c r="P2927" t="s">
        <v>514</v>
      </c>
      <c r="Y2927">
        <v>2893</v>
      </c>
      <c r="Z2927" s="259" t="s">
        <v>630</v>
      </c>
      <c r="AA2927">
        <v>0</v>
      </c>
      <c r="AB2927">
        <v>0</v>
      </c>
      <c r="AC2927">
        <v>45891</v>
      </c>
      <c r="AD2927">
        <v>1</v>
      </c>
      <c r="AE2927">
        <v>0</v>
      </c>
      <c r="AF2927">
        <v>0</v>
      </c>
      <c r="AG2927">
        <v>0</v>
      </c>
      <c r="AH2927">
        <v>0</v>
      </c>
    </row>
    <row r="2928" spans="2:34" x14ac:dyDescent="0.35">
      <c r="B2928" t="s">
        <v>566</v>
      </c>
      <c r="C2928">
        <v>45892</v>
      </c>
      <c r="F2928" t="s">
        <v>752</v>
      </c>
      <c r="H2928">
        <v>185.7</v>
      </c>
      <c r="O2928" t="s">
        <v>239</v>
      </c>
      <c r="P2928" t="s">
        <v>514</v>
      </c>
      <c r="Y2928">
        <v>2894</v>
      </c>
      <c r="Z2928" s="259" t="s">
        <v>630</v>
      </c>
      <c r="AA2928">
        <v>0</v>
      </c>
      <c r="AB2928">
        <v>0</v>
      </c>
      <c r="AC2928">
        <v>45891</v>
      </c>
      <c r="AD2928">
        <v>1</v>
      </c>
      <c r="AE2928">
        <v>0</v>
      </c>
      <c r="AF2928">
        <v>0</v>
      </c>
      <c r="AG2928">
        <v>0</v>
      </c>
      <c r="AH2928">
        <v>0</v>
      </c>
    </row>
    <row r="2929" spans="2:34" x14ac:dyDescent="0.35">
      <c r="B2929" t="s">
        <v>566</v>
      </c>
      <c r="C2929">
        <v>45892</v>
      </c>
      <c r="F2929" t="s">
        <v>754</v>
      </c>
      <c r="H2929">
        <v>83.3</v>
      </c>
      <c r="O2929" t="s">
        <v>239</v>
      </c>
      <c r="P2929" t="s">
        <v>514</v>
      </c>
      <c r="Y2929">
        <v>2895</v>
      </c>
      <c r="Z2929" s="259" t="s">
        <v>630</v>
      </c>
      <c r="AA2929">
        <v>0</v>
      </c>
      <c r="AB2929">
        <v>0</v>
      </c>
      <c r="AC2929">
        <v>45891</v>
      </c>
      <c r="AD2929">
        <v>1</v>
      </c>
      <c r="AE2929">
        <v>0</v>
      </c>
      <c r="AF2929">
        <v>0</v>
      </c>
      <c r="AG2929">
        <v>0</v>
      </c>
      <c r="AH2929">
        <v>0</v>
      </c>
    </row>
    <row r="2930" spans="2:34" x14ac:dyDescent="0.35">
      <c r="B2930" t="s">
        <v>566</v>
      </c>
      <c r="C2930">
        <v>45893</v>
      </c>
      <c r="F2930" t="s">
        <v>749</v>
      </c>
      <c r="H2930">
        <v>49.9</v>
      </c>
      <c r="O2930" t="s">
        <v>239</v>
      </c>
      <c r="P2930" t="s">
        <v>514</v>
      </c>
      <c r="Y2930">
        <v>2896</v>
      </c>
      <c r="Z2930" s="259" t="s">
        <v>630</v>
      </c>
      <c r="AA2930">
        <v>0</v>
      </c>
      <c r="AB2930">
        <v>0</v>
      </c>
      <c r="AC2930">
        <v>45891</v>
      </c>
      <c r="AD2930">
        <v>2</v>
      </c>
      <c r="AE2930">
        <v>0</v>
      </c>
      <c r="AF2930">
        <v>0</v>
      </c>
      <c r="AG2930">
        <v>0</v>
      </c>
      <c r="AH2930">
        <v>0</v>
      </c>
    </row>
    <row r="2931" spans="2:34" x14ac:dyDescent="0.35">
      <c r="B2931" t="s">
        <v>566</v>
      </c>
      <c r="C2931">
        <v>45893</v>
      </c>
      <c r="F2931" t="s">
        <v>752</v>
      </c>
      <c r="H2931">
        <v>185.7</v>
      </c>
      <c r="O2931" t="s">
        <v>239</v>
      </c>
      <c r="P2931" t="s">
        <v>514</v>
      </c>
      <c r="Y2931">
        <v>2897</v>
      </c>
      <c r="Z2931" s="259" t="s">
        <v>630</v>
      </c>
      <c r="AA2931">
        <v>0</v>
      </c>
      <c r="AB2931">
        <v>0</v>
      </c>
      <c r="AC2931">
        <v>45891</v>
      </c>
      <c r="AD2931">
        <v>2</v>
      </c>
      <c r="AE2931">
        <v>0</v>
      </c>
      <c r="AF2931">
        <v>0</v>
      </c>
      <c r="AG2931">
        <v>0</v>
      </c>
      <c r="AH2931">
        <v>0</v>
      </c>
    </row>
    <row r="2932" spans="2:34" x14ac:dyDescent="0.35">
      <c r="B2932" t="s">
        <v>566</v>
      </c>
      <c r="C2932">
        <v>45893</v>
      </c>
      <c r="F2932" t="s">
        <v>754</v>
      </c>
      <c r="H2932">
        <v>83.3</v>
      </c>
      <c r="O2932" t="s">
        <v>239</v>
      </c>
      <c r="P2932" t="s">
        <v>514</v>
      </c>
      <c r="Y2932">
        <v>2898</v>
      </c>
      <c r="Z2932" s="259" t="s">
        <v>630</v>
      </c>
      <c r="AA2932">
        <v>0</v>
      </c>
      <c r="AB2932">
        <v>0</v>
      </c>
      <c r="AC2932">
        <v>45891</v>
      </c>
      <c r="AD2932">
        <v>2</v>
      </c>
      <c r="AE2932">
        <v>0</v>
      </c>
      <c r="AF2932">
        <v>0</v>
      </c>
      <c r="AG2932">
        <v>0</v>
      </c>
      <c r="AH2932">
        <v>0</v>
      </c>
    </row>
    <row r="2933" spans="2:34" x14ac:dyDescent="0.35">
      <c r="B2933" t="s">
        <v>566</v>
      </c>
      <c r="C2933">
        <v>45894</v>
      </c>
      <c r="F2933" t="s">
        <v>749</v>
      </c>
      <c r="H2933">
        <v>49.6</v>
      </c>
      <c r="O2933" t="s">
        <v>239</v>
      </c>
      <c r="P2933" t="s">
        <v>514</v>
      </c>
      <c r="Y2933">
        <v>2899</v>
      </c>
      <c r="Z2933" s="259" t="s">
        <v>630</v>
      </c>
      <c r="AA2933">
        <v>0</v>
      </c>
      <c r="AB2933">
        <v>0</v>
      </c>
      <c r="AC2933">
        <v>45894</v>
      </c>
      <c r="AD2933">
        <v>0</v>
      </c>
      <c r="AE2933">
        <v>0</v>
      </c>
      <c r="AF2933">
        <v>0</v>
      </c>
      <c r="AG2933">
        <v>0</v>
      </c>
      <c r="AH2933">
        <v>0</v>
      </c>
    </row>
    <row r="2934" spans="2:34" x14ac:dyDescent="0.35">
      <c r="B2934" t="s">
        <v>566</v>
      </c>
      <c r="C2934">
        <v>45894</v>
      </c>
      <c r="F2934" t="s">
        <v>752</v>
      </c>
      <c r="H2934">
        <v>186.8</v>
      </c>
      <c r="O2934" t="s">
        <v>239</v>
      </c>
      <c r="P2934" t="s">
        <v>514</v>
      </c>
      <c r="Y2934">
        <v>2900</v>
      </c>
      <c r="Z2934" s="259" t="s">
        <v>630</v>
      </c>
      <c r="AA2934">
        <v>0</v>
      </c>
      <c r="AB2934">
        <v>0</v>
      </c>
      <c r="AC2934">
        <v>45894</v>
      </c>
      <c r="AD2934">
        <v>0</v>
      </c>
      <c r="AE2934">
        <v>0</v>
      </c>
      <c r="AF2934">
        <v>0</v>
      </c>
      <c r="AG2934">
        <v>0</v>
      </c>
      <c r="AH2934">
        <v>0</v>
      </c>
    </row>
    <row r="2935" spans="2:34" x14ac:dyDescent="0.35">
      <c r="B2935" t="s">
        <v>566</v>
      </c>
      <c r="C2935">
        <v>45894</v>
      </c>
      <c r="F2935" t="s">
        <v>754</v>
      </c>
      <c r="H2935">
        <v>84.2</v>
      </c>
      <c r="O2935" t="s">
        <v>239</v>
      </c>
      <c r="P2935" t="s">
        <v>514</v>
      </c>
      <c r="Y2935">
        <v>2901</v>
      </c>
      <c r="Z2935" s="259" t="s">
        <v>630</v>
      </c>
      <c r="AA2935">
        <v>0</v>
      </c>
      <c r="AB2935">
        <v>0</v>
      </c>
      <c r="AC2935">
        <v>45894</v>
      </c>
      <c r="AD2935">
        <v>0</v>
      </c>
      <c r="AE2935">
        <v>0</v>
      </c>
      <c r="AF2935">
        <v>0</v>
      </c>
      <c r="AG2935">
        <v>0</v>
      </c>
      <c r="AH2935">
        <v>0</v>
      </c>
    </row>
    <row r="2936" spans="2:34" x14ac:dyDescent="0.35">
      <c r="B2936" t="s">
        <v>566</v>
      </c>
      <c r="C2936">
        <v>45895</v>
      </c>
      <c r="F2936" t="s">
        <v>749</v>
      </c>
      <c r="H2936">
        <v>49.5</v>
      </c>
      <c r="O2936" t="s">
        <v>239</v>
      </c>
      <c r="P2936" t="s">
        <v>514</v>
      </c>
      <c r="Y2936">
        <v>2902</v>
      </c>
      <c r="Z2936" s="259" t="s">
        <v>630</v>
      </c>
      <c r="AA2936">
        <v>0</v>
      </c>
      <c r="AB2936">
        <v>0</v>
      </c>
      <c r="AC2936">
        <v>45895</v>
      </c>
      <c r="AD2936">
        <v>0</v>
      </c>
      <c r="AE2936">
        <v>0</v>
      </c>
      <c r="AF2936">
        <v>0</v>
      </c>
      <c r="AG2936">
        <v>0</v>
      </c>
      <c r="AH2936">
        <v>0</v>
      </c>
    </row>
    <row r="2937" spans="2:34" x14ac:dyDescent="0.35">
      <c r="B2937" t="s">
        <v>566</v>
      </c>
      <c r="C2937">
        <v>45895</v>
      </c>
      <c r="F2937" t="s">
        <v>752</v>
      </c>
      <c r="H2937">
        <v>187.17</v>
      </c>
      <c r="O2937" t="s">
        <v>239</v>
      </c>
      <c r="P2937" t="s">
        <v>514</v>
      </c>
      <c r="Y2937">
        <v>2903</v>
      </c>
      <c r="Z2937" s="259" t="s">
        <v>630</v>
      </c>
      <c r="AA2937">
        <v>0</v>
      </c>
      <c r="AB2937">
        <v>0</v>
      </c>
      <c r="AC2937">
        <v>45895</v>
      </c>
      <c r="AD2937">
        <v>0</v>
      </c>
      <c r="AE2937">
        <v>0</v>
      </c>
      <c r="AF2937">
        <v>0</v>
      </c>
      <c r="AG2937">
        <v>0</v>
      </c>
      <c r="AH2937">
        <v>0</v>
      </c>
    </row>
    <row r="2938" spans="2:34" x14ac:dyDescent="0.35">
      <c r="B2938" t="s">
        <v>566</v>
      </c>
      <c r="C2938">
        <v>45895</v>
      </c>
      <c r="F2938" t="s">
        <v>754</v>
      </c>
      <c r="H2938">
        <v>84.5</v>
      </c>
      <c r="O2938" t="s">
        <v>239</v>
      </c>
      <c r="P2938" t="s">
        <v>514</v>
      </c>
      <c r="Y2938">
        <v>2904</v>
      </c>
      <c r="Z2938" s="259" t="s">
        <v>630</v>
      </c>
      <c r="AA2938">
        <v>0</v>
      </c>
      <c r="AB2938">
        <v>0</v>
      </c>
      <c r="AC2938">
        <v>45895</v>
      </c>
      <c r="AD2938">
        <v>0</v>
      </c>
      <c r="AE2938">
        <v>0</v>
      </c>
      <c r="AF2938">
        <v>0</v>
      </c>
      <c r="AG2938">
        <v>0</v>
      </c>
      <c r="AH2938">
        <v>0</v>
      </c>
    </row>
    <row r="2939" spans="2:34" x14ac:dyDescent="0.35">
      <c r="B2939" t="s">
        <v>566</v>
      </c>
      <c r="C2939">
        <v>45896</v>
      </c>
      <c r="F2939" t="s">
        <v>749</v>
      </c>
      <c r="H2939">
        <v>49.4</v>
      </c>
      <c r="O2939" t="s">
        <v>239</v>
      </c>
      <c r="P2939" t="s">
        <v>514</v>
      </c>
      <c r="Y2939">
        <v>2905</v>
      </c>
      <c r="Z2939" s="259" t="s">
        <v>630</v>
      </c>
      <c r="AA2939">
        <v>0</v>
      </c>
      <c r="AB2939">
        <v>0</v>
      </c>
      <c r="AC2939">
        <v>45896</v>
      </c>
      <c r="AD2939">
        <v>0</v>
      </c>
      <c r="AE2939">
        <v>0</v>
      </c>
      <c r="AF2939">
        <v>0</v>
      </c>
      <c r="AG2939">
        <v>0</v>
      </c>
      <c r="AH2939">
        <v>0</v>
      </c>
    </row>
    <row r="2940" spans="2:34" x14ac:dyDescent="0.35">
      <c r="B2940" t="s">
        <v>566</v>
      </c>
      <c r="C2940">
        <v>45896</v>
      </c>
      <c r="F2940" t="s">
        <v>752</v>
      </c>
      <c r="H2940">
        <v>187.53</v>
      </c>
      <c r="O2940" t="s">
        <v>239</v>
      </c>
      <c r="P2940" t="s">
        <v>514</v>
      </c>
      <c r="Y2940">
        <v>2906</v>
      </c>
      <c r="Z2940" s="259" t="s">
        <v>630</v>
      </c>
      <c r="AA2940">
        <v>0</v>
      </c>
      <c r="AB2940">
        <v>0</v>
      </c>
      <c r="AC2940">
        <v>45896</v>
      </c>
      <c r="AD2940">
        <v>0</v>
      </c>
      <c r="AE2940">
        <v>0</v>
      </c>
      <c r="AF2940">
        <v>0</v>
      </c>
      <c r="AG2940">
        <v>0</v>
      </c>
      <c r="AH2940">
        <v>0</v>
      </c>
    </row>
    <row r="2941" spans="2:34" x14ac:dyDescent="0.35">
      <c r="B2941" t="s">
        <v>566</v>
      </c>
      <c r="C2941">
        <v>45896</v>
      </c>
      <c r="F2941" t="s">
        <v>754</v>
      </c>
      <c r="H2941">
        <v>84.8</v>
      </c>
      <c r="O2941" t="s">
        <v>239</v>
      </c>
      <c r="P2941" t="s">
        <v>514</v>
      </c>
      <c r="Y2941">
        <v>2907</v>
      </c>
      <c r="Z2941" s="259" t="s">
        <v>630</v>
      </c>
      <c r="AA2941">
        <v>0</v>
      </c>
      <c r="AB2941">
        <v>0</v>
      </c>
      <c r="AC2941">
        <v>45896</v>
      </c>
      <c r="AD2941">
        <v>0</v>
      </c>
      <c r="AE2941">
        <v>0</v>
      </c>
      <c r="AF2941">
        <v>0</v>
      </c>
      <c r="AG2941">
        <v>0</v>
      </c>
      <c r="AH2941">
        <v>0</v>
      </c>
    </row>
    <row r="2942" spans="2:34" x14ac:dyDescent="0.35">
      <c r="B2942" t="s">
        <v>566</v>
      </c>
      <c r="C2942">
        <v>45897</v>
      </c>
      <c r="F2942" t="s">
        <v>749</v>
      </c>
      <c r="H2942">
        <v>49.3</v>
      </c>
      <c r="O2942" t="s">
        <v>239</v>
      </c>
      <c r="P2942" t="s">
        <v>514</v>
      </c>
      <c r="Y2942">
        <v>2908</v>
      </c>
      <c r="Z2942" s="259" t="s">
        <v>630</v>
      </c>
      <c r="AA2942">
        <v>0</v>
      </c>
      <c r="AB2942">
        <v>0</v>
      </c>
      <c r="AC2942">
        <v>45897</v>
      </c>
      <c r="AD2942">
        <v>0</v>
      </c>
      <c r="AE2942">
        <v>0</v>
      </c>
      <c r="AF2942">
        <v>0</v>
      </c>
      <c r="AG2942">
        <v>0</v>
      </c>
      <c r="AH2942">
        <v>0</v>
      </c>
    </row>
    <row r="2943" spans="2:34" x14ac:dyDescent="0.35">
      <c r="B2943" t="s">
        <v>566</v>
      </c>
      <c r="C2943">
        <v>45897</v>
      </c>
      <c r="F2943" t="s">
        <v>752</v>
      </c>
      <c r="H2943">
        <v>187.9</v>
      </c>
      <c r="O2943" t="s">
        <v>239</v>
      </c>
      <c r="P2943" t="s">
        <v>514</v>
      </c>
      <c r="Y2943">
        <v>2909</v>
      </c>
      <c r="Z2943" s="259" t="s">
        <v>630</v>
      </c>
      <c r="AA2943">
        <v>0</v>
      </c>
      <c r="AB2943">
        <v>0</v>
      </c>
      <c r="AC2943">
        <v>45897</v>
      </c>
      <c r="AD2943">
        <v>0</v>
      </c>
      <c r="AE2943">
        <v>0</v>
      </c>
      <c r="AF2943">
        <v>0</v>
      </c>
      <c r="AG2943">
        <v>0</v>
      </c>
      <c r="AH2943">
        <v>0</v>
      </c>
    </row>
    <row r="2944" spans="2:34" x14ac:dyDescent="0.35">
      <c r="B2944" t="s">
        <v>566</v>
      </c>
      <c r="C2944">
        <v>45897</v>
      </c>
      <c r="F2944" t="s">
        <v>754</v>
      </c>
      <c r="H2944">
        <v>85.1</v>
      </c>
      <c r="O2944" t="s">
        <v>239</v>
      </c>
      <c r="P2944" t="s">
        <v>514</v>
      </c>
      <c r="Y2944">
        <v>2910</v>
      </c>
      <c r="Z2944" s="259" t="s">
        <v>630</v>
      </c>
      <c r="AA2944">
        <v>0</v>
      </c>
      <c r="AB2944">
        <v>0</v>
      </c>
      <c r="AC2944">
        <v>45897</v>
      </c>
      <c r="AD2944">
        <v>0</v>
      </c>
      <c r="AE2944">
        <v>0</v>
      </c>
      <c r="AF2944">
        <v>0</v>
      </c>
      <c r="AG2944">
        <v>0</v>
      </c>
      <c r="AH2944">
        <v>0</v>
      </c>
    </row>
    <row r="2945" spans="2:34" x14ac:dyDescent="0.35">
      <c r="B2945" t="s">
        <v>566</v>
      </c>
      <c r="C2945">
        <v>45898</v>
      </c>
      <c r="F2945" t="s">
        <v>749</v>
      </c>
      <c r="H2945">
        <v>49.2</v>
      </c>
      <c r="O2945" t="s">
        <v>239</v>
      </c>
      <c r="P2945" t="s">
        <v>514</v>
      </c>
      <c r="Y2945">
        <v>2911</v>
      </c>
      <c r="Z2945" s="259" t="s">
        <v>630</v>
      </c>
      <c r="AA2945">
        <v>0</v>
      </c>
      <c r="AB2945">
        <v>0</v>
      </c>
      <c r="AC2945">
        <v>45898</v>
      </c>
      <c r="AD2945">
        <v>0</v>
      </c>
      <c r="AE2945">
        <v>0</v>
      </c>
      <c r="AF2945">
        <v>0</v>
      </c>
      <c r="AG2945">
        <v>0</v>
      </c>
      <c r="AH2945">
        <v>0</v>
      </c>
    </row>
    <row r="2946" spans="2:34" x14ac:dyDescent="0.35">
      <c r="B2946" t="s">
        <v>566</v>
      </c>
      <c r="C2946">
        <v>45898</v>
      </c>
      <c r="F2946" t="s">
        <v>752</v>
      </c>
      <c r="H2946">
        <v>188.27</v>
      </c>
      <c r="O2946" t="s">
        <v>239</v>
      </c>
      <c r="P2946" t="s">
        <v>514</v>
      </c>
      <c r="Y2946">
        <v>2912</v>
      </c>
      <c r="Z2946" s="259" t="s">
        <v>630</v>
      </c>
      <c r="AA2946">
        <v>0</v>
      </c>
      <c r="AB2946">
        <v>0</v>
      </c>
      <c r="AC2946">
        <v>45898</v>
      </c>
      <c r="AD2946">
        <v>0</v>
      </c>
      <c r="AE2946">
        <v>0</v>
      </c>
      <c r="AF2946">
        <v>0</v>
      </c>
      <c r="AG2946">
        <v>0</v>
      </c>
      <c r="AH2946">
        <v>0</v>
      </c>
    </row>
    <row r="2947" spans="2:34" x14ac:dyDescent="0.35">
      <c r="B2947" t="s">
        <v>566</v>
      </c>
      <c r="C2947">
        <v>45898</v>
      </c>
      <c r="F2947" t="s">
        <v>754</v>
      </c>
      <c r="H2947">
        <v>85.4</v>
      </c>
      <c r="O2947" t="s">
        <v>239</v>
      </c>
      <c r="P2947" t="s">
        <v>514</v>
      </c>
      <c r="Y2947">
        <v>2913</v>
      </c>
      <c r="Z2947" s="259" t="s">
        <v>630</v>
      </c>
      <c r="AA2947">
        <v>0</v>
      </c>
      <c r="AB2947">
        <v>0</v>
      </c>
      <c r="AC2947">
        <v>45898</v>
      </c>
      <c r="AD2947">
        <v>0</v>
      </c>
      <c r="AE2947">
        <v>0</v>
      </c>
      <c r="AF2947">
        <v>0</v>
      </c>
      <c r="AG2947">
        <v>0</v>
      </c>
      <c r="AH2947">
        <v>0</v>
      </c>
    </row>
    <row r="2948" spans="2:34" x14ac:dyDescent="0.35">
      <c r="B2948" t="s">
        <v>566</v>
      </c>
      <c r="C2948">
        <v>45899</v>
      </c>
      <c r="F2948" t="s">
        <v>749</v>
      </c>
      <c r="H2948">
        <v>49.2</v>
      </c>
      <c r="O2948" t="s">
        <v>239</v>
      </c>
      <c r="P2948" t="s">
        <v>514</v>
      </c>
      <c r="Y2948">
        <v>2914</v>
      </c>
      <c r="Z2948" s="259" t="s">
        <v>630</v>
      </c>
      <c r="AA2948">
        <v>0</v>
      </c>
      <c r="AB2948">
        <v>0</v>
      </c>
      <c r="AC2948">
        <v>45898</v>
      </c>
      <c r="AD2948">
        <v>1</v>
      </c>
      <c r="AE2948">
        <v>0</v>
      </c>
      <c r="AF2948">
        <v>0</v>
      </c>
      <c r="AG2948">
        <v>0</v>
      </c>
      <c r="AH2948">
        <v>0</v>
      </c>
    </row>
    <row r="2949" spans="2:34" x14ac:dyDescent="0.35">
      <c r="B2949" t="s">
        <v>566</v>
      </c>
      <c r="C2949">
        <v>45899</v>
      </c>
      <c r="F2949" t="s">
        <v>752</v>
      </c>
      <c r="H2949">
        <v>188.27</v>
      </c>
      <c r="O2949" t="s">
        <v>239</v>
      </c>
      <c r="P2949" t="s">
        <v>514</v>
      </c>
      <c r="Y2949">
        <v>2915</v>
      </c>
      <c r="Z2949" s="259" t="s">
        <v>630</v>
      </c>
      <c r="AA2949">
        <v>0</v>
      </c>
      <c r="AB2949">
        <v>0</v>
      </c>
      <c r="AC2949">
        <v>45898</v>
      </c>
      <c r="AD2949">
        <v>1</v>
      </c>
      <c r="AE2949">
        <v>0</v>
      </c>
      <c r="AF2949">
        <v>0</v>
      </c>
      <c r="AG2949">
        <v>0</v>
      </c>
      <c r="AH2949">
        <v>0</v>
      </c>
    </row>
    <row r="2950" spans="2:34" x14ac:dyDescent="0.35">
      <c r="B2950" t="s">
        <v>566</v>
      </c>
      <c r="C2950">
        <v>45899</v>
      </c>
      <c r="F2950" t="s">
        <v>754</v>
      </c>
      <c r="H2950">
        <v>85.4</v>
      </c>
      <c r="O2950" t="s">
        <v>239</v>
      </c>
      <c r="P2950" t="s">
        <v>514</v>
      </c>
      <c r="Y2950">
        <v>2916</v>
      </c>
      <c r="Z2950" s="259" t="s">
        <v>630</v>
      </c>
      <c r="AA2950">
        <v>0</v>
      </c>
      <c r="AB2950">
        <v>0</v>
      </c>
      <c r="AC2950">
        <v>45898</v>
      </c>
      <c r="AD2950">
        <v>1</v>
      </c>
      <c r="AE2950">
        <v>0</v>
      </c>
      <c r="AF2950">
        <v>0</v>
      </c>
      <c r="AG2950">
        <v>0</v>
      </c>
      <c r="AH2950">
        <v>0</v>
      </c>
    </row>
    <row r="2951" spans="2:34" x14ac:dyDescent="0.35">
      <c r="B2951" t="s">
        <v>566</v>
      </c>
      <c r="C2951">
        <v>45900</v>
      </c>
      <c r="F2951" t="s">
        <v>749</v>
      </c>
      <c r="H2951">
        <v>49.2</v>
      </c>
      <c r="O2951" t="s">
        <v>239</v>
      </c>
      <c r="P2951" t="s">
        <v>514</v>
      </c>
      <c r="Y2951">
        <v>2917</v>
      </c>
      <c r="Z2951" s="259" t="s">
        <v>630</v>
      </c>
      <c r="AA2951">
        <v>0</v>
      </c>
      <c r="AB2951">
        <v>0</v>
      </c>
      <c r="AC2951">
        <v>45898</v>
      </c>
      <c r="AD2951">
        <v>2</v>
      </c>
      <c r="AE2951">
        <v>0</v>
      </c>
      <c r="AF2951">
        <v>0</v>
      </c>
      <c r="AG2951">
        <v>0</v>
      </c>
      <c r="AH2951">
        <v>0</v>
      </c>
    </row>
    <row r="2952" spans="2:34" x14ac:dyDescent="0.35">
      <c r="B2952" t="s">
        <v>566</v>
      </c>
      <c r="C2952">
        <v>45900</v>
      </c>
      <c r="F2952" t="s">
        <v>752</v>
      </c>
      <c r="H2952">
        <v>188.27</v>
      </c>
      <c r="O2952" t="s">
        <v>239</v>
      </c>
      <c r="P2952" t="s">
        <v>514</v>
      </c>
      <c r="Y2952">
        <v>2918</v>
      </c>
      <c r="Z2952" s="259" t="s">
        <v>630</v>
      </c>
      <c r="AA2952">
        <v>0</v>
      </c>
      <c r="AB2952">
        <v>0</v>
      </c>
      <c r="AC2952">
        <v>45898</v>
      </c>
      <c r="AD2952">
        <v>2</v>
      </c>
      <c r="AE2952">
        <v>0</v>
      </c>
      <c r="AF2952">
        <v>0</v>
      </c>
      <c r="AG2952">
        <v>0</v>
      </c>
      <c r="AH2952">
        <v>0</v>
      </c>
    </row>
    <row r="2953" spans="2:34" x14ac:dyDescent="0.35">
      <c r="B2953" t="s">
        <v>566</v>
      </c>
      <c r="C2953">
        <v>45900</v>
      </c>
      <c r="F2953" t="s">
        <v>754</v>
      </c>
      <c r="H2953">
        <v>85.4</v>
      </c>
      <c r="O2953" t="s">
        <v>239</v>
      </c>
      <c r="P2953" t="s">
        <v>514</v>
      </c>
      <c r="Y2953">
        <v>2919</v>
      </c>
      <c r="Z2953" s="259" t="s">
        <v>630</v>
      </c>
      <c r="AA2953">
        <v>0</v>
      </c>
      <c r="AB2953">
        <v>0</v>
      </c>
      <c r="AC2953">
        <v>45898</v>
      </c>
      <c r="AD2953">
        <v>2</v>
      </c>
      <c r="AE2953">
        <v>0</v>
      </c>
      <c r="AF2953">
        <v>0</v>
      </c>
      <c r="AG2953">
        <v>0</v>
      </c>
      <c r="AH2953">
        <v>0</v>
      </c>
    </row>
    <row r="2954" spans="2:34" x14ac:dyDescent="0.35">
      <c r="B2954" t="s">
        <v>566</v>
      </c>
      <c r="C2954">
        <v>45901</v>
      </c>
      <c r="F2954" t="s">
        <v>749</v>
      </c>
      <c r="H2954">
        <v>49</v>
      </c>
      <c r="O2954" t="s">
        <v>239</v>
      </c>
      <c r="P2954" t="s">
        <v>514</v>
      </c>
      <c r="Y2954">
        <v>2920</v>
      </c>
      <c r="Z2954" s="259" t="s">
        <v>630</v>
      </c>
      <c r="AA2954">
        <v>0</v>
      </c>
      <c r="AB2954">
        <v>0</v>
      </c>
      <c r="AC2954">
        <v>45901</v>
      </c>
      <c r="AD2954">
        <v>0</v>
      </c>
      <c r="AE2954">
        <v>0</v>
      </c>
      <c r="AF2954">
        <v>0</v>
      </c>
      <c r="AG2954">
        <v>0</v>
      </c>
      <c r="AH2954">
        <v>0</v>
      </c>
    </row>
    <row r="2955" spans="2:34" x14ac:dyDescent="0.35">
      <c r="B2955" t="s">
        <v>566</v>
      </c>
      <c r="C2955">
        <v>45901</v>
      </c>
      <c r="F2955" t="s">
        <v>752</v>
      </c>
      <c r="H2955">
        <v>186</v>
      </c>
      <c r="O2955" t="s">
        <v>239</v>
      </c>
      <c r="P2955" t="s">
        <v>514</v>
      </c>
      <c r="Y2955">
        <v>2921</v>
      </c>
      <c r="Z2955" s="259" t="s">
        <v>630</v>
      </c>
      <c r="AA2955">
        <v>0</v>
      </c>
      <c r="AB2955">
        <v>0</v>
      </c>
      <c r="AC2955">
        <v>45901</v>
      </c>
      <c r="AD2955">
        <v>0</v>
      </c>
      <c r="AE2955">
        <v>0</v>
      </c>
      <c r="AF2955">
        <v>0</v>
      </c>
      <c r="AG2955">
        <v>0</v>
      </c>
      <c r="AH2955">
        <v>0</v>
      </c>
    </row>
    <row r="2956" spans="2:34" x14ac:dyDescent="0.35">
      <c r="B2956" t="s">
        <v>566</v>
      </c>
      <c r="C2956">
        <v>45901</v>
      </c>
      <c r="F2956" t="s">
        <v>754</v>
      </c>
      <c r="H2956">
        <v>86</v>
      </c>
      <c r="O2956" t="s">
        <v>239</v>
      </c>
      <c r="P2956" t="s">
        <v>514</v>
      </c>
      <c r="Y2956">
        <v>2922</v>
      </c>
      <c r="Z2956" s="259" t="s">
        <v>630</v>
      </c>
      <c r="AA2956">
        <v>0</v>
      </c>
      <c r="AB2956">
        <v>0</v>
      </c>
      <c r="AC2956">
        <v>45901</v>
      </c>
      <c r="AD2956">
        <v>0</v>
      </c>
      <c r="AE2956">
        <v>0</v>
      </c>
      <c r="AF2956">
        <v>0</v>
      </c>
      <c r="AG2956">
        <v>0</v>
      </c>
      <c r="AH2956">
        <v>0</v>
      </c>
    </row>
    <row r="2957" spans="2:34" x14ac:dyDescent="0.35">
      <c r="B2957" t="s">
        <v>566</v>
      </c>
      <c r="C2957">
        <v>45902</v>
      </c>
      <c r="F2957" t="s">
        <v>749</v>
      </c>
      <c r="H2957">
        <v>49.17</v>
      </c>
      <c r="O2957" t="s">
        <v>239</v>
      </c>
      <c r="P2957" t="s">
        <v>514</v>
      </c>
      <c r="Y2957">
        <v>2923</v>
      </c>
      <c r="Z2957" s="259" t="s">
        <v>630</v>
      </c>
      <c r="AA2957">
        <v>0</v>
      </c>
      <c r="AB2957">
        <v>0</v>
      </c>
      <c r="AC2957">
        <v>45902</v>
      </c>
      <c r="AD2957">
        <v>0</v>
      </c>
      <c r="AE2957">
        <v>0</v>
      </c>
      <c r="AF2957">
        <v>0</v>
      </c>
      <c r="AG2957">
        <v>0</v>
      </c>
      <c r="AH2957">
        <v>0</v>
      </c>
    </row>
    <row r="2958" spans="2:34" x14ac:dyDescent="0.35">
      <c r="B2958" t="s">
        <v>566</v>
      </c>
      <c r="C2958">
        <v>45902</v>
      </c>
      <c r="F2958" t="s">
        <v>752</v>
      </c>
      <c r="H2958">
        <v>185.69</v>
      </c>
      <c r="O2958" t="s">
        <v>239</v>
      </c>
      <c r="P2958" t="s">
        <v>514</v>
      </c>
      <c r="Y2958">
        <v>2924</v>
      </c>
      <c r="Z2958" s="259" t="s">
        <v>630</v>
      </c>
      <c r="AA2958">
        <v>0</v>
      </c>
      <c r="AB2958">
        <v>0</v>
      </c>
      <c r="AC2958">
        <v>45902</v>
      </c>
      <c r="AD2958">
        <v>0</v>
      </c>
      <c r="AE2958">
        <v>0</v>
      </c>
      <c r="AF2958">
        <v>0</v>
      </c>
      <c r="AG2958">
        <v>0</v>
      </c>
      <c r="AH2958">
        <v>0</v>
      </c>
    </row>
    <row r="2959" spans="2:34" x14ac:dyDescent="0.35">
      <c r="B2959" t="s">
        <v>566</v>
      </c>
      <c r="C2959">
        <v>45902</v>
      </c>
      <c r="F2959" t="s">
        <v>754</v>
      </c>
      <c r="H2959">
        <v>85.86</v>
      </c>
      <c r="O2959" t="s">
        <v>239</v>
      </c>
      <c r="P2959" t="s">
        <v>514</v>
      </c>
      <c r="Y2959">
        <v>2925</v>
      </c>
      <c r="Z2959" s="259" t="s">
        <v>630</v>
      </c>
      <c r="AA2959">
        <v>0</v>
      </c>
      <c r="AB2959">
        <v>0</v>
      </c>
      <c r="AC2959">
        <v>45902</v>
      </c>
      <c r="AD2959">
        <v>0</v>
      </c>
      <c r="AE2959">
        <v>0</v>
      </c>
      <c r="AF2959">
        <v>0</v>
      </c>
      <c r="AG2959">
        <v>0</v>
      </c>
      <c r="AH2959">
        <v>0</v>
      </c>
    </row>
    <row r="2960" spans="2:34" x14ac:dyDescent="0.35">
      <c r="B2960" t="s">
        <v>566</v>
      </c>
      <c r="C2960">
        <v>45903</v>
      </c>
      <c r="F2960" t="s">
        <v>749</v>
      </c>
      <c r="H2960">
        <v>49.34</v>
      </c>
      <c r="O2960" t="s">
        <v>239</v>
      </c>
      <c r="P2960" t="s">
        <v>514</v>
      </c>
      <c r="Y2960">
        <v>2926</v>
      </c>
      <c r="Z2960" s="259" t="s">
        <v>630</v>
      </c>
      <c r="AA2960">
        <v>0</v>
      </c>
      <c r="AB2960">
        <v>0</v>
      </c>
      <c r="AC2960">
        <v>45903</v>
      </c>
      <c r="AD2960">
        <v>0</v>
      </c>
      <c r="AE2960">
        <v>0</v>
      </c>
      <c r="AF2960">
        <v>0</v>
      </c>
      <c r="AG2960">
        <v>0</v>
      </c>
      <c r="AH2960">
        <v>0</v>
      </c>
    </row>
    <row r="2961" spans="2:34" x14ac:dyDescent="0.35">
      <c r="B2961" t="s">
        <v>566</v>
      </c>
      <c r="C2961">
        <v>45903</v>
      </c>
      <c r="F2961" t="s">
        <v>752</v>
      </c>
      <c r="H2961">
        <v>185.38</v>
      </c>
      <c r="O2961" t="s">
        <v>239</v>
      </c>
      <c r="P2961" t="s">
        <v>514</v>
      </c>
      <c r="Y2961">
        <v>2927</v>
      </c>
      <c r="Z2961" s="259" t="s">
        <v>630</v>
      </c>
      <c r="AA2961">
        <v>0</v>
      </c>
      <c r="AB2961">
        <v>0</v>
      </c>
      <c r="AC2961">
        <v>45903</v>
      </c>
      <c r="AD2961">
        <v>0</v>
      </c>
      <c r="AE2961">
        <v>0</v>
      </c>
      <c r="AF2961">
        <v>0</v>
      </c>
      <c r="AG2961">
        <v>0</v>
      </c>
      <c r="AH2961">
        <v>0</v>
      </c>
    </row>
    <row r="2962" spans="2:34" x14ac:dyDescent="0.35">
      <c r="B2962" t="s">
        <v>566</v>
      </c>
      <c r="C2962">
        <v>45903</v>
      </c>
      <c r="F2962" t="s">
        <v>754</v>
      </c>
      <c r="H2962">
        <v>85.72</v>
      </c>
      <c r="O2962" t="s">
        <v>239</v>
      </c>
      <c r="P2962" t="s">
        <v>514</v>
      </c>
      <c r="Y2962">
        <v>2928</v>
      </c>
      <c r="Z2962" s="259" t="s">
        <v>630</v>
      </c>
      <c r="AA2962">
        <v>0</v>
      </c>
      <c r="AB2962">
        <v>0</v>
      </c>
      <c r="AC2962">
        <v>45903</v>
      </c>
      <c r="AD2962">
        <v>0</v>
      </c>
      <c r="AE2962">
        <v>0</v>
      </c>
      <c r="AF2962">
        <v>0</v>
      </c>
      <c r="AG2962">
        <v>0</v>
      </c>
      <c r="AH2962">
        <v>0</v>
      </c>
    </row>
    <row r="2963" spans="2:34" x14ac:dyDescent="0.35">
      <c r="B2963" t="s">
        <v>566</v>
      </c>
      <c r="C2963">
        <v>45904</v>
      </c>
      <c r="F2963" t="s">
        <v>749</v>
      </c>
      <c r="H2963">
        <v>49.52</v>
      </c>
      <c r="O2963" t="s">
        <v>239</v>
      </c>
      <c r="P2963" t="s">
        <v>514</v>
      </c>
      <c r="Y2963">
        <v>2929</v>
      </c>
      <c r="Z2963" s="259" t="s">
        <v>630</v>
      </c>
      <c r="AA2963">
        <v>0</v>
      </c>
      <c r="AB2963">
        <v>0</v>
      </c>
      <c r="AC2963">
        <v>45904</v>
      </c>
      <c r="AD2963">
        <v>0</v>
      </c>
      <c r="AE2963">
        <v>0</v>
      </c>
      <c r="AF2963">
        <v>0</v>
      </c>
      <c r="AG2963">
        <v>0</v>
      </c>
      <c r="AH2963">
        <v>0</v>
      </c>
    </row>
    <row r="2964" spans="2:34" x14ac:dyDescent="0.35">
      <c r="B2964" t="s">
        <v>566</v>
      </c>
      <c r="C2964">
        <v>45904</v>
      </c>
      <c r="F2964" t="s">
        <v>752</v>
      </c>
      <c r="H2964">
        <v>185.07</v>
      </c>
      <c r="O2964" t="s">
        <v>239</v>
      </c>
      <c r="P2964" t="s">
        <v>514</v>
      </c>
      <c r="Y2964">
        <v>2930</v>
      </c>
      <c r="Z2964" s="259" t="s">
        <v>630</v>
      </c>
      <c r="AA2964">
        <v>0</v>
      </c>
      <c r="AB2964">
        <v>0</v>
      </c>
      <c r="AC2964">
        <v>45904</v>
      </c>
      <c r="AD2964">
        <v>0</v>
      </c>
      <c r="AE2964">
        <v>0</v>
      </c>
      <c r="AF2964">
        <v>0</v>
      </c>
      <c r="AG2964">
        <v>0</v>
      </c>
      <c r="AH2964">
        <v>0</v>
      </c>
    </row>
    <row r="2965" spans="2:34" x14ac:dyDescent="0.35">
      <c r="B2965" t="s">
        <v>566</v>
      </c>
      <c r="C2965">
        <v>45904</v>
      </c>
      <c r="F2965" t="s">
        <v>754</v>
      </c>
      <c r="H2965">
        <v>85.59</v>
      </c>
      <c r="O2965" t="s">
        <v>239</v>
      </c>
      <c r="P2965" t="s">
        <v>514</v>
      </c>
      <c r="Y2965">
        <v>2931</v>
      </c>
      <c r="Z2965" s="259" t="s">
        <v>630</v>
      </c>
      <c r="AA2965">
        <v>0</v>
      </c>
      <c r="AB2965">
        <v>0</v>
      </c>
      <c r="AC2965">
        <v>45904</v>
      </c>
      <c r="AD2965">
        <v>0</v>
      </c>
      <c r="AE2965">
        <v>0</v>
      </c>
      <c r="AF2965">
        <v>0</v>
      </c>
      <c r="AG2965">
        <v>0</v>
      </c>
      <c r="AH2965">
        <v>0</v>
      </c>
    </row>
    <row r="2966" spans="2:34" x14ac:dyDescent="0.35">
      <c r="B2966" t="s">
        <v>566</v>
      </c>
      <c r="C2966">
        <v>45905</v>
      </c>
      <c r="F2966" t="s">
        <v>749</v>
      </c>
      <c r="H2966">
        <v>49.69</v>
      </c>
      <c r="O2966" t="s">
        <v>239</v>
      </c>
      <c r="P2966" t="s">
        <v>514</v>
      </c>
      <c r="Y2966">
        <v>2932</v>
      </c>
      <c r="Z2966" s="259" t="s">
        <v>630</v>
      </c>
      <c r="AA2966">
        <v>0</v>
      </c>
      <c r="AB2966">
        <v>0</v>
      </c>
      <c r="AC2966">
        <v>45905</v>
      </c>
      <c r="AD2966">
        <v>0</v>
      </c>
      <c r="AE2966">
        <v>0</v>
      </c>
      <c r="AF2966">
        <v>0</v>
      </c>
      <c r="AG2966">
        <v>0</v>
      </c>
      <c r="AH2966">
        <v>0</v>
      </c>
    </row>
    <row r="2967" spans="2:34" x14ac:dyDescent="0.35">
      <c r="B2967" t="s">
        <v>566</v>
      </c>
      <c r="C2967">
        <v>45905</v>
      </c>
      <c r="F2967" t="s">
        <v>752</v>
      </c>
      <c r="H2967">
        <v>184.76</v>
      </c>
      <c r="O2967" t="s">
        <v>239</v>
      </c>
      <c r="P2967" t="s">
        <v>514</v>
      </c>
      <c r="Y2967">
        <v>2933</v>
      </c>
      <c r="Z2967" s="259" t="s">
        <v>630</v>
      </c>
      <c r="AA2967">
        <v>0</v>
      </c>
      <c r="AB2967">
        <v>0</v>
      </c>
      <c r="AC2967">
        <v>45905</v>
      </c>
      <c r="AD2967">
        <v>0</v>
      </c>
      <c r="AE2967">
        <v>0</v>
      </c>
      <c r="AF2967">
        <v>0</v>
      </c>
      <c r="AG2967">
        <v>0</v>
      </c>
      <c r="AH2967">
        <v>0</v>
      </c>
    </row>
    <row r="2968" spans="2:34" x14ac:dyDescent="0.35">
      <c r="B2968" t="s">
        <v>566</v>
      </c>
      <c r="C2968">
        <v>45905</v>
      </c>
      <c r="F2968" t="s">
        <v>754</v>
      </c>
      <c r="H2968">
        <v>85.45</v>
      </c>
      <c r="O2968" t="s">
        <v>239</v>
      </c>
      <c r="P2968" t="s">
        <v>514</v>
      </c>
      <c r="Y2968">
        <v>2934</v>
      </c>
      <c r="Z2968" s="259" t="s">
        <v>630</v>
      </c>
      <c r="AA2968">
        <v>0</v>
      </c>
      <c r="AB2968">
        <v>0</v>
      </c>
      <c r="AC2968">
        <v>45905</v>
      </c>
      <c r="AD2968">
        <v>0</v>
      </c>
      <c r="AE2968">
        <v>0</v>
      </c>
      <c r="AF2968">
        <v>0</v>
      </c>
      <c r="AG2968">
        <v>0</v>
      </c>
      <c r="AH2968">
        <v>0</v>
      </c>
    </row>
    <row r="2969" spans="2:34" x14ac:dyDescent="0.35">
      <c r="B2969" t="s">
        <v>566</v>
      </c>
      <c r="C2969">
        <v>45906</v>
      </c>
      <c r="F2969" t="s">
        <v>749</v>
      </c>
      <c r="H2969">
        <v>49.69</v>
      </c>
      <c r="O2969" t="s">
        <v>239</v>
      </c>
      <c r="P2969" t="s">
        <v>514</v>
      </c>
      <c r="Y2969">
        <v>2935</v>
      </c>
      <c r="Z2969" s="259" t="s">
        <v>630</v>
      </c>
      <c r="AA2969">
        <v>0</v>
      </c>
      <c r="AB2969">
        <v>0</v>
      </c>
      <c r="AC2969">
        <v>45905</v>
      </c>
      <c r="AD2969">
        <v>1</v>
      </c>
      <c r="AE2969">
        <v>0</v>
      </c>
      <c r="AF2969">
        <v>0</v>
      </c>
      <c r="AG2969">
        <v>0</v>
      </c>
      <c r="AH2969">
        <v>0</v>
      </c>
    </row>
    <row r="2970" spans="2:34" x14ac:dyDescent="0.35">
      <c r="B2970" t="s">
        <v>566</v>
      </c>
      <c r="C2970">
        <v>45906</v>
      </c>
      <c r="F2970" t="s">
        <v>752</v>
      </c>
      <c r="H2970">
        <v>184.76</v>
      </c>
      <c r="O2970" t="s">
        <v>239</v>
      </c>
      <c r="P2970" t="s">
        <v>514</v>
      </c>
      <c r="Y2970">
        <v>2936</v>
      </c>
      <c r="Z2970" s="259" t="s">
        <v>630</v>
      </c>
      <c r="AA2970">
        <v>0</v>
      </c>
      <c r="AB2970">
        <v>0</v>
      </c>
      <c r="AC2970">
        <v>45905</v>
      </c>
      <c r="AD2970">
        <v>1</v>
      </c>
      <c r="AE2970">
        <v>0</v>
      </c>
      <c r="AF2970">
        <v>0</v>
      </c>
      <c r="AG2970">
        <v>0</v>
      </c>
      <c r="AH2970">
        <v>0</v>
      </c>
    </row>
    <row r="2971" spans="2:34" x14ac:dyDescent="0.35">
      <c r="B2971" t="s">
        <v>566</v>
      </c>
      <c r="C2971">
        <v>45906</v>
      </c>
      <c r="F2971" t="s">
        <v>754</v>
      </c>
      <c r="H2971">
        <v>85.45</v>
      </c>
      <c r="O2971" t="s">
        <v>239</v>
      </c>
      <c r="P2971" t="s">
        <v>514</v>
      </c>
      <c r="Y2971">
        <v>2937</v>
      </c>
      <c r="Z2971" s="259" t="s">
        <v>630</v>
      </c>
      <c r="AA2971">
        <v>0</v>
      </c>
      <c r="AB2971">
        <v>0</v>
      </c>
      <c r="AC2971">
        <v>45905</v>
      </c>
      <c r="AD2971">
        <v>1</v>
      </c>
      <c r="AE2971">
        <v>0</v>
      </c>
      <c r="AF2971">
        <v>0</v>
      </c>
      <c r="AG2971">
        <v>0</v>
      </c>
      <c r="AH2971">
        <v>0</v>
      </c>
    </row>
    <row r="2972" spans="2:34" x14ac:dyDescent="0.35">
      <c r="B2972" t="s">
        <v>566</v>
      </c>
      <c r="C2972">
        <v>45907</v>
      </c>
      <c r="F2972" t="s">
        <v>749</v>
      </c>
      <c r="H2972">
        <v>49.69</v>
      </c>
      <c r="O2972" t="s">
        <v>239</v>
      </c>
      <c r="P2972" t="s">
        <v>514</v>
      </c>
      <c r="Y2972">
        <v>2938</v>
      </c>
      <c r="Z2972" s="259" t="s">
        <v>630</v>
      </c>
      <c r="AA2972">
        <v>0</v>
      </c>
      <c r="AB2972">
        <v>0</v>
      </c>
      <c r="AC2972">
        <v>45905</v>
      </c>
      <c r="AD2972">
        <v>2</v>
      </c>
      <c r="AE2972">
        <v>0</v>
      </c>
      <c r="AF2972">
        <v>0</v>
      </c>
      <c r="AG2972">
        <v>0</v>
      </c>
      <c r="AH2972">
        <v>0</v>
      </c>
    </row>
    <row r="2973" spans="2:34" x14ac:dyDescent="0.35">
      <c r="B2973" t="s">
        <v>566</v>
      </c>
      <c r="C2973">
        <v>45907</v>
      </c>
      <c r="F2973" t="s">
        <v>752</v>
      </c>
      <c r="H2973">
        <v>184.76</v>
      </c>
      <c r="O2973" t="s">
        <v>239</v>
      </c>
      <c r="P2973" t="s">
        <v>514</v>
      </c>
      <c r="Y2973">
        <v>2939</v>
      </c>
      <c r="Z2973" s="259" t="s">
        <v>630</v>
      </c>
      <c r="AA2973">
        <v>0</v>
      </c>
      <c r="AB2973">
        <v>0</v>
      </c>
      <c r="AC2973">
        <v>45905</v>
      </c>
      <c r="AD2973">
        <v>2</v>
      </c>
      <c r="AE2973">
        <v>0</v>
      </c>
      <c r="AF2973">
        <v>0</v>
      </c>
      <c r="AG2973">
        <v>0</v>
      </c>
      <c r="AH2973">
        <v>0</v>
      </c>
    </row>
    <row r="2974" spans="2:34" x14ac:dyDescent="0.35">
      <c r="B2974" t="s">
        <v>566</v>
      </c>
      <c r="C2974">
        <v>45907</v>
      </c>
      <c r="F2974" t="s">
        <v>754</v>
      </c>
      <c r="H2974">
        <v>85.45</v>
      </c>
      <c r="O2974" t="s">
        <v>239</v>
      </c>
      <c r="P2974" t="s">
        <v>514</v>
      </c>
      <c r="Y2974">
        <v>2940</v>
      </c>
      <c r="Z2974" s="259" t="s">
        <v>630</v>
      </c>
      <c r="AA2974">
        <v>0</v>
      </c>
      <c r="AB2974">
        <v>0</v>
      </c>
      <c r="AC2974">
        <v>45905</v>
      </c>
      <c r="AD2974">
        <v>2</v>
      </c>
      <c r="AE2974">
        <v>0</v>
      </c>
      <c r="AF2974">
        <v>0</v>
      </c>
      <c r="AG2974">
        <v>0</v>
      </c>
      <c r="AH2974">
        <v>0</v>
      </c>
    </row>
    <row r="2975" spans="2:34" x14ac:dyDescent="0.35">
      <c r="B2975" t="s">
        <v>566</v>
      </c>
      <c r="C2975">
        <v>45908</v>
      </c>
      <c r="F2975" t="s">
        <v>749</v>
      </c>
      <c r="H2975">
        <v>50.21</v>
      </c>
      <c r="O2975" t="s">
        <v>239</v>
      </c>
      <c r="P2975" t="s">
        <v>514</v>
      </c>
      <c r="Y2975">
        <v>2941</v>
      </c>
      <c r="Z2975" s="259" t="s">
        <v>630</v>
      </c>
      <c r="AA2975">
        <v>0</v>
      </c>
      <c r="AB2975">
        <v>0</v>
      </c>
      <c r="AC2975">
        <v>45908</v>
      </c>
      <c r="AD2975">
        <v>0</v>
      </c>
      <c r="AE2975">
        <v>0</v>
      </c>
      <c r="AF2975">
        <v>0</v>
      </c>
      <c r="AG2975">
        <v>0</v>
      </c>
      <c r="AH2975">
        <v>0</v>
      </c>
    </row>
    <row r="2976" spans="2:34" x14ac:dyDescent="0.35">
      <c r="B2976" t="s">
        <v>566</v>
      </c>
      <c r="C2976">
        <v>45908</v>
      </c>
      <c r="F2976" t="s">
        <v>752</v>
      </c>
      <c r="H2976">
        <v>183.83</v>
      </c>
      <c r="O2976" t="s">
        <v>239</v>
      </c>
      <c r="P2976" t="s">
        <v>514</v>
      </c>
      <c r="Y2976">
        <v>2942</v>
      </c>
      <c r="Z2976" s="259" t="s">
        <v>630</v>
      </c>
      <c r="AA2976">
        <v>0</v>
      </c>
      <c r="AB2976">
        <v>0</v>
      </c>
      <c r="AC2976">
        <v>45908</v>
      </c>
      <c r="AD2976">
        <v>0</v>
      </c>
      <c r="AE2976">
        <v>0</v>
      </c>
      <c r="AF2976">
        <v>0</v>
      </c>
      <c r="AG2976">
        <v>0</v>
      </c>
      <c r="AH2976">
        <v>0</v>
      </c>
    </row>
    <row r="2977" spans="2:34" x14ac:dyDescent="0.35">
      <c r="B2977" t="s">
        <v>566</v>
      </c>
      <c r="C2977">
        <v>45908</v>
      </c>
      <c r="F2977" t="s">
        <v>754</v>
      </c>
      <c r="H2977">
        <v>85.03</v>
      </c>
      <c r="O2977" t="s">
        <v>239</v>
      </c>
      <c r="P2977" t="s">
        <v>514</v>
      </c>
      <c r="Y2977">
        <v>2943</v>
      </c>
      <c r="Z2977" s="259" t="s">
        <v>630</v>
      </c>
      <c r="AA2977">
        <v>0</v>
      </c>
      <c r="AB2977">
        <v>0</v>
      </c>
      <c r="AC2977">
        <v>45908</v>
      </c>
      <c r="AD2977">
        <v>0</v>
      </c>
      <c r="AE2977">
        <v>0</v>
      </c>
      <c r="AF2977">
        <v>0</v>
      </c>
      <c r="AG2977">
        <v>0</v>
      </c>
      <c r="AH2977">
        <v>0</v>
      </c>
    </row>
    <row r="2978" spans="2:34" x14ac:dyDescent="0.35">
      <c r="B2978" t="s">
        <v>566</v>
      </c>
      <c r="C2978">
        <v>45909</v>
      </c>
      <c r="F2978" t="s">
        <v>749</v>
      </c>
      <c r="H2978">
        <v>50.38</v>
      </c>
      <c r="O2978" t="s">
        <v>239</v>
      </c>
      <c r="P2978" t="s">
        <v>514</v>
      </c>
      <c r="Y2978">
        <v>2944</v>
      </c>
      <c r="Z2978" s="259" t="s">
        <v>630</v>
      </c>
      <c r="AA2978">
        <v>0</v>
      </c>
      <c r="AB2978">
        <v>0</v>
      </c>
      <c r="AC2978">
        <v>45909</v>
      </c>
      <c r="AD2978">
        <v>0</v>
      </c>
      <c r="AE2978">
        <v>0</v>
      </c>
      <c r="AF2978">
        <v>0</v>
      </c>
      <c r="AG2978">
        <v>0</v>
      </c>
      <c r="AH2978">
        <v>0</v>
      </c>
    </row>
    <row r="2979" spans="2:34" x14ac:dyDescent="0.35">
      <c r="B2979" t="s">
        <v>566</v>
      </c>
      <c r="C2979">
        <v>45909</v>
      </c>
      <c r="F2979" t="s">
        <v>752</v>
      </c>
      <c r="H2979">
        <v>183.52</v>
      </c>
      <c r="O2979" t="s">
        <v>239</v>
      </c>
      <c r="P2979" t="s">
        <v>514</v>
      </c>
      <c r="Y2979">
        <v>2945</v>
      </c>
      <c r="Z2979" s="259" t="s">
        <v>630</v>
      </c>
      <c r="AA2979">
        <v>0</v>
      </c>
      <c r="AB2979">
        <v>0</v>
      </c>
      <c r="AC2979">
        <v>45909</v>
      </c>
      <c r="AD2979">
        <v>0</v>
      </c>
      <c r="AE2979">
        <v>0</v>
      </c>
      <c r="AF2979">
        <v>0</v>
      </c>
      <c r="AG2979">
        <v>0</v>
      </c>
      <c r="AH2979">
        <v>0</v>
      </c>
    </row>
    <row r="2980" spans="2:34" x14ac:dyDescent="0.35">
      <c r="B2980" t="s">
        <v>566</v>
      </c>
      <c r="C2980">
        <v>45909</v>
      </c>
      <c r="F2980" t="s">
        <v>754</v>
      </c>
      <c r="H2980">
        <v>84.9</v>
      </c>
      <c r="O2980" t="s">
        <v>239</v>
      </c>
      <c r="P2980" t="s">
        <v>514</v>
      </c>
      <c r="Y2980">
        <v>2946</v>
      </c>
      <c r="Z2980" s="259" t="s">
        <v>630</v>
      </c>
      <c r="AA2980">
        <v>0</v>
      </c>
      <c r="AB2980">
        <v>0</v>
      </c>
      <c r="AC2980">
        <v>45909</v>
      </c>
      <c r="AD2980">
        <v>0</v>
      </c>
      <c r="AE2980">
        <v>0</v>
      </c>
      <c r="AF2980">
        <v>0</v>
      </c>
      <c r="AG2980">
        <v>0</v>
      </c>
      <c r="AH2980">
        <v>0</v>
      </c>
    </row>
    <row r="2981" spans="2:34" x14ac:dyDescent="0.35">
      <c r="B2981" t="s">
        <v>566</v>
      </c>
      <c r="C2981">
        <v>45910</v>
      </c>
      <c r="F2981" t="s">
        <v>749</v>
      </c>
      <c r="H2981">
        <v>50.55</v>
      </c>
      <c r="O2981" t="s">
        <v>239</v>
      </c>
      <c r="P2981" t="s">
        <v>514</v>
      </c>
      <c r="Y2981">
        <v>2947</v>
      </c>
      <c r="Z2981" s="259" t="s">
        <v>630</v>
      </c>
      <c r="AA2981">
        <v>0</v>
      </c>
      <c r="AB2981">
        <v>0</v>
      </c>
      <c r="AC2981">
        <v>45910</v>
      </c>
      <c r="AD2981">
        <v>0</v>
      </c>
      <c r="AE2981">
        <v>0</v>
      </c>
      <c r="AF2981">
        <v>0</v>
      </c>
      <c r="AG2981">
        <v>0</v>
      </c>
      <c r="AH2981">
        <v>0</v>
      </c>
    </row>
    <row r="2982" spans="2:34" x14ac:dyDescent="0.35">
      <c r="B2982" t="s">
        <v>566</v>
      </c>
      <c r="C2982">
        <v>45910</v>
      </c>
      <c r="F2982" t="s">
        <v>752</v>
      </c>
      <c r="H2982">
        <v>183.21</v>
      </c>
      <c r="O2982" t="s">
        <v>239</v>
      </c>
      <c r="P2982" t="s">
        <v>514</v>
      </c>
      <c r="Y2982">
        <v>2948</v>
      </c>
      <c r="Z2982" s="259" t="s">
        <v>630</v>
      </c>
      <c r="AA2982">
        <v>0</v>
      </c>
      <c r="AB2982">
        <v>0</v>
      </c>
      <c r="AC2982">
        <v>45910</v>
      </c>
      <c r="AD2982">
        <v>0</v>
      </c>
      <c r="AE2982">
        <v>0</v>
      </c>
      <c r="AF2982">
        <v>0</v>
      </c>
      <c r="AG2982">
        <v>0</v>
      </c>
      <c r="AH2982">
        <v>0</v>
      </c>
    </row>
    <row r="2983" spans="2:34" x14ac:dyDescent="0.35">
      <c r="B2983" t="s">
        <v>566</v>
      </c>
      <c r="C2983">
        <v>45910</v>
      </c>
      <c r="F2983" t="s">
        <v>754</v>
      </c>
      <c r="H2983">
        <v>84.76</v>
      </c>
      <c r="O2983" t="s">
        <v>239</v>
      </c>
      <c r="P2983" t="s">
        <v>514</v>
      </c>
      <c r="Y2983">
        <v>2949</v>
      </c>
      <c r="Z2983" s="259" t="s">
        <v>630</v>
      </c>
      <c r="AA2983">
        <v>0</v>
      </c>
      <c r="AB2983">
        <v>0</v>
      </c>
      <c r="AC2983">
        <v>45910</v>
      </c>
      <c r="AD2983">
        <v>0</v>
      </c>
      <c r="AE2983">
        <v>0</v>
      </c>
      <c r="AF2983">
        <v>0</v>
      </c>
      <c r="AG2983">
        <v>0</v>
      </c>
      <c r="AH2983">
        <v>0</v>
      </c>
    </row>
    <row r="2984" spans="2:34" x14ac:dyDescent="0.35">
      <c r="B2984" t="s">
        <v>566</v>
      </c>
      <c r="C2984">
        <v>45911</v>
      </c>
      <c r="F2984" t="s">
        <v>749</v>
      </c>
      <c r="H2984">
        <v>50.72</v>
      </c>
      <c r="O2984" t="s">
        <v>239</v>
      </c>
      <c r="P2984" t="s">
        <v>514</v>
      </c>
      <c r="Y2984">
        <v>2950</v>
      </c>
      <c r="Z2984" s="259" t="s">
        <v>630</v>
      </c>
      <c r="AA2984">
        <v>0</v>
      </c>
      <c r="AB2984">
        <v>0</v>
      </c>
      <c r="AC2984">
        <v>45911</v>
      </c>
      <c r="AD2984">
        <v>0</v>
      </c>
      <c r="AE2984">
        <v>0</v>
      </c>
      <c r="AF2984">
        <v>0</v>
      </c>
      <c r="AG2984">
        <v>0</v>
      </c>
      <c r="AH2984">
        <v>0</v>
      </c>
    </row>
    <row r="2985" spans="2:34" x14ac:dyDescent="0.35">
      <c r="B2985" t="s">
        <v>566</v>
      </c>
      <c r="C2985">
        <v>45911</v>
      </c>
      <c r="F2985" t="s">
        <v>752</v>
      </c>
      <c r="H2985">
        <v>182.9</v>
      </c>
      <c r="O2985" t="s">
        <v>239</v>
      </c>
      <c r="P2985" t="s">
        <v>514</v>
      </c>
      <c r="Y2985">
        <v>2951</v>
      </c>
      <c r="Z2985" s="259" t="s">
        <v>630</v>
      </c>
      <c r="AA2985">
        <v>0</v>
      </c>
      <c r="AB2985">
        <v>0</v>
      </c>
      <c r="AC2985">
        <v>45911</v>
      </c>
      <c r="AD2985">
        <v>0</v>
      </c>
      <c r="AE2985">
        <v>0</v>
      </c>
      <c r="AF2985">
        <v>0</v>
      </c>
      <c r="AG2985">
        <v>0</v>
      </c>
      <c r="AH2985">
        <v>0</v>
      </c>
    </row>
    <row r="2986" spans="2:34" x14ac:dyDescent="0.35">
      <c r="B2986" t="s">
        <v>566</v>
      </c>
      <c r="C2986">
        <v>45911</v>
      </c>
      <c r="F2986" t="s">
        <v>754</v>
      </c>
      <c r="H2986">
        <v>84.62</v>
      </c>
      <c r="O2986" t="s">
        <v>239</v>
      </c>
      <c r="P2986" t="s">
        <v>514</v>
      </c>
      <c r="Y2986">
        <v>2952</v>
      </c>
      <c r="Z2986" s="259" t="s">
        <v>630</v>
      </c>
      <c r="AA2986">
        <v>0</v>
      </c>
      <c r="AB2986">
        <v>0</v>
      </c>
      <c r="AC2986">
        <v>45911</v>
      </c>
      <c r="AD2986">
        <v>0</v>
      </c>
      <c r="AE2986">
        <v>0</v>
      </c>
      <c r="AF2986">
        <v>0</v>
      </c>
      <c r="AG2986">
        <v>0</v>
      </c>
      <c r="AH2986">
        <v>0</v>
      </c>
    </row>
    <row r="2987" spans="2:34" x14ac:dyDescent="0.35">
      <c r="B2987" t="s">
        <v>566</v>
      </c>
      <c r="C2987">
        <v>45912</v>
      </c>
      <c r="F2987" t="s">
        <v>749</v>
      </c>
      <c r="H2987">
        <v>50.9</v>
      </c>
      <c r="O2987" t="s">
        <v>239</v>
      </c>
      <c r="P2987" t="s">
        <v>514</v>
      </c>
      <c r="Y2987">
        <v>2953</v>
      </c>
      <c r="Z2987" s="259" t="s">
        <v>630</v>
      </c>
      <c r="AA2987">
        <v>0</v>
      </c>
      <c r="AB2987">
        <v>0</v>
      </c>
      <c r="AC2987">
        <v>45912</v>
      </c>
      <c r="AD2987">
        <v>0</v>
      </c>
      <c r="AE2987">
        <v>0</v>
      </c>
      <c r="AF2987">
        <v>0</v>
      </c>
      <c r="AG2987">
        <v>0</v>
      </c>
      <c r="AH2987">
        <v>0</v>
      </c>
    </row>
    <row r="2988" spans="2:34" x14ac:dyDescent="0.35">
      <c r="B2988" t="s">
        <v>566</v>
      </c>
      <c r="C2988">
        <v>45912</v>
      </c>
      <c r="F2988" t="s">
        <v>752</v>
      </c>
      <c r="H2988">
        <v>182.59</v>
      </c>
      <c r="O2988" t="s">
        <v>239</v>
      </c>
      <c r="P2988" t="s">
        <v>514</v>
      </c>
      <c r="Y2988">
        <v>2954</v>
      </c>
      <c r="Z2988" s="259" t="s">
        <v>630</v>
      </c>
      <c r="AA2988">
        <v>0</v>
      </c>
      <c r="AB2988">
        <v>0</v>
      </c>
      <c r="AC2988">
        <v>45912</v>
      </c>
      <c r="AD2988">
        <v>0</v>
      </c>
      <c r="AE2988">
        <v>0</v>
      </c>
      <c r="AF2988">
        <v>0</v>
      </c>
      <c r="AG2988">
        <v>0</v>
      </c>
      <c r="AH2988">
        <v>0</v>
      </c>
    </row>
    <row r="2989" spans="2:34" x14ac:dyDescent="0.35">
      <c r="B2989" t="s">
        <v>566</v>
      </c>
      <c r="C2989">
        <v>45912</v>
      </c>
      <c r="F2989" t="s">
        <v>754</v>
      </c>
      <c r="H2989">
        <v>84.48</v>
      </c>
      <c r="O2989" t="s">
        <v>239</v>
      </c>
      <c r="P2989" t="s">
        <v>514</v>
      </c>
      <c r="Y2989">
        <v>2955</v>
      </c>
      <c r="Z2989" s="259" t="s">
        <v>630</v>
      </c>
      <c r="AA2989">
        <v>0</v>
      </c>
      <c r="AB2989">
        <v>0</v>
      </c>
      <c r="AC2989">
        <v>45912</v>
      </c>
      <c r="AD2989">
        <v>0</v>
      </c>
      <c r="AE2989">
        <v>0</v>
      </c>
      <c r="AF2989">
        <v>0</v>
      </c>
      <c r="AG2989">
        <v>0</v>
      </c>
      <c r="AH2989">
        <v>0</v>
      </c>
    </row>
    <row r="2990" spans="2:34" x14ac:dyDescent="0.35">
      <c r="B2990" t="s">
        <v>566</v>
      </c>
      <c r="C2990">
        <v>45913</v>
      </c>
      <c r="F2990" t="s">
        <v>749</v>
      </c>
      <c r="H2990">
        <v>50.9</v>
      </c>
      <c r="O2990" t="s">
        <v>239</v>
      </c>
      <c r="P2990" t="s">
        <v>514</v>
      </c>
      <c r="Y2990">
        <v>2956</v>
      </c>
      <c r="Z2990" s="259" t="s">
        <v>630</v>
      </c>
      <c r="AA2990">
        <v>0</v>
      </c>
      <c r="AB2990">
        <v>0</v>
      </c>
      <c r="AC2990">
        <v>45912</v>
      </c>
      <c r="AD2990">
        <v>1</v>
      </c>
      <c r="AE2990">
        <v>0</v>
      </c>
      <c r="AF2990">
        <v>0</v>
      </c>
      <c r="AG2990">
        <v>0</v>
      </c>
      <c r="AH2990">
        <v>0</v>
      </c>
    </row>
    <row r="2991" spans="2:34" x14ac:dyDescent="0.35">
      <c r="B2991" t="s">
        <v>566</v>
      </c>
      <c r="C2991">
        <v>45913</v>
      </c>
      <c r="F2991" t="s">
        <v>752</v>
      </c>
      <c r="H2991">
        <v>182.59</v>
      </c>
      <c r="O2991" t="s">
        <v>239</v>
      </c>
      <c r="P2991" t="s">
        <v>514</v>
      </c>
      <c r="Y2991">
        <v>2957</v>
      </c>
      <c r="Z2991" s="259" t="s">
        <v>630</v>
      </c>
      <c r="AA2991">
        <v>0</v>
      </c>
      <c r="AB2991">
        <v>0</v>
      </c>
      <c r="AC2991">
        <v>45912</v>
      </c>
      <c r="AD2991">
        <v>1</v>
      </c>
      <c r="AE2991">
        <v>0</v>
      </c>
      <c r="AF2991">
        <v>0</v>
      </c>
      <c r="AG2991">
        <v>0</v>
      </c>
      <c r="AH2991">
        <v>0</v>
      </c>
    </row>
    <row r="2992" spans="2:34" x14ac:dyDescent="0.35">
      <c r="B2992" t="s">
        <v>566</v>
      </c>
      <c r="C2992">
        <v>45913</v>
      </c>
      <c r="F2992" t="s">
        <v>754</v>
      </c>
      <c r="H2992">
        <v>84.48</v>
      </c>
      <c r="O2992" t="s">
        <v>239</v>
      </c>
      <c r="P2992" t="s">
        <v>514</v>
      </c>
      <c r="Y2992">
        <v>2958</v>
      </c>
      <c r="Z2992" s="259" t="s">
        <v>630</v>
      </c>
      <c r="AA2992">
        <v>0</v>
      </c>
      <c r="AB2992">
        <v>0</v>
      </c>
      <c r="AC2992">
        <v>45912</v>
      </c>
      <c r="AD2992">
        <v>1</v>
      </c>
      <c r="AE2992">
        <v>0</v>
      </c>
      <c r="AF2992">
        <v>0</v>
      </c>
      <c r="AG2992">
        <v>0</v>
      </c>
      <c r="AH2992">
        <v>0</v>
      </c>
    </row>
    <row r="2993" spans="2:34" x14ac:dyDescent="0.35">
      <c r="B2993" t="s">
        <v>566</v>
      </c>
      <c r="C2993">
        <v>45914</v>
      </c>
      <c r="F2993" t="s">
        <v>749</v>
      </c>
      <c r="H2993">
        <v>50.9</v>
      </c>
      <c r="O2993" t="s">
        <v>239</v>
      </c>
      <c r="P2993" t="s">
        <v>514</v>
      </c>
      <c r="Y2993">
        <v>2959</v>
      </c>
      <c r="Z2993" s="259" t="s">
        <v>630</v>
      </c>
      <c r="AA2993">
        <v>0</v>
      </c>
      <c r="AB2993">
        <v>0</v>
      </c>
      <c r="AC2993">
        <v>45912</v>
      </c>
      <c r="AD2993">
        <v>2</v>
      </c>
      <c r="AE2993">
        <v>0</v>
      </c>
      <c r="AF2993">
        <v>0</v>
      </c>
      <c r="AG2993">
        <v>0</v>
      </c>
      <c r="AH2993">
        <v>0</v>
      </c>
    </row>
    <row r="2994" spans="2:34" x14ac:dyDescent="0.35">
      <c r="B2994" t="s">
        <v>566</v>
      </c>
      <c r="C2994">
        <v>45914</v>
      </c>
      <c r="F2994" t="s">
        <v>752</v>
      </c>
      <c r="H2994">
        <v>182.59</v>
      </c>
      <c r="O2994" t="s">
        <v>239</v>
      </c>
      <c r="P2994" t="s">
        <v>514</v>
      </c>
      <c r="Y2994">
        <v>2960</v>
      </c>
      <c r="Z2994" s="259" t="s">
        <v>630</v>
      </c>
      <c r="AA2994">
        <v>0</v>
      </c>
      <c r="AB2994">
        <v>0</v>
      </c>
      <c r="AC2994">
        <v>45912</v>
      </c>
      <c r="AD2994">
        <v>2</v>
      </c>
      <c r="AE2994">
        <v>0</v>
      </c>
      <c r="AF2994">
        <v>0</v>
      </c>
      <c r="AG2994">
        <v>0</v>
      </c>
      <c r="AH2994">
        <v>0</v>
      </c>
    </row>
    <row r="2995" spans="2:34" x14ac:dyDescent="0.35">
      <c r="B2995" t="s">
        <v>566</v>
      </c>
      <c r="C2995">
        <v>45914</v>
      </c>
      <c r="F2995" t="s">
        <v>754</v>
      </c>
      <c r="H2995">
        <v>84.48</v>
      </c>
      <c r="O2995" t="s">
        <v>239</v>
      </c>
      <c r="P2995" t="s">
        <v>514</v>
      </c>
      <c r="Y2995">
        <v>2961</v>
      </c>
      <c r="Z2995" s="259" t="s">
        <v>630</v>
      </c>
      <c r="AA2995">
        <v>0</v>
      </c>
      <c r="AB2995">
        <v>0</v>
      </c>
      <c r="AC2995">
        <v>45912</v>
      </c>
      <c r="AD2995">
        <v>2</v>
      </c>
      <c r="AE2995">
        <v>0</v>
      </c>
      <c r="AF2995">
        <v>0</v>
      </c>
      <c r="AG2995">
        <v>0</v>
      </c>
      <c r="AH2995">
        <v>0</v>
      </c>
    </row>
    <row r="2996" spans="2:34" x14ac:dyDescent="0.35">
      <c r="B2996" t="s">
        <v>566</v>
      </c>
      <c r="C2996">
        <v>45915</v>
      </c>
      <c r="F2996" t="s">
        <v>749</v>
      </c>
      <c r="H2996">
        <v>51.41</v>
      </c>
      <c r="O2996" t="s">
        <v>239</v>
      </c>
      <c r="P2996" t="s">
        <v>514</v>
      </c>
      <c r="Y2996">
        <v>2962</v>
      </c>
      <c r="Z2996" s="259" t="s">
        <v>630</v>
      </c>
      <c r="AA2996">
        <v>0</v>
      </c>
      <c r="AB2996">
        <v>0</v>
      </c>
      <c r="AC2996">
        <v>45915</v>
      </c>
      <c r="AD2996">
        <v>0</v>
      </c>
      <c r="AE2996">
        <v>0</v>
      </c>
      <c r="AF2996">
        <v>0</v>
      </c>
      <c r="AG2996">
        <v>0</v>
      </c>
      <c r="AH2996">
        <v>0</v>
      </c>
    </row>
    <row r="2997" spans="2:34" x14ac:dyDescent="0.35">
      <c r="B2997" t="s">
        <v>566</v>
      </c>
      <c r="C2997">
        <v>45915</v>
      </c>
      <c r="F2997" t="s">
        <v>752</v>
      </c>
      <c r="H2997">
        <v>181.66</v>
      </c>
      <c r="O2997" t="s">
        <v>239</v>
      </c>
      <c r="P2997" t="s">
        <v>514</v>
      </c>
      <c r="Y2997">
        <v>2963</v>
      </c>
      <c r="Z2997" s="259" t="s">
        <v>630</v>
      </c>
      <c r="AA2997">
        <v>0</v>
      </c>
      <c r="AB2997">
        <v>0</v>
      </c>
      <c r="AC2997">
        <v>45915</v>
      </c>
      <c r="AD2997">
        <v>0</v>
      </c>
      <c r="AE2997">
        <v>0</v>
      </c>
      <c r="AF2997">
        <v>0</v>
      </c>
      <c r="AG2997">
        <v>0</v>
      </c>
      <c r="AH2997">
        <v>0</v>
      </c>
    </row>
    <row r="2998" spans="2:34" x14ac:dyDescent="0.35">
      <c r="B2998" t="s">
        <v>566</v>
      </c>
      <c r="C2998">
        <v>45915</v>
      </c>
      <c r="F2998" t="s">
        <v>754</v>
      </c>
      <c r="H2998">
        <v>84.07</v>
      </c>
      <c r="O2998" t="s">
        <v>239</v>
      </c>
      <c r="P2998" t="s">
        <v>514</v>
      </c>
      <c r="Y2998">
        <v>2964</v>
      </c>
      <c r="Z2998" s="259" t="s">
        <v>630</v>
      </c>
      <c r="AA2998">
        <v>0</v>
      </c>
      <c r="AB2998">
        <v>0</v>
      </c>
      <c r="AC2998">
        <v>45915</v>
      </c>
      <c r="AD2998">
        <v>0</v>
      </c>
      <c r="AE2998">
        <v>0</v>
      </c>
      <c r="AF2998">
        <v>0</v>
      </c>
      <c r="AG2998">
        <v>0</v>
      </c>
      <c r="AH2998">
        <v>0</v>
      </c>
    </row>
    <row r="2999" spans="2:34" x14ac:dyDescent="0.35">
      <c r="B2999" t="s">
        <v>566</v>
      </c>
      <c r="C2999">
        <v>45916</v>
      </c>
      <c r="F2999" t="s">
        <v>749</v>
      </c>
      <c r="H2999">
        <v>51.59</v>
      </c>
      <c r="O2999" t="s">
        <v>239</v>
      </c>
      <c r="P2999" t="s">
        <v>514</v>
      </c>
      <c r="Y2999">
        <v>2965</v>
      </c>
      <c r="Z2999" s="259" t="s">
        <v>630</v>
      </c>
      <c r="AA2999">
        <v>0</v>
      </c>
      <c r="AB2999">
        <v>0</v>
      </c>
      <c r="AC2999">
        <v>45916</v>
      </c>
      <c r="AD2999">
        <v>0</v>
      </c>
      <c r="AE2999">
        <v>0</v>
      </c>
      <c r="AF2999">
        <v>0</v>
      </c>
      <c r="AG2999">
        <v>0</v>
      </c>
      <c r="AH2999">
        <v>0</v>
      </c>
    </row>
    <row r="3000" spans="2:34" x14ac:dyDescent="0.35">
      <c r="B3000" t="s">
        <v>566</v>
      </c>
      <c r="C3000">
        <v>45916</v>
      </c>
      <c r="F3000" t="s">
        <v>752</v>
      </c>
      <c r="H3000">
        <v>181.34</v>
      </c>
      <c r="O3000" t="s">
        <v>239</v>
      </c>
      <c r="P3000" t="s">
        <v>514</v>
      </c>
      <c r="Y3000">
        <v>2966</v>
      </c>
      <c r="Z3000" s="259" t="s">
        <v>630</v>
      </c>
      <c r="AA3000">
        <v>0</v>
      </c>
      <c r="AB3000">
        <v>0</v>
      </c>
      <c r="AC3000">
        <v>45916</v>
      </c>
      <c r="AD3000">
        <v>0</v>
      </c>
      <c r="AE3000">
        <v>0</v>
      </c>
      <c r="AF3000">
        <v>0</v>
      </c>
      <c r="AG3000">
        <v>0</v>
      </c>
      <c r="AH3000">
        <v>0</v>
      </c>
    </row>
    <row r="3001" spans="2:34" x14ac:dyDescent="0.35">
      <c r="B3001" t="s">
        <v>566</v>
      </c>
      <c r="C3001">
        <v>45916</v>
      </c>
      <c r="F3001" t="s">
        <v>754</v>
      </c>
      <c r="H3001">
        <v>83.93</v>
      </c>
      <c r="O3001" t="s">
        <v>239</v>
      </c>
      <c r="P3001" t="s">
        <v>514</v>
      </c>
      <c r="Y3001">
        <v>2967</v>
      </c>
      <c r="Z3001" s="259" t="s">
        <v>630</v>
      </c>
      <c r="AA3001">
        <v>0</v>
      </c>
      <c r="AB3001">
        <v>0</v>
      </c>
      <c r="AC3001">
        <v>45916</v>
      </c>
      <c r="AD3001">
        <v>0</v>
      </c>
      <c r="AE3001">
        <v>0</v>
      </c>
      <c r="AF3001">
        <v>0</v>
      </c>
      <c r="AG3001">
        <v>0</v>
      </c>
      <c r="AH3001">
        <v>0</v>
      </c>
    </row>
    <row r="3002" spans="2:34" x14ac:dyDescent="0.35">
      <c r="B3002" t="s">
        <v>566</v>
      </c>
      <c r="C3002">
        <v>45917</v>
      </c>
      <c r="F3002" t="s">
        <v>749</v>
      </c>
      <c r="H3002">
        <v>51.76</v>
      </c>
      <c r="O3002" t="s">
        <v>239</v>
      </c>
      <c r="P3002" t="s">
        <v>514</v>
      </c>
      <c r="Y3002">
        <v>2968</v>
      </c>
      <c r="Z3002" s="259" t="s">
        <v>630</v>
      </c>
      <c r="AA3002">
        <v>0</v>
      </c>
      <c r="AB3002">
        <v>0</v>
      </c>
      <c r="AC3002">
        <v>45917</v>
      </c>
      <c r="AD3002">
        <v>0</v>
      </c>
      <c r="AE3002">
        <v>0</v>
      </c>
      <c r="AF3002">
        <v>0</v>
      </c>
      <c r="AG3002">
        <v>0</v>
      </c>
      <c r="AH3002">
        <v>0</v>
      </c>
    </row>
    <row r="3003" spans="2:34" x14ac:dyDescent="0.35">
      <c r="B3003" t="s">
        <v>566</v>
      </c>
      <c r="C3003">
        <v>45917</v>
      </c>
      <c r="F3003" t="s">
        <v>752</v>
      </c>
      <c r="H3003">
        <v>181.03</v>
      </c>
      <c r="O3003" t="s">
        <v>239</v>
      </c>
      <c r="P3003" t="s">
        <v>514</v>
      </c>
      <c r="Y3003">
        <v>2969</v>
      </c>
      <c r="Z3003" s="259" t="s">
        <v>630</v>
      </c>
      <c r="AA3003">
        <v>0</v>
      </c>
      <c r="AB3003">
        <v>0</v>
      </c>
      <c r="AC3003">
        <v>45917</v>
      </c>
      <c r="AD3003">
        <v>0</v>
      </c>
      <c r="AE3003">
        <v>0</v>
      </c>
      <c r="AF3003">
        <v>0</v>
      </c>
      <c r="AG3003">
        <v>0</v>
      </c>
      <c r="AH3003">
        <v>0</v>
      </c>
    </row>
    <row r="3004" spans="2:34" x14ac:dyDescent="0.35">
      <c r="B3004" t="s">
        <v>566</v>
      </c>
      <c r="C3004">
        <v>45917</v>
      </c>
      <c r="F3004" t="s">
        <v>754</v>
      </c>
      <c r="H3004">
        <v>83.79</v>
      </c>
      <c r="O3004" t="s">
        <v>239</v>
      </c>
      <c r="P3004" t="s">
        <v>514</v>
      </c>
      <c r="Y3004">
        <v>2970</v>
      </c>
      <c r="Z3004" s="259" t="s">
        <v>630</v>
      </c>
      <c r="AA3004">
        <v>0</v>
      </c>
      <c r="AB3004">
        <v>0</v>
      </c>
      <c r="AC3004">
        <v>45917</v>
      </c>
      <c r="AD3004">
        <v>0</v>
      </c>
      <c r="AE3004">
        <v>0</v>
      </c>
      <c r="AF3004">
        <v>0</v>
      </c>
      <c r="AG3004">
        <v>0</v>
      </c>
      <c r="AH3004">
        <v>0</v>
      </c>
    </row>
    <row r="3005" spans="2:34" x14ac:dyDescent="0.35">
      <c r="B3005" t="s">
        <v>566</v>
      </c>
      <c r="C3005">
        <v>45918</v>
      </c>
      <c r="F3005" t="s">
        <v>749</v>
      </c>
      <c r="H3005">
        <v>51.93</v>
      </c>
      <c r="O3005" t="s">
        <v>239</v>
      </c>
      <c r="P3005" t="s">
        <v>514</v>
      </c>
      <c r="Y3005">
        <v>2971</v>
      </c>
      <c r="Z3005" s="259" t="s">
        <v>630</v>
      </c>
      <c r="AA3005">
        <v>0</v>
      </c>
      <c r="AB3005">
        <v>0</v>
      </c>
      <c r="AC3005">
        <v>45918</v>
      </c>
      <c r="AD3005">
        <v>0</v>
      </c>
      <c r="AE3005">
        <v>0</v>
      </c>
      <c r="AF3005">
        <v>0</v>
      </c>
      <c r="AG3005">
        <v>0</v>
      </c>
      <c r="AH3005">
        <v>0</v>
      </c>
    </row>
    <row r="3006" spans="2:34" x14ac:dyDescent="0.35">
      <c r="B3006" t="s">
        <v>566</v>
      </c>
      <c r="C3006">
        <v>45918</v>
      </c>
      <c r="F3006" t="s">
        <v>752</v>
      </c>
      <c r="H3006">
        <v>180.72</v>
      </c>
      <c r="O3006" t="s">
        <v>239</v>
      </c>
      <c r="P3006" t="s">
        <v>514</v>
      </c>
      <c r="Y3006">
        <v>2972</v>
      </c>
      <c r="Z3006" s="259" t="s">
        <v>630</v>
      </c>
      <c r="AA3006">
        <v>0</v>
      </c>
      <c r="AB3006">
        <v>0</v>
      </c>
      <c r="AC3006">
        <v>45918</v>
      </c>
      <c r="AD3006">
        <v>0</v>
      </c>
      <c r="AE3006">
        <v>0</v>
      </c>
      <c r="AF3006">
        <v>0</v>
      </c>
      <c r="AG3006">
        <v>0</v>
      </c>
      <c r="AH3006">
        <v>0</v>
      </c>
    </row>
    <row r="3007" spans="2:34" x14ac:dyDescent="0.35">
      <c r="B3007" t="s">
        <v>566</v>
      </c>
      <c r="C3007">
        <v>45918</v>
      </c>
      <c r="F3007" t="s">
        <v>754</v>
      </c>
      <c r="H3007">
        <v>83.66</v>
      </c>
      <c r="O3007" t="s">
        <v>239</v>
      </c>
      <c r="P3007" t="s">
        <v>514</v>
      </c>
      <c r="Y3007">
        <v>2973</v>
      </c>
      <c r="Z3007" s="259" t="s">
        <v>630</v>
      </c>
      <c r="AA3007">
        <v>0</v>
      </c>
      <c r="AB3007">
        <v>0</v>
      </c>
      <c r="AC3007">
        <v>45918</v>
      </c>
      <c r="AD3007">
        <v>0</v>
      </c>
      <c r="AE3007">
        <v>0</v>
      </c>
      <c r="AF3007">
        <v>0</v>
      </c>
      <c r="AG3007">
        <v>0</v>
      </c>
      <c r="AH3007">
        <v>0</v>
      </c>
    </row>
    <row r="3008" spans="2:34" x14ac:dyDescent="0.35">
      <c r="B3008" t="s">
        <v>566</v>
      </c>
      <c r="C3008">
        <v>45919</v>
      </c>
      <c r="F3008" t="s">
        <v>749</v>
      </c>
      <c r="H3008">
        <v>52.1</v>
      </c>
      <c r="O3008" t="s">
        <v>239</v>
      </c>
      <c r="P3008" t="s">
        <v>514</v>
      </c>
      <c r="Y3008">
        <v>2974</v>
      </c>
      <c r="Z3008" s="259" t="s">
        <v>630</v>
      </c>
      <c r="AA3008">
        <v>0</v>
      </c>
      <c r="AB3008">
        <v>0</v>
      </c>
      <c r="AC3008">
        <v>45919</v>
      </c>
      <c r="AD3008">
        <v>0</v>
      </c>
      <c r="AE3008">
        <v>0</v>
      </c>
      <c r="AF3008">
        <v>0</v>
      </c>
      <c r="AG3008">
        <v>0</v>
      </c>
      <c r="AH3008">
        <v>0</v>
      </c>
    </row>
    <row r="3009" spans="2:34" x14ac:dyDescent="0.35">
      <c r="B3009" t="s">
        <v>566</v>
      </c>
      <c r="C3009">
        <v>45919</v>
      </c>
      <c r="F3009" t="s">
        <v>752</v>
      </c>
      <c r="H3009">
        <v>180.41</v>
      </c>
      <c r="O3009" t="s">
        <v>239</v>
      </c>
      <c r="P3009" t="s">
        <v>514</v>
      </c>
      <c r="Y3009">
        <v>2975</v>
      </c>
      <c r="Z3009" s="259" t="s">
        <v>630</v>
      </c>
      <c r="AA3009">
        <v>0</v>
      </c>
      <c r="AB3009">
        <v>0</v>
      </c>
      <c r="AC3009">
        <v>45919</v>
      </c>
      <c r="AD3009">
        <v>0</v>
      </c>
      <c r="AE3009">
        <v>0</v>
      </c>
      <c r="AF3009">
        <v>0</v>
      </c>
      <c r="AG3009">
        <v>0</v>
      </c>
      <c r="AH3009">
        <v>0</v>
      </c>
    </row>
    <row r="3010" spans="2:34" x14ac:dyDescent="0.35">
      <c r="B3010" t="s">
        <v>566</v>
      </c>
      <c r="C3010">
        <v>45919</v>
      </c>
      <c r="F3010" t="s">
        <v>754</v>
      </c>
      <c r="H3010">
        <v>83.52</v>
      </c>
      <c r="O3010" t="s">
        <v>239</v>
      </c>
      <c r="P3010" t="s">
        <v>514</v>
      </c>
      <c r="Y3010">
        <v>2976</v>
      </c>
      <c r="Z3010" s="259" t="s">
        <v>630</v>
      </c>
      <c r="AA3010">
        <v>0</v>
      </c>
      <c r="AB3010">
        <v>0</v>
      </c>
      <c r="AC3010">
        <v>45919</v>
      </c>
      <c r="AD3010">
        <v>0</v>
      </c>
      <c r="AE3010">
        <v>0</v>
      </c>
      <c r="AF3010">
        <v>0</v>
      </c>
      <c r="AG3010">
        <v>0</v>
      </c>
      <c r="AH3010">
        <v>0</v>
      </c>
    </row>
    <row r="3011" spans="2:34" x14ac:dyDescent="0.35">
      <c r="B3011" t="s">
        <v>566</v>
      </c>
      <c r="C3011">
        <v>45920</v>
      </c>
      <c r="F3011" t="s">
        <v>749</v>
      </c>
      <c r="H3011">
        <v>52.1</v>
      </c>
      <c r="O3011" t="s">
        <v>239</v>
      </c>
      <c r="P3011" t="s">
        <v>514</v>
      </c>
      <c r="Y3011">
        <v>2977</v>
      </c>
      <c r="Z3011" s="259" t="s">
        <v>630</v>
      </c>
      <c r="AA3011">
        <v>0</v>
      </c>
      <c r="AB3011">
        <v>0</v>
      </c>
      <c r="AC3011">
        <v>45919</v>
      </c>
      <c r="AD3011">
        <v>1</v>
      </c>
      <c r="AE3011">
        <v>0</v>
      </c>
      <c r="AF3011">
        <v>0</v>
      </c>
      <c r="AG3011">
        <v>0</v>
      </c>
      <c r="AH3011">
        <v>0</v>
      </c>
    </row>
    <row r="3012" spans="2:34" x14ac:dyDescent="0.35">
      <c r="B3012" t="s">
        <v>566</v>
      </c>
      <c r="C3012">
        <v>45920</v>
      </c>
      <c r="F3012" t="s">
        <v>752</v>
      </c>
      <c r="H3012">
        <v>180.41</v>
      </c>
      <c r="O3012" t="s">
        <v>239</v>
      </c>
      <c r="P3012" t="s">
        <v>514</v>
      </c>
      <c r="Y3012">
        <v>2978</v>
      </c>
      <c r="Z3012" s="259" t="s">
        <v>630</v>
      </c>
      <c r="AA3012">
        <v>0</v>
      </c>
      <c r="AB3012">
        <v>0</v>
      </c>
      <c r="AC3012">
        <v>45919</v>
      </c>
      <c r="AD3012">
        <v>1</v>
      </c>
      <c r="AE3012">
        <v>0</v>
      </c>
      <c r="AF3012">
        <v>0</v>
      </c>
      <c r="AG3012">
        <v>0</v>
      </c>
      <c r="AH3012">
        <v>0</v>
      </c>
    </row>
    <row r="3013" spans="2:34" x14ac:dyDescent="0.35">
      <c r="B3013" t="s">
        <v>566</v>
      </c>
      <c r="C3013">
        <v>45920</v>
      </c>
      <c r="F3013" t="s">
        <v>754</v>
      </c>
      <c r="H3013">
        <v>83.52</v>
      </c>
      <c r="O3013" t="s">
        <v>239</v>
      </c>
      <c r="P3013" t="s">
        <v>514</v>
      </c>
      <c r="Y3013">
        <v>2979</v>
      </c>
      <c r="Z3013" s="259" t="s">
        <v>630</v>
      </c>
      <c r="AA3013">
        <v>0</v>
      </c>
      <c r="AB3013">
        <v>0</v>
      </c>
      <c r="AC3013">
        <v>45919</v>
      </c>
      <c r="AD3013">
        <v>1</v>
      </c>
      <c r="AE3013">
        <v>0</v>
      </c>
      <c r="AF3013">
        <v>0</v>
      </c>
      <c r="AG3013">
        <v>0</v>
      </c>
      <c r="AH3013">
        <v>0</v>
      </c>
    </row>
    <row r="3014" spans="2:34" x14ac:dyDescent="0.35">
      <c r="B3014" t="s">
        <v>566</v>
      </c>
      <c r="C3014">
        <v>45921</v>
      </c>
      <c r="F3014" t="s">
        <v>749</v>
      </c>
      <c r="H3014">
        <v>52.1</v>
      </c>
      <c r="O3014" t="s">
        <v>239</v>
      </c>
      <c r="P3014" t="s">
        <v>514</v>
      </c>
      <c r="Y3014">
        <v>2980</v>
      </c>
      <c r="Z3014" s="259" t="s">
        <v>630</v>
      </c>
      <c r="AA3014">
        <v>0</v>
      </c>
      <c r="AB3014">
        <v>0</v>
      </c>
      <c r="AC3014">
        <v>45919</v>
      </c>
      <c r="AD3014">
        <v>2</v>
      </c>
      <c r="AE3014">
        <v>0</v>
      </c>
      <c r="AF3014">
        <v>0</v>
      </c>
      <c r="AG3014">
        <v>0</v>
      </c>
      <c r="AH3014">
        <v>0</v>
      </c>
    </row>
    <row r="3015" spans="2:34" x14ac:dyDescent="0.35">
      <c r="B3015" t="s">
        <v>566</v>
      </c>
      <c r="C3015">
        <v>45921</v>
      </c>
      <c r="F3015" t="s">
        <v>752</v>
      </c>
      <c r="H3015">
        <v>180.41</v>
      </c>
      <c r="O3015" t="s">
        <v>239</v>
      </c>
      <c r="P3015" t="s">
        <v>514</v>
      </c>
      <c r="Y3015">
        <v>2981</v>
      </c>
      <c r="Z3015" s="259" t="s">
        <v>630</v>
      </c>
      <c r="AA3015">
        <v>0</v>
      </c>
      <c r="AB3015">
        <v>0</v>
      </c>
      <c r="AC3015">
        <v>45919</v>
      </c>
      <c r="AD3015">
        <v>2</v>
      </c>
      <c r="AE3015">
        <v>0</v>
      </c>
      <c r="AF3015">
        <v>0</v>
      </c>
      <c r="AG3015">
        <v>0</v>
      </c>
      <c r="AH3015">
        <v>0</v>
      </c>
    </row>
    <row r="3016" spans="2:34" x14ac:dyDescent="0.35">
      <c r="B3016" t="s">
        <v>566</v>
      </c>
      <c r="C3016">
        <v>45921</v>
      </c>
      <c r="F3016" t="s">
        <v>754</v>
      </c>
      <c r="H3016">
        <v>83.52</v>
      </c>
      <c r="O3016" t="s">
        <v>239</v>
      </c>
      <c r="P3016" t="s">
        <v>514</v>
      </c>
      <c r="Y3016">
        <v>2982</v>
      </c>
      <c r="Z3016" s="259" t="s">
        <v>630</v>
      </c>
      <c r="AA3016">
        <v>0</v>
      </c>
      <c r="AB3016">
        <v>0</v>
      </c>
      <c r="AC3016">
        <v>45919</v>
      </c>
      <c r="AD3016">
        <v>2</v>
      </c>
      <c r="AE3016">
        <v>0</v>
      </c>
      <c r="AF3016">
        <v>0</v>
      </c>
      <c r="AG3016">
        <v>0</v>
      </c>
      <c r="AH3016">
        <v>0</v>
      </c>
    </row>
    <row r="3017" spans="2:34" x14ac:dyDescent="0.35">
      <c r="B3017" t="s">
        <v>566</v>
      </c>
      <c r="C3017">
        <v>45922</v>
      </c>
      <c r="F3017" t="s">
        <v>749</v>
      </c>
      <c r="H3017">
        <v>52.62</v>
      </c>
      <c r="O3017" t="s">
        <v>239</v>
      </c>
      <c r="P3017" t="s">
        <v>514</v>
      </c>
      <c r="Y3017">
        <v>2983</v>
      </c>
      <c r="Z3017" s="259" t="s">
        <v>630</v>
      </c>
      <c r="AA3017">
        <v>0</v>
      </c>
      <c r="AB3017">
        <v>0</v>
      </c>
      <c r="AC3017">
        <v>45922</v>
      </c>
      <c r="AD3017">
        <v>0</v>
      </c>
      <c r="AE3017">
        <v>0</v>
      </c>
      <c r="AF3017">
        <v>0</v>
      </c>
      <c r="AG3017">
        <v>0</v>
      </c>
      <c r="AH3017">
        <v>0</v>
      </c>
    </row>
    <row r="3018" spans="2:34" x14ac:dyDescent="0.35">
      <c r="B3018" t="s">
        <v>566</v>
      </c>
      <c r="C3018">
        <v>45922</v>
      </c>
      <c r="F3018" t="s">
        <v>752</v>
      </c>
      <c r="H3018">
        <v>179.48</v>
      </c>
      <c r="O3018" t="s">
        <v>239</v>
      </c>
      <c r="P3018" t="s">
        <v>514</v>
      </c>
      <c r="Y3018">
        <v>2984</v>
      </c>
      <c r="Z3018" s="259" t="s">
        <v>630</v>
      </c>
      <c r="AA3018">
        <v>0</v>
      </c>
      <c r="AB3018">
        <v>0</v>
      </c>
      <c r="AC3018">
        <v>45922</v>
      </c>
      <c r="AD3018">
        <v>0</v>
      </c>
      <c r="AE3018">
        <v>0</v>
      </c>
      <c r="AF3018">
        <v>0</v>
      </c>
      <c r="AG3018">
        <v>0</v>
      </c>
      <c r="AH3018">
        <v>0</v>
      </c>
    </row>
    <row r="3019" spans="2:34" x14ac:dyDescent="0.35">
      <c r="B3019" t="s">
        <v>566</v>
      </c>
      <c r="C3019">
        <v>45922</v>
      </c>
      <c r="F3019" t="s">
        <v>754</v>
      </c>
      <c r="H3019">
        <v>83.1</v>
      </c>
      <c r="O3019" t="s">
        <v>239</v>
      </c>
      <c r="P3019" t="s">
        <v>514</v>
      </c>
      <c r="Y3019">
        <v>2985</v>
      </c>
      <c r="Z3019" s="259" t="s">
        <v>630</v>
      </c>
      <c r="AA3019">
        <v>0</v>
      </c>
      <c r="AB3019">
        <v>0</v>
      </c>
      <c r="AC3019">
        <v>45922</v>
      </c>
      <c r="AD3019">
        <v>0</v>
      </c>
      <c r="AE3019">
        <v>0</v>
      </c>
      <c r="AF3019">
        <v>0</v>
      </c>
      <c r="AG3019">
        <v>0</v>
      </c>
      <c r="AH3019">
        <v>0</v>
      </c>
    </row>
    <row r="3020" spans="2:34" x14ac:dyDescent="0.35">
      <c r="B3020" t="s">
        <v>566</v>
      </c>
      <c r="C3020">
        <v>45923</v>
      </c>
      <c r="F3020" t="s">
        <v>749</v>
      </c>
      <c r="H3020">
        <v>52.79</v>
      </c>
      <c r="O3020" t="s">
        <v>239</v>
      </c>
      <c r="P3020" t="s">
        <v>514</v>
      </c>
      <c r="Y3020">
        <v>2986</v>
      </c>
      <c r="Z3020" s="259" t="s">
        <v>630</v>
      </c>
      <c r="AA3020">
        <v>0</v>
      </c>
      <c r="AB3020">
        <v>0</v>
      </c>
      <c r="AC3020">
        <v>45923</v>
      </c>
      <c r="AD3020">
        <v>0</v>
      </c>
      <c r="AE3020">
        <v>0</v>
      </c>
      <c r="AF3020">
        <v>0</v>
      </c>
      <c r="AG3020">
        <v>0</v>
      </c>
      <c r="AH3020">
        <v>0</v>
      </c>
    </row>
    <row r="3021" spans="2:34" x14ac:dyDescent="0.35">
      <c r="B3021" t="s">
        <v>566</v>
      </c>
      <c r="C3021">
        <v>45923</v>
      </c>
      <c r="F3021" t="s">
        <v>752</v>
      </c>
      <c r="H3021">
        <v>179.17</v>
      </c>
      <c r="O3021" t="s">
        <v>239</v>
      </c>
      <c r="P3021" t="s">
        <v>514</v>
      </c>
      <c r="Y3021">
        <v>2987</v>
      </c>
      <c r="Z3021" s="259" t="s">
        <v>630</v>
      </c>
      <c r="AA3021">
        <v>0</v>
      </c>
      <c r="AB3021">
        <v>0</v>
      </c>
      <c r="AC3021">
        <v>45923</v>
      </c>
      <c r="AD3021">
        <v>0</v>
      </c>
      <c r="AE3021">
        <v>0</v>
      </c>
      <c r="AF3021">
        <v>0</v>
      </c>
      <c r="AG3021">
        <v>0</v>
      </c>
      <c r="AH3021">
        <v>0</v>
      </c>
    </row>
    <row r="3022" spans="2:34" x14ac:dyDescent="0.35">
      <c r="B3022" t="s">
        <v>566</v>
      </c>
      <c r="C3022">
        <v>45923</v>
      </c>
      <c r="F3022" t="s">
        <v>754</v>
      </c>
      <c r="H3022">
        <v>82.97</v>
      </c>
      <c r="O3022" t="s">
        <v>239</v>
      </c>
      <c r="P3022" t="s">
        <v>514</v>
      </c>
      <c r="Y3022">
        <v>2988</v>
      </c>
      <c r="Z3022" s="259" t="s">
        <v>630</v>
      </c>
      <c r="AA3022">
        <v>0</v>
      </c>
      <c r="AB3022">
        <v>0</v>
      </c>
      <c r="AC3022">
        <v>45923</v>
      </c>
      <c r="AD3022">
        <v>0</v>
      </c>
      <c r="AE3022">
        <v>0</v>
      </c>
      <c r="AF3022">
        <v>0</v>
      </c>
      <c r="AG3022">
        <v>0</v>
      </c>
      <c r="AH3022">
        <v>0</v>
      </c>
    </row>
    <row r="3023" spans="2:34" x14ac:dyDescent="0.35">
      <c r="B3023" t="s">
        <v>566</v>
      </c>
      <c r="C3023">
        <v>45924</v>
      </c>
      <c r="F3023" t="s">
        <v>749</v>
      </c>
      <c r="H3023">
        <v>52.97</v>
      </c>
      <c r="O3023" t="s">
        <v>239</v>
      </c>
      <c r="P3023" t="s">
        <v>514</v>
      </c>
      <c r="Y3023">
        <v>2989</v>
      </c>
      <c r="Z3023" s="259" t="s">
        <v>630</v>
      </c>
      <c r="AA3023">
        <v>0</v>
      </c>
      <c r="AB3023">
        <v>0</v>
      </c>
      <c r="AC3023">
        <v>45924</v>
      </c>
      <c r="AD3023">
        <v>0</v>
      </c>
      <c r="AE3023">
        <v>0</v>
      </c>
      <c r="AF3023">
        <v>0</v>
      </c>
      <c r="AG3023">
        <v>0</v>
      </c>
      <c r="AH3023">
        <v>0</v>
      </c>
    </row>
    <row r="3024" spans="2:34" x14ac:dyDescent="0.35">
      <c r="B3024" t="s">
        <v>566</v>
      </c>
      <c r="C3024">
        <v>45924</v>
      </c>
      <c r="F3024" t="s">
        <v>752</v>
      </c>
      <c r="H3024">
        <v>178.86</v>
      </c>
      <c r="O3024" t="s">
        <v>239</v>
      </c>
      <c r="P3024" t="s">
        <v>514</v>
      </c>
      <c r="Y3024">
        <v>2990</v>
      </c>
      <c r="Z3024" s="259" t="s">
        <v>630</v>
      </c>
      <c r="AA3024">
        <v>0</v>
      </c>
      <c r="AB3024">
        <v>0</v>
      </c>
      <c r="AC3024">
        <v>45924</v>
      </c>
      <c r="AD3024">
        <v>0</v>
      </c>
      <c r="AE3024">
        <v>0</v>
      </c>
      <c r="AF3024">
        <v>0</v>
      </c>
      <c r="AG3024">
        <v>0</v>
      </c>
      <c r="AH3024">
        <v>0</v>
      </c>
    </row>
    <row r="3025" spans="2:34" x14ac:dyDescent="0.35">
      <c r="B3025" t="s">
        <v>566</v>
      </c>
      <c r="C3025">
        <v>45924</v>
      </c>
      <c r="F3025" t="s">
        <v>754</v>
      </c>
      <c r="H3025">
        <v>82.83</v>
      </c>
      <c r="O3025" t="s">
        <v>239</v>
      </c>
      <c r="P3025" t="s">
        <v>514</v>
      </c>
      <c r="Y3025">
        <v>2991</v>
      </c>
      <c r="Z3025" s="259" t="s">
        <v>630</v>
      </c>
      <c r="AA3025">
        <v>0</v>
      </c>
      <c r="AB3025">
        <v>0</v>
      </c>
      <c r="AC3025">
        <v>45924</v>
      </c>
      <c r="AD3025">
        <v>0</v>
      </c>
      <c r="AE3025">
        <v>0</v>
      </c>
      <c r="AF3025">
        <v>0</v>
      </c>
      <c r="AG3025">
        <v>0</v>
      </c>
      <c r="AH3025">
        <v>0</v>
      </c>
    </row>
    <row r="3026" spans="2:34" x14ac:dyDescent="0.35">
      <c r="B3026" t="s">
        <v>566</v>
      </c>
      <c r="C3026">
        <v>45925</v>
      </c>
      <c r="F3026" t="s">
        <v>749</v>
      </c>
      <c r="H3026">
        <v>53.14</v>
      </c>
      <c r="O3026" t="s">
        <v>239</v>
      </c>
      <c r="P3026" t="s">
        <v>514</v>
      </c>
      <c r="Y3026">
        <v>2992</v>
      </c>
      <c r="Z3026" s="259" t="s">
        <v>630</v>
      </c>
      <c r="AA3026">
        <v>0</v>
      </c>
      <c r="AB3026">
        <v>0</v>
      </c>
      <c r="AC3026">
        <v>45925</v>
      </c>
      <c r="AD3026">
        <v>0</v>
      </c>
      <c r="AE3026">
        <v>0</v>
      </c>
      <c r="AF3026">
        <v>0</v>
      </c>
      <c r="AG3026">
        <v>0</v>
      </c>
      <c r="AH3026">
        <v>0</v>
      </c>
    </row>
    <row r="3027" spans="2:34" x14ac:dyDescent="0.35">
      <c r="B3027" t="s">
        <v>566</v>
      </c>
      <c r="C3027">
        <v>45925</v>
      </c>
      <c r="F3027" t="s">
        <v>752</v>
      </c>
      <c r="H3027">
        <v>178.55</v>
      </c>
      <c r="O3027" t="s">
        <v>239</v>
      </c>
      <c r="P3027" t="s">
        <v>514</v>
      </c>
      <c r="Y3027">
        <v>2993</v>
      </c>
      <c r="Z3027" s="259" t="s">
        <v>630</v>
      </c>
      <c r="AA3027">
        <v>0</v>
      </c>
      <c r="AB3027">
        <v>0</v>
      </c>
      <c r="AC3027">
        <v>45925</v>
      </c>
      <c r="AD3027">
        <v>0</v>
      </c>
      <c r="AE3027">
        <v>0</v>
      </c>
      <c r="AF3027">
        <v>0</v>
      </c>
      <c r="AG3027">
        <v>0</v>
      </c>
      <c r="AH3027">
        <v>0</v>
      </c>
    </row>
    <row r="3028" spans="2:34" x14ac:dyDescent="0.35">
      <c r="B3028" t="s">
        <v>566</v>
      </c>
      <c r="C3028">
        <v>45925</v>
      </c>
      <c r="F3028" t="s">
        <v>754</v>
      </c>
      <c r="H3028">
        <v>82.69</v>
      </c>
      <c r="O3028" t="s">
        <v>239</v>
      </c>
      <c r="P3028" t="s">
        <v>514</v>
      </c>
      <c r="Y3028">
        <v>2994</v>
      </c>
      <c r="Z3028" s="259" t="s">
        <v>630</v>
      </c>
      <c r="AA3028">
        <v>0</v>
      </c>
      <c r="AB3028">
        <v>0</v>
      </c>
      <c r="AC3028">
        <v>45925</v>
      </c>
      <c r="AD3028">
        <v>0</v>
      </c>
      <c r="AE3028">
        <v>0</v>
      </c>
      <c r="AF3028">
        <v>0</v>
      </c>
      <c r="AG3028">
        <v>0</v>
      </c>
      <c r="AH3028">
        <v>0</v>
      </c>
    </row>
    <row r="3029" spans="2:34" x14ac:dyDescent="0.35">
      <c r="B3029" t="s">
        <v>566</v>
      </c>
      <c r="C3029">
        <v>45926</v>
      </c>
      <c r="F3029" t="s">
        <v>749</v>
      </c>
      <c r="H3029">
        <v>53.31</v>
      </c>
      <c r="O3029" t="s">
        <v>239</v>
      </c>
      <c r="P3029" t="s">
        <v>514</v>
      </c>
      <c r="Y3029">
        <v>2995</v>
      </c>
      <c r="Z3029" s="259" t="s">
        <v>630</v>
      </c>
      <c r="AA3029">
        <v>0</v>
      </c>
      <c r="AB3029">
        <v>0</v>
      </c>
      <c r="AC3029">
        <v>45926</v>
      </c>
      <c r="AD3029">
        <v>0</v>
      </c>
      <c r="AE3029">
        <v>0</v>
      </c>
      <c r="AF3029">
        <v>0</v>
      </c>
      <c r="AG3029">
        <v>0</v>
      </c>
      <c r="AH3029">
        <v>0</v>
      </c>
    </row>
    <row r="3030" spans="2:34" x14ac:dyDescent="0.35">
      <c r="B3030" t="s">
        <v>566</v>
      </c>
      <c r="C3030">
        <v>45926</v>
      </c>
      <c r="F3030" t="s">
        <v>752</v>
      </c>
      <c r="H3030">
        <v>178.24</v>
      </c>
      <c r="O3030" t="s">
        <v>239</v>
      </c>
      <c r="P3030" t="s">
        <v>514</v>
      </c>
      <c r="Y3030">
        <v>2996</v>
      </c>
      <c r="Z3030" s="259" t="s">
        <v>630</v>
      </c>
      <c r="AA3030">
        <v>0</v>
      </c>
      <c r="AB3030">
        <v>0</v>
      </c>
      <c r="AC3030">
        <v>45926</v>
      </c>
      <c r="AD3030">
        <v>0</v>
      </c>
      <c r="AE3030">
        <v>0</v>
      </c>
      <c r="AF3030">
        <v>0</v>
      </c>
      <c r="AG3030">
        <v>0</v>
      </c>
      <c r="AH3030">
        <v>0</v>
      </c>
    </row>
    <row r="3031" spans="2:34" x14ac:dyDescent="0.35">
      <c r="B3031" t="s">
        <v>566</v>
      </c>
      <c r="C3031">
        <v>45926</v>
      </c>
      <c r="F3031" t="s">
        <v>754</v>
      </c>
      <c r="H3031">
        <v>82.55</v>
      </c>
      <c r="O3031" t="s">
        <v>239</v>
      </c>
      <c r="P3031" t="s">
        <v>514</v>
      </c>
      <c r="Y3031">
        <v>2997</v>
      </c>
      <c r="Z3031" s="259" t="s">
        <v>630</v>
      </c>
      <c r="AA3031">
        <v>0</v>
      </c>
      <c r="AB3031">
        <v>0</v>
      </c>
      <c r="AC3031">
        <v>45926</v>
      </c>
      <c r="AD3031">
        <v>0</v>
      </c>
      <c r="AE3031">
        <v>0</v>
      </c>
      <c r="AF3031">
        <v>0</v>
      </c>
      <c r="AG3031">
        <v>0</v>
      </c>
      <c r="AH3031">
        <v>0</v>
      </c>
    </row>
    <row r="3032" spans="2:34" x14ac:dyDescent="0.35">
      <c r="B3032" t="s">
        <v>566</v>
      </c>
      <c r="C3032">
        <v>45927</v>
      </c>
      <c r="F3032" t="s">
        <v>749</v>
      </c>
      <c r="H3032">
        <v>53.31</v>
      </c>
      <c r="O3032" t="s">
        <v>239</v>
      </c>
      <c r="P3032" t="s">
        <v>514</v>
      </c>
      <c r="Y3032">
        <v>2998</v>
      </c>
      <c r="Z3032" s="259" t="s">
        <v>630</v>
      </c>
      <c r="AA3032">
        <v>0</v>
      </c>
      <c r="AB3032">
        <v>0</v>
      </c>
      <c r="AC3032">
        <v>45926</v>
      </c>
      <c r="AD3032">
        <v>1</v>
      </c>
      <c r="AE3032">
        <v>0</v>
      </c>
      <c r="AF3032">
        <v>0</v>
      </c>
      <c r="AG3032">
        <v>0</v>
      </c>
      <c r="AH3032">
        <v>0</v>
      </c>
    </row>
    <row r="3033" spans="2:34" x14ac:dyDescent="0.35">
      <c r="B3033" t="s">
        <v>566</v>
      </c>
      <c r="C3033">
        <v>45927</v>
      </c>
      <c r="F3033" t="s">
        <v>752</v>
      </c>
      <c r="H3033">
        <v>178.24</v>
      </c>
      <c r="O3033" t="s">
        <v>239</v>
      </c>
      <c r="P3033" t="s">
        <v>514</v>
      </c>
      <c r="Y3033">
        <v>2999</v>
      </c>
      <c r="Z3033" s="259" t="s">
        <v>630</v>
      </c>
      <c r="AA3033">
        <v>0</v>
      </c>
      <c r="AB3033">
        <v>0</v>
      </c>
      <c r="AC3033">
        <v>45926</v>
      </c>
      <c r="AD3033">
        <v>1</v>
      </c>
      <c r="AE3033">
        <v>0</v>
      </c>
      <c r="AF3033">
        <v>0</v>
      </c>
      <c r="AG3033">
        <v>0</v>
      </c>
      <c r="AH3033">
        <v>0</v>
      </c>
    </row>
    <row r="3034" spans="2:34" x14ac:dyDescent="0.35">
      <c r="B3034" t="s">
        <v>566</v>
      </c>
      <c r="C3034">
        <v>45927</v>
      </c>
      <c r="F3034" t="s">
        <v>754</v>
      </c>
      <c r="H3034">
        <v>82.55</v>
      </c>
      <c r="O3034" t="s">
        <v>239</v>
      </c>
      <c r="P3034" t="s">
        <v>514</v>
      </c>
      <c r="Y3034">
        <v>3000</v>
      </c>
      <c r="Z3034" s="259" t="s">
        <v>630</v>
      </c>
      <c r="AA3034">
        <v>0</v>
      </c>
      <c r="AB3034">
        <v>0</v>
      </c>
      <c r="AC3034">
        <v>45926</v>
      </c>
      <c r="AD3034">
        <v>1</v>
      </c>
      <c r="AE3034">
        <v>0</v>
      </c>
      <c r="AF3034">
        <v>0</v>
      </c>
      <c r="AG3034">
        <v>0</v>
      </c>
      <c r="AH3034">
        <v>0</v>
      </c>
    </row>
    <row r="3035" spans="2:34" x14ac:dyDescent="0.35">
      <c r="B3035" t="s">
        <v>566</v>
      </c>
      <c r="C3035">
        <v>45928</v>
      </c>
      <c r="F3035" t="s">
        <v>749</v>
      </c>
      <c r="H3035">
        <v>53.31</v>
      </c>
      <c r="O3035" t="s">
        <v>239</v>
      </c>
      <c r="P3035" t="s">
        <v>514</v>
      </c>
      <c r="Y3035">
        <v>3001</v>
      </c>
      <c r="Z3035" s="259" t="s">
        <v>630</v>
      </c>
      <c r="AA3035">
        <v>0</v>
      </c>
      <c r="AB3035">
        <v>0</v>
      </c>
      <c r="AC3035">
        <v>45926</v>
      </c>
      <c r="AD3035">
        <v>2</v>
      </c>
      <c r="AE3035">
        <v>0</v>
      </c>
      <c r="AF3035">
        <v>0</v>
      </c>
      <c r="AG3035">
        <v>0</v>
      </c>
      <c r="AH3035">
        <v>0</v>
      </c>
    </row>
    <row r="3036" spans="2:34" x14ac:dyDescent="0.35">
      <c r="B3036" t="s">
        <v>566</v>
      </c>
      <c r="C3036">
        <v>45928</v>
      </c>
      <c r="F3036" t="s">
        <v>752</v>
      </c>
      <c r="H3036">
        <v>178.24</v>
      </c>
      <c r="O3036" t="s">
        <v>239</v>
      </c>
      <c r="P3036" t="s">
        <v>514</v>
      </c>
      <c r="Y3036">
        <v>3002</v>
      </c>
      <c r="Z3036" s="259" t="s">
        <v>630</v>
      </c>
      <c r="AA3036">
        <v>0</v>
      </c>
      <c r="AB3036">
        <v>0</v>
      </c>
      <c r="AC3036">
        <v>45926</v>
      </c>
      <c r="AD3036">
        <v>2</v>
      </c>
      <c r="AE3036">
        <v>0</v>
      </c>
      <c r="AF3036">
        <v>0</v>
      </c>
      <c r="AG3036">
        <v>0</v>
      </c>
      <c r="AH3036">
        <v>0</v>
      </c>
    </row>
    <row r="3037" spans="2:34" x14ac:dyDescent="0.35">
      <c r="B3037" t="s">
        <v>566</v>
      </c>
      <c r="C3037">
        <v>45928</v>
      </c>
      <c r="F3037" t="s">
        <v>754</v>
      </c>
      <c r="H3037">
        <v>82.55</v>
      </c>
      <c r="O3037" t="s">
        <v>239</v>
      </c>
      <c r="P3037" t="s">
        <v>514</v>
      </c>
      <c r="Y3037">
        <v>3003</v>
      </c>
      <c r="Z3037" s="259" t="s">
        <v>630</v>
      </c>
      <c r="AA3037">
        <v>0</v>
      </c>
      <c r="AB3037">
        <v>0</v>
      </c>
      <c r="AC3037">
        <v>45926</v>
      </c>
      <c r="AD3037">
        <v>2</v>
      </c>
      <c r="AE3037">
        <v>0</v>
      </c>
      <c r="AF3037">
        <v>0</v>
      </c>
      <c r="AG3037">
        <v>0</v>
      </c>
      <c r="AH3037">
        <v>0</v>
      </c>
    </row>
    <row r="3038" spans="2:34" x14ac:dyDescent="0.35">
      <c r="B3038" t="s">
        <v>566</v>
      </c>
      <c r="C3038">
        <v>45929</v>
      </c>
      <c r="F3038" t="s">
        <v>749</v>
      </c>
      <c r="H3038">
        <v>53.83</v>
      </c>
      <c r="O3038" t="s">
        <v>239</v>
      </c>
      <c r="P3038" t="s">
        <v>514</v>
      </c>
      <c r="Y3038">
        <v>3004</v>
      </c>
      <c r="Z3038" s="259" t="s">
        <v>630</v>
      </c>
      <c r="AA3038">
        <v>0</v>
      </c>
      <c r="AB3038">
        <v>0</v>
      </c>
      <c r="AC3038">
        <v>45929</v>
      </c>
      <c r="AD3038">
        <v>0</v>
      </c>
      <c r="AE3038">
        <v>0</v>
      </c>
      <c r="AF3038">
        <v>0</v>
      </c>
      <c r="AG3038">
        <v>0</v>
      </c>
      <c r="AH3038">
        <v>0</v>
      </c>
    </row>
    <row r="3039" spans="2:34" x14ac:dyDescent="0.35">
      <c r="B3039" t="s">
        <v>566</v>
      </c>
      <c r="C3039">
        <v>45929</v>
      </c>
      <c r="F3039" t="s">
        <v>752</v>
      </c>
      <c r="H3039">
        <v>177.31</v>
      </c>
      <c r="O3039" t="s">
        <v>239</v>
      </c>
      <c r="P3039" t="s">
        <v>514</v>
      </c>
      <c r="Y3039">
        <v>3005</v>
      </c>
      <c r="Z3039" s="259" t="s">
        <v>630</v>
      </c>
      <c r="AA3039">
        <v>0</v>
      </c>
      <c r="AB3039">
        <v>0</v>
      </c>
      <c r="AC3039">
        <v>45929</v>
      </c>
      <c r="AD3039">
        <v>0</v>
      </c>
      <c r="AE3039">
        <v>0</v>
      </c>
      <c r="AF3039">
        <v>0</v>
      </c>
      <c r="AG3039">
        <v>0</v>
      </c>
      <c r="AH3039">
        <v>0</v>
      </c>
    </row>
    <row r="3040" spans="2:34" x14ac:dyDescent="0.35">
      <c r="B3040" t="s">
        <v>566</v>
      </c>
      <c r="C3040">
        <v>45929</v>
      </c>
      <c r="F3040" t="s">
        <v>754</v>
      </c>
      <c r="H3040">
        <v>82.14</v>
      </c>
      <c r="O3040" t="s">
        <v>239</v>
      </c>
      <c r="P3040" t="s">
        <v>514</v>
      </c>
      <c r="Y3040">
        <v>3006</v>
      </c>
      <c r="Z3040" s="259" t="s">
        <v>630</v>
      </c>
      <c r="AA3040">
        <v>0</v>
      </c>
      <c r="AB3040">
        <v>0</v>
      </c>
      <c r="AC3040">
        <v>45929</v>
      </c>
      <c r="AD3040">
        <v>0</v>
      </c>
      <c r="AE3040">
        <v>0</v>
      </c>
      <c r="AF3040">
        <v>0</v>
      </c>
      <c r="AG3040">
        <v>0</v>
      </c>
      <c r="AH3040">
        <v>0</v>
      </c>
    </row>
    <row r="3041" spans="2:34" x14ac:dyDescent="0.35">
      <c r="B3041" t="s">
        <v>566</v>
      </c>
      <c r="C3041">
        <v>45930</v>
      </c>
      <c r="F3041" t="s">
        <v>749</v>
      </c>
      <c r="H3041">
        <v>54</v>
      </c>
      <c r="O3041" t="s">
        <v>239</v>
      </c>
      <c r="P3041" t="s">
        <v>514</v>
      </c>
      <c r="Y3041">
        <v>3007</v>
      </c>
      <c r="Z3041" s="259" t="s">
        <v>630</v>
      </c>
      <c r="AA3041">
        <v>0</v>
      </c>
      <c r="AB3041">
        <v>0</v>
      </c>
      <c r="AC3041">
        <v>45930</v>
      </c>
      <c r="AD3041">
        <v>0</v>
      </c>
      <c r="AE3041">
        <v>0</v>
      </c>
      <c r="AF3041">
        <v>0</v>
      </c>
      <c r="AG3041">
        <v>0</v>
      </c>
      <c r="AH3041">
        <v>0</v>
      </c>
    </row>
    <row r="3042" spans="2:34" x14ac:dyDescent="0.35">
      <c r="B3042" t="s">
        <v>566</v>
      </c>
      <c r="C3042">
        <v>45930</v>
      </c>
      <c r="F3042" t="s">
        <v>752</v>
      </c>
      <c r="H3042">
        <v>177</v>
      </c>
      <c r="O3042" t="s">
        <v>239</v>
      </c>
      <c r="P3042" t="s">
        <v>514</v>
      </c>
      <c r="Y3042">
        <v>3008</v>
      </c>
      <c r="Z3042" s="259" t="s">
        <v>630</v>
      </c>
      <c r="AA3042">
        <v>0</v>
      </c>
      <c r="AB3042">
        <v>0</v>
      </c>
      <c r="AC3042">
        <v>45930</v>
      </c>
      <c r="AD3042">
        <v>0</v>
      </c>
      <c r="AE3042">
        <v>0</v>
      </c>
      <c r="AF3042">
        <v>0</v>
      </c>
      <c r="AG3042">
        <v>0</v>
      </c>
      <c r="AH3042">
        <v>0</v>
      </c>
    </row>
    <row r="3043" spans="2:34" x14ac:dyDescent="0.35">
      <c r="B3043" t="s">
        <v>566</v>
      </c>
      <c r="C3043">
        <v>45930</v>
      </c>
      <c r="F3043" t="s">
        <v>754</v>
      </c>
      <c r="H3043">
        <v>82</v>
      </c>
      <c r="O3043" t="s">
        <v>239</v>
      </c>
      <c r="P3043" t="s">
        <v>514</v>
      </c>
      <c r="Y3043">
        <v>3009</v>
      </c>
      <c r="Z3043" s="259" t="s">
        <v>630</v>
      </c>
      <c r="AA3043">
        <v>0</v>
      </c>
      <c r="AB3043">
        <v>0</v>
      </c>
      <c r="AC3043">
        <v>45930</v>
      </c>
      <c r="AD3043">
        <v>0</v>
      </c>
      <c r="AE3043">
        <v>0</v>
      </c>
      <c r="AF3043">
        <v>0</v>
      </c>
      <c r="AG3043">
        <v>0</v>
      </c>
      <c r="AH3043">
        <v>0</v>
      </c>
    </row>
    <row r="3044" spans="2:34" x14ac:dyDescent="0.35">
      <c r="B3044" t="s">
        <v>566</v>
      </c>
      <c r="C3044">
        <v>45931</v>
      </c>
      <c r="F3044" t="s">
        <v>749</v>
      </c>
      <c r="H3044">
        <v>54</v>
      </c>
      <c r="O3044" t="s">
        <v>239</v>
      </c>
      <c r="P3044" t="s">
        <v>514</v>
      </c>
      <c r="Y3044">
        <v>3010</v>
      </c>
      <c r="Z3044" s="259" t="s">
        <v>630</v>
      </c>
      <c r="AA3044">
        <v>0</v>
      </c>
      <c r="AB3044">
        <v>0</v>
      </c>
      <c r="AC3044">
        <v>45931</v>
      </c>
      <c r="AD3044">
        <v>0</v>
      </c>
      <c r="AE3044">
        <v>0</v>
      </c>
      <c r="AF3044">
        <v>0</v>
      </c>
      <c r="AG3044">
        <v>0</v>
      </c>
      <c r="AH3044">
        <v>0</v>
      </c>
    </row>
    <row r="3045" spans="2:34" x14ac:dyDescent="0.35">
      <c r="B3045" t="s">
        <v>566</v>
      </c>
      <c r="C3045">
        <v>45931</v>
      </c>
      <c r="F3045" t="s">
        <v>752</v>
      </c>
      <c r="H3045">
        <v>177</v>
      </c>
      <c r="O3045" t="s">
        <v>239</v>
      </c>
      <c r="P3045" t="s">
        <v>514</v>
      </c>
      <c r="Y3045">
        <v>3011</v>
      </c>
      <c r="Z3045" s="259" t="s">
        <v>630</v>
      </c>
      <c r="AA3045">
        <v>0</v>
      </c>
      <c r="AB3045">
        <v>0</v>
      </c>
      <c r="AC3045">
        <v>45931</v>
      </c>
      <c r="AD3045">
        <v>0</v>
      </c>
      <c r="AE3045">
        <v>0</v>
      </c>
      <c r="AF3045">
        <v>0</v>
      </c>
      <c r="AG3045">
        <v>0</v>
      </c>
      <c r="AH3045">
        <v>0</v>
      </c>
    </row>
    <row r="3046" spans="2:34" x14ac:dyDescent="0.35">
      <c r="B3046" t="s">
        <v>566</v>
      </c>
      <c r="C3046">
        <v>45931</v>
      </c>
      <c r="F3046" t="s">
        <v>754</v>
      </c>
      <c r="H3046">
        <v>82</v>
      </c>
      <c r="O3046" t="s">
        <v>239</v>
      </c>
      <c r="P3046" t="s">
        <v>514</v>
      </c>
      <c r="Y3046">
        <v>3012</v>
      </c>
      <c r="Z3046" s="259" t="s">
        <v>630</v>
      </c>
      <c r="AA3046">
        <v>0</v>
      </c>
      <c r="AB3046">
        <v>0</v>
      </c>
      <c r="AC3046">
        <v>45931</v>
      </c>
      <c r="AD3046">
        <v>0</v>
      </c>
      <c r="AE3046">
        <v>0</v>
      </c>
      <c r="AF3046">
        <v>0</v>
      </c>
      <c r="AG3046">
        <v>0</v>
      </c>
      <c r="AH3046">
        <v>0</v>
      </c>
    </row>
    <row r="3047" spans="2:34" x14ac:dyDescent="0.35">
      <c r="B3047" t="s">
        <v>566</v>
      </c>
      <c r="C3047">
        <v>45932</v>
      </c>
      <c r="F3047" t="s">
        <v>749</v>
      </c>
      <c r="H3047">
        <v>53.9</v>
      </c>
      <c r="O3047" t="s">
        <v>239</v>
      </c>
      <c r="P3047" t="s">
        <v>514</v>
      </c>
      <c r="Y3047">
        <v>3013</v>
      </c>
      <c r="Z3047" s="259" t="s">
        <v>630</v>
      </c>
      <c r="AA3047">
        <v>0</v>
      </c>
      <c r="AB3047">
        <v>0</v>
      </c>
      <c r="AC3047">
        <v>45932</v>
      </c>
      <c r="AD3047">
        <v>0</v>
      </c>
      <c r="AE3047">
        <v>0</v>
      </c>
      <c r="AF3047">
        <v>0</v>
      </c>
      <c r="AG3047">
        <v>0</v>
      </c>
      <c r="AH3047">
        <v>0</v>
      </c>
    </row>
    <row r="3048" spans="2:34" x14ac:dyDescent="0.35">
      <c r="B3048" t="s">
        <v>566</v>
      </c>
      <c r="C3048">
        <v>45932</v>
      </c>
      <c r="F3048" t="s">
        <v>752</v>
      </c>
      <c r="H3048">
        <v>177.13</v>
      </c>
      <c r="O3048" t="s">
        <v>239</v>
      </c>
      <c r="P3048" t="s">
        <v>514</v>
      </c>
      <c r="Y3048">
        <v>3014</v>
      </c>
      <c r="Z3048" s="259" t="s">
        <v>630</v>
      </c>
      <c r="AA3048">
        <v>0</v>
      </c>
      <c r="AB3048">
        <v>0</v>
      </c>
      <c r="AC3048">
        <v>45932</v>
      </c>
      <c r="AD3048">
        <v>0</v>
      </c>
      <c r="AE3048">
        <v>0</v>
      </c>
      <c r="AF3048">
        <v>0</v>
      </c>
      <c r="AG3048">
        <v>0</v>
      </c>
      <c r="AH3048">
        <v>0</v>
      </c>
    </row>
    <row r="3049" spans="2:34" x14ac:dyDescent="0.35">
      <c r="B3049" t="s">
        <v>566</v>
      </c>
      <c r="C3049">
        <v>45932</v>
      </c>
      <c r="F3049" t="s">
        <v>754</v>
      </c>
      <c r="H3049">
        <v>81.83</v>
      </c>
      <c r="O3049" t="s">
        <v>239</v>
      </c>
      <c r="P3049" t="s">
        <v>514</v>
      </c>
      <c r="Y3049">
        <v>3015</v>
      </c>
      <c r="Z3049" s="259" t="s">
        <v>630</v>
      </c>
      <c r="AA3049">
        <v>0</v>
      </c>
      <c r="AB3049">
        <v>0</v>
      </c>
      <c r="AC3049">
        <v>45932</v>
      </c>
      <c r="AD3049">
        <v>0</v>
      </c>
      <c r="AE3049">
        <v>0</v>
      </c>
      <c r="AF3049">
        <v>0</v>
      </c>
      <c r="AG3049">
        <v>0</v>
      </c>
      <c r="AH3049">
        <v>0</v>
      </c>
    </row>
    <row r="3050" spans="2:34" x14ac:dyDescent="0.35">
      <c r="B3050" t="s">
        <v>566</v>
      </c>
      <c r="C3050">
        <v>45933</v>
      </c>
      <c r="F3050" t="s">
        <v>749</v>
      </c>
      <c r="H3050">
        <v>53.8</v>
      </c>
      <c r="O3050" t="s">
        <v>239</v>
      </c>
      <c r="P3050" t="s">
        <v>514</v>
      </c>
      <c r="Y3050">
        <v>3016</v>
      </c>
      <c r="Z3050" s="259" t="s">
        <v>630</v>
      </c>
      <c r="AA3050">
        <v>0</v>
      </c>
      <c r="AB3050">
        <v>0</v>
      </c>
      <c r="AC3050">
        <v>45933</v>
      </c>
      <c r="AD3050">
        <v>0</v>
      </c>
      <c r="AE3050">
        <v>0</v>
      </c>
      <c r="AF3050">
        <v>0</v>
      </c>
      <c r="AG3050">
        <v>0</v>
      </c>
      <c r="AH3050">
        <v>0</v>
      </c>
    </row>
    <row r="3051" spans="2:34" x14ac:dyDescent="0.35">
      <c r="B3051" t="s">
        <v>566</v>
      </c>
      <c r="C3051">
        <v>45933</v>
      </c>
      <c r="F3051" t="s">
        <v>752</v>
      </c>
      <c r="H3051">
        <v>177.27</v>
      </c>
      <c r="O3051" t="s">
        <v>239</v>
      </c>
      <c r="P3051" t="s">
        <v>514</v>
      </c>
      <c r="Y3051">
        <v>3017</v>
      </c>
      <c r="Z3051" s="259" t="s">
        <v>630</v>
      </c>
      <c r="AA3051">
        <v>0</v>
      </c>
      <c r="AB3051">
        <v>0</v>
      </c>
      <c r="AC3051">
        <v>45933</v>
      </c>
      <c r="AD3051">
        <v>0</v>
      </c>
      <c r="AE3051">
        <v>0</v>
      </c>
      <c r="AF3051">
        <v>0</v>
      </c>
      <c r="AG3051">
        <v>0</v>
      </c>
      <c r="AH3051">
        <v>0</v>
      </c>
    </row>
    <row r="3052" spans="2:34" x14ac:dyDescent="0.35">
      <c r="B3052" t="s">
        <v>566</v>
      </c>
      <c r="C3052">
        <v>45933</v>
      </c>
      <c r="F3052" t="s">
        <v>754</v>
      </c>
      <c r="H3052">
        <v>81.67</v>
      </c>
      <c r="O3052" t="s">
        <v>239</v>
      </c>
      <c r="P3052" t="s">
        <v>514</v>
      </c>
      <c r="Y3052">
        <v>3018</v>
      </c>
      <c r="Z3052" s="259" t="s">
        <v>630</v>
      </c>
      <c r="AA3052">
        <v>0</v>
      </c>
      <c r="AB3052">
        <v>0</v>
      </c>
      <c r="AC3052">
        <v>45933</v>
      </c>
      <c r="AD3052">
        <v>0</v>
      </c>
      <c r="AE3052">
        <v>0</v>
      </c>
      <c r="AF3052">
        <v>0</v>
      </c>
      <c r="AG3052">
        <v>0</v>
      </c>
      <c r="AH3052">
        <v>0</v>
      </c>
    </row>
    <row r="3053" spans="2:34" x14ac:dyDescent="0.35">
      <c r="B3053" t="s">
        <v>566</v>
      </c>
      <c r="C3053">
        <v>45934</v>
      </c>
      <c r="F3053" t="s">
        <v>749</v>
      </c>
      <c r="H3053">
        <v>53.8</v>
      </c>
      <c r="O3053" t="s">
        <v>239</v>
      </c>
      <c r="P3053" t="s">
        <v>514</v>
      </c>
      <c r="Y3053">
        <v>3019</v>
      </c>
      <c r="Z3053" s="259" t="s">
        <v>630</v>
      </c>
      <c r="AA3053">
        <v>0</v>
      </c>
      <c r="AB3053">
        <v>0</v>
      </c>
      <c r="AC3053">
        <v>45933</v>
      </c>
      <c r="AD3053">
        <v>1</v>
      </c>
      <c r="AE3053">
        <v>0</v>
      </c>
      <c r="AF3053">
        <v>0</v>
      </c>
      <c r="AG3053">
        <v>0</v>
      </c>
      <c r="AH3053">
        <v>0</v>
      </c>
    </row>
    <row r="3054" spans="2:34" x14ac:dyDescent="0.35">
      <c r="B3054" t="s">
        <v>566</v>
      </c>
      <c r="C3054">
        <v>45934</v>
      </c>
      <c r="F3054" t="s">
        <v>752</v>
      </c>
      <c r="H3054">
        <v>177.27</v>
      </c>
      <c r="O3054" t="s">
        <v>239</v>
      </c>
      <c r="P3054" t="s">
        <v>514</v>
      </c>
      <c r="Y3054">
        <v>3020</v>
      </c>
      <c r="Z3054" s="259" t="s">
        <v>630</v>
      </c>
      <c r="AA3054">
        <v>0</v>
      </c>
      <c r="AB3054">
        <v>0</v>
      </c>
      <c r="AC3054">
        <v>45933</v>
      </c>
      <c r="AD3054">
        <v>1</v>
      </c>
      <c r="AE3054">
        <v>0</v>
      </c>
      <c r="AF3054">
        <v>0</v>
      </c>
      <c r="AG3054">
        <v>0</v>
      </c>
      <c r="AH3054">
        <v>0</v>
      </c>
    </row>
    <row r="3055" spans="2:34" x14ac:dyDescent="0.35">
      <c r="B3055" t="s">
        <v>566</v>
      </c>
      <c r="C3055">
        <v>45934</v>
      </c>
      <c r="F3055" t="s">
        <v>754</v>
      </c>
      <c r="H3055">
        <v>81.67</v>
      </c>
      <c r="O3055" t="s">
        <v>239</v>
      </c>
      <c r="P3055" t="s">
        <v>514</v>
      </c>
      <c r="Y3055">
        <v>3021</v>
      </c>
      <c r="Z3055" s="259" t="s">
        <v>630</v>
      </c>
      <c r="AA3055">
        <v>0</v>
      </c>
      <c r="AB3055">
        <v>0</v>
      </c>
      <c r="AC3055">
        <v>45933</v>
      </c>
      <c r="AD3055">
        <v>1</v>
      </c>
      <c r="AE3055">
        <v>0</v>
      </c>
      <c r="AF3055">
        <v>0</v>
      </c>
      <c r="AG3055">
        <v>0</v>
      </c>
      <c r="AH3055">
        <v>0</v>
      </c>
    </row>
    <row r="3056" spans="2:34" x14ac:dyDescent="0.35">
      <c r="B3056" t="s">
        <v>566</v>
      </c>
      <c r="C3056">
        <v>45935</v>
      </c>
      <c r="F3056" t="s">
        <v>749</v>
      </c>
      <c r="H3056">
        <v>53.8</v>
      </c>
      <c r="O3056" t="s">
        <v>239</v>
      </c>
      <c r="P3056" t="s">
        <v>514</v>
      </c>
      <c r="Y3056">
        <v>3022</v>
      </c>
      <c r="Z3056" s="259" t="s">
        <v>630</v>
      </c>
      <c r="AA3056">
        <v>0</v>
      </c>
      <c r="AB3056">
        <v>0</v>
      </c>
      <c r="AC3056">
        <v>45933</v>
      </c>
      <c r="AD3056">
        <v>2</v>
      </c>
      <c r="AE3056">
        <v>0</v>
      </c>
      <c r="AF3056">
        <v>0</v>
      </c>
      <c r="AG3056">
        <v>0</v>
      </c>
      <c r="AH3056">
        <v>0</v>
      </c>
    </row>
    <row r="3057" spans="2:34" x14ac:dyDescent="0.35">
      <c r="B3057" t="s">
        <v>566</v>
      </c>
      <c r="C3057">
        <v>45935</v>
      </c>
      <c r="F3057" t="s">
        <v>752</v>
      </c>
      <c r="H3057">
        <v>177.27</v>
      </c>
      <c r="O3057" t="s">
        <v>239</v>
      </c>
      <c r="P3057" t="s">
        <v>514</v>
      </c>
      <c r="Y3057">
        <v>3023</v>
      </c>
      <c r="Z3057" s="259" t="s">
        <v>630</v>
      </c>
      <c r="AA3057">
        <v>0</v>
      </c>
      <c r="AB3057">
        <v>0</v>
      </c>
      <c r="AC3057">
        <v>45933</v>
      </c>
      <c r="AD3057">
        <v>2</v>
      </c>
      <c r="AE3057">
        <v>0</v>
      </c>
      <c r="AF3057">
        <v>0</v>
      </c>
      <c r="AG3057">
        <v>0</v>
      </c>
      <c r="AH3057">
        <v>0</v>
      </c>
    </row>
    <row r="3058" spans="2:34" x14ac:dyDescent="0.35">
      <c r="B3058" t="s">
        <v>566</v>
      </c>
      <c r="C3058">
        <v>45935</v>
      </c>
      <c r="F3058" t="s">
        <v>754</v>
      </c>
      <c r="H3058">
        <v>81.67</v>
      </c>
      <c r="O3058" t="s">
        <v>239</v>
      </c>
      <c r="P3058" t="s">
        <v>514</v>
      </c>
      <c r="Y3058">
        <v>3024</v>
      </c>
      <c r="Z3058" s="259" t="s">
        <v>630</v>
      </c>
      <c r="AA3058">
        <v>0</v>
      </c>
      <c r="AB3058">
        <v>0</v>
      </c>
      <c r="AC3058">
        <v>45933</v>
      </c>
      <c r="AD3058">
        <v>2</v>
      </c>
      <c r="AE3058">
        <v>0</v>
      </c>
      <c r="AF3058">
        <v>0</v>
      </c>
      <c r="AG3058">
        <v>0</v>
      </c>
      <c r="AH3058">
        <v>0</v>
      </c>
    </row>
    <row r="3059" spans="2:34" x14ac:dyDescent="0.35">
      <c r="B3059" t="s">
        <v>566</v>
      </c>
      <c r="C3059">
        <v>45936</v>
      </c>
      <c r="F3059" t="s">
        <v>749</v>
      </c>
      <c r="H3059">
        <v>53.5</v>
      </c>
      <c r="O3059" t="s">
        <v>239</v>
      </c>
      <c r="P3059" t="s">
        <v>514</v>
      </c>
      <c r="Y3059">
        <v>3025</v>
      </c>
      <c r="Z3059" s="259" t="s">
        <v>630</v>
      </c>
      <c r="AA3059">
        <v>0</v>
      </c>
      <c r="AB3059">
        <v>0</v>
      </c>
      <c r="AC3059">
        <v>45936</v>
      </c>
      <c r="AD3059">
        <v>0</v>
      </c>
      <c r="AE3059">
        <v>0</v>
      </c>
      <c r="AF3059">
        <v>0</v>
      </c>
      <c r="AG3059">
        <v>0</v>
      </c>
      <c r="AH3059">
        <v>0</v>
      </c>
    </row>
    <row r="3060" spans="2:34" x14ac:dyDescent="0.35">
      <c r="B3060" t="s">
        <v>566</v>
      </c>
      <c r="C3060">
        <v>45936</v>
      </c>
      <c r="F3060" t="s">
        <v>752</v>
      </c>
      <c r="H3060">
        <v>177.67</v>
      </c>
      <c r="O3060" t="s">
        <v>239</v>
      </c>
      <c r="P3060" t="s">
        <v>514</v>
      </c>
      <c r="Y3060">
        <v>3026</v>
      </c>
      <c r="Z3060" s="259" t="s">
        <v>630</v>
      </c>
      <c r="AA3060">
        <v>0</v>
      </c>
      <c r="AB3060">
        <v>0</v>
      </c>
      <c r="AC3060">
        <v>45936</v>
      </c>
      <c r="AD3060">
        <v>0</v>
      </c>
      <c r="AE3060">
        <v>0</v>
      </c>
      <c r="AF3060">
        <v>0</v>
      </c>
      <c r="AG3060">
        <v>0</v>
      </c>
      <c r="AH3060">
        <v>0</v>
      </c>
    </row>
    <row r="3061" spans="2:34" x14ac:dyDescent="0.35">
      <c r="B3061" t="s">
        <v>566</v>
      </c>
      <c r="C3061">
        <v>45936</v>
      </c>
      <c r="F3061" t="s">
        <v>754</v>
      </c>
      <c r="H3061">
        <v>81.17</v>
      </c>
      <c r="O3061" t="s">
        <v>239</v>
      </c>
      <c r="P3061" t="s">
        <v>514</v>
      </c>
      <c r="Y3061">
        <v>3027</v>
      </c>
      <c r="Z3061" s="259" t="s">
        <v>630</v>
      </c>
      <c r="AA3061">
        <v>0</v>
      </c>
      <c r="AB3061">
        <v>0</v>
      </c>
      <c r="AC3061">
        <v>45936</v>
      </c>
      <c r="AD3061">
        <v>0</v>
      </c>
      <c r="AE3061">
        <v>0</v>
      </c>
      <c r="AF3061">
        <v>0</v>
      </c>
      <c r="AG3061">
        <v>0</v>
      </c>
      <c r="AH3061">
        <v>0</v>
      </c>
    </row>
    <row r="3062" spans="2:34" x14ac:dyDescent="0.35">
      <c r="B3062" t="s">
        <v>566</v>
      </c>
      <c r="C3062">
        <v>45937</v>
      </c>
      <c r="F3062" t="s">
        <v>749</v>
      </c>
      <c r="H3062">
        <v>53.4</v>
      </c>
      <c r="O3062" t="s">
        <v>239</v>
      </c>
      <c r="P3062" t="s">
        <v>514</v>
      </c>
      <c r="Y3062">
        <v>3028</v>
      </c>
      <c r="Z3062" s="259" t="s">
        <v>630</v>
      </c>
      <c r="AA3062">
        <v>0</v>
      </c>
      <c r="AB3062">
        <v>0</v>
      </c>
      <c r="AC3062">
        <v>45937</v>
      </c>
      <c r="AD3062">
        <v>0</v>
      </c>
      <c r="AE3062">
        <v>0</v>
      </c>
      <c r="AF3062">
        <v>0</v>
      </c>
      <c r="AG3062">
        <v>0</v>
      </c>
      <c r="AH3062">
        <v>0</v>
      </c>
    </row>
    <row r="3063" spans="2:34" x14ac:dyDescent="0.35">
      <c r="B3063" t="s">
        <v>566</v>
      </c>
      <c r="C3063">
        <v>45937</v>
      </c>
      <c r="F3063" t="s">
        <v>752</v>
      </c>
      <c r="H3063">
        <v>177.8</v>
      </c>
      <c r="O3063" t="s">
        <v>239</v>
      </c>
      <c r="P3063" t="s">
        <v>514</v>
      </c>
      <c r="Y3063">
        <v>3029</v>
      </c>
      <c r="Z3063" s="259" t="s">
        <v>630</v>
      </c>
      <c r="AA3063">
        <v>0</v>
      </c>
      <c r="AB3063">
        <v>0</v>
      </c>
      <c r="AC3063">
        <v>45937</v>
      </c>
      <c r="AD3063">
        <v>0</v>
      </c>
      <c r="AE3063">
        <v>0</v>
      </c>
      <c r="AF3063">
        <v>0</v>
      </c>
      <c r="AG3063">
        <v>0</v>
      </c>
      <c r="AH3063">
        <v>0</v>
      </c>
    </row>
    <row r="3064" spans="2:34" x14ac:dyDescent="0.35">
      <c r="B3064" t="s">
        <v>566</v>
      </c>
      <c r="C3064">
        <v>45937</v>
      </c>
      <c r="F3064" t="s">
        <v>754</v>
      </c>
      <c r="H3064">
        <v>81</v>
      </c>
      <c r="O3064" t="s">
        <v>239</v>
      </c>
      <c r="P3064" t="s">
        <v>514</v>
      </c>
      <c r="Y3064">
        <v>3030</v>
      </c>
      <c r="Z3064" s="259" t="s">
        <v>630</v>
      </c>
      <c r="AA3064">
        <v>0</v>
      </c>
      <c r="AB3064">
        <v>0</v>
      </c>
      <c r="AC3064">
        <v>45937</v>
      </c>
      <c r="AD3064">
        <v>0</v>
      </c>
      <c r="AE3064">
        <v>0</v>
      </c>
      <c r="AF3064">
        <v>0</v>
      </c>
      <c r="AG3064">
        <v>0</v>
      </c>
      <c r="AH3064">
        <v>0</v>
      </c>
    </row>
    <row r="3065" spans="2:34" x14ac:dyDescent="0.35">
      <c r="B3065" t="s">
        <v>566</v>
      </c>
      <c r="C3065">
        <v>45938</v>
      </c>
      <c r="F3065" t="s">
        <v>749</v>
      </c>
      <c r="H3065">
        <v>53.3</v>
      </c>
      <c r="O3065" t="s">
        <v>239</v>
      </c>
      <c r="P3065" t="s">
        <v>514</v>
      </c>
      <c r="Y3065">
        <v>3031</v>
      </c>
      <c r="Z3065" s="259" t="s">
        <v>630</v>
      </c>
      <c r="AA3065">
        <v>0</v>
      </c>
      <c r="AB3065">
        <v>0</v>
      </c>
      <c r="AC3065">
        <v>45938</v>
      </c>
      <c r="AD3065">
        <v>0</v>
      </c>
      <c r="AE3065">
        <v>0</v>
      </c>
      <c r="AF3065">
        <v>0</v>
      </c>
      <c r="AG3065">
        <v>0</v>
      </c>
      <c r="AH3065">
        <v>0</v>
      </c>
    </row>
    <row r="3066" spans="2:34" x14ac:dyDescent="0.35">
      <c r="B3066" t="s">
        <v>566</v>
      </c>
      <c r="C3066">
        <v>45938</v>
      </c>
      <c r="F3066" t="s">
        <v>752</v>
      </c>
      <c r="H3066">
        <v>177.93</v>
      </c>
      <c r="O3066" t="s">
        <v>239</v>
      </c>
      <c r="P3066" t="s">
        <v>514</v>
      </c>
      <c r="Y3066">
        <v>3032</v>
      </c>
      <c r="Z3066" s="259" t="s">
        <v>630</v>
      </c>
      <c r="AA3066">
        <v>0</v>
      </c>
      <c r="AB3066">
        <v>0</v>
      </c>
      <c r="AC3066">
        <v>45938</v>
      </c>
      <c r="AD3066">
        <v>0</v>
      </c>
      <c r="AE3066">
        <v>0</v>
      </c>
      <c r="AF3066">
        <v>0</v>
      </c>
      <c r="AG3066">
        <v>0</v>
      </c>
      <c r="AH3066">
        <v>0</v>
      </c>
    </row>
    <row r="3067" spans="2:34" x14ac:dyDescent="0.35">
      <c r="B3067" t="s">
        <v>566</v>
      </c>
      <c r="C3067">
        <v>45938</v>
      </c>
      <c r="F3067" t="s">
        <v>754</v>
      </c>
      <c r="H3067">
        <v>80.83</v>
      </c>
      <c r="O3067" t="s">
        <v>239</v>
      </c>
      <c r="P3067" t="s">
        <v>514</v>
      </c>
      <c r="Y3067">
        <v>3033</v>
      </c>
      <c r="Z3067" s="259" t="s">
        <v>630</v>
      </c>
      <c r="AA3067">
        <v>0</v>
      </c>
      <c r="AB3067">
        <v>0</v>
      </c>
      <c r="AC3067">
        <v>45938</v>
      </c>
      <c r="AD3067">
        <v>0</v>
      </c>
      <c r="AE3067">
        <v>0</v>
      </c>
      <c r="AF3067">
        <v>0</v>
      </c>
      <c r="AG3067">
        <v>0</v>
      </c>
      <c r="AH3067">
        <v>0</v>
      </c>
    </row>
    <row r="3068" spans="2:34" x14ac:dyDescent="0.35">
      <c r="B3068" t="s">
        <v>566</v>
      </c>
      <c r="C3068">
        <v>45939</v>
      </c>
      <c r="F3068" t="s">
        <v>749</v>
      </c>
      <c r="H3068">
        <v>53.2</v>
      </c>
      <c r="O3068" t="s">
        <v>239</v>
      </c>
      <c r="P3068" t="s">
        <v>514</v>
      </c>
      <c r="Y3068">
        <v>3034</v>
      </c>
      <c r="Z3068" s="259" t="s">
        <v>630</v>
      </c>
      <c r="AA3068">
        <v>0</v>
      </c>
      <c r="AB3068">
        <v>0</v>
      </c>
      <c r="AC3068">
        <v>45939</v>
      </c>
      <c r="AD3068">
        <v>0</v>
      </c>
      <c r="AE3068">
        <v>0</v>
      </c>
      <c r="AF3068">
        <v>0</v>
      </c>
      <c r="AG3068">
        <v>0</v>
      </c>
      <c r="AH3068">
        <v>0</v>
      </c>
    </row>
    <row r="3069" spans="2:34" x14ac:dyDescent="0.35">
      <c r="B3069" t="s">
        <v>566</v>
      </c>
      <c r="C3069">
        <v>45939</v>
      </c>
      <c r="F3069" t="s">
        <v>752</v>
      </c>
      <c r="H3069">
        <v>178.07</v>
      </c>
      <c r="O3069" t="s">
        <v>239</v>
      </c>
      <c r="P3069" t="s">
        <v>514</v>
      </c>
      <c r="Y3069">
        <v>3035</v>
      </c>
      <c r="Z3069" s="259" t="s">
        <v>630</v>
      </c>
      <c r="AA3069">
        <v>0</v>
      </c>
      <c r="AB3069">
        <v>0</v>
      </c>
      <c r="AC3069">
        <v>45939</v>
      </c>
      <c r="AD3069">
        <v>0</v>
      </c>
      <c r="AE3069">
        <v>0</v>
      </c>
      <c r="AF3069">
        <v>0</v>
      </c>
      <c r="AG3069">
        <v>0</v>
      </c>
      <c r="AH3069">
        <v>0</v>
      </c>
    </row>
    <row r="3070" spans="2:34" x14ac:dyDescent="0.35">
      <c r="B3070" t="s">
        <v>566</v>
      </c>
      <c r="C3070">
        <v>45939</v>
      </c>
      <c r="F3070" t="s">
        <v>754</v>
      </c>
      <c r="H3070">
        <v>80.67</v>
      </c>
      <c r="O3070" t="s">
        <v>239</v>
      </c>
      <c r="P3070" t="s">
        <v>514</v>
      </c>
      <c r="Y3070">
        <v>3036</v>
      </c>
      <c r="Z3070" s="259" t="s">
        <v>630</v>
      </c>
      <c r="AA3070">
        <v>0</v>
      </c>
      <c r="AB3070">
        <v>0</v>
      </c>
      <c r="AC3070">
        <v>45939</v>
      </c>
      <c r="AD3070">
        <v>0</v>
      </c>
      <c r="AE3070">
        <v>0</v>
      </c>
      <c r="AF3070">
        <v>0</v>
      </c>
      <c r="AG3070">
        <v>0</v>
      </c>
      <c r="AH3070">
        <v>0</v>
      </c>
    </row>
    <row r="3071" spans="2:34" x14ac:dyDescent="0.35">
      <c r="B3071" t="s">
        <v>566</v>
      </c>
      <c r="C3071">
        <v>45940</v>
      </c>
      <c r="F3071" t="s">
        <v>749</v>
      </c>
      <c r="H3071">
        <v>53.1</v>
      </c>
      <c r="O3071" t="s">
        <v>239</v>
      </c>
      <c r="P3071" t="s">
        <v>514</v>
      </c>
      <c r="Y3071">
        <v>3037</v>
      </c>
      <c r="Z3071" s="259" t="s">
        <v>630</v>
      </c>
      <c r="AA3071">
        <v>0</v>
      </c>
      <c r="AB3071">
        <v>0</v>
      </c>
      <c r="AC3071">
        <v>45940</v>
      </c>
      <c r="AD3071">
        <v>0</v>
      </c>
      <c r="AE3071">
        <v>0</v>
      </c>
      <c r="AF3071">
        <v>0</v>
      </c>
      <c r="AG3071">
        <v>0</v>
      </c>
      <c r="AH3071">
        <v>0</v>
      </c>
    </row>
    <row r="3072" spans="2:34" x14ac:dyDescent="0.35">
      <c r="B3072" t="s">
        <v>566</v>
      </c>
      <c r="C3072">
        <v>45940</v>
      </c>
      <c r="F3072" t="s">
        <v>752</v>
      </c>
      <c r="H3072">
        <v>178.2</v>
      </c>
      <c r="O3072" t="s">
        <v>239</v>
      </c>
      <c r="P3072" t="s">
        <v>514</v>
      </c>
      <c r="Y3072">
        <v>3038</v>
      </c>
      <c r="Z3072" s="259" t="s">
        <v>630</v>
      </c>
      <c r="AA3072">
        <v>0</v>
      </c>
      <c r="AB3072">
        <v>0</v>
      </c>
      <c r="AC3072">
        <v>45940</v>
      </c>
      <c r="AD3072">
        <v>0</v>
      </c>
      <c r="AE3072">
        <v>0</v>
      </c>
      <c r="AF3072">
        <v>0</v>
      </c>
      <c r="AG3072">
        <v>0</v>
      </c>
      <c r="AH3072">
        <v>0</v>
      </c>
    </row>
    <row r="3073" spans="2:34" x14ac:dyDescent="0.35">
      <c r="B3073" t="s">
        <v>566</v>
      </c>
      <c r="C3073">
        <v>45940</v>
      </c>
      <c r="F3073" t="s">
        <v>754</v>
      </c>
      <c r="H3073">
        <v>80.5</v>
      </c>
      <c r="O3073" t="s">
        <v>239</v>
      </c>
      <c r="P3073" t="s">
        <v>514</v>
      </c>
      <c r="Y3073">
        <v>3039</v>
      </c>
      <c r="Z3073" s="259" t="s">
        <v>630</v>
      </c>
      <c r="AA3073">
        <v>0</v>
      </c>
      <c r="AB3073">
        <v>0</v>
      </c>
      <c r="AC3073">
        <v>45940</v>
      </c>
      <c r="AD3073">
        <v>0</v>
      </c>
      <c r="AE3073">
        <v>0</v>
      </c>
      <c r="AF3073">
        <v>0</v>
      </c>
      <c r="AG3073">
        <v>0</v>
      </c>
      <c r="AH3073">
        <v>0</v>
      </c>
    </row>
    <row r="3074" spans="2:34" x14ac:dyDescent="0.35">
      <c r="B3074" t="s">
        <v>566</v>
      </c>
      <c r="C3074">
        <v>45941</v>
      </c>
      <c r="F3074" t="s">
        <v>749</v>
      </c>
      <c r="H3074">
        <v>53.1</v>
      </c>
      <c r="O3074" t="s">
        <v>239</v>
      </c>
      <c r="P3074" t="s">
        <v>514</v>
      </c>
      <c r="Y3074">
        <v>3040</v>
      </c>
      <c r="Z3074" s="259" t="s">
        <v>630</v>
      </c>
      <c r="AA3074">
        <v>0</v>
      </c>
      <c r="AB3074">
        <v>0</v>
      </c>
      <c r="AC3074">
        <v>45940</v>
      </c>
      <c r="AD3074">
        <v>1</v>
      </c>
      <c r="AE3074">
        <v>0</v>
      </c>
      <c r="AF3074">
        <v>0</v>
      </c>
      <c r="AG3074">
        <v>0</v>
      </c>
      <c r="AH3074">
        <v>0</v>
      </c>
    </row>
    <row r="3075" spans="2:34" x14ac:dyDescent="0.35">
      <c r="B3075" t="s">
        <v>566</v>
      </c>
      <c r="C3075">
        <v>45941</v>
      </c>
      <c r="F3075" t="s">
        <v>752</v>
      </c>
      <c r="H3075">
        <v>178.2</v>
      </c>
      <c r="O3075" t="s">
        <v>239</v>
      </c>
      <c r="P3075" t="s">
        <v>514</v>
      </c>
      <c r="Y3075">
        <v>3041</v>
      </c>
      <c r="Z3075" s="259" t="s">
        <v>630</v>
      </c>
      <c r="AA3075">
        <v>0</v>
      </c>
      <c r="AB3075">
        <v>0</v>
      </c>
      <c r="AC3075">
        <v>45940</v>
      </c>
      <c r="AD3075">
        <v>1</v>
      </c>
      <c r="AE3075">
        <v>0</v>
      </c>
      <c r="AF3075">
        <v>0</v>
      </c>
      <c r="AG3075">
        <v>0</v>
      </c>
      <c r="AH3075">
        <v>0</v>
      </c>
    </row>
    <row r="3076" spans="2:34" x14ac:dyDescent="0.35">
      <c r="B3076" t="s">
        <v>566</v>
      </c>
      <c r="C3076">
        <v>45941</v>
      </c>
      <c r="F3076" t="s">
        <v>754</v>
      </c>
      <c r="H3076">
        <v>80.5</v>
      </c>
      <c r="O3076" t="s">
        <v>239</v>
      </c>
      <c r="P3076" t="s">
        <v>514</v>
      </c>
      <c r="Y3076">
        <v>3042</v>
      </c>
      <c r="Z3076" s="259" t="s">
        <v>630</v>
      </c>
      <c r="AA3076">
        <v>0</v>
      </c>
      <c r="AB3076">
        <v>0</v>
      </c>
      <c r="AC3076">
        <v>45940</v>
      </c>
      <c r="AD3076">
        <v>1</v>
      </c>
      <c r="AE3076">
        <v>0</v>
      </c>
      <c r="AF3076">
        <v>0</v>
      </c>
      <c r="AG3076">
        <v>0</v>
      </c>
      <c r="AH3076">
        <v>0</v>
      </c>
    </row>
    <row r="3077" spans="2:34" x14ac:dyDescent="0.35">
      <c r="B3077" t="s">
        <v>566</v>
      </c>
      <c r="C3077">
        <v>45942</v>
      </c>
      <c r="F3077" t="s">
        <v>749</v>
      </c>
      <c r="H3077">
        <v>53.1</v>
      </c>
      <c r="O3077" t="s">
        <v>239</v>
      </c>
      <c r="P3077" t="s">
        <v>514</v>
      </c>
      <c r="Y3077">
        <v>3043</v>
      </c>
      <c r="Z3077" s="259" t="s">
        <v>630</v>
      </c>
      <c r="AA3077">
        <v>0</v>
      </c>
      <c r="AB3077">
        <v>0</v>
      </c>
      <c r="AC3077">
        <v>45940</v>
      </c>
      <c r="AD3077">
        <v>2</v>
      </c>
      <c r="AE3077">
        <v>0</v>
      </c>
      <c r="AF3077">
        <v>0</v>
      </c>
      <c r="AG3077">
        <v>0</v>
      </c>
      <c r="AH3077">
        <v>0</v>
      </c>
    </row>
    <row r="3078" spans="2:34" x14ac:dyDescent="0.35">
      <c r="B3078" t="s">
        <v>566</v>
      </c>
      <c r="C3078">
        <v>45942</v>
      </c>
      <c r="F3078" t="s">
        <v>752</v>
      </c>
      <c r="H3078">
        <v>178.2</v>
      </c>
      <c r="O3078" t="s">
        <v>239</v>
      </c>
      <c r="P3078" t="s">
        <v>514</v>
      </c>
      <c r="Y3078">
        <v>3044</v>
      </c>
      <c r="Z3078" s="259" t="s">
        <v>630</v>
      </c>
      <c r="AA3078">
        <v>0</v>
      </c>
      <c r="AB3078">
        <v>0</v>
      </c>
      <c r="AC3078">
        <v>45940</v>
      </c>
      <c r="AD3078">
        <v>2</v>
      </c>
      <c r="AE3078">
        <v>0</v>
      </c>
      <c r="AF3078">
        <v>0</v>
      </c>
      <c r="AG3078">
        <v>0</v>
      </c>
      <c r="AH3078">
        <v>0</v>
      </c>
    </row>
    <row r="3079" spans="2:34" x14ac:dyDescent="0.35">
      <c r="B3079" t="s">
        <v>566</v>
      </c>
      <c r="C3079">
        <v>45942</v>
      </c>
      <c r="F3079" t="s">
        <v>754</v>
      </c>
      <c r="H3079">
        <v>80.5</v>
      </c>
      <c r="O3079" t="s">
        <v>239</v>
      </c>
      <c r="P3079" t="s">
        <v>514</v>
      </c>
      <c r="Y3079">
        <v>3045</v>
      </c>
      <c r="Z3079" s="259" t="s">
        <v>630</v>
      </c>
      <c r="AA3079">
        <v>0</v>
      </c>
      <c r="AB3079">
        <v>0</v>
      </c>
      <c r="AC3079">
        <v>45940</v>
      </c>
      <c r="AD3079">
        <v>2</v>
      </c>
      <c r="AE3079">
        <v>0</v>
      </c>
      <c r="AF3079">
        <v>0</v>
      </c>
      <c r="AG3079">
        <v>0</v>
      </c>
      <c r="AH3079">
        <v>0</v>
      </c>
    </row>
    <row r="3080" spans="2:34" x14ac:dyDescent="0.35">
      <c r="B3080" t="s">
        <v>566</v>
      </c>
      <c r="C3080">
        <v>45943</v>
      </c>
      <c r="F3080" t="s">
        <v>749</v>
      </c>
      <c r="H3080">
        <v>52.8</v>
      </c>
      <c r="O3080" t="s">
        <v>239</v>
      </c>
      <c r="P3080" t="s">
        <v>514</v>
      </c>
      <c r="Y3080">
        <v>3046</v>
      </c>
      <c r="Z3080" s="259" t="s">
        <v>630</v>
      </c>
      <c r="AA3080">
        <v>0</v>
      </c>
      <c r="AB3080">
        <v>0</v>
      </c>
      <c r="AC3080">
        <v>45943</v>
      </c>
      <c r="AD3080">
        <v>0</v>
      </c>
      <c r="AE3080">
        <v>0</v>
      </c>
      <c r="AF3080">
        <v>0</v>
      </c>
      <c r="AG3080">
        <v>0</v>
      </c>
      <c r="AH3080">
        <v>0</v>
      </c>
    </row>
    <row r="3081" spans="2:34" x14ac:dyDescent="0.35">
      <c r="B3081" t="s">
        <v>566</v>
      </c>
      <c r="C3081">
        <v>45943</v>
      </c>
      <c r="F3081" t="s">
        <v>752</v>
      </c>
      <c r="H3081">
        <v>178.6</v>
      </c>
      <c r="O3081" t="s">
        <v>239</v>
      </c>
      <c r="P3081" t="s">
        <v>514</v>
      </c>
      <c r="Y3081">
        <v>3047</v>
      </c>
      <c r="Z3081" s="259" t="s">
        <v>630</v>
      </c>
      <c r="AA3081">
        <v>0</v>
      </c>
      <c r="AB3081">
        <v>0</v>
      </c>
      <c r="AC3081">
        <v>45943</v>
      </c>
      <c r="AD3081">
        <v>0</v>
      </c>
      <c r="AE3081">
        <v>0</v>
      </c>
      <c r="AF3081">
        <v>0</v>
      </c>
      <c r="AG3081">
        <v>0</v>
      </c>
      <c r="AH3081">
        <v>0</v>
      </c>
    </row>
    <row r="3082" spans="2:34" x14ac:dyDescent="0.35">
      <c r="B3082" t="s">
        <v>566</v>
      </c>
      <c r="C3082">
        <v>45943</v>
      </c>
      <c r="F3082" t="s">
        <v>754</v>
      </c>
      <c r="H3082">
        <v>80</v>
      </c>
      <c r="O3082" t="s">
        <v>239</v>
      </c>
      <c r="P3082" t="s">
        <v>514</v>
      </c>
      <c r="Y3082">
        <v>3048</v>
      </c>
      <c r="Z3082" s="259" t="s">
        <v>630</v>
      </c>
      <c r="AA3082">
        <v>0</v>
      </c>
      <c r="AB3082">
        <v>0</v>
      </c>
      <c r="AC3082">
        <v>45943</v>
      </c>
      <c r="AD3082">
        <v>0</v>
      </c>
      <c r="AE3082">
        <v>0</v>
      </c>
      <c r="AF3082">
        <v>0</v>
      </c>
      <c r="AG3082">
        <v>0</v>
      </c>
      <c r="AH3082">
        <v>0</v>
      </c>
    </row>
    <row r="3083" spans="2:34" x14ac:dyDescent="0.35">
      <c r="B3083" t="s">
        <v>566</v>
      </c>
      <c r="C3083">
        <v>45944</v>
      </c>
      <c r="F3083" t="s">
        <v>749</v>
      </c>
      <c r="H3083">
        <v>52.7</v>
      </c>
      <c r="O3083" t="s">
        <v>239</v>
      </c>
      <c r="P3083" t="s">
        <v>514</v>
      </c>
      <c r="Y3083">
        <v>3049</v>
      </c>
      <c r="Z3083" s="259" t="s">
        <v>630</v>
      </c>
      <c r="AA3083">
        <v>0</v>
      </c>
      <c r="AB3083">
        <v>0</v>
      </c>
      <c r="AC3083">
        <v>45944</v>
      </c>
      <c r="AD3083">
        <v>0</v>
      </c>
      <c r="AE3083">
        <v>0</v>
      </c>
      <c r="AF3083">
        <v>0</v>
      </c>
      <c r="AG3083">
        <v>0</v>
      </c>
      <c r="AH3083">
        <v>0</v>
      </c>
    </row>
    <row r="3084" spans="2:34" x14ac:dyDescent="0.35">
      <c r="B3084" t="s">
        <v>566</v>
      </c>
      <c r="C3084">
        <v>45944</v>
      </c>
      <c r="F3084" t="s">
        <v>752</v>
      </c>
      <c r="H3084">
        <v>178.73</v>
      </c>
      <c r="O3084" t="s">
        <v>239</v>
      </c>
      <c r="P3084" t="s">
        <v>514</v>
      </c>
      <c r="Y3084">
        <v>3050</v>
      </c>
      <c r="Z3084" s="259" t="s">
        <v>630</v>
      </c>
      <c r="AA3084">
        <v>0</v>
      </c>
      <c r="AB3084">
        <v>0</v>
      </c>
      <c r="AC3084">
        <v>45944</v>
      </c>
      <c r="AD3084">
        <v>0</v>
      </c>
      <c r="AE3084">
        <v>0</v>
      </c>
      <c r="AF3084">
        <v>0</v>
      </c>
      <c r="AG3084">
        <v>0</v>
      </c>
      <c r="AH3084">
        <v>0</v>
      </c>
    </row>
    <row r="3085" spans="2:34" x14ac:dyDescent="0.35">
      <c r="B3085" t="s">
        <v>566</v>
      </c>
      <c r="C3085">
        <v>45944</v>
      </c>
      <c r="F3085" t="s">
        <v>754</v>
      </c>
      <c r="H3085">
        <v>79.83</v>
      </c>
      <c r="O3085" t="s">
        <v>239</v>
      </c>
      <c r="P3085" t="s">
        <v>514</v>
      </c>
      <c r="Y3085">
        <v>3051</v>
      </c>
      <c r="Z3085" s="259" t="s">
        <v>630</v>
      </c>
      <c r="AA3085">
        <v>0</v>
      </c>
      <c r="AB3085">
        <v>0</v>
      </c>
      <c r="AC3085">
        <v>45944</v>
      </c>
      <c r="AD3085">
        <v>0</v>
      </c>
      <c r="AE3085">
        <v>0</v>
      </c>
      <c r="AF3085">
        <v>0</v>
      </c>
      <c r="AG3085">
        <v>0</v>
      </c>
      <c r="AH3085">
        <v>0</v>
      </c>
    </row>
    <row r="3086" spans="2:34" x14ac:dyDescent="0.35">
      <c r="B3086" t="s">
        <v>566</v>
      </c>
      <c r="C3086">
        <v>45945</v>
      </c>
      <c r="F3086" t="s">
        <v>749</v>
      </c>
      <c r="H3086">
        <v>52.6</v>
      </c>
      <c r="O3086" t="s">
        <v>239</v>
      </c>
      <c r="P3086" t="s">
        <v>514</v>
      </c>
      <c r="Y3086">
        <v>3052</v>
      </c>
      <c r="Z3086" s="259" t="s">
        <v>630</v>
      </c>
      <c r="AA3086">
        <v>0</v>
      </c>
      <c r="AB3086">
        <v>0</v>
      </c>
      <c r="AC3086">
        <v>45945</v>
      </c>
      <c r="AD3086">
        <v>0</v>
      </c>
      <c r="AE3086">
        <v>0</v>
      </c>
      <c r="AF3086">
        <v>0</v>
      </c>
      <c r="AG3086">
        <v>0</v>
      </c>
      <c r="AH3086">
        <v>0</v>
      </c>
    </row>
    <row r="3087" spans="2:34" x14ac:dyDescent="0.35">
      <c r="B3087" t="s">
        <v>566</v>
      </c>
      <c r="C3087">
        <v>45945</v>
      </c>
      <c r="F3087" t="s">
        <v>752</v>
      </c>
      <c r="H3087">
        <v>178.87</v>
      </c>
      <c r="O3087" t="s">
        <v>239</v>
      </c>
      <c r="P3087" t="s">
        <v>514</v>
      </c>
      <c r="Y3087">
        <v>3053</v>
      </c>
      <c r="Z3087" s="259" t="s">
        <v>630</v>
      </c>
      <c r="AA3087">
        <v>0</v>
      </c>
      <c r="AB3087">
        <v>0</v>
      </c>
      <c r="AC3087">
        <v>45945</v>
      </c>
      <c r="AD3087">
        <v>0</v>
      </c>
      <c r="AE3087">
        <v>0</v>
      </c>
      <c r="AF3087">
        <v>0</v>
      </c>
      <c r="AG3087">
        <v>0</v>
      </c>
      <c r="AH3087">
        <v>0</v>
      </c>
    </row>
    <row r="3088" spans="2:34" x14ac:dyDescent="0.35">
      <c r="B3088" t="s">
        <v>566</v>
      </c>
      <c r="C3088">
        <v>45945</v>
      </c>
      <c r="F3088" t="s">
        <v>754</v>
      </c>
      <c r="H3088">
        <v>79.67</v>
      </c>
      <c r="O3088" t="s">
        <v>239</v>
      </c>
      <c r="P3088" t="s">
        <v>514</v>
      </c>
      <c r="Y3088">
        <v>3054</v>
      </c>
      <c r="Z3088" s="259" t="s">
        <v>630</v>
      </c>
      <c r="AA3088">
        <v>0</v>
      </c>
      <c r="AB3088">
        <v>0</v>
      </c>
      <c r="AC3088">
        <v>45945</v>
      </c>
      <c r="AD3088">
        <v>0</v>
      </c>
      <c r="AE3088">
        <v>0</v>
      </c>
      <c r="AF3088">
        <v>0</v>
      </c>
      <c r="AG3088">
        <v>0</v>
      </c>
      <c r="AH3088">
        <v>0</v>
      </c>
    </row>
    <row r="3089" spans="2:34" x14ac:dyDescent="0.35">
      <c r="B3089" t="s">
        <v>566</v>
      </c>
      <c r="C3089">
        <v>45946</v>
      </c>
      <c r="F3089" t="s">
        <v>749</v>
      </c>
      <c r="H3089">
        <v>52.5</v>
      </c>
      <c r="O3089" t="s">
        <v>239</v>
      </c>
      <c r="P3089" t="s">
        <v>514</v>
      </c>
      <c r="Y3089">
        <v>3055</v>
      </c>
      <c r="Z3089" s="259" t="s">
        <v>630</v>
      </c>
      <c r="AA3089">
        <v>0</v>
      </c>
      <c r="AB3089">
        <v>0</v>
      </c>
      <c r="AC3089">
        <v>45946</v>
      </c>
      <c r="AD3089">
        <v>0</v>
      </c>
      <c r="AE3089">
        <v>0</v>
      </c>
      <c r="AF3089">
        <v>0</v>
      </c>
      <c r="AG3089">
        <v>0</v>
      </c>
      <c r="AH3089">
        <v>0</v>
      </c>
    </row>
    <row r="3090" spans="2:34" x14ac:dyDescent="0.35">
      <c r="B3090" t="s">
        <v>566</v>
      </c>
      <c r="C3090">
        <v>45946</v>
      </c>
      <c r="F3090" t="s">
        <v>752</v>
      </c>
      <c r="H3090">
        <v>179</v>
      </c>
      <c r="O3090" t="s">
        <v>239</v>
      </c>
      <c r="P3090" t="s">
        <v>514</v>
      </c>
      <c r="Y3090">
        <v>3056</v>
      </c>
      <c r="Z3090" s="259" t="s">
        <v>630</v>
      </c>
      <c r="AA3090">
        <v>0</v>
      </c>
      <c r="AB3090">
        <v>0</v>
      </c>
      <c r="AC3090">
        <v>45946</v>
      </c>
      <c r="AD3090">
        <v>0</v>
      </c>
      <c r="AE3090">
        <v>0</v>
      </c>
      <c r="AF3090">
        <v>0</v>
      </c>
      <c r="AG3090">
        <v>0</v>
      </c>
      <c r="AH3090">
        <v>0</v>
      </c>
    </row>
    <row r="3091" spans="2:34" x14ac:dyDescent="0.35">
      <c r="B3091" t="s">
        <v>566</v>
      </c>
      <c r="C3091">
        <v>45946</v>
      </c>
      <c r="F3091" t="s">
        <v>754</v>
      </c>
      <c r="H3091">
        <v>79.5</v>
      </c>
      <c r="O3091" t="s">
        <v>239</v>
      </c>
      <c r="P3091" t="s">
        <v>514</v>
      </c>
      <c r="Y3091">
        <v>3057</v>
      </c>
      <c r="Z3091" s="259" t="s">
        <v>630</v>
      </c>
      <c r="AA3091">
        <v>0</v>
      </c>
      <c r="AB3091">
        <v>0</v>
      </c>
      <c r="AC3091">
        <v>45946</v>
      </c>
      <c r="AD3091">
        <v>0</v>
      </c>
      <c r="AE3091">
        <v>0</v>
      </c>
      <c r="AF3091">
        <v>0</v>
      </c>
      <c r="AG3091">
        <v>0</v>
      </c>
      <c r="AH3091">
        <v>0</v>
      </c>
    </row>
    <row r="3092" spans="2:34" x14ac:dyDescent="0.35">
      <c r="B3092" t="s">
        <v>566</v>
      </c>
      <c r="C3092">
        <v>45947</v>
      </c>
      <c r="F3092" t="s">
        <v>749</v>
      </c>
      <c r="H3092">
        <v>52.4</v>
      </c>
      <c r="O3092" t="s">
        <v>239</v>
      </c>
      <c r="P3092" t="s">
        <v>514</v>
      </c>
      <c r="Y3092">
        <v>3058</v>
      </c>
      <c r="Z3092" s="259" t="s">
        <v>630</v>
      </c>
      <c r="AA3092">
        <v>0</v>
      </c>
      <c r="AB3092">
        <v>0</v>
      </c>
      <c r="AC3092">
        <v>45947</v>
      </c>
      <c r="AD3092">
        <v>0</v>
      </c>
      <c r="AE3092">
        <v>0</v>
      </c>
      <c r="AF3092">
        <v>0</v>
      </c>
      <c r="AG3092">
        <v>0</v>
      </c>
      <c r="AH3092">
        <v>0</v>
      </c>
    </row>
    <row r="3093" spans="2:34" x14ac:dyDescent="0.35">
      <c r="B3093" t="s">
        <v>566</v>
      </c>
      <c r="C3093">
        <v>45947</v>
      </c>
      <c r="F3093" t="s">
        <v>752</v>
      </c>
      <c r="H3093">
        <v>179.13</v>
      </c>
      <c r="O3093" t="s">
        <v>239</v>
      </c>
      <c r="P3093" t="s">
        <v>514</v>
      </c>
      <c r="Y3093">
        <v>3059</v>
      </c>
      <c r="Z3093" s="259" t="s">
        <v>630</v>
      </c>
      <c r="AA3093">
        <v>0</v>
      </c>
      <c r="AB3093">
        <v>0</v>
      </c>
      <c r="AC3093">
        <v>45947</v>
      </c>
      <c r="AD3093">
        <v>0</v>
      </c>
      <c r="AE3093">
        <v>0</v>
      </c>
      <c r="AF3093">
        <v>0</v>
      </c>
      <c r="AG3093">
        <v>0</v>
      </c>
      <c r="AH3093">
        <v>0</v>
      </c>
    </row>
    <row r="3094" spans="2:34" x14ac:dyDescent="0.35">
      <c r="B3094" t="s">
        <v>566</v>
      </c>
      <c r="C3094">
        <v>45947</v>
      </c>
      <c r="F3094" t="s">
        <v>754</v>
      </c>
      <c r="H3094">
        <v>79.33</v>
      </c>
      <c r="O3094" t="s">
        <v>239</v>
      </c>
      <c r="P3094" t="s">
        <v>514</v>
      </c>
      <c r="Y3094">
        <v>3060</v>
      </c>
      <c r="Z3094" s="259" t="s">
        <v>630</v>
      </c>
      <c r="AA3094">
        <v>0</v>
      </c>
      <c r="AB3094">
        <v>0</v>
      </c>
      <c r="AC3094">
        <v>45947</v>
      </c>
      <c r="AD3094">
        <v>0</v>
      </c>
      <c r="AE3094">
        <v>0</v>
      </c>
      <c r="AF3094">
        <v>0</v>
      </c>
      <c r="AG3094">
        <v>0</v>
      </c>
      <c r="AH3094">
        <v>0</v>
      </c>
    </row>
    <row r="3095" spans="2:34" x14ac:dyDescent="0.35">
      <c r="B3095" t="s">
        <v>566</v>
      </c>
      <c r="C3095">
        <v>45948</v>
      </c>
      <c r="F3095" t="s">
        <v>749</v>
      </c>
      <c r="H3095">
        <v>52.4</v>
      </c>
      <c r="O3095" t="s">
        <v>239</v>
      </c>
      <c r="P3095" t="s">
        <v>514</v>
      </c>
      <c r="Y3095">
        <v>3061</v>
      </c>
      <c r="Z3095" s="259" t="s">
        <v>630</v>
      </c>
      <c r="AA3095">
        <v>0</v>
      </c>
      <c r="AB3095">
        <v>0</v>
      </c>
      <c r="AC3095">
        <v>45947</v>
      </c>
      <c r="AD3095">
        <v>1</v>
      </c>
      <c r="AE3095">
        <v>0</v>
      </c>
      <c r="AF3095">
        <v>0</v>
      </c>
      <c r="AG3095">
        <v>0</v>
      </c>
      <c r="AH3095">
        <v>0</v>
      </c>
    </row>
    <row r="3096" spans="2:34" x14ac:dyDescent="0.35">
      <c r="B3096" t="s">
        <v>566</v>
      </c>
      <c r="C3096">
        <v>45948</v>
      </c>
      <c r="F3096" t="s">
        <v>752</v>
      </c>
      <c r="H3096">
        <v>179.13</v>
      </c>
      <c r="O3096" t="s">
        <v>239</v>
      </c>
      <c r="P3096" t="s">
        <v>514</v>
      </c>
      <c r="Y3096">
        <v>3062</v>
      </c>
      <c r="Z3096" s="259" t="s">
        <v>630</v>
      </c>
      <c r="AA3096">
        <v>0</v>
      </c>
      <c r="AB3096">
        <v>0</v>
      </c>
      <c r="AC3096">
        <v>45947</v>
      </c>
      <c r="AD3096">
        <v>1</v>
      </c>
      <c r="AE3096">
        <v>0</v>
      </c>
      <c r="AF3096">
        <v>0</v>
      </c>
      <c r="AG3096">
        <v>0</v>
      </c>
      <c r="AH3096">
        <v>0</v>
      </c>
    </row>
    <row r="3097" spans="2:34" x14ac:dyDescent="0.35">
      <c r="B3097" t="s">
        <v>566</v>
      </c>
      <c r="C3097">
        <v>45948</v>
      </c>
      <c r="F3097" t="s">
        <v>754</v>
      </c>
      <c r="H3097">
        <v>79.33</v>
      </c>
      <c r="O3097" t="s">
        <v>239</v>
      </c>
      <c r="P3097" t="s">
        <v>514</v>
      </c>
      <c r="Y3097">
        <v>3063</v>
      </c>
      <c r="Z3097" s="259" t="s">
        <v>630</v>
      </c>
      <c r="AA3097">
        <v>0</v>
      </c>
      <c r="AB3097">
        <v>0</v>
      </c>
      <c r="AC3097">
        <v>45947</v>
      </c>
      <c r="AD3097">
        <v>1</v>
      </c>
      <c r="AE3097">
        <v>0</v>
      </c>
      <c r="AF3097">
        <v>0</v>
      </c>
      <c r="AG3097">
        <v>0</v>
      </c>
      <c r="AH3097">
        <v>0</v>
      </c>
    </row>
    <row r="3098" spans="2:34" x14ac:dyDescent="0.35">
      <c r="B3098" t="s">
        <v>566</v>
      </c>
      <c r="C3098">
        <v>45949</v>
      </c>
      <c r="F3098" t="s">
        <v>749</v>
      </c>
      <c r="H3098">
        <v>52.4</v>
      </c>
      <c r="O3098" t="s">
        <v>239</v>
      </c>
      <c r="P3098" t="s">
        <v>514</v>
      </c>
      <c r="Y3098">
        <v>3064</v>
      </c>
      <c r="Z3098" s="259" t="s">
        <v>630</v>
      </c>
      <c r="AA3098">
        <v>0</v>
      </c>
      <c r="AB3098">
        <v>0</v>
      </c>
      <c r="AC3098">
        <v>45947</v>
      </c>
      <c r="AD3098">
        <v>2</v>
      </c>
      <c r="AE3098">
        <v>0</v>
      </c>
      <c r="AF3098">
        <v>0</v>
      </c>
      <c r="AG3098">
        <v>0</v>
      </c>
      <c r="AH3098">
        <v>0</v>
      </c>
    </row>
    <row r="3099" spans="2:34" x14ac:dyDescent="0.35">
      <c r="B3099" t="s">
        <v>566</v>
      </c>
      <c r="C3099">
        <v>45949</v>
      </c>
      <c r="F3099" t="s">
        <v>752</v>
      </c>
      <c r="H3099">
        <v>179.13</v>
      </c>
      <c r="O3099" t="s">
        <v>239</v>
      </c>
      <c r="P3099" t="s">
        <v>514</v>
      </c>
      <c r="Y3099">
        <v>3065</v>
      </c>
      <c r="Z3099" s="259" t="s">
        <v>630</v>
      </c>
      <c r="AA3099">
        <v>0</v>
      </c>
      <c r="AB3099">
        <v>0</v>
      </c>
      <c r="AC3099">
        <v>45947</v>
      </c>
      <c r="AD3099">
        <v>2</v>
      </c>
      <c r="AE3099">
        <v>0</v>
      </c>
      <c r="AF3099">
        <v>0</v>
      </c>
      <c r="AG3099">
        <v>0</v>
      </c>
      <c r="AH3099">
        <v>0</v>
      </c>
    </row>
    <row r="3100" spans="2:34" x14ac:dyDescent="0.35">
      <c r="B3100" t="s">
        <v>566</v>
      </c>
      <c r="C3100">
        <v>45949</v>
      </c>
      <c r="F3100" t="s">
        <v>754</v>
      </c>
      <c r="H3100">
        <v>79.33</v>
      </c>
      <c r="O3100" t="s">
        <v>239</v>
      </c>
      <c r="P3100" t="s">
        <v>514</v>
      </c>
      <c r="Y3100">
        <v>3066</v>
      </c>
      <c r="Z3100" s="259" t="s">
        <v>630</v>
      </c>
      <c r="AA3100">
        <v>0</v>
      </c>
      <c r="AB3100">
        <v>0</v>
      </c>
      <c r="AC3100">
        <v>45947</v>
      </c>
      <c r="AD3100">
        <v>2</v>
      </c>
      <c r="AE3100">
        <v>0</v>
      </c>
      <c r="AF3100">
        <v>0</v>
      </c>
      <c r="AG3100">
        <v>0</v>
      </c>
      <c r="AH3100">
        <v>0</v>
      </c>
    </row>
    <row r="3101" spans="2:34" x14ac:dyDescent="0.35">
      <c r="B3101" t="s">
        <v>566</v>
      </c>
      <c r="C3101">
        <v>45950</v>
      </c>
      <c r="F3101" t="s">
        <v>749</v>
      </c>
      <c r="H3101">
        <v>52.1</v>
      </c>
      <c r="O3101" t="s">
        <v>239</v>
      </c>
      <c r="P3101" t="s">
        <v>514</v>
      </c>
      <c r="Y3101">
        <v>3067</v>
      </c>
      <c r="Z3101" s="259" t="s">
        <v>630</v>
      </c>
      <c r="AA3101">
        <v>0</v>
      </c>
      <c r="AB3101">
        <v>0</v>
      </c>
      <c r="AC3101">
        <v>45950</v>
      </c>
      <c r="AD3101">
        <v>0</v>
      </c>
      <c r="AE3101">
        <v>0</v>
      </c>
      <c r="AF3101">
        <v>0</v>
      </c>
      <c r="AG3101">
        <v>0</v>
      </c>
      <c r="AH3101">
        <v>0</v>
      </c>
    </row>
    <row r="3102" spans="2:34" x14ac:dyDescent="0.35">
      <c r="B3102" t="s">
        <v>566</v>
      </c>
      <c r="C3102">
        <v>45950</v>
      </c>
      <c r="F3102" t="s">
        <v>752</v>
      </c>
      <c r="H3102">
        <v>179.53</v>
      </c>
      <c r="O3102" t="s">
        <v>239</v>
      </c>
      <c r="P3102" t="s">
        <v>514</v>
      </c>
      <c r="Y3102">
        <v>3068</v>
      </c>
      <c r="Z3102" s="259" t="s">
        <v>630</v>
      </c>
      <c r="AA3102">
        <v>0</v>
      </c>
      <c r="AB3102">
        <v>0</v>
      </c>
      <c r="AC3102">
        <v>45950</v>
      </c>
      <c r="AD3102">
        <v>0</v>
      </c>
      <c r="AE3102">
        <v>0</v>
      </c>
      <c r="AF3102">
        <v>0</v>
      </c>
      <c r="AG3102">
        <v>0</v>
      </c>
      <c r="AH3102">
        <v>0</v>
      </c>
    </row>
    <row r="3103" spans="2:34" x14ac:dyDescent="0.35">
      <c r="B3103" t="s">
        <v>566</v>
      </c>
      <c r="C3103">
        <v>45950</v>
      </c>
      <c r="F3103" t="s">
        <v>754</v>
      </c>
      <c r="H3103">
        <v>78.83</v>
      </c>
      <c r="O3103" t="s">
        <v>239</v>
      </c>
      <c r="P3103" t="s">
        <v>514</v>
      </c>
      <c r="Y3103">
        <v>3069</v>
      </c>
      <c r="Z3103" s="259" t="s">
        <v>630</v>
      </c>
      <c r="AA3103">
        <v>0</v>
      </c>
      <c r="AB3103">
        <v>0</v>
      </c>
      <c r="AC3103">
        <v>45950</v>
      </c>
      <c r="AD3103">
        <v>0</v>
      </c>
      <c r="AE3103">
        <v>0</v>
      </c>
      <c r="AF3103">
        <v>0</v>
      </c>
      <c r="AG3103">
        <v>0</v>
      </c>
      <c r="AH3103">
        <v>0</v>
      </c>
    </row>
    <row r="3104" spans="2:34" x14ac:dyDescent="0.35">
      <c r="B3104" t="s">
        <v>566</v>
      </c>
      <c r="C3104">
        <v>45951</v>
      </c>
      <c r="F3104" t="s">
        <v>749</v>
      </c>
      <c r="H3104">
        <v>52</v>
      </c>
      <c r="O3104" t="s">
        <v>239</v>
      </c>
      <c r="P3104" t="s">
        <v>514</v>
      </c>
      <c r="Y3104">
        <v>3070</v>
      </c>
      <c r="Z3104" s="259" t="s">
        <v>630</v>
      </c>
      <c r="AA3104">
        <v>0</v>
      </c>
      <c r="AB3104">
        <v>0</v>
      </c>
      <c r="AC3104">
        <v>45951</v>
      </c>
      <c r="AD3104">
        <v>0</v>
      </c>
      <c r="AE3104">
        <v>0</v>
      </c>
      <c r="AF3104">
        <v>0</v>
      </c>
      <c r="AG3104">
        <v>0</v>
      </c>
      <c r="AH3104">
        <v>0</v>
      </c>
    </row>
    <row r="3105" spans="2:34" x14ac:dyDescent="0.35">
      <c r="B3105" t="s">
        <v>566</v>
      </c>
      <c r="C3105">
        <v>45951</v>
      </c>
      <c r="F3105" t="s">
        <v>752</v>
      </c>
      <c r="H3105">
        <v>179.67</v>
      </c>
      <c r="O3105" t="s">
        <v>239</v>
      </c>
      <c r="P3105" t="s">
        <v>514</v>
      </c>
      <c r="Y3105">
        <v>3071</v>
      </c>
      <c r="Z3105" s="259" t="s">
        <v>630</v>
      </c>
      <c r="AA3105">
        <v>0</v>
      </c>
      <c r="AB3105">
        <v>0</v>
      </c>
      <c r="AC3105">
        <v>45951</v>
      </c>
      <c r="AD3105">
        <v>0</v>
      </c>
      <c r="AE3105">
        <v>0</v>
      </c>
      <c r="AF3105">
        <v>0</v>
      </c>
      <c r="AG3105">
        <v>0</v>
      </c>
      <c r="AH3105">
        <v>0</v>
      </c>
    </row>
    <row r="3106" spans="2:34" x14ac:dyDescent="0.35">
      <c r="B3106" t="s">
        <v>566</v>
      </c>
      <c r="C3106">
        <v>45951</v>
      </c>
      <c r="F3106" t="s">
        <v>754</v>
      </c>
      <c r="H3106">
        <v>78.67</v>
      </c>
      <c r="O3106" t="s">
        <v>239</v>
      </c>
      <c r="P3106" t="s">
        <v>514</v>
      </c>
      <c r="Y3106">
        <v>3072</v>
      </c>
      <c r="Z3106" s="259" t="s">
        <v>630</v>
      </c>
      <c r="AA3106">
        <v>0</v>
      </c>
      <c r="AB3106">
        <v>0</v>
      </c>
      <c r="AC3106">
        <v>45951</v>
      </c>
      <c r="AD3106">
        <v>0</v>
      </c>
      <c r="AE3106">
        <v>0</v>
      </c>
      <c r="AF3106">
        <v>0</v>
      </c>
      <c r="AG3106">
        <v>0</v>
      </c>
      <c r="AH3106">
        <v>0</v>
      </c>
    </row>
    <row r="3107" spans="2:34" x14ac:dyDescent="0.35">
      <c r="B3107" t="s">
        <v>566</v>
      </c>
      <c r="C3107">
        <v>45952</v>
      </c>
      <c r="F3107" t="s">
        <v>749</v>
      </c>
      <c r="H3107">
        <v>51.9</v>
      </c>
      <c r="O3107" t="s">
        <v>239</v>
      </c>
      <c r="P3107" t="s">
        <v>514</v>
      </c>
      <c r="Y3107">
        <v>3073</v>
      </c>
      <c r="Z3107" s="259" t="s">
        <v>630</v>
      </c>
      <c r="AA3107">
        <v>0</v>
      </c>
      <c r="AB3107">
        <v>0</v>
      </c>
      <c r="AC3107">
        <v>45952</v>
      </c>
      <c r="AD3107">
        <v>0</v>
      </c>
      <c r="AE3107">
        <v>0</v>
      </c>
      <c r="AF3107">
        <v>0</v>
      </c>
      <c r="AG3107">
        <v>0</v>
      </c>
      <c r="AH3107">
        <v>0</v>
      </c>
    </row>
    <row r="3108" spans="2:34" x14ac:dyDescent="0.35">
      <c r="B3108" t="s">
        <v>566</v>
      </c>
      <c r="C3108">
        <v>45952</v>
      </c>
      <c r="F3108" t="s">
        <v>752</v>
      </c>
      <c r="H3108">
        <v>179.8</v>
      </c>
      <c r="O3108" t="s">
        <v>239</v>
      </c>
      <c r="P3108" t="s">
        <v>514</v>
      </c>
      <c r="Y3108">
        <v>3074</v>
      </c>
      <c r="Z3108" s="259" t="s">
        <v>630</v>
      </c>
      <c r="AA3108">
        <v>0</v>
      </c>
      <c r="AB3108">
        <v>0</v>
      </c>
      <c r="AC3108">
        <v>45952</v>
      </c>
      <c r="AD3108">
        <v>0</v>
      </c>
      <c r="AE3108">
        <v>0</v>
      </c>
      <c r="AF3108">
        <v>0</v>
      </c>
      <c r="AG3108">
        <v>0</v>
      </c>
      <c r="AH3108">
        <v>0</v>
      </c>
    </row>
    <row r="3109" spans="2:34" x14ac:dyDescent="0.35">
      <c r="B3109" t="s">
        <v>566</v>
      </c>
      <c r="C3109">
        <v>45952</v>
      </c>
      <c r="F3109" t="s">
        <v>754</v>
      </c>
      <c r="H3109">
        <v>78.5</v>
      </c>
      <c r="O3109" t="s">
        <v>239</v>
      </c>
      <c r="P3109" t="s">
        <v>514</v>
      </c>
      <c r="Y3109">
        <v>3075</v>
      </c>
      <c r="Z3109" s="259" t="s">
        <v>630</v>
      </c>
      <c r="AA3109">
        <v>0</v>
      </c>
      <c r="AB3109">
        <v>0</v>
      </c>
      <c r="AC3109">
        <v>45952</v>
      </c>
      <c r="AD3109">
        <v>0</v>
      </c>
      <c r="AE3109">
        <v>0</v>
      </c>
      <c r="AF3109">
        <v>0</v>
      </c>
      <c r="AG3109">
        <v>0</v>
      </c>
      <c r="AH3109">
        <v>0</v>
      </c>
    </row>
    <row r="3110" spans="2:34" x14ac:dyDescent="0.35">
      <c r="B3110" t="s">
        <v>566</v>
      </c>
      <c r="C3110">
        <v>45953</v>
      </c>
      <c r="F3110" t="s">
        <v>749</v>
      </c>
      <c r="H3110">
        <v>51.8</v>
      </c>
      <c r="O3110" t="s">
        <v>239</v>
      </c>
      <c r="P3110" t="s">
        <v>514</v>
      </c>
      <c r="Y3110">
        <v>3076</v>
      </c>
      <c r="Z3110" s="259" t="s">
        <v>630</v>
      </c>
      <c r="AA3110">
        <v>0</v>
      </c>
      <c r="AB3110">
        <v>0</v>
      </c>
      <c r="AC3110">
        <v>45953</v>
      </c>
      <c r="AD3110">
        <v>0</v>
      </c>
      <c r="AE3110">
        <v>0</v>
      </c>
      <c r="AF3110">
        <v>0</v>
      </c>
      <c r="AG3110">
        <v>0</v>
      </c>
      <c r="AH3110">
        <v>0</v>
      </c>
    </row>
    <row r="3111" spans="2:34" x14ac:dyDescent="0.35">
      <c r="B3111" t="s">
        <v>566</v>
      </c>
      <c r="C3111">
        <v>45953</v>
      </c>
      <c r="F3111" t="s">
        <v>752</v>
      </c>
      <c r="H3111">
        <v>179.93</v>
      </c>
      <c r="O3111" t="s">
        <v>239</v>
      </c>
      <c r="P3111" t="s">
        <v>514</v>
      </c>
      <c r="Y3111">
        <v>3077</v>
      </c>
      <c r="Z3111" s="259" t="s">
        <v>630</v>
      </c>
      <c r="AA3111">
        <v>0</v>
      </c>
      <c r="AB3111">
        <v>0</v>
      </c>
      <c r="AC3111">
        <v>45953</v>
      </c>
      <c r="AD3111">
        <v>0</v>
      </c>
      <c r="AE3111">
        <v>0</v>
      </c>
      <c r="AF3111">
        <v>0</v>
      </c>
      <c r="AG3111">
        <v>0</v>
      </c>
      <c r="AH3111">
        <v>0</v>
      </c>
    </row>
    <row r="3112" spans="2:34" x14ac:dyDescent="0.35">
      <c r="B3112" t="s">
        <v>566</v>
      </c>
      <c r="C3112">
        <v>45953</v>
      </c>
      <c r="F3112" t="s">
        <v>754</v>
      </c>
      <c r="H3112">
        <v>78.33</v>
      </c>
      <c r="O3112" t="s">
        <v>239</v>
      </c>
      <c r="P3112" t="s">
        <v>514</v>
      </c>
      <c r="Y3112">
        <v>3078</v>
      </c>
      <c r="Z3112" s="259" t="s">
        <v>630</v>
      </c>
      <c r="AA3112">
        <v>0</v>
      </c>
      <c r="AB3112">
        <v>0</v>
      </c>
      <c r="AC3112">
        <v>45953</v>
      </c>
      <c r="AD3112">
        <v>0</v>
      </c>
      <c r="AE3112">
        <v>0</v>
      </c>
      <c r="AF3112">
        <v>0</v>
      </c>
      <c r="AG3112">
        <v>0</v>
      </c>
      <c r="AH3112">
        <v>0</v>
      </c>
    </row>
    <row r="3113" spans="2:34" x14ac:dyDescent="0.35">
      <c r="B3113" t="s">
        <v>566</v>
      </c>
      <c r="C3113">
        <v>45954</v>
      </c>
      <c r="F3113" t="s">
        <v>749</v>
      </c>
      <c r="H3113">
        <v>51.7</v>
      </c>
      <c r="O3113" t="s">
        <v>239</v>
      </c>
      <c r="P3113" t="s">
        <v>514</v>
      </c>
      <c r="Y3113">
        <v>3079</v>
      </c>
      <c r="Z3113" s="259" t="s">
        <v>630</v>
      </c>
      <c r="AA3113">
        <v>0</v>
      </c>
      <c r="AB3113">
        <v>0</v>
      </c>
      <c r="AC3113">
        <v>45954</v>
      </c>
      <c r="AD3113">
        <v>0</v>
      </c>
      <c r="AE3113">
        <v>0</v>
      </c>
      <c r="AF3113">
        <v>0</v>
      </c>
      <c r="AG3113">
        <v>0</v>
      </c>
      <c r="AH3113">
        <v>0</v>
      </c>
    </row>
    <row r="3114" spans="2:34" x14ac:dyDescent="0.35">
      <c r="B3114" t="s">
        <v>566</v>
      </c>
      <c r="C3114">
        <v>45954</v>
      </c>
      <c r="F3114" t="s">
        <v>752</v>
      </c>
      <c r="H3114">
        <v>180.07</v>
      </c>
      <c r="O3114" t="s">
        <v>239</v>
      </c>
      <c r="P3114" t="s">
        <v>514</v>
      </c>
      <c r="Y3114">
        <v>3080</v>
      </c>
      <c r="Z3114" s="259" t="s">
        <v>630</v>
      </c>
      <c r="AA3114">
        <v>0</v>
      </c>
      <c r="AB3114">
        <v>0</v>
      </c>
      <c r="AC3114">
        <v>45954</v>
      </c>
      <c r="AD3114">
        <v>0</v>
      </c>
      <c r="AE3114">
        <v>0</v>
      </c>
      <c r="AF3114">
        <v>0</v>
      </c>
      <c r="AG3114">
        <v>0</v>
      </c>
      <c r="AH3114">
        <v>0</v>
      </c>
    </row>
    <row r="3115" spans="2:34" x14ac:dyDescent="0.35">
      <c r="B3115" t="s">
        <v>566</v>
      </c>
      <c r="C3115">
        <v>45954</v>
      </c>
      <c r="F3115" t="s">
        <v>754</v>
      </c>
      <c r="H3115">
        <v>78.17</v>
      </c>
      <c r="O3115" t="s">
        <v>239</v>
      </c>
      <c r="P3115" t="s">
        <v>514</v>
      </c>
      <c r="Y3115">
        <v>3081</v>
      </c>
      <c r="Z3115" s="259" t="s">
        <v>630</v>
      </c>
      <c r="AA3115">
        <v>0</v>
      </c>
      <c r="AB3115">
        <v>0</v>
      </c>
      <c r="AC3115">
        <v>45954</v>
      </c>
      <c r="AD3115">
        <v>0</v>
      </c>
      <c r="AE3115">
        <v>0</v>
      </c>
      <c r="AF3115">
        <v>0</v>
      </c>
      <c r="AG3115">
        <v>0</v>
      </c>
      <c r="AH3115">
        <v>0</v>
      </c>
    </row>
    <row r="3116" spans="2:34" x14ac:dyDescent="0.35">
      <c r="B3116" t="s">
        <v>566</v>
      </c>
      <c r="C3116">
        <v>45955</v>
      </c>
      <c r="F3116" t="s">
        <v>749</v>
      </c>
      <c r="H3116">
        <v>51.7</v>
      </c>
      <c r="O3116" t="s">
        <v>239</v>
      </c>
      <c r="P3116" t="s">
        <v>514</v>
      </c>
      <c r="Y3116">
        <v>3082</v>
      </c>
      <c r="Z3116" s="259" t="s">
        <v>630</v>
      </c>
      <c r="AA3116">
        <v>0</v>
      </c>
      <c r="AB3116">
        <v>0</v>
      </c>
      <c r="AC3116">
        <v>45954</v>
      </c>
      <c r="AD3116">
        <v>1</v>
      </c>
      <c r="AE3116">
        <v>0</v>
      </c>
      <c r="AF3116">
        <v>0</v>
      </c>
      <c r="AG3116">
        <v>0</v>
      </c>
      <c r="AH3116">
        <v>0</v>
      </c>
    </row>
    <row r="3117" spans="2:34" x14ac:dyDescent="0.35">
      <c r="B3117" t="s">
        <v>566</v>
      </c>
      <c r="C3117">
        <v>45955</v>
      </c>
      <c r="F3117" t="s">
        <v>752</v>
      </c>
      <c r="H3117">
        <v>180.07</v>
      </c>
      <c r="O3117" t="s">
        <v>239</v>
      </c>
      <c r="P3117" t="s">
        <v>514</v>
      </c>
      <c r="Y3117">
        <v>3083</v>
      </c>
      <c r="Z3117" s="259" t="s">
        <v>630</v>
      </c>
      <c r="AA3117">
        <v>0</v>
      </c>
      <c r="AB3117">
        <v>0</v>
      </c>
      <c r="AC3117">
        <v>45954</v>
      </c>
      <c r="AD3117">
        <v>1</v>
      </c>
      <c r="AE3117">
        <v>0</v>
      </c>
      <c r="AF3117">
        <v>0</v>
      </c>
      <c r="AG3117">
        <v>0</v>
      </c>
      <c r="AH3117">
        <v>0</v>
      </c>
    </row>
    <row r="3118" spans="2:34" x14ac:dyDescent="0.35">
      <c r="B3118" t="s">
        <v>566</v>
      </c>
      <c r="C3118">
        <v>45955</v>
      </c>
      <c r="F3118" t="s">
        <v>754</v>
      </c>
      <c r="H3118">
        <v>78.17</v>
      </c>
      <c r="O3118" t="s">
        <v>239</v>
      </c>
      <c r="P3118" t="s">
        <v>514</v>
      </c>
      <c r="Y3118">
        <v>3084</v>
      </c>
      <c r="Z3118" s="259" t="s">
        <v>630</v>
      </c>
      <c r="AA3118">
        <v>0</v>
      </c>
      <c r="AB3118">
        <v>0</v>
      </c>
      <c r="AC3118">
        <v>45954</v>
      </c>
      <c r="AD3118">
        <v>1</v>
      </c>
      <c r="AE3118">
        <v>0</v>
      </c>
      <c r="AF3118">
        <v>0</v>
      </c>
      <c r="AG3118">
        <v>0</v>
      </c>
      <c r="AH3118">
        <v>0</v>
      </c>
    </row>
    <row r="3119" spans="2:34" x14ac:dyDescent="0.35">
      <c r="B3119" t="s">
        <v>566</v>
      </c>
      <c r="C3119">
        <v>45956</v>
      </c>
      <c r="F3119" t="s">
        <v>749</v>
      </c>
      <c r="H3119">
        <v>51.7</v>
      </c>
      <c r="O3119" t="s">
        <v>239</v>
      </c>
      <c r="P3119" t="s">
        <v>514</v>
      </c>
      <c r="Y3119">
        <v>3085</v>
      </c>
      <c r="Z3119" s="259" t="s">
        <v>630</v>
      </c>
      <c r="AA3119">
        <v>0</v>
      </c>
      <c r="AB3119">
        <v>0</v>
      </c>
      <c r="AC3119">
        <v>45954</v>
      </c>
      <c r="AD3119">
        <v>2</v>
      </c>
      <c r="AE3119">
        <v>0</v>
      </c>
      <c r="AF3119">
        <v>0</v>
      </c>
      <c r="AG3119">
        <v>0</v>
      </c>
      <c r="AH3119">
        <v>0</v>
      </c>
    </row>
    <row r="3120" spans="2:34" x14ac:dyDescent="0.35">
      <c r="B3120" t="s">
        <v>566</v>
      </c>
      <c r="C3120">
        <v>45956</v>
      </c>
      <c r="F3120" t="s">
        <v>752</v>
      </c>
      <c r="H3120">
        <v>180.07</v>
      </c>
      <c r="O3120" t="s">
        <v>239</v>
      </c>
      <c r="P3120" t="s">
        <v>514</v>
      </c>
      <c r="Y3120">
        <v>3086</v>
      </c>
      <c r="Z3120" s="259" t="s">
        <v>630</v>
      </c>
      <c r="AA3120">
        <v>0</v>
      </c>
      <c r="AB3120">
        <v>0</v>
      </c>
      <c r="AC3120">
        <v>45954</v>
      </c>
      <c r="AD3120">
        <v>2</v>
      </c>
      <c r="AE3120">
        <v>0</v>
      </c>
      <c r="AF3120">
        <v>0</v>
      </c>
      <c r="AG3120">
        <v>0</v>
      </c>
      <c r="AH3120">
        <v>0</v>
      </c>
    </row>
    <row r="3121" spans="2:34" x14ac:dyDescent="0.35">
      <c r="B3121" t="s">
        <v>566</v>
      </c>
      <c r="C3121">
        <v>45956</v>
      </c>
      <c r="F3121" t="s">
        <v>754</v>
      </c>
      <c r="H3121">
        <v>78.17</v>
      </c>
      <c r="O3121" t="s">
        <v>239</v>
      </c>
      <c r="P3121" t="s">
        <v>514</v>
      </c>
      <c r="Y3121">
        <v>3087</v>
      </c>
      <c r="Z3121" s="259" t="s">
        <v>630</v>
      </c>
      <c r="AA3121">
        <v>0</v>
      </c>
      <c r="AB3121">
        <v>0</v>
      </c>
      <c r="AC3121">
        <v>45954</v>
      </c>
      <c r="AD3121">
        <v>2</v>
      </c>
      <c r="AE3121">
        <v>0</v>
      </c>
      <c r="AF3121">
        <v>0</v>
      </c>
      <c r="AG3121">
        <v>0</v>
      </c>
      <c r="AH3121">
        <v>0</v>
      </c>
    </row>
    <row r="3122" spans="2:34" x14ac:dyDescent="0.35">
      <c r="B3122" t="s">
        <v>566</v>
      </c>
      <c r="C3122">
        <v>45957</v>
      </c>
      <c r="F3122" t="s">
        <v>749</v>
      </c>
      <c r="H3122">
        <v>51.4</v>
      </c>
      <c r="O3122" t="s">
        <v>239</v>
      </c>
      <c r="P3122" t="s">
        <v>514</v>
      </c>
      <c r="Y3122">
        <v>3088</v>
      </c>
      <c r="Z3122" s="259" t="s">
        <v>630</v>
      </c>
      <c r="AA3122">
        <v>0</v>
      </c>
      <c r="AB3122">
        <v>0</v>
      </c>
      <c r="AC3122">
        <v>45957</v>
      </c>
      <c r="AD3122">
        <v>0</v>
      </c>
      <c r="AE3122">
        <v>0</v>
      </c>
      <c r="AF3122">
        <v>0</v>
      </c>
      <c r="AG3122">
        <v>0</v>
      </c>
      <c r="AH3122">
        <v>0</v>
      </c>
    </row>
    <row r="3123" spans="2:34" x14ac:dyDescent="0.35">
      <c r="B3123" t="s">
        <v>566</v>
      </c>
      <c r="C3123">
        <v>45957</v>
      </c>
      <c r="F3123" t="s">
        <v>752</v>
      </c>
      <c r="H3123">
        <v>180.47</v>
      </c>
      <c r="O3123" t="s">
        <v>239</v>
      </c>
      <c r="P3123" t="s">
        <v>514</v>
      </c>
      <c r="Y3123">
        <v>3089</v>
      </c>
      <c r="Z3123" s="259" t="s">
        <v>630</v>
      </c>
      <c r="AA3123">
        <v>0</v>
      </c>
      <c r="AB3123">
        <v>0</v>
      </c>
      <c r="AC3123">
        <v>45957</v>
      </c>
      <c r="AD3123">
        <v>0</v>
      </c>
      <c r="AE3123">
        <v>0</v>
      </c>
      <c r="AF3123">
        <v>0</v>
      </c>
      <c r="AG3123">
        <v>0</v>
      </c>
      <c r="AH3123">
        <v>0</v>
      </c>
    </row>
    <row r="3124" spans="2:34" x14ac:dyDescent="0.35">
      <c r="B3124" t="s">
        <v>566</v>
      </c>
      <c r="C3124">
        <v>45957</v>
      </c>
      <c r="F3124" t="s">
        <v>754</v>
      </c>
      <c r="H3124">
        <v>77.67</v>
      </c>
      <c r="O3124" t="s">
        <v>239</v>
      </c>
      <c r="P3124" t="s">
        <v>514</v>
      </c>
      <c r="Y3124">
        <v>3090</v>
      </c>
      <c r="Z3124" s="259" t="s">
        <v>630</v>
      </c>
      <c r="AA3124">
        <v>0</v>
      </c>
      <c r="AB3124">
        <v>0</v>
      </c>
      <c r="AC3124">
        <v>45957</v>
      </c>
      <c r="AD3124">
        <v>0</v>
      </c>
      <c r="AE3124">
        <v>0</v>
      </c>
      <c r="AF3124">
        <v>0</v>
      </c>
      <c r="AG3124">
        <v>0</v>
      </c>
      <c r="AH3124">
        <v>0</v>
      </c>
    </row>
    <row r="3125" spans="2:34" x14ac:dyDescent="0.35">
      <c r="B3125" t="s">
        <v>566</v>
      </c>
      <c r="C3125">
        <v>45958</v>
      </c>
      <c r="F3125" t="s">
        <v>749</v>
      </c>
      <c r="H3125">
        <v>51.3</v>
      </c>
      <c r="O3125" t="s">
        <v>239</v>
      </c>
      <c r="P3125" t="s">
        <v>514</v>
      </c>
      <c r="Y3125">
        <v>3091</v>
      </c>
      <c r="Z3125" s="259" t="s">
        <v>630</v>
      </c>
      <c r="AA3125">
        <v>0</v>
      </c>
      <c r="AB3125">
        <v>0</v>
      </c>
      <c r="AC3125">
        <v>45958</v>
      </c>
      <c r="AD3125">
        <v>0</v>
      </c>
      <c r="AE3125">
        <v>0</v>
      </c>
      <c r="AF3125">
        <v>0</v>
      </c>
      <c r="AG3125">
        <v>0</v>
      </c>
      <c r="AH3125">
        <v>0</v>
      </c>
    </row>
    <row r="3126" spans="2:34" x14ac:dyDescent="0.35">
      <c r="B3126" t="s">
        <v>566</v>
      </c>
      <c r="C3126">
        <v>45958</v>
      </c>
      <c r="F3126" t="s">
        <v>752</v>
      </c>
      <c r="H3126">
        <v>180.6</v>
      </c>
      <c r="O3126" t="s">
        <v>239</v>
      </c>
      <c r="P3126" t="s">
        <v>514</v>
      </c>
      <c r="Y3126">
        <v>3092</v>
      </c>
      <c r="Z3126" s="259" t="s">
        <v>630</v>
      </c>
      <c r="AA3126">
        <v>0</v>
      </c>
      <c r="AB3126">
        <v>0</v>
      </c>
      <c r="AC3126">
        <v>45958</v>
      </c>
      <c r="AD3126">
        <v>0</v>
      </c>
      <c r="AE3126">
        <v>0</v>
      </c>
      <c r="AF3126">
        <v>0</v>
      </c>
      <c r="AG3126">
        <v>0</v>
      </c>
      <c r="AH3126">
        <v>0</v>
      </c>
    </row>
    <row r="3127" spans="2:34" x14ac:dyDescent="0.35">
      <c r="B3127" t="s">
        <v>566</v>
      </c>
      <c r="C3127">
        <v>45958</v>
      </c>
      <c r="F3127" t="s">
        <v>754</v>
      </c>
      <c r="H3127">
        <v>77.5</v>
      </c>
      <c r="O3127" t="s">
        <v>239</v>
      </c>
      <c r="P3127" t="s">
        <v>514</v>
      </c>
      <c r="Y3127">
        <v>3093</v>
      </c>
      <c r="Z3127" s="259" t="s">
        <v>630</v>
      </c>
      <c r="AA3127">
        <v>0</v>
      </c>
      <c r="AB3127">
        <v>0</v>
      </c>
      <c r="AC3127">
        <v>45958</v>
      </c>
      <c r="AD3127">
        <v>0</v>
      </c>
      <c r="AE3127">
        <v>0</v>
      </c>
      <c r="AF3127">
        <v>0</v>
      </c>
      <c r="AG3127">
        <v>0</v>
      </c>
      <c r="AH3127">
        <v>0</v>
      </c>
    </row>
    <row r="3128" spans="2:34" x14ac:dyDescent="0.35">
      <c r="B3128" t="s">
        <v>566</v>
      </c>
      <c r="C3128">
        <v>45959</v>
      </c>
      <c r="F3128" t="s">
        <v>749</v>
      </c>
      <c r="H3128">
        <v>51.2</v>
      </c>
      <c r="O3128" t="s">
        <v>239</v>
      </c>
      <c r="P3128" t="s">
        <v>514</v>
      </c>
      <c r="Y3128">
        <v>3094</v>
      </c>
      <c r="Z3128" s="259" t="s">
        <v>630</v>
      </c>
      <c r="AA3128">
        <v>0</v>
      </c>
      <c r="AB3128">
        <v>0</v>
      </c>
      <c r="AC3128">
        <v>45959</v>
      </c>
      <c r="AD3128">
        <v>0</v>
      </c>
      <c r="AE3128">
        <v>0</v>
      </c>
      <c r="AF3128">
        <v>0</v>
      </c>
      <c r="AG3128">
        <v>0</v>
      </c>
      <c r="AH3128">
        <v>0</v>
      </c>
    </row>
    <row r="3129" spans="2:34" x14ac:dyDescent="0.35">
      <c r="B3129" t="s">
        <v>566</v>
      </c>
      <c r="C3129">
        <v>45959</v>
      </c>
      <c r="F3129" t="s">
        <v>752</v>
      </c>
      <c r="H3129">
        <v>180.73</v>
      </c>
      <c r="O3129" t="s">
        <v>239</v>
      </c>
      <c r="P3129" t="s">
        <v>514</v>
      </c>
      <c r="Y3129">
        <v>3095</v>
      </c>
      <c r="Z3129" s="259" t="s">
        <v>630</v>
      </c>
      <c r="AA3129">
        <v>0</v>
      </c>
      <c r="AB3129">
        <v>0</v>
      </c>
      <c r="AC3129">
        <v>45959</v>
      </c>
      <c r="AD3129">
        <v>0</v>
      </c>
      <c r="AE3129">
        <v>0</v>
      </c>
      <c r="AF3129">
        <v>0</v>
      </c>
      <c r="AG3129">
        <v>0</v>
      </c>
      <c r="AH3129">
        <v>0</v>
      </c>
    </row>
    <row r="3130" spans="2:34" x14ac:dyDescent="0.35">
      <c r="B3130" t="s">
        <v>566</v>
      </c>
      <c r="C3130">
        <v>45959</v>
      </c>
      <c r="F3130" t="s">
        <v>754</v>
      </c>
      <c r="H3130">
        <v>77.33</v>
      </c>
      <c r="O3130" t="s">
        <v>239</v>
      </c>
      <c r="P3130" t="s">
        <v>514</v>
      </c>
      <c r="Y3130">
        <v>3096</v>
      </c>
      <c r="Z3130" s="259" t="s">
        <v>630</v>
      </c>
      <c r="AA3130">
        <v>0</v>
      </c>
      <c r="AB3130">
        <v>0</v>
      </c>
      <c r="AC3130">
        <v>45959</v>
      </c>
      <c r="AD3130">
        <v>0</v>
      </c>
      <c r="AE3130">
        <v>0</v>
      </c>
      <c r="AF3130">
        <v>0</v>
      </c>
      <c r="AG3130">
        <v>0</v>
      </c>
      <c r="AH3130">
        <v>0</v>
      </c>
    </row>
    <row r="3131" spans="2:34" x14ac:dyDescent="0.35">
      <c r="B3131" t="s">
        <v>566</v>
      </c>
      <c r="C3131">
        <v>45960</v>
      </c>
      <c r="F3131" t="s">
        <v>749</v>
      </c>
      <c r="H3131">
        <v>51.1</v>
      </c>
      <c r="O3131" t="s">
        <v>239</v>
      </c>
      <c r="P3131" t="s">
        <v>514</v>
      </c>
      <c r="Y3131">
        <v>3097</v>
      </c>
      <c r="Z3131" s="259" t="s">
        <v>630</v>
      </c>
      <c r="AA3131">
        <v>0</v>
      </c>
      <c r="AB3131">
        <v>0</v>
      </c>
      <c r="AC3131">
        <v>45960</v>
      </c>
      <c r="AD3131">
        <v>0</v>
      </c>
      <c r="AE3131">
        <v>0</v>
      </c>
      <c r="AF3131">
        <v>0</v>
      </c>
      <c r="AG3131">
        <v>0</v>
      </c>
      <c r="AH3131">
        <v>0</v>
      </c>
    </row>
    <row r="3132" spans="2:34" x14ac:dyDescent="0.35">
      <c r="B3132" t="s">
        <v>566</v>
      </c>
      <c r="C3132">
        <v>45960</v>
      </c>
      <c r="F3132" t="s">
        <v>752</v>
      </c>
      <c r="H3132">
        <v>180.87</v>
      </c>
      <c r="O3132" t="s">
        <v>239</v>
      </c>
      <c r="P3132" t="s">
        <v>514</v>
      </c>
      <c r="Y3132">
        <v>3098</v>
      </c>
      <c r="Z3132" s="259" t="s">
        <v>630</v>
      </c>
      <c r="AA3132">
        <v>0</v>
      </c>
      <c r="AB3132">
        <v>0</v>
      </c>
      <c r="AC3132">
        <v>45960</v>
      </c>
      <c r="AD3132">
        <v>0</v>
      </c>
      <c r="AE3132">
        <v>0</v>
      </c>
      <c r="AF3132">
        <v>0</v>
      </c>
      <c r="AG3132">
        <v>0</v>
      </c>
      <c r="AH3132">
        <v>0</v>
      </c>
    </row>
    <row r="3133" spans="2:34" x14ac:dyDescent="0.35">
      <c r="B3133" t="s">
        <v>566</v>
      </c>
      <c r="C3133">
        <v>45960</v>
      </c>
      <c r="F3133" t="s">
        <v>754</v>
      </c>
      <c r="H3133">
        <v>77.17</v>
      </c>
      <c r="O3133" t="s">
        <v>239</v>
      </c>
      <c r="P3133" t="s">
        <v>514</v>
      </c>
      <c r="Y3133">
        <v>3099</v>
      </c>
      <c r="Z3133" s="259" t="s">
        <v>630</v>
      </c>
      <c r="AA3133">
        <v>0</v>
      </c>
      <c r="AB3133">
        <v>0</v>
      </c>
      <c r="AC3133">
        <v>45960</v>
      </c>
      <c r="AD3133">
        <v>0</v>
      </c>
      <c r="AE3133">
        <v>0</v>
      </c>
      <c r="AF3133">
        <v>0</v>
      </c>
      <c r="AG3133">
        <v>0</v>
      </c>
      <c r="AH3133">
        <v>0</v>
      </c>
    </row>
    <row r="3134" spans="2:34" x14ac:dyDescent="0.35">
      <c r="B3134" t="s">
        <v>566</v>
      </c>
      <c r="C3134">
        <v>45961</v>
      </c>
      <c r="F3134" t="s">
        <v>749</v>
      </c>
      <c r="H3134">
        <v>51</v>
      </c>
      <c r="O3134" t="s">
        <v>239</v>
      </c>
      <c r="P3134" t="s">
        <v>514</v>
      </c>
      <c r="Y3134">
        <v>3100</v>
      </c>
      <c r="Z3134" s="259" t="s">
        <v>630</v>
      </c>
      <c r="AA3134">
        <v>0</v>
      </c>
      <c r="AB3134">
        <v>0</v>
      </c>
      <c r="AC3134">
        <v>45961</v>
      </c>
      <c r="AD3134">
        <v>0</v>
      </c>
      <c r="AE3134">
        <v>0</v>
      </c>
      <c r="AF3134">
        <v>0</v>
      </c>
      <c r="AG3134">
        <v>0</v>
      </c>
      <c r="AH3134">
        <v>0</v>
      </c>
    </row>
    <row r="3135" spans="2:34" x14ac:dyDescent="0.35">
      <c r="B3135" t="s">
        <v>566</v>
      </c>
      <c r="C3135">
        <v>45961</v>
      </c>
      <c r="F3135" t="s">
        <v>752</v>
      </c>
      <c r="H3135">
        <v>181</v>
      </c>
      <c r="O3135" t="s">
        <v>239</v>
      </c>
      <c r="P3135" t="s">
        <v>514</v>
      </c>
      <c r="Y3135">
        <v>3101</v>
      </c>
      <c r="Z3135" s="259" t="s">
        <v>630</v>
      </c>
      <c r="AA3135">
        <v>0</v>
      </c>
      <c r="AB3135">
        <v>0</v>
      </c>
      <c r="AC3135">
        <v>45961</v>
      </c>
      <c r="AD3135">
        <v>0</v>
      </c>
      <c r="AE3135">
        <v>0</v>
      </c>
      <c r="AF3135">
        <v>0</v>
      </c>
      <c r="AG3135">
        <v>0</v>
      </c>
      <c r="AH3135">
        <v>0</v>
      </c>
    </row>
    <row r="3136" spans="2:34" x14ac:dyDescent="0.35">
      <c r="B3136" t="s">
        <v>566</v>
      </c>
      <c r="C3136">
        <v>45961</v>
      </c>
      <c r="F3136" t="s">
        <v>754</v>
      </c>
      <c r="H3136">
        <v>77</v>
      </c>
      <c r="O3136" t="s">
        <v>239</v>
      </c>
      <c r="P3136" t="s">
        <v>514</v>
      </c>
      <c r="Y3136">
        <v>3102</v>
      </c>
      <c r="Z3136" s="259" t="s">
        <v>630</v>
      </c>
      <c r="AA3136">
        <v>0</v>
      </c>
      <c r="AB3136">
        <v>0</v>
      </c>
      <c r="AC3136">
        <v>45961</v>
      </c>
      <c r="AD3136">
        <v>0</v>
      </c>
      <c r="AE3136">
        <v>0</v>
      </c>
      <c r="AF3136">
        <v>0</v>
      </c>
      <c r="AG3136">
        <v>0</v>
      </c>
      <c r="AH3136">
        <v>0</v>
      </c>
    </row>
    <row r="3137" spans="2:34" x14ac:dyDescent="0.35">
      <c r="B3137" t="s">
        <v>566</v>
      </c>
      <c r="C3137">
        <v>45962</v>
      </c>
      <c r="F3137" t="s">
        <v>749</v>
      </c>
      <c r="H3137">
        <v>51</v>
      </c>
      <c r="O3137" t="s">
        <v>239</v>
      </c>
      <c r="P3137" t="s">
        <v>514</v>
      </c>
      <c r="Y3137">
        <v>3103</v>
      </c>
      <c r="Z3137" s="259" t="s">
        <v>630</v>
      </c>
      <c r="AA3137">
        <v>0</v>
      </c>
      <c r="AB3137">
        <v>0</v>
      </c>
      <c r="AC3137">
        <v>45961</v>
      </c>
      <c r="AD3137">
        <v>1</v>
      </c>
      <c r="AE3137">
        <v>0</v>
      </c>
      <c r="AF3137">
        <v>0</v>
      </c>
      <c r="AG3137">
        <v>0</v>
      </c>
      <c r="AH3137">
        <v>0</v>
      </c>
    </row>
    <row r="3138" spans="2:34" x14ac:dyDescent="0.35">
      <c r="B3138" t="s">
        <v>566</v>
      </c>
      <c r="C3138">
        <v>45962</v>
      </c>
      <c r="F3138" t="s">
        <v>752</v>
      </c>
      <c r="H3138">
        <v>181</v>
      </c>
      <c r="O3138" t="s">
        <v>239</v>
      </c>
      <c r="P3138" t="s">
        <v>514</v>
      </c>
      <c r="Y3138">
        <v>3104</v>
      </c>
      <c r="Z3138" s="259" t="s">
        <v>630</v>
      </c>
      <c r="AA3138">
        <v>0</v>
      </c>
      <c r="AB3138">
        <v>0</v>
      </c>
      <c r="AC3138">
        <v>45961</v>
      </c>
      <c r="AD3138">
        <v>1</v>
      </c>
      <c r="AE3138">
        <v>0</v>
      </c>
      <c r="AF3138">
        <v>0</v>
      </c>
      <c r="AG3138">
        <v>0</v>
      </c>
      <c r="AH3138">
        <v>0</v>
      </c>
    </row>
    <row r="3139" spans="2:34" x14ac:dyDescent="0.35">
      <c r="B3139" t="s">
        <v>566</v>
      </c>
      <c r="C3139">
        <v>45962</v>
      </c>
      <c r="F3139" t="s">
        <v>754</v>
      </c>
      <c r="H3139">
        <v>77</v>
      </c>
      <c r="O3139" t="s">
        <v>239</v>
      </c>
      <c r="P3139" t="s">
        <v>514</v>
      </c>
      <c r="Y3139">
        <v>3105</v>
      </c>
      <c r="Z3139" s="259" t="s">
        <v>630</v>
      </c>
      <c r="AA3139">
        <v>0</v>
      </c>
      <c r="AB3139">
        <v>0</v>
      </c>
      <c r="AC3139">
        <v>45961</v>
      </c>
      <c r="AD3139">
        <v>1</v>
      </c>
      <c r="AE3139">
        <v>0</v>
      </c>
      <c r="AF3139">
        <v>0</v>
      </c>
      <c r="AG3139">
        <v>0</v>
      </c>
      <c r="AH3139">
        <v>0</v>
      </c>
    </row>
    <row r="3140" spans="2:34" x14ac:dyDescent="0.35">
      <c r="B3140" t="s">
        <v>566</v>
      </c>
      <c r="C3140">
        <v>45963</v>
      </c>
      <c r="F3140" t="s">
        <v>749</v>
      </c>
      <c r="H3140">
        <v>51</v>
      </c>
      <c r="O3140" t="s">
        <v>239</v>
      </c>
      <c r="P3140" t="s">
        <v>514</v>
      </c>
      <c r="Y3140">
        <v>3106</v>
      </c>
      <c r="Z3140" s="259" t="s">
        <v>630</v>
      </c>
      <c r="AA3140">
        <v>0</v>
      </c>
      <c r="AB3140">
        <v>0</v>
      </c>
      <c r="AC3140">
        <v>45961</v>
      </c>
      <c r="AD3140">
        <v>2</v>
      </c>
      <c r="AE3140">
        <v>0</v>
      </c>
      <c r="AF3140">
        <v>0</v>
      </c>
      <c r="AG3140">
        <v>0</v>
      </c>
      <c r="AH3140">
        <v>0</v>
      </c>
    </row>
    <row r="3141" spans="2:34" x14ac:dyDescent="0.35">
      <c r="B3141" t="s">
        <v>566</v>
      </c>
      <c r="C3141">
        <v>45963</v>
      </c>
      <c r="F3141" t="s">
        <v>752</v>
      </c>
      <c r="H3141">
        <v>181</v>
      </c>
      <c r="O3141" t="s">
        <v>239</v>
      </c>
      <c r="P3141" t="s">
        <v>514</v>
      </c>
      <c r="Y3141">
        <v>3107</v>
      </c>
      <c r="Z3141" s="259" t="s">
        <v>630</v>
      </c>
      <c r="AA3141">
        <v>0</v>
      </c>
      <c r="AB3141">
        <v>0</v>
      </c>
      <c r="AC3141">
        <v>45961</v>
      </c>
      <c r="AD3141">
        <v>2</v>
      </c>
      <c r="AE3141">
        <v>0</v>
      </c>
      <c r="AF3141">
        <v>0</v>
      </c>
      <c r="AG3141">
        <v>0</v>
      </c>
      <c r="AH3141">
        <v>0</v>
      </c>
    </row>
    <row r="3142" spans="2:34" x14ac:dyDescent="0.35">
      <c r="B3142" t="s">
        <v>566</v>
      </c>
      <c r="C3142">
        <v>45963</v>
      </c>
      <c r="F3142" t="s">
        <v>754</v>
      </c>
      <c r="H3142">
        <v>77</v>
      </c>
      <c r="O3142" t="s">
        <v>239</v>
      </c>
      <c r="P3142" t="s">
        <v>514</v>
      </c>
      <c r="Y3142">
        <v>3108</v>
      </c>
      <c r="Z3142" s="259" t="s">
        <v>630</v>
      </c>
      <c r="AA3142">
        <v>0</v>
      </c>
      <c r="AB3142">
        <v>0</v>
      </c>
      <c r="AC3142">
        <v>45961</v>
      </c>
      <c r="AD3142">
        <v>2</v>
      </c>
      <c r="AE3142">
        <v>0</v>
      </c>
      <c r="AF3142">
        <v>0</v>
      </c>
      <c r="AG3142">
        <v>0</v>
      </c>
      <c r="AH3142">
        <v>0</v>
      </c>
    </row>
    <row r="3143" spans="2:34" x14ac:dyDescent="0.35">
      <c r="B3143" t="s">
        <v>566</v>
      </c>
      <c r="C3143">
        <v>45964</v>
      </c>
      <c r="F3143" t="s">
        <v>749</v>
      </c>
      <c r="H3143">
        <v>50.79</v>
      </c>
      <c r="O3143" t="s">
        <v>239</v>
      </c>
      <c r="P3143" t="s">
        <v>514</v>
      </c>
      <c r="Y3143">
        <v>3109</v>
      </c>
      <c r="Z3143" s="259" t="s">
        <v>630</v>
      </c>
      <c r="AA3143">
        <v>0</v>
      </c>
      <c r="AB3143">
        <v>0</v>
      </c>
      <c r="AC3143">
        <v>45964</v>
      </c>
      <c r="AD3143">
        <v>0</v>
      </c>
      <c r="AE3143">
        <v>0</v>
      </c>
      <c r="AF3143">
        <v>0</v>
      </c>
      <c r="AG3143">
        <v>0</v>
      </c>
      <c r="AH3143">
        <v>0</v>
      </c>
    </row>
    <row r="3144" spans="2:34" x14ac:dyDescent="0.35">
      <c r="B3144" t="s">
        <v>566</v>
      </c>
      <c r="C3144">
        <v>45964</v>
      </c>
      <c r="F3144" t="s">
        <v>752</v>
      </c>
      <c r="H3144">
        <v>180.24</v>
      </c>
      <c r="O3144" t="s">
        <v>239</v>
      </c>
      <c r="P3144" t="s">
        <v>514</v>
      </c>
      <c r="Y3144">
        <v>3110</v>
      </c>
      <c r="Z3144" s="259" t="s">
        <v>630</v>
      </c>
      <c r="AA3144">
        <v>0</v>
      </c>
      <c r="AB3144">
        <v>0</v>
      </c>
      <c r="AC3144">
        <v>45964</v>
      </c>
      <c r="AD3144">
        <v>0</v>
      </c>
      <c r="AE3144">
        <v>0</v>
      </c>
      <c r="AF3144">
        <v>0</v>
      </c>
      <c r="AG3144">
        <v>0</v>
      </c>
      <c r="AH3144">
        <v>0</v>
      </c>
    </row>
    <row r="3145" spans="2:34" x14ac:dyDescent="0.35">
      <c r="B3145" t="s">
        <v>566</v>
      </c>
      <c r="C3145">
        <v>45964</v>
      </c>
      <c r="F3145" t="s">
        <v>754</v>
      </c>
      <c r="H3145">
        <v>76.010000000000005</v>
      </c>
      <c r="O3145" t="s">
        <v>239</v>
      </c>
      <c r="P3145" t="s">
        <v>514</v>
      </c>
      <c r="Y3145">
        <v>3111</v>
      </c>
      <c r="Z3145" s="259" t="s">
        <v>630</v>
      </c>
      <c r="AA3145">
        <v>0</v>
      </c>
      <c r="AB3145">
        <v>0</v>
      </c>
      <c r="AC3145">
        <v>45964</v>
      </c>
      <c r="AD3145">
        <v>0</v>
      </c>
      <c r="AE3145">
        <v>0</v>
      </c>
      <c r="AF3145">
        <v>0</v>
      </c>
      <c r="AG3145">
        <v>0</v>
      </c>
      <c r="AH3145">
        <v>0</v>
      </c>
    </row>
    <row r="3146" spans="2:34" x14ac:dyDescent="0.35">
      <c r="B3146" t="s">
        <v>566</v>
      </c>
      <c r="C3146">
        <v>45965</v>
      </c>
      <c r="F3146" t="s">
        <v>749</v>
      </c>
      <c r="H3146">
        <v>50.69</v>
      </c>
      <c r="O3146" t="s">
        <v>239</v>
      </c>
      <c r="P3146" t="s">
        <v>514</v>
      </c>
      <c r="Y3146">
        <v>3112</v>
      </c>
      <c r="Z3146" s="259" t="s">
        <v>630</v>
      </c>
      <c r="AA3146">
        <v>0</v>
      </c>
      <c r="AB3146">
        <v>0</v>
      </c>
      <c r="AC3146">
        <v>45965</v>
      </c>
      <c r="AD3146">
        <v>0</v>
      </c>
      <c r="AE3146">
        <v>0</v>
      </c>
      <c r="AF3146">
        <v>0</v>
      </c>
      <c r="AG3146">
        <v>0</v>
      </c>
      <c r="AH3146">
        <v>0</v>
      </c>
    </row>
    <row r="3147" spans="2:34" x14ac:dyDescent="0.35">
      <c r="B3147" t="s">
        <v>566</v>
      </c>
      <c r="C3147">
        <v>45965</v>
      </c>
      <c r="F3147" t="s">
        <v>752</v>
      </c>
      <c r="H3147">
        <v>179.86</v>
      </c>
      <c r="O3147" t="s">
        <v>239</v>
      </c>
      <c r="P3147" t="s">
        <v>514</v>
      </c>
      <c r="Y3147">
        <v>3113</v>
      </c>
      <c r="Z3147" s="259" t="s">
        <v>630</v>
      </c>
      <c r="AA3147">
        <v>0</v>
      </c>
      <c r="AB3147">
        <v>0</v>
      </c>
      <c r="AC3147">
        <v>45965</v>
      </c>
      <c r="AD3147">
        <v>0</v>
      </c>
      <c r="AE3147">
        <v>0</v>
      </c>
      <c r="AF3147">
        <v>0</v>
      </c>
      <c r="AG3147">
        <v>0</v>
      </c>
      <c r="AH3147">
        <v>0</v>
      </c>
    </row>
    <row r="3148" spans="2:34" x14ac:dyDescent="0.35">
      <c r="B3148" t="s">
        <v>566</v>
      </c>
      <c r="C3148">
        <v>45965</v>
      </c>
      <c r="F3148" t="s">
        <v>754</v>
      </c>
      <c r="H3148">
        <v>76.11</v>
      </c>
      <c r="O3148" t="s">
        <v>239</v>
      </c>
      <c r="P3148" t="s">
        <v>514</v>
      </c>
      <c r="Y3148">
        <v>3114</v>
      </c>
      <c r="Z3148" s="259" t="s">
        <v>630</v>
      </c>
      <c r="AA3148">
        <v>0</v>
      </c>
      <c r="AB3148">
        <v>0</v>
      </c>
      <c r="AC3148">
        <v>45965</v>
      </c>
      <c r="AD3148">
        <v>0</v>
      </c>
      <c r="AE3148">
        <v>0</v>
      </c>
      <c r="AF3148">
        <v>0</v>
      </c>
      <c r="AG3148">
        <v>0</v>
      </c>
      <c r="AH3148">
        <v>0</v>
      </c>
    </row>
    <row r="3149" spans="2:34" x14ac:dyDescent="0.35">
      <c r="B3149" t="s">
        <v>566</v>
      </c>
      <c r="C3149">
        <v>45966</v>
      </c>
      <c r="F3149" t="s">
        <v>749</v>
      </c>
      <c r="H3149">
        <v>50.59</v>
      </c>
      <c r="O3149" t="s">
        <v>239</v>
      </c>
      <c r="P3149" t="s">
        <v>514</v>
      </c>
      <c r="Y3149">
        <v>3115</v>
      </c>
      <c r="Z3149" s="259" t="s">
        <v>630</v>
      </c>
      <c r="AA3149">
        <v>0</v>
      </c>
      <c r="AB3149">
        <v>0</v>
      </c>
      <c r="AC3149">
        <v>45966</v>
      </c>
      <c r="AD3149">
        <v>0</v>
      </c>
      <c r="AE3149">
        <v>0</v>
      </c>
      <c r="AF3149">
        <v>0</v>
      </c>
      <c r="AG3149">
        <v>0</v>
      </c>
      <c r="AH3149">
        <v>0</v>
      </c>
    </row>
    <row r="3150" spans="2:34" x14ac:dyDescent="0.35">
      <c r="B3150" t="s">
        <v>566</v>
      </c>
      <c r="C3150">
        <v>45966</v>
      </c>
      <c r="F3150" t="s">
        <v>752</v>
      </c>
      <c r="H3150">
        <v>179.48</v>
      </c>
      <c r="O3150" t="s">
        <v>239</v>
      </c>
      <c r="P3150" t="s">
        <v>514</v>
      </c>
      <c r="Y3150">
        <v>3116</v>
      </c>
      <c r="Z3150" s="259" t="s">
        <v>630</v>
      </c>
      <c r="AA3150">
        <v>0</v>
      </c>
      <c r="AB3150">
        <v>0</v>
      </c>
      <c r="AC3150">
        <v>45966</v>
      </c>
      <c r="AD3150">
        <v>0</v>
      </c>
      <c r="AE3150">
        <v>0</v>
      </c>
      <c r="AF3150">
        <v>0</v>
      </c>
      <c r="AG3150">
        <v>0</v>
      </c>
      <c r="AH3150">
        <v>0</v>
      </c>
    </row>
    <row r="3151" spans="2:34" x14ac:dyDescent="0.35">
      <c r="B3151" t="s">
        <v>566</v>
      </c>
      <c r="C3151">
        <v>45966</v>
      </c>
      <c r="F3151" t="s">
        <v>754</v>
      </c>
      <c r="H3151">
        <v>76.209999999999994</v>
      </c>
      <c r="O3151" t="s">
        <v>239</v>
      </c>
      <c r="P3151" t="s">
        <v>514</v>
      </c>
      <c r="Y3151">
        <v>3117</v>
      </c>
      <c r="Z3151" s="259" t="s">
        <v>630</v>
      </c>
      <c r="AA3151">
        <v>0</v>
      </c>
      <c r="AB3151">
        <v>0</v>
      </c>
      <c r="AC3151">
        <v>45966</v>
      </c>
      <c r="AD3151">
        <v>0</v>
      </c>
      <c r="AE3151">
        <v>0</v>
      </c>
      <c r="AF3151">
        <v>0</v>
      </c>
      <c r="AG3151">
        <v>0</v>
      </c>
      <c r="AH3151">
        <v>0</v>
      </c>
    </row>
    <row r="3152" spans="2:34" x14ac:dyDescent="0.35">
      <c r="B3152" t="s">
        <v>566</v>
      </c>
      <c r="C3152">
        <v>45967</v>
      </c>
      <c r="F3152" t="s">
        <v>749</v>
      </c>
      <c r="H3152">
        <v>50.48</v>
      </c>
      <c r="O3152" t="s">
        <v>239</v>
      </c>
      <c r="P3152" t="s">
        <v>514</v>
      </c>
      <c r="Y3152">
        <v>3118</v>
      </c>
      <c r="Z3152" s="259" t="s">
        <v>630</v>
      </c>
      <c r="AA3152">
        <v>0</v>
      </c>
      <c r="AB3152">
        <v>0</v>
      </c>
      <c r="AC3152">
        <v>45967</v>
      </c>
      <c r="AD3152">
        <v>0</v>
      </c>
      <c r="AE3152">
        <v>0</v>
      </c>
      <c r="AF3152">
        <v>0</v>
      </c>
      <c r="AG3152">
        <v>0</v>
      </c>
      <c r="AH3152">
        <v>0</v>
      </c>
    </row>
    <row r="3153" spans="2:34" x14ac:dyDescent="0.35">
      <c r="B3153" t="s">
        <v>566</v>
      </c>
      <c r="C3153">
        <v>45967</v>
      </c>
      <c r="F3153" t="s">
        <v>752</v>
      </c>
      <c r="H3153">
        <v>179.1</v>
      </c>
      <c r="O3153" t="s">
        <v>239</v>
      </c>
      <c r="P3153" t="s">
        <v>514</v>
      </c>
      <c r="Y3153">
        <v>3119</v>
      </c>
      <c r="Z3153" s="259" t="s">
        <v>630</v>
      </c>
      <c r="AA3153">
        <v>0</v>
      </c>
      <c r="AB3153">
        <v>0</v>
      </c>
      <c r="AC3153">
        <v>45967</v>
      </c>
      <c r="AD3153">
        <v>0</v>
      </c>
      <c r="AE3153">
        <v>0</v>
      </c>
      <c r="AF3153">
        <v>0</v>
      </c>
      <c r="AG3153">
        <v>0</v>
      </c>
      <c r="AH3153">
        <v>0</v>
      </c>
    </row>
    <row r="3154" spans="2:34" x14ac:dyDescent="0.35">
      <c r="B3154" t="s">
        <v>566</v>
      </c>
      <c r="C3154">
        <v>45967</v>
      </c>
      <c r="F3154" t="s">
        <v>754</v>
      </c>
      <c r="H3154">
        <v>76.319999999999993</v>
      </c>
      <c r="O3154" t="s">
        <v>239</v>
      </c>
      <c r="P3154" t="s">
        <v>514</v>
      </c>
      <c r="Y3154">
        <v>3120</v>
      </c>
      <c r="Z3154" s="259" t="s">
        <v>630</v>
      </c>
      <c r="AA3154">
        <v>0</v>
      </c>
      <c r="AB3154">
        <v>0</v>
      </c>
      <c r="AC3154">
        <v>45967</v>
      </c>
      <c r="AD3154">
        <v>0</v>
      </c>
      <c r="AE3154">
        <v>0</v>
      </c>
      <c r="AF3154">
        <v>0</v>
      </c>
      <c r="AG3154">
        <v>0</v>
      </c>
      <c r="AH3154">
        <v>0</v>
      </c>
    </row>
    <row r="3155" spans="2:34" x14ac:dyDescent="0.35">
      <c r="B3155" t="s">
        <v>566</v>
      </c>
      <c r="C3155">
        <v>45968</v>
      </c>
      <c r="F3155" t="s">
        <v>749</v>
      </c>
      <c r="H3155">
        <v>50.38</v>
      </c>
      <c r="O3155" t="s">
        <v>239</v>
      </c>
      <c r="P3155" t="s">
        <v>514</v>
      </c>
      <c r="Y3155">
        <v>3121</v>
      </c>
      <c r="Z3155" s="259" t="s">
        <v>630</v>
      </c>
      <c r="AA3155">
        <v>0</v>
      </c>
      <c r="AB3155">
        <v>0</v>
      </c>
      <c r="AC3155">
        <v>45968</v>
      </c>
      <c r="AD3155">
        <v>0</v>
      </c>
      <c r="AE3155">
        <v>0</v>
      </c>
      <c r="AF3155">
        <v>0</v>
      </c>
      <c r="AG3155">
        <v>0</v>
      </c>
      <c r="AH3155">
        <v>0</v>
      </c>
    </row>
    <row r="3156" spans="2:34" x14ac:dyDescent="0.35">
      <c r="B3156" t="s">
        <v>566</v>
      </c>
      <c r="C3156">
        <v>45968</v>
      </c>
      <c r="F3156" t="s">
        <v>752</v>
      </c>
      <c r="H3156">
        <v>178.72</v>
      </c>
      <c r="O3156" t="s">
        <v>239</v>
      </c>
      <c r="P3156" t="s">
        <v>514</v>
      </c>
      <c r="Y3156">
        <v>3122</v>
      </c>
      <c r="Z3156" s="259" t="s">
        <v>630</v>
      </c>
      <c r="AA3156">
        <v>0</v>
      </c>
      <c r="AB3156">
        <v>0</v>
      </c>
      <c r="AC3156">
        <v>45968</v>
      </c>
      <c r="AD3156">
        <v>0</v>
      </c>
      <c r="AE3156">
        <v>0</v>
      </c>
      <c r="AF3156">
        <v>0</v>
      </c>
      <c r="AG3156">
        <v>0</v>
      </c>
      <c r="AH3156">
        <v>0</v>
      </c>
    </row>
    <row r="3157" spans="2:34" x14ac:dyDescent="0.35">
      <c r="B3157" t="s">
        <v>566</v>
      </c>
      <c r="C3157">
        <v>45968</v>
      </c>
      <c r="F3157" t="s">
        <v>754</v>
      </c>
      <c r="H3157">
        <v>76.42</v>
      </c>
      <c r="O3157" t="s">
        <v>239</v>
      </c>
      <c r="P3157" t="s">
        <v>514</v>
      </c>
      <c r="Y3157">
        <v>3123</v>
      </c>
      <c r="Z3157" s="259" t="s">
        <v>630</v>
      </c>
      <c r="AA3157">
        <v>0</v>
      </c>
      <c r="AB3157">
        <v>0</v>
      </c>
      <c r="AC3157">
        <v>45968</v>
      </c>
      <c r="AD3157">
        <v>0</v>
      </c>
      <c r="AE3157">
        <v>0</v>
      </c>
      <c r="AF3157">
        <v>0</v>
      </c>
      <c r="AG3157">
        <v>0</v>
      </c>
      <c r="AH3157">
        <v>0</v>
      </c>
    </row>
    <row r="3158" spans="2:34" x14ac:dyDescent="0.35">
      <c r="B3158" t="s">
        <v>566</v>
      </c>
      <c r="C3158">
        <v>45969</v>
      </c>
      <c r="F3158" t="s">
        <v>749</v>
      </c>
      <c r="H3158">
        <v>50.38</v>
      </c>
      <c r="O3158" t="s">
        <v>239</v>
      </c>
      <c r="P3158" t="s">
        <v>514</v>
      </c>
      <c r="Y3158">
        <v>3124</v>
      </c>
      <c r="Z3158" s="259" t="s">
        <v>630</v>
      </c>
      <c r="AA3158">
        <v>0</v>
      </c>
      <c r="AB3158">
        <v>0</v>
      </c>
      <c r="AC3158">
        <v>45968</v>
      </c>
      <c r="AD3158">
        <v>1</v>
      </c>
      <c r="AE3158">
        <v>0</v>
      </c>
      <c r="AF3158">
        <v>0</v>
      </c>
      <c r="AG3158">
        <v>0</v>
      </c>
      <c r="AH3158">
        <v>0</v>
      </c>
    </row>
    <row r="3159" spans="2:34" x14ac:dyDescent="0.35">
      <c r="B3159" t="s">
        <v>566</v>
      </c>
      <c r="C3159">
        <v>45969</v>
      </c>
      <c r="F3159" t="s">
        <v>752</v>
      </c>
      <c r="H3159">
        <v>178.72</v>
      </c>
      <c r="O3159" t="s">
        <v>239</v>
      </c>
      <c r="P3159" t="s">
        <v>514</v>
      </c>
      <c r="Y3159">
        <v>3125</v>
      </c>
      <c r="Z3159" s="259" t="s">
        <v>630</v>
      </c>
      <c r="AA3159">
        <v>0</v>
      </c>
      <c r="AB3159">
        <v>0</v>
      </c>
      <c r="AC3159">
        <v>45968</v>
      </c>
      <c r="AD3159">
        <v>1</v>
      </c>
      <c r="AE3159">
        <v>0</v>
      </c>
      <c r="AF3159">
        <v>0</v>
      </c>
      <c r="AG3159">
        <v>0</v>
      </c>
      <c r="AH3159">
        <v>0</v>
      </c>
    </row>
    <row r="3160" spans="2:34" x14ac:dyDescent="0.35">
      <c r="B3160" t="s">
        <v>566</v>
      </c>
      <c r="C3160">
        <v>45969</v>
      </c>
      <c r="F3160" t="s">
        <v>754</v>
      </c>
      <c r="H3160">
        <v>76.42</v>
      </c>
      <c r="O3160" t="s">
        <v>239</v>
      </c>
      <c r="P3160" t="s">
        <v>514</v>
      </c>
      <c r="Y3160">
        <v>3126</v>
      </c>
      <c r="Z3160" s="259" t="s">
        <v>630</v>
      </c>
      <c r="AA3160">
        <v>0</v>
      </c>
      <c r="AB3160">
        <v>0</v>
      </c>
      <c r="AC3160">
        <v>45968</v>
      </c>
      <c r="AD3160">
        <v>1</v>
      </c>
      <c r="AE3160">
        <v>0</v>
      </c>
      <c r="AF3160">
        <v>0</v>
      </c>
      <c r="AG3160">
        <v>0</v>
      </c>
      <c r="AH3160">
        <v>0</v>
      </c>
    </row>
    <row r="3161" spans="2:34" x14ac:dyDescent="0.35">
      <c r="B3161" t="s">
        <v>566</v>
      </c>
      <c r="C3161">
        <v>45970</v>
      </c>
      <c r="F3161" t="s">
        <v>749</v>
      </c>
      <c r="H3161">
        <v>50.38</v>
      </c>
      <c r="O3161" t="s">
        <v>239</v>
      </c>
      <c r="P3161" t="s">
        <v>514</v>
      </c>
      <c r="Y3161">
        <v>3127</v>
      </c>
      <c r="Z3161" s="259" t="s">
        <v>630</v>
      </c>
      <c r="AA3161">
        <v>0</v>
      </c>
      <c r="AB3161">
        <v>0</v>
      </c>
      <c r="AC3161">
        <v>45968</v>
      </c>
      <c r="AD3161">
        <v>2</v>
      </c>
      <c r="AE3161">
        <v>0</v>
      </c>
      <c r="AF3161">
        <v>0</v>
      </c>
      <c r="AG3161">
        <v>0</v>
      </c>
      <c r="AH3161">
        <v>0</v>
      </c>
    </row>
    <row r="3162" spans="2:34" x14ac:dyDescent="0.35">
      <c r="B3162" t="s">
        <v>566</v>
      </c>
      <c r="C3162">
        <v>45970</v>
      </c>
      <c r="F3162" t="s">
        <v>752</v>
      </c>
      <c r="H3162">
        <v>178.72</v>
      </c>
      <c r="O3162" t="s">
        <v>239</v>
      </c>
      <c r="P3162" t="s">
        <v>514</v>
      </c>
      <c r="Y3162">
        <v>3128</v>
      </c>
      <c r="Z3162" s="259" t="s">
        <v>630</v>
      </c>
      <c r="AA3162">
        <v>0</v>
      </c>
      <c r="AB3162">
        <v>0</v>
      </c>
      <c r="AC3162">
        <v>45968</v>
      </c>
      <c r="AD3162">
        <v>2</v>
      </c>
      <c r="AE3162">
        <v>0</v>
      </c>
      <c r="AF3162">
        <v>0</v>
      </c>
      <c r="AG3162">
        <v>0</v>
      </c>
      <c r="AH3162">
        <v>0</v>
      </c>
    </row>
    <row r="3163" spans="2:34" x14ac:dyDescent="0.35">
      <c r="B3163" t="s">
        <v>566</v>
      </c>
      <c r="C3163">
        <v>45970</v>
      </c>
      <c r="F3163" t="s">
        <v>754</v>
      </c>
      <c r="H3163">
        <v>76.42</v>
      </c>
      <c r="O3163" t="s">
        <v>239</v>
      </c>
      <c r="P3163" t="s">
        <v>514</v>
      </c>
      <c r="Y3163">
        <v>3129</v>
      </c>
      <c r="Z3163" s="259" t="s">
        <v>630</v>
      </c>
      <c r="AA3163">
        <v>0</v>
      </c>
      <c r="AB3163">
        <v>0</v>
      </c>
      <c r="AC3163">
        <v>45968</v>
      </c>
      <c r="AD3163">
        <v>2</v>
      </c>
      <c r="AE3163">
        <v>0</v>
      </c>
      <c r="AF3163">
        <v>0</v>
      </c>
      <c r="AG3163">
        <v>0</v>
      </c>
      <c r="AH3163">
        <v>0</v>
      </c>
    </row>
    <row r="3164" spans="2:34" x14ac:dyDescent="0.35">
      <c r="B3164" t="s">
        <v>566</v>
      </c>
      <c r="C3164">
        <v>45971</v>
      </c>
      <c r="F3164" t="s">
        <v>749</v>
      </c>
      <c r="H3164">
        <v>50.07</v>
      </c>
      <c r="O3164" t="s">
        <v>239</v>
      </c>
      <c r="P3164" t="s">
        <v>514</v>
      </c>
      <c r="Y3164">
        <v>3130</v>
      </c>
      <c r="Z3164" s="259" t="s">
        <v>630</v>
      </c>
      <c r="AA3164">
        <v>0</v>
      </c>
      <c r="AB3164">
        <v>0</v>
      </c>
      <c r="AC3164">
        <v>45971</v>
      </c>
      <c r="AD3164">
        <v>0</v>
      </c>
      <c r="AE3164">
        <v>0</v>
      </c>
      <c r="AF3164">
        <v>0</v>
      </c>
      <c r="AG3164">
        <v>0</v>
      </c>
      <c r="AH3164">
        <v>0</v>
      </c>
    </row>
    <row r="3165" spans="2:34" x14ac:dyDescent="0.35">
      <c r="B3165" t="s">
        <v>566</v>
      </c>
      <c r="C3165">
        <v>45971</v>
      </c>
      <c r="F3165" t="s">
        <v>752</v>
      </c>
      <c r="H3165">
        <v>177.59</v>
      </c>
      <c r="O3165" t="s">
        <v>239</v>
      </c>
      <c r="P3165" t="s">
        <v>514</v>
      </c>
      <c r="Y3165">
        <v>3131</v>
      </c>
      <c r="Z3165" s="259" t="s">
        <v>630</v>
      </c>
      <c r="AA3165">
        <v>0</v>
      </c>
      <c r="AB3165">
        <v>0</v>
      </c>
      <c r="AC3165">
        <v>45971</v>
      </c>
      <c r="AD3165">
        <v>0</v>
      </c>
      <c r="AE3165">
        <v>0</v>
      </c>
      <c r="AF3165">
        <v>0</v>
      </c>
      <c r="AG3165">
        <v>0</v>
      </c>
      <c r="AH3165">
        <v>0</v>
      </c>
    </row>
    <row r="3166" spans="2:34" x14ac:dyDescent="0.35">
      <c r="B3166" t="s">
        <v>566</v>
      </c>
      <c r="C3166">
        <v>45971</v>
      </c>
      <c r="F3166" t="s">
        <v>754</v>
      </c>
      <c r="H3166">
        <v>76.73</v>
      </c>
      <c r="O3166" t="s">
        <v>239</v>
      </c>
      <c r="P3166" t="s">
        <v>514</v>
      </c>
      <c r="Y3166">
        <v>3132</v>
      </c>
      <c r="Z3166" s="259" t="s">
        <v>630</v>
      </c>
      <c r="AA3166">
        <v>0</v>
      </c>
      <c r="AB3166">
        <v>0</v>
      </c>
      <c r="AC3166">
        <v>45971</v>
      </c>
      <c r="AD3166">
        <v>0</v>
      </c>
      <c r="AE3166">
        <v>0</v>
      </c>
      <c r="AF3166">
        <v>0</v>
      </c>
      <c r="AG3166">
        <v>0</v>
      </c>
      <c r="AH3166">
        <v>0</v>
      </c>
    </row>
    <row r="3167" spans="2:34" x14ac:dyDescent="0.35">
      <c r="B3167" t="s">
        <v>566</v>
      </c>
      <c r="C3167">
        <v>45972</v>
      </c>
      <c r="F3167" t="s">
        <v>749</v>
      </c>
      <c r="H3167">
        <v>49.97</v>
      </c>
      <c r="O3167" t="s">
        <v>239</v>
      </c>
      <c r="P3167" t="s">
        <v>514</v>
      </c>
      <c r="Y3167">
        <v>3133</v>
      </c>
      <c r="Z3167" s="259" t="s">
        <v>630</v>
      </c>
      <c r="AA3167">
        <v>0</v>
      </c>
      <c r="AB3167">
        <v>0</v>
      </c>
      <c r="AC3167">
        <v>45972</v>
      </c>
      <c r="AD3167">
        <v>0</v>
      </c>
      <c r="AE3167">
        <v>0</v>
      </c>
      <c r="AF3167">
        <v>0</v>
      </c>
      <c r="AG3167">
        <v>0</v>
      </c>
      <c r="AH3167">
        <v>0</v>
      </c>
    </row>
    <row r="3168" spans="2:34" x14ac:dyDescent="0.35">
      <c r="B3168" t="s">
        <v>566</v>
      </c>
      <c r="C3168">
        <v>45972</v>
      </c>
      <c r="F3168" t="s">
        <v>752</v>
      </c>
      <c r="H3168">
        <v>177.21</v>
      </c>
      <c r="O3168" t="s">
        <v>239</v>
      </c>
      <c r="P3168" t="s">
        <v>514</v>
      </c>
      <c r="Y3168">
        <v>3134</v>
      </c>
      <c r="Z3168" s="259" t="s">
        <v>630</v>
      </c>
      <c r="AA3168">
        <v>0</v>
      </c>
      <c r="AB3168">
        <v>0</v>
      </c>
      <c r="AC3168">
        <v>45972</v>
      </c>
      <c r="AD3168">
        <v>0</v>
      </c>
      <c r="AE3168">
        <v>0</v>
      </c>
      <c r="AF3168">
        <v>0</v>
      </c>
      <c r="AG3168">
        <v>0</v>
      </c>
      <c r="AH3168">
        <v>0</v>
      </c>
    </row>
    <row r="3169" spans="2:34" x14ac:dyDescent="0.35">
      <c r="B3169" t="s">
        <v>566</v>
      </c>
      <c r="C3169">
        <v>45972</v>
      </c>
      <c r="F3169" t="s">
        <v>754</v>
      </c>
      <c r="H3169">
        <v>76.83</v>
      </c>
      <c r="O3169" t="s">
        <v>239</v>
      </c>
      <c r="P3169" t="s">
        <v>514</v>
      </c>
      <c r="Y3169">
        <v>3135</v>
      </c>
      <c r="Z3169" s="259" t="s">
        <v>630</v>
      </c>
      <c r="AA3169">
        <v>0</v>
      </c>
      <c r="AB3169">
        <v>0</v>
      </c>
      <c r="AC3169">
        <v>45972</v>
      </c>
      <c r="AD3169">
        <v>0</v>
      </c>
      <c r="AE3169">
        <v>0</v>
      </c>
      <c r="AF3169">
        <v>0</v>
      </c>
      <c r="AG3169">
        <v>0</v>
      </c>
      <c r="AH3169">
        <v>0</v>
      </c>
    </row>
    <row r="3170" spans="2:34" x14ac:dyDescent="0.35">
      <c r="B3170" t="s">
        <v>566</v>
      </c>
      <c r="C3170">
        <v>45973</v>
      </c>
      <c r="F3170" t="s">
        <v>749</v>
      </c>
      <c r="H3170">
        <v>49.86</v>
      </c>
      <c r="O3170" t="s">
        <v>239</v>
      </c>
      <c r="P3170" t="s">
        <v>514</v>
      </c>
      <c r="Y3170">
        <v>3136</v>
      </c>
      <c r="Z3170" s="259" t="s">
        <v>630</v>
      </c>
      <c r="AA3170">
        <v>0</v>
      </c>
      <c r="AB3170">
        <v>0</v>
      </c>
      <c r="AC3170">
        <v>45973</v>
      </c>
      <c r="AD3170">
        <v>0</v>
      </c>
      <c r="AE3170">
        <v>0</v>
      </c>
      <c r="AF3170">
        <v>0</v>
      </c>
      <c r="AG3170">
        <v>0</v>
      </c>
      <c r="AH3170">
        <v>0</v>
      </c>
    </row>
    <row r="3171" spans="2:34" x14ac:dyDescent="0.35">
      <c r="B3171" t="s">
        <v>566</v>
      </c>
      <c r="C3171">
        <v>45973</v>
      </c>
      <c r="F3171" t="s">
        <v>752</v>
      </c>
      <c r="H3171">
        <v>176.83</v>
      </c>
      <c r="O3171" t="s">
        <v>239</v>
      </c>
      <c r="P3171" t="s">
        <v>514</v>
      </c>
      <c r="Y3171">
        <v>3137</v>
      </c>
      <c r="Z3171" s="259" t="s">
        <v>630</v>
      </c>
      <c r="AA3171">
        <v>0</v>
      </c>
      <c r="AB3171">
        <v>0</v>
      </c>
      <c r="AC3171">
        <v>45973</v>
      </c>
      <c r="AD3171">
        <v>0</v>
      </c>
      <c r="AE3171">
        <v>0</v>
      </c>
      <c r="AF3171">
        <v>0</v>
      </c>
      <c r="AG3171">
        <v>0</v>
      </c>
      <c r="AH3171">
        <v>0</v>
      </c>
    </row>
    <row r="3172" spans="2:34" x14ac:dyDescent="0.35">
      <c r="B3172" t="s">
        <v>566</v>
      </c>
      <c r="C3172">
        <v>45973</v>
      </c>
      <c r="F3172" t="s">
        <v>754</v>
      </c>
      <c r="H3172">
        <v>76.94</v>
      </c>
      <c r="O3172" t="s">
        <v>239</v>
      </c>
      <c r="P3172" t="s">
        <v>514</v>
      </c>
      <c r="Y3172">
        <v>3138</v>
      </c>
      <c r="Z3172" s="259" t="s">
        <v>630</v>
      </c>
      <c r="AA3172">
        <v>0</v>
      </c>
      <c r="AB3172">
        <v>0</v>
      </c>
      <c r="AC3172">
        <v>45973</v>
      </c>
      <c r="AD3172">
        <v>0</v>
      </c>
      <c r="AE3172">
        <v>0</v>
      </c>
      <c r="AF3172">
        <v>0</v>
      </c>
      <c r="AG3172">
        <v>0</v>
      </c>
      <c r="AH3172">
        <v>0</v>
      </c>
    </row>
    <row r="3173" spans="2:34" x14ac:dyDescent="0.35">
      <c r="B3173" t="s">
        <v>566</v>
      </c>
      <c r="C3173">
        <v>45974</v>
      </c>
      <c r="F3173" t="s">
        <v>749</v>
      </c>
      <c r="H3173">
        <v>49.76</v>
      </c>
      <c r="O3173" t="s">
        <v>239</v>
      </c>
      <c r="P3173" t="s">
        <v>514</v>
      </c>
      <c r="Y3173">
        <v>3139</v>
      </c>
      <c r="Z3173" s="259" t="s">
        <v>630</v>
      </c>
      <c r="AA3173">
        <v>0</v>
      </c>
      <c r="AB3173">
        <v>0</v>
      </c>
      <c r="AC3173">
        <v>45974</v>
      </c>
      <c r="AD3173">
        <v>0</v>
      </c>
      <c r="AE3173">
        <v>0</v>
      </c>
      <c r="AF3173">
        <v>0</v>
      </c>
      <c r="AG3173">
        <v>0</v>
      </c>
      <c r="AH3173">
        <v>0</v>
      </c>
    </row>
    <row r="3174" spans="2:34" x14ac:dyDescent="0.35">
      <c r="B3174" t="s">
        <v>566</v>
      </c>
      <c r="C3174">
        <v>45974</v>
      </c>
      <c r="F3174" t="s">
        <v>752</v>
      </c>
      <c r="H3174">
        <v>176.45</v>
      </c>
      <c r="O3174" t="s">
        <v>239</v>
      </c>
      <c r="P3174" t="s">
        <v>514</v>
      </c>
      <c r="Y3174">
        <v>3140</v>
      </c>
      <c r="Z3174" s="259" t="s">
        <v>630</v>
      </c>
      <c r="AA3174">
        <v>0</v>
      </c>
      <c r="AB3174">
        <v>0</v>
      </c>
      <c r="AC3174">
        <v>45974</v>
      </c>
      <c r="AD3174">
        <v>0</v>
      </c>
      <c r="AE3174">
        <v>0</v>
      </c>
      <c r="AF3174">
        <v>0</v>
      </c>
      <c r="AG3174">
        <v>0</v>
      </c>
      <c r="AH3174">
        <v>0</v>
      </c>
    </row>
    <row r="3175" spans="2:34" x14ac:dyDescent="0.35">
      <c r="B3175" t="s">
        <v>566</v>
      </c>
      <c r="C3175">
        <v>45974</v>
      </c>
      <c r="F3175" t="s">
        <v>754</v>
      </c>
      <c r="H3175">
        <v>77.040000000000006</v>
      </c>
      <c r="O3175" t="s">
        <v>239</v>
      </c>
      <c r="P3175" t="s">
        <v>514</v>
      </c>
      <c r="Y3175">
        <v>3141</v>
      </c>
      <c r="Z3175" s="259" t="s">
        <v>630</v>
      </c>
      <c r="AA3175">
        <v>0</v>
      </c>
      <c r="AB3175">
        <v>0</v>
      </c>
      <c r="AC3175">
        <v>45974</v>
      </c>
      <c r="AD3175">
        <v>0</v>
      </c>
      <c r="AE3175">
        <v>0</v>
      </c>
      <c r="AF3175">
        <v>0</v>
      </c>
      <c r="AG3175">
        <v>0</v>
      </c>
      <c r="AH3175">
        <v>0</v>
      </c>
    </row>
    <row r="3176" spans="2:34" x14ac:dyDescent="0.35">
      <c r="B3176" t="s">
        <v>566</v>
      </c>
      <c r="C3176">
        <v>45975</v>
      </c>
      <c r="F3176" t="s">
        <v>749</v>
      </c>
      <c r="H3176">
        <v>49.66</v>
      </c>
      <c r="O3176" t="s">
        <v>239</v>
      </c>
      <c r="P3176" t="s">
        <v>514</v>
      </c>
      <c r="Y3176">
        <v>3142</v>
      </c>
      <c r="Z3176" s="259" t="s">
        <v>630</v>
      </c>
      <c r="AA3176">
        <v>0</v>
      </c>
      <c r="AB3176">
        <v>0</v>
      </c>
      <c r="AC3176">
        <v>45975</v>
      </c>
      <c r="AD3176">
        <v>0</v>
      </c>
      <c r="AE3176">
        <v>0</v>
      </c>
      <c r="AF3176">
        <v>0</v>
      </c>
      <c r="AG3176">
        <v>0</v>
      </c>
      <c r="AH3176">
        <v>0</v>
      </c>
    </row>
    <row r="3177" spans="2:34" x14ac:dyDescent="0.35">
      <c r="B3177" t="s">
        <v>566</v>
      </c>
      <c r="C3177">
        <v>45975</v>
      </c>
      <c r="F3177" t="s">
        <v>752</v>
      </c>
      <c r="H3177">
        <v>176.07</v>
      </c>
      <c r="O3177" t="s">
        <v>239</v>
      </c>
      <c r="P3177" t="s">
        <v>514</v>
      </c>
      <c r="Y3177">
        <v>3143</v>
      </c>
      <c r="Z3177" s="259" t="s">
        <v>630</v>
      </c>
      <c r="AA3177">
        <v>0</v>
      </c>
      <c r="AB3177">
        <v>0</v>
      </c>
      <c r="AC3177">
        <v>45975</v>
      </c>
      <c r="AD3177">
        <v>0</v>
      </c>
      <c r="AE3177">
        <v>0</v>
      </c>
      <c r="AF3177">
        <v>0</v>
      </c>
      <c r="AG3177">
        <v>0</v>
      </c>
      <c r="AH3177">
        <v>0</v>
      </c>
    </row>
    <row r="3178" spans="2:34" x14ac:dyDescent="0.35">
      <c r="B3178" t="s">
        <v>566</v>
      </c>
      <c r="C3178">
        <v>45975</v>
      </c>
      <c r="F3178" t="s">
        <v>754</v>
      </c>
      <c r="H3178">
        <v>77.14</v>
      </c>
      <c r="O3178" t="s">
        <v>239</v>
      </c>
      <c r="P3178" t="s">
        <v>514</v>
      </c>
      <c r="Y3178">
        <v>3144</v>
      </c>
      <c r="Z3178" s="259" t="s">
        <v>630</v>
      </c>
      <c r="AA3178">
        <v>0</v>
      </c>
      <c r="AB3178">
        <v>0</v>
      </c>
      <c r="AC3178">
        <v>45975</v>
      </c>
      <c r="AD3178">
        <v>0</v>
      </c>
      <c r="AE3178">
        <v>0</v>
      </c>
      <c r="AF3178">
        <v>0</v>
      </c>
      <c r="AG3178">
        <v>0</v>
      </c>
      <c r="AH3178">
        <v>0</v>
      </c>
    </row>
    <row r="3179" spans="2:34" x14ac:dyDescent="0.35">
      <c r="B3179" t="s">
        <v>566</v>
      </c>
      <c r="C3179">
        <v>45976</v>
      </c>
      <c r="F3179" t="s">
        <v>749</v>
      </c>
      <c r="H3179">
        <v>49.66</v>
      </c>
      <c r="O3179" t="s">
        <v>239</v>
      </c>
      <c r="P3179" t="s">
        <v>514</v>
      </c>
      <c r="Y3179">
        <v>3145</v>
      </c>
      <c r="Z3179" s="259" t="s">
        <v>630</v>
      </c>
      <c r="AA3179">
        <v>0</v>
      </c>
      <c r="AB3179">
        <v>0</v>
      </c>
      <c r="AC3179">
        <v>45975</v>
      </c>
      <c r="AD3179">
        <v>1</v>
      </c>
      <c r="AE3179">
        <v>0</v>
      </c>
      <c r="AF3179">
        <v>0</v>
      </c>
      <c r="AG3179">
        <v>0</v>
      </c>
      <c r="AH3179">
        <v>0</v>
      </c>
    </row>
    <row r="3180" spans="2:34" x14ac:dyDescent="0.35">
      <c r="B3180" t="s">
        <v>566</v>
      </c>
      <c r="C3180">
        <v>45976</v>
      </c>
      <c r="F3180" t="s">
        <v>752</v>
      </c>
      <c r="H3180">
        <v>176.07</v>
      </c>
      <c r="O3180" t="s">
        <v>239</v>
      </c>
      <c r="P3180" t="s">
        <v>514</v>
      </c>
      <c r="Y3180">
        <v>3146</v>
      </c>
      <c r="Z3180" s="259" t="s">
        <v>630</v>
      </c>
      <c r="AA3180">
        <v>0</v>
      </c>
      <c r="AB3180">
        <v>0</v>
      </c>
      <c r="AC3180">
        <v>45975</v>
      </c>
      <c r="AD3180">
        <v>1</v>
      </c>
      <c r="AE3180">
        <v>0</v>
      </c>
      <c r="AF3180">
        <v>0</v>
      </c>
      <c r="AG3180">
        <v>0</v>
      </c>
      <c r="AH3180">
        <v>0</v>
      </c>
    </row>
    <row r="3181" spans="2:34" x14ac:dyDescent="0.35">
      <c r="B3181" t="s">
        <v>566</v>
      </c>
      <c r="C3181">
        <v>45976</v>
      </c>
      <c r="F3181" t="s">
        <v>754</v>
      </c>
      <c r="H3181">
        <v>77.14</v>
      </c>
      <c r="O3181" t="s">
        <v>239</v>
      </c>
      <c r="P3181" t="s">
        <v>514</v>
      </c>
      <c r="Y3181">
        <v>3147</v>
      </c>
      <c r="Z3181" s="259" t="s">
        <v>630</v>
      </c>
      <c r="AA3181">
        <v>0</v>
      </c>
      <c r="AB3181">
        <v>0</v>
      </c>
      <c r="AC3181">
        <v>45975</v>
      </c>
      <c r="AD3181">
        <v>1</v>
      </c>
      <c r="AE3181">
        <v>0</v>
      </c>
      <c r="AF3181">
        <v>0</v>
      </c>
      <c r="AG3181">
        <v>0</v>
      </c>
      <c r="AH3181">
        <v>0</v>
      </c>
    </row>
    <row r="3182" spans="2:34" x14ac:dyDescent="0.35">
      <c r="B3182" t="s">
        <v>566</v>
      </c>
      <c r="C3182">
        <v>45977</v>
      </c>
      <c r="F3182" t="s">
        <v>749</v>
      </c>
      <c r="H3182">
        <v>49.66</v>
      </c>
      <c r="O3182" t="s">
        <v>239</v>
      </c>
      <c r="P3182" t="s">
        <v>514</v>
      </c>
      <c r="Y3182">
        <v>3148</v>
      </c>
      <c r="Z3182" s="259" t="s">
        <v>630</v>
      </c>
      <c r="AA3182">
        <v>0</v>
      </c>
      <c r="AB3182">
        <v>0</v>
      </c>
      <c r="AC3182">
        <v>45975</v>
      </c>
      <c r="AD3182">
        <v>2</v>
      </c>
      <c r="AE3182">
        <v>0</v>
      </c>
      <c r="AF3182">
        <v>0</v>
      </c>
      <c r="AG3182">
        <v>0</v>
      </c>
      <c r="AH3182">
        <v>0</v>
      </c>
    </row>
    <row r="3183" spans="2:34" x14ac:dyDescent="0.35">
      <c r="B3183" t="s">
        <v>566</v>
      </c>
      <c r="C3183">
        <v>45977</v>
      </c>
      <c r="F3183" t="s">
        <v>752</v>
      </c>
      <c r="H3183">
        <v>176.07</v>
      </c>
      <c r="O3183" t="s">
        <v>239</v>
      </c>
      <c r="P3183" t="s">
        <v>514</v>
      </c>
      <c r="Y3183">
        <v>3149</v>
      </c>
      <c r="Z3183" s="259" t="s">
        <v>630</v>
      </c>
      <c r="AA3183">
        <v>0</v>
      </c>
      <c r="AB3183">
        <v>0</v>
      </c>
      <c r="AC3183">
        <v>45975</v>
      </c>
      <c r="AD3183">
        <v>2</v>
      </c>
      <c r="AE3183">
        <v>0</v>
      </c>
      <c r="AF3183">
        <v>0</v>
      </c>
      <c r="AG3183">
        <v>0</v>
      </c>
      <c r="AH3183">
        <v>0</v>
      </c>
    </row>
    <row r="3184" spans="2:34" x14ac:dyDescent="0.35">
      <c r="B3184" t="s">
        <v>566</v>
      </c>
      <c r="C3184">
        <v>45977</v>
      </c>
      <c r="F3184" t="s">
        <v>754</v>
      </c>
      <c r="H3184">
        <v>77.14</v>
      </c>
      <c r="O3184" t="s">
        <v>239</v>
      </c>
      <c r="P3184" t="s">
        <v>514</v>
      </c>
      <c r="Y3184">
        <v>3150</v>
      </c>
      <c r="Z3184" s="259" t="s">
        <v>630</v>
      </c>
      <c r="AA3184">
        <v>0</v>
      </c>
      <c r="AB3184">
        <v>0</v>
      </c>
      <c r="AC3184">
        <v>45975</v>
      </c>
      <c r="AD3184">
        <v>2</v>
      </c>
      <c r="AE3184">
        <v>0</v>
      </c>
      <c r="AF3184">
        <v>0</v>
      </c>
      <c r="AG3184">
        <v>0</v>
      </c>
      <c r="AH3184">
        <v>0</v>
      </c>
    </row>
    <row r="3185" spans="2:34" x14ac:dyDescent="0.35">
      <c r="B3185" t="s">
        <v>566</v>
      </c>
      <c r="C3185">
        <v>45978</v>
      </c>
      <c r="F3185" t="s">
        <v>749</v>
      </c>
      <c r="H3185">
        <v>49.34</v>
      </c>
      <c r="O3185" t="s">
        <v>239</v>
      </c>
      <c r="P3185" t="s">
        <v>514</v>
      </c>
      <c r="Y3185">
        <v>3151</v>
      </c>
      <c r="Z3185" s="259" t="s">
        <v>630</v>
      </c>
      <c r="AA3185">
        <v>0</v>
      </c>
      <c r="AB3185">
        <v>0</v>
      </c>
      <c r="AC3185">
        <v>45978</v>
      </c>
      <c r="AD3185">
        <v>0</v>
      </c>
      <c r="AE3185">
        <v>0</v>
      </c>
      <c r="AF3185">
        <v>0</v>
      </c>
      <c r="AG3185">
        <v>0</v>
      </c>
      <c r="AH3185">
        <v>0</v>
      </c>
    </row>
    <row r="3186" spans="2:34" x14ac:dyDescent="0.35">
      <c r="B3186" t="s">
        <v>566</v>
      </c>
      <c r="C3186">
        <v>45978</v>
      </c>
      <c r="F3186" t="s">
        <v>752</v>
      </c>
      <c r="H3186">
        <v>174.93</v>
      </c>
      <c r="O3186" t="s">
        <v>239</v>
      </c>
      <c r="P3186" t="s">
        <v>514</v>
      </c>
      <c r="Y3186">
        <v>3152</v>
      </c>
      <c r="Z3186" s="259" t="s">
        <v>630</v>
      </c>
      <c r="AA3186">
        <v>0</v>
      </c>
      <c r="AB3186">
        <v>0</v>
      </c>
      <c r="AC3186">
        <v>45978</v>
      </c>
      <c r="AD3186">
        <v>0</v>
      </c>
      <c r="AE3186">
        <v>0</v>
      </c>
      <c r="AF3186">
        <v>0</v>
      </c>
      <c r="AG3186">
        <v>0</v>
      </c>
      <c r="AH3186">
        <v>0</v>
      </c>
    </row>
    <row r="3187" spans="2:34" x14ac:dyDescent="0.35">
      <c r="B3187" t="s">
        <v>566</v>
      </c>
      <c r="C3187">
        <v>45978</v>
      </c>
      <c r="F3187" t="s">
        <v>754</v>
      </c>
      <c r="H3187">
        <v>77.459999999999994</v>
      </c>
      <c r="O3187" t="s">
        <v>239</v>
      </c>
      <c r="P3187" t="s">
        <v>514</v>
      </c>
      <c r="Y3187">
        <v>3153</v>
      </c>
      <c r="Z3187" s="259" t="s">
        <v>630</v>
      </c>
      <c r="AA3187">
        <v>0</v>
      </c>
      <c r="AB3187">
        <v>0</v>
      </c>
      <c r="AC3187">
        <v>45978</v>
      </c>
      <c r="AD3187">
        <v>0</v>
      </c>
      <c r="AE3187">
        <v>0</v>
      </c>
      <c r="AF3187">
        <v>0</v>
      </c>
      <c r="AG3187">
        <v>0</v>
      </c>
      <c r="AH3187">
        <v>0</v>
      </c>
    </row>
    <row r="3188" spans="2:34" x14ac:dyDescent="0.35">
      <c r="B3188" t="s">
        <v>566</v>
      </c>
      <c r="C3188">
        <v>45979</v>
      </c>
      <c r="F3188" t="s">
        <v>749</v>
      </c>
      <c r="H3188">
        <v>49.24</v>
      </c>
      <c r="O3188" t="s">
        <v>239</v>
      </c>
      <c r="P3188" t="s">
        <v>514</v>
      </c>
      <c r="Y3188">
        <v>3154</v>
      </c>
      <c r="Z3188" s="259" t="s">
        <v>630</v>
      </c>
      <c r="AA3188">
        <v>0</v>
      </c>
      <c r="AB3188">
        <v>0</v>
      </c>
      <c r="AC3188">
        <v>45979</v>
      </c>
      <c r="AD3188">
        <v>0</v>
      </c>
      <c r="AE3188">
        <v>0</v>
      </c>
      <c r="AF3188">
        <v>0</v>
      </c>
      <c r="AG3188">
        <v>0</v>
      </c>
      <c r="AH3188">
        <v>0</v>
      </c>
    </row>
    <row r="3189" spans="2:34" x14ac:dyDescent="0.35">
      <c r="B3189" t="s">
        <v>566</v>
      </c>
      <c r="C3189">
        <v>45979</v>
      </c>
      <c r="F3189" t="s">
        <v>752</v>
      </c>
      <c r="H3189">
        <v>174.55</v>
      </c>
      <c r="O3189" t="s">
        <v>239</v>
      </c>
      <c r="P3189" t="s">
        <v>514</v>
      </c>
      <c r="Y3189">
        <v>3155</v>
      </c>
      <c r="Z3189" s="259" t="s">
        <v>630</v>
      </c>
      <c r="AA3189">
        <v>0</v>
      </c>
      <c r="AB3189">
        <v>0</v>
      </c>
      <c r="AC3189">
        <v>45979</v>
      </c>
      <c r="AD3189">
        <v>0</v>
      </c>
      <c r="AE3189">
        <v>0</v>
      </c>
      <c r="AF3189">
        <v>0</v>
      </c>
      <c r="AG3189">
        <v>0</v>
      </c>
      <c r="AH3189">
        <v>0</v>
      </c>
    </row>
    <row r="3190" spans="2:34" x14ac:dyDescent="0.35">
      <c r="B3190" t="s">
        <v>566</v>
      </c>
      <c r="C3190">
        <v>45979</v>
      </c>
      <c r="F3190" t="s">
        <v>754</v>
      </c>
      <c r="H3190">
        <v>77.56</v>
      </c>
      <c r="O3190" t="s">
        <v>239</v>
      </c>
      <c r="P3190" t="s">
        <v>514</v>
      </c>
      <c r="Y3190">
        <v>3156</v>
      </c>
      <c r="Z3190" s="259" t="s">
        <v>630</v>
      </c>
      <c r="AA3190">
        <v>0</v>
      </c>
      <c r="AB3190">
        <v>0</v>
      </c>
      <c r="AC3190">
        <v>45979</v>
      </c>
      <c r="AD3190">
        <v>0</v>
      </c>
      <c r="AE3190">
        <v>0</v>
      </c>
      <c r="AF3190">
        <v>0</v>
      </c>
      <c r="AG3190">
        <v>0</v>
      </c>
      <c r="AH3190">
        <v>0</v>
      </c>
    </row>
    <row r="3191" spans="2:34" x14ac:dyDescent="0.35">
      <c r="B3191" t="s">
        <v>566</v>
      </c>
      <c r="C3191">
        <v>45980</v>
      </c>
      <c r="F3191" t="s">
        <v>749</v>
      </c>
      <c r="H3191">
        <v>49.14</v>
      </c>
      <c r="O3191" t="s">
        <v>239</v>
      </c>
      <c r="P3191" t="s">
        <v>514</v>
      </c>
      <c r="Y3191">
        <v>3157</v>
      </c>
      <c r="Z3191" s="259" t="s">
        <v>630</v>
      </c>
      <c r="AA3191">
        <v>0</v>
      </c>
      <c r="AB3191">
        <v>0</v>
      </c>
      <c r="AC3191">
        <v>45980</v>
      </c>
      <c r="AD3191">
        <v>0</v>
      </c>
      <c r="AE3191">
        <v>0</v>
      </c>
      <c r="AF3191">
        <v>0</v>
      </c>
      <c r="AG3191">
        <v>0</v>
      </c>
      <c r="AH3191">
        <v>0</v>
      </c>
    </row>
    <row r="3192" spans="2:34" x14ac:dyDescent="0.35">
      <c r="B3192" t="s">
        <v>566</v>
      </c>
      <c r="C3192">
        <v>45980</v>
      </c>
      <c r="F3192" t="s">
        <v>752</v>
      </c>
      <c r="H3192">
        <v>174.17</v>
      </c>
      <c r="O3192" t="s">
        <v>239</v>
      </c>
      <c r="P3192" t="s">
        <v>514</v>
      </c>
      <c r="Y3192">
        <v>3158</v>
      </c>
      <c r="Z3192" s="259" t="s">
        <v>630</v>
      </c>
      <c r="AA3192">
        <v>0</v>
      </c>
      <c r="AB3192">
        <v>0</v>
      </c>
      <c r="AC3192">
        <v>45980</v>
      </c>
      <c r="AD3192">
        <v>0</v>
      </c>
      <c r="AE3192">
        <v>0</v>
      </c>
      <c r="AF3192">
        <v>0</v>
      </c>
      <c r="AG3192">
        <v>0</v>
      </c>
      <c r="AH3192">
        <v>0</v>
      </c>
    </row>
    <row r="3193" spans="2:34" x14ac:dyDescent="0.35">
      <c r="B3193" t="s">
        <v>566</v>
      </c>
      <c r="C3193">
        <v>45980</v>
      </c>
      <c r="F3193" t="s">
        <v>754</v>
      </c>
      <c r="H3193">
        <v>77.66</v>
      </c>
      <c r="O3193" t="s">
        <v>239</v>
      </c>
      <c r="P3193" t="s">
        <v>514</v>
      </c>
      <c r="Y3193">
        <v>3159</v>
      </c>
      <c r="Z3193" s="259" t="s">
        <v>630</v>
      </c>
      <c r="AA3193">
        <v>0</v>
      </c>
      <c r="AB3193">
        <v>0</v>
      </c>
      <c r="AC3193">
        <v>45980</v>
      </c>
      <c r="AD3193">
        <v>0</v>
      </c>
      <c r="AE3193">
        <v>0</v>
      </c>
      <c r="AF3193">
        <v>0</v>
      </c>
      <c r="AG3193">
        <v>0</v>
      </c>
      <c r="AH3193">
        <v>0</v>
      </c>
    </row>
    <row r="3194" spans="2:34" x14ac:dyDescent="0.35">
      <c r="B3194" t="s">
        <v>566</v>
      </c>
      <c r="C3194">
        <v>45981</v>
      </c>
      <c r="F3194" t="s">
        <v>749</v>
      </c>
      <c r="H3194">
        <v>49.03</v>
      </c>
      <c r="O3194" t="s">
        <v>239</v>
      </c>
      <c r="P3194" t="s">
        <v>514</v>
      </c>
      <c r="Y3194">
        <v>3160</v>
      </c>
      <c r="Z3194" s="259" t="s">
        <v>630</v>
      </c>
      <c r="AA3194">
        <v>0</v>
      </c>
      <c r="AB3194">
        <v>0</v>
      </c>
      <c r="AC3194">
        <v>45981</v>
      </c>
      <c r="AD3194">
        <v>0</v>
      </c>
      <c r="AE3194">
        <v>0</v>
      </c>
      <c r="AF3194">
        <v>0</v>
      </c>
      <c r="AG3194">
        <v>0</v>
      </c>
      <c r="AH3194">
        <v>0</v>
      </c>
    </row>
    <row r="3195" spans="2:34" x14ac:dyDescent="0.35">
      <c r="B3195" t="s">
        <v>566</v>
      </c>
      <c r="C3195">
        <v>45981</v>
      </c>
      <c r="F3195" t="s">
        <v>752</v>
      </c>
      <c r="H3195">
        <v>173.79</v>
      </c>
      <c r="O3195" t="s">
        <v>239</v>
      </c>
      <c r="P3195" t="s">
        <v>514</v>
      </c>
      <c r="Y3195">
        <v>3161</v>
      </c>
      <c r="Z3195" s="259" t="s">
        <v>630</v>
      </c>
      <c r="AA3195">
        <v>0</v>
      </c>
      <c r="AB3195">
        <v>0</v>
      </c>
      <c r="AC3195">
        <v>45981</v>
      </c>
      <c r="AD3195">
        <v>0</v>
      </c>
      <c r="AE3195">
        <v>0</v>
      </c>
      <c r="AF3195">
        <v>0</v>
      </c>
      <c r="AG3195">
        <v>0</v>
      </c>
      <c r="AH3195">
        <v>0</v>
      </c>
    </row>
    <row r="3196" spans="2:34" x14ac:dyDescent="0.35">
      <c r="B3196" t="s">
        <v>566</v>
      </c>
      <c r="C3196">
        <v>45981</v>
      </c>
      <c r="F3196" t="s">
        <v>754</v>
      </c>
      <c r="H3196">
        <v>77.77</v>
      </c>
      <c r="O3196" t="s">
        <v>239</v>
      </c>
      <c r="P3196" t="s">
        <v>514</v>
      </c>
      <c r="Y3196">
        <v>3162</v>
      </c>
      <c r="Z3196" s="259" t="s">
        <v>630</v>
      </c>
      <c r="AA3196">
        <v>0</v>
      </c>
      <c r="AB3196">
        <v>0</v>
      </c>
      <c r="AC3196">
        <v>45981</v>
      </c>
      <c r="AD3196">
        <v>0</v>
      </c>
      <c r="AE3196">
        <v>0</v>
      </c>
      <c r="AF3196">
        <v>0</v>
      </c>
      <c r="AG3196">
        <v>0</v>
      </c>
      <c r="AH3196">
        <v>0</v>
      </c>
    </row>
    <row r="3197" spans="2:34" x14ac:dyDescent="0.35">
      <c r="B3197" t="s">
        <v>566</v>
      </c>
      <c r="C3197">
        <v>45982</v>
      </c>
      <c r="F3197" t="s">
        <v>749</v>
      </c>
      <c r="H3197">
        <v>48.93</v>
      </c>
      <c r="O3197" t="s">
        <v>239</v>
      </c>
      <c r="P3197" t="s">
        <v>514</v>
      </c>
      <c r="Y3197">
        <v>3163</v>
      </c>
      <c r="Z3197" s="259" t="s">
        <v>630</v>
      </c>
      <c r="AA3197">
        <v>0</v>
      </c>
      <c r="AB3197">
        <v>0</v>
      </c>
      <c r="AC3197">
        <v>45982</v>
      </c>
      <c r="AD3197">
        <v>0</v>
      </c>
      <c r="AE3197">
        <v>0</v>
      </c>
      <c r="AF3197">
        <v>0</v>
      </c>
      <c r="AG3197">
        <v>0</v>
      </c>
      <c r="AH3197">
        <v>0</v>
      </c>
    </row>
    <row r="3198" spans="2:34" x14ac:dyDescent="0.35">
      <c r="B3198" t="s">
        <v>566</v>
      </c>
      <c r="C3198">
        <v>45982</v>
      </c>
      <c r="F3198" t="s">
        <v>752</v>
      </c>
      <c r="H3198">
        <v>173.41</v>
      </c>
      <c r="O3198" t="s">
        <v>239</v>
      </c>
      <c r="P3198" t="s">
        <v>514</v>
      </c>
      <c r="Y3198">
        <v>3164</v>
      </c>
      <c r="Z3198" s="259" t="s">
        <v>630</v>
      </c>
      <c r="AA3198">
        <v>0</v>
      </c>
      <c r="AB3198">
        <v>0</v>
      </c>
      <c r="AC3198">
        <v>45982</v>
      </c>
      <c r="AD3198">
        <v>0</v>
      </c>
      <c r="AE3198">
        <v>0</v>
      </c>
      <c r="AF3198">
        <v>0</v>
      </c>
      <c r="AG3198">
        <v>0</v>
      </c>
      <c r="AH3198">
        <v>0</v>
      </c>
    </row>
    <row r="3199" spans="2:34" x14ac:dyDescent="0.35">
      <c r="B3199" t="s">
        <v>566</v>
      </c>
      <c r="C3199">
        <v>45982</v>
      </c>
      <c r="F3199" t="s">
        <v>754</v>
      </c>
      <c r="H3199">
        <v>77.87</v>
      </c>
      <c r="O3199" t="s">
        <v>239</v>
      </c>
      <c r="P3199" t="s">
        <v>514</v>
      </c>
      <c r="Y3199">
        <v>3165</v>
      </c>
      <c r="Z3199" s="259" t="s">
        <v>630</v>
      </c>
      <c r="AA3199">
        <v>0</v>
      </c>
      <c r="AB3199">
        <v>0</v>
      </c>
      <c r="AC3199">
        <v>45982</v>
      </c>
      <c r="AD3199">
        <v>0</v>
      </c>
      <c r="AE3199">
        <v>0</v>
      </c>
      <c r="AF3199">
        <v>0</v>
      </c>
      <c r="AG3199">
        <v>0</v>
      </c>
      <c r="AH3199">
        <v>0</v>
      </c>
    </row>
    <row r="3200" spans="2:34" x14ac:dyDescent="0.35">
      <c r="B3200" t="s">
        <v>566</v>
      </c>
      <c r="C3200">
        <v>45983</v>
      </c>
      <c r="F3200" t="s">
        <v>749</v>
      </c>
      <c r="H3200">
        <v>48.93</v>
      </c>
      <c r="O3200" t="s">
        <v>239</v>
      </c>
      <c r="P3200" t="s">
        <v>514</v>
      </c>
      <c r="Y3200">
        <v>3166</v>
      </c>
      <c r="Z3200" s="259" t="s">
        <v>630</v>
      </c>
      <c r="AA3200">
        <v>0</v>
      </c>
      <c r="AB3200">
        <v>0</v>
      </c>
      <c r="AC3200">
        <v>45982</v>
      </c>
      <c r="AD3200">
        <v>1</v>
      </c>
      <c r="AE3200">
        <v>0</v>
      </c>
      <c r="AF3200">
        <v>0</v>
      </c>
      <c r="AG3200">
        <v>0</v>
      </c>
      <c r="AH3200">
        <v>0</v>
      </c>
    </row>
    <row r="3201" spans="2:34" x14ac:dyDescent="0.35">
      <c r="B3201" t="s">
        <v>566</v>
      </c>
      <c r="C3201">
        <v>45983</v>
      </c>
      <c r="F3201" t="s">
        <v>752</v>
      </c>
      <c r="H3201">
        <v>173.41</v>
      </c>
      <c r="O3201" t="s">
        <v>239</v>
      </c>
      <c r="P3201" t="s">
        <v>514</v>
      </c>
      <c r="Y3201">
        <v>3167</v>
      </c>
      <c r="Z3201" s="259" t="s">
        <v>630</v>
      </c>
      <c r="AA3201">
        <v>0</v>
      </c>
      <c r="AB3201">
        <v>0</v>
      </c>
      <c r="AC3201">
        <v>45982</v>
      </c>
      <c r="AD3201">
        <v>1</v>
      </c>
      <c r="AE3201">
        <v>0</v>
      </c>
      <c r="AF3201">
        <v>0</v>
      </c>
      <c r="AG3201">
        <v>0</v>
      </c>
      <c r="AH3201">
        <v>0</v>
      </c>
    </row>
    <row r="3202" spans="2:34" x14ac:dyDescent="0.35">
      <c r="B3202" t="s">
        <v>566</v>
      </c>
      <c r="C3202">
        <v>45983</v>
      </c>
      <c r="F3202" t="s">
        <v>754</v>
      </c>
      <c r="H3202">
        <v>77.87</v>
      </c>
      <c r="O3202" t="s">
        <v>239</v>
      </c>
      <c r="P3202" t="s">
        <v>514</v>
      </c>
      <c r="Y3202">
        <v>3168</v>
      </c>
      <c r="Z3202" s="259" t="s">
        <v>630</v>
      </c>
      <c r="AA3202">
        <v>0</v>
      </c>
      <c r="AB3202">
        <v>0</v>
      </c>
      <c r="AC3202">
        <v>45982</v>
      </c>
      <c r="AD3202">
        <v>1</v>
      </c>
      <c r="AE3202">
        <v>0</v>
      </c>
      <c r="AF3202">
        <v>0</v>
      </c>
      <c r="AG3202">
        <v>0</v>
      </c>
      <c r="AH3202">
        <v>0</v>
      </c>
    </row>
    <row r="3203" spans="2:34" x14ac:dyDescent="0.35">
      <c r="B3203" t="s">
        <v>566</v>
      </c>
      <c r="C3203">
        <v>45984</v>
      </c>
      <c r="F3203" t="s">
        <v>749</v>
      </c>
      <c r="H3203">
        <v>48.93</v>
      </c>
      <c r="O3203" t="s">
        <v>239</v>
      </c>
      <c r="P3203" t="s">
        <v>514</v>
      </c>
      <c r="Y3203">
        <v>3169</v>
      </c>
      <c r="Z3203" s="259" t="s">
        <v>630</v>
      </c>
      <c r="AA3203">
        <v>0</v>
      </c>
      <c r="AB3203">
        <v>0</v>
      </c>
      <c r="AC3203">
        <v>45982</v>
      </c>
      <c r="AD3203">
        <v>2</v>
      </c>
      <c r="AE3203">
        <v>0</v>
      </c>
      <c r="AF3203">
        <v>0</v>
      </c>
      <c r="AG3203">
        <v>0</v>
      </c>
      <c r="AH3203">
        <v>0</v>
      </c>
    </row>
    <row r="3204" spans="2:34" x14ac:dyDescent="0.35">
      <c r="B3204" t="s">
        <v>566</v>
      </c>
      <c r="C3204">
        <v>45984</v>
      </c>
      <c r="F3204" t="s">
        <v>752</v>
      </c>
      <c r="H3204">
        <v>173.41</v>
      </c>
      <c r="O3204" t="s">
        <v>239</v>
      </c>
      <c r="P3204" t="s">
        <v>514</v>
      </c>
      <c r="Y3204">
        <v>3170</v>
      </c>
      <c r="Z3204" s="259" t="s">
        <v>630</v>
      </c>
      <c r="AA3204">
        <v>0</v>
      </c>
      <c r="AB3204">
        <v>0</v>
      </c>
      <c r="AC3204">
        <v>45982</v>
      </c>
      <c r="AD3204">
        <v>2</v>
      </c>
      <c r="AE3204">
        <v>0</v>
      </c>
      <c r="AF3204">
        <v>0</v>
      </c>
      <c r="AG3204">
        <v>0</v>
      </c>
      <c r="AH3204">
        <v>0</v>
      </c>
    </row>
    <row r="3205" spans="2:34" x14ac:dyDescent="0.35">
      <c r="B3205" t="s">
        <v>566</v>
      </c>
      <c r="C3205">
        <v>45984</v>
      </c>
      <c r="F3205" t="s">
        <v>754</v>
      </c>
      <c r="H3205">
        <v>77.87</v>
      </c>
      <c r="O3205" t="s">
        <v>239</v>
      </c>
      <c r="P3205" t="s">
        <v>514</v>
      </c>
      <c r="Y3205">
        <v>3171</v>
      </c>
      <c r="Z3205" s="259" t="s">
        <v>630</v>
      </c>
      <c r="AA3205">
        <v>0</v>
      </c>
      <c r="AB3205">
        <v>0</v>
      </c>
      <c r="AC3205">
        <v>45982</v>
      </c>
      <c r="AD3205">
        <v>2</v>
      </c>
      <c r="AE3205">
        <v>0</v>
      </c>
      <c r="AF3205">
        <v>0</v>
      </c>
      <c r="AG3205">
        <v>0</v>
      </c>
      <c r="AH3205">
        <v>0</v>
      </c>
    </row>
    <row r="3206" spans="2:34" x14ac:dyDescent="0.35">
      <c r="B3206" t="s">
        <v>566</v>
      </c>
      <c r="C3206">
        <v>45985</v>
      </c>
      <c r="F3206" t="s">
        <v>749</v>
      </c>
      <c r="H3206">
        <v>48.62</v>
      </c>
      <c r="O3206" t="s">
        <v>239</v>
      </c>
      <c r="P3206" t="s">
        <v>514</v>
      </c>
      <c r="Y3206">
        <v>3172</v>
      </c>
      <c r="Z3206" s="259" t="s">
        <v>630</v>
      </c>
      <c r="AA3206">
        <v>0</v>
      </c>
      <c r="AB3206">
        <v>0</v>
      </c>
      <c r="AC3206">
        <v>45985</v>
      </c>
      <c r="AD3206">
        <v>0</v>
      </c>
      <c r="AE3206">
        <v>0</v>
      </c>
      <c r="AF3206">
        <v>0</v>
      </c>
      <c r="AG3206">
        <v>0</v>
      </c>
      <c r="AH3206">
        <v>0</v>
      </c>
    </row>
    <row r="3207" spans="2:34" x14ac:dyDescent="0.35">
      <c r="B3207" t="s">
        <v>566</v>
      </c>
      <c r="C3207">
        <v>45985</v>
      </c>
      <c r="F3207" t="s">
        <v>752</v>
      </c>
      <c r="H3207">
        <v>172.28</v>
      </c>
      <c r="O3207" t="s">
        <v>239</v>
      </c>
      <c r="P3207" t="s">
        <v>514</v>
      </c>
      <c r="Y3207">
        <v>3173</v>
      </c>
      <c r="Z3207" s="259" t="s">
        <v>630</v>
      </c>
      <c r="AA3207">
        <v>0</v>
      </c>
      <c r="AB3207">
        <v>0</v>
      </c>
      <c r="AC3207">
        <v>45985</v>
      </c>
      <c r="AD3207">
        <v>0</v>
      </c>
      <c r="AE3207">
        <v>0</v>
      </c>
      <c r="AF3207">
        <v>0</v>
      </c>
      <c r="AG3207">
        <v>0</v>
      </c>
      <c r="AH3207">
        <v>0</v>
      </c>
    </row>
    <row r="3208" spans="2:34" x14ac:dyDescent="0.35">
      <c r="B3208" t="s">
        <v>566</v>
      </c>
      <c r="C3208">
        <v>45985</v>
      </c>
      <c r="F3208" t="s">
        <v>754</v>
      </c>
      <c r="H3208">
        <v>78.180000000000007</v>
      </c>
      <c r="O3208" t="s">
        <v>239</v>
      </c>
      <c r="P3208" t="s">
        <v>514</v>
      </c>
      <c r="Y3208">
        <v>3174</v>
      </c>
      <c r="Z3208" s="259" t="s">
        <v>630</v>
      </c>
      <c r="AA3208">
        <v>0</v>
      </c>
      <c r="AB3208">
        <v>0</v>
      </c>
      <c r="AC3208">
        <v>45985</v>
      </c>
      <c r="AD3208">
        <v>0</v>
      </c>
      <c r="AE3208">
        <v>0</v>
      </c>
      <c r="AF3208">
        <v>0</v>
      </c>
      <c r="AG3208">
        <v>0</v>
      </c>
      <c r="AH3208">
        <v>0</v>
      </c>
    </row>
    <row r="3209" spans="2:34" x14ac:dyDescent="0.35">
      <c r="B3209" t="s">
        <v>566</v>
      </c>
      <c r="C3209">
        <v>45986</v>
      </c>
      <c r="F3209" t="s">
        <v>749</v>
      </c>
      <c r="H3209">
        <v>48.52</v>
      </c>
      <c r="O3209" t="s">
        <v>239</v>
      </c>
      <c r="P3209" t="s">
        <v>514</v>
      </c>
      <c r="Y3209">
        <v>3175</v>
      </c>
      <c r="Z3209" s="259" t="s">
        <v>630</v>
      </c>
      <c r="AA3209">
        <v>0</v>
      </c>
      <c r="AB3209">
        <v>0</v>
      </c>
      <c r="AC3209">
        <v>45986</v>
      </c>
      <c r="AD3209">
        <v>0</v>
      </c>
      <c r="AE3209">
        <v>0</v>
      </c>
      <c r="AF3209">
        <v>0</v>
      </c>
      <c r="AG3209">
        <v>0</v>
      </c>
      <c r="AH3209">
        <v>0</v>
      </c>
    </row>
    <row r="3210" spans="2:34" x14ac:dyDescent="0.35">
      <c r="B3210" t="s">
        <v>566</v>
      </c>
      <c r="C3210">
        <v>45986</v>
      </c>
      <c r="F3210" t="s">
        <v>752</v>
      </c>
      <c r="H3210">
        <v>171.9</v>
      </c>
      <c r="O3210" t="s">
        <v>239</v>
      </c>
      <c r="P3210" t="s">
        <v>514</v>
      </c>
      <c r="Y3210">
        <v>3176</v>
      </c>
      <c r="Z3210" s="259" t="s">
        <v>630</v>
      </c>
      <c r="AA3210">
        <v>0</v>
      </c>
      <c r="AB3210">
        <v>0</v>
      </c>
      <c r="AC3210">
        <v>45986</v>
      </c>
      <c r="AD3210">
        <v>0</v>
      </c>
      <c r="AE3210">
        <v>0</v>
      </c>
      <c r="AF3210">
        <v>0</v>
      </c>
      <c r="AG3210">
        <v>0</v>
      </c>
      <c r="AH3210">
        <v>0</v>
      </c>
    </row>
    <row r="3211" spans="2:34" x14ac:dyDescent="0.35">
      <c r="B3211" t="s">
        <v>566</v>
      </c>
      <c r="C3211">
        <v>45986</v>
      </c>
      <c r="F3211" t="s">
        <v>754</v>
      </c>
      <c r="H3211">
        <v>78.28</v>
      </c>
      <c r="O3211" t="s">
        <v>239</v>
      </c>
      <c r="P3211" t="s">
        <v>514</v>
      </c>
      <c r="Y3211">
        <v>3177</v>
      </c>
      <c r="Z3211" s="259" t="s">
        <v>630</v>
      </c>
      <c r="AA3211">
        <v>0</v>
      </c>
      <c r="AB3211">
        <v>0</v>
      </c>
      <c r="AC3211">
        <v>45986</v>
      </c>
      <c r="AD3211">
        <v>0</v>
      </c>
      <c r="AE3211">
        <v>0</v>
      </c>
      <c r="AF3211">
        <v>0</v>
      </c>
      <c r="AG3211">
        <v>0</v>
      </c>
      <c r="AH3211">
        <v>0</v>
      </c>
    </row>
    <row r="3212" spans="2:34" x14ac:dyDescent="0.35">
      <c r="B3212" t="s">
        <v>566</v>
      </c>
      <c r="C3212">
        <v>45987</v>
      </c>
      <c r="F3212" t="s">
        <v>749</v>
      </c>
      <c r="H3212">
        <v>48.41</v>
      </c>
      <c r="O3212" t="s">
        <v>239</v>
      </c>
      <c r="P3212" t="s">
        <v>514</v>
      </c>
      <c r="Y3212">
        <v>3178</v>
      </c>
      <c r="Z3212" s="259" t="s">
        <v>630</v>
      </c>
      <c r="AA3212">
        <v>0</v>
      </c>
      <c r="AB3212">
        <v>0</v>
      </c>
      <c r="AC3212">
        <v>45987</v>
      </c>
      <c r="AD3212">
        <v>0</v>
      </c>
      <c r="AE3212">
        <v>0</v>
      </c>
      <c r="AF3212">
        <v>0</v>
      </c>
      <c r="AG3212">
        <v>0</v>
      </c>
      <c r="AH3212">
        <v>0</v>
      </c>
    </row>
    <row r="3213" spans="2:34" x14ac:dyDescent="0.35">
      <c r="B3213" t="s">
        <v>566</v>
      </c>
      <c r="C3213">
        <v>45987</v>
      </c>
      <c r="F3213" t="s">
        <v>752</v>
      </c>
      <c r="H3213">
        <v>171.52</v>
      </c>
      <c r="O3213" t="s">
        <v>239</v>
      </c>
      <c r="P3213" t="s">
        <v>514</v>
      </c>
      <c r="Y3213">
        <v>3179</v>
      </c>
      <c r="Z3213" s="259" t="s">
        <v>630</v>
      </c>
      <c r="AA3213">
        <v>0</v>
      </c>
      <c r="AB3213">
        <v>0</v>
      </c>
      <c r="AC3213">
        <v>45987</v>
      </c>
      <c r="AD3213">
        <v>0</v>
      </c>
      <c r="AE3213">
        <v>0</v>
      </c>
      <c r="AF3213">
        <v>0</v>
      </c>
      <c r="AG3213">
        <v>0</v>
      </c>
      <c r="AH3213">
        <v>0</v>
      </c>
    </row>
    <row r="3214" spans="2:34" x14ac:dyDescent="0.35">
      <c r="B3214" t="s">
        <v>566</v>
      </c>
      <c r="C3214">
        <v>45987</v>
      </c>
      <c r="F3214" t="s">
        <v>754</v>
      </c>
      <c r="H3214">
        <v>78.39</v>
      </c>
      <c r="O3214" t="s">
        <v>239</v>
      </c>
      <c r="P3214" t="s">
        <v>514</v>
      </c>
      <c r="Y3214">
        <v>3180</v>
      </c>
      <c r="Z3214" s="259" t="s">
        <v>630</v>
      </c>
      <c r="AA3214">
        <v>0</v>
      </c>
      <c r="AB3214">
        <v>0</v>
      </c>
      <c r="AC3214">
        <v>45987</v>
      </c>
      <c r="AD3214">
        <v>0</v>
      </c>
      <c r="AE3214">
        <v>0</v>
      </c>
      <c r="AF3214">
        <v>0</v>
      </c>
      <c r="AG3214">
        <v>0</v>
      </c>
      <c r="AH3214">
        <v>0</v>
      </c>
    </row>
    <row r="3215" spans="2:34" x14ac:dyDescent="0.35">
      <c r="B3215" t="s">
        <v>566</v>
      </c>
      <c r="C3215">
        <v>45988</v>
      </c>
      <c r="F3215" t="s">
        <v>749</v>
      </c>
      <c r="H3215">
        <v>48.31</v>
      </c>
      <c r="O3215" t="s">
        <v>239</v>
      </c>
      <c r="P3215" t="s">
        <v>514</v>
      </c>
      <c r="Y3215">
        <v>3181</v>
      </c>
      <c r="Z3215" s="259" t="s">
        <v>630</v>
      </c>
      <c r="AA3215">
        <v>0</v>
      </c>
      <c r="AB3215">
        <v>0</v>
      </c>
      <c r="AC3215">
        <v>45988</v>
      </c>
      <c r="AD3215">
        <v>0</v>
      </c>
      <c r="AE3215">
        <v>0</v>
      </c>
      <c r="AF3215">
        <v>0</v>
      </c>
      <c r="AG3215">
        <v>0</v>
      </c>
      <c r="AH3215">
        <v>0</v>
      </c>
    </row>
    <row r="3216" spans="2:34" x14ac:dyDescent="0.35">
      <c r="B3216" t="s">
        <v>566</v>
      </c>
      <c r="C3216">
        <v>45988</v>
      </c>
      <c r="F3216" t="s">
        <v>752</v>
      </c>
      <c r="H3216">
        <v>171.14</v>
      </c>
      <c r="O3216" t="s">
        <v>239</v>
      </c>
      <c r="P3216" t="s">
        <v>514</v>
      </c>
      <c r="Y3216">
        <v>3182</v>
      </c>
      <c r="Z3216" s="259" t="s">
        <v>630</v>
      </c>
      <c r="AA3216">
        <v>0</v>
      </c>
      <c r="AB3216">
        <v>0</v>
      </c>
      <c r="AC3216">
        <v>45988</v>
      </c>
      <c r="AD3216">
        <v>0</v>
      </c>
      <c r="AE3216">
        <v>0</v>
      </c>
      <c r="AF3216">
        <v>0</v>
      </c>
      <c r="AG3216">
        <v>0</v>
      </c>
      <c r="AH3216">
        <v>0</v>
      </c>
    </row>
    <row r="3217" spans="2:34" x14ac:dyDescent="0.35">
      <c r="B3217" t="s">
        <v>566</v>
      </c>
      <c r="C3217">
        <v>45988</v>
      </c>
      <c r="F3217" t="s">
        <v>754</v>
      </c>
      <c r="H3217">
        <v>78.489999999999995</v>
      </c>
      <c r="O3217" t="s">
        <v>239</v>
      </c>
      <c r="P3217" t="s">
        <v>514</v>
      </c>
      <c r="Y3217">
        <v>3183</v>
      </c>
      <c r="Z3217" s="259" t="s">
        <v>630</v>
      </c>
      <c r="AA3217">
        <v>0</v>
      </c>
      <c r="AB3217">
        <v>0</v>
      </c>
      <c r="AC3217">
        <v>45988</v>
      </c>
      <c r="AD3217">
        <v>0</v>
      </c>
      <c r="AE3217">
        <v>0</v>
      </c>
      <c r="AF3217">
        <v>0</v>
      </c>
      <c r="AG3217">
        <v>0</v>
      </c>
      <c r="AH3217">
        <v>0</v>
      </c>
    </row>
    <row r="3218" spans="2:34" x14ac:dyDescent="0.35">
      <c r="B3218" t="s">
        <v>566</v>
      </c>
      <c r="C3218">
        <v>45989</v>
      </c>
      <c r="F3218" t="s">
        <v>749</v>
      </c>
      <c r="H3218">
        <v>48.21</v>
      </c>
      <c r="O3218" t="s">
        <v>239</v>
      </c>
      <c r="P3218" t="s">
        <v>514</v>
      </c>
      <c r="Y3218">
        <v>3184</v>
      </c>
      <c r="Z3218" s="259" t="s">
        <v>630</v>
      </c>
      <c r="AA3218">
        <v>0</v>
      </c>
      <c r="AB3218">
        <v>0</v>
      </c>
      <c r="AC3218">
        <v>45989</v>
      </c>
      <c r="AD3218">
        <v>0</v>
      </c>
      <c r="AE3218">
        <v>0</v>
      </c>
      <c r="AF3218">
        <v>0</v>
      </c>
      <c r="AG3218">
        <v>0</v>
      </c>
      <c r="AH3218">
        <v>0</v>
      </c>
    </row>
    <row r="3219" spans="2:34" x14ac:dyDescent="0.35">
      <c r="B3219" t="s">
        <v>566</v>
      </c>
      <c r="C3219">
        <v>45989</v>
      </c>
      <c r="F3219" t="s">
        <v>752</v>
      </c>
      <c r="H3219">
        <v>170.76</v>
      </c>
      <c r="O3219" t="s">
        <v>239</v>
      </c>
      <c r="P3219" t="s">
        <v>514</v>
      </c>
      <c r="Y3219">
        <v>3185</v>
      </c>
      <c r="Z3219" s="259" t="s">
        <v>630</v>
      </c>
      <c r="AA3219">
        <v>0</v>
      </c>
      <c r="AB3219">
        <v>0</v>
      </c>
      <c r="AC3219">
        <v>45989</v>
      </c>
      <c r="AD3219">
        <v>0</v>
      </c>
      <c r="AE3219">
        <v>0</v>
      </c>
      <c r="AF3219">
        <v>0</v>
      </c>
      <c r="AG3219">
        <v>0</v>
      </c>
      <c r="AH3219">
        <v>0</v>
      </c>
    </row>
    <row r="3220" spans="2:34" x14ac:dyDescent="0.35">
      <c r="B3220" t="s">
        <v>566</v>
      </c>
      <c r="C3220">
        <v>45989</v>
      </c>
      <c r="F3220" t="s">
        <v>754</v>
      </c>
      <c r="H3220">
        <v>78.59</v>
      </c>
      <c r="O3220" t="s">
        <v>239</v>
      </c>
      <c r="P3220" t="s">
        <v>514</v>
      </c>
      <c r="Y3220">
        <v>3186</v>
      </c>
      <c r="Z3220" s="259" t="s">
        <v>630</v>
      </c>
      <c r="AA3220">
        <v>0</v>
      </c>
      <c r="AB3220">
        <v>0</v>
      </c>
      <c r="AC3220">
        <v>45989</v>
      </c>
      <c r="AD3220">
        <v>0</v>
      </c>
      <c r="AE3220">
        <v>0</v>
      </c>
      <c r="AF3220">
        <v>0</v>
      </c>
      <c r="AG3220">
        <v>0</v>
      </c>
      <c r="AH3220">
        <v>0</v>
      </c>
    </row>
    <row r="3221" spans="2:34" x14ac:dyDescent="0.35">
      <c r="B3221" t="s">
        <v>566</v>
      </c>
      <c r="C3221">
        <v>45990</v>
      </c>
      <c r="F3221" t="s">
        <v>749</v>
      </c>
      <c r="H3221">
        <v>48.21</v>
      </c>
      <c r="O3221" t="s">
        <v>239</v>
      </c>
      <c r="P3221" t="s">
        <v>514</v>
      </c>
      <c r="Y3221">
        <v>3187</v>
      </c>
      <c r="Z3221" s="259" t="s">
        <v>630</v>
      </c>
      <c r="AA3221">
        <v>0</v>
      </c>
      <c r="AB3221">
        <v>0</v>
      </c>
      <c r="AC3221">
        <v>45989</v>
      </c>
      <c r="AD3221">
        <v>1</v>
      </c>
      <c r="AE3221">
        <v>0</v>
      </c>
      <c r="AF3221">
        <v>0</v>
      </c>
      <c r="AG3221">
        <v>0</v>
      </c>
      <c r="AH3221">
        <v>0</v>
      </c>
    </row>
    <row r="3222" spans="2:34" x14ac:dyDescent="0.35">
      <c r="B3222" t="s">
        <v>566</v>
      </c>
      <c r="C3222">
        <v>45990</v>
      </c>
      <c r="F3222" t="s">
        <v>752</v>
      </c>
      <c r="H3222">
        <v>170.76</v>
      </c>
      <c r="O3222" t="s">
        <v>239</v>
      </c>
      <c r="P3222" t="s">
        <v>514</v>
      </c>
      <c r="Y3222">
        <v>3188</v>
      </c>
      <c r="Z3222" s="259" t="s">
        <v>630</v>
      </c>
      <c r="AA3222">
        <v>0</v>
      </c>
      <c r="AB3222">
        <v>0</v>
      </c>
      <c r="AC3222">
        <v>45989</v>
      </c>
      <c r="AD3222">
        <v>1</v>
      </c>
      <c r="AE3222">
        <v>0</v>
      </c>
      <c r="AF3222">
        <v>0</v>
      </c>
      <c r="AG3222">
        <v>0</v>
      </c>
      <c r="AH3222">
        <v>0</v>
      </c>
    </row>
    <row r="3223" spans="2:34" x14ac:dyDescent="0.35">
      <c r="B3223" t="s">
        <v>566</v>
      </c>
      <c r="C3223">
        <v>45990</v>
      </c>
      <c r="F3223" t="s">
        <v>754</v>
      </c>
      <c r="H3223">
        <v>78.59</v>
      </c>
      <c r="O3223" t="s">
        <v>239</v>
      </c>
      <c r="P3223" t="s">
        <v>514</v>
      </c>
      <c r="Y3223">
        <v>3189</v>
      </c>
      <c r="Z3223" s="259" t="s">
        <v>630</v>
      </c>
      <c r="AA3223">
        <v>0</v>
      </c>
      <c r="AB3223">
        <v>0</v>
      </c>
      <c r="AC3223">
        <v>45989</v>
      </c>
      <c r="AD3223">
        <v>1</v>
      </c>
      <c r="AE3223">
        <v>0</v>
      </c>
      <c r="AF3223">
        <v>0</v>
      </c>
      <c r="AG3223">
        <v>0</v>
      </c>
      <c r="AH3223">
        <v>0</v>
      </c>
    </row>
    <row r="3224" spans="2:34" x14ac:dyDescent="0.35">
      <c r="B3224" t="s">
        <v>566</v>
      </c>
      <c r="C3224">
        <v>45991</v>
      </c>
      <c r="F3224" t="s">
        <v>749</v>
      </c>
      <c r="H3224">
        <v>48.21</v>
      </c>
      <c r="O3224" t="s">
        <v>239</v>
      </c>
      <c r="P3224" t="s">
        <v>514</v>
      </c>
      <c r="Y3224">
        <v>3190</v>
      </c>
      <c r="Z3224" s="259" t="s">
        <v>630</v>
      </c>
      <c r="AA3224">
        <v>0</v>
      </c>
      <c r="AB3224">
        <v>0</v>
      </c>
      <c r="AC3224">
        <v>45989</v>
      </c>
      <c r="AD3224">
        <v>2</v>
      </c>
      <c r="AE3224">
        <v>0</v>
      </c>
      <c r="AF3224">
        <v>0</v>
      </c>
      <c r="AG3224">
        <v>0</v>
      </c>
      <c r="AH3224">
        <v>0</v>
      </c>
    </row>
    <row r="3225" spans="2:34" x14ac:dyDescent="0.35">
      <c r="B3225" t="s">
        <v>566</v>
      </c>
      <c r="C3225">
        <v>45991</v>
      </c>
      <c r="F3225" t="s">
        <v>752</v>
      </c>
      <c r="H3225">
        <v>170.76</v>
      </c>
      <c r="O3225" t="s">
        <v>239</v>
      </c>
      <c r="P3225" t="s">
        <v>514</v>
      </c>
      <c r="Y3225">
        <v>3191</v>
      </c>
      <c r="Z3225" s="259" t="s">
        <v>630</v>
      </c>
      <c r="AA3225">
        <v>0</v>
      </c>
      <c r="AB3225">
        <v>0</v>
      </c>
      <c r="AC3225">
        <v>45989</v>
      </c>
      <c r="AD3225">
        <v>2</v>
      </c>
      <c r="AE3225">
        <v>0</v>
      </c>
      <c r="AF3225">
        <v>0</v>
      </c>
      <c r="AG3225">
        <v>0</v>
      </c>
      <c r="AH3225">
        <v>0</v>
      </c>
    </row>
    <row r="3226" spans="2:34" x14ac:dyDescent="0.35">
      <c r="B3226" t="s">
        <v>566</v>
      </c>
      <c r="C3226">
        <v>45991</v>
      </c>
      <c r="F3226" t="s">
        <v>754</v>
      </c>
      <c r="H3226">
        <v>78.59</v>
      </c>
      <c r="O3226" t="s">
        <v>239</v>
      </c>
      <c r="P3226" t="s">
        <v>514</v>
      </c>
      <c r="Y3226">
        <v>3192</v>
      </c>
      <c r="Z3226" s="259" t="s">
        <v>630</v>
      </c>
      <c r="AA3226">
        <v>0</v>
      </c>
      <c r="AB3226">
        <v>0</v>
      </c>
      <c r="AC3226">
        <v>45989</v>
      </c>
      <c r="AD3226">
        <v>2</v>
      </c>
      <c r="AE3226">
        <v>0</v>
      </c>
      <c r="AF3226">
        <v>0</v>
      </c>
      <c r="AG3226">
        <v>0</v>
      </c>
      <c r="AH3226">
        <v>0</v>
      </c>
    </row>
    <row r="3227" spans="2:34" x14ac:dyDescent="0.35">
      <c r="B3227" t="s">
        <v>566</v>
      </c>
      <c r="C3227">
        <v>45992</v>
      </c>
      <c r="F3227" t="s">
        <v>749</v>
      </c>
      <c r="H3227">
        <v>48</v>
      </c>
      <c r="O3227" t="s">
        <v>239</v>
      </c>
      <c r="P3227" t="s">
        <v>514</v>
      </c>
      <c r="Y3227">
        <v>3193</v>
      </c>
      <c r="Z3227" s="259" t="s">
        <v>630</v>
      </c>
      <c r="AA3227">
        <v>0</v>
      </c>
      <c r="AB3227">
        <v>0</v>
      </c>
      <c r="AC3227">
        <v>45992</v>
      </c>
      <c r="AD3227">
        <v>0</v>
      </c>
      <c r="AE3227">
        <v>0</v>
      </c>
      <c r="AF3227">
        <v>0</v>
      </c>
      <c r="AG3227">
        <v>0</v>
      </c>
      <c r="AH3227">
        <v>0</v>
      </c>
    </row>
    <row r="3228" spans="2:34" x14ac:dyDescent="0.35">
      <c r="B3228" t="s">
        <v>566</v>
      </c>
      <c r="C3228">
        <v>45992</v>
      </c>
      <c r="F3228" t="s">
        <v>752</v>
      </c>
      <c r="H3228">
        <v>170</v>
      </c>
      <c r="O3228" t="s">
        <v>239</v>
      </c>
      <c r="P3228" t="s">
        <v>514</v>
      </c>
      <c r="Y3228">
        <v>3194</v>
      </c>
      <c r="Z3228" s="259" t="s">
        <v>630</v>
      </c>
      <c r="AA3228">
        <v>0</v>
      </c>
      <c r="AB3228">
        <v>0</v>
      </c>
      <c r="AC3228">
        <v>45992</v>
      </c>
      <c r="AD3228">
        <v>0</v>
      </c>
      <c r="AE3228">
        <v>0</v>
      </c>
      <c r="AF3228">
        <v>0</v>
      </c>
      <c r="AG3228">
        <v>0</v>
      </c>
      <c r="AH3228">
        <v>0</v>
      </c>
    </row>
    <row r="3229" spans="2:34" x14ac:dyDescent="0.35">
      <c r="B3229" t="s">
        <v>566</v>
      </c>
      <c r="C3229">
        <v>45992</v>
      </c>
      <c r="F3229" t="s">
        <v>754</v>
      </c>
      <c r="H3229">
        <v>78.8</v>
      </c>
      <c r="O3229" t="s">
        <v>239</v>
      </c>
      <c r="P3229" t="s">
        <v>514</v>
      </c>
      <c r="Y3229">
        <v>3195</v>
      </c>
      <c r="Z3229" s="259" t="s">
        <v>630</v>
      </c>
      <c r="AA3229">
        <v>0</v>
      </c>
      <c r="AB3229">
        <v>0</v>
      </c>
      <c r="AC3229">
        <v>45992</v>
      </c>
      <c r="AD3229">
        <v>0</v>
      </c>
      <c r="AE3229">
        <v>0</v>
      </c>
      <c r="AF3229">
        <v>0</v>
      </c>
      <c r="AG3229">
        <v>0</v>
      </c>
      <c r="AH3229">
        <v>0</v>
      </c>
    </row>
    <row r="3230" spans="2:34" x14ac:dyDescent="0.35">
      <c r="B3230" t="s">
        <v>566</v>
      </c>
      <c r="C3230">
        <v>45993</v>
      </c>
      <c r="F3230" t="s">
        <v>749</v>
      </c>
      <c r="H3230">
        <v>47.98</v>
      </c>
      <c r="O3230" t="s">
        <v>239</v>
      </c>
      <c r="P3230" t="s">
        <v>514</v>
      </c>
      <c r="Y3230">
        <v>3196</v>
      </c>
      <c r="Z3230" s="259" t="s">
        <v>630</v>
      </c>
      <c r="AA3230">
        <v>0</v>
      </c>
      <c r="AB3230">
        <v>0</v>
      </c>
      <c r="AC3230">
        <v>45993</v>
      </c>
      <c r="AD3230">
        <v>0</v>
      </c>
      <c r="AE3230">
        <v>0</v>
      </c>
      <c r="AF3230">
        <v>0</v>
      </c>
      <c r="AG3230">
        <v>0</v>
      </c>
      <c r="AH3230">
        <v>0</v>
      </c>
    </row>
    <row r="3231" spans="2:34" x14ac:dyDescent="0.35">
      <c r="B3231" t="s">
        <v>566</v>
      </c>
      <c r="C3231">
        <v>45993</v>
      </c>
      <c r="F3231" t="s">
        <v>752</v>
      </c>
      <c r="H3231">
        <v>169.97</v>
      </c>
      <c r="O3231" t="s">
        <v>239</v>
      </c>
      <c r="P3231" t="s">
        <v>514</v>
      </c>
      <c r="Y3231">
        <v>3197</v>
      </c>
      <c r="Z3231" s="259" t="s">
        <v>630</v>
      </c>
      <c r="AA3231">
        <v>0</v>
      </c>
      <c r="AB3231">
        <v>0</v>
      </c>
      <c r="AC3231">
        <v>45993</v>
      </c>
      <c r="AD3231">
        <v>0</v>
      </c>
      <c r="AE3231">
        <v>0</v>
      </c>
      <c r="AF3231">
        <v>0</v>
      </c>
      <c r="AG3231">
        <v>0</v>
      </c>
      <c r="AH3231">
        <v>0</v>
      </c>
    </row>
    <row r="3232" spans="2:34" x14ac:dyDescent="0.35">
      <c r="B3232" t="s">
        <v>566</v>
      </c>
      <c r="C3232">
        <v>45993</v>
      </c>
      <c r="F3232" t="s">
        <v>754</v>
      </c>
      <c r="H3232">
        <v>78.77</v>
      </c>
      <c r="O3232" t="s">
        <v>239</v>
      </c>
      <c r="P3232" t="s">
        <v>514</v>
      </c>
      <c r="Y3232">
        <v>3198</v>
      </c>
      <c r="Z3232" s="259" t="s">
        <v>630</v>
      </c>
      <c r="AA3232">
        <v>0</v>
      </c>
      <c r="AB3232">
        <v>0</v>
      </c>
      <c r="AC3232">
        <v>45993</v>
      </c>
      <c r="AD3232">
        <v>0</v>
      </c>
      <c r="AE3232">
        <v>0</v>
      </c>
      <c r="AF3232">
        <v>0</v>
      </c>
      <c r="AG3232">
        <v>0</v>
      </c>
      <c r="AH3232">
        <v>0</v>
      </c>
    </row>
    <row r="3233" spans="2:34" x14ac:dyDescent="0.35">
      <c r="B3233" t="s">
        <v>566</v>
      </c>
      <c r="C3233">
        <v>45994</v>
      </c>
      <c r="F3233" t="s">
        <v>749</v>
      </c>
      <c r="H3233">
        <v>47.97</v>
      </c>
      <c r="O3233" t="s">
        <v>239</v>
      </c>
      <c r="P3233" t="s">
        <v>514</v>
      </c>
      <c r="Y3233">
        <v>3199</v>
      </c>
      <c r="Z3233" s="259" t="s">
        <v>630</v>
      </c>
      <c r="AA3233">
        <v>0</v>
      </c>
      <c r="AB3233">
        <v>0</v>
      </c>
      <c r="AC3233">
        <v>45994</v>
      </c>
      <c r="AD3233">
        <v>0</v>
      </c>
      <c r="AE3233">
        <v>0</v>
      </c>
      <c r="AF3233">
        <v>0</v>
      </c>
      <c r="AG3233">
        <v>0</v>
      </c>
      <c r="AH3233">
        <v>0</v>
      </c>
    </row>
    <row r="3234" spans="2:34" x14ac:dyDescent="0.35">
      <c r="B3234" t="s">
        <v>566</v>
      </c>
      <c r="C3234">
        <v>45994</v>
      </c>
      <c r="F3234" t="s">
        <v>752</v>
      </c>
      <c r="H3234">
        <v>169.93</v>
      </c>
      <c r="O3234" t="s">
        <v>239</v>
      </c>
      <c r="P3234" t="s">
        <v>514</v>
      </c>
      <c r="Y3234">
        <v>3200</v>
      </c>
      <c r="Z3234" s="259" t="s">
        <v>630</v>
      </c>
      <c r="AA3234">
        <v>0</v>
      </c>
      <c r="AB3234">
        <v>0</v>
      </c>
      <c r="AC3234">
        <v>45994</v>
      </c>
      <c r="AD3234">
        <v>0</v>
      </c>
      <c r="AE3234">
        <v>0</v>
      </c>
      <c r="AF3234">
        <v>0</v>
      </c>
      <c r="AG3234">
        <v>0</v>
      </c>
      <c r="AH3234">
        <v>0</v>
      </c>
    </row>
    <row r="3235" spans="2:34" x14ac:dyDescent="0.35">
      <c r="B3235" t="s">
        <v>566</v>
      </c>
      <c r="C3235">
        <v>45994</v>
      </c>
      <c r="F3235" t="s">
        <v>754</v>
      </c>
      <c r="H3235">
        <v>78.73</v>
      </c>
      <c r="O3235" t="s">
        <v>239</v>
      </c>
      <c r="P3235" t="s">
        <v>514</v>
      </c>
      <c r="Y3235">
        <v>3201</v>
      </c>
      <c r="Z3235" s="259" t="s">
        <v>630</v>
      </c>
      <c r="AA3235">
        <v>0</v>
      </c>
      <c r="AB3235">
        <v>0</v>
      </c>
      <c r="AC3235">
        <v>45994</v>
      </c>
      <c r="AD3235">
        <v>0</v>
      </c>
      <c r="AE3235">
        <v>0</v>
      </c>
      <c r="AF3235">
        <v>0</v>
      </c>
      <c r="AG3235">
        <v>0</v>
      </c>
      <c r="AH3235">
        <v>0</v>
      </c>
    </row>
    <row r="3236" spans="2:34" x14ac:dyDescent="0.35">
      <c r="B3236" t="s">
        <v>566</v>
      </c>
      <c r="C3236">
        <v>45995</v>
      </c>
      <c r="F3236" t="s">
        <v>749</v>
      </c>
      <c r="H3236">
        <v>47.95</v>
      </c>
      <c r="O3236" t="s">
        <v>239</v>
      </c>
      <c r="P3236" t="s">
        <v>514</v>
      </c>
      <c r="Y3236">
        <v>3202</v>
      </c>
      <c r="Z3236" s="259" t="s">
        <v>630</v>
      </c>
      <c r="AA3236">
        <v>0</v>
      </c>
      <c r="AB3236">
        <v>0</v>
      </c>
      <c r="AC3236">
        <v>45995</v>
      </c>
      <c r="AD3236">
        <v>0</v>
      </c>
      <c r="AE3236">
        <v>0</v>
      </c>
      <c r="AF3236">
        <v>0</v>
      </c>
      <c r="AG3236">
        <v>0</v>
      </c>
      <c r="AH3236">
        <v>0</v>
      </c>
    </row>
    <row r="3237" spans="2:34" x14ac:dyDescent="0.35">
      <c r="B3237" t="s">
        <v>566</v>
      </c>
      <c r="C3237">
        <v>45995</v>
      </c>
      <c r="F3237" t="s">
        <v>752</v>
      </c>
      <c r="H3237">
        <v>169.9</v>
      </c>
      <c r="O3237" t="s">
        <v>239</v>
      </c>
      <c r="P3237" t="s">
        <v>514</v>
      </c>
      <c r="Y3237">
        <v>3203</v>
      </c>
      <c r="Z3237" s="259" t="s">
        <v>630</v>
      </c>
      <c r="AA3237">
        <v>0</v>
      </c>
      <c r="AB3237">
        <v>0</v>
      </c>
      <c r="AC3237">
        <v>45995</v>
      </c>
      <c r="AD3237">
        <v>0</v>
      </c>
      <c r="AE3237">
        <v>0</v>
      </c>
      <c r="AF3237">
        <v>0</v>
      </c>
      <c r="AG3237">
        <v>0</v>
      </c>
      <c r="AH3237">
        <v>0</v>
      </c>
    </row>
    <row r="3238" spans="2:34" x14ac:dyDescent="0.35">
      <c r="B3238" t="s">
        <v>566</v>
      </c>
      <c r="C3238">
        <v>45995</v>
      </c>
      <c r="F3238" t="s">
        <v>754</v>
      </c>
      <c r="H3238">
        <v>78.7</v>
      </c>
      <c r="O3238" t="s">
        <v>239</v>
      </c>
      <c r="P3238" t="s">
        <v>514</v>
      </c>
      <c r="Y3238">
        <v>3204</v>
      </c>
      <c r="Z3238" s="259" t="s">
        <v>630</v>
      </c>
      <c r="AA3238">
        <v>0</v>
      </c>
      <c r="AB3238">
        <v>0</v>
      </c>
      <c r="AC3238">
        <v>45995</v>
      </c>
      <c r="AD3238">
        <v>0</v>
      </c>
      <c r="AE3238">
        <v>0</v>
      </c>
      <c r="AF3238">
        <v>0</v>
      </c>
      <c r="AG3238">
        <v>0</v>
      </c>
      <c r="AH3238">
        <v>0</v>
      </c>
    </row>
    <row r="3239" spans="2:34" x14ac:dyDescent="0.35">
      <c r="B3239" t="s">
        <v>566</v>
      </c>
      <c r="C3239">
        <v>45996</v>
      </c>
      <c r="F3239" t="s">
        <v>749</v>
      </c>
      <c r="H3239">
        <v>47.93</v>
      </c>
      <c r="O3239" t="s">
        <v>239</v>
      </c>
      <c r="P3239" t="s">
        <v>514</v>
      </c>
      <c r="Y3239">
        <v>3205</v>
      </c>
      <c r="Z3239" s="259" t="s">
        <v>630</v>
      </c>
      <c r="AA3239">
        <v>0</v>
      </c>
      <c r="AB3239">
        <v>0</v>
      </c>
      <c r="AC3239">
        <v>45996</v>
      </c>
      <c r="AD3239">
        <v>0</v>
      </c>
      <c r="AE3239">
        <v>0</v>
      </c>
      <c r="AF3239">
        <v>0</v>
      </c>
      <c r="AG3239">
        <v>0</v>
      </c>
      <c r="AH3239">
        <v>0</v>
      </c>
    </row>
    <row r="3240" spans="2:34" x14ac:dyDescent="0.35">
      <c r="B3240" t="s">
        <v>566</v>
      </c>
      <c r="C3240">
        <v>45996</v>
      </c>
      <c r="F3240" t="s">
        <v>752</v>
      </c>
      <c r="H3240">
        <v>169.87</v>
      </c>
      <c r="O3240" t="s">
        <v>239</v>
      </c>
      <c r="P3240" t="s">
        <v>514</v>
      </c>
      <c r="Y3240">
        <v>3206</v>
      </c>
      <c r="Z3240" s="259" t="s">
        <v>630</v>
      </c>
      <c r="AA3240">
        <v>0</v>
      </c>
      <c r="AB3240">
        <v>0</v>
      </c>
      <c r="AC3240">
        <v>45996</v>
      </c>
      <c r="AD3240">
        <v>0</v>
      </c>
      <c r="AE3240">
        <v>0</v>
      </c>
      <c r="AF3240">
        <v>0</v>
      </c>
      <c r="AG3240">
        <v>0</v>
      </c>
      <c r="AH3240">
        <v>0</v>
      </c>
    </row>
    <row r="3241" spans="2:34" x14ac:dyDescent="0.35">
      <c r="B3241" t="s">
        <v>566</v>
      </c>
      <c r="C3241">
        <v>45996</v>
      </c>
      <c r="F3241" t="s">
        <v>754</v>
      </c>
      <c r="H3241">
        <v>78.67</v>
      </c>
      <c r="O3241" t="s">
        <v>239</v>
      </c>
      <c r="P3241" t="s">
        <v>514</v>
      </c>
      <c r="Y3241">
        <v>3207</v>
      </c>
      <c r="Z3241" s="259" t="s">
        <v>630</v>
      </c>
      <c r="AA3241">
        <v>0</v>
      </c>
      <c r="AB3241">
        <v>0</v>
      </c>
      <c r="AC3241">
        <v>45996</v>
      </c>
      <c r="AD3241">
        <v>0</v>
      </c>
      <c r="AE3241">
        <v>0</v>
      </c>
      <c r="AF3241">
        <v>0</v>
      </c>
      <c r="AG3241">
        <v>0</v>
      </c>
      <c r="AH3241">
        <v>0</v>
      </c>
    </row>
    <row r="3242" spans="2:34" x14ac:dyDescent="0.35">
      <c r="B3242" t="s">
        <v>566</v>
      </c>
      <c r="C3242">
        <v>45997</v>
      </c>
      <c r="F3242" t="s">
        <v>749</v>
      </c>
      <c r="H3242">
        <v>47.93</v>
      </c>
      <c r="O3242" t="s">
        <v>239</v>
      </c>
      <c r="P3242" t="s">
        <v>514</v>
      </c>
      <c r="Y3242">
        <v>3208</v>
      </c>
      <c r="Z3242" s="259" t="s">
        <v>630</v>
      </c>
      <c r="AA3242">
        <v>0</v>
      </c>
      <c r="AB3242">
        <v>0</v>
      </c>
      <c r="AC3242">
        <v>45996</v>
      </c>
      <c r="AD3242">
        <v>1</v>
      </c>
      <c r="AE3242">
        <v>0</v>
      </c>
      <c r="AF3242">
        <v>0</v>
      </c>
      <c r="AG3242">
        <v>0</v>
      </c>
      <c r="AH3242">
        <v>0</v>
      </c>
    </row>
    <row r="3243" spans="2:34" x14ac:dyDescent="0.35">
      <c r="B3243" t="s">
        <v>566</v>
      </c>
      <c r="C3243">
        <v>45997</v>
      </c>
      <c r="F3243" t="s">
        <v>752</v>
      </c>
      <c r="H3243">
        <v>169.87</v>
      </c>
      <c r="O3243" t="s">
        <v>239</v>
      </c>
      <c r="P3243" t="s">
        <v>514</v>
      </c>
      <c r="Y3243">
        <v>3209</v>
      </c>
      <c r="Z3243" s="259" t="s">
        <v>630</v>
      </c>
      <c r="AA3243">
        <v>0</v>
      </c>
      <c r="AB3243">
        <v>0</v>
      </c>
      <c r="AC3243">
        <v>45996</v>
      </c>
      <c r="AD3243">
        <v>1</v>
      </c>
      <c r="AE3243">
        <v>0</v>
      </c>
      <c r="AF3243">
        <v>0</v>
      </c>
      <c r="AG3243">
        <v>0</v>
      </c>
      <c r="AH3243">
        <v>0</v>
      </c>
    </row>
    <row r="3244" spans="2:34" x14ac:dyDescent="0.35">
      <c r="B3244" t="s">
        <v>566</v>
      </c>
      <c r="C3244">
        <v>45997</v>
      </c>
      <c r="F3244" t="s">
        <v>754</v>
      </c>
      <c r="H3244">
        <v>78.67</v>
      </c>
      <c r="O3244" t="s">
        <v>239</v>
      </c>
      <c r="P3244" t="s">
        <v>514</v>
      </c>
      <c r="Y3244">
        <v>3210</v>
      </c>
      <c r="Z3244" s="259" t="s">
        <v>630</v>
      </c>
      <c r="AA3244">
        <v>0</v>
      </c>
      <c r="AB3244">
        <v>0</v>
      </c>
      <c r="AC3244">
        <v>45996</v>
      </c>
      <c r="AD3244">
        <v>1</v>
      </c>
      <c r="AE3244">
        <v>0</v>
      </c>
      <c r="AF3244">
        <v>0</v>
      </c>
      <c r="AG3244">
        <v>0</v>
      </c>
      <c r="AH3244">
        <v>0</v>
      </c>
    </row>
    <row r="3245" spans="2:34" x14ac:dyDescent="0.35">
      <c r="B3245" t="s">
        <v>566</v>
      </c>
      <c r="C3245">
        <v>45998</v>
      </c>
      <c r="F3245" t="s">
        <v>749</v>
      </c>
      <c r="H3245">
        <v>47.93</v>
      </c>
      <c r="O3245" t="s">
        <v>239</v>
      </c>
      <c r="P3245" t="s">
        <v>514</v>
      </c>
      <c r="Y3245">
        <v>3211</v>
      </c>
      <c r="Z3245" s="259" t="s">
        <v>630</v>
      </c>
      <c r="AA3245">
        <v>0</v>
      </c>
      <c r="AB3245">
        <v>0</v>
      </c>
      <c r="AC3245">
        <v>45996</v>
      </c>
      <c r="AD3245">
        <v>2</v>
      </c>
      <c r="AE3245">
        <v>0</v>
      </c>
      <c r="AF3245">
        <v>0</v>
      </c>
      <c r="AG3245">
        <v>0</v>
      </c>
      <c r="AH3245">
        <v>0</v>
      </c>
    </row>
    <row r="3246" spans="2:34" x14ac:dyDescent="0.35">
      <c r="B3246" t="s">
        <v>566</v>
      </c>
      <c r="C3246">
        <v>45998</v>
      </c>
      <c r="F3246" t="s">
        <v>752</v>
      </c>
      <c r="H3246">
        <v>169.87</v>
      </c>
      <c r="O3246" t="s">
        <v>239</v>
      </c>
      <c r="P3246" t="s">
        <v>514</v>
      </c>
      <c r="Y3246">
        <v>3212</v>
      </c>
      <c r="Z3246" s="259" t="s">
        <v>630</v>
      </c>
      <c r="AA3246">
        <v>0</v>
      </c>
      <c r="AB3246">
        <v>0</v>
      </c>
      <c r="AC3246">
        <v>45996</v>
      </c>
      <c r="AD3246">
        <v>2</v>
      </c>
      <c r="AE3246">
        <v>0</v>
      </c>
      <c r="AF3246">
        <v>0</v>
      </c>
      <c r="AG3246">
        <v>0</v>
      </c>
      <c r="AH3246">
        <v>0</v>
      </c>
    </row>
    <row r="3247" spans="2:34" x14ac:dyDescent="0.35">
      <c r="B3247" t="s">
        <v>566</v>
      </c>
      <c r="C3247">
        <v>45998</v>
      </c>
      <c r="F3247" t="s">
        <v>754</v>
      </c>
      <c r="H3247">
        <v>78.67</v>
      </c>
      <c r="O3247" t="s">
        <v>239</v>
      </c>
      <c r="P3247" t="s">
        <v>514</v>
      </c>
      <c r="Y3247">
        <v>3213</v>
      </c>
      <c r="Z3247" s="259" t="s">
        <v>630</v>
      </c>
      <c r="AA3247">
        <v>0</v>
      </c>
      <c r="AB3247">
        <v>0</v>
      </c>
      <c r="AC3247">
        <v>45996</v>
      </c>
      <c r="AD3247">
        <v>2</v>
      </c>
      <c r="AE3247">
        <v>0</v>
      </c>
      <c r="AF3247">
        <v>0</v>
      </c>
      <c r="AG3247">
        <v>0</v>
      </c>
      <c r="AH3247">
        <v>0</v>
      </c>
    </row>
    <row r="3248" spans="2:34" x14ac:dyDescent="0.35">
      <c r="B3248" t="s">
        <v>566</v>
      </c>
      <c r="C3248">
        <v>45999</v>
      </c>
      <c r="F3248" t="s">
        <v>749</v>
      </c>
      <c r="H3248">
        <v>47.88</v>
      </c>
      <c r="O3248" t="s">
        <v>239</v>
      </c>
      <c r="P3248" t="s">
        <v>514</v>
      </c>
      <c r="Y3248">
        <v>3214</v>
      </c>
      <c r="Z3248" s="259" t="s">
        <v>630</v>
      </c>
      <c r="AA3248">
        <v>0</v>
      </c>
      <c r="AB3248">
        <v>0</v>
      </c>
      <c r="AC3248">
        <v>45999</v>
      </c>
      <c r="AD3248">
        <v>0</v>
      </c>
      <c r="AE3248">
        <v>0</v>
      </c>
      <c r="AF3248">
        <v>0</v>
      </c>
      <c r="AG3248">
        <v>0</v>
      </c>
      <c r="AH3248">
        <v>0</v>
      </c>
    </row>
    <row r="3249" spans="2:34" x14ac:dyDescent="0.35">
      <c r="B3249" t="s">
        <v>566</v>
      </c>
      <c r="C3249">
        <v>45999</v>
      </c>
      <c r="F3249" t="s">
        <v>752</v>
      </c>
      <c r="H3249">
        <v>169.77</v>
      </c>
      <c r="O3249" t="s">
        <v>239</v>
      </c>
      <c r="P3249" t="s">
        <v>514</v>
      </c>
      <c r="Y3249">
        <v>3215</v>
      </c>
      <c r="Z3249" s="259" t="s">
        <v>630</v>
      </c>
      <c r="AA3249">
        <v>0</v>
      </c>
      <c r="AB3249">
        <v>0</v>
      </c>
      <c r="AC3249">
        <v>45999</v>
      </c>
      <c r="AD3249">
        <v>0</v>
      </c>
      <c r="AE3249">
        <v>0</v>
      </c>
      <c r="AF3249">
        <v>0</v>
      </c>
      <c r="AG3249">
        <v>0</v>
      </c>
      <c r="AH3249">
        <v>0</v>
      </c>
    </row>
    <row r="3250" spans="2:34" x14ac:dyDescent="0.35">
      <c r="B3250" t="s">
        <v>566</v>
      </c>
      <c r="C3250">
        <v>45999</v>
      </c>
      <c r="F3250" t="s">
        <v>754</v>
      </c>
      <c r="H3250">
        <v>78.569999999999993</v>
      </c>
      <c r="O3250" t="s">
        <v>239</v>
      </c>
      <c r="P3250" t="s">
        <v>514</v>
      </c>
      <c r="Y3250">
        <v>3216</v>
      </c>
      <c r="Z3250" s="259" t="s">
        <v>630</v>
      </c>
      <c r="AA3250">
        <v>0</v>
      </c>
      <c r="AB3250">
        <v>0</v>
      </c>
      <c r="AC3250">
        <v>45999</v>
      </c>
      <c r="AD3250">
        <v>0</v>
      </c>
      <c r="AE3250">
        <v>0</v>
      </c>
      <c r="AF3250">
        <v>0</v>
      </c>
      <c r="AG3250">
        <v>0</v>
      </c>
      <c r="AH3250">
        <v>0</v>
      </c>
    </row>
    <row r="3251" spans="2:34" x14ac:dyDescent="0.35">
      <c r="B3251" t="s">
        <v>566</v>
      </c>
      <c r="C3251">
        <v>46000</v>
      </c>
      <c r="F3251" t="s">
        <v>749</v>
      </c>
      <c r="H3251">
        <v>47.87</v>
      </c>
      <c r="O3251" t="s">
        <v>239</v>
      </c>
      <c r="P3251" t="s">
        <v>514</v>
      </c>
      <c r="Y3251">
        <v>3217</v>
      </c>
      <c r="Z3251" s="259" t="s">
        <v>630</v>
      </c>
      <c r="AA3251">
        <v>0</v>
      </c>
      <c r="AB3251">
        <v>0</v>
      </c>
      <c r="AC3251">
        <v>46000</v>
      </c>
      <c r="AD3251">
        <v>0</v>
      </c>
      <c r="AE3251">
        <v>0</v>
      </c>
      <c r="AF3251">
        <v>0</v>
      </c>
      <c r="AG3251">
        <v>0</v>
      </c>
      <c r="AH3251">
        <v>0</v>
      </c>
    </row>
    <row r="3252" spans="2:34" x14ac:dyDescent="0.35">
      <c r="B3252" t="s">
        <v>566</v>
      </c>
      <c r="C3252">
        <v>46000</v>
      </c>
      <c r="F3252" t="s">
        <v>752</v>
      </c>
      <c r="H3252">
        <v>169.73</v>
      </c>
      <c r="O3252" t="s">
        <v>239</v>
      </c>
      <c r="P3252" t="s">
        <v>514</v>
      </c>
      <c r="Y3252">
        <v>3218</v>
      </c>
      <c r="Z3252" s="259" t="s">
        <v>630</v>
      </c>
      <c r="AA3252">
        <v>0</v>
      </c>
      <c r="AB3252">
        <v>0</v>
      </c>
      <c r="AC3252">
        <v>46000</v>
      </c>
      <c r="AD3252">
        <v>0</v>
      </c>
      <c r="AE3252">
        <v>0</v>
      </c>
      <c r="AF3252">
        <v>0</v>
      </c>
      <c r="AG3252">
        <v>0</v>
      </c>
      <c r="AH3252">
        <v>0</v>
      </c>
    </row>
    <row r="3253" spans="2:34" x14ac:dyDescent="0.35">
      <c r="B3253" t="s">
        <v>566</v>
      </c>
      <c r="C3253">
        <v>46000</v>
      </c>
      <c r="F3253" t="s">
        <v>754</v>
      </c>
      <c r="H3253">
        <v>78.53</v>
      </c>
      <c r="O3253" t="s">
        <v>239</v>
      </c>
      <c r="P3253" t="s">
        <v>514</v>
      </c>
      <c r="Y3253">
        <v>3219</v>
      </c>
      <c r="Z3253" s="259" t="s">
        <v>630</v>
      </c>
      <c r="AA3253">
        <v>0</v>
      </c>
      <c r="AB3253">
        <v>0</v>
      </c>
      <c r="AC3253">
        <v>46000</v>
      </c>
      <c r="AD3253">
        <v>0</v>
      </c>
      <c r="AE3253">
        <v>0</v>
      </c>
      <c r="AF3253">
        <v>0</v>
      </c>
      <c r="AG3253">
        <v>0</v>
      </c>
      <c r="AH3253">
        <v>0</v>
      </c>
    </row>
    <row r="3254" spans="2:34" x14ac:dyDescent="0.35">
      <c r="B3254" t="s">
        <v>566</v>
      </c>
      <c r="C3254">
        <v>46001</v>
      </c>
      <c r="F3254" t="s">
        <v>749</v>
      </c>
      <c r="H3254">
        <v>47.85</v>
      </c>
      <c r="O3254" t="s">
        <v>239</v>
      </c>
      <c r="P3254" t="s">
        <v>514</v>
      </c>
      <c r="Y3254">
        <v>3220</v>
      </c>
      <c r="Z3254" s="259" t="s">
        <v>630</v>
      </c>
      <c r="AA3254">
        <v>0</v>
      </c>
      <c r="AB3254">
        <v>0</v>
      </c>
      <c r="AC3254">
        <v>46001</v>
      </c>
      <c r="AD3254">
        <v>0</v>
      </c>
      <c r="AE3254">
        <v>0</v>
      </c>
      <c r="AF3254">
        <v>0</v>
      </c>
      <c r="AG3254">
        <v>0</v>
      </c>
      <c r="AH3254">
        <v>0</v>
      </c>
    </row>
    <row r="3255" spans="2:34" x14ac:dyDescent="0.35">
      <c r="B3255" t="s">
        <v>566</v>
      </c>
      <c r="C3255">
        <v>46001</v>
      </c>
      <c r="F3255" t="s">
        <v>752</v>
      </c>
      <c r="H3255">
        <v>169.7</v>
      </c>
      <c r="O3255" t="s">
        <v>239</v>
      </c>
      <c r="P3255" t="s">
        <v>514</v>
      </c>
      <c r="Y3255">
        <v>3221</v>
      </c>
      <c r="Z3255" s="259" t="s">
        <v>630</v>
      </c>
      <c r="AA3255">
        <v>0</v>
      </c>
      <c r="AB3255">
        <v>0</v>
      </c>
      <c r="AC3255">
        <v>46001</v>
      </c>
      <c r="AD3255">
        <v>0</v>
      </c>
      <c r="AE3255">
        <v>0</v>
      </c>
      <c r="AF3255">
        <v>0</v>
      </c>
      <c r="AG3255">
        <v>0</v>
      </c>
      <c r="AH3255">
        <v>0</v>
      </c>
    </row>
    <row r="3256" spans="2:34" x14ac:dyDescent="0.35">
      <c r="B3256" t="s">
        <v>566</v>
      </c>
      <c r="C3256">
        <v>46001</v>
      </c>
      <c r="F3256" t="s">
        <v>754</v>
      </c>
      <c r="H3256">
        <v>78.5</v>
      </c>
      <c r="O3256" t="s">
        <v>239</v>
      </c>
      <c r="P3256" t="s">
        <v>514</v>
      </c>
      <c r="Y3256">
        <v>3222</v>
      </c>
      <c r="Z3256" s="259" t="s">
        <v>630</v>
      </c>
      <c r="AA3256">
        <v>0</v>
      </c>
      <c r="AB3256">
        <v>0</v>
      </c>
      <c r="AC3256">
        <v>46001</v>
      </c>
      <c r="AD3256">
        <v>0</v>
      </c>
      <c r="AE3256">
        <v>0</v>
      </c>
      <c r="AF3256">
        <v>0</v>
      </c>
      <c r="AG3256">
        <v>0</v>
      </c>
      <c r="AH3256">
        <v>0</v>
      </c>
    </row>
    <row r="3257" spans="2:34" x14ac:dyDescent="0.35">
      <c r="B3257" t="s">
        <v>566</v>
      </c>
      <c r="C3257">
        <v>46002</v>
      </c>
      <c r="F3257" t="s">
        <v>749</v>
      </c>
      <c r="H3257">
        <v>47.83</v>
      </c>
      <c r="O3257" t="s">
        <v>239</v>
      </c>
      <c r="P3257" t="s">
        <v>514</v>
      </c>
      <c r="Y3257">
        <v>3223</v>
      </c>
      <c r="Z3257" s="259" t="s">
        <v>630</v>
      </c>
      <c r="AA3257">
        <v>0</v>
      </c>
      <c r="AB3257">
        <v>0</v>
      </c>
      <c r="AC3257">
        <v>46002</v>
      </c>
      <c r="AD3257">
        <v>0</v>
      </c>
      <c r="AE3257">
        <v>0</v>
      </c>
      <c r="AF3257">
        <v>0</v>
      </c>
      <c r="AG3257">
        <v>0</v>
      </c>
      <c r="AH3257">
        <v>0</v>
      </c>
    </row>
    <row r="3258" spans="2:34" x14ac:dyDescent="0.35">
      <c r="B3258" t="s">
        <v>566</v>
      </c>
      <c r="C3258">
        <v>46002</v>
      </c>
      <c r="F3258" t="s">
        <v>752</v>
      </c>
      <c r="H3258">
        <v>169.67</v>
      </c>
      <c r="O3258" t="s">
        <v>239</v>
      </c>
      <c r="P3258" t="s">
        <v>514</v>
      </c>
      <c r="Y3258">
        <v>3224</v>
      </c>
      <c r="Z3258" s="259" t="s">
        <v>630</v>
      </c>
      <c r="AA3258">
        <v>0</v>
      </c>
      <c r="AB3258">
        <v>0</v>
      </c>
      <c r="AC3258">
        <v>46002</v>
      </c>
      <c r="AD3258">
        <v>0</v>
      </c>
      <c r="AE3258">
        <v>0</v>
      </c>
      <c r="AF3258">
        <v>0</v>
      </c>
      <c r="AG3258">
        <v>0</v>
      </c>
      <c r="AH3258">
        <v>0</v>
      </c>
    </row>
    <row r="3259" spans="2:34" x14ac:dyDescent="0.35">
      <c r="B3259" t="s">
        <v>566</v>
      </c>
      <c r="C3259">
        <v>46002</v>
      </c>
      <c r="F3259" t="s">
        <v>754</v>
      </c>
      <c r="H3259">
        <v>78.47</v>
      </c>
      <c r="O3259" t="s">
        <v>239</v>
      </c>
      <c r="P3259" t="s">
        <v>514</v>
      </c>
      <c r="Y3259">
        <v>3225</v>
      </c>
      <c r="Z3259" s="259" t="s">
        <v>630</v>
      </c>
      <c r="AA3259">
        <v>0</v>
      </c>
      <c r="AB3259">
        <v>0</v>
      </c>
      <c r="AC3259">
        <v>46002</v>
      </c>
      <c r="AD3259">
        <v>0</v>
      </c>
      <c r="AE3259">
        <v>0</v>
      </c>
      <c r="AF3259">
        <v>0</v>
      </c>
      <c r="AG3259">
        <v>0</v>
      </c>
      <c r="AH3259">
        <v>0</v>
      </c>
    </row>
    <row r="3260" spans="2:34" x14ac:dyDescent="0.35">
      <c r="B3260" t="s">
        <v>566</v>
      </c>
      <c r="C3260">
        <v>46003</v>
      </c>
      <c r="F3260" t="s">
        <v>749</v>
      </c>
      <c r="H3260">
        <v>47.82</v>
      </c>
      <c r="O3260" t="s">
        <v>239</v>
      </c>
      <c r="P3260" t="s">
        <v>514</v>
      </c>
      <c r="Y3260">
        <v>3226</v>
      </c>
      <c r="Z3260" s="259" t="s">
        <v>630</v>
      </c>
      <c r="AA3260">
        <v>0</v>
      </c>
      <c r="AB3260">
        <v>0</v>
      </c>
      <c r="AC3260">
        <v>46003</v>
      </c>
      <c r="AD3260">
        <v>0</v>
      </c>
      <c r="AE3260">
        <v>0</v>
      </c>
      <c r="AF3260">
        <v>0</v>
      </c>
      <c r="AG3260">
        <v>0</v>
      </c>
      <c r="AH3260">
        <v>0</v>
      </c>
    </row>
    <row r="3261" spans="2:34" x14ac:dyDescent="0.35">
      <c r="B3261" t="s">
        <v>566</v>
      </c>
      <c r="C3261">
        <v>46003</v>
      </c>
      <c r="F3261" t="s">
        <v>752</v>
      </c>
      <c r="H3261">
        <v>169.63</v>
      </c>
      <c r="O3261" t="s">
        <v>239</v>
      </c>
      <c r="P3261" t="s">
        <v>514</v>
      </c>
      <c r="Y3261">
        <v>3227</v>
      </c>
      <c r="Z3261" s="259" t="s">
        <v>630</v>
      </c>
      <c r="AA3261">
        <v>0</v>
      </c>
      <c r="AB3261">
        <v>0</v>
      </c>
      <c r="AC3261">
        <v>46003</v>
      </c>
      <c r="AD3261">
        <v>0</v>
      </c>
      <c r="AE3261">
        <v>0</v>
      </c>
      <c r="AF3261">
        <v>0</v>
      </c>
      <c r="AG3261">
        <v>0</v>
      </c>
      <c r="AH3261">
        <v>0</v>
      </c>
    </row>
    <row r="3262" spans="2:34" x14ac:dyDescent="0.35">
      <c r="B3262" t="s">
        <v>566</v>
      </c>
      <c r="C3262">
        <v>46003</v>
      </c>
      <c r="F3262" t="s">
        <v>754</v>
      </c>
      <c r="H3262">
        <v>78.430000000000007</v>
      </c>
      <c r="O3262" t="s">
        <v>239</v>
      </c>
      <c r="P3262" t="s">
        <v>514</v>
      </c>
      <c r="Y3262">
        <v>3228</v>
      </c>
      <c r="Z3262" s="259" t="s">
        <v>630</v>
      </c>
      <c r="AA3262">
        <v>0</v>
      </c>
      <c r="AB3262">
        <v>0</v>
      </c>
      <c r="AC3262">
        <v>46003</v>
      </c>
      <c r="AD3262">
        <v>0</v>
      </c>
      <c r="AE3262">
        <v>0</v>
      </c>
      <c r="AF3262">
        <v>0</v>
      </c>
      <c r="AG3262">
        <v>0</v>
      </c>
      <c r="AH3262">
        <v>0</v>
      </c>
    </row>
    <row r="3263" spans="2:34" x14ac:dyDescent="0.35">
      <c r="B3263" t="s">
        <v>566</v>
      </c>
      <c r="C3263">
        <v>46004</v>
      </c>
      <c r="F3263" t="s">
        <v>749</v>
      </c>
      <c r="H3263">
        <v>47.82</v>
      </c>
      <c r="O3263" t="s">
        <v>239</v>
      </c>
      <c r="P3263" t="s">
        <v>514</v>
      </c>
      <c r="Y3263">
        <v>3229</v>
      </c>
      <c r="Z3263" s="259" t="s">
        <v>630</v>
      </c>
      <c r="AA3263">
        <v>0</v>
      </c>
      <c r="AB3263">
        <v>0</v>
      </c>
      <c r="AC3263">
        <v>46003</v>
      </c>
      <c r="AD3263">
        <v>1</v>
      </c>
      <c r="AE3263">
        <v>0</v>
      </c>
      <c r="AF3263">
        <v>0</v>
      </c>
      <c r="AG3263">
        <v>0</v>
      </c>
      <c r="AH3263">
        <v>0</v>
      </c>
    </row>
    <row r="3264" spans="2:34" x14ac:dyDescent="0.35">
      <c r="B3264" t="s">
        <v>566</v>
      </c>
      <c r="C3264">
        <v>46004</v>
      </c>
      <c r="F3264" t="s">
        <v>752</v>
      </c>
      <c r="H3264">
        <v>169.63</v>
      </c>
      <c r="O3264" t="s">
        <v>239</v>
      </c>
      <c r="P3264" t="s">
        <v>514</v>
      </c>
      <c r="Y3264">
        <v>3230</v>
      </c>
      <c r="Z3264" s="259" t="s">
        <v>630</v>
      </c>
      <c r="AA3264">
        <v>0</v>
      </c>
      <c r="AB3264">
        <v>0</v>
      </c>
      <c r="AC3264">
        <v>46003</v>
      </c>
      <c r="AD3264">
        <v>1</v>
      </c>
      <c r="AE3264">
        <v>0</v>
      </c>
      <c r="AF3264">
        <v>0</v>
      </c>
      <c r="AG3264">
        <v>0</v>
      </c>
      <c r="AH3264">
        <v>0</v>
      </c>
    </row>
    <row r="3265" spans="2:34" x14ac:dyDescent="0.35">
      <c r="B3265" t="s">
        <v>566</v>
      </c>
      <c r="C3265">
        <v>46004</v>
      </c>
      <c r="F3265" t="s">
        <v>754</v>
      </c>
      <c r="H3265">
        <v>78.430000000000007</v>
      </c>
      <c r="O3265" t="s">
        <v>239</v>
      </c>
      <c r="P3265" t="s">
        <v>514</v>
      </c>
      <c r="Y3265">
        <v>3231</v>
      </c>
      <c r="Z3265" s="259" t="s">
        <v>630</v>
      </c>
      <c r="AA3265">
        <v>0</v>
      </c>
      <c r="AB3265">
        <v>0</v>
      </c>
      <c r="AC3265">
        <v>46003</v>
      </c>
      <c r="AD3265">
        <v>1</v>
      </c>
      <c r="AE3265">
        <v>0</v>
      </c>
      <c r="AF3265">
        <v>0</v>
      </c>
      <c r="AG3265">
        <v>0</v>
      </c>
      <c r="AH3265">
        <v>0</v>
      </c>
    </row>
    <row r="3266" spans="2:34" x14ac:dyDescent="0.35">
      <c r="B3266" t="s">
        <v>566</v>
      </c>
      <c r="C3266">
        <v>46005</v>
      </c>
      <c r="F3266" t="s">
        <v>749</v>
      </c>
      <c r="H3266">
        <v>47.82</v>
      </c>
      <c r="O3266" t="s">
        <v>239</v>
      </c>
      <c r="P3266" t="s">
        <v>514</v>
      </c>
      <c r="Y3266">
        <v>3232</v>
      </c>
      <c r="Z3266" s="259" t="s">
        <v>630</v>
      </c>
      <c r="AA3266">
        <v>0</v>
      </c>
      <c r="AB3266">
        <v>0</v>
      </c>
      <c r="AC3266">
        <v>46003</v>
      </c>
      <c r="AD3266">
        <v>2</v>
      </c>
      <c r="AE3266">
        <v>0</v>
      </c>
      <c r="AF3266">
        <v>0</v>
      </c>
      <c r="AG3266">
        <v>0</v>
      </c>
      <c r="AH3266">
        <v>0</v>
      </c>
    </row>
    <row r="3267" spans="2:34" x14ac:dyDescent="0.35">
      <c r="B3267" t="s">
        <v>566</v>
      </c>
      <c r="C3267">
        <v>46005</v>
      </c>
      <c r="F3267" t="s">
        <v>752</v>
      </c>
      <c r="H3267">
        <v>169.63</v>
      </c>
      <c r="O3267" t="s">
        <v>239</v>
      </c>
      <c r="P3267" t="s">
        <v>514</v>
      </c>
      <c r="Y3267">
        <v>3233</v>
      </c>
      <c r="Z3267" s="259" t="s">
        <v>630</v>
      </c>
      <c r="AA3267">
        <v>0</v>
      </c>
      <c r="AB3267">
        <v>0</v>
      </c>
      <c r="AC3267">
        <v>46003</v>
      </c>
      <c r="AD3267">
        <v>2</v>
      </c>
      <c r="AE3267">
        <v>0</v>
      </c>
      <c r="AF3267">
        <v>0</v>
      </c>
      <c r="AG3267">
        <v>0</v>
      </c>
      <c r="AH3267">
        <v>0</v>
      </c>
    </row>
    <row r="3268" spans="2:34" x14ac:dyDescent="0.35">
      <c r="B3268" t="s">
        <v>566</v>
      </c>
      <c r="C3268">
        <v>46005</v>
      </c>
      <c r="F3268" t="s">
        <v>754</v>
      </c>
      <c r="H3268">
        <v>78.430000000000007</v>
      </c>
      <c r="O3268" t="s">
        <v>239</v>
      </c>
      <c r="P3268" t="s">
        <v>514</v>
      </c>
      <c r="Y3268">
        <v>3234</v>
      </c>
      <c r="Z3268" s="259" t="s">
        <v>630</v>
      </c>
      <c r="AA3268">
        <v>0</v>
      </c>
      <c r="AB3268">
        <v>0</v>
      </c>
      <c r="AC3268">
        <v>46003</v>
      </c>
      <c r="AD3268">
        <v>2</v>
      </c>
      <c r="AE3268">
        <v>0</v>
      </c>
      <c r="AF3268">
        <v>0</v>
      </c>
      <c r="AG3268">
        <v>0</v>
      </c>
      <c r="AH3268">
        <v>0</v>
      </c>
    </row>
    <row r="3269" spans="2:34" x14ac:dyDescent="0.35">
      <c r="B3269" t="s">
        <v>566</v>
      </c>
      <c r="C3269">
        <v>46006</v>
      </c>
      <c r="F3269" t="s">
        <v>749</v>
      </c>
      <c r="H3269">
        <v>47.77</v>
      </c>
      <c r="O3269" t="s">
        <v>239</v>
      </c>
      <c r="P3269" t="s">
        <v>514</v>
      </c>
      <c r="Y3269">
        <v>3235</v>
      </c>
      <c r="Z3269" s="259" t="s">
        <v>630</v>
      </c>
      <c r="AA3269">
        <v>0</v>
      </c>
      <c r="AB3269">
        <v>0</v>
      </c>
      <c r="AC3269">
        <v>46006</v>
      </c>
      <c r="AD3269">
        <v>0</v>
      </c>
      <c r="AE3269">
        <v>0</v>
      </c>
      <c r="AF3269">
        <v>0</v>
      </c>
      <c r="AG3269">
        <v>0</v>
      </c>
      <c r="AH3269">
        <v>0</v>
      </c>
    </row>
    <row r="3270" spans="2:34" x14ac:dyDescent="0.35">
      <c r="B3270" t="s">
        <v>566</v>
      </c>
      <c r="C3270">
        <v>46006</v>
      </c>
      <c r="F3270" t="s">
        <v>752</v>
      </c>
      <c r="H3270">
        <v>169.53</v>
      </c>
      <c r="O3270" t="s">
        <v>239</v>
      </c>
      <c r="P3270" t="s">
        <v>514</v>
      </c>
      <c r="Y3270">
        <v>3236</v>
      </c>
      <c r="Z3270" s="259" t="s">
        <v>630</v>
      </c>
      <c r="AA3270">
        <v>0</v>
      </c>
      <c r="AB3270">
        <v>0</v>
      </c>
      <c r="AC3270">
        <v>46006</v>
      </c>
      <c r="AD3270">
        <v>0</v>
      </c>
      <c r="AE3270">
        <v>0</v>
      </c>
      <c r="AF3270">
        <v>0</v>
      </c>
      <c r="AG3270">
        <v>0</v>
      </c>
      <c r="AH3270">
        <v>0</v>
      </c>
    </row>
    <row r="3271" spans="2:34" x14ac:dyDescent="0.35">
      <c r="B3271" t="s">
        <v>566</v>
      </c>
      <c r="C3271">
        <v>46006</v>
      </c>
      <c r="F3271" t="s">
        <v>754</v>
      </c>
      <c r="H3271">
        <v>78.33</v>
      </c>
      <c r="O3271" t="s">
        <v>239</v>
      </c>
      <c r="P3271" t="s">
        <v>514</v>
      </c>
      <c r="Y3271">
        <v>3237</v>
      </c>
      <c r="Z3271" s="259" t="s">
        <v>630</v>
      </c>
      <c r="AA3271">
        <v>0</v>
      </c>
      <c r="AB3271">
        <v>0</v>
      </c>
      <c r="AC3271">
        <v>46006</v>
      </c>
      <c r="AD3271">
        <v>0</v>
      </c>
      <c r="AE3271">
        <v>0</v>
      </c>
      <c r="AF3271">
        <v>0</v>
      </c>
      <c r="AG3271">
        <v>0</v>
      </c>
      <c r="AH3271">
        <v>0</v>
      </c>
    </row>
    <row r="3272" spans="2:34" x14ac:dyDescent="0.35">
      <c r="B3272" t="s">
        <v>566</v>
      </c>
      <c r="C3272">
        <v>46007</v>
      </c>
      <c r="F3272" t="s">
        <v>749</v>
      </c>
      <c r="H3272">
        <v>47.75</v>
      </c>
      <c r="O3272" t="s">
        <v>239</v>
      </c>
      <c r="P3272" t="s">
        <v>514</v>
      </c>
      <c r="Y3272">
        <v>3238</v>
      </c>
      <c r="Z3272" s="259" t="s">
        <v>630</v>
      </c>
      <c r="AA3272">
        <v>0</v>
      </c>
      <c r="AB3272">
        <v>0</v>
      </c>
      <c r="AC3272">
        <v>46007</v>
      </c>
      <c r="AD3272">
        <v>0</v>
      </c>
      <c r="AE3272">
        <v>0</v>
      </c>
      <c r="AF3272">
        <v>0</v>
      </c>
      <c r="AG3272">
        <v>0</v>
      </c>
      <c r="AH3272">
        <v>0</v>
      </c>
    </row>
    <row r="3273" spans="2:34" x14ac:dyDescent="0.35">
      <c r="B3273" t="s">
        <v>566</v>
      </c>
      <c r="C3273">
        <v>46007</v>
      </c>
      <c r="F3273" t="s">
        <v>752</v>
      </c>
      <c r="H3273">
        <v>169.5</v>
      </c>
      <c r="O3273" t="s">
        <v>239</v>
      </c>
      <c r="P3273" t="s">
        <v>514</v>
      </c>
      <c r="Y3273">
        <v>3239</v>
      </c>
      <c r="Z3273" s="259" t="s">
        <v>630</v>
      </c>
      <c r="AA3273">
        <v>0</v>
      </c>
      <c r="AB3273">
        <v>0</v>
      </c>
      <c r="AC3273">
        <v>46007</v>
      </c>
      <c r="AD3273">
        <v>0</v>
      </c>
      <c r="AE3273">
        <v>0</v>
      </c>
      <c r="AF3273">
        <v>0</v>
      </c>
      <c r="AG3273">
        <v>0</v>
      </c>
      <c r="AH3273">
        <v>0</v>
      </c>
    </row>
    <row r="3274" spans="2:34" x14ac:dyDescent="0.35">
      <c r="B3274" t="s">
        <v>566</v>
      </c>
      <c r="C3274">
        <v>46007</v>
      </c>
      <c r="F3274" t="s">
        <v>754</v>
      </c>
      <c r="H3274">
        <v>78.3</v>
      </c>
      <c r="O3274" t="s">
        <v>239</v>
      </c>
      <c r="P3274" t="s">
        <v>514</v>
      </c>
      <c r="Y3274">
        <v>3240</v>
      </c>
      <c r="Z3274" s="259" t="s">
        <v>630</v>
      </c>
      <c r="AA3274">
        <v>0</v>
      </c>
      <c r="AB3274">
        <v>0</v>
      </c>
      <c r="AC3274">
        <v>46007</v>
      </c>
      <c r="AD3274">
        <v>0</v>
      </c>
      <c r="AE3274">
        <v>0</v>
      </c>
      <c r="AF3274">
        <v>0</v>
      </c>
      <c r="AG3274">
        <v>0</v>
      </c>
      <c r="AH3274">
        <v>0</v>
      </c>
    </row>
    <row r="3275" spans="2:34" x14ac:dyDescent="0.35">
      <c r="B3275" t="s">
        <v>566</v>
      </c>
      <c r="C3275">
        <v>46008</v>
      </c>
      <c r="F3275" t="s">
        <v>749</v>
      </c>
      <c r="H3275">
        <v>47.73</v>
      </c>
      <c r="O3275" t="s">
        <v>239</v>
      </c>
      <c r="P3275" t="s">
        <v>514</v>
      </c>
      <c r="Y3275">
        <v>3241</v>
      </c>
      <c r="Z3275" s="259" t="s">
        <v>630</v>
      </c>
      <c r="AA3275">
        <v>0</v>
      </c>
      <c r="AB3275">
        <v>0</v>
      </c>
      <c r="AC3275">
        <v>46008</v>
      </c>
      <c r="AD3275">
        <v>0</v>
      </c>
      <c r="AE3275">
        <v>0</v>
      </c>
      <c r="AF3275">
        <v>0</v>
      </c>
      <c r="AG3275">
        <v>0</v>
      </c>
      <c r="AH3275">
        <v>0</v>
      </c>
    </row>
    <row r="3276" spans="2:34" x14ac:dyDescent="0.35">
      <c r="B3276" t="s">
        <v>566</v>
      </c>
      <c r="C3276">
        <v>46008</v>
      </c>
      <c r="F3276" t="s">
        <v>752</v>
      </c>
      <c r="H3276">
        <v>169.47</v>
      </c>
      <c r="O3276" t="s">
        <v>239</v>
      </c>
      <c r="P3276" t="s">
        <v>514</v>
      </c>
      <c r="Y3276">
        <v>3242</v>
      </c>
      <c r="Z3276" s="259" t="s">
        <v>630</v>
      </c>
      <c r="AA3276">
        <v>0</v>
      </c>
      <c r="AB3276">
        <v>0</v>
      </c>
      <c r="AC3276">
        <v>46008</v>
      </c>
      <c r="AD3276">
        <v>0</v>
      </c>
      <c r="AE3276">
        <v>0</v>
      </c>
      <c r="AF3276">
        <v>0</v>
      </c>
      <c r="AG3276">
        <v>0</v>
      </c>
      <c r="AH3276">
        <v>0</v>
      </c>
    </row>
    <row r="3277" spans="2:34" x14ac:dyDescent="0.35">
      <c r="B3277" t="s">
        <v>566</v>
      </c>
      <c r="C3277">
        <v>46008</v>
      </c>
      <c r="F3277" t="s">
        <v>754</v>
      </c>
      <c r="H3277">
        <v>78.27</v>
      </c>
      <c r="O3277" t="s">
        <v>239</v>
      </c>
      <c r="P3277" t="s">
        <v>514</v>
      </c>
      <c r="Y3277">
        <v>3243</v>
      </c>
      <c r="Z3277" s="259" t="s">
        <v>630</v>
      </c>
      <c r="AA3277">
        <v>0</v>
      </c>
      <c r="AB3277">
        <v>0</v>
      </c>
      <c r="AC3277">
        <v>46008</v>
      </c>
      <c r="AD3277">
        <v>0</v>
      </c>
      <c r="AE3277">
        <v>0</v>
      </c>
      <c r="AF3277">
        <v>0</v>
      </c>
      <c r="AG3277">
        <v>0</v>
      </c>
      <c r="AH3277">
        <v>0</v>
      </c>
    </row>
    <row r="3278" spans="2:34" x14ac:dyDescent="0.35">
      <c r="B3278" t="s">
        <v>566</v>
      </c>
      <c r="C3278">
        <v>46009</v>
      </c>
      <c r="F3278" t="s">
        <v>749</v>
      </c>
      <c r="H3278">
        <v>47.72</v>
      </c>
      <c r="O3278" t="s">
        <v>239</v>
      </c>
      <c r="P3278" t="s">
        <v>514</v>
      </c>
      <c r="Y3278">
        <v>3244</v>
      </c>
      <c r="Z3278" s="259" t="s">
        <v>630</v>
      </c>
      <c r="AA3278">
        <v>0</v>
      </c>
      <c r="AB3278">
        <v>0</v>
      </c>
      <c r="AC3278">
        <v>46009</v>
      </c>
      <c r="AD3278">
        <v>0</v>
      </c>
      <c r="AE3278">
        <v>0</v>
      </c>
      <c r="AF3278">
        <v>0</v>
      </c>
      <c r="AG3278">
        <v>0</v>
      </c>
      <c r="AH3278">
        <v>0</v>
      </c>
    </row>
    <row r="3279" spans="2:34" x14ac:dyDescent="0.35">
      <c r="B3279" t="s">
        <v>566</v>
      </c>
      <c r="C3279">
        <v>46009</v>
      </c>
      <c r="F3279" t="s">
        <v>752</v>
      </c>
      <c r="H3279">
        <v>169.43</v>
      </c>
      <c r="O3279" t="s">
        <v>239</v>
      </c>
      <c r="P3279" t="s">
        <v>514</v>
      </c>
      <c r="Y3279">
        <v>3245</v>
      </c>
      <c r="Z3279" s="259" t="s">
        <v>630</v>
      </c>
      <c r="AA3279">
        <v>0</v>
      </c>
      <c r="AB3279">
        <v>0</v>
      </c>
      <c r="AC3279">
        <v>46009</v>
      </c>
      <c r="AD3279">
        <v>0</v>
      </c>
      <c r="AE3279">
        <v>0</v>
      </c>
      <c r="AF3279">
        <v>0</v>
      </c>
      <c r="AG3279">
        <v>0</v>
      </c>
      <c r="AH3279">
        <v>0</v>
      </c>
    </row>
    <row r="3280" spans="2:34" x14ac:dyDescent="0.35">
      <c r="B3280" t="s">
        <v>566</v>
      </c>
      <c r="C3280">
        <v>46009</v>
      </c>
      <c r="F3280" t="s">
        <v>754</v>
      </c>
      <c r="H3280">
        <v>78.23</v>
      </c>
      <c r="O3280" t="s">
        <v>239</v>
      </c>
      <c r="P3280" t="s">
        <v>514</v>
      </c>
      <c r="Y3280">
        <v>3246</v>
      </c>
      <c r="Z3280" s="259" t="s">
        <v>630</v>
      </c>
      <c r="AA3280">
        <v>0</v>
      </c>
      <c r="AB3280">
        <v>0</v>
      </c>
      <c r="AC3280">
        <v>46009</v>
      </c>
      <c r="AD3280">
        <v>0</v>
      </c>
      <c r="AE3280">
        <v>0</v>
      </c>
      <c r="AF3280">
        <v>0</v>
      </c>
      <c r="AG3280">
        <v>0</v>
      </c>
      <c r="AH3280">
        <v>0</v>
      </c>
    </row>
    <row r="3281" spans="2:34" x14ac:dyDescent="0.35">
      <c r="B3281" t="s">
        <v>566</v>
      </c>
      <c r="C3281">
        <v>46010</v>
      </c>
      <c r="F3281" t="s">
        <v>749</v>
      </c>
      <c r="H3281">
        <v>47.7</v>
      </c>
      <c r="O3281" t="s">
        <v>239</v>
      </c>
      <c r="P3281" t="s">
        <v>514</v>
      </c>
      <c r="Y3281">
        <v>3247</v>
      </c>
      <c r="Z3281" s="259" t="s">
        <v>630</v>
      </c>
      <c r="AA3281">
        <v>0</v>
      </c>
      <c r="AB3281">
        <v>0</v>
      </c>
      <c r="AC3281">
        <v>46010</v>
      </c>
      <c r="AD3281">
        <v>0</v>
      </c>
      <c r="AE3281">
        <v>0</v>
      </c>
      <c r="AF3281">
        <v>0</v>
      </c>
      <c r="AG3281">
        <v>0</v>
      </c>
      <c r="AH3281">
        <v>0</v>
      </c>
    </row>
    <row r="3282" spans="2:34" x14ac:dyDescent="0.35">
      <c r="B3282" t="s">
        <v>566</v>
      </c>
      <c r="C3282">
        <v>46010</v>
      </c>
      <c r="F3282" t="s">
        <v>752</v>
      </c>
      <c r="H3282">
        <v>169.4</v>
      </c>
      <c r="O3282" t="s">
        <v>239</v>
      </c>
      <c r="P3282" t="s">
        <v>514</v>
      </c>
      <c r="Y3282">
        <v>3248</v>
      </c>
      <c r="Z3282" s="259" t="s">
        <v>630</v>
      </c>
      <c r="AA3282">
        <v>0</v>
      </c>
      <c r="AB3282">
        <v>0</v>
      </c>
      <c r="AC3282">
        <v>46010</v>
      </c>
      <c r="AD3282">
        <v>0</v>
      </c>
      <c r="AE3282">
        <v>0</v>
      </c>
      <c r="AF3282">
        <v>0</v>
      </c>
      <c r="AG3282">
        <v>0</v>
      </c>
      <c r="AH3282">
        <v>0</v>
      </c>
    </row>
    <row r="3283" spans="2:34" x14ac:dyDescent="0.35">
      <c r="B3283" t="s">
        <v>566</v>
      </c>
      <c r="C3283">
        <v>46010</v>
      </c>
      <c r="F3283" t="s">
        <v>754</v>
      </c>
      <c r="H3283">
        <v>78.2</v>
      </c>
      <c r="O3283" t="s">
        <v>239</v>
      </c>
      <c r="P3283" t="s">
        <v>514</v>
      </c>
      <c r="Y3283">
        <v>3249</v>
      </c>
      <c r="Z3283" s="259" t="s">
        <v>630</v>
      </c>
      <c r="AA3283">
        <v>0</v>
      </c>
      <c r="AB3283">
        <v>0</v>
      </c>
      <c r="AC3283">
        <v>46010</v>
      </c>
      <c r="AD3283">
        <v>0</v>
      </c>
      <c r="AE3283">
        <v>0</v>
      </c>
      <c r="AF3283">
        <v>0</v>
      </c>
      <c r="AG3283">
        <v>0</v>
      </c>
      <c r="AH3283">
        <v>0</v>
      </c>
    </row>
    <row r="3284" spans="2:34" x14ac:dyDescent="0.35">
      <c r="B3284" t="s">
        <v>566</v>
      </c>
      <c r="C3284">
        <v>46011</v>
      </c>
      <c r="F3284" t="s">
        <v>749</v>
      </c>
      <c r="H3284">
        <v>47.7</v>
      </c>
      <c r="O3284" t="s">
        <v>239</v>
      </c>
      <c r="P3284" t="s">
        <v>514</v>
      </c>
      <c r="Y3284">
        <v>3250</v>
      </c>
      <c r="Z3284" s="259" t="s">
        <v>630</v>
      </c>
      <c r="AA3284">
        <v>0</v>
      </c>
      <c r="AB3284">
        <v>0</v>
      </c>
      <c r="AC3284">
        <v>46010</v>
      </c>
      <c r="AD3284">
        <v>1</v>
      </c>
      <c r="AE3284">
        <v>0</v>
      </c>
      <c r="AF3284">
        <v>0</v>
      </c>
      <c r="AG3284">
        <v>0</v>
      </c>
      <c r="AH3284">
        <v>0</v>
      </c>
    </row>
    <row r="3285" spans="2:34" x14ac:dyDescent="0.35">
      <c r="B3285" t="s">
        <v>566</v>
      </c>
      <c r="C3285">
        <v>46011</v>
      </c>
      <c r="F3285" t="s">
        <v>752</v>
      </c>
      <c r="H3285">
        <v>169.4</v>
      </c>
      <c r="O3285" t="s">
        <v>239</v>
      </c>
      <c r="P3285" t="s">
        <v>514</v>
      </c>
      <c r="Y3285">
        <v>3251</v>
      </c>
      <c r="Z3285" s="259" t="s">
        <v>630</v>
      </c>
      <c r="AA3285">
        <v>0</v>
      </c>
      <c r="AB3285">
        <v>0</v>
      </c>
      <c r="AC3285">
        <v>46010</v>
      </c>
      <c r="AD3285">
        <v>1</v>
      </c>
      <c r="AE3285">
        <v>0</v>
      </c>
      <c r="AF3285">
        <v>0</v>
      </c>
      <c r="AG3285">
        <v>0</v>
      </c>
      <c r="AH3285">
        <v>0</v>
      </c>
    </row>
    <row r="3286" spans="2:34" x14ac:dyDescent="0.35">
      <c r="B3286" t="s">
        <v>566</v>
      </c>
      <c r="C3286">
        <v>46011</v>
      </c>
      <c r="F3286" t="s">
        <v>754</v>
      </c>
      <c r="H3286">
        <v>78.2</v>
      </c>
      <c r="O3286" t="s">
        <v>239</v>
      </c>
      <c r="P3286" t="s">
        <v>514</v>
      </c>
      <c r="Y3286">
        <v>3252</v>
      </c>
      <c r="Z3286" s="259" t="s">
        <v>630</v>
      </c>
      <c r="AA3286">
        <v>0</v>
      </c>
      <c r="AB3286">
        <v>0</v>
      </c>
      <c r="AC3286">
        <v>46010</v>
      </c>
      <c r="AD3286">
        <v>1</v>
      </c>
      <c r="AE3286">
        <v>0</v>
      </c>
      <c r="AF3286">
        <v>0</v>
      </c>
      <c r="AG3286">
        <v>0</v>
      </c>
      <c r="AH3286">
        <v>0</v>
      </c>
    </row>
    <row r="3287" spans="2:34" x14ac:dyDescent="0.35">
      <c r="B3287" t="s">
        <v>566</v>
      </c>
      <c r="C3287">
        <v>46012</v>
      </c>
      <c r="F3287" t="s">
        <v>749</v>
      </c>
      <c r="H3287">
        <v>47.7</v>
      </c>
      <c r="O3287" t="s">
        <v>239</v>
      </c>
      <c r="P3287" t="s">
        <v>514</v>
      </c>
      <c r="Y3287">
        <v>3253</v>
      </c>
      <c r="Z3287" s="259" t="s">
        <v>630</v>
      </c>
      <c r="AA3287">
        <v>0</v>
      </c>
      <c r="AB3287">
        <v>0</v>
      </c>
      <c r="AC3287">
        <v>46010</v>
      </c>
      <c r="AD3287">
        <v>2</v>
      </c>
      <c r="AE3287">
        <v>0</v>
      </c>
      <c r="AF3287">
        <v>0</v>
      </c>
      <c r="AG3287">
        <v>0</v>
      </c>
      <c r="AH3287">
        <v>0</v>
      </c>
    </row>
    <row r="3288" spans="2:34" x14ac:dyDescent="0.35">
      <c r="B3288" t="s">
        <v>566</v>
      </c>
      <c r="C3288">
        <v>46012</v>
      </c>
      <c r="F3288" t="s">
        <v>752</v>
      </c>
      <c r="H3288">
        <v>169.4</v>
      </c>
      <c r="O3288" t="s">
        <v>239</v>
      </c>
      <c r="P3288" t="s">
        <v>514</v>
      </c>
      <c r="Y3288">
        <v>3254</v>
      </c>
      <c r="Z3288" s="259" t="s">
        <v>630</v>
      </c>
      <c r="AA3288">
        <v>0</v>
      </c>
      <c r="AB3288">
        <v>0</v>
      </c>
      <c r="AC3288">
        <v>46010</v>
      </c>
      <c r="AD3288">
        <v>2</v>
      </c>
      <c r="AE3288">
        <v>0</v>
      </c>
      <c r="AF3288">
        <v>0</v>
      </c>
      <c r="AG3288">
        <v>0</v>
      </c>
      <c r="AH3288">
        <v>0</v>
      </c>
    </row>
    <row r="3289" spans="2:34" x14ac:dyDescent="0.35">
      <c r="B3289" t="s">
        <v>566</v>
      </c>
      <c r="C3289">
        <v>46012</v>
      </c>
      <c r="F3289" t="s">
        <v>754</v>
      </c>
      <c r="H3289">
        <v>78.2</v>
      </c>
      <c r="O3289" t="s">
        <v>239</v>
      </c>
      <c r="P3289" t="s">
        <v>514</v>
      </c>
      <c r="Y3289">
        <v>3255</v>
      </c>
      <c r="Z3289" s="259" t="s">
        <v>630</v>
      </c>
      <c r="AA3289">
        <v>0</v>
      </c>
      <c r="AB3289">
        <v>0</v>
      </c>
      <c r="AC3289">
        <v>46010</v>
      </c>
      <c r="AD3289">
        <v>2</v>
      </c>
      <c r="AE3289">
        <v>0</v>
      </c>
      <c r="AF3289">
        <v>0</v>
      </c>
      <c r="AG3289">
        <v>0</v>
      </c>
      <c r="AH3289">
        <v>0</v>
      </c>
    </row>
    <row r="3290" spans="2:34" x14ac:dyDescent="0.35">
      <c r="B3290" t="s">
        <v>566</v>
      </c>
      <c r="C3290">
        <v>46013</v>
      </c>
      <c r="F3290" t="s">
        <v>749</v>
      </c>
      <c r="H3290">
        <v>47.65</v>
      </c>
      <c r="O3290" t="s">
        <v>239</v>
      </c>
      <c r="P3290" t="s">
        <v>514</v>
      </c>
      <c r="Y3290">
        <v>3256</v>
      </c>
      <c r="Z3290" s="259" t="s">
        <v>630</v>
      </c>
      <c r="AA3290">
        <v>0</v>
      </c>
      <c r="AB3290">
        <v>0</v>
      </c>
      <c r="AC3290">
        <v>46013</v>
      </c>
      <c r="AD3290">
        <v>0</v>
      </c>
      <c r="AE3290">
        <v>0</v>
      </c>
      <c r="AF3290">
        <v>0</v>
      </c>
      <c r="AG3290">
        <v>0</v>
      </c>
      <c r="AH3290">
        <v>0</v>
      </c>
    </row>
    <row r="3291" spans="2:34" x14ac:dyDescent="0.35">
      <c r="B3291" t="s">
        <v>566</v>
      </c>
      <c r="C3291">
        <v>46013</v>
      </c>
      <c r="F3291" t="s">
        <v>752</v>
      </c>
      <c r="H3291">
        <v>169.3</v>
      </c>
      <c r="O3291" t="s">
        <v>239</v>
      </c>
      <c r="P3291" t="s">
        <v>514</v>
      </c>
      <c r="Y3291">
        <v>3257</v>
      </c>
      <c r="Z3291" s="259" t="s">
        <v>630</v>
      </c>
      <c r="AA3291">
        <v>0</v>
      </c>
      <c r="AB3291">
        <v>0</v>
      </c>
      <c r="AC3291">
        <v>46013</v>
      </c>
      <c r="AD3291">
        <v>0</v>
      </c>
      <c r="AE3291">
        <v>0</v>
      </c>
      <c r="AF3291">
        <v>0</v>
      </c>
      <c r="AG3291">
        <v>0</v>
      </c>
      <c r="AH3291">
        <v>0</v>
      </c>
    </row>
    <row r="3292" spans="2:34" x14ac:dyDescent="0.35">
      <c r="B3292" t="s">
        <v>566</v>
      </c>
      <c r="C3292">
        <v>46013</v>
      </c>
      <c r="F3292" t="s">
        <v>754</v>
      </c>
      <c r="H3292">
        <v>78.099999999999994</v>
      </c>
      <c r="O3292" t="s">
        <v>239</v>
      </c>
      <c r="P3292" t="s">
        <v>514</v>
      </c>
      <c r="Y3292">
        <v>3258</v>
      </c>
      <c r="Z3292" s="259" t="s">
        <v>630</v>
      </c>
      <c r="AA3292">
        <v>0</v>
      </c>
      <c r="AB3292">
        <v>0</v>
      </c>
      <c r="AC3292">
        <v>46013</v>
      </c>
      <c r="AD3292">
        <v>0</v>
      </c>
      <c r="AE3292">
        <v>0</v>
      </c>
      <c r="AF3292">
        <v>0</v>
      </c>
      <c r="AG3292">
        <v>0</v>
      </c>
      <c r="AH3292">
        <v>0</v>
      </c>
    </row>
    <row r="3293" spans="2:34" x14ac:dyDescent="0.35">
      <c r="B3293" t="s">
        <v>566</v>
      </c>
      <c r="C3293">
        <v>46014</v>
      </c>
      <c r="F3293" t="s">
        <v>749</v>
      </c>
      <c r="H3293">
        <v>47.63</v>
      </c>
      <c r="O3293" t="s">
        <v>239</v>
      </c>
      <c r="P3293" t="s">
        <v>514</v>
      </c>
      <c r="Y3293">
        <v>3259</v>
      </c>
      <c r="Z3293" s="259" t="s">
        <v>630</v>
      </c>
      <c r="AA3293">
        <v>0</v>
      </c>
      <c r="AB3293">
        <v>0</v>
      </c>
      <c r="AC3293">
        <v>46014</v>
      </c>
      <c r="AD3293">
        <v>0</v>
      </c>
      <c r="AE3293">
        <v>0</v>
      </c>
      <c r="AF3293">
        <v>0</v>
      </c>
      <c r="AG3293">
        <v>0</v>
      </c>
      <c r="AH3293">
        <v>0</v>
      </c>
    </row>
    <row r="3294" spans="2:34" x14ac:dyDescent="0.35">
      <c r="B3294" t="s">
        <v>566</v>
      </c>
      <c r="C3294">
        <v>46014</v>
      </c>
      <c r="F3294" t="s">
        <v>752</v>
      </c>
      <c r="H3294">
        <v>169.27</v>
      </c>
      <c r="O3294" t="s">
        <v>239</v>
      </c>
      <c r="P3294" t="s">
        <v>514</v>
      </c>
      <c r="Y3294">
        <v>3260</v>
      </c>
      <c r="Z3294" s="259" t="s">
        <v>630</v>
      </c>
      <c r="AA3294">
        <v>0</v>
      </c>
      <c r="AB3294">
        <v>0</v>
      </c>
      <c r="AC3294">
        <v>46014</v>
      </c>
      <c r="AD3294">
        <v>0</v>
      </c>
      <c r="AE3294">
        <v>0</v>
      </c>
      <c r="AF3294">
        <v>0</v>
      </c>
      <c r="AG3294">
        <v>0</v>
      </c>
      <c r="AH3294">
        <v>0</v>
      </c>
    </row>
    <row r="3295" spans="2:34" x14ac:dyDescent="0.35">
      <c r="B3295" t="s">
        <v>566</v>
      </c>
      <c r="C3295">
        <v>46014</v>
      </c>
      <c r="F3295" t="s">
        <v>754</v>
      </c>
      <c r="H3295">
        <v>78.069999999999993</v>
      </c>
      <c r="O3295" t="s">
        <v>239</v>
      </c>
      <c r="P3295" t="s">
        <v>514</v>
      </c>
      <c r="Y3295">
        <v>3261</v>
      </c>
      <c r="Z3295" s="259" t="s">
        <v>630</v>
      </c>
      <c r="AA3295">
        <v>0</v>
      </c>
      <c r="AB3295">
        <v>0</v>
      </c>
      <c r="AC3295">
        <v>46014</v>
      </c>
      <c r="AD3295">
        <v>0</v>
      </c>
      <c r="AE3295">
        <v>0</v>
      </c>
      <c r="AF3295">
        <v>0</v>
      </c>
      <c r="AG3295">
        <v>0</v>
      </c>
      <c r="AH3295">
        <v>0</v>
      </c>
    </row>
    <row r="3296" spans="2:34" x14ac:dyDescent="0.35">
      <c r="B3296" t="s">
        <v>566</v>
      </c>
      <c r="C3296">
        <v>46015</v>
      </c>
      <c r="F3296" t="s">
        <v>749</v>
      </c>
      <c r="H3296">
        <v>47.62</v>
      </c>
      <c r="O3296" t="s">
        <v>239</v>
      </c>
      <c r="P3296" t="s">
        <v>514</v>
      </c>
      <c r="Y3296">
        <v>3262</v>
      </c>
      <c r="Z3296" s="259" t="s">
        <v>630</v>
      </c>
      <c r="AA3296">
        <v>0</v>
      </c>
      <c r="AB3296">
        <v>0</v>
      </c>
      <c r="AC3296">
        <v>46015</v>
      </c>
      <c r="AD3296">
        <v>0</v>
      </c>
      <c r="AE3296">
        <v>0</v>
      </c>
      <c r="AF3296">
        <v>0</v>
      </c>
      <c r="AG3296">
        <v>0</v>
      </c>
      <c r="AH3296">
        <v>0</v>
      </c>
    </row>
    <row r="3297" spans="2:34" x14ac:dyDescent="0.35">
      <c r="B3297" t="s">
        <v>566</v>
      </c>
      <c r="C3297">
        <v>46015</v>
      </c>
      <c r="F3297" t="s">
        <v>752</v>
      </c>
      <c r="H3297">
        <v>169.23</v>
      </c>
      <c r="O3297" t="s">
        <v>239</v>
      </c>
      <c r="P3297" t="s">
        <v>514</v>
      </c>
      <c r="Y3297">
        <v>3263</v>
      </c>
      <c r="Z3297" s="259" t="s">
        <v>630</v>
      </c>
      <c r="AA3297">
        <v>0</v>
      </c>
      <c r="AB3297">
        <v>0</v>
      </c>
      <c r="AC3297">
        <v>46015</v>
      </c>
      <c r="AD3297">
        <v>0</v>
      </c>
      <c r="AE3297">
        <v>0</v>
      </c>
      <c r="AF3297">
        <v>0</v>
      </c>
      <c r="AG3297">
        <v>0</v>
      </c>
      <c r="AH3297">
        <v>0</v>
      </c>
    </row>
    <row r="3298" spans="2:34" x14ac:dyDescent="0.35">
      <c r="B3298" t="s">
        <v>566</v>
      </c>
      <c r="C3298">
        <v>46015</v>
      </c>
      <c r="F3298" t="s">
        <v>754</v>
      </c>
      <c r="H3298">
        <v>78.03</v>
      </c>
      <c r="O3298" t="s">
        <v>239</v>
      </c>
      <c r="P3298" t="s">
        <v>514</v>
      </c>
      <c r="Y3298">
        <v>3264</v>
      </c>
      <c r="Z3298" s="259" t="s">
        <v>630</v>
      </c>
      <c r="AA3298">
        <v>0</v>
      </c>
      <c r="AB3298">
        <v>0</v>
      </c>
      <c r="AC3298">
        <v>46015</v>
      </c>
      <c r="AD3298">
        <v>0</v>
      </c>
      <c r="AE3298">
        <v>0</v>
      </c>
      <c r="AF3298">
        <v>0</v>
      </c>
      <c r="AG3298">
        <v>0</v>
      </c>
      <c r="AH3298">
        <v>0</v>
      </c>
    </row>
    <row r="3299" spans="2:34" x14ac:dyDescent="0.35">
      <c r="B3299" t="s">
        <v>566</v>
      </c>
      <c r="C3299">
        <v>46016</v>
      </c>
      <c r="F3299" t="s">
        <v>749</v>
      </c>
      <c r="H3299">
        <v>47.6</v>
      </c>
      <c r="O3299" t="s">
        <v>239</v>
      </c>
      <c r="P3299" t="s">
        <v>514</v>
      </c>
      <c r="Y3299">
        <v>3265</v>
      </c>
      <c r="Z3299" s="259" t="s">
        <v>630</v>
      </c>
      <c r="AA3299">
        <v>0</v>
      </c>
      <c r="AB3299">
        <v>0</v>
      </c>
      <c r="AC3299">
        <v>46016</v>
      </c>
      <c r="AD3299">
        <v>0</v>
      </c>
      <c r="AE3299">
        <v>0</v>
      </c>
      <c r="AF3299">
        <v>0</v>
      </c>
      <c r="AG3299">
        <v>0</v>
      </c>
      <c r="AH3299">
        <v>0</v>
      </c>
    </row>
    <row r="3300" spans="2:34" x14ac:dyDescent="0.35">
      <c r="B3300" t="s">
        <v>566</v>
      </c>
      <c r="C3300">
        <v>46016</v>
      </c>
      <c r="F3300" t="s">
        <v>752</v>
      </c>
      <c r="H3300">
        <v>169.2</v>
      </c>
      <c r="O3300" t="s">
        <v>239</v>
      </c>
      <c r="P3300" t="s">
        <v>514</v>
      </c>
      <c r="Y3300">
        <v>3266</v>
      </c>
      <c r="Z3300" s="259" t="s">
        <v>630</v>
      </c>
      <c r="AA3300">
        <v>0</v>
      </c>
      <c r="AB3300">
        <v>0</v>
      </c>
      <c r="AC3300">
        <v>46016</v>
      </c>
      <c r="AD3300">
        <v>0</v>
      </c>
      <c r="AE3300">
        <v>0</v>
      </c>
      <c r="AF3300">
        <v>0</v>
      </c>
      <c r="AG3300">
        <v>0</v>
      </c>
      <c r="AH3300">
        <v>0</v>
      </c>
    </row>
    <row r="3301" spans="2:34" x14ac:dyDescent="0.35">
      <c r="B3301" t="s">
        <v>566</v>
      </c>
      <c r="C3301">
        <v>46016</v>
      </c>
      <c r="F3301" t="s">
        <v>754</v>
      </c>
      <c r="H3301">
        <v>78</v>
      </c>
      <c r="O3301" t="s">
        <v>239</v>
      </c>
      <c r="P3301" t="s">
        <v>514</v>
      </c>
      <c r="Y3301">
        <v>3267</v>
      </c>
      <c r="Z3301" s="259" t="s">
        <v>630</v>
      </c>
      <c r="AA3301">
        <v>0</v>
      </c>
      <c r="AB3301">
        <v>0</v>
      </c>
      <c r="AC3301">
        <v>46016</v>
      </c>
      <c r="AD3301">
        <v>0</v>
      </c>
      <c r="AE3301">
        <v>0</v>
      </c>
      <c r="AF3301">
        <v>0</v>
      </c>
      <c r="AG3301">
        <v>0</v>
      </c>
      <c r="AH3301">
        <v>0</v>
      </c>
    </row>
    <row r="3302" spans="2:34" x14ac:dyDescent="0.35">
      <c r="B3302" t="s">
        <v>566</v>
      </c>
      <c r="C3302">
        <v>46017</v>
      </c>
      <c r="F3302" t="s">
        <v>749</v>
      </c>
      <c r="H3302">
        <v>47.58</v>
      </c>
      <c r="O3302" t="s">
        <v>239</v>
      </c>
      <c r="P3302" t="s">
        <v>514</v>
      </c>
      <c r="Y3302">
        <v>3268</v>
      </c>
      <c r="Z3302" s="259" t="s">
        <v>630</v>
      </c>
      <c r="AA3302">
        <v>0</v>
      </c>
      <c r="AB3302">
        <v>0</v>
      </c>
      <c r="AC3302">
        <v>46017</v>
      </c>
      <c r="AD3302">
        <v>0</v>
      </c>
      <c r="AE3302">
        <v>0</v>
      </c>
      <c r="AF3302">
        <v>0</v>
      </c>
      <c r="AG3302">
        <v>0</v>
      </c>
      <c r="AH3302">
        <v>0</v>
      </c>
    </row>
    <row r="3303" spans="2:34" x14ac:dyDescent="0.35">
      <c r="B3303" t="s">
        <v>566</v>
      </c>
      <c r="C3303">
        <v>46017</v>
      </c>
      <c r="F3303" t="s">
        <v>752</v>
      </c>
      <c r="H3303">
        <v>169.17</v>
      </c>
      <c r="O3303" t="s">
        <v>239</v>
      </c>
      <c r="P3303" t="s">
        <v>514</v>
      </c>
      <c r="Y3303">
        <v>3269</v>
      </c>
      <c r="Z3303" s="259" t="s">
        <v>630</v>
      </c>
      <c r="AA3303">
        <v>0</v>
      </c>
      <c r="AB3303">
        <v>0</v>
      </c>
      <c r="AC3303">
        <v>46017</v>
      </c>
      <c r="AD3303">
        <v>0</v>
      </c>
      <c r="AE3303">
        <v>0</v>
      </c>
      <c r="AF3303">
        <v>0</v>
      </c>
      <c r="AG3303">
        <v>0</v>
      </c>
      <c r="AH3303">
        <v>0</v>
      </c>
    </row>
    <row r="3304" spans="2:34" x14ac:dyDescent="0.35">
      <c r="B3304" t="s">
        <v>566</v>
      </c>
      <c r="C3304">
        <v>46017</v>
      </c>
      <c r="F3304" t="s">
        <v>754</v>
      </c>
      <c r="H3304">
        <v>77.97</v>
      </c>
      <c r="O3304" t="s">
        <v>239</v>
      </c>
      <c r="P3304" t="s">
        <v>514</v>
      </c>
      <c r="Y3304">
        <v>3270</v>
      </c>
      <c r="Z3304" s="259" t="s">
        <v>630</v>
      </c>
      <c r="AA3304">
        <v>0</v>
      </c>
      <c r="AB3304">
        <v>0</v>
      </c>
      <c r="AC3304">
        <v>46017</v>
      </c>
      <c r="AD3304">
        <v>0</v>
      </c>
      <c r="AE3304">
        <v>0</v>
      </c>
      <c r="AF3304">
        <v>0</v>
      </c>
      <c r="AG3304">
        <v>0</v>
      </c>
      <c r="AH3304">
        <v>0</v>
      </c>
    </row>
    <row r="3305" spans="2:34" x14ac:dyDescent="0.35">
      <c r="B3305" t="s">
        <v>566</v>
      </c>
      <c r="C3305">
        <v>46018</v>
      </c>
      <c r="F3305" t="s">
        <v>749</v>
      </c>
      <c r="H3305">
        <v>47.58</v>
      </c>
      <c r="O3305" t="s">
        <v>239</v>
      </c>
      <c r="P3305" t="s">
        <v>514</v>
      </c>
      <c r="Y3305">
        <v>3271</v>
      </c>
      <c r="Z3305" s="259" t="s">
        <v>630</v>
      </c>
      <c r="AA3305">
        <v>0</v>
      </c>
      <c r="AB3305">
        <v>0</v>
      </c>
      <c r="AC3305">
        <v>46017</v>
      </c>
      <c r="AD3305">
        <v>1</v>
      </c>
      <c r="AE3305">
        <v>0</v>
      </c>
      <c r="AF3305">
        <v>0</v>
      </c>
      <c r="AG3305">
        <v>0</v>
      </c>
      <c r="AH3305">
        <v>0</v>
      </c>
    </row>
    <row r="3306" spans="2:34" x14ac:dyDescent="0.35">
      <c r="B3306" t="s">
        <v>566</v>
      </c>
      <c r="C3306">
        <v>46018</v>
      </c>
      <c r="F3306" t="s">
        <v>752</v>
      </c>
      <c r="H3306">
        <v>169.17</v>
      </c>
      <c r="O3306" t="s">
        <v>239</v>
      </c>
      <c r="P3306" t="s">
        <v>514</v>
      </c>
      <c r="Y3306">
        <v>3272</v>
      </c>
      <c r="Z3306" s="259" t="s">
        <v>630</v>
      </c>
      <c r="AA3306">
        <v>0</v>
      </c>
      <c r="AB3306">
        <v>0</v>
      </c>
      <c r="AC3306">
        <v>46017</v>
      </c>
      <c r="AD3306">
        <v>1</v>
      </c>
      <c r="AE3306">
        <v>0</v>
      </c>
      <c r="AF3306">
        <v>0</v>
      </c>
      <c r="AG3306">
        <v>0</v>
      </c>
      <c r="AH3306">
        <v>0</v>
      </c>
    </row>
    <row r="3307" spans="2:34" x14ac:dyDescent="0.35">
      <c r="B3307" t="s">
        <v>566</v>
      </c>
      <c r="C3307">
        <v>46018</v>
      </c>
      <c r="F3307" t="s">
        <v>754</v>
      </c>
      <c r="H3307">
        <v>77.97</v>
      </c>
      <c r="O3307" t="s">
        <v>239</v>
      </c>
      <c r="P3307" t="s">
        <v>514</v>
      </c>
      <c r="Y3307">
        <v>3273</v>
      </c>
      <c r="Z3307" s="259" t="s">
        <v>630</v>
      </c>
      <c r="AA3307">
        <v>0</v>
      </c>
      <c r="AB3307">
        <v>0</v>
      </c>
      <c r="AC3307">
        <v>46017</v>
      </c>
      <c r="AD3307">
        <v>1</v>
      </c>
      <c r="AE3307">
        <v>0</v>
      </c>
      <c r="AF3307">
        <v>0</v>
      </c>
      <c r="AG3307">
        <v>0</v>
      </c>
      <c r="AH3307">
        <v>0</v>
      </c>
    </row>
    <row r="3308" spans="2:34" x14ac:dyDescent="0.35">
      <c r="B3308" t="s">
        <v>566</v>
      </c>
      <c r="C3308">
        <v>46019</v>
      </c>
      <c r="F3308" t="s">
        <v>749</v>
      </c>
      <c r="H3308">
        <v>47.58</v>
      </c>
      <c r="O3308" t="s">
        <v>239</v>
      </c>
      <c r="P3308" t="s">
        <v>514</v>
      </c>
      <c r="Y3308">
        <v>3274</v>
      </c>
      <c r="Z3308" s="259" t="s">
        <v>630</v>
      </c>
      <c r="AA3308">
        <v>0</v>
      </c>
      <c r="AB3308">
        <v>0</v>
      </c>
      <c r="AC3308">
        <v>46017</v>
      </c>
      <c r="AD3308">
        <v>2</v>
      </c>
      <c r="AE3308">
        <v>0</v>
      </c>
      <c r="AF3308">
        <v>0</v>
      </c>
      <c r="AG3308">
        <v>0</v>
      </c>
      <c r="AH3308">
        <v>0</v>
      </c>
    </row>
    <row r="3309" spans="2:34" x14ac:dyDescent="0.35">
      <c r="B3309" t="s">
        <v>566</v>
      </c>
      <c r="C3309">
        <v>46019</v>
      </c>
      <c r="F3309" t="s">
        <v>752</v>
      </c>
      <c r="H3309">
        <v>169.17</v>
      </c>
      <c r="O3309" t="s">
        <v>239</v>
      </c>
      <c r="P3309" t="s">
        <v>514</v>
      </c>
      <c r="Y3309">
        <v>3275</v>
      </c>
      <c r="Z3309" s="259" t="s">
        <v>630</v>
      </c>
      <c r="AA3309">
        <v>0</v>
      </c>
      <c r="AB3309">
        <v>0</v>
      </c>
      <c r="AC3309">
        <v>46017</v>
      </c>
      <c r="AD3309">
        <v>2</v>
      </c>
      <c r="AE3309">
        <v>0</v>
      </c>
      <c r="AF3309">
        <v>0</v>
      </c>
      <c r="AG3309">
        <v>0</v>
      </c>
      <c r="AH3309">
        <v>0</v>
      </c>
    </row>
    <row r="3310" spans="2:34" x14ac:dyDescent="0.35">
      <c r="B3310" t="s">
        <v>566</v>
      </c>
      <c r="C3310">
        <v>46019</v>
      </c>
      <c r="F3310" t="s">
        <v>754</v>
      </c>
      <c r="H3310">
        <v>77.97</v>
      </c>
      <c r="O3310" t="s">
        <v>239</v>
      </c>
      <c r="P3310" t="s">
        <v>514</v>
      </c>
      <c r="Y3310">
        <v>3276</v>
      </c>
      <c r="Z3310" s="259" t="s">
        <v>630</v>
      </c>
      <c r="AA3310">
        <v>0</v>
      </c>
      <c r="AB3310">
        <v>0</v>
      </c>
      <c r="AC3310">
        <v>46017</v>
      </c>
      <c r="AD3310">
        <v>2</v>
      </c>
      <c r="AE3310">
        <v>0</v>
      </c>
      <c r="AF3310">
        <v>0</v>
      </c>
      <c r="AG3310">
        <v>0</v>
      </c>
      <c r="AH3310">
        <v>0</v>
      </c>
    </row>
    <row r="3311" spans="2:34" x14ac:dyDescent="0.35">
      <c r="B3311" t="s">
        <v>566</v>
      </c>
      <c r="C3311">
        <v>46020</v>
      </c>
      <c r="F3311" t="s">
        <v>749</v>
      </c>
      <c r="H3311">
        <v>47.53</v>
      </c>
      <c r="O3311" t="s">
        <v>239</v>
      </c>
      <c r="P3311" t="s">
        <v>514</v>
      </c>
      <c r="Y3311">
        <v>3277</v>
      </c>
      <c r="Z3311" s="259" t="s">
        <v>630</v>
      </c>
      <c r="AA3311">
        <v>0</v>
      </c>
      <c r="AB3311">
        <v>0</v>
      </c>
      <c r="AC3311">
        <v>46020</v>
      </c>
      <c r="AD3311">
        <v>0</v>
      </c>
      <c r="AE3311">
        <v>0</v>
      </c>
      <c r="AF3311">
        <v>0</v>
      </c>
      <c r="AG3311">
        <v>0</v>
      </c>
      <c r="AH3311">
        <v>0</v>
      </c>
    </row>
    <row r="3312" spans="2:34" x14ac:dyDescent="0.35">
      <c r="B3312" t="s">
        <v>566</v>
      </c>
      <c r="C3312">
        <v>46020</v>
      </c>
      <c r="F3312" t="s">
        <v>752</v>
      </c>
      <c r="H3312">
        <v>169.07</v>
      </c>
      <c r="O3312" t="s">
        <v>239</v>
      </c>
      <c r="P3312" t="s">
        <v>514</v>
      </c>
      <c r="Y3312">
        <v>3278</v>
      </c>
      <c r="Z3312" s="259" t="s">
        <v>630</v>
      </c>
      <c r="AA3312">
        <v>0</v>
      </c>
      <c r="AB3312">
        <v>0</v>
      </c>
      <c r="AC3312">
        <v>46020</v>
      </c>
      <c r="AD3312">
        <v>0</v>
      </c>
      <c r="AE3312">
        <v>0</v>
      </c>
      <c r="AF3312">
        <v>0</v>
      </c>
      <c r="AG3312">
        <v>0</v>
      </c>
      <c r="AH3312">
        <v>0</v>
      </c>
    </row>
    <row r="3313" spans="2:34" x14ac:dyDescent="0.35">
      <c r="B3313" t="s">
        <v>566</v>
      </c>
      <c r="C3313">
        <v>46020</v>
      </c>
      <c r="F3313" t="s">
        <v>754</v>
      </c>
      <c r="H3313">
        <v>77.87</v>
      </c>
      <c r="O3313" t="s">
        <v>239</v>
      </c>
      <c r="P3313" t="s">
        <v>514</v>
      </c>
      <c r="Y3313">
        <v>3279</v>
      </c>
      <c r="Z3313" s="259" t="s">
        <v>630</v>
      </c>
      <c r="AA3313">
        <v>0</v>
      </c>
      <c r="AB3313">
        <v>0</v>
      </c>
      <c r="AC3313">
        <v>46020</v>
      </c>
      <c r="AD3313">
        <v>0</v>
      </c>
      <c r="AE3313">
        <v>0</v>
      </c>
      <c r="AF3313">
        <v>0</v>
      </c>
      <c r="AG3313">
        <v>0</v>
      </c>
      <c r="AH3313">
        <v>0</v>
      </c>
    </row>
    <row r="3314" spans="2:34" x14ac:dyDescent="0.35">
      <c r="B3314" t="s">
        <v>566</v>
      </c>
      <c r="C3314">
        <v>46021</v>
      </c>
      <c r="F3314" t="s">
        <v>749</v>
      </c>
      <c r="H3314">
        <v>47.52</v>
      </c>
      <c r="O3314" t="s">
        <v>239</v>
      </c>
      <c r="P3314" t="s">
        <v>514</v>
      </c>
      <c r="Y3314">
        <v>3280</v>
      </c>
      <c r="Z3314" s="259" t="s">
        <v>630</v>
      </c>
      <c r="AA3314">
        <v>0</v>
      </c>
      <c r="AB3314">
        <v>0</v>
      </c>
      <c r="AC3314">
        <v>46021</v>
      </c>
      <c r="AD3314">
        <v>0</v>
      </c>
      <c r="AE3314">
        <v>0</v>
      </c>
      <c r="AF3314">
        <v>0</v>
      </c>
      <c r="AG3314">
        <v>0</v>
      </c>
      <c r="AH3314">
        <v>0</v>
      </c>
    </row>
    <row r="3315" spans="2:34" x14ac:dyDescent="0.35">
      <c r="B3315" t="s">
        <v>566</v>
      </c>
      <c r="C3315">
        <v>46021</v>
      </c>
      <c r="F3315" t="s">
        <v>752</v>
      </c>
      <c r="H3315">
        <v>169.03</v>
      </c>
      <c r="O3315" t="s">
        <v>239</v>
      </c>
      <c r="P3315" t="s">
        <v>514</v>
      </c>
      <c r="Y3315">
        <v>3281</v>
      </c>
      <c r="Z3315" s="259" t="s">
        <v>630</v>
      </c>
      <c r="AA3315">
        <v>0</v>
      </c>
      <c r="AB3315">
        <v>0</v>
      </c>
      <c r="AC3315">
        <v>46021</v>
      </c>
      <c r="AD3315">
        <v>0</v>
      </c>
      <c r="AE3315">
        <v>0</v>
      </c>
      <c r="AF3315">
        <v>0</v>
      </c>
      <c r="AG3315">
        <v>0</v>
      </c>
      <c r="AH3315">
        <v>0</v>
      </c>
    </row>
    <row r="3316" spans="2:34" x14ac:dyDescent="0.35">
      <c r="B3316" t="s">
        <v>566</v>
      </c>
      <c r="C3316">
        <v>46021</v>
      </c>
      <c r="F3316" t="s">
        <v>754</v>
      </c>
      <c r="H3316">
        <v>77.83</v>
      </c>
      <c r="O3316" t="s">
        <v>239</v>
      </c>
      <c r="P3316" t="s">
        <v>514</v>
      </c>
      <c r="Y3316">
        <v>3282</v>
      </c>
      <c r="Z3316" s="259" t="s">
        <v>630</v>
      </c>
      <c r="AA3316">
        <v>0</v>
      </c>
      <c r="AB3316">
        <v>0</v>
      </c>
      <c r="AC3316">
        <v>46021</v>
      </c>
      <c r="AD3316">
        <v>0</v>
      </c>
      <c r="AE3316">
        <v>0</v>
      </c>
      <c r="AF3316">
        <v>0</v>
      </c>
      <c r="AG3316">
        <v>0</v>
      </c>
      <c r="AH3316">
        <v>0</v>
      </c>
    </row>
    <row r="3317" spans="2:34" x14ac:dyDescent="0.35">
      <c r="B3317" t="s">
        <v>566</v>
      </c>
      <c r="C3317">
        <v>46022</v>
      </c>
      <c r="F3317" t="s">
        <v>749</v>
      </c>
      <c r="H3317">
        <v>47.5</v>
      </c>
      <c r="O3317" t="s">
        <v>239</v>
      </c>
      <c r="P3317" t="s">
        <v>514</v>
      </c>
      <c r="Y3317">
        <v>3283</v>
      </c>
      <c r="Z3317" s="259" t="s">
        <v>630</v>
      </c>
      <c r="AA3317">
        <v>0</v>
      </c>
      <c r="AB3317">
        <v>0</v>
      </c>
      <c r="AC3317">
        <v>46022</v>
      </c>
      <c r="AD3317">
        <v>0</v>
      </c>
      <c r="AE3317">
        <v>0</v>
      </c>
      <c r="AF3317">
        <v>0</v>
      </c>
      <c r="AG3317">
        <v>0</v>
      </c>
      <c r="AH3317">
        <v>0</v>
      </c>
    </row>
    <row r="3318" spans="2:34" x14ac:dyDescent="0.35">
      <c r="B3318" t="s">
        <v>566</v>
      </c>
      <c r="C3318">
        <v>46022</v>
      </c>
      <c r="F3318" t="s">
        <v>752</v>
      </c>
      <c r="H3318">
        <v>169</v>
      </c>
      <c r="O3318" t="s">
        <v>239</v>
      </c>
      <c r="P3318" t="s">
        <v>514</v>
      </c>
      <c r="Y3318">
        <v>3284</v>
      </c>
      <c r="Z3318" s="259" t="s">
        <v>630</v>
      </c>
      <c r="AA3318">
        <v>0</v>
      </c>
      <c r="AB3318">
        <v>0</v>
      </c>
      <c r="AC3318">
        <v>46022</v>
      </c>
      <c r="AD3318">
        <v>0</v>
      </c>
      <c r="AE3318">
        <v>0</v>
      </c>
      <c r="AF3318">
        <v>0</v>
      </c>
      <c r="AG3318">
        <v>0</v>
      </c>
      <c r="AH3318">
        <v>0</v>
      </c>
    </row>
    <row r="3319" spans="2:34" x14ac:dyDescent="0.35">
      <c r="B3319" t="s">
        <v>566</v>
      </c>
      <c r="C3319">
        <v>46022</v>
      </c>
      <c r="F3319" t="s">
        <v>754</v>
      </c>
      <c r="H3319">
        <v>77.8</v>
      </c>
      <c r="O3319" t="s">
        <v>239</v>
      </c>
      <c r="P3319" t="s">
        <v>514</v>
      </c>
      <c r="Y3319">
        <v>3285</v>
      </c>
      <c r="Z3319" s="259" t="s">
        <v>630</v>
      </c>
      <c r="AA3319">
        <v>0</v>
      </c>
      <c r="AB3319">
        <v>0</v>
      </c>
      <c r="AC3319">
        <v>46022</v>
      </c>
      <c r="AD3319">
        <v>0</v>
      </c>
      <c r="AE3319">
        <v>0</v>
      </c>
      <c r="AF3319">
        <v>0</v>
      </c>
      <c r="AG3319">
        <v>0</v>
      </c>
      <c r="AH3319">
        <v>0</v>
      </c>
    </row>
    <row r="3320" spans="2:34" x14ac:dyDescent="0.35">
      <c r="B3320" t="s">
        <v>747</v>
      </c>
      <c r="C3320">
        <v>45658</v>
      </c>
      <c r="F3320" t="s">
        <v>749</v>
      </c>
      <c r="H3320">
        <v>100</v>
      </c>
      <c r="O3320" t="s">
        <v>239</v>
      </c>
      <c r="P3320" t="s">
        <v>514</v>
      </c>
      <c r="Y3320">
        <v>3286</v>
      </c>
      <c r="Z3320" s="259" t="s">
        <v>630</v>
      </c>
      <c r="AA3320">
        <v>0</v>
      </c>
      <c r="AB3320">
        <v>0</v>
      </c>
      <c r="AC3320">
        <v>45658</v>
      </c>
      <c r="AD3320">
        <v>0</v>
      </c>
      <c r="AE3320">
        <v>0</v>
      </c>
      <c r="AF3320">
        <v>0</v>
      </c>
      <c r="AG3320">
        <v>0</v>
      </c>
      <c r="AH3320">
        <v>0</v>
      </c>
    </row>
    <row r="3321" spans="2:34" x14ac:dyDescent="0.35">
      <c r="B3321" t="s">
        <v>747</v>
      </c>
      <c r="C3321">
        <v>45658</v>
      </c>
      <c r="F3321" t="s">
        <v>752</v>
      </c>
      <c r="H3321">
        <v>200</v>
      </c>
      <c r="O3321" t="s">
        <v>239</v>
      </c>
      <c r="P3321" t="s">
        <v>514</v>
      </c>
      <c r="Y3321">
        <v>3287</v>
      </c>
      <c r="Z3321" s="259" t="s">
        <v>630</v>
      </c>
      <c r="AA3321">
        <v>0</v>
      </c>
      <c r="AB3321">
        <v>0</v>
      </c>
      <c r="AC3321">
        <v>45658</v>
      </c>
      <c r="AD3321">
        <v>0</v>
      </c>
      <c r="AE3321">
        <v>0</v>
      </c>
      <c r="AF3321">
        <v>0</v>
      </c>
      <c r="AG3321">
        <v>0</v>
      </c>
      <c r="AH3321">
        <v>0</v>
      </c>
    </row>
    <row r="3322" spans="2:34" x14ac:dyDescent="0.35">
      <c r="B3322" t="s">
        <v>747</v>
      </c>
      <c r="C3322">
        <v>45658</v>
      </c>
      <c r="F3322" t="s">
        <v>754</v>
      </c>
      <c r="H3322">
        <v>80</v>
      </c>
      <c r="O3322" t="s">
        <v>239</v>
      </c>
      <c r="P3322" t="s">
        <v>514</v>
      </c>
      <c r="Y3322">
        <v>3288</v>
      </c>
      <c r="Z3322" s="259" t="s">
        <v>630</v>
      </c>
      <c r="AA3322">
        <v>0</v>
      </c>
      <c r="AB3322">
        <v>0</v>
      </c>
      <c r="AC3322">
        <v>45658</v>
      </c>
      <c r="AD3322">
        <v>0</v>
      </c>
      <c r="AE3322">
        <v>0</v>
      </c>
      <c r="AF3322">
        <v>0</v>
      </c>
      <c r="AG3322">
        <v>0</v>
      </c>
      <c r="AH3322">
        <v>0</v>
      </c>
    </row>
    <row r="3323" spans="2:34" x14ac:dyDescent="0.35">
      <c r="B3323" t="s">
        <v>747</v>
      </c>
      <c r="C3323">
        <v>45659</v>
      </c>
      <c r="F3323" t="s">
        <v>749</v>
      </c>
      <c r="H3323">
        <v>100.07</v>
      </c>
      <c r="O3323" t="s">
        <v>239</v>
      </c>
      <c r="P3323" t="s">
        <v>514</v>
      </c>
      <c r="Y3323">
        <v>3289</v>
      </c>
      <c r="Z3323" s="259" t="s">
        <v>630</v>
      </c>
      <c r="AA3323">
        <v>40</v>
      </c>
      <c r="AB3323">
        <v>4004</v>
      </c>
      <c r="AC3323">
        <v>45659</v>
      </c>
      <c r="AD3323">
        <v>0</v>
      </c>
      <c r="AE3323">
        <v>4002.7999999999997</v>
      </c>
      <c r="AF3323">
        <v>4002.7999999999997</v>
      </c>
      <c r="AG3323">
        <v>0</v>
      </c>
      <c r="AH3323">
        <v>-1.2000000000002728</v>
      </c>
    </row>
    <row r="3324" spans="2:34" x14ac:dyDescent="0.35">
      <c r="B3324" t="s">
        <v>747</v>
      </c>
      <c r="C3324">
        <v>45659</v>
      </c>
      <c r="F3324" t="s">
        <v>752</v>
      </c>
      <c r="H3324">
        <v>199.83</v>
      </c>
      <c r="O3324" t="s">
        <v>239</v>
      </c>
      <c r="P3324" t="s">
        <v>514</v>
      </c>
      <c r="Y3324">
        <v>3290</v>
      </c>
      <c r="Z3324" s="259" t="s">
        <v>630</v>
      </c>
      <c r="AA3324">
        <v>0</v>
      </c>
      <c r="AB3324">
        <v>0</v>
      </c>
      <c r="AC3324">
        <v>45659</v>
      </c>
      <c r="AD3324">
        <v>0</v>
      </c>
      <c r="AE3324">
        <v>0</v>
      </c>
      <c r="AF3324">
        <v>0</v>
      </c>
      <c r="AG3324">
        <v>0</v>
      </c>
      <c r="AH3324">
        <v>0</v>
      </c>
    </row>
    <row r="3325" spans="2:34" x14ac:dyDescent="0.35">
      <c r="B3325" t="s">
        <v>747</v>
      </c>
      <c r="C3325">
        <v>45659</v>
      </c>
      <c r="F3325" t="s">
        <v>754</v>
      </c>
      <c r="H3325">
        <v>80.069999999999993</v>
      </c>
      <c r="O3325" t="s">
        <v>239</v>
      </c>
      <c r="P3325" t="s">
        <v>514</v>
      </c>
      <c r="Y3325">
        <v>3291</v>
      </c>
      <c r="Z3325" s="259" t="s">
        <v>630</v>
      </c>
      <c r="AA3325">
        <v>100</v>
      </c>
      <c r="AB3325">
        <v>8008</v>
      </c>
      <c r="AC3325">
        <v>45659</v>
      </c>
      <c r="AD3325">
        <v>0</v>
      </c>
      <c r="AE3325">
        <v>8006.9999999999991</v>
      </c>
      <c r="AF3325">
        <v>8006.9999999999991</v>
      </c>
      <c r="AG3325">
        <v>0</v>
      </c>
      <c r="AH3325">
        <v>-1.0000000000009095</v>
      </c>
    </row>
    <row r="3326" spans="2:34" x14ac:dyDescent="0.35">
      <c r="B3326" t="s">
        <v>747</v>
      </c>
      <c r="C3326">
        <v>45660</v>
      </c>
      <c r="F3326" t="s">
        <v>749</v>
      </c>
      <c r="H3326">
        <v>100.13</v>
      </c>
      <c r="O3326" t="s">
        <v>239</v>
      </c>
      <c r="P3326" t="s">
        <v>514</v>
      </c>
      <c r="Y3326">
        <v>3292</v>
      </c>
      <c r="Z3326" s="259" t="s">
        <v>630</v>
      </c>
      <c r="AA3326">
        <v>40</v>
      </c>
      <c r="AB3326">
        <v>4004</v>
      </c>
      <c r="AC3326">
        <v>45660</v>
      </c>
      <c r="AD3326">
        <v>0</v>
      </c>
      <c r="AE3326">
        <v>4005.2</v>
      </c>
      <c r="AF3326">
        <v>4005.2</v>
      </c>
      <c r="AG3326">
        <v>0</v>
      </c>
      <c r="AH3326">
        <v>1.1999999999998181</v>
      </c>
    </row>
    <row r="3327" spans="2:34" x14ac:dyDescent="0.35">
      <c r="B3327" t="s">
        <v>747</v>
      </c>
      <c r="C3327">
        <v>45660</v>
      </c>
      <c r="F3327" t="s">
        <v>752</v>
      </c>
      <c r="H3327">
        <v>199.67</v>
      </c>
      <c r="O3327" t="s">
        <v>239</v>
      </c>
      <c r="P3327" t="s">
        <v>514</v>
      </c>
      <c r="Y3327">
        <v>3293</v>
      </c>
      <c r="Z3327" s="259" t="s">
        <v>630</v>
      </c>
      <c r="AA3327">
        <v>0</v>
      </c>
      <c r="AB3327">
        <v>0</v>
      </c>
      <c r="AC3327">
        <v>45660</v>
      </c>
      <c r="AD3327">
        <v>0</v>
      </c>
      <c r="AE3327">
        <v>0</v>
      </c>
      <c r="AF3327">
        <v>0</v>
      </c>
      <c r="AG3327">
        <v>0</v>
      </c>
      <c r="AH3327">
        <v>0</v>
      </c>
    </row>
    <row r="3328" spans="2:34" x14ac:dyDescent="0.35">
      <c r="B3328" t="s">
        <v>747</v>
      </c>
      <c r="C3328">
        <v>45660</v>
      </c>
      <c r="F3328" t="s">
        <v>754</v>
      </c>
      <c r="H3328">
        <v>80.13</v>
      </c>
      <c r="O3328" t="s">
        <v>239</v>
      </c>
      <c r="P3328" t="s">
        <v>514</v>
      </c>
      <c r="Y3328">
        <v>3294</v>
      </c>
      <c r="Z3328" s="259" t="s">
        <v>630</v>
      </c>
      <c r="AA3328">
        <v>100</v>
      </c>
      <c r="AB3328">
        <v>8008</v>
      </c>
      <c r="AC3328">
        <v>45660</v>
      </c>
      <c r="AD3328">
        <v>0</v>
      </c>
      <c r="AE3328">
        <v>8013</v>
      </c>
      <c r="AF3328">
        <v>8013</v>
      </c>
      <c r="AG3328">
        <v>0</v>
      </c>
      <c r="AH3328">
        <v>5</v>
      </c>
    </row>
    <row r="3329" spans="2:34" x14ac:dyDescent="0.35">
      <c r="B3329" t="s">
        <v>747</v>
      </c>
      <c r="C3329">
        <v>45661</v>
      </c>
      <c r="F3329" t="s">
        <v>749</v>
      </c>
      <c r="H3329">
        <v>100.13</v>
      </c>
      <c r="O3329" t="s">
        <v>239</v>
      </c>
      <c r="P3329" t="s">
        <v>514</v>
      </c>
      <c r="Y3329">
        <v>3295</v>
      </c>
      <c r="Z3329" s="259" t="s">
        <v>630</v>
      </c>
      <c r="AA3329">
        <v>40</v>
      </c>
      <c r="AB3329">
        <v>4004</v>
      </c>
      <c r="AC3329">
        <v>45660</v>
      </c>
      <c r="AD3329">
        <v>1</v>
      </c>
      <c r="AE3329">
        <v>4005.2</v>
      </c>
      <c r="AF3329">
        <v>4005.2</v>
      </c>
      <c r="AG3329">
        <v>0</v>
      </c>
      <c r="AH3329">
        <v>1.1999999999998181</v>
      </c>
    </row>
    <row r="3330" spans="2:34" x14ac:dyDescent="0.35">
      <c r="B3330" t="s">
        <v>747</v>
      </c>
      <c r="C3330">
        <v>45661</v>
      </c>
      <c r="F3330" t="s">
        <v>752</v>
      </c>
      <c r="H3330">
        <v>199.67</v>
      </c>
      <c r="O3330" t="s">
        <v>239</v>
      </c>
      <c r="P3330" t="s">
        <v>514</v>
      </c>
      <c r="Y3330">
        <v>3296</v>
      </c>
      <c r="Z3330" s="259" t="s">
        <v>630</v>
      </c>
      <c r="AA3330">
        <v>0</v>
      </c>
      <c r="AB3330">
        <v>0</v>
      </c>
      <c r="AC3330">
        <v>45660</v>
      </c>
      <c r="AD3330">
        <v>1</v>
      </c>
      <c r="AE3330">
        <v>0</v>
      </c>
      <c r="AF3330">
        <v>0</v>
      </c>
      <c r="AG3330">
        <v>0</v>
      </c>
      <c r="AH3330">
        <v>0</v>
      </c>
    </row>
    <row r="3331" spans="2:34" x14ac:dyDescent="0.35">
      <c r="B3331" t="s">
        <v>747</v>
      </c>
      <c r="C3331">
        <v>45661</v>
      </c>
      <c r="F3331" t="s">
        <v>754</v>
      </c>
      <c r="H3331">
        <v>80.13</v>
      </c>
      <c r="O3331" t="s">
        <v>239</v>
      </c>
      <c r="P3331" t="s">
        <v>514</v>
      </c>
      <c r="Y3331">
        <v>3297</v>
      </c>
      <c r="Z3331" s="259" t="s">
        <v>630</v>
      </c>
      <c r="AA3331">
        <v>100</v>
      </c>
      <c r="AB3331">
        <v>8008</v>
      </c>
      <c r="AC3331">
        <v>45660</v>
      </c>
      <c r="AD3331">
        <v>1</v>
      </c>
      <c r="AE3331">
        <v>8013</v>
      </c>
      <c r="AF3331">
        <v>8013</v>
      </c>
      <c r="AG3331">
        <v>0</v>
      </c>
      <c r="AH3331">
        <v>5</v>
      </c>
    </row>
    <row r="3332" spans="2:34" x14ac:dyDescent="0.35">
      <c r="B3332" t="s">
        <v>747</v>
      </c>
      <c r="C3332">
        <v>45662</v>
      </c>
      <c r="F3332" t="s">
        <v>749</v>
      </c>
      <c r="H3332">
        <v>100.13</v>
      </c>
      <c r="O3332" t="s">
        <v>239</v>
      </c>
      <c r="P3332" t="s">
        <v>514</v>
      </c>
      <c r="Y3332">
        <v>3298</v>
      </c>
      <c r="Z3332" s="259" t="s">
        <v>630</v>
      </c>
      <c r="AA3332">
        <v>40</v>
      </c>
      <c r="AB3332">
        <v>4004</v>
      </c>
      <c r="AC3332">
        <v>45660</v>
      </c>
      <c r="AD3332">
        <v>2</v>
      </c>
      <c r="AE3332">
        <v>4005.2</v>
      </c>
      <c r="AF3332">
        <v>4005.2</v>
      </c>
      <c r="AG3332">
        <v>0</v>
      </c>
      <c r="AH3332">
        <v>1.1999999999998181</v>
      </c>
    </row>
    <row r="3333" spans="2:34" x14ac:dyDescent="0.35">
      <c r="B3333" t="s">
        <v>747</v>
      </c>
      <c r="C3333">
        <v>45662</v>
      </c>
      <c r="F3333" t="s">
        <v>752</v>
      </c>
      <c r="H3333">
        <v>199.67</v>
      </c>
      <c r="O3333" t="s">
        <v>239</v>
      </c>
      <c r="P3333" t="s">
        <v>514</v>
      </c>
      <c r="Y3333">
        <v>3299</v>
      </c>
      <c r="Z3333" s="259" t="s">
        <v>630</v>
      </c>
      <c r="AA3333">
        <v>0</v>
      </c>
      <c r="AB3333">
        <v>0</v>
      </c>
      <c r="AC3333">
        <v>45660</v>
      </c>
      <c r="AD3333">
        <v>2</v>
      </c>
      <c r="AE3333">
        <v>0</v>
      </c>
      <c r="AF3333">
        <v>0</v>
      </c>
      <c r="AG3333">
        <v>0</v>
      </c>
      <c r="AH3333">
        <v>0</v>
      </c>
    </row>
    <row r="3334" spans="2:34" x14ac:dyDescent="0.35">
      <c r="B3334" t="s">
        <v>747</v>
      </c>
      <c r="C3334">
        <v>45662</v>
      </c>
      <c r="F3334" t="s">
        <v>754</v>
      </c>
      <c r="H3334">
        <v>80.13</v>
      </c>
      <c r="O3334" t="s">
        <v>239</v>
      </c>
      <c r="P3334" t="s">
        <v>514</v>
      </c>
      <c r="Y3334">
        <v>3300</v>
      </c>
      <c r="Z3334" s="259" t="s">
        <v>630</v>
      </c>
      <c r="AA3334">
        <v>100</v>
      </c>
      <c r="AB3334">
        <v>8008</v>
      </c>
      <c r="AC3334">
        <v>45660</v>
      </c>
      <c r="AD3334">
        <v>2</v>
      </c>
      <c r="AE3334">
        <v>8013</v>
      </c>
      <c r="AF3334">
        <v>8013</v>
      </c>
      <c r="AG3334">
        <v>0</v>
      </c>
      <c r="AH3334">
        <v>5</v>
      </c>
    </row>
    <row r="3335" spans="2:34" x14ac:dyDescent="0.35">
      <c r="B3335" t="s">
        <v>747</v>
      </c>
      <c r="C3335">
        <v>45663</v>
      </c>
      <c r="F3335" t="s">
        <v>749</v>
      </c>
      <c r="H3335">
        <v>100.33</v>
      </c>
      <c r="O3335" t="s">
        <v>239</v>
      </c>
      <c r="P3335" t="s">
        <v>514</v>
      </c>
      <c r="Y3335">
        <v>3301</v>
      </c>
      <c r="Z3335" s="259" t="s">
        <v>630</v>
      </c>
      <c r="AA3335">
        <v>40</v>
      </c>
      <c r="AB3335">
        <v>4004</v>
      </c>
      <c r="AC3335">
        <v>45663</v>
      </c>
      <c r="AD3335">
        <v>0</v>
      </c>
      <c r="AE3335">
        <v>4013.2</v>
      </c>
      <c r="AF3335">
        <v>4013.2</v>
      </c>
      <c r="AG3335">
        <v>0</v>
      </c>
      <c r="AH3335">
        <v>9.1999999999998181</v>
      </c>
    </row>
    <row r="3336" spans="2:34" x14ac:dyDescent="0.35">
      <c r="B3336" t="s">
        <v>747</v>
      </c>
      <c r="C3336">
        <v>45663</v>
      </c>
      <c r="F3336" t="s">
        <v>752</v>
      </c>
      <c r="H3336">
        <v>199.17</v>
      </c>
      <c r="O3336" t="s">
        <v>239</v>
      </c>
      <c r="P3336" t="s">
        <v>514</v>
      </c>
      <c r="Y3336">
        <v>3302</v>
      </c>
      <c r="Z3336" s="259" t="s">
        <v>630</v>
      </c>
      <c r="AA3336">
        <v>0</v>
      </c>
      <c r="AB3336">
        <v>0</v>
      </c>
      <c r="AC3336">
        <v>45663</v>
      </c>
      <c r="AD3336">
        <v>0</v>
      </c>
      <c r="AE3336">
        <v>0</v>
      </c>
      <c r="AF3336">
        <v>0</v>
      </c>
      <c r="AG3336">
        <v>0</v>
      </c>
      <c r="AH3336">
        <v>0</v>
      </c>
    </row>
    <row r="3337" spans="2:34" x14ac:dyDescent="0.35">
      <c r="B3337" t="s">
        <v>747</v>
      </c>
      <c r="C3337">
        <v>45663</v>
      </c>
      <c r="F3337" t="s">
        <v>754</v>
      </c>
      <c r="H3337">
        <v>80.33</v>
      </c>
      <c r="O3337" t="s">
        <v>239</v>
      </c>
      <c r="P3337" t="s">
        <v>514</v>
      </c>
      <c r="Y3337">
        <v>3303</v>
      </c>
      <c r="Z3337" s="259" t="s">
        <v>630</v>
      </c>
      <c r="AA3337">
        <v>100</v>
      </c>
      <c r="AB3337">
        <v>8008</v>
      </c>
      <c r="AC3337">
        <v>45663</v>
      </c>
      <c r="AD3337">
        <v>0</v>
      </c>
      <c r="AE3337">
        <v>8033</v>
      </c>
      <c r="AF3337">
        <v>8033</v>
      </c>
      <c r="AG3337">
        <v>0</v>
      </c>
      <c r="AH3337">
        <v>25</v>
      </c>
    </row>
    <row r="3338" spans="2:34" x14ac:dyDescent="0.35">
      <c r="B3338" t="s">
        <v>747</v>
      </c>
      <c r="C3338">
        <v>45664</v>
      </c>
      <c r="F3338" t="s">
        <v>749</v>
      </c>
      <c r="H3338">
        <v>100.4</v>
      </c>
      <c r="O3338" t="s">
        <v>239</v>
      </c>
      <c r="P3338" t="s">
        <v>514</v>
      </c>
      <c r="Y3338">
        <v>3304</v>
      </c>
      <c r="Z3338" s="259" t="s">
        <v>630</v>
      </c>
      <c r="AA3338">
        <v>40</v>
      </c>
      <c r="AB3338">
        <v>4004</v>
      </c>
      <c r="AC3338">
        <v>45664</v>
      </c>
      <c r="AD3338">
        <v>0</v>
      </c>
      <c r="AE3338">
        <v>4016</v>
      </c>
      <c r="AF3338">
        <v>4016</v>
      </c>
      <c r="AG3338">
        <v>0</v>
      </c>
      <c r="AH3338">
        <v>12</v>
      </c>
    </row>
    <row r="3339" spans="2:34" x14ac:dyDescent="0.35">
      <c r="B3339" t="s">
        <v>747</v>
      </c>
      <c r="C3339">
        <v>45664</v>
      </c>
      <c r="F3339" t="s">
        <v>752</v>
      </c>
      <c r="H3339">
        <v>199</v>
      </c>
      <c r="O3339" t="s">
        <v>239</v>
      </c>
      <c r="P3339" t="s">
        <v>514</v>
      </c>
      <c r="Y3339">
        <v>3305</v>
      </c>
      <c r="Z3339" s="259" t="s">
        <v>630</v>
      </c>
      <c r="AA3339">
        <v>0</v>
      </c>
      <c r="AB3339">
        <v>0</v>
      </c>
      <c r="AC3339">
        <v>45664</v>
      </c>
      <c r="AD3339">
        <v>0</v>
      </c>
      <c r="AE3339">
        <v>0</v>
      </c>
      <c r="AF3339">
        <v>0</v>
      </c>
      <c r="AG3339">
        <v>0</v>
      </c>
      <c r="AH3339">
        <v>0</v>
      </c>
    </row>
    <row r="3340" spans="2:34" x14ac:dyDescent="0.35">
      <c r="B3340" t="s">
        <v>747</v>
      </c>
      <c r="C3340">
        <v>45664</v>
      </c>
      <c r="F3340" t="s">
        <v>754</v>
      </c>
      <c r="H3340">
        <v>80.400000000000006</v>
      </c>
      <c r="O3340" t="s">
        <v>239</v>
      </c>
      <c r="P3340" t="s">
        <v>514</v>
      </c>
      <c r="Y3340">
        <v>3306</v>
      </c>
      <c r="Z3340" s="259" t="s">
        <v>630</v>
      </c>
      <c r="AA3340">
        <v>100</v>
      </c>
      <c r="AB3340">
        <v>8008</v>
      </c>
      <c r="AC3340">
        <v>45664</v>
      </c>
      <c r="AD3340">
        <v>0</v>
      </c>
      <c r="AE3340">
        <v>8040.0000000000009</v>
      </c>
      <c r="AF3340">
        <v>8040.0000000000009</v>
      </c>
      <c r="AG3340">
        <v>0</v>
      </c>
      <c r="AH3340">
        <v>32.000000000000909</v>
      </c>
    </row>
    <row r="3341" spans="2:34" x14ac:dyDescent="0.35">
      <c r="B3341" t="s">
        <v>747</v>
      </c>
      <c r="C3341">
        <v>45665</v>
      </c>
      <c r="F3341" t="s">
        <v>749</v>
      </c>
      <c r="H3341">
        <v>100.47</v>
      </c>
      <c r="O3341" t="s">
        <v>239</v>
      </c>
      <c r="P3341" t="s">
        <v>514</v>
      </c>
      <c r="Y3341">
        <v>3307</v>
      </c>
      <c r="Z3341" s="259" t="s">
        <v>630</v>
      </c>
      <c r="AA3341">
        <v>40</v>
      </c>
      <c r="AB3341">
        <v>4004</v>
      </c>
      <c r="AC3341">
        <v>45665</v>
      </c>
      <c r="AD3341">
        <v>0</v>
      </c>
      <c r="AE3341">
        <v>4018.8</v>
      </c>
      <c r="AF3341">
        <v>4018.8</v>
      </c>
      <c r="AG3341">
        <v>0</v>
      </c>
      <c r="AH3341">
        <v>14.800000000000182</v>
      </c>
    </row>
    <row r="3342" spans="2:34" x14ac:dyDescent="0.35">
      <c r="B3342" t="s">
        <v>747</v>
      </c>
      <c r="C3342">
        <v>45665</v>
      </c>
      <c r="F3342" t="s">
        <v>752</v>
      </c>
      <c r="H3342">
        <v>198.83</v>
      </c>
      <c r="O3342" t="s">
        <v>239</v>
      </c>
      <c r="P3342" t="s">
        <v>514</v>
      </c>
      <c r="Y3342">
        <v>3308</v>
      </c>
      <c r="Z3342" s="259" t="s">
        <v>630</v>
      </c>
      <c r="AA3342">
        <v>0</v>
      </c>
      <c r="AB3342">
        <v>0</v>
      </c>
      <c r="AC3342">
        <v>45665</v>
      </c>
      <c r="AD3342">
        <v>0</v>
      </c>
      <c r="AE3342">
        <v>0</v>
      </c>
      <c r="AF3342">
        <v>0</v>
      </c>
      <c r="AG3342">
        <v>0</v>
      </c>
      <c r="AH3342">
        <v>0</v>
      </c>
    </row>
    <row r="3343" spans="2:34" x14ac:dyDescent="0.35">
      <c r="B3343" t="s">
        <v>747</v>
      </c>
      <c r="C3343">
        <v>45665</v>
      </c>
      <c r="F3343" t="s">
        <v>754</v>
      </c>
      <c r="H3343">
        <v>80.47</v>
      </c>
      <c r="O3343" t="s">
        <v>239</v>
      </c>
      <c r="P3343" t="s">
        <v>514</v>
      </c>
      <c r="Y3343">
        <v>3309</v>
      </c>
      <c r="Z3343" s="259" t="s">
        <v>630</v>
      </c>
      <c r="AA3343">
        <v>100</v>
      </c>
      <c r="AB3343">
        <v>8008</v>
      </c>
      <c r="AC3343">
        <v>45665</v>
      </c>
      <c r="AD3343">
        <v>0</v>
      </c>
      <c r="AE3343">
        <v>8047</v>
      </c>
      <c r="AF3343">
        <v>8047</v>
      </c>
      <c r="AG3343">
        <v>0</v>
      </c>
      <c r="AH3343">
        <v>39</v>
      </c>
    </row>
    <row r="3344" spans="2:34" x14ac:dyDescent="0.35">
      <c r="B3344" t="s">
        <v>747</v>
      </c>
      <c r="C3344">
        <v>45666</v>
      </c>
      <c r="F3344" t="s">
        <v>749</v>
      </c>
      <c r="H3344">
        <v>100.53</v>
      </c>
      <c r="O3344" t="s">
        <v>239</v>
      </c>
      <c r="P3344" t="s">
        <v>514</v>
      </c>
      <c r="Y3344">
        <v>3310</v>
      </c>
      <c r="Z3344" s="259" t="s">
        <v>630</v>
      </c>
      <c r="AA3344">
        <v>40</v>
      </c>
      <c r="AB3344">
        <v>4004</v>
      </c>
      <c r="AC3344">
        <v>45666</v>
      </c>
      <c r="AD3344">
        <v>0</v>
      </c>
      <c r="AE3344">
        <v>4021.2</v>
      </c>
      <c r="AF3344">
        <v>4021.2</v>
      </c>
      <c r="AG3344">
        <v>0</v>
      </c>
      <c r="AH3344">
        <v>17.199999999999818</v>
      </c>
    </row>
    <row r="3345" spans="2:34" x14ac:dyDescent="0.35">
      <c r="B3345" t="s">
        <v>747</v>
      </c>
      <c r="C3345">
        <v>45666</v>
      </c>
      <c r="F3345" t="s">
        <v>752</v>
      </c>
      <c r="H3345">
        <v>198.67</v>
      </c>
      <c r="O3345" t="s">
        <v>239</v>
      </c>
      <c r="P3345" t="s">
        <v>514</v>
      </c>
      <c r="Y3345">
        <v>3311</v>
      </c>
      <c r="Z3345" s="259" t="s">
        <v>630</v>
      </c>
      <c r="AA3345">
        <v>0</v>
      </c>
      <c r="AB3345">
        <v>0</v>
      </c>
      <c r="AC3345">
        <v>45666</v>
      </c>
      <c r="AD3345">
        <v>0</v>
      </c>
      <c r="AE3345">
        <v>0</v>
      </c>
      <c r="AF3345">
        <v>0</v>
      </c>
      <c r="AG3345">
        <v>0</v>
      </c>
      <c r="AH3345">
        <v>0</v>
      </c>
    </row>
    <row r="3346" spans="2:34" x14ac:dyDescent="0.35">
      <c r="B3346" t="s">
        <v>747</v>
      </c>
      <c r="C3346">
        <v>45666</v>
      </c>
      <c r="F3346" t="s">
        <v>754</v>
      </c>
      <c r="H3346">
        <v>80.53</v>
      </c>
      <c r="O3346" t="s">
        <v>239</v>
      </c>
      <c r="P3346" t="s">
        <v>514</v>
      </c>
      <c r="Y3346">
        <v>3312</v>
      </c>
      <c r="Z3346" s="259" t="s">
        <v>630</v>
      </c>
      <c r="AA3346">
        <v>100</v>
      </c>
      <c r="AB3346">
        <v>8008</v>
      </c>
      <c r="AC3346">
        <v>45666</v>
      </c>
      <c r="AD3346">
        <v>0</v>
      </c>
      <c r="AE3346">
        <v>8053</v>
      </c>
      <c r="AF3346">
        <v>8053</v>
      </c>
      <c r="AG3346">
        <v>0</v>
      </c>
      <c r="AH3346">
        <v>45</v>
      </c>
    </row>
    <row r="3347" spans="2:34" x14ac:dyDescent="0.35">
      <c r="B3347" t="s">
        <v>747</v>
      </c>
      <c r="C3347">
        <v>45667</v>
      </c>
      <c r="F3347" t="s">
        <v>749</v>
      </c>
      <c r="H3347">
        <v>100.6</v>
      </c>
      <c r="O3347" t="s">
        <v>239</v>
      </c>
      <c r="P3347" t="s">
        <v>514</v>
      </c>
      <c r="Y3347">
        <v>3313</v>
      </c>
      <c r="Z3347" s="259" t="s">
        <v>630</v>
      </c>
      <c r="AA3347">
        <v>40</v>
      </c>
      <c r="AB3347">
        <v>4004</v>
      </c>
      <c r="AC3347">
        <v>45667</v>
      </c>
      <c r="AD3347">
        <v>0</v>
      </c>
      <c r="AE3347">
        <v>4024</v>
      </c>
      <c r="AF3347">
        <v>4024</v>
      </c>
      <c r="AG3347">
        <v>0</v>
      </c>
      <c r="AH3347">
        <v>20</v>
      </c>
    </row>
    <row r="3348" spans="2:34" x14ac:dyDescent="0.35">
      <c r="B3348" t="s">
        <v>747</v>
      </c>
      <c r="C3348">
        <v>45667</v>
      </c>
      <c r="F3348" t="s">
        <v>752</v>
      </c>
      <c r="H3348">
        <v>198.5</v>
      </c>
      <c r="O3348" t="s">
        <v>239</v>
      </c>
      <c r="P3348" t="s">
        <v>514</v>
      </c>
      <c r="Y3348">
        <v>3314</v>
      </c>
      <c r="Z3348" s="259" t="s">
        <v>630</v>
      </c>
      <c r="AA3348">
        <v>0</v>
      </c>
      <c r="AB3348">
        <v>0</v>
      </c>
      <c r="AC3348">
        <v>45667</v>
      </c>
      <c r="AD3348">
        <v>0</v>
      </c>
      <c r="AE3348">
        <v>0</v>
      </c>
      <c r="AF3348">
        <v>0</v>
      </c>
      <c r="AG3348">
        <v>0</v>
      </c>
      <c r="AH3348">
        <v>0</v>
      </c>
    </row>
    <row r="3349" spans="2:34" x14ac:dyDescent="0.35">
      <c r="B3349" t="s">
        <v>747</v>
      </c>
      <c r="C3349">
        <v>45667</v>
      </c>
      <c r="F3349" t="s">
        <v>754</v>
      </c>
      <c r="H3349">
        <v>80.599999999999994</v>
      </c>
      <c r="O3349" t="s">
        <v>239</v>
      </c>
      <c r="P3349" t="s">
        <v>514</v>
      </c>
      <c r="Y3349">
        <v>3315</v>
      </c>
      <c r="Z3349" s="259" t="s">
        <v>630</v>
      </c>
      <c r="AA3349">
        <v>100</v>
      </c>
      <c r="AB3349">
        <v>8008</v>
      </c>
      <c r="AC3349">
        <v>45667</v>
      </c>
      <c r="AD3349">
        <v>0</v>
      </c>
      <c r="AE3349">
        <v>8059.9999999999991</v>
      </c>
      <c r="AF3349">
        <v>8059.9999999999991</v>
      </c>
      <c r="AG3349">
        <v>0</v>
      </c>
      <c r="AH3349">
        <v>51.999999999999091</v>
      </c>
    </row>
    <row r="3350" spans="2:34" x14ac:dyDescent="0.35">
      <c r="B3350" t="s">
        <v>747</v>
      </c>
      <c r="C3350">
        <v>45668</v>
      </c>
      <c r="F3350" t="s">
        <v>749</v>
      </c>
      <c r="H3350">
        <v>100.6</v>
      </c>
      <c r="O3350" t="s">
        <v>239</v>
      </c>
      <c r="P3350" t="s">
        <v>514</v>
      </c>
      <c r="Y3350">
        <v>3316</v>
      </c>
      <c r="Z3350" s="259" t="s">
        <v>630</v>
      </c>
      <c r="AA3350">
        <v>40</v>
      </c>
      <c r="AB3350">
        <v>4004</v>
      </c>
      <c r="AC3350">
        <v>45667</v>
      </c>
      <c r="AD3350">
        <v>1</v>
      </c>
      <c r="AE3350">
        <v>4024</v>
      </c>
      <c r="AF3350">
        <v>4024</v>
      </c>
      <c r="AG3350">
        <v>0</v>
      </c>
      <c r="AH3350">
        <v>20</v>
      </c>
    </row>
    <row r="3351" spans="2:34" x14ac:dyDescent="0.35">
      <c r="B3351" t="s">
        <v>747</v>
      </c>
      <c r="C3351">
        <v>45668</v>
      </c>
      <c r="F3351" t="s">
        <v>752</v>
      </c>
      <c r="H3351">
        <v>198.5</v>
      </c>
      <c r="O3351" t="s">
        <v>239</v>
      </c>
      <c r="P3351" t="s">
        <v>514</v>
      </c>
      <c r="Y3351">
        <v>3317</v>
      </c>
      <c r="Z3351" s="259" t="s">
        <v>630</v>
      </c>
      <c r="AA3351">
        <v>0</v>
      </c>
      <c r="AB3351">
        <v>0</v>
      </c>
      <c r="AC3351">
        <v>45667</v>
      </c>
      <c r="AD3351">
        <v>1</v>
      </c>
      <c r="AE3351">
        <v>0</v>
      </c>
      <c r="AF3351">
        <v>0</v>
      </c>
      <c r="AG3351">
        <v>0</v>
      </c>
      <c r="AH3351">
        <v>0</v>
      </c>
    </row>
    <row r="3352" spans="2:34" x14ac:dyDescent="0.35">
      <c r="B3352" t="s">
        <v>747</v>
      </c>
      <c r="C3352">
        <v>45668</v>
      </c>
      <c r="F3352" t="s">
        <v>754</v>
      </c>
      <c r="H3352">
        <v>80.599999999999994</v>
      </c>
      <c r="O3352" t="s">
        <v>239</v>
      </c>
      <c r="P3352" t="s">
        <v>514</v>
      </c>
      <c r="Y3352">
        <v>3318</v>
      </c>
      <c r="Z3352" s="259" t="s">
        <v>630</v>
      </c>
      <c r="AA3352">
        <v>100</v>
      </c>
      <c r="AB3352">
        <v>8008</v>
      </c>
      <c r="AC3352">
        <v>45667</v>
      </c>
      <c r="AD3352">
        <v>1</v>
      </c>
      <c r="AE3352">
        <v>8059.9999999999991</v>
      </c>
      <c r="AF3352">
        <v>8059.9999999999991</v>
      </c>
      <c r="AG3352">
        <v>0</v>
      </c>
      <c r="AH3352">
        <v>51.999999999999091</v>
      </c>
    </row>
    <row r="3353" spans="2:34" x14ac:dyDescent="0.35">
      <c r="B3353" t="s">
        <v>747</v>
      </c>
      <c r="C3353">
        <v>45669</v>
      </c>
      <c r="F3353" t="s">
        <v>749</v>
      </c>
      <c r="H3353">
        <v>100.6</v>
      </c>
      <c r="O3353" t="s">
        <v>239</v>
      </c>
      <c r="P3353" t="s">
        <v>514</v>
      </c>
      <c r="Y3353">
        <v>3319</v>
      </c>
      <c r="Z3353" s="259" t="s">
        <v>630</v>
      </c>
      <c r="AA3353">
        <v>40</v>
      </c>
      <c r="AB3353">
        <v>4004</v>
      </c>
      <c r="AC3353">
        <v>45667</v>
      </c>
      <c r="AD3353">
        <v>2</v>
      </c>
      <c r="AE3353">
        <v>4024</v>
      </c>
      <c r="AF3353">
        <v>4024</v>
      </c>
      <c r="AG3353">
        <v>0</v>
      </c>
      <c r="AH3353">
        <v>20</v>
      </c>
    </row>
    <row r="3354" spans="2:34" x14ac:dyDescent="0.35">
      <c r="B3354" t="s">
        <v>747</v>
      </c>
      <c r="C3354">
        <v>45669</v>
      </c>
      <c r="F3354" t="s">
        <v>752</v>
      </c>
      <c r="H3354">
        <v>198.5</v>
      </c>
      <c r="O3354" t="s">
        <v>239</v>
      </c>
      <c r="P3354" t="s">
        <v>514</v>
      </c>
      <c r="Y3354">
        <v>3320</v>
      </c>
      <c r="Z3354" s="259" t="s">
        <v>630</v>
      </c>
      <c r="AA3354">
        <v>0</v>
      </c>
      <c r="AB3354">
        <v>0</v>
      </c>
      <c r="AC3354">
        <v>45667</v>
      </c>
      <c r="AD3354">
        <v>2</v>
      </c>
      <c r="AE3354">
        <v>0</v>
      </c>
      <c r="AF3354">
        <v>0</v>
      </c>
      <c r="AG3354">
        <v>0</v>
      </c>
      <c r="AH3354">
        <v>0</v>
      </c>
    </row>
    <row r="3355" spans="2:34" x14ac:dyDescent="0.35">
      <c r="B3355" t="s">
        <v>747</v>
      </c>
      <c r="C3355">
        <v>45669</v>
      </c>
      <c r="F3355" t="s">
        <v>754</v>
      </c>
      <c r="H3355">
        <v>80.599999999999994</v>
      </c>
      <c r="O3355" t="s">
        <v>239</v>
      </c>
      <c r="P3355" t="s">
        <v>514</v>
      </c>
      <c r="Y3355">
        <v>3321</v>
      </c>
      <c r="Z3355" s="259" t="s">
        <v>630</v>
      </c>
      <c r="AA3355">
        <v>100</v>
      </c>
      <c r="AB3355">
        <v>8008</v>
      </c>
      <c r="AC3355">
        <v>45667</v>
      </c>
      <c r="AD3355">
        <v>2</v>
      </c>
      <c r="AE3355">
        <v>8059.9999999999991</v>
      </c>
      <c r="AF3355">
        <v>8059.9999999999991</v>
      </c>
      <c r="AG3355">
        <v>0</v>
      </c>
      <c r="AH3355">
        <v>51.999999999999091</v>
      </c>
    </row>
    <row r="3356" spans="2:34" x14ac:dyDescent="0.35">
      <c r="B3356" t="s">
        <v>747</v>
      </c>
      <c r="C3356">
        <v>45670</v>
      </c>
      <c r="F3356" t="s">
        <v>749</v>
      </c>
      <c r="H3356">
        <v>100.8</v>
      </c>
      <c r="O3356" t="s">
        <v>239</v>
      </c>
      <c r="P3356" t="s">
        <v>514</v>
      </c>
      <c r="Y3356">
        <v>3322</v>
      </c>
      <c r="Z3356" s="259" t="s">
        <v>630</v>
      </c>
      <c r="AA3356">
        <v>40</v>
      </c>
      <c r="AB3356">
        <v>4004</v>
      </c>
      <c r="AC3356">
        <v>45670</v>
      </c>
      <c r="AD3356">
        <v>0</v>
      </c>
      <c r="AE3356">
        <v>4032</v>
      </c>
      <c r="AF3356">
        <v>4032</v>
      </c>
      <c r="AG3356">
        <v>0</v>
      </c>
      <c r="AH3356">
        <v>28</v>
      </c>
    </row>
    <row r="3357" spans="2:34" x14ac:dyDescent="0.35">
      <c r="B3357" t="s">
        <v>747</v>
      </c>
      <c r="C3357">
        <v>45670</v>
      </c>
      <c r="F3357" t="s">
        <v>752</v>
      </c>
      <c r="H3357">
        <v>198</v>
      </c>
      <c r="O3357" t="s">
        <v>239</v>
      </c>
      <c r="P3357" t="s">
        <v>514</v>
      </c>
      <c r="Y3357">
        <v>3323</v>
      </c>
      <c r="Z3357" s="259" t="s">
        <v>630</v>
      </c>
      <c r="AA3357">
        <v>0</v>
      </c>
      <c r="AB3357">
        <v>0</v>
      </c>
      <c r="AC3357">
        <v>45670</v>
      </c>
      <c r="AD3357">
        <v>0</v>
      </c>
      <c r="AE3357">
        <v>0</v>
      </c>
      <c r="AF3357">
        <v>0</v>
      </c>
      <c r="AG3357">
        <v>0</v>
      </c>
      <c r="AH3357">
        <v>0</v>
      </c>
    </row>
    <row r="3358" spans="2:34" x14ac:dyDescent="0.35">
      <c r="B3358" t="s">
        <v>747</v>
      </c>
      <c r="C3358">
        <v>45670</v>
      </c>
      <c r="F3358" t="s">
        <v>754</v>
      </c>
      <c r="H3358">
        <v>80.8</v>
      </c>
      <c r="O3358" t="s">
        <v>239</v>
      </c>
      <c r="P3358" t="s">
        <v>514</v>
      </c>
      <c r="Y3358">
        <v>3324</v>
      </c>
      <c r="Z3358" s="259" t="s">
        <v>630</v>
      </c>
      <c r="AA3358">
        <v>100</v>
      </c>
      <c r="AB3358">
        <v>8008</v>
      </c>
      <c r="AC3358">
        <v>45670</v>
      </c>
      <c r="AD3358">
        <v>0</v>
      </c>
      <c r="AE3358">
        <v>8080</v>
      </c>
      <c r="AF3358">
        <v>8080</v>
      </c>
      <c r="AG3358">
        <v>0</v>
      </c>
      <c r="AH3358">
        <v>72</v>
      </c>
    </row>
    <row r="3359" spans="2:34" x14ac:dyDescent="0.35">
      <c r="B3359" t="s">
        <v>747</v>
      </c>
      <c r="C3359">
        <v>45671</v>
      </c>
      <c r="F3359" t="s">
        <v>749</v>
      </c>
      <c r="H3359">
        <v>100.87</v>
      </c>
      <c r="O3359" t="s">
        <v>239</v>
      </c>
      <c r="P3359" t="s">
        <v>514</v>
      </c>
      <c r="Y3359">
        <v>3325</v>
      </c>
      <c r="Z3359" s="259" t="s">
        <v>630</v>
      </c>
      <c r="AA3359">
        <v>40</v>
      </c>
      <c r="AB3359">
        <v>4004</v>
      </c>
      <c r="AC3359">
        <v>45671</v>
      </c>
      <c r="AD3359">
        <v>0</v>
      </c>
      <c r="AE3359">
        <v>4034.8</v>
      </c>
      <c r="AF3359">
        <v>4034.8</v>
      </c>
      <c r="AG3359">
        <v>0</v>
      </c>
      <c r="AH3359">
        <v>30.800000000000182</v>
      </c>
    </row>
    <row r="3360" spans="2:34" x14ac:dyDescent="0.35">
      <c r="B3360" t="s">
        <v>747</v>
      </c>
      <c r="C3360">
        <v>45671</v>
      </c>
      <c r="F3360" t="s">
        <v>752</v>
      </c>
      <c r="H3360">
        <v>197.83</v>
      </c>
      <c r="O3360" t="s">
        <v>239</v>
      </c>
      <c r="P3360" t="s">
        <v>514</v>
      </c>
      <c r="Y3360">
        <v>3326</v>
      </c>
      <c r="Z3360" s="259" t="s">
        <v>630</v>
      </c>
      <c r="AA3360">
        <v>0</v>
      </c>
      <c r="AB3360">
        <v>0</v>
      </c>
      <c r="AC3360">
        <v>45671</v>
      </c>
      <c r="AD3360">
        <v>0</v>
      </c>
      <c r="AE3360">
        <v>0</v>
      </c>
      <c r="AF3360">
        <v>0</v>
      </c>
      <c r="AG3360">
        <v>0</v>
      </c>
      <c r="AH3360">
        <v>0</v>
      </c>
    </row>
    <row r="3361" spans="2:34" x14ac:dyDescent="0.35">
      <c r="B3361" t="s">
        <v>747</v>
      </c>
      <c r="C3361">
        <v>45671</v>
      </c>
      <c r="F3361" t="s">
        <v>754</v>
      </c>
      <c r="H3361">
        <v>80.87</v>
      </c>
      <c r="O3361" t="s">
        <v>239</v>
      </c>
      <c r="P3361" t="s">
        <v>514</v>
      </c>
      <c r="Y3361">
        <v>3327</v>
      </c>
      <c r="Z3361" s="259" t="s">
        <v>630</v>
      </c>
      <c r="AA3361">
        <v>100</v>
      </c>
      <c r="AB3361">
        <v>8008</v>
      </c>
      <c r="AC3361">
        <v>45671</v>
      </c>
      <c r="AD3361">
        <v>0</v>
      </c>
      <c r="AE3361">
        <v>8087</v>
      </c>
      <c r="AF3361">
        <v>8087</v>
      </c>
      <c r="AG3361">
        <v>0</v>
      </c>
      <c r="AH3361">
        <v>79</v>
      </c>
    </row>
    <row r="3362" spans="2:34" x14ac:dyDescent="0.35">
      <c r="B3362" t="s">
        <v>747</v>
      </c>
      <c r="C3362">
        <v>45672</v>
      </c>
      <c r="F3362" t="s">
        <v>749</v>
      </c>
      <c r="H3362">
        <v>100.93</v>
      </c>
      <c r="O3362" t="s">
        <v>239</v>
      </c>
      <c r="P3362" t="s">
        <v>514</v>
      </c>
      <c r="Y3362">
        <v>3328</v>
      </c>
      <c r="Z3362" s="259" t="s">
        <v>630</v>
      </c>
      <c r="AA3362">
        <v>40</v>
      </c>
      <c r="AB3362">
        <v>4004</v>
      </c>
      <c r="AC3362">
        <v>45672</v>
      </c>
      <c r="AD3362">
        <v>0</v>
      </c>
      <c r="AE3362">
        <v>4037.2000000000003</v>
      </c>
      <c r="AF3362">
        <v>4037.2000000000003</v>
      </c>
      <c r="AG3362">
        <v>0</v>
      </c>
      <c r="AH3362">
        <v>33.200000000000273</v>
      </c>
    </row>
    <row r="3363" spans="2:34" x14ac:dyDescent="0.35">
      <c r="B3363" t="s">
        <v>747</v>
      </c>
      <c r="C3363">
        <v>45672</v>
      </c>
      <c r="F3363" t="s">
        <v>752</v>
      </c>
      <c r="H3363">
        <v>197.67</v>
      </c>
      <c r="O3363" t="s">
        <v>239</v>
      </c>
      <c r="P3363" t="s">
        <v>514</v>
      </c>
      <c r="Y3363">
        <v>3329</v>
      </c>
      <c r="Z3363" s="259" t="s">
        <v>630</v>
      </c>
      <c r="AA3363">
        <v>0</v>
      </c>
      <c r="AB3363">
        <v>0</v>
      </c>
      <c r="AC3363">
        <v>45672</v>
      </c>
      <c r="AD3363">
        <v>0</v>
      </c>
      <c r="AE3363">
        <v>0</v>
      </c>
      <c r="AF3363">
        <v>0</v>
      </c>
      <c r="AG3363">
        <v>0</v>
      </c>
      <c r="AH3363">
        <v>0</v>
      </c>
    </row>
    <row r="3364" spans="2:34" x14ac:dyDescent="0.35">
      <c r="B3364" t="s">
        <v>747</v>
      </c>
      <c r="C3364">
        <v>45672</v>
      </c>
      <c r="F3364" t="s">
        <v>754</v>
      </c>
      <c r="H3364">
        <v>80.930000000000007</v>
      </c>
      <c r="O3364" t="s">
        <v>239</v>
      </c>
      <c r="P3364" t="s">
        <v>514</v>
      </c>
      <c r="Y3364">
        <v>3330</v>
      </c>
      <c r="Z3364" s="259" t="s">
        <v>630</v>
      </c>
      <c r="AA3364">
        <v>100</v>
      </c>
      <c r="AB3364">
        <v>8008</v>
      </c>
      <c r="AC3364">
        <v>45672</v>
      </c>
      <c r="AD3364">
        <v>0</v>
      </c>
      <c r="AE3364">
        <v>8093.0000000000009</v>
      </c>
      <c r="AF3364">
        <v>8093.0000000000009</v>
      </c>
      <c r="AG3364">
        <v>0</v>
      </c>
      <c r="AH3364">
        <v>85.000000000000909</v>
      </c>
    </row>
    <row r="3365" spans="2:34" x14ac:dyDescent="0.35">
      <c r="B3365" t="s">
        <v>747</v>
      </c>
      <c r="C3365">
        <v>45673</v>
      </c>
      <c r="F3365" t="s">
        <v>749</v>
      </c>
      <c r="H3365">
        <v>101</v>
      </c>
      <c r="O3365" t="s">
        <v>239</v>
      </c>
      <c r="P3365" t="s">
        <v>514</v>
      </c>
      <c r="Y3365">
        <v>3331</v>
      </c>
      <c r="Z3365" s="259" t="s">
        <v>630</v>
      </c>
      <c r="AA3365">
        <v>40</v>
      </c>
      <c r="AB3365">
        <v>4004</v>
      </c>
      <c r="AC3365">
        <v>45673</v>
      </c>
      <c r="AD3365">
        <v>0</v>
      </c>
      <c r="AE3365">
        <v>4040</v>
      </c>
      <c r="AF3365">
        <v>4040</v>
      </c>
      <c r="AG3365">
        <v>0</v>
      </c>
      <c r="AH3365">
        <v>36</v>
      </c>
    </row>
    <row r="3366" spans="2:34" x14ac:dyDescent="0.35">
      <c r="B3366" t="s">
        <v>747</v>
      </c>
      <c r="C3366">
        <v>45673</v>
      </c>
      <c r="F3366" t="s">
        <v>752</v>
      </c>
      <c r="H3366">
        <v>197.5</v>
      </c>
      <c r="O3366" t="s">
        <v>239</v>
      </c>
      <c r="P3366" t="s">
        <v>514</v>
      </c>
      <c r="Y3366">
        <v>3332</v>
      </c>
      <c r="Z3366" s="259" t="s">
        <v>630</v>
      </c>
      <c r="AA3366">
        <v>0</v>
      </c>
      <c r="AB3366">
        <v>0</v>
      </c>
      <c r="AC3366">
        <v>45673</v>
      </c>
      <c r="AD3366">
        <v>0</v>
      </c>
      <c r="AE3366">
        <v>0</v>
      </c>
      <c r="AF3366">
        <v>0</v>
      </c>
      <c r="AG3366">
        <v>0</v>
      </c>
      <c r="AH3366">
        <v>0</v>
      </c>
    </row>
    <row r="3367" spans="2:34" x14ac:dyDescent="0.35">
      <c r="B3367" t="s">
        <v>747</v>
      </c>
      <c r="C3367">
        <v>45673</v>
      </c>
      <c r="F3367" t="s">
        <v>754</v>
      </c>
      <c r="H3367">
        <v>81</v>
      </c>
      <c r="O3367" t="s">
        <v>239</v>
      </c>
      <c r="P3367" t="s">
        <v>514</v>
      </c>
      <c r="Y3367">
        <v>3333</v>
      </c>
      <c r="Z3367" s="259" t="s">
        <v>630</v>
      </c>
      <c r="AA3367">
        <v>100</v>
      </c>
      <c r="AB3367">
        <v>8008</v>
      </c>
      <c r="AC3367">
        <v>45673</v>
      </c>
      <c r="AD3367">
        <v>0</v>
      </c>
      <c r="AE3367">
        <v>8100</v>
      </c>
      <c r="AF3367">
        <v>8100</v>
      </c>
      <c r="AG3367">
        <v>0</v>
      </c>
      <c r="AH3367">
        <v>92</v>
      </c>
    </row>
    <row r="3368" spans="2:34" x14ac:dyDescent="0.35">
      <c r="B3368" t="s">
        <v>747</v>
      </c>
      <c r="C3368">
        <v>45674</v>
      </c>
      <c r="F3368" t="s">
        <v>749</v>
      </c>
      <c r="H3368">
        <v>101.07</v>
      </c>
      <c r="O3368" t="s">
        <v>239</v>
      </c>
      <c r="P3368" t="s">
        <v>514</v>
      </c>
      <c r="Y3368">
        <v>3334</v>
      </c>
      <c r="Z3368" s="259" t="s">
        <v>630</v>
      </c>
      <c r="AA3368">
        <v>40</v>
      </c>
      <c r="AB3368">
        <v>4004</v>
      </c>
      <c r="AC3368">
        <v>45674</v>
      </c>
      <c r="AD3368">
        <v>0</v>
      </c>
      <c r="AE3368">
        <v>4042.7999999999997</v>
      </c>
      <c r="AF3368">
        <v>4042.7999999999997</v>
      </c>
      <c r="AG3368">
        <v>0</v>
      </c>
      <c r="AH3368">
        <v>38.799999999999727</v>
      </c>
    </row>
    <row r="3369" spans="2:34" x14ac:dyDescent="0.35">
      <c r="B3369" t="s">
        <v>747</v>
      </c>
      <c r="C3369">
        <v>45674</v>
      </c>
      <c r="F3369" t="s">
        <v>752</v>
      </c>
      <c r="H3369">
        <v>197.33</v>
      </c>
      <c r="O3369" t="s">
        <v>239</v>
      </c>
      <c r="P3369" t="s">
        <v>514</v>
      </c>
      <c r="Y3369">
        <v>3335</v>
      </c>
      <c r="Z3369" s="259" t="s">
        <v>630</v>
      </c>
      <c r="AA3369">
        <v>0</v>
      </c>
      <c r="AB3369">
        <v>0</v>
      </c>
      <c r="AC3369">
        <v>45674</v>
      </c>
      <c r="AD3369">
        <v>0</v>
      </c>
      <c r="AE3369">
        <v>0</v>
      </c>
      <c r="AF3369">
        <v>0</v>
      </c>
      <c r="AG3369">
        <v>0</v>
      </c>
      <c r="AH3369">
        <v>0</v>
      </c>
    </row>
    <row r="3370" spans="2:34" x14ac:dyDescent="0.35">
      <c r="B3370" t="s">
        <v>747</v>
      </c>
      <c r="C3370">
        <v>45674</v>
      </c>
      <c r="F3370" t="s">
        <v>754</v>
      </c>
      <c r="H3370">
        <v>81.069999999999993</v>
      </c>
      <c r="O3370" t="s">
        <v>239</v>
      </c>
      <c r="P3370" t="s">
        <v>514</v>
      </c>
      <c r="Y3370">
        <v>3336</v>
      </c>
      <c r="Z3370" s="259" t="s">
        <v>630</v>
      </c>
      <c r="AA3370">
        <v>100</v>
      </c>
      <c r="AB3370">
        <v>8008</v>
      </c>
      <c r="AC3370">
        <v>45674</v>
      </c>
      <c r="AD3370">
        <v>0</v>
      </c>
      <c r="AE3370">
        <v>8106.9999999999991</v>
      </c>
      <c r="AF3370">
        <v>8106.9999999999991</v>
      </c>
      <c r="AG3370">
        <v>0</v>
      </c>
      <c r="AH3370">
        <v>98.999999999999091</v>
      </c>
    </row>
    <row r="3371" spans="2:34" x14ac:dyDescent="0.35">
      <c r="B3371" t="s">
        <v>747</v>
      </c>
      <c r="C3371">
        <v>45675</v>
      </c>
      <c r="F3371" t="s">
        <v>749</v>
      </c>
      <c r="H3371">
        <v>101.07</v>
      </c>
      <c r="O3371" t="s">
        <v>239</v>
      </c>
      <c r="P3371" t="s">
        <v>514</v>
      </c>
      <c r="Y3371">
        <v>3337</v>
      </c>
      <c r="Z3371" s="259" t="s">
        <v>630</v>
      </c>
      <c r="AA3371">
        <v>40</v>
      </c>
      <c r="AB3371">
        <v>4004</v>
      </c>
      <c r="AC3371">
        <v>45674</v>
      </c>
      <c r="AD3371">
        <v>1</v>
      </c>
      <c r="AE3371">
        <v>4042.7999999999997</v>
      </c>
      <c r="AF3371">
        <v>4042.7999999999997</v>
      </c>
      <c r="AG3371">
        <v>0</v>
      </c>
      <c r="AH3371">
        <v>38.799999999999727</v>
      </c>
    </row>
    <row r="3372" spans="2:34" x14ac:dyDescent="0.35">
      <c r="B3372" t="s">
        <v>747</v>
      </c>
      <c r="C3372">
        <v>45675</v>
      </c>
      <c r="F3372" t="s">
        <v>752</v>
      </c>
      <c r="H3372">
        <v>197.33</v>
      </c>
      <c r="O3372" t="s">
        <v>239</v>
      </c>
      <c r="P3372" t="s">
        <v>514</v>
      </c>
      <c r="Y3372">
        <v>3338</v>
      </c>
      <c r="Z3372" s="259" t="s">
        <v>630</v>
      </c>
      <c r="AA3372">
        <v>0</v>
      </c>
      <c r="AB3372">
        <v>0</v>
      </c>
      <c r="AC3372">
        <v>45674</v>
      </c>
      <c r="AD3372">
        <v>1</v>
      </c>
      <c r="AE3372">
        <v>0</v>
      </c>
      <c r="AF3372">
        <v>0</v>
      </c>
      <c r="AG3372">
        <v>0</v>
      </c>
      <c r="AH3372">
        <v>0</v>
      </c>
    </row>
    <row r="3373" spans="2:34" x14ac:dyDescent="0.35">
      <c r="B3373" t="s">
        <v>747</v>
      </c>
      <c r="C3373">
        <v>45675</v>
      </c>
      <c r="F3373" t="s">
        <v>754</v>
      </c>
      <c r="H3373">
        <v>81.069999999999993</v>
      </c>
      <c r="O3373" t="s">
        <v>239</v>
      </c>
      <c r="P3373" t="s">
        <v>514</v>
      </c>
      <c r="Y3373">
        <v>3339</v>
      </c>
      <c r="Z3373" s="259" t="s">
        <v>630</v>
      </c>
      <c r="AA3373">
        <v>100</v>
      </c>
      <c r="AB3373">
        <v>8008</v>
      </c>
      <c r="AC3373">
        <v>45674</v>
      </c>
      <c r="AD3373">
        <v>1</v>
      </c>
      <c r="AE3373">
        <v>8106.9999999999991</v>
      </c>
      <c r="AF3373">
        <v>8106.9999999999991</v>
      </c>
      <c r="AG3373">
        <v>0</v>
      </c>
      <c r="AH3373">
        <v>98.999999999999091</v>
      </c>
    </row>
    <row r="3374" spans="2:34" x14ac:dyDescent="0.35">
      <c r="B3374" t="s">
        <v>747</v>
      </c>
      <c r="C3374">
        <v>45676</v>
      </c>
      <c r="F3374" t="s">
        <v>749</v>
      </c>
      <c r="H3374">
        <v>101.07</v>
      </c>
      <c r="O3374" t="s">
        <v>239</v>
      </c>
      <c r="P3374" t="s">
        <v>514</v>
      </c>
      <c r="Y3374">
        <v>3340</v>
      </c>
      <c r="Z3374" s="259" t="s">
        <v>630</v>
      </c>
      <c r="AA3374">
        <v>40</v>
      </c>
      <c r="AB3374">
        <v>4004</v>
      </c>
      <c r="AC3374">
        <v>45674</v>
      </c>
      <c r="AD3374">
        <v>2</v>
      </c>
      <c r="AE3374">
        <v>4042.7999999999997</v>
      </c>
      <c r="AF3374">
        <v>4042.7999999999997</v>
      </c>
      <c r="AG3374">
        <v>0</v>
      </c>
      <c r="AH3374">
        <v>38.799999999999727</v>
      </c>
    </row>
    <row r="3375" spans="2:34" x14ac:dyDescent="0.35">
      <c r="B3375" t="s">
        <v>747</v>
      </c>
      <c r="C3375">
        <v>45676</v>
      </c>
      <c r="F3375" t="s">
        <v>752</v>
      </c>
      <c r="H3375">
        <v>197.33</v>
      </c>
      <c r="O3375" t="s">
        <v>239</v>
      </c>
      <c r="P3375" t="s">
        <v>514</v>
      </c>
      <c r="Y3375">
        <v>3341</v>
      </c>
      <c r="Z3375" s="259" t="s">
        <v>630</v>
      </c>
      <c r="AA3375">
        <v>0</v>
      </c>
      <c r="AB3375">
        <v>0</v>
      </c>
      <c r="AC3375">
        <v>45674</v>
      </c>
      <c r="AD3375">
        <v>2</v>
      </c>
      <c r="AE3375">
        <v>0</v>
      </c>
      <c r="AF3375">
        <v>0</v>
      </c>
      <c r="AG3375">
        <v>0</v>
      </c>
      <c r="AH3375">
        <v>0</v>
      </c>
    </row>
    <row r="3376" spans="2:34" x14ac:dyDescent="0.35">
      <c r="B3376" t="s">
        <v>747</v>
      </c>
      <c r="C3376">
        <v>45676</v>
      </c>
      <c r="F3376" t="s">
        <v>754</v>
      </c>
      <c r="H3376">
        <v>81.069999999999993</v>
      </c>
      <c r="O3376" t="s">
        <v>239</v>
      </c>
      <c r="P3376" t="s">
        <v>514</v>
      </c>
      <c r="Y3376">
        <v>3342</v>
      </c>
      <c r="Z3376" s="259" t="s">
        <v>630</v>
      </c>
      <c r="AA3376">
        <v>100</v>
      </c>
      <c r="AB3376">
        <v>8008</v>
      </c>
      <c r="AC3376">
        <v>45674</v>
      </c>
      <c r="AD3376">
        <v>2</v>
      </c>
      <c r="AE3376">
        <v>8106.9999999999991</v>
      </c>
      <c r="AF3376">
        <v>8106.9999999999991</v>
      </c>
      <c r="AG3376">
        <v>0</v>
      </c>
      <c r="AH3376">
        <v>98.999999999999091</v>
      </c>
    </row>
    <row r="3377" spans="2:34" x14ac:dyDescent="0.35">
      <c r="B3377" t="s">
        <v>747</v>
      </c>
      <c r="C3377">
        <v>45677</v>
      </c>
      <c r="F3377" t="s">
        <v>749</v>
      </c>
      <c r="H3377">
        <v>101.27</v>
      </c>
      <c r="O3377" t="s">
        <v>239</v>
      </c>
      <c r="P3377" t="s">
        <v>514</v>
      </c>
      <c r="Y3377">
        <v>3343</v>
      </c>
      <c r="Z3377" s="259" t="s">
        <v>630</v>
      </c>
      <c r="AA3377">
        <v>40</v>
      </c>
      <c r="AB3377">
        <v>4004</v>
      </c>
      <c r="AC3377">
        <v>45677</v>
      </c>
      <c r="AD3377">
        <v>0</v>
      </c>
      <c r="AE3377">
        <v>4050.7999999999997</v>
      </c>
      <c r="AF3377">
        <v>4050.7999999999997</v>
      </c>
      <c r="AG3377">
        <v>0</v>
      </c>
      <c r="AH3377">
        <v>46.799999999999727</v>
      </c>
    </row>
    <row r="3378" spans="2:34" x14ac:dyDescent="0.35">
      <c r="B3378" t="s">
        <v>747</v>
      </c>
      <c r="C3378">
        <v>45677</v>
      </c>
      <c r="F3378" t="s">
        <v>752</v>
      </c>
      <c r="H3378">
        <v>196.83</v>
      </c>
      <c r="O3378" t="s">
        <v>239</v>
      </c>
      <c r="P3378" t="s">
        <v>514</v>
      </c>
      <c r="Y3378">
        <v>3344</v>
      </c>
      <c r="Z3378" s="259" t="s">
        <v>630</v>
      </c>
      <c r="AA3378">
        <v>0</v>
      </c>
      <c r="AB3378">
        <v>0</v>
      </c>
      <c r="AC3378">
        <v>45677</v>
      </c>
      <c r="AD3378">
        <v>0</v>
      </c>
      <c r="AE3378">
        <v>0</v>
      </c>
      <c r="AF3378">
        <v>0</v>
      </c>
      <c r="AG3378">
        <v>0</v>
      </c>
      <c r="AH3378">
        <v>0</v>
      </c>
    </row>
    <row r="3379" spans="2:34" x14ac:dyDescent="0.35">
      <c r="B3379" t="s">
        <v>747</v>
      </c>
      <c r="C3379">
        <v>45677</v>
      </c>
      <c r="F3379" t="s">
        <v>754</v>
      </c>
      <c r="H3379">
        <v>81.27</v>
      </c>
      <c r="O3379" t="s">
        <v>239</v>
      </c>
      <c r="P3379" t="s">
        <v>514</v>
      </c>
      <c r="Y3379">
        <v>3345</v>
      </c>
      <c r="Z3379" s="259" t="s">
        <v>630</v>
      </c>
      <c r="AA3379">
        <v>100</v>
      </c>
      <c r="AB3379">
        <v>8008</v>
      </c>
      <c r="AC3379">
        <v>45677</v>
      </c>
      <c r="AD3379">
        <v>0</v>
      </c>
      <c r="AE3379">
        <v>8127</v>
      </c>
      <c r="AF3379">
        <v>8127</v>
      </c>
      <c r="AG3379">
        <v>0</v>
      </c>
      <c r="AH3379">
        <v>119</v>
      </c>
    </row>
    <row r="3380" spans="2:34" x14ac:dyDescent="0.35">
      <c r="B3380" t="s">
        <v>747</v>
      </c>
      <c r="C3380">
        <v>45678</v>
      </c>
      <c r="F3380" t="s">
        <v>749</v>
      </c>
      <c r="H3380">
        <v>101.33</v>
      </c>
      <c r="O3380" t="s">
        <v>239</v>
      </c>
      <c r="P3380" t="s">
        <v>514</v>
      </c>
      <c r="Y3380">
        <v>3346</v>
      </c>
      <c r="Z3380" s="259" t="s">
        <v>630</v>
      </c>
      <c r="AA3380">
        <v>40</v>
      </c>
      <c r="AB3380">
        <v>4004</v>
      </c>
      <c r="AC3380">
        <v>45678</v>
      </c>
      <c r="AD3380">
        <v>0</v>
      </c>
      <c r="AE3380">
        <v>4053.2</v>
      </c>
      <c r="AF3380">
        <v>4053.2</v>
      </c>
      <c r="AG3380">
        <v>0</v>
      </c>
      <c r="AH3380">
        <v>49.199999999999818</v>
      </c>
    </row>
    <row r="3381" spans="2:34" x14ac:dyDescent="0.35">
      <c r="B3381" t="s">
        <v>747</v>
      </c>
      <c r="C3381">
        <v>45678</v>
      </c>
      <c r="F3381" t="s">
        <v>752</v>
      </c>
      <c r="H3381">
        <v>196.67</v>
      </c>
      <c r="O3381" t="s">
        <v>239</v>
      </c>
      <c r="P3381" t="s">
        <v>514</v>
      </c>
      <c r="Y3381">
        <v>3347</v>
      </c>
      <c r="Z3381" s="259" t="s">
        <v>630</v>
      </c>
      <c r="AA3381">
        <v>0</v>
      </c>
      <c r="AB3381">
        <v>0</v>
      </c>
      <c r="AC3381">
        <v>45678</v>
      </c>
      <c r="AD3381">
        <v>0</v>
      </c>
      <c r="AE3381">
        <v>0</v>
      </c>
      <c r="AF3381">
        <v>0</v>
      </c>
      <c r="AG3381">
        <v>0</v>
      </c>
      <c r="AH3381">
        <v>0</v>
      </c>
    </row>
    <row r="3382" spans="2:34" x14ac:dyDescent="0.35">
      <c r="B3382" t="s">
        <v>747</v>
      </c>
      <c r="C3382">
        <v>45678</v>
      </c>
      <c r="F3382" t="s">
        <v>754</v>
      </c>
      <c r="H3382">
        <v>81.33</v>
      </c>
      <c r="O3382" t="s">
        <v>239</v>
      </c>
      <c r="P3382" t="s">
        <v>514</v>
      </c>
      <c r="Y3382">
        <v>3348</v>
      </c>
      <c r="Z3382" s="259" t="s">
        <v>630</v>
      </c>
      <c r="AA3382">
        <v>100</v>
      </c>
      <c r="AB3382">
        <v>8008</v>
      </c>
      <c r="AC3382">
        <v>45678</v>
      </c>
      <c r="AD3382">
        <v>0</v>
      </c>
      <c r="AE3382">
        <v>8133</v>
      </c>
      <c r="AF3382">
        <v>8133</v>
      </c>
      <c r="AG3382">
        <v>0</v>
      </c>
      <c r="AH3382">
        <v>125</v>
      </c>
    </row>
    <row r="3383" spans="2:34" x14ac:dyDescent="0.35">
      <c r="B3383" t="s">
        <v>747</v>
      </c>
      <c r="C3383">
        <v>45679</v>
      </c>
      <c r="F3383" t="s">
        <v>749</v>
      </c>
      <c r="H3383">
        <v>101.4</v>
      </c>
      <c r="O3383" t="s">
        <v>239</v>
      </c>
      <c r="P3383" t="s">
        <v>514</v>
      </c>
      <c r="Y3383">
        <v>3349</v>
      </c>
      <c r="Z3383" s="259" t="s">
        <v>630</v>
      </c>
      <c r="AA3383">
        <v>40</v>
      </c>
      <c r="AB3383">
        <v>4004</v>
      </c>
      <c r="AC3383">
        <v>45679</v>
      </c>
      <c r="AD3383">
        <v>0</v>
      </c>
      <c r="AE3383">
        <v>4056</v>
      </c>
      <c r="AF3383">
        <v>4056</v>
      </c>
      <c r="AG3383">
        <v>0</v>
      </c>
      <c r="AH3383">
        <v>52</v>
      </c>
    </row>
    <row r="3384" spans="2:34" x14ac:dyDescent="0.35">
      <c r="B3384" t="s">
        <v>747</v>
      </c>
      <c r="C3384">
        <v>45679</v>
      </c>
      <c r="F3384" t="s">
        <v>752</v>
      </c>
      <c r="H3384">
        <v>196.5</v>
      </c>
      <c r="O3384" t="s">
        <v>239</v>
      </c>
      <c r="P3384" t="s">
        <v>514</v>
      </c>
      <c r="Y3384">
        <v>3350</v>
      </c>
      <c r="Z3384" s="259" t="s">
        <v>630</v>
      </c>
      <c r="AA3384">
        <v>0</v>
      </c>
      <c r="AB3384">
        <v>0</v>
      </c>
      <c r="AC3384">
        <v>45679</v>
      </c>
      <c r="AD3384">
        <v>0</v>
      </c>
      <c r="AE3384">
        <v>0</v>
      </c>
      <c r="AF3384">
        <v>0</v>
      </c>
      <c r="AG3384">
        <v>0</v>
      </c>
      <c r="AH3384">
        <v>0</v>
      </c>
    </row>
    <row r="3385" spans="2:34" x14ac:dyDescent="0.35">
      <c r="B3385" t="s">
        <v>747</v>
      </c>
      <c r="C3385">
        <v>45679</v>
      </c>
      <c r="F3385" t="s">
        <v>754</v>
      </c>
      <c r="H3385">
        <v>81.400000000000006</v>
      </c>
      <c r="O3385" t="s">
        <v>239</v>
      </c>
      <c r="P3385" t="s">
        <v>514</v>
      </c>
      <c r="Y3385">
        <v>3351</v>
      </c>
      <c r="Z3385" s="259" t="s">
        <v>630</v>
      </c>
      <c r="AA3385">
        <v>100</v>
      </c>
      <c r="AB3385">
        <v>8008</v>
      </c>
      <c r="AC3385">
        <v>45679</v>
      </c>
      <c r="AD3385">
        <v>0</v>
      </c>
      <c r="AE3385">
        <v>8140.0000000000009</v>
      </c>
      <c r="AF3385">
        <v>8140.0000000000009</v>
      </c>
      <c r="AG3385">
        <v>0</v>
      </c>
      <c r="AH3385">
        <v>132.00000000000091</v>
      </c>
    </row>
    <row r="3386" spans="2:34" x14ac:dyDescent="0.35">
      <c r="B3386" t="s">
        <v>747</v>
      </c>
      <c r="C3386">
        <v>45680</v>
      </c>
      <c r="F3386" t="s">
        <v>749</v>
      </c>
      <c r="H3386">
        <v>101.47</v>
      </c>
      <c r="O3386" t="s">
        <v>239</v>
      </c>
      <c r="P3386" t="s">
        <v>514</v>
      </c>
      <c r="Y3386">
        <v>3352</v>
      </c>
      <c r="Z3386" s="259" t="s">
        <v>630</v>
      </c>
      <c r="AA3386">
        <v>40</v>
      </c>
      <c r="AB3386">
        <v>4004</v>
      </c>
      <c r="AC3386">
        <v>45680</v>
      </c>
      <c r="AD3386">
        <v>0</v>
      </c>
      <c r="AE3386">
        <v>4058.8</v>
      </c>
      <c r="AF3386">
        <v>4058.8</v>
      </c>
      <c r="AG3386">
        <v>0</v>
      </c>
      <c r="AH3386">
        <v>54.800000000000182</v>
      </c>
    </row>
    <row r="3387" spans="2:34" x14ac:dyDescent="0.35">
      <c r="B3387" t="s">
        <v>747</v>
      </c>
      <c r="C3387">
        <v>45680</v>
      </c>
      <c r="F3387" t="s">
        <v>752</v>
      </c>
      <c r="H3387">
        <v>196.33</v>
      </c>
      <c r="O3387" t="s">
        <v>239</v>
      </c>
      <c r="P3387" t="s">
        <v>514</v>
      </c>
      <c r="Y3387">
        <v>3353</v>
      </c>
      <c r="Z3387" s="259" t="s">
        <v>630</v>
      </c>
      <c r="AA3387">
        <v>0</v>
      </c>
      <c r="AB3387">
        <v>0</v>
      </c>
      <c r="AC3387">
        <v>45680</v>
      </c>
      <c r="AD3387">
        <v>0</v>
      </c>
      <c r="AE3387">
        <v>0</v>
      </c>
      <c r="AF3387">
        <v>0</v>
      </c>
      <c r="AG3387">
        <v>0</v>
      </c>
      <c r="AH3387">
        <v>0</v>
      </c>
    </row>
    <row r="3388" spans="2:34" x14ac:dyDescent="0.35">
      <c r="B3388" t="s">
        <v>747</v>
      </c>
      <c r="C3388">
        <v>45680</v>
      </c>
      <c r="F3388" t="s">
        <v>754</v>
      </c>
      <c r="H3388">
        <v>81.47</v>
      </c>
      <c r="O3388" t="s">
        <v>239</v>
      </c>
      <c r="P3388" t="s">
        <v>514</v>
      </c>
      <c r="Y3388">
        <v>3354</v>
      </c>
      <c r="Z3388" s="259" t="s">
        <v>630</v>
      </c>
      <c r="AA3388">
        <v>100</v>
      </c>
      <c r="AB3388">
        <v>8008</v>
      </c>
      <c r="AC3388">
        <v>45680</v>
      </c>
      <c r="AD3388">
        <v>0</v>
      </c>
      <c r="AE3388">
        <v>8147</v>
      </c>
      <c r="AF3388">
        <v>8147</v>
      </c>
      <c r="AG3388">
        <v>0</v>
      </c>
      <c r="AH3388">
        <v>139</v>
      </c>
    </row>
    <row r="3389" spans="2:34" x14ac:dyDescent="0.35">
      <c r="B3389" t="s">
        <v>747</v>
      </c>
      <c r="C3389">
        <v>45681</v>
      </c>
      <c r="F3389" t="s">
        <v>749</v>
      </c>
      <c r="H3389">
        <v>101.53</v>
      </c>
      <c r="O3389" t="s">
        <v>239</v>
      </c>
      <c r="P3389" t="s">
        <v>514</v>
      </c>
      <c r="Y3389">
        <v>3355</v>
      </c>
      <c r="Z3389" s="259" t="s">
        <v>630</v>
      </c>
      <c r="AA3389">
        <v>40</v>
      </c>
      <c r="AB3389">
        <v>4004</v>
      </c>
      <c r="AC3389">
        <v>45681</v>
      </c>
      <c r="AD3389">
        <v>0</v>
      </c>
      <c r="AE3389">
        <v>4061.2</v>
      </c>
      <c r="AF3389">
        <v>4061.2</v>
      </c>
      <c r="AG3389">
        <v>0</v>
      </c>
      <c r="AH3389">
        <v>57.199999999999818</v>
      </c>
    </row>
    <row r="3390" spans="2:34" x14ac:dyDescent="0.35">
      <c r="B3390" t="s">
        <v>747</v>
      </c>
      <c r="C3390">
        <v>45681</v>
      </c>
      <c r="F3390" t="s">
        <v>752</v>
      </c>
      <c r="H3390">
        <v>196.17</v>
      </c>
      <c r="O3390" t="s">
        <v>239</v>
      </c>
      <c r="P3390" t="s">
        <v>514</v>
      </c>
      <c r="Y3390">
        <v>3356</v>
      </c>
      <c r="Z3390" s="259" t="s">
        <v>630</v>
      </c>
      <c r="AA3390">
        <v>0</v>
      </c>
      <c r="AB3390">
        <v>0</v>
      </c>
      <c r="AC3390">
        <v>45681</v>
      </c>
      <c r="AD3390">
        <v>0</v>
      </c>
      <c r="AE3390">
        <v>0</v>
      </c>
      <c r="AF3390">
        <v>0</v>
      </c>
      <c r="AG3390">
        <v>0</v>
      </c>
      <c r="AH3390">
        <v>0</v>
      </c>
    </row>
    <row r="3391" spans="2:34" x14ac:dyDescent="0.35">
      <c r="B3391" t="s">
        <v>747</v>
      </c>
      <c r="C3391">
        <v>45681</v>
      </c>
      <c r="F3391" t="s">
        <v>754</v>
      </c>
      <c r="H3391">
        <v>81.53</v>
      </c>
      <c r="O3391" t="s">
        <v>239</v>
      </c>
      <c r="P3391" t="s">
        <v>514</v>
      </c>
      <c r="Y3391">
        <v>3357</v>
      </c>
      <c r="Z3391" s="259" t="s">
        <v>630</v>
      </c>
      <c r="AA3391">
        <v>100</v>
      </c>
      <c r="AB3391">
        <v>8008</v>
      </c>
      <c r="AC3391">
        <v>45681</v>
      </c>
      <c r="AD3391">
        <v>0</v>
      </c>
      <c r="AE3391">
        <v>8153</v>
      </c>
      <c r="AF3391">
        <v>8153</v>
      </c>
      <c r="AG3391">
        <v>0</v>
      </c>
      <c r="AH3391">
        <v>145</v>
      </c>
    </row>
    <row r="3392" spans="2:34" x14ac:dyDescent="0.35">
      <c r="B3392" t="s">
        <v>747</v>
      </c>
      <c r="C3392">
        <v>45682</v>
      </c>
      <c r="F3392" t="s">
        <v>749</v>
      </c>
      <c r="H3392">
        <v>101.53</v>
      </c>
      <c r="O3392" t="s">
        <v>239</v>
      </c>
      <c r="P3392" t="s">
        <v>514</v>
      </c>
      <c r="Y3392">
        <v>3358</v>
      </c>
      <c r="Z3392" s="259" t="s">
        <v>630</v>
      </c>
      <c r="AA3392">
        <v>40</v>
      </c>
      <c r="AB3392">
        <v>4004</v>
      </c>
      <c r="AC3392">
        <v>45681</v>
      </c>
      <c r="AD3392">
        <v>1</v>
      </c>
      <c r="AE3392">
        <v>4061.2</v>
      </c>
      <c r="AF3392">
        <v>4061.2</v>
      </c>
      <c r="AG3392">
        <v>0</v>
      </c>
      <c r="AH3392">
        <v>57.199999999999818</v>
      </c>
    </row>
    <row r="3393" spans="2:34" x14ac:dyDescent="0.35">
      <c r="B3393" t="s">
        <v>747</v>
      </c>
      <c r="C3393">
        <v>45682</v>
      </c>
      <c r="F3393" t="s">
        <v>752</v>
      </c>
      <c r="H3393">
        <v>196.17</v>
      </c>
      <c r="O3393" t="s">
        <v>239</v>
      </c>
      <c r="P3393" t="s">
        <v>514</v>
      </c>
      <c r="Y3393">
        <v>3359</v>
      </c>
      <c r="Z3393" s="259" t="s">
        <v>630</v>
      </c>
      <c r="AA3393">
        <v>0</v>
      </c>
      <c r="AB3393">
        <v>0</v>
      </c>
      <c r="AC3393">
        <v>45681</v>
      </c>
      <c r="AD3393">
        <v>1</v>
      </c>
      <c r="AE3393">
        <v>0</v>
      </c>
      <c r="AF3393">
        <v>0</v>
      </c>
      <c r="AG3393">
        <v>0</v>
      </c>
      <c r="AH3393">
        <v>0</v>
      </c>
    </row>
    <row r="3394" spans="2:34" x14ac:dyDescent="0.35">
      <c r="B3394" t="s">
        <v>747</v>
      </c>
      <c r="C3394">
        <v>45682</v>
      </c>
      <c r="F3394" t="s">
        <v>754</v>
      </c>
      <c r="H3394">
        <v>81.53</v>
      </c>
      <c r="O3394" t="s">
        <v>239</v>
      </c>
      <c r="P3394" t="s">
        <v>514</v>
      </c>
      <c r="Y3394">
        <v>3360</v>
      </c>
      <c r="Z3394" s="259" t="s">
        <v>630</v>
      </c>
      <c r="AA3394">
        <v>100</v>
      </c>
      <c r="AB3394">
        <v>8008</v>
      </c>
      <c r="AC3394">
        <v>45681</v>
      </c>
      <c r="AD3394">
        <v>1</v>
      </c>
      <c r="AE3394">
        <v>8153</v>
      </c>
      <c r="AF3394">
        <v>8153</v>
      </c>
      <c r="AG3394">
        <v>0</v>
      </c>
      <c r="AH3394">
        <v>145</v>
      </c>
    </row>
    <row r="3395" spans="2:34" x14ac:dyDescent="0.35">
      <c r="B3395" t="s">
        <v>747</v>
      </c>
      <c r="C3395">
        <v>45683</v>
      </c>
      <c r="F3395" t="s">
        <v>749</v>
      </c>
      <c r="H3395">
        <v>101.53</v>
      </c>
      <c r="O3395" t="s">
        <v>239</v>
      </c>
      <c r="P3395" t="s">
        <v>514</v>
      </c>
      <c r="Y3395">
        <v>3361</v>
      </c>
      <c r="Z3395" s="259" t="s">
        <v>630</v>
      </c>
      <c r="AA3395">
        <v>40</v>
      </c>
      <c r="AB3395">
        <v>4004</v>
      </c>
      <c r="AC3395">
        <v>45681</v>
      </c>
      <c r="AD3395">
        <v>2</v>
      </c>
      <c r="AE3395">
        <v>4061.2</v>
      </c>
      <c r="AF3395">
        <v>4061.2</v>
      </c>
      <c r="AG3395">
        <v>0</v>
      </c>
      <c r="AH3395">
        <v>57.199999999999818</v>
      </c>
    </row>
    <row r="3396" spans="2:34" x14ac:dyDescent="0.35">
      <c r="B3396" t="s">
        <v>747</v>
      </c>
      <c r="C3396">
        <v>45683</v>
      </c>
      <c r="F3396" t="s">
        <v>752</v>
      </c>
      <c r="H3396">
        <v>196.17</v>
      </c>
      <c r="O3396" t="s">
        <v>239</v>
      </c>
      <c r="P3396" t="s">
        <v>514</v>
      </c>
      <c r="Y3396">
        <v>3362</v>
      </c>
      <c r="Z3396" s="259" t="s">
        <v>630</v>
      </c>
      <c r="AA3396">
        <v>0</v>
      </c>
      <c r="AB3396">
        <v>0</v>
      </c>
      <c r="AC3396">
        <v>45681</v>
      </c>
      <c r="AD3396">
        <v>2</v>
      </c>
      <c r="AE3396">
        <v>0</v>
      </c>
      <c r="AF3396">
        <v>0</v>
      </c>
      <c r="AG3396">
        <v>0</v>
      </c>
      <c r="AH3396">
        <v>0</v>
      </c>
    </row>
    <row r="3397" spans="2:34" x14ac:dyDescent="0.35">
      <c r="B3397" t="s">
        <v>747</v>
      </c>
      <c r="C3397">
        <v>45683</v>
      </c>
      <c r="F3397" t="s">
        <v>754</v>
      </c>
      <c r="H3397">
        <v>81.53</v>
      </c>
      <c r="O3397" t="s">
        <v>239</v>
      </c>
      <c r="P3397" t="s">
        <v>514</v>
      </c>
      <c r="Y3397">
        <v>3363</v>
      </c>
      <c r="Z3397" s="259" t="s">
        <v>630</v>
      </c>
      <c r="AA3397">
        <v>100</v>
      </c>
      <c r="AB3397">
        <v>8008</v>
      </c>
      <c r="AC3397">
        <v>45681</v>
      </c>
      <c r="AD3397">
        <v>2</v>
      </c>
      <c r="AE3397">
        <v>8153</v>
      </c>
      <c r="AF3397">
        <v>8153</v>
      </c>
      <c r="AG3397">
        <v>0</v>
      </c>
      <c r="AH3397">
        <v>145</v>
      </c>
    </row>
    <row r="3398" spans="2:34" x14ac:dyDescent="0.35">
      <c r="B3398" t="s">
        <v>747</v>
      </c>
      <c r="C3398">
        <v>45684</v>
      </c>
      <c r="F3398" t="s">
        <v>749</v>
      </c>
      <c r="H3398">
        <v>101.73</v>
      </c>
      <c r="O3398" t="s">
        <v>239</v>
      </c>
      <c r="P3398" t="s">
        <v>514</v>
      </c>
      <c r="Y3398">
        <v>3364</v>
      </c>
      <c r="Z3398" s="259" t="s">
        <v>630</v>
      </c>
      <c r="AA3398">
        <v>40</v>
      </c>
      <c r="AB3398">
        <v>4004</v>
      </c>
      <c r="AC3398">
        <v>45684</v>
      </c>
      <c r="AD3398">
        <v>0</v>
      </c>
      <c r="AE3398">
        <v>4069.2000000000003</v>
      </c>
      <c r="AF3398">
        <v>4069.2000000000003</v>
      </c>
      <c r="AG3398">
        <v>0</v>
      </c>
      <c r="AH3398">
        <v>65.200000000000273</v>
      </c>
    </row>
    <row r="3399" spans="2:34" x14ac:dyDescent="0.35">
      <c r="B3399" t="s">
        <v>747</v>
      </c>
      <c r="C3399">
        <v>45684</v>
      </c>
      <c r="F3399" t="s">
        <v>752</v>
      </c>
      <c r="H3399">
        <v>195.67</v>
      </c>
      <c r="O3399" t="s">
        <v>239</v>
      </c>
      <c r="P3399" t="s">
        <v>514</v>
      </c>
      <c r="Y3399">
        <v>3365</v>
      </c>
      <c r="Z3399" s="259" t="s">
        <v>630</v>
      </c>
      <c r="AA3399">
        <v>0</v>
      </c>
      <c r="AB3399">
        <v>0</v>
      </c>
      <c r="AC3399">
        <v>45684</v>
      </c>
      <c r="AD3399">
        <v>0</v>
      </c>
      <c r="AE3399">
        <v>0</v>
      </c>
      <c r="AF3399">
        <v>0</v>
      </c>
      <c r="AG3399">
        <v>0</v>
      </c>
      <c r="AH3399">
        <v>0</v>
      </c>
    </row>
    <row r="3400" spans="2:34" x14ac:dyDescent="0.35">
      <c r="B3400" t="s">
        <v>747</v>
      </c>
      <c r="C3400">
        <v>45684</v>
      </c>
      <c r="F3400" t="s">
        <v>754</v>
      </c>
      <c r="H3400">
        <v>81.73</v>
      </c>
      <c r="O3400" t="s">
        <v>239</v>
      </c>
      <c r="P3400" t="s">
        <v>514</v>
      </c>
      <c r="Y3400">
        <v>3366</v>
      </c>
      <c r="Z3400" s="259" t="s">
        <v>630</v>
      </c>
      <c r="AA3400">
        <v>100</v>
      </c>
      <c r="AB3400">
        <v>8008</v>
      </c>
      <c r="AC3400">
        <v>45684</v>
      </c>
      <c r="AD3400">
        <v>0</v>
      </c>
      <c r="AE3400">
        <v>8173</v>
      </c>
      <c r="AF3400">
        <v>8173</v>
      </c>
      <c r="AG3400">
        <v>0</v>
      </c>
      <c r="AH3400">
        <v>165</v>
      </c>
    </row>
    <row r="3401" spans="2:34" x14ac:dyDescent="0.35">
      <c r="B3401" t="s">
        <v>747</v>
      </c>
      <c r="C3401">
        <v>45685</v>
      </c>
      <c r="F3401" t="s">
        <v>749</v>
      </c>
      <c r="H3401">
        <v>101.8</v>
      </c>
      <c r="O3401" t="s">
        <v>239</v>
      </c>
      <c r="P3401" t="s">
        <v>514</v>
      </c>
      <c r="Y3401">
        <v>3367</v>
      </c>
      <c r="Z3401" s="259" t="s">
        <v>630</v>
      </c>
      <c r="AA3401">
        <v>40</v>
      </c>
      <c r="AB3401">
        <v>4004</v>
      </c>
      <c r="AC3401">
        <v>45685</v>
      </c>
      <c r="AD3401">
        <v>0</v>
      </c>
      <c r="AE3401">
        <v>4072</v>
      </c>
      <c r="AF3401">
        <v>4072</v>
      </c>
      <c r="AG3401">
        <v>0</v>
      </c>
      <c r="AH3401">
        <v>68</v>
      </c>
    </row>
    <row r="3402" spans="2:34" x14ac:dyDescent="0.35">
      <c r="B3402" t="s">
        <v>747</v>
      </c>
      <c r="C3402">
        <v>45685</v>
      </c>
      <c r="F3402" t="s">
        <v>752</v>
      </c>
      <c r="H3402">
        <v>195.5</v>
      </c>
      <c r="O3402" t="s">
        <v>239</v>
      </c>
      <c r="P3402" t="s">
        <v>514</v>
      </c>
      <c r="Y3402">
        <v>3368</v>
      </c>
      <c r="Z3402" s="259" t="s">
        <v>630</v>
      </c>
      <c r="AA3402">
        <v>0</v>
      </c>
      <c r="AB3402">
        <v>0</v>
      </c>
      <c r="AC3402">
        <v>45685</v>
      </c>
      <c r="AD3402">
        <v>0</v>
      </c>
      <c r="AE3402">
        <v>0</v>
      </c>
      <c r="AF3402">
        <v>0</v>
      </c>
      <c r="AG3402">
        <v>0</v>
      </c>
      <c r="AH3402">
        <v>0</v>
      </c>
    </row>
    <row r="3403" spans="2:34" x14ac:dyDescent="0.35">
      <c r="B3403" t="s">
        <v>747</v>
      </c>
      <c r="C3403">
        <v>45685</v>
      </c>
      <c r="F3403" t="s">
        <v>754</v>
      </c>
      <c r="H3403">
        <v>81.8</v>
      </c>
      <c r="O3403" t="s">
        <v>239</v>
      </c>
      <c r="P3403" t="s">
        <v>514</v>
      </c>
      <c r="Y3403">
        <v>3369</v>
      </c>
      <c r="Z3403" s="259" t="s">
        <v>630</v>
      </c>
      <c r="AA3403">
        <v>100</v>
      </c>
      <c r="AB3403">
        <v>8008</v>
      </c>
      <c r="AC3403">
        <v>45685</v>
      </c>
      <c r="AD3403">
        <v>0</v>
      </c>
      <c r="AE3403">
        <v>8180</v>
      </c>
      <c r="AF3403">
        <v>8180</v>
      </c>
      <c r="AG3403">
        <v>0</v>
      </c>
      <c r="AH3403">
        <v>172</v>
      </c>
    </row>
    <row r="3404" spans="2:34" x14ac:dyDescent="0.35">
      <c r="B3404" t="s">
        <v>747</v>
      </c>
      <c r="C3404">
        <v>45686</v>
      </c>
      <c r="F3404" t="s">
        <v>749</v>
      </c>
      <c r="H3404">
        <v>101.87</v>
      </c>
      <c r="O3404" t="s">
        <v>239</v>
      </c>
      <c r="P3404" t="s">
        <v>514</v>
      </c>
      <c r="Y3404">
        <v>3370</v>
      </c>
      <c r="Z3404" s="259" t="s">
        <v>630</v>
      </c>
      <c r="AA3404">
        <v>40</v>
      </c>
      <c r="AB3404">
        <v>4004</v>
      </c>
      <c r="AC3404">
        <v>45686</v>
      </c>
      <c r="AD3404">
        <v>0</v>
      </c>
      <c r="AE3404">
        <v>4074.8</v>
      </c>
      <c r="AF3404">
        <v>4074.8</v>
      </c>
      <c r="AG3404">
        <v>0</v>
      </c>
      <c r="AH3404">
        <v>70.800000000000182</v>
      </c>
    </row>
    <row r="3405" spans="2:34" x14ac:dyDescent="0.35">
      <c r="B3405" t="s">
        <v>747</v>
      </c>
      <c r="C3405">
        <v>45686</v>
      </c>
      <c r="F3405" t="s">
        <v>752</v>
      </c>
      <c r="H3405">
        <v>195.33</v>
      </c>
      <c r="O3405" t="s">
        <v>239</v>
      </c>
      <c r="P3405" t="s">
        <v>514</v>
      </c>
      <c r="Y3405">
        <v>3371</v>
      </c>
      <c r="Z3405" s="259" t="s">
        <v>630</v>
      </c>
      <c r="AA3405">
        <v>0</v>
      </c>
      <c r="AB3405">
        <v>0</v>
      </c>
      <c r="AC3405">
        <v>45686</v>
      </c>
      <c r="AD3405">
        <v>0</v>
      </c>
      <c r="AE3405">
        <v>0</v>
      </c>
      <c r="AF3405">
        <v>0</v>
      </c>
      <c r="AG3405">
        <v>0</v>
      </c>
      <c r="AH3405">
        <v>0</v>
      </c>
    </row>
    <row r="3406" spans="2:34" x14ac:dyDescent="0.35">
      <c r="B3406" t="s">
        <v>747</v>
      </c>
      <c r="C3406">
        <v>45686</v>
      </c>
      <c r="F3406" t="s">
        <v>754</v>
      </c>
      <c r="H3406">
        <v>81.87</v>
      </c>
      <c r="O3406" t="s">
        <v>239</v>
      </c>
      <c r="P3406" t="s">
        <v>514</v>
      </c>
      <c r="Y3406">
        <v>3372</v>
      </c>
      <c r="Z3406" s="259" t="s">
        <v>630</v>
      </c>
      <c r="AA3406">
        <v>100</v>
      </c>
      <c r="AB3406">
        <v>8008</v>
      </c>
      <c r="AC3406">
        <v>45686</v>
      </c>
      <c r="AD3406">
        <v>0</v>
      </c>
      <c r="AE3406">
        <v>8187</v>
      </c>
      <c r="AF3406">
        <v>8187</v>
      </c>
      <c r="AG3406">
        <v>0</v>
      </c>
      <c r="AH3406">
        <v>179</v>
      </c>
    </row>
    <row r="3407" spans="2:34" x14ac:dyDescent="0.35">
      <c r="B3407" t="s">
        <v>747</v>
      </c>
      <c r="C3407">
        <v>45687</v>
      </c>
      <c r="F3407" t="s">
        <v>749</v>
      </c>
      <c r="H3407">
        <v>101.93</v>
      </c>
      <c r="O3407" t="s">
        <v>239</v>
      </c>
      <c r="P3407" t="s">
        <v>514</v>
      </c>
      <c r="Y3407">
        <v>3373</v>
      </c>
      <c r="Z3407" s="259" t="s">
        <v>630</v>
      </c>
      <c r="AA3407">
        <v>40</v>
      </c>
      <c r="AB3407">
        <v>4004</v>
      </c>
      <c r="AC3407">
        <v>45687</v>
      </c>
      <c r="AD3407">
        <v>0</v>
      </c>
      <c r="AE3407">
        <v>4077.2000000000003</v>
      </c>
      <c r="AF3407">
        <v>4077.2000000000003</v>
      </c>
      <c r="AG3407">
        <v>0</v>
      </c>
      <c r="AH3407">
        <v>73.200000000000273</v>
      </c>
    </row>
    <row r="3408" spans="2:34" x14ac:dyDescent="0.35">
      <c r="B3408" t="s">
        <v>747</v>
      </c>
      <c r="C3408">
        <v>45687</v>
      </c>
      <c r="F3408" t="s">
        <v>752</v>
      </c>
      <c r="H3408">
        <v>195.17</v>
      </c>
      <c r="O3408" t="s">
        <v>239</v>
      </c>
      <c r="P3408" t="s">
        <v>514</v>
      </c>
      <c r="Y3408">
        <v>3374</v>
      </c>
      <c r="Z3408" s="259" t="s">
        <v>630</v>
      </c>
      <c r="AA3408">
        <v>0</v>
      </c>
      <c r="AB3408">
        <v>0</v>
      </c>
      <c r="AC3408">
        <v>45687</v>
      </c>
      <c r="AD3408">
        <v>0</v>
      </c>
      <c r="AE3408">
        <v>0</v>
      </c>
      <c r="AF3408">
        <v>0</v>
      </c>
      <c r="AG3408">
        <v>0</v>
      </c>
      <c r="AH3408">
        <v>0</v>
      </c>
    </row>
    <row r="3409" spans="2:34" x14ac:dyDescent="0.35">
      <c r="B3409" t="s">
        <v>747</v>
      </c>
      <c r="C3409">
        <v>45687</v>
      </c>
      <c r="F3409" t="s">
        <v>754</v>
      </c>
      <c r="H3409">
        <v>81.93</v>
      </c>
      <c r="O3409" t="s">
        <v>239</v>
      </c>
      <c r="P3409" t="s">
        <v>514</v>
      </c>
      <c r="Y3409">
        <v>3375</v>
      </c>
      <c r="Z3409" s="259" t="s">
        <v>630</v>
      </c>
      <c r="AA3409">
        <v>100</v>
      </c>
      <c r="AB3409">
        <v>8008</v>
      </c>
      <c r="AC3409">
        <v>45687</v>
      </c>
      <c r="AD3409">
        <v>0</v>
      </c>
      <c r="AE3409">
        <v>8193</v>
      </c>
      <c r="AF3409">
        <v>8193</v>
      </c>
      <c r="AG3409">
        <v>0</v>
      </c>
      <c r="AH3409">
        <v>185</v>
      </c>
    </row>
    <row r="3410" spans="2:34" x14ac:dyDescent="0.35">
      <c r="B3410" t="s">
        <v>747</v>
      </c>
      <c r="C3410">
        <v>45688</v>
      </c>
      <c r="F3410" t="s">
        <v>749</v>
      </c>
      <c r="H3410">
        <v>102</v>
      </c>
      <c r="O3410" t="s">
        <v>239</v>
      </c>
      <c r="P3410" t="s">
        <v>514</v>
      </c>
      <c r="Y3410">
        <v>3376</v>
      </c>
      <c r="Z3410" s="259" t="s">
        <v>630</v>
      </c>
      <c r="AA3410">
        <v>40</v>
      </c>
      <c r="AB3410">
        <v>4004</v>
      </c>
      <c r="AC3410">
        <v>45688</v>
      </c>
      <c r="AD3410">
        <v>0</v>
      </c>
      <c r="AE3410">
        <v>4080</v>
      </c>
      <c r="AF3410">
        <v>4080</v>
      </c>
      <c r="AG3410">
        <v>0</v>
      </c>
      <c r="AH3410">
        <v>76</v>
      </c>
    </row>
    <row r="3411" spans="2:34" x14ac:dyDescent="0.35">
      <c r="B3411" t="s">
        <v>747</v>
      </c>
      <c r="C3411">
        <v>45688</v>
      </c>
      <c r="F3411" t="s">
        <v>752</v>
      </c>
      <c r="H3411">
        <v>195</v>
      </c>
      <c r="O3411" t="s">
        <v>239</v>
      </c>
      <c r="P3411" t="s">
        <v>514</v>
      </c>
      <c r="Y3411">
        <v>3377</v>
      </c>
      <c r="Z3411" s="259" t="s">
        <v>630</v>
      </c>
      <c r="AA3411">
        <v>0</v>
      </c>
      <c r="AB3411">
        <v>0</v>
      </c>
      <c r="AC3411">
        <v>45688</v>
      </c>
      <c r="AD3411">
        <v>0</v>
      </c>
      <c r="AE3411">
        <v>0</v>
      </c>
      <c r="AF3411">
        <v>0</v>
      </c>
      <c r="AG3411">
        <v>0</v>
      </c>
      <c r="AH3411">
        <v>0</v>
      </c>
    </row>
    <row r="3412" spans="2:34" x14ac:dyDescent="0.35">
      <c r="B3412" t="s">
        <v>747</v>
      </c>
      <c r="C3412">
        <v>45688</v>
      </c>
      <c r="F3412" t="s">
        <v>754</v>
      </c>
      <c r="H3412">
        <v>82</v>
      </c>
      <c r="O3412" t="s">
        <v>239</v>
      </c>
      <c r="P3412" t="s">
        <v>514</v>
      </c>
      <c r="Y3412">
        <v>3378</v>
      </c>
      <c r="Z3412" s="259" t="s">
        <v>630</v>
      </c>
      <c r="AA3412">
        <v>100</v>
      </c>
      <c r="AB3412">
        <v>8008</v>
      </c>
      <c r="AC3412">
        <v>45688</v>
      </c>
      <c r="AD3412">
        <v>0</v>
      </c>
      <c r="AE3412">
        <v>8200</v>
      </c>
      <c r="AF3412">
        <v>8200</v>
      </c>
      <c r="AG3412">
        <v>0</v>
      </c>
      <c r="AH3412">
        <v>192</v>
      </c>
    </row>
    <row r="3413" spans="2:34" x14ac:dyDescent="0.35">
      <c r="B3413" t="s">
        <v>747</v>
      </c>
      <c r="C3413">
        <v>45689</v>
      </c>
      <c r="F3413" t="s">
        <v>749</v>
      </c>
      <c r="H3413">
        <v>102</v>
      </c>
      <c r="O3413" t="s">
        <v>239</v>
      </c>
      <c r="P3413" t="s">
        <v>514</v>
      </c>
      <c r="Y3413">
        <v>3379</v>
      </c>
      <c r="Z3413" s="259" t="s">
        <v>630</v>
      </c>
      <c r="AA3413">
        <v>40</v>
      </c>
      <c r="AB3413">
        <v>4004</v>
      </c>
      <c r="AC3413">
        <v>45688</v>
      </c>
      <c r="AD3413">
        <v>1</v>
      </c>
      <c r="AE3413">
        <v>4080</v>
      </c>
      <c r="AF3413">
        <v>4080</v>
      </c>
      <c r="AG3413">
        <v>0</v>
      </c>
      <c r="AH3413">
        <v>76</v>
      </c>
    </row>
    <row r="3414" spans="2:34" x14ac:dyDescent="0.35">
      <c r="B3414" t="s">
        <v>747</v>
      </c>
      <c r="C3414">
        <v>45689</v>
      </c>
      <c r="F3414" t="s">
        <v>752</v>
      </c>
      <c r="H3414">
        <v>195</v>
      </c>
      <c r="O3414" t="s">
        <v>239</v>
      </c>
      <c r="P3414" t="s">
        <v>514</v>
      </c>
      <c r="Y3414">
        <v>3380</v>
      </c>
      <c r="Z3414" s="259" t="s">
        <v>630</v>
      </c>
      <c r="AA3414">
        <v>0</v>
      </c>
      <c r="AB3414">
        <v>0</v>
      </c>
      <c r="AC3414">
        <v>45688</v>
      </c>
      <c r="AD3414">
        <v>1</v>
      </c>
      <c r="AE3414">
        <v>0</v>
      </c>
      <c r="AF3414">
        <v>0</v>
      </c>
      <c r="AG3414">
        <v>0</v>
      </c>
      <c r="AH3414">
        <v>0</v>
      </c>
    </row>
    <row r="3415" spans="2:34" x14ac:dyDescent="0.35">
      <c r="B3415" t="s">
        <v>747</v>
      </c>
      <c r="C3415">
        <v>45689</v>
      </c>
      <c r="F3415" t="s">
        <v>754</v>
      </c>
      <c r="H3415">
        <v>82</v>
      </c>
      <c r="O3415" t="s">
        <v>239</v>
      </c>
      <c r="P3415" t="s">
        <v>514</v>
      </c>
      <c r="Y3415">
        <v>3381</v>
      </c>
      <c r="Z3415" s="259" t="s">
        <v>630</v>
      </c>
      <c r="AA3415">
        <v>100</v>
      </c>
      <c r="AB3415">
        <v>8008</v>
      </c>
      <c r="AC3415">
        <v>45688</v>
      </c>
      <c r="AD3415">
        <v>1</v>
      </c>
      <c r="AE3415">
        <v>8200</v>
      </c>
      <c r="AF3415">
        <v>8200</v>
      </c>
      <c r="AG3415">
        <v>0</v>
      </c>
      <c r="AH3415">
        <v>192</v>
      </c>
    </row>
    <row r="3416" spans="2:34" x14ac:dyDescent="0.35">
      <c r="B3416" t="s">
        <v>747</v>
      </c>
      <c r="C3416">
        <v>45690</v>
      </c>
      <c r="F3416" t="s">
        <v>749</v>
      </c>
      <c r="H3416">
        <v>102</v>
      </c>
      <c r="O3416" t="s">
        <v>239</v>
      </c>
      <c r="P3416" t="s">
        <v>514</v>
      </c>
      <c r="Y3416">
        <v>3382</v>
      </c>
      <c r="Z3416" s="259" t="s">
        <v>630</v>
      </c>
      <c r="AA3416">
        <v>40</v>
      </c>
      <c r="AB3416">
        <v>4004</v>
      </c>
      <c r="AC3416">
        <v>45688</v>
      </c>
      <c r="AD3416">
        <v>2</v>
      </c>
      <c r="AE3416">
        <v>4080</v>
      </c>
      <c r="AF3416">
        <v>4080</v>
      </c>
      <c r="AG3416">
        <v>0</v>
      </c>
      <c r="AH3416">
        <v>76</v>
      </c>
    </row>
    <row r="3417" spans="2:34" x14ac:dyDescent="0.35">
      <c r="B3417" t="s">
        <v>747</v>
      </c>
      <c r="C3417">
        <v>45690</v>
      </c>
      <c r="F3417" t="s">
        <v>752</v>
      </c>
      <c r="H3417">
        <v>195</v>
      </c>
      <c r="O3417" t="s">
        <v>239</v>
      </c>
      <c r="P3417" t="s">
        <v>514</v>
      </c>
      <c r="Y3417">
        <v>3383</v>
      </c>
      <c r="Z3417" s="259" t="s">
        <v>630</v>
      </c>
      <c r="AA3417">
        <v>0</v>
      </c>
      <c r="AB3417">
        <v>0</v>
      </c>
      <c r="AC3417">
        <v>45688</v>
      </c>
      <c r="AD3417">
        <v>2</v>
      </c>
      <c r="AE3417">
        <v>0</v>
      </c>
      <c r="AF3417">
        <v>0</v>
      </c>
      <c r="AG3417">
        <v>0</v>
      </c>
      <c r="AH3417">
        <v>0</v>
      </c>
    </row>
    <row r="3418" spans="2:34" x14ac:dyDescent="0.35">
      <c r="B3418" t="s">
        <v>747</v>
      </c>
      <c r="C3418">
        <v>45690</v>
      </c>
      <c r="F3418" t="s">
        <v>754</v>
      </c>
      <c r="H3418">
        <v>82</v>
      </c>
      <c r="O3418" t="s">
        <v>239</v>
      </c>
      <c r="P3418" t="s">
        <v>514</v>
      </c>
      <c r="Y3418">
        <v>3384</v>
      </c>
      <c r="Z3418" s="259" t="s">
        <v>630</v>
      </c>
      <c r="AA3418">
        <v>100</v>
      </c>
      <c r="AB3418">
        <v>8008</v>
      </c>
      <c r="AC3418">
        <v>45688</v>
      </c>
      <c r="AD3418">
        <v>2</v>
      </c>
      <c r="AE3418">
        <v>8200</v>
      </c>
      <c r="AF3418">
        <v>8200</v>
      </c>
      <c r="AG3418">
        <v>0</v>
      </c>
      <c r="AH3418">
        <v>192</v>
      </c>
    </row>
    <row r="3419" spans="2:34" x14ac:dyDescent="0.35">
      <c r="B3419" t="s">
        <v>747</v>
      </c>
      <c r="C3419">
        <v>45691</v>
      </c>
      <c r="F3419" t="s">
        <v>749</v>
      </c>
      <c r="H3419">
        <v>101.63</v>
      </c>
      <c r="O3419" t="s">
        <v>239</v>
      </c>
      <c r="P3419" t="s">
        <v>514</v>
      </c>
      <c r="Y3419">
        <v>3385</v>
      </c>
      <c r="Z3419" s="259" t="s">
        <v>630</v>
      </c>
      <c r="AA3419">
        <v>40</v>
      </c>
      <c r="AB3419">
        <v>4004</v>
      </c>
      <c r="AC3419">
        <v>45691</v>
      </c>
      <c r="AD3419">
        <v>0</v>
      </c>
      <c r="AE3419">
        <v>4065.2</v>
      </c>
      <c r="AF3419">
        <v>4065.2</v>
      </c>
      <c r="AG3419">
        <v>0</v>
      </c>
      <c r="AH3419">
        <v>61.199999999999818</v>
      </c>
    </row>
    <row r="3420" spans="2:34" x14ac:dyDescent="0.35">
      <c r="B3420" t="s">
        <v>747</v>
      </c>
      <c r="C3420">
        <v>45691</v>
      </c>
      <c r="F3420" t="s">
        <v>752</v>
      </c>
      <c r="H3420">
        <v>195.44</v>
      </c>
      <c r="O3420" t="s">
        <v>239</v>
      </c>
      <c r="P3420" t="s">
        <v>514</v>
      </c>
      <c r="Y3420">
        <v>3386</v>
      </c>
      <c r="Z3420" s="259" t="s">
        <v>630</v>
      </c>
      <c r="AA3420">
        <v>0</v>
      </c>
      <c r="AB3420">
        <v>0</v>
      </c>
      <c r="AC3420">
        <v>45691</v>
      </c>
      <c r="AD3420">
        <v>0</v>
      </c>
      <c r="AE3420">
        <v>0</v>
      </c>
      <c r="AF3420">
        <v>0</v>
      </c>
      <c r="AG3420">
        <v>0</v>
      </c>
      <c r="AH3420">
        <v>0</v>
      </c>
    </row>
    <row r="3421" spans="2:34" x14ac:dyDescent="0.35">
      <c r="B3421" t="s">
        <v>747</v>
      </c>
      <c r="C3421">
        <v>45691</v>
      </c>
      <c r="F3421" t="s">
        <v>754</v>
      </c>
      <c r="H3421">
        <v>81.7</v>
      </c>
      <c r="O3421" t="s">
        <v>239</v>
      </c>
      <c r="P3421" t="s">
        <v>514</v>
      </c>
      <c r="Y3421">
        <v>3387</v>
      </c>
      <c r="Z3421" s="259" t="s">
        <v>630</v>
      </c>
      <c r="AA3421">
        <v>100</v>
      </c>
      <c r="AB3421">
        <v>8008</v>
      </c>
      <c r="AC3421">
        <v>45691</v>
      </c>
      <c r="AD3421">
        <v>0</v>
      </c>
      <c r="AE3421">
        <v>8170</v>
      </c>
      <c r="AF3421">
        <v>8170</v>
      </c>
      <c r="AG3421">
        <v>0</v>
      </c>
      <c r="AH3421">
        <v>162</v>
      </c>
    </row>
    <row r="3422" spans="2:34" x14ac:dyDescent="0.35">
      <c r="B3422" t="s">
        <v>747</v>
      </c>
      <c r="C3422">
        <v>45692</v>
      </c>
      <c r="F3422" t="s">
        <v>749</v>
      </c>
      <c r="H3422">
        <v>101.44</v>
      </c>
      <c r="O3422" t="s">
        <v>239</v>
      </c>
      <c r="P3422" t="s">
        <v>514</v>
      </c>
      <c r="Y3422">
        <v>3388</v>
      </c>
      <c r="Z3422" s="259" t="s">
        <v>630</v>
      </c>
      <c r="AA3422">
        <v>40</v>
      </c>
      <c r="AB3422">
        <v>4004</v>
      </c>
      <c r="AC3422">
        <v>45692</v>
      </c>
      <c r="AD3422">
        <v>0</v>
      </c>
      <c r="AE3422">
        <v>4057.6</v>
      </c>
      <c r="AF3422">
        <v>4057.6</v>
      </c>
      <c r="AG3422">
        <v>0</v>
      </c>
      <c r="AH3422">
        <v>53.599999999999909</v>
      </c>
    </row>
    <row r="3423" spans="2:34" x14ac:dyDescent="0.35">
      <c r="B3423" t="s">
        <v>747</v>
      </c>
      <c r="C3423">
        <v>45692</v>
      </c>
      <c r="F3423" t="s">
        <v>752</v>
      </c>
      <c r="H3423">
        <v>195.67</v>
      </c>
      <c r="O3423" t="s">
        <v>239</v>
      </c>
      <c r="P3423" t="s">
        <v>514</v>
      </c>
      <c r="Y3423">
        <v>3389</v>
      </c>
      <c r="Z3423" s="259" t="s">
        <v>630</v>
      </c>
      <c r="AA3423">
        <v>0</v>
      </c>
      <c r="AB3423">
        <v>0</v>
      </c>
      <c r="AC3423">
        <v>45692</v>
      </c>
      <c r="AD3423">
        <v>0</v>
      </c>
      <c r="AE3423">
        <v>0</v>
      </c>
      <c r="AF3423">
        <v>0</v>
      </c>
      <c r="AG3423">
        <v>0</v>
      </c>
      <c r="AH3423">
        <v>0</v>
      </c>
    </row>
    <row r="3424" spans="2:34" x14ac:dyDescent="0.35">
      <c r="B3424" t="s">
        <v>747</v>
      </c>
      <c r="C3424">
        <v>45692</v>
      </c>
      <c r="F3424" t="s">
        <v>754</v>
      </c>
      <c r="H3424">
        <v>81.56</v>
      </c>
      <c r="O3424" t="s">
        <v>239</v>
      </c>
      <c r="P3424" t="s">
        <v>514</v>
      </c>
      <c r="Y3424">
        <v>3390</v>
      </c>
      <c r="Z3424" s="259" t="s">
        <v>630</v>
      </c>
      <c r="AA3424">
        <v>100</v>
      </c>
      <c r="AB3424">
        <v>8008</v>
      </c>
      <c r="AC3424">
        <v>45692</v>
      </c>
      <c r="AD3424">
        <v>0</v>
      </c>
      <c r="AE3424">
        <v>8156</v>
      </c>
      <c r="AF3424">
        <v>8156</v>
      </c>
      <c r="AG3424">
        <v>0</v>
      </c>
      <c r="AH3424">
        <v>148</v>
      </c>
    </row>
    <row r="3425" spans="2:34" x14ac:dyDescent="0.35">
      <c r="B3425" t="s">
        <v>747</v>
      </c>
      <c r="C3425">
        <v>45693</v>
      </c>
      <c r="F3425" t="s">
        <v>749</v>
      </c>
      <c r="H3425">
        <v>101.26</v>
      </c>
      <c r="O3425" t="s">
        <v>239</v>
      </c>
      <c r="P3425" t="s">
        <v>514</v>
      </c>
      <c r="Y3425">
        <v>3391</v>
      </c>
      <c r="Z3425" s="259" t="s">
        <v>630</v>
      </c>
      <c r="AA3425">
        <v>40</v>
      </c>
      <c r="AB3425">
        <v>4004</v>
      </c>
      <c r="AC3425">
        <v>45693</v>
      </c>
      <c r="AD3425">
        <v>0</v>
      </c>
      <c r="AE3425">
        <v>4050.4</v>
      </c>
      <c r="AF3425">
        <v>4050.4</v>
      </c>
      <c r="AG3425">
        <v>0</v>
      </c>
      <c r="AH3425">
        <v>46.400000000000091</v>
      </c>
    </row>
    <row r="3426" spans="2:34" x14ac:dyDescent="0.35">
      <c r="B3426" t="s">
        <v>747</v>
      </c>
      <c r="C3426">
        <v>45693</v>
      </c>
      <c r="F3426" t="s">
        <v>752</v>
      </c>
      <c r="H3426">
        <v>195.89</v>
      </c>
      <c r="O3426" t="s">
        <v>239</v>
      </c>
      <c r="P3426" t="s">
        <v>514</v>
      </c>
      <c r="Y3426">
        <v>3392</v>
      </c>
      <c r="Z3426" s="259" t="s">
        <v>630</v>
      </c>
      <c r="AA3426">
        <v>0</v>
      </c>
      <c r="AB3426">
        <v>0</v>
      </c>
      <c r="AC3426">
        <v>45693</v>
      </c>
      <c r="AD3426">
        <v>0</v>
      </c>
      <c r="AE3426">
        <v>0</v>
      </c>
      <c r="AF3426">
        <v>0</v>
      </c>
      <c r="AG3426">
        <v>0</v>
      </c>
      <c r="AH3426">
        <v>0</v>
      </c>
    </row>
    <row r="3427" spans="2:34" x14ac:dyDescent="0.35">
      <c r="B3427" t="s">
        <v>747</v>
      </c>
      <c r="C3427">
        <v>45693</v>
      </c>
      <c r="F3427" t="s">
        <v>754</v>
      </c>
      <c r="H3427">
        <v>81.41</v>
      </c>
      <c r="O3427" t="s">
        <v>239</v>
      </c>
      <c r="P3427" t="s">
        <v>514</v>
      </c>
      <c r="Y3427">
        <v>3393</v>
      </c>
      <c r="Z3427" s="259" t="s">
        <v>630</v>
      </c>
      <c r="AA3427">
        <v>100</v>
      </c>
      <c r="AB3427">
        <v>8008</v>
      </c>
      <c r="AC3427">
        <v>45693</v>
      </c>
      <c r="AD3427">
        <v>0</v>
      </c>
      <c r="AE3427">
        <v>8141</v>
      </c>
      <c r="AF3427">
        <v>8141</v>
      </c>
      <c r="AG3427">
        <v>0</v>
      </c>
      <c r="AH3427">
        <v>133</v>
      </c>
    </row>
    <row r="3428" spans="2:34" x14ac:dyDescent="0.35">
      <c r="B3428" t="s">
        <v>747</v>
      </c>
      <c r="C3428">
        <v>45694</v>
      </c>
      <c r="F3428" t="s">
        <v>749</v>
      </c>
      <c r="H3428">
        <v>101.07</v>
      </c>
      <c r="O3428" t="s">
        <v>239</v>
      </c>
      <c r="P3428" t="s">
        <v>514</v>
      </c>
      <c r="Y3428">
        <v>3394</v>
      </c>
      <c r="Z3428" s="259" t="s">
        <v>630</v>
      </c>
      <c r="AA3428">
        <v>40</v>
      </c>
      <c r="AB3428">
        <v>4004</v>
      </c>
      <c r="AC3428">
        <v>45694</v>
      </c>
      <c r="AD3428">
        <v>0</v>
      </c>
      <c r="AE3428">
        <v>4042.7999999999997</v>
      </c>
      <c r="AF3428">
        <v>4042.7999999999997</v>
      </c>
      <c r="AG3428">
        <v>0</v>
      </c>
      <c r="AH3428">
        <v>38.799999999999727</v>
      </c>
    </row>
    <row r="3429" spans="2:34" x14ac:dyDescent="0.35">
      <c r="B3429" t="s">
        <v>747</v>
      </c>
      <c r="C3429">
        <v>45694</v>
      </c>
      <c r="F3429" t="s">
        <v>752</v>
      </c>
      <c r="H3429">
        <v>196.11</v>
      </c>
      <c r="O3429" t="s">
        <v>239</v>
      </c>
      <c r="P3429" t="s">
        <v>514</v>
      </c>
      <c r="Y3429">
        <v>3395</v>
      </c>
      <c r="Z3429" s="259" t="s">
        <v>630</v>
      </c>
      <c r="AA3429">
        <v>0</v>
      </c>
      <c r="AB3429">
        <v>0</v>
      </c>
      <c r="AC3429">
        <v>45694</v>
      </c>
      <c r="AD3429">
        <v>0</v>
      </c>
      <c r="AE3429">
        <v>0</v>
      </c>
      <c r="AF3429">
        <v>0</v>
      </c>
      <c r="AG3429">
        <v>0</v>
      </c>
      <c r="AH3429">
        <v>0</v>
      </c>
    </row>
    <row r="3430" spans="2:34" x14ac:dyDescent="0.35">
      <c r="B3430" t="s">
        <v>747</v>
      </c>
      <c r="C3430">
        <v>45694</v>
      </c>
      <c r="F3430" t="s">
        <v>754</v>
      </c>
      <c r="H3430">
        <v>81.260000000000005</v>
      </c>
      <c r="O3430" t="s">
        <v>239</v>
      </c>
      <c r="P3430" t="s">
        <v>514</v>
      </c>
      <c r="Y3430">
        <v>3396</v>
      </c>
      <c r="Z3430" s="259" t="s">
        <v>630</v>
      </c>
      <c r="AA3430">
        <v>100</v>
      </c>
      <c r="AB3430">
        <v>8008</v>
      </c>
      <c r="AC3430">
        <v>45694</v>
      </c>
      <c r="AD3430">
        <v>0</v>
      </c>
      <c r="AE3430">
        <v>8126.0000000000009</v>
      </c>
      <c r="AF3430">
        <v>8126.0000000000009</v>
      </c>
      <c r="AG3430">
        <v>0</v>
      </c>
      <c r="AH3430">
        <v>118.00000000000091</v>
      </c>
    </row>
    <row r="3431" spans="2:34" x14ac:dyDescent="0.35">
      <c r="B3431" t="s">
        <v>747</v>
      </c>
      <c r="C3431">
        <v>45695</v>
      </c>
      <c r="F3431" t="s">
        <v>749</v>
      </c>
      <c r="H3431">
        <v>100.89</v>
      </c>
      <c r="O3431" t="s">
        <v>239</v>
      </c>
      <c r="P3431" t="s">
        <v>514</v>
      </c>
      <c r="Y3431">
        <v>3397</v>
      </c>
      <c r="Z3431" s="259" t="s">
        <v>630</v>
      </c>
      <c r="AA3431">
        <v>40</v>
      </c>
      <c r="AB3431">
        <v>4004</v>
      </c>
      <c r="AC3431">
        <v>45695</v>
      </c>
      <c r="AD3431">
        <v>0</v>
      </c>
      <c r="AE3431">
        <v>4035.6</v>
      </c>
      <c r="AF3431">
        <v>4035.6</v>
      </c>
      <c r="AG3431">
        <v>0</v>
      </c>
      <c r="AH3431">
        <v>31.599999999999909</v>
      </c>
    </row>
    <row r="3432" spans="2:34" x14ac:dyDescent="0.35">
      <c r="B3432" t="s">
        <v>747</v>
      </c>
      <c r="C3432">
        <v>45695</v>
      </c>
      <c r="F3432" t="s">
        <v>752</v>
      </c>
      <c r="H3432">
        <v>196.33</v>
      </c>
      <c r="O3432" t="s">
        <v>239</v>
      </c>
      <c r="P3432" t="s">
        <v>514</v>
      </c>
      <c r="Y3432">
        <v>3398</v>
      </c>
      <c r="Z3432" s="259" t="s">
        <v>630</v>
      </c>
      <c r="AA3432">
        <v>0</v>
      </c>
      <c r="AB3432">
        <v>0</v>
      </c>
      <c r="AC3432">
        <v>45695</v>
      </c>
      <c r="AD3432">
        <v>0</v>
      </c>
      <c r="AE3432">
        <v>0</v>
      </c>
      <c r="AF3432">
        <v>0</v>
      </c>
      <c r="AG3432">
        <v>0</v>
      </c>
      <c r="AH3432">
        <v>0</v>
      </c>
    </row>
    <row r="3433" spans="2:34" x14ac:dyDescent="0.35">
      <c r="B3433" t="s">
        <v>747</v>
      </c>
      <c r="C3433">
        <v>45695</v>
      </c>
      <c r="F3433" t="s">
        <v>754</v>
      </c>
      <c r="H3433">
        <v>81.11</v>
      </c>
      <c r="O3433" t="s">
        <v>239</v>
      </c>
      <c r="P3433" t="s">
        <v>514</v>
      </c>
      <c r="Y3433">
        <v>3399</v>
      </c>
      <c r="Z3433" s="259" t="s">
        <v>630</v>
      </c>
      <c r="AA3433">
        <v>100</v>
      </c>
      <c r="AB3433">
        <v>8008</v>
      </c>
      <c r="AC3433">
        <v>45695</v>
      </c>
      <c r="AD3433">
        <v>0</v>
      </c>
      <c r="AE3433">
        <v>8111</v>
      </c>
      <c r="AF3433">
        <v>8111</v>
      </c>
      <c r="AG3433">
        <v>0</v>
      </c>
      <c r="AH3433">
        <v>103</v>
      </c>
    </row>
    <row r="3434" spans="2:34" x14ac:dyDescent="0.35">
      <c r="B3434" t="s">
        <v>747</v>
      </c>
      <c r="C3434">
        <v>45696</v>
      </c>
      <c r="F3434" t="s">
        <v>749</v>
      </c>
      <c r="H3434">
        <v>100.89</v>
      </c>
      <c r="O3434" t="s">
        <v>239</v>
      </c>
      <c r="P3434" t="s">
        <v>514</v>
      </c>
      <c r="Y3434">
        <v>3400</v>
      </c>
      <c r="Z3434" s="259" t="s">
        <v>630</v>
      </c>
      <c r="AA3434">
        <v>40</v>
      </c>
      <c r="AB3434">
        <v>4004</v>
      </c>
      <c r="AC3434">
        <v>45695</v>
      </c>
      <c r="AD3434">
        <v>1</v>
      </c>
      <c r="AE3434">
        <v>4035.6</v>
      </c>
      <c r="AF3434">
        <v>4035.6</v>
      </c>
      <c r="AG3434">
        <v>0</v>
      </c>
      <c r="AH3434">
        <v>31.599999999999909</v>
      </c>
    </row>
    <row r="3435" spans="2:34" x14ac:dyDescent="0.35">
      <c r="B3435" t="s">
        <v>747</v>
      </c>
      <c r="C3435">
        <v>45696</v>
      </c>
      <c r="F3435" t="s">
        <v>752</v>
      </c>
      <c r="H3435">
        <v>196.33</v>
      </c>
      <c r="O3435" t="s">
        <v>239</v>
      </c>
      <c r="P3435" t="s">
        <v>514</v>
      </c>
      <c r="Y3435">
        <v>3401</v>
      </c>
      <c r="Z3435" s="259" t="s">
        <v>630</v>
      </c>
      <c r="AA3435">
        <v>0</v>
      </c>
      <c r="AB3435">
        <v>0</v>
      </c>
      <c r="AC3435">
        <v>45695</v>
      </c>
      <c r="AD3435">
        <v>1</v>
      </c>
      <c r="AE3435">
        <v>0</v>
      </c>
      <c r="AF3435">
        <v>0</v>
      </c>
      <c r="AG3435">
        <v>0</v>
      </c>
      <c r="AH3435">
        <v>0</v>
      </c>
    </row>
    <row r="3436" spans="2:34" x14ac:dyDescent="0.35">
      <c r="B3436" t="s">
        <v>747</v>
      </c>
      <c r="C3436">
        <v>45696</v>
      </c>
      <c r="F3436" t="s">
        <v>754</v>
      </c>
      <c r="H3436">
        <v>81.11</v>
      </c>
      <c r="O3436" t="s">
        <v>239</v>
      </c>
      <c r="P3436" t="s">
        <v>514</v>
      </c>
      <c r="Y3436">
        <v>3402</v>
      </c>
      <c r="Z3436" s="259" t="s">
        <v>630</v>
      </c>
      <c r="AA3436">
        <v>100</v>
      </c>
      <c r="AB3436">
        <v>8008</v>
      </c>
      <c r="AC3436">
        <v>45695</v>
      </c>
      <c r="AD3436">
        <v>1</v>
      </c>
      <c r="AE3436">
        <v>8111</v>
      </c>
      <c r="AF3436">
        <v>8111</v>
      </c>
      <c r="AG3436">
        <v>0</v>
      </c>
      <c r="AH3436">
        <v>103</v>
      </c>
    </row>
    <row r="3437" spans="2:34" x14ac:dyDescent="0.35">
      <c r="B3437" t="s">
        <v>747</v>
      </c>
      <c r="C3437">
        <v>45697</v>
      </c>
      <c r="F3437" t="s">
        <v>749</v>
      </c>
      <c r="H3437">
        <v>100.89</v>
      </c>
      <c r="O3437" t="s">
        <v>239</v>
      </c>
      <c r="P3437" t="s">
        <v>514</v>
      </c>
      <c r="Y3437">
        <v>3403</v>
      </c>
      <c r="Z3437" s="259" t="s">
        <v>630</v>
      </c>
      <c r="AA3437">
        <v>40</v>
      </c>
      <c r="AB3437">
        <v>4004</v>
      </c>
      <c r="AC3437">
        <v>45695</v>
      </c>
      <c r="AD3437">
        <v>2</v>
      </c>
      <c r="AE3437">
        <v>4035.6</v>
      </c>
      <c r="AF3437">
        <v>4035.6</v>
      </c>
      <c r="AG3437">
        <v>0</v>
      </c>
      <c r="AH3437">
        <v>31.599999999999909</v>
      </c>
    </row>
    <row r="3438" spans="2:34" x14ac:dyDescent="0.35">
      <c r="B3438" t="s">
        <v>747</v>
      </c>
      <c r="C3438">
        <v>45697</v>
      </c>
      <c r="F3438" t="s">
        <v>752</v>
      </c>
      <c r="H3438">
        <v>196.33</v>
      </c>
      <c r="O3438" t="s">
        <v>239</v>
      </c>
      <c r="P3438" t="s">
        <v>514</v>
      </c>
      <c r="Y3438">
        <v>3404</v>
      </c>
      <c r="Z3438" s="259" t="s">
        <v>630</v>
      </c>
      <c r="AA3438">
        <v>0</v>
      </c>
      <c r="AB3438">
        <v>0</v>
      </c>
      <c r="AC3438">
        <v>45695</v>
      </c>
      <c r="AD3438">
        <v>2</v>
      </c>
      <c r="AE3438">
        <v>0</v>
      </c>
      <c r="AF3438">
        <v>0</v>
      </c>
      <c r="AG3438">
        <v>0</v>
      </c>
      <c r="AH3438">
        <v>0</v>
      </c>
    </row>
    <row r="3439" spans="2:34" x14ac:dyDescent="0.35">
      <c r="B3439" t="s">
        <v>747</v>
      </c>
      <c r="C3439">
        <v>45697</v>
      </c>
      <c r="F3439" t="s">
        <v>754</v>
      </c>
      <c r="H3439">
        <v>81.11</v>
      </c>
      <c r="O3439" t="s">
        <v>239</v>
      </c>
      <c r="P3439" t="s">
        <v>514</v>
      </c>
      <c r="Y3439">
        <v>3405</v>
      </c>
      <c r="Z3439" s="259" t="s">
        <v>630</v>
      </c>
      <c r="AA3439">
        <v>100</v>
      </c>
      <c r="AB3439">
        <v>8008</v>
      </c>
      <c r="AC3439">
        <v>45695</v>
      </c>
      <c r="AD3439">
        <v>2</v>
      </c>
      <c r="AE3439">
        <v>8111</v>
      </c>
      <c r="AF3439">
        <v>8111</v>
      </c>
      <c r="AG3439">
        <v>0</v>
      </c>
      <c r="AH3439">
        <v>103</v>
      </c>
    </row>
    <row r="3440" spans="2:34" x14ac:dyDescent="0.35">
      <c r="B3440" t="s">
        <v>747</v>
      </c>
      <c r="C3440">
        <v>45698</v>
      </c>
      <c r="F3440" t="s">
        <v>749</v>
      </c>
      <c r="H3440">
        <v>100.33</v>
      </c>
      <c r="O3440" t="s">
        <v>239</v>
      </c>
      <c r="P3440" t="s">
        <v>514</v>
      </c>
      <c r="Y3440">
        <v>3406</v>
      </c>
      <c r="Z3440" s="259" t="s">
        <v>630</v>
      </c>
      <c r="AA3440">
        <v>40</v>
      </c>
      <c r="AB3440">
        <v>4004</v>
      </c>
      <c r="AC3440">
        <v>45698</v>
      </c>
      <c r="AD3440">
        <v>0</v>
      </c>
      <c r="AE3440">
        <v>4013.2</v>
      </c>
      <c r="AF3440">
        <v>4013.2</v>
      </c>
      <c r="AG3440">
        <v>0</v>
      </c>
      <c r="AH3440">
        <v>9.1999999999998181</v>
      </c>
    </row>
    <row r="3441" spans="2:34" x14ac:dyDescent="0.35">
      <c r="B3441" t="s">
        <v>747</v>
      </c>
      <c r="C3441">
        <v>45698</v>
      </c>
      <c r="F3441" t="s">
        <v>752</v>
      </c>
      <c r="H3441">
        <v>197</v>
      </c>
      <c r="O3441" t="s">
        <v>239</v>
      </c>
      <c r="P3441" t="s">
        <v>514</v>
      </c>
      <c r="Y3441">
        <v>3407</v>
      </c>
      <c r="Z3441" s="259" t="s">
        <v>630</v>
      </c>
      <c r="AA3441">
        <v>0</v>
      </c>
      <c r="AB3441">
        <v>0</v>
      </c>
      <c r="AC3441">
        <v>45698</v>
      </c>
      <c r="AD3441">
        <v>0</v>
      </c>
      <c r="AE3441">
        <v>0</v>
      </c>
      <c r="AF3441">
        <v>0</v>
      </c>
      <c r="AG3441">
        <v>0</v>
      </c>
      <c r="AH3441">
        <v>0</v>
      </c>
    </row>
    <row r="3442" spans="2:34" x14ac:dyDescent="0.35">
      <c r="B3442" t="s">
        <v>747</v>
      </c>
      <c r="C3442">
        <v>45698</v>
      </c>
      <c r="F3442" t="s">
        <v>754</v>
      </c>
      <c r="H3442">
        <v>80.67</v>
      </c>
      <c r="O3442" t="s">
        <v>239</v>
      </c>
      <c r="P3442" t="s">
        <v>514</v>
      </c>
      <c r="Y3442">
        <v>3408</v>
      </c>
      <c r="Z3442" s="259" t="s">
        <v>630</v>
      </c>
      <c r="AA3442">
        <v>100</v>
      </c>
      <c r="AB3442">
        <v>8008</v>
      </c>
      <c r="AC3442">
        <v>45698</v>
      </c>
      <c r="AD3442">
        <v>0</v>
      </c>
      <c r="AE3442">
        <v>8067</v>
      </c>
      <c r="AF3442">
        <v>8067</v>
      </c>
      <c r="AG3442">
        <v>0</v>
      </c>
      <c r="AH3442">
        <v>59</v>
      </c>
    </row>
    <row r="3443" spans="2:34" x14ac:dyDescent="0.35">
      <c r="B3443" t="s">
        <v>747</v>
      </c>
      <c r="C3443">
        <v>45699</v>
      </c>
      <c r="F3443" t="s">
        <v>749</v>
      </c>
      <c r="H3443">
        <v>100.15</v>
      </c>
      <c r="O3443" t="s">
        <v>239</v>
      </c>
      <c r="P3443" t="s">
        <v>514</v>
      </c>
      <c r="Y3443">
        <v>3409</v>
      </c>
      <c r="Z3443" s="259" t="s">
        <v>630</v>
      </c>
      <c r="AA3443">
        <v>40</v>
      </c>
      <c r="AB3443">
        <v>4004</v>
      </c>
      <c r="AC3443">
        <v>45699</v>
      </c>
      <c r="AD3443">
        <v>0</v>
      </c>
      <c r="AE3443">
        <v>4006</v>
      </c>
      <c r="AF3443">
        <v>4006</v>
      </c>
      <c r="AG3443">
        <v>0</v>
      </c>
      <c r="AH3443">
        <v>2</v>
      </c>
    </row>
    <row r="3444" spans="2:34" x14ac:dyDescent="0.35">
      <c r="B3444" t="s">
        <v>747</v>
      </c>
      <c r="C3444">
        <v>45699</v>
      </c>
      <c r="F3444" t="s">
        <v>752</v>
      </c>
      <c r="H3444">
        <v>197.22</v>
      </c>
      <c r="O3444" t="s">
        <v>239</v>
      </c>
      <c r="P3444" t="s">
        <v>514</v>
      </c>
      <c r="Y3444">
        <v>3410</v>
      </c>
      <c r="Z3444" s="259" t="s">
        <v>630</v>
      </c>
      <c r="AA3444">
        <v>0</v>
      </c>
      <c r="AB3444">
        <v>0</v>
      </c>
      <c r="AC3444">
        <v>45699</v>
      </c>
      <c r="AD3444">
        <v>0</v>
      </c>
      <c r="AE3444">
        <v>0</v>
      </c>
      <c r="AF3444">
        <v>0</v>
      </c>
      <c r="AG3444">
        <v>0</v>
      </c>
      <c r="AH3444">
        <v>0</v>
      </c>
    </row>
    <row r="3445" spans="2:34" x14ac:dyDescent="0.35">
      <c r="B3445" t="s">
        <v>747</v>
      </c>
      <c r="C3445">
        <v>45699</v>
      </c>
      <c r="F3445" t="s">
        <v>754</v>
      </c>
      <c r="H3445">
        <v>80.52</v>
      </c>
      <c r="O3445" t="s">
        <v>239</v>
      </c>
      <c r="P3445" t="s">
        <v>514</v>
      </c>
      <c r="Y3445">
        <v>3411</v>
      </c>
      <c r="Z3445" s="259" t="s">
        <v>630</v>
      </c>
      <c r="AA3445">
        <v>100</v>
      </c>
      <c r="AB3445">
        <v>8008</v>
      </c>
      <c r="AC3445">
        <v>45699</v>
      </c>
      <c r="AD3445">
        <v>0</v>
      </c>
      <c r="AE3445">
        <v>8052</v>
      </c>
      <c r="AF3445">
        <v>8052</v>
      </c>
      <c r="AG3445">
        <v>0</v>
      </c>
      <c r="AH3445">
        <v>44</v>
      </c>
    </row>
    <row r="3446" spans="2:34" x14ac:dyDescent="0.35">
      <c r="B3446" t="s">
        <v>747</v>
      </c>
      <c r="C3446">
        <v>45700</v>
      </c>
      <c r="F3446" t="s">
        <v>749</v>
      </c>
      <c r="H3446">
        <v>99.96</v>
      </c>
      <c r="O3446" t="s">
        <v>239</v>
      </c>
      <c r="P3446" t="s">
        <v>514</v>
      </c>
      <c r="Y3446">
        <v>3412</v>
      </c>
      <c r="Z3446" s="259" t="s">
        <v>630</v>
      </c>
      <c r="AA3446">
        <v>40</v>
      </c>
      <c r="AB3446">
        <v>4004</v>
      </c>
      <c r="AC3446">
        <v>45700</v>
      </c>
      <c r="AD3446">
        <v>0</v>
      </c>
      <c r="AE3446">
        <v>3998.3999999999996</v>
      </c>
      <c r="AF3446">
        <v>3998.3999999999996</v>
      </c>
      <c r="AG3446">
        <v>0</v>
      </c>
      <c r="AH3446">
        <v>-5.6000000000003638</v>
      </c>
    </row>
    <row r="3447" spans="2:34" x14ac:dyDescent="0.35">
      <c r="B3447" t="s">
        <v>747</v>
      </c>
      <c r="C3447">
        <v>45700</v>
      </c>
      <c r="F3447" t="s">
        <v>752</v>
      </c>
      <c r="H3447">
        <v>197.44</v>
      </c>
      <c r="O3447" t="s">
        <v>239</v>
      </c>
      <c r="P3447" t="s">
        <v>514</v>
      </c>
      <c r="Y3447">
        <v>3413</v>
      </c>
      <c r="Z3447" s="259" t="s">
        <v>630</v>
      </c>
      <c r="AA3447">
        <v>0</v>
      </c>
      <c r="AB3447">
        <v>0</v>
      </c>
      <c r="AC3447">
        <v>45700</v>
      </c>
      <c r="AD3447">
        <v>0</v>
      </c>
      <c r="AE3447">
        <v>0</v>
      </c>
      <c r="AF3447">
        <v>0</v>
      </c>
      <c r="AG3447">
        <v>0</v>
      </c>
      <c r="AH3447">
        <v>0</v>
      </c>
    </row>
    <row r="3448" spans="2:34" x14ac:dyDescent="0.35">
      <c r="B3448" t="s">
        <v>747</v>
      </c>
      <c r="C3448">
        <v>45700</v>
      </c>
      <c r="F3448" t="s">
        <v>754</v>
      </c>
      <c r="H3448">
        <v>80.37</v>
      </c>
      <c r="O3448" t="s">
        <v>239</v>
      </c>
      <c r="P3448" t="s">
        <v>514</v>
      </c>
      <c r="Y3448">
        <v>3414</v>
      </c>
      <c r="Z3448" s="259" t="s">
        <v>630</v>
      </c>
      <c r="AA3448">
        <v>100</v>
      </c>
      <c r="AB3448">
        <v>8008</v>
      </c>
      <c r="AC3448">
        <v>45700</v>
      </c>
      <c r="AD3448">
        <v>0</v>
      </c>
      <c r="AE3448">
        <v>8037</v>
      </c>
      <c r="AF3448">
        <v>8037</v>
      </c>
      <c r="AG3448">
        <v>0</v>
      </c>
      <c r="AH3448">
        <v>29</v>
      </c>
    </row>
    <row r="3449" spans="2:34" x14ac:dyDescent="0.35">
      <c r="B3449" t="s">
        <v>747</v>
      </c>
      <c r="C3449">
        <v>45701</v>
      </c>
      <c r="F3449" t="s">
        <v>749</v>
      </c>
      <c r="H3449">
        <v>99.78</v>
      </c>
      <c r="O3449" t="s">
        <v>239</v>
      </c>
      <c r="P3449" t="s">
        <v>514</v>
      </c>
      <c r="Y3449">
        <v>3415</v>
      </c>
      <c r="Z3449" s="259" t="s">
        <v>630</v>
      </c>
      <c r="AA3449">
        <v>40</v>
      </c>
      <c r="AB3449">
        <v>4004</v>
      </c>
      <c r="AC3449">
        <v>45701</v>
      </c>
      <c r="AD3449">
        <v>0</v>
      </c>
      <c r="AE3449">
        <v>3991.2</v>
      </c>
      <c r="AF3449">
        <v>3991.2</v>
      </c>
      <c r="AG3449">
        <v>0</v>
      </c>
      <c r="AH3449">
        <v>-12.800000000000182</v>
      </c>
    </row>
    <row r="3450" spans="2:34" x14ac:dyDescent="0.35">
      <c r="B3450" t="s">
        <v>747</v>
      </c>
      <c r="C3450">
        <v>45701</v>
      </c>
      <c r="F3450" t="s">
        <v>752</v>
      </c>
      <c r="H3450">
        <v>197.67</v>
      </c>
      <c r="O3450" t="s">
        <v>239</v>
      </c>
      <c r="P3450" t="s">
        <v>514</v>
      </c>
      <c r="Y3450">
        <v>3416</v>
      </c>
      <c r="Z3450" s="259" t="s">
        <v>630</v>
      </c>
      <c r="AA3450">
        <v>0</v>
      </c>
      <c r="AB3450">
        <v>0</v>
      </c>
      <c r="AC3450">
        <v>45701</v>
      </c>
      <c r="AD3450">
        <v>0</v>
      </c>
      <c r="AE3450">
        <v>0</v>
      </c>
      <c r="AF3450">
        <v>0</v>
      </c>
      <c r="AG3450">
        <v>0</v>
      </c>
      <c r="AH3450">
        <v>0</v>
      </c>
    </row>
    <row r="3451" spans="2:34" x14ac:dyDescent="0.35">
      <c r="B3451" t="s">
        <v>747</v>
      </c>
      <c r="C3451">
        <v>45701</v>
      </c>
      <c r="F3451" t="s">
        <v>754</v>
      </c>
      <c r="H3451">
        <v>80.22</v>
      </c>
      <c r="O3451" t="s">
        <v>239</v>
      </c>
      <c r="P3451" t="s">
        <v>514</v>
      </c>
      <c r="Y3451">
        <v>3417</v>
      </c>
      <c r="Z3451" s="259" t="s">
        <v>630</v>
      </c>
      <c r="AA3451">
        <v>100</v>
      </c>
      <c r="AB3451">
        <v>8008</v>
      </c>
      <c r="AC3451">
        <v>45701</v>
      </c>
      <c r="AD3451">
        <v>0</v>
      </c>
      <c r="AE3451">
        <v>8022</v>
      </c>
      <c r="AF3451">
        <v>8022</v>
      </c>
      <c r="AG3451">
        <v>0</v>
      </c>
      <c r="AH3451">
        <v>14</v>
      </c>
    </row>
    <row r="3452" spans="2:34" x14ac:dyDescent="0.35">
      <c r="B3452" t="s">
        <v>747</v>
      </c>
      <c r="C3452">
        <v>45702</v>
      </c>
      <c r="F3452" t="s">
        <v>749</v>
      </c>
      <c r="H3452">
        <v>99.59</v>
      </c>
      <c r="O3452" t="s">
        <v>239</v>
      </c>
      <c r="P3452" t="s">
        <v>514</v>
      </c>
      <c r="Y3452">
        <v>3418</v>
      </c>
      <c r="Z3452" s="259" t="s">
        <v>630</v>
      </c>
      <c r="AA3452">
        <v>40</v>
      </c>
      <c r="AB3452">
        <v>4004</v>
      </c>
      <c r="AC3452">
        <v>45702</v>
      </c>
      <c r="AD3452">
        <v>0</v>
      </c>
      <c r="AE3452">
        <v>3983.6000000000004</v>
      </c>
      <c r="AF3452">
        <v>3983.6000000000004</v>
      </c>
      <c r="AG3452">
        <v>0</v>
      </c>
      <c r="AH3452">
        <v>-20.399999999999636</v>
      </c>
    </row>
    <row r="3453" spans="2:34" x14ac:dyDescent="0.35">
      <c r="B3453" t="s">
        <v>747</v>
      </c>
      <c r="C3453">
        <v>45702</v>
      </c>
      <c r="F3453" t="s">
        <v>752</v>
      </c>
      <c r="H3453">
        <v>197.89</v>
      </c>
      <c r="O3453" t="s">
        <v>239</v>
      </c>
      <c r="P3453" t="s">
        <v>514</v>
      </c>
      <c r="Y3453">
        <v>3419</v>
      </c>
      <c r="Z3453" s="259" t="s">
        <v>630</v>
      </c>
      <c r="AA3453">
        <v>0</v>
      </c>
      <c r="AB3453">
        <v>0</v>
      </c>
      <c r="AC3453">
        <v>45702</v>
      </c>
      <c r="AD3453">
        <v>0</v>
      </c>
      <c r="AE3453">
        <v>0</v>
      </c>
      <c r="AF3453">
        <v>0</v>
      </c>
      <c r="AG3453">
        <v>0</v>
      </c>
      <c r="AH3453">
        <v>0</v>
      </c>
    </row>
    <row r="3454" spans="2:34" x14ac:dyDescent="0.35">
      <c r="B3454" t="s">
        <v>747</v>
      </c>
      <c r="C3454">
        <v>45702</v>
      </c>
      <c r="F3454" t="s">
        <v>754</v>
      </c>
      <c r="H3454">
        <v>80.069999999999993</v>
      </c>
      <c r="O3454" t="s">
        <v>239</v>
      </c>
      <c r="P3454" t="s">
        <v>514</v>
      </c>
      <c r="Y3454">
        <v>3420</v>
      </c>
      <c r="Z3454" s="259" t="s">
        <v>630</v>
      </c>
      <c r="AA3454">
        <v>100</v>
      </c>
      <c r="AB3454">
        <v>8008</v>
      </c>
      <c r="AC3454">
        <v>45702</v>
      </c>
      <c r="AD3454">
        <v>0</v>
      </c>
      <c r="AE3454">
        <v>8006.9999999999991</v>
      </c>
      <c r="AF3454">
        <v>8006.9999999999991</v>
      </c>
      <c r="AG3454">
        <v>0</v>
      </c>
      <c r="AH3454">
        <v>-1.0000000000009095</v>
      </c>
    </row>
    <row r="3455" spans="2:34" x14ac:dyDescent="0.35">
      <c r="B3455" t="s">
        <v>747</v>
      </c>
      <c r="C3455">
        <v>45703</v>
      </c>
      <c r="F3455" t="s">
        <v>749</v>
      </c>
      <c r="H3455">
        <v>99.59</v>
      </c>
      <c r="O3455" t="s">
        <v>239</v>
      </c>
      <c r="P3455" t="s">
        <v>514</v>
      </c>
      <c r="Y3455">
        <v>3421</v>
      </c>
      <c r="Z3455" s="259" t="s">
        <v>630</v>
      </c>
      <c r="AA3455">
        <v>40</v>
      </c>
      <c r="AB3455">
        <v>4004</v>
      </c>
      <c r="AC3455">
        <v>45702</v>
      </c>
      <c r="AD3455">
        <v>1</v>
      </c>
      <c r="AE3455">
        <v>3983.6000000000004</v>
      </c>
      <c r="AF3455">
        <v>3983.6000000000004</v>
      </c>
      <c r="AG3455">
        <v>0</v>
      </c>
      <c r="AH3455">
        <v>-20.399999999999636</v>
      </c>
    </row>
    <row r="3456" spans="2:34" x14ac:dyDescent="0.35">
      <c r="B3456" t="s">
        <v>747</v>
      </c>
      <c r="C3456">
        <v>45703</v>
      </c>
      <c r="F3456" t="s">
        <v>752</v>
      </c>
      <c r="H3456">
        <v>197.89</v>
      </c>
      <c r="O3456" t="s">
        <v>239</v>
      </c>
      <c r="P3456" t="s">
        <v>514</v>
      </c>
      <c r="Y3456">
        <v>3422</v>
      </c>
      <c r="Z3456" s="259" t="s">
        <v>630</v>
      </c>
      <c r="AA3456">
        <v>0</v>
      </c>
      <c r="AB3456">
        <v>0</v>
      </c>
      <c r="AC3456">
        <v>45702</v>
      </c>
      <c r="AD3456">
        <v>1</v>
      </c>
      <c r="AE3456">
        <v>0</v>
      </c>
      <c r="AF3456">
        <v>0</v>
      </c>
      <c r="AG3456">
        <v>0</v>
      </c>
      <c r="AH3456">
        <v>0</v>
      </c>
    </row>
    <row r="3457" spans="2:34" x14ac:dyDescent="0.35">
      <c r="B3457" t="s">
        <v>747</v>
      </c>
      <c r="C3457">
        <v>45703</v>
      </c>
      <c r="F3457" t="s">
        <v>754</v>
      </c>
      <c r="H3457">
        <v>80.069999999999993</v>
      </c>
      <c r="O3457" t="s">
        <v>239</v>
      </c>
      <c r="P3457" t="s">
        <v>514</v>
      </c>
      <c r="Y3457">
        <v>3423</v>
      </c>
      <c r="Z3457" s="259" t="s">
        <v>630</v>
      </c>
      <c r="AA3457">
        <v>100</v>
      </c>
      <c r="AB3457">
        <v>8008</v>
      </c>
      <c r="AC3457">
        <v>45702</v>
      </c>
      <c r="AD3457">
        <v>1</v>
      </c>
      <c r="AE3457">
        <v>8006.9999999999991</v>
      </c>
      <c r="AF3457">
        <v>8006.9999999999991</v>
      </c>
      <c r="AG3457">
        <v>0</v>
      </c>
      <c r="AH3457">
        <v>-1.0000000000009095</v>
      </c>
    </row>
    <row r="3458" spans="2:34" x14ac:dyDescent="0.35">
      <c r="B3458" t="s">
        <v>747</v>
      </c>
      <c r="C3458">
        <v>45704</v>
      </c>
      <c r="F3458" t="s">
        <v>749</v>
      </c>
      <c r="H3458">
        <v>99.59</v>
      </c>
      <c r="O3458" t="s">
        <v>239</v>
      </c>
      <c r="P3458" t="s">
        <v>514</v>
      </c>
      <c r="Y3458">
        <v>3424</v>
      </c>
      <c r="Z3458" s="259" t="s">
        <v>630</v>
      </c>
      <c r="AA3458">
        <v>40</v>
      </c>
      <c r="AB3458">
        <v>4004</v>
      </c>
      <c r="AC3458">
        <v>45702</v>
      </c>
      <c r="AD3458">
        <v>2</v>
      </c>
      <c r="AE3458">
        <v>3983.6000000000004</v>
      </c>
      <c r="AF3458">
        <v>3983.6000000000004</v>
      </c>
      <c r="AG3458">
        <v>0</v>
      </c>
      <c r="AH3458">
        <v>-20.399999999999636</v>
      </c>
    </row>
    <row r="3459" spans="2:34" x14ac:dyDescent="0.35">
      <c r="B3459" t="s">
        <v>747</v>
      </c>
      <c r="C3459">
        <v>45704</v>
      </c>
      <c r="F3459" t="s">
        <v>752</v>
      </c>
      <c r="H3459">
        <v>197.89</v>
      </c>
      <c r="O3459" t="s">
        <v>239</v>
      </c>
      <c r="P3459" t="s">
        <v>514</v>
      </c>
      <c r="Y3459">
        <v>3425</v>
      </c>
      <c r="Z3459" s="259" t="s">
        <v>630</v>
      </c>
      <c r="AA3459">
        <v>0</v>
      </c>
      <c r="AB3459">
        <v>0</v>
      </c>
      <c r="AC3459">
        <v>45702</v>
      </c>
      <c r="AD3459">
        <v>2</v>
      </c>
      <c r="AE3459">
        <v>0</v>
      </c>
      <c r="AF3459">
        <v>0</v>
      </c>
      <c r="AG3459">
        <v>0</v>
      </c>
      <c r="AH3459">
        <v>0</v>
      </c>
    </row>
    <row r="3460" spans="2:34" x14ac:dyDescent="0.35">
      <c r="B3460" t="s">
        <v>747</v>
      </c>
      <c r="C3460">
        <v>45704</v>
      </c>
      <c r="F3460" t="s">
        <v>754</v>
      </c>
      <c r="H3460">
        <v>80.069999999999993</v>
      </c>
      <c r="O3460" t="s">
        <v>239</v>
      </c>
      <c r="P3460" t="s">
        <v>514</v>
      </c>
      <c r="Y3460">
        <v>3426</v>
      </c>
      <c r="Z3460" s="259" t="s">
        <v>630</v>
      </c>
      <c r="AA3460">
        <v>100</v>
      </c>
      <c r="AB3460">
        <v>8008</v>
      </c>
      <c r="AC3460">
        <v>45702</v>
      </c>
      <c r="AD3460">
        <v>2</v>
      </c>
      <c r="AE3460">
        <v>8006.9999999999991</v>
      </c>
      <c r="AF3460">
        <v>8006.9999999999991</v>
      </c>
      <c r="AG3460">
        <v>0</v>
      </c>
      <c r="AH3460">
        <v>-1.0000000000009095</v>
      </c>
    </row>
    <row r="3461" spans="2:34" x14ac:dyDescent="0.35">
      <c r="B3461" t="s">
        <v>747</v>
      </c>
      <c r="C3461">
        <v>45705</v>
      </c>
      <c r="F3461" t="s">
        <v>749</v>
      </c>
      <c r="H3461">
        <v>99.04</v>
      </c>
      <c r="O3461" t="s">
        <v>239</v>
      </c>
      <c r="P3461" t="s">
        <v>514</v>
      </c>
      <c r="Y3461">
        <v>3427</v>
      </c>
      <c r="Z3461" s="259" t="s">
        <v>630</v>
      </c>
      <c r="AA3461">
        <v>40</v>
      </c>
      <c r="AB3461">
        <v>4004</v>
      </c>
      <c r="AC3461">
        <v>45705</v>
      </c>
      <c r="AD3461">
        <v>0</v>
      </c>
      <c r="AE3461">
        <v>3961.6000000000004</v>
      </c>
      <c r="AF3461">
        <v>3961.6000000000004</v>
      </c>
      <c r="AG3461">
        <v>0</v>
      </c>
      <c r="AH3461">
        <v>-42.399999999999636</v>
      </c>
    </row>
    <row r="3462" spans="2:34" x14ac:dyDescent="0.35">
      <c r="B3462" t="s">
        <v>747</v>
      </c>
      <c r="C3462">
        <v>45705</v>
      </c>
      <c r="F3462" t="s">
        <v>752</v>
      </c>
      <c r="H3462">
        <v>198.56</v>
      </c>
      <c r="O3462" t="s">
        <v>239</v>
      </c>
      <c r="P3462" t="s">
        <v>514</v>
      </c>
      <c r="Y3462">
        <v>3428</v>
      </c>
      <c r="Z3462" s="259" t="s">
        <v>630</v>
      </c>
      <c r="AA3462">
        <v>0</v>
      </c>
      <c r="AB3462">
        <v>0</v>
      </c>
      <c r="AC3462">
        <v>45705</v>
      </c>
      <c r="AD3462">
        <v>0</v>
      </c>
      <c r="AE3462">
        <v>0</v>
      </c>
      <c r="AF3462">
        <v>0</v>
      </c>
      <c r="AG3462">
        <v>0</v>
      </c>
      <c r="AH3462">
        <v>0</v>
      </c>
    </row>
    <row r="3463" spans="2:34" x14ac:dyDescent="0.35">
      <c r="B3463" t="s">
        <v>747</v>
      </c>
      <c r="C3463">
        <v>45705</v>
      </c>
      <c r="F3463" t="s">
        <v>754</v>
      </c>
      <c r="H3463">
        <v>79.63</v>
      </c>
      <c r="O3463" t="s">
        <v>239</v>
      </c>
      <c r="P3463" t="s">
        <v>514</v>
      </c>
      <c r="Y3463">
        <v>3429</v>
      </c>
      <c r="Z3463" s="259" t="s">
        <v>630</v>
      </c>
      <c r="AA3463">
        <v>100</v>
      </c>
      <c r="AB3463">
        <v>8008</v>
      </c>
      <c r="AC3463">
        <v>45705</v>
      </c>
      <c r="AD3463">
        <v>0</v>
      </c>
      <c r="AE3463">
        <v>7963</v>
      </c>
      <c r="AF3463">
        <v>7963</v>
      </c>
      <c r="AG3463">
        <v>0</v>
      </c>
      <c r="AH3463">
        <v>-45</v>
      </c>
    </row>
    <row r="3464" spans="2:34" x14ac:dyDescent="0.35">
      <c r="B3464" t="s">
        <v>747</v>
      </c>
      <c r="C3464">
        <v>45706</v>
      </c>
      <c r="F3464" t="s">
        <v>749</v>
      </c>
      <c r="H3464">
        <v>98.85</v>
      </c>
      <c r="O3464" t="s">
        <v>239</v>
      </c>
      <c r="P3464" t="s">
        <v>514</v>
      </c>
      <c r="Y3464">
        <v>3430</v>
      </c>
      <c r="Z3464" s="259" t="s">
        <v>630</v>
      </c>
      <c r="AA3464">
        <v>40</v>
      </c>
      <c r="AB3464">
        <v>4004</v>
      </c>
      <c r="AC3464">
        <v>45706</v>
      </c>
      <c r="AD3464">
        <v>0</v>
      </c>
      <c r="AE3464">
        <v>3954</v>
      </c>
      <c r="AF3464">
        <v>3954</v>
      </c>
      <c r="AG3464">
        <v>0</v>
      </c>
      <c r="AH3464">
        <v>-50</v>
      </c>
    </row>
    <row r="3465" spans="2:34" x14ac:dyDescent="0.35">
      <c r="B3465" t="s">
        <v>747</v>
      </c>
      <c r="C3465">
        <v>45706</v>
      </c>
      <c r="F3465" t="s">
        <v>752</v>
      </c>
      <c r="H3465">
        <v>198.78</v>
      </c>
      <c r="O3465" t="s">
        <v>239</v>
      </c>
      <c r="P3465" t="s">
        <v>514</v>
      </c>
      <c r="Y3465">
        <v>3431</v>
      </c>
      <c r="Z3465" s="259" t="s">
        <v>630</v>
      </c>
      <c r="AA3465">
        <v>0</v>
      </c>
      <c r="AB3465">
        <v>0</v>
      </c>
      <c r="AC3465">
        <v>45706</v>
      </c>
      <c r="AD3465">
        <v>0</v>
      </c>
      <c r="AE3465">
        <v>0</v>
      </c>
      <c r="AF3465">
        <v>0</v>
      </c>
      <c r="AG3465">
        <v>0</v>
      </c>
      <c r="AH3465">
        <v>0</v>
      </c>
    </row>
    <row r="3466" spans="2:34" x14ac:dyDescent="0.35">
      <c r="B3466" t="s">
        <v>747</v>
      </c>
      <c r="C3466">
        <v>45706</v>
      </c>
      <c r="F3466" t="s">
        <v>754</v>
      </c>
      <c r="H3466">
        <v>79.48</v>
      </c>
      <c r="O3466" t="s">
        <v>239</v>
      </c>
      <c r="P3466" t="s">
        <v>514</v>
      </c>
      <c r="Y3466">
        <v>3432</v>
      </c>
      <c r="Z3466" s="259" t="s">
        <v>630</v>
      </c>
      <c r="AA3466">
        <v>100</v>
      </c>
      <c r="AB3466">
        <v>8008</v>
      </c>
      <c r="AC3466">
        <v>45706</v>
      </c>
      <c r="AD3466">
        <v>0</v>
      </c>
      <c r="AE3466">
        <v>7948</v>
      </c>
      <c r="AF3466">
        <v>7948</v>
      </c>
      <c r="AG3466">
        <v>0</v>
      </c>
      <c r="AH3466">
        <v>-60</v>
      </c>
    </row>
    <row r="3467" spans="2:34" x14ac:dyDescent="0.35">
      <c r="B3467" t="s">
        <v>747</v>
      </c>
      <c r="C3467">
        <v>45707</v>
      </c>
      <c r="F3467" t="s">
        <v>749</v>
      </c>
      <c r="H3467">
        <v>98.67</v>
      </c>
      <c r="O3467" t="s">
        <v>239</v>
      </c>
      <c r="P3467" t="s">
        <v>514</v>
      </c>
      <c r="Y3467">
        <v>3433</v>
      </c>
      <c r="Z3467" s="259" t="s">
        <v>630</v>
      </c>
      <c r="AA3467">
        <v>40</v>
      </c>
      <c r="AB3467">
        <v>4004</v>
      </c>
      <c r="AC3467">
        <v>45707</v>
      </c>
      <c r="AD3467">
        <v>0</v>
      </c>
      <c r="AE3467">
        <v>3946.8</v>
      </c>
      <c r="AF3467">
        <v>3946.8</v>
      </c>
      <c r="AG3467">
        <v>0</v>
      </c>
      <c r="AH3467">
        <v>-57.199999999999818</v>
      </c>
    </row>
    <row r="3468" spans="2:34" x14ac:dyDescent="0.35">
      <c r="B3468" t="s">
        <v>747</v>
      </c>
      <c r="C3468">
        <v>45707</v>
      </c>
      <c r="F3468" t="s">
        <v>752</v>
      </c>
      <c r="H3468">
        <v>199</v>
      </c>
      <c r="O3468" t="s">
        <v>239</v>
      </c>
      <c r="P3468" t="s">
        <v>514</v>
      </c>
      <c r="Y3468">
        <v>3434</v>
      </c>
      <c r="Z3468" s="259" t="s">
        <v>630</v>
      </c>
      <c r="AA3468">
        <v>0</v>
      </c>
      <c r="AB3468">
        <v>0</v>
      </c>
      <c r="AC3468">
        <v>45707</v>
      </c>
      <c r="AD3468">
        <v>0</v>
      </c>
      <c r="AE3468">
        <v>0</v>
      </c>
      <c r="AF3468">
        <v>0</v>
      </c>
      <c r="AG3468">
        <v>0</v>
      </c>
      <c r="AH3468">
        <v>0</v>
      </c>
    </row>
    <row r="3469" spans="2:34" x14ac:dyDescent="0.35">
      <c r="B3469" t="s">
        <v>747</v>
      </c>
      <c r="C3469">
        <v>45707</v>
      </c>
      <c r="F3469" t="s">
        <v>754</v>
      </c>
      <c r="H3469">
        <v>79.33</v>
      </c>
      <c r="O3469" t="s">
        <v>239</v>
      </c>
      <c r="P3469" t="s">
        <v>514</v>
      </c>
      <c r="Y3469">
        <v>3435</v>
      </c>
      <c r="Z3469" s="259" t="s">
        <v>630</v>
      </c>
      <c r="AA3469">
        <v>100</v>
      </c>
      <c r="AB3469">
        <v>8008</v>
      </c>
      <c r="AC3469">
        <v>45707</v>
      </c>
      <c r="AD3469">
        <v>0</v>
      </c>
      <c r="AE3469">
        <v>7933</v>
      </c>
      <c r="AF3469">
        <v>7933</v>
      </c>
      <c r="AG3469">
        <v>0</v>
      </c>
      <c r="AH3469">
        <v>-75</v>
      </c>
    </row>
    <row r="3470" spans="2:34" x14ac:dyDescent="0.35">
      <c r="B3470" t="s">
        <v>747</v>
      </c>
      <c r="C3470">
        <v>45708</v>
      </c>
      <c r="F3470" t="s">
        <v>749</v>
      </c>
      <c r="H3470">
        <v>98.48</v>
      </c>
      <c r="O3470" t="s">
        <v>239</v>
      </c>
      <c r="P3470" t="s">
        <v>514</v>
      </c>
      <c r="Y3470">
        <v>3436</v>
      </c>
      <c r="Z3470" s="259" t="s">
        <v>630</v>
      </c>
      <c r="AA3470">
        <v>40</v>
      </c>
      <c r="AB3470">
        <v>4004</v>
      </c>
      <c r="AC3470">
        <v>45708</v>
      </c>
      <c r="AD3470">
        <v>0</v>
      </c>
      <c r="AE3470">
        <v>3939.2000000000003</v>
      </c>
      <c r="AF3470">
        <v>3939.2000000000003</v>
      </c>
      <c r="AG3470">
        <v>0</v>
      </c>
      <c r="AH3470">
        <v>-64.799999999999727</v>
      </c>
    </row>
    <row r="3471" spans="2:34" x14ac:dyDescent="0.35">
      <c r="B3471" t="s">
        <v>747</v>
      </c>
      <c r="C3471">
        <v>45708</v>
      </c>
      <c r="F3471" t="s">
        <v>752</v>
      </c>
      <c r="H3471">
        <v>199.22</v>
      </c>
      <c r="O3471" t="s">
        <v>239</v>
      </c>
      <c r="P3471" t="s">
        <v>514</v>
      </c>
      <c r="Y3471">
        <v>3437</v>
      </c>
      <c r="Z3471" s="259" t="s">
        <v>630</v>
      </c>
      <c r="AA3471">
        <v>0</v>
      </c>
      <c r="AB3471">
        <v>0</v>
      </c>
      <c r="AC3471">
        <v>45708</v>
      </c>
      <c r="AD3471">
        <v>0</v>
      </c>
      <c r="AE3471">
        <v>0</v>
      </c>
      <c r="AF3471">
        <v>0</v>
      </c>
      <c r="AG3471">
        <v>0</v>
      </c>
      <c r="AH3471">
        <v>0</v>
      </c>
    </row>
    <row r="3472" spans="2:34" x14ac:dyDescent="0.35">
      <c r="B3472" t="s">
        <v>747</v>
      </c>
      <c r="C3472">
        <v>45708</v>
      </c>
      <c r="F3472" t="s">
        <v>754</v>
      </c>
      <c r="H3472">
        <v>79.19</v>
      </c>
      <c r="O3472" t="s">
        <v>239</v>
      </c>
      <c r="P3472" t="s">
        <v>514</v>
      </c>
      <c r="Y3472">
        <v>3438</v>
      </c>
      <c r="Z3472" s="259" t="s">
        <v>630</v>
      </c>
      <c r="AA3472">
        <v>100</v>
      </c>
      <c r="AB3472">
        <v>8008</v>
      </c>
      <c r="AC3472">
        <v>45708</v>
      </c>
      <c r="AD3472">
        <v>0</v>
      </c>
      <c r="AE3472">
        <v>7919</v>
      </c>
      <c r="AF3472">
        <v>7919</v>
      </c>
      <c r="AG3472">
        <v>0</v>
      </c>
      <c r="AH3472">
        <v>-89</v>
      </c>
    </row>
    <row r="3473" spans="2:34" x14ac:dyDescent="0.35">
      <c r="B3473" t="s">
        <v>747</v>
      </c>
      <c r="C3473">
        <v>45709</v>
      </c>
      <c r="F3473" t="s">
        <v>749</v>
      </c>
      <c r="H3473">
        <v>98.3</v>
      </c>
      <c r="O3473" t="s">
        <v>239</v>
      </c>
      <c r="P3473" t="s">
        <v>514</v>
      </c>
      <c r="Y3473">
        <v>3439</v>
      </c>
      <c r="Z3473" s="259" t="s">
        <v>630</v>
      </c>
      <c r="AA3473">
        <v>40</v>
      </c>
      <c r="AB3473">
        <v>4004</v>
      </c>
      <c r="AC3473">
        <v>45709</v>
      </c>
      <c r="AD3473">
        <v>0</v>
      </c>
      <c r="AE3473">
        <v>3932</v>
      </c>
      <c r="AF3473">
        <v>3932</v>
      </c>
      <c r="AG3473">
        <v>0</v>
      </c>
      <c r="AH3473">
        <v>-72</v>
      </c>
    </row>
    <row r="3474" spans="2:34" x14ac:dyDescent="0.35">
      <c r="B3474" t="s">
        <v>747</v>
      </c>
      <c r="C3474">
        <v>45709</v>
      </c>
      <c r="F3474" t="s">
        <v>752</v>
      </c>
      <c r="H3474">
        <v>199.44</v>
      </c>
      <c r="O3474" t="s">
        <v>239</v>
      </c>
      <c r="P3474" t="s">
        <v>514</v>
      </c>
      <c r="Y3474">
        <v>3440</v>
      </c>
      <c r="Z3474" s="259" t="s">
        <v>630</v>
      </c>
      <c r="AA3474">
        <v>0</v>
      </c>
      <c r="AB3474">
        <v>0</v>
      </c>
      <c r="AC3474">
        <v>45709</v>
      </c>
      <c r="AD3474">
        <v>0</v>
      </c>
      <c r="AE3474">
        <v>0</v>
      </c>
      <c r="AF3474">
        <v>0</v>
      </c>
      <c r="AG3474">
        <v>0</v>
      </c>
      <c r="AH3474">
        <v>0</v>
      </c>
    </row>
    <row r="3475" spans="2:34" x14ac:dyDescent="0.35">
      <c r="B3475" t="s">
        <v>747</v>
      </c>
      <c r="C3475">
        <v>45709</v>
      </c>
      <c r="F3475" t="s">
        <v>754</v>
      </c>
      <c r="H3475">
        <v>79.040000000000006</v>
      </c>
      <c r="O3475" t="s">
        <v>239</v>
      </c>
      <c r="P3475" t="s">
        <v>514</v>
      </c>
      <c r="Y3475">
        <v>3441</v>
      </c>
      <c r="Z3475" s="259" t="s">
        <v>630</v>
      </c>
      <c r="AA3475">
        <v>100</v>
      </c>
      <c r="AB3475">
        <v>8008</v>
      </c>
      <c r="AC3475">
        <v>45709</v>
      </c>
      <c r="AD3475">
        <v>0</v>
      </c>
      <c r="AE3475">
        <v>7904.0000000000009</v>
      </c>
      <c r="AF3475">
        <v>7904.0000000000009</v>
      </c>
      <c r="AG3475">
        <v>0</v>
      </c>
      <c r="AH3475">
        <v>-103.99999999999909</v>
      </c>
    </row>
    <row r="3476" spans="2:34" x14ac:dyDescent="0.35">
      <c r="B3476" t="s">
        <v>747</v>
      </c>
      <c r="C3476">
        <v>45710</v>
      </c>
      <c r="F3476" t="s">
        <v>749</v>
      </c>
      <c r="H3476">
        <v>98.3</v>
      </c>
      <c r="O3476" t="s">
        <v>239</v>
      </c>
      <c r="P3476" t="s">
        <v>514</v>
      </c>
      <c r="Y3476">
        <v>3442</v>
      </c>
      <c r="Z3476" s="259" t="s">
        <v>630</v>
      </c>
      <c r="AA3476">
        <v>40</v>
      </c>
      <c r="AB3476">
        <v>4004</v>
      </c>
      <c r="AC3476">
        <v>45709</v>
      </c>
      <c r="AD3476">
        <v>1</v>
      </c>
      <c r="AE3476">
        <v>3932</v>
      </c>
      <c r="AF3476">
        <v>3932</v>
      </c>
      <c r="AG3476">
        <v>0</v>
      </c>
      <c r="AH3476">
        <v>-72</v>
      </c>
    </row>
    <row r="3477" spans="2:34" x14ac:dyDescent="0.35">
      <c r="B3477" t="s">
        <v>747</v>
      </c>
      <c r="C3477">
        <v>45710</v>
      </c>
      <c r="F3477" t="s">
        <v>752</v>
      </c>
      <c r="H3477">
        <v>199.44</v>
      </c>
      <c r="O3477" t="s">
        <v>239</v>
      </c>
      <c r="P3477" t="s">
        <v>514</v>
      </c>
      <c r="Y3477">
        <v>3443</v>
      </c>
      <c r="Z3477" s="259" t="s">
        <v>630</v>
      </c>
      <c r="AA3477">
        <v>0</v>
      </c>
      <c r="AB3477">
        <v>0</v>
      </c>
      <c r="AC3477">
        <v>45709</v>
      </c>
      <c r="AD3477">
        <v>1</v>
      </c>
      <c r="AE3477">
        <v>0</v>
      </c>
      <c r="AF3477">
        <v>0</v>
      </c>
      <c r="AG3477">
        <v>0</v>
      </c>
      <c r="AH3477">
        <v>0</v>
      </c>
    </row>
    <row r="3478" spans="2:34" x14ac:dyDescent="0.35">
      <c r="B3478" t="s">
        <v>747</v>
      </c>
      <c r="C3478">
        <v>45710</v>
      </c>
      <c r="F3478" t="s">
        <v>754</v>
      </c>
      <c r="H3478">
        <v>79.040000000000006</v>
      </c>
      <c r="O3478" t="s">
        <v>239</v>
      </c>
      <c r="P3478" t="s">
        <v>514</v>
      </c>
      <c r="Y3478">
        <v>3444</v>
      </c>
      <c r="Z3478" s="259" t="s">
        <v>630</v>
      </c>
      <c r="AA3478">
        <v>100</v>
      </c>
      <c r="AB3478">
        <v>8008</v>
      </c>
      <c r="AC3478">
        <v>45709</v>
      </c>
      <c r="AD3478">
        <v>1</v>
      </c>
      <c r="AE3478">
        <v>7904.0000000000009</v>
      </c>
      <c r="AF3478">
        <v>7904.0000000000009</v>
      </c>
      <c r="AG3478">
        <v>0</v>
      </c>
      <c r="AH3478">
        <v>-103.99999999999909</v>
      </c>
    </row>
    <row r="3479" spans="2:34" x14ac:dyDescent="0.35">
      <c r="B3479" t="s">
        <v>747</v>
      </c>
      <c r="C3479">
        <v>45711</v>
      </c>
      <c r="F3479" t="s">
        <v>749</v>
      </c>
      <c r="H3479">
        <v>98.3</v>
      </c>
      <c r="O3479" t="s">
        <v>239</v>
      </c>
      <c r="P3479" t="s">
        <v>514</v>
      </c>
      <c r="Y3479">
        <v>3445</v>
      </c>
      <c r="Z3479" s="259" t="s">
        <v>630</v>
      </c>
      <c r="AA3479">
        <v>40</v>
      </c>
      <c r="AB3479">
        <v>4004</v>
      </c>
      <c r="AC3479">
        <v>45709</v>
      </c>
      <c r="AD3479">
        <v>2</v>
      </c>
      <c r="AE3479">
        <v>3932</v>
      </c>
      <c r="AF3479">
        <v>3932</v>
      </c>
      <c r="AG3479">
        <v>0</v>
      </c>
      <c r="AH3479">
        <v>-72</v>
      </c>
    </row>
    <row r="3480" spans="2:34" x14ac:dyDescent="0.35">
      <c r="B3480" t="s">
        <v>747</v>
      </c>
      <c r="C3480">
        <v>45711</v>
      </c>
      <c r="F3480" t="s">
        <v>752</v>
      </c>
      <c r="H3480">
        <v>199.44</v>
      </c>
      <c r="O3480" t="s">
        <v>239</v>
      </c>
      <c r="P3480" t="s">
        <v>514</v>
      </c>
      <c r="Y3480">
        <v>3446</v>
      </c>
      <c r="Z3480" s="259" t="s">
        <v>630</v>
      </c>
      <c r="AA3480">
        <v>0</v>
      </c>
      <c r="AB3480">
        <v>0</v>
      </c>
      <c r="AC3480">
        <v>45709</v>
      </c>
      <c r="AD3480">
        <v>2</v>
      </c>
      <c r="AE3480">
        <v>0</v>
      </c>
      <c r="AF3480">
        <v>0</v>
      </c>
      <c r="AG3480">
        <v>0</v>
      </c>
      <c r="AH3480">
        <v>0</v>
      </c>
    </row>
    <row r="3481" spans="2:34" x14ac:dyDescent="0.35">
      <c r="B3481" t="s">
        <v>747</v>
      </c>
      <c r="C3481">
        <v>45711</v>
      </c>
      <c r="F3481" t="s">
        <v>754</v>
      </c>
      <c r="H3481">
        <v>79.040000000000006</v>
      </c>
      <c r="O3481" t="s">
        <v>239</v>
      </c>
      <c r="P3481" t="s">
        <v>514</v>
      </c>
      <c r="Y3481">
        <v>3447</v>
      </c>
      <c r="Z3481" s="259" t="s">
        <v>630</v>
      </c>
      <c r="AA3481">
        <v>100</v>
      </c>
      <c r="AB3481">
        <v>8008</v>
      </c>
      <c r="AC3481">
        <v>45709</v>
      </c>
      <c r="AD3481">
        <v>2</v>
      </c>
      <c r="AE3481">
        <v>7904.0000000000009</v>
      </c>
      <c r="AF3481">
        <v>7904.0000000000009</v>
      </c>
      <c r="AG3481">
        <v>0</v>
      </c>
      <c r="AH3481">
        <v>-103.99999999999909</v>
      </c>
    </row>
    <row r="3482" spans="2:34" x14ac:dyDescent="0.35">
      <c r="B3482" t="s">
        <v>747</v>
      </c>
      <c r="C3482">
        <v>45712</v>
      </c>
      <c r="F3482" t="s">
        <v>749</v>
      </c>
      <c r="H3482">
        <v>97.74</v>
      </c>
      <c r="O3482" t="s">
        <v>239</v>
      </c>
      <c r="P3482" t="s">
        <v>514</v>
      </c>
      <c r="Y3482">
        <v>3448</v>
      </c>
      <c r="Z3482" s="259" t="s">
        <v>630</v>
      </c>
      <c r="AA3482">
        <v>40</v>
      </c>
      <c r="AB3482">
        <v>4004</v>
      </c>
      <c r="AC3482">
        <v>45712</v>
      </c>
      <c r="AD3482">
        <v>0</v>
      </c>
      <c r="AE3482">
        <v>3909.6</v>
      </c>
      <c r="AF3482">
        <v>3909.6</v>
      </c>
      <c r="AG3482">
        <v>0</v>
      </c>
      <c r="AH3482">
        <v>-94.400000000000091</v>
      </c>
    </row>
    <row r="3483" spans="2:34" x14ac:dyDescent="0.35">
      <c r="B3483" t="s">
        <v>747</v>
      </c>
      <c r="C3483">
        <v>45712</v>
      </c>
      <c r="F3483" t="s">
        <v>752</v>
      </c>
      <c r="H3483">
        <v>200.11</v>
      </c>
      <c r="O3483" t="s">
        <v>239</v>
      </c>
      <c r="P3483" t="s">
        <v>514</v>
      </c>
      <c r="Y3483">
        <v>3449</v>
      </c>
      <c r="Z3483" s="259" t="s">
        <v>630</v>
      </c>
      <c r="AA3483">
        <v>0</v>
      </c>
      <c r="AB3483">
        <v>0</v>
      </c>
      <c r="AC3483">
        <v>45712</v>
      </c>
      <c r="AD3483">
        <v>0</v>
      </c>
      <c r="AE3483">
        <v>0</v>
      </c>
      <c r="AF3483">
        <v>0</v>
      </c>
      <c r="AG3483">
        <v>0</v>
      </c>
      <c r="AH3483">
        <v>0</v>
      </c>
    </row>
    <row r="3484" spans="2:34" x14ac:dyDescent="0.35">
      <c r="B3484" t="s">
        <v>747</v>
      </c>
      <c r="C3484">
        <v>45712</v>
      </c>
      <c r="F3484" t="s">
        <v>754</v>
      </c>
      <c r="H3484">
        <v>78.59</v>
      </c>
      <c r="O3484" t="s">
        <v>239</v>
      </c>
      <c r="P3484" t="s">
        <v>514</v>
      </c>
      <c r="Y3484">
        <v>3450</v>
      </c>
      <c r="Z3484" s="259" t="s">
        <v>630</v>
      </c>
      <c r="AA3484">
        <v>100</v>
      </c>
      <c r="AB3484">
        <v>8008</v>
      </c>
      <c r="AC3484">
        <v>45712</v>
      </c>
      <c r="AD3484">
        <v>0</v>
      </c>
      <c r="AE3484">
        <v>7859</v>
      </c>
      <c r="AF3484">
        <v>7859</v>
      </c>
      <c r="AG3484">
        <v>0</v>
      </c>
      <c r="AH3484">
        <v>-149</v>
      </c>
    </row>
    <row r="3485" spans="2:34" x14ac:dyDescent="0.35">
      <c r="B3485" t="s">
        <v>747</v>
      </c>
      <c r="C3485">
        <v>45713</v>
      </c>
      <c r="F3485" t="s">
        <v>749</v>
      </c>
      <c r="H3485">
        <v>97.56</v>
      </c>
      <c r="O3485" t="s">
        <v>239</v>
      </c>
      <c r="P3485" t="s">
        <v>514</v>
      </c>
      <c r="Y3485">
        <v>3451</v>
      </c>
      <c r="Z3485" s="259" t="s">
        <v>630</v>
      </c>
      <c r="AA3485">
        <v>40</v>
      </c>
      <c r="AB3485">
        <v>4004</v>
      </c>
      <c r="AC3485">
        <v>45713</v>
      </c>
      <c r="AD3485">
        <v>0</v>
      </c>
      <c r="AE3485">
        <v>3902.4</v>
      </c>
      <c r="AF3485">
        <v>3902.4</v>
      </c>
      <c r="AG3485">
        <v>0</v>
      </c>
      <c r="AH3485">
        <v>-101.59999999999991</v>
      </c>
    </row>
    <row r="3486" spans="2:34" x14ac:dyDescent="0.35">
      <c r="B3486" t="s">
        <v>747</v>
      </c>
      <c r="C3486">
        <v>45713</v>
      </c>
      <c r="F3486" t="s">
        <v>752</v>
      </c>
      <c r="H3486">
        <v>200.33</v>
      </c>
      <c r="O3486" t="s">
        <v>239</v>
      </c>
      <c r="P3486" t="s">
        <v>514</v>
      </c>
      <c r="Y3486">
        <v>3452</v>
      </c>
      <c r="Z3486" s="259" t="s">
        <v>630</v>
      </c>
      <c r="AA3486">
        <v>0</v>
      </c>
      <c r="AB3486">
        <v>0</v>
      </c>
      <c r="AC3486">
        <v>45713</v>
      </c>
      <c r="AD3486">
        <v>0</v>
      </c>
      <c r="AE3486">
        <v>0</v>
      </c>
      <c r="AF3486">
        <v>0</v>
      </c>
      <c r="AG3486">
        <v>0</v>
      </c>
      <c r="AH3486">
        <v>0</v>
      </c>
    </row>
    <row r="3487" spans="2:34" x14ac:dyDescent="0.35">
      <c r="B3487" t="s">
        <v>747</v>
      </c>
      <c r="C3487">
        <v>45713</v>
      </c>
      <c r="F3487" t="s">
        <v>754</v>
      </c>
      <c r="H3487">
        <v>78.44</v>
      </c>
      <c r="O3487" t="s">
        <v>239</v>
      </c>
      <c r="P3487" t="s">
        <v>514</v>
      </c>
      <c r="Y3487">
        <v>3453</v>
      </c>
      <c r="Z3487" s="259" t="s">
        <v>630</v>
      </c>
      <c r="AA3487">
        <v>100</v>
      </c>
      <c r="AB3487">
        <v>8008</v>
      </c>
      <c r="AC3487">
        <v>45713</v>
      </c>
      <c r="AD3487">
        <v>0</v>
      </c>
      <c r="AE3487">
        <v>7844</v>
      </c>
      <c r="AF3487">
        <v>7844</v>
      </c>
      <c r="AG3487">
        <v>0</v>
      </c>
      <c r="AH3487">
        <v>-164</v>
      </c>
    </row>
    <row r="3488" spans="2:34" x14ac:dyDescent="0.35">
      <c r="B3488" t="s">
        <v>747</v>
      </c>
      <c r="C3488">
        <v>45714</v>
      </c>
      <c r="F3488" t="s">
        <v>749</v>
      </c>
      <c r="H3488">
        <v>97.37</v>
      </c>
      <c r="O3488" t="s">
        <v>239</v>
      </c>
      <c r="P3488" t="s">
        <v>514</v>
      </c>
      <c r="Y3488">
        <v>3454</v>
      </c>
      <c r="Z3488" s="259" t="s">
        <v>630</v>
      </c>
      <c r="AA3488">
        <v>40</v>
      </c>
      <c r="AB3488">
        <v>4004</v>
      </c>
      <c r="AC3488">
        <v>45714</v>
      </c>
      <c r="AD3488">
        <v>0</v>
      </c>
      <c r="AE3488">
        <v>3894.8</v>
      </c>
      <c r="AF3488">
        <v>3894.8</v>
      </c>
      <c r="AG3488">
        <v>0</v>
      </c>
      <c r="AH3488">
        <v>-109.19999999999982</v>
      </c>
    </row>
    <row r="3489" spans="2:34" x14ac:dyDescent="0.35">
      <c r="B3489" t="s">
        <v>747</v>
      </c>
      <c r="C3489">
        <v>45714</v>
      </c>
      <c r="F3489" t="s">
        <v>752</v>
      </c>
      <c r="H3489">
        <v>200.56</v>
      </c>
      <c r="O3489" t="s">
        <v>239</v>
      </c>
      <c r="P3489" t="s">
        <v>514</v>
      </c>
      <c r="Y3489">
        <v>3455</v>
      </c>
      <c r="Z3489" s="259" t="s">
        <v>630</v>
      </c>
      <c r="AA3489">
        <v>0</v>
      </c>
      <c r="AB3489">
        <v>0</v>
      </c>
      <c r="AC3489">
        <v>45714</v>
      </c>
      <c r="AD3489">
        <v>0</v>
      </c>
      <c r="AE3489">
        <v>0</v>
      </c>
      <c r="AF3489">
        <v>0</v>
      </c>
      <c r="AG3489">
        <v>0</v>
      </c>
      <c r="AH3489">
        <v>0</v>
      </c>
    </row>
    <row r="3490" spans="2:34" x14ac:dyDescent="0.35">
      <c r="B3490" t="s">
        <v>747</v>
      </c>
      <c r="C3490">
        <v>45714</v>
      </c>
      <c r="F3490" t="s">
        <v>754</v>
      </c>
      <c r="H3490">
        <v>78.3</v>
      </c>
      <c r="O3490" t="s">
        <v>239</v>
      </c>
      <c r="P3490" t="s">
        <v>514</v>
      </c>
      <c r="Y3490">
        <v>3456</v>
      </c>
      <c r="Z3490" s="259" t="s">
        <v>630</v>
      </c>
      <c r="AA3490">
        <v>100</v>
      </c>
      <c r="AB3490">
        <v>8008</v>
      </c>
      <c r="AC3490">
        <v>45714</v>
      </c>
      <c r="AD3490">
        <v>0</v>
      </c>
      <c r="AE3490">
        <v>7830</v>
      </c>
      <c r="AF3490">
        <v>7830</v>
      </c>
      <c r="AG3490">
        <v>0</v>
      </c>
      <c r="AH3490">
        <v>-178</v>
      </c>
    </row>
    <row r="3491" spans="2:34" x14ac:dyDescent="0.35">
      <c r="B3491" t="s">
        <v>747</v>
      </c>
      <c r="C3491">
        <v>45715</v>
      </c>
      <c r="F3491" t="s">
        <v>749</v>
      </c>
      <c r="H3491">
        <v>97.19</v>
      </c>
      <c r="O3491" t="s">
        <v>239</v>
      </c>
      <c r="P3491" t="s">
        <v>514</v>
      </c>
      <c r="Y3491">
        <v>3457</v>
      </c>
      <c r="Z3491" s="259" t="s">
        <v>630</v>
      </c>
      <c r="AA3491">
        <v>40</v>
      </c>
      <c r="AB3491">
        <v>4004</v>
      </c>
      <c r="AC3491">
        <v>45715</v>
      </c>
      <c r="AD3491">
        <v>0</v>
      </c>
      <c r="AE3491">
        <v>3887.6</v>
      </c>
      <c r="AF3491">
        <v>3887.6</v>
      </c>
      <c r="AG3491">
        <v>0</v>
      </c>
      <c r="AH3491">
        <v>-116.40000000000009</v>
      </c>
    </row>
    <row r="3492" spans="2:34" x14ac:dyDescent="0.35">
      <c r="B3492" t="s">
        <v>747</v>
      </c>
      <c r="C3492">
        <v>45715</v>
      </c>
      <c r="F3492" t="s">
        <v>752</v>
      </c>
      <c r="H3492">
        <v>200.78</v>
      </c>
      <c r="O3492" t="s">
        <v>239</v>
      </c>
      <c r="P3492" t="s">
        <v>514</v>
      </c>
      <c r="Y3492">
        <v>3458</v>
      </c>
      <c r="Z3492" s="259" t="s">
        <v>630</v>
      </c>
      <c r="AA3492">
        <v>0</v>
      </c>
      <c r="AB3492">
        <v>0</v>
      </c>
      <c r="AC3492">
        <v>45715</v>
      </c>
      <c r="AD3492">
        <v>0</v>
      </c>
      <c r="AE3492">
        <v>0</v>
      </c>
      <c r="AF3492">
        <v>0</v>
      </c>
      <c r="AG3492">
        <v>0</v>
      </c>
      <c r="AH3492">
        <v>0</v>
      </c>
    </row>
    <row r="3493" spans="2:34" x14ac:dyDescent="0.35">
      <c r="B3493" t="s">
        <v>747</v>
      </c>
      <c r="C3493">
        <v>45715</v>
      </c>
      <c r="F3493" t="s">
        <v>754</v>
      </c>
      <c r="H3493">
        <v>78.150000000000006</v>
      </c>
      <c r="O3493" t="s">
        <v>239</v>
      </c>
      <c r="P3493" t="s">
        <v>514</v>
      </c>
      <c r="Y3493">
        <v>3459</v>
      </c>
      <c r="Z3493" s="259" t="s">
        <v>630</v>
      </c>
      <c r="AA3493">
        <v>100</v>
      </c>
      <c r="AB3493">
        <v>8008</v>
      </c>
      <c r="AC3493">
        <v>45715</v>
      </c>
      <c r="AD3493">
        <v>0</v>
      </c>
      <c r="AE3493">
        <v>7815.0000000000009</v>
      </c>
      <c r="AF3493">
        <v>7815.0000000000009</v>
      </c>
      <c r="AG3493">
        <v>0</v>
      </c>
      <c r="AH3493">
        <v>-192.99999999999909</v>
      </c>
    </row>
    <row r="3494" spans="2:34" x14ac:dyDescent="0.35">
      <c r="B3494" t="s">
        <v>747</v>
      </c>
      <c r="C3494">
        <v>45716</v>
      </c>
      <c r="F3494" t="s">
        <v>749</v>
      </c>
      <c r="H3494">
        <v>97</v>
      </c>
      <c r="O3494" t="s">
        <v>239</v>
      </c>
      <c r="P3494" t="s">
        <v>514</v>
      </c>
      <c r="Y3494">
        <v>3460</v>
      </c>
      <c r="Z3494" s="259" t="s">
        <v>630</v>
      </c>
      <c r="AA3494">
        <v>40</v>
      </c>
      <c r="AB3494">
        <v>4004</v>
      </c>
      <c r="AC3494">
        <v>45716</v>
      </c>
      <c r="AD3494">
        <v>0</v>
      </c>
      <c r="AE3494">
        <v>3880</v>
      </c>
      <c r="AF3494">
        <v>3880</v>
      </c>
      <c r="AG3494">
        <v>0</v>
      </c>
      <c r="AH3494">
        <v>-124</v>
      </c>
    </row>
    <row r="3495" spans="2:34" x14ac:dyDescent="0.35">
      <c r="B3495" t="s">
        <v>747</v>
      </c>
      <c r="C3495">
        <v>45716</v>
      </c>
      <c r="F3495" t="s">
        <v>752</v>
      </c>
      <c r="H3495">
        <v>201</v>
      </c>
      <c r="O3495" t="s">
        <v>239</v>
      </c>
      <c r="P3495" t="s">
        <v>514</v>
      </c>
      <c r="Y3495">
        <v>3461</v>
      </c>
      <c r="Z3495" s="259" t="s">
        <v>630</v>
      </c>
      <c r="AA3495">
        <v>0</v>
      </c>
      <c r="AB3495">
        <v>0</v>
      </c>
      <c r="AC3495">
        <v>45716</v>
      </c>
      <c r="AD3495">
        <v>0</v>
      </c>
      <c r="AE3495">
        <v>0</v>
      </c>
      <c r="AF3495">
        <v>0</v>
      </c>
      <c r="AG3495">
        <v>0</v>
      </c>
      <c r="AH3495">
        <v>0</v>
      </c>
    </row>
    <row r="3496" spans="2:34" x14ac:dyDescent="0.35">
      <c r="B3496" t="s">
        <v>747</v>
      </c>
      <c r="C3496">
        <v>45716</v>
      </c>
      <c r="F3496" t="s">
        <v>754</v>
      </c>
      <c r="H3496">
        <v>78</v>
      </c>
      <c r="O3496" t="s">
        <v>239</v>
      </c>
      <c r="P3496" t="s">
        <v>514</v>
      </c>
      <c r="Y3496">
        <v>3462</v>
      </c>
      <c r="Z3496" s="259" t="s">
        <v>630</v>
      </c>
      <c r="AA3496">
        <v>100</v>
      </c>
      <c r="AB3496">
        <v>8008</v>
      </c>
      <c r="AC3496">
        <v>45716</v>
      </c>
      <c r="AD3496">
        <v>0</v>
      </c>
      <c r="AE3496">
        <v>7800</v>
      </c>
      <c r="AF3496">
        <v>7800</v>
      </c>
      <c r="AG3496">
        <v>0</v>
      </c>
      <c r="AH3496">
        <v>-208</v>
      </c>
    </row>
    <row r="3497" spans="2:34" x14ac:dyDescent="0.35">
      <c r="B3497" t="s">
        <v>747</v>
      </c>
      <c r="C3497">
        <v>45717</v>
      </c>
      <c r="F3497" t="s">
        <v>749</v>
      </c>
      <c r="H3497">
        <v>97</v>
      </c>
      <c r="O3497" t="s">
        <v>239</v>
      </c>
      <c r="P3497" t="s">
        <v>514</v>
      </c>
      <c r="Y3497">
        <v>3463</v>
      </c>
      <c r="Z3497" s="259" t="s">
        <v>630</v>
      </c>
      <c r="AA3497">
        <v>40</v>
      </c>
      <c r="AB3497">
        <v>4004</v>
      </c>
      <c r="AC3497">
        <v>45716</v>
      </c>
      <c r="AD3497">
        <v>1</v>
      </c>
      <c r="AE3497">
        <v>3880</v>
      </c>
      <c r="AF3497">
        <v>3880</v>
      </c>
      <c r="AG3497">
        <v>0</v>
      </c>
      <c r="AH3497">
        <v>-124</v>
      </c>
    </row>
    <row r="3498" spans="2:34" x14ac:dyDescent="0.35">
      <c r="B3498" t="s">
        <v>747</v>
      </c>
      <c r="C3498">
        <v>45717</v>
      </c>
      <c r="F3498" t="s">
        <v>752</v>
      </c>
      <c r="H3498">
        <v>201</v>
      </c>
      <c r="O3498" t="s">
        <v>239</v>
      </c>
      <c r="P3498" t="s">
        <v>514</v>
      </c>
      <c r="Y3498">
        <v>3464</v>
      </c>
      <c r="Z3498" s="259" t="s">
        <v>630</v>
      </c>
      <c r="AA3498">
        <v>0</v>
      </c>
      <c r="AB3498">
        <v>0</v>
      </c>
      <c r="AC3498">
        <v>45716</v>
      </c>
      <c r="AD3498">
        <v>1</v>
      </c>
      <c r="AE3498">
        <v>0</v>
      </c>
      <c r="AF3498">
        <v>0</v>
      </c>
      <c r="AG3498">
        <v>0</v>
      </c>
      <c r="AH3498">
        <v>0</v>
      </c>
    </row>
    <row r="3499" spans="2:34" x14ac:dyDescent="0.35">
      <c r="B3499" t="s">
        <v>747</v>
      </c>
      <c r="C3499">
        <v>45717</v>
      </c>
      <c r="F3499" t="s">
        <v>754</v>
      </c>
      <c r="H3499">
        <v>78</v>
      </c>
      <c r="O3499" t="s">
        <v>239</v>
      </c>
      <c r="P3499" t="s">
        <v>514</v>
      </c>
      <c r="Y3499">
        <v>3465</v>
      </c>
      <c r="Z3499" s="259" t="s">
        <v>630</v>
      </c>
      <c r="AA3499">
        <v>100</v>
      </c>
      <c r="AB3499">
        <v>8008</v>
      </c>
      <c r="AC3499">
        <v>45716</v>
      </c>
      <c r="AD3499">
        <v>1</v>
      </c>
      <c r="AE3499">
        <v>7800</v>
      </c>
      <c r="AF3499">
        <v>7800</v>
      </c>
      <c r="AG3499">
        <v>0</v>
      </c>
      <c r="AH3499">
        <v>-208</v>
      </c>
    </row>
    <row r="3500" spans="2:34" x14ac:dyDescent="0.35">
      <c r="B3500" t="s">
        <v>747</v>
      </c>
      <c r="C3500">
        <v>45718</v>
      </c>
      <c r="F3500" t="s">
        <v>749</v>
      </c>
      <c r="H3500">
        <v>97</v>
      </c>
      <c r="O3500" t="s">
        <v>239</v>
      </c>
      <c r="P3500" t="s">
        <v>514</v>
      </c>
      <c r="Y3500">
        <v>3466</v>
      </c>
      <c r="Z3500" s="259" t="s">
        <v>630</v>
      </c>
      <c r="AA3500">
        <v>40</v>
      </c>
      <c r="AB3500">
        <v>4004</v>
      </c>
      <c r="AC3500">
        <v>45716</v>
      </c>
      <c r="AD3500">
        <v>2</v>
      </c>
      <c r="AE3500">
        <v>3880</v>
      </c>
      <c r="AF3500">
        <v>3880</v>
      </c>
      <c r="AG3500">
        <v>0</v>
      </c>
      <c r="AH3500">
        <v>-124</v>
      </c>
    </row>
    <row r="3501" spans="2:34" x14ac:dyDescent="0.35">
      <c r="B3501" t="s">
        <v>747</v>
      </c>
      <c r="C3501">
        <v>45718</v>
      </c>
      <c r="F3501" t="s">
        <v>752</v>
      </c>
      <c r="H3501">
        <v>201</v>
      </c>
      <c r="O3501" t="s">
        <v>239</v>
      </c>
      <c r="P3501" t="s">
        <v>514</v>
      </c>
      <c r="Y3501">
        <v>3467</v>
      </c>
      <c r="Z3501" s="259" t="s">
        <v>630</v>
      </c>
      <c r="AA3501">
        <v>0</v>
      </c>
      <c r="AB3501">
        <v>0</v>
      </c>
      <c r="AC3501">
        <v>45716</v>
      </c>
      <c r="AD3501">
        <v>2</v>
      </c>
      <c r="AE3501">
        <v>0</v>
      </c>
      <c r="AF3501">
        <v>0</v>
      </c>
      <c r="AG3501">
        <v>0</v>
      </c>
      <c r="AH3501">
        <v>0</v>
      </c>
    </row>
    <row r="3502" spans="2:34" x14ac:dyDescent="0.35">
      <c r="B3502" t="s">
        <v>747</v>
      </c>
      <c r="C3502">
        <v>45718</v>
      </c>
      <c r="F3502" t="s">
        <v>754</v>
      </c>
      <c r="H3502">
        <v>78</v>
      </c>
      <c r="O3502" t="s">
        <v>239</v>
      </c>
      <c r="P3502" t="s">
        <v>514</v>
      </c>
      <c r="Y3502">
        <v>3468</v>
      </c>
      <c r="Z3502" s="259" t="s">
        <v>630</v>
      </c>
      <c r="AA3502">
        <v>100</v>
      </c>
      <c r="AB3502">
        <v>8008</v>
      </c>
      <c r="AC3502">
        <v>45716</v>
      </c>
      <c r="AD3502">
        <v>2</v>
      </c>
      <c r="AE3502">
        <v>7800</v>
      </c>
      <c r="AF3502">
        <v>7800</v>
      </c>
      <c r="AG3502">
        <v>0</v>
      </c>
      <c r="AH3502">
        <v>-208</v>
      </c>
    </row>
    <row r="3503" spans="2:34" x14ac:dyDescent="0.35">
      <c r="B3503" t="s">
        <v>747</v>
      </c>
      <c r="C3503">
        <v>45719</v>
      </c>
      <c r="F3503" t="s">
        <v>749</v>
      </c>
      <c r="H3503">
        <v>97.6</v>
      </c>
      <c r="O3503" t="s">
        <v>239</v>
      </c>
      <c r="P3503" t="s">
        <v>514</v>
      </c>
      <c r="Y3503">
        <v>3469</v>
      </c>
      <c r="Z3503" s="259" t="s">
        <v>630</v>
      </c>
      <c r="AA3503">
        <v>40</v>
      </c>
      <c r="AB3503">
        <v>4004</v>
      </c>
      <c r="AC3503">
        <v>45719</v>
      </c>
      <c r="AD3503">
        <v>0</v>
      </c>
      <c r="AE3503">
        <v>3904</v>
      </c>
      <c r="AF3503">
        <v>3904</v>
      </c>
      <c r="AG3503">
        <v>0</v>
      </c>
      <c r="AH3503">
        <v>-100</v>
      </c>
    </row>
    <row r="3504" spans="2:34" x14ac:dyDescent="0.35">
      <c r="B3504" t="s">
        <v>747</v>
      </c>
      <c r="C3504">
        <v>45719</v>
      </c>
      <c r="F3504" t="s">
        <v>752</v>
      </c>
      <c r="H3504">
        <v>200.8</v>
      </c>
      <c r="O3504" t="s">
        <v>239</v>
      </c>
      <c r="P3504" t="s">
        <v>514</v>
      </c>
      <c r="Y3504">
        <v>3470</v>
      </c>
      <c r="Z3504" s="259" t="s">
        <v>630</v>
      </c>
      <c r="AA3504">
        <v>0</v>
      </c>
      <c r="AB3504">
        <v>0</v>
      </c>
      <c r="AC3504">
        <v>45719</v>
      </c>
      <c r="AD3504">
        <v>0</v>
      </c>
      <c r="AE3504">
        <v>0</v>
      </c>
      <c r="AF3504">
        <v>0</v>
      </c>
      <c r="AG3504">
        <v>0</v>
      </c>
      <c r="AH3504">
        <v>0</v>
      </c>
    </row>
    <row r="3505" spans="2:34" x14ac:dyDescent="0.35">
      <c r="B3505" t="s">
        <v>747</v>
      </c>
      <c r="C3505">
        <v>45719</v>
      </c>
      <c r="F3505" t="s">
        <v>754</v>
      </c>
      <c r="H3505">
        <v>77.8</v>
      </c>
      <c r="O3505" t="s">
        <v>239</v>
      </c>
      <c r="P3505" t="s">
        <v>514</v>
      </c>
      <c r="Y3505">
        <v>3471</v>
      </c>
      <c r="Z3505" s="259" t="s">
        <v>630</v>
      </c>
      <c r="AA3505">
        <v>100</v>
      </c>
      <c r="AB3505">
        <v>8008</v>
      </c>
      <c r="AC3505">
        <v>45719</v>
      </c>
      <c r="AD3505">
        <v>0</v>
      </c>
      <c r="AE3505">
        <v>7780</v>
      </c>
      <c r="AF3505">
        <v>7780</v>
      </c>
      <c r="AG3505">
        <v>0</v>
      </c>
      <c r="AH3505">
        <v>-228</v>
      </c>
    </row>
    <row r="3506" spans="2:34" x14ac:dyDescent="0.35">
      <c r="B3506" t="s">
        <v>747</v>
      </c>
      <c r="C3506">
        <v>45720</v>
      </c>
      <c r="F3506" t="s">
        <v>749</v>
      </c>
      <c r="H3506">
        <v>97.9</v>
      </c>
      <c r="O3506" t="s">
        <v>239</v>
      </c>
      <c r="P3506" t="s">
        <v>514</v>
      </c>
      <c r="Y3506">
        <v>3472</v>
      </c>
      <c r="Z3506" s="259" t="s">
        <v>630</v>
      </c>
      <c r="AA3506">
        <v>40</v>
      </c>
      <c r="AB3506">
        <v>4004</v>
      </c>
      <c r="AC3506">
        <v>45720</v>
      </c>
      <c r="AD3506">
        <v>0</v>
      </c>
      <c r="AE3506">
        <v>3916</v>
      </c>
      <c r="AF3506">
        <v>3916</v>
      </c>
      <c r="AG3506">
        <v>0</v>
      </c>
      <c r="AH3506">
        <v>-88</v>
      </c>
    </row>
    <row r="3507" spans="2:34" x14ac:dyDescent="0.35">
      <c r="B3507" t="s">
        <v>747</v>
      </c>
      <c r="C3507">
        <v>45720</v>
      </c>
      <c r="F3507" t="s">
        <v>752</v>
      </c>
      <c r="H3507">
        <v>200.7</v>
      </c>
      <c r="O3507" t="s">
        <v>239</v>
      </c>
      <c r="P3507" t="s">
        <v>514</v>
      </c>
      <c r="Y3507">
        <v>3473</v>
      </c>
      <c r="Z3507" s="259" t="s">
        <v>630</v>
      </c>
      <c r="AA3507">
        <v>0</v>
      </c>
      <c r="AB3507">
        <v>0</v>
      </c>
      <c r="AC3507">
        <v>45720</v>
      </c>
      <c r="AD3507">
        <v>0</v>
      </c>
      <c r="AE3507">
        <v>0</v>
      </c>
      <c r="AF3507">
        <v>0</v>
      </c>
      <c r="AG3507">
        <v>0</v>
      </c>
      <c r="AH3507">
        <v>0</v>
      </c>
    </row>
    <row r="3508" spans="2:34" x14ac:dyDescent="0.35">
      <c r="B3508" t="s">
        <v>747</v>
      </c>
      <c r="C3508">
        <v>45720</v>
      </c>
      <c r="F3508" t="s">
        <v>754</v>
      </c>
      <c r="H3508">
        <v>77.7</v>
      </c>
      <c r="O3508" t="s">
        <v>239</v>
      </c>
      <c r="P3508" t="s">
        <v>514</v>
      </c>
      <c r="Y3508">
        <v>3474</v>
      </c>
      <c r="Z3508" s="259" t="s">
        <v>630</v>
      </c>
      <c r="AA3508">
        <v>100</v>
      </c>
      <c r="AB3508">
        <v>8008</v>
      </c>
      <c r="AC3508">
        <v>45720</v>
      </c>
      <c r="AD3508">
        <v>0</v>
      </c>
      <c r="AE3508">
        <v>7770</v>
      </c>
      <c r="AF3508">
        <v>7770</v>
      </c>
      <c r="AG3508">
        <v>0</v>
      </c>
      <c r="AH3508">
        <v>-238</v>
      </c>
    </row>
    <row r="3509" spans="2:34" x14ac:dyDescent="0.35">
      <c r="B3509" t="s">
        <v>747</v>
      </c>
      <c r="C3509">
        <v>45721</v>
      </c>
      <c r="F3509" t="s">
        <v>749</v>
      </c>
      <c r="H3509">
        <v>98.2</v>
      </c>
      <c r="O3509" t="s">
        <v>239</v>
      </c>
      <c r="P3509" t="s">
        <v>514</v>
      </c>
      <c r="Y3509">
        <v>3475</v>
      </c>
      <c r="Z3509" s="259" t="s">
        <v>630</v>
      </c>
      <c r="AA3509">
        <v>40</v>
      </c>
      <c r="AB3509">
        <v>4004</v>
      </c>
      <c r="AC3509">
        <v>45721</v>
      </c>
      <c r="AD3509">
        <v>0</v>
      </c>
      <c r="AE3509">
        <v>3928</v>
      </c>
      <c r="AF3509">
        <v>3928</v>
      </c>
      <c r="AG3509">
        <v>0</v>
      </c>
      <c r="AH3509">
        <v>-76</v>
      </c>
    </row>
    <row r="3510" spans="2:34" x14ac:dyDescent="0.35">
      <c r="B3510" t="s">
        <v>747</v>
      </c>
      <c r="C3510">
        <v>45721</v>
      </c>
      <c r="F3510" t="s">
        <v>752</v>
      </c>
      <c r="H3510">
        <v>200.6</v>
      </c>
      <c r="O3510" t="s">
        <v>239</v>
      </c>
      <c r="P3510" t="s">
        <v>514</v>
      </c>
      <c r="Y3510">
        <v>3476</v>
      </c>
      <c r="Z3510" s="259" t="s">
        <v>630</v>
      </c>
      <c r="AA3510">
        <v>0</v>
      </c>
      <c r="AB3510">
        <v>0</v>
      </c>
      <c r="AC3510">
        <v>45721</v>
      </c>
      <c r="AD3510">
        <v>0</v>
      </c>
      <c r="AE3510">
        <v>0</v>
      </c>
      <c r="AF3510">
        <v>0</v>
      </c>
      <c r="AG3510">
        <v>0</v>
      </c>
      <c r="AH3510">
        <v>0</v>
      </c>
    </row>
    <row r="3511" spans="2:34" x14ac:dyDescent="0.35">
      <c r="B3511" t="s">
        <v>747</v>
      </c>
      <c r="C3511">
        <v>45721</v>
      </c>
      <c r="F3511" t="s">
        <v>754</v>
      </c>
      <c r="H3511">
        <v>77.599999999999994</v>
      </c>
      <c r="O3511" t="s">
        <v>239</v>
      </c>
      <c r="P3511" t="s">
        <v>514</v>
      </c>
      <c r="Y3511">
        <v>3477</v>
      </c>
      <c r="Z3511" s="259" t="s">
        <v>630</v>
      </c>
      <c r="AA3511">
        <v>100</v>
      </c>
      <c r="AB3511">
        <v>8008</v>
      </c>
      <c r="AC3511">
        <v>45721</v>
      </c>
      <c r="AD3511">
        <v>0</v>
      </c>
      <c r="AE3511">
        <v>7759.9999999999991</v>
      </c>
      <c r="AF3511">
        <v>7759.9999999999991</v>
      </c>
      <c r="AG3511">
        <v>0</v>
      </c>
      <c r="AH3511">
        <v>-248.00000000000091</v>
      </c>
    </row>
    <row r="3512" spans="2:34" x14ac:dyDescent="0.35">
      <c r="B3512" t="s">
        <v>747</v>
      </c>
      <c r="C3512">
        <v>45722</v>
      </c>
      <c r="F3512" t="s">
        <v>749</v>
      </c>
      <c r="H3512">
        <v>98.5</v>
      </c>
      <c r="O3512" t="s">
        <v>239</v>
      </c>
      <c r="P3512" t="s">
        <v>514</v>
      </c>
      <c r="Y3512">
        <v>3478</v>
      </c>
      <c r="Z3512" s="259" t="s">
        <v>630</v>
      </c>
      <c r="AA3512">
        <v>40</v>
      </c>
      <c r="AB3512">
        <v>4004</v>
      </c>
      <c r="AC3512">
        <v>45722</v>
      </c>
      <c r="AD3512">
        <v>0</v>
      </c>
      <c r="AE3512">
        <v>3940</v>
      </c>
      <c r="AF3512">
        <v>3940</v>
      </c>
      <c r="AG3512">
        <v>0</v>
      </c>
      <c r="AH3512">
        <v>-64</v>
      </c>
    </row>
    <row r="3513" spans="2:34" x14ac:dyDescent="0.35">
      <c r="B3513" t="s">
        <v>747</v>
      </c>
      <c r="C3513">
        <v>45722</v>
      </c>
      <c r="F3513" t="s">
        <v>752</v>
      </c>
      <c r="H3513">
        <v>200.5</v>
      </c>
      <c r="O3513" t="s">
        <v>239</v>
      </c>
      <c r="P3513" t="s">
        <v>514</v>
      </c>
      <c r="Y3513">
        <v>3479</v>
      </c>
      <c r="Z3513" s="259" t="s">
        <v>630</v>
      </c>
      <c r="AA3513">
        <v>0</v>
      </c>
      <c r="AB3513">
        <v>0</v>
      </c>
      <c r="AC3513">
        <v>45722</v>
      </c>
      <c r="AD3513">
        <v>0</v>
      </c>
      <c r="AE3513">
        <v>0</v>
      </c>
      <c r="AF3513">
        <v>0</v>
      </c>
      <c r="AG3513">
        <v>0</v>
      </c>
      <c r="AH3513">
        <v>0</v>
      </c>
    </row>
    <row r="3514" spans="2:34" x14ac:dyDescent="0.35">
      <c r="B3514" t="s">
        <v>747</v>
      </c>
      <c r="C3514">
        <v>45722</v>
      </c>
      <c r="F3514" t="s">
        <v>754</v>
      </c>
      <c r="H3514">
        <v>77.5</v>
      </c>
      <c r="O3514" t="s">
        <v>239</v>
      </c>
      <c r="P3514" t="s">
        <v>514</v>
      </c>
      <c r="Y3514">
        <v>3480</v>
      </c>
      <c r="Z3514" s="259" t="s">
        <v>630</v>
      </c>
      <c r="AA3514">
        <v>100</v>
      </c>
      <c r="AB3514">
        <v>8008</v>
      </c>
      <c r="AC3514">
        <v>45722</v>
      </c>
      <c r="AD3514">
        <v>0</v>
      </c>
      <c r="AE3514">
        <v>7750</v>
      </c>
      <c r="AF3514">
        <v>7750</v>
      </c>
      <c r="AG3514">
        <v>0</v>
      </c>
      <c r="AH3514">
        <v>-258</v>
      </c>
    </row>
    <row r="3515" spans="2:34" x14ac:dyDescent="0.35">
      <c r="B3515" t="s">
        <v>747</v>
      </c>
      <c r="C3515">
        <v>45723</v>
      </c>
      <c r="F3515" t="s">
        <v>749</v>
      </c>
      <c r="H3515">
        <v>98.8</v>
      </c>
      <c r="O3515" t="s">
        <v>239</v>
      </c>
      <c r="P3515" t="s">
        <v>514</v>
      </c>
      <c r="Y3515">
        <v>3481</v>
      </c>
      <c r="Z3515" s="259" t="s">
        <v>630</v>
      </c>
      <c r="AA3515">
        <v>40</v>
      </c>
      <c r="AB3515">
        <v>4004</v>
      </c>
      <c r="AC3515">
        <v>45723</v>
      </c>
      <c r="AD3515">
        <v>0</v>
      </c>
      <c r="AE3515">
        <v>3952</v>
      </c>
      <c r="AF3515">
        <v>3952</v>
      </c>
      <c r="AG3515">
        <v>0</v>
      </c>
      <c r="AH3515">
        <v>-52</v>
      </c>
    </row>
    <row r="3516" spans="2:34" x14ac:dyDescent="0.35">
      <c r="B3516" t="s">
        <v>747</v>
      </c>
      <c r="C3516">
        <v>45723</v>
      </c>
      <c r="F3516" t="s">
        <v>752</v>
      </c>
      <c r="H3516">
        <v>200.4</v>
      </c>
      <c r="O3516" t="s">
        <v>239</v>
      </c>
      <c r="P3516" t="s">
        <v>514</v>
      </c>
      <c r="Y3516">
        <v>3482</v>
      </c>
      <c r="Z3516" s="259" t="s">
        <v>630</v>
      </c>
      <c r="AA3516">
        <v>0</v>
      </c>
      <c r="AB3516">
        <v>0</v>
      </c>
      <c r="AC3516">
        <v>45723</v>
      </c>
      <c r="AD3516">
        <v>0</v>
      </c>
      <c r="AE3516">
        <v>0</v>
      </c>
      <c r="AF3516">
        <v>0</v>
      </c>
      <c r="AG3516">
        <v>0</v>
      </c>
      <c r="AH3516">
        <v>0</v>
      </c>
    </row>
    <row r="3517" spans="2:34" x14ac:dyDescent="0.35">
      <c r="B3517" t="s">
        <v>747</v>
      </c>
      <c r="C3517">
        <v>45723</v>
      </c>
      <c r="F3517" t="s">
        <v>754</v>
      </c>
      <c r="H3517">
        <v>77.400000000000006</v>
      </c>
      <c r="O3517" t="s">
        <v>239</v>
      </c>
      <c r="P3517" t="s">
        <v>514</v>
      </c>
      <c r="Y3517">
        <v>3483</v>
      </c>
      <c r="Z3517" s="259" t="s">
        <v>630</v>
      </c>
      <c r="AA3517">
        <v>100</v>
      </c>
      <c r="AB3517">
        <v>8008</v>
      </c>
      <c r="AC3517">
        <v>45723</v>
      </c>
      <c r="AD3517">
        <v>0</v>
      </c>
      <c r="AE3517">
        <v>7740.0000000000009</v>
      </c>
      <c r="AF3517">
        <v>7740.0000000000009</v>
      </c>
      <c r="AG3517">
        <v>0</v>
      </c>
      <c r="AH3517">
        <v>-267.99999999999909</v>
      </c>
    </row>
    <row r="3518" spans="2:34" x14ac:dyDescent="0.35">
      <c r="B3518" t="s">
        <v>747</v>
      </c>
      <c r="C3518">
        <v>45724</v>
      </c>
      <c r="F3518" t="s">
        <v>749</v>
      </c>
      <c r="H3518">
        <v>98.8</v>
      </c>
      <c r="O3518" t="s">
        <v>239</v>
      </c>
      <c r="P3518" t="s">
        <v>514</v>
      </c>
      <c r="Y3518">
        <v>3484</v>
      </c>
      <c r="Z3518" s="259" t="s">
        <v>630</v>
      </c>
      <c r="AA3518">
        <v>40</v>
      </c>
      <c r="AB3518">
        <v>4004</v>
      </c>
      <c r="AC3518">
        <v>45723</v>
      </c>
      <c r="AD3518">
        <v>1</v>
      </c>
      <c r="AE3518">
        <v>3952</v>
      </c>
      <c r="AF3518">
        <v>3952</v>
      </c>
      <c r="AG3518">
        <v>0</v>
      </c>
      <c r="AH3518">
        <v>-52</v>
      </c>
    </row>
    <row r="3519" spans="2:34" x14ac:dyDescent="0.35">
      <c r="B3519" t="s">
        <v>747</v>
      </c>
      <c r="C3519">
        <v>45724</v>
      </c>
      <c r="F3519" t="s">
        <v>752</v>
      </c>
      <c r="H3519">
        <v>200.4</v>
      </c>
      <c r="O3519" t="s">
        <v>239</v>
      </c>
      <c r="P3519" t="s">
        <v>514</v>
      </c>
      <c r="Y3519">
        <v>3485</v>
      </c>
      <c r="Z3519" s="259" t="s">
        <v>630</v>
      </c>
      <c r="AA3519">
        <v>0</v>
      </c>
      <c r="AB3519">
        <v>0</v>
      </c>
      <c r="AC3519">
        <v>45723</v>
      </c>
      <c r="AD3519">
        <v>1</v>
      </c>
      <c r="AE3519">
        <v>0</v>
      </c>
      <c r="AF3519">
        <v>0</v>
      </c>
      <c r="AG3519">
        <v>0</v>
      </c>
      <c r="AH3519">
        <v>0</v>
      </c>
    </row>
    <row r="3520" spans="2:34" x14ac:dyDescent="0.35">
      <c r="B3520" t="s">
        <v>747</v>
      </c>
      <c r="C3520">
        <v>45724</v>
      </c>
      <c r="F3520" t="s">
        <v>754</v>
      </c>
      <c r="H3520">
        <v>77.400000000000006</v>
      </c>
      <c r="O3520" t="s">
        <v>239</v>
      </c>
      <c r="P3520" t="s">
        <v>514</v>
      </c>
      <c r="Y3520">
        <v>3486</v>
      </c>
      <c r="Z3520" s="259" t="s">
        <v>630</v>
      </c>
      <c r="AA3520">
        <v>100</v>
      </c>
      <c r="AB3520">
        <v>8008</v>
      </c>
      <c r="AC3520">
        <v>45723</v>
      </c>
      <c r="AD3520">
        <v>1</v>
      </c>
      <c r="AE3520">
        <v>7740.0000000000009</v>
      </c>
      <c r="AF3520">
        <v>7740.0000000000009</v>
      </c>
      <c r="AG3520">
        <v>0</v>
      </c>
      <c r="AH3520">
        <v>-267.99999999999909</v>
      </c>
    </row>
    <row r="3521" spans="2:34" x14ac:dyDescent="0.35">
      <c r="B3521" t="s">
        <v>747</v>
      </c>
      <c r="C3521">
        <v>45725</v>
      </c>
      <c r="F3521" t="s">
        <v>749</v>
      </c>
      <c r="H3521">
        <v>98.8</v>
      </c>
      <c r="O3521" t="s">
        <v>239</v>
      </c>
      <c r="P3521" t="s">
        <v>514</v>
      </c>
      <c r="Y3521">
        <v>3487</v>
      </c>
      <c r="Z3521" s="259" t="s">
        <v>630</v>
      </c>
      <c r="AA3521">
        <v>40</v>
      </c>
      <c r="AB3521">
        <v>4004</v>
      </c>
      <c r="AC3521">
        <v>45723</v>
      </c>
      <c r="AD3521">
        <v>2</v>
      </c>
      <c r="AE3521">
        <v>3952</v>
      </c>
      <c r="AF3521">
        <v>3952</v>
      </c>
      <c r="AG3521">
        <v>0</v>
      </c>
      <c r="AH3521">
        <v>-52</v>
      </c>
    </row>
    <row r="3522" spans="2:34" x14ac:dyDescent="0.35">
      <c r="B3522" t="s">
        <v>747</v>
      </c>
      <c r="C3522">
        <v>45725</v>
      </c>
      <c r="F3522" t="s">
        <v>752</v>
      </c>
      <c r="H3522">
        <v>200.4</v>
      </c>
      <c r="O3522" t="s">
        <v>239</v>
      </c>
      <c r="P3522" t="s">
        <v>514</v>
      </c>
      <c r="Y3522">
        <v>3488</v>
      </c>
      <c r="Z3522" s="259" t="s">
        <v>630</v>
      </c>
      <c r="AA3522">
        <v>0</v>
      </c>
      <c r="AB3522">
        <v>0</v>
      </c>
      <c r="AC3522">
        <v>45723</v>
      </c>
      <c r="AD3522">
        <v>2</v>
      </c>
      <c r="AE3522">
        <v>0</v>
      </c>
      <c r="AF3522">
        <v>0</v>
      </c>
      <c r="AG3522">
        <v>0</v>
      </c>
      <c r="AH3522">
        <v>0</v>
      </c>
    </row>
    <row r="3523" spans="2:34" x14ac:dyDescent="0.35">
      <c r="B3523" t="s">
        <v>747</v>
      </c>
      <c r="C3523">
        <v>45725</v>
      </c>
      <c r="F3523" t="s">
        <v>754</v>
      </c>
      <c r="H3523">
        <v>77.400000000000006</v>
      </c>
      <c r="O3523" t="s">
        <v>239</v>
      </c>
      <c r="P3523" t="s">
        <v>514</v>
      </c>
      <c r="Y3523">
        <v>3489</v>
      </c>
      <c r="Z3523" s="259" t="s">
        <v>630</v>
      </c>
      <c r="AA3523">
        <v>100</v>
      </c>
      <c r="AB3523">
        <v>8008</v>
      </c>
      <c r="AC3523">
        <v>45723</v>
      </c>
      <c r="AD3523">
        <v>2</v>
      </c>
      <c r="AE3523">
        <v>7740.0000000000009</v>
      </c>
      <c r="AF3523">
        <v>7740.0000000000009</v>
      </c>
      <c r="AG3523">
        <v>0</v>
      </c>
      <c r="AH3523">
        <v>-267.99999999999909</v>
      </c>
    </row>
    <row r="3524" spans="2:34" x14ac:dyDescent="0.35">
      <c r="B3524" t="s">
        <v>747</v>
      </c>
      <c r="C3524">
        <v>45726</v>
      </c>
      <c r="F3524" t="s">
        <v>749</v>
      </c>
      <c r="H3524">
        <v>99.7</v>
      </c>
      <c r="O3524" t="s">
        <v>239</v>
      </c>
      <c r="P3524" t="s">
        <v>514</v>
      </c>
      <c r="Y3524">
        <v>3490</v>
      </c>
      <c r="Z3524" s="259" t="s">
        <v>630</v>
      </c>
      <c r="AA3524">
        <v>40</v>
      </c>
      <c r="AB3524">
        <v>4004</v>
      </c>
      <c r="AC3524">
        <v>45726</v>
      </c>
      <c r="AD3524">
        <v>0</v>
      </c>
      <c r="AE3524">
        <v>3988</v>
      </c>
      <c r="AF3524">
        <v>3988</v>
      </c>
      <c r="AG3524">
        <v>0</v>
      </c>
      <c r="AH3524">
        <v>-16</v>
      </c>
    </row>
    <row r="3525" spans="2:34" x14ac:dyDescent="0.35">
      <c r="B3525" t="s">
        <v>747</v>
      </c>
      <c r="C3525">
        <v>45726</v>
      </c>
      <c r="F3525" t="s">
        <v>752</v>
      </c>
      <c r="H3525">
        <v>200.1</v>
      </c>
      <c r="O3525" t="s">
        <v>239</v>
      </c>
      <c r="P3525" t="s">
        <v>514</v>
      </c>
      <c r="Y3525">
        <v>3491</v>
      </c>
      <c r="Z3525" s="259" t="s">
        <v>630</v>
      </c>
      <c r="AA3525">
        <v>0</v>
      </c>
      <c r="AB3525">
        <v>0</v>
      </c>
      <c r="AC3525">
        <v>45726</v>
      </c>
      <c r="AD3525">
        <v>0</v>
      </c>
      <c r="AE3525">
        <v>0</v>
      </c>
      <c r="AF3525">
        <v>0</v>
      </c>
      <c r="AG3525">
        <v>0</v>
      </c>
      <c r="AH3525">
        <v>0</v>
      </c>
    </row>
    <row r="3526" spans="2:34" x14ac:dyDescent="0.35">
      <c r="B3526" t="s">
        <v>747</v>
      </c>
      <c r="C3526">
        <v>45726</v>
      </c>
      <c r="F3526" t="s">
        <v>754</v>
      </c>
      <c r="H3526">
        <v>77.099999999999994</v>
      </c>
      <c r="O3526" t="s">
        <v>239</v>
      </c>
      <c r="P3526" t="s">
        <v>514</v>
      </c>
      <c r="Y3526">
        <v>3492</v>
      </c>
      <c r="Z3526" s="259" t="s">
        <v>630</v>
      </c>
      <c r="AA3526">
        <v>100</v>
      </c>
      <c r="AB3526">
        <v>8008</v>
      </c>
      <c r="AC3526">
        <v>45726</v>
      </c>
      <c r="AD3526">
        <v>0</v>
      </c>
      <c r="AE3526">
        <v>7709.9999999999991</v>
      </c>
      <c r="AF3526">
        <v>7709.9999999999991</v>
      </c>
      <c r="AG3526">
        <v>0</v>
      </c>
      <c r="AH3526">
        <v>-298.00000000000091</v>
      </c>
    </row>
    <row r="3527" spans="2:34" x14ac:dyDescent="0.35">
      <c r="B3527" t="s">
        <v>747</v>
      </c>
      <c r="C3527">
        <v>45727</v>
      </c>
      <c r="F3527" t="s">
        <v>749</v>
      </c>
      <c r="H3527">
        <v>100</v>
      </c>
      <c r="O3527" t="s">
        <v>239</v>
      </c>
      <c r="P3527" t="s">
        <v>514</v>
      </c>
      <c r="Y3527">
        <v>3493</v>
      </c>
      <c r="Z3527" s="259" t="s">
        <v>630</v>
      </c>
      <c r="AA3527">
        <v>40</v>
      </c>
      <c r="AB3527">
        <v>4004</v>
      </c>
      <c r="AC3527">
        <v>45727</v>
      </c>
      <c r="AD3527">
        <v>0</v>
      </c>
      <c r="AE3527">
        <v>4000</v>
      </c>
      <c r="AF3527">
        <v>4000</v>
      </c>
      <c r="AG3527">
        <v>0</v>
      </c>
      <c r="AH3527">
        <v>-4</v>
      </c>
    </row>
    <row r="3528" spans="2:34" x14ac:dyDescent="0.35">
      <c r="B3528" t="s">
        <v>747</v>
      </c>
      <c r="C3528">
        <v>45727</v>
      </c>
      <c r="F3528" t="s">
        <v>752</v>
      </c>
      <c r="H3528">
        <v>200</v>
      </c>
      <c r="O3528" t="s">
        <v>239</v>
      </c>
      <c r="P3528" t="s">
        <v>514</v>
      </c>
      <c r="Y3528">
        <v>3494</v>
      </c>
      <c r="Z3528" s="259" t="s">
        <v>630</v>
      </c>
      <c r="AA3528">
        <v>0</v>
      </c>
      <c r="AB3528">
        <v>0</v>
      </c>
      <c r="AC3528">
        <v>45727</v>
      </c>
      <c r="AD3528">
        <v>0</v>
      </c>
      <c r="AE3528">
        <v>0</v>
      </c>
      <c r="AF3528">
        <v>0</v>
      </c>
      <c r="AG3528">
        <v>0</v>
      </c>
      <c r="AH3528">
        <v>0</v>
      </c>
    </row>
    <row r="3529" spans="2:34" x14ac:dyDescent="0.35">
      <c r="B3529" t="s">
        <v>747</v>
      </c>
      <c r="C3529">
        <v>45727</v>
      </c>
      <c r="F3529" t="s">
        <v>754</v>
      </c>
      <c r="H3529">
        <v>77</v>
      </c>
      <c r="O3529" t="s">
        <v>239</v>
      </c>
      <c r="P3529" t="s">
        <v>514</v>
      </c>
      <c r="Y3529">
        <v>3495</v>
      </c>
      <c r="Z3529" s="259" t="s">
        <v>630</v>
      </c>
      <c r="AA3529">
        <v>100</v>
      </c>
      <c r="AB3529">
        <v>8008</v>
      </c>
      <c r="AC3529">
        <v>45727</v>
      </c>
      <c r="AD3529">
        <v>0</v>
      </c>
      <c r="AE3529">
        <v>7700</v>
      </c>
      <c r="AF3529">
        <v>7700</v>
      </c>
      <c r="AG3529">
        <v>0</v>
      </c>
      <c r="AH3529">
        <v>-308</v>
      </c>
    </row>
    <row r="3530" spans="2:34" x14ac:dyDescent="0.35">
      <c r="B3530" t="s">
        <v>747</v>
      </c>
      <c r="C3530">
        <v>45728</v>
      </c>
      <c r="F3530" t="s">
        <v>749</v>
      </c>
      <c r="H3530">
        <v>100.3</v>
      </c>
      <c r="O3530" t="s">
        <v>239</v>
      </c>
      <c r="P3530" t="s">
        <v>514</v>
      </c>
      <c r="Y3530">
        <v>3496</v>
      </c>
      <c r="Z3530" s="259" t="s">
        <v>630</v>
      </c>
      <c r="AA3530">
        <v>40</v>
      </c>
      <c r="AB3530">
        <v>4004</v>
      </c>
      <c r="AC3530">
        <v>45728</v>
      </c>
      <c r="AD3530">
        <v>0</v>
      </c>
      <c r="AE3530">
        <v>4012</v>
      </c>
      <c r="AF3530">
        <v>4012</v>
      </c>
      <c r="AG3530">
        <v>0</v>
      </c>
      <c r="AH3530">
        <v>8</v>
      </c>
    </row>
    <row r="3531" spans="2:34" x14ac:dyDescent="0.35">
      <c r="B3531" t="s">
        <v>747</v>
      </c>
      <c r="C3531">
        <v>45728</v>
      </c>
      <c r="F3531" t="s">
        <v>752</v>
      </c>
      <c r="H3531">
        <v>199.9</v>
      </c>
      <c r="O3531" t="s">
        <v>239</v>
      </c>
      <c r="P3531" t="s">
        <v>514</v>
      </c>
      <c r="Y3531">
        <v>3497</v>
      </c>
      <c r="Z3531" s="259" t="s">
        <v>630</v>
      </c>
      <c r="AA3531">
        <v>0</v>
      </c>
      <c r="AB3531">
        <v>0</v>
      </c>
      <c r="AC3531">
        <v>45728</v>
      </c>
      <c r="AD3531">
        <v>0</v>
      </c>
      <c r="AE3531">
        <v>0</v>
      </c>
      <c r="AF3531">
        <v>0</v>
      </c>
      <c r="AG3531">
        <v>0</v>
      </c>
      <c r="AH3531">
        <v>0</v>
      </c>
    </row>
    <row r="3532" spans="2:34" x14ac:dyDescent="0.35">
      <c r="B3532" t="s">
        <v>747</v>
      </c>
      <c r="C3532">
        <v>45728</v>
      </c>
      <c r="F3532" t="s">
        <v>754</v>
      </c>
      <c r="H3532">
        <v>76.900000000000006</v>
      </c>
      <c r="O3532" t="s">
        <v>239</v>
      </c>
      <c r="P3532" t="s">
        <v>514</v>
      </c>
      <c r="Y3532">
        <v>3498</v>
      </c>
      <c r="Z3532" s="259" t="s">
        <v>630</v>
      </c>
      <c r="AA3532">
        <v>100</v>
      </c>
      <c r="AB3532">
        <v>8008</v>
      </c>
      <c r="AC3532">
        <v>45728</v>
      </c>
      <c r="AD3532">
        <v>0</v>
      </c>
      <c r="AE3532">
        <v>7690.0000000000009</v>
      </c>
      <c r="AF3532">
        <v>7690.0000000000009</v>
      </c>
      <c r="AG3532">
        <v>0</v>
      </c>
      <c r="AH3532">
        <v>-317.99999999999909</v>
      </c>
    </row>
    <row r="3533" spans="2:34" x14ac:dyDescent="0.35">
      <c r="B3533" t="s">
        <v>747</v>
      </c>
      <c r="C3533">
        <v>45729</v>
      </c>
      <c r="F3533" t="s">
        <v>749</v>
      </c>
      <c r="H3533">
        <v>100.6</v>
      </c>
      <c r="O3533" t="s">
        <v>239</v>
      </c>
      <c r="P3533" t="s">
        <v>514</v>
      </c>
      <c r="Y3533">
        <v>3499</v>
      </c>
      <c r="Z3533" s="259" t="s">
        <v>630</v>
      </c>
      <c r="AA3533">
        <v>40</v>
      </c>
      <c r="AB3533">
        <v>4004</v>
      </c>
      <c r="AC3533">
        <v>45729</v>
      </c>
      <c r="AD3533">
        <v>0</v>
      </c>
      <c r="AE3533">
        <v>4024</v>
      </c>
      <c r="AF3533">
        <v>4024</v>
      </c>
      <c r="AG3533">
        <v>0</v>
      </c>
      <c r="AH3533">
        <v>20</v>
      </c>
    </row>
    <row r="3534" spans="2:34" x14ac:dyDescent="0.35">
      <c r="B3534" t="s">
        <v>747</v>
      </c>
      <c r="C3534">
        <v>45729</v>
      </c>
      <c r="F3534" t="s">
        <v>752</v>
      </c>
      <c r="H3534">
        <v>199.8</v>
      </c>
      <c r="O3534" t="s">
        <v>239</v>
      </c>
      <c r="P3534" t="s">
        <v>514</v>
      </c>
      <c r="Y3534">
        <v>3500</v>
      </c>
      <c r="Z3534" s="259" t="s">
        <v>630</v>
      </c>
      <c r="AA3534">
        <v>0</v>
      </c>
      <c r="AB3534">
        <v>0</v>
      </c>
      <c r="AC3534">
        <v>45729</v>
      </c>
      <c r="AD3534">
        <v>0</v>
      </c>
      <c r="AE3534">
        <v>0</v>
      </c>
      <c r="AF3534">
        <v>0</v>
      </c>
      <c r="AG3534">
        <v>0</v>
      </c>
      <c r="AH3534">
        <v>0</v>
      </c>
    </row>
    <row r="3535" spans="2:34" x14ac:dyDescent="0.35">
      <c r="B3535" t="s">
        <v>747</v>
      </c>
      <c r="C3535">
        <v>45729</v>
      </c>
      <c r="F3535" t="s">
        <v>754</v>
      </c>
      <c r="H3535">
        <v>76.8</v>
      </c>
      <c r="O3535" t="s">
        <v>239</v>
      </c>
      <c r="P3535" t="s">
        <v>514</v>
      </c>
      <c r="Y3535">
        <v>3501</v>
      </c>
      <c r="Z3535" s="259" t="s">
        <v>630</v>
      </c>
      <c r="AA3535">
        <v>100</v>
      </c>
      <c r="AB3535">
        <v>8008</v>
      </c>
      <c r="AC3535">
        <v>45729</v>
      </c>
      <c r="AD3535">
        <v>0</v>
      </c>
      <c r="AE3535">
        <v>7680</v>
      </c>
      <c r="AF3535">
        <v>7680</v>
      </c>
      <c r="AG3535">
        <v>0</v>
      </c>
      <c r="AH3535">
        <v>-328</v>
      </c>
    </row>
    <row r="3536" spans="2:34" x14ac:dyDescent="0.35">
      <c r="B3536" t="s">
        <v>747</v>
      </c>
      <c r="C3536">
        <v>45730</v>
      </c>
      <c r="F3536" t="s">
        <v>749</v>
      </c>
      <c r="H3536">
        <v>100.9</v>
      </c>
      <c r="O3536" t="s">
        <v>239</v>
      </c>
      <c r="P3536" t="s">
        <v>514</v>
      </c>
      <c r="Y3536">
        <v>3502</v>
      </c>
      <c r="Z3536" s="259" t="s">
        <v>630</v>
      </c>
      <c r="AA3536">
        <v>40</v>
      </c>
      <c r="AB3536">
        <v>4004</v>
      </c>
      <c r="AC3536">
        <v>45730</v>
      </c>
      <c r="AD3536">
        <v>0</v>
      </c>
      <c r="AE3536">
        <v>4036</v>
      </c>
      <c r="AF3536">
        <v>4036</v>
      </c>
      <c r="AG3536">
        <v>0</v>
      </c>
      <c r="AH3536">
        <v>32</v>
      </c>
    </row>
    <row r="3537" spans="2:34" x14ac:dyDescent="0.35">
      <c r="B3537" t="s">
        <v>747</v>
      </c>
      <c r="C3537">
        <v>45730</v>
      </c>
      <c r="F3537" t="s">
        <v>752</v>
      </c>
      <c r="H3537">
        <v>199.7</v>
      </c>
      <c r="O3537" t="s">
        <v>239</v>
      </c>
      <c r="P3537" t="s">
        <v>514</v>
      </c>
      <c r="Y3537">
        <v>3503</v>
      </c>
      <c r="Z3537" s="259" t="s">
        <v>630</v>
      </c>
      <c r="AA3537">
        <v>0</v>
      </c>
      <c r="AB3537">
        <v>0</v>
      </c>
      <c r="AC3537">
        <v>45730</v>
      </c>
      <c r="AD3537">
        <v>0</v>
      </c>
      <c r="AE3537">
        <v>0</v>
      </c>
      <c r="AF3537">
        <v>0</v>
      </c>
      <c r="AG3537">
        <v>0</v>
      </c>
      <c r="AH3537">
        <v>0</v>
      </c>
    </row>
    <row r="3538" spans="2:34" x14ac:dyDescent="0.35">
      <c r="B3538" t="s">
        <v>747</v>
      </c>
      <c r="C3538">
        <v>45730</v>
      </c>
      <c r="F3538" t="s">
        <v>754</v>
      </c>
      <c r="H3538">
        <v>76.7</v>
      </c>
      <c r="O3538" t="s">
        <v>239</v>
      </c>
      <c r="P3538" t="s">
        <v>514</v>
      </c>
      <c r="Y3538">
        <v>3504</v>
      </c>
      <c r="Z3538" s="259" t="s">
        <v>630</v>
      </c>
      <c r="AA3538">
        <v>100</v>
      </c>
      <c r="AB3538">
        <v>8008</v>
      </c>
      <c r="AC3538">
        <v>45730</v>
      </c>
      <c r="AD3538">
        <v>0</v>
      </c>
      <c r="AE3538">
        <v>7670</v>
      </c>
      <c r="AF3538">
        <v>7670</v>
      </c>
      <c r="AG3538">
        <v>0</v>
      </c>
      <c r="AH3538">
        <v>-338</v>
      </c>
    </row>
    <row r="3539" spans="2:34" x14ac:dyDescent="0.35">
      <c r="B3539" t="s">
        <v>747</v>
      </c>
      <c r="C3539">
        <v>45731</v>
      </c>
      <c r="F3539" t="s">
        <v>749</v>
      </c>
      <c r="H3539">
        <v>100.9</v>
      </c>
      <c r="O3539" t="s">
        <v>239</v>
      </c>
      <c r="P3539" t="s">
        <v>514</v>
      </c>
      <c r="Y3539">
        <v>3505</v>
      </c>
      <c r="Z3539" s="259" t="s">
        <v>630</v>
      </c>
      <c r="AA3539">
        <v>40</v>
      </c>
      <c r="AB3539">
        <v>4004</v>
      </c>
      <c r="AC3539">
        <v>45730</v>
      </c>
      <c r="AD3539">
        <v>1</v>
      </c>
      <c r="AE3539">
        <v>4036</v>
      </c>
      <c r="AF3539">
        <v>4036</v>
      </c>
      <c r="AG3539">
        <v>0</v>
      </c>
      <c r="AH3539">
        <v>32</v>
      </c>
    </row>
    <row r="3540" spans="2:34" x14ac:dyDescent="0.35">
      <c r="B3540" t="s">
        <v>747</v>
      </c>
      <c r="C3540">
        <v>45731</v>
      </c>
      <c r="F3540" t="s">
        <v>752</v>
      </c>
      <c r="H3540">
        <v>199.7</v>
      </c>
      <c r="O3540" t="s">
        <v>239</v>
      </c>
      <c r="P3540" t="s">
        <v>514</v>
      </c>
      <c r="Y3540">
        <v>3506</v>
      </c>
      <c r="Z3540" s="259" t="s">
        <v>630</v>
      </c>
      <c r="AA3540">
        <v>0</v>
      </c>
      <c r="AB3540">
        <v>0</v>
      </c>
      <c r="AC3540">
        <v>45730</v>
      </c>
      <c r="AD3540">
        <v>1</v>
      </c>
      <c r="AE3540">
        <v>0</v>
      </c>
      <c r="AF3540">
        <v>0</v>
      </c>
      <c r="AG3540">
        <v>0</v>
      </c>
      <c r="AH3540">
        <v>0</v>
      </c>
    </row>
    <row r="3541" spans="2:34" x14ac:dyDescent="0.35">
      <c r="B3541" t="s">
        <v>747</v>
      </c>
      <c r="C3541">
        <v>45731</v>
      </c>
      <c r="F3541" t="s">
        <v>754</v>
      </c>
      <c r="H3541">
        <v>76.7</v>
      </c>
      <c r="O3541" t="s">
        <v>239</v>
      </c>
      <c r="P3541" t="s">
        <v>514</v>
      </c>
      <c r="Y3541">
        <v>3507</v>
      </c>
      <c r="Z3541" s="259" t="s">
        <v>630</v>
      </c>
      <c r="AA3541">
        <v>100</v>
      </c>
      <c r="AB3541">
        <v>8008</v>
      </c>
      <c r="AC3541">
        <v>45730</v>
      </c>
      <c r="AD3541">
        <v>1</v>
      </c>
      <c r="AE3541">
        <v>7670</v>
      </c>
      <c r="AF3541">
        <v>7670</v>
      </c>
      <c r="AG3541">
        <v>0</v>
      </c>
      <c r="AH3541">
        <v>-338</v>
      </c>
    </row>
    <row r="3542" spans="2:34" x14ac:dyDescent="0.35">
      <c r="B3542" t="s">
        <v>747</v>
      </c>
      <c r="C3542">
        <v>45732</v>
      </c>
      <c r="F3542" t="s">
        <v>749</v>
      </c>
      <c r="H3542">
        <v>100.9</v>
      </c>
      <c r="O3542" t="s">
        <v>239</v>
      </c>
      <c r="P3542" t="s">
        <v>514</v>
      </c>
      <c r="Y3542">
        <v>3508</v>
      </c>
      <c r="Z3542" s="259" t="s">
        <v>630</v>
      </c>
      <c r="AA3542">
        <v>40</v>
      </c>
      <c r="AB3542">
        <v>4004</v>
      </c>
      <c r="AC3542">
        <v>45730</v>
      </c>
      <c r="AD3542">
        <v>2</v>
      </c>
      <c r="AE3542">
        <v>4036</v>
      </c>
      <c r="AF3542">
        <v>4036</v>
      </c>
      <c r="AG3542">
        <v>0</v>
      </c>
      <c r="AH3542">
        <v>32</v>
      </c>
    </row>
    <row r="3543" spans="2:34" x14ac:dyDescent="0.35">
      <c r="B3543" t="s">
        <v>747</v>
      </c>
      <c r="C3543">
        <v>45732</v>
      </c>
      <c r="F3543" t="s">
        <v>752</v>
      </c>
      <c r="H3543">
        <v>199.7</v>
      </c>
      <c r="O3543" t="s">
        <v>239</v>
      </c>
      <c r="P3543" t="s">
        <v>514</v>
      </c>
      <c r="Y3543">
        <v>3509</v>
      </c>
      <c r="Z3543" s="259" t="s">
        <v>630</v>
      </c>
      <c r="AA3543">
        <v>0</v>
      </c>
      <c r="AB3543">
        <v>0</v>
      </c>
      <c r="AC3543">
        <v>45730</v>
      </c>
      <c r="AD3543">
        <v>2</v>
      </c>
      <c r="AE3543">
        <v>0</v>
      </c>
      <c r="AF3543">
        <v>0</v>
      </c>
      <c r="AG3543">
        <v>0</v>
      </c>
      <c r="AH3543">
        <v>0</v>
      </c>
    </row>
    <row r="3544" spans="2:34" x14ac:dyDescent="0.35">
      <c r="B3544" t="s">
        <v>747</v>
      </c>
      <c r="C3544">
        <v>45732</v>
      </c>
      <c r="F3544" t="s">
        <v>754</v>
      </c>
      <c r="H3544">
        <v>76.7</v>
      </c>
      <c r="O3544" t="s">
        <v>239</v>
      </c>
      <c r="P3544" t="s">
        <v>514</v>
      </c>
      <c r="Y3544">
        <v>3510</v>
      </c>
      <c r="Z3544" s="259" t="s">
        <v>630</v>
      </c>
      <c r="AA3544">
        <v>100</v>
      </c>
      <c r="AB3544">
        <v>8008</v>
      </c>
      <c r="AC3544">
        <v>45730</v>
      </c>
      <c r="AD3544">
        <v>2</v>
      </c>
      <c r="AE3544">
        <v>7670</v>
      </c>
      <c r="AF3544">
        <v>7670</v>
      </c>
      <c r="AG3544">
        <v>0</v>
      </c>
      <c r="AH3544">
        <v>-338</v>
      </c>
    </row>
    <row r="3545" spans="2:34" x14ac:dyDescent="0.35">
      <c r="B3545" t="s">
        <v>747</v>
      </c>
      <c r="C3545">
        <v>45733</v>
      </c>
      <c r="F3545" t="s">
        <v>749</v>
      </c>
      <c r="H3545">
        <v>101.8</v>
      </c>
      <c r="O3545" t="s">
        <v>239</v>
      </c>
      <c r="P3545" t="s">
        <v>514</v>
      </c>
      <c r="Y3545">
        <v>3511</v>
      </c>
      <c r="Z3545" s="259" t="s">
        <v>630</v>
      </c>
      <c r="AA3545">
        <v>40</v>
      </c>
      <c r="AB3545">
        <v>4004</v>
      </c>
      <c r="AC3545">
        <v>45733</v>
      </c>
      <c r="AD3545">
        <v>0</v>
      </c>
      <c r="AE3545">
        <v>4072</v>
      </c>
      <c r="AF3545">
        <v>4072</v>
      </c>
      <c r="AG3545">
        <v>0</v>
      </c>
      <c r="AH3545">
        <v>68</v>
      </c>
    </row>
    <row r="3546" spans="2:34" x14ac:dyDescent="0.35">
      <c r="B3546" t="s">
        <v>747</v>
      </c>
      <c r="C3546">
        <v>45733</v>
      </c>
      <c r="F3546" t="s">
        <v>752</v>
      </c>
      <c r="H3546">
        <v>199.4</v>
      </c>
      <c r="O3546" t="s">
        <v>239</v>
      </c>
      <c r="P3546" t="s">
        <v>514</v>
      </c>
      <c r="Y3546">
        <v>3512</v>
      </c>
      <c r="Z3546" s="259" t="s">
        <v>630</v>
      </c>
      <c r="AA3546">
        <v>0</v>
      </c>
      <c r="AB3546">
        <v>0</v>
      </c>
      <c r="AC3546">
        <v>45733</v>
      </c>
      <c r="AD3546">
        <v>0</v>
      </c>
      <c r="AE3546">
        <v>0</v>
      </c>
      <c r="AF3546">
        <v>0</v>
      </c>
      <c r="AG3546">
        <v>0</v>
      </c>
      <c r="AH3546">
        <v>0</v>
      </c>
    </row>
    <row r="3547" spans="2:34" x14ac:dyDescent="0.35">
      <c r="B3547" t="s">
        <v>747</v>
      </c>
      <c r="C3547">
        <v>45733</v>
      </c>
      <c r="F3547" t="s">
        <v>754</v>
      </c>
      <c r="H3547">
        <v>76.400000000000006</v>
      </c>
      <c r="O3547" t="s">
        <v>239</v>
      </c>
      <c r="P3547" t="s">
        <v>514</v>
      </c>
      <c r="Y3547">
        <v>3513</v>
      </c>
      <c r="Z3547" s="259" t="s">
        <v>630</v>
      </c>
      <c r="AA3547">
        <v>100</v>
      </c>
      <c r="AB3547">
        <v>8008</v>
      </c>
      <c r="AC3547">
        <v>45733</v>
      </c>
      <c r="AD3547">
        <v>0</v>
      </c>
      <c r="AE3547">
        <v>7640.0000000000009</v>
      </c>
      <c r="AF3547">
        <v>7640.0000000000009</v>
      </c>
      <c r="AG3547">
        <v>0</v>
      </c>
      <c r="AH3547">
        <v>-367.99999999999909</v>
      </c>
    </row>
    <row r="3548" spans="2:34" x14ac:dyDescent="0.35">
      <c r="B3548" t="s">
        <v>747</v>
      </c>
      <c r="C3548">
        <v>45734</v>
      </c>
      <c r="F3548" t="s">
        <v>749</v>
      </c>
      <c r="H3548">
        <v>102.1</v>
      </c>
      <c r="O3548" t="s">
        <v>239</v>
      </c>
      <c r="P3548" t="s">
        <v>514</v>
      </c>
      <c r="Y3548">
        <v>3514</v>
      </c>
      <c r="Z3548" s="259" t="s">
        <v>630</v>
      </c>
      <c r="AA3548">
        <v>40</v>
      </c>
      <c r="AB3548">
        <v>4004</v>
      </c>
      <c r="AC3548">
        <v>45734</v>
      </c>
      <c r="AD3548">
        <v>0</v>
      </c>
      <c r="AE3548">
        <v>4084</v>
      </c>
      <c r="AF3548">
        <v>4084</v>
      </c>
      <c r="AG3548">
        <v>0</v>
      </c>
      <c r="AH3548">
        <v>80</v>
      </c>
    </row>
    <row r="3549" spans="2:34" x14ac:dyDescent="0.35">
      <c r="B3549" t="s">
        <v>747</v>
      </c>
      <c r="C3549">
        <v>45734</v>
      </c>
      <c r="F3549" t="s">
        <v>752</v>
      </c>
      <c r="H3549">
        <v>199.3</v>
      </c>
      <c r="O3549" t="s">
        <v>239</v>
      </c>
      <c r="P3549" t="s">
        <v>514</v>
      </c>
      <c r="Y3549">
        <v>3515</v>
      </c>
      <c r="Z3549" s="259" t="s">
        <v>630</v>
      </c>
      <c r="AA3549">
        <v>0</v>
      </c>
      <c r="AB3549">
        <v>0</v>
      </c>
      <c r="AC3549">
        <v>45734</v>
      </c>
      <c r="AD3549">
        <v>0</v>
      </c>
      <c r="AE3549">
        <v>0</v>
      </c>
      <c r="AF3549">
        <v>0</v>
      </c>
      <c r="AG3549">
        <v>0</v>
      </c>
      <c r="AH3549">
        <v>0</v>
      </c>
    </row>
    <row r="3550" spans="2:34" x14ac:dyDescent="0.35">
      <c r="B3550" t="s">
        <v>747</v>
      </c>
      <c r="C3550">
        <v>45734</v>
      </c>
      <c r="F3550" t="s">
        <v>754</v>
      </c>
      <c r="H3550">
        <v>76.3</v>
      </c>
      <c r="O3550" t="s">
        <v>239</v>
      </c>
      <c r="P3550" t="s">
        <v>514</v>
      </c>
      <c r="Y3550">
        <v>3516</v>
      </c>
      <c r="Z3550" s="259" t="s">
        <v>630</v>
      </c>
      <c r="AA3550">
        <v>100</v>
      </c>
      <c r="AB3550">
        <v>8008</v>
      </c>
      <c r="AC3550">
        <v>45734</v>
      </c>
      <c r="AD3550">
        <v>0</v>
      </c>
      <c r="AE3550">
        <v>7630</v>
      </c>
      <c r="AF3550">
        <v>7630</v>
      </c>
      <c r="AG3550">
        <v>0</v>
      </c>
      <c r="AH3550">
        <v>-378</v>
      </c>
    </row>
    <row r="3551" spans="2:34" x14ac:dyDescent="0.35">
      <c r="B3551" t="s">
        <v>747</v>
      </c>
      <c r="C3551">
        <v>45735</v>
      </c>
      <c r="F3551" t="s">
        <v>749</v>
      </c>
      <c r="H3551">
        <v>102.4</v>
      </c>
      <c r="O3551" t="s">
        <v>239</v>
      </c>
      <c r="P3551" t="s">
        <v>514</v>
      </c>
      <c r="Y3551">
        <v>3517</v>
      </c>
      <c r="Z3551" s="259" t="s">
        <v>630</v>
      </c>
      <c r="AA3551">
        <v>40</v>
      </c>
      <c r="AB3551">
        <v>4004</v>
      </c>
      <c r="AC3551">
        <v>45735</v>
      </c>
      <c r="AD3551">
        <v>0</v>
      </c>
      <c r="AE3551">
        <v>4096</v>
      </c>
      <c r="AF3551">
        <v>4096</v>
      </c>
      <c r="AG3551">
        <v>0</v>
      </c>
      <c r="AH3551">
        <v>92</v>
      </c>
    </row>
    <row r="3552" spans="2:34" x14ac:dyDescent="0.35">
      <c r="B3552" t="s">
        <v>747</v>
      </c>
      <c r="C3552">
        <v>45735</v>
      </c>
      <c r="F3552" t="s">
        <v>752</v>
      </c>
      <c r="H3552">
        <v>199.2</v>
      </c>
      <c r="O3552" t="s">
        <v>239</v>
      </c>
      <c r="P3552" t="s">
        <v>514</v>
      </c>
      <c r="Y3552">
        <v>3518</v>
      </c>
      <c r="Z3552" s="259" t="s">
        <v>630</v>
      </c>
      <c r="AA3552">
        <v>0</v>
      </c>
      <c r="AB3552">
        <v>0</v>
      </c>
      <c r="AC3552">
        <v>45735</v>
      </c>
      <c r="AD3552">
        <v>0</v>
      </c>
      <c r="AE3552">
        <v>0</v>
      </c>
      <c r="AF3552">
        <v>0</v>
      </c>
      <c r="AG3552">
        <v>0</v>
      </c>
      <c r="AH3552">
        <v>0</v>
      </c>
    </row>
    <row r="3553" spans="2:34" x14ac:dyDescent="0.35">
      <c r="B3553" t="s">
        <v>747</v>
      </c>
      <c r="C3553">
        <v>45735</v>
      </c>
      <c r="F3553" t="s">
        <v>754</v>
      </c>
      <c r="H3553">
        <v>76.2</v>
      </c>
      <c r="O3553" t="s">
        <v>239</v>
      </c>
      <c r="P3553" t="s">
        <v>514</v>
      </c>
      <c r="Y3553">
        <v>3519</v>
      </c>
      <c r="Z3553" s="259" t="s">
        <v>630</v>
      </c>
      <c r="AA3553">
        <v>100</v>
      </c>
      <c r="AB3553">
        <v>8008</v>
      </c>
      <c r="AC3553">
        <v>45735</v>
      </c>
      <c r="AD3553">
        <v>0</v>
      </c>
      <c r="AE3553">
        <v>7620</v>
      </c>
      <c r="AF3553">
        <v>7620</v>
      </c>
      <c r="AG3553">
        <v>0</v>
      </c>
      <c r="AH3553">
        <v>-388</v>
      </c>
    </row>
    <row r="3554" spans="2:34" x14ac:dyDescent="0.35">
      <c r="B3554" t="s">
        <v>747</v>
      </c>
      <c r="C3554">
        <v>45736</v>
      </c>
      <c r="F3554" t="s">
        <v>749</v>
      </c>
      <c r="H3554">
        <v>102.7</v>
      </c>
      <c r="O3554" t="s">
        <v>239</v>
      </c>
      <c r="P3554" t="s">
        <v>514</v>
      </c>
      <c r="Y3554">
        <v>3520</v>
      </c>
      <c r="Z3554" s="259" t="s">
        <v>630</v>
      </c>
      <c r="AA3554">
        <v>40</v>
      </c>
      <c r="AB3554">
        <v>4004</v>
      </c>
      <c r="AC3554">
        <v>45736</v>
      </c>
      <c r="AD3554">
        <v>0</v>
      </c>
      <c r="AE3554">
        <v>4108</v>
      </c>
      <c r="AF3554">
        <v>4108</v>
      </c>
      <c r="AG3554">
        <v>0</v>
      </c>
      <c r="AH3554">
        <v>104</v>
      </c>
    </row>
    <row r="3555" spans="2:34" x14ac:dyDescent="0.35">
      <c r="B3555" t="s">
        <v>747</v>
      </c>
      <c r="C3555">
        <v>45736</v>
      </c>
      <c r="F3555" t="s">
        <v>752</v>
      </c>
      <c r="H3555">
        <v>199.1</v>
      </c>
      <c r="O3555" t="s">
        <v>239</v>
      </c>
      <c r="P3555" t="s">
        <v>514</v>
      </c>
      <c r="Y3555">
        <v>3521</v>
      </c>
      <c r="Z3555" s="259" t="s">
        <v>630</v>
      </c>
      <c r="AA3555">
        <v>0</v>
      </c>
      <c r="AB3555">
        <v>0</v>
      </c>
      <c r="AC3555">
        <v>45736</v>
      </c>
      <c r="AD3555">
        <v>0</v>
      </c>
      <c r="AE3555">
        <v>0</v>
      </c>
      <c r="AF3555">
        <v>0</v>
      </c>
      <c r="AG3555">
        <v>0</v>
      </c>
      <c r="AH3555">
        <v>0</v>
      </c>
    </row>
    <row r="3556" spans="2:34" x14ac:dyDescent="0.35">
      <c r="B3556" t="s">
        <v>747</v>
      </c>
      <c r="C3556">
        <v>45736</v>
      </c>
      <c r="F3556" t="s">
        <v>754</v>
      </c>
      <c r="H3556">
        <v>76.099999999999994</v>
      </c>
      <c r="O3556" t="s">
        <v>239</v>
      </c>
      <c r="P3556" t="s">
        <v>514</v>
      </c>
      <c r="Y3556">
        <v>3522</v>
      </c>
      <c r="Z3556" s="259" t="s">
        <v>630</v>
      </c>
      <c r="AA3556">
        <v>100</v>
      </c>
      <c r="AB3556">
        <v>8008</v>
      </c>
      <c r="AC3556">
        <v>45736</v>
      </c>
      <c r="AD3556">
        <v>0</v>
      </c>
      <c r="AE3556">
        <v>7609.9999999999991</v>
      </c>
      <c r="AF3556">
        <v>7609.9999999999991</v>
      </c>
      <c r="AG3556">
        <v>0</v>
      </c>
      <c r="AH3556">
        <v>-398.00000000000091</v>
      </c>
    </row>
    <row r="3557" spans="2:34" x14ac:dyDescent="0.35">
      <c r="B3557" t="s">
        <v>747</v>
      </c>
      <c r="C3557">
        <v>45737</v>
      </c>
      <c r="F3557" t="s">
        <v>749</v>
      </c>
      <c r="H3557">
        <v>103</v>
      </c>
      <c r="O3557" t="s">
        <v>239</v>
      </c>
      <c r="P3557" t="s">
        <v>514</v>
      </c>
      <c r="Y3557">
        <v>3523</v>
      </c>
      <c r="Z3557" s="259" t="s">
        <v>630</v>
      </c>
      <c r="AA3557">
        <v>40</v>
      </c>
      <c r="AB3557">
        <v>4004</v>
      </c>
      <c r="AC3557">
        <v>45737</v>
      </c>
      <c r="AD3557">
        <v>0</v>
      </c>
      <c r="AE3557">
        <v>4120</v>
      </c>
      <c r="AF3557">
        <v>4120</v>
      </c>
      <c r="AG3557">
        <v>0</v>
      </c>
      <c r="AH3557">
        <v>116</v>
      </c>
    </row>
    <row r="3558" spans="2:34" x14ac:dyDescent="0.35">
      <c r="B3558" t="s">
        <v>747</v>
      </c>
      <c r="C3558">
        <v>45737</v>
      </c>
      <c r="F3558" t="s">
        <v>752</v>
      </c>
      <c r="H3558">
        <v>199</v>
      </c>
      <c r="O3558" t="s">
        <v>239</v>
      </c>
      <c r="P3558" t="s">
        <v>514</v>
      </c>
      <c r="Y3558">
        <v>3524</v>
      </c>
      <c r="Z3558" s="259" t="s">
        <v>630</v>
      </c>
      <c r="AA3558">
        <v>0</v>
      </c>
      <c r="AB3558">
        <v>0</v>
      </c>
      <c r="AC3558">
        <v>45737</v>
      </c>
      <c r="AD3558">
        <v>0</v>
      </c>
      <c r="AE3558">
        <v>0</v>
      </c>
      <c r="AF3558">
        <v>0</v>
      </c>
      <c r="AG3558">
        <v>0</v>
      </c>
      <c r="AH3558">
        <v>0</v>
      </c>
    </row>
    <row r="3559" spans="2:34" x14ac:dyDescent="0.35">
      <c r="B3559" t="s">
        <v>747</v>
      </c>
      <c r="C3559">
        <v>45737</v>
      </c>
      <c r="F3559" t="s">
        <v>754</v>
      </c>
      <c r="H3559">
        <v>76</v>
      </c>
      <c r="O3559" t="s">
        <v>239</v>
      </c>
      <c r="P3559" t="s">
        <v>514</v>
      </c>
      <c r="Y3559">
        <v>3525</v>
      </c>
      <c r="Z3559" s="259" t="s">
        <v>630</v>
      </c>
      <c r="AA3559">
        <v>100</v>
      </c>
      <c r="AB3559">
        <v>8008</v>
      </c>
      <c r="AC3559">
        <v>45737</v>
      </c>
      <c r="AD3559">
        <v>0</v>
      </c>
      <c r="AE3559">
        <v>7600</v>
      </c>
      <c r="AF3559">
        <v>7600</v>
      </c>
      <c r="AG3559">
        <v>0</v>
      </c>
      <c r="AH3559">
        <v>-408</v>
      </c>
    </row>
    <row r="3560" spans="2:34" x14ac:dyDescent="0.35">
      <c r="B3560" t="s">
        <v>747</v>
      </c>
      <c r="C3560">
        <v>45738</v>
      </c>
      <c r="F3560" t="s">
        <v>749</v>
      </c>
      <c r="H3560">
        <v>103</v>
      </c>
      <c r="O3560" t="s">
        <v>239</v>
      </c>
      <c r="P3560" t="s">
        <v>514</v>
      </c>
      <c r="Y3560">
        <v>3526</v>
      </c>
      <c r="Z3560" s="259" t="s">
        <v>630</v>
      </c>
      <c r="AA3560">
        <v>40</v>
      </c>
      <c r="AB3560">
        <v>4004</v>
      </c>
      <c r="AC3560">
        <v>45737</v>
      </c>
      <c r="AD3560">
        <v>1</v>
      </c>
      <c r="AE3560">
        <v>4120</v>
      </c>
      <c r="AF3560">
        <v>4120</v>
      </c>
      <c r="AG3560">
        <v>0</v>
      </c>
      <c r="AH3560">
        <v>116</v>
      </c>
    </row>
    <row r="3561" spans="2:34" x14ac:dyDescent="0.35">
      <c r="B3561" t="s">
        <v>747</v>
      </c>
      <c r="C3561">
        <v>45738</v>
      </c>
      <c r="F3561" t="s">
        <v>752</v>
      </c>
      <c r="H3561">
        <v>199</v>
      </c>
      <c r="O3561" t="s">
        <v>239</v>
      </c>
      <c r="P3561" t="s">
        <v>514</v>
      </c>
      <c r="Y3561">
        <v>3527</v>
      </c>
      <c r="Z3561" s="259" t="s">
        <v>630</v>
      </c>
      <c r="AA3561">
        <v>0</v>
      </c>
      <c r="AB3561">
        <v>0</v>
      </c>
      <c r="AC3561">
        <v>45737</v>
      </c>
      <c r="AD3561">
        <v>1</v>
      </c>
      <c r="AE3561">
        <v>0</v>
      </c>
      <c r="AF3561">
        <v>0</v>
      </c>
      <c r="AG3561">
        <v>0</v>
      </c>
      <c r="AH3561">
        <v>0</v>
      </c>
    </row>
    <row r="3562" spans="2:34" x14ac:dyDescent="0.35">
      <c r="B3562" t="s">
        <v>747</v>
      </c>
      <c r="C3562">
        <v>45738</v>
      </c>
      <c r="F3562" t="s">
        <v>754</v>
      </c>
      <c r="H3562">
        <v>76</v>
      </c>
      <c r="O3562" t="s">
        <v>239</v>
      </c>
      <c r="P3562" t="s">
        <v>514</v>
      </c>
      <c r="Y3562">
        <v>3528</v>
      </c>
      <c r="Z3562" s="259" t="s">
        <v>630</v>
      </c>
      <c r="AA3562">
        <v>100</v>
      </c>
      <c r="AB3562">
        <v>8008</v>
      </c>
      <c r="AC3562">
        <v>45737</v>
      </c>
      <c r="AD3562">
        <v>1</v>
      </c>
      <c r="AE3562">
        <v>7600</v>
      </c>
      <c r="AF3562">
        <v>7600</v>
      </c>
      <c r="AG3562">
        <v>0</v>
      </c>
      <c r="AH3562">
        <v>-408</v>
      </c>
    </row>
    <row r="3563" spans="2:34" x14ac:dyDescent="0.35">
      <c r="B3563" t="s">
        <v>747</v>
      </c>
      <c r="C3563">
        <v>45739</v>
      </c>
      <c r="F3563" t="s">
        <v>749</v>
      </c>
      <c r="H3563">
        <v>103</v>
      </c>
      <c r="O3563" t="s">
        <v>239</v>
      </c>
      <c r="P3563" t="s">
        <v>514</v>
      </c>
      <c r="Y3563">
        <v>3529</v>
      </c>
      <c r="Z3563" s="259" t="s">
        <v>630</v>
      </c>
      <c r="AA3563">
        <v>40</v>
      </c>
      <c r="AB3563">
        <v>4004</v>
      </c>
      <c r="AC3563">
        <v>45737</v>
      </c>
      <c r="AD3563">
        <v>2</v>
      </c>
      <c r="AE3563">
        <v>4120</v>
      </c>
      <c r="AF3563">
        <v>4120</v>
      </c>
      <c r="AG3563">
        <v>0</v>
      </c>
      <c r="AH3563">
        <v>116</v>
      </c>
    </row>
    <row r="3564" spans="2:34" x14ac:dyDescent="0.35">
      <c r="B3564" t="s">
        <v>747</v>
      </c>
      <c r="C3564">
        <v>45739</v>
      </c>
      <c r="F3564" t="s">
        <v>752</v>
      </c>
      <c r="H3564">
        <v>199</v>
      </c>
      <c r="O3564" t="s">
        <v>239</v>
      </c>
      <c r="P3564" t="s">
        <v>514</v>
      </c>
      <c r="Y3564">
        <v>3530</v>
      </c>
      <c r="Z3564" s="259" t="s">
        <v>630</v>
      </c>
      <c r="AA3564">
        <v>0</v>
      </c>
      <c r="AB3564">
        <v>0</v>
      </c>
      <c r="AC3564">
        <v>45737</v>
      </c>
      <c r="AD3564">
        <v>2</v>
      </c>
      <c r="AE3564">
        <v>0</v>
      </c>
      <c r="AF3564">
        <v>0</v>
      </c>
      <c r="AG3564">
        <v>0</v>
      </c>
      <c r="AH3564">
        <v>0</v>
      </c>
    </row>
    <row r="3565" spans="2:34" x14ac:dyDescent="0.35">
      <c r="B3565" t="s">
        <v>747</v>
      </c>
      <c r="C3565">
        <v>45739</v>
      </c>
      <c r="F3565" t="s">
        <v>754</v>
      </c>
      <c r="H3565">
        <v>76</v>
      </c>
      <c r="O3565" t="s">
        <v>239</v>
      </c>
      <c r="P3565" t="s">
        <v>514</v>
      </c>
      <c r="Y3565">
        <v>3531</v>
      </c>
      <c r="Z3565" s="259" t="s">
        <v>630</v>
      </c>
      <c r="AA3565">
        <v>100</v>
      </c>
      <c r="AB3565">
        <v>8008</v>
      </c>
      <c r="AC3565">
        <v>45737</v>
      </c>
      <c r="AD3565">
        <v>2</v>
      </c>
      <c r="AE3565">
        <v>7600</v>
      </c>
      <c r="AF3565">
        <v>7600</v>
      </c>
      <c r="AG3565">
        <v>0</v>
      </c>
      <c r="AH3565">
        <v>-408</v>
      </c>
    </row>
    <row r="3566" spans="2:34" x14ac:dyDescent="0.35">
      <c r="B3566" t="s">
        <v>747</v>
      </c>
      <c r="C3566">
        <v>45740</v>
      </c>
      <c r="F3566" t="s">
        <v>749</v>
      </c>
      <c r="H3566">
        <v>103.9</v>
      </c>
      <c r="O3566" t="s">
        <v>239</v>
      </c>
      <c r="P3566" t="s">
        <v>514</v>
      </c>
      <c r="Y3566">
        <v>3532</v>
      </c>
      <c r="Z3566" s="259" t="s">
        <v>630</v>
      </c>
      <c r="AA3566">
        <v>40</v>
      </c>
      <c r="AB3566">
        <v>4004</v>
      </c>
      <c r="AC3566">
        <v>45740</v>
      </c>
      <c r="AD3566">
        <v>0</v>
      </c>
      <c r="AE3566">
        <v>4156</v>
      </c>
      <c r="AF3566">
        <v>4156</v>
      </c>
      <c r="AG3566">
        <v>0</v>
      </c>
      <c r="AH3566">
        <v>152</v>
      </c>
    </row>
    <row r="3567" spans="2:34" x14ac:dyDescent="0.35">
      <c r="B3567" t="s">
        <v>747</v>
      </c>
      <c r="C3567">
        <v>45740</v>
      </c>
      <c r="F3567" t="s">
        <v>752</v>
      </c>
      <c r="H3567">
        <v>198.7</v>
      </c>
      <c r="O3567" t="s">
        <v>239</v>
      </c>
      <c r="P3567" t="s">
        <v>514</v>
      </c>
      <c r="Y3567">
        <v>3533</v>
      </c>
      <c r="Z3567" s="259" t="s">
        <v>630</v>
      </c>
      <c r="AA3567">
        <v>0</v>
      </c>
      <c r="AB3567">
        <v>0</v>
      </c>
      <c r="AC3567">
        <v>45740</v>
      </c>
      <c r="AD3567">
        <v>0</v>
      </c>
      <c r="AE3567">
        <v>0</v>
      </c>
      <c r="AF3567">
        <v>0</v>
      </c>
      <c r="AG3567">
        <v>0</v>
      </c>
      <c r="AH3567">
        <v>0</v>
      </c>
    </row>
    <row r="3568" spans="2:34" x14ac:dyDescent="0.35">
      <c r="B3568" t="s">
        <v>747</v>
      </c>
      <c r="C3568">
        <v>45740</v>
      </c>
      <c r="F3568" t="s">
        <v>754</v>
      </c>
      <c r="H3568">
        <v>75.7</v>
      </c>
      <c r="O3568" t="s">
        <v>239</v>
      </c>
      <c r="P3568" t="s">
        <v>514</v>
      </c>
      <c r="Y3568">
        <v>3534</v>
      </c>
      <c r="Z3568" s="259" t="s">
        <v>630</v>
      </c>
      <c r="AA3568">
        <v>100</v>
      </c>
      <c r="AB3568">
        <v>8008</v>
      </c>
      <c r="AC3568">
        <v>45740</v>
      </c>
      <c r="AD3568">
        <v>0</v>
      </c>
      <c r="AE3568">
        <v>7570</v>
      </c>
      <c r="AF3568">
        <v>7570</v>
      </c>
      <c r="AG3568">
        <v>0</v>
      </c>
      <c r="AH3568">
        <v>-438</v>
      </c>
    </row>
    <row r="3569" spans="2:34" x14ac:dyDescent="0.35">
      <c r="B3569" t="s">
        <v>747</v>
      </c>
      <c r="C3569">
        <v>45741</v>
      </c>
      <c r="F3569" t="s">
        <v>749</v>
      </c>
      <c r="H3569">
        <v>104.2</v>
      </c>
      <c r="O3569" t="s">
        <v>239</v>
      </c>
      <c r="P3569" t="s">
        <v>514</v>
      </c>
      <c r="Y3569">
        <v>3535</v>
      </c>
      <c r="Z3569" s="259" t="s">
        <v>630</v>
      </c>
      <c r="AA3569">
        <v>40</v>
      </c>
      <c r="AB3569">
        <v>4004</v>
      </c>
      <c r="AC3569">
        <v>45741</v>
      </c>
      <c r="AD3569">
        <v>0</v>
      </c>
      <c r="AE3569">
        <v>4168</v>
      </c>
      <c r="AF3569">
        <v>4168</v>
      </c>
      <c r="AG3569">
        <v>0</v>
      </c>
      <c r="AH3569">
        <v>164</v>
      </c>
    </row>
    <row r="3570" spans="2:34" x14ac:dyDescent="0.35">
      <c r="B3570" t="s">
        <v>747</v>
      </c>
      <c r="C3570">
        <v>45741</v>
      </c>
      <c r="F3570" t="s">
        <v>752</v>
      </c>
      <c r="H3570">
        <v>198.6</v>
      </c>
      <c r="O3570" t="s">
        <v>239</v>
      </c>
      <c r="P3570" t="s">
        <v>514</v>
      </c>
      <c r="Y3570">
        <v>3536</v>
      </c>
      <c r="Z3570" s="259" t="s">
        <v>630</v>
      </c>
      <c r="AA3570">
        <v>0</v>
      </c>
      <c r="AB3570">
        <v>0</v>
      </c>
      <c r="AC3570">
        <v>45741</v>
      </c>
      <c r="AD3570">
        <v>0</v>
      </c>
      <c r="AE3570">
        <v>0</v>
      </c>
      <c r="AF3570">
        <v>0</v>
      </c>
      <c r="AG3570">
        <v>0</v>
      </c>
      <c r="AH3570">
        <v>0</v>
      </c>
    </row>
    <row r="3571" spans="2:34" x14ac:dyDescent="0.35">
      <c r="B3571" t="s">
        <v>747</v>
      </c>
      <c r="C3571">
        <v>45741</v>
      </c>
      <c r="F3571" t="s">
        <v>754</v>
      </c>
      <c r="H3571">
        <v>75.599999999999994</v>
      </c>
      <c r="O3571" t="s">
        <v>239</v>
      </c>
      <c r="P3571" t="s">
        <v>514</v>
      </c>
      <c r="Y3571">
        <v>3537</v>
      </c>
      <c r="Z3571" s="259" t="s">
        <v>630</v>
      </c>
      <c r="AA3571">
        <v>100</v>
      </c>
      <c r="AB3571">
        <v>8008</v>
      </c>
      <c r="AC3571">
        <v>45741</v>
      </c>
      <c r="AD3571">
        <v>0</v>
      </c>
      <c r="AE3571">
        <v>7559.9999999999991</v>
      </c>
      <c r="AF3571">
        <v>7559.9999999999991</v>
      </c>
      <c r="AG3571">
        <v>0</v>
      </c>
      <c r="AH3571">
        <v>-448.00000000000091</v>
      </c>
    </row>
    <row r="3572" spans="2:34" x14ac:dyDescent="0.35">
      <c r="B3572" t="s">
        <v>747</v>
      </c>
      <c r="C3572">
        <v>45742</v>
      </c>
      <c r="F3572" t="s">
        <v>749</v>
      </c>
      <c r="H3572">
        <v>104.5</v>
      </c>
      <c r="O3572" t="s">
        <v>239</v>
      </c>
      <c r="P3572" t="s">
        <v>514</v>
      </c>
      <c r="Y3572">
        <v>3538</v>
      </c>
      <c r="Z3572" s="259" t="s">
        <v>630</v>
      </c>
      <c r="AA3572">
        <v>40</v>
      </c>
      <c r="AB3572">
        <v>4004</v>
      </c>
      <c r="AC3572">
        <v>45742</v>
      </c>
      <c r="AD3572">
        <v>0</v>
      </c>
      <c r="AE3572">
        <v>4180</v>
      </c>
      <c r="AF3572">
        <v>4180</v>
      </c>
      <c r="AG3572">
        <v>0</v>
      </c>
      <c r="AH3572">
        <v>176</v>
      </c>
    </row>
    <row r="3573" spans="2:34" x14ac:dyDescent="0.35">
      <c r="B3573" t="s">
        <v>747</v>
      </c>
      <c r="C3573">
        <v>45742</v>
      </c>
      <c r="F3573" t="s">
        <v>752</v>
      </c>
      <c r="H3573">
        <v>198.5</v>
      </c>
      <c r="O3573" t="s">
        <v>239</v>
      </c>
      <c r="P3573" t="s">
        <v>514</v>
      </c>
      <c r="Y3573">
        <v>3539</v>
      </c>
      <c r="Z3573" s="259" t="s">
        <v>630</v>
      </c>
      <c r="AA3573">
        <v>0</v>
      </c>
      <c r="AB3573">
        <v>0</v>
      </c>
      <c r="AC3573">
        <v>45742</v>
      </c>
      <c r="AD3573">
        <v>0</v>
      </c>
      <c r="AE3573">
        <v>0</v>
      </c>
      <c r="AF3573">
        <v>0</v>
      </c>
      <c r="AG3573">
        <v>0</v>
      </c>
      <c r="AH3573">
        <v>0</v>
      </c>
    </row>
    <row r="3574" spans="2:34" x14ac:dyDescent="0.35">
      <c r="B3574" t="s">
        <v>747</v>
      </c>
      <c r="C3574">
        <v>45742</v>
      </c>
      <c r="F3574" t="s">
        <v>754</v>
      </c>
      <c r="H3574">
        <v>75.5</v>
      </c>
      <c r="O3574" t="s">
        <v>239</v>
      </c>
      <c r="P3574" t="s">
        <v>514</v>
      </c>
      <c r="Y3574">
        <v>3540</v>
      </c>
      <c r="Z3574" s="259" t="s">
        <v>630</v>
      </c>
      <c r="AA3574">
        <v>100</v>
      </c>
      <c r="AB3574">
        <v>8008</v>
      </c>
      <c r="AC3574">
        <v>45742</v>
      </c>
      <c r="AD3574">
        <v>0</v>
      </c>
      <c r="AE3574">
        <v>7550</v>
      </c>
      <c r="AF3574">
        <v>7550</v>
      </c>
      <c r="AG3574">
        <v>0</v>
      </c>
      <c r="AH3574">
        <v>-458</v>
      </c>
    </row>
    <row r="3575" spans="2:34" x14ac:dyDescent="0.35">
      <c r="B3575" t="s">
        <v>747</v>
      </c>
      <c r="C3575">
        <v>45743</v>
      </c>
      <c r="F3575" t="s">
        <v>749</v>
      </c>
      <c r="H3575">
        <v>104.8</v>
      </c>
      <c r="O3575" t="s">
        <v>239</v>
      </c>
      <c r="P3575" t="s">
        <v>514</v>
      </c>
      <c r="Y3575">
        <v>3541</v>
      </c>
      <c r="Z3575" s="259" t="s">
        <v>630</v>
      </c>
      <c r="AA3575">
        <v>40</v>
      </c>
      <c r="AB3575">
        <v>4004</v>
      </c>
      <c r="AC3575">
        <v>45743</v>
      </c>
      <c r="AD3575">
        <v>0</v>
      </c>
      <c r="AE3575">
        <v>4192</v>
      </c>
      <c r="AF3575">
        <v>4192</v>
      </c>
      <c r="AG3575">
        <v>0</v>
      </c>
      <c r="AH3575">
        <v>188</v>
      </c>
    </row>
    <row r="3576" spans="2:34" x14ac:dyDescent="0.35">
      <c r="B3576" t="s">
        <v>747</v>
      </c>
      <c r="C3576">
        <v>45743</v>
      </c>
      <c r="F3576" t="s">
        <v>752</v>
      </c>
      <c r="H3576">
        <v>198.4</v>
      </c>
      <c r="O3576" t="s">
        <v>239</v>
      </c>
      <c r="P3576" t="s">
        <v>514</v>
      </c>
      <c r="Y3576">
        <v>3542</v>
      </c>
      <c r="Z3576" s="259" t="s">
        <v>630</v>
      </c>
      <c r="AA3576">
        <v>0</v>
      </c>
      <c r="AB3576">
        <v>0</v>
      </c>
      <c r="AC3576">
        <v>45743</v>
      </c>
      <c r="AD3576">
        <v>0</v>
      </c>
      <c r="AE3576">
        <v>0</v>
      </c>
      <c r="AF3576">
        <v>0</v>
      </c>
      <c r="AG3576">
        <v>0</v>
      </c>
      <c r="AH3576">
        <v>0</v>
      </c>
    </row>
    <row r="3577" spans="2:34" x14ac:dyDescent="0.35">
      <c r="B3577" t="s">
        <v>747</v>
      </c>
      <c r="C3577">
        <v>45743</v>
      </c>
      <c r="F3577" t="s">
        <v>754</v>
      </c>
      <c r="H3577">
        <v>75.400000000000006</v>
      </c>
      <c r="O3577" t="s">
        <v>239</v>
      </c>
      <c r="P3577" t="s">
        <v>514</v>
      </c>
      <c r="Y3577">
        <v>3543</v>
      </c>
      <c r="Z3577" s="259" t="s">
        <v>630</v>
      </c>
      <c r="AA3577">
        <v>100</v>
      </c>
      <c r="AB3577">
        <v>8008</v>
      </c>
      <c r="AC3577">
        <v>45743</v>
      </c>
      <c r="AD3577">
        <v>0</v>
      </c>
      <c r="AE3577">
        <v>7540.0000000000009</v>
      </c>
      <c r="AF3577">
        <v>7540.0000000000009</v>
      </c>
      <c r="AG3577">
        <v>0</v>
      </c>
      <c r="AH3577">
        <v>-467.99999999999909</v>
      </c>
    </row>
    <row r="3578" spans="2:34" x14ac:dyDescent="0.35">
      <c r="B3578" t="s">
        <v>747</v>
      </c>
      <c r="C3578">
        <v>45744</v>
      </c>
      <c r="F3578" t="s">
        <v>749</v>
      </c>
      <c r="H3578">
        <v>105.1</v>
      </c>
      <c r="O3578" t="s">
        <v>239</v>
      </c>
      <c r="P3578" t="s">
        <v>514</v>
      </c>
      <c r="Y3578">
        <v>3544</v>
      </c>
      <c r="Z3578" s="259" t="s">
        <v>630</v>
      </c>
      <c r="AA3578">
        <v>40</v>
      </c>
      <c r="AB3578">
        <v>4004</v>
      </c>
      <c r="AC3578">
        <v>45744</v>
      </c>
      <c r="AD3578">
        <v>0</v>
      </c>
      <c r="AE3578">
        <v>4204</v>
      </c>
      <c r="AF3578">
        <v>4204</v>
      </c>
      <c r="AG3578">
        <v>0</v>
      </c>
      <c r="AH3578">
        <v>200</v>
      </c>
    </row>
    <row r="3579" spans="2:34" x14ac:dyDescent="0.35">
      <c r="B3579" t="s">
        <v>747</v>
      </c>
      <c r="C3579">
        <v>45744</v>
      </c>
      <c r="F3579" t="s">
        <v>752</v>
      </c>
      <c r="H3579">
        <v>198.3</v>
      </c>
      <c r="O3579" t="s">
        <v>239</v>
      </c>
      <c r="P3579" t="s">
        <v>514</v>
      </c>
      <c r="Y3579">
        <v>3545</v>
      </c>
      <c r="Z3579" s="259" t="s">
        <v>630</v>
      </c>
      <c r="AA3579">
        <v>0</v>
      </c>
      <c r="AB3579">
        <v>0</v>
      </c>
      <c r="AC3579">
        <v>45744</v>
      </c>
      <c r="AD3579">
        <v>0</v>
      </c>
      <c r="AE3579">
        <v>0</v>
      </c>
      <c r="AF3579">
        <v>0</v>
      </c>
      <c r="AG3579">
        <v>0</v>
      </c>
      <c r="AH3579">
        <v>0</v>
      </c>
    </row>
    <row r="3580" spans="2:34" x14ac:dyDescent="0.35">
      <c r="B3580" t="s">
        <v>747</v>
      </c>
      <c r="C3580">
        <v>45744</v>
      </c>
      <c r="F3580" t="s">
        <v>754</v>
      </c>
      <c r="H3580">
        <v>75.3</v>
      </c>
      <c r="O3580" t="s">
        <v>239</v>
      </c>
      <c r="P3580" t="s">
        <v>514</v>
      </c>
      <c r="Y3580">
        <v>3546</v>
      </c>
      <c r="Z3580" s="259" t="s">
        <v>630</v>
      </c>
      <c r="AA3580">
        <v>100</v>
      </c>
      <c r="AB3580">
        <v>8008</v>
      </c>
      <c r="AC3580">
        <v>45744</v>
      </c>
      <c r="AD3580">
        <v>0</v>
      </c>
      <c r="AE3580">
        <v>7530</v>
      </c>
      <c r="AF3580">
        <v>7530</v>
      </c>
      <c r="AG3580">
        <v>0</v>
      </c>
      <c r="AH3580">
        <v>-478</v>
      </c>
    </row>
    <row r="3581" spans="2:34" x14ac:dyDescent="0.35">
      <c r="B3581" t="s">
        <v>747</v>
      </c>
      <c r="C3581">
        <v>45745</v>
      </c>
      <c r="F3581" t="s">
        <v>749</v>
      </c>
      <c r="H3581">
        <v>105.1</v>
      </c>
      <c r="O3581" t="s">
        <v>239</v>
      </c>
      <c r="P3581" t="s">
        <v>514</v>
      </c>
      <c r="Y3581">
        <v>3547</v>
      </c>
      <c r="Z3581" s="259" t="s">
        <v>630</v>
      </c>
      <c r="AA3581">
        <v>40</v>
      </c>
      <c r="AB3581">
        <v>4004</v>
      </c>
      <c r="AC3581">
        <v>45744</v>
      </c>
      <c r="AD3581">
        <v>1</v>
      </c>
      <c r="AE3581">
        <v>4204</v>
      </c>
      <c r="AF3581">
        <v>4204</v>
      </c>
      <c r="AG3581">
        <v>0</v>
      </c>
      <c r="AH3581">
        <v>200</v>
      </c>
    </row>
    <row r="3582" spans="2:34" x14ac:dyDescent="0.35">
      <c r="B3582" t="s">
        <v>747</v>
      </c>
      <c r="C3582">
        <v>45745</v>
      </c>
      <c r="F3582" t="s">
        <v>752</v>
      </c>
      <c r="H3582">
        <v>198.3</v>
      </c>
      <c r="O3582" t="s">
        <v>239</v>
      </c>
      <c r="P3582" t="s">
        <v>514</v>
      </c>
      <c r="Y3582">
        <v>3548</v>
      </c>
      <c r="Z3582" s="259" t="s">
        <v>630</v>
      </c>
      <c r="AA3582">
        <v>0</v>
      </c>
      <c r="AB3582">
        <v>0</v>
      </c>
      <c r="AC3582">
        <v>45744</v>
      </c>
      <c r="AD3582">
        <v>1</v>
      </c>
      <c r="AE3582">
        <v>0</v>
      </c>
      <c r="AF3582">
        <v>0</v>
      </c>
      <c r="AG3582">
        <v>0</v>
      </c>
      <c r="AH3582">
        <v>0</v>
      </c>
    </row>
    <row r="3583" spans="2:34" x14ac:dyDescent="0.35">
      <c r="B3583" t="s">
        <v>747</v>
      </c>
      <c r="C3583">
        <v>45745</v>
      </c>
      <c r="F3583" t="s">
        <v>754</v>
      </c>
      <c r="H3583">
        <v>75.3</v>
      </c>
      <c r="O3583" t="s">
        <v>239</v>
      </c>
      <c r="P3583" t="s">
        <v>514</v>
      </c>
      <c r="Y3583">
        <v>3549</v>
      </c>
      <c r="Z3583" s="259" t="s">
        <v>630</v>
      </c>
      <c r="AA3583">
        <v>100</v>
      </c>
      <c r="AB3583">
        <v>8008</v>
      </c>
      <c r="AC3583">
        <v>45744</v>
      </c>
      <c r="AD3583">
        <v>1</v>
      </c>
      <c r="AE3583">
        <v>7530</v>
      </c>
      <c r="AF3583">
        <v>7530</v>
      </c>
      <c r="AG3583">
        <v>0</v>
      </c>
      <c r="AH3583">
        <v>-478</v>
      </c>
    </row>
    <row r="3584" spans="2:34" x14ac:dyDescent="0.35">
      <c r="B3584" t="s">
        <v>747</v>
      </c>
      <c r="C3584">
        <v>45746</v>
      </c>
      <c r="F3584" t="s">
        <v>749</v>
      </c>
      <c r="H3584">
        <v>105.1</v>
      </c>
      <c r="O3584" t="s">
        <v>239</v>
      </c>
      <c r="P3584" t="s">
        <v>514</v>
      </c>
      <c r="Y3584">
        <v>3550</v>
      </c>
      <c r="Z3584" s="259" t="s">
        <v>630</v>
      </c>
      <c r="AA3584">
        <v>40</v>
      </c>
      <c r="AB3584">
        <v>4004</v>
      </c>
      <c r="AC3584">
        <v>45744</v>
      </c>
      <c r="AD3584">
        <v>2</v>
      </c>
      <c r="AE3584">
        <v>4204</v>
      </c>
      <c r="AF3584">
        <v>4204</v>
      </c>
      <c r="AG3584">
        <v>0</v>
      </c>
      <c r="AH3584">
        <v>200</v>
      </c>
    </row>
    <row r="3585" spans="2:34" x14ac:dyDescent="0.35">
      <c r="B3585" t="s">
        <v>747</v>
      </c>
      <c r="C3585">
        <v>45746</v>
      </c>
      <c r="F3585" t="s">
        <v>752</v>
      </c>
      <c r="H3585">
        <v>198.3</v>
      </c>
      <c r="O3585" t="s">
        <v>239</v>
      </c>
      <c r="P3585" t="s">
        <v>514</v>
      </c>
      <c r="Y3585">
        <v>3551</v>
      </c>
      <c r="Z3585" s="259" t="s">
        <v>630</v>
      </c>
      <c r="AA3585">
        <v>0</v>
      </c>
      <c r="AB3585">
        <v>0</v>
      </c>
      <c r="AC3585">
        <v>45744</v>
      </c>
      <c r="AD3585">
        <v>2</v>
      </c>
      <c r="AE3585">
        <v>0</v>
      </c>
      <c r="AF3585">
        <v>0</v>
      </c>
      <c r="AG3585">
        <v>0</v>
      </c>
      <c r="AH3585">
        <v>0</v>
      </c>
    </row>
    <row r="3586" spans="2:34" x14ac:dyDescent="0.35">
      <c r="B3586" t="s">
        <v>747</v>
      </c>
      <c r="C3586">
        <v>45746</v>
      </c>
      <c r="F3586" t="s">
        <v>754</v>
      </c>
      <c r="H3586">
        <v>75.3</v>
      </c>
      <c r="O3586" t="s">
        <v>239</v>
      </c>
      <c r="P3586" t="s">
        <v>514</v>
      </c>
      <c r="Y3586">
        <v>3552</v>
      </c>
      <c r="Z3586" s="259" t="s">
        <v>630</v>
      </c>
      <c r="AA3586">
        <v>100</v>
      </c>
      <c r="AB3586">
        <v>8008</v>
      </c>
      <c r="AC3586">
        <v>45744</v>
      </c>
      <c r="AD3586">
        <v>2</v>
      </c>
      <c r="AE3586">
        <v>7530</v>
      </c>
      <c r="AF3586">
        <v>7530</v>
      </c>
      <c r="AG3586">
        <v>0</v>
      </c>
      <c r="AH3586">
        <v>-478</v>
      </c>
    </row>
    <row r="3587" spans="2:34" x14ac:dyDescent="0.35">
      <c r="B3587" t="s">
        <v>747</v>
      </c>
      <c r="C3587">
        <v>45747</v>
      </c>
      <c r="F3587" t="s">
        <v>749</v>
      </c>
      <c r="H3587">
        <v>106</v>
      </c>
      <c r="O3587" t="s">
        <v>239</v>
      </c>
      <c r="P3587" t="s">
        <v>514</v>
      </c>
      <c r="Y3587">
        <v>3553</v>
      </c>
      <c r="Z3587" s="259" t="s">
        <v>630</v>
      </c>
      <c r="AA3587">
        <v>40</v>
      </c>
      <c r="AB3587">
        <v>4004</v>
      </c>
      <c r="AC3587">
        <v>45747</v>
      </c>
      <c r="AD3587">
        <v>0</v>
      </c>
      <c r="AE3587">
        <v>4240</v>
      </c>
      <c r="AF3587">
        <v>4240</v>
      </c>
      <c r="AG3587">
        <v>0</v>
      </c>
      <c r="AH3587">
        <v>236</v>
      </c>
    </row>
    <row r="3588" spans="2:34" x14ac:dyDescent="0.35">
      <c r="B3588" t="s">
        <v>747</v>
      </c>
      <c r="C3588">
        <v>45747</v>
      </c>
      <c r="F3588" t="s">
        <v>752</v>
      </c>
      <c r="H3588">
        <v>198</v>
      </c>
      <c r="O3588" t="s">
        <v>239</v>
      </c>
      <c r="P3588" t="s">
        <v>514</v>
      </c>
      <c r="Y3588">
        <v>3554</v>
      </c>
      <c r="Z3588" s="259" t="s">
        <v>630</v>
      </c>
      <c r="AA3588">
        <v>0</v>
      </c>
      <c r="AB3588">
        <v>0</v>
      </c>
      <c r="AC3588">
        <v>45747</v>
      </c>
      <c r="AD3588">
        <v>0</v>
      </c>
      <c r="AE3588">
        <v>0</v>
      </c>
      <c r="AF3588">
        <v>0</v>
      </c>
      <c r="AG3588">
        <v>0</v>
      </c>
      <c r="AH3588">
        <v>0</v>
      </c>
    </row>
    <row r="3589" spans="2:34" x14ac:dyDescent="0.35">
      <c r="B3589" t="s">
        <v>747</v>
      </c>
      <c r="C3589">
        <v>45747</v>
      </c>
      <c r="F3589" t="s">
        <v>754</v>
      </c>
      <c r="H3589">
        <v>75</v>
      </c>
      <c r="O3589" t="s">
        <v>239</v>
      </c>
      <c r="P3589" t="s">
        <v>514</v>
      </c>
      <c r="Y3589">
        <v>3555</v>
      </c>
      <c r="Z3589" s="259" t="s">
        <v>630</v>
      </c>
      <c r="AA3589">
        <v>100</v>
      </c>
      <c r="AB3589">
        <v>8008</v>
      </c>
      <c r="AC3589">
        <v>45747</v>
      </c>
      <c r="AD3589">
        <v>0</v>
      </c>
      <c r="AE3589">
        <v>7500</v>
      </c>
      <c r="AF3589">
        <v>7500</v>
      </c>
      <c r="AG3589">
        <v>0</v>
      </c>
      <c r="AH3589">
        <v>-508</v>
      </c>
    </row>
    <row r="3590" spans="2:34" x14ac:dyDescent="0.35">
      <c r="B3590" t="s">
        <v>747</v>
      </c>
      <c r="C3590">
        <v>45748</v>
      </c>
      <c r="F3590" t="s">
        <v>749</v>
      </c>
      <c r="H3590">
        <v>106</v>
      </c>
      <c r="O3590" t="s">
        <v>239</v>
      </c>
      <c r="P3590" t="s">
        <v>514</v>
      </c>
      <c r="Y3590">
        <v>3556</v>
      </c>
      <c r="Z3590" s="259" t="s">
        <v>630</v>
      </c>
      <c r="AA3590">
        <v>40</v>
      </c>
      <c r="AB3590">
        <v>4004</v>
      </c>
      <c r="AC3590">
        <v>45748</v>
      </c>
      <c r="AD3590">
        <v>0</v>
      </c>
      <c r="AE3590">
        <v>4240</v>
      </c>
      <c r="AF3590">
        <v>4240</v>
      </c>
      <c r="AG3590">
        <v>0</v>
      </c>
      <c r="AH3590">
        <v>236</v>
      </c>
    </row>
    <row r="3591" spans="2:34" x14ac:dyDescent="0.35">
      <c r="B3591" t="s">
        <v>747</v>
      </c>
      <c r="C3591">
        <v>45748</v>
      </c>
      <c r="F3591" t="s">
        <v>752</v>
      </c>
      <c r="H3591">
        <v>198</v>
      </c>
      <c r="O3591" t="s">
        <v>239</v>
      </c>
      <c r="P3591" t="s">
        <v>514</v>
      </c>
      <c r="Y3591">
        <v>3557</v>
      </c>
      <c r="Z3591" s="259" t="s">
        <v>630</v>
      </c>
      <c r="AA3591">
        <v>0</v>
      </c>
      <c r="AB3591">
        <v>0</v>
      </c>
      <c r="AC3591">
        <v>45748</v>
      </c>
      <c r="AD3591">
        <v>0</v>
      </c>
      <c r="AE3591">
        <v>0</v>
      </c>
      <c r="AF3591">
        <v>0</v>
      </c>
      <c r="AG3591">
        <v>0</v>
      </c>
      <c r="AH3591">
        <v>0</v>
      </c>
    </row>
    <row r="3592" spans="2:34" x14ac:dyDescent="0.35">
      <c r="B3592" t="s">
        <v>747</v>
      </c>
      <c r="C3592">
        <v>45748</v>
      </c>
      <c r="F3592" t="s">
        <v>754</v>
      </c>
      <c r="H3592">
        <v>75</v>
      </c>
      <c r="O3592" t="s">
        <v>239</v>
      </c>
      <c r="P3592" t="s">
        <v>514</v>
      </c>
      <c r="Y3592">
        <v>3558</v>
      </c>
      <c r="Z3592" s="259" t="s">
        <v>630</v>
      </c>
      <c r="AA3592">
        <v>100</v>
      </c>
      <c r="AB3592">
        <v>8008</v>
      </c>
      <c r="AC3592">
        <v>45748</v>
      </c>
      <c r="AD3592">
        <v>0</v>
      </c>
      <c r="AE3592">
        <v>7500</v>
      </c>
      <c r="AF3592">
        <v>7500</v>
      </c>
      <c r="AG3592">
        <v>0</v>
      </c>
      <c r="AH3592">
        <v>-508</v>
      </c>
    </row>
    <row r="3593" spans="2:34" x14ac:dyDescent="0.35">
      <c r="B3593" t="s">
        <v>747</v>
      </c>
      <c r="C3593">
        <v>45749</v>
      </c>
      <c r="F3593" t="s">
        <v>749</v>
      </c>
      <c r="H3593">
        <v>105.83</v>
      </c>
      <c r="O3593" t="s">
        <v>239</v>
      </c>
      <c r="P3593" t="s">
        <v>514</v>
      </c>
      <c r="Y3593">
        <v>3559</v>
      </c>
      <c r="Z3593" s="259" t="s">
        <v>630</v>
      </c>
      <c r="AA3593">
        <v>40</v>
      </c>
      <c r="AB3593">
        <v>4004</v>
      </c>
      <c r="AC3593">
        <v>45749</v>
      </c>
      <c r="AD3593">
        <v>0</v>
      </c>
      <c r="AE3593">
        <v>4233.2</v>
      </c>
      <c r="AF3593">
        <v>4233.2</v>
      </c>
      <c r="AG3593">
        <v>0</v>
      </c>
      <c r="AH3593">
        <v>229.19999999999982</v>
      </c>
    </row>
    <row r="3594" spans="2:34" x14ac:dyDescent="0.35">
      <c r="B3594" t="s">
        <v>747</v>
      </c>
      <c r="C3594">
        <v>45749</v>
      </c>
      <c r="F3594" t="s">
        <v>752</v>
      </c>
      <c r="H3594">
        <v>197.62</v>
      </c>
      <c r="O3594" t="s">
        <v>239</v>
      </c>
      <c r="P3594" t="s">
        <v>514</v>
      </c>
      <c r="Y3594">
        <v>3560</v>
      </c>
      <c r="Z3594" s="259" t="s">
        <v>630</v>
      </c>
      <c r="AA3594">
        <v>0</v>
      </c>
      <c r="AB3594">
        <v>0</v>
      </c>
      <c r="AC3594">
        <v>45749</v>
      </c>
      <c r="AD3594">
        <v>0</v>
      </c>
      <c r="AE3594">
        <v>0</v>
      </c>
      <c r="AF3594">
        <v>0</v>
      </c>
      <c r="AG3594">
        <v>0</v>
      </c>
      <c r="AH3594">
        <v>0</v>
      </c>
    </row>
    <row r="3595" spans="2:34" x14ac:dyDescent="0.35">
      <c r="B3595" t="s">
        <v>747</v>
      </c>
      <c r="C3595">
        <v>45749</v>
      </c>
      <c r="F3595" t="s">
        <v>754</v>
      </c>
      <c r="H3595">
        <v>75.14</v>
      </c>
      <c r="O3595" t="s">
        <v>239</v>
      </c>
      <c r="P3595" t="s">
        <v>514</v>
      </c>
      <c r="Y3595">
        <v>3561</v>
      </c>
      <c r="Z3595" s="259" t="s">
        <v>630</v>
      </c>
      <c r="AA3595">
        <v>100</v>
      </c>
      <c r="AB3595">
        <v>8008</v>
      </c>
      <c r="AC3595">
        <v>45749</v>
      </c>
      <c r="AD3595">
        <v>0</v>
      </c>
      <c r="AE3595">
        <v>7514</v>
      </c>
      <c r="AF3595">
        <v>7514</v>
      </c>
      <c r="AG3595">
        <v>0</v>
      </c>
      <c r="AH3595">
        <v>-494</v>
      </c>
    </row>
    <row r="3596" spans="2:34" x14ac:dyDescent="0.35">
      <c r="B3596" t="s">
        <v>747</v>
      </c>
      <c r="C3596">
        <v>45750</v>
      </c>
      <c r="F3596" t="s">
        <v>749</v>
      </c>
      <c r="H3596">
        <v>105.66</v>
      </c>
      <c r="O3596" t="s">
        <v>239</v>
      </c>
      <c r="P3596" t="s">
        <v>514</v>
      </c>
      <c r="Y3596">
        <v>3562</v>
      </c>
      <c r="Z3596" s="259" t="s">
        <v>630</v>
      </c>
      <c r="AA3596">
        <v>40</v>
      </c>
      <c r="AB3596">
        <v>4004</v>
      </c>
      <c r="AC3596">
        <v>45750</v>
      </c>
      <c r="AD3596">
        <v>0</v>
      </c>
      <c r="AE3596">
        <v>4226.3999999999996</v>
      </c>
      <c r="AF3596">
        <v>4226.3999999999996</v>
      </c>
      <c r="AG3596">
        <v>0</v>
      </c>
      <c r="AH3596">
        <v>222.39999999999964</v>
      </c>
    </row>
    <row r="3597" spans="2:34" x14ac:dyDescent="0.35">
      <c r="B3597" t="s">
        <v>747</v>
      </c>
      <c r="C3597">
        <v>45750</v>
      </c>
      <c r="F3597" t="s">
        <v>752</v>
      </c>
      <c r="H3597">
        <v>197.24</v>
      </c>
      <c r="O3597" t="s">
        <v>239</v>
      </c>
      <c r="P3597" t="s">
        <v>514</v>
      </c>
      <c r="Y3597">
        <v>3563</v>
      </c>
      <c r="Z3597" s="259" t="s">
        <v>630</v>
      </c>
      <c r="AA3597">
        <v>0</v>
      </c>
      <c r="AB3597">
        <v>0</v>
      </c>
      <c r="AC3597">
        <v>45750</v>
      </c>
      <c r="AD3597">
        <v>0</v>
      </c>
      <c r="AE3597">
        <v>0</v>
      </c>
      <c r="AF3597">
        <v>0</v>
      </c>
      <c r="AG3597">
        <v>0</v>
      </c>
      <c r="AH3597">
        <v>0</v>
      </c>
    </row>
    <row r="3598" spans="2:34" x14ac:dyDescent="0.35">
      <c r="B3598" t="s">
        <v>747</v>
      </c>
      <c r="C3598">
        <v>45750</v>
      </c>
      <c r="F3598" t="s">
        <v>754</v>
      </c>
      <c r="H3598">
        <v>75.28</v>
      </c>
      <c r="O3598" t="s">
        <v>239</v>
      </c>
      <c r="P3598" t="s">
        <v>514</v>
      </c>
      <c r="Y3598">
        <v>3564</v>
      </c>
      <c r="Z3598" s="259" t="s">
        <v>630</v>
      </c>
      <c r="AA3598">
        <v>100</v>
      </c>
      <c r="AB3598">
        <v>8008</v>
      </c>
      <c r="AC3598">
        <v>45750</v>
      </c>
      <c r="AD3598">
        <v>0</v>
      </c>
      <c r="AE3598">
        <v>7528</v>
      </c>
      <c r="AF3598">
        <v>7528</v>
      </c>
      <c r="AG3598">
        <v>0</v>
      </c>
      <c r="AH3598">
        <v>-480</v>
      </c>
    </row>
    <row r="3599" spans="2:34" x14ac:dyDescent="0.35">
      <c r="B3599" t="s">
        <v>747</v>
      </c>
      <c r="C3599">
        <v>45751</v>
      </c>
      <c r="F3599" t="s">
        <v>749</v>
      </c>
      <c r="H3599">
        <v>105.48</v>
      </c>
      <c r="O3599" t="s">
        <v>239</v>
      </c>
      <c r="P3599" t="s">
        <v>514</v>
      </c>
      <c r="Y3599">
        <v>3565</v>
      </c>
      <c r="Z3599" s="259" t="s">
        <v>630</v>
      </c>
      <c r="AA3599">
        <v>40</v>
      </c>
      <c r="AB3599">
        <v>4004</v>
      </c>
      <c r="AC3599">
        <v>45751</v>
      </c>
      <c r="AD3599">
        <v>0</v>
      </c>
      <c r="AE3599">
        <v>4219.2</v>
      </c>
      <c r="AF3599">
        <v>4219.2</v>
      </c>
      <c r="AG3599">
        <v>0</v>
      </c>
      <c r="AH3599">
        <v>215.19999999999982</v>
      </c>
    </row>
    <row r="3600" spans="2:34" x14ac:dyDescent="0.35">
      <c r="B3600" t="s">
        <v>747</v>
      </c>
      <c r="C3600">
        <v>45751</v>
      </c>
      <c r="F3600" t="s">
        <v>752</v>
      </c>
      <c r="H3600">
        <v>196.86</v>
      </c>
      <c r="O3600" t="s">
        <v>239</v>
      </c>
      <c r="P3600" t="s">
        <v>514</v>
      </c>
      <c r="Y3600">
        <v>3566</v>
      </c>
      <c r="Z3600" s="259" t="s">
        <v>630</v>
      </c>
      <c r="AA3600">
        <v>0</v>
      </c>
      <c r="AB3600">
        <v>0</v>
      </c>
      <c r="AC3600">
        <v>45751</v>
      </c>
      <c r="AD3600">
        <v>0</v>
      </c>
      <c r="AE3600">
        <v>0</v>
      </c>
      <c r="AF3600">
        <v>0</v>
      </c>
      <c r="AG3600">
        <v>0</v>
      </c>
      <c r="AH3600">
        <v>0</v>
      </c>
    </row>
    <row r="3601" spans="2:34" x14ac:dyDescent="0.35">
      <c r="B3601" t="s">
        <v>747</v>
      </c>
      <c r="C3601">
        <v>45751</v>
      </c>
      <c r="F3601" t="s">
        <v>754</v>
      </c>
      <c r="H3601">
        <v>75.41</v>
      </c>
      <c r="O3601" t="s">
        <v>239</v>
      </c>
      <c r="P3601" t="s">
        <v>514</v>
      </c>
      <c r="Y3601">
        <v>3567</v>
      </c>
      <c r="Z3601" s="259" t="s">
        <v>630</v>
      </c>
      <c r="AA3601">
        <v>100</v>
      </c>
      <c r="AB3601">
        <v>8008</v>
      </c>
      <c r="AC3601">
        <v>45751</v>
      </c>
      <c r="AD3601">
        <v>0</v>
      </c>
      <c r="AE3601">
        <v>7541</v>
      </c>
      <c r="AF3601">
        <v>7541</v>
      </c>
      <c r="AG3601">
        <v>0</v>
      </c>
      <c r="AH3601">
        <v>-467</v>
      </c>
    </row>
    <row r="3602" spans="2:34" x14ac:dyDescent="0.35">
      <c r="B3602" t="s">
        <v>747</v>
      </c>
      <c r="C3602">
        <v>45752</v>
      </c>
      <c r="F3602" t="s">
        <v>749</v>
      </c>
      <c r="H3602">
        <v>105.48</v>
      </c>
      <c r="O3602" t="s">
        <v>239</v>
      </c>
      <c r="P3602" t="s">
        <v>514</v>
      </c>
      <c r="Y3602">
        <v>3568</v>
      </c>
      <c r="Z3602" s="259" t="s">
        <v>630</v>
      </c>
      <c r="AA3602">
        <v>40</v>
      </c>
      <c r="AB3602">
        <v>4004</v>
      </c>
      <c r="AC3602">
        <v>45751</v>
      </c>
      <c r="AD3602">
        <v>1</v>
      </c>
      <c r="AE3602">
        <v>4219.2</v>
      </c>
      <c r="AF3602">
        <v>4219.2</v>
      </c>
      <c r="AG3602">
        <v>0</v>
      </c>
      <c r="AH3602">
        <v>215.19999999999982</v>
      </c>
    </row>
    <row r="3603" spans="2:34" x14ac:dyDescent="0.35">
      <c r="B3603" t="s">
        <v>747</v>
      </c>
      <c r="C3603">
        <v>45752</v>
      </c>
      <c r="F3603" t="s">
        <v>752</v>
      </c>
      <c r="H3603">
        <v>196.86</v>
      </c>
      <c r="O3603" t="s">
        <v>239</v>
      </c>
      <c r="P3603" t="s">
        <v>514</v>
      </c>
      <c r="Y3603">
        <v>3569</v>
      </c>
      <c r="Z3603" s="259" t="s">
        <v>630</v>
      </c>
      <c r="AA3603">
        <v>0</v>
      </c>
      <c r="AB3603">
        <v>0</v>
      </c>
      <c r="AC3603">
        <v>45751</v>
      </c>
      <c r="AD3603">
        <v>1</v>
      </c>
      <c r="AE3603">
        <v>0</v>
      </c>
      <c r="AF3603">
        <v>0</v>
      </c>
      <c r="AG3603">
        <v>0</v>
      </c>
      <c r="AH3603">
        <v>0</v>
      </c>
    </row>
    <row r="3604" spans="2:34" x14ac:dyDescent="0.35">
      <c r="B3604" t="s">
        <v>747</v>
      </c>
      <c r="C3604">
        <v>45752</v>
      </c>
      <c r="F3604" t="s">
        <v>754</v>
      </c>
      <c r="H3604">
        <v>75.41</v>
      </c>
      <c r="O3604" t="s">
        <v>239</v>
      </c>
      <c r="P3604" t="s">
        <v>514</v>
      </c>
      <c r="Y3604">
        <v>3570</v>
      </c>
      <c r="Z3604" s="259" t="s">
        <v>630</v>
      </c>
      <c r="AA3604">
        <v>100</v>
      </c>
      <c r="AB3604">
        <v>8008</v>
      </c>
      <c r="AC3604">
        <v>45751</v>
      </c>
      <c r="AD3604">
        <v>1</v>
      </c>
      <c r="AE3604">
        <v>7541</v>
      </c>
      <c r="AF3604">
        <v>7541</v>
      </c>
      <c r="AG3604">
        <v>0</v>
      </c>
      <c r="AH3604">
        <v>-467</v>
      </c>
    </row>
    <row r="3605" spans="2:34" x14ac:dyDescent="0.35">
      <c r="B3605" t="s">
        <v>747</v>
      </c>
      <c r="C3605">
        <v>45753</v>
      </c>
      <c r="F3605" t="s">
        <v>749</v>
      </c>
      <c r="H3605">
        <v>105.48</v>
      </c>
      <c r="O3605" t="s">
        <v>239</v>
      </c>
      <c r="P3605" t="s">
        <v>514</v>
      </c>
      <c r="Y3605">
        <v>3571</v>
      </c>
      <c r="Z3605" s="259" t="s">
        <v>630</v>
      </c>
      <c r="AA3605">
        <v>40</v>
      </c>
      <c r="AB3605">
        <v>4004</v>
      </c>
      <c r="AC3605">
        <v>45751</v>
      </c>
      <c r="AD3605">
        <v>2</v>
      </c>
      <c r="AE3605">
        <v>4219.2</v>
      </c>
      <c r="AF3605">
        <v>4219.2</v>
      </c>
      <c r="AG3605">
        <v>0</v>
      </c>
      <c r="AH3605">
        <v>215.19999999999982</v>
      </c>
    </row>
    <row r="3606" spans="2:34" x14ac:dyDescent="0.35">
      <c r="B3606" t="s">
        <v>747</v>
      </c>
      <c r="C3606">
        <v>45753</v>
      </c>
      <c r="F3606" t="s">
        <v>752</v>
      </c>
      <c r="H3606">
        <v>196.86</v>
      </c>
      <c r="O3606" t="s">
        <v>239</v>
      </c>
      <c r="P3606" t="s">
        <v>514</v>
      </c>
      <c r="Y3606">
        <v>3572</v>
      </c>
      <c r="Z3606" s="259" t="s">
        <v>630</v>
      </c>
      <c r="AA3606">
        <v>0</v>
      </c>
      <c r="AB3606">
        <v>0</v>
      </c>
      <c r="AC3606">
        <v>45751</v>
      </c>
      <c r="AD3606">
        <v>2</v>
      </c>
      <c r="AE3606">
        <v>0</v>
      </c>
      <c r="AF3606">
        <v>0</v>
      </c>
      <c r="AG3606">
        <v>0</v>
      </c>
      <c r="AH3606">
        <v>0</v>
      </c>
    </row>
    <row r="3607" spans="2:34" x14ac:dyDescent="0.35">
      <c r="B3607" t="s">
        <v>747</v>
      </c>
      <c r="C3607">
        <v>45753</v>
      </c>
      <c r="F3607" t="s">
        <v>754</v>
      </c>
      <c r="H3607">
        <v>75.41</v>
      </c>
      <c r="O3607" t="s">
        <v>239</v>
      </c>
      <c r="P3607" t="s">
        <v>514</v>
      </c>
      <c r="Y3607">
        <v>3573</v>
      </c>
      <c r="Z3607" s="259" t="s">
        <v>630</v>
      </c>
      <c r="AA3607">
        <v>100</v>
      </c>
      <c r="AB3607">
        <v>8008</v>
      </c>
      <c r="AC3607">
        <v>45751</v>
      </c>
      <c r="AD3607">
        <v>2</v>
      </c>
      <c r="AE3607">
        <v>7541</v>
      </c>
      <c r="AF3607">
        <v>7541</v>
      </c>
      <c r="AG3607">
        <v>0</v>
      </c>
      <c r="AH3607">
        <v>-467</v>
      </c>
    </row>
    <row r="3608" spans="2:34" x14ac:dyDescent="0.35">
      <c r="B3608" t="s">
        <v>747</v>
      </c>
      <c r="C3608">
        <v>45754</v>
      </c>
      <c r="F3608" t="s">
        <v>749</v>
      </c>
      <c r="H3608">
        <v>104.97</v>
      </c>
      <c r="O3608" t="s">
        <v>239</v>
      </c>
      <c r="P3608" t="s">
        <v>514</v>
      </c>
      <c r="Y3608">
        <v>3574</v>
      </c>
      <c r="Z3608" s="259" t="s">
        <v>630</v>
      </c>
      <c r="AA3608">
        <v>40</v>
      </c>
      <c r="AB3608">
        <v>4004</v>
      </c>
      <c r="AC3608">
        <v>45754</v>
      </c>
      <c r="AD3608">
        <v>0</v>
      </c>
      <c r="AE3608">
        <v>4198.8</v>
      </c>
      <c r="AF3608">
        <v>4198.8</v>
      </c>
      <c r="AG3608">
        <v>0</v>
      </c>
      <c r="AH3608">
        <v>194.80000000000018</v>
      </c>
    </row>
    <row r="3609" spans="2:34" x14ac:dyDescent="0.35">
      <c r="B3609" t="s">
        <v>747</v>
      </c>
      <c r="C3609">
        <v>45754</v>
      </c>
      <c r="F3609" t="s">
        <v>752</v>
      </c>
      <c r="H3609">
        <v>195.72</v>
      </c>
      <c r="O3609" t="s">
        <v>239</v>
      </c>
      <c r="P3609" t="s">
        <v>514</v>
      </c>
      <c r="Y3609">
        <v>3575</v>
      </c>
      <c r="Z3609" s="259" t="s">
        <v>630</v>
      </c>
      <c r="AA3609">
        <v>0</v>
      </c>
      <c r="AB3609">
        <v>0</v>
      </c>
      <c r="AC3609">
        <v>45754</v>
      </c>
      <c r="AD3609">
        <v>0</v>
      </c>
      <c r="AE3609">
        <v>0</v>
      </c>
      <c r="AF3609">
        <v>0</v>
      </c>
      <c r="AG3609">
        <v>0</v>
      </c>
      <c r="AH3609">
        <v>0</v>
      </c>
    </row>
    <row r="3610" spans="2:34" x14ac:dyDescent="0.35">
      <c r="B3610" t="s">
        <v>747</v>
      </c>
      <c r="C3610">
        <v>45754</v>
      </c>
      <c r="F3610" t="s">
        <v>754</v>
      </c>
      <c r="H3610">
        <v>75.83</v>
      </c>
      <c r="O3610" t="s">
        <v>239</v>
      </c>
      <c r="P3610" t="s">
        <v>514</v>
      </c>
      <c r="Y3610">
        <v>3576</v>
      </c>
      <c r="Z3610" s="259" t="s">
        <v>630</v>
      </c>
      <c r="AA3610">
        <v>100</v>
      </c>
      <c r="AB3610">
        <v>8008</v>
      </c>
      <c r="AC3610">
        <v>45754</v>
      </c>
      <c r="AD3610">
        <v>0</v>
      </c>
      <c r="AE3610">
        <v>7583</v>
      </c>
      <c r="AF3610">
        <v>7583</v>
      </c>
      <c r="AG3610">
        <v>0</v>
      </c>
      <c r="AH3610">
        <v>-425</v>
      </c>
    </row>
    <row r="3611" spans="2:34" x14ac:dyDescent="0.35">
      <c r="B3611" t="s">
        <v>747</v>
      </c>
      <c r="C3611">
        <v>45755</v>
      </c>
      <c r="F3611" t="s">
        <v>749</v>
      </c>
      <c r="H3611">
        <v>104.79</v>
      </c>
      <c r="O3611" t="s">
        <v>239</v>
      </c>
      <c r="P3611" t="s">
        <v>514</v>
      </c>
      <c r="Y3611">
        <v>3577</v>
      </c>
      <c r="Z3611" s="259" t="s">
        <v>630</v>
      </c>
      <c r="AA3611">
        <v>40</v>
      </c>
      <c r="AB3611">
        <v>4004</v>
      </c>
      <c r="AC3611">
        <v>45755</v>
      </c>
      <c r="AD3611">
        <v>0</v>
      </c>
      <c r="AE3611">
        <v>4191.6000000000004</v>
      </c>
      <c r="AF3611">
        <v>4191.6000000000004</v>
      </c>
      <c r="AG3611">
        <v>0</v>
      </c>
      <c r="AH3611">
        <v>187.60000000000036</v>
      </c>
    </row>
    <row r="3612" spans="2:34" x14ac:dyDescent="0.35">
      <c r="B3612" t="s">
        <v>747</v>
      </c>
      <c r="C3612">
        <v>45755</v>
      </c>
      <c r="F3612" t="s">
        <v>752</v>
      </c>
      <c r="H3612">
        <v>195.34</v>
      </c>
      <c r="O3612" t="s">
        <v>239</v>
      </c>
      <c r="P3612" t="s">
        <v>514</v>
      </c>
      <c r="Y3612">
        <v>3578</v>
      </c>
      <c r="Z3612" s="259" t="s">
        <v>630</v>
      </c>
      <c r="AA3612">
        <v>0</v>
      </c>
      <c r="AB3612">
        <v>0</v>
      </c>
      <c r="AC3612">
        <v>45755</v>
      </c>
      <c r="AD3612">
        <v>0</v>
      </c>
      <c r="AE3612">
        <v>0</v>
      </c>
      <c r="AF3612">
        <v>0</v>
      </c>
      <c r="AG3612">
        <v>0</v>
      </c>
      <c r="AH3612">
        <v>0</v>
      </c>
    </row>
    <row r="3613" spans="2:34" x14ac:dyDescent="0.35">
      <c r="B3613" t="s">
        <v>747</v>
      </c>
      <c r="C3613">
        <v>45755</v>
      </c>
      <c r="F3613" t="s">
        <v>754</v>
      </c>
      <c r="H3613">
        <v>75.97</v>
      </c>
      <c r="O3613" t="s">
        <v>239</v>
      </c>
      <c r="P3613" t="s">
        <v>514</v>
      </c>
      <c r="Y3613">
        <v>3579</v>
      </c>
      <c r="Z3613" s="259" t="s">
        <v>630</v>
      </c>
      <c r="AA3613">
        <v>100</v>
      </c>
      <c r="AB3613">
        <v>8008</v>
      </c>
      <c r="AC3613">
        <v>45755</v>
      </c>
      <c r="AD3613">
        <v>0</v>
      </c>
      <c r="AE3613">
        <v>7597</v>
      </c>
      <c r="AF3613">
        <v>7597</v>
      </c>
      <c r="AG3613">
        <v>0</v>
      </c>
      <c r="AH3613">
        <v>-411</v>
      </c>
    </row>
    <row r="3614" spans="2:34" x14ac:dyDescent="0.35">
      <c r="B3614" t="s">
        <v>747</v>
      </c>
      <c r="C3614">
        <v>45756</v>
      </c>
      <c r="F3614" t="s">
        <v>749</v>
      </c>
      <c r="H3614">
        <v>104.62</v>
      </c>
      <c r="O3614" t="s">
        <v>239</v>
      </c>
      <c r="P3614" t="s">
        <v>514</v>
      </c>
      <c r="Y3614">
        <v>3580</v>
      </c>
      <c r="Z3614" s="259" t="s">
        <v>630</v>
      </c>
      <c r="AA3614">
        <v>40</v>
      </c>
      <c r="AB3614">
        <v>4004</v>
      </c>
      <c r="AC3614">
        <v>45756</v>
      </c>
      <c r="AD3614">
        <v>0</v>
      </c>
      <c r="AE3614">
        <v>4184.8</v>
      </c>
      <c r="AF3614">
        <v>4184.8</v>
      </c>
      <c r="AG3614">
        <v>0</v>
      </c>
      <c r="AH3614">
        <v>180.80000000000018</v>
      </c>
    </row>
    <row r="3615" spans="2:34" x14ac:dyDescent="0.35">
      <c r="B3615" t="s">
        <v>747</v>
      </c>
      <c r="C3615">
        <v>45756</v>
      </c>
      <c r="F3615" t="s">
        <v>752</v>
      </c>
      <c r="H3615">
        <v>194.97</v>
      </c>
      <c r="O3615" t="s">
        <v>239</v>
      </c>
      <c r="P3615" t="s">
        <v>514</v>
      </c>
      <c r="Y3615">
        <v>3581</v>
      </c>
      <c r="Z3615" s="259" t="s">
        <v>630</v>
      </c>
      <c r="AA3615">
        <v>0</v>
      </c>
      <c r="AB3615">
        <v>0</v>
      </c>
      <c r="AC3615">
        <v>45756</v>
      </c>
      <c r="AD3615">
        <v>0</v>
      </c>
      <c r="AE3615">
        <v>0</v>
      </c>
      <c r="AF3615">
        <v>0</v>
      </c>
      <c r="AG3615">
        <v>0</v>
      </c>
      <c r="AH3615">
        <v>0</v>
      </c>
    </row>
    <row r="3616" spans="2:34" x14ac:dyDescent="0.35">
      <c r="B3616" t="s">
        <v>747</v>
      </c>
      <c r="C3616">
        <v>45756</v>
      </c>
      <c r="F3616" t="s">
        <v>754</v>
      </c>
      <c r="H3616">
        <v>76.099999999999994</v>
      </c>
      <c r="O3616" t="s">
        <v>239</v>
      </c>
      <c r="P3616" t="s">
        <v>514</v>
      </c>
      <c r="Y3616">
        <v>3582</v>
      </c>
      <c r="Z3616" s="259" t="s">
        <v>630</v>
      </c>
      <c r="AA3616">
        <v>100</v>
      </c>
      <c r="AB3616">
        <v>8008</v>
      </c>
      <c r="AC3616">
        <v>45756</v>
      </c>
      <c r="AD3616">
        <v>0</v>
      </c>
      <c r="AE3616">
        <v>7609.9999999999991</v>
      </c>
      <c r="AF3616">
        <v>7609.9999999999991</v>
      </c>
      <c r="AG3616">
        <v>0</v>
      </c>
      <c r="AH3616">
        <v>-398.00000000000091</v>
      </c>
    </row>
    <row r="3617" spans="2:34" x14ac:dyDescent="0.35">
      <c r="B3617" t="s">
        <v>747</v>
      </c>
      <c r="C3617">
        <v>45757</v>
      </c>
      <c r="F3617" t="s">
        <v>749</v>
      </c>
      <c r="H3617">
        <v>104.45</v>
      </c>
      <c r="O3617" t="s">
        <v>239</v>
      </c>
      <c r="P3617" t="s">
        <v>514</v>
      </c>
      <c r="Y3617">
        <v>3583</v>
      </c>
      <c r="Z3617" s="259" t="s">
        <v>630</v>
      </c>
      <c r="AA3617">
        <v>40</v>
      </c>
      <c r="AB3617">
        <v>4004</v>
      </c>
      <c r="AC3617">
        <v>45757</v>
      </c>
      <c r="AD3617">
        <v>0</v>
      </c>
      <c r="AE3617">
        <v>4178</v>
      </c>
      <c r="AF3617">
        <v>4178</v>
      </c>
      <c r="AG3617">
        <v>0</v>
      </c>
      <c r="AH3617">
        <v>174</v>
      </c>
    </row>
    <row r="3618" spans="2:34" x14ac:dyDescent="0.35">
      <c r="B3618" t="s">
        <v>747</v>
      </c>
      <c r="C3618">
        <v>45757</v>
      </c>
      <c r="F3618" t="s">
        <v>752</v>
      </c>
      <c r="H3618">
        <v>194.59</v>
      </c>
      <c r="O3618" t="s">
        <v>239</v>
      </c>
      <c r="P3618" t="s">
        <v>514</v>
      </c>
      <c r="Y3618">
        <v>3584</v>
      </c>
      <c r="Z3618" s="259" t="s">
        <v>630</v>
      </c>
      <c r="AA3618">
        <v>0</v>
      </c>
      <c r="AB3618">
        <v>0</v>
      </c>
      <c r="AC3618">
        <v>45757</v>
      </c>
      <c r="AD3618">
        <v>0</v>
      </c>
      <c r="AE3618">
        <v>0</v>
      </c>
      <c r="AF3618">
        <v>0</v>
      </c>
      <c r="AG3618">
        <v>0</v>
      </c>
      <c r="AH3618">
        <v>0</v>
      </c>
    </row>
    <row r="3619" spans="2:34" x14ac:dyDescent="0.35">
      <c r="B3619" t="s">
        <v>747</v>
      </c>
      <c r="C3619">
        <v>45757</v>
      </c>
      <c r="F3619" t="s">
        <v>754</v>
      </c>
      <c r="H3619">
        <v>76.239999999999995</v>
      </c>
      <c r="O3619" t="s">
        <v>239</v>
      </c>
      <c r="P3619" t="s">
        <v>514</v>
      </c>
      <c r="Y3619">
        <v>3585</v>
      </c>
      <c r="Z3619" s="259" t="s">
        <v>630</v>
      </c>
      <c r="AA3619">
        <v>100</v>
      </c>
      <c r="AB3619">
        <v>8008</v>
      </c>
      <c r="AC3619">
        <v>45757</v>
      </c>
      <c r="AD3619">
        <v>0</v>
      </c>
      <c r="AE3619">
        <v>7623.9999999999991</v>
      </c>
      <c r="AF3619">
        <v>7623.9999999999991</v>
      </c>
      <c r="AG3619">
        <v>0</v>
      </c>
      <c r="AH3619">
        <v>-384.00000000000091</v>
      </c>
    </row>
    <row r="3620" spans="2:34" x14ac:dyDescent="0.35">
      <c r="B3620" t="s">
        <v>747</v>
      </c>
      <c r="C3620">
        <v>45758</v>
      </c>
      <c r="F3620" t="s">
        <v>749</v>
      </c>
      <c r="H3620">
        <v>104.28</v>
      </c>
      <c r="O3620" t="s">
        <v>239</v>
      </c>
      <c r="P3620" t="s">
        <v>514</v>
      </c>
      <c r="Y3620">
        <v>3586</v>
      </c>
      <c r="Z3620" s="259" t="s">
        <v>630</v>
      </c>
      <c r="AA3620">
        <v>40</v>
      </c>
      <c r="AB3620">
        <v>4004</v>
      </c>
      <c r="AC3620">
        <v>45758</v>
      </c>
      <c r="AD3620">
        <v>0</v>
      </c>
      <c r="AE3620">
        <v>4171.2</v>
      </c>
      <c r="AF3620">
        <v>4171.2</v>
      </c>
      <c r="AG3620">
        <v>0</v>
      </c>
      <c r="AH3620">
        <v>167.19999999999982</v>
      </c>
    </row>
    <row r="3621" spans="2:34" x14ac:dyDescent="0.35">
      <c r="B3621" t="s">
        <v>747</v>
      </c>
      <c r="C3621">
        <v>45758</v>
      </c>
      <c r="F3621" t="s">
        <v>752</v>
      </c>
      <c r="H3621">
        <v>194.21</v>
      </c>
      <c r="O3621" t="s">
        <v>239</v>
      </c>
      <c r="P3621" t="s">
        <v>514</v>
      </c>
      <c r="Y3621">
        <v>3587</v>
      </c>
      <c r="Z3621" s="259" t="s">
        <v>630</v>
      </c>
      <c r="AA3621">
        <v>0</v>
      </c>
      <c r="AB3621">
        <v>0</v>
      </c>
      <c r="AC3621">
        <v>45758</v>
      </c>
      <c r="AD3621">
        <v>0</v>
      </c>
      <c r="AE3621">
        <v>0</v>
      </c>
      <c r="AF3621">
        <v>0</v>
      </c>
      <c r="AG3621">
        <v>0</v>
      </c>
      <c r="AH3621">
        <v>0</v>
      </c>
    </row>
    <row r="3622" spans="2:34" x14ac:dyDescent="0.35">
      <c r="B3622" t="s">
        <v>747</v>
      </c>
      <c r="C3622">
        <v>45758</v>
      </c>
      <c r="F3622" t="s">
        <v>754</v>
      </c>
      <c r="H3622">
        <v>76.38</v>
      </c>
      <c r="O3622" t="s">
        <v>239</v>
      </c>
      <c r="P3622" t="s">
        <v>514</v>
      </c>
      <c r="Y3622">
        <v>3588</v>
      </c>
      <c r="Z3622" s="259" t="s">
        <v>630</v>
      </c>
      <c r="AA3622">
        <v>100</v>
      </c>
      <c r="AB3622">
        <v>8008</v>
      </c>
      <c r="AC3622">
        <v>45758</v>
      </c>
      <c r="AD3622">
        <v>0</v>
      </c>
      <c r="AE3622">
        <v>7638</v>
      </c>
      <c r="AF3622">
        <v>7638</v>
      </c>
      <c r="AG3622">
        <v>0</v>
      </c>
      <c r="AH3622">
        <v>-370</v>
      </c>
    </row>
    <row r="3623" spans="2:34" x14ac:dyDescent="0.35">
      <c r="B3623" t="s">
        <v>747</v>
      </c>
      <c r="C3623">
        <v>45759</v>
      </c>
      <c r="F3623" t="s">
        <v>749</v>
      </c>
      <c r="H3623">
        <v>104.28</v>
      </c>
      <c r="O3623" t="s">
        <v>239</v>
      </c>
      <c r="P3623" t="s">
        <v>514</v>
      </c>
      <c r="Y3623">
        <v>3589</v>
      </c>
      <c r="Z3623" s="259" t="s">
        <v>630</v>
      </c>
      <c r="AA3623">
        <v>40</v>
      </c>
      <c r="AB3623">
        <v>4004</v>
      </c>
      <c r="AC3623">
        <v>45758</v>
      </c>
      <c r="AD3623">
        <v>1</v>
      </c>
      <c r="AE3623">
        <v>4171.2</v>
      </c>
      <c r="AF3623">
        <v>4171.2</v>
      </c>
      <c r="AG3623">
        <v>0</v>
      </c>
      <c r="AH3623">
        <v>167.19999999999982</v>
      </c>
    </row>
    <row r="3624" spans="2:34" x14ac:dyDescent="0.35">
      <c r="B3624" t="s">
        <v>747</v>
      </c>
      <c r="C3624">
        <v>45759</v>
      </c>
      <c r="F3624" t="s">
        <v>752</v>
      </c>
      <c r="H3624">
        <v>194.21</v>
      </c>
      <c r="O3624" t="s">
        <v>239</v>
      </c>
      <c r="P3624" t="s">
        <v>514</v>
      </c>
      <c r="Y3624">
        <v>3590</v>
      </c>
      <c r="Z3624" s="259" t="s">
        <v>630</v>
      </c>
      <c r="AA3624">
        <v>0</v>
      </c>
      <c r="AB3624">
        <v>0</v>
      </c>
      <c r="AC3624">
        <v>45758</v>
      </c>
      <c r="AD3624">
        <v>1</v>
      </c>
      <c r="AE3624">
        <v>0</v>
      </c>
      <c r="AF3624">
        <v>0</v>
      </c>
      <c r="AG3624">
        <v>0</v>
      </c>
      <c r="AH3624">
        <v>0</v>
      </c>
    </row>
    <row r="3625" spans="2:34" x14ac:dyDescent="0.35">
      <c r="B3625" t="s">
        <v>747</v>
      </c>
      <c r="C3625">
        <v>45759</v>
      </c>
      <c r="F3625" t="s">
        <v>754</v>
      </c>
      <c r="H3625">
        <v>76.38</v>
      </c>
      <c r="O3625" t="s">
        <v>239</v>
      </c>
      <c r="P3625" t="s">
        <v>514</v>
      </c>
      <c r="Y3625">
        <v>3591</v>
      </c>
      <c r="Z3625" s="259" t="s">
        <v>630</v>
      </c>
      <c r="AA3625">
        <v>100</v>
      </c>
      <c r="AB3625">
        <v>8008</v>
      </c>
      <c r="AC3625">
        <v>45758</v>
      </c>
      <c r="AD3625">
        <v>1</v>
      </c>
      <c r="AE3625">
        <v>7638</v>
      </c>
      <c r="AF3625">
        <v>7638</v>
      </c>
      <c r="AG3625">
        <v>0</v>
      </c>
      <c r="AH3625">
        <v>-370</v>
      </c>
    </row>
    <row r="3626" spans="2:34" x14ac:dyDescent="0.35">
      <c r="B3626" t="s">
        <v>747</v>
      </c>
      <c r="C3626">
        <v>45760</v>
      </c>
      <c r="F3626" t="s">
        <v>749</v>
      </c>
      <c r="H3626">
        <v>104.28</v>
      </c>
      <c r="O3626" t="s">
        <v>239</v>
      </c>
      <c r="P3626" t="s">
        <v>514</v>
      </c>
      <c r="Y3626">
        <v>3592</v>
      </c>
      <c r="Z3626" s="259" t="s">
        <v>630</v>
      </c>
      <c r="AA3626">
        <v>40</v>
      </c>
      <c r="AB3626">
        <v>4004</v>
      </c>
      <c r="AC3626">
        <v>45758</v>
      </c>
      <c r="AD3626">
        <v>2</v>
      </c>
      <c r="AE3626">
        <v>4171.2</v>
      </c>
      <c r="AF3626">
        <v>4171.2</v>
      </c>
      <c r="AG3626">
        <v>0</v>
      </c>
      <c r="AH3626">
        <v>167.19999999999982</v>
      </c>
    </row>
    <row r="3627" spans="2:34" x14ac:dyDescent="0.35">
      <c r="B3627" t="s">
        <v>747</v>
      </c>
      <c r="C3627">
        <v>45760</v>
      </c>
      <c r="F3627" t="s">
        <v>752</v>
      </c>
      <c r="H3627">
        <v>194.21</v>
      </c>
      <c r="O3627" t="s">
        <v>239</v>
      </c>
      <c r="P3627" t="s">
        <v>514</v>
      </c>
      <c r="Y3627">
        <v>3593</v>
      </c>
      <c r="Z3627" s="259" t="s">
        <v>630</v>
      </c>
      <c r="AA3627">
        <v>0</v>
      </c>
      <c r="AB3627">
        <v>0</v>
      </c>
      <c r="AC3627">
        <v>45758</v>
      </c>
      <c r="AD3627">
        <v>2</v>
      </c>
      <c r="AE3627">
        <v>0</v>
      </c>
      <c r="AF3627">
        <v>0</v>
      </c>
      <c r="AG3627">
        <v>0</v>
      </c>
      <c r="AH3627">
        <v>0</v>
      </c>
    </row>
    <row r="3628" spans="2:34" x14ac:dyDescent="0.35">
      <c r="B3628" t="s">
        <v>747</v>
      </c>
      <c r="C3628">
        <v>45760</v>
      </c>
      <c r="F3628" t="s">
        <v>754</v>
      </c>
      <c r="H3628">
        <v>76.38</v>
      </c>
      <c r="O3628" t="s">
        <v>239</v>
      </c>
      <c r="P3628" t="s">
        <v>514</v>
      </c>
      <c r="Y3628">
        <v>3594</v>
      </c>
      <c r="Z3628" s="259" t="s">
        <v>630</v>
      </c>
      <c r="AA3628">
        <v>100</v>
      </c>
      <c r="AB3628">
        <v>8008</v>
      </c>
      <c r="AC3628">
        <v>45758</v>
      </c>
      <c r="AD3628">
        <v>2</v>
      </c>
      <c r="AE3628">
        <v>7638</v>
      </c>
      <c r="AF3628">
        <v>7638</v>
      </c>
      <c r="AG3628">
        <v>0</v>
      </c>
      <c r="AH3628">
        <v>-370</v>
      </c>
    </row>
    <row r="3629" spans="2:34" x14ac:dyDescent="0.35">
      <c r="B3629" t="s">
        <v>747</v>
      </c>
      <c r="C3629">
        <v>45761</v>
      </c>
      <c r="F3629" t="s">
        <v>749</v>
      </c>
      <c r="H3629">
        <v>103.76</v>
      </c>
      <c r="O3629" t="s">
        <v>239</v>
      </c>
      <c r="P3629" t="s">
        <v>514</v>
      </c>
      <c r="Y3629">
        <v>3595</v>
      </c>
      <c r="Z3629" s="259" t="s">
        <v>630</v>
      </c>
      <c r="AA3629">
        <v>40</v>
      </c>
      <c r="AB3629">
        <v>4004</v>
      </c>
      <c r="AC3629">
        <v>45761</v>
      </c>
      <c r="AD3629">
        <v>0</v>
      </c>
      <c r="AE3629">
        <v>4150.4000000000005</v>
      </c>
      <c r="AF3629">
        <v>4150.4000000000005</v>
      </c>
      <c r="AG3629">
        <v>0</v>
      </c>
      <c r="AH3629">
        <v>146.40000000000055</v>
      </c>
    </row>
    <row r="3630" spans="2:34" x14ac:dyDescent="0.35">
      <c r="B3630" t="s">
        <v>747</v>
      </c>
      <c r="C3630">
        <v>45761</v>
      </c>
      <c r="F3630" t="s">
        <v>752</v>
      </c>
      <c r="H3630">
        <v>193.07</v>
      </c>
      <c r="O3630" t="s">
        <v>239</v>
      </c>
      <c r="P3630" t="s">
        <v>514</v>
      </c>
      <c r="Y3630">
        <v>3596</v>
      </c>
      <c r="Z3630" s="259" t="s">
        <v>630</v>
      </c>
      <c r="AA3630">
        <v>0</v>
      </c>
      <c r="AB3630">
        <v>0</v>
      </c>
      <c r="AC3630">
        <v>45761</v>
      </c>
      <c r="AD3630">
        <v>0</v>
      </c>
      <c r="AE3630">
        <v>0</v>
      </c>
      <c r="AF3630">
        <v>0</v>
      </c>
      <c r="AG3630">
        <v>0</v>
      </c>
      <c r="AH3630">
        <v>0</v>
      </c>
    </row>
    <row r="3631" spans="2:34" x14ac:dyDescent="0.35">
      <c r="B3631" t="s">
        <v>747</v>
      </c>
      <c r="C3631">
        <v>45761</v>
      </c>
      <c r="F3631" t="s">
        <v>754</v>
      </c>
      <c r="H3631">
        <v>76.790000000000006</v>
      </c>
      <c r="O3631" t="s">
        <v>239</v>
      </c>
      <c r="P3631" t="s">
        <v>514</v>
      </c>
      <c r="Y3631">
        <v>3597</v>
      </c>
      <c r="Z3631" s="259" t="s">
        <v>630</v>
      </c>
      <c r="AA3631">
        <v>100</v>
      </c>
      <c r="AB3631">
        <v>8008</v>
      </c>
      <c r="AC3631">
        <v>45761</v>
      </c>
      <c r="AD3631">
        <v>0</v>
      </c>
      <c r="AE3631">
        <v>7679.0000000000009</v>
      </c>
      <c r="AF3631">
        <v>7679.0000000000009</v>
      </c>
      <c r="AG3631">
        <v>0</v>
      </c>
      <c r="AH3631">
        <v>-328.99999999999909</v>
      </c>
    </row>
    <row r="3632" spans="2:34" x14ac:dyDescent="0.35">
      <c r="B3632" t="s">
        <v>747</v>
      </c>
      <c r="C3632">
        <v>45762</v>
      </c>
      <c r="F3632" t="s">
        <v>749</v>
      </c>
      <c r="H3632">
        <v>103.59</v>
      </c>
      <c r="O3632" t="s">
        <v>239</v>
      </c>
      <c r="P3632" t="s">
        <v>514</v>
      </c>
      <c r="Y3632">
        <v>3598</v>
      </c>
      <c r="Z3632" s="259" t="s">
        <v>630</v>
      </c>
      <c r="AA3632">
        <v>40</v>
      </c>
      <c r="AB3632">
        <v>4004</v>
      </c>
      <c r="AC3632">
        <v>45762</v>
      </c>
      <c r="AD3632">
        <v>0</v>
      </c>
      <c r="AE3632">
        <v>4143.6000000000004</v>
      </c>
      <c r="AF3632">
        <v>4143.6000000000004</v>
      </c>
      <c r="AG3632">
        <v>0</v>
      </c>
      <c r="AH3632">
        <v>139.60000000000036</v>
      </c>
    </row>
    <row r="3633" spans="2:34" x14ac:dyDescent="0.35">
      <c r="B3633" t="s">
        <v>747</v>
      </c>
      <c r="C3633">
        <v>45762</v>
      </c>
      <c r="F3633" t="s">
        <v>752</v>
      </c>
      <c r="H3633">
        <v>192.69</v>
      </c>
      <c r="O3633" t="s">
        <v>239</v>
      </c>
      <c r="P3633" t="s">
        <v>514</v>
      </c>
      <c r="Y3633">
        <v>3599</v>
      </c>
      <c r="Z3633" s="259" t="s">
        <v>630</v>
      </c>
      <c r="AA3633">
        <v>0</v>
      </c>
      <c r="AB3633">
        <v>0</v>
      </c>
      <c r="AC3633">
        <v>45762</v>
      </c>
      <c r="AD3633">
        <v>0</v>
      </c>
      <c r="AE3633">
        <v>0</v>
      </c>
      <c r="AF3633">
        <v>0</v>
      </c>
      <c r="AG3633">
        <v>0</v>
      </c>
      <c r="AH3633">
        <v>0</v>
      </c>
    </row>
    <row r="3634" spans="2:34" x14ac:dyDescent="0.35">
      <c r="B3634" t="s">
        <v>747</v>
      </c>
      <c r="C3634">
        <v>45762</v>
      </c>
      <c r="F3634" t="s">
        <v>754</v>
      </c>
      <c r="H3634">
        <v>76.930000000000007</v>
      </c>
      <c r="O3634" t="s">
        <v>239</v>
      </c>
      <c r="P3634" t="s">
        <v>514</v>
      </c>
      <c r="Y3634">
        <v>3600</v>
      </c>
      <c r="Z3634" s="259" t="s">
        <v>630</v>
      </c>
      <c r="AA3634">
        <v>100</v>
      </c>
      <c r="AB3634">
        <v>8008</v>
      </c>
      <c r="AC3634">
        <v>45762</v>
      </c>
      <c r="AD3634">
        <v>0</v>
      </c>
      <c r="AE3634">
        <v>7693.0000000000009</v>
      </c>
      <c r="AF3634">
        <v>7693.0000000000009</v>
      </c>
      <c r="AG3634">
        <v>0</v>
      </c>
      <c r="AH3634">
        <v>-314.99999999999909</v>
      </c>
    </row>
    <row r="3635" spans="2:34" x14ac:dyDescent="0.35">
      <c r="B3635" t="s">
        <v>747</v>
      </c>
      <c r="C3635">
        <v>45763</v>
      </c>
      <c r="F3635" t="s">
        <v>749</v>
      </c>
      <c r="H3635">
        <v>103.41</v>
      </c>
      <c r="O3635" t="s">
        <v>239</v>
      </c>
      <c r="P3635" t="s">
        <v>514</v>
      </c>
      <c r="Y3635">
        <v>3601</v>
      </c>
      <c r="Z3635" s="259" t="s">
        <v>630</v>
      </c>
      <c r="AA3635">
        <v>40</v>
      </c>
      <c r="AB3635">
        <v>4004</v>
      </c>
      <c r="AC3635">
        <v>45763</v>
      </c>
      <c r="AD3635">
        <v>0</v>
      </c>
      <c r="AE3635">
        <v>4136.3999999999996</v>
      </c>
      <c r="AF3635">
        <v>4136.3999999999996</v>
      </c>
      <c r="AG3635">
        <v>0</v>
      </c>
      <c r="AH3635">
        <v>132.39999999999964</v>
      </c>
    </row>
    <row r="3636" spans="2:34" x14ac:dyDescent="0.35">
      <c r="B3636" t="s">
        <v>747</v>
      </c>
      <c r="C3636">
        <v>45763</v>
      </c>
      <c r="F3636" t="s">
        <v>752</v>
      </c>
      <c r="H3636">
        <v>192.31</v>
      </c>
      <c r="O3636" t="s">
        <v>239</v>
      </c>
      <c r="P3636" t="s">
        <v>514</v>
      </c>
      <c r="Y3636">
        <v>3602</v>
      </c>
      <c r="Z3636" s="259" t="s">
        <v>630</v>
      </c>
      <c r="AA3636">
        <v>0</v>
      </c>
      <c r="AB3636">
        <v>0</v>
      </c>
      <c r="AC3636">
        <v>45763</v>
      </c>
      <c r="AD3636">
        <v>0</v>
      </c>
      <c r="AE3636">
        <v>0</v>
      </c>
      <c r="AF3636">
        <v>0</v>
      </c>
      <c r="AG3636">
        <v>0</v>
      </c>
      <c r="AH3636">
        <v>0</v>
      </c>
    </row>
    <row r="3637" spans="2:34" x14ac:dyDescent="0.35">
      <c r="B3637" t="s">
        <v>747</v>
      </c>
      <c r="C3637">
        <v>45763</v>
      </c>
      <c r="F3637" t="s">
        <v>754</v>
      </c>
      <c r="H3637">
        <v>77.069999999999993</v>
      </c>
      <c r="O3637" t="s">
        <v>239</v>
      </c>
      <c r="P3637" t="s">
        <v>514</v>
      </c>
      <c r="Y3637">
        <v>3603</v>
      </c>
      <c r="Z3637" s="259" t="s">
        <v>630</v>
      </c>
      <c r="AA3637">
        <v>100</v>
      </c>
      <c r="AB3637">
        <v>8008</v>
      </c>
      <c r="AC3637">
        <v>45763</v>
      </c>
      <c r="AD3637">
        <v>0</v>
      </c>
      <c r="AE3637">
        <v>7706.9999999999991</v>
      </c>
      <c r="AF3637">
        <v>7706.9999999999991</v>
      </c>
      <c r="AG3637">
        <v>0</v>
      </c>
      <c r="AH3637">
        <v>-301.00000000000091</v>
      </c>
    </row>
    <row r="3638" spans="2:34" x14ac:dyDescent="0.35">
      <c r="B3638" t="s">
        <v>747</v>
      </c>
      <c r="C3638">
        <v>45764</v>
      </c>
      <c r="F3638" t="s">
        <v>749</v>
      </c>
      <c r="H3638">
        <v>103.24</v>
      </c>
      <c r="O3638" t="s">
        <v>239</v>
      </c>
      <c r="P3638" t="s">
        <v>514</v>
      </c>
      <c r="Y3638">
        <v>3604</v>
      </c>
      <c r="Z3638" s="259" t="s">
        <v>630</v>
      </c>
      <c r="AA3638">
        <v>40</v>
      </c>
      <c r="AB3638">
        <v>4004</v>
      </c>
      <c r="AC3638">
        <v>45764</v>
      </c>
      <c r="AD3638">
        <v>0</v>
      </c>
      <c r="AE3638">
        <v>4129.5999999999995</v>
      </c>
      <c r="AF3638">
        <v>4129.5999999999995</v>
      </c>
      <c r="AG3638">
        <v>0</v>
      </c>
      <c r="AH3638">
        <v>125.59999999999945</v>
      </c>
    </row>
    <row r="3639" spans="2:34" x14ac:dyDescent="0.35">
      <c r="B3639" t="s">
        <v>747</v>
      </c>
      <c r="C3639">
        <v>45764</v>
      </c>
      <c r="F3639" t="s">
        <v>752</v>
      </c>
      <c r="H3639">
        <v>191.93</v>
      </c>
      <c r="O3639" t="s">
        <v>239</v>
      </c>
      <c r="P3639" t="s">
        <v>514</v>
      </c>
      <c r="Y3639">
        <v>3605</v>
      </c>
      <c r="Z3639" s="259" t="s">
        <v>630</v>
      </c>
      <c r="AA3639">
        <v>0</v>
      </c>
      <c r="AB3639">
        <v>0</v>
      </c>
      <c r="AC3639">
        <v>45764</v>
      </c>
      <c r="AD3639">
        <v>0</v>
      </c>
      <c r="AE3639">
        <v>0</v>
      </c>
      <c r="AF3639">
        <v>0</v>
      </c>
      <c r="AG3639">
        <v>0</v>
      </c>
      <c r="AH3639">
        <v>0</v>
      </c>
    </row>
    <row r="3640" spans="2:34" x14ac:dyDescent="0.35">
      <c r="B3640" t="s">
        <v>747</v>
      </c>
      <c r="C3640">
        <v>45764</v>
      </c>
      <c r="F3640" t="s">
        <v>754</v>
      </c>
      <c r="H3640">
        <v>77.209999999999994</v>
      </c>
      <c r="O3640" t="s">
        <v>239</v>
      </c>
      <c r="P3640" t="s">
        <v>514</v>
      </c>
      <c r="Y3640">
        <v>3606</v>
      </c>
      <c r="Z3640" s="259" t="s">
        <v>630</v>
      </c>
      <c r="AA3640">
        <v>100</v>
      </c>
      <c r="AB3640">
        <v>8008</v>
      </c>
      <c r="AC3640">
        <v>45764</v>
      </c>
      <c r="AD3640">
        <v>0</v>
      </c>
      <c r="AE3640">
        <v>7720.9999999999991</v>
      </c>
      <c r="AF3640">
        <v>7720.9999999999991</v>
      </c>
      <c r="AG3640">
        <v>0</v>
      </c>
      <c r="AH3640">
        <v>-287.00000000000091</v>
      </c>
    </row>
    <row r="3641" spans="2:34" x14ac:dyDescent="0.35">
      <c r="B3641" t="s">
        <v>747</v>
      </c>
      <c r="C3641">
        <v>45765</v>
      </c>
      <c r="F3641" t="s">
        <v>749</v>
      </c>
      <c r="H3641">
        <v>103.07</v>
      </c>
      <c r="O3641" t="s">
        <v>239</v>
      </c>
      <c r="P3641" t="s">
        <v>514</v>
      </c>
      <c r="Y3641">
        <v>3607</v>
      </c>
      <c r="Z3641" s="259" t="s">
        <v>630</v>
      </c>
      <c r="AA3641">
        <v>40</v>
      </c>
      <c r="AB3641">
        <v>4004</v>
      </c>
      <c r="AC3641">
        <v>45765</v>
      </c>
      <c r="AD3641">
        <v>0</v>
      </c>
      <c r="AE3641">
        <v>4122.7999999999993</v>
      </c>
      <c r="AF3641">
        <v>4122.7999999999993</v>
      </c>
      <c r="AG3641">
        <v>0</v>
      </c>
      <c r="AH3641">
        <v>118.79999999999927</v>
      </c>
    </row>
    <row r="3642" spans="2:34" x14ac:dyDescent="0.35">
      <c r="B3642" t="s">
        <v>747</v>
      </c>
      <c r="C3642">
        <v>45765</v>
      </c>
      <c r="F3642" t="s">
        <v>752</v>
      </c>
      <c r="H3642">
        <v>191.55</v>
      </c>
      <c r="O3642" t="s">
        <v>239</v>
      </c>
      <c r="P3642" t="s">
        <v>514</v>
      </c>
      <c r="Y3642">
        <v>3608</v>
      </c>
      <c r="Z3642" s="259" t="s">
        <v>630</v>
      </c>
      <c r="AA3642">
        <v>0</v>
      </c>
      <c r="AB3642">
        <v>0</v>
      </c>
      <c r="AC3642">
        <v>45765</v>
      </c>
      <c r="AD3642">
        <v>0</v>
      </c>
      <c r="AE3642">
        <v>0</v>
      </c>
      <c r="AF3642">
        <v>0</v>
      </c>
      <c r="AG3642">
        <v>0</v>
      </c>
      <c r="AH3642">
        <v>0</v>
      </c>
    </row>
    <row r="3643" spans="2:34" x14ac:dyDescent="0.35">
      <c r="B3643" t="s">
        <v>747</v>
      </c>
      <c r="C3643">
        <v>45765</v>
      </c>
      <c r="F3643" t="s">
        <v>754</v>
      </c>
      <c r="H3643">
        <v>77.34</v>
      </c>
      <c r="O3643" t="s">
        <v>239</v>
      </c>
      <c r="P3643" t="s">
        <v>514</v>
      </c>
      <c r="Y3643">
        <v>3609</v>
      </c>
      <c r="Z3643" s="259" t="s">
        <v>630</v>
      </c>
      <c r="AA3643">
        <v>100</v>
      </c>
      <c r="AB3643">
        <v>8008</v>
      </c>
      <c r="AC3643">
        <v>45765</v>
      </c>
      <c r="AD3643">
        <v>0</v>
      </c>
      <c r="AE3643">
        <v>7734</v>
      </c>
      <c r="AF3643">
        <v>7734</v>
      </c>
      <c r="AG3643">
        <v>0</v>
      </c>
      <c r="AH3643">
        <v>-274</v>
      </c>
    </row>
    <row r="3644" spans="2:34" x14ac:dyDescent="0.35">
      <c r="B3644" t="s">
        <v>747</v>
      </c>
      <c r="C3644">
        <v>45766</v>
      </c>
      <c r="F3644" t="s">
        <v>749</v>
      </c>
      <c r="H3644">
        <v>103.07</v>
      </c>
      <c r="O3644" t="s">
        <v>239</v>
      </c>
      <c r="P3644" t="s">
        <v>514</v>
      </c>
      <c r="Y3644">
        <v>3610</v>
      </c>
      <c r="Z3644" s="259" t="s">
        <v>630</v>
      </c>
      <c r="AA3644">
        <v>40</v>
      </c>
      <c r="AB3644">
        <v>4004</v>
      </c>
      <c r="AC3644">
        <v>45765</v>
      </c>
      <c r="AD3644">
        <v>1</v>
      </c>
      <c r="AE3644">
        <v>4122.7999999999993</v>
      </c>
      <c r="AF3644">
        <v>4122.7999999999993</v>
      </c>
      <c r="AG3644">
        <v>0</v>
      </c>
      <c r="AH3644">
        <v>118.79999999999927</v>
      </c>
    </row>
    <row r="3645" spans="2:34" x14ac:dyDescent="0.35">
      <c r="B3645" t="s">
        <v>747</v>
      </c>
      <c r="C3645">
        <v>45766</v>
      </c>
      <c r="F3645" t="s">
        <v>752</v>
      </c>
      <c r="H3645">
        <v>191.55</v>
      </c>
      <c r="O3645" t="s">
        <v>239</v>
      </c>
      <c r="P3645" t="s">
        <v>514</v>
      </c>
      <c r="Y3645">
        <v>3611</v>
      </c>
      <c r="Z3645" s="259" t="s">
        <v>630</v>
      </c>
      <c r="AA3645">
        <v>0</v>
      </c>
      <c r="AB3645">
        <v>0</v>
      </c>
      <c r="AC3645">
        <v>45765</v>
      </c>
      <c r="AD3645">
        <v>1</v>
      </c>
      <c r="AE3645">
        <v>0</v>
      </c>
      <c r="AF3645">
        <v>0</v>
      </c>
      <c r="AG3645">
        <v>0</v>
      </c>
      <c r="AH3645">
        <v>0</v>
      </c>
    </row>
    <row r="3646" spans="2:34" x14ac:dyDescent="0.35">
      <c r="B3646" t="s">
        <v>747</v>
      </c>
      <c r="C3646">
        <v>45766</v>
      </c>
      <c r="F3646" t="s">
        <v>754</v>
      </c>
      <c r="H3646">
        <v>77.34</v>
      </c>
      <c r="O3646" t="s">
        <v>239</v>
      </c>
      <c r="P3646" t="s">
        <v>514</v>
      </c>
      <c r="Y3646">
        <v>3612</v>
      </c>
      <c r="Z3646" s="259" t="s">
        <v>630</v>
      </c>
      <c r="AA3646">
        <v>100</v>
      </c>
      <c r="AB3646">
        <v>8008</v>
      </c>
      <c r="AC3646">
        <v>45765</v>
      </c>
      <c r="AD3646">
        <v>1</v>
      </c>
      <c r="AE3646">
        <v>7734</v>
      </c>
      <c r="AF3646">
        <v>7734</v>
      </c>
      <c r="AG3646">
        <v>0</v>
      </c>
      <c r="AH3646">
        <v>-274</v>
      </c>
    </row>
    <row r="3647" spans="2:34" x14ac:dyDescent="0.35">
      <c r="B3647" t="s">
        <v>747</v>
      </c>
      <c r="C3647">
        <v>45767</v>
      </c>
      <c r="F3647" t="s">
        <v>749</v>
      </c>
      <c r="H3647">
        <v>103.07</v>
      </c>
      <c r="O3647" t="s">
        <v>239</v>
      </c>
      <c r="P3647" t="s">
        <v>514</v>
      </c>
      <c r="Y3647">
        <v>3613</v>
      </c>
      <c r="Z3647" s="259" t="s">
        <v>630</v>
      </c>
      <c r="AA3647">
        <v>40</v>
      </c>
      <c r="AB3647">
        <v>4004</v>
      </c>
      <c r="AC3647">
        <v>45765</v>
      </c>
      <c r="AD3647">
        <v>2</v>
      </c>
      <c r="AE3647">
        <v>4122.7999999999993</v>
      </c>
      <c r="AF3647">
        <v>4122.7999999999993</v>
      </c>
      <c r="AG3647">
        <v>0</v>
      </c>
      <c r="AH3647">
        <v>118.79999999999927</v>
      </c>
    </row>
    <row r="3648" spans="2:34" x14ac:dyDescent="0.35">
      <c r="B3648" t="s">
        <v>747</v>
      </c>
      <c r="C3648">
        <v>45767</v>
      </c>
      <c r="F3648" t="s">
        <v>752</v>
      </c>
      <c r="H3648">
        <v>191.55</v>
      </c>
      <c r="O3648" t="s">
        <v>239</v>
      </c>
      <c r="P3648" t="s">
        <v>514</v>
      </c>
      <c r="Y3648">
        <v>3614</v>
      </c>
      <c r="Z3648" s="259" t="s">
        <v>630</v>
      </c>
      <c r="AA3648">
        <v>0</v>
      </c>
      <c r="AB3648">
        <v>0</v>
      </c>
      <c r="AC3648">
        <v>45765</v>
      </c>
      <c r="AD3648">
        <v>2</v>
      </c>
      <c r="AE3648">
        <v>0</v>
      </c>
      <c r="AF3648">
        <v>0</v>
      </c>
      <c r="AG3648">
        <v>0</v>
      </c>
      <c r="AH3648">
        <v>0</v>
      </c>
    </row>
    <row r="3649" spans="2:34" x14ac:dyDescent="0.35">
      <c r="B3649" t="s">
        <v>747</v>
      </c>
      <c r="C3649">
        <v>45767</v>
      </c>
      <c r="F3649" t="s">
        <v>754</v>
      </c>
      <c r="H3649">
        <v>77.34</v>
      </c>
      <c r="O3649" t="s">
        <v>239</v>
      </c>
      <c r="P3649" t="s">
        <v>514</v>
      </c>
      <c r="Y3649">
        <v>3615</v>
      </c>
      <c r="Z3649" s="259" t="s">
        <v>630</v>
      </c>
      <c r="AA3649">
        <v>100</v>
      </c>
      <c r="AB3649">
        <v>8008</v>
      </c>
      <c r="AC3649">
        <v>45765</v>
      </c>
      <c r="AD3649">
        <v>2</v>
      </c>
      <c r="AE3649">
        <v>7734</v>
      </c>
      <c r="AF3649">
        <v>7734</v>
      </c>
      <c r="AG3649">
        <v>0</v>
      </c>
      <c r="AH3649">
        <v>-274</v>
      </c>
    </row>
    <row r="3650" spans="2:34" x14ac:dyDescent="0.35">
      <c r="B3650" t="s">
        <v>747</v>
      </c>
      <c r="C3650">
        <v>45768</v>
      </c>
      <c r="F3650" t="s">
        <v>749</v>
      </c>
      <c r="H3650">
        <v>102.55</v>
      </c>
      <c r="O3650" t="s">
        <v>239</v>
      </c>
      <c r="P3650" t="s">
        <v>514</v>
      </c>
      <c r="Y3650">
        <v>3616</v>
      </c>
      <c r="Z3650" s="259" t="s">
        <v>630</v>
      </c>
      <c r="AA3650">
        <v>40</v>
      </c>
      <c r="AB3650">
        <v>4004</v>
      </c>
      <c r="AC3650">
        <v>45768</v>
      </c>
      <c r="AD3650">
        <v>0</v>
      </c>
      <c r="AE3650">
        <v>4102</v>
      </c>
      <c r="AF3650">
        <v>4102</v>
      </c>
      <c r="AG3650">
        <v>0</v>
      </c>
      <c r="AH3650">
        <v>98</v>
      </c>
    </row>
    <row r="3651" spans="2:34" x14ac:dyDescent="0.35">
      <c r="B3651" t="s">
        <v>747</v>
      </c>
      <c r="C3651">
        <v>45768</v>
      </c>
      <c r="F3651" t="s">
        <v>752</v>
      </c>
      <c r="H3651">
        <v>190.41</v>
      </c>
      <c r="O3651" t="s">
        <v>239</v>
      </c>
      <c r="P3651" t="s">
        <v>514</v>
      </c>
      <c r="Y3651">
        <v>3617</v>
      </c>
      <c r="Z3651" s="259" t="s">
        <v>630</v>
      </c>
      <c r="AA3651">
        <v>0</v>
      </c>
      <c r="AB3651">
        <v>0</v>
      </c>
      <c r="AC3651">
        <v>45768</v>
      </c>
      <c r="AD3651">
        <v>0</v>
      </c>
      <c r="AE3651">
        <v>0</v>
      </c>
      <c r="AF3651">
        <v>0</v>
      </c>
      <c r="AG3651">
        <v>0</v>
      </c>
      <c r="AH3651">
        <v>0</v>
      </c>
    </row>
    <row r="3652" spans="2:34" x14ac:dyDescent="0.35">
      <c r="B3652" t="s">
        <v>747</v>
      </c>
      <c r="C3652">
        <v>45768</v>
      </c>
      <c r="F3652" t="s">
        <v>754</v>
      </c>
      <c r="H3652">
        <v>77.760000000000005</v>
      </c>
      <c r="O3652" t="s">
        <v>239</v>
      </c>
      <c r="P3652" t="s">
        <v>514</v>
      </c>
      <c r="Y3652">
        <v>3618</v>
      </c>
      <c r="Z3652" s="259" t="s">
        <v>630</v>
      </c>
      <c r="AA3652">
        <v>100</v>
      </c>
      <c r="AB3652">
        <v>8008</v>
      </c>
      <c r="AC3652">
        <v>45768</v>
      </c>
      <c r="AD3652">
        <v>0</v>
      </c>
      <c r="AE3652">
        <v>7776.0000000000009</v>
      </c>
      <c r="AF3652">
        <v>7776.0000000000009</v>
      </c>
      <c r="AG3652">
        <v>0</v>
      </c>
      <c r="AH3652">
        <v>-231.99999999999909</v>
      </c>
    </row>
    <row r="3653" spans="2:34" x14ac:dyDescent="0.35">
      <c r="B3653" t="s">
        <v>747</v>
      </c>
      <c r="C3653">
        <v>45769</v>
      </c>
      <c r="F3653" t="s">
        <v>749</v>
      </c>
      <c r="H3653">
        <v>102.38</v>
      </c>
      <c r="O3653" t="s">
        <v>239</v>
      </c>
      <c r="P3653" t="s">
        <v>514</v>
      </c>
      <c r="Y3653">
        <v>3619</v>
      </c>
      <c r="Z3653" s="259" t="s">
        <v>630</v>
      </c>
      <c r="AA3653">
        <v>40</v>
      </c>
      <c r="AB3653">
        <v>4004</v>
      </c>
      <c r="AC3653">
        <v>45769</v>
      </c>
      <c r="AD3653">
        <v>0</v>
      </c>
      <c r="AE3653">
        <v>4095.2</v>
      </c>
      <c r="AF3653">
        <v>4095.2</v>
      </c>
      <c r="AG3653">
        <v>0</v>
      </c>
      <c r="AH3653">
        <v>91.199999999999818</v>
      </c>
    </row>
    <row r="3654" spans="2:34" x14ac:dyDescent="0.35">
      <c r="B3654" t="s">
        <v>747</v>
      </c>
      <c r="C3654">
        <v>45769</v>
      </c>
      <c r="F3654" t="s">
        <v>752</v>
      </c>
      <c r="H3654">
        <v>190.03</v>
      </c>
      <c r="O3654" t="s">
        <v>239</v>
      </c>
      <c r="P3654" t="s">
        <v>514</v>
      </c>
      <c r="Y3654">
        <v>3620</v>
      </c>
      <c r="Z3654" s="259" t="s">
        <v>630</v>
      </c>
      <c r="AA3654">
        <v>0</v>
      </c>
      <c r="AB3654">
        <v>0</v>
      </c>
      <c r="AC3654">
        <v>45769</v>
      </c>
      <c r="AD3654">
        <v>0</v>
      </c>
      <c r="AE3654">
        <v>0</v>
      </c>
      <c r="AF3654">
        <v>0</v>
      </c>
      <c r="AG3654">
        <v>0</v>
      </c>
      <c r="AH3654">
        <v>0</v>
      </c>
    </row>
    <row r="3655" spans="2:34" x14ac:dyDescent="0.35">
      <c r="B3655" t="s">
        <v>747</v>
      </c>
      <c r="C3655">
        <v>45769</v>
      </c>
      <c r="F3655" t="s">
        <v>754</v>
      </c>
      <c r="H3655">
        <v>77.900000000000006</v>
      </c>
      <c r="O3655" t="s">
        <v>239</v>
      </c>
      <c r="P3655" t="s">
        <v>514</v>
      </c>
      <c r="Y3655">
        <v>3621</v>
      </c>
      <c r="Z3655" s="259" t="s">
        <v>630</v>
      </c>
      <c r="AA3655">
        <v>100</v>
      </c>
      <c r="AB3655">
        <v>8008</v>
      </c>
      <c r="AC3655">
        <v>45769</v>
      </c>
      <c r="AD3655">
        <v>0</v>
      </c>
      <c r="AE3655">
        <v>7790.0000000000009</v>
      </c>
      <c r="AF3655">
        <v>7790.0000000000009</v>
      </c>
      <c r="AG3655">
        <v>0</v>
      </c>
      <c r="AH3655">
        <v>-217.99999999999909</v>
      </c>
    </row>
    <row r="3656" spans="2:34" x14ac:dyDescent="0.35">
      <c r="B3656" t="s">
        <v>747</v>
      </c>
      <c r="C3656">
        <v>45770</v>
      </c>
      <c r="F3656" t="s">
        <v>749</v>
      </c>
      <c r="H3656">
        <v>102.21</v>
      </c>
      <c r="O3656" t="s">
        <v>239</v>
      </c>
      <c r="P3656" t="s">
        <v>514</v>
      </c>
      <c r="Y3656">
        <v>3622</v>
      </c>
      <c r="Z3656" s="259" t="s">
        <v>630</v>
      </c>
      <c r="AA3656">
        <v>40</v>
      </c>
      <c r="AB3656">
        <v>4004</v>
      </c>
      <c r="AC3656">
        <v>45770</v>
      </c>
      <c r="AD3656">
        <v>0</v>
      </c>
      <c r="AE3656">
        <v>4088.3999999999996</v>
      </c>
      <c r="AF3656">
        <v>4088.3999999999996</v>
      </c>
      <c r="AG3656">
        <v>0</v>
      </c>
      <c r="AH3656">
        <v>84.399999999999636</v>
      </c>
    </row>
    <row r="3657" spans="2:34" x14ac:dyDescent="0.35">
      <c r="B3657" t="s">
        <v>747</v>
      </c>
      <c r="C3657">
        <v>45770</v>
      </c>
      <c r="F3657" t="s">
        <v>752</v>
      </c>
      <c r="H3657">
        <v>189.66</v>
      </c>
      <c r="O3657" t="s">
        <v>239</v>
      </c>
      <c r="P3657" t="s">
        <v>514</v>
      </c>
      <c r="Y3657">
        <v>3623</v>
      </c>
      <c r="Z3657" s="259" t="s">
        <v>630</v>
      </c>
      <c r="AA3657">
        <v>0</v>
      </c>
      <c r="AB3657">
        <v>0</v>
      </c>
      <c r="AC3657">
        <v>45770</v>
      </c>
      <c r="AD3657">
        <v>0</v>
      </c>
      <c r="AE3657">
        <v>0</v>
      </c>
      <c r="AF3657">
        <v>0</v>
      </c>
      <c r="AG3657">
        <v>0</v>
      </c>
      <c r="AH3657">
        <v>0</v>
      </c>
    </row>
    <row r="3658" spans="2:34" x14ac:dyDescent="0.35">
      <c r="B3658" t="s">
        <v>747</v>
      </c>
      <c r="C3658">
        <v>45770</v>
      </c>
      <c r="F3658" t="s">
        <v>754</v>
      </c>
      <c r="H3658">
        <v>78.03</v>
      </c>
      <c r="O3658" t="s">
        <v>239</v>
      </c>
      <c r="P3658" t="s">
        <v>514</v>
      </c>
      <c r="Y3658">
        <v>3624</v>
      </c>
      <c r="Z3658" s="259" t="s">
        <v>630</v>
      </c>
      <c r="AA3658">
        <v>100</v>
      </c>
      <c r="AB3658">
        <v>8008</v>
      </c>
      <c r="AC3658">
        <v>45770</v>
      </c>
      <c r="AD3658">
        <v>0</v>
      </c>
      <c r="AE3658">
        <v>7803</v>
      </c>
      <c r="AF3658">
        <v>7803</v>
      </c>
      <c r="AG3658">
        <v>0</v>
      </c>
      <c r="AH3658">
        <v>-205</v>
      </c>
    </row>
    <row r="3659" spans="2:34" x14ac:dyDescent="0.35">
      <c r="B3659" t="s">
        <v>747</v>
      </c>
      <c r="C3659">
        <v>45771</v>
      </c>
      <c r="F3659" t="s">
        <v>749</v>
      </c>
      <c r="H3659">
        <v>102.03</v>
      </c>
      <c r="O3659" t="s">
        <v>239</v>
      </c>
      <c r="P3659" t="s">
        <v>514</v>
      </c>
      <c r="Y3659">
        <v>3625</v>
      </c>
      <c r="Z3659" s="259" t="s">
        <v>630</v>
      </c>
      <c r="AA3659">
        <v>40</v>
      </c>
      <c r="AB3659">
        <v>4004</v>
      </c>
      <c r="AC3659">
        <v>45771</v>
      </c>
      <c r="AD3659">
        <v>0</v>
      </c>
      <c r="AE3659">
        <v>4081.2</v>
      </c>
      <c r="AF3659">
        <v>4081.2</v>
      </c>
      <c r="AG3659">
        <v>0</v>
      </c>
      <c r="AH3659">
        <v>77.199999999999818</v>
      </c>
    </row>
    <row r="3660" spans="2:34" x14ac:dyDescent="0.35">
      <c r="B3660" t="s">
        <v>747</v>
      </c>
      <c r="C3660">
        <v>45771</v>
      </c>
      <c r="F3660" t="s">
        <v>752</v>
      </c>
      <c r="H3660">
        <v>189.28</v>
      </c>
      <c r="O3660" t="s">
        <v>239</v>
      </c>
      <c r="P3660" t="s">
        <v>514</v>
      </c>
      <c r="Y3660">
        <v>3626</v>
      </c>
      <c r="Z3660" s="259" t="s">
        <v>630</v>
      </c>
      <c r="AA3660">
        <v>0</v>
      </c>
      <c r="AB3660">
        <v>0</v>
      </c>
      <c r="AC3660">
        <v>45771</v>
      </c>
      <c r="AD3660">
        <v>0</v>
      </c>
      <c r="AE3660">
        <v>0</v>
      </c>
      <c r="AF3660">
        <v>0</v>
      </c>
      <c r="AG3660">
        <v>0</v>
      </c>
      <c r="AH3660">
        <v>0</v>
      </c>
    </row>
    <row r="3661" spans="2:34" x14ac:dyDescent="0.35">
      <c r="B3661" t="s">
        <v>747</v>
      </c>
      <c r="C3661">
        <v>45771</v>
      </c>
      <c r="F3661" t="s">
        <v>754</v>
      </c>
      <c r="H3661">
        <v>78.17</v>
      </c>
      <c r="O3661" t="s">
        <v>239</v>
      </c>
      <c r="P3661" t="s">
        <v>514</v>
      </c>
      <c r="Y3661">
        <v>3627</v>
      </c>
      <c r="Z3661" s="259" t="s">
        <v>630</v>
      </c>
      <c r="AA3661">
        <v>100</v>
      </c>
      <c r="AB3661">
        <v>8008</v>
      </c>
      <c r="AC3661">
        <v>45771</v>
      </c>
      <c r="AD3661">
        <v>0</v>
      </c>
      <c r="AE3661">
        <v>7817</v>
      </c>
      <c r="AF3661">
        <v>7817</v>
      </c>
      <c r="AG3661">
        <v>0</v>
      </c>
      <c r="AH3661">
        <v>-191</v>
      </c>
    </row>
    <row r="3662" spans="2:34" x14ac:dyDescent="0.35">
      <c r="B3662" t="s">
        <v>747</v>
      </c>
      <c r="C3662">
        <v>45772</v>
      </c>
      <c r="F3662" t="s">
        <v>749</v>
      </c>
      <c r="H3662">
        <v>101.86</v>
      </c>
      <c r="O3662" t="s">
        <v>239</v>
      </c>
      <c r="P3662" t="s">
        <v>514</v>
      </c>
      <c r="Y3662">
        <v>3628</v>
      </c>
      <c r="Z3662" s="259" t="s">
        <v>630</v>
      </c>
      <c r="AA3662">
        <v>40</v>
      </c>
      <c r="AB3662">
        <v>4004</v>
      </c>
      <c r="AC3662">
        <v>45772</v>
      </c>
      <c r="AD3662">
        <v>0</v>
      </c>
      <c r="AE3662">
        <v>4074.4</v>
      </c>
      <c r="AF3662">
        <v>4074.4</v>
      </c>
      <c r="AG3662">
        <v>0</v>
      </c>
      <c r="AH3662">
        <v>70.400000000000091</v>
      </c>
    </row>
    <row r="3663" spans="2:34" x14ac:dyDescent="0.35">
      <c r="B3663" t="s">
        <v>747</v>
      </c>
      <c r="C3663">
        <v>45772</v>
      </c>
      <c r="F3663" t="s">
        <v>752</v>
      </c>
      <c r="H3663">
        <v>188.9</v>
      </c>
      <c r="O3663" t="s">
        <v>239</v>
      </c>
      <c r="P3663" t="s">
        <v>514</v>
      </c>
      <c r="Y3663">
        <v>3629</v>
      </c>
      <c r="Z3663" s="259" t="s">
        <v>630</v>
      </c>
      <c r="AA3663">
        <v>0</v>
      </c>
      <c r="AB3663">
        <v>0</v>
      </c>
      <c r="AC3663">
        <v>45772</v>
      </c>
      <c r="AD3663">
        <v>0</v>
      </c>
      <c r="AE3663">
        <v>0</v>
      </c>
      <c r="AF3663">
        <v>0</v>
      </c>
      <c r="AG3663">
        <v>0</v>
      </c>
      <c r="AH3663">
        <v>0</v>
      </c>
    </row>
    <row r="3664" spans="2:34" x14ac:dyDescent="0.35">
      <c r="B3664" t="s">
        <v>747</v>
      </c>
      <c r="C3664">
        <v>45772</v>
      </c>
      <c r="F3664" t="s">
        <v>754</v>
      </c>
      <c r="H3664">
        <v>78.31</v>
      </c>
      <c r="O3664" t="s">
        <v>239</v>
      </c>
      <c r="P3664" t="s">
        <v>514</v>
      </c>
      <c r="Y3664">
        <v>3630</v>
      </c>
      <c r="Z3664" s="259" t="s">
        <v>630</v>
      </c>
      <c r="AA3664">
        <v>100</v>
      </c>
      <c r="AB3664">
        <v>8008</v>
      </c>
      <c r="AC3664">
        <v>45772</v>
      </c>
      <c r="AD3664">
        <v>0</v>
      </c>
      <c r="AE3664">
        <v>7831</v>
      </c>
      <c r="AF3664">
        <v>7831</v>
      </c>
      <c r="AG3664">
        <v>0</v>
      </c>
      <c r="AH3664">
        <v>-177</v>
      </c>
    </row>
    <row r="3665" spans="2:34" x14ac:dyDescent="0.35">
      <c r="B3665" t="s">
        <v>747</v>
      </c>
      <c r="C3665">
        <v>45773</v>
      </c>
      <c r="F3665" t="s">
        <v>749</v>
      </c>
      <c r="H3665">
        <v>101.86</v>
      </c>
      <c r="O3665" t="s">
        <v>239</v>
      </c>
      <c r="P3665" t="s">
        <v>514</v>
      </c>
      <c r="Y3665">
        <v>3631</v>
      </c>
      <c r="Z3665" s="259" t="s">
        <v>630</v>
      </c>
      <c r="AA3665">
        <v>40</v>
      </c>
      <c r="AB3665">
        <v>4004</v>
      </c>
      <c r="AC3665">
        <v>45772</v>
      </c>
      <c r="AD3665">
        <v>1</v>
      </c>
      <c r="AE3665">
        <v>4074.4</v>
      </c>
      <c r="AF3665">
        <v>4074.4</v>
      </c>
      <c r="AG3665">
        <v>0</v>
      </c>
      <c r="AH3665">
        <v>70.400000000000091</v>
      </c>
    </row>
    <row r="3666" spans="2:34" x14ac:dyDescent="0.35">
      <c r="B3666" t="s">
        <v>747</v>
      </c>
      <c r="C3666">
        <v>45773</v>
      </c>
      <c r="F3666" t="s">
        <v>752</v>
      </c>
      <c r="H3666">
        <v>188.9</v>
      </c>
      <c r="O3666" t="s">
        <v>239</v>
      </c>
      <c r="P3666" t="s">
        <v>514</v>
      </c>
      <c r="Y3666">
        <v>3632</v>
      </c>
      <c r="Z3666" s="259" t="s">
        <v>630</v>
      </c>
      <c r="AA3666">
        <v>0</v>
      </c>
      <c r="AB3666">
        <v>0</v>
      </c>
      <c r="AC3666">
        <v>45772</v>
      </c>
      <c r="AD3666">
        <v>1</v>
      </c>
      <c r="AE3666">
        <v>0</v>
      </c>
      <c r="AF3666">
        <v>0</v>
      </c>
      <c r="AG3666">
        <v>0</v>
      </c>
      <c r="AH3666">
        <v>0</v>
      </c>
    </row>
    <row r="3667" spans="2:34" x14ac:dyDescent="0.35">
      <c r="B3667" t="s">
        <v>747</v>
      </c>
      <c r="C3667">
        <v>45773</v>
      </c>
      <c r="F3667" t="s">
        <v>754</v>
      </c>
      <c r="H3667">
        <v>78.31</v>
      </c>
      <c r="O3667" t="s">
        <v>239</v>
      </c>
      <c r="P3667" t="s">
        <v>514</v>
      </c>
      <c r="Y3667">
        <v>3633</v>
      </c>
      <c r="Z3667" s="259" t="s">
        <v>630</v>
      </c>
      <c r="AA3667">
        <v>100</v>
      </c>
      <c r="AB3667">
        <v>8008</v>
      </c>
      <c r="AC3667">
        <v>45772</v>
      </c>
      <c r="AD3667">
        <v>1</v>
      </c>
      <c r="AE3667">
        <v>7831</v>
      </c>
      <c r="AF3667">
        <v>7831</v>
      </c>
      <c r="AG3667">
        <v>0</v>
      </c>
      <c r="AH3667">
        <v>-177</v>
      </c>
    </row>
    <row r="3668" spans="2:34" x14ac:dyDescent="0.35">
      <c r="B3668" t="s">
        <v>747</v>
      </c>
      <c r="C3668">
        <v>45774</v>
      </c>
      <c r="F3668" t="s">
        <v>749</v>
      </c>
      <c r="H3668">
        <v>101.86</v>
      </c>
      <c r="O3668" t="s">
        <v>239</v>
      </c>
      <c r="P3668" t="s">
        <v>514</v>
      </c>
      <c r="Y3668">
        <v>3634</v>
      </c>
      <c r="Z3668" s="259" t="s">
        <v>630</v>
      </c>
      <c r="AA3668">
        <v>40</v>
      </c>
      <c r="AB3668">
        <v>4004</v>
      </c>
      <c r="AC3668">
        <v>45772</v>
      </c>
      <c r="AD3668">
        <v>2</v>
      </c>
      <c r="AE3668">
        <v>4074.4</v>
      </c>
      <c r="AF3668">
        <v>4074.4</v>
      </c>
      <c r="AG3668">
        <v>0</v>
      </c>
      <c r="AH3668">
        <v>70.400000000000091</v>
      </c>
    </row>
    <row r="3669" spans="2:34" x14ac:dyDescent="0.35">
      <c r="B3669" t="s">
        <v>747</v>
      </c>
      <c r="C3669">
        <v>45774</v>
      </c>
      <c r="F3669" t="s">
        <v>752</v>
      </c>
      <c r="H3669">
        <v>188.9</v>
      </c>
      <c r="O3669" t="s">
        <v>239</v>
      </c>
      <c r="P3669" t="s">
        <v>514</v>
      </c>
      <c r="Y3669">
        <v>3635</v>
      </c>
      <c r="Z3669" s="259" t="s">
        <v>630</v>
      </c>
      <c r="AA3669">
        <v>0</v>
      </c>
      <c r="AB3669">
        <v>0</v>
      </c>
      <c r="AC3669">
        <v>45772</v>
      </c>
      <c r="AD3669">
        <v>2</v>
      </c>
      <c r="AE3669">
        <v>0</v>
      </c>
      <c r="AF3669">
        <v>0</v>
      </c>
      <c r="AG3669">
        <v>0</v>
      </c>
      <c r="AH3669">
        <v>0</v>
      </c>
    </row>
    <row r="3670" spans="2:34" x14ac:dyDescent="0.35">
      <c r="B3670" t="s">
        <v>747</v>
      </c>
      <c r="C3670">
        <v>45774</v>
      </c>
      <c r="F3670" t="s">
        <v>754</v>
      </c>
      <c r="H3670">
        <v>78.31</v>
      </c>
      <c r="O3670" t="s">
        <v>239</v>
      </c>
      <c r="P3670" t="s">
        <v>514</v>
      </c>
      <c r="Y3670">
        <v>3636</v>
      </c>
      <c r="Z3670" s="259" t="s">
        <v>630</v>
      </c>
      <c r="AA3670">
        <v>100</v>
      </c>
      <c r="AB3670">
        <v>8008</v>
      </c>
      <c r="AC3670">
        <v>45772</v>
      </c>
      <c r="AD3670">
        <v>2</v>
      </c>
      <c r="AE3670">
        <v>7831</v>
      </c>
      <c r="AF3670">
        <v>7831</v>
      </c>
      <c r="AG3670">
        <v>0</v>
      </c>
      <c r="AH3670">
        <v>-177</v>
      </c>
    </row>
    <row r="3671" spans="2:34" x14ac:dyDescent="0.35">
      <c r="B3671" t="s">
        <v>747</v>
      </c>
      <c r="C3671">
        <v>45775</v>
      </c>
      <c r="F3671" t="s">
        <v>749</v>
      </c>
      <c r="H3671">
        <v>101.34</v>
      </c>
      <c r="O3671" t="s">
        <v>239</v>
      </c>
      <c r="P3671" t="s">
        <v>514</v>
      </c>
      <c r="Y3671">
        <v>3637</v>
      </c>
      <c r="Z3671" s="259" t="s">
        <v>630</v>
      </c>
      <c r="AA3671">
        <v>40</v>
      </c>
      <c r="AB3671">
        <v>4004</v>
      </c>
      <c r="AC3671">
        <v>45775</v>
      </c>
      <c r="AD3671">
        <v>0</v>
      </c>
      <c r="AE3671">
        <v>4053.6000000000004</v>
      </c>
      <c r="AF3671">
        <v>4053.6000000000004</v>
      </c>
      <c r="AG3671">
        <v>0</v>
      </c>
      <c r="AH3671">
        <v>49.600000000000364</v>
      </c>
    </row>
    <row r="3672" spans="2:34" x14ac:dyDescent="0.35">
      <c r="B3672" t="s">
        <v>747</v>
      </c>
      <c r="C3672">
        <v>45775</v>
      </c>
      <c r="F3672" t="s">
        <v>752</v>
      </c>
      <c r="H3672">
        <v>187.76</v>
      </c>
      <c r="O3672" t="s">
        <v>239</v>
      </c>
      <c r="P3672" t="s">
        <v>514</v>
      </c>
      <c r="Y3672">
        <v>3638</v>
      </c>
      <c r="Z3672" s="259" t="s">
        <v>630</v>
      </c>
      <c r="AA3672">
        <v>0</v>
      </c>
      <c r="AB3672">
        <v>0</v>
      </c>
      <c r="AC3672">
        <v>45775</v>
      </c>
      <c r="AD3672">
        <v>0</v>
      </c>
      <c r="AE3672">
        <v>0</v>
      </c>
      <c r="AF3672">
        <v>0</v>
      </c>
      <c r="AG3672">
        <v>0</v>
      </c>
      <c r="AH3672">
        <v>0</v>
      </c>
    </row>
    <row r="3673" spans="2:34" x14ac:dyDescent="0.35">
      <c r="B3673" t="s">
        <v>747</v>
      </c>
      <c r="C3673">
        <v>45775</v>
      </c>
      <c r="F3673" t="s">
        <v>754</v>
      </c>
      <c r="H3673">
        <v>78.72</v>
      </c>
      <c r="O3673" t="s">
        <v>239</v>
      </c>
      <c r="P3673" t="s">
        <v>514</v>
      </c>
      <c r="Y3673">
        <v>3639</v>
      </c>
      <c r="Z3673" s="259" t="s">
        <v>630</v>
      </c>
      <c r="AA3673">
        <v>100</v>
      </c>
      <c r="AB3673">
        <v>8008</v>
      </c>
      <c r="AC3673">
        <v>45775</v>
      </c>
      <c r="AD3673">
        <v>0</v>
      </c>
      <c r="AE3673">
        <v>7872</v>
      </c>
      <c r="AF3673">
        <v>7872</v>
      </c>
      <c r="AG3673">
        <v>0</v>
      </c>
      <c r="AH3673">
        <v>-136</v>
      </c>
    </row>
    <row r="3674" spans="2:34" x14ac:dyDescent="0.35">
      <c r="B3674" t="s">
        <v>747</v>
      </c>
      <c r="C3674">
        <v>45776</v>
      </c>
      <c r="F3674" t="s">
        <v>749</v>
      </c>
      <c r="H3674">
        <v>101.17</v>
      </c>
      <c r="O3674" t="s">
        <v>239</v>
      </c>
      <c r="P3674" t="s">
        <v>514</v>
      </c>
      <c r="Y3674">
        <v>3640</v>
      </c>
      <c r="Z3674" s="259" t="s">
        <v>630</v>
      </c>
      <c r="AA3674">
        <v>40</v>
      </c>
      <c r="AB3674">
        <v>4004</v>
      </c>
      <c r="AC3674">
        <v>45776</v>
      </c>
      <c r="AD3674">
        <v>0</v>
      </c>
      <c r="AE3674">
        <v>4046.8</v>
      </c>
      <c r="AF3674">
        <v>4046.8</v>
      </c>
      <c r="AG3674">
        <v>0</v>
      </c>
      <c r="AH3674">
        <v>42.800000000000182</v>
      </c>
    </row>
    <row r="3675" spans="2:34" x14ac:dyDescent="0.35">
      <c r="B3675" t="s">
        <v>747</v>
      </c>
      <c r="C3675">
        <v>45776</v>
      </c>
      <c r="F3675" t="s">
        <v>752</v>
      </c>
      <c r="H3675">
        <v>187.38</v>
      </c>
      <c r="O3675" t="s">
        <v>239</v>
      </c>
      <c r="P3675" t="s">
        <v>514</v>
      </c>
      <c r="Y3675">
        <v>3641</v>
      </c>
      <c r="Z3675" s="259" t="s">
        <v>630</v>
      </c>
      <c r="AA3675">
        <v>0</v>
      </c>
      <c r="AB3675">
        <v>0</v>
      </c>
      <c r="AC3675">
        <v>45776</v>
      </c>
      <c r="AD3675">
        <v>0</v>
      </c>
      <c r="AE3675">
        <v>0</v>
      </c>
      <c r="AF3675">
        <v>0</v>
      </c>
      <c r="AG3675">
        <v>0</v>
      </c>
      <c r="AH3675">
        <v>0</v>
      </c>
    </row>
    <row r="3676" spans="2:34" x14ac:dyDescent="0.35">
      <c r="B3676" t="s">
        <v>747</v>
      </c>
      <c r="C3676">
        <v>45776</v>
      </c>
      <c r="F3676" t="s">
        <v>754</v>
      </c>
      <c r="H3676">
        <v>78.86</v>
      </c>
      <c r="O3676" t="s">
        <v>239</v>
      </c>
      <c r="P3676" t="s">
        <v>514</v>
      </c>
      <c r="Y3676">
        <v>3642</v>
      </c>
      <c r="Z3676" s="259" t="s">
        <v>630</v>
      </c>
      <c r="AA3676">
        <v>100</v>
      </c>
      <c r="AB3676">
        <v>8008</v>
      </c>
      <c r="AC3676">
        <v>45776</v>
      </c>
      <c r="AD3676">
        <v>0</v>
      </c>
      <c r="AE3676">
        <v>7886</v>
      </c>
      <c r="AF3676">
        <v>7886</v>
      </c>
      <c r="AG3676">
        <v>0</v>
      </c>
      <c r="AH3676">
        <v>-122</v>
      </c>
    </row>
    <row r="3677" spans="2:34" x14ac:dyDescent="0.35">
      <c r="B3677" t="s">
        <v>747</v>
      </c>
      <c r="C3677">
        <v>45777</v>
      </c>
      <c r="F3677" t="s">
        <v>749</v>
      </c>
      <c r="H3677">
        <v>101</v>
      </c>
      <c r="O3677" t="s">
        <v>239</v>
      </c>
      <c r="P3677" t="s">
        <v>514</v>
      </c>
      <c r="Y3677">
        <v>3643</v>
      </c>
      <c r="Z3677" s="259" t="s">
        <v>630</v>
      </c>
      <c r="AA3677">
        <v>40</v>
      </c>
      <c r="AB3677">
        <v>4004</v>
      </c>
      <c r="AC3677">
        <v>45777</v>
      </c>
      <c r="AD3677">
        <v>0</v>
      </c>
      <c r="AE3677">
        <v>4040</v>
      </c>
      <c r="AF3677">
        <v>4040</v>
      </c>
      <c r="AG3677">
        <v>0</v>
      </c>
      <c r="AH3677">
        <v>36</v>
      </c>
    </row>
    <row r="3678" spans="2:34" x14ac:dyDescent="0.35">
      <c r="B3678" t="s">
        <v>747</v>
      </c>
      <c r="C3678">
        <v>45777</v>
      </c>
      <c r="F3678" t="s">
        <v>752</v>
      </c>
      <c r="H3678">
        <v>187</v>
      </c>
      <c r="O3678" t="s">
        <v>239</v>
      </c>
      <c r="P3678" t="s">
        <v>514</v>
      </c>
      <c r="Y3678">
        <v>3644</v>
      </c>
      <c r="Z3678" s="259" t="s">
        <v>630</v>
      </c>
      <c r="AA3678">
        <v>0</v>
      </c>
      <c r="AB3678">
        <v>0</v>
      </c>
      <c r="AC3678">
        <v>45777</v>
      </c>
      <c r="AD3678">
        <v>0</v>
      </c>
      <c r="AE3678">
        <v>0</v>
      </c>
      <c r="AF3678">
        <v>0</v>
      </c>
      <c r="AG3678">
        <v>0</v>
      </c>
      <c r="AH3678">
        <v>0</v>
      </c>
    </row>
    <row r="3679" spans="2:34" x14ac:dyDescent="0.35">
      <c r="B3679" t="s">
        <v>747</v>
      </c>
      <c r="C3679">
        <v>45777</v>
      </c>
      <c r="F3679" t="s">
        <v>754</v>
      </c>
      <c r="H3679">
        <v>79</v>
      </c>
      <c r="O3679" t="s">
        <v>239</v>
      </c>
      <c r="P3679" t="s">
        <v>514</v>
      </c>
      <c r="Y3679">
        <v>3645</v>
      </c>
      <c r="Z3679" s="259" t="s">
        <v>630</v>
      </c>
      <c r="AA3679">
        <v>100</v>
      </c>
      <c r="AB3679">
        <v>8008</v>
      </c>
      <c r="AC3679">
        <v>45777</v>
      </c>
      <c r="AD3679">
        <v>0</v>
      </c>
      <c r="AE3679">
        <v>7900</v>
      </c>
      <c r="AF3679">
        <v>7900</v>
      </c>
      <c r="AG3679">
        <v>0</v>
      </c>
      <c r="AH3679">
        <v>-108</v>
      </c>
    </row>
    <row r="3680" spans="2:34" x14ac:dyDescent="0.35">
      <c r="B3680" t="s">
        <v>747</v>
      </c>
      <c r="C3680">
        <v>45778</v>
      </c>
      <c r="F3680" t="s">
        <v>749</v>
      </c>
      <c r="H3680">
        <v>101</v>
      </c>
      <c r="O3680" t="s">
        <v>239</v>
      </c>
      <c r="P3680" t="s">
        <v>514</v>
      </c>
      <c r="Y3680">
        <v>3646</v>
      </c>
      <c r="Z3680" s="259" t="s">
        <v>630</v>
      </c>
      <c r="AA3680">
        <v>40</v>
      </c>
      <c r="AB3680">
        <v>4004</v>
      </c>
      <c r="AC3680">
        <v>45778</v>
      </c>
      <c r="AD3680">
        <v>0</v>
      </c>
      <c r="AE3680">
        <v>4040</v>
      </c>
      <c r="AF3680">
        <v>4040</v>
      </c>
      <c r="AG3680">
        <v>0</v>
      </c>
      <c r="AH3680">
        <v>36</v>
      </c>
    </row>
    <row r="3681" spans="2:34" x14ac:dyDescent="0.35">
      <c r="B3681" t="s">
        <v>747</v>
      </c>
      <c r="C3681">
        <v>45778</v>
      </c>
      <c r="F3681" t="s">
        <v>752</v>
      </c>
      <c r="H3681">
        <v>187</v>
      </c>
      <c r="O3681" t="s">
        <v>239</v>
      </c>
      <c r="P3681" t="s">
        <v>514</v>
      </c>
      <c r="Y3681">
        <v>3647</v>
      </c>
      <c r="Z3681" s="259" t="s">
        <v>630</v>
      </c>
      <c r="AA3681">
        <v>0</v>
      </c>
      <c r="AB3681">
        <v>0</v>
      </c>
      <c r="AC3681">
        <v>45778</v>
      </c>
      <c r="AD3681">
        <v>0</v>
      </c>
      <c r="AE3681">
        <v>0</v>
      </c>
      <c r="AF3681">
        <v>0</v>
      </c>
      <c r="AG3681">
        <v>0</v>
      </c>
      <c r="AH3681">
        <v>0</v>
      </c>
    </row>
    <row r="3682" spans="2:34" x14ac:dyDescent="0.35">
      <c r="B3682" t="s">
        <v>747</v>
      </c>
      <c r="C3682">
        <v>45778</v>
      </c>
      <c r="F3682" t="s">
        <v>754</v>
      </c>
      <c r="H3682">
        <v>79</v>
      </c>
      <c r="O3682" t="s">
        <v>239</v>
      </c>
      <c r="P3682" t="s">
        <v>514</v>
      </c>
      <c r="Y3682">
        <v>3648</v>
      </c>
      <c r="Z3682" s="259" t="s">
        <v>630</v>
      </c>
      <c r="AA3682">
        <v>100</v>
      </c>
      <c r="AB3682">
        <v>8008</v>
      </c>
      <c r="AC3682">
        <v>45778</v>
      </c>
      <c r="AD3682">
        <v>0</v>
      </c>
      <c r="AE3682">
        <v>7900</v>
      </c>
      <c r="AF3682">
        <v>7900</v>
      </c>
      <c r="AG3682">
        <v>0</v>
      </c>
      <c r="AH3682">
        <v>-108</v>
      </c>
    </row>
    <row r="3683" spans="2:34" x14ac:dyDescent="0.35">
      <c r="B3683" t="s">
        <v>747</v>
      </c>
      <c r="C3683">
        <v>45779</v>
      </c>
      <c r="F3683" t="s">
        <v>749</v>
      </c>
      <c r="H3683">
        <v>100.93</v>
      </c>
      <c r="O3683" t="s">
        <v>239</v>
      </c>
      <c r="P3683" t="s">
        <v>514</v>
      </c>
      <c r="Y3683">
        <v>3649</v>
      </c>
      <c r="Z3683" s="259" t="s">
        <v>630</v>
      </c>
      <c r="AA3683">
        <v>40</v>
      </c>
      <c r="AB3683">
        <v>4004</v>
      </c>
      <c r="AC3683">
        <v>45779</v>
      </c>
      <c r="AD3683">
        <v>0</v>
      </c>
      <c r="AE3683">
        <v>4037.2000000000003</v>
      </c>
      <c r="AF3683">
        <v>4037.2000000000003</v>
      </c>
      <c r="AG3683">
        <v>0</v>
      </c>
      <c r="AH3683">
        <v>33.200000000000273</v>
      </c>
    </row>
    <row r="3684" spans="2:34" x14ac:dyDescent="0.35">
      <c r="B3684" t="s">
        <v>747</v>
      </c>
      <c r="C3684">
        <v>45779</v>
      </c>
      <c r="F3684" t="s">
        <v>752</v>
      </c>
      <c r="H3684">
        <v>187.2</v>
      </c>
      <c r="O3684" t="s">
        <v>239</v>
      </c>
      <c r="P3684" t="s">
        <v>514</v>
      </c>
      <c r="Y3684">
        <v>3650</v>
      </c>
      <c r="Z3684" s="259" t="s">
        <v>630</v>
      </c>
      <c r="AA3684">
        <v>0</v>
      </c>
      <c r="AB3684">
        <v>0</v>
      </c>
      <c r="AC3684">
        <v>45779</v>
      </c>
      <c r="AD3684">
        <v>0</v>
      </c>
      <c r="AE3684">
        <v>0</v>
      </c>
      <c r="AF3684">
        <v>0</v>
      </c>
      <c r="AG3684">
        <v>0</v>
      </c>
      <c r="AH3684">
        <v>0</v>
      </c>
    </row>
    <row r="3685" spans="2:34" x14ac:dyDescent="0.35">
      <c r="B3685" t="s">
        <v>747</v>
      </c>
      <c r="C3685">
        <v>45779</v>
      </c>
      <c r="F3685" t="s">
        <v>754</v>
      </c>
      <c r="H3685">
        <v>79.2</v>
      </c>
      <c r="O3685" t="s">
        <v>239</v>
      </c>
      <c r="P3685" t="s">
        <v>514</v>
      </c>
      <c r="Y3685">
        <v>3651</v>
      </c>
      <c r="Z3685" s="259" t="s">
        <v>630</v>
      </c>
      <c r="AA3685">
        <v>100</v>
      </c>
      <c r="AB3685">
        <v>8008</v>
      </c>
      <c r="AC3685">
        <v>45779</v>
      </c>
      <c r="AD3685">
        <v>0</v>
      </c>
      <c r="AE3685">
        <v>7920</v>
      </c>
      <c r="AF3685">
        <v>7920</v>
      </c>
      <c r="AG3685">
        <v>0</v>
      </c>
      <c r="AH3685">
        <v>-88</v>
      </c>
    </row>
    <row r="3686" spans="2:34" x14ac:dyDescent="0.35">
      <c r="B3686" t="s">
        <v>747</v>
      </c>
      <c r="C3686">
        <v>45780</v>
      </c>
      <c r="F3686" t="s">
        <v>749</v>
      </c>
      <c r="H3686">
        <v>100.93</v>
      </c>
      <c r="O3686" t="s">
        <v>239</v>
      </c>
      <c r="P3686" t="s">
        <v>514</v>
      </c>
      <c r="Y3686">
        <v>3652</v>
      </c>
      <c r="Z3686" s="259" t="s">
        <v>630</v>
      </c>
      <c r="AA3686">
        <v>40</v>
      </c>
      <c r="AB3686">
        <v>4004</v>
      </c>
      <c r="AC3686">
        <v>45779</v>
      </c>
      <c r="AD3686">
        <v>1</v>
      </c>
      <c r="AE3686">
        <v>4037.2000000000003</v>
      </c>
      <c r="AF3686">
        <v>4037.2000000000003</v>
      </c>
      <c r="AG3686">
        <v>0</v>
      </c>
      <c r="AH3686">
        <v>33.200000000000273</v>
      </c>
    </row>
    <row r="3687" spans="2:34" x14ac:dyDescent="0.35">
      <c r="B3687" t="s">
        <v>747</v>
      </c>
      <c r="C3687">
        <v>45780</v>
      </c>
      <c r="F3687" t="s">
        <v>752</v>
      </c>
      <c r="H3687">
        <v>187.2</v>
      </c>
      <c r="O3687" t="s">
        <v>239</v>
      </c>
      <c r="P3687" t="s">
        <v>514</v>
      </c>
      <c r="Y3687">
        <v>3653</v>
      </c>
      <c r="Z3687" s="259" t="s">
        <v>630</v>
      </c>
      <c r="AA3687">
        <v>0</v>
      </c>
      <c r="AB3687">
        <v>0</v>
      </c>
      <c r="AC3687">
        <v>45779</v>
      </c>
      <c r="AD3687">
        <v>1</v>
      </c>
      <c r="AE3687">
        <v>0</v>
      </c>
      <c r="AF3687">
        <v>0</v>
      </c>
      <c r="AG3687">
        <v>0</v>
      </c>
      <c r="AH3687">
        <v>0</v>
      </c>
    </row>
    <row r="3688" spans="2:34" x14ac:dyDescent="0.35">
      <c r="B3688" t="s">
        <v>747</v>
      </c>
      <c r="C3688">
        <v>45780</v>
      </c>
      <c r="F3688" t="s">
        <v>754</v>
      </c>
      <c r="H3688">
        <v>79.2</v>
      </c>
      <c r="O3688" t="s">
        <v>239</v>
      </c>
      <c r="P3688" t="s">
        <v>514</v>
      </c>
      <c r="Y3688">
        <v>3654</v>
      </c>
      <c r="Z3688" s="259" t="s">
        <v>630</v>
      </c>
      <c r="AA3688">
        <v>100</v>
      </c>
      <c r="AB3688">
        <v>8008</v>
      </c>
      <c r="AC3688">
        <v>45779</v>
      </c>
      <c r="AD3688">
        <v>1</v>
      </c>
      <c r="AE3688">
        <v>7920</v>
      </c>
      <c r="AF3688">
        <v>7920</v>
      </c>
      <c r="AG3688">
        <v>0</v>
      </c>
      <c r="AH3688">
        <v>-88</v>
      </c>
    </row>
    <row r="3689" spans="2:34" x14ac:dyDescent="0.35">
      <c r="B3689" t="s">
        <v>747</v>
      </c>
      <c r="C3689">
        <v>45781</v>
      </c>
      <c r="F3689" t="s">
        <v>749</v>
      </c>
      <c r="H3689">
        <v>100.93</v>
      </c>
      <c r="O3689" t="s">
        <v>239</v>
      </c>
      <c r="P3689" t="s">
        <v>514</v>
      </c>
      <c r="Y3689">
        <v>3655</v>
      </c>
      <c r="Z3689" s="259" t="s">
        <v>630</v>
      </c>
      <c r="AA3689">
        <v>40</v>
      </c>
      <c r="AB3689">
        <v>4004</v>
      </c>
      <c r="AC3689">
        <v>45779</v>
      </c>
      <c r="AD3689">
        <v>2</v>
      </c>
      <c r="AE3689">
        <v>4037.2000000000003</v>
      </c>
      <c r="AF3689">
        <v>4037.2000000000003</v>
      </c>
      <c r="AG3689">
        <v>0</v>
      </c>
      <c r="AH3689">
        <v>33.200000000000273</v>
      </c>
    </row>
    <row r="3690" spans="2:34" x14ac:dyDescent="0.35">
      <c r="B3690" t="s">
        <v>747</v>
      </c>
      <c r="C3690">
        <v>45781</v>
      </c>
      <c r="F3690" t="s">
        <v>752</v>
      </c>
      <c r="H3690">
        <v>187.2</v>
      </c>
      <c r="O3690" t="s">
        <v>239</v>
      </c>
      <c r="P3690" t="s">
        <v>514</v>
      </c>
      <c r="Y3690">
        <v>3656</v>
      </c>
      <c r="Z3690" s="259" t="s">
        <v>630</v>
      </c>
      <c r="AA3690">
        <v>0</v>
      </c>
      <c r="AB3690">
        <v>0</v>
      </c>
      <c r="AC3690">
        <v>45779</v>
      </c>
      <c r="AD3690">
        <v>2</v>
      </c>
      <c r="AE3690">
        <v>0</v>
      </c>
      <c r="AF3690">
        <v>0</v>
      </c>
      <c r="AG3690">
        <v>0</v>
      </c>
      <c r="AH3690">
        <v>0</v>
      </c>
    </row>
    <row r="3691" spans="2:34" x14ac:dyDescent="0.35">
      <c r="B3691" t="s">
        <v>747</v>
      </c>
      <c r="C3691">
        <v>45781</v>
      </c>
      <c r="F3691" t="s">
        <v>754</v>
      </c>
      <c r="H3691">
        <v>79.2</v>
      </c>
      <c r="O3691" t="s">
        <v>239</v>
      </c>
      <c r="P3691" t="s">
        <v>514</v>
      </c>
      <c r="Y3691">
        <v>3657</v>
      </c>
      <c r="Z3691" s="259" t="s">
        <v>630</v>
      </c>
      <c r="AA3691">
        <v>100</v>
      </c>
      <c r="AB3691">
        <v>8008</v>
      </c>
      <c r="AC3691">
        <v>45779</v>
      </c>
      <c r="AD3691">
        <v>2</v>
      </c>
      <c r="AE3691">
        <v>7920</v>
      </c>
      <c r="AF3691">
        <v>7920</v>
      </c>
      <c r="AG3691">
        <v>0</v>
      </c>
      <c r="AH3691">
        <v>-88</v>
      </c>
    </row>
    <row r="3692" spans="2:34" x14ac:dyDescent="0.35">
      <c r="B3692" t="s">
        <v>747</v>
      </c>
      <c r="C3692">
        <v>45782</v>
      </c>
      <c r="F3692" t="s">
        <v>749</v>
      </c>
      <c r="H3692">
        <v>100.73</v>
      </c>
      <c r="O3692" t="s">
        <v>239</v>
      </c>
      <c r="P3692" t="s">
        <v>514</v>
      </c>
      <c r="Y3692">
        <v>3658</v>
      </c>
      <c r="Z3692" s="259" t="s">
        <v>630</v>
      </c>
      <c r="AA3692">
        <v>40</v>
      </c>
      <c r="AB3692">
        <v>4004</v>
      </c>
      <c r="AC3692">
        <v>45782</v>
      </c>
      <c r="AD3692">
        <v>0</v>
      </c>
      <c r="AE3692">
        <v>4029.2000000000003</v>
      </c>
      <c r="AF3692">
        <v>4029.2000000000003</v>
      </c>
      <c r="AG3692">
        <v>0</v>
      </c>
      <c r="AH3692">
        <v>25.200000000000273</v>
      </c>
    </row>
    <row r="3693" spans="2:34" x14ac:dyDescent="0.35">
      <c r="B3693" t="s">
        <v>747</v>
      </c>
      <c r="C3693">
        <v>45782</v>
      </c>
      <c r="F3693" t="s">
        <v>752</v>
      </c>
      <c r="H3693">
        <v>187.8</v>
      </c>
      <c r="O3693" t="s">
        <v>239</v>
      </c>
      <c r="P3693" t="s">
        <v>514</v>
      </c>
      <c r="Y3693">
        <v>3659</v>
      </c>
      <c r="Z3693" s="259" t="s">
        <v>630</v>
      </c>
      <c r="AA3693">
        <v>0</v>
      </c>
      <c r="AB3693">
        <v>0</v>
      </c>
      <c r="AC3693">
        <v>45782</v>
      </c>
      <c r="AD3693">
        <v>0</v>
      </c>
      <c r="AE3693">
        <v>0</v>
      </c>
      <c r="AF3693">
        <v>0</v>
      </c>
      <c r="AG3693">
        <v>0</v>
      </c>
      <c r="AH3693">
        <v>0</v>
      </c>
    </row>
    <row r="3694" spans="2:34" x14ac:dyDescent="0.35">
      <c r="B3694" t="s">
        <v>747</v>
      </c>
      <c r="C3694">
        <v>45782</v>
      </c>
      <c r="F3694" t="s">
        <v>754</v>
      </c>
      <c r="H3694">
        <v>79.8</v>
      </c>
      <c r="O3694" t="s">
        <v>239</v>
      </c>
      <c r="P3694" t="s">
        <v>514</v>
      </c>
      <c r="Y3694">
        <v>3660</v>
      </c>
      <c r="Z3694" s="259" t="s">
        <v>630</v>
      </c>
      <c r="AA3694">
        <v>100</v>
      </c>
      <c r="AB3694">
        <v>8008</v>
      </c>
      <c r="AC3694">
        <v>45782</v>
      </c>
      <c r="AD3694">
        <v>0</v>
      </c>
      <c r="AE3694">
        <v>7980</v>
      </c>
      <c r="AF3694">
        <v>7980</v>
      </c>
      <c r="AG3694">
        <v>0</v>
      </c>
      <c r="AH3694">
        <v>-28</v>
      </c>
    </row>
    <row r="3695" spans="2:34" x14ac:dyDescent="0.35">
      <c r="B3695" t="s">
        <v>747</v>
      </c>
      <c r="C3695">
        <v>45783</v>
      </c>
      <c r="F3695" t="s">
        <v>749</v>
      </c>
      <c r="H3695">
        <v>100.67</v>
      </c>
      <c r="O3695" t="s">
        <v>239</v>
      </c>
      <c r="P3695" t="s">
        <v>514</v>
      </c>
      <c r="Y3695">
        <v>3661</v>
      </c>
      <c r="Z3695" s="259" t="s">
        <v>630</v>
      </c>
      <c r="AA3695">
        <v>40</v>
      </c>
      <c r="AB3695">
        <v>4004</v>
      </c>
      <c r="AC3695">
        <v>45783</v>
      </c>
      <c r="AD3695">
        <v>0</v>
      </c>
      <c r="AE3695">
        <v>4026.8</v>
      </c>
      <c r="AF3695">
        <v>4026.8</v>
      </c>
      <c r="AG3695">
        <v>0</v>
      </c>
      <c r="AH3695">
        <v>22.800000000000182</v>
      </c>
    </row>
    <row r="3696" spans="2:34" x14ac:dyDescent="0.35">
      <c r="B3696" t="s">
        <v>747</v>
      </c>
      <c r="C3696">
        <v>45783</v>
      </c>
      <c r="F3696" t="s">
        <v>752</v>
      </c>
      <c r="H3696">
        <v>188</v>
      </c>
      <c r="O3696" t="s">
        <v>239</v>
      </c>
      <c r="P3696" t="s">
        <v>514</v>
      </c>
      <c r="Y3696">
        <v>3662</v>
      </c>
      <c r="Z3696" s="259" t="s">
        <v>630</v>
      </c>
      <c r="AA3696">
        <v>0</v>
      </c>
      <c r="AB3696">
        <v>0</v>
      </c>
      <c r="AC3696">
        <v>45783</v>
      </c>
      <c r="AD3696">
        <v>0</v>
      </c>
      <c r="AE3696">
        <v>0</v>
      </c>
      <c r="AF3696">
        <v>0</v>
      </c>
      <c r="AG3696">
        <v>0</v>
      </c>
      <c r="AH3696">
        <v>0</v>
      </c>
    </row>
    <row r="3697" spans="2:34" x14ac:dyDescent="0.35">
      <c r="B3697" t="s">
        <v>747</v>
      </c>
      <c r="C3697">
        <v>45783</v>
      </c>
      <c r="F3697" t="s">
        <v>754</v>
      </c>
      <c r="H3697">
        <v>80</v>
      </c>
      <c r="O3697" t="s">
        <v>239</v>
      </c>
      <c r="P3697" t="s">
        <v>514</v>
      </c>
      <c r="Y3697">
        <v>3663</v>
      </c>
      <c r="Z3697" s="259" t="s">
        <v>630</v>
      </c>
      <c r="AA3697">
        <v>100</v>
      </c>
      <c r="AB3697">
        <v>8008</v>
      </c>
      <c r="AC3697">
        <v>45783</v>
      </c>
      <c r="AD3697">
        <v>0</v>
      </c>
      <c r="AE3697">
        <v>8000</v>
      </c>
      <c r="AF3697">
        <v>8000</v>
      </c>
      <c r="AG3697">
        <v>0</v>
      </c>
      <c r="AH3697">
        <v>-8</v>
      </c>
    </row>
    <row r="3698" spans="2:34" x14ac:dyDescent="0.35">
      <c r="B3698" t="s">
        <v>747</v>
      </c>
      <c r="C3698">
        <v>45784</v>
      </c>
      <c r="F3698" t="s">
        <v>749</v>
      </c>
      <c r="H3698">
        <v>100.6</v>
      </c>
      <c r="O3698" t="s">
        <v>239</v>
      </c>
      <c r="P3698" t="s">
        <v>514</v>
      </c>
      <c r="Y3698">
        <v>3664</v>
      </c>
      <c r="Z3698" s="259" t="s">
        <v>630</v>
      </c>
      <c r="AA3698">
        <v>40</v>
      </c>
      <c r="AB3698">
        <v>4004</v>
      </c>
      <c r="AC3698">
        <v>45784</v>
      </c>
      <c r="AD3698">
        <v>0</v>
      </c>
      <c r="AE3698">
        <v>4024</v>
      </c>
      <c r="AF3698">
        <v>4024</v>
      </c>
      <c r="AG3698">
        <v>0</v>
      </c>
      <c r="AH3698">
        <v>20</v>
      </c>
    </row>
    <row r="3699" spans="2:34" x14ac:dyDescent="0.35">
      <c r="B3699" t="s">
        <v>747</v>
      </c>
      <c r="C3699">
        <v>45784</v>
      </c>
      <c r="F3699" t="s">
        <v>752</v>
      </c>
      <c r="H3699">
        <v>188.2</v>
      </c>
      <c r="O3699" t="s">
        <v>239</v>
      </c>
      <c r="P3699" t="s">
        <v>514</v>
      </c>
      <c r="Y3699">
        <v>3665</v>
      </c>
      <c r="Z3699" s="259" t="s">
        <v>630</v>
      </c>
      <c r="AA3699">
        <v>0</v>
      </c>
      <c r="AB3699">
        <v>0</v>
      </c>
      <c r="AC3699">
        <v>45784</v>
      </c>
      <c r="AD3699">
        <v>0</v>
      </c>
      <c r="AE3699">
        <v>0</v>
      </c>
      <c r="AF3699">
        <v>0</v>
      </c>
      <c r="AG3699">
        <v>0</v>
      </c>
      <c r="AH3699">
        <v>0</v>
      </c>
    </row>
    <row r="3700" spans="2:34" x14ac:dyDescent="0.35">
      <c r="B3700" t="s">
        <v>747</v>
      </c>
      <c r="C3700">
        <v>45784</v>
      </c>
      <c r="F3700" t="s">
        <v>754</v>
      </c>
      <c r="H3700">
        <v>80.2</v>
      </c>
      <c r="O3700" t="s">
        <v>239</v>
      </c>
      <c r="P3700" t="s">
        <v>514</v>
      </c>
      <c r="Y3700">
        <v>3666</v>
      </c>
      <c r="Z3700" s="259" t="s">
        <v>630</v>
      </c>
      <c r="AA3700">
        <v>100</v>
      </c>
      <c r="AB3700">
        <v>8008</v>
      </c>
      <c r="AC3700">
        <v>45784</v>
      </c>
      <c r="AD3700">
        <v>0</v>
      </c>
      <c r="AE3700">
        <v>8020</v>
      </c>
      <c r="AF3700">
        <v>8020</v>
      </c>
      <c r="AG3700">
        <v>0</v>
      </c>
      <c r="AH3700">
        <v>12</v>
      </c>
    </row>
    <row r="3701" spans="2:34" x14ac:dyDescent="0.35">
      <c r="B3701" t="s">
        <v>747</v>
      </c>
      <c r="C3701">
        <v>45785</v>
      </c>
      <c r="F3701" t="s">
        <v>749</v>
      </c>
      <c r="H3701">
        <v>100.53</v>
      </c>
      <c r="O3701" t="s">
        <v>239</v>
      </c>
      <c r="P3701" t="s">
        <v>514</v>
      </c>
      <c r="Y3701">
        <v>3667</v>
      </c>
      <c r="Z3701" s="259" t="s">
        <v>630</v>
      </c>
      <c r="AA3701">
        <v>40</v>
      </c>
      <c r="AB3701">
        <v>4004</v>
      </c>
      <c r="AC3701">
        <v>45785</v>
      </c>
      <c r="AD3701">
        <v>0</v>
      </c>
      <c r="AE3701">
        <v>4021.2</v>
      </c>
      <c r="AF3701">
        <v>4021.2</v>
      </c>
      <c r="AG3701">
        <v>0</v>
      </c>
      <c r="AH3701">
        <v>17.199999999999818</v>
      </c>
    </row>
    <row r="3702" spans="2:34" x14ac:dyDescent="0.35">
      <c r="B3702" t="s">
        <v>747</v>
      </c>
      <c r="C3702">
        <v>45785</v>
      </c>
      <c r="F3702" t="s">
        <v>752</v>
      </c>
      <c r="H3702">
        <v>188.4</v>
      </c>
      <c r="O3702" t="s">
        <v>239</v>
      </c>
      <c r="P3702" t="s">
        <v>514</v>
      </c>
      <c r="Y3702">
        <v>3668</v>
      </c>
      <c r="Z3702" s="259" t="s">
        <v>630</v>
      </c>
      <c r="AA3702">
        <v>0</v>
      </c>
      <c r="AB3702">
        <v>0</v>
      </c>
      <c r="AC3702">
        <v>45785</v>
      </c>
      <c r="AD3702">
        <v>0</v>
      </c>
      <c r="AE3702">
        <v>0</v>
      </c>
      <c r="AF3702">
        <v>0</v>
      </c>
      <c r="AG3702">
        <v>0</v>
      </c>
      <c r="AH3702">
        <v>0</v>
      </c>
    </row>
    <row r="3703" spans="2:34" x14ac:dyDescent="0.35">
      <c r="B3703" t="s">
        <v>747</v>
      </c>
      <c r="C3703">
        <v>45785</v>
      </c>
      <c r="F3703" t="s">
        <v>754</v>
      </c>
      <c r="H3703">
        <v>80.400000000000006</v>
      </c>
      <c r="O3703" t="s">
        <v>239</v>
      </c>
      <c r="P3703" t="s">
        <v>514</v>
      </c>
      <c r="Y3703">
        <v>3669</v>
      </c>
      <c r="Z3703" s="259" t="s">
        <v>630</v>
      </c>
      <c r="AA3703">
        <v>100</v>
      </c>
      <c r="AB3703">
        <v>8008</v>
      </c>
      <c r="AC3703">
        <v>45785</v>
      </c>
      <c r="AD3703">
        <v>0</v>
      </c>
      <c r="AE3703">
        <v>8040.0000000000009</v>
      </c>
      <c r="AF3703">
        <v>8040.0000000000009</v>
      </c>
      <c r="AG3703">
        <v>0</v>
      </c>
      <c r="AH3703">
        <v>32.000000000000909</v>
      </c>
    </row>
    <row r="3704" spans="2:34" x14ac:dyDescent="0.35">
      <c r="B3704" t="s">
        <v>747</v>
      </c>
      <c r="C3704">
        <v>45786</v>
      </c>
      <c r="F3704" t="s">
        <v>749</v>
      </c>
      <c r="H3704">
        <v>100.47</v>
      </c>
      <c r="O3704" t="s">
        <v>239</v>
      </c>
      <c r="P3704" t="s">
        <v>514</v>
      </c>
      <c r="Y3704">
        <v>3670</v>
      </c>
      <c r="Z3704" s="259" t="s">
        <v>630</v>
      </c>
      <c r="AA3704">
        <v>40</v>
      </c>
      <c r="AB3704">
        <v>4004</v>
      </c>
      <c r="AC3704">
        <v>45786</v>
      </c>
      <c r="AD3704">
        <v>0</v>
      </c>
      <c r="AE3704">
        <v>4018.8</v>
      </c>
      <c r="AF3704">
        <v>4018.8</v>
      </c>
      <c r="AG3704">
        <v>0</v>
      </c>
      <c r="AH3704">
        <v>14.800000000000182</v>
      </c>
    </row>
    <row r="3705" spans="2:34" x14ac:dyDescent="0.35">
      <c r="B3705" t="s">
        <v>747</v>
      </c>
      <c r="C3705">
        <v>45786</v>
      </c>
      <c r="F3705" t="s">
        <v>752</v>
      </c>
      <c r="H3705">
        <v>188.6</v>
      </c>
      <c r="O3705" t="s">
        <v>239</v>
      </c>
      <c r="P3705" t="s">
        <v>514</v>
      </c>
      <c r="Y3705">
        <v>3671</v>
      </c>
      <c r="Z3705" s="259" t="s">
        <v>630</v>
      </c>
      <c r="AA3705">
        <v>0</v>
      </c>
      <c r="AB3705">
        <v>0</v>
      </c>
      <c r="AC3705">
        <v>45786</v>
      </c>
      <c r="AD3705">
        <v>0</v>
      </c>
      <c r="AE3705">
        <v>0</v>
      </c>
      <c r="AF3705">
        <v>0</v>
      </c>
      <c r="AG3705">
        <v>0</v>
      </c>
      <c r="AH3705">
        <v>0</v>
      </c>
    </row>
    <row r="3706" spans="2:34" x14ac:dyDescent="0.35">
      <c r="B3706" t="s">
        <v>747</v>
      </c>
      <c r="C3706">
        <v>45786</v>
      </c>
      <c r="F3706" t="s">
        <v>754</v>
      </c>
      <c r="H3706">
        <v>80.599999999999994</v>
      </c>
      <c r="O3706" t="s">
        <v>239</v>
      </c>
      <c r="P3706" t="s">
        <v>514</v>
      </c>
      <c r="Y3706">
        <v>3672</v>
      </c>
      <c r="Z3706" s="259" t="s">
        <v>630</v>
      </c>
      <c r="AA3706">
        <v>100</v>
      </c>
      <c r="AB3706">
        <v>8008</v>
      </c>
      <c r="AC3706">
        <v>45786</v>
      </c>
      <c r="AD3706">
        <v>0</v>
      </c>
      <c r="AE3706">
        <v>8059.9999999999991</v>
      </c>
      <c r="AF3706">
        <v>8059.9999999999991</v>
      </c>
      <c r="AG3706">
        <v>0</v>
      </c>
      <c r="AH3706">
        <v>51.999999999999091</v>
      </c>
    </row>
    <row r="3707" spans="2:34" x14ac:dyDescent="0.35">
      <c r="B3707" t="s">
        <v>747</v>
      </c>
      <c r="C3707">
        <v>45787</v>
      </c>
      <c r="F3707" t="s">
        <v>749</v>
      </c>
      <c r="H3707">
        <v>100.47</v>
      </c>
      <c r="O3707" t="s">
        <v>239</v>
      </c>
      <c r="P3707" t="s">
        <v>514</v>
      </c>
      <c r="Y3707">
        <v>3673</v>
      </c>
      <c r="Z3707" s="259" t="s">
        <v>630</v>
      </c>
      <c r="AA3707">
        <v>40</v>
      </c>
      <c r="AB3707">
        <v>4004</v>
      </c>
      <c r="AC3707">
        <v>45786</v>
      </c>
      <c r="AD3707">
        <v>1</v>
      </c>
      <c r="AE3707">
        <v>4018.8</v>
      </c>
      <c r="AF3707">
        <v>4018.8</v>
      </c>
      <c r="AG3707">
        <v>0</v>
      </c>
      <c r="AH3707">
        <v>14.800000000000182</v>
      </c>
    </row>
    <row r="3708" spans="2:34" x14ac:dyDescent="0.35">
      <c r="B3708" t="s">
        <v>747</v>
      </c>
      <c r="C3708">
        <v>45787</v>
      </c>
      <c r="F3708" t="s">
        <v>752</v>
      </c>
      <c r="H3708">
        <v>188.6</v>
      </c>
      <c r="O3708" t="s">
        <v>239</v>
      </c>
      <c r="P3708" t="s">
        <v>514</v>
      </c>
      <c r="Y3708">
        <v>3674</v>
      </c>
      <c r="Z3708" s="259" t="s">
        <v>630</v>
      </c>
      <c r="AA3708">
        <v>0</v>
      </c>
      <c r="AB3708">
        <v>0</v>
      </c>
      <c r="AC3708">
        <v>45786</v>
      </c>
      <c r="AD3708">
        <v>1</v>
      </c>
      <c r="AE3708">
        <v>0</v>
      </c>
      <c r="AF3708">
        <v>0</v>
      </c>
      <c r="AG3708">
        <v>0</v>
      </c>
      <c r="AH3708">
        <v>0</v>
      </c>
    </row>
    <row r="3709" spans="2:34" x14ac:dyDescent="0.35">
      <c r="B3709" t="s">
        <v>747</v>
      </c>
      <c r="C3709">
        <v>45787</v>
      </c>
      <c r="F3709" t="s">
        <v>754</v>
      </c>
      <c r="H3709">
        <v>80.599999999999994</v>
      </c>
      <c r="O3709" t="s">
        <v>239</v>
      </c>
      <c r="P3709" t="s">
        <v>514</v>
      </c>
      <c r="Y3709">
        <v>3675</v>
      </c>
      <c r="Z3709" s="259" t="s">
        <v>630</v>
      </c>
      <c r="AA3709">
        <v>100</v>
      </c>
      <c r="AB3709">
        <v>8008</v>
      </c>
      <c r="AC3709">
        <v>45786</v>
      </c>
      <c r="AD3709">
        <v>1</v>
      </c>
      <c r="AE3709">
        <v>8059.9999999999991</v>
      </c>
      <c r="AF3709">
        <v>8059.9999999999991</v>
      </c>
      <c r="AG3709">
        <v>0</v>
      </c>
      <c r="AH3709">
        <v>51.999999999999091</v>
      </c>
    </row>
    <row r="3710" spans="2:34" x14ac:dyDescent="0.35">
      <c r="B3710" t="s">
        <v>747</v>
      </c>
      <c r="C3710">
        <v>45788</v>
      </c>
      <c r="F3710" t="s">
        <v>749</v>
      </c>
      <c r="H3710">
        <v>100.47</v>
      </c>
      <c r="O3710" t="s">
        <v>239</v>
      </c>
      <c r="P3710" t="s">
        <v>514</v>
      </c>
      <c r="Y3710">
        <v>3676</v>
      </c>
      <c r="Z3710" s="259" t="s">
        <v>630</v>
      </c>
      <c r="AA3710">
        <v>40</v>
      </c>
      <c r="AB3710">
        <v>4004</v>
      </c>
      <c r="AC3710">
        <v>45786</v>
      </c>
      <c r="AD3710">
        <v>2</v>
      </c>
      <c r="AE3710">
        <v>4018.8</v>
      </c>
      <c r="AF3710">
        <v>4018.8</v>
      </c>
      <c r="AG3710">
        <v>0</v>
      </c>
      <c r="AH3710">
        <v>14.800000000000182</v>
      </c>
    </row>
    <row r="3711" spans="2:34" x14ac:dyDescent="0.35">
      <c r="B3711" t="s">
        <v>747</v>
      </c>
      <c r="C3711">
        <v>45788</v>
      </c>
      <c r="F3711" t="s">
        <v>752</v>
      </c>
      <c r="H3711">
        <v>188.6</v>
      </c>
      <c r="O3711" t="s">
        <v>239</v>
      </c>
      <c r="P3711" t="s">
        <v>514</v>
      </c>
      <c r="Y3711">
        <v>3677</v>
      </c>
      <c r="Z3711" s="259" t="s">
        <v>630</v>
      </c>
      <c r="AA3711">
        <v>0</v>
      </c>
      <c r="AB3711">
        <v>0</v>
      </c>
      <c r="AC3711">
        <v>45786</v>
      </c>
      <c r="AD3711">
        <v>2</v>
      </c>
      <c r="AE3711">
        <v>0</v>
      </c>
      <c r="AF3711">
        <v>0</v>
      </c>
      <c r="AG3711">
        <v>0</v>
      </c>
      <c r="AH3711">
        <v>0</v>
      </c>
    </row>
    <row r="3712" spans="2:34" x14ac:dyDescent="0.35">
      <c r="B3712" t="s">
        <v>747</v>
      </c>
      <c r="C3712">
        <v>45788</v>
      </c>
      <c r="F3712" t="s">
        <v>754</v>
      </c>
      <c r="H3712">
        <v>80.599999999999994</v>
      </c>
      <c r="O3712" t="s">
        <v>239</v>
      </c>
      <c r="P3712" t="s">
        <v>514</v>
      </c>
      <c r="Y3712">
        <v>3678</v>
      </c>
      <c r="Z3712" s="259" t="s">
        <v>630</v>
      </c>
      <c r="AA3712">
        <v>100</v>
      </c>
      <c r="AB3712">
        <v>8008</v>
      </c>
      <c r="AC3712">
        <v>45786</v>
      </c>
      <c r="AD3712">
        <v>2</v>
      </c>
      <c r="AE3712">
        <v>8059.9999999999991</v>
      </c>
      <c r="AF3712">
        <v>8059.9999999999991</v>
      </c>
      <c r="AG3712">
        <v>0</v>
      </c>
      <c r="AH3712">
        <v>51.999999999999091</v>
      </c>
    </row>
    <row r="3713" spans="2:34" x14ac:dyDescent="0.35">
      <c r="B3713" t="s">
        <v>747</v>
      </c>
      <c r="C3713">
        <v>45789</v>
      </c>
      <c r="F3713" t="s">
        <v>749</v>
      </c>
      <c r="H3713">
        <v>100.27</v>
      </c>
      <c r="O3713" t="s">
        <v>239</v>
      </c>
      <c r="P3713" t="s">
        <v>514</v>
      </c>
      <c r="Y3713">
        <v>3679</v>
      </c>
      <c r="Z3713" s="259" t="s">
        <v>630</v>
      </c>
      <c r="AA3713">
        <v>40</v>
      </c>
      <c r="AB3713">
        <v>4004</v>
      </c>
      <c r="AC3713">
        <v>45789</v>
      </c>
      <c r="AD3713">
        <v>0</v>
      </c>
      <c r="AE3713">
        <v>4010.7999999999997</v>
      </c>
      <c r="AF3713">
        <v>4010.7999999999997</v>
      </c>
      <c r="AG3713">
        <v>0</v>
      </c>
      <c r="AH3713">
        <v>6.7999999999997272</v>
      </c>
    </row>
    <row r="3714" spans="2:34" x14ac:dyDescent="0.35">
      <c r="B3714" t="s">
        <v>747</v>
      </c>
      <c r="C3714">
        <v>45789</v>
      </c>
      <c r="F3714" t="s">
        <v>752</v>
      </c>
      <c r="H3714">
        <v>189.2</v>
      </c>
      <c r="O3714" t="s">
        <v>239</v>
      </c>
      <c r="P3714" t="s">
        <v>514</v>
      </c>
      <c r="Y3714">
        <v>3680</v>
      </c>
      <c r="Z3714" s="259" t="s">
        <v>630</v>
      </c>
      <c r="AA3714">
        <v>0</v>
      </c>
      <c r="AB3714">
        <v>0</v>
      </c>
      <c r="AC3714">
        <v>45789</v>
      </c>
      <c r="AD3714">
        <v>0</v>
      </c>
      <c r="AE3714">
        <v>0</v>
      </c>
      <c r="AF3714">
        <v>0</v>
      </c>
      <c r="AG3714">
        <v>0</v>
      </c>
      <c r="AH3714">
        <v>0</v>
      </c>
    </row>
    <row r="3715" spans="2:34" x14ac:dyDescent="0.35">
      <c r="B3715" t="s">
        <v>747</v>
      </c>
      <c r="C3715">
        <v>45789</v>
      </c>
      <c r="F3715" t="s">
        <v>754</v>
      </c>
      <c r="H3715">
        <v>81.2</v>
      </c>
      <c r="O3715" t="s">
        <v>239</v>
      </c>
      <c r="P3715" t="s">
        <v>514</v>
      </c>
      <c r="Y3715">
        <v>3681</v>
      </c>
      <c r="Z3715" s="259" t="s">
        <v>630</v>
      </c>
      <c r="AA3715">
        <v>100</v>
      </c>
      <c r="AB3715">
        <v>8008</v>
      </c>
      <c r="AC3715">
        <v>45789</v>
      </c>
      <c r="AD3715">
        <v>0</v>
      </c>
      <c r="AE3715">
        <v>8120</v>
      </c>
      <c r="AF3715">
        <v>8120</v>
      </c>
      <c r="AG3715">
        <v>0</v>
      </c>
      <c r="AH3715">
        <v>112</v>
      </c>
    </row>
    <row r="3716" spans="2:34" x14ac:dyDescent="0.35">
      <c r="B3716" t="s">
        <v>747</v>
      </c>
      <c r="C3716">
        <v>45790</v>
      </c>
      <c r="F3716" t="s">
        <v>749</v>
      </c>
      <c r="H3716">
        <v>100.2</v>
      </c>
      <c r="O3716" t="s">
        <v>239</v>
      </c>
      <c r="P3716" t="s">
        <v>514</v>
      </c>
      <c r="Y3716">
        <v>3682</v>
      </c>
      <c r="Z3716" s="259" t="s">
        <v>630</v>
      </c>
      <c r="AA3716">
        <v>40</v>
      </c>
      <c r="AB3716">
        <v>4004</v>
      </c>
      <c r="AC3716">
        <v>45790</v>
      </c>
      <c r="AD3716">
        <v>0</v>
      </c>
      <c r="AE3716">
        <v>4008</v>
      </c>
      <c r="AF3716">
        <v>4008</v>
      </c>
      <c r="AG3716">
        <v>0</v>
      </c>
      <c r="AH3716">
        <v>4</v>
      </c>
    </row>
    <row r="3717" spans="2:34" x14ac:dyDescent="0.35">
      <c r="B3717" t="s">
        <v>747</v>
      </c>
      <c r="C3717">
        <v>45790</v>
      </c>
      <c r="F3717" t="s">
        <v>752</v>
      </c>
      <c r="H3717">
        <v>189.4</v>
      </c>
      <c r="O3717" t="s">
        <v>239</v>
      </c>
      <c r="P3717" t="s">
        <v>514</v>
      </c>
      <c r="Y3717">
        <v>3683</v>
      </c>
      <c r="Z3717" s="259" t="s">
        <v>630</v>
      </c>
      <c r="AA3717">
        <v>0</v>
      </c>
      <c r="AB3717">
        <v>0</v>
      </c>
      <c r="AC3717">
        <v>45790</v>
      </c>
      <c r="AD3717">
        <v>0</v>
      </c>
      <c r="AE3717">
        <v>0</v>
      </c>
      <c r="AF3717">
        <v>0</v>
      </c>
      <c r="AG3717">
        <v>0</v>
      </c>
      <c r="AH3717">
        <v>0</v>
      </c>
    </row>
    <row r="3718" spans="2:34" x14ac:dyDescent="0.35">
      <c r="B3718" t="s">
        <v>747</v>
      </c>
      <c r="C3718">
        <v>45790</v>
      </c>
      <c r="F3718" t="s">
        <v>754</v>
      </c>
      <c r="H3718">
        <v>81.400000000000006</v>
      </c>
      <c r="O3718" t="s">
        <v>239</v>
      </c>
      <c r="P3718" t="s">
        <v>514</v>
      </c>
      <c r="Y3718">
        <v>3684</v>
      </c>
      <c r="Z3718" s="259" t="s">
        <v>630</v>
      </c>
      <c r="AA3718">
        <v>100</v>
      </c>
      <c r="AB3718">
        <v>8008</v>
      </c>
      <c r="AC3718">
        <v>45790</v>
      </c>
      <c r="AD3718">
        <v>0</v>
      </c>
      <c r="AE3718">
        <v>8140.0000000000009</v>
      </c>
      <c r="AF3718">
        <v>8140.0000000000009</v>
      </c>
      <c r="AG3718">
        <v>0</v>
      </c>
      <c r="AH3718">
        <v>132.00000000000091</v>
      </c>
    </row>
    <row r="3719" spans="2:34" x14ac:dyDescent="0.35">
      <c r="B3719" t="s">
        <v>747</v>
      </c>
      <c r="C3719">
        <v>45791</v>
      </c>
      <c r="F3719" t="s">
        <v>749</v>
      </c>
      <c r="H3719">
        <v>100.13</v>
      </c>
      <c r="O3719" t="s">
        <v>239</v>
      </c>
      <c r="P3719" t="s">
        <v>514</v>
      </c>
      <c r="Y3719">
        <v>3685</v>
      </c>
      <c r="Z3719" s="259" t="s">
        <v>630</v>
      </c>
      <c r="AA3719">
        <v>40</v>
      </c>
      <c r="AB3719">
        <v>4004</v>
      </c>
      <c r="AC3719">
        <v>45791</v>
      </c>
      <c r="AD3719">
        <v>0</v>
      </c>
      <c r="AE3719">
        <v>4005.2</v>
      </c>
      <c r="AF3719">
        <v>4005.2</v>
      </c>
      <c r="AG3719">
        <v>0</v>
      </c>
      <c r="AH3719">
        <v>1.1999999999998181</v>
      </c>
    </row>
    <row r="3720" spans="2:34" x14ac:dyDescent="0.35">
      <c r="B3720" t="s">
        <v>747</v>
      </c>
      <c r="C3720">
        <v>45791</v>
      </c>
      <c r="F3720" t="s">
        <v>752</v>
      </c>
      <c r="H3720">
        <v>189.6</v>
      </c>
      <c r="O3720" t="s">
        <v>239</v>
      </c>
      <c r="P3720" t="s">
        <v>514</v>
      </c>
      <c r="Y3720">
        <v>3686</v>
      </c>
      <c r="Z3720" s="259" t="s">
        <v>630</v>
      </c>
      <c r="AA3720">
        <v>0</v>
      </c>
      <c r="AB3720">
        <v>0</v>
      </c>
      <c r="AC3720">
        <v>45791</v>
      </c>
      <c r="AD3720">
        <v>0</v>
      </c>
      <c r="AE3720">
        <v>0</v>
      </c>
      <c r="AF3720">
        <v>0</v>
      </c>
      <c r="AG3720">
        <v>0</v>
      </c>
      <c r="AH3720">
        <v>0</v>
      </c>
    </row>
    <row r="3721" spans="2:34" x14ac:dyDescent="0.35">
      <c r="B3721" t="s">
        <v>747</v>
      </c>
      <c r="C3721">
        <v>45791</v>
      </c>
      <c r="F3721" t="s">
        <v>754</v>
      </c>
      <c r="H3721">
        <v>81.599999999999994</v>
      </c>
      <c r="O3721" t="s">
        <v>239</v>
      </c>
      <c r="P3721" t="s">
        <v>514</v>
      </c>
      <c r="Y3721">
        <v>3687</v>
      </c>
      <c r="Z3721" s="259" t="s">
        <v>630</v>
      </c>
      <c r="AA3721">
        <v>100</v>
      </c>
      <c r="AB3721">
        <v>8008</v>
      </c>
      <c r="AC3721">
        <v>45791</v>
      </c>
      <c r="AD3721">
        <v>0</v>
      </c>
      <c r="AE3721">
        <v>8159.9999999999991</v>
      </c>
      <c r="AF3721">
        <v>8159.9999999999991</v>
      </c>
      <c r="AG3721">
        <v>0</v>
      </c>
      <c r="AH3721">
        <v>151.99999999999909</v>
      </c>
    </row>
    <row r="3722" spans="2:34" x14ac:dyDescent="0.35">
      <c r="B3722" t="s">
        <v>747</v>
      </c>
      <c r="C3722">
        <v>45792</v>
      </c>
      <c r="F3722" t="s">
        <v>749</v>
      </c>
      <c r="H3722">
        <v>100.07</v>
      </c>
      <c r="O3722" t="s">
        <v>239</v>
      </c>
      <c r="P3722" t="s">
        <v>514</v>
      </c>
      <c r="Y3722">
        <v>3688</v>
      </c>
      <c r="Z3722" s="259" t="s">
        <v>630</v>
      </c>
      <c r="AA3722">
        <v>40</v>
      </c>
      <c r="AB3722">
        <v>4004</v>
      </c>
      <c r="AC3722">
        <v>45792</v>
      </c>
      <c r="AD3722">
        <v>0</v>
      </c>
      <c r="AE3722">
        <v>4002.7999999999997</v>
      </c>
      <c r="AF3722">
        <v>4002.7999999999997</v>
      </c>
      <c r="AG3722">
        <v>0</v>
      </c>
      <c r="AH3722">
        <v>-1.2000000000002728</v>
      </c>
    </row>
    <row r="3723" spans="2:34" x14ac:dyDescent="0.35">
      <c r="B3723" t="s">
        <v>747</v>
      </c>
      <c r="C3723">
        <v>45792</v>
      </c>
      <c r="F3723" t="s">
        <v>752</v>
      </c>
      <c r="H3723">
        <v>189.8</v>
      </c>
      <c r="O3723" t="s">
        <v>239</v>
      </c>
      <c r="P3723" t="s">
        <v>514</v>
      </c>
      <c r="Y3723">
        <v>3689</v>
      </c>
      <c r="Z3723" s="259" t="s">
        <v>630</v>
      </c>
      <c r="AA3723">
        <v>0</v>
      </c>
      <c r="AB3723">
        <v>0</v>
      </c>
      <c r="AC3723">
        <v>45792</v>
      </c>
      <c r="AD3723">
        <v>0</v>
      </c>
      <c r="AE3723">
        <v>0</v>
      </c>
      <c r="AF3723">
        <v>0</v>
      </c>
      <c r="AG3723">
        <v>0</v>
      </c>
      <c r="AH3723">
        <v>0</v>
      </c>
    </row>
    <row r="3724" spans="2:34" x14ac:dyDescent="0.35">
      <c r="B3724" t="s">
        <v>747</v>
      </c>
      <c r="C3724">
        <v>45792</v>
      </c>
      <c r="F3724" t="s">
        <v>754</v>
      </c>
      <c r="H3724">
        <v>81.8</v>
      </c>
      <c r="O3724" t="s">
        <v>239</v>
      </c>
      <c r="P3724" t="s">
        <v>514</v>
      </c>
      <c r="Y3724">
        <v>3690</v>
      </c>
      <c r="Z3724" s="259" t="s">
        <v>630</v>
      </c>
      <c r="AA3724">
        <v>100</v>
      </c>
      <c r="AB3724">
        <v>8008</v>
      </c>
      <c r="AC3724">
        <v>45792</v>
      </c>
      <c r="AD3724">
        <v>0</v>
      </c>
      <c r="AE3724">
        <v>8180</v>
      </c>
      <c r="AF3724">
        <v>8180</v>
      </c>
      <c r="AG3724">
        <v>0</v>
      </c>
      <c r="AH3724">
        <v>172</v>
      </c>
    </row>
    <row r="3725" spans="2:34" x14ac:dyDescent="0.35">
      <c r="B3725" t="s">
        <v>747</v>
      </c>
      <c r="C3725">
        <v>45793</v>
      </c>
      <c r="F3725" t="s">
        <v>749</v>
      </c>
      <c r="H3725">
        <v>100</v>
      </c>
      <c r="O3725" t="s">
        <v>239</v>
      </c>
      <c r="P3725" t="s">
        <v>514</v>
      </c>
      <c r="Y3725">
        <v>3691</v>
      </c>
      <c r="Z3725" s="259" t="s">
        <v>630</v>
      </c>
      <c r="AA3725">
        <v>40</v>
      </c>
      <c r="AB3725">
        <v>4004</v>
      </c>
      <c r="AC3725">
        <v>45793</v>
      </c>
      <c r="AD3725">
        <v>0</v>
      </c>
      <c r="AE3725">
        <v>4000</v>
      </c>
      <c r="AF3725">
        <v>4000</v>
      </c>
      <c r="AG3725">
        <v>0</v>
      </c>
      <c r="AH3725">
        <v>-4</v>
      </c>
    </row>
    <row r="3726" spans="2:34" x14ac:dyDescent="0.35">
      <c r="B3726" t="s">
        <v>747</v>
      </c>
      <c r="C3726">
        <v>45793</v>
      </c>
      <c r="F3726" t="s">
        <v>752</v>
      </c>
      <c r="H3726">
        <v>190</v>
      </c>
      <c r="O3726" t="s">
        <v>239</v>
      </c>
      <c r="P3726" t="s">
        <v>514</v>
      </c>
      <c r="Y3726">
        <v>3692</v>
      </c>
      <c r="Z3726" s="259" t="s">
        <v>630</v>
      </c>
      <c r="AA3726">
        <v>0</v>
      </c>
      <c r="AB3726">
        <v>0</v>
      </c>
      <c r="AC3726">
        <v>45793</v>
      </c>
      <c r="AD3726">
        <v>0</v>
      </c>
      <c r="AE3726">
        <v>0</v>
      </c>
      <c r="AF3726">
        <v>0</v>
      </c>
      <c r="AG3726">
        <v>0</v>
      </c>
      <c r="AH3726">
        <v>0</v>
      </c>
    </row>
    <row r="3727" spans="2:34" x14ac:dyDescent="0.35">
      <c r="B3727" t="s">
        <v>747</v>
      </c>
      <c r="C3727">
        <v>45793</v>
      </c>
      <c r="F3727" t="s">
        <v>754</v>
      </c>
      <c r="H3727">
        <v>82</v>
      </c>
      <c r="O3727" t="s">
        <v>239</v>
      </c>
      <c r="P3727" t="s">
        <v>514</v>
      </c>
      <c r="Y3727">
        <v>3693</v>
      </c>
      <c r="Z3727" s="259" t="s">
        <v>630</v>
      </c>
      <c r="AA3727">
        <v>100</v>
      </c>
      <c r="AB3727">
        <v>8008</v>
      </c>
      <c r="AC3727">
        <v>45793</v>
      </c>
      <c r="AD3727">
        <v>0</v>
      </c>
      <c r="AE3727">
        <v>8200</v>
      </c>
      <c r="AF3727">
        <v>8200</v>
      </c>
      <c r="AG3727">
        <v>0</v>
      </c>
      <c r="AH3727">
        <v>192</v>
      </c>
    </row>
    <row r="3728" spans="2:34" x14ac:dyDescent="0.35">
      <c r="B3728" t="s">
        <v>747</v>
      </c>
      <c r="C3728">
        <v>45794</v>
      </c>
      <c r="F3728" t="s">
        <v>749</v>
      </c>
      <c r="H3728">
        <v>100</v>
      </c>
      <c r="O3728" t="s">
        <v>239</v>
      </c>
      <c r="P3728" t="s">
        <v>514</v>
      </c>
      <c r="Y3728">
        <v>3694</v>
      </c>
      <c r="Z3728" s="259" t="s">
        <v>630</v>
      </c>
      <c r="AA3728">
        <v>40</v>
      </c>
      <c r="AB3728">
        <v>4004</v>
      </c>
      <c r="AC3728">
        <v>45793</v>
      </c>
      <c r="AD3728">
        <v>1</v>
      </c>
      <c r="AE3728">
        <v>4000</v>
      </c>
      <c r="AF3728">
        <v>4000</v>
      </c>
      <c r="AG3728">
        <v>0</v>
      </c>
      <c r="AH3728">
        <v>-4</v>
      </c>
    </row>
    <row r="3729" spans="2:34" x14ac:dyDescent="0.35">
      <c r="B3729" t="s">
        <v>747</v>
      </c>
      <c r="C3729">
        <v>45794</v>
      </c>
      <c r="F3729" t="s">
        <v>752</v>
      </c>
      <c r="H3729">
        <v>190</v>
      </c>
      <c r="O3729" t="s">
        <v>239</v>
      </c>
      <c r="P3729" t="s">
        <v>514</v>
      </c>
      <c r="Y3729">
        <v>3695</v>
      </c>
      <c r="Z3729" s="259" t="s">
        <v>630</v>
      </c>
      <c r="AA3729">
        <v>0</v>
      </c>
      <c r="AB3729">
        <v>0</v>
      </c>
      <c r="AC3729">
        <v>45793</v>
      </c>
      <c r="AD3729">
        <v>1</v>
      </c>
      <c r="AE3729">
        <v>0</v>
      </c>
      <c r="AF3729">
        <v>0</v>
      </c>
      <c r="AG3729">
        <v>0</v>
      </c>
      <c r="AH3729">
        <v>0</v>
      </c>
    </row>
    <row r="3730" spans="2:34" x14ac:dyDescent="0.35">
      <c r="B3730" t="s">
        <v>747</v>
      </c>
      <c r="C3730">
        <v>45794</v>
      </c>
      <c r="F3730" t="s">
        <v>754</v>
      </c>
      <c r="H3730">
        <v>82</v>
      </c>
      <c r="O3730" t="s">
        <v>239</v>
      </c>
      <c r="P3730" t="s">
        <v>514</v>
      </c>
      <c r="Y3730">
        <v>3696</v>
      </c>
      <c r="Z3730" s="259" t="s">
        <v>630</v>
      </c>
      <c r="AA3730">
        <v>100</v>
      </c>
      <c r="AB3730">
        <v>8008</v>
      </c>
      <c r="AC3730">
        <v>45793</v>
      </c>
      <c r="AD3730">
        <v>1</v>
      </c>
      <c r="AE3730">
        <v>8200</v>
      </c>
      <c r="AF3730">
        <v>8200</v>
      </c>
      <c r="AG3730">
        <v>0</v>
      </c>
      <c r="AH3730">
        <v>192</v>
      </c>
    </row>
    <row r="3731" spans="2:34" x14ac:dyDescent="0.35">
      <c r="B3731" t="s">
        <v>747</v>
      </c>
      <c r="C3731">
        <v>45795</v>
      </c>
      <c r="F3731" t="s">
        <v>749</v>
      </c>
      <c r="H3731">
        <v>100</v>
      </c>
      <c r="O3731" t="s">
        <v>239</v>
      </c>
      <c r="P3731" t="s">
        <v>514</v>
      </c>
      <c r="Y3731">
        <v>3697</v>
      </c>
      <c r="Z3731" s="259" t="s">
        <v>630</v>
      </c>
      <c r="AA3731">
        <v>40</v>
      </c>
      <c r="AB3731">
        <v>4004</v>
      </c>
      <c r="AC3731">
        <v>45793</v>
      </c>
      <c r="AD3731">
        <v>2</v>
      </c>
      <c r="AE3731">
        <v>4000</v>
      </c>
      <c r="AF3731">
        <v>4000</v>
      </c>
      <c r="AG3731">
        <v>0</v>
      </c>
      <c r="AH3731">
        <v>-4</v>
      </c>
    </row>
    <row r="3732" spans="2:34" x14ac:dyDescent="0.35">
      <c r="B3732" t="s">
        <v>747</v>
      </c>
      <c r="C3732">
        <v>45795</v>
      </c>
      <c r="F3732" t="s">
        <v>752</v>
      </c>
      <c r="H3732">
        <v>190</v>
      </c>
      <c r="O3732" t="s">
        <v>239</v>
      </c>
      <c r="P3732" t="s">
        <v>514</v>
      </c>
      <c r="Y3732">
        <v>3698</v>
      </c>
      <c r="Z3732" s="259" t="s">
        <v>630</v>
      </c>
      <c r="AA3732">
        <v>0</v>
      </c>
      <c r="AB3732">
        <v>0</v>
      </c>
      <c r="AC3732">
        <v>45793</v>
      </c>
      <c r="AD3732">
        <v>2</v>
      </c>
      <c r="AE3732">
        <v>0</v>
      </c>
      <c r="AF3732">
        <v>0</v>
      </c>
      <c r="AG3732">
        <v>0</v>
      </c>
      <c r="AH3732">
        <v>0</v>
      </c>
    </row>
    <row r="3733" spans="2:34" x14ac:dyDescent="0.35">
      <c r="B3733" t="s">
        <v>747</v>
      </c>
      <c r="C3733">
        <v>45795</v>
      </c>
      <c r="F3733" t="s">
        <v>754</v>
      </c>
      <c r="H3733">
        <v>82</v>
      </c>
      <c r="O3733" t="s">
        <v>239</v>
      </c>
      <c r="P3733" t="s">
        <v>514</v>
      </c>
      <c r="Y3733">
        <v>3699</v>
      </c>
      <c r="Z3733" s="259" t="s">
        <v>630</v>
      </c>
      <c r="AA3733">
        <v>100</v>
      </c>
      <c r="AB3733">
        <v>8008</v>
      </c>
      <c r="AC3733">
        <v>45793</v>
      </c>
      <c r="AD3733">
        <v>2</v>
      </c>
      <c r="AE3733">
        <v>8200</v>
      </c>
      <c r="AF3733">
        <v>8200</v>
      </c>
      <c r="AG3733">
        <v>0</v>
      </c>
      <c r="AH3733">
        <v>192</v>
      </c>
    </row>
    <row r="3734" spans="2:34" x14ac:dyDescent="0.35">
      <c r="B3734" t="s">
        <v>747</v>
      </c>
      <c r="C3734">
        <v>45796</v>
      </c>
      <c r="F3734" t="s">
        <v>749</v>
      </c>
      <c r="H3734">
        <v>99.8</v>
      </c>
      <c r="O3734" t="s">
        <v>239</v>
      </c>
      <c r="P3734" t="s">
        <v>514</v>
      </c>
      <c r="Y3734">
        <v>3700</v>
      </c>
      <c r="Z3734" s="259" t="s">
        <v>630</v>
      </c>
      <c r="AA3734">
        <v>40</v>
      </c>
      <c r="AB3734">
        <v>4004</v>
      </c>
      <c r="AC3734">
        <v>45796</v>
      </c>
      <c r="AD3734">
        <v>0</v>
      </c>
      <c r="AE3734">
        <v>3992</v>
      </c>
      <c r="AF3734">
        <v>3992</v>
      </c>
      <c r="AG3734">
        <v>0</v>
      </c>
      <c r="AH3734">
        <v>-12</v>
      </c>
    </row>
    <row r="3735" spans="2:34" x14ac:dyDescent="0.35">
      <c r="B3735" t="s">
        <v>747</v>
      </c>
      <c r="C3735">
        <v>45796</v>
      </c>
      <c r="F3735" t="s">
        <v>752</v>
      </c>
      <c r="H3735">
        <v>190.6</v>
      </c>
      <c r="O3735" t="s">
        <v>239</v>
      </c>
      <c r="P3735" t="s">
        <v>514</v>
      </c>
      <c r="Y3735">
        <v>3701</v>
      </c>
      <c r="Z3735" s="259" t="s">
        <v>630</v>
      </c>
      <c r="AA3735">
        <v>0</v>
      </c>
      <c r="AB3735">
        <v>0</v>
      </c>
      <c r="AC3735">
        <v>45796</v>
      </c>
      <c r="AD3735">
        <v>0</v>
      </c>
      <c r="AE3735">
        <v>0</v>
      </c>
      <c r="AF3735">
        <v>0</v>
      </c>
      <c r="AG3735">
        <v>0</v>
      </c>
      <c r="AH3735">
        <v>0</v>
      </c>
    </row>
    <row r="3736" spans="2:34" x14ac:dyDescent="0.35">
      <c r="B3736" t="s">
        <v>747</v>
      </c>
      <c r="C3736">
        <v>45796</v>
      </c>
      <c r="F3736" t="s">
        <v>754</v>
      </c>
      <c r="H3736">
        <v>82.6</v>
      </c>
      <c r="O3736" t="s">
        <v>239</v>
      </c>
      <c r="P3736" t="s">
        <v>514</v>
      </c>
      <c r="Y3736">
        <v>3702</v>
      </c>
      <c r="Z3736" s="259" t="s">
        <v>630</v>
      </c>
      <c r="AA3736">
        <v>100</v>
      </c>
      <c r="AB3736">
        <v>8008</v>
      </c>
      <c r="AC3736">
        <v>45796</v>
      </c>
      <c r="AD3736">
        <v>0</v>
      </c>
      <c r="AE3736">
        <v>8260</v>
      </c>
      <c r="AF3736">
        <v>8260</v>
      </c>
      <c r="AG3736">
        <v>0</v>
      </c>
      <c r="AH3736">
        <v>252</v>
      </c>
    </row>
    <row r="3737" spans="2:34" x14ac:dyDescent="0.35">
      <c r="B3737" t="s">
        <v>747</v>
      </c>
      <c r="C3737">
        <v>45797</v>
      </c>
      <c r="F3737" t="s">
        <v>749</v>
      </c>
      <c r="H3737">
        <v>99.73</v>
      </c>
      <c r="O3737" t="s">
        <v>239</v>
      </c>
      <c r="P3737" t="s">
        <v>514</v>
      </c>
      <c r="Y3737">
        <v>3703</v>
      </c>
      <c r="Z3737" s="259" t="s">
        <v>630</v>
      </c>
      <c r="AA3737">
        <v>40</v>
      </c>
      <c r="AB3737">
        <v>4004</v>
      </c>
      <c r="AC3737">
        <v>45797</v>
      </c>
      <c r="AD3737">
        <v>0</v>
      </c>
      <c r="AE3737">
        <v>3989.2000000000003</v>
      </c>
      <c r="AF3737">
        <v>3989.2000000000003</v>
      </c>
      <c r="AG3737">
        <v>0</v>
      </c>
      <c r="AH3737">
        <v>-14.799999999999727</v>
      </c>
    </row>
    <row r="3738" spans="2:34" x14ac:dyDescent="0.35">
      <c r="B3738" t="s">
        <v>747</v>
      </c>
      <c r="C3738">
        <v>45797</v>
      </c>
      <c r="F3738" t="s">
        <v>752</v>
      </c>
      <c r="H3738">
        <v>190.8</v>
      </c>
      <c r="O3738" t="s">
        <v>239</v>
      </c>
      <c r="P3738" t="s">
        <v>514</v>
      </c>
      <c r="Y3738">
        <v>3704</v>
      </c>
      <c r="Z3738" s="259" t="s">
        <v>630</v>
      </c>
      <c r="AA3738">
        <v>0</v>
      </c>
      <c r="AB3738">
        <v>0</v>
      </c>
      <c r="AC3738">
        <v>45797</v>
      </c>
      <c r="AD3738">
        <v>0</v>
      </c>
      <c r="AE3738">
        <v>0</v>
      </c>
      <c r="AF3738">
        <v>0</v>
      </c>
      <c r="AG3738">
        <v>0</v>
      </c>
      <c r="AH3738">
        <v>0</v>
      </c>
    </row>
    <row r="3739" spans="2:34" x14ac:dyDescent="0.35">
      <c r="B3739" t="s">
        <v>747</v>
      </c>
      <c r="C3739">
        <v>45797</v>
      </c>
      <c r="F3739" t="s">
        <v>754</v>
      </c>
      <c r="H3739">
        <v>82.8</v>
      </c>
      <c r="O3739" t="s">
        <v>239</v>
      </c>
      <c r="P3739" t="s">
        <v>514</v>
      </c>
      <c r="Y3739">
        <v>3705</v>
      </c>
      <c r="Z3739" s="259" t="s">
        <v>630</v>
      </c>
      <c r="AA3739">
        <v>100</v>
      </c>
      <c r="AB3739">
        <v>8008</v>
      </c>
      <c r="AC3739">
        <v>45797</v>
      </c>
      <c r="AD3739">
        <v>0</v>
      </c>
      <c r="AE3739">
        <v>8280</v>
      </c>
      <c r="AF3739">
        <v>8280</v>
      </c>
      <c r="AG3739">
        <v>0</v>
      </c>
      <c r="AH3739">
        <v>272</v>
      </c>
    </row>
    <row r="3740" spans="2:34" x14ac:dyDescent="0.35">
      <c r="B3740" t="s">
        <v>747</v>
      </c>
      <c r="C3740">
        <v>45798</v>
      </c>
      <c r="F3740" t="s">
        <v>749</v>
      </c>
      <c r="H3740">
        <v>99.67</v>
      </c>
      <c r="O3740" t="s">
        <v>239</v>
      </c>
      <c r="P3740" t="s">
        <v>514</v>
      </c>
      <c r="Y3740">
        <v>3706</v>
      </c>
      <c r="Z3740" s="259" t="s">
        <v>630</v>
      </c>
      <c r="AA3740">
        <v>40</v>
      </c>
      <c r="AB3740">
        <v>4004</v>
      </c>
      <c r="AC3740">
        <v>45798</v>
      </c>
      <c r="AD3740">
        <v>0</v>
      </c>
      <c r="AE3740">
        <v>3986.8</v>
      </c>
      <c r="AF3740">
        <v>3986.8</v>
      </c>
      <c r="AG3740">
        <v>0</v>
      </c>
      <c r="AH3740">
        <v>-17.199999999999818</v>
      </c>
    </row>
    <row r="3741" spans="2:34" x14ac:dyDescent="0.35">
      <c r="B3741" t="s">
        <v>747</v>
      </c>
      <c r="C3741">
        <v>45798</v>
      </c>
      <c r="F3741" t="s">
        <v>752</v>
      </c>
      <c r="H3741">
        <v>191</v>
      </c>
      <c r="O3741" t="s">
        <v>239</v>
      </c>
      <c r="P3741" t="s">
        <v>514</v>
      </c>
      <c r="Y3741">
        <v>3707</v>
      </c>
      <c r="Z3741" s="259" t="s">
        <v>630</v>
      </c>
      <c r="AA3741">
        <v>0</v>
      </c>
      <c r="AB3741">
        <v>0</v>
      </c>
      <c r="AC3741">
        <v>45798</v>
      </c>
      <c r="AD3741">
        <v>0</v>
      </c>
      <c r="AE3741">
        <v>0</v>
      </c>
      <c r="AF3741">
        <v>0</v>
      </c>
      <c r="AG3741">
        <v>0</v>
      </c>
      <c r="AH3741">
        <v>0</v>
      </c>
    </row>
    <row r="3742" spans="2:34" x14ac:dyDescent="0.35">
      <c r="B3742" t="s">
        <v>747</v>
      </c>
      <c r="C3742">
        <v>45798</v>
      </c>
      <c r="F3742" t="s">
        <v>754</v>
      </c>
      <c r="H3742">
        <v>83</v>
      </c>
      <c r="O3742" t="s">
        <v>239</v>
      </c>
      <c r="P3742" t="s">
        <v>514</v>
      </c>
      <c r="Y3742">
        <v>3708</v>
      </c>
      <c r="Z3742" s="259" t="s">
        <v>630</v>
      </c>
      <c r="AA3742">
        <v>100</v>
      </c>
      <c r="AB3742">
        <v>8008</v>
      </c>
      <c r="AC3742">
        <v>45798</v>
      </c>
      <c r="AD3742">
        <v>0</v>
      </c>
      <c r="AE3742">
        <v>8300</v>
      </c>
      <c r="AF3742">
        <v>8300</v>
      </c>
      <c r="AG3742">
        <v>0</v>
      </c>
      <c r="AH3742">
        <v>292</v>
      </c>
    </row>
    <row r="3743" spans="2:34" x14ac:dyDescent="0.35">
      <c r="B3743" t="s">
        <v>747</v>
      </c>
      <c r="C3743">
        <v>45799</v>
      </c>
      <c r="F3743" t="s">
        <v>749</v>
      </c>
      <c r="H3743">
        <v>99.6</v>
      </c>
      <c r="O3743" t="s">
        <v>239</v>
      </c>
      <c r="P3743" t="s">
        <v>514</v>
      </c>
      <c r="Y3743">
        <v>3709</v>
      </c>
      <c r="Z3743" s="259" t="s">
        <v>630</v>
      </c>
      <c r="AA3743">
        <v>40</v>
      </c>
      <c r="AB3743">
        <v>4004</v>
      </c>
      <c r="AC3743">
        <v>45799</v>
      </c>
      <c r="AD3743">
        <v>0</v>
      </c>
      <c r="AE3743">
        <v>3984</v>
      </c>
      <c r="AF3743">
        <v>3984</v>
      </c>
      <c r="AG3743">
        <v>0</v>
      </c>
      <c r="AH3743">
        <v>-20</v>
      </c>
    </row>
    <row r="3744" spans="2:34" x14ac:dyDescent="0.35">
      <c r="B3744" t="s">
        <v>747</v>
      </c>
      <c r="C3744">
        <v>45799</v>
      </c>
      <c r="F3744" t="s">
        <v>752</v>
      </c>
      <c r="H3744">
        <v>191.2</v>
      </c>
      <c r="O3744" t="s">
        <v>239</v>
      </c>
      <c r="P3744" t="s">
        <v>514</v>
      </c>
      <c r="Y3744">
        <v>3710</v>
      </c>
      <c r="Z3744" s="259" t="s">
        <v>630</v>
      </c>
      <c r="AA3744">
        <v>0</v>
      </c>
      <c r="AB3744">
        <v>0</v>
      </c>
      <c r="AC3744">
        <v>45799</v>
      </c>
      <c r="AD3744">
        <v>0</v>
      </c>
      <c r="AE3744">
        <v>0</v>
      </c>
      <c r="AF3744">
        <v>0</v>
      </c>
      <c r="AG3744">
        <v>0</v>
      </c>
      <c r="AH3744">
        <v>0</v>
      </c>
    </row>
    <row r="3745" spans="2:34" x14ac:dyDescent="0.35">
      <c r="B3745" t="s">
        <v>747</v>
      </c>
      <c r="C3745">
        <v>45799</v>
      </c>
      <c r="F3745" t="s">
        <v>754</v>
      </c>
      <c r="H3745">
        <v>83.2</v>
      </c>
      <c r="O3745" t="s">
        <v>239</v>
      </c>
      <c r="P3745" t="s">
        <v>514</v>
      </c>
      <c r="Y3745">
        <v>3711</v>
      </c>
      <c r="Z3745" s="259" t="s">
        <v>630</v>
      </c>
      <c r="AA3745">
        <v>100</v>
      </c>
      <c r="AB3745">
        <v>8008</v>
      </c>
      <c r="AC3745">
        <v>45799</v>
      </c>
      <c r="AD3745">
        <v>0</v>
      </c>
      <c r="AE3745">
        <v>8320</v>
      </c>
      <c r="AF3745">
        <v>8320</v>
      </c>
      <c r="AG3745">
        <v>0</v>
      </c>
      <c r="AH3745">
        <v>312</v>
      </c>
    </row>
    <row r="3746" spans="2:34" x14ac:dyDescent="0.35">
      <c r="B3746" t="s">
        <v>747</v>
      </c>
      <c r="C3746">
        <v>45800</v>
      </c>
      <c r="F3746" t="s">
        <v>749</v>
      </c>
      <c r="H3746">
        <v>99.53</v>
      </c>
      <c r="O3746" t="s">
        <v>239</v>
      </c>
      <c r="P3746" t="s">
        <v>514</v>
      </c>
      <c r="Y3746">
        <v>3712</v>
      </c>
      <c r="Z3746" s="259" t="s">
        <v>630</v>
      </c>
      <c r="AA3746">
        <v>40</v>
      </c>
      <c r="AB3746">
        <v>4004</v>
      </c>
      <c r="AC3746">
        <v>45800</v>
      </c>
      <c r="AD3746">
        <v>0</v>
      </c>
      <c r="AE3746">
        <v>3981.2</v>
      </c>
      <c r="AF3746">
        <v>3981.2</v>
      </c>
      <c r="AG3746">
        <v>0</v>
      </c>
      <c r="AH3746">
        <v>-22.800000000000182</v>
      </c>
    </row>
    <row r="3747" spans="2:34" x14ac:dyDescent="0.35">
      <c r="B3747" t="s">
        <v>747</v>
      </c>
      <c r="C3747">
        <v>45800</v>
      </c>
      <c r="F3747" t="s">
        <v>752</v>
      </c>
      <c r="H3747">
        <v>191.4</v>
      </c>
      <c r="O3747" t="s">
        <v>239</v>
      </c>
      <c r="P3747" t="s">
        <v>514</v>
      </c>
      <c r="Y3747">
        <v>3713</v>
      </c>
      <c r="Z3747" s="259" t="s">
        <v>630</v>
      </c>
      <c r="AA3747">
        <v>0</v>
      </c>
      <c r="AB3747">
        <v>0</v>
      </c>
      <c r="AC3747">
        <v>45800</v>
      </c>
      <c r="AD3747">
        <v>0</v>
      </c>
      <c r="AE3747">
        <v>0</v>
      </c>
      <c r="AF3747">
        <v>0</v>
      </c>
      <c r="AG3747">
        <v>0</v>
      </c>
      <c r="AH3747">
        <v>0</v>
      </c>
    </row>
    <row r="3748" spans="2:34" x14ac:dyDescent="0.35">
      <c r="B3748" t="s">
        <v>747</v>
      </c>
      <c r="C3748">
        <v>45800</v>
      </c>
      <c r="F3748" t="s">
        <v>754</v>
      </c>
      <c r="H3748">
        <v>83.4</v>
      </c>
      <c r="O3748" t="s">
        <v>239</v>
      </c>
      <c r="P3748" t="s">
        <v>514</v>
      </c>
      <c r="Y3748">
        <v>3714</v>
      </c>
      <c r="Z3748" s="259" t="s">
        <v>630</v>
      </c>
      <c r="AA3748">
        <v>100</v>
      </c>
      <c r="AB3748">
        <v>8008</v>
      </c>
      <c r="AC3748">
        <v>45800</v>
      </c>
      <c r="AD3748">
        <v>0</v>
      </c>
      <c r="AE3748">
        <v>8340</v>
      </c>
      <c r="AF3748">
        <v>8340</v>
      </c>
      <c r="AG3748">
        <v>0</v>
      </c>
      <c r="AH3748">
        <v>332</v>
      </c>
    </row>
    <row r="3749" spans="2:34" x14ac:dyDescent="0.35">
      <c r="B3749" t="s">
        <v>747</v>
      </c>
      <c r="C3749">
        <v>45801</v>
      </c>
      <c r="F3749" t="s">
        <v>749</v>
      </c>
      <c r="H3749">
        <v>99.53</v>
      </c>
      <c r="O3749" t="s">
        <v>239</v>
      </c>
      <c r="P3749" t="s">
        <v>514</v>
      </c>
      <c r="Y3749">
        <v>3715</v>
      </c>
      <c r="Z3749" s="259" t="s">
        <v>630</v>
      </c>
      <c r="AA3749">
        <v>40</v>
      </c>
      <c r="AB3749">
        <v>4004</v>
      </c>
      <c r="AC3749">
        <v>45800</v>
      </c>
      <c r="AD3749">
        <v>1</v>
      </c>
      <c r="AE3749">
        <v>3981.2</v>
      </c>
      <c r="AF3749">
        <v>3981.2</v>
      </c>
      <c r="AG3749">
        <v>0</v>
      </c>
      <c r="AH3749">
        <v>-22.800000000000182</v>
      </c>
    </row>
    <row r="3750" spans="2:34" x14ac:dyDescent="0.35">
      <c r="B3750" t="s">
        <v>747</v>
      </c>
      <c r="C3750">
        <v>45801</v>
      </c>
      <c r="F3750" t="s">
        <v>752</v>
      </c>
      <c r="H3750">
        <v>191.4</v>
      </c>
      <c r="O3750" t="s">
        <v>239</v>
      </c>
      <c r="P3750" t="s">
        <v>514</v>
      </c>
      <c r="Y3750">
        <v>3716</v>
      </c>
      <c r="Z3750" s="259" t="s">
        <v>630</v>
      </c>
      <c r="AA3750">
        <v>0</v>
      </c>
      <c r="AB3750">
        <v>0</v>
      </c>
      <c r="AC3750">
        <v>45800</v>
      </c>
      <c r="AD3750">
        <v>1</v>
      </c>
      <c r="AE3750">
        <v>0</v>
      </c>
      <c r="AF3750">
        <v>0</v>
      </c>
      <c r="AG3750">
        <v>0</v>
      </c>
      <c r="AH3750">
        <v>0</v>
      </c>
    </row>
    <row r="3751" spans="2:34" x14ac:dyDescent="0.35">
      <c r="B3751" t="s">
        <v>747</v>
      </c>
      <c r="C3751">
        <v>45801</v>
      </c>
      <c r="F3751" t="s">
        <v>754</v>
      </c>
      <c r="H3751">
        <v>83.4</v>
      </c>
      <c r="O3751" t="s">
        <v>239</v>
      </c>
      <c r="P3751" t="s">
        <v>514</v>
      </c>
      <c r="Y3751">
        <v>3717</v>
      </c>
      <c r="Z3751" s="259" t="s">
        <v>630</v>
      </c>
      <c r="AA3751">
        <v>100</v>
      </c>
      <c r="AB3751">
        <v>8008</v>
      </c>
      <c r="AC3751">
        <v>45800</v>
      </c>
      <c r="AD3751">
        <v>1</v>
      </c>
      <c r="AE3751">
        <v>8340</v>
      </c>
      <c r="AF3751">
        <v>8340</v>
      </c>
      <c r="AG3751">
        <v>0</v>
      </c>
      <c r="AH3751">
        <v>332</v>
      </c>
    </row>
    <row r="3752" spans="2:34" x14ac:dyDescent="0.35">
      <c r="B3752" t="s">
        <v>747</v>
      </c>
      <c r="C3752">
        <v>45802</v>
      </c>
      <c r="F3752" t="s">
        <v>749</v>
      </c>
      <c r="H3752">
        <v>99.53</v>
      </c>
      <c r="O3752" t="s">
        <v>239</v>
      </c>
      <c r="P3752" t="s">
        <v>514</v>
      </c>
      <c r="Y3752">
        <v>3718</v>
      </c>
      <c r="Z3752" s="259" t="s">
        <v>630</v>
      </c>
      <c r="AA3752">
        <v>40</v>
      </c>
      <c r="AB3752">
        <v>4004</v>
      </c>
      <c r="AC3752">
        <v>45800</v>
      </c>
      <c r="AD3752">
        <v>2</v>
      </c>
      <c r="AE3752">
        <v>3981.2</v>
      </c>
      <c r="AF3752">
        <v>3981.2</v>
      </c>
      <c r="AG3752">
        <v>0</v>
      </c>
      <c r="AH3752">
        <v>-22.800000000000182</v>
      </c>
    </row>
    <row r="3753" spans="2:34" x14ac:dyDescent="0.35">
      <c r="B3753" t="s">
        <v>747</v>
      </c>
      <c r="C3753">
        <v>45802</v>
      </c>
      <c r="F3753" t="s">
        <v>752</v>
      </c>
      <c r="H3753">
        <v>191.4</v>
      </c>
      <c r="O3753" t="s">
        <v>239</v>
      </c>
      <c r="P3753" t="s">
        <v>514</v>
      </c>
      <c r="Y3753">
        <v>3719</v>
      </c>
      <c r="Z3753" s="259" t="s">
        <v>630</v>
      </c>
      <c r="AA3753">
        <v>0</v>
      </c>
      <c r="AB3753">
        <v>0</v>
      </c>
      <c r="AC3753">
        <v>45800</v>
      </c>
      <c r="AD3753">
        <v>2</v>
      </c>
      <c r="AE3753">
        <v>0</v>
      </c>
      <c r="AF3753">
        <v>0</v>
      </c>
      <c r="AG3753">
        <v>0</v>
      </c>
      <c r="AH3753">
        <v>0</v>
      </c>
    </row>
    <row r="3754" spans="2:34" x14ac:dyDescent="0.35">
      <c r="B3754" t="s">
        <v>747</v>
      </c>
      <c r="C3754">
        <v>45802</v>
      </c>
      <c r="F3754" t="s">
        <v>754</v>
      </c>
      <c r="H3754">
        <v>83.4</v>
      </c>
      <c r="O3754" t="s">
        <v>239</v>
      </c>
      <c r="P3754" t="s">
        <v>514</v>
      </c>
      <c r="Y3754">
        <v>3720</v>
      </c>
      <c r="Z3754" s="259" t="s">
        <v>630</v>
      </c>
      <c r="AA3754">
        <v>100</v>
      </c>
      <c r="AB3754">
        <v>8008</v>
      </c>
      <c r="AC3754">
        <v>45800</v>
      </c>
      <c r="AD3754">
        <v>2</v>
      </c>
      <c r="AE3754">
        <v>8340</v>
      </c>
      <c r="AF3754">
        <v>8340</v>
      </c>
      <c r="AG3754">
        <v>0</v>
      </c>
      <c r="AH3754">
        <v>332</v>
      </c>
    </row>
    <row r="3755" spans="2:34" x14ac:dyDescent="0.35">
      <c r="B3755" t="s">
        <v>747</v>
      </c>
      <c r="C3755">
        <v>45803</v>
      </c>
      <c r="F3755" t="s">
        <v>749</v>
      </c>
      <c r="H3755">
        <v>99.33</v>
      </c>
      <c r="O3755" t="s">
        <v>239</v>
      </c>
      <c r="P3755" t="s">
        <v>514</v>
      </c>
      <c r="Y3755">
        <v>3721</v>
      </c>
      <c r="Z3755" s="259" t="s">
        <v>630</v>
      </c>
      <c r="AA3755">
        <v>40</v>
      </c>
      <c r="AB3755">
        <v>4004</v>
      </c>
      <c r="AC3755">
        <v>45803</v>
      </c>
      <c r="AD3755">
        <v>0</v>
      </c>
      <c r="AE3755">
        <v>3973.2</v>
      </c>
      <c r="AF3755">
        <v>3973.2</v>
      </c>
      <c r="AG3755">
        <v>0</v>
      </c>
      <c r="AH3755">
        <v>-30.800000000000182</v>
      </c>
    </row>
    <row r="3756" spans="2:34" x14ac:dyDescent="0.35">
      <c r="B3756" t="s">
        <v>747</v>
      </c>
      <c r="C3756">
        <v>45803</v>
      </c>
      <c r="F3756" t="s">
        <v>752</v>
      </c>
      <c r="H3756">
        <v>192</v>
      </c>
      <c r="O3756" t="s">
        <v>239</v>
      </c>
      <c r="P3756" t="s">
        <v>514</v>
      </c>
      <c r="Y3756">
        <v>3722</v>
      </c>
      <c r="Z3756" s="259" t="s">
        <v>630</v>
      </c>
      <c r="AA3756">
        <v>0</v>
      </c>
      <c r="AB3756">
        <v>0</v>
      </c>
      <c r="AC3756">
        <v>45803</v>
      </c>
      <c r="AD3756">
        <v>0</v>
      </c>
      <c r="AE3756">
        <v>0</v>
      </c>
      <c r="AF3756">
        <v>0</v>
      </c>
      <c r="AG3756">
        <v>0</v>
      </c>
      <c r="AH3756">
        <v>0</v>
      </c>
    </row>
    <row r="3757" spans="2:34" x14ac:dyDescent="0.35">
      <c r="B3757" t="s">
        <v>747</v>
      </c>
      <c r="C3757">
        <v>45803</v>
      </c>
      <c r="F3757" t="s">
        <v>754</v>
      </c>
      <c r="H3757">
        <v>84</v>
      </c>
      <c r="O3757" t="s">
        <v>239</v>
      </c>
      <c r="P3757" t="s">
        <v>514</v>
      </c>
      <c r="Y3757">
        <v>3723</v>
      </c>
      <c r="Z3757" s="259" t="s">
        <v>630</v>
      </c>
      <c r="AA3757">
        <v>100</v>
      </c>
      <c r="AB3757">
        <v>8008</v>
      </c>
      <c r="AC3757">
        <v>45803</v>
      </c>
      <c r="AD3757">
        <v>0</v>
      </c>
      <c r="AE3757">
        <v>8400</v>
      </c>
      <c r="AF3757">
        <v>8400</v>
      </c>
      <c r="AG3757">
        <v>0</v>
      </c>
      <c r="AH3757">
        <v>392</v>
      </c>
    </row>
    <row r="3758" spans="2:34" x14ac:dyDescent="0.35">
      <c r="B3758" t="s">
        <v>747</v>
      </c>
      <c r="C3758">
        <v>45804</v>
      </c>
      <c r="F3758" t="s">
        <v>749</v>
      </c>
      <c r="H3758">
        <v>99.27</v>
      </c>
      <c r="O3758" t="s">
        <v>239</v>
      </c>
      <c r="P3758" t="s">
        <v>514</v>
      </c>
      <c r="Y3758">
        <v>3724</v>
      </c>
      <c r="Z3758" s="259" t="s">
        <v>630</v>
      </c>
      <c r="AA3758">
        <v>40</v>
      </c>
      <c r="AB3758">
        <v>4004</v>
      </c>
      <c r="AC3758">
        <v>45804</v>
      </c>
      <c r="AD3758">
        <v>0</v>
      </c>
      <c r="AE3758">
        <v>3970.7999999999997</v>
      </c>
      <c r="AF3758">
        <v>3970.7999999999997</v>
      </c>
      <c r="AG3758">
        <v>0</v>
      </c>
      <c r="AH3758">
        <v>-33.200000000000273</v>
      </c>
    </row>
    <row r="3759" spans="2:34" x14ac:dyDescent="0.35">
      <c r="B3759" t="s">
        <v>747</v>
      </c>
      <c r="C3759">
        <v>45804</v>
      </c>
      <c r="F3759" t="s">
        <v>752</v>
      </c>
      <c r="H3759">
        <v>192.2</v>
      </c>
      <c r="O3759" t="s">
        <v>239</v>
      </c>
      <c r="P3759" t="s">
        <v>514</v>
      </c>
      <c r="Y3759">
        <v>3725</v>
      </c>
      <c r="Z3759" s="259" t="s">
        <v>630</v>
      </c>
      <c r="AA3759">
        <v>0</v>
      </c>
      <c r="AB3759">
        <v>0</v>
      </c>
      <c r="AC3759">
        <v>45804</v>
      </c>
      <c r="AD3759">
        <v>0</v>
      </c>
      <c r="AE3759">
        <v>0</v>
      </c>
      <c r="AF3759">
        <v>0</v>
      </c>
      <c r="AG3759">
        <v>0</v>
      </c>
      <c r="AH3759">
        <v>0</v>
      </c>
    </row>
    <row r="3760" spans="2:34" x14ac:dyDescent="0.35">
      <c r="B3760" t="s">
        <v>747</v>
      </c>
      <c r="C3760">
        <v>45804</v>
      </c>
      <c r="F3760" t="s">
        <v>754</v>
      </c>
      <c r="H3760">
        <v>84.2</v>
      </c>
      <c r="O3760" t="s">
        <v>239</v>
      </c>
      <c r="P3760" t="s">
        <v>514</v>
      </c>
      <c r="Y3760">
        <v>3726</v>
      </c>
      <c r="Z3760" s="259" t="s">
        <v>630</v>
      </c>
      <c r="AA3760">
        <v>100</v>
      </c>
      <c r="AB3760">
        <v>8008</v>
      </c>
      <c r="AC3760">
        <v>45804</v>
      </c>
      <c r="AD3760">
        <v>0</v>
      </c>
      <c r="AE3760">
        <v>8420</v>
      </c>
      <c r="AF3760">
        <v>8420</v>
      </c>
      <c r="AG3760">
        <v>0</v>
      </c>
      <c r="AH3760">
        <v>412</v>
      </c>
    </row>
    <row r="3761" spans="2:34" x14ac:dyDescent="0.35">
      <c r="B3761" t="s">
        <v>747</v>
      </c>
      <c r="C3761">
        <v>45805</v>
      </c>
      <c r="F3761" t="s">
        <v>749</v>
      </c>
      <c r="H3761">
        <v>99.2</v>
      </c>
      <c r="O3761" t="s">
        <v>239</v>
      </c>
      <c r="P3761" t="s">
        <v>514</v>
      </c>
      <c r="Y3761">
        <v>3727</v>
      </c>
      <c r="Z3761" s="259" t="s">
        <v>630</v>
      </c>
      <c r="AA3761">
        <v>40</v>
      </c>
      <c r="AB3761">
        <v>4004</v>
      </c>
      <c r="AC3761">
        <v>45805</v>
      </c>
      <c r="AD3761">
        <v>0</v>
      </c>
      <c r="AE3761">
        <v>3968</v>
      </c>
      <c r="AF3761">
        <v>3968</v>
      </c>
      <c r="AG3761">
        <v>0</v>
      </c>
      <c r="AH3761">
        <v>-36</v>
      </c>
    </row>
    <row r="3762" spans="2:34" x14ac:dyDescent="0.35">
      <c r="B3762" t="s">
        <v>747</v>
      </c>
      <c r="C3762">
        <v>45805</v>
      </c>
      <c r="F3762" t="s">
        <v>752</v>
      </c>
      <c r="H3762">
        <v>192.4</v>
      </c>
      <c r="O3762" t="s">
        <v>239</v>
      </c>
      <c r="P3762" t="s">
        <v>514</v>
      </c>
      <c r="Y3762">
        <v>3728</v>
      </c>
      <c r="Z3762" s="259" t="s">
        <v>630</v>
      </c>
      <c r="AA3762">
        <v>0</v>
      </c>
      <c r="AB3762">
        <v>0</v>
      </c>
      <c r="AC3762">
        <v>45805</v>
      </c>
      <c r="AD3762">
        <v>0</v>
      </c>
      <c r="AE3762">
        <v>0</v>
      </c>
      <c r="AF3762">
        <v>0</v>
      </c>
      <c r="AG3762">
        <v>0</v>
      </c>
      <c r="AH3762">
        <v>0</v>
      </c>
    </row>
    <row r="3763" spans="2:34" x14ac:dyDescent="0.35">
      <c r="B3763" t="s">
        <v>747</v>
      </c>
      <c r="C3763">
        <v>45805</v>
      </c>
      <c r="F3763" t="s">
        <v>754</v>
      </c>
      <c r="H3763">
        <v>84.4</v>
      </c>
      <c r="O3763" t="s">
        <v>239</v>
      </c>
      <c r="P3763" t="s">
        <v>514</v>
      </c>
      <c r="Y3763">
        <v>3729</v>
      </c>
      <c r="Z3763" s="259" t="s">
        <v>630</v>
      </c>
      <c r="AA3763">
        <v>100</v>
      </c>
      <c r="AB3763">
        <v>8008</v>
      </c>
      <c r="AC3763">
        <v>45805</v>
      </c>
      <c r="AD3763">
        <v>0</v>
      </c>
      <c r="AE3763">
        <v>8440</v>
      </c>
      <c r="AF3763">
        <v>8440</v>
      </c>
      <c r="AG3763">
        <v>0</v>
      </c>
      <c r="AH3763">
        <v>432</v>
      </c>
    </row>
    <row r="3764" spans="2:34" x14ac:dyDescent="0.35">
      <c r="B3764" t="s">
        <v>747</v>
      </c>
      <c r="C3764">
        <v>45806</v>
      </c>
      <c r="F3764" t="s">
        <v>749</v>
      </c>
      <c r="H3764">
        <v>99.13</v>
      </c>
      <c r="O3764" t="s">
        <v>239</v>
      </c>
      <c r="P3764" t="s">
        <v>514</v>
      </c>
      <c r="Y3764">
        <v>3730</v>
      </c>
      <c r="Z3764" s="259" t="s">
        <v>630</v>
      </c>
      <c r="AA3764">
        <v>40</v>
      </c>
      <c r="AB3764">
        <v>4004</v>
      </c>
      <c r="AC3764">
        <v>45806</v>
      </c>
      <c r="AD3764">
        <v>0</v>
      </c>
      <c r="AE3764">
        <v>3965.2</v>
      </c>
      <c r="AF3764">
        <v>3965.2</v>
      </c>
      <c r="AG3764">
        <v>0</v>
      </c>
      <c r="AH3764">
        <v>-38.800000000000182</v>
      </c>
    </row>
    <row r="3765" spans="2:34" x14ac:dyDescent="0.35">
      <c r="B3765" t="s">
        <v>747</v>
      </c>
      <c r="C3765">
        <v>45806</v>
      </c>
      <c r="F3765" t="s">
        <v>752</v>
      </c>
      <c r="H3765">
        <v>192.6</v>
      </c>
      <c r="O3765" t="s">
        <v>239</v>
      </c>
      <c r="P3765" t="s">
        <v>514</v>
      </c>
      <c r="Y3765">
        <v>3731</v>
      </c>
      <c r="Z3765" s="259" t="s">
        <v>630</v>
      </c>
      <c r="AA3765">
        <v>0</v>
      </c>
      <c r="AB3765">
        <v>0</v>
      </c>
      <c r="AC3765">
        <v>45806</v>
      </c>
      <c r="AD3765">
        <v>0</v>
      </c>
      <c r="AE3765">
        <v>0</v>
      </c>
      <c r="AF3765">
        <v>0</v>
      </c>
      <c r="AG3765">
        <v>0</v>
      </c>
      <c r="AH3765">
        <v>0</v>
      </c>
    </row>
    <row r="3766" spans="2:34" x14ac:dyDescent="0.35">
      <c r="B3766" t="s">
        <v>747</v>
      </c>
      <c r="C3766">
        <v>45806</v>
      </c>
      <c r="F3766" t="s">
        <v>754</v>
      </c>
      <c r="H3766">
        <v>84.6</v>
      </c>
      <c r="O3766" t="s">
        <v>239</v>
      </c>
      <c r="P3766" t="s">
        <v>514</v>
      </c>
      <c r="Y3766">
        <v>3732</v>
      </c>
      <c r="Z3766" s="259" t="s">
        <v>630</v>
      </c>
      <c r="AA3766">
        <v>100</v>
      </c>
      <c r="AB3766">
        <v>8008</v>
      </c>
      <c r="AC3766">
        <v>45806</v>
      </c>
      <c r="AD3766">
        <v>0</v>
      </c>
      <c r="AE3766">
        <v>8460</v>
      </c>
      <c r="AF3766">
        <v>8460</v>
      </c>
      <c r="AG3766">
        <v>0</v>
      </c>
      <c r="AH3766">
        <v>452</v>
      </c>
    </row>
    <row r="3767" spans="2:34" x14ac:dyDescent="0.35">
      <c r="B3767" t="s">
        <v>747</v>
      </c>
      <c r="C3767">
        <v>45807</v>
      </c>
      <c r="F3767" t="s">
        <v>749</v>
      </c>
      <c r="H3767">
        <v>99.07</v>
      </c>
      <c r="O3767" t="s">
        <v>239</v>
      </c>
      <c r="P3767" t="s">
        <v>514</v>
      </c>
      <c r="Y3767">
        <v>3733</v>
      </c>
      <c r="Z3767" s="259" t="s">
        <v>630</v>
      </c>
      <c r="AA3767">
        <v>40</v>
      </c>
      <c r="AB3767">
        <v>4004</v>
      </c>
      <c r="AC3767">
        <v>45807</v>
      </c>
      <c r="AD3767">
        <v>0</v>
      </c>
      <c r="AE3767">
        <v>3962.7999999999997</v>
      </c>
      <c r="AF3767">
        <v>3962.7999999999997</v>
      </c>
      <c r="AG3767">
        <v>0</v>
      </c>
      <c r="AH3767">
        <v>-41.200000000000273</v>
      </c>
    </row>
    <row r="3768" spans="2:34" x14ac:dyDescent="0.35">
      <c r="B3768" t="s">
        <v>747</v>
      </c>
      <c r="C3768">
        <v>45807</v>
      </c>
      <c r="F3768" t="s">
        <v>752</v>
      </c>
      <c r="H3768">
        <v>192.8</v>
      </c>
      <c r="O3768" t="s">
        <v>239</v>
      </c>
      <c r="P3768" t="s">
        <v>514</v>
      </c>
      <c r="Y3768">
        <v>3734</v>
      </c>
      <c r="Z3768" s="259" t="s">
        <v>630</v>
      </c>
      <c r="AA3768">
        <v>0</v>
      </c>
      <c r="AB3768">
        <v>0</v>
      </c>
      <c r="AC3768">
        <v>45807</v>
      </c>
      <c r="AD3768">
        <v>0</v>
      </c>
      <c r="AE3768">
        <v>0</v>
      </c>
      <c r="AF3768">
        <v>0</v>
      </c>
      <c r="AG3768">
        <v>0</v>
      </c>
      <c r="AH3768">
        <v>0</v>
      </c>
    </row>
    <row r="3769" spans="2:34" x14ac:dyDescent="0.35">
      <c r="B3769" t="s">
        <v>747</v>
      </c>
      <c r="C3769">
        <v>45807</v>
      </c>
      <c r="F3769" t="s">
        <v>754</v>
      </c>
      <c r="H3769">
        <v>84.8</v>
      </c>
      <c r="O3769" t="s">
        <v>239</v>
      </c>
      <c r="P3769" t="s">
        <v>514</v>
      </c>
      <c r="Y3769">
        <v>3735</v>
      </c>
      <c r="Z3769" s="259" t="s">
        <v>630</v>
      </c>
      <c r="AA3769">
        <v>100</v>
      </c>
      <c r="AB3769">
        <v>8008</v>
      </c>
      <c r="AC3769">
        <v>45807</v>
      </c>
      <c r="AD3769">
        <v>0</v>
      </c>
      <c r="AE3769">
        <v>8480</v>
      </c>
      <c r="AF3769">
        <v>8480</v>
      </c>
      <c r="AG3769">
        <v>0</v>
      </c>
      <c r="AH3769">
        <v>472</v>
      </c>
    </row>
    <row r="3770" spans="2:34" x14ac:dyDescent="0.35">
      <c r="B3770" t="s">
        <v>747</v>
      </c>
      <c r="C3770">
        <v>45808</v>
      </c>
      <c r="F3770" t="s">
        <v>749</v>
      </c>
      <c r="H3770">
        <v>99.07</v>
      </c>
      <c r="O3770" t="s">
        <v>239</v>
      </c>
      <c r="P3770" t="s">
        <v>514</v>
      </c>
      <c r="Y3770">
        <v>3736</v>
      </c>
      <c r="Z3770" s="259" t="s">
        <v>630</v>
      </c>
      <c r="AA3770">
        <v>40</v>
      </c>
      <c r="AB3770">
        <v>4004</v>
      </c>
      <c r="AC3770">
        <v>45807</v>
      </c>
      <c r="AD3770">
        <v>1</v>
      </c>
      <c r="AE3770">
        <v>3962.7999999999997</v>
      </c>
      <c r="AF3770">
        <v>3962.7999999999997</v>
      </c>
      <c r="AG3770">
        <v>0</v>
      </c>
      <c r="AH3770">
        <v>-41.200000000000273</v>
      </c>
    </row>
    <row r="3771" spans="2:34" x14ac:dyDescent="0.35">
      <c r="B3771" t="s">
        <v>747</v>
      </c>
      <c r="C3771">
        <v>45808</v>
      </c>
      <c r="F3771" t="s">
        <v>752</v>
      </c>
      <c r="H3771">
        <v>192.8</v>
      </c>
      <c r="O3771" t="s">
        <v>239</v>
      </c>
      <c r="P3771" t="s">
        <v>514</v>
      </c>
      <c r="Y3771">
        <v>3737</v>
      </c>
      <c r="Z3771" s="259" t="s">
        <v>630</v>
      </c>
      <c r="AA3771">
        <v>0</v>
      </c>
      <c r="AB3771">
        <v>0</v>
      </c>
      <c r="AC3771">
        <v>45807</v>
      </c>
      <c r="AD3771">
        <v>1</v>
      </c>
      <c r="AE3771">
        <v>0</v>
      </c>
      <c r="AF3771">
        <v>0</v>
      </c>
      <c r="AG3771">
        <v>0</v>
      </c>
      <c r="AH3771">
        <v>0</v>
      </c>
    </row>
    <row r="3772" spans="2:34" x14ac:dyDescent="0.35">
      <c r="B3772" t="s">
        <v>747</v>
      </c>
      <c r="C3772">
        <v>45808</v>
      </c>
      <c r="F3772" t="s">
        <v>754</v>
      </c>
      <c r="H3772">
        <v>84.8</v>
      </c>
      <c r="O3772" t="s">
        <v>239</v>
      </c>
      <c r="P3772" t="s">
        <v>514</v>
      </c>
      <c r="Y3772">
        <v>3738</v>
      </c>
      <c r="Z3772" s="259" t="s">
        <v>630</v>
      </c>
      <c r="AA3772">
        <v>100</v>
      </c>
      <c r="AB3772">
        <v>8008</v>
      </c>
      <c r="AC3772">
        <v>45807</v>
      </c>
      <c r="AD3772">
        <v>1</v>
      </c>
      <c r="AE3772">
        <v>8480</v>
      </c>
      <c r="AF3772">
        <v>8480</v>
      </c>
      <c r="AG3772">
        <v>0</v>
      </c>
      <c r="AH3772">
        <v>472</v>
      </c>
    </row>
    <row r="3773" spans="2:34" x14ac:dyDescent="0.35">
      <c r="B3773" t="s">
        <v>747</v>
      </c>
      <c r="C3773">
        <v>45809</v>
      </c>
      <c r="F3773" t="s">
        <v>749</v>
      </c>
      <c r="H3773">
        <v>99.07</v>
      </c>
      <c r="O3773" t="s">
        <v>239</v>
      </c>
      <c r="P3773" t="s">
        <v>514</v>
      </c>
      <c r="Y3773">
        <v>3739</v>
      </c>
      <c r="Z3773" s="259" t="s">
        <v>630</v>
      </c>
      <c r="AA3773">
        <v>40</v>
      </c>
      <c r="AB3773">
        <v>4004</v>
      </c>
      <c r="AC3773">
        <v>45807</v>
      </c>
      <c r="AD3773">
        <v>2</v>
      </c>
      <c r="AE3773">
        <v>3962.7999999999997</v>
      </c>
      <c r="AF3773">
        <v>3962.7999999999997</v>
      </c>
      <c r="AG3773">
        <v>0</v>
      </c>
      <c r="AH3773">
        <v>-41.200000000000273</v>
      </c>
    </row>
    <row r="3774" spans="2:34" x14ac:dyDescent="0.35">
      <c r="B3774" t="s">
        <v>747</v>
      </c>
      <c r="C3774">
        <v>45809</v>
      </c>
      <c r="F3774" t="s">
        <v>752</v>
      </c>
      <c r="H3774">
        <v>192.8</v>
      </c>
      <c r="O3774" t="s">
        <v>239</v>
      </c>
      <c r="P3774" t="s">
        <v>514</v>
      </c>
      <c r="Y3774">
        <v>3740</v>
      </c>
      <c r="Z3774" s="259" t="s">
        <v>630</v>
      </c>
      <c r="AA3774">
        <v>0</v>
      </c>
      <c r="AB3774">
        <v>0</v>
      </c>
      <c r="AC3774">
        <v>45807</v>
      </c>
      <c r="AD3774">
        <v>2</v>
      </c>
      <c r="AE3774">
        <v>0</v>
      </c>
      <c r="AF3774">
        <v>0</v>
      </c>
      <c r="AG3774">
        <v>0</v>
      </c>
      <c r="AH3774">
        <v>0</v>
      </c>
    </row>
    <row r="3775" spans="2:34" x14ac:dyDescent="0.35">
      <c r="B3775" t="s">
        <v>747</v>
      </c>
      <c r="C3775">
        <v>45809</v>
      </c>
      <c r="F3775" t="s">
        <v>754</v>
      </c>
      <c r="H3775">
        <v>84.8</v>
      </c>
      <c r="O3775" t="s">
        <v>239</v>
      </c>
      <c r="P3775" t="s">
        <v>514</v>
      </c>
      <c r="Y3775">
        <v>3741</v>
      </c>
      <c r="Z3775" s="259" t="s">
        <v>630</v>
      </c>
      <c r="AA3775">
        <v>100</v>
      </c>
      <c r="AB3775">
        <v>8008</v>
      </c>
      <c r="AC3775">
        <v>45807</v>
      </c>
      <c r="AD3775">
        <v>2</v>
      </c>
      <c r="AE3775">
        <v>8480</v>
      </c>
      <c r="AF3775">
        <v>8480</v>
      </c>
      <c r="AG3775">
        <v>0</v>
      </c>
      <c r="AH3775">
        <v>472</v>
      </c>
    </row>
    <row r="3776" spans="2:34" x14ac:dyDescent="0.35">
      <c r="B3776" t="s">
        <v>747</v>
      </c>
      <c r="C3776">
        <v>45810</v>
      </c>
      <c r="F3776" t="s">
        <v>749</v>
      </c>
      <c r="H3776">
        <v>99.41</v>
      </c>
      <c r="O3776" t="s">
        <v>239</v>
      </c>
      <c r="P3776" t="s">
        <v>514</v>
      </c>
      <c r="Y3776">
        <v>3742</v>
      </c>
      <c r="Z3776" s="259" t="s">
        <v>630</v>
      </c>
      <c r="AA3776">
        <v>40</v>
      </c>
      <c r="AB3776">
        <v>4004</v>
      </c>
      <c r="AC3776">
        <v>45810</v>
      </c>
      <c r="AD3776">
        <v>0</v>
      </c>
      <c r="AE3776">
        <v>3976.3999999999996</v>
      </c>
      <c r="AF3776">
        <v>3976.3999999999996</v>
      </c>
      <c r="AG3776">
        <v>0</v>
      </c>
      <c r="AH3776">
        <v>-27.600000000000364</v>
      </c>
    </row>
    <row r="3777" spans="2:34" x14ac:dyDescent="0.35">
      <c r="B3777" t="s">
        <v>747</v>
      </c>
      <c r="C3777">
        <v>45810</v>
      </c>
      <c r="F3777" t="s">
        <v>752</v>
      </c>
      <c r="H3777">
        <v>192.62</v>
      </c>
      <c r="O3777" t="s">
        <v>239</v>
      </c>
      <c r="P3777" t="s">
        <v>514</v>
      </c>
      <c r="Y3777">
        <v>3743</v>
      </c>
      <c r="Z3777" s="259" t="s">
        <v>630</v>
      </c>
      <c r="AA3777">
        <v>0</v>
      </c>
      <c r="AB3777">
        <v>0</v>
      </c>
      <c r="AC3777">
        <v>45810</v>
      </c>
      <c r="AD3777">
        <v>0</v>
      </c>
      <c r="AE3777">
        <v>0</v>
      </c>
      <c r="AF3777">
        <v>0</v>
      </c>
      <c r="AG3777">
        <v>0</v>
      </c>
      <c r="AH3777">
        <v>0</v>
      </c>
    </row>
    <row r="3778" spans="2:34" x14ac:dyDescent="0.35">
      <c r="B3778" t="s">
        <v>747</v>
      </c>
      <c r="C3778">
        <v>45810</v>
      </c>
      <c r="F3778" t="s">
        <v>754</v>
      </c>
      <c r="H3778">
        <v>84.86</v>
      </c>
      <c r="O3778" t="s">
        <v>239</v>
      </c>
      <c r="P3778" t="s">
        <v>514</v>
      </c>
      <c r="Y3778">
        <v>3744</v>
      </c>
      <c r="Z3778" s="259" t="s">
        <v>630</v>
      </c>
      <c r="AA3778">
        <v>100</v>
      </c>
      <c r="AB3778">
        <v>8008</v>
      </c>
      <c r="AC3778">
        <v>45810</v>
      </c>
      <c r="AD3778">
        <v>0</v>
      </c>
      <c r="AE3778">
        <v>8486</v>
      </c>
      <c r="AF3778">
        <v>8486</v>
      </c>
      <c r="AG3778">
        <v>0</v>
      </c>
      <c r="AH3778">
        <v>478</v>
      </c>
    </row>
    <row r="3779" spans="2:34" x14ac:dyDescent="0.35">
      <c r="B3779" t="s">
        <v>747</v>
      </c>
      <c r="C3779">
        <v>45811</v>
      </c>
      <c r="F3779" t="s">
        <v>749</v>
      </c>
      <c r="H3779">
        <v>99.83</v>
      </c>
      <c r="O3779" t="s">
        <v>239</v>
      </c>
      <c r="P3779" t="s">
        <v>514</v>
      </c>
      <c r="Y3779">
        <v>3745</v>
      </c>
      <c r="Z3779" s="259" t="s">
        <v>630</v>
      </c>
      <c r="AA3779">
        <v>40</v>
      </c>
      <c r="AB3779">
        <v>4004</v>
      </c>
      <c r="AC3779">
        <v>45811</v>
      </c>
      <c r="AD3779">
        <v>0</v>
      </c>
      <c r="AE3779">
        <v>3993.2</v>
      </c>
      <c r="AF3779">
        <v>3993.2</v>
      </c>
      <c r="AG3779">
        <v>0</v>
      </c>
      <c r="AH3779">
        <v>-10.800000000000182</v>
      </c>
    </row>
    <row r="3780" spans="2:34" x14ac:dyDescent="0.35">
      <c r="B3780" t="s">
        <v>747</v>
      </c>
      <c r="C3780">
        <v>45811</v>
      </c>
      <c r="F3780" t="s">
        <v>752</v>
      </c>
      <c r="H3780">
        <v>192.24</v>
      </c>
      <c r="O3780" t="s">
        <v>239</v>
      </c>
      <c r="P3780" t="s">
        <v>514</v>
      </c>
      <c r="Y3780">
        <v>3746</v>
      </c>
      <c r="Z3780" s="259" t="s">
        <v>630</v>
      </c>
      <c r="AA3780">
        <v>0</v>
      </c>
      <c r="AB3780">
        <v>0</v>
      </c>
      <c r="AC3780">
        <v>45811</v>
      </c>
      <c r="AD3780">
        <v>0</v>
      </c>
      <c r="AE3780">
        <v>0</v>
      </c>
      <c r="AF3780">
        <v>0</v>
      </c>
      <c r="AG3780">
        <v>0</v>
      </c>
      <c r="AH3780">
        <v>0</v>
      </c>
    </row>
    <row r="3781" spans="2:34" x14ac:dyDescent="0.35">
      <c r="B3781" t="s">
        <v>747</v>
      </c>
      <c r="C3781">
        <v>45811</v>
      </c>
      <c r="F3781" t="s">
        <v>754</v>
      </c>
      <c r="H3781">
        <v>84.72</v>
      </c>
      <c r="O3781" t="s">
        <v>239</v>
      </c>
      <c r="P3781" t="s">
        <v>514</v>
      </c>
      <c r="Y3781">
        <v>3747</v>
      </c>
      <c r="Z3781" s="259" t="s">
        <v>630</v>
      </c>
      <c r="AA3781">
        <v>100</v>
      </c>
      <c r="AB3781">
        <v>8008</v>
      </c>
      <c r="AC3781">
        <v>45811</v>
      </c>
      <c r="AD3781">
        <v>0</v>
      </c>
      <c r="AE3781">
        <v>8472</v>
      </c>
      <c r="AF3781">
        <v>8472</v>
      </c>
      <c r="AG3781">
        <v>0</v>
      </c>
      <c r="AH3781">
        <v>464</v>
      </c>
    </row>
    <row r="3782" spans="2:34" x14ac:dyDescent="0.35">
      <c r="B3782" t="s">
        <v>747</v>
      </c>
      <c r="C3782">
        <v>45812</v>
      </c>
      <c r="F3782" t="s">
        <v>749</v>
      </c>
      <c r="H3782">
        <v>100.24</v>
      </c>
      <c r="O3782" t="s">
        <v>239</v>
      </c>
      <c r="P3782" t="s">
        <v>514</v>
      </c>
      <c r="Y3782">
        <v>3748</v>
      </c>
      <c r="Z3782" s="259" t="s">
        <v>630</v>
      </c>
      <c r="AA3782">
        <v>40</v>
      </c>
      <c r="AB3782">
        <v>4004</v>
      </c>
      <c r="AC3782">
        <v>45812</v>
      </c>
      <c r="AD3782">
        <v>0</v>
      </c>
      <c r="AE3782">
        <v>4009.6</v>
      </c>
      <c r="AF3782">
        <v>4009.6</v>
      </c>
      <c r="AG3782">
        <v>0</v>
      </c>
      <c r="AH3782">
        <v>5.5999999999999091</v>
      </c>
    </row>
    <row r="3783" spans="2:34" x14ac:dyDescent="0.35">
      <c r="B3783" t="s">
        <v>747</v>
      </c>
      <c r="C3783">
        <v>45812</v>
      </c>
      <c r="F3783" t="s">
        <v>752</v>
      </c>
      <c r="H3783">
        <v>191.86</v>
      </c>
      <c r="O3783" t="s">
        <v>239</v>
      </c>
      <c r="P3783" t="s">
        <v>514</v>
      </c>
      <c r="Y3783">
        <v>3749</v>
      </c>
      <c r="Z3783" s="259" t="s">
        <v>630</v>
      </c>
      <c r="AA3783">
        <v>0</v>
      </c>
      <c r="AB3783">
        <v>0</v>
      </c>
      <c r="AC3783">
        <v>45812</v>
      </c>
      <c r="AD3783">
        <v>0</v>
      </c>
      <c r="AE3783">
        <v>0</v>
      </c>
      <c r="AF3783">
        <v>0</v>
      </c>
      <c r="AG3783">
        <v>0</v>
      </c>
      <c r="AH3783">
        <v>0</v>
      </c>
    </row>
    <row r="3784" spans="2:34" x14ac:dyDescent="0.35">
      <c r="B3784" t="s">
        <v>747</v>
      </c>
      <c r="C3784">
        <v>45812</v>
      </c>
      <c r="F3784" t="s">
        <v>754</v>
      </c>
      <c r="H3784">
        <v>84.59</v>
      </c>
      <c r="O3784" t="s">
        <v>239</v>
      </c>
      <c r="P3784" t="s">
        <v>514</v>
      </c>
      <c r="Y3784">
        <v>3750</v>
      </c>
      <c r="Z3784" s="259" t="s">
        <v>630</v>
      </c>
      <c r="AA3784">
        <v>100</v>
      </c>
      <c r="AB3784">
        <v>8008</v>
      </c>
      <c r="AC3784">
        <v>45812</v>
      </c>
      <c r="AD3784">
        <v>0</v>
      </c>
      <c r="AE3784">
        <v>8459</v>
      </c>
      <c r="AF3784">
        <v>8459</v>
      </c>
      <c r="AG3784">
        <v>0</v>
      </c>
      <c r="AH3784">
        <v>451</v>
      </c>
    </row>
    <row r="3785" spans="2:34" x14ac:dyDescent="0.35">
      <c r="B3785" t="s">
        <v>747</v>
      </c>
      <c r="C3785">
        <v>45813</v>
      </c>
      <c r="F3785" t="s">
        <v>749</v>
      </c>
      <c r="H3785">
        <v>100.66</v>
      </c>
      <c r="O3785" t="s">
        <v>239</v>
      </c>
      <c r="P3785" t="s">
        <v>514</v>
      </c>
      <c r="Y3785">
        <v>3751</v>
      </c>
      <c r="Z3785" s="259" t="s">
        <v>630</v>
      </c>
      <c r="AA3785">
        <v>40</v>
      </c>
      <c r="AB3785">
        <v>4004</v>
      </c>
      <c r="AC3785">
        <v>45813</v>
      </c>
      <c r="AD3785">
        <v>0</v>
      </c>
      <c r="AE3785">
        <v>4026.3999999999996</v>
      </c>
      <c r="AF3785">
        <v>4026.3999999999996</v>
      </c>
      <c r="AG3785">
        <v>0</v>
      </c>
      <c r="AH3785">
        <v>22.399999999999636</v>
      </c>
    </row>
    <row r="3786" spans="2:34" x14ac:dyDescent="0.35">
      <c r="B3786" t="s">
        <v>747</v>
      </c>
      <c r="C3786">
        <v>45813</v>
      </c>
      <c r="F3786" t="s">
        <v>752</v>
      </c>
      <c r="H3786">
        <v>191.48</v>
      </c>
      <c r="O3786" t="s">
        <v>239</v>
      </c>
      <c r="P3786" t="s">
        <v>514</v>
      </c>
      <c r="Y3786">
        <v>3752</v>
      </c>
      <c r="Z3786" s="259" t="s">
        <v>630</v>
      </c>
      <c r="AA3786">
        <v>0</v>
      </c>
      <c r="AB3786">
        <v>0</v>
      </c>
      <c r="AC3786">
        <v>45813</v>
      </c>
      <c r="AD3786">
        <v>0</v>
      </c>
      <c r="AE3786">
        <v>0</v>
      </c>
      <c r="AF3786">
        <v>0</v>
      </c>
      <c r="AG3786">
        <v>0</v>
      </c>
      <c r="AH3786">
        <v>0</v>
      </c>
    </row>
    <row r="3787" spans="2:34" x14ac:dyDescent="0.35">
      <c r="B3787" t="s">
        <v>747</v>
      </c>
      <c r="C3787">
        <v>45813</v>
      </c>
      <c r="F3787" t="s">
        <v>754</v>
      </c>
      <c r="H3787">
        <v>84.45</v>
      </c>
      <c r="O3787" t="s">
        <v>239</v>
      </c>
      <c r="P3787" t="s">
        <v>514</v>
      </c>
      <c r="Y3787">
        <v>3753</v>
      </c>
      <c r="Z3787" s="259" t="s">
        <v>630</v>
      </c>
      <c r="AA3787">
        <v>100</v>
      </c>
      <c r="AB3787">
        <v>8008</v>
      </c>
      <c r="AC3787">
        <v>45813</v>
      </c>
      <c r="AD3787">
        <v>0</v>
      </c>
      <c r="AE3787">
        <v>8445</v>
      </c>
      <c r="AF3787">
        <v>8445</v>
      </c>
      <c r="AG3787">
        <v>0</v>
      </c>
      <c r="AH3787">
        <v>437</v>
      </c>
    </row>
    <row r="3788" spans="2:34" x14ac:dyDescent="0.35">
      <c r="B3788" t="s">
        <v>747</v>
      </c>
      <c r="C3788">
        <v>45814</v>
      </c>
      <c r="F3788" t="s">
        <v>749</v>
      </c>
      <c r="H3788">
        <v>101.07</v>
      </c>
      <c r="O3788" t="s">
        <v>239</v>
      </c>
      <c r="P3788" t="s">
        <v>514</v>
      </c>
      <c r="Y3788">
        <v>3754</v>
      </c>
      <c r="Z3788" s="259" t="s">
        <v>630</v>
      </c>
      <c r="AA3788">
        <v>40</v>
      </c>
      <c r="AB3788">
        <v>4004</v>
      </c>
      <c r="AC3788">
        <v>45814</v>
      </c>
      <c r="AD3788">
        <v>0</v>
      </c>
      <c r="AE3788">
        <v>4042.7999999999997</v>
      </c>
      <c r="AF3788">
        <v>4042.7999999999997</v>
      </c>
      <c r="AG3788">
        <v>0</v>
      </c>
      <c r="AH3788">
        <v>38.799999999999727</v>
      </c>
    </row>
    <row r="3789" spans="2:34" x14ac:dyDescent="0.35">
      <c r="B3789" t="s">
        <v>747</v>
      </c>
      <c r="C3789">
        <v>45814</v>
      </c>
      <c r="F3789" t="s">
        <v>752</v>
      </c>
      <c r="H3789">
        <v>191.1</v>
      </c>
      <c r="O3789" t="s">
        <v>239</v>
      </c>
      <c r="P3789" t="s">
        <v>514</v>
      </c>
      <c r="Y3789">
        <v>3755</v>
      </c>
      <c r="Z3789" s="259" t="s">
        <v>630</v>
      </c>
      <c r="AA3789">
        <v>0</v>
      </c>
      <c r="AB3789">
        <v>0</v>
      </c>
      <c r="AC3789">
        <v>45814</v>
      </c>
      <c r="AD3789">
        <v>0</v>
      </c>
      <c r="AE3789">
        <v>0</v>
      </c>
      <c r="AF3789">
        <v>0</v>
      </c>
      <c r="AG3789">
        <v>0</v>
      </c>
      <c r="AH3789">
        <v>0</v>
      </c>
    </row>
    <row r="3790" spans="2:34" x14ac:dyDescent="0.35">
      <c r="B3790" t="s">
        <v>747</v>
      </c>
      <c r="C3790">
        <v>45814</v>
      </c>
      <c r="F3790" t="s">
        <v>754</v>
      </c>
      <c r="H3790">
        <v>84.31</v>
      </c>
      <c r="O3790" t="s">
        <v>239</v>
      </c>
      <c r="P3790" t="s">
        <v>514</v>
      </c>
      <c r="Y3790">
        <v>3756</v>
      </c>
      <c r="Z3790" s="259" t="s">
        <v>630</v>
      </c>
      <c r="AA3790">
        <v>100</v>
      </c>
      <c r="AB3790">
        <v>8008</v>
      </c>
      <c r="AC3790">
        <v>45814</v>
      </c>
      <c r="AD3790">
        <v>0</v>
      </c>
      <c r="AE3790">
        <v>8431</v>
      </c>
      <c r="AF3790">
        <v>8431</v>
      </c>
      <c r="AG3790">
        <v>0</v>
      </c>
      <c r="AH3790">
        <v>423</v>
      </c>
    </row>
    <row r="3791" spans="2:34" x14ac:dyDescent="0.35">
      <c r="B3791" t="s">
        <v>747</v>
      </c>
      <c r="C3791">
        <v>45815</v>
      </c>
      <c r="F3791" t="s">
        <v>749</v>
      </c>
      <c r="H3791">
        <v>101.07</v>
      </c>
      <c r="O3791" t="s">
        <v>239</v>
      </c>
      <c r="P3791" t="s">
        <v>514</v>
      </c>
      <c r="Y3791">
        <v>3757</v>
      </c>
      <c r="Z3791" s="259" t="s">
        <v>630</v>
      </c>
      <c r="AA3791">
        <v>40</v>
      </c>
      <c r="AB3791">
        <v>4004</v>
      </c>
      <c r="AC3791">
        <v>45814</v>
      </c>
      <c r="AD3791">
        <v>1</v>
      </c>
      <c r="AE3791">
        <v>4042.7999999999997</v>
      </c>
      <c r="AF3791">
        <v>4042.7999999999997</v>
      </c>
      <c r="AG3791">
        <v>0</v>
      </c>
      <c r="AH3791">
        <v>38.799999999999727</v>
      </c>
    </row>
    <row r="3792" spans="2:34" x14ac:dyDescent="0.35">
      <c r="B3792" t="s">
        <v>747</v>
      </c>
      <c r="C3792">
        <v>45815</v>
      </c>
      <c r="F3792" t="s">
        <v>752</v>
      </c>
      <c r="H3792">
        <v>191.1</v>
      </c>
      <c r="O3792" t="s">
        <v>239</v>
      </c>
      <c r="P3792" t="s">
        <v>514</v>
      </c>
      <c r="Y3792">
        <v>3758</v>
      </c>
      <c r="Z3792" s="259" t="s">
        <v>630</v>
      </c>
      <c r="AA3792">
        <v>0</v>
      </c>
      <c r="AB3792">
        <v>0</v>
      </c>
      <c r="AC3792">
        <v>45814</v>
      </c>
      <c r="AD3792">
        <v>1</v>
      </c>
      <c r="AE3792">
        <v>0</v>
      </c>
      <c r="AF3792">
        <v>0</v>
      </c>
      <c r="AG3792">
        <v>0</v>
      </c>
      <c r="AH3792">
        <v>0</v>
      </c>
    </row>
    <row r="3793" spans="2:34" x14ac:dyDescent="0.35">
      <c r="B3793" t="s">
        <v>747</v>
      </c>
      <c r="C3793">
        <v>45815</v>
      </c>
      <c r="F3793" t="s">
        <v>754</v>
      </c>
      <c r="H3793">
        <v>84.31</v>
      </c>
      <c r="O3793" t="s">
        <v>239</v>
      </c>
      <c r="P3793" t="s">
        <v>514</v>
      </c>
      <c r="Y3793">
        <v>3759</v>
      </c>
      <c r="Z3793" s="259" t="s">
        <v>630</v>
      </c>
      <c r="AA3793">
        <v>100</v>
      </c>
      <c r="AB3793">
        <v>8008</v>
      </c>
      <c r="AC3793">
        <v>45814</v>
      </c>
      <c r="AD3793">
        <v>1</v>
      </c>
      <c r="AE3793">
        <v>8431</v>
      </c>
      <c r="AF3793">
        <v>8431</v>
      </c>
      <c r="AG3793">
        <v>0</v>
      </c>
      <c r="AH3793">
        <v>423</v>
      </c>
    </row>
    <row r="3794" spans="2:34" x14ac:dyDescent="0.35">
      <c r="B3794" t="s">
        <v>747</v>
      </c>
      <c r="C3794">
        <v>45816</v>
      </c>
      <c r="F3794" t="s">
        <v>749</v>
      </c>
      <c r="H3794">
        <v>101.07</v>
      </c>
      <c r="O3794" t="s">
        <v>239</v>
      </c>
      <c r="P3794" t="s">
        <v>514</v>
      </c>
      <c r="Y3794">
        <v>3760</v>
      </c>
      <c r="Z3794" s="259" t="s">
        <v>630</v>
      </c>
      <c r="AA3794">
        <v>40</v>
      </c>
      <c r="AB3794">
        <v>4004</v>
      </c>
      <c r="AC3794">
        <v>45814</v>
      </c>
      <c r="AD3794">
        <v>2</v>
      </c>
      <c r="AE3794">
        <v>4042.7999999999997</v>
      </c>
      <c r="AF3794">
        <v>4042.7999999999997</v>
      </c>
      <c r="AG3794">
        <v>0</v>
      </c>
      <c r="AH3794">
        <v>38.799999999999727</v>
      </c>
    </row>
    <row r="3795" spans="2:34" x14ac:dyDescent="0.35">
      <c r="B3795" t="s">
        <v>747</v>
      </c>
      <c r="C3795">
        <v>45816</v>
      </c>
      <c r="F3795" t="s">
        <v>752</v>
      </c>
      <c r="H3795">
        <v>191.1</v>
      </c>
      <c r="O3795" t="s">
        <v>239</v>
      </c>
      <c r="P3795" t="s">
        <v>514</v>
      </c>
      <c r="Y3795">
        <v>3761</v>
      </c>
      <c r="Z3795" s="259" t="s">
        <v>630</v>
      </c>
      <c r="AA3795">
        <v>0</v>
      </c>
      <c r="AB3795">
        <v>0</v>
      </c>
      <c r="AC3795">
        <v>45814</v>
      </c>
      <c r="AD3795">
        <v>2</v>
      </c>
      <c r="AE3795">
        <v>0</v>
      </c>
      <c r="AF3795">
        <v>0</v>
      </c>
      <c r="AG3795">
        <v>0</v>
      </c>
      <c r="AH3795">
        <v>0</v>
      </c>
    </row>
    <row r="3796" spans="2:34" x14ac:dyDescent="0.35">
      <c r="B3796" t="s">
        <v>747</v>
      </c>
      <c r="C3796">
        <v>45816</v>
      </c>
      <c r="F3796" t="s">
        <v>754</v>
      </c>
      <c r="H3796">
        <v>84.31</v>
      </c>
      <c r="O3796" t="s">
        <v>239</v>
      </c>
      <c r="P3796" t="s">
        <v>514</v>
      </c>
      <c r="Y3796">
        <v>3762</v>
      </c>
      <c r="Z3796" s="259" t="s">
        <v>630</v>
      </c>
      <c r="AA3796">
        <v>100</v>
      </c>
      <c r="AB3796">
        <v>8008</v>
      </c>
      <c r="AC3796">
        <v>45814</v>
      </c>
      <c r="AD3796">
        <v>2</v>
      </c>
      <c r="AE3796">
        <v>8431</v>
      </c>
      <c r="AF3796">
        <v>8431</v>
      </c>
      <c r="AG3796">
        <v>0</v>
      </c>
      <c r="AH3796">
        <v>423</v>
      </c>
    </row>
    <row r="3797" spans="2:34" x14ac:dyDescent="0.35">
      <c r="B3797" t="s">
        <v>747</v>
      </c>
      <c r="C3797">
        <v>45817</v>
      </c>
      <c r="F3797" t="s">
        <v>749</v>
      </c>
      <c r="H3797">
        <v>102.31</v>
      </c>
      <c r="O3797" t="s">
        <v>239</v>
      </c>
      <c r="P3797" t="s">
        <v>514</v>
      </c>
      <c r="Y3797">
        <v>3763</v>
      </c>
      <c r="Z3797" s="259" t="s">
        <v>630</v>
      </c>
      <c r="AA3797">
        <v>40</v>
      </c>
      <c r="AB3797">
        <v>4004</v>
      </c>
      <c r="AC3797">
        <v>45817</v>
      </c>
      <c r="AD3797">
        <v>0</v>
      </c>
      <c r="AE3797">
        <v>4092.4</v>
      </c>
      <c r="AF3797">
        <v>4092.4</v>
      </c>
      <c r="AG3797">
        <v>0</v>
      </c>
      <c r="AH3797">
        <v>88.400000000000091</v>
      </c>
    </row>
    <row r="3798" spans="2:34" x14ac:dyDescent="0.35">
      <c r="B3798" t="s">
        <v>747</v>
      </c>
      <c r="C3798">
        <v>45817</v>
      </c>
      <c r="F3798" t="s">
        <v>752</v>
      </c>
      <c r="H3798">
        <v>189.97</v>
      </c>
      <c r="O3798" t="s">
        <v>239</v>
      </c>
      <c r="P3798" t="s">
        <v>514</v>
      </c>
      <c r="Y3798">
        <v>3764</v>
      </c>
      <c r="Z3798" s="259" t="s">
        <v>630</v>
      </c>
      <c r="AA3798">
        <v>0</v>
      </c>
      <c r="AB3798">
        <v>0</v>
      </c>
      <c r="AC3798">
        <v>45817</v>
      </c>
      <c r="AD3798">
        <v>0</v>
      </c>
      <c r="AE3798">
        <v>0</v>
      </c>
      <c r="AF3798">
        <v>0</v>
      </c>
      <c r="AG3798">
        <v>0</v>
      </c>
      <c r="AH3798">
        <v>0</v>
      </c>
    </row>
    <row r="3799" spans="2:34" x14ac:dyDescent="0.35">
      <c r="B3799" t="s">
        <v>747</v>
      </c>
      <c r="C3799">
        <v>45817</v>
      </c>
      <c r="F3799" t="s">
        <v>754</v>
      </c>
      <c r="H3799">
        <v>83.9</v>
      </c>
      <c r="O3799" t="s">
        <v>239</v>
      </c>
      <c r="P3799" t="s">
        <v>514</v>
      </c>
      <c r="Y3799">
        <v>3765</v>
      </c>
      <c r="Z3799" s="259" t="s">
        <v>630</v>
      </c>
      <c r="AA3799">
        <v>100</v>
      </c>
      <c r="AB3799">
        <v>8008</v>
      </c>
      <c r="AC3799">
        <v>45817</v>
      </c>
      <c r="AD3799">
        <v>0</v>
      </c>
      <c r="AE3799">
        <v>8390</v>
      </c>
      <c r="AF3799">
        <v>8390</v>
      </c>
      <c r="AG3799">
        <v>0</v>
      </c>
      <c r="AH3799">
        <v>382</v>
      </c>
    </row>
    <row r="3800" spans="2:34" x14ac:dyDescent="0.35">
      <c r="B3800" t="s">
        <v>747</v>
      </c>
      <c r="C3800">
        <v>45818</v>
      </c>
      <c r="F3800" t="s">
        <v>749</v>
      </c>
      <c r="H3800">
        <v>102.72</v>
      </c>
      <c r="O3800" t="s">
        <v>239</v>
      </c>
      <c r="P3800" t="s">
        <v>514</v>
      </c>
      <c r="Y3800">
        <v>3766</v>
      </c>
      <c r="Z3800" s="259" t="s">
        <v>630</v>
      </c>
      <c r="AA3800">
        <v>40</v>
      </c>
      <c r="AB3800">
        <v>4004</v>
      </c>
      <c r="AC3800">
        <v>45818</v>
      </c>
      <c r="AD3800">
        <v>0</v>
      </c>
      <c r="AE3800">
        <v>4108.8</v>
      </c>
      <c r="AF3800">
        <v>4108.8</v>
      </c>
      <c r="AG3800">
        <v>0</v>
      </c>
      <c r="AH3800">
        <v>104.80000000000018</v>
      </c>
    </row>
    <row r="3801" spans="2:34" x14ac:dyDescent="0.35">
      <c r="B3801" t="s">
        <v>747</v>
      </c>
      <c r="C3801">
        <v>45818</v>
      </c>
      <c r="F3801" t="s">
        <v>752</v>
      </c>
      <c r="H3801">
        <v>189.59</v>
      </c>
      <c r="O3801" t="s">
        <v>239</v>
      </c>
      <c r="P3801" t="s">
        <v>514</v>
      </c>
      <c r="Y3801">
        <v>3767</v>
      </c>
      <c r="Z3801" s="259" t="s">
        <v>630</v>
      </c>
      <c r="AA3801">
        <v>0</v>
      </c>
      <c r="AB3801">
        <v>0</v>
      </c>
      <c r="AC3801">
        <v>45818</v>
      </c>
      <c r="AD3801">
        <v>0</v>
      </c>
      <c r="AE3801">
        <v>0</v>
      </c>
      <c r="AF3801">
        <v>0</v>
      </c>
      <c r="AG3801">
        <v>0</v>
      </c>
      <c r="AH3801">
        <v>0</v>
      </c>
    </row>
    <row r="3802" spans="2:34" x14ac:dyDescent="0.35">
      <c r="B3802" t="s">
        <v>747</v>
      </c>
      <c r="C3802">
        <v>45818</v>
      </c>
      <c r="F3802" t="s">
        <v>754</v>
      </c>
      <c r="H3802">
        <v>83.76</v>
      </c>
      <c r="O3802" t="s">
        <v>239</v>
      </c>
      <c r="P3802" t="s">
        <v>514</v>
      </c>
      <c r="Y3802">
        <v>3768</v>
      </c>
      <c r="Z3802" s="259" t="s">
        <v>630</v>
      </c>
      <c r="AA3802">
        <v>100</v>
      </c>
      <c r="AB3802">
        <v>8008</v>
      </c>
      <c r="AC3802">
        <v>45818</v>
      </c>
      <c r="AD3802">
        <v>0</v>
      </c>
      <c r="AE3802">
        <v>8376</v>
      </c>
      <c r="AF3802">
        <v>8376</v>
      </c>
      <c r="AG3802">
        <v>0</v>
      </c>
      <c r="AH3802">
        <v>368</v>
      </c>
    </row>
    <row r="3803" spans="2:34" x14ac:dyDescent="0.35">
      <c r="B3803" t="s">
        <v>747</v>
      </c>
      <c r="C3803">
        <v>45819</v>
      </c>
      <c r="F3803" t="s">
        <v>749</v>
      </c>
      <c r="H3803">
        <v>103.14</v>
      </c>
      <c r="O3803" t="s">
        <v>239</v>
      </c>
      <c r="P3803" t="s">
        <v>514</v>
      </c>
      <c r="Y3803">
        <v>3769</v>
      </c>
      <c r="Z3803" s="259" t="s">
        <v>630</v>
      </c>
      <c r="AA3803">
        <v>40</v>
      </c>
      <c r="AB3803">
        <v>4004</v>
      </c>
      <c r="AC3803">
        <v>45819</v>
      </c>
      <c r="AD3803">
        <v>0</v>
      </c>
      <c r="AE3803">
        <v>4125.6000000000004</v>
      </c>
      <c r="AF3803">
        <v>4125.6000000000004</v>
      </c>
      <c r="AG3803">
        <v>0</v>
      </c>
      <c r="AH3803">
        <v>121.60000000000036</v>
      </c>
    </row>
    <row r="3804" spans="2:34" x14ac:dyDescent="0.35">
      <c r="B3804" t="s">
        <v>747</v>
      </c>
      <c r="C3804">
        <v>45819</v>
      </c>
      <c r="F3804" t="s">
        <v>752</v>
      </c>
      <c r="H3804">
        <v>189.21</v>
      </c>
      <c r="O3804" t="s">
        <v>239</v>
      </c>
      <c r="P3804" t="s">
        <v>514</v>
      </c>
      <c r="Y3804">
        <v>3770</v>
      </c>
      <c r="Z3804" s="259" t="s">
        <v>630</v>
      </c>
      <c r="AA3804">
        <v>0</v>
      </c>
      <c r="AB3804">
        <v>0</v>
      </c>
      <c r="AC3804">
        <v>45819</v>
      </c>
      <c r="AD3804">
        <v>0</v>
      </c>
      <c r="AE3804">
        <v>0</v>
      </c>
      <c r="AF3804">
        <v>0</v>
      </c>
      <c r="AG3804">
        <v>0</v>
      </c>
      <c r="AH3804">
        <v>0</v>
      </c>
    </row>
    <row r="3805" spans="2:34" x14ac:dyDescent="0.35">
      <c r="B3805" t="s">
        <v>747</v>
      </c>
      <c r="C3805">
        <v>45819</v>
      </c>
      <c r="F3805" t="s">
        <v>754</v>
      </c>
      <c r="H3805">
        <v>83.62</v>
      </c>
      <c r="O3805" t="s">
        <v>239</v>
      </c>
      <c r="P3805" t="s">
        <v>514</v>
      </c>
      <c r="Y3805">
        <v>3771</v>
      </c>
      <c r="Z3805" s="259" t="s">
        <v>630</v>
      </c>
      <c r="AA3805">
        <v>100</v>
      </c>
      <c r="AB3805">
        <v>8008</v>
      </c>
      <c r="AC3805">
        <v>45819</v>
      </c>
      <c r="AD3805">
        <v>0</v>
      </c>
      <c r="AE3805">
        <v>8362</v>
      </c>
      <c r="AF3805">
        <v>8362</v>
      </c>
      <c r="AG3805">
        <v>0</v>
      </c>
      <c r="AH3805">
        <v>354</v>
      </c>
    </row>
    <row r="3806" spans="2:34" x14ac:dyDescent="0.35">
      <c r="B3806" t="s">
        <v>747</v>
      </c>
      <c r="C3806">
        <v>45820</v>
      </c>
      <c r="F3806" t="s">
        <v>749</v>
      </c>
      <c r="H3806">
        <v>103.55</v>
      </c>
      <c r="O3806" t="s">
        <v>239</v>
      </c>
      <c r="P3806" t="s">
        <v>514</v>
      </c>
      <c r="Y3806">
        <v>3772</v>
      </c>
      <c r="Z3806" s="259" t="s">
        <v>630</v>
      </c>
      <c r="AA3806">
        <v>40</v>
      </c>
      <c r="AB3806">
        <v>4004</v>
      </c>
      <c r="AC3806">
        <v>45820</v>
      </c>
      <c r="AD3806">
        <v>0</v>
      </c>
      <c r="AE3806">
        <v>4142</v>
      </c>
      <c r="AF3806">
        <v>4142</v>
      </c>
      <c r="AG3806">
        <v>0</v>
      </c>
      <c r="AH3806">
        <v>138</v>
      </c>
    </row>
    <row r="3807" spans="2:34" x14ac:dyDescent="0.35">
      <c r="B3807" t="s">
        <v>747</v>
      </c>
      <c r="C3807">
        <v>45820</v>
      </c>
      <c r="F3807" t="s">
        <v>752</v>
      </c>
      <c r="H3807">
        <v>188.83</v>
      </c>
      <c r="O3807" t="s">
        <v>239</v>
      </c>
      <c r="P3807" t="s">
        <v>514</v>
      </c>
      <c r="Y3807">
        <v>3773</v>
      </c>
      <c r="Z3807" s="259" t="s">
        <v>630</v>
      </c>
      <c r="AA3807">
        <v>0</v>
      </c>
      <c r="AB3807">
        <v>0</v>
      </c>
      <c r="AC3807">
        <v>45820</v>
      </c>
      <c r="AD3807">
        <v>0</v>
      </c>
      <c r="AE3807">
        <v>0</v>
      </c>
      <c r="AF3807">
        <v>0</v>
      </c>
      <c r="AG3807">
        <v>0</v>
      </c>
      <c r="AH3807">
        <v>0</v>
      </c>
    </row>
    <row r="3808" spans="2:34" x14ac:dyDescent="0.35">
      <c r="B3808" t="s">
        <v>747</v>
      </c>
      <c r="C3808">
        <v>45820</v>
      </c>
      <c r="F3808" t="s">
        <v>754</v>
      </c>
      <c r="H3808">
        <v>83.48</v>
      </c>
      <c r="O3808" t="s">
        <v>239</v>
      </c>
      <c r="P3808" t="s">
        <v>514</v>
      </c>
      <c r="Y3808">
        <v>3774</v>
      </c>
      <c r="Z3808" s="259" t="s">
        <v>630</v>
      </c>
      <c r="AA3808">
        <v>100</v>
      </c>
      <c r="AB3808">
        <v>8008</v>
      </c>
      <c r="AC3808">
        <v>45820</v>
      </c>
      <c r="AD3808">
        <v>0</v>
      </c>
      <c r="AE3808">
        <v>8348</v>
      </c>
      <c r="AF3808">
        <v>8348</v>
      </c>
      <c r="AG3808">
        <v>0</v>
      </c>
      <c r="AH3808">
        <v>340</v>
      </c>
    </row>
    <row r="3809" spans="2:34" x14ac:dyDescent="0.35">
      <c r="B3809" t="s">
        <v>747</v>
      </c>
      <c r="C3809">
        <v>45821</v>
      </c>
      <c r="F3809" t="s">
        <v>749</v>
      </c>
      <c r="H3809">
        <v>103.97</v>
      </c>
      <c r="O3809" t="s">
        <v>239</v>
      </c>
      <c r="P3809" t="s">
        <v>514</v>
      </c>
      <c r="Y3809">
        <v>3775</v>
      </c>
      <c r="Z3809" s="259" t="s">
        <v>630</v>
      </c>
      <c r="AA3809">
        <v>40</v>
      </c>
      <c r="AB3809">
        <v>4004</v>
      </c>
      <c r="AC3809">
        <v>45821</v>
      </c>
      <c r="AD3809">
        <v>0</v>
      </c>
      <c r="AE3809">
        <v>4158.8</v>
      </c>
      <c r="AF3809">
        <v>4158.8</v>
      </c>
      <c r="AG3809">
        <v>0</v>
      </c>
      <c r="AH3809">
        <v>154.80000000000018</v>
      </c>
    </row>
    <row r="3810" spans="2:34" x14ac:dyDescent="0.35">
      <c r="B3810" t="s">
        <v>747</v>
      </c>
      <c r="C3810">
        <v>45821</v>
      </c>
      <c r="F3810" t="s">
        <v>752</v>
      </c>
      <c r="H3810">
        <v>188.45</v>
      </c>
      <c r="O3810" t="s">
        <v>239</v>
      </c>
      <c r="P3810" t="s">
        <v>514</v>
      </c>
      <c r="Y3810">
        <v>3776</v>
      </c>
      <c r="Z3810" s="259" t="s">
        <v>630</v>
      </c>
      <c r="AA3810">
        <v>0</v>
      </c>
      <c r="AB3810">
        <v>0</v>
      </c>
      <c r="AC3810">
        <v>45821</v>
      </c>
      <c r="AD3810">
        <v>0</v>
      </c>
      <c r="AE3810">
        <v>0</v>
      </c>
      <c r="AF3810">
        <v>0</v>
      </c>
      <c r="AG3810">
        <v>0</v>
      </c>
      <c r="AH3810">
        <v>0</v>
      </c>
    </row>
    <row r="3811" spans="2:34" x14ac:dyDescent="0.35">
      <c r="B3811" t="s">
        <v>747</v>
      </c>
      <c r="C3811">
        <v>45821</v>
      </c>
      <c r="F3811" t="s">
        <v>754</v>
      </c>
      <c r="H3811">
        <v>83.34</v>
      </c>
      <c r="O3811" t="s">
        <v>239</v>
      </c>
      <c r="P3811" t="s">
        <v>514</v>
      </c>
      <c r="Y3811">
        <v>3777</v>
      </c>
      <c r="Z3811" s="259" t="s">
        <v>630</v>
      </c>
      <c r="AA3811">
        <v>100</v>
      </c>
      <c r="AB3811">
        <v>8008</v>
      </c>
      <c r="AC3811">
        <v>45821</v>
      </c>
      <c r="AD3811">
        <v>0</v>
      </c>
      <c r="AE3811">
        <v>8334</v>
      </c>
      <c r="AF3811">
        <v>8334</v>
      </c>
      <c r="AG3811">
        <v>0</v>
      </c>
      <c r="AH3811">
        <v>326</v>
      </c>
    </row>
    <row r="3812" spans="2:34" x14ac:dyDescent="0.35">
      <c r="B3812" t="s">
        <v>747</v>
      </c>
      <c r="C3812">
        <v>45822</v>
      </c>
      <c r="F3812" t="s">
        <v>749</v>
      </c>
      <c r="H3812">
        <v>103.97</v>
      </c>
      <c r="O3812" t="s">
        <v>239</v>
      </c>
      <c r="P3812" t="s">
        <v>514</v>
      </c>
      <c r="Y3812">
        <v>3778</v>
      </c>
      <c r="Z3812" s="259" t="s">
        <v>630</v>
      </c>
      <c r="AA3812">
        <v>40</v>
      </c>
      <c r="AB3812">
        <v>4004</v>
      </c>
      <c r="AC3812">
        <v>45821</v>
      </c>
      <c r="AD3812">
        <v>1</v>
      </c>
      <c r="AE3812">
        <v>4158.8</v>
      </c>
      <c r="AF3812">
        <v>4158.8</v>
      </c>
      <c r="AG3812">
        <v>0</v>
      </c>
      <c r="AH3812">
        <v>154.80000000000018</v>
      </c>
    </row>
    <row r="3813" spans="2:34" x14ac:dyDescent="0.35">
      <c r="B3813" t="s">
        <v>747</v>
      </c>
      <c r="C3813">
        <v>45822</v>
      </c>
      <c r="F3813" t="s">
        <v>752</v>
      </c>
      <c r="H3813">
        <v>188.45</v>
      </c>
      <c r="O3813" t="s">
        <v>239</v>
      </c>
      <c r="P3813" t="s">
        <v>514</v>
      </c>
      <c r="Y3813">
        <v>3779</v>
      </c>
      <c r="Z3813" s="259" t="s">
        <v>630</v>
      </c>
      <c r="AA3813">
        <v>0</v>
      </c>
      <c r="AB3813">
        <v>0</v>
      </c>
      <c r="AC3813">
        <v>45821</v>
      </c>
      <c r="AD3813">
        <v>1</v>
      </c>
      <c r="AE3813">
        <v>0</v>
      </c>
      <c r="AF3813">
        <v>0</v>
      </c>
      <c r="AG3813">
        <v>0</v>
      </c>
      <c r="AH3813">
        <v>0</v>
      </c>
    </row>
    <row r="3814" spans="2:34" x14ac:dyDescent="0.35">
      <c r="B3814" t="s">
        <v>747</v>
      </c>
      <c r="C3814">
        <v>45822</v>
      </c>
      <c r="F3814" t="s">
        <v>754</v>
      </c>
      <c r="H3814">
        <v>83.34</v>
      </c>
      <c r="O3814" t="s">
        <v>239</v>
      </c>
      <c r="P3814" t="s">
        <v>514</v>
      </c>
      <c r="Y3814">
        <v>3780</v>
      </c>
      <c r="Z3814" s="259" t="s">
        <v>630</v>
      </c>
      <c r="AA3814">
        <v>100</v>
      </c>
      <c r="AB3814">
        <v>8008</v>
      </c>
      <c r="AC3814">
        <v>45821</v>
      </c>
      <c r="AD3814">
        <v>1</v>
      </c>
      <c r="AE3814">
        <v>8334</v>
      </c>
      <c r="AF3814">
        <v>8334</v>
      </c>
      <c r="AG3814">
        <v>0</v>
      </c>
      <c r="AH3814">
        <v>326</v>
      </c>
    </row>
    <row r="3815" spans="2:34" x14ac:dyDescent="0.35">
      <c r="B3815" t="s">
        <v>747</v>
      </c>
      <c r="C3815">
        <v>45823</v>
      </c>
      <c r="F3815" t="s">
        <v>749</v>
      </c>
      <c r="H3815">
        <v>103.97</v>
      </c>
      <c r="O3815" t="s">
        <v>239</v>
      </c>
      <c r="P3815" t="s">
        <v>514</v>
      </c>
      <c r="Y3815">
        <v>3781</v>
      </c>
      <c r="Z3815" s="259" t="s">
        <v>630</v>
      </c>
      <c r="AA3815">
        <v>40</v>
      </c>
      <c r="AB3815">
        <v>4004</v>
      </c>
      <c r="AC3815">
        <v>45821</v>
      </c>
      <c r="AD3815">
        <v>2</v>
      </c>
      <c r="AE3815">
        <v>4158.8</v>
      </c>
      <c r="AF3815">
        <v>4158.8</v>
      </c>
      <c r="AG3815">
        <v>0</v>
      </c>
      <c r="AH3815">
        <v>154.80000000000018</v>
      </c>
    </row>
    <row r="3816" spans="2:34" x14ac:dyDescent="0.35">
      <c r="B3816" t="s">
        <v>747</v>
      </c>
      <c r="C3816">
        <v>45823</v>
      </c>
      <c r="F3816" t="s">
        <v>752</v>
      </c>
      <c r="H3816">
        <v>188.45</v>
      </c>
      <c r="O3816" t="s">
        <v>239</v>
      </c>
      <c r="P3816" t="s">
        <v>514</v>
      </c>
      <c r="Y3816">
        <v>3782</v>
      </c>
      <c r="Z3816" s="259" t="s">
        <v>630</v>
      </c>
      <c r="AA3816">
        <v>0</v>
      </c>
      <c r="AB3816">
        <v>0</v>
      </c>
      <c r="AC3816">
        <v>45821</v>
      </c>
      <c r="AD3816">
        <v>2</v>
      </c>
      <c r="AE3816">
        <v>0</v>
      </c>
      <c r="AF3816">
        <v>0</v>
      </c>
      <c r="AG3816">
        <v>0</v>
      </c>
      <c r="AH3816">
        <v>0</v>
      </c>
    </row>
    <row r="3817" spans="2:34" x14ac:dyDescent="0.35">
      <c r="B3817" t="s">
        <v>747</v>
      </c>
      <c r="C3817">
        <v>45823</v>
      </c>
      <c r="F3817" t="s">
        <v>754</v>
      </c>
      <c r="H3817">
        <v>83.34</v>
      </c>
      <c r="O3817" t="s">
        <v>239</v>
      </c>
      <c r="P3817" t="s">
        <v>514</v>
      </c>
      <c r="Y3817">
        <v>3783</v>
      </c>
      <c r="Z3817" s="259" t="s">
        <v>630</v>
      </c>
      <c r="AA3817">
        <v>100</v>
      </c>
      <c r="AB3817">
        <v>8008</v>
      </c>
      <c r="AC3817">
        <v>45821</v>
      </c>
      <c r="AD3817">
        <v>2</v>
      </c>
      <c r="AE3817">
        <v>8334</v>
      </c>
      <c r="AF3817">
        <v>8334</v>
      </c>
      <c r="AG3817">
        <v>0</v>
      </c>
      <c r="AH3817">
        <v>326</v>
      </c>
    </row>
    <row r="3818" spans="2:34" x14ac:dyDescent="0.35">
      <c r="B3818" t="s">
        <v>747</v>
      </c>
      <c r="C3818">
        <v>45824</v>
      </c>
      <c r="F3818" t="s">
        <v>749</v>
      </c>
      <c r="H3818">
        <v>52.6</v>
      </c>
      <c r="O3818" t="s">
        <v>239</v>
      </c>
      <c r="P3818" t="s">
        <v>514</v>
      </c>
      <c r="Y3818">
        <v>3784</v>
      </c>
      <c r="Z3818" s="259" t="s">
        <v>630</v>
      </c>
      <c r="AA3818">
        <v>80</v>
      </c>
      <c r="AB3818">
        <v>4004</v>
      </c>
      <c r="AC3818">
        <v>45824</v>
      </c>
      <c r="AD3818">
        <v>0</v>
      </c>
      <c r="AE3818">
        <v>4208</v>
      </c>
      <c r="AF3818">
        <v>4208</v>
      </c>
      <c r="AG3818">
        <v>0</v>
      </c>
      <c r="AH3818">
        <v>204</v>
      </c>
    </row>
    <row r="3819" spans="2:34" x14ac:dyDescent="0.35">
      <c r="B3819" t="s">
        <v>747</v>
      </c>
      <c r="C3819">
        <v>45824</v>
      </c>
      <c r="F3819" t="s">
        <v>752</v>
      </c>
      <c r="H3819">
        <v>187.31</v>
      </c>
      <c r="O3819" t="s">
        <v>239</v>
      </c>
      <c r="P3819" t="s">
        <v>514</v>
      </c>
      <c r="Y3819">
        <v>3785</v>
      </c>
      <c r="Z3819" s="259" t="s">
        <v>630</v>
      </c>
      <c r="AA3819">
        <v>0</v>
      </c>
      <c r="AB3819">
        <v>0</v>
      </c>
      <c r="AC3819">
        <v>45824</v>
      </c>
      <c r="AD3819">
        <v>0</v>
      </c>
      <c r="AE3819">
        <v>0</v>
      </c>
      <c r="AF3819">
        <v>0</v>
      </c>
      <c r="AG3819">
        <v>0</v>
      </c>
      <c r="AH3819">
        <v>0</v>
      </c>
    </row>
    <row r="3820" spans="2:34" x14ac:dyDescent="0.35">
      <c r="B3820" t="s">
        <v>747</v>
      </c>
      <c r="C3820">
        <v>45824</v>
      </c>
      <c r="F3820" t="s">
        <v>754</v>
      </c>
      <c r="H3820">
        <v>82.93</v>
      </c>
      <c r="O3820" t="s">
        <v>239</v>
      </c>
      <c r="P3820" t="s">
        <v>514</v>
      </c>
      <c r="Y3820">
        <v>3786</v>
      </c>
      <c r="Z3820" s="259" t="s">
        <v>630</v>
      </c>
      <c r="AA3820">
        <v>100</v>
      </c>
      <c r="AB3820">
        <v>8008</v>
      </c>
      <c r="AC3820">
        <v>45824</v>
      </c>
      <c r="AD3820">
        <v>0</v>
      </c>
      <c r="AE3820">
        <v>8293</v>
      </c>
      <c r="AF3820">
        <v>8293</v>
      </c>
      <c r="AG3820">
        <v>0</v>
      </c>
      <c r="AH3820">
        <v>285</v>
      </c>
    </row>
    <row r="3821" spans="2:34" x14ac:dyDescent="0.35">
      <c r="B3821" t="s">
        <v>747</v>
      </c>
      <c r="C3821">
        <v>45825</v>
      </c>
      <c r="F3821" t="s">
        <v>749</v>
      </c>
      <c r="H3821">
        <v>52.81</v>
      </c>
      <c r="O3821" t="s">
        <v>239</v>
      </c>
      <c r="P3821" t="s">
        <v>514</v>
      </c>
      <c r="Y3821">
        <v>3787</v>
      </c>
      <c r="Z3821" s="259" t="s">
        <v>630</v>
      </c>
      <c r="AA3821">
        <v>80</v>
      </c>
      <c r="AB3821">
        <v>4004</v>
      </c>
      <c r="AC3821">
        <v>45825</v>
      </c>
      <c r="AD3821">
        <v>0</v>
      </c>
      <c r="AE3821">
        <v>4224.8</v>
      </c>
      <c r="AF3821">
        <v>4224.8</v>
      </c>
      <c r="AG3821">
        <v>0</v>
      </c>
      <c r="AH3821">
        <v>220.80000000000018</v>
      </c>
    </row>
    <row r="3822" spans="2:34" x14ac:dyDescent="0.35">
      <c r="B3822" t="s">
        <v>747</v>
      </c>
      <c r="C3822">
        <v>45825</v>
      </c>
      <c r="F3822" t="s">
        <v>752</v>
      </c>
      <c r="H3822">
        <v>186.93</v>
      </c>
      <c r="O3822" t="s">
        <v>239</v>
      </c>
      <c r="P3822" t="s">
        <v>514</v>
      </c>
      <c r="Y3822">
        <v>3788</v>
      </c>
      <c r="Z3822" s="259" t="s">
        <v>630</v>
      </c>
      <c r="AA3822">
        <v>0</v>
      </c>
      <c r="AB3822">
        <v>0</v>
      </c>
      <c r="AC3822">
        <v>45825</v>
      </c>
      <c r="AD3822">
        <v>0</v>
      </c>
      <c r="AE3822">
        <v>0</v>
      </c>
      <c r="AF3822">
        <v>0</v>
      </c>
      <c r="AG3822">
        <v>0</v>
      </c>
      <c r="AH3822">
        <v>0</v>
      </c>
    </row>
    <row r="3823" spans="2:34" x14ac:dyDescent="0.35">
      <c r="B3823" t="s">
        <v>747</v>
      </c>
      <c r="C3823">
        <v>45825</v>
      </c>
      <c r="F3823" t="s">
        <v>754</v>
      </c>
      <c r="H3823">
        <v>82.79</v>
      </c>
      <c r="O3823" t="s">
        <v>239</v>
      </c>
      <c r="P3823" t="s">
        <v>514</v>
      </c>
      <c r="Y3823">
        <v>3789</v>
      </c>
      <c r="Z3823" s="259" t="s">
        <v>630</v>
      </c>
      <c r="AA3823">
        <v>100</v>
      </c>
      <c r="AB3823">
        <v>8008</v>
      </c>
      <c r="AC3823">
        <v>45825</v>
      </c>
      <c r="AD3823">
        <v>0</v>
      </c>
      <c r="AE3823">
        <v>8279</v>
      </c>
      <c r="AF3823">
        <v>8279</v>
      </c>
      <c r="AG3823">
        <v>0</v>
      </c>
      <c r="AH3823">
        <v>271</v>
      </c>
    </row>
    <row r="3824" spans="2:34" x14ac:dyDescent="0.35">
      <c r="B3824" t="s">
        <v>747</v>
      </c>
      <c r="C3824">
        <v>45826</v>
      </c>
      <c r="F3824" t="s">
        <v>749</v>
      </c>
      <c r="H3824">
        <v>53.02</v>
      </c>
      <c r="O3824" t="s">
        <v>239</v>
      </c>
      <c r="P3824" t="s">
        <v>514</v>
      </c>
      <c r="Y3824">
        <v>3790</v>
      </c>
      <c r="Z3824" s="259" t="s">
        <v>630</v>
      </c>
      <c r="AA3824">
        <v>80</v>
      </c>
      <c r="AB3824">
        <v>4004</v>
      </c>
      <c r="AC3824">
        <v>45826</v>
      </c>
      <c r="AD3824">
        <v>0</v>
      </c>
      <c r="AE3824">
        <v>4241.6000000000004</v>
      </c>
      <c r="AF3824">
        <v>4241.6000000000004</v>
      </c>
      <c r="AG3824">
        <v>0</v>
      </c>
      <c r="AH3824">
        <v>237.60000000000036</v>
      </c>
    </row>
    <row r="3825" spans="2:34" x14ac:dyDescent="0.35">
      <c r="B3825" t="s">
        <v>747</v>
      </c>
      <c r="C3825">
        <v>45826</v>
      </c>
      <c r="F3825" t="s">
        <v>752</v>
      </c>
      <c r="H3825">
        <v>186.55</v>
      </c>
      <c r="O3825" t="s">
        <v>239</v>
      </c>
      <c r="P3825" t="s">
        <v>514</v>
      </c>
      <c r="Y3825">
        <v>3791</v>
      </c>
      <c r="Z3825" s="259" t="s">
        <v>630</v>
      </c>
      <c r="AA3825">
        <v>0</v>
      </c>
      <c r="AB3825">
        <v>0</v>
      </c>
      <c r="AC3825">
        <v>45826</v>
      </c>
      <c r="AD3825">
        <v>0</v>
      </c>
      <c r="AE3825">
        <v>0</v>
      </c>
      <c r="AF3825">
        <v>0</v>
      </c>
      <c r="AG3825">
        <v>0</v>
      </c>
      <c r="AH3825">
        <v>0</v>
      </c>
    </row>
    <row r="3826" spans="2:34" x14ac:dyDescent="0.35">
      <c r="B3826" t="s">
        <v>747</v>
      </c>
      <c r="C3826">
        <v>45826</v>
      </c>
      <c r="F3826" t="s">
        <v>754</v>
      </c>
      <c r="H3826">
        <v>82.66</v>
      </c>
      <c r="O3826" t="s">
        <v>239</v>
      </c>
      <c r="P3826" t="s">
        <v>514</v>
      </c>
      <c r="Y3826">
        <v>3792</v>
      </c>
      <c r="Z3826" s="259" t="s">
        <v>630</v>
      </c>
      <c r="AA3826">
        <v>100</v>
      </c>
      <c r="AB3826">
        <v>8008</v>
      </c>
      <c r="AC3826">
        <v>45826</v>
      </c>
      <c r="AD3826">
        <v>0</v>
      </c>
      <c r="AE3826">
        <v>8266</v>
      </c>
      <c r="AF3826">
        <v>8266</v>
      </c>
      <c r="AG3826">
        <v>0</v>
      </c>
      <c r="AH3826">
        <v>258</v>
      </c>
    </row>
    <row r="3827" spans="2:34" x14ac:dyDescent="0.35">
      <c r="B3827" t="s">
        <v>747</v>
      </c>
      <c r="C3827">
        <v>45827</v>
      </c>
      <c r="F3827" t="s">
        <v>749</v>
      </c>
      <c r="H3827">
        <v>53.22</v>
      </c>
      <c r="O3827" t="s">
        <v>239</v>
      </c>
      <c r="P3827" t="s">
        <v>514</v>
      </c>
      <c r="Y3827">
        <v>3793</v>
      </c>
      <c r="Z3827" s="259" t="s">
        <v>630</v>
      </c>
      <c r="AA3827">
        <v>80</v>
      </c>
      <c r="AB3827">
        <v>4004</v>
      </c>
      <c r="AC3827">
        <v>45827</v>
      </c>
      <c r="AD3827">
        <v>0</v>
      </c>
      <c r="AE3827">
        <v>4257.6000000000004</v>
      </c>
      <c r="AF3827">
        <v>4257.6000000000004</v>
      </c>
      <c r="AG3827">
        <v>0</v>
      </c>
      <c r="AH3827">
        <v>253.60000000000036</v>
      </c>
    </row>
    <row r="3828" spans="2:34" x14ac:dyDescent="0.35">
      <c r="B3828" t="s">
        <v>747</v>
      </c>
      <c r="C3828">
        <v>45827</v>
      </c>
      <c r="F3828" t="s">
        <v>752</v>
      </c>
      <c r="H3828">
        <v>186.17</v>
      </c>
      <c r="O3828" t="s">
        <v>239</v>
      </c>
      <c r="P3828" t="s">
        <v>514</v>
      </c>
      <c r="Y3828">
        <v>3794</v>
      </c>
      <c r="Z3828" s="259" t="s">
        <v>630</v>
      </c>
      <c r="AA3828">
        <v>0</v>
      </c>
      <c r="AB3828">
        <v>0</v>
      </c>
      <c r="AC3828">
        <v>45827</v>
      </c>
      <c r="AD3828">
        <v>0</v>
      </c>
      <c r="AE3828">
        <v>0</v>
      </c>
      <c r="AF3828">
        <v>0</v>
      </c>
      <c r="AG3828">
        <v>0</v>
      </c>
      <c r="AH3828">
        <v>0</v>
      </c>
    </row>
    <row r="3829" spans="2:34" x14ac:dyDescent="0.35">
      <c r="B3829" t="s">
        <v>747</v>
      </c>
      <c r="C3829">
        <v>45827</v>
      </c>
      <c r="F3829" t="s">
        <v>754</v>
      </c>
      <c r="H3829">
        <v>82.52</v>
      </c>
      <c r="O3829" t="s">
        <v>239</v>
      </c>
      <c r="P3829" t="s">
        <v>514</v>
      </c>
      <c r="Y3829">
        <v>3795</v>
      </c>
      <c r="Z3829" s="259" t="s">
        <v>630</v>
      </c>
      <c r="AA3829">
        <v>100</v>
      </c>
      <c r="AB3829">
        <v>8008</v>
      </c>
      <c r="AC3829">
        <v>45827</v>
      </c>
      <c r="AD3829">
        <v>0</v>
      </c>
      <c r="AE3829">
        <v>8252</v>
      </c>
      <c r="AF3829">
        <v>8252</v>
      </c>
      <c r="AG3829">
        <v>0</v>
      </c>
      <c r="AH3829">
        <v>244</v>
      </c>
    </row>
    <row r="3830" spans="2:34" x14ac:dyDescent="0.35">
      <c r="B3830" t="s">
        <v>747</v>
      </c>
      <c r="C3830">
        <v>45828</v>
      </c>
      <c r="F3830" t="s">
        <v>749</v>
      </c>
      <c r="H3830">
        <v>53.43</v>
      </c>
      <c r="O3830" t="s">
        <v>239</v>
      </c>
      <c r="P3830" t="s">
        <v>514</v>
      </c>
      <c r="Y3830">
        <v>3796</v>
      </c>
      <c r="Z3830" s="259" t="s">
        <v>630</v>
      </c>
      <c r="AA3830">
        <v>80</v>
      </c>
      <c r="AB3830">
        <v>4004</v>
      </c>
      <c r="AC3830">
        <v>45828</v>
      </c>
      <c r="AD3830">
        <v>0</v>
      </c>
      <c r="AE3830">
        <v>4274.3999999999996</v>
      </c>
      <c r="AF3830">
        <v>4274.3999999999996</v>
      </c>
      <c r="AG3830">
        <v>0</v>
      </c>
      <c r="AH3830">
        <v>270.39999999999964</v>
      </c>
    </row>
    <row r="3831" spans="2:34" x14ac:dyDescent="0.35">
      <c r="B3831" t="s">
        <v>747</v>
      </c>
      <c r="C3831">
        <v>45828</v>
      </c>
      <c r="F3831" t="s">
        <v>752</v>
      </c>
      <c r="H3831">
        <v>185.79</v>
      </c>
      <c r="O3831" t="s">
        <v>239</v>
      </c>
      <c r="P3831" t="s">
        <v>514</v>
      </c>
      <c r="Y3831">
        <v>3797</v>
      </c>
      <c r="Z3831" s="259" t="s">
        <v>630</v>
      </c>
      <c r="AA3831">
        <v>0</v>
      </c>
      <c r="AB3831">
        <v>0</v>
      </c>
      <c r="AC3831">
        <v>45828</v>
      </c>
      <c r="AD3831">
        <v>0</v>
      </c>
      <c r="AE3831">
        <v>0</v>
      </c>
      <c r="AF3831">
        <v>0</v>
      </c>
      <c r="AG3831">
        <v>0</v>
      </c>
      <c r="AH3831">
        <v>0</v>
      </c>
    </row>
    <row r="3832" spans="2:34" x14ac:dyDescent="0.35">
      <c r="B3832" t="s">
        <v>747</v>
      </c>
      <c r="C3832">
        <v>45828</v>
      </c>
      <c r="F3832" t="s">
        <v>754</v>
      </c>
      <c r="H3832">
        <v>82.38</v>
      </c>
      <c r="O3832" t="s">
        <v>239</v>
      </c>
      <c r="P3832" t="s">
        <v>514</v>
      </c>
      <c r="Y3832">
        <v>3798</v>
      </c>
      <c r="Z3832" s="259" t="s">
        <v>630</v>
      </c>
      <c r="AA3832">
        <v>100</v>
      </c>
      <c r="AB3832">
        <v>8008</v>
      </c>
      <c r="AC3832">
        <v>45828</v>
      </c>
      <c r="AD3832">
        <v>0</v>
      </c>
      <c r="AE3832">
        <v>8238</v>
      </c>
      <c r="AF3832">
        <v>8238</v>
      </c>
      <c r="AG3832">
        <v>0</v>
      </c>
      <c r="AH3832">
        <v>230</v>
      </c>
    </row>
    <row r="3833" spans="2:34" x14ac:dyDescent="0.35">
      <c r="B3833" t="s">
        <v>747</v>
      </c>
      <c r="C3833">
        <v>45829</v>
      </c>
      <c r="F3833" t="s">
        <v>749</v>
      </c>
      <c r="H3833">
        <v>53.43</v>
      </c>
      <c r="O3833" t="s">
        <v>239</v>
      </c>
      <c r="P3833" t="s">
        <v>514</v>
      </c>
      <c r="Y3833">
        <v>3799</v>
      </c>
      <c r="Z3833" s="259" t="s">
        <v>630</v>
      </c>
      <c r="AA3833">
        <v>80</v>
      </c>
      <c r="AB3833">
        <v>4004</v>
      </c>
      <c r="AC3833">
        <v>45828</v>
      </c>
      <c r="AD3833">
        <v>1</v>
      </c>
      <c r="AE3833">
        <v>4274.3999999999996</v>
      </c>
      <c r="AF3833">
        <v>4274.3999999999996</v>
      </c>
      <c r="AG3833">
        <v>0</v>
      </c>
      <c r="AH3833">
        <v>270.39999999999964</v>
      </c>
    </row>
    <row r="3834" spans="2:34" x14ac:dyDescent="0.35">
      <c r="B3834" t="s">
        <v>747</v>
      </c>
      <c r="C3834">
        <v>45829</v>
      </c>
      <c r="F3834" t="s">
        <v>752</v>
      </c>
      <c r="H3834">
        <v>185.79</v>
      </c>
      <c r="O3834" t="s">
        <v>239</v>
      </c>
      <c r="P3834" t="s">
        <v>514</v>
      </c>
      <c r="Y3834">
        <v>3800</v>
      </c>
      <c r="Z3834" s="259" t="s">
        <v>630</v>
      </c>
      <c r="AA3834">
        <v>0</v>
      </c>
      <c r="AB3834">
        <v>0</v>
      </c>
      <c r="AC3834">
        <v>45828</v>
      </c>
      <c r="AD3834">
        <v>1</v>
      </c>
      <c r="AE3834">
        <v>0</v>
      </c>
      <c r="AF3834">
        <v>0</v>
      </c>
      <c r="AG3834">
        <v>0</v>
      </c>
      <c r="AH3834">
        <v>0</v>
      </c>
    </row>
    <row r="3835" spans="2:34" x14ac:dyDescent="0.35">
      <c r="B3835" t="s">
        <v>747</v>
      </c>
      <c r="C3835">
        <v>45829</v>
      </c>
      <c r="F3835" t="s">
        <v>754</v>
      </c>
      <c r="H3835">
        <v>82.38</v>
      </c>
      <c r="O3835" t="s">
        <v>239</v>
      </c>
      <c r="P3835" t="s">
        <v>514</v>
      </c>
      <c r="Y3835">
        <v>3801</v>
      </c>
      <c r="Z3835" s="259" t="s">
        <v>630</v>
      </c>
      <c r="AA3835">
        <v>100</v>
      </c>
      <c r="AB3835">
        <v>8008</v>
      </c>
      <c r="AC3835">
        <v>45828</v>
      </c>
      <c r="AD3835">
        <v>1</v>
      </c>
      <c r="AE3835">
        <v>8238</v>
      </c>
      <c r="AF3835">
        <v>8238</v>
      </c>
      <c r="AG3835">
        <v>0</v>
      </c>
      <c r="AH3835">
        <v>230</v>
      </c>
    </row>
    <row r="3836" spans="2:34" x14ac:dyDescent="0.35">
      <c r="B3836" t="s">
        <v>747</v>
      </c>
      <c r="C3836">
        <v>45830</v>
      </c>
      <c r="F3836" t="s">
        <v>749</v>
      </c>
      <c r="H3836">
        <v>53.43</v>
      </c>
      <c r="O3836" t="s">
        <v>239</v>
      </c>
      <c r="P3836" t="s">
        <v>514</v>
      </c>
      <c r="Y3836">
        <v>3802</v>
      </c>
      <c r="Z3836" s="259" t="s">
        <v>630</v>
      </c>
      <c r="AA3836">
        <v>80</v>
      </c>
      <c r="AB3836">
        <v>4004</v>
      </c>
      <c r="AC3836">
        <v>45828</v>
      </c>
      <c r="AD3836">
        <v>2</v>
      </c>
      <c r="AE3836">
        <v>4274.3999999999996</v>
      </c>
      <c r="AF3836">
        <v>4274.3999999999996</v>
      </c>
      <c r="AG3836">
        <v>0</v>
      </c>
      <c r="AH3836">
        <v>270.39999999999964</v>
      </c>
    </row>
    <row r="3837" spans="2:34" x14ac:dyDescent="0.35">
      <c r="B3837" t="s">
        <v>747</v>
      </c>
      <c r="C3837">
        <v>45830</v>
      </c>
      <c r="F3837" t="s">
        <v>752</v>
      </c>
      <c r="H3837">
        <v>185.79</v>
      </c>
      <c r="O3837" t="s">
        <v>239</v>
      </c>
      <c r="P3837" t="s">
        <v>514</v>
      </c>
      <c r="Y3837">
        <v>3803</v>
      </c>
      <c r="Z3837" s="259" t="s">
        <v>630</v>
      </c>
      <c r="AA3837">
        <v>0</v>
      </c>
      <c r="AB3837">
        <v>0</v>
      </c>
      <c r="AC3837">
        <v>45828</v>
      </c>
      <c r="AD3837">
        <v>2</v>
      </c>
      <c r="AE3837">
        <v>0</v>
      </c>
      <c r="AF3837">
        <v>0</v>
      </c>
      <c r="AG3837">
        <v>0</v>
      </c>
      <c r="AH3837">
        <v>0</v>
      </c>
    </row>
    <row r="3838" spans="2:34" x14ac:dyDescent="0.35">
      <c r="B3838" t="s">
        <v>747</v>
      </c>
      <c r="C3838">
        <v>45830</v>
      </c>
      <c r="F3838" t="s">
        <v>754</v>
      </c>
      <c r="H3838">
        <v>82.38</v>
      </c>
      <c r="O3838" t="s">
        <v>239</v>
      </c>
      <c r="P3838" t="s">
        <v>514</v>
      </c>
      <c r="Y3838">
        <v>3804</v>
      </c>
      <c r="Z3838" s="259" t="s">
        <v>630</v>
      </c>
      <c r="AA3838">
        <v>100</v>
      </c>
      <c r="AB3838">
        <v>8008</v>
      </c>
      <c r="AC3838">
        <v>45828</v>
      </c>
      <c r="AD3838">
        <v>2</v>
      </c>
      <c r="AE3838">
        <v>8238</v>
      </c>
      <c r="AF3838">
        <v>8238</v>
      </c>
      <c r="AG3838">
        <v>0</v>
      </c>
      <c r="AH3838">
        <v>230</v>
      </c>
    </row>
    <row r="3839" spans="2:34" x14ac:dyDescent="0.35">
      <c r="B3839" t="s">
        <v>747</v>
      </c>
      <c r="C3839">
        <v>45831</v>
      </c>
      <c r="F3839" t="s">
        <v>749</v>
      </c>
      <c r="H3839">
        <v>54.05</v>
      </c>
      <c r="O3839" t="s">
        <v>239</v>
      </c>
      <c r="P3839" t="s">
        <v>514</v>
      </c>
      <c r="Y3839">
        <v>3805</v>
      </c>
      <c r="Z3839" s="259" t="s">
        <v>630</v>
      </c>
      <c r="AA3839">
        <v>80</v>
      </c>
      <c r="AB3839">
        <v>4004</v>
      </c>
      <c r="AC3839">
        <v>45831</v>
      </c>
      <c r="AD3839">
        <v>0</v>
      </c>
      <c r="AE3839">
        <v>4324</v>
      </c>
      <c r="AF3839">
        <v>4324</v>
      </c>
      <c r="AG3839">
        <v>0</v>
      </c>
      <c r="AH3839">
        <v>320</v>
      </c>
    </row>
    <row r="3840" spans="2:34" x14ac:dyDescent="0.35">
      <c r="B3840" t="s">
        <v>747</v>
      </c>
      <c r="C3840">
        <v>45831</v>
      </c>
      <c r="F3840" t="s">
        <v>752</v>
      </c>
      <c r="H3840">
        <v>184.66</v>
      </c>
      <c r="O3840" t="s">
        <v>239</v>
      </c>
      <c r="P3840" t="s">
        <v>514</v>
      </c>
      <c r="Y3840">
        <v>3806</v>
      </c>
      <c r="Z3840" s="259" t="s">
        <v>630</v>
      </c>
      <c r="AA3840">
        <v>0</v>
      </c>
      <c r="AB3840">
        <v>0</v>
      </c>
      <c r="AC3840">
        <v>45831</v>
      </c>
      <c r="AD3840">
        <v>0</v>
      </c>
      <c r="AE3840">
        <v>0</v>
      </c>
      <c r="AF3840">
        <v>0</v>
      </c>
      <c r="AG3840">
        <v>0</v>
      </c>
      <c r="AH3840">
        <v>0</v>
      </c>
    </row>
    <row r="3841" spans="2:34" x14ac:dyDescent="0.35">
      <c r="B3841" t="s">
        <v>747</v>
      </c>
      <c r="C3841">
        <v>45831</v>
      </c>
      <c r="F3841" t="s">
        <v>754</v>
      </c>
      <c r="H3841">
        <v>81.97</v>
      </c>
      <c r="O3841" t="s">
        <v>239</v>
      </c>
      <c r="P3841" t="s">
        <v>514</v>
      </c>
      <c r="Y3841">
        <v>3807</v>
      </c>
      <c r="Z3841" s="259" t="s">
        <v>630</v>
      </c>
      <c r="AA3841">
        <v>100</v>
      </c>
      <c r="AB3841">
        <v>8008</v>
      </c>
      <c r="AC3841">
        <v>45831</v>
      </c>
      <c r="AD3841">
        <v>0</v>
      </c>
      <c r="AE3841">
        <v>8197</v>
      </c>
      <c r="AF3841">
        <v>8197</v>
      </c>
      <c r="AG3841">
        <v>0</v>
      </c>
      <c r="AH3841">
        <v>189</v>
      </c>
    </row>
    <row r="3842" spans="2:34" x14ac:dyDescent="0.35">
      <c r="B3842" t="s">
        <v>747</v>
      </c>
      <c r="C3842">
        <v>45832</v>
      </c>
      <c r="F3842" t="s">
        <v>749</v>
      </c>
      <c r="H3842">
        <v>54.26</v>
      </c>
      <c r="O3842" t="s">
        <v>239</v>
      </c>
      <c r="P3842" t="s">
        <v>514</v>
      </c>
      <c r="Y3842">
        <v>3808</v>
      </c>
      <c r="Z3842" s="259" t="s">
        <v>630</v>
      </c>
      <c r="AA3842">
        <v>80</v>
      </c>
      <c r="AB3842">
        <v>4004</v>
      </c>
      <c r="AC3842">
        <v>45832</v>
      </c>
      <c r="AD3842">
        <v>0</v>
      </c>
      <c r="AE3842">
        <v>4340.8</v>
      </c>
      <c r="AF3842">
        <v>4340.8</v>
      </c>
      <c r="AG3842">
        <v>0</v>
      </c>
      <c r="AH3842">
        <v>336.80000000000018</v>
      </c>
    </row>
    <row r="3843" spans="2:34" x14ac:dyDescent="0.35">
      <c r="B3843" t="s">
        <v>747</v>
      </c>
      <c r="C3843">
        <v>45832</v>
      </c>
      <c r="F3843" t="s">
        <v>752</v>
      </c>
      <c r="H3843">
        <v>184.28</v>
      </c>
      <c r="O3843" t="s">
        <v>239</v>
      </c>
      <c r="P3843" t="s">
        <v>514</v>
      </c>
      <c r="Y3843">
        <v>3809</v>
      </c>
      <c r="Z3843" s="259" t="s">
        <v>630</v>
      </c>
      <c r="AA3843">
        <v>0</v>
      </c>
      <c r="AB3843">
        <v>0</v>
      </c>
      <c r="AC3843">
        <v>45832</v>
      </c>
      <c r="AD3843">
        <v>0</v>
      </c>
      <c r="AE3843">
        <v>0</v>
      </c>
      <c r="AF3843">
        <v>0</v>
      </c>
      <c r="AG3843">
        <v>0</v>
      </c>
      <c r="AH3843">
        <v>0</v>
      </c>
    </row>
    <row r="3844" spans="2:34" x14ac:dyDescent="0.35">
      <c r="B3844" t="s">
        <v>747</v>
      </c>
      <c r="C3844">
        <v>45832</v>
      </c>
      <c r="F3844" t="s">
        <v>754</v>
      </c>
      <c r="H3844">
        <v>81.83</v>
      </c>
      <c r="O3844" t="s">
        <v>239</v>
      </c>
      <c r="P3844" t="s">
        <v>514</v>
      </c>
      <c r="Y3844">
        <v>3810</v>
      </c>
      <c r="Z3844" s="259" t="s">
        <v>630</v>
      </c>
      <c r="AA3844">
        <v>100</v>
      </c>
      <c r="AB3844">
        <v>8008</v>
      </c>
      <c r="AC3844">
        <v>45832</v>
      </c>
      <c r="AD3844">
        <v>0</v>
      </c>
      <c r="AE3844">
        <v>8183</v>
      </c>
      <c r="AF3844">
        <v>8183</v>
      </c>
      <c r="AG3844">
        <v>0</v>
      </c>
      <c r="AH3844">
        <v>175</v>
      </c>
    </row>
    <row r="3845" spans="2:34" x14ac:dyDescent="0.35">
      <c r="B3845" t="s">
        <v>747</v>
      </c>
      <c r="C3845">
        <v>45833</v>
      </c>
      <c r="F3845" t="s">
        <v>749</v>
      </c>
      <c r="H3845">
        <v>54.47</v>
      </c>
      <c r="O3845" t="s">
        <v>239</v>
      </c>
      <c r="P3845" t="s">
        <v>514</v>
      </c>
      <c r="Y3845">
        <v>3811</v>
      </c>
      <c r="Z3845" s="259" t="s">
        <v>630</v>
      </c>
      <c r="AA3845">
        <v>80</v>
      </c>
      <c r="AB3845">
        <v>4004</v>
      </c>
      <c r="AC3845">
        <v>45833</v>
      </c>
      <c r="AD3845">
        <v>0</v>
      </c>
      <c r="AE3845">
        <v>4357.6000000000004</v>
      </c>
      <c r="AF3845">
        <v>4357.6000000000004</v>
      </c>
      <c r="AG3845">
        <v>0</v>
      </c>
      <c r="AH3845">
        <v>353.60000000000036</v>
      </c>
    </row>
    <row r="3846" spans="2:34" x14ac:dyDescent="0.35">
      <c r="B3846" t="s">
        <v>747</v>
      </c>
      <c r="C3846">
        <v>45833</v>
      </c>
      <c r="F3846" t="s">
        <v>752</v>
      </c>
      <c r="H3846">
        <v>183.9</v>
      </c>
      <c r="O3846" t="s">
        <v>239</v>
      </c>
      <c r="P3846" t="s">
        <v>514</v>
      </c>
      <c r="Y3846">
        <v>3812</v>
      </c>
      <c r="Z3846" s="259" t="s">
        <v>630</v>
      </c>
      <c r="AA3846">
        <v>0</v>
      </c>
      <c r="AB3846">
        <v>0</v>
      </c>
      <c r="AC3846">
        <v>45833</v>
      </c>
      <c r="AD3846">
        <v>0</v>
      </c>
      <c r="AE3846">
        <v>0</v>
      </c>
      <c r="AF3846">
        <v>0</v>
      </c>
      <c r="AG3846">
        <v>0</v>
      </c>
      <c r="AH3846">
        <v>0</v>
      </c>
    </row>
    <row r="3847" spans="2:34" x14ac:dyDescent="0.35">
      <c r="B3847" t="s">
        <v>747</v>
      </c>
      <c r="C3847">
        <v>45833</v>
      </c>
      <c r="F3847" t="s">
        <v>754</v>
      </c>
      <c r="H3847">
        <v>81.69</v>
      </c>
      <c r="O3847" t="s">
        <v>239</v>
      </c>
      <c r="P3847" t="s">
        <v>514</v>
      </c>
      <c r="Y3847">
        <v>3813</v>
      </c>
      <c r="Z3847" s="259" t="s">
        <v>630</v>
      </c>
      <c r="AA3847">
        <v>100</v>
      </c>
      <c r="AB3847">
        <v>8008</v>
      </c>
      <c r="AC3847">
        <v>45833</v>
      </c>
      <c r="AD3847">
        <v>0</v>
      </c>
      <c r="AE3847">
        <v>8169</v>
      </c>
      <c r="AF3847">
        <v>8169</v>
      </c>
      <c r="AG3847">
        <v>0</v>
      </c>
      <c r="AH3847">
        <v>161</v>
      </c>
    </row>
    <row r="3848" spans="2:34" x14ac:dyDescent="0.35">
      <c r="B3848" t="s">
        <v>747</v>
      </c>
      <c r="C3848">
        <v>45834</v>
      </c>
      <c r="F3848" t="s">
        <v>749</v>
      </c>
      <c r="H3848">
        <v>54.67</v>
      </c>
      <c r="O3848" t="s">
        <v>239</v>
      </c>
      <c r="P3848" t="s">
        <v>514</v>
      </c>
      <c r="Y3848">
        <v>3814</v>
      </c>
      <c r="Z3848" s="259" t="s">
        <v>630</v>
      </c>
      <c r="AA3848">
        <v>80</v>
      </c>
      <c r="AB3848">
        <v>4004</v>
      </c>
      <c r="AC3848">
        <v>45834</v>
      </c>
      <c r="AD3848">
        <v>0</v>
      </c>
      <c r="AE3848">
        <v>4373.6000000000004</v>
      </c>
      <c r="AF3848">
        <v>4373.6000000000004</v>
      </c>
      <c r="AG3848">
        <v>0</v>
      </c>
      <c r="AH3848">
        <v>369.60000000000036</v>
      </c>
    </row>
    <row r="3849" spans="2:34" x14ac:dyDescent="0.35">
      <c r="B3849" t="s">
        <v>747</v>
      </c>
      <c r="C3849">
        <v>45834</v>
      </c>
      <c r="F3849" t="s">
        <v>752</v>
      </c>
      <c r="H3849">
        <v>183.52</v>
      </c>
      <c r="O3849" t="s">
        <v>239</v>
      </c>
      <c r="P3849" t="s">
        <v>514</v>
      </c>
      <c r="Y3849">
        <v>3815</v>
      </c>
      <c r="Z3849" s="259" t="s">
        <v>630</v>
      </c>
      <c r="AA3849">
        <v>0</v>
      </c>
      <c r="AB3849">
        <v>0</v>
      </c>
      <c r="AC3849">
        <v>45834</v>
      </c>
      <c r="AD3849">
        <v>0</v>
      </c>
      <c r="AE3849">
        <v>0</v>
      </c>
      <c r="AF3849">
        <v>0</v>
      </c>
      <c r="AG3849">
        <v>0</v>
      </c>
      <c r="AH3849">
        <v>0</v>
      </c>
    </row>
    <row r="3850" spans="2:34" x14ac:dyDescent="0.35">
      <c r="B3850" t="s">
        <v>747</v>
      </c>
      <c r="C3850">
        <v>45834</v>
      </c>
      <c r="F3850" t="s">
        <v>754</v>
      </c>
      <c r="H3850">
        <v>81.55</v>
      </c>
      <c r="O3850" t="s">
        <v>239</v>
      </c>
      <c r="P3850" t="s">
        <v>514</v>
      </c>
      <c r="Y3850">
        <v>3816</v>
      </c>
      <c r="Z3850" s="259" t="s">
        <v>630</v>
      </c>
      <c r="AA3850">
        <v>100</v>
      </c>
      <c r="AB3850">
        <v>8008</v>
      </c>
      <c r="AC3850">
        <v>45834</v>
      </c>
      <c r="AD3850">
        <v>0</v>
      </c>
      <c r="AE3850">
        <v>8155</v>
      </c>
      <c r="AF3850">
        <v>8155</v>
      </c>
      <c r="AG3850">
        <v>0</v>
      </c>
      <c r="AH3850">
        <v>147</v>
      </c>
    </row>
    <row r="3851" spans="2:34" x14ac:dyDescent="0.35">
      <c r="B3851" t="s">
        <v>747</v>
      </c>
      <c r="C3851">
        <v>45835</v>
      </c>
      <c r="F3851" t="s">
        <v>749</v>
      </c>
      <c r="H3851">
        <v>54.88</v>
      </c>
      <c r="O3851" t="s">
        <v>239</v>
      </c>
      <c r="P3851" t="s">
        <v>514</v>
      </c>
      <c r="Y3851">
        <v>3817</v>
      </c>
      <c r="Z3851" s="259" t="s">
        <v>630</v>
      </c>
      <c r="AA3851">
        <v>80</v>
      </c>
      <c r="AB3851">
        <v>4004</v>
      </c>
      <c r="AC3851">
        <v>45835</v>
      </c>
      <c r="AD3851">
        <v>0</v>
      </c>
      <c r="AE3851">
        <v>4390.4000000000005</v>
      </c>
      <c r="AF3851">
        <v>4390.4000000000005</v>
      </c>
      <c r="AG3851">
        <v>0</v>
      </c>
      <c r="AH3851">
        <v>386.40000000000055</v>
      </c>
    </row>
    <row r="3852" spans="2:34" x14ac:dyDescent="0.35">
      <c r="B3852" t="s">
        <v>747</v>
      </c>
      <c r="C3852">
        <v>45835</v>
      </c>
      <c r="F3852" t="s">
        <v>752</v>
      </c>
      <c r="H3852">
        <v>183.14</v>
      </c>
      <c r="O3852" t="s">
        <v>239</v>
      </c>
      <c r="P3852" t="s">
        <v>514</v>
      </c>
      <c r="Y3852">
        <v>3818</v>
      </c>
      <c r="Z3852" s="259" t="s">
        <v>630</v>
      </c>
      <c r="AA3852">
        <v>0</v>
      </c>
      <c r="AB3852">
        <v>0</v>
      </c>
      <c r="AC3852">
        <v>45835</v>
      </c>
      <c r="AD3852">
        <v>0</v>
      </c>
      <c r="AE3852">
        <v>0</v>
      </c>
      <c r="AF3852">
        <v>0</v>
      </c>
      <c r="AG3852">
        <v>0</v>
      </c>
      <c r="AH3852">
        <v>0</v>
      </c>
    </row>
    <row r="3853" spans="2:34" x14ac:dyDescent="0.35">
      <c r="B3853" t="s">
        <v>747</v>
      </c>
      <c r="C3853">
        <v>45835</v>
      </c>
      <c r="F3853" t="s">
        <v>754</v>
      </c>
      <c r="H3853">
        <v>81.41</v>
      </c>
      <c r="O3853" t="s">
        <v>239</v>
      </c>
      <c r="P3853" t="s">
        <v>514</v>
      </c>
      <c r="Y3853">
        <v>3819</v>
      </c>
      <c r="Z3853" s="259" t="s">
        <v>630</v>
      </c>
      <c r="AA3853">
        <v>100</v>
      </c>
      <c r="AB3853">
        <v>8008</v>
      </c>
      <c r="AC3853">
        <v>45835</v>
      </c>
      <c r="AD3853">
        <v>0</v>
      </c>
      <c r="AE3853">
        <v>8141</v>
      </c>
      <c r="AF3853">
        <v>8141</v>
      </c>
      <c r="AG3853">
        <v>0</v>
      </c>
      <c r="AH3853">
        <v>133</v>
      </c>
    </row>
    <row r="3854" spans="2:34" x14ac:dyDescent="0.35">
      <c r="B3854" t="s">
        <v>747</v>
      </c>
      <c r="C3854">
        <v>45836</v>
      </c>
      <c r="F3854" t="s">
        <v>749</v>
      </c>
      <c r="H3854">
        <v>54.88</v>
      </c>
      <c r="O3854" t="s">
        <v>239</v>
      </c>
      <c r="P3854" t="s">
        <v>514</v>
      </c>
      <c r="Y3854">
        <v>3820</v>
      </c>
      <c r="Z3854" s="259" t="s">
        <v>630</v>
      </c>
      <c r="AA3854">
        <v>80</v>
      </c>
      <c r="AB3854">
        <v>4004</v>
      </c>
      <c r="AC3854">
        <v>45835</v>
      </c>
      <c r="AD3854">
        <v>1</v>
      </c>
      <c r="AE3854">
        <v>4390.4000000000005</v>
      </c>
      <c r="AF3854">
        <v>4390.4000000000005</v>
      </c>
      <c r="AG3854">
        <v>0</v>
      </c>
      <c r="AH3854">
        <v>386.40000000000055</v>
      </c>
    </row>
    <row r="3855" spans="2:34" x14ac:dyDescent="0.35">
      <c r="B3855" t="s">
        <v>747</v>
      </c>
      <c r="C3855">
        <v>45836</v>
      </c>
      <c r="F3855" t="s">
        <v>752</v>
      </c>
      <c r="H3855">
        <v>183.14</v>
      </c>
      <c r="O3855" t="s">
        <v>239</v>
      </c>
      <c r="P3855" t="s">
        <v>514</v>
      </c>
      <c r="Y3855">
        <v>3821</v>
      </c>
      <c r="Z3855" s="259" t="s">
        <v>630</v>
      </c>
      <c r="AA3855">
        <v>0</v>
      </c>
      <c r="AB3855">
        <v>0</v>
      </c>
      <c r="AC3855">
        <v>45835</v>
      </c>
      <c r="AD3855">
        <v>1</v>
      </c>
      <c r="AE3855">
        <v>0</v>
      </c>
      <c r="AF3855">
        <v>0</v>
      </c>
      <c r="AG3855">
        <v>0</v>
      </c>
      <c r="AH3855">
        <v>0</v>
      </c>
    </row>
    <row r="3856" spans="2:34" x14ac:dyDescent="0.35">
      <c r="B3856" t="s">
        <v>747</v>
      </c>
      <c r="C3856">
        <v>45836</v>
      </c>
      <c r="F3856" t="s">
        <v>754</v>
      </c>
      <c r="H3856">
        <v>81.41</v>
      </c>
      <c r="O3856" t="s">
        <v>239</v>
      </c>
      <c r="P3856" t="s">
        <v>514</v>
      </c>
      <c r="Y3856">
        <v>3822</v>
      </c>
      <c r="Z3856" s="259" t="s">
        <v>630</v>
      </c>
      <c r="AA3856">
        <v>100</v>
      </c>
      <c r="AB3856">
        <v>8008</v>
      </c>
      <c r="AC3856">
        <v>45835</v>
      </c>
      <c r="AD3856">
        <v>1</v>
      </c>
      <c r="AE3856">
        <v>8141</v>
      </c>
      <c r="AF3856">
        <v>8141</v>
      </c>
      <c r="AG3856">
        <v>0</v>
      </c>
      <c r="AH3856">
        <v>133</v>
      </c>
    </row>
    <row r="3857" spans="2:34" x14ac:dyDescent="0.35">
      <c r="B3857" t="s">
        <v>747</v>
      </c>
      <c r="C3857">
        <v>45837</v>
      </c>
      <c r="F3857" t="s">
        <v>749</v>
      </c>
      <c r="H3857">
        <v>54.88</v>
      </c>
      <c r="O3857" t="s">
        <v>239</v>
      </c>
      <c r="P3857" t="s">
        <v>514</v>
      </c>
      <c r="Y3857">
        <v>3823</v>
      </c>
      <c r="Z3857" s="259" t="s">
        <v>630</v>
      </c>
      <c r="AA3857">
        <v>80</v>
      </c>
      <c r="AB3857">
        <v>4004</v>
      </c>
      <c r="AC3857">
        <v>45835</v>
      </c>
      <c r="AD3857">
        <v>2</v>
      </c>
      <c r="AE3857">
        <v>4390.4000000000005</v>
      </c>
      <c r="AF3857">
        <v>4390.4000000000005</v>
      </c>
      <c r="AG3857">
        <v>0</v>
      </c>
      <c r="AH3857">
        <v>386.40000000000055</v>
      </c>
    </row>
    <row r="3858" spans="2:34" x14ac:dyDescent="0.35">
      <c r="B3858" t="s">
        <v>747</v>
      </c>
      <c r="C3858">
        <v>45837</v>
      </c>
      <c r="F3858" t="s">
        <v>752</v>
      </c>
      <c r="H3858">
        <v>183.14</v>
      </c>
      <c r="O3858" t="s">
        <v>239</v>
      </c>
      <c r="P3858" t="s">
        <v>514</v>
      </c>
      <c r="Y3858">
        <v>3824</v>
      </c>
      <c r="Z3858" s="259" t="s">
        <v>630</v>
      </c>
      <c r="AA3858">
        <v>0</v>
      </c>
      <c r="AB3858">
        <v>0</v>
      </c>
      <c r="AC3858">
        <v>45835</v>
      </c>
      <c r="AD3858">
        <v>2</v>
      </c>
      <c r="AE3858">
        <v>0</v>
      </c>
      <c r="AF3858">
        <v>0</v>
      </c>
      <c r="AG3858">
        <v>0</v>
      </c>
      <c r="AH3858">
        <v>0</v>
      </c>
    </row>
    <row r="3859" spans="2:34" x14ac:dyDescent="0.35">
      <c r="B3859" t="s">
        <v>747</v>
      </c>
      <c r="C3859">
        <v>45837</v>
      </c>
      <c r="F3859" t="s">
        <v>754</v>
      </c>
      <c r="H3859">
        <v>81.41</v>
      </c>
      <c r="O3859" t="s">
        <v>239</v>
      </c>
      <c r="P3859" t="s">
        <v>514</v>
      </c>
      <c r="Y3859">
        <v>3825</v>
      </c>
      <c r="Z3859" s="259" t="s">
        <v>630</v>
      </c>
      <c r="AA3859">
        <v>100</v>
      </c>
      <c r="AB3859">
        <v>8008</v>
      </c>
      <c r="AC3859">
        <v>45835</v>
      </c>
      <c r="AD3859">
        <v>2</v>
      </c>
      <c r="AE3859">
        <v>8141</v>
      </c>
      <c r="AF3859">
        <v>8141</v>
      </c>
      <c r="AG3859">
        <v>0</v>
      </c>
      <c r="AH3859">
        <v>133</v>
      </c>
    </row>
    <row r="3860" spans="2:34" x14ac:dyDescent="0.35">
      <c r="B3860" t="s">
        <v>747</v>
      </c>
      <c r="C3860">
        <v>45838</v>
      </c>
      <c r="F3860" t="s">
        <v>749</v>
      </c>
      <c r="H3860">
        <v>55.5</v>
      </c>
      <c r="O3860" t="s">
        <v>239</v>
      </c>
      <c r="P3860" t="s">
        <v>514</v>
      </c>
      <c r="Y3860">
        <v>3826</v>
      </c>
      <c r="Z3860" s="259" t="s">
        <v>630</v>
      </c>
      <c r="AA3860">
        <v>80</v>
      </c>
      <c r="AB3860">
        <v>4004</v>
      </c>
      <c r="AC3860">
        <v>45838</v>
      </c>
      <c r="AD3860">
        <v>0</v>
      </c>
      <c r="AE3860">
        <v>4440</v>
      </c>
      <c r="AF3860">
        <v>4440</v>
      </c>
      <c r="AG3860">
        <v>0</v>
      </c>
      <c r="AH3860">
        <v>436</v>
      </c>
    </row>
    <row r="3861" spans="2:34" x14ac:dyDescent="0.35">
      <c r="B3861" t="s">
        <v>747</v>
      </c>
      <c r="C3861">
        <v>45838</v>
      </c>
      <c r="F3861" t="s">
        <v>752</v>
      </c>
      <c r="H3861">
        <v>182</v>
      </c>
      <c r="O3861" t="s">
        <v>239</v>
      </c>
      <c r="P3861" t="s">
        <v>514</v>
      </c>
      <c r="Y3861">
        <v>3827</v>
      </c>
      <c r="Z3861" s="259" t="s">
        <v>630</v>
      </c>
      <c r="AA3861">
        <v>0</v>
      </c>
      <c r="AB3861">
        <v>0</v>
      </c>
      <c r="AC3861">
        <v>45838</v>
      </c>
      <c r="AD3861">
        <v>0</v>
      </c>
      <c r="AE3861">
        <v>0</v>
      </c>
      <c r="AF3861">
        <v>0</v>
      </c>
      <c r="AG3861">
        <v>0</v>
      </c>
      <c r="AH3861">
        <v>0</v>
      </c>
    </row>
    <row r="3862" spans="2:34" x14ac:dyDescent="0.35">
      <c r="B3862" t="s">
        <v>747</v>
      </c>
      <c r="C3862">
        <v>45838</v>
      </c>
      <c r="F3862" t="s">
        <v>754</v>
      </c>
      <c r="H3862">
        <v>81</v>
      </c>
      <c r="O3862" t="s">
        <v>239</v>
      </c>
      <c r="P3862" t="s">
        <v>514</v>
      </c>
      <c r="Y3862">
        <v>3828</v>
      </c>
      <c r="Z3862" s="259" t="s">
        <v>630</v>
      </c>
      <c r="AA3862">
        <v>100</v>
      </c>
      <c r="AB3862">
        <v>8008</v>
      </c>
      <c r="AC3862">
        <v>45838</v>
      </c>
      <c r="AD3862">
        <v>0</v>
      </c>
      <c r="AE3862">
        <v>8100</v>
      </c>
      <c r="AF3862">
        <v>8100</v>
      </c>
      <c r="AG3862">
        <v>0</v>
      </c>
      <c r="AH3862">
        <v>92</v>
      </c>
    </row>
    <row r="3863" spans="2:34" x14ac:dyDescent="0.35">
      <c r="B3863" t="s">
        <v>747</v>
      </c>
      <c r="C3863">
        <v>45839</v>
      </c>
      <c r="F3863" t="s">
        <v>749</v>
      </c>
      <c r="H3863">
        <v>55.5</v>
      </c>
      <c r="O3863" t="s">
        <v>239</v>
      </c>
      <c r="P3863" t="s">
        <v>514</v>
      </c>
      <c r="Y3863">
        <v>3829</v>
      </c>
      <c r="Z3863" s="259" t="s">
        <v>630</v>
      </c>
      <c r="AA3863">
        <v>80</v>
      </c>
      <c r="AB3863">
        <v>4004</v>
      </c>
      <c r="AC3863">
        <v>45839</v>
      </c>
      <c r="AD3863">
        <v>0</v>
      </c>
      <c r="AE3863">
        <v>4440</v>
      </c>
      <c r="AF3863">
        <v>4440</v>
      </c>
      <c r="AG3863">
        <v>0</v>
      </c>
      <c r="AH3863">
        <v>436</v>
      </c>
    </row>
    <row r="3864" spans="2:34" x14ac:dyDescent="0.35">
      <c r="B3864" t="s">
        <v>747</v>
      </c>
      <c r="C3864">
        <v>45839</v>
      </c>
      <c r="F3864" t="s">
        <v>752</v>
      </c>
      <c r="H3864">
        <v>182</v>
      </c>
      <c r="O3864" t="s">
        <v>239</v>
      </c>
      <c r="P3864" t="s">
        <v>514</v>
      </c>
      <c r="Y3864">
        <v>3830</v>
      </c>
      <c r="Z3864" s="259" t="s">
        <v>630</v>
      </c>
      <c r="AA3864">
        <v>0</v>
      </c>
      <c r="AB3864">
        <v>0</v>
      </c>
      <c r="AC3864">
        <v>45839</v>
      </c>
      <c r="AD3864">
        <v>0</v>
      </c>
      <c r="AE3864">
        <v>0</v>
      </c>
      <c r="AF3864">
        <v>0</v>
      </c>
      <c r="AG3864">
        <v>0</v>
      </c>
      <c r="AH3864">
        <v>0</v>
      </c>
    </row>
    <row r="3865" spans="2:34" x14ac:dyDescent="0.35">
      <c r="B3865" t="s">
        <v>747</v>
      </c>
      <c r="C3865">
        <v>45839</v>
      </c>
      <c r="F3865" t="s">
        <v>754</v>
      </c>
      <c r="H3865">
        <v>81</v>
      </c>
      <c r="O3865" t="s">
        <v>239</v>
      </c>
      <c r="P3865" t="s">
        <v>514</v>
      </c>
      <c r="Y3865">
        <v>3831</v>
      </c>
      <c r="Z3865" s="259" t="s">
        <v>630</v>
      </c>
      <c r="AA3865">
        <v>100</v>
      </c>
      <c r="AB3865">
        <v>8008</v>
      </c>
      <c r="AC3865">
        <v>45839</v>
      </c>
      <c r="AD3865">
        <v>0</v>
      </c>
      <c r="AE3865">
        <v>8100</v>
      </c>
      <c r="AF3865">
        <v>8100</v>
      </c>
      <c r="AG3865">
        <v>0</v>
      </c>
      <c r="AH3865">
        <v>92</v>
      </c>
    </row>
    <row r="3866" spans="2:34" x14ac:dyDescent="0.35">
      <c r="B3866" t="s">
        <v>747</v>
      </c>
      <c r="C3866">
        <v>45840</v>
      </c>
      <c r="F3866" t="s">
        <v>749</v>
      </c>
      <c r="H3866">
        <v>55.38</v>
      </c>
      <c r="O3866" t="s">
        <v>239</v>
      </c>
      <c r="P3866" t="s">
        <v>514</v>
      </c>
      <c r="Y3866">
        <v>3832</v>
      </c>
      <c r="Z3866" s="259" t="s">
        <v>630</v>
      </c>
      <c r="AA3866">
        <v>80</v>
      </c>
      <c r="AB3866">
        <v>4004</v>
      </c>
      <c r="AC3866">
        <v>45840</v>
      </c>
      <c r="AD3866">
        <v>0</v>
      </c>
      <c r="AE3866">
        <v>4430.4000000000005</v>
      </c>
      <c r="AF3866">
        <v>4430.4000000000005</v>
      </c>
      <c r="AG3866">
        <v>0</v>
      </c>
      <c r="AH3866">
        <v>426.40000000000055</v>
      </c>
    </row>
    <row r="3867" spans="2:34" x14ac:dyDescent="0.35">
      <c r="B3867" t="s">
        <v>747</v>
      </c>
      <c r="C3867">
        <v>45840</v>
      </c>
      <c r="F3867" t="s">
        <v>752</v>
      </c>
      <c r="H3867">
        <v>181.87</v>
      </c>
      <c r="O3867" t="s">
        <v>239</v>
      </c>
      <c r="P3867" t="s">
        <v>514</v>
      </c>
      <c r="Y3867">
        <v>3833</v>
      </c>
      <c r="Z3867" s="259" t="s">
        <v>630</v>
      </c>
      <c r="AA3867">
        <v>0</v>
      </c>
      <c r="AB3867">
        <v>0</v>
      </c>
      <c r="AC3867">
        <v>45840</v>
      </c>
      <c r="AD3867">
        <v>0</v>
      </c>
      <c r="AE3867">
        <v>0</v>
      </c>
      <c r="AF3867">
        <v>0</v>
      </c>
      <c r="AG3867">
        <v>0</v>
      </c>
      <c r="AH3867">
        <v>0</v>
      </c>
    </row>
    <row r="3868" spans="2:34" x14ac:dyDescent="0.35">
      <c r="B3868" t="s">
        <v>747</v>
      </c>
      <c r="C3868">
        <v>45840</v>
      </c>
      <c r="F3868" t="s">
        <v>754</v>
      </c>
      <c r="H3868">
        <v>80.87</v>
      </c>
      <c r="O3868" t="s">
        <v>239</v>
      </c>
      <c r="P3868" t="s">
        <v>514</v>
      </c>
      <c r="Y3868">
        <v>3834</v>
      </c>
      <c r="Z3868" s="259" t="s">
        <v>630</v>
      </c>
      <c r="AA3868">
        <v>100</v>
      </c>
      <c r="AB3868">
        <v>8008</v>
      </c>
      <c r="AC3868">
        <v>45840</v>
      </c>
      <c r="AD3868">
        <v>0</v>
      </c>
      <c r="AE3868">
        <v>8087</v>
      </c>
      <c r="AF3868">
        <v>8087</v>
      </c>
      <c r="AG3868">
        <v>0</v>
      </c>
      <c r="AH3868">
        <v>79</v>
      </c>
    </row>
    <row r="3869" spans="2:34" x14ac:dyDescent="0.35">
      <c r="B3869" t="s">
        <v>747</v>
      </c>
      <c r="C3869">
        <v>45841</v>
      </c>
      <c r="F3869" t="s">
        <v>749</v>
      </c>
      <c r="H3869">
        <v>55.27</v>
      </c>
      <c r="O3869" t="s">
        <v>239</v>
      </c>
      <c r="P3869" t="s">
        <v>514</v>
      </c>
      <c r="Y3869">
        <v>3835</v>
      </c>
      <c r="Z3869" s="259" t="s">
        <v>630</v>
      </c>
      <c r="AA3869">
        <v>80</v>
      </c>
      <c r="AB3869">
        <v>4004</v>
      </c>
      <c r="AC3869">
        <v>45841</v>
      </c>
      <c r="AD3869">
        <v>0</v>
      </c>
      <c r="AE3869">
        <v>4421.6000000000004</v>
      </c>
      <c r="AF3869">
        <v>4421.6000000000004</v>
      </c>
      <c r="AG3869">
        <v>0</v>
      </c>
      <c r="AH3869">
        <v>417.60000000000036</v>
      </c>
    </row>
    <row r="3870" spans="2:34" x14ac:dyDescent="0.35">
      <c r="B3870" t="s">
        <v>747</v>
      </c>
      <c r="C3870">
        <v>45841</v>
      </c>
      <c r="F3870" t="s">
        <v>752</v>
      </c>
      <c r="H3870">
        <v>181.73</v>
      </c>
      <c r="O3870" t="s">
        <v>239</v>
      </c>
      <c r="P3870" t="s">
        <v>514</v>
      </c>
      <c r="Y3870">
        <v>3836</v>
      </c>
      <c r="Z3870" s="259" t="s">
        <v>630</v>
      </c>
      <c r="AA3870">
        <v>0</v>
      </c>
      <c r="AB3870">
        <v>0</v>
      </c>
      <c r="AC3870">
        <v>45841</v>
      </c>
      <c r="AD3870">
        <v>0</v>
      </c>
      <c r="AE3870">
        <v>0</v>
      </c>
      <c r="AF3870">
        <v>0</v>
      </c>
      <c r="AG3870">
        <v>0</v>
      </c>
      <c r="AH3870">
        <v>0</v>
      </c>
    </row>
    <row r="3871" spans="2:34" x14ac:dyDescent="0.35">
      <c r="B3871" t="s">
        <v>747</v>
      </c>
      <c r="C3871">
        <v>45841</v>
      </c>
      <c r="F3871" t="s">
        <v>754</v>
      </c>
      <c r="H3871">
        <v>80.73</v>
      </c>
      <c r="O3871" t="s">
        <v>239</v>
      </c>
      <c r="P3871" t="s">
        <v>514</v>
      </c>
      <c r="Y3871">
        <v>3837</v>
      </c>
      <c r="Z3871" s="259" t="s">
        <v>630</v>
      </c>
      <c r="AA3871">
        <v>100</v>
      </c>
      <c r="AB3871">
        <v>8008</v>
      </c>
      <c r="AC3871">
        <v>45841</v>
      </c>
      <c r="AD3871">
        <v>0</v>
      </c>
      <c r="AE3871">
        <v>8073</v>
      </c>
      <c r="AF3871">
        <v>8073</v>
      </c>
      <c r="AG3871">
        <v>0</v>
      </c>
      <c r="AH3871">
        <v>65</v>
      </c>
    </row>
    <row r="3872" spans="2:34" x14ac:dyDescent="0.35">
      <c r="B3872" t="s">
        <v>747</v>
      </c>
      <c r="C3872">
        <v>45842</v>
      </c>
      <c r="F3872" t="s">
        <v>749</v>
      </c>
      <c r="H3872">
        <v>55.15</v>
      </c>
      <c r="O3872" t="s">
        <v>239</v>
      </c>
      <c r="P3872" t="s">
        <v>514</v>
      </c>
      <c r="Y3872">
        <v>3838</v>
      </c>
      <c r="Z3872" s="259" t="s">
        <v>630</v>
      </c>
      <c r="AA3872">
        <v>80</v>
      </c>
      <c r="AB3872">
        <v>4004</v>
      </c>
      <c r="AC3872">
        <v>45842</v>
      </c>
      <c r="AD3872">
        <v>0</v>
      </c>
      <c r="AE3872">
        <v>4412</v>
      </c>
      <c r="AF3872">
        <v>4412</v>
      </c>
      <c r="AG3872">
        <v>0</v>
      </c>
      <c r="AH3872">
        <v>408</v>
      </c>
    </row>
    <row r="3873" spans="2:34" x14ac:dyDescent="0.35">
      <c r="B3873" t="s">
        <v>747</v>
      </c>
      <c r="C3873">
        <v>45842</v>
      </c>
      <c r="F3873" t="s">
        <v>752</v>
      </c>
      <c r="H3873">
        <v>181.6</v>
      </c>
      <c r="O3873" t="s">
        <v>239</v>
      </c>
      <c r="P3873" t="s">
        <v>514</v>
      </c>
      <c r="Y3873">
        <v>3839</v>
      </c>
      <c r="Z3873" s="259" t="s">
        <v>630</v>
      </c>
      <c r="AA3873">
        <v>0</v>
      </c>
      <c r="AB3873">
        <v>0</v>
      </c>
      <c r="AC3873">
        <v>45842</v>
      </c>
      <c r="AD3873">
        <v>0</v>
      </c>
      <c r="AE3873">
        <v>0</v>
      </c>
      <c r="AF3873">
        <v>0</v>
      </c>
      <c r="AG3873">
        <v>0</v>
      </c>
      <c r="AH3873">
        <v>0</v>
      </c>
    </row>
    <row r="3874" spans="2:34" x14ac:dyDescent="0.35">
      <c r="B3874" t="s">
        <v>747</v>
      </c>
      <c r="C3874">
        <v>45842</v>
      </c>
      <c r="F3874" t="s">
        <v>754</v>
      </c>
      <c r="H3874">
        <v>80.599999999999994</v>
      </c>
      <c r="O3874" t="s">
        <v>239</v>
      </c>
      <c r="P3874" t="s">
        <v>514</v>
      </c>
      <c r="Y3874">
        <v>3840</v>
      </c>
      <c r="Z3874" s="259" t="s">
        <v>630</v>
      </c>
      <c r="AA3874">
        <v>100</v>
      </c>
      <c r="AB3874">
        <v>8008</v>
      </c>
      <c r="AC3874">
        <v>45842</v>
      </c>
      <c r="AD3874">
        <v>0</v>
      </c>
      <c r="AE3874">
        <v>8059.9999999999991</v>
      </c>
      <c r="AF3874">
        <v>8059.9999999999991</v>
      </c>
      <c r="AG3874">
        <v>0</v>
      </c>
      <c r="AH3874">
        <v>51.999999999999091</v>
      </c>
    </row>
    <row r="3875" spans="2:34" x14ac:dyDescent="0.35">
      <c r="B3875" t="s">
        <v>747</v>
      </c>
      <c r="C3875">
        <v>45843</v>
      </c>
      <c r="F3875" t="s">
        <v>749</v>
      </c>
      <c r="H3875">
        <v>55.15</v>
      </c>
      <c r="O3875" t="s">
        <v>239</v>
      </c>
      <c r="P3875" t="s">
        <v>514</v>
      </c>
      <c r="Y3875">
        <v>3841</v>
      </c>
      <c r="Z3875" s="259" t="s">
        <v>630</v>
      </c>
      <c r="AA3875">
        <v>80</v>
      </c>
      <c r="AB3875">
        <v>4004</v>
      </c>
      <c r="AC3875">
        <v>45842</v>
      </c>
      <c r="AD3875">
        <v>1</v>
      </c>
      <c r="AE3875">
        <v>4412</v>
      </c>
      <c r="AF3875">
        <v>4412</v>
      </c>
      <c r="AG3875">
        <v>0</v>
      </c>
      <c r="AH3875">
        <v>408</v>
      </c>
    </row>
    <row r="3876" spans="2:34" x14ac:dyDescent="0.35">
      <c r="B3876" t="s">
        <v>747</v>
      </c>
      <c r="C3876">
        <v>45843</v>
      </c>
      <c r="F3876" t="s">
        <v>752</v>
      </c>
      <c r="H3876">
        <v>181.6</v>
      </c>
      <c r="O3876" t="s">
        <v>239</v>
      </c>
      <c r="P3876" t="s">
        <v>514</v>
      </c>
      <c r="Y3876">
        <v>3842</v>
      </c>
      <c r="Z3876" s="259" t="s">
        <v>630</v>
      </c>
      <c r="AA3876">
        <v>0</v>
      </c>
      <c r="AB3876">
        <v>0</v>
      </c>
      <c r="AC3876">
        <v>45842</v>
      </c>
      <c r="AD3876">
        <v>1</v>
      </c>
      <c r="AE3876">
        <v>0</v>
      </c>
      <c r="AF3876">
        <v>0</v>
      </c>
      <c r="AG3876">
        <v>0</v>
      </c>
      <c r="AH3876">
        <v>0</v>
      </c>
    </row>
    <row r="3877" spans="2:34" x14ac:dyDescent="0.35">
      <c r="B3877" t="s">
        <v>747</v>
      </c>
      <c r="C3877">
        <v>45843</v>
      </c>
      <c r="F3877" t="s">
        <v>754</v>
      </c>
      <c r="H3877">
        <v>80.599999999999994</v>
      </c>
      <c r="O3877" t="s">
        <v>239</v>
      </c>
      <c r="P3877" t="s">
        <v>514</v>
      </c>
      <c r="Y3877">
        <v>3843</v>
      </c>
      <c r="Z3877" s="259" t="s">
        <v>630</v>
      </c>
      <c r="AA3877">
        <v>100</v>
      </c>
      <c r="AB3877">
        <v>8008</v>
      </c>
      <c r="AC3877">
        <v>45842</v>
      </c>
      <c r="AD3877">
        <v>1</v>
      </c>
      <c r="AE3877">
        <v>8059.9999999999991</v>
      </c>
      <c r="AF3877">
        <v>8059.9999999999991</v>
      </c>
      <c r="AG3877">
        <v>0</v>
      </c>
      <c r="AH3877">
        <v>51.999999999999091</v>
      </c>
    </row>
    <row r="3878" spans="2:34" x14ac:dyDescent="0.35">
      <c r="B3878" t="s">
        <v>747</v>
      </c>
      <c r="C3878">
        <v>45844</v>
      </c>
      <c r="F3878" t="s">
        <v>749</v>
      </c>
      <c r="H3878">
        <v>55.15</v>
      </c>
      <c r="O3878" t="s">
        <v>239</v>
      </c>
      <c r="P3878" t="s">
        <v>514</v>
      </c>
      <c r="Y3878">
        <v>3844</v>
      </c>
      <c r="Z3878" s="259" t="s">
        <v>630</v>
      </c>
      <c r="AA3878">
        <v>80</v>
      </c>
      <c r="AB3878">
        <v>4004</v>
      </c>
      <c r="AC3878">
        <v>45842</v>
      </c>
      <c r="AD3878">
        <v>2</v>
      </c>
      <c r="AE3878">
        <v>4412</v>
      </c>
      <c r="AF3878">
        <v>4412</v>
      </c>
      <c r="AG3878">
        <v>0</v>
      </c>
      <c r="AH3878">
        <v>408</v>
      </c>
    </row>
    <row r="3879" spans="2:34" x14ac:dyDescent="0.35">
      <c r="B3879" t="s">
        <v>747</v>
      </c>
      <c r="C3879">
        <v>45844</v>
      </c>
      <c r="F3879" t="s">
        <v>752</v>
      </c>
      <c r="H3879">
        <v>181.6</v>
      </c>
      <c r="O3879" t="s">
        <v>239</v>
      </c>
      <c r="P3879" t="s">
        <v>514</v>
      </c>
      <c r="Y3879">
        <v>3845</v>
      </c>
      <c r="Z3879" s="259" t="s">
        <v>630</v>
      </c>
      <c r="AA3879">
        <v>0</v>
      </c>
      <c r="AB3879">
        <v>0</v>
      </c>
      <c r="AC3879">
        <v>45842</v>
      </c>
      <c r="AD3879">
        <v>2</v>
      </c>
      <c r="AE3879">
        <v>0</v>
      </c>
      <c r="AF3879">
        <v>0</v>
      </c>
      <c r="AG3879">
        <v>0</v>
      </c>
      <c r="AH3879">
        <v>0</v>
      </c>
    </row>
    <row r="3880" spans="2:34" x14ac:dyDescent="0.35">
      <c r="B3880" t="s">
        <v>747</v>
      </c>
      <c r="C3880">
        <v>45844</v>
      </c>
      <c r="F3880" t="s">
        <v>754</v>
      </c>
      <c r="H3880">
        <v>80.599999999999994</v>
      </c>
      <c r="O3880" t="s">
        <v>239</v>
      </c>
      <c r="P3880" t="s">
        <v>514</v>
      </c>
      <c r="Y3880">
        <v>3846</v>
      </c>
      <c r="Z3880" s="259" t="s">
        <v>630</v>
      </c>
      <c r="AA3880">
        <v>100</v>
      </c>
      <c r="AB3880">
        <v>8008</v>
      </c>
      <c r="AC3880">
        <v>45842</v>
      </c>
      <c r="AD3880">
        <v>2</v>
      </c>
      <c r="AE3880">
        <v>8059.9999999999991</v>
      </c>
      <c r="AF3880">
        <v>8059.9999999999991</v>
      </c>
      <c r="AG3880">
        <v>0</v>
      </c>
      <c r="AH3880">
        <v>51.999999999999091</v>
      </c>
    </row>
    <row r="3881" spans="2:34" x14ac:dyDescent="0.35">
      <c r="B3881" t="s">
        <v>747</v>
      </c>
      <c r="C3881">
        <v>45845</v>
      </c>
      <c r="F3881" t="s">
        <v>749</v>
      </c>
      <c r="H3881">
        <v>54.8</v>
      </c>
      <c r="O3881" t="s">
        <v>239</v>
      </c>
      <c r="P3881" t="s">
        <v>514</v>
      </c>
      <c r="Y3881">
        <v>3847</v>
      </c>
      <c r="Z3881" s="259" t="s">
        <v>630</v>
      </c>
      <c r="AA3881">
        <v>80</v>
      </c>
      <c r="AB3881">
        <v>4004</v>
      </c>
      <c r="AC3881">
        <v>45845</v>
      </c>
      <c r="AD3881">
        <v>0</v>
      </c>
      <c r="AE3881">
        <v>4384</v>
      </c>
      <c r="AF3881">
        <v>4384</v>
      </c>
      <c r="AG3881">
        <v>0</v>
      </c>
      <c r="AH3881">
        <v>380</v>
      </c>
    </row>
    <row r="3882" spans="2:34" x14ac:dyDescent="0.35">
      <c r="B3882" t="s">
        <v>747</v>
      </c>
      <c r="C3882">
        <v>45845</v>
      </c>
      <c r="F3882" t="s">
        <v>752</v>
      </c>
      <c r="H3882">
        <v>181.2</v>
      </c>
      <c r="O3882" t="s">
        <v>239</v>
      </c>
      <c r="P3882" t="s">
        <v>514</v>
      </c>
      <c r="Y3882">
        <v>3848</v>
      </c>
      <c r="Z3882" s="259" t="s">
        <v>630</v>
      </c>
      <c r="AA3882">
        <v>0</v>
      </c>
      <c r="AB3882">
        <v>0</v>
      </c>
      <c r="AC3882">
        <v>45845</v>
      </c>
      <c r="AD3882">
        <v>0</v>
      </c>
      <c r="AE3882">
        <v>0</v>
      </c>
      <c r="AF3882">
        <v>0</v>
      </c>
      <c r="AG3882">
        <v>0</v>
      </c>
      <c r="AH3882">
        <v>0</v>
      </c>
    </row>
    <row r="3883" spans="2:34" x14ac:dyDescent="0.35">
      <c r="B3883" t="s">
        <v>747</v>
      </c>
      <c r="C3883">
        <v>45845</v>
      </c>
      <c r="F3883" t="s">
        <v>754</v>
      </c>
      <c r="H3883">
        <v>80.2</v>
      </c>
      <c r="O3883" t="s">
        <v>239</v>
      </c>
      <c r="P3883" t="s">
        <v>514</v>
      </c>
      <c r="Y3883">
        <v>3849</v>
      </c>
      <c r="Z3883" s="259" t="s">
        <v>630</v>
      </c>
      <c r="AA3883">
        <v>100</v>
      </c>
      <c r="AB3883">
        <v>8008</v>
      </c>
      <c r="AC3883">
        <v>45845</v>
      </c>
      <c r="AD3883">
        <v>0</v>
      </c>
      <c r="AE3883">
        <v>8020</v>
      </c>
      <c r="AF3883">
        <v>8020</v>
      </c>
      <c r="AG3883">
        <v>0</v>
      </c>
      <c r="AH3883">
        <v>12</v>
      </c>
    </row>
    <row r="3884" spans="2:34" x14ac:dyDescent="0.35">
      <c r="B3884" t="s">
        <v>747</v>
      </c>
      <c r="C3884">
        <v>45846</v>
      </c>
      <c r="F3884" t="s">
        <v>749</v>
      </c>
      <c r="H3884">
        <v>54.68</v>
      </c>
      <c r="O3884" t="s">
        <v>239</v>
      </c>
      <c r="P3884" t="s">
        <v>514</v>
      </c>
      <c r="Y3884">
        <v>3850</v>
      </c>
      <c r="Z3884" s="259" t="s">
        <v>630</v>
      </c>
      <c r="AA3884">
        <v>80</v>
      </c>
      <c r="AB3884">
        <v>4004</v>
      </c>
      <c r="AC3884">
        <v>45846</v>
      </c>
      <c r="AD3884">
        <v>0</v>
      </c>
      <c r="AE3884">
        <v>4374.3999999999996</v>
      </c>
      <c r="AF3884">
        <v>4374.3999999999996</v>
      </c>
      <c r="AG3884">
        <v>0</v>
      </c>
      <c r="AH3884">
        <v>370.39999999999964</v>
      </c>
    </row>
    <row r="3885" spans="2:34" x14ac:dyDescent="0.35">
      <c r="B3885" t="s">
        <v>747</v>
      </c>
      <c r="C3885">
        <v>45846</v>
      </c>
      <c r="F3885" t="s">
        <v>752</v>
      </c>
      <c r="H3885">
        <v>181.07</v>
      </c>
      <c r="O3885" t="s">
        <v>239</v>
      </c>
      <c r="P3885" t="s">
        <v>514</v>
      </c>
      <c r="Y3885">
        <v>3851</v>
      </c>
      <c r="Z3885" s="259" t="s">
        <v>630</v>
      </c>
      <c r="AA3885">
        <v>0</v>
      </c>
      <c r="AB3885">
        <v>0</v>
      </c>
      <c r="AC3885">
        <v>45846</v>
      </c>
      <c r="AD3885">
        <v>0</v>
      </c>
      <c r="AE3885">
        <v>0</v>
      </c>
      <c r="AF3885">
        <v>0</v>
      </c>
      <c r="AG3885">
        <v>0</v>
      </c>
      <c r="AH3885">
        <v>0</v>
      </c>
    </row>
    <row r="3886" spans="2:34" x14ac:dyDescent="0.35">
      <c r="B3886" t="s">
        <v>747</v>
      </c>
      <c r="C3886">
        <v>45846</v>
      </c>
      <c r="F3886" t="s">
        <v>754</v>
      </c>
      <c r="H3886">
        <v>80.069999999999993</v>
      </c>
      <c r="O3886" t="s">
        <v>239</v>
      </c>
      <c r="P3886" t="s">
        <v>514</v>
      </c>
      <c r="Y3886">
        <v>3852</v>
      </c>
      <c r="Z3886" s="259" t="s">
        <v>630</v>
      </c>
      <c r="AA3886">
        <v>100</v>
      </c>
      <c r="AB3886">
        <v>8008</v>
      </c>
      <c r="AC3886">
        <v>45846</v>
      </c>
      <c r="AD3886">
        <v>0</v>
      </c>
      <c r="AE3886">
        <v>8006.9999999999991</v>
      </c>
      <c r="AF3886">
        <v>8006.9999999999991</v>
      </c>
      <c r="AG3886">
        <v>0</v>
      </c>
      <c r="AH3886">
        <v>-1.0000000000009095</v>
      </c>
    </row>
    <row r="3887" spans="2:34" x14ac:dyDescent="0.35">
      <c r="B3887" t="s">
        <v>747</v>
      </c>
      <c r="C3887">
        <v>45847</v>
      </c>
      <c r="F3887" t="s">
        <v>749</v>
      </c>
      <c r="H3887">
        <v>54.57</v>
      </c>
      <c r="O3887" t="s">
        <v>239</v>
      </c>
      <c r="P3887" t="s">
        <v>514</v>
      </c>
      <c r="Y3887">
        <v>3853</v>
      </c>
      <c r="Z3887" s="259" t="s">
        <v>630</v>
      </c>
      <c r="AA3887">
        <v>80</v>
      </c>
      <c r="AB3887">
        <v>4004</v>
      </c>
      <c r="AC3887">
        <v>45847</v>
      </c>
      <c r="AD3887">
        <v>0</v>
      </c>
      <c r="AE3887">
        <v>4365.6000000000004</v>
      </c>
      <c r="AF3887">
        <v>4365.6000000000004</v>
      </c>
      <c r="AG3887">
        <v>0</v>
      </c>
      <c r="AH3887">
        <v>361.60000000000036</v>
      </c>
    </row>
    <row r="3888" spans="2:34" x14ac:dyDescent="0.35">
      <c r="B3888" t="s">
        <v>747</v>
      </c>
      <c r="C3888">
        <v>45847</v>
      </c>
      <c r="F3888" t="s">
        <v>752</v>
      </c>
      <c r="H3888">
        <v>180.93</v>
      </c>
      <c r="O3888" t="s">
        <v>239</v>
      </c>
      <c r="P3888" t="s">
        <v>514</v>
      </c>
      <c r="Y3888">
        <v>3854</v>
      </c>
      <c r="Z3888" s="259" t="s">
        <v>630</v>
      </c>
      <c r="AA3888">
        <v>0</v>
      </c>
      <c r="AB3888">
        <v>0</v>
      </c>
      <c r="AC3888">
        <v>45847</v>
      </c>
      <c r="AD3888">
        <v>0</v>
      </c>
      <c r="AE3888">
        <v>0</v>
      </c>
      <c r="AF3888">
        <v>0</v>
      </c>
      <c r="AG3888">
        <v>0</v>
      </c>
      <c r="AH3888">
        <v>0</v>
      </c>
    </row>
    <row r="3889" spans="2:34" x14ac:dyDescent="0.35">
      <c r="B3889" t="s">
        <v>747</v>
      </c>
      <c r="C3889">
        <v>45847</v>
      </c>
      <c r="F3889" t="s">
        <v>754</v>
      </c>
      <c r="H3889">
        <v>79.930000000000007</v>
      </c>
      <c r="O3889" t="s">
        <v>239</v>
      </c>
      <c r="P3889" t="s">
        <v>514</v>
      </c>
      <c r="Y3889">
        <v>3855</v>
      </c>
      <c r="Z3889" s="259" t="s">
        <v>630</v>
      </c>
      <c r="AA3889">
        <v>100</v>
      </c>
      <c r="AB3889">
        <v>8008</v>
      </c>
      <c r="AC3889">
        <v>45847</v>
      </c>
      <c r="AD3889">
        <v>0</v>
      </c>
      <c r="AE3889">
        <v>7993.0000000000009</v>
      </c>
      <c r="AF3889">
        <v>7993.0000000000009</v>
      </c>
      <c r="AG3889">
        <v>0</v>
      </c>
      <c r="AH3889">
        <v>-14.999999999999091</v>
      </c>
    </row>
    <row r="3890" spans="2:34" x14ac:dyDescent="0.35">
      <c r="B3890" t="s">
        <v>747</v>
      </c>
      <c r="C3890">
        <v>45848</v>
      </c>
      <c r="F3890" t="s">
        <v>749</v>
      </c>
      <c r="H3890">
        <v>54.45</v>
      </c>
      <c r="O3890" t="s">
        <v>239</v>
      </c>
      <c r="P3890" t="s">
        <v>514</v>
      </c>
      <c r="Y3890">
        <v>3856</v>
      </c>
      <c r="Z3890" s="259" t="s">
        <v>630</v>
      </c>
      <c r="AA3890">
        <v>80</v>
      </c>
      <c r="AB3890">
        <v>4004</v>
      </c>
      <c r="AC3890">
        <v>45848</v>
      </c>
      <c r="AD3890">
        <v>0</v>
      </c>
      <c r="AE3890">
        <v>4356</v>
      </c>
      <c r="AF3890">
        <v>4356</v>
      </c>
      <c r="AG3890">
        <v>0</v>
      </c>
      <c r="AH3890">
        <v>352</v>
      </c>
    </row>
    <row r="3891" spans="2:34" x14ac:dyDescent="0.35">
      <c r="B3891" t="s">
        <v>747</v>
      </c>
      <c r="C3891">
        <v>45848</v>
      </c>
      <c r="F3891" t="s">
        <v>752</v>
      </c>
      <c r="H3891">
        <v>180.8</v>
      </c>
      <c r="O3891" t="s">
        <v>239</v>
      </c>
      <c r="P3891" t="s">
        <v>514</v>
      </c>
      <c r="Y3891">
        <v>3857</v>
      </c>
      <c r="Z3891" s="259" t="s">
        <v>630</v>
      </c>
      <c r="AA3891">
        <v>0</v>
      </c>
      <c r="AB3891">
        <v>0</v>
      </c>
      <c r="AC3891">
        <v>45848</v>
      </c>
      <c r="AD3891">
        <v>0</v>
      </c>
      <c r="AE3891">
        <v>0</v>
      </c>
      <c r="AF3891">
        <v>0</v>
      </c>
      <c r="AG3891">
        <v>0</v>
      </c>
      <c r="AH3891">
        <v>0</v>
      </c>
    </row>
    <row r="3892" spans="2:34" x14ac:dyDescent="0.35">
      <c r="B3892" t="s">
        <v>747</v>
      </c>
      <c r="C3892">
        <v>45848</v>
      </c>
      <c r="F3892" t="s">
        <v>754</v>
      </c>
      <c r="H3892">
        <v>79.8</v>
      </c>
      <c r="O3892" t="s">
        <v>239</v>
      </c>
      <c r="P3892" t="s">
        <v>514</v>
      </c>
      <c r="Y3892">
        <v>3858</v>
      </c>
      <c r="Z3892" s="259" t="s">
        <v>630</v>
      </c>
      <c r="AA3892">
        <v>100</v>
      </c>
      <c r="AB3892">
        <v>8008</v>
      </c>
      <c r="AC3892">
        <v>45848</v>
      </c>
      <c r="AD3892">
        <v>0</v>
      </c>
      <c r="AE3892">
        <v>7980</v>
      </c>
      <c r="AF3892">
        <v>7980</v>
      </c>
      <c r="AG3892">
        <v>0</v>
      </c>
      <c r="AH3892">
        <v>-28</v>
      </c>
    </row>
    <row r="3893" spans="2:34" x14ac:dyDescent="0.35">
      <c r="B3893" t="s">
        <v>747</v>
      </c>
      <c r="C3893">
        <v>45849</v>
      </c>
      <c r="F3893" t="s">
        <v>749</v>
      </c>
      <c r="H3893">
        <v>54.33</v>
      </c>
      <c r="O3893" t="s">
        <v>239</v>
      </c>
      <c r="P3893" t="s">
        <v>514</v>
      </c>
      <c r="Y3893">
        <v>3859</v>
      </c>
      <c r="Z3893" s="259" t="s">
        <v>630</v>
      </c>
      <c r="AA3893">
        <v>80</v>
      </c>
      <c r="AB3893">
        <v>4004</v>
      </c>
      <c r="AC3893">
        <v>45849</v>
      </c>
      <c r="AD3893">
        <v>0</v>
      </c>
      <c r="AE3893">
        <v>4346.3999999999996</v>
      </c>
      <c r="AF3893">
        <v>4346.3999999999996</v>
      </c>
      <c r="AG3893">
        <v>0</v>
      </c>
      <c r="AH3893">
        <v>342.39999999999964</v>
      </c>
    </row>
    <row r="3894" spans="2:34" x14ac:dyDescent="0.35">
      <c r="B3894" t="s">
        <v>747</v>
      </c>
      <c r="C3894">
        <v>45849</v>
      </c>
      <c r="F3894" t="s">
        <v>752</v>
      </c>
      <c r="H3894">
        <v>180.67</v>
      </c>
      <c r="O3894" t="s">
        <v>239</v>
      </c>
      <c r="P3894" t="s">
        <v>514</v>
      </c>
      <c r="Y3894">
        <v>3860</v>
      </c>
      <c r="Z3894" s="259" t="s">
        <v>630</v>
      </c>
      <c r="AA3894">
        <v>0</v>
      </c>
      <c r="AB3894">
        <v>0</v>
      </c>
      <c r="AC3894">
        <v>45849</v>
      </c>
      <c r="AD3894">
        <v>0</v>
      </c>
      <c r="AE3894">
        <v>0</v>
      </c>
      <c r="AF3894">
        <v>0</v>
      </c>
      <c r="AG3894">
        <v>0</v>
      </c>
      <c r="AH3894">
        <v>0</v>
      </c>
    </row>
    <row r="3895" spans="2:34" x14ac:dyDescent="0.35">
      <c r="B3895" t="s">
        <v>747</v>
      </c>
      <c r="C3895">
        <v>45849</v>
      </c>
      <c r="F3895" t="s">
        <v>754</v>
      </c>
      <c r="H3895">
        <v>79.67</v>
      </c>
      <c r="O3895" t="s">
        <v>239</v>
      </c>
      <c r="P3895" t="s">
        <v>514</v>
      </c>
      <c r="Y3895">
        <v>3861</v>
      </c>
      <c r="Z3895" s="259" t="s">
        <v>630</v>
      </c>
      <c r="AA3895">
        <v>100</v>
      </c>
      <c r="AB3895">
        <v>8008</v>
      </c>
      <c r="AC3895">
        <v>45849</v>
      </c>
      <c r="AD3895">
        <v>0</v>
      </c>
      <c r="AE3895">
        <v>7967</v>
      </c>
      <c r="AF3895">
        <v>7967</v>
      </c>
      <c r="AG3895">
        <v>0</v>
      </c>
      <c r="AH3895">
        <v>-41</v>
      </c>
    </row>
    <row r="3896" spans="2:34" x14ac:dyDescent="0.35">
      <c r="B3896" t="s">
        <v>747</v>
      </c>
      <c r="C3896">
        <v>45850</v>
      </c>
      <c r="F3896" t="s">
        <v>749</v>
      </c>
      <c r="H3896">
        <v>54.33</v>
      </c>
      <c r="O3896" t="s">
        <v>239</v>
      </c>
      <c r="P3896" t="s">
        <v>514</v>
      </c>
      <c r="Y3896">
        <v>3862</v>
      </c>
      <c r="Z3896" s="259" t="s">
        <v>630</v>
      </c>
      <c r="AA3896">
        <v>80</v>
      </c>
      <c r="AB3896">
        <v>4004</v>
      </c>
      <c r="AC3896">
        <v>45849</v>
      </c>
      <c r="AD3896">
        <v>1</v>
      </c>
      <c r="AE3896">
        <v>4346.3999999999996</v>
      </c>
      <c r="AF3896">
        <v>4346.3999999999996</v>
      </c>
      <c r="AG3896">
        <v>0</v>
      </c>
      <c r="AH3896">
        <v>342.39999999999964</v>
      </c>
    </row>
    <row r="3897" spans="2:34" x14ac:dyDescent="0.35">
      <c r="B3897" t="s">
        <v>747</v>
      </c>
      <c r="C3897">
        <v>45850</v>
      </c>
      <c r="F3897" t="s">
        <v>752</v>
      </c>
      <c r="H3897">
        <v>180.67</v>
      </c>
      <c r="O3897" t="s">
        <v>239</v>
      </c>
      <c r="P3897" t="s">
        <v>514</v>
      </c>
      <c r="Y3897">
        <v>3863</v>
      </c>
      <c r="Z3897" s="259" t="s">
        <v>630</v>
      </c>
      <c r="AA3897">
        <v>0</v>
      </c>
      <c r="AB3897">
        <v>0</v>
      </c>
      <c r="AC3897">
        <v>45849</v>
      </c>
      <c r="AD3897">
        <v>1</v>
      </c>
      <c r="AE3897">
        <v>0</v>
      </c>
      <c r="AF3897">
        <v>0</v>
      </c>
      <c r="AG3897">
        <v>0</v>
      </c>
      <c r="AH3897">
        <v>0</v>
      </c>
    </row>
    <row r="3898" spans="2:34" x14ac:dyDescent="0.35">
      <c r="B3898" t="s">
        <v>747</v>
      </c>
      <c r="C3898">
        <v>45850</v>
      </c>
      <c r="F3898" t="s">
        <v>754</v>
      </c>
      <c r="H3898">
        <v>79.67</v>
      </c>
      <c r="O3898" t="s">
        <v>239</v>
      </c>
      <c r="P3898" t="s">
        <v>514</v>
      </c>
      <c r="Y3898">
        <v>3864</v>
      </c>
      <c r="Z3898" s="259" t="s">
        <v>630</v>
      </c>
      <c r="AA3898">
        <v>100</v>
      </c>
      <c r="AB3898">
        <v>8008</v>
      </c>
      <c r="AC3898">
        <v>45849</v>
      </c>
      <c r="AD3898">
        <v>1</v>
      </c>
      <c r="AE3898">
        <v>7967</v>
      </c>
      <c r="AF3898">
        <v>7967</v>
      </c>
      <c r="AG3898">
        <v>0</v>
      </c>
      <c r="AH3898">
        <v>-41</v>
      </c>
    </row>
    <row r="3899" spans="2:34" x14ac:dyDescent="0.35">
      <c r="B3899" t="s">
        <v>747</v>
      </c>
      <c r="C3899">
        <v>45851</v>
      </c>
      <c r="F3899" t="s">
        <v>749</v>
      </c>
      <c r="H3899">
        <v>54.33</v>
      </c>
      <c r="O3899" t="s">
        <v>239</v>
      </c>
      <c r="P3899" t="s">
        <v>514</v>
      </c>
      <c r="Y3899">
        <v>3865</v>
      </c>
      <c r="Z3899" s="259" t="s">
        <v>630</v>
      </c>
      <c r="AA3899">
        <v>80</v>
      </c>
      <c r="AB3899">
        <v>4004</v>
      </c>
      <c r="AC3899">
        <v>45849</v>
      </c>
      <c r="AD3899">
        <v>2</v>
      </c>
      <c r="AE3899">
        <v>4346.3999999999996</v>
      </c>
      <c r="AF3899">
        <v>4346.3999999999996</v>
      </c>
      <c r="AG3899">
        <v>0</v>
      </c>
      <c r="AH3899">
        <v>342.39999999999964</v>
      </c>
    </row>
    <row r="3900" spans="2:34" x14ac:dyDescent="0.35">
      <c r="B3900" t="s">
        <v>747</v>
      </c>
      <c r="C3900">
        <v>45851</v>
      </c>
      <c r="F3900" t="s">
        <v>752</v>
      </c>
      <c r="H3900">
        <v>180.67</v>
      </c>
      <c r="O3900" t="s">
        <v>239</v>
      </c>
      <c r="P3900" t="s">
        <v>514</v>
      </c>
      <c r="Y3900">
        <v>3866</v>
      </c>
      <c r="Z3900" s="259" t="s">
        <v>630</v>
      </c>
      <c r="AA3900">
        <v>0</v>
      </c>
      <c r="AB3900">
        <v>0</v>
      </c>
      <c r="AC3900">
        <v>45849</v>
      </c>
      <c r="AD3900">
        <v>2</v>
      </c>
      <c r="AE3900">
        <v>0</v>
      </c>
      <c r="AF3900">
        <v>0</v>
      </c>
      <c r="AG3900">
        <v>0</v>
      </c>
      <c r="AH3900">
        <v>0</v>
      </c>
    </row>
    <row r="3901" spans="2:34" x14ac:dyDescent="0.35">
      <c r="B3901" t="s">
        <v>747</v>
      </c>
      <c r="C3901">
        <v>45851</v>
      </c>
      <c r="F3901" t="s">
        <v>754</v>
      </c>
      <c r="H3901">
        <v>79.67</v>
      </c>
      <c r="O3901" t="s">
        <v>239</v>
      </c>
      <c r="P3901" t="s">
        <v>514</v>
      </c>
      <c r="Y3901">
        <v>3867</v>
      </c>
      <c r="Z3901" s="259" t="s">
        <v>630</v>
      </c>
      <c r="AA3901">
        <v>100</v>
      </c>
      <c r="AB3901">
        <v>8008</v>
      </c>
      <c r="AC3901">
        <v>45849</v>
      </c>
      <c r="AD3901">
        <v>2</v>
      </c>
      <c r="AE3901">
        <v>7967</v>
      </c>
      <c r="AF3901">
        <v>7967</v>
      </c>
      <c r="AG3901">
        <v>0</v>
      </c>
      <c r="AH3901">
        <v>-41</v>
      </c>
    </row>
    <row r="3902" spans="2:34" x14ac:dyDescent="0.35">
      <c r="B3902" t="s">
        <v>747</v>
      </c>
      <c r="C3902">
        <v>45852</v>
      </c>
      <c r="F3902" t="s">
        <v>749</v>
      </c>
      <c r="H3902">
        <v>53.98</v>
      </c>
      <c r="O3902" t="s">
        <v>239</v>
      </c>
      <c r="P3902" t="s">
        <v>514</v>
      </c>
      <c r="Y3902">
        <v>3868</v>
      </c>
      <c r="Z3902" s="259" t="s">
        <v>630</v>
      </c>
      <c r="AA3902">
        <v>80</v>
      </c>
      <c r="AB3902">
        <v>4004</v>
      </c>
      <c r="AC3902">
        <v>45852</v>
      </c>
      <c r="AD3902">
        <v>0</v>
      </c>
      <c r="AE3902">
        <v>4318.3999999999996</v>
      </c>
      <c r="AF3902">
        <v>4318.3999999999996</v>
      </c>
      <c r="AG3902">
        <v>0</v>
      </c>
      <c r="AH3902">
        <v>314.39999999999964</v>
      </c>
    </row>
    <row r="3903" spans="2:34" x14ac:dyDescent="0.35">
      <c r="B3903" t="s">
        <v>747</v>
      </c>
      <c r="C3903">
        <v>45852</v>
      </c>
      <c r="F3903" t="s">
        <v>752</v>
      </c>
      <c r="H3903">
        <v>180.27</v>
      </c>
      <c r="O3903" t="s">
        <v>239</v>
      </c>
      <c r="P3903" t="s">
        <v>514</v>
      </c>
      <c r="Y3903">
        <v>3869</v>
      </c>
      <c r="Z3903" s="259" t="s">
        <v>630</v>
      </c>
      <c r="AA3903">
        <v>0</v>
      </c>
      <c r="AB3903">
        <v>0</v>
      </c>
      <c r="AC3903">
        <v>45852</v>
      </c>
      <c r="AD3903">
        <v>0</v>
      </c>
      <c r="AE3903">
        <v>0</v>
      </c>
      <c r="AF3903">
        <v>0</v>
      </c>
      <c r="AG3903">
        <v>0</v>
      </c>
      <c r="AH3903">
        <v>0</v>
      </c>
    </row>
    <row r="3904" spans="2:34" x14ac:dyDescent="0.35">
      <c r="B3904" t="s">
        <v>747</v>
      </c>
      <c r="C3904">
        <v>45852</v>
      </c>
      <c r="F3904" t="s">
        <v>754</v>
      </c>
      <c r="H3904">
        <v>79.27</v>
      </c>
      <c r="O3904" t="s">
        <v>239</v>
      </c>
      <c r="P3904" t="s">
        <v>514</v>
      </c>
      <c r="Y3904">
        <v>3870</v>
      </c>
      <c r="Z3904" s="259" t="s">
        <v>630</v>
      </c>
      <c r="AA3904">
        <v>100</v>
      </c>
      <c r="AB3904">
        <v>8008</v>
      </c>
      <c r="AC3904">
        <v>45852</v>
      </c>
      <c r="AD3904">
        <v>0</v>
      </c>
      <c r="AE3904">
        <v>7927</v>
      </c>
      <c r="AF3904">
        <v>7927</v>
      </c>
      <c r="AG3904">
        <v>0</v>
      </c>
      <c r="AH3904">
        <v>-81</v>
      </c>
    </row>
    <row r="3905" spans="2:34" x14ac:dyDescent="0.35">
      <c r="B3905" t="s">
        <v>747</v>
      </c>
      <c r="C3905">
        <v>45853</v>
      </c>
      <c r="F3905" t="s">
        <v>749</v>
      </c>
      <c r="H3905">
        <v>53.87</v>
      </c>
      <c r="O3905" t="s">
        <v>239</v>
      </c>
      <c r="P3905" t="s">
        <v>514</v>
      </c>
      <c r="Y3905">
        <v>3871</v>
      </c>
      <c r="Z3905" s="259" t="s">
        <v>630</v>
      </c>
      <c r="AA3905">
        <v>80</v>
      </c>
      <c r="AB3905">
        <v>4004</v>
      </c>
      <c r="AC3905">
        <v>45853</v>
      </c>
      <c r="AD3905">
        <v>0</v>
      </c>
      <c r="AE3905">
        <v>4309.5999999999995</v>
      </c>
      <c r="AF3905">
        <v>4309.5999999999995</v>
      </c>
      <c r="AG3905">
        <v>0</v>
      </c>
      <c r="AH3905">
        <v>305.59999999999945</v>
      </c>
    </row>
    <row r="3906" spans="2:34" x14ac:dyDescent="0.35">
      <c r="B3906" t="s">
        <v>747</v>
      </c>
      <c r="C3906">
        <v>45853</v>
      </c>
      <c r="F3906" t="s">
        <v>752</v>
      </c>
      <c r="H3906">
        <v>180.13</v>
      </c>
      <c r="O3906" t="s">
        <v>239</v>
      </c>
      <c r="P3906" t="s">
        <v>514</v>
      </c>
      <c r="Y3906">
        <v>3872</v>
      </c>
      <c r="Z3906" s="259" t="s">
        <v>630</v>
      </c>
      <c r="AA3906">
        <v>0</v>
      </c>
      <c r="AB3906">
        <v>0</v>
      </c>
      <c r="AC3906">
        <v>45853</v>
      </c>
      <c r="AD3906">
        <v>0</v>
      </c>
      <c r="AE3906">
        <v>0</v>
      </c>
      <c r="AF3906">
        <v>0</v>
      </c>
      <c r="AG3906">
        <v>0</v>
      </c>
      <c r="AH3906">
        <v>0</v>
      </c>
    </row>
    <row r="3907" spans="2:34" x14ac:dyDescent="0.35">
      <c r="B3907" t="s">
        <v>747</v>
      </c>
      <c r="C3907">
        <v>45853</v>
      </c>
      <c r="F3907" t="s">
        <v>754</v>
      </c>
      <c r="H3907">
        <v>79.13</v>
      </c>
      <c r="O3907" t="s">
        <v>239</v>
      </c>
      <c r="P3907" t="s">
        <v>514</v>
      </c>
      <c r="Y3907">
        <v>3873</v>
      </c>
      <c r="Z3907" s="259" t="s">
        <v>630</v>
      </c>
      <c r="AA3907">
        <v>100</v>
      </c>
      <c r="AB3907">
        <v>8008</v>
      </c>
      <c r="AC3907">
        <v>45853</v>
      </c>
      <c r="AD3907">
        <v>0</v>
      </c>
      <c r="AE3907">
        <v>7913</v>
      </c>
      <c r="AF3907">
        <v>7913</v>
      </c>
      <c r="AG3907">
        <v>0</v>
      </c>
      <c r="AH3907">
        <v>-95</v>
      </c>
    </row>
    <row r="3908" spans="2:34" x14ac:dyDescent="0.35">
      <c r="B3908" t="s">
        <v>747</v>
      </c>
      <c r="C3908">
        <v>45854</v>
      </c>
      <c r="F3908" t="s">
        <v>749</v>
      </c>
      <c r="H3908">
        <v>53.75</v>
      </c>
      <c r="O3908" t="s">
        <v>239</v>
      </c>
      <c r="P3908" t="s">
        <v>514</v>
      </c>
      <c r="Y3908">
        <v>3874</v>
      </c>
      <c r="Z3908" s="259" t="s">
        <v>630</v>
      </c>
      <c r="AA3908">
        <v>80</v>
      </c>
      <c r="AB3908">
        <v>4004</v>
      </c>
      <c r="AC3908">
        <v>45854</v>
      </c>
      <c r="AD3908">
        <v>0</v>
      </c>
      <c r="AE3908">
        <v>4300</v>
      </c>
      <c r="AF3908">
        <v>4300</v>
      </c>
      <c r="AG3908">
        <v>0</v>
      </c>
      <c r="AH3908">
        <v>296</v>
      </c>
    </row>
    <row r="3909" spans="2:34" x14ac:dyDescent="0.35">
      <c r="B3909" t="s">
        <v>747</v>
      </c>
      <c r="C3909">
        <v>45854</v>
      </c>
      <c r="F3909" t="s">
        <v>752</v>
      </c>
      <c r="H3909">
        <v>180</v>
      </c>
      <c r="O3909" t="s">
        <v>239</v>
      </c>
      <c r="P3909" t="s">
        <v>514</v>
      </c>
      <c r="Y3909">
        <v>3875</v>
      </c>
      <c r="Z3909" s="259" t="s">
        <v>630</v>
      </c>
      <c r="AA3909">
        <v>0</v>
      </c>
      <c r="AB3909">
        <v>0</v>
      </c>
      <c r="AC3909">
        <v>45854</v>
      </c>
      <c r="AD3909">
        <v>0</v>
      </c>
      <c r="AE3909">
        <v>0</v>
      </c>
      <c r="AF3909">
        <v>0</v>
      </c>
      <c r="AG3909">
        <v>0</v>
      </c>
      <c r="AH3909">
        <v>0</v>
      </c>
    </row>
    <row r="3910" spans="2:34" x14ac:dyDescent="0.35">
      <c r="B3910" t="s">
        <v>747</v>
      </c>
      <c r="C3910">
        <v>45854</v>
      </c>
      <c r="F3910" t="s">
        <v>754</v>
      </c>
      <c r="H3910">
        <v>79</v>
      </c>
      <c r="O3910" t="s">
        <v>239</v>
      </c>
      <c r="P3910" t="s">
        <v>514</v>
      </c>
      <c r="Y3910">
        <v>3876</v>
      </c>
      <c r="Z3910" s="259" t="s">
        <v>630</v>
      </c>
      <c r="AA3910">
        <v>100</v>
      </c>
      <c r="AB3910">
        <v>8008</v>
      </c>
      <c r="AC3910">
        <v>45854</v>
      </c>
      <c r="AD3910">
        <v>0</v>
      </c>
      <c r="AE3910">
        <v>7900</v>
      </c>
      <c r="AF3910">
        <v>7900</v>
      </c>
      <c r="AG3910">
        <v>0</v>
      </c>
      <c r="AH3910">
        <v>-108</v>
      </c>
    </row>
    <row r="3911" spans="2:34" x14ac:dyDescent="0.35">
      <c r="B3911" t="s">
        <v>747</v>
      </c>
      <c r="C3911">
        <v>45855</v>
      </c>
      <c r="F3911" t="s">
        <v>749</v>
      </c>
      <c r="H3911">
        <v>53.63</v>
      </c>
      <c r="O3911" t="s">
        <v>239</v>
      </c>
      <c r="P3911" t="s">
        <v>514</v>
      </c>
      <c r="Y3911">
        <v>3877</v>
      </c>
      <c r="Z3911" s="259" t="s">
        <v>630</v>
      </c>
      <c r="AA3911">
        <v>80</v>
      </c>
      <c r="AB3911">
        <v>4004</v>
      </c>
      <c r="AC3911">
        <v>45855</v>
      </c>
      <c r="AD3911">
        <v>0</v>
      </c>
      <c r="AE3911">
        <v>4290.4000000000005</v>
      </c>
      <c r="AF3911">
        <v>4290.4000000000005</v>
      </c>
      <c r="AG3911">
        <v>0</v>
      </c>
      <c r="AH3911">
        <v>286.40000000000055</v>
      </c>
    </row>
    <row r="3912" spans="2:34" x14ac:dyDescent="0.35">
      <c r="B3912" t="s">
        <v>747</v>
      </c>
      <c r="C3912">
        <v>45855</v>
      </c>
      <c r="F3912" t="s">
        <v>752</v>
      </c>
      <c r="H3912">
        <v>179.87</v>
      </c>
      <c r="O3912" t="s">
        <v>239</v>
      </c>
      <c r="P3912" t="s">
        <v>514</v>
      </c>
      <c r="Y3912">
        <v>3878</v>
      </c>
      <c r="Z3912" s="259" t="s">
        <v>630</v>
      </c>
      <c r="AA3912">
        <v>0</v>
      </c>
      <c r="AB3912">
        <v>0</v>
      </c>
      <c r="AC3912">
        <v>45855</v>
      </c>
      <c r="AD3912">
        <v>0</v>
      </c>
      <c r="AE3912">
        <v>0</v>
      </c>
      <c r="AF3912">
        <v>0</v>
      </c>
      <c r="AG3912">
        <v>0</v>
      </c>
      <c r="AH3912">
        <v>0</v>
      </c>
    </row>
    <row r="3913" spans="2:34" x14ac:dyDescent="0.35">
      <c r="B3913" t="s">
        <v>747</v>
      </c>
      <c r="C3913">
        <v>45855</v>
      </c>
      <c r="F3913" t="s">
        <v>754</v>
      </c>
      <c r="H3913">
        <v>78.87</v>
      </c>
      <c r="O3913" t="s">
        <v>239</v>
      </c>
      <c r="P3913" t="s">
        <v>514</v>
      </c>
      <c r="Y3913">
        <v>3879</v>
      </c>
      <c r="Z3913" s="259" t="s">
        <v>630</v>
      </c>
      <c r="AA3913">
        <v>100</v>
      </c>
      <c r="AB3913">
        <v>8008</v>
      </c>
      <c r="AC3913">
        <v>45855</v>
      </c>
      <c r="AD3913">
        <v>0</v>
      </c>
      <c r="AE3913">
        <v>7887</v>
      </c>
      <c r="AF3913">
        <v>7887</v>
      </c>
      <c r="AG3913">
        <v>0</v>
      </c>
      <c r="AH3913">
        <v>-121</v>
      </c>
    </row>
    <row r="3914" spans="2:34" x14ac:dyDescent="0.35">
      <c r="B3914" t="s">
        <v>747</v>
      </c>
      <c r="C3914">
        <v>45856</v>
      </c>
      <c r="F3914" t="s">
        <v>749</v>
      </c>
      <c r="H3914">
        <v>53.52</v>
      </c>
      <c r="O3914" t="s">
        <v>239</v>
      </c>
      <c r="P3914" t="s">
        <v>514</v>
      </c>
      <c r="Y3914">
        <v>3880</v>
      </c>
      <c r="Z3914" s="259" t="s">
        <v>630</v>
      </c>
      <c r="AA3914">
        <v>80</v>
      </c>
      <c r="AB3914">
        <v>4004</v>
      </c>
      <c r="AC3914">
        <v>45856</v>
      </c>
      <c r="AD3914">
        <v>0</v>
      </c>
      <c r="AE3914">
        <v>4281.6000000000004</v>
      </c>
      <c r="AF3914">
        <v>4281.6000000000004</v>
      </c>
      <c r="AG3914">
        <v>0</v>
      </c>
      <c r="AH3914">
        <v>277.60000000000036</v>
      </c>
    </row>
    <row r="3915" spans="2:34" x14ac:dyDescent="0.35">
      <c r="B3915" t="s">
        <v>747</v>
      </c>
      <c r="C3915">
        <v>45856</v>
      </c>
      <c r="F3915" t="s">
        <v>752</v>
      </c>
      <c r="H3915">
        <v>179.73</v>
      </c>
      <c r="O3915" t="s">
        <v>239</v>
      </c>
      <c r="P3915" t="s">
        <v>514</v>
      </c>
      <c r="Y3915">
        <v>3881</v>
      </c>
      <c r="Z3915" s="259" t="s">
        <v>630</v>
      </c>
      <c r="AA3915">
        <v>0</v>
      </c>
      <c r="AB3915">
        <v>0</v>
      </c>
      <c r="AC3915">
        <v>45856</v>
      </c>
      <c r="AD3915">
        <v>0</v>
      </c>
      <c r="AE3915">
        <v>0</v>
      </c>
      <c r="AF3915">
        <v>0</v>
      </c>
      <c r="AG3915">
        <v>0</v>
      </c>
      <c r="AH3915">
        <v>0</v>
      </c>
    </row>
    <row r="3916" spans="2:34" x14ac:dyDescent="0.35">
      <c r="B3916" t="s">
        <v>747</v>
      </c>
      <c r="C3916">
        <v>45856</v>
      </c>
      <c r="F3916" t="s">
        <v>754</v>
      </c>
      <c r="H3916">
        <v>78.73</v>
      </c>
      <c r="O3916" t="s">
        <v>239</v>
      </c>
      <c r="P3916" t="s">
        <v>514</v>
      </c>
      <c r="Y3916">
        <v>3882</v>
      </c>
      <c r="Z3916" s="259" t="s">
        <v>630</v>
      </c>
      <c r="AA3916">
        <v>100</v>
      </c>
      <c r="AB3916">
        <v>8008</v>
      </c>
      <c r="AC3916">
        <v>45856</v>
      </c>
      <c r="AD3916">
        <v>0</v>
      </c>
      <c r="AE3916">
        <v>7873</v>
      </c>
      <c r="AF3916">
        <v>7873</v>
      </c>
      <c r="AG3916">
        <v>0</v>
      </c>
      <c r="AH3916">
        <v>-135</v>
      </c>
    </row>
    <row r="3917" spans="2:34" x14ac:dyDescent="0.35">
      <c r="B3917" t="s">
        <v>747</v>
      </c>
      <c r="C3917">
        <v>45857</v>
      </c>
      <c r="F3917" t="s">
        <v>749</v>
      </c>
      <c r="H3917">
        <v>53.52</v>
      </c>
      <c r="O3917" t="s">
        <v>239</v>
      </c>
      <c r="P3917" t="s">
        <v>514</v>
      </c>
      <c r="Y3917">
        <v>3883</v>
      </c>
      <c r="Z3917" s="259" t="s">
        <v>630</v>
      </c>
      <c r="AA3917">
        <v>80</v>
      </c>
      <c r="AB3917">
        <v>4004</v>
      </c>
      <c r="AC3917">
        <v>45856</v>
      </c>
      <c r="AD3917">
        <v>1</v>
      </c>
      <c r="AE3917">
        <v>4281.6000000000004</v>
      </c>
      <c r="AF3917">
        <v>4281.6000000000004</v>
      </c>
      <c r="AG3917">
        <v>0</v>
      </c>
      <c r="AH3917">
        <v>277.60000000000036</v>
      </c>
    </row>
    <row r="3918" spans="2:34" x14ac:dyDescent="0.35">
      <c r="B3918" t="s">
        <v>747</v>
      </c>
      <c r="C3918">
        <v>45857</v>
      </c>
      <c r="F3918" t="s">
        <v>752</v>
      </c>
      <c r="H3918">
        <v>179.73</v>
      </c>
      <c r="O3918" t="s">
        <v>239</v>
      </c>
      <c r="P3918" t="s">
        <v>514</v>
      </c>
      <c r="Y3918">
        <v>3884</v>
      </c>
      <c r="Z3918" s="259" t="s">
        <v>630</v>
      </c>
      <c r="AA3918">
        <v>0</v>
      </c>
      <c r="AB3918">
        <v>0</v>
      </c>
      <c r="AC3918">
        <v>45856</v>
      </c>
      <c r="AD3918">
        <v>1</v>
      </c>
      <c r="AE3918">
        <v>0</v>
      </c>
      <c r="AF3918">
        <v>0</v>
      </c>
      <c r="AG3918">
        <v>0</v>
      </c>
      <c r="AH3918">
        <v>0</v>
      </c>
    </row>
    <row r="3919" spans="2:34" x14ac:dyDescent="0.35">
      <c r="B3919" t="s">
        <v>747</v>
      </c>
      <c r="C3919">
        <v>45857</v>
      </c>
      <c r="F3919" t="s">
        <v>754</v>
      </c>
      <c r="H3919">
        <v>78.73</v>
      </c>
      <c r="O3919" t="s">
        <v>239</v>
      </c>
      <c r="P3919" t="s">
        <v>514</v>
      </c>
      <c r="Y3919">
        <v>3885</v>
      </c>
      <c r="Z3919" s="259" t="s">
        <v>630</v>
      </c>
      <c r="AA3919">
        <v>100</v>
      </c>
      <c r="AB3919">
        <v>8008</v>
      </c>
      <c r="AC3919">
        <v>45856</v>
      </c>
      <c r="AD3919">
        <v>1</v>
      </c>
      <c r="AE3919">
        <v>7873</v>
      </c>
      <c r="AF3919">
        <v>7873</v>
      </c>
      <c r="AG3919">
        <v>0</v>
      </c>
      <c r="AH3919">
        <v>-135</v>
      </c>
    </row>
    <row r="3920" spans="2:34" x14ac:dyDescent="0.35">
      <c r="B3920" t="s">
        <v>747</v>
      </c>
      <c r="C3920">
        <v>45858</v>
      </c>
      <c r="F3920" t="s">
        <v>749</v>
      </c>
      <c r="H3920">
        <v>53.52</v>
      </c>
      <c r="O3920" t="s">
        <v>239</v>
      </c>
      <c r="P3920" t="s">
        <v>514</v>
      </c>
      <c r="Y3920">
        <v>3886</v>
      </c>
      <c r="Z3920" s="259" t="s">
        <v>630</v>
      </c>
      <c r="AA3920">
        <v>80</v>
      </c>
      <c r="AB3920">
        <v>4004</v>
      </c>
      <c r="AC3920">
        <v>45856</v>
      </c>
      <c r="AD3920">
        <v>2</v>
      </c>
      <c r="AE3920">
        <v>4281.6000000000004</v>
      </c>
      <c r="AF3920">
        <v>4281.6000000000004</v>
      </c>
      <c r="AG3920">
        <v>0</v>
      </c>
      <c r="AH3920">
        <v>277.60000000000036</v>
      </c>
    </row>
    <row r="3921" spans="2:34" x14ac:dyDescent="0.35">
      <c r="B3921" t="s">
        <v>747</v>
      </c>
      <c r="C3921">
        <v>45858</v>
      </c>
      <c r="F3921" t="s">
        <v>752</v>
      </c>
      <c r="H3921">
        <v>179.73</v>
      </c>
      <c r="O3921" t="s">
        <v>239</v>
      </c>
      <c r="P3921" t="s">
        <v>514</v>
      </c>
      <c r="Y3921">
        <v>3887</v>
      </c>
      <c r="Z3921" s="259" t="s">
        <v>630</v>
      </c>
      <c r="AA3921">
        <v>0</v>
      </c>
      <c r="AB3921">
        <v>0</v>
      </c>
      <c r="AC3921">
        <v>45856</v>
      </c>
      <c r="AD3921">
        <v>2</v>
      </c>
      <c r="AE3921">
        <v>0</v>
      </c>
      <c r="AF3921">
        <v>0</v>
      </c>
      <c r="AG3921">
        <v>0</v>
      </c>
      <c r="AH3921">
        <v>0</v>
      </c>
    </row>
    <row r="3922" spans="2:34" x14ac:dyDescent="0.35">
      <c r="B3922" t="s">
        <v>747</v>
      </c>
      <c r="C3922">
        <v>45858</v>
      </c>
      <c r="F3922" t="s">
        <v>754</v>
      </c>
      <c r="H3922">
        <v>78.73</v>
      </c>
      <c r="O3922" t="s">
        <v>239</v>
      </c>
      <c r="P3922" t="s">
        <v>514</v>
      </c>
      <c r="Y3922">
        <v>3888</v>
      </c>
      <c r="Z3922" s="259" t="s">
        <v>630</v>
      </c>
      <c r="AA3922">
        <v>100</v>
      </c>
      <c r="AB3922">
        <v>8008</v>
      </c>
      <c r="AC3922">
        <v>45856</v>
      </c>
      <c r="AD3922">
        <v>2</v>
      </c>
      <c r="AE3922">
        <v>7873</v>
      </c>
      <c r="AF3922">
        <v>7873</v>
      </c>
      <c r="AG3922">
        <v>0</v>
      </c>
      <c r="AH3922">
        <v>-135</v>
      </c>
    </row>
    <row r="3923" spans="2:34" x14ac:dyDescent="0.35">
      <c r="B3923" t="s">
        <v>747</v>
      </c>
      <c r="C3923">
        <v>45859</v>
      </c>
      <c r="F3923" t="s">
        <v>749</v>
      </c>
      <c r="H3923">
        <v>53.17</v>
      </c>
      <c r="O3923" t="s">
        <v>239</v>
      </c>
      <c r="P3923" t="s">
        <v>514</v>
      </c>
      <c r="Y3923">
        <v>3889</v>
      </c>
      <c r="Z3923" s="259" t="s">
        <v>630</v>
      </c>
      <c r="AA3923">
        <v>80</v>
      </c>
      <c r="AB3923">
        <v>4004</v>
      </c>
      <c r="AC3923">
        <v>45859</v>
      </c>
      <c r="AD3923">
        <v>0</v>
      </c>
      <c r="AE3923">
        <v>4253.6000000000004</v>
      </c>
      <c r="AF3923">
        <v>4253.6000000000004</v>
      </c>
      <c r="AG3923">
        <v>0</v>
      </c>
      <c r="AH3923">
        <v>249.60000000000036</v>
      </c>
    </row>
    <row r="3924" spans="2:34" x14ac:dyDescent="0.35">
      <c r="B3924" t="s">
        <v>747</v>
      </c>
      <c r="C3924">
        <v>45859</v>
      </c>
      <c r="F3924" t="s">
        <v>752</v>
      </c>
      <c r="H3924">
        <v>179.33</v>
      </c>
      <c r="O3924" t="s">
        <v>239</v>
      </c>
      <c r="P3924" t="s">
        <v>514</v>
      </c>
      <c r="Y3924">
        <v>3890</v>
      </c>
      <c r="Z3924" s="259" t="s">
        <v>630</v>
      </c>
      <c r="AA3924">
        <v>0</v>
      </c>
      <c r="AB3924">
        <v>0</v>
      </c>
      <c r="AC3924">
        <v>45859</v>
      </c>
      <c r="AD3924">
        <v>0</v>
      </c>
      <c r="AE3924">
        <v>0</v>
      </c>
      <c r="AF3924">
        <v>0</v>
      </c>
      <c r="AG3924">
        <v>0</v>
      </c>
      <c r="AH3924">
        <v>0</v>
      </c>
    </row>
    <row r="3925" spans="2:34" x14ac:dyDescent="0.35">
      <c r="B3925" t="s">
        <v>747</v>
      </c>
      <c r="C3925">
        <v>45859</v>
      </c>
      <c r="F3925" t="s">
        <v>754</v>
      </c>
      <c r="H3925">
        <v>78.33</v>
      </c>
      <c r="O3925" t="s">
        <v>239</v>
      </c>
      <c r="P3925" t="s">
        <v>514</v>
      </c>
      <c r="Y3925">
        <v>3891</v>
      </c>
      <c r="Z3925" s="259" t="s">
        <v>630</v>
      </c>
      <c r="AA3925">
        <v>100</v>
      </c>
      <c r="AB3925">
        <v>8008</v>
      </c>
      <c r="AC3925">
        <v>45859</v>
      </c>
      <c r="AD3925">
        <v>0</v>
      </c>
      <c r="AE3925">
        <v>7833</v>
      </c>
      <c r="AF3925">
        <v>7833</v>
      </c>
      <c r="AG3925">
        <v>0</v>
      </c>
      <c r="AH3925">
        <v>-175</v>
      </c>
    </row>
    <row r="3926" spans="2:34" x14ac:dyDescent="0.35">
      <c r="B3926" t="s">
        <v>747</v>
      </c>
      <c r="C3926">
        <v>45860</v>
      </c>
      <c r="F3926" t="s">
        <v>749</v>
      </c>
      <c r="H3926">
        <v>53.05</v>
      </c>
      <c r="O3926" t="s">
        <v>239</v>
      </c>
      <c r="P3926" t="s">
        <v>514</v>
      </c>
      <c r="Y3926">
        <v>3892</v>
      </c>
      <c r="Z3926" s="259" t="s">
        <v>630</v>
      </c>
      <c r="AA3926">
        <v>80</v>
      </c>
      <c r="AB3926">
        <v>4004</v>
      </c>
      <c r="AC3926">
        <v>45860</v>
      </c>
      <c r="AD3926">
        <v>0</v>
      </c>
      <c r="AE3926">
        <v>4244</v>
      </c>
      <c r="AF3926">
        <v>4244</v>
      </c>
      <c r="AG3926">
        <v>0</v>
      </c>
      <c r="AH3926">
        <v>240</v>
      </c>
    </row>
    <row r="3927" spans="2:34" x14ac:dyDescent="0.35">
      <c r="B3927" t="s">
        <v>747</v>
      </c>
      <c r="C3927">
        <v>45860</v>
      </c>
      <c r="F3927" t="s">
        <v>752</v>
      </c>
      <c r="H3927">
        <v>179.2</v>
      </c>
      <c r="O3927" t="s">
        <v>239</v>
      </c>
      <c r="P3927" t="s">
        <v>514</v>
      </c>
      <c r="Y3927">
        <v>3893</v>
      </c>
      <c r="Z3927" s="259" t="s">
        <v>630</v>
      </c>
      <c r="AA3927">
        <v>0</v>
      </c>
      <c r="AB3927">
        <v>0</v>
      </c>
      <c r="AC3927">
        <v>45860</v>
      </c>
      <c r="AD3927">
        <v>0</v>
      </c>
      <c r="AE3927">
        <v>0</v>
      </c>
      <c r="AF3927">
        <v>0</v>
      </c>
      <c r="AG3927">
        <v>0</v>
      </c>
      <c r="AH3927">
        <v>0</v>
      </c>
    </row>
    <row r="3928" spans="2:34" x14ac:dyDescent="0.35">
      <c r="B3928" t="s">
        <v>747</v>
      </c>
      <c r="C3928">
        <v>45860</v>
      </c>
      <c r="F3928" t="s">
        <v>754</v>
      </c>
      <c r="H3928">
        <v>78.2</v>
      </c>
      <c r="O3928" t="s">
        <v>239</v>
      </c>
      <c r="P3928" t="s">
        <v>514</v>
      </c>
      <c r="Y3928">
        <v>3894</v>
      </c>
      <c r="Z3928" s="259" t="s">
        <v>630</v>
      </c>
      <c r="AA3928">
        <v>100</v>
      </c>
      <c r="AB3928">
        <v>8008</v>
      </c>
      <c r="AC3928">
        <v>45860</v>
      </c>
      <c r="AD3928">
        <v>0</v>
      </c>
      <c r="AE3928">
        <v>7820</v>
      </c>
      <c r="AF3928">
        <v>7820</v>
      </c>
      <c r="AG3928">
        <v>0</v>
      </c>
      <c r="AH3928">
        <v>-188</v>
      </c>
    </row>
    <row r="3929" spans="2:34" x14ac:dyDescent="0.35">
      <c r="B3929" t="s">
        <v>747</v>
      </c>
      <c r="C3929">
        <v>45861</v>
      </c>
      <c r="F3929" t="s">
        <v>749</v>
      </c>
      <c r="H3929">
        <v>52.93</v>
      </c>
      <c r="O3929" t="s">
        <v>239</v>
      </c>
      <c r="P3929" t="s">
        <v>514</v>
      </c>
      <c r="Y3929">
        <v>3895</v>
      </c>
      <c r="Z3929" s="259" t="s">
        <v>630</v>
      </c>
      <c r="AA3929">
        <v>80</v>
      </c>
      <c r="AB3929">
        <v>4004</v>
      </c>
      <c r="AC3929">
        <v>45861</v>
      </c>
      <c r="AD3929">
        <v>0</v>
      </c>
      <c r="AE3929">
        <v>4234.3999999999996</v>
      </c>
      <c r="AF3929">
        <v>4234.3999999999996</v>
      </c>
      <c r="AG3929">
        <v>0</v>
      </c>
      <c r="AH3929">
        <v>230.39999999999964</v>
      </c>
    </row>
    <row r="3930" spans="2:34" x14ac:dyDescent="0.35">
      <c r="B3930" t="s">
        <v>747</v>
      </c>
      <c r="C3930">
        <v>45861</v>
      </c>
      <c r="F3930" t="s">
        <v>752</v>
      </c>
      <c r="H3930">
        <v>179.07</v>
      </c>
      <c r="O3930" t="s">
        <v>239</v>
      </c>
      <c r="P3930" t="s">
        <v>514</v>
      </c>
      <c r="Y3930">
        <v>3896</v>
      </c>
      <c r="Z3930" s="259" t="s">
        <v>630</v>
      </c>
      <c r="AA3930">
        <v>0</v>
      </c>
      <c r="AB3930">
        <v>0</v>
      </c>
      <c r="AC3930">
        <v>45861</v>
      </c>
      <c r="AD3930">
        <v>0</v>
      </c>
      <c r="AE3930">
        <v>0</v>
      </c>
      <c r="AF3930">
        <v>0</v>
      </c>
      <c r="AG3930">
        <v>0</v>
      </c>
      <c r="AH3930">
        <v>0</v>
      </c>
    </row>
    <row r="3931" spans="2:34" x14ac:dyDescent="0.35">
      <c r="B3931" t="s">
        <v>747</v>
      </c>
      <c r="C3931">
        <v>45861</v>
      </c>
      <c r="F3931" t="s">
        <v>754</v>
      </c>
      <c r="H3931">
        <v>78.069999999999993</v>
      </c>
      <c r="O3931" t="s">
        <v>239</v>
      </c>
      <c r="P3931" t="s">
        <v>514</v>
      </c>
      <c r="Y3931">
        <v>3897</v>
      </c>
      <c r="Z3931" s="259" t="s">
        <v>630</v>
      </c>
      <c r="AA3931">
        <v>100</v>
      </c>
      <c r="AB3931">
        <v>8008</v>
      </c>
      <c r="AC3931">
        <v>45861</v>
      </c>
      <c r="AD3931">
        <v>0</v>
      </c>
      <c r="AE3931">
        <v>7806.9999999999991</v>
      </c>
      <c r="AF3931">
        <v>7806.9999999999991</v>
      </c>
      <c r="AG3931">
        <v>0</v>
      </c>
      <c r="AH3931">
        <v>-201.00000000000091</v>
      </c>
    </row>
    <row r="3932" spans="2:34" x14ac:dyDescent="0.35">
      <c r="B3932" t="s">
        <v>747</v>
      </c>
      <c r="C3932">
        <v>45862</v>
      </c>
      <c r="F3932" t="s">
        <v>749</v>
      </c>
      <c r="H3932">
        <v>52.82</v>
      </c>
      <c r="O3932" t="s">
        <v>239</v>
      </c>
      <c r="P3932" t="s">
        <v>514</v>
      </c>
      <c r="Y3932">
        <v>3898</v>
      </c>
      <c r="Z3932" s="259" t="s">
        <v>630</v>
      </c>
      <c r="AA3932">
        <v>80</v>
      </c>
      <c r="AB3932">
        <v>4004</v>
      </c>
      <c r="AC3932">
        <v>45862</v>
      </c>
      <c r="AD3932">
        <v>0</v>
      </c>
      <c r="AE3932">
        <v>4225.6000000000004</v>
      </c>
      <c r="AF3932">
        <v>4225.6000000000004</v>
      </c>
      <c r="AG3932">
        <v>0</v>
      </c>
      <c r="AH3932">
        <v>221.60000000000036</v>
      </c>
    </row>
    <row r="3933" spans="2:34" x14ac:dyDescent="0.35">
      <c r="B3933" t="s">
        <v>747</v>
      </c>
      <c r="C3933">
        <v>45862</v>
      </c>
      <c r="F3933" t="s">
        <v>752</v>
      </c>
      <c r="H3933">
        <v>178.93</v>
      </c>
      <c r="O3933" t="s">
        <v>239</v>
      </c>
      <c r="P3933" t="s">
        <v>514</v>
      </c>
      <c r="Y3933">
        <v>3899</v>
      </c>
      <c r="Z3933" s="259" t="s">
        <v>630</v>
      </c>
      <c r="AA3933">
        <v>0</v>
      </c>
      <c r="AB3933">
        <v>0</v>
      </c>
      <c r="AC3933">
        <v>45862</v>
      </c>
      <c r="AD3933">
        <v>0</v>
      </c>
      <c r="AE3933">
        <v>0</v>
      </c>
      <c r="AF3933">
        <v>0</v>
      </c>
      <c r="AG3933">
        <v>0</v>
      </c>
      <c r="AH3933">
        <v>0</v>
      </c>
    </row>
    <row r="3934" spans="2:34" x14ac:dyDescent="0.35">
      <c r="B3934" t="s">
        <v>747</v>
      </c>
      <c r="C3934">
        <v>45862</v>
      </c>
      <c r="F3934" t="s">
        <v>754</v>
      </c>
      <c r="H3934">
        <v>77.930000000000007</v>
      </c>
      <c r="O3934" t="s">
        <v>239</v>
      </c>
      <c r="P3934" t="s">
        <v>514</v>
      </c>
      <c r="Y3934">
        <v>3900</v>
      </c>
      <c r="Z3934" s="259" t="s">
        <v>630</v>
      </c>
      <c r="AA3934">
        <v>100</v>
      </c>
      <c r="AB3934">
        <v>8008</v>
      </c>
      <c r="AC3934">
        <v>45862</v>
      </c>
      <c r="AD3934">
        <v>0</v>
      </c>
      <c r="AE3934">
        <v>7793.0000000000009</v>
      </c>
      <c r="AF3934">
        <v>7793.0000000000009</v>
      </c>
      <c r="AG3934">
        <v>0</v>
      </c>
      <c r="AH3934">
        <v>-214.99999999999909</v>
      </c>
    </row>
    <row r="3935" spans="2:34" x14ac:dyDescent="0.35">
      <c r="B3935" t="s">
        <v>747</v>
      </c>
      <c r="C3935">
        <v>45863</v>
      </c>
      <c r="F3935" t="s">
        <v>749</v>
      </c>
      <c r="H3935">
        <v>52.7</v>
      </c>
      <c r="O3935" t="s">
        <v>239</v>
      </c>
      <c r="P3935" t="s">
        <v>514</v>
      </c>
      <c r="Y3935">
        <v>3901</v>
      </c>
      <c r="Z3935" s="259" t="s">
        <v>630</v>
      </c>
      <c r="AA3935">
        <v>80</v>
      </c>
      <c r="AB3935">
        <v>4004</v>
      </c>
      <c r="AC3935">
        <v>45863</v>
      </c>
      <c r="AD3935">
        <v>0</v>
      </c>
      <c r="AE3935">
        <v>4216</v>
      </c>
      <c r="AF3935">
        <v>4216</v>
      </c>
      <c r="AG3935">
        <v>0</v>
      </c>
      <c r="AH3935">
        <v>212</v>
      </c>
    </row>
    <row r="3936" spans="2:34" x14ac:dyDescent="0.35">
      <c r="B3936" t="s">
        <v>747</v>
      </c>
      <c r="C3936">
        <v>45863</v>
      </c>
      <c r="F3936" t="s">
        <v>752</v>
      </c>
      <c r="H3936">
        <v>178.8</v>
      </c>
      <c r="O3936" t="s">
        <v>239</v>
      </c>
      <c r="P3936" t="s">
        <v>514</v>
      </c>
      <c r="Y3936">
        <v>3902</v>
      </c>
      <c r="Z3936" s="259" t="s">
        <v>630</v>
      </c>
      <c r="AA3936">
        <v>0</v>
      </c>
      <c r="AB3936">
        <v>0</v>
      </c>
      <c r="AC3936">
        <v>45863</v>
      </c>
      <c r="AD3936">
        <v>0</v>
      </c>
      <c r="AE3936">
        <v>0</v>
      </c>
      <c r="AF3936">
        <v>0</v>
      </c>
      <c r="AG3936">
        <v>0</v>
      </c>
      <c r="AH3936">
        <v>0</v>
      </c>
    </row>
    <row r="3937" spans="2:34" x14ac:dyDescent="0.35">
      <c r="B3937" t="s">
        <v>747</v>
      </c>
      <c r="C3937">
        <v>45863</v>
      </c>
      <c r="F3937" t="s">
        <v>754</v>
      </c>
      <c r="H3937">
        <v>77.8</v>
      </c>
      <c r="O3937" t="s">
        <v>239</v>
      </c>
      <c r="P3937" t="s">
        <v>514</v>
      </c>
      <c r="Y3937">
        <v>3903</v>
      </c>
      <c r="Z3937" s="259" t="s">
        <v>630</v>
      </c>
      <c r="AA3937">
        <v>100</v>
      </c>
      <c r="AB3937">
        <v>8008</v>
      </c>
      <c r="AC3937">
        <v>45863</v>
      </c>
      <c r="AD3937">
        <v>0</v>
      </c>
      <c r="AE3937">
        <v>7780</v>
      </c>
      <c r="AF3937">
        <v>7780</v>
      </c>
      <c r="AG3937">
        <v>0</v>
      </c>
      <c r="AH3937">
        <v>-228</v>
      </c>
    </row>
    <row r="3938" spans="2:34" x14ac:dyDescent="0.35">
      <c r="B3938" t="s">
        <v>747</v>
      </c>
      <c r="C3938">
        <v>45864</v>
      </c>
      <c r="F3938" t="s">
        <v>749</v>
      </c>
      <c r="H3938">
        <v>52.7</v>
      </c>
      <c r="O3938" t="s">
        <v>239</v>
      </c>
      <c r="P3938" t="s">
        <v>514</v>
      </c>
      <c r="Y3938">
        <v>3904</v>
      </c>
      <c r="Z3938" s="259" t="s">
        <v>630</v>
      </c>
      <c r="AA3938">
        <v>80</v>
      </c>
      <c r="AB3938">
        <v>4004</v>
      </c>
      <c r="AC3938">
        <v>45863</v>
      </c>
      <c r="AD3938">
        <v>1</v>
      </c>
      <c r="AE3938">
        <v>4216</v>
      </c>
      <c r="AF3938">
        <v>4216</v>
      </c>
      <c r="AG3938">
        <v>0</v>
      </c>
      <c r="AH3938">
        <v>212</v>
      </c>
    </row>
    <row r="3939" spans="2:34" x14ac:dyDescent="0.35">
      <c r="B3939" t="s">
        <v>747</v>
      </c>
      <c r="C3939">
        <v>45864</v>
      </c>
      <c r="F3939" t="s">
        <v>752</v>
      </c>
      <c r="H3939">
        <v>178.8</v>
      </c>
      <c r="O3939" t="s">
        <v>239</v>
      </c>
      <c r="P3939" t="s">
        <v>514</v>
      </c>
      <c r="Y3939">
        <v>3905</v>
      </c>
      <c r="Z3939" s="259" t="s">
        <v>630</v>
      </c>
      <c r="AA3939">
        <v>0</v>
      </c>
      <c r="AB3939">
        <v>0</v>
      </c>
      <c r="AC3939">
        <v>45863</v>
      </c>
      <c r="AD3939">
        <v>1</v>
      </c>
      <c r="AE3939">
        <v>0</v>
      </c>
      <c r="AF3939">
        <v>0</v>
      </c>
      <c r="AG3939">
        <v>0</v>
      </c>
      <c r="AH3939">
        <v>0</v>
      </c>
    </row>
    <row r="3940" spans="2:34" x14ac:dyDescent="0.35">
      <c r="B3940" t="s">
        <v>747</v>
      </c>
      <c r="C3940">
        <v>45864</v>
      </c>
      <c r="F3940" t="s">
        <v>754</v>
      </c>
      <c r="H3940">
        <v>77.8</v>
      </c>
      <c r="O3940" t="s">
        <v>239</v>
      </c>
      <c r="P3940" t="s">
        <v>514</v>
      </c>
      <c r="Y3940">
        <v>3906</v>
      </c>
      <c r="Z3940" s="259" t="s">
        <v>630</v>
      </c>
      <c r="AA3940">
        <v>100</v>
      </c>
      <c r="AB3940">
        <v>8008</v>
      </c>
      <c r="AC3940">
        <v>45863</v>
      </c>
      <c r="AD3940">
        <v>1</v>
      </c>
      <c r="AE3940">
        <v>7780</v>
      </c>
      <c r="AF3940">
        <v>7780</v>
      </c>
      <c r="AG3940">
        <v>0</v>
      </c>
      <c r="AH3940">
        <v>-228</v>
      </c>
    </row>
    <row r="3941" spans="2:34" x14ac:dyDescent="0.35">
      <c r="B3941" t="s">
        <v>747</v>
      </c>
      <c r="C3941">
        <v>45865</v>
      </c>
      <c r="F3941" t="s">
        <v>749</v>
      </c>
      <c r="H3941">
        <v>52.7</v>
      </c>
      <c r="O3941" t="s">
        <v>239</v>
      </c>
      <c r="P3941" t="s">
        <v>514</v>
      </c>
      <c r="Y3941">
        <v>3907</v>
      </c>
      <c r="Z3941" s="259" t="s">
        <v>630</v>
      </c>
      <c r="AA3941">
        <v>80</v>
      </c>
      <c r="AB3941">
        <v>4004</v>
      </c>
      <c r="AC3941">
        <v>45863</v>
      </c>
      <c r="AD3941">
        <v>2</v>
      </c>
      <c r="AE3941">
        <v>4216</v>
      </c>
      <c r="AF3941">
        <v>4216</v>
      </c>
      <c r="AG3941">
        <v>0</v>
      </c>
      <c r="AH3941">
        <v>212</v>
      </c>
    </row>
    <row r="3942" spans="2:34" x14ac:dyDescent="0.35">
      <c r="B3942" t="s">
        <v>747</v>
      </c>
      <c r="C3942">
        <v>45865</v>
      </c>
      <c r="F3942" t="s">
        <v>752</v>
      </c>
      <c r="H3942">
        <v>178.8</v>
      </c>
      <c r="O3942" t="s">
        <v>239</v>
      </c>
      <c r="P3942" t="s">
        <v>514</v>
      </c>
      <c r="Y3942">
        <v>3908</v>
      </c>
      <c r="Z3942" s="259" t="s">
        <v>630</v>
      </c>
      <c r="AA3942">
        <v>0</v>
      </c>
      <c r="AB3942">
        <v>0</v>
      </c>
      <c r="AC3942">
        <v>45863</v>
      </c>
      <c r="AD3942">
        <v>2</v>
      </c>
      <c r="AE3942">
        <v>0</v>
      </c>
      <c r="AF3942">
        <v>0</v>
      </c>
      <c r="AG3942">
        <v>0</v>
      </c>
      <c r="AH3942">
        <v>0</v>
      </c>
    </row>
    <row r="3943" spans="2:34" x14ac:dyDescent="0.35">
      <c r="B3943" t="s">
        <v>747</v>
      </c>
      <c r="C3943">
        <v>45865</v>
      </c>
      <c r="F3943" t="s">
        <v>754</v>
      </c>
      <c r="H3943">
        <v>77.8</v>
      </c>
      <c r="O3943" t="s">
        <v>239</v>
      </c>
      <c r="P3943" t="s">
        <v>514</v>
      </c>
      <c r="Y3943">
        <v>3909</v>
      </c>
      <c r="Z3943" s="259" t="s">
        <v>630</v>
      </c>
      <c r="AA3943">
        <v>100</v>
      </c>
      <c r="AB3943">
        <v>8008</v>
      </c>
      <c r="AC3943">
        <v>45863</v>
      </c>
      <c r="AD3943">
        <v>2</v>
      </c>
      <c r="AE3943">
        <v>7780</v>
      </c>
      <c r="AF3943">
        <v>7780</v>
      </c>
      <c r="AG3943">
        <v>0</v>
      </c>
      <c r="AH3943">
        <v>-228</v>
      </c>
    </row>
    <row r="3944" spans="2:34" x14ac:dyDescent="0.35">
      <c r="B3944" t="s">
        <v>747</v>
      </c>
      <c r="C3944">
        <v>45866</v>
      </c>
      <c r="F3944" t="s">
        <v>749</v>
      </c>
      <c r="H3944">
        <v>52.35</v>
      </c>
      <c r="O3944" t="s">
        <v>239</v>
      </c>
      <c r="P3944" t="s">
        <v>514</v>
      </c>
      <c r="Y3944">
        <v>3910</v>
      </c>
      <c r="Z3944" s="259" t="s">
        <v>630</v>
      </c>
      <c r="AA3944">
        <v>80</v>
      </c>
      <c r="AB3944">
        <v>4004</v>
      </c>
      <c r="AC3944">
        <v>45866</v>
      </c>
      <c r="AD3944">
        <v>0</v>
      </c>
      <c r="AE3944">
        <v>4188</v>
      </c>
      <c r="AF3944">
        <v>4188</v>
      </c>
      <c r="AG3944">
        <v>0</v>
      </c>
      <c r="AH3944">
        <v>184</v>
      </c>
    </row>
    <row r="3945" spans="2:34" x14ac:dyDescent="0.35">
      <c r="B3945" t="s">
        <v>747</v>
      </c>
      <c r="C3945">
        <v>45866</v>
      </c>
      <c r="F3945" t="s">
        <v>752</v>
      </c>
      <c r="H3945">
        <v>178.4</v>
      </c>
      <c r="O3945" t="s">
        <v>239</v>
      </c>
      <c r="P3945" t="s">
        <v>514</v>
      </c>
      <c r="Y3945">
        <v>3911</v>
      </c>
      <c r="Z3945" s="259" t="s">
        <v>630</v>
      </c>
      <c r="AA3945">
        <v>0</v>
      </c>
      <c r="AB3945">
        <v>0</v>
      </c>
      <c r="AC3945">
        <v>45866</v>
      </c>
      <c r="AD3945">
        <v>0</v>
      </c>
      <c r="AE3945">
        <v>0</v>
      </c>
      <c r="AF3945">
        <v>0</v>
      </c>
      <c r="AG3945">
        <v>0</v>
      </c>
      <c r="AH3945">
        <v>0</v>
      </c>
    </row>
    <row r="3946" spans="2:34" x14ac:dyDescent="0.35">
      <c r="B3946" t="s">
        <v>747</v>
      </c>
      <c r="C3946">
        <v>45866</v>
      </c>
      <c r="F3946" t="s">
        <v>754</v>
      </c>
      <c r="H3946">
        <v>77.400000000000006</v>
      </c>
      <c r="O3946" t="s">
        <v>239</v>
      </c>
      <c r="P3946" t="s">
        <v>514</v>
      </c>
      <c r="Y3946">
        <v>3912</v>
      </c>
      <c r="Z3946" s="259" t="s">
        <v>630</v>
      </c>
      <c r="AA3946">
        <v>100</v>
      </c>
      <c r="AB3946">
        <v>8008</v>
      </c>
      <c r="AC3946">
        <v>45866</v>
      </c>
      <c r="AD3946">
        <v>0</v>
      </c>
      <c r="AE3946">
        <v>7740.0000000000009</v>
      </c>
      <c r="AF3946">
        <v>7740.0000000000009</v>
      </c>
      <c r="AG3946">
        <v>0</v>
      </c>
      <c r="AH3946">
        <v>-267.99999999999909</v>
      </c>
    </row>
    <row r="3947" spans="2:34" x14ac:dyDescent="0.35">
      <c r="B3947" t="s">
        <v>747</v>
      </c>
      <c r="C3947">
        <v>45867</v>
      </c>
      <c r="F3947" t="s">
        <v>749</v>
      </c>
      <c r="H3947">
        <v>52.23</v>
      </c>
      <c r="O3947" t="s">
        <v>239</v>
      </c>
      <c r="P3947" t="s">
        <v>514</v>
      </c>
      <c r="Y3947">
        <v>3913</v>
      </c>
      <c r="Z3947" s="259" t="s">
        <v>630</v>
      </c>
      <c r="AA3947">
        <v>80</v>
      </c>
      <c r="AB3947">
        <v>4004</v>
      </c>
      <c r="AC3947">
        <v>45867</v>
      </c>
      <c r="AD3947">
        <v>0</v>
      </c>
      <c r="AE3947">
        <v>4178.3999999999996</v>
      </c>
      <c r="AF3947">
        <v>4178.3999999999996</v>
      </c>
      <c r="AG3947">
        <v>0</v>
      </c>
      <c r="AH3947">
        <v>174.39999999999964</v>
      </c>
    </row>
    <row r="3948" spans="2:34" x14ac:dyDescent="0.35">
      <c r="B3948" t="s">
        <v>747</v>
      </c>
      <c r="C3948">
        <v>45867</v>
      </c>
      <c r="F3948" t="s">
        <v>752</v>
      </c>
      <c r="H3948">
        <v>178.27</v>
      </c>
      <c r="O3948" t="s">
        <v>239</v>
      </c>
      <c r="P3948" t="s">
        <v>514</v>
      </c>
      <c r="Y3948">
        <v>3914</v>
      </c>
      <c r="Z3948" s="259" t="s">
        <v>630</v>
      </c>
      <c r="AA3948">
        <v>0</v>
      </c>
      <c r="AB3948">
        <v>0</v>
      </c>
      <c r="AC3948">
        <v>45867</v>
      </c>
      <c r="AD3948">
        <v>0</v>
      </c>
      <c r="AE3948">
        <v>0</v>
      </c>
      <c r="AF3948">
        <v>0</v>
      </c>
      <c r="AG3948">
        <v>0</v>
      </c>
      <c r="AH3948">
        <v>0</v>
      </c>
    </row>
    <row r="3949" spans="2:34" x14ac:dyDescent="0.35">
      <c r="B3949" t="s">
        <v>747</v>
      </c>
      <c r="C3949">
        <v>45867</v>
      </c>
      <c r="F3949" t="s">
        <v>754</v>
      </c>
      <c r="H3949">
        <v>77.27</v>
      </c>
      <c r="O3949" t="s">
        <v>239</v>
      </c>
      <c r="P3949" t="s">
        <v>514</v>
      </c>
      <c r="Y3949">
        <v>3915</v>
      </c>
      <c r="Z3949" s="259" t="s">
        <v>630</v>
      </c>
      <c r="AA3949">
        <v>100</v>
      </c>
      <c r="AB3949">
        <v>8008</v>
      </c>
      <c r="AC3949">
        <v>45867</v>
      </c>
      <c r="AD3949">
        <v>0</v>
      </c>
      <c r="AE3949">
        <v>7727</v>
      </c>
      <c r="AF3949">
        <v>7727</v>
      </c>
      <c r="AG3949">
        <v>0</v>
      </c>
      <c r="AH3949">
        <v>-281</v>
      </c>
    </row>
    <row r="3950" spans="2:34" x14ac:dyDescent="0.35">
      <c r="B3950" t="s">
        <v>747</v>
      </c>
      <c r="C3950">
        <v>45868</v>
      </c>
      <c r="F3950" t="s">
        <v>749</v>
      </c>
      <c r="H3950">
        <v>52.12</v>
      </c>
      <c r="O3950" t="s">
        <v>239</v>
      </c>
      <c r="P3950" t="s">
        <v>514</v>
      </c>
      <c r="Y3950">
        <v>3916</v>
      </c>
      <c r="Z3950" s="259" t="s">
        <v>630</v>
      </c>
      <c r="AA3950">
        <v>80</v>
      </c>
      <c r="AB3950">
        <v>4004</v>
      </c>
      <c r="AC3950">
        <v>45868</v>
      </c>
      <c r="AD3950">
        <v>0</v>
      </c>
      <c r="AE3950">
        <v>4169.5999999999995</v>
      </c>
      <c r="AF3950">
        <v>4169.5999999999995</v>
      </c>
      <c r="AG3950">
        <v>0</v>
      </c>
      <c r="AH3950">
        <v>165.59999999999945</v>
      </c>
    </row>
    <row r="3951" spans="2:34" x14ac:dyDescent="0.35">
      <c r="B3951" t="s">
        <v>747</v>
      </c>
      <c r="C3951">
        <v>45868</v>
      </c>
      <c r="F3951" t="s">
        <v>752</v>
      </c>
      <c r="H3951">
        <v>178.13</v>
      </c>
      <c r="O3951" t="s">
        <v>239</v>
      </c>
      <c r="P3951" t="s">
        <v>514</v>
      </c>
      <c r="Y3951">
        <v>3917</v>
      </c>
      <c r="Z3951" s="259" t="s">
        <v>630</v>
      </c>
      <c r="AA3951">
        <v>0</v>
      </c>
      <c r="AB3951">
        <v>0</v>
      </c>
      <c r="AC3951">
        <v>45868</v>
      </c>
      <c r="AD3951">
        <v>0</v>
      </c>
      <c r="AE3951">
        <v>0</v>
      </c>
      <c r="AF3951">
        <v>0</v>
      </c>
      <c r="AG3951">
        <v>0</v>
      </c>
      <c r="AH3951">
        <v>0</v>
      </c>
    </row>
    <row r="3952" spans="2:34" x14ac:dyDescent="0.35">
      <c r="B3952" t="s">
        <v>747</v>
      </c>
      <c r="C3952">
        <v>45868</v>
      </c>
      <c r="F3952" t="s">
        <v>754</v>
      </c>
      <c r="H3952">
        <v>77.13</v>
      </c>
      <c r="O3952" t="s">
        <v>239</v>
      </c>
      <c r="P3952" t="s">
        <v>514</v>
      </c>
      <c r="Y3952">
        <v>3918</v>
      </c>
      <c r="Z3952" s="259" t="s">
        <v>630</v>
      </c>
      <c r="AA3952">
        <v>100</v>
      </c>
      <c r="AB3952">
        <v>8008</v>
      </c>
      <c r="AC3952">
        <v>45868</v>
      </c>
      <c r="AD3952">
        <v>0</v>
      </c>
      <c r="AE3952">
        <v>7713</v>
      </c>
      <c r="AF3952">
        <v>7713</v>
      </c>
      <c r="AG3952">
        <v>0</v>
      </c>
      <c r="AH3952">
        <v>-295</v>
      </c>
    </row>
    <row r="3953" spans="2:34" x14ac:dyDescent="0.35">
      <c r="B3953" t="s">
        <v>747</v>
      </c>
      <c r="C3953">
        <v>45869</v>
      </c>
      <c r="F3953" t="s">
        <v>749</v>
      </c>
      <c r="H3953">
        <v>52</v>
      </c>
      <c r="O3953" t="s">
        <v>239</v>
      </c>
      <c r="P3953" t="s">
        <v>514</v>
      </c>
      <c r="Y3953">
        <v>3919</v>
      </c>
      <c r="Z3953" s="259" t="s">
        <v>630</v>
      </c>
      <c r="AA3953">
        <v>80</v>
      </c>
      <c r="AB3953">
        <v>4004</v>
      </c>
      <c r="AC3953">
        <v>45869</v>
      </c>
      <c r="AD3953">
        <v>0</v>
      </c>
      <c r="AE3953">
        <v>4160</v>
      </c>
      <c r="AF3953">
        <v>4160</v>
      </c>
      <c r="AG3953">
        <v>0</v>
      </c>
      <c r="AH3953">
        <v>156</v>
      </c>
    </row>
    <row r="3954" spans="2:34" x14ac:dyDescent="0.35">
      <c r="B3954" t="s">
        <v>747</v>
      </c>
      <c r="C3954">
        <v>45869</v>
      </c>
      <c r="F3954" t="s">
        <v>752</v>
      </c>
      <c r="H3954">
        <v>178</v>
      </c>
      <c r="O3954" t="s">
        <v>239</v>
      </c>
      <c r="P3954" t="s">
        <v>514</v>
      </c>
      <c r="Y3954">
        <v>3920</v>
      </c>
      <c r="Z3954" s="259" t="s">
        <v>630</v>
      </c>
      <c r="AA3954">
        <v>0</v>
      </c>
      <c r="AB3954">
        <v>0</v>
      </c>
      <c r="AC3954">
        <v>45869</v>
      </c>
      <c r="AD3954">
        <v>0</v>
      </c>
      <c r="AE3954">
        <v>0</v>
      </c>
      <c r="AF3954">
        <v>0</v>
      </c>
      <c r="AG3954">
        <v>0</v>
      </c>
      <c r="AH3954">
        <v>0</v>
      </c>
    </row>
    <row r="3955" spans="2:34" x14ac:dyDescent="0.35">
      <c r="B3955" t="s">
        <v>747</v>
      </c>
      <c r="C3955">
        <v>45869</v>
      </c>
      <c r="F3955" t="s">
        <v>754</v>
      </c>
      <c r="H3955">
        <v>77</v>
      </c>
      <c r="O3955" t="s">
        <v>239</v>
      </c>
      <c r="P3955" t="s">
        <v>514</v>
      </c>
      <c r="Y3955">
        <v>3921</v>
      </c>
      <c r="Z3955" s="259" t="s">
        <v>630</v>
      </c>
      <c r="AA3955">
        <v>100</v>
      </c>
      <c r="AB3955">
        <v>8008</v>
      </c>
      <c r="AC3955">
        <v>45869</v>
      </c>
      <c r="AD3955">
        <v>0</v>
      </c>
      <c r="AE3955">
        <v>7700</v>
      </c>
      <c r="AF3955">
        <v>7700</v>
      </c>
      <c r="AG3955">
        <v>0</v>
      </c>
      <c r="AH3955">
        <v>-308</v>
      </c>
    </row>
    <row r="3956" spans="2:34" x14ac:dyDescent="0.35">
      <c r="B3956" t="s">
        <v>747</v>
      </c>
      <c r="C3956">
        <v>45870</v>
      </c>
      <c r="F3956" t="s">
        <v>749</v>
      </c>
      <c r="H3956">
        <v>52</v>
      </c>
      <c r="O3956" t="s">
        <v>239</v>
      </c>
      <c r="P3956" t="s">
        <v>514</v>
      </c>
      <c r="Y3956">
        <v>3922</v>
      </c>
      <c r="Z3956" s="259" t="s">
        <v>630</v>
      </c>
      <c r="AA3956">
        <v>80</v>
      </c>
      <c r="AB3956">
        <v>4004</v>
      </c>
      <c r="AC3956">
        <v>45870</v>
      </c>
      <c r="AD3956">
        <v>0</v>
      </c>
      <c r="AE3956">
        <v>4160</v>
      </c>
      <c r="AF3956">
        <v>4160</v>
      </c>
      <c r="AG3956">
        <v>0</v>
      </c>
      <c r="AH3956">
        <v>156</v>
      </c>
    </row>
    <row r="3957" spans="2:34" x14ac:dyDescent="0.35">
      <c r="B3957" t="s">
        <v>747</v>
      </c>
      <c r="C3957">
        <v>45870</v>
      </c>
      <c r="F3957" t="s">
        <v>752</v>
      </c>
      <c r="H3957">
        <v>178</v>
      </c>
      <c r="O3957" t="s">
        <v>239</v>
      </c>
      <c r="P3957" t="s">
        <v>514</v>
      </c>
      <c r="Y3957">
        <v>3923</v>
      </c>
      <c r="Z3957" s="259" t="s">
        <v>630</v>
      </c>
      <c r="AA3957">
        <v>30</v>
      </c>
      <c r="AB3957">
        <v>5343</v>
      </c>
      <c r="AC3957">
        <v>45870</v>
      </c>
      <c r="AD3957">
        <v>0</v>
      </c>
      <c r="AE3957">
        <v>5340</v>
      </c>
      <c r="AF3957">
        <v>5340</v>
      </c>
      <c r="AG3957">
        <v>0</v>
      </c>
      <c r="AH3957">
        <v>-3</v>
      </c>
    </row>
    <row r="3958" spans="2:34" x14ac:dyDescent="0.35">
      <c r="B3958" t="s">
        <v>747</v>
      </c>
      <c r="C3958">
        <v>45870</v>
      </c>
      <c r="F3958" t="s">
        <v>754</v>
      </c>
      <c r="H3958">
        <v>77</v>
      </c>
      <c r="O3958" t="s">
        <v>239</v>
      </c>
      <c r="P3958" t="s">
        <v>514</v>
      </c>
      <c r="Y3958">
        <v>3924</v>
      </c>
      <c r="Z3958" s="259" t="s">
        <v>630</v>
      </c>
      <c r="AA3958">
        <v>100</v>
      </c>
      <c r="AB3958">
        <v>8008</v>
      </c>
      <c r="AC3958">
        <v>45870</v>
      </c>
      <c r="AD3958">
        <v>0</v>
      </c>
      <c r="AE3958">
        <v>7700</v>
      </c>
      <c r="AF3958">
        <v>7700</v>
      </c>
      <c r="AG3958">
        <v>0</v>
      </c>
      <c r="AH3958">
        <v>-308</v>
      </c>
    </row>
    <row r="3959" spans="2:34" x14ac:dyDescent="0.35">
      <c r="B3959" t="s">
        <v>747</v>
      </c>
      <c r="C3959">
        <v>45871</v>
      </c>
      <c r="F3959" t="s">
        <v>749</v>
      </c>
      <c r="H3959">
        <v>52</v>
      </c>
      <c r="O3959" t="s">
        <v>239</v>
      </c>
      <c r="P3959" t="s">
        <v>514</v>
      </c>
      <c r="Y3959">
        <v>3925</v>
      </c>
      <c r="Z3959" s="259" t="s">
        <v>630</v>
      </c>
      <c r="AA3959">
        <v>80</v>
      </c>
      <c r="AB3959">
        <v>4004</v>
      </c>
      <c r="AC3959">
        <v>45870</v>
      </c>
      <c r="AD3959">
        <v>1</v>
      </c>
      <c r="AE3959">
        <v>4160</v>
      </c>
      <c r="AF3959">
        <v>4160</v>
      </c>
      <c r="AG3959">
        <v>0</v>
      </c>
      <c r="AH3959">
        <v>156</v>
      </c>
    </row>
    <row r="3960" spans="2:34" x14ac:dyDescent="0.35">
      <c r="B3960" t="s">
        <v>747</v>
      </c>
      <c r="C3960">
        <v>45871</v>
      </c>
      <c r="F3960" t="s">
        <v>752</v>
      </c>
      <c r="H3960">
        <v>178</v>
      </c>
      <c r="O3960" t="s">
        <v>239</v>
      </c>
      <c r="P3960" t="s">
        <v>514</v>
      </c>
      <c r="Y3960">
        <v>3926</v>
      </c>
      <c r="Z3960" s="259" t="s">
        <v>630</v>
      </c>
      <c r="AA3960">
        <v>30</v>
      </c>
      <c r="AB3960">
        <v>5343</v>
      </c>
      <c r="AC3960">
        <v>45870</v>
      </c>
      <c r="AD3960">
        <v>1</v>
      </c>
      <c r="AE3960">
        <v>5340</v>
      </c>
      <c r="AF3960">
        <v>5340</v>
      </c>
      <c r="AG3960">
        <v>0</v>
      </c>
      <c r="AH3960">
        <v>-3</v>
      </c>
    </row>
    <row r="3961" spans="2:34" x14ac:dyDescent="0.35">
      <c r="B3961" t="s">
        <v>747</v>
      </c>
      <c r="C3961">
        <v>45871</v>
      </c>
      <c r="F3961" t="s">
        <v>754</v>
      </c>
      <c r="H3961">
        <v>77</v>
      </c>
      <c r="O3961" t="s">
        <v>239</v>
      </c>
      <c r="P3961" t="s">
        <v>514</v>
      </c>
      <c r="Y3961">
        <v>3927</v>
      </c>
      <c r="Z3961" s="259" t="s">
        <v>630</v>
      </c>
      <c r="AA3961">
        <v>100</v>
      </c>
      <c r="AB3961">
        <v>8008</v>
      </c>
      <c r="AC3961">
        <v>45870</v>
      </c>
      <c r="AD3961">
        <v>1</v>
      </c>
      <c r="AE3961">
        <v>7700</v>
      </c>
      <c r="AF3961">
        <v>7700</v>
      </c>
      <c r="AG3961">
        <v>0</v>
      </c>
      <c r="AH3961">
        <v>-308</v>
      </c>
    </row>
    <row r="3962" spans="2:34" x14ac:dyDescent="0.35">
      <c r="B3962" t="s">
        <v>747</v>
      </c>
      <c r="C3962">
        <v>45872</v>
      </c>
      <c r="F3962" t="s">
        <v>749</v>
      </c>
      <c r="H3962">
        <v>52</v>
      </c>
      <c r="O3962" t="s">
        <v>239</v>
      </c>
      <c r="P3962" t="s">
        <v>514</v>
      </c>
      <c r="Y3962">
        <v>3928</v>
      </c>
      <c r="Z3962" s="259" t="s">
        <v>630</v>
      </c>
      <c r="AA3962">
        <v>80</v>
      </c>
      <c r="AB3962">
        <v>4004</v>
      </c>
      <c r="AC3962">
        <v>45870</v>
      </c>
      <c r="AD3962">
        <v>2</v>
      </c>
      <c r="AE3962">
        <v>4160</v>
      </c>
      <c r="AF3962">
        <v>4160</v>
      </c>
      <c r="AG3962">
        <v>0</v>
      </c>
      <c r="AH3962">
        <v>156</v>
      </c>
    </row>
    <row r="3963" spans="2:34" x14ac:dyDescent="0.35">
      <c r="B3963" t="s">
        <v>747</v>
      </c>
      <c r="C3963">
        <v>45872</v>
      </c>
      <c r="F3963" t="s">
        <v>752</v>
      </c>
      <c r="H3963">
        <v>178</v>
      </c>
      <c r="O3963" t="s">
        <v>239</v>
      </c>
      <c r="P3963" t="s">
        <v>514</v>
      </c>
      <c r="Y3963">
        <v>3929</v>
      </c>
      <c r="Z3963" s="259" t="s">
        <v>630</v>
      </c>
      <c r="AA3963">
        <v>30</v>
      </c>
      <c r="AB3963">
        <v>5343</v>
      </c>
      <c r="AC3963">
        <v>45870</v>
      </c>
      <c r="AD3963">
        <v>2</v>
      </c>
      <c r="AE3963">
        <v>5340</v>
      </c>
      <c r="AF3963">
        <v>5340</v>
      </c>
      <c r="AG3963">
        <v>0</v>
      </c>
      <c r="AH3963">
        <v>-3</v>
      </c>
    </row>
    <row r="3964" spans="2:34" x14ac:dyDescent="0.35">
      <c r="B3964" t="s">
        <v>747</v>
      </c>
      <c r="C3964">
        <v>45872</v>
      </c>
      <c r="F3964" t="s">
        <v>754</v>
      </c>
      <c r="H3964">
        <v>77</v>
      </c>
      <c r="O3964" t="s">
        <v>239</v>
      </c>
      <c r="P3964" t="s">
        <v>514</v>
      </c>
      <c r="Y3964">
        <v>3930</v>
      </c>
      <c r="Z3964" s="259" t="s">
        <v>630</v>
      </c>
      <c r="AA3964">
        <v>100</v>
      </c>
      <c r="AB3964">
        <v>8008</v>
      </c>
      <c r="AC3964">
        <v>45870</v>
      </c>
      <c r="AD3964">
        <v>2</v>
      </c>
      <c r="AE3964">
        <v>7700</v>
      </c>
      <c r="AF3964">
        <v>7700</v>
      </c>
      <c r="AG3964">
        <v>0</v>
      </c>
      <c r="AH3964">
        <v>-308</v>
      </c>
    </row>
    <row r="3965" spans="2:34" x14ac:dyDescent="0.35">
      <c r="B3965" t="s">
        <v>747</v>
      </c>
      <c r="C3965">
        <v>45873</v>
      </c>
      <c r="F3965" t="s">
        <v>749</v>
      </c>
      <c r="H3965">
        <v>51.7</v>
      </c>
      <c r="O3965" t="s">
        <v>239</v>
      </c>
      <c r="P3965" t="s">
        <v>514</v>
      </c>
      <c r="Y3965">
        <v>3931</v>
      </c>
      <c r="Z3965" s="259" t="s">
        <v>630</v>
      </c>
      <c r="AA3965">
        <v>80</v>
      </c>
      <c r="AB3965">
        <v>4004</v>
      </c>
      <c r="AC3965">
        <v>45873</v>
      </c>
      <c r="AD3965">
        <v>0</v>
      </c>
      <c r="AE3965">
        <v>4136</v>
      </c>
      <c r="AF3965">
        <v>4136</v>
      </c>
      <c r="AG3965">
        <v>0</v>
      </c>
      <c r="AH3965">
        <v>132</v>
      </c>
    </row>
    <row r="3966" spans="2:34" x14ac:dyDescent="0.35">
      <c r="B3966" t="s">
        <v>747</v>
      </c>
      <c r="C3966">
        <v>45873</v>
      </c>
      <c r="F3966" t="s">
        <v>752</v>
      </c>
      <c r="H3966">
        <v>179.1</v>
      </c>
      <c r="O3966" t="s">
        <v>239</v>
      </c>
      <c r="P3966" t="s">
        <v>514</v>
      </c>
      <c r="Y3966">
        <v>3932</v>
      </c>
      <c r="Z3966" s="259" t="s">
        <v>630</v>
      </c>
      <c r="AA3966">
        <v>30</v>
      </c>
      <c r="AB3966">
        <v>5343</v>
      </c>
      <c r="AC3966">
        <v>45873</v>
      </c>
      <c r="AD3966">
        <v>0</v>
      </c>
      <c r="AE3966">
        <v>5373</v>
      </c>
      <c r="AF3966">
        <v>5373</v>
      </c>
      <c r="AG3966">
        <v>0</v>
      </c>
      <c r="AH3966">
        <v>30</v>
      </c>
    </row>
    <row r="3967" spans="2:34" x14ac:dyDescent="0.35">
      <c r="B3967" t="s">
        <v>747</v>
      </c>
      <c r="C3967">
        <v>45873</v>
      </c>
      <c r="F3967" t="s">
        <v>754</v>
      </c>
      <c r="H3967">
        <v>77.900000000000006</v>
      </c>
      <c r="O3967" t="s">
        <v>239</v>
      </c>
      <c r="P3967" t="s">
        <v>514</v>
      </c>
      <c r="Y3967">
        <v>3933</v>
      </c>
      <c r="Z3967" s="259" t="s">
        <v>630</v>
      </c>
      <c r="AA3967">
        <v>100</v>
      </c>
      <c r="AB3967">
        <v>8008</v>
      </c>
      <c r="AC3967">
        <v>45873</v>
      </c>
      <c r="AD3967">
        <v>0</v>
      </c>
      <c r="AE3967">
        <v>7790.0000000000009</v>
      </c>
      <c r="AF3967">
        <v>7790.0000000000009</v>
      </c>
      <c r="AG3967">
        <v>0</v>
      </c>
      <c r="AH3967">
        <v>-217.99999999999909</v>
      </c>
    </row>
    <row r="3968" spans="2:34" x14ac:dyDescent="0.35">
      <c r="B3968" t="s">
        <v>747</v>
      </c>
      <c r="C3968">
        <v>45874</v>
      </c>
      <c r="F3968" t="s">
        <v>749</v>
      </c>
      <c r="H3968">
        <v>51.6</v>
      </c>
      <c r="O3968" t="s">
        <v>239</v>
      </c>
      <c r="P3968" t="s">
        <v>514</v>
      </c>
      <c r="Y3968">
        <v>3934</v>
      </c>
      <c r="Z3968" s="259" t="s">
        <v>630</v>
      </c>
      <c r="AA3968">
        <v>80</v>
      </c>
      <c r="AB3968">
        <v>4004</v>
      </c>
      <c r="AC3968">
        <v>45874</v>
      </c>
      <c r="AD3968">
        <v>0</v>
      </c>
      <c r="AE3968">
        <v>4128</v>
      </c>
      <c r="AF3968">
        <v>4128</v>
      </c>
      <c r="AG3968">
        <v>0</v>
      </c>
      <c r="AH3968">
        <v>124</v>
      </c>
    </row>
    <row r="3969" spans="2:34" x14ac:dyDescent="0.35">
      <c r="B3969" t="s">
        <v>747</v>
      </c>
      <c r="C3969">
        <v>45874</v>
      </c>
      <c r="F3969" t="s">
        <v>752</v>
      </c>
      <c r="H3969">
        <v>179.47</v>
      </c>
      <c r="O3969" t="s">
        <v>239</v>
      </c>
      <c r="P3969" t="s">
        <v>514</v>
      </c>
      <c r="Y3969">
        <v>3935</v>
      </c>
      <c r="Z3969" s="259" t="s">
        <v>630</v>
      </c>
      <c r="AA3969">
        <v>30</v>
      </c>
      <c r="AB3969">
        <v>5343</v>
      </c>
      <c r="AC3969">
        <v>45874</v>
      </c>
      <c r="AD3969">
        <v>0</v>
      </c>
      <c r="AE3969">
        <v>5384.1</v>
      </c>
      <c r="AF3969">
        <v>5384.1</v>
      </c>
      <c r="AG3969">
        <v>0</v>
      </c>
      <c r="AH3969">
        <v>41.100000000000364</v>
      </c>
    </row>
    <row r="3970" spans="2:34" x14ac:dyDescent="0.35">
      <c r="B3970" t="s">
        <v>747</v>
      </c>
      <c r="C3970">
        <v>45874</v>
      </c>
      <c r="F3970" t="s">
        <v>754</v>
      </c>
      <c r="H3970">
        <v>78.2</v>
      </c>
      <c r="O3970" t="s">
        <v>239</v>
      </c>
      <c r="P3970" t="s">
        <v>514</v>
      </c>
      <c r="Y3970">
        <v>3936</v>
      </c>
      <c r="Z3970" s="259" t="s">
        <v>630</v>
      </c>
      <c r="AA3970">
        <v>100</v>
      </c>
      <c r="AB3970">
        <v>8008</v>
      </c>
      <c r="AC3970">
        <v>45874</v>
      </c>
      <c r="AD3970">
        <v>0</v>
      </c>
      <c r="AE3970">
        <v>7820</v>
      </c>
      <c r="AF3970">
        <v>7820</v>
      </c>
      <c r="AG3970">
        <v>0</v>
      </c>
      <c r="AH3970">
        <v>-188</v>
      </c>
    </row>
    <row r="3971" spans="2:34" x14ac:dyDescent="0.35">
      <c r="B3971" t="s">
        <v>747</v>
      </c>
      <c r="C3971">
        <v>45875</v>
      </c>
      <c r="F3971" t="s">
        <v>749</v>
      </c>
      <c r="H3971">
        <v>51.5</v>
      </c>
      <c r="O3971" t="s">
        <v>239</v>
      </c>
      <c r="P3971" t="s">
        <v>514</v>
      </c>
      <c r="Y3971">
        <v>3937</v>
      </c>
      <c r="Z3971" s="259" t="s">
        <v>630</v>
      </c>
      <c r="AA3971">
        <v>80</v>
      </c>
      <c r="AB3971">
        <v>4004</v>
      </c>
      <c r="AC3971">
        <v>45875</v>
      </c>
      <c r="AD3971">
        <v>0</v>
      </c>
      <c r="AE3971">
        <v>4120</v>
      </c>
      <c r="AF3971">
        <v>4120</v>
      </c>
      <c r="AG3971">
        <v>0</v>
      </c>
      <c r="AH3971">
        <v>116</v>
      </c>
    </row>
    <row r="3972" spans="2:34" x14ac:dyDescent="0.35">
      <c r="B3972" t="s">
        <v>747</v>
      </c>
      <c r="C3972">
        <v>45875</v>
      </c>
      <c r="F3972" t="s">
        <v>752</v>
      </c>
      <c r="H3972">
        <v>179.83</v>
      </c>
      <c r="O3972" t="s">
        <v>239</v>
      </c>
      <c r="P3972" t="s">
        <v>514</v>
      </c>
      <c r="Y3972">
        <v>3938</v>
      </c>
      <c r="Z3972" s="259" t="s">
        <v>630</v>
      </c>
      <c r="AA3972">
        <v>30</v>
      </c>
      <c r="AB3972">
        <v>5343</v>
      </c>
      <c r="AC3972">
        <v>45875</v>
      </c>
      <c r="AD3972">
        <v>0</v>
      </c>
      <c r="AE3972">
        <v>5394.9000000000005</v>
      </c>
      <c r="AF3972">
        <v>5394.9000000000005</v>
      </c>
      <c r="AG3972">
        <v>0</v>
      </c>
      <c r="AH3972">
        <v>51.900000000000546</v>
      </c>
    </row>
    <row r="3973" spans="2:34" x14ac:dyDescent="0.35">
      <c r="B3973" t="s">
        <v>747</v>
      </c>
      <c r="C3973">
        <v>45875</v>
      </c>
      <c r="F3973" t="s">
        <v>754</v>
      </c>
      <c r="H3973">
        <v>78.5</v>
      </c>
      <c r="O3973" t="s">
        <v>239</v>
      </c>
      <c r="P3973" t="s">
        <v>514</v>
      </c>
      <c r="Y3973">
        <v>3939</v>
      </c>
      <c r="Z3973" s="259" t="s">
        <v>630</v>
      </c>
      <c r="AA3973">
        <v>100</v>
      </c>
      <c r="AB3973">
        <v>8008</v>
      </c>
      <c r="AC3973">
        <v>45875</v>
      </c>
      <c r="AD3973">
        <v>0</v>
      </c>
      <c r="AE3973">
        <v>7850</v>
      </c>
      <c r="AF3973">
        <v>7850</v>
      </c>
      <c r="AG3973">
        <v>0</v>
      </c>
      <c r="AH3973">
        <v>-158</v>
      </c>
    </row>
    <row r="3974" spans="2:34" x14ac:dyDescent="0.35">
      <c r="B3974" t="s">
        <v>747</v>
      </c>
      <c r="C3974">
        <v>45876</v>
      </c>
      <c r="F3974" t="s">
        <v>749</v>
      </c>
      <c r="H3974">
        <v>51.4</v>
      </c>
      <c r="O3974" t="s">
        <v>239</v>
      </c>
      <c r="P3974" t="s">
        <v>514</v>
      </c>
      <c r="Y3974">
        <v>3940</v>
      </c>
      <c r="Z3974" s="259" t="s">
        <v>630</v>
      </c>
      <c r="AA3974">
        <v>80</v>
      </c>
      <c r="AB3974">
        <v>4004</v>
      </c>
      <c r="AC3974">
        <v>45876</v>
      </c>
      <c r="AD3974">
        <v>0</v>
      </c>
      <c r="AE3974">
        <v>4112</v>
      </c>
      <c r="AF3974">
        <v>4112</v>
      </c>
      <c r="AG3974">
        <v>0</v>
      </c>
      <c r="AH3974">
        <v>108</v>
      </c>
    </row>
    <row r="3975" spans="2:34" x14ac:dyDescent="0.35">
      <c r="B3975" t="s">
        <v>747</v>
      </c>
      <c r="C3975">
        <v>45876</v>
      </c>
      <c r="F3975" t="s">
        <v>752</v>
      </c>
      <c r="H3975">
        <v>180.2</v>
      </c>
      <c r="O3975" t="s">
        <v>239</v>
      </c>
      <c r="P3975" t="s">
        <v>514</v>
      </c>
      <c r="Y3975">
        <v>3941</v>
      </c>
      <c r="Z3975" s="259" t="s">
        <v>630</v>
      </c>
      <c r="AA3975">
        <v>30</v>
      </c>
      <c r="AB3975">
        <v>5343</v>
      </c>
      <c r="AC3975">
        <v>45876</v>
      </c>
      <c r="AD3975">
        <v>0</v>
      </c>
      <c r="AE3975">
        <v>5406</v>
      </c>
      <c r="AF3975">
        <v>5406</v>
      </c>
      <c r="AG3975">
        <v>0</v>
      </c>
      <c r="AH3975">
        <v>63</v>
      </c>
    </row>
    <row r="3976" spans="2:34" x14ac:dyDescent="0.35">
      <c r="B3976" t="s">
        <v>747</v>
      </c>
      <c r="C3976">
        <v>45876</v>
      </c>
      <c r="F3976" t="s">
        <v>754</v>
      </c>
      <c r="H3976">
        <v>78.8</v>
      </c>
      <c r="O3976" t="s">
        <v>239</v>
      </c>
      <c r="P3976" t="s">
        <v>514</v>
      </c>
      <c r="Y3976">
        <v>3942</v>
      </c>
      <c r="Z3976" s="259" t="s">
        <v>630</v>
      </c>
      <c r="AA3976">
        <v>100</v>
      </c>
      <c r="AB3976">
        <v>8008</v>
      </c>
      <c r="AC3976">
        <v>45876</v>
      </c>
      <c r="AD3976">
        <v>0</v>
      </c>
      <c r="AE3976">
        <v>7880</v>
      </c>
      <c r="AF3976">
        <v>7880</v>
      </c>
      <c r="AG3976">
        <v>0</v>
      </c>
      <c r="AH3976">
        <v>-128</v>
      </c>
    </row>
    <row r="3977" spans="2:34" x14ac:dyDescent="0.35">
      <c r="B3977" t="s">
        <v>747</v>
      </c>
      <c r="C3977">
        <v>45877</v>
      </c>
      <c r="F3977" t="s">
        <v>749</v>
      </c>
      <c r="H3977">
        <v>51.3</v>
      </c>
      <c r="O3977" t="s">
        <v>239</v>
      </c>
      <c r="P3977" t="s">
        <v>514</v>
      </c>
      <c r="Y3977">
        <v>3943</v>
      </c>
      <c r="Z3977" s="259" t="s">
        <v>630</v>
      </c>
      <c r="AA3977">
        <v>80</v>
      </c>
      <c r="AB3977">
        <v>4004</v>
      </c>
      <c r="AC3977">
        <v>45877</v>
      </c>
      <c r="AD3977">
        <v>0</v>
      </c>
      <c r="AE3977">
        <v>4104</v>
      </c>
      <c r="AF3977">
        <v>4104</v>
      </c>
      <c r="AG3977">
        <v>0</v>
      </c>
      <c r="AH3977">
        <v>100</v>
      </c>
    </row>
    <row r="3978" spans="2:34" x14ac:dyDescent="0.35">
      <c r="B3978" t="s">
        <v>747</v>
      </c>
      <c r="C3978">
        <v>45877</v>
      </c>
      <c r="F3978" t="s">
        <v>752</v>
      </c>
      <c r="H3978">
        <v>180.57</v>
      </c>
      <c r="O3978" t="s">
        <v>239</v>
      </c>
      <c r="P3978" t="s">
        <v>514</v>
      </c>
      <c r="Y3978">
        <v>3944</v>
      </c>
      <c r="Z3978" s="259" t="s">
        <v>630</v>
      </c>
      <c r="AA3978">
        <v>30</v>
      </c>
      <c r="AB3978">
        <v>5343</v>
      </c>
      <c r="AC3978">
        <v>45877</v>
      </c>
      <c r="AD3978">
        <v>0</v>
      </c>
      <c r="AE3978">
        <v>5417.0999999999995</v>
      </c>
      <c r="AF3978">
        <v>5417.0999999999995</v>
      </c>
      <c r="AG3978">
        <v>0</v>
      </c>
      <c r="AH3978">
        <v>74.099999999999454</v>
      </c>
    </row>
    <row r="3979" spans="2:34" x14ac:dyDescent="0.35">
      <c r="B3979" t="s">
        <v>747</v>
      </c>
      <c r="C3979">
        <v>45877</v>
      </c>
      <c r="F3979" t="s">
        <v>754</v>
      </c>
      <c r="H3979">
        <v>79.099999999999994</v>
      </c>
      <c r="O3979" t="s">
        <v>239</v>
      </c>
      <c r="P3979" t="s">
        <v>514</v>
      </c>
      <c r="Y3979">
        <v>3945</v>
      </c>
      <c r="Z3979" s="259" t="s">
        <v>630</v>
      </c>
      <c r="AA3979">
        <v>100</v>
      </c>
      <c r="AB3979">
        <v>8008</v>
      </c>
      <c r="AC3979">
        <v>45877</v>
      </c>
      <c r="AD3979">
        <v>0</v>
      </c>
      <c r="AE3979">
        <v>7909.9999999999991</v>
      </c>
      <c r="AF3979">
        <v>7909.9999999999991</v>
      </c>
      <c r="AG3979">
        <v>0</v>
      </c>
      <c r="AH3979">
        <v>-98.000000000000909</v>
      </c>
    </row>
    <row r="3980" spans="2:34" x14ac:dyDescent="0.35">
      <c r="B3980" t="s">
        <v>747</v>
      </c>
      <c r="C3980">
        <v>45878</v>
      </c>
      <c r="F3980" t="s">
        <v>749</v>
      </c>
      <c r="H3980">
        <v>51.3</v>
      </c>
      <c r="O3980" t="s">
        <v>239</v>
      </c>
      <c r="P3980" t="s">
        <v>514</v>
      </c>
      <c r="Y3980">
        <v>3946</v>
      </c>
      <c r="Z3980" s="259" t="s">
        <v>630</v>
      </c>
      <c r="AA3980">
        <v>80</v>
      </c>
      <c r="AB3980">
        <v>4004</v>
      </c>
      <c r="AC3980">
        <v>45877</v>
      </c>
      <c r="AD3980">
        <v>1</v>
      </c>
      <c r="AE3980">
        <v>4104</v>
      </c>
      <c r="AF3980">
        <v>4104</v>
      </c>
      <c r="AG3980">
        <v>0</v>
      </c>
      <c r="AH3980">
        <v>100</v>
      </c>
    </row>
    <row r="3981" spans="2:34" x14ac:dyDescent="0.35">
      <c r="B3981" t="s">
        <v>747</v>
      </c>
      <c r="C3981">
        <v>45878</v>
      </c>
      <c r="F3981" t="s">
        <v>752</v>
      </c>
      <c r="H3981">
        <v>180.57</v>
      </c>
      <c r="O3981" t="s">
        <v>239</v>
      </c>
      <c r="P3981" t="s">
        <v>514</v>
      </c>
      <c r="Y3981">
        <v>3947</v>
      </c>
      <c r="Z3981" s="259" t="s">
        <v>630</v>
      </c>
      <c r="AA3981">
        <v>30</v>
      </c>
      <c r="AB3981">
        <v>5343</v>
      </c>
      <c r="AC3981">
        <v>45877</v>
      </c>
      <c r="AD3981">
        <v>1</v>
      </c>
      <c r="AE3981">
        <v>5417.0999999999995</v>
      </c>
      <c r="AF3981">
        <v>5417.0999999999995</v>
      </c>
      <c r="AG3981">
        <v>0</v>
      </c>
      <c r="AH3981">
        <v>74.099999999999454</v>
      </c>
    </row>
    <row r="3982" spans="2:34" x14ac:dyDescent="0.35">
      <c r="B3982" t="s">
        <v>747</v>
      </c>
      <c r="C3982">
        <v>45878</v>
      </c>
      <c r="F3982" t="s">
        <v>754</v>
      </c>
      <c r="H3982">
        <v>79.099999999999994</v>
      </c>
      <c r="O3982" t="s">
        <v>239</v>
      </c>
      <c r="P3982" t="s">
        <v>514</v>
      </c>
      <c r="Y3982">
        <v>3948</v>
      </c>
      <c r="Z3982" s="259" t="s">
        <v>630</v>
      </c>
      <c r="AA3982">
        <v>100</v>
      </c>
      <c r="AB3982">
        <v>8008</v>
      </c>
      <c r="AC3982">
        <v>45877</v>
      </c>
      <c r="AD3982">
        <v>1</v>
      </c>
      <c r="AE3982">
        <v>7909.9999999999991</v>
      </c>
      <c r="AF3982">
        <v>7909.9999999999991</v>
      </c>
      <c r="AG3982">
        <v>0</v>
      </c>
      <c r="AH3982">
        <v>-98.000000000000909</v>
      </c>
    </row>
    <row r="3983" spans="2:34" x14ac:dyDescent="0.35">
      <c r="B3983" t="s">
        <v>747</v>
      </c>
      <c r="C3983">
        <v>45879</v>
      </c>
      <c r="F3983" t="s">
        <v>749</v>
      </c>
      <c r="H3983">
        <v>51.3</v>
      </c>
      <c r="O3983" t="s">
        <v>239</v>
      </c>
      <c r="P3983" t="s">
        <v>514</v>
      </c>
      <c r="Y3983">
        <v>3949</v>
      </c>
      <c r="Z3983" s="259" t="s">
        <v>630</v>
      </c>
      <c r="AA3983">
        <v>80</v>
      </c>
      <c r="AB3983">
        <v>4004</v>
      </c>
      <c r="AC3983">
        <v>45877</v>
      </c>
      <c r="AD3983">
        <v>2</v>
      </c>
      <c r="AE3983">
        <v>4104</v>
      </c>
      <c r="AF3983">
        <v>4104</v>
      </c>
      <c r="AG3983">
        <v>0</v>
      </c>
      <c r="AH3983">
        <v>100</v>
      </c>
    </row>
    <row r="3984" spans="2:34" x14ac:dyDescent="0.35">
      <c r="B3984" t="s">
        <v>747</v>
      </c>
      <c r="C3984">
        <v>45879</v>
      </c>
      <c r="F3984" t="s">
        <v>752</v>
      </c>
      <c r="H3984">
        <v>180.57</v>
      </c>
      <c r="O3984" t="s">
        <v>239</v>
      </c>
      <c r="P3984" t="s">
        <v>514</v>
      </c>
      <c r="Y3984">
        <v>3950</v>
      </c>
      <c r="Z3984" s="259" t="s">
        <v>630</v>
      </c>
      <c r="AA3984">
        <v>30</v>
      </c>
      <c r="AB3984">
        <v>5343</v>
      </c>
      <c r="AC3984">
        <v>45877</v>
      </c>
      <c r="AD3984">
        <v>2</v>
      </c>
      <c r="AE3984">
        <v>5417.0999999999995</v>
      </c>
      <c r="AF3984">
        <v>5417.0999999999995</v>
      </c>
      <c r="AG3984">
        <v>0</v>
      </c>
      <c r="AH3984">
        <v>74.099999999999454</v>
      </c>
    </row>
    <row r="3985" spans="2:34" x14ac:dyDescent="0.35">
      <c r="B3985" t="s">
        <v>747</v>
      </c>
      <c r="C3985">
        <v>45879</v>
      </c>
      <c r="F3985" t="s">
        <v>754</v>
      </c>
      <c r="H3985">
        <v>79.099999999999994</v>
      </c>
      <c r="O3985" t="s">
        <v>239</v>
      </c>
      <c r="P3985" t="s">
        <v>514</v>
      </c>
      <c r="Y3985">
        <v>3951</v>
      </c>
      <c r="Z3985" s="259" t="s">
        <v>630</v>
      </c>
      <c r="AA3985">
        <v>100</v>
      </c>
      <c r="AB3985">
        <v>8008</v>
      </c>
      <c r="AC3985">
        <v>45877</v>
      </c>
      <c r="AD3985">
        <v>2</v>
      </c>
      <c r="AE3985">
        <v>7909.9999999999991</v>
      </c>
      <c r="AF3985">
        <v>7909.9999999999991</v>
      </c>
      <c r="AG3985">
        <v>0</v>
      </c>
      <c r="AH3985">
        <v>-98.000000000000909</v>
      </c>
    </row>
    <row r="3986" spans="2:34" x14ac:dyDescent="0.35">
      <c r="B3986" t="s">
        <v>747</v>
      </c>
      <c r="C3986">
        <v>45880</v>
      </c>
      <c r="F3986" t="s">
        <v>749</v>
      </c>
      <c r="H3986">
        <v>51</v>
      </c>
      <c r="O3986" t="s">
        <v>239</v>
      </c>
      <c r="P3986" t="s">
        <v>514</v>
      </c>
      <c r="Y3986">
        <v>3952</v>
      </c>
      <c r="Z3986" s="259" t="s">
        <v>630</v>
      </c>
      <c r="AA3986">
        <v>80</v>
      </c>
      <c r="AB3986">
        <v>4004</v>
      </c>
      <c r="AC3986">
        <v>45880</v>
      </c>
      <c r="AD3986">
        <v>0</v>
      </c>
      <c r="AE3986">
        <v>4080</v>
      </c>
      <c r="AF3986">
        <v>4080</v>
      </c>
      <c r="AG3986">
        <v>0</v>
      </c>
      <c r="AH3986">
        <v>76</v>
      </c>
    </row>
    <row r="3987" spans="2:34" x14ac:dyDescent="0.35">
      <c r="B3987" t="s">
        <v>747</v>
      </c>
      <c r="C3987">
        <v>45880</v>
      </c>
      <c r="F3987" t="s">
        <v>752</v>
      </c>
      <c r="H3987">
        <v>181.67</v>
      </c>
      <c r="O3987" t="s">
        <v>239</v>
      </c>
      <c r="P3987" t="s">
        <v>514</v>
      </c>
      <c r="Y3987">
        <v>3953</v>
      </c>
      <c r="Z3987" s="259" t="s">
        <v>630</v>
      </c>
      <c r="AA3987">
        <v>30</v>
      </c>
      <c r="AB3987">
        <v>5343</v>
      </c>
      <c r="AC3987">
        <v>45880</v>
      </c>
      <c r="AD3987">
        <v>0</v>
      </c>
      <c r="AE3987">
        <v>5450.0999999999995</v>
      </c>
      <c r="AF3987">
        <v>5450.0999999999995</v>
      </c>
      <c r="AG3987">
        <v>0</v>
      </c>
      <c r="AH3987">
        <v>107.09999999999945</v>
      </c>
    </row>
    <row r="3988" spans="2:34" x14ac:dyDescent="0.35">
      <c r="B3988" t="s">
        <v>747</v>
      </c>
      <c r="C3988">
        <v>45880</v>
      </c>
      <c r="F3988" t="s">
        <v>754</v>
      </c>
      <c r="H3988">
        <v>80</v>
      </c>
      <c r="O3988" t="s">
        <v>239</v>
      </c>
      <c r="P3988" t="s">
        <v>514</v>
      </c>
      <c r="Y3988">
        <v>3954</v>
      </c>
      <c r="Z3988" s="259" t="s">
        <v>630</v>
      </c>
      <c r="AA3988">
        <v>100</v>
      </c>
      <c r="AB3988">
        <v>8008</v>
      </c>
      <c r="AC3988">
        <v>45880</v>
      </c>
      <c r="AD3988">
        <v>0</v>
      </c>
      <c r="AE3988">
        <v>8000</v>
      </c>
      <c r="AF3988">
        <v>8000</v>
      </c>
      <c r="AG3988">
        <v>0</v>
      </c>
      <c r="AH3988">
        <v>-8</v>
      </c>
    </row>
    <row r="3989" spans="2:34" x14ac:dyDescent="0.35">
      <c r="B3989" t="s">
        <v>747</v>
      </c>
      <c r="C3989">
        <v>45881</v>
      </c>
      <c r="F3989" t="s">
        <v>749</v>
      </c>
      <c r="H3989">
        <v>50.9</v>
      </c>
      <c r="O3989" t="s">
        <v>239</v>
      </c>
      <c r="P3989" t="s">
        <v>514</v>
      </c>
      <c r="Y3989">
        <v>3955</v>
      </c>
      <c r="Z3989" s="259" t="s">
        <v>630</v>
      </c>
      <c r="AA3989">
        <v>80</v>
      </c>
      <c r="AB3989">
        <v>4004</v>
      </c>
      <c r="AC3989">
        <v>45881</v>
      </c>
      <c r="AD3989">
        <v>0</v>
      </c>
      <c r="AE3989">
        <v>4072</v>
      </c>
      <c r="AF3989">
        <v>4072</v>
      </c>
      <c r="AG3989">
        <v>0</v>
      </c>
      <c r="AH3989">
        <v>68</v>
      </c>
    </row>
    <row r="3990" spans="2:34" x14ac:dyDescent="0.35">
      <c r="B3990" t="s">
        <v>747</v>
      </c>
      <c r="C3990">
        <v>45881</v>
      </c>
      <c r="F3990" t="s">
        <v>752</v>
      </c>
      <c r="H3990">
        <v>182.03</v>
      </c>
      <c r="O3990" t="s">
        <v>239</v>
      </c>
      <c r="P3990" t="s">
        <v>514</v>
      </c>
      <c r="Y3990">
        <v>3956</v>
      </c>
      <c r="Z3990" s="259" t="s">
        <v>630</v>
      </c>
      <c r="AA3990">
        <v>30</v>
      </c>
      <c r="AB3990">
        <v>5343</v>
      </c>
      <c r="AC3990">
        <v>45881</v>
      </c>
      <c r="AD3990">
        <v>0</v>
      </c>
      <c r="AE3990">
        <v>5460.9</v>
      </c>
      <c r="AF3990">
        <v>5460.9</v>
      </c>
      <c r="AG3990">
        <v>0</v>
      </c>
      <c r="AH3990">
        <v>117.89999999999964</v>
      </c>
    </row>
    <row r="3991" spans="2:34" x14ac:dyDescent="0.35">
      <c r="B3991" t="s">
        <v>747</v>
      </c>
      <c r="C3991">
        <v>45881</v>
      </c>
      <c r="F3991" t="s">
        <v>754</v>
      </c>
      <c r="H3991">
        <v>80.3</v>
      </c>
      <c r="O3991" t="s">
        <v>239</v>
      </c>
      <c r="P3991" t="s">
        <v>514</v>
      </c>
      <c r="Y3991">
        <v>3957</v>
      </c>
      <c r="Z3991" s="259" t="s">
        <v>630</v>
      </c>
      <c r="AA3991">
        <v>100</v>
      </c>
      <c r="AB3991">
        <v>8008</v>
      </c>
      <c r="AC3991">
        <v>45881</v>
      </c>
      <c r="AD3991">
        <v>0</v>
      </c>
      <c r="AE3991">
        <v>8030</v>
      </c>
      <c r="AF3991">
        <v>8030</v>
      </c>
      <c r="AG3991">
        <v>0</v>
      </c>
      <c r="AH3991">
        <v>22</v>
      </c>
    </row>
    <row r="3992" spans="2:34" x14ac:dyDescent="0.35">
      <c r="B3992" t="s">
        <v>747</v>
      </c>
      <c r="C3992">
        <v>45882</v>
      </c>
      <c r="F3992" t="s">
        <v>749</v>
      </c>
      <c r="H3992">
        <v>50.8</v>
      </c>
      <c r="O3992" t="s">
        <v>239</v>
      </c>
      <c r="P3992" t="s">
        <v>514</v>
      </c>
      <c r="Y3992">
        <v>3958</v>
      </c>
      <c r="Z3992" s="259" t="s">
        <v>630</v>
      </c>
      <c r="AA3992">
        <v>80</v>
      </c>
      <c r="AB3992">
        <v>4004</v>
      </c>
      <c r="AC3992">
        <v>45882</v>
      </c>
      <c r="AD3992">
        <v>0</v>
      </c>
      <c r="AE3992">
        <v>4064</v>
      </c>
      <c r="AF3992">
        <v>4064</v>
      </c>
      <c r="AG3992">
        <v>0</v>
      </c>
      <c r="AH3992">
        <v>60</v>
      </c>
    </row>
    <row r="3993" spans="2:34" x14ac:dyDescent="0.35">
      <c r="B3993" t="s">
        <v>747</v>
      </c>
      <c r="C3993">
        <v>45882</v>
      </c>
      <c r="F3993" t="s">
        <v>752</v>
      </c>
      <c r="H3993">
        <v>182.4</v>
      </c>
      <c r="O3993" t="s">
        <v>239</v>
      </c>
      <c r="P3993" t="s">
        <v>514</v>
      </c>
      <c r="Y3993">
        <v>3959</v>
      </c>
      <c r="Z3993" s="259" t="s">
        <v>630</v>
      </c>
      <c r="AA3993">
        <v>30</v>
      </c>
      <c r="AB3993">
        <v>5343</v>
      </c>
      <c r="AC3993">
        <v>45882</v>
      </c>
      <c r="AD3993">
        <v>0</v>
      </c>
      <c r="AE3993">
        <v>5472</v>
      </c>
      <c r="AF3993">
        <v>5472</v>
      </c>
      <c r="AG3993">
        <v>0</v>
      </c>
      <c r="AH3993">
        <v>129</v>
      </c>
    </row>
    <row r="3994" spans="2:34" x14ac:dyDescent="0.35">
      <c r="B3994" t="s">
        <v>747</v>
      </c>
      <c r="C3994">
        <v>45882</v>
      </c>
      <c r="F3994" t="s">
        <v>754</v>
      </c>
      <c r="H3994">
        <v>80.599999999999994</v>
      </c>
      <c r="O3994" t="s">
        <v>239</v>
      </c>
      <c r="P3994" t="s">
        <v>514</v>
      </c>
      <c r="Y3994">
        <v>3960</v>
      </c>
      <c r="Z3994" s="259" t="s">
        <v>630</v>
      </c>
      <c r="AA3994">
        <v>100</v>
      </c>
      <c r="AB3994">
        <v>8008</v>
      </c>
      <c r="AC3994">
        <v>45882</v>
      </c>
      <c r="AD3994">
        <v>0</v>
      </c>
      <c r="AE3994">
        <v>8059.9999999999991</v>
      </c>
      <c r="AF3994">
        <v>8059.9999999999991</v>
      </c>
      <c r="AG3994">
        <v>0</v>
      </c>
      <c r="AH3994">
        <v>51.999999999999091</v>
      </c>
    </row>
    <row r="3995" spans="2:34" x14ac:dyDescent="0.35">
      <c r="B3995" t="s">
        <v>747</v>
      </c>
      <c r="C3995">
        <v>45883</v>
      </c>
      <c r="F3995" t="s">
        <v>749</v>
      </c>
      <c r="H3995">
        <v>50.7</v>
      </c>
      <c r="O3995" t="s">
        <v>239</v>
      </c>
      <c r="P3995" t="s">
        <v>514</v>
      </c>
      <c r="Y3995">
        <v>3961</v>
      </c>
      <c r="Z3995" s="259" t="s">
        <v>630</v>
      </c>
      <c r="AA3995">
        <v>80</v>
      </c>
      <c r="AB3995">
        <v>4004</v>
      </c>
      <c r="AC3995">
        <v>45883</v>
      </c>
      <c r="AD3995">
        <v>0</v>
      </c>
      <c r="AE3995">
        <v>4056</v>
      </c>
      <c r="AF3995">
        <v>4056</v>
      </c>
      <c r="AG3995">
        <v>0</v>
      </c>
      <c r="AH3995">
        <v>52</v>
      </c>
    </row>
    <row r="3996" spans="2:34" x14ac:dyDescent="0.35">
      <c r="B3996" t="s">
        <v>747</v>
      </c>
      <c r="C3996">
        <v>45883</v>
      </c>
      <c r="F3996" t="s">
        <v>752</v>
      </c>
      <c r="H3996">
        <v>182.77</v>
      </c>
      <c r="O3996" t="s">
        <v>239</v>
      </c>
      <c r="P3996" t="s">
        <v>514</v>
      </c>
      <c r="Y3996">
        <v>3962</v>
      </c>
      <c r="Z3996" s="259" t="s">
        <v>630</v>
      </c>
      <c r="AA3996">
        <v>30</v>
      </c>
      <c r="AB3996">
        <v>5343</v>
      </c>
      <c r="AC3996">
        <v>45883</v>
      </c>
      <c r="AD3996">
        <v>0</v>
      </c>
      <c r="AE3996">
        <v>5483.1</v>
      </c>
      <c r="AF3996">
        <v>5483.1</v>
      </c>
      <c r="AG3996">
        <v>0</v>
      </c>
      <c r="AH3996">
        <v>140.10000000000036</v>
      </c>
    </row>
    <row r="3997" spans="2:34" x14ac:dyDescent="0.35">
      <c r="B3997" t="s">
        <v>747</v>
      </c>
      <c r="C3997">
        <v>45883</v>
      </c>
      <c r="F3997" t="s">
        <v>754</v>
      </c>
      <c r="H3997">
        <v>80.900000000000006</v>
      </c>
      <c r="O3997" t="s">
        <v>239</v>
      </c>
      <c r="P3997" t="s">
        <v>514</v>
      </c>
      <c r="Y3997">
        <v>3963</v>
      </c>
      <c r="Z3997" s="259" t="s">
        <v>630</v>
      </c>
      <c r="AA3997">
        <v>100</v>
      </c>
      <c r="AB3997">
        <v>8008</v>
      </c>
      <c r="AC3997">
        <v>45883</v>
      </c>
      <c r="AD3997">
        <v>0</v>
      </c>
      <c r="AE3997">
        <v>8090.0000000000009</v>
      </c>
      <c r="AF3997">
        <v>8090.0000000000009</v>
      </c>
      <c r="AG3997">
        <v>0</v>
      </c>
      <c r="AH3997">
        <v>82.000000000000909</v>
      </c>
    </row>
    <row r="3998" spans="2:34" x14ac:dyDescent="0.35">
      <c r="B3998" t="s">
        <v>747</v>
      </c>
      <c r="C3998">
        <v>45884</v>
      </c>
      <c r="F3998" t="s">
        <v>749</v>
      </c>
      <c r="H3998">
        <v>50.6</v>
      </c>
      <c r="O3998" t="s">
        <v>239</v>
      </c>
      <c r="P3998" t="s">
        <v>514</v>
      </c>
      <c r="Y3998">
        <v>3964</v>
      </c>
      <c r="Z3998" s="259" t="s">
        <v>630</v>
      </c>
      <c r="AA3998">
        <v>80</v>
      </c>
      <c r="AB3998">
        <v>4004</v>
      </c>
      <c r="AC3998">
        <v>45884</v>
      </c>
      <c r="AD3998">
        <v>0</v>
      </c>
      <c r="AE3998">
        <v>4048</v>
      </c>
      <c r="AF3998">
        <v>4048</v>
      </c>
      <c r="AG3998">
        <v>0</v>
      </c>
      <c r="AH3998">
        <v>44</v>
      </c>
    </row>
    <row r="3999" spans="2:34" x14ac:dyDescent="0.35">
      <c r="B3999" t="s">
        <v>747</v>
      </c>
      <c r="C3999">
        <v>45884</v>
      </c>
      <c r="F3999" t="s">
        <v>752</v>
      </c>
      <c r="H3999">
        <v>183.13</v>
      </c>
      <c r="O3999" t="s">
        <v>239</v>
      </c>
      <c r="P3999" t="s">
        <v>514</v>
      </c>
      <c r="Y3999">
        <v>3965</v>
      </c>
      <c r="Z3999" s="259" t="s">
        <v>630</v>
      </c>
      <c r="AA3999">
        <v>30</v>
      </c>
      <c r="AB3999">
        <v>5343</v>
      </c>
      <c r="AC3999">
        <v>45884</v>
      </c>
      <c r="AD3999">
        <v>0</v>
      </c>
      <c r="AE3999">
        <v>5493.9</v>
      </c>
      <c r="AF3999">
        <v>5493.9</v>
      </c>
      <c r="AG3999">
        <v>0</v>
      </c>
      <c r="AH3999">
        <v>150.89999999999964</v>
      </c>
    </row>
    <row r="4000" spans="2:34" x14ac:dyDescent="0.35">
      <c r="B4000" t="s">
        <v>747</v>
      </c>
      <c r="C4000">
        <v>45884</v>
      </c>
      <c r="F4000" t="s">
        <v>754</v>
      </c>
      <c r="H4000">
        <v>81.2</v>
      </c>
      <c r="O4000" t="s">
        <v>239</v>
      </c>
      <c r="P4000" t="s">
        <v>514</v>
      </c>
      <c r="Y4000">
        <v>3966</v>
      </c>
      <c r="Z4000" s="259" t="s">
        <v>630</v>
      </c>
      <c r="AA4000">
        <v>100</v>
      </c>
      <c r="AB4000">
        <v>8008</v>
      </c>
      <c r="AC4000">
        <v>45884</v>
      </c>
      <c r="AD4000">
        <v>0</v>
      </c>
      <c r="AE4000">
        <v>8120</v>
      </c>
      <c r="AF4000">
        <v>8120</v>
      </c>
      <c r="AG4000">
        <v>0</v>
      </c>
      <c r="AH4000">
        <v>112</v>
      </c>
    </row>
    <row r="4001" spans="2:34" x14ac:dyDescent="0.35">
      <c r="B4001" t="s">
        <v>747</v>
      </c>
      <c r="C4001">
        <v>45885</v>
      </c>
      <c r="F4001" t="s">
        <v>749</v>
      </c>
      <c r="H4001">
        <v>50.6</v>
      </c>
      <c r="O4001" t="s">
        <v>239</v>
      </c>
      <c r="P4001" t="s">
        <v>514</v>
      </c>
      <c r="Y4001">
        <v>3967</v>
      </c>
      <c r="Z4001" s="259" t="s">
        <v>630</v>
      </c>
      <c r="AA4001">
        <v>80</v>
      </c>
      <c r="AB4001">
        <v>4004</v>
      </c>
      <c r="AC4001">
        <v>45884</v>
      </c>
      <c r="AD4001">
        <v>1</v>
      </c>
      <c r="AE4001">
        <v>4048</v>
      </c>
      <c r="AF4001">
        <v>4048</v>
      </c>
      <c r="AG4001">
        <v>0</v>
      </c>
      <c r="AH4001">
        <v>44</v>
      </c>
    </row>
    <row r="4002" spans="2:34" x14ac:dyDescent="0.35">
      <c r="B4002" t="s">
        <v>747</v>
      </c>
      <c r="C4002">
        <v>45885</v>
      </c>
      <c r="F4002" t="s">
        <v>752</v>
      </c>
      <c r="H4002">
        <v>183.13</v>
      </c>
      <c r="O4002" t="s">
        <v>239</v>
      </c>
      <c r="P4002" t="s">
        <v>514</v>
      </c>
      <c r="Y4002">
        <v>3968</v>
      </c>
      <c r="Z4002" s="259" t="s">
        <v>630</v>
      </c>
      <c r="AA4002">
        <v>30</v>
      </c>
      <c r="AB4002">
        <v>5343</v>
      </c>
      <c r="AC4002">
        <v>45884</v>
      </c>
      <c r="AD4002">
        <v>1</v>
      </c>
      <c r="AE4002">
        <v>5493.9</v>
      </c>
      <c r="AF4002">
        <v>5493.9</v>
      </c>
      <c r="AG4002">
        <v>0</v>
      </c>
      <c r="AH4002">
        <v>150.89999999999964</v>
      </c>
    </row>
    <row r="4003" spans="2:34" x14ac:dyDescent="0.35">
      <c r="B4003" t="s">
        <v>747</v>
      </c>
      <c r="C4003">
        <v>45885</v>
      </c>
      <c r="F4003" t="s">
        <v>754</v>
      </c>
      <c r="H4003">
        <v>81.2</v>
      </c>
      <c r="O4003" t="s">
        <v>239</v>
      </c>
      <c r="P4003" t="s">
        <v>514</v>
      </c>
      <c r="Y4003">
        <v>3969</v>
      </c>
      <c r="Z4003" s="259" t="s">
        <v>630</v>
      </c>
      <c r="AA4003">
        <v>100</v>
      </c>
      <c r="AB4003">
        <v>8008</v>
      </c>
      <c r="AC4003">
        <v>45884</v>
      </c>
      <c r="AD4003">
        <v>1</v>
      </c>
      <c r="AE4003">
        <v>8120</v>
      </c>
      <c r="AF4003">
        <v>8120</v>
      </c>
      <c r="AG4003">
        <v>0</v>
      </c>
      <c r="AH4003">
        <v>112</v>
      </c>
    </row>
    <row r="4004" spans="2:34" x14ac:dyDescent="0.35">
      <c r="B4004" t="s">
        <v>747</v>
      </c>
      <c r="C4004">
        <v>45886</v>
      </c>
      <c r="F4004" t="s">
        <v>749</v>
      </c>
      <c r="H4004">
        <v>50.6</v>
      </c>
      <c r="O4004" t="s">
        <v>239</v>
      </c>
      <c r="P4004" t="s">
        <v>514</v>
      </c>
      <c r="Y4004">
        <v>3970</v>
      </c>
      <c r="Z4004" s="259" t="s">
        <v>630</v>
      </c>
      <c r="AA4004">
        <v>80</v>
      </c>
      <c r="AB4004">
        <v>4004</v>
      </c>
      <c r="AC4004">
        <v>45884</v>
      </c>
      <c r="AD4004">
        <v>2</v>
      </c>
      <c r="AE4004">
        <v>4048</v>
      </c>
      <c r="AF4004">
        <v>4048</v>
      </c>
      <c r="AG4004">
        <v>0</v>
      </c>
      <c r="AH4004">
        <v>44</v>
      </c>
    </row>
    <row r="4005" spans="2:34" x14ac:dyDescent="0.35">
      <c r="B4005" t="s">
        <v>747</v>
      </c>
      <c r="C4005">
        <v>45886</v>
      </c>
      <c r="F4005" t="s">
        <v>752</v>
      </c>
      <c r="H4005">
        <v>183.13</v>
      </c>
      <c r="O4005" t="s">
        <v>239</v>
      </c>
      <c r="P4005" t="s">
        <v>514</v>
      </c>
      <c r="Y4005">
        <v>3971</v>
      </c>
      <c r="Z4005" s="259" t="s">
        <v>630</v>
      </c>
      <c r="AA4005">
        <v>30</v>
      </c>
      <c r="AB4005">
        <v>5343</v>
      </c>
      <c r="AC4005">
        <v>45884</v>
      </c>
      <c r="AD4005">
        <v>2</v>
      </c>
      <c r="AE4005">
        <v>5493.9</v>
      </c>
      <c r="AF4005">
        <v>5493.9</v>
      </c>
      <c r="AG4005">
        <v>0</v>
      </c>
      <c r="AH4005">
        <v>150.89999999999964</v>
      </c>
    </row>
    <row r="4006" spans="2:34" x14ac:dyDescent="0.35">
      <c r="B4006" t="s">
        <v>747</v>
      </c>
      <c r="C4006">
        <v>45886</v>
      </c>
      <c r="F4006" t="s">
        <v>754</v>
      </c>
      <c r="H4006">
        <v>81.2</v>
      </c>
      <c r="O4006" t="s">
        <v>239</v>
      </c>
      <c r="P4006" t="s">
        <v>514</v>
      </c>
      <c r="Y4006">
        <v>3972</v>
      </c>
      <c r="Z4006" s="259" t="s">
        <v>630</v>
      </c>
      <c r="AA4006">
        <v>100</v>
      </c>
      <c r="AB4006">
        <v>8008</v>
      </c>
      <c r="AC4006">
        <v>45884</v>
      </c>
      <c r="AD4006">
        <v>2</v>
      </c>
      <c r="AE4006">
        <v>8120</v>
      </c>
      <c r="AF4006">
        <v>8120</v>
      </c>
      <c r="AG4006">
        <v>0</v>
      </c>
      <c r="AH4006">
        <v>112</v>
      </c>
    </row>
    <row r="4007" spans="2:34" x14ac:dyDescent="0.35">
      <c r="B4007" t="s">
        <v>747</v>
      </c>
      <c r="C4007">
        <v>45887</v>
      </c>
      <c r="F4007" t="s">
        <v>749</v>
      </c>
      <c r="H4007">
        <v>50.3</v>
      </c>
      <c r="O4007" t="s">
        <v>239</v>
      </c>
      <c r="P4007" t="s">
        <v>514</v>
      </c>
      <c r="Y4007">
        <v>3973</v>
      </c>
      <c r="Z4007" s="259" t="s">
        <v>630</v>
      </c>
      <c r="AA4007">
        <v>80</v>
      </c>
      <c r="AB4007">
        <v>4004</v>
      </c>
      <c r="AC4007">
        <v>45887</v>
      </c>
      <c r="AD4007">
        <v>0</v>
      </c>
      <c r="AE4007">
        <v>4024</v>
      </c>
      <c r="AF4007">
        <v>4024</v>
      </c>
      <c r="AG4007">
        <v>0</v>
      </c>
      <c r="AH4007">
        <v>20</v>
      </c>
    </row>
    <row r="4008" spans="2:34" x14ac:dyDescent="0.35">
      <c r="B4008" t="s">
        <v>747</v>
      </c>
      <c r="C4008">
        <v>45887</v>
      </c>
      <c r="F4008" t="s">
        <v>752</v>
      </c>
      <c r="H4008">
        <v>184.23</v>
      </c>
      <c r="O4008" t="s">
        <v>239</v>
      </c>
      <c r="P4008" t="s">
        <v>514</v>
      </c>
      <c r="Y4008">
        <v>3974</v>
      </c>
      <c r="Z4008" s="259" t="s">
        <v>630</v>
      </c>
      <c r="AA4008">
        <v>30</v>
      </c>
      <c r="AB4008">
        <v>5343</v>
      </c>
      <c r="AC4008">
        <v>45887</v>
      </c>
      <c r="AD4008">
        <v>0</v>
      </c>
      <c r="AE4008">
        <v>5526.9</v>
      </c>
      <c r="AF4008">
        <v>5526.9</v>
      </c>
      <c r="AG4008">
        <v>0</v>
      </c>
      <c r="AH4008">
        <v>183.89999999999964</v>
      </c>
    </row>
    <row r="4009" spans="2:34" x14ac:dyDescent="0.35">
      <c r="B4009" t="s">
        <v>747</v>
      </c>
      <c r="C4009">
        <v>45887</v>
      </c>
      <c r="F4009" t="s">
        <v>754</v>
      </c>
      <c r="H4009">
        <v>82.1</v>
      </c>
      <c r="O4009" t="s">
        <v>239</v>
      </c>
      <c r="P4009" t="s">
        <v>514</v>
      </c>
      <c r="Y4009">
        <v>3975</v>
      </c>
      <c r="Z4009" s="259" t="s">
        <v>630</v>
      </c>
      <c r="AA4009">
        <v>100</v>
      </c>
      <c r="AB4009">
        <v>8008</v>
      </c>
      <c r="AC4009">
        <v>45887</v>
      </c>
      <c r="AD4009">
        <v>0</v>
      </c>
      <c r="AE4009">
        <v>8210</v>
      </c>
      <c r="AF4009">
        <v>8210</v>
      </c>
      <c r="AG4009">
        <v>0</v>
      </c>
      <c r="AH4009">
        <v>202</v>
      </c>
    </row>
    <row r="4010" spans="2:34" x14ac:dyDescent="0.35">
      <c r="B4010" t="s">
        <v>747</v>
      </c>
      <c r="C4010">
        <v>45888</v>
      </c>
      <c r="F4010" t="s">
        <v>749</v>
      </c>
      <c r="H4010">
        <v>50.2</v>
      </c>
      <c r="O4010" t="s">
        <v>239</v>
      </c>
      <c r="P4010" t="s">
        <v>514</v>
      </c>
      <c r="Y4010">
        <v>3976</v>
      </c>
      <c r="Z4010" s="259" t="s">
        <v>630</v>
      </c>
      <c r="AA4010">
        <v>80</v>
      </c>
      <c r="AB4010">
        <v>4004</v>
      </c>
      <c r="AC4010">
        <v>45888</v>
      </c>
      <c r="AD4010">
        <v>0</v>
      </c>
      <c r="AE4010">
        <v>4016</v>
      </c>
      <c r="AF4010">
        <v>4016</v>
      </c>
      <c r="AG4010">
        <v>0</v>
      </c>
      <c r="AH4010">
        <v>12</v>
      </c>
    </row>
    <row r="4011" spans="2:34" x14ac:dyDescent="0.35">
      <c r="B4011" t="s">
        <v>747</v>
      </c>
      <c r="C4011">
        <v>45888</v>
      </c>
      <c r="F4011" t="s">
        <v>752</v>
      </c>
      <c r="H4011">
        <v>184.6</v>
      </c>
      <c r="O4011" t="s">
        <v>239</v>
      </c>
      <c r="P4011" t="s">
        <v>514</v>
      </c>
      <c r="Y4011">
        <v>3977</v>
      </c>
      <c r="Z4011" s="259" t="s">
        <v>630</v>
      </c>
      <c r="AA4011">
        <v>30</v>
      </c>
      <c r="AB4011">
        <v>5343</v>
      </c>
      <c r="AC4011">
        <v>45888</v>
      </c>
      <c r="AD4011">
        <v>0</v>
      </c>
      <c r="AE4011">
        <v>5538</v>
      </c>
      <c r="AF4011">
        <v>5538</v>
      </c>
      <c r="AG4011">
        <v>0</v>
      </c>
      <c r="AH4011">
        <v>195</v>
      </c>
    </row>
    <row r="4012" spans="2:34" x14ac:dyDescent="0.35">
      <c r="B4012" t="s">
        <v>747</v>
      </c>
      <c r="C4012">
        <v>45888</v>
      </c>
      <c r="F4012" t="s">
        <v>754</v>
      </c>
      <c r="H4012">
        <v>82.4</v>
      </c>
      <c r="O4012" t="s">
        <v>239</v>
      </c>
      <c r="P4012" t="s">
        <v>514</v>
      </c>
      <c r="Y4012">
        <v>3978</v>
      </c>
      <c r="Z4012" s="259" t="s">
        <v>630</v>
      </c>
      <c r="AA4012">
        <v>100</v>
      </c>
      <c r="AB4012">
        <v>8008</v>
      </c>
      <c r="AC4012">
        <v>45888</v>
      </c>
      <c r="AD4012">
        <v>0</v>
      </c>
      <c r="AE4012">
        <v>8240</v>
      </c>
      <c r="AF4012">
        <v>8240</v>
      </c>
      <c r="AG4012">
        <v>0</v>
      </c>
      <c r="AH4012">
        <v>232</v>
      </c>
    </row>
    <row r="4013" spans="2:34" x14ac:dyDescent="0.35">
      <c r="B4013" t="s">
        <v>747</v>
      </c>
      <c r="C4013">
        <v>45889</v>
      </c>
      <c r="F4013" t="s">
        <v>749</v>
      </c>
      <c r="H4013">
        <v>50.1</v>
      </c>
      <c r="O4013" t="s">
        <v>239</v>
      </c>
      <c r="P4013" t="s">
        <v>514</v>
      </c>
      <c r="Y4013">
        <v>3979</v>
      </c>
      <c r="Z4013" s="259" t="s">
        <v>630</v>
      </c>
      <c r="AA4013">
        <v>80</v>
      </c>
      <c r="AB4013">
        <v>4004</v>
      </c>
      <c r="AC4013">
        <v>45889</v>
      </c>
      <c r="AD4013">
        <v>0</v>
      </c>
      <c r="AE4013">
        <v>4008</v>
      </c>
      <c r="AF4013">
        <v>4008</v>
      </c>
      <c r="AG4013">
        <v>0</v>
      </c>
      <c r="AH4013">
        <v>4</v>
      </c>
    </row>
    <row r="4014" spans="2:34" x14ac:dyDescent="0.35">
      <c r="B4014" t="s">
        <v>747</v>
      </c>
      <c r="C4014">
        <v>45889</v>
      </c>
      <c r="F4014" t="s">
        <v>752</v>
      </c>
      <c r="H4014">
        <v>184.97</v>
      </c>
      <c r="O4014" t="s">
        <v>239</v>
      </c>
      <c r="P4014" t="s">
        <v>514</v>
      </c>
      <c r="Y4014">
        <v>3980</v>
      </c>
      <c r="Z4014" s="259" t="s">
        <v>630</v>
      </c>
      <c r="AA4014">
        <v>30</v>
      </c>
      <c r="AB4014">
        <v>5343</v>
      </c>
      <c r="AC4014">
        <v>45889</v>
      </c>
      <c r="AD4014">
        <v>0</v>
      </c>
      <c r="AE4014">
        <v>5549.1</v>
      </c>
      <c r="AF4014">
        <v>5549.1</v>
      </c>
      <c r="AG4014">
        <v>0</v>
      </c>
      <c r="AH4014">
        <v>206.10000000000036</v>
      </c>
    </row>
    <row r="4015" spans="2:34" x14ac:dyDescent="0.35">
      <c r="B4015" t="s">
        <v>747</v>
      </c>
      <c r="C4015">
        <v>45889</v>
      </c>
      <c r="F4015" t="s">
        <v>754</v>
      </c>
      <c r="H4015">
        <v>82.7</v>
      </c>
      <c r="O4015" t="s">
        <v>239</v>
      </c>
      <c r="P4015" t="s">
        <v>514</v>
      </c>
      <c r="Y4015">
        <v>3981</v>
      </c>
      <c r="Z4015" s="259" t="s">
        <v>630</v>
      </c>
      <c r="AA4015">
        <v>100</v>
      </c>
      <c r="AB4015">
        <v>8008</v>
      </c>
      <c r="AC4015">
        <v>45889</v>
      </c>
      <c r="AD4015">
        <v>0</v>
      </c>
      <c r="AE4015">
        <v>8270</v>
      </c>
      <c r="AF4015">
        <v>8270</v>
      </c>
      <c r="AG4015">
        <v>0</v>
      </c>
      <c r="AH4015">
        <v>262</v>
      </c>
    </row>
    <row r="4016" spans="2:34" x14ac:dyDescent="0.35">
      <c r="B4016" t="s">
        <v>747</v>
      </c>
      <c r="C4016">
        <v>45890</v>
      </c>
      <c r="F4016" t="s">
        <v>749</v>
      </c>
      <c r="H4016">
        <v>50</v>
      </c>
      <c r="O4016" t="s">
        <v>239</v>
      </c>
      <c r="P4016" t="s">
        <v>514</v>
      </c>
      <c r="Y4016">
        <v>3982</v>
      </c>
      <c r="Z4016" s="259" t="s">
        <v>630</v>
      </c>
      <c r="AA4016">
        <v>80</v>
      </c>
      <c r="AB4016">
        <v>4004</v>
      </c>
      <c r="AC4016">
        <v>45890</v>
      </c>
      <c r="AD4016">
        <v>0</v>
      </c>
      <c r="AE4016">
        <v>4000</v>
      </c>
      <c r="AF4016">
        <v>4000</v>
      </c>
      <c r="AG4016">
        <v>0</v>
      </c>
      <c r="AH4016">
        <v>-4</v>
      </c>
    </row>
    <row r="4017" spans="2:34" x14ac:dyDescent="0.35">
      <c r="B4017" t="s">
        <v>747</v>
      </c>
      <c r="C4017">
        <v>45890</v>
      </c>
      <c r="F4017" t="s">
        <v>752</v>
      </c>
      <c r="H4017">
        <v>185.33</v>
      </c>
      <c r="O4017" t="s">
        <v>239</v>
      </c>
      <c r="P4017" t="s">
        <v>514</v>
      </c>
      <c r="Y4017">
        <v>3983</v>
      </c>
      <c r="Z4017" s="259" t="s">
        <v>630</v>
      </c>
      <c r="AA4017">
        <v>30</v>
      </c>
      <c r="AB4017">
        <v>5343</v>
      </c>
      <c r="AC4017">
        <v>45890</v>
      </c>
      <c r="AD4017">
        <v>0</v>
      </c>
      <c r="AE4017">
        <v>5559.9000000000005</v>
      </c>
      <c r="AF4017">
        <v>5559.9000000000005</v>
      </c>
      <c r="AG4017">
        <v>0</v>
      </c>
      <c r="AH4017">
        <v>216.90000000000055</v>
      </c>
    </row>
    <row r="4018" spans="2:34" x14ac:dyDescent="0.35">
      <c r="B4018" t="s">
        <v>747</v>
      </c>
      <c r="C4018">
        <v>45890</v>
      </c>
      <c r="F4018" t="s">
        <v>754</v>
      </c>
      <c r="H4018">
        <v>83</v>
      </c>
      <c r="O4018" t="s">
        <v>239</v>
      </c>
      <c r="P4018" t="s">
        <v>514</v>
      </c>
      <c r="Y4018">
        <v>3984</v>
      </c>
      <c r="Z4018" s="259" t="s">
        <v>630</v>
      </c>
      <c r="AA4018">
        <v>100</v>
      </c>
      <c r="AB4018">
        <v>8008</v>
      </c>
      <c r="AC4018">
        <v>45890</v>
      </c>
      <c r="AD4018">
        <v>0</v>
      </c>
      <c r="AE4018">
        <v>8300</v>
      </c>
      <c r="AF4018">
        <v>8300</v>
      </c>
      <c r="AG4018">
        <v>0</v>
      </c>
      <c r="AH4018">
        <v>292</v>
      </c>
    </row>
    <row r="4019" spans="2:34" x14ac:dyDescent="0.35">
      <c r="B4019" t="s">
        <v>747</v>
      </c>
      <c r="C4019">
        <v>45891</v>
      </c>
      <c r="F4019" t="s">
        <v>749</v>
      </c>
      <c r="H4019">
        <v>49.9</v>
      </c>
      <c r="O4019" t="s">
        <v>239</v>
      </c>
      <c r="P4019" t="s">
        <v>514</v>
      </c>
      <c r="Y4019">
        <v>3985</v>
      </c>
      <c r="Z4019" s="259" t="s">
        <v>630</v>
      </c>
      <c r="AA4019">
        <v>80</v>
      </c>
      <c r="AB4019">
        <v>4004</v>
      </c>
      <c r="AC4019">
        <v>45891</v>
      </c>
      <c r="AD4019">
        <v>0</v>
      </c>
      <c r="AE4019">
        <v>3992</v>
      </c>
      <c r="AF4019">
        <v>3992</v>
      </c>
      <c r="AG4019">
        <v>0</v>
      </c>
      <c r="AH4019">
        <v>-12</v>
      </c>
    </row>
    <row r="4020" spans="2:34" x14ac:dyDescent="0.35">
      <c r="B4020" t="s">
        <v>747</v>
      </c>
      <c r="C4020">
        <v>45891</v>
      </c>
      <c r="F4020" t="s">
        <v>752</v>
      </c>
      <c r="H4020">
        <v>185.7</v>
      </c>
      <c r="O4020" t="s">
        <v>239</v>
      </c>
      <c r="P4020" t="s">
        <v>514</v>
      </c>
      <c r="Y4020">
        <v>3986</v>
      </c>
      <c r="Z4020" s="259" t="s">
        <v>630</v>
      </c>
      <c r="AA4020">
        <v>30</v>
      </c>
      <c r="AB4020">
        <v>5343</v>
      </c>
      <c r="AC4020">
        <v>45891</v>
      </c>
      <c r="AD4020">
        <v>0</v>
      </c>
      <c r="AE4020">
        <v>5571</v>
      </c>
      <c r="AF4020">
        <v>5571</v>
      </c>
      <c r="AG4020">
        <v>0</v>
      </c>
      <c r="AH4020">
        <v>228</v>
      </c>
    </row>
    <row r="4021" spans="2:34" x14ac:dyDescent="0.35">
      <c r="B4021" t="s">
        <v>747</v>
      </c>
      <c r="C4021">
        <v>45891</v>
      </c>
      <c r="F4021" t="s">
        <v>754</v>
      </c>
      <c r="H4021">
        <v>83.3</v>
      </c>
      <c r="O4021" t="s">
        <v>239</v>
      </c>
      <c r="P4021" t="s">
        <v>514</v>
      </c>
      <c r="Y4021">
        <v>3987</v>
      </c>
      <c r="Z4021" s="259" t="s">
        <v>630</v>
      </c>
      <c r="AA4021">
        <v>100</v>
      </c>
      <c r="AB4021">
        <v>8008</v>
      </c>
      <c r="AC4021">
        <v>45891</v>
      </c>
      <c r="AD4021">
        <v>0</v>
      </c>
      <c r="AE4021">
        <v>8330</v>
      </c>
      <c r="AF4021">
        <v>8330</v>
      </c>
      <c r="AG4021">
        <v>0</v>
      </c>
      <c r="AH4021">
        <v>322</v>
      </c>
    </row>
    <row r="4022" spans="2:34" x14ac:dyDescent="0.35">
      <c r="B4022" t="s">
        <v>747</v>
      </c>
      <c r="C4022">
        <v>45892</v>
      </c>
      <c r="F4022" t="s">
        <v>749</v>
      </c>
      <c r="H4022">
        <v>49.9</v>
      </c>
      <c r="O4022" t="s">
        <v>239</v>
      </c>
      <c r="P4022" t="s">
        <v>514</v>
      </c>
      <c r="Y4022">
        <v>3988</v>
      </c>
      <c r="Z4022" s="259" t="s">
        <v>630</v>
      </c>
      <c r="AA4022">
        <v>80</v>
      </c>
      <c r="AB4022">
        <v>4004</v>
      </c>
      <c r="AC4022">
        <v>45891</v>
      </c>
      <c r="AD4022">
        <v>1</v>
      </c>
      <c r="AE4022">
        <v>3992</v>
      </c>
      <c r="AF4022">
        <v>3992</v>
      </c>
      <c r="AG4022">
        <v>0</v>
      </c>
      <c r="AH4022">
        <v>-12</v>
      </c>
    </row>
    <row r="4023" spans="2:34" x14ac:dyDescent="0.35">
      <c r="B4023" t="s">
        <v>747</v>
      </c>
      <c r="C4023">
        <v>45892</v>
      </c>
      <c r="F4023" t="s">
        <v>752</v>
      </c>
      <c r="H4023">
        <v>185.7</v>
      </c>
      <c r="O4023" t="s">
        <v>239</v>
      </c>
      <c r="P4023" t="s">
        <v>514</v>
      </c>
      <c r="Y4023">
        <v>3989</v>
      </c>
      <c r="Z4023" s="259" t="s">
        <v>630</v>
      </c>
      <c r="AA4023">
        <v>30</v>
      </c>
      <c r="AB4023">
        <v>5343</v>
      </c>
      <c r="AC4023">
        <v>45891</v>
      </c>
      <c r="AD4023">
        <v>1</v>
      </c>
      <c r="AE4023">
        <v>5571</v>
      </c>
      <c r="AF4023">
        <v>5571</v>
      </c>
      <c r="AG4023">
        <v>0</v>
      </c>
      <c r="AH4023">
        <v>228</v>
      </c>
    </row>
    <row r="4024" spans="2:34" x14ac:dyDescent="0.35">
      <c r="B4024" t="s">
        <v>747</v>
      </c>
      <c r="C4024">
        <v>45892</v>
      </c>
      <c r="F4024" t="s">
        <v>754</v>
      </c>
      <c r="H4024">
        <v>83.3</v>
      </c>
      <c r="O4024" t="s">
        <v>239</v>
      </c>
      <c r="P4024" t="s">
        <v>514</v>
      </c>
      <c r="Y4024">
        <v>3990</v>
      </c>
      <c r="Z4024" s="259" t="s">
        <v>630</v>
      </c>
      <c r="AA4024">
        <v>100</v>
      </c>
      <c r="AB4024">
        <v>8008</v>
      </c>
      <c r="AC4024">
        <v>45891</v>
      </c>
      <c r="AD4024">
        <v>1</v>
      </c>
      <c r="AE4024">
        <v>8330</v>
      </c>
      <c r="AF4024">
        <v>8330</v>
      </c>
      <c r="AG4024">
        <v>0</v>
      </c>
      <c r="AH4024">
        <v>322</v>
      </c>
    </row>
    <row r="4025" spans="2:34" x14ac:dyDescent="0.35">
      <c r="B4025" t="s">
        <v>747</v>
      </c>
      <c r="C4025">
        <v>45893</v>
      </c>
      <c r="F4025" t="s">
        <v>749</v>
      </c>
      <c r="H4025">
        <v>49.9</v>
      </c>
      <c r="O4025" t="s">
        <v>239</v>
      </c>
      <c r="P4025" t="s">
        <v>514</v>
      </c>
      <c r="Y4025">
        <v>3991</v>
      </c>
      <c r="Z4025" s="259" t="s">
        <v>630</v>
      </c>
      <c r="AA4025">
        <v>80</v>
      </c>
      <c r="AB4025">
        <v>4004</v>
      </c>
      <c r="AC4025">
        <v>45891</v>
      </c>
      <c r="AD4025">
        <v>2</v>
      </c>
      <c r="AE4025">
        <v>3992</v>
      </c>
      <c r="AF4025">
        <v>3992</v>
      </c>
      <c r="AG4025">
        <v>0</v>
      </c>
      <c r="AH4025">
        <v>-12</v>
      </c>
    </row>
    <row r="4026" spans="2:34" x14ac:dyDescent="0.35">
      <c r="B4026" t="s">
        <v>747</v>
      </c>
      <c r="C4026">
        <v>45893</v>
      </c>
      <c r="F4026" t="s">
        <v>752</v>
      </c>
      <c r="H4026">
        <v>185.7</v>
      </c>
      <c r="O4026" t="s">
        <v>239</v>
      </c>
      <c r="P4026" t="s">
        <v>514</v>
      </c>
      <c r="Y4026">
        <v>3992</v>
      </c>
      <c r="Z4026" s="259" t="s">
        <v>630</v>
      </c>
      <c r="AA4026">
        <v>30</v>
      </c>
      <c r="AB4026">
        <v>5343</v>
      </c>
      <c r="AC4026">
        <v>45891</v>
      </c>
      <c r="AD4026">
        <v>2</v>
      </c>
      <c r="AE4026">
        <v>5571</v>
      </c>
      <c r="AF4026">
        <v>5571</v>
      </c>
      <c r="AG4026">
        <v>0</v>
      </c>
      <c r="AH4026">
        <v>228</v>
      </c>
    </row>
    <row r="4027" spans="2:34" x14ac:dyDescent="0.35">
      <c r="B4027" t="s">
        <v>747</v>
      </c>
      <c r="C4027">
        <v>45893</v>
      </c>
      <c r="F4027" t="s">
        <v>754</v>
      </c>
      <c r="H4027">
        <v>83.3</v>
      </c>
      <c r="O4027" t="s">
        <v>239</v>
      </c>
      <c r="P4027" t="s">
        <v>514</v>
      </c>
      <c r="Y4027">
        <v>3993</v>
      </c>
      <c r="Z4027" s="259" t="s">
        <v>630</v>
      </c>
      <c r="AA4027">
        <v>100</v>
      </c>
      <c r="AB4027">
        <v>8008</v>
      </c>
      <c r="AC4027">
        <v>45891</v>
      </c>
      <c r="AD4027">
        <v>2</v>
      </c>
      <c r="AE4027">
        <v>8330</v>
      </c>
      <c r="AF4027">
        <v>8330</v>
      </c>
      <c r="AG4027">
        <v>0</v>
      </c>
      <c r="AH4027">
        <v>322</v>
      </c>
    </row>
    <row r="4028" spans="2:34" x14ac:dyDescent="0.35">
      <c r="B4028" t="s">
        <v>747</v>
      </c>
      <c r="C4028">
        <v>45894</v>
      </c>
      <c r="F4028" t="s">
        <v>749</v>
      </c>
      <c r="H4028">
        <v>49.6</v>
      </c>
      <c r="O4028" t="s">
        <v>239</v>
      </c>
      <c r="P4028" t="s">
        <v>514</v>
      </c>
      <c r="Y4028">
        <v>3994</v>
      </c>
      <c r="Z4028" s="259" t="s">
        <v>630</v>
      </c>
      <c r="AA4028">
        <v>80</v>
      </c>
      <c r="AB4028">
        <v>4004</v>
      </c>
      <c r="AC4028">
        <v>45894</v>
      </c>
      <c r="AD4028">
        <v>0</v>
      </c>
      <c r="AE4028">
        <v>3968</v>
      </c>
      <c r="AF4028">
        <v>3968</v>
      </c>
      <c r="AG4028">
        <v>0</v>
      </c>
      <c r="AH4028">
        <v>-36</v>
      </c>
    </row>
    <row r="4029" spans="2:34" x14ac:dyDescent="0.35">
      <c r="B4029" t="s">
        <v>747</v>
      </c>
      <c r="C4029">
        <v>45894</v>
      </c>
      <c r="F4029" t="s">
        <v>752</v>
      </c>
      <c r="H4029">
        <v>186.8</v>
      </c>
      <c r="O4029" t="s">
        <v>239</v>
      </c>
      <c r="P4029" t="s">
        <v>514</v>
      </c>
      <c r="Y4029">
        <v>3995</v>
      </c>
      <c r="Z4029" s="259" t="s">
        <v>630</v>
      </c>
      <c r="AA4029">
        <v>30</v>
      </c>
      <c r="AB4029">
        <v>5343</v>
      </c>
      <c r="AC4029">
        <v>45894</v>
      </c>
      <c r="AD4029">
        <v>0</v>
      </c>
      <c r="AE4029">
        <v>5604</v>
      </c>
      <c r="AF4029">
        <v>5604</v>
      </c>
      <c r="AG4029">
        <v>0</v>
      </c>
      <c r="AH4029">
        <v>261</v>
      </c>
    </row>
    <row r="4030" spans="2:34" x14ac:dyDescent="0.35">
      <c r="B4030" t="s">
        <v>747</v>
      </c>
      <c r="C4030">
        <v>45894</v>
      </c>
      <c r="F4030" t="s">
        <v>754</v>
      </c>
      <c r="H4030">
        <v>84.2</v>
      </c>
      <c r="O4030" t="s">
        <v>239</v>
      </c>
      <c r="P4030" t="s">
        <v>514</v>
      </c>
      <c r="Y4030">
        <v>3996</v>
      </c>
      <c r="Z4030" s="259" t="s">
        <v>630</v>
      </c>
      <c r="AA4030">
        <v>100</v>
      </c>
      <c r="AB4030">
        <v>8008</v>
      </c>
      <c r="AC4030">
        <v>45894</v>
      </c>
      <c r="AD4030">
        <v>0</v>
      </c>
      <c r="AE4030">
        <v>8420</v>
      </c>
      <c r="AF4030">
        <v>8420</v>
      </c>
      <c r="AG4030">
        <v>0</v>
      </c>
      <c r="AH4030">
        <v>412</v>
      </c>
    </row>
    <row r="4031" spans="2:34" x14ac:dyDescent="0.35">
      <c r="B4031" t="s">
        <v>747</v>
      </c>
      <c r="C4031">
        <v>45895</v>
      </c>
      <c r="F4031" t="s">
        <v>749</v>
      </c>
      <c r="H4031">
        <v>49.5</v>
      </c>
      <c r="O4031" t="s">
        <v>239</v>
      </c>
      <c r="P4031" t="s">
        <v>514</v>
      </c>
      <c r="Y4031">
        <v>3997</v>
      </c>
      <c r="Z4031" s="259" t="s">
        <v>630</v>
      </c>
      <c r="AA4031">
        <v>80</v>
      </c>
      <c r="AB4031">
        <v>4004</v>
      </c>
      <c r="AC4031">
        <v>45895</v>
      </c>
      <c r="AD4031">
        <v>0</v>
      </c>
      <c r="AE4031">
        <v>3960</v>
      </c>
      <c r="AF4031">
        <v>3960</v>
      </c>
      <c r="AG4031">
        <v>0</v>
      </c>
      <c r="AH4031">
        <v>-44</v>
      </c>
    </row>
    <row r="4032" spans="2:34" x14ac:dyDescent="0.35">
      <c r="B4032" t="s">
        <v>747</v>
      </c>
      <c r="C4032">
        <v>45895</v>
      </c>
      <c r="F4032" t="s">
        <v>752</v>
      </c>
      <c r="H4032">
        <v>187.17</v>
      </c>
      <c r="O4032" t="s">
        <v>239</v>
      </c>
      <c r="P4032" t="s">
        <v>514</v>
      </c>
      <c r="Y4032">
        <v>3998</v>
      </c>
      <c r="Z4032" s="259" t="s">
        <v>630</v>
      </c>
      <c r="AA4032">
        <v>30</v>
      </c>
      <c r="AB4032">
        <v>5343</v>
      </c>
      <c r="AC4032">
        <v>45895</v>
      </c>
      <c r="AD4032">
        <v>0</v>
      </c>
      <c r="AE4032">
        <v>5615.0999999999995</v>
      </c>
      <c r="AF4032">
        <v>5615.0999999999995</v>
      </c>
      <c r="AG4032">
        <v>0</v>
      </c>
      <c r="AH4032">
        <v>272.09999999999945</v>
      </c>
    </row>
    <row r="4033" spans="2:34" x14ac:dyDescent="0.35">
      <c r="B4033" t="s">
        <v>747</v>
      </c>
      <c r="C4033">
        <v>45895</v>
      </c>
      <c r="F4033" t="s">
        <v>754</v>
      </c>
      <c r="H4033">
        <v>84.5</v>
      </c>
      <c r="O4033" t="s">
        <v>239</v>
      </c>
      <c r="P4033" t="s">
        <v>514</v>
      </c>
      <c r="Y4033">
        <v>3999</v>
      </c>
      <c r="Z4033" s="259" t="s">
        <v>630</v>
      </c>
      <c r="AA4033">
        <v>100</v>
      </c>
      <c r="AB4033">
        <v>8008</v>
      </c>
      <c r="AC4033">
        <v>45895</v>
      </c>
      <c r="AD4033">
        <v>0</v>
      </c>
      <c r="AE4033">
        <v>8450</v>
      </c>
      <c r="AF4033">
        <v>8450</v>
      </c>
      <c r="AG4033">
        <v>0</v>
      </c>
      <c r="AH4033">
        <v>442</v>
      </c>
    </row>
    <row r="4034" spans="2:34" x14ac:dyDescent="0.35">
      <c r="B4034" t="s">
        <v>747</v>
      </c>
      <c r="C4034">
        <v>45896</v>
      </c>
      <c r="F4034" t="s">
        <v>749</v>
      </c>
      <c r="H4034">
        <v>49.4</v>
      </c>
      <c r="O4034" t="s">
        <v>239</v>
      </c>
      <c r="P4034" t="s">
        <v>514</v>
      </c>
      <c r="Y4034">
        <v>4000</v>
      </c>
      <c r="Z4034" s="259" t="s">
        <v>630</v>
      </c>
      <c r="AA4034">
        <v>80</v>
      </c>
      <c r="AB4034">
        <v>4004</v>
      </c>
      <c r="AC4034">
        <v>45896</v>
      </c>
      <c r="AD4034">
        <v>0</v>
      </c>
      <c r="AE4034">
        <v>3952</v>
      </c>
      <c r="AF4034">
        <v>3952</v>
      </c>
      <c r="AG4034">
        <v>0</v>
      </c>
      <c r="AH4034">
        <v>-52</v>
      </c>
    </row>
    <row r="4035" spans="2:34" x14ac:dyDescent="0.35">
      <c r="B4035" t="s">
        <v>747</v>
      </c>
      <c r="C4035">
        <v>45896</v>
      </c>
      <c r="F4035" t="s">
        <v>752</v>
      </c>
      <c r="H4035">
        <v>187.53</v>
      </c>
      <c r="O4035" t="s">
        <v>239</v>
      </c>
      <c r="P4035" t="s">
        <v>514</v>
      </c>
      <c r="Y4035">
        <v>4001</v>
      </c>
      <c r="Z4035" s="259" t="s">
        <v>630</v>
      </c>
      <c r="AA4035">
        <v>30</v>
      </c>
      <c r="AB4035">
        <v>5343</v>
      </c>
      <c r="AC4035">
        <v>45896</v>
      </c>
      <c r="AD4035">
        <v>0</v>
      </c>
      <c r="AE4035">
        <v>5625.9</v>
      </c>
      <c r="AF4035">
        <v>5625.9</v>
      </c>
      <c r="AG4035">
        <v>0</v>
      </c>
      <c r="AH4035">
        <v>282.89999999999964</v>
      </c>
    </row>
    <row r="4036" spans="2:34" x14ac:dyDescent="0.35">
      <c r="B4036" t="s">
        <v>747</v>
      </c>
      <c r="C4036">
        <v>45896</v>
      </c>
      <c r="F4036" t="s">
        <v>754</v>
      </c>
      <c r="H4036">
        <v>84.8</v>
      </c>
      <c r="O4036" t="s">
        <v>239</v>
      </c>
      <c r="P4036" t="s">
        <v>514</v>
      </c>
      <c r="Y4036">
        <v>4002</v>
      </c>
      <c r="Z4036" s="259" t="s">
        <v>630</v>
      </c>
      <c r="AA4036">
        <v>100</v>
      </c>
      <c r="AB4036">
        <v>8008</v>
      </c>
      <c r="AC4036">
        <v>45896</v>
      </c>
      <c r="AD4036">
        <v>0</v>
      </c>
      <c r="AE4036">
        <v>8480</v>
      </c>
      <c r="AF4036">
        <v>8480</v>
      </c>
      <c r="AG4036">
        <v>0</v>
      </c>
      <c r="AH4036">
        <v>472</v>
      </c>
    </row>
    <row r="4037" spans="2:34" x14ac:dyDescent="0.35">
      <c r="B4037" t="s">
        <v>747</v>
      </c>
      <c r="C4037">
        <v>45897</v>
      </c>
      <c r="F4037" t="s">
        <v>749</v>
      </c>
      <c r="H4037">
        <v>49.3</v>
      </c>
      <c r="O4037" t="s">
        <v>239</v>
      </c>
      <c r="P4037" t="s">
        <v>514</v>
      </c>
      <c r="Y4037">
        <v>4003</v>
      </c>
      <c r="Z4037" s="259" t="s">
        <v>630</v>
      </c>
      <c r="AA4037">
        <v>80</v>
      </c>
      <c r="AB4037">
        <v>4004</v>
      </c>
      <c r="AC4037">
        <v>45897</v>
      </c>
      <c r="AD4037">
        <v>0</v>
      </c>
      <c r="AE4037">
        <v>3944</v>
      </c>
      <c r="AF4037">
        <v>3944</v>
      </c>
      <c r="AG4037">
        <v>0</v>
      </c>
      <c r="AH4037">
        <v>-60</v>
      </c>
    </row>
    <row r="4038" spans="2:34" x14ac:dyDescent="0.35">
      <c r="B4038" t="s">
        <v>747</v>
      </c>
      <c r="C4038">
        <v>45897</v>
      </c>
      <c r="F4038" t="s">
        <v>752</v>
      </c>
      <c r="H4038">
        <v>187.9</v>
      </c>
      <c r="O4038" t="s">
        <v>239</v>
      </c>
      <c r="P4038" t="s">
        <v>514</v>
      </c>
      <c r="Y4038">
        <v>4004</v>
      </c>
      <c r="Z4038" s="259" t="s">
        <v>630</v>
      </c>
      <c r="AA4038">
        <v>30</v>
      </c>
      <c r="AB4038">
        <v>5343</v>
      </c>
      <c r="AC4038">
        <v>45897</v>
      </c>
      <c r="AD4038">
        <v>0</v>
      </c>
      <c r="AE4038">
        <v>5637</v>
      </c>
      <c r="AF4038">
        <v>5637</v>
      </c>
      <c r="AG4038">
        <v>0</v>
      </c>
      <c r="AH4038">
        <v>294</v>
      </c>
    </row>
    <row r="4039" spans="2:34" x14ac:dyDescent="0.35">
      <c r="B4039" t="s">
        <v>747</v>
      </c>
      <c r="C4039">
        <v>45897</v>
      </c>
      <c r="F4039" t="s">
        <v>754</v>
      </c>
      <c r="H4039">
        <v>85.1</v>
      </c>
      <c r="O4039" t="s">
        <v>239</v>
      </c>
      <c r="P4039" t="s">
        <v>514</v>
      </c>
      <c r="Y4039">
        <v>4005</v>
      </c>
      <c r="Z4039" s="259" t="s">
        <v>630</v>
      </c>
      <c r="AA4039">
        <v>100</v>
      </c>
      <c r="AB4039">
        <v>8008</v>
      </c>
      <c r="AC4039">
        <v>45897</v>
      </c>
      <c r="AD4039">
        <v>0</v>
      </c>
      <c r="AE4039">
        <v>8510</v>
      </c>
      <c r="AF4039">
        <v>8510</v>
      </c>
      <c r="AG4039">
        <v>0</v>
      </c>
      <c r="AH4039">
        <v>502</v>
      </c>
    </row>
    <row r="4040" spans="2:34" x14ac:dyDescent="0.35">
      <c r="B4040" t="s">
        <v>747</v>
      </c>
      <c r="C4040">
        <v>45898</v>
      </c>
      <c r="F4040" t="s">
        <v>749</v>
      </c>
      <c r="H4040">
        <v>49.2</v>
      </c>
      <c r="O4040" t="s">
        <v>239</v>
      </c>
      <c r="P4040" t="s">
        <v>514</v>
      </c>
      <c r="Y4040">
        <v>4006</v>
      </c>
      <c r="Z4040" s="259" t="s">
        <v>630</v>
      </c>
      <c r="AA4040">
        <v>80</v>
      </c>
      <c r="AB4040">
        <v>4004</v>
      </c>
      <c r="AC4040">
        <v>45898</v>
      </c>
      <c r="AD4040">
        <v>0</v>
      </c>
      <c r="AE4040">
        <v>3936</v>
      </c>
      <c r="AF4040">
        <v>3936</v>
      </c>
      <c r="AG4040">
        <v>0</v>
      </c>
      <c r="AH4040">
        <v>-68</v>
      </c>
    </row>
    <row r="4041" spans="2:34" x14ac:dyDescent="0.35">
      <c r="B4041" t="s">
        <v>747</v>
      </c>
      <c r="C4041">
        <v>45898</v>
      </c>
      <c r="F4041" t="s">
        <v>752</v>
      </c>
      <c r="H4041">
        <v>188.27</v>
      </c>
      <c r="O4041" t="s">
        <v>239</v>
      </c>
      <c r="P4041" t="s">
        <v>514</v>
      </c>
      <c r="Y4041">
        <v>4007</v>
      </c>
      <c r="Z4041" s="259" t="s">
        <v>630</v>
      </c>
      <c r="AA4041">
        <v>30</v>
      </c>
      <c r="AB4041">
        <v>5343</v>
      </c>
      <c r="AC4041">
        <v>45898</v>
      </c>
      <c r="AD4041">
        <v>0</v>
      </c>
      <c r="AE4041">
        <v>5648.1</v>
      </c>
      <c r="AF4041">
        <v>5648.1</v>
      </c>
      <c r="AG4041">
        <v>0</v>
      </c>
      <c r="AH4041">
        <v>305.10000000000036</v>
      </c>
    </row>
    <row r="4042" spans="2:34" x14ac:dyDescent="0.35">
      <c r="B4042" t="s">
        <v>747</v>
      </c>
      <c r="C4042">
        <v>45898</v>
      </c>
      <c r="F4042" t="s">
        <v>754</v>
      </c>
      <c r="H4042">
        <v>85.4</v>
      </c>
      <c r="O4042" t="s">
        <v>239</v>
      </c>
      <c r="P4042" t="s">
        <v>514</v>
      </c>
      <c r="Y4042">
        <v>4008</v>
      </c>
      <c r="Z4042" s="259" t="s">
        <v>630</v>
      </c>
      <c r="AA4042">
        <v>100</v>
      </c>
      <c r="AB4042">
        <v>8008</v>
      </c>
      <c r="AC4042">
        <v>45898</v>
      </c>
      <c r="AD4042">
        <v>0</v>
      </c>
      <c r="AE4042">
        <v>8540</v>
      </c>
      <c r="AF4042">
        <v>8540</v>
      </c>
      <c r="AG4042">
        <v>0</v>
      </c>
      <c r="AH4042">
        <v>532</v>
      </c>
    </row>
    <row r="4043" spans="2:34" x14ac:dyDescent="0.35">
      <c r="B4043" t="s">
        <v>747</v>
      </c>
      <c r="C4043">
        <v>45899</v>
      </c>
      <c r="F4043" t="s">
        <v>749</v>
      </c>
      <c r="H4043">
        <v>49.2</v>
      </c>
      <c r="O4043" t="s">
        <v>239</v>
      </c>
      <c r="P4043" t="s">
        <v>514</v>
      </c>
      <c r="Y4043">
        <v>4009</v>
      </c>
      <c r="Z4043" s="259" t="s">
        <v>630</v>
      </c>
      <c r="AA4043">
        <v>80</v>
      </c>
      <c r="AB4043">
        <v>4004</v>
      </c>
      <c r="AC4043">
        <v>45898</v>
      </c>
      <c r="AD4043">
        <v>1</v>
      </c>
      <c r="AE4043">
        <v>3936</v>
      </c>
      <c r="AF4043">
        <v>3936</v>
      </c>
      <c r="AG4043">
        <v>0</v>
      </c>
      <c r="AH4043">
        <v>-68</v>
      </c>
    </row>
    <row r="4044" spans="2:34" x14ac:dyDescent="0.35">
      <c r="B4044" t="s">
        <v>747</v>
      </c>
      <c r="C4044">
        <v>45899</v>
      </c>
      <c r="F4044" t="s">
        <v>752</v>
      </c>
      <c r="H4044">
        <v>188.27</v>
      </c>
      <c r="O4044" t="s">
        <v>239</v>
      </c>
      <c r="P4044" t="s">
        <v>514</v>
      </c>
      <c r="Y4044">
        <v>4010</v>
      </c>
      <c r="Z4044" s="259" t="s">
        <v>630</v>
      </c>
      <c r="AA4044">
        <v>30</v>
      </c>
      <c r="AB4044">
        <v>5343</v>
      </c>
      <c r="AC4044">
        <v>45898</v>
      </c>
      <c r="AD4044">
        <v>1</v>
      </c>
      <c r="AE4044">
        <v>5648.1</v>
      </c>
      <c r="AF4044">
        <v>5648.1</v>
      </c>
      <c r="AG4044">
        <v>0</v>
      </c>
      <c r="AH4044">
        <v>305.10000000000036</v>
      </c>
    </row>
    <row r="4045" spans="2:34" x14ac:dyDescent="0.35">
      <c r="B4045" t="s">
        <v>747</v>
      </c>
      <c r="C4045">
        <v>45899</v>
      </c>
      <c r="F4045" t="s">
        <v>754</v>
      </c>
      <c r="H4045">
        <v>85.4</v>
      </c>
      <c r="O4045" t="s">
        <v>239</v>
      </c>
      <c r="P4045" t="s">
        <v>514</v>
      </c>
      <c r="Y4045">
        <v>4011</v>
      </c>
      <c r="Z4045" s="259" t="s">
        <v>630</v>
      </c>
      <c r="AA4045">
        <v>100</v>
      </c>
      <c r="AB4045">
        <v>8008</v>
      </c>
      <c r="AC4045">
        <v>45898</v>
      </c>
      <c r="AD4045">
        <v>1</v>
      </c>
      <c r="AE4045">
        <v>8540</v>
      </c>
      <c r="AF4045">
        <v>8540</v>
      </c>
      <c r="AG4045">
        <v>0</v>
      </c>
      <c r="AH4045">
        <v>532</v>
      </c>
    </row>
    <row r="4046" spans="2:34" x14ac:dyDescent="0.35">
      <c r="B4046" t="s">
        <v>747</v>
      </c>
      <c r="C4046">
        <v>45900</v>
      </c>
      <c r="F4046" t="s">
        <v>749</v>
      </c>
      <c r="H4046">
        <v>49.2</v>
      </c>
      <c r="O4046" t="s">
        <v>239</v>
      </c>
      <c r="P4046" t="s">
        <v>514</v>
      </c>
      <c r="Y4046">
        <v>4012</v>
      </c>
      <c r="Z4046" s="259" t="s">
        <v>630</v>
      </c>
      <c r="AA4046">
        <v>80</v>
      </c>
      <c r="AB4046">
        <v>4004</v>
      </c>
      <c r="AC4046">
        <v>45898</v>
      </c>
      <c r="AD4046">
        <v>2</v>
      </c>
      <c r="AE4046">
        <v>3936</v>
      </c>
      <c r="AF4046">
        <v>3936</v>
      </c>
      <c r="AG4046">
        <v>0</v>
      </c>
      <c r="AH4046">
        <v>-68</v>
      </c>
    </row>
    <row r="4047" spans="2:34" x14ac:dyDescent="0.35">
      <c r="B4047" t="s">
        <v>747</v>
      </c>
      <c r="C4047">
        <v>45900</v>
      </c>
      <c r="F4047" t="s">
        <v>752</v>
      </c>
      <c r="H4047">
        <v>188.27</v>
      </c>
      <c r="O4047" t="s">
        <v>239</v>
      </c>
      <c r="P4047" t="s">
        <v>514</v>
      </c>
      <c r="Y4047">
        <v>4013</v>
      </c>
      <c r="Z4047" s="259" t="s">
        <v>630</v>
      </c>
      <c r="AA4047">
        <v>30</v>
      </c>
      <c r="AB4047">
        <v>5343</v>
      </c>
      <c r="AC4047">
        <v>45898</v>
      </c>
      <c r="AD4047">
        <v>2</v>
      </c>
      <c r="AE4047">
        <v>5648.1</v>
      </c>
      <c r="AF4047">
        <v>5648.1</v>
      </c>
      <c r="AG4047">
        <v>0</v>
      </c>
      <c r="AH4047">
        <v>305.10000000000036</v>
      </c>
    </row>
    <row r="4048" spans="2:34" x14ac:dyDescent="0.35">
      <c r="B4048" t="s">
        <v>747</v>
      </c>
      <c r="C4048">
        <v>45900</v>
      </c>
      <c r="F4048" t="s">
        <v>754</v>
      </c>
      <c r="H4048">
        <v>85.4</v>
      </c>
      <c r="O4048" t="s">
        <v>239</v>
      </c>
      <c r="P4048" t="s">
        <v>514</v>
      </c>
      <c r="Y4048">
        <v>4014</v>
      </c>
      <c r="Z4048" s="259" t="s">
        <v>630</v>
      </c>
      <c r="AA4048">
        <v>100</v>
      </c>
      <c r="AB4048">
        <v>8008</v>
      </c>
      <c r="AC4048">
        <v>45898</v>
      </c>
      <c r="AD4048">
        <v>2</v>
      </c>
      <c r="AE4048">
        <v>8540</v>
      </c>
      <c r="AF4048">
        <v>8540</v>
      </c>
      <c r="AG4048">
        <v>0</v>
      </c>
      <c r="AH4048">
        <v>532</v>
      </c>
    </row>
    <row r="4049" spans="2:34" x14ac:dyDescent="0.35">
      <c r="B4049" t="s">
        <v>747</v>
      </c>
      <c r="C4049">
        <v>45901</v>
      </c>
      <c r="F4049" t="s">
        <v>749</v>
      </c>
      <c r="H4049">
        <v>49</v>
      </c>
      <c r="O4049" t="s">
        <v>239</v>
      </c>
      <c r="P4049" t="s">
        <v>514</v>
      </c>
      <c r="Y4049">
        <v>4015</v>
      </c>
      <c r="Z4049" s="259" t="s">
        <v>630</v>
      </c>
      <c r="AA4049">
        <v>80</v>
      </c>
      <c r="AB4049">
        <v>4004</v>
      </c>
      <c r="AC4049">
        <v>45901</v>
      </c>
      <c r="AD4049">
        <v>0</v>
      </c>
      <c r="AE4049">
        <v>3920</v>
      </c>
      <c r="AF4049">
        <v>3920</v>
      </c>
      <c r="AG4049">
        <v>0</v>
      </c>
      <c r="AH4049">
        <v>-84</v>
      </c>
    </row>
    <row r="4050" spans="2:34" x14ac:dyDescent="0.35">
      <c r="B4050" t="s">
        <v>747</v>
      </c>
      <c r="C4050">
        <v>45901</v>
      </c>
      <c r="F4050" t="s">
        <v>752</v>
      </c>
      <c r="H4050">
        <v>186</v>
      </c>
      <c r="O4050" t="s">
        <v>239</v>
      </c>
      <c r="P4050" t="s">
        <v>514</v>
      </c>
      <c r="Y4050">
        <v>4016</v>
      </c>
      <c r="Z4050" s="259" t="s">
        <v>630</v>
      </c>
      <c r="AA4050">
        <v>30</v>
      </c>
      <c r="AB4050">
        <v>5343</v>
      </c>
      <c r="AC4050">
        <v>45901</v>
      </c>
      <c r="AD4050">
        <v>0</v>
      </c>
      <c r="AE4050">
        <v>5580</v>
      </c>
      <c r="AF4050">
        <v>5580</v>
      </c>
      <c r="AG4050">
        <v>90</v>
      </c>
      <c r="AH4050">
        <v>237</v>
      </c>
    </row>
    <row r="4051" spans="2:34" x14ac:dyDescent="0.35">
      <c r="B4051" t="s">
        <v>747</v>
      </c>
      <c r="C4051">
        <v>45901</v>
      </c>
      <c r="F4051" t="s">
        <v>754</v>
      </c>
      <c r="H4051">
        <v>86</v>
      </c>
      <c r="O4051" t="s">
        <v>239</v>
      </c>
      <c r="P4051" t="s">
        <v>514</v>
      </c>
      <c r="Y4051">
        <v>4017</v>
      </c>
      <c r="Z4051" s="259" t="s">
        <v>630</v>
      </c>
      <c r="AA4051">
        <v>100</v>
      </c>
      <c r="AB4051">
        <v>8008</v>
      </c>
      <c r="AC4051">
        <v>45901</v>
      </c>
      <c r="AD4051">
        <v>0</v>
      </c>
      <c r="AE4051">
        <v>8600</v>
      </c>
      <c r="AF4051">
        <v>8600</v>
      </c>
      <c r="AG4051">
        <v>0</v>
      </c>
      <c r="AH4051">
        <v>592</v>
      </c>
    </row>
    <row r="4052" spans="2:34" x14ac:dyDescent="0.35">
      <c r="B4052" t="s">
        <v>747</v>
      </c>
      <c r="C4052">
        <v>45902</v>
      </c>
      <c r="F4052" t="s">
        <v>749</v>
      </c>
      <c r="H4052">
        <v>49.17</v>
      </c>
      <c r="O4052" t="s">
        <v>239</v>
      </c>
      <c r="P4052" t="s">
        <v>514</v>
      </c>
      <c r="Y4052">
        <v>4018</v>
      </c>
      <c r="Z4052" s="259" t="s">
        <v>630</v>
      </c>
      <c r="AA4052">
        <v>80</v>
      </c>
      <c r="AB4052">
        <v>4004</v>
      </c>
      <c r="AC4052">
        <v>45902</v>
      </c>
      <c r="AD4052">
        <v>0</v>
      </c>
      <c r="AE4052">
        <v>3933.6000000000004</v>
      </c>
      <c r="AF4052">
        <v>3933.6000000000004</v>
      </c>
      <c r="AG4052">
        <v>0</v>
      </c>
      <c r="AH4052">
        <v>-70.399999999999636</v>
      </c>
    </row>
    <row r="4053" spans="2:34" x14ac:dyDescent="0.35">
      <c r="B4053" t="s">
        <v>747</v>
      </c>
      <c r="C4053">
        <v>45902</v>
      </c>
      <c r="F4053" t="s">
        <v>752</v>
      </c>
      <c r="H4053">
        <v>185.69</v>
      </c>
      <c r="O4053" t="s">
        <v>239</v>
      </c>
      <c r="P4053" t="s">
        <v>514</v>
      </c>
      <c r="Y4053">
        <v>4019</v>
      </c>
      <c r="Z4053" s="259" t="s">
        <v>630</v>
      </c>
      <c r="AA4053">
        <v>30</v>
      </c>
      <c r="AB4053">
        <v>5343</v>
      </c>
      <c r="AC4053">
        <v>45902</v>
      </c>
      <c r="AD4053">
        <v>0</v>
      </c>
      <c r="AE4053">
        <v>5570.7</v>
      </c>
      <c r="AF4053">
        <v>5570.7</v>
      </c>
      <c r="AG4053">
        <v>90</v>
      </c>
      <c r="AH4053">
        <v>227.69999999999982</v>
      </c>
    </row>
    <row r="4054" spans="2:34" x14ac:dyDescent="0.35">
      <c r="B4054" t="s">
        <v>747</v>
      </c>
      <c r="C4054">
        <v>45902</v>
      </c>
      <c r="F4054" t="s">
        <v>754</v>
      </c>
      <c r="H4054">
        <v>85.86</v>
      </c>
      <c r="O4054" t="s">
        <v>239</v>
      </c>
      <c r="P4054" t="s">
        <v>514</v>
      </c>
      <c r="Y4054">
        <v>4020</v>
      </c>
      <c r="Z4054" s="259" t="s">
        <v>630</v>
      </c>
      <c r="AA4054">
        <v>100</v>
      </c>
      <c r="AB4054">
        <v>8008</v>
      </c>
      <c r="AC4054">
        <v>45902</v>
      </c>
      <c r="AD4054">
        <v>0</v>
      </c>
      <c r="AE4054">
        <v>8586</v>
      </c>
      <c r="AF4054">
        <v>8586</v>
      </c>
      <c r="AG4054">
        <v>0</v>
      </c>
      <c r="AH4054">
        <v>578</v>
      </c>
    </row>
    <row r="4055" spans="2:34" x14ac:dyDescent="0.35">
      <c r="B4055" t="s">
        <v>747</v>
      </c>
      <c r="C4055">
        <v>45903</v>
      </c>
      <c r="F4055" t="s">
        <v>749</v>
      </c>
      <c r="H4055">
        <v>49.34</v>
      </c>
      <c r="O4055" t="s">
        <v>239</v>
      </c>
      <c r="P4055" t="s">
        <v>514</v>
      </c>
      <c r="Y4055">
        <v>4021</v>
      </c>
      <c r="Z4055" s="259" t="s">
        <v>630</v>
      </c>
      <c r="AA4055">
        <v>80</v>
      </c>
      <c r="AB4055">
        <v>4004</v>
      </c>
      <c r="AC4055">
        <v>45903</v>
      </c>
      <c r="AD4055">
        <v>0</v>
      </c>
      <c r="AE4055">
        <v>3947.2000000000003</v>
      </c>
      <c r="AF4055">
        <v>3947.2000000000003</v>
      </c>
      <c r="AG4055">
        <v>0</v>
      </c>
      <c r="AH4055">
        <v>-56.799999999999727</v>
      </c>
    </row>
    <row r="4056" spans="2:34" x14ac:dyDescent="0.35">
      <c r="B4056" t="s">
        <v>747</v>
      </c>
      <c r="C4056">
        <v>45903</v>
      </c>
      <c r="F4056" t="s">
        <v>752</v>
      </c>
      <c r="H4056">
        <v>185.38</v>
      </c>
      <c r="O4056" t="s">
        <v>239</v>
      </c>
      <c r="P4056" t="s">
        <v>514</v>
      </c>
      <c r="Y4056">
        <v>4022</v>
      </c>
      <c r="Z4056" s="259" t="s">
        <v>630</v>
      </c>
      <c r="AA4056">
        <v>30</v>
      </c>
      <c r="AB4056">
        <v>5343</v>
      </c>
      <c r="AC4056">
        <v>45903</v>
      </c>
      <c r="AD4056">
        <v>0</v>
      </c>
      <c r="AE4056">
        <v>5561.4</v>
      </c>
      <c r="AF4056">
        <v>5561.4</v>
      </c>
      <c r="AG4056">
        <v>90</v>
      </c>
      <c r="AH4056">
        <v>218.39999999999964</v>
      </c>
    </row>
    <row r="4057" spans="2:34" x14ac:dyDescent="0.35">
      <c r="B4057" t="s">
        <v>747</v>
      </c>
      <c r="C4057">
        <v>45903</v>
      </c>
      <c r="F4057" t="s">
        <v>754</v>
      </c>
      <c r="H4057">
        <v>85.72</v>
      </c>
      <c r="O4057" t="s">
        <v>239</v>
      </c>
      <c r="P4057" t="s">
        <v>514</v>
      </c>
      <c r="Y4057">
        <v>4023</v>
      </c>
      <c r="Z4057" s="259" t="s">
        <v>630</v>
      </c>
      <c r="AA4057">
        <v>100</v>
      </c>
      <c r="AB4057">
        <v>8008</v>
      </c>
      <c r="AC4057">
        <v>45903</v>
      </c>
      <c r="AD4057">
        <v>0</v>
      </c>
      <c r="AE4057">
        <v>8572</v>
      </c>
      <c r="AF4057">
        <v>8572</v>
      </c>
      <c r="AG4057">
        <v>0</v>
      </c>
      <c r="AH4057">
        <v>564</v>
      </c>
    </row>
    <row r="4058" spans="2:34" x14ac:dyDescent="0.35">
      <c r="B4058" t="s">
        <v>747</v>
      </c>
      <c r="C4058">
        <v>45904</v>
      </c>
      <c r="F4058" t="s">
        <v>749</v>
      </c>
      <c r="H4058">
        <v>49.52</v>
      </c>
      <c r="O4058" t="s">
        <v>239</v>
      </c>
      <c r="P4058" t="s">
        <v>514</v>
      </c>
      <c r="Y4058">
        <v>4024</v>
      </c>
      <c r="Z4058" s="259" t="s">
        <v>630</v>
      </c>
      <c r="AA4058">
        <v>80</v>
      </c>
      <c r="AB4058">
        <v>4004</v>
      </c>
      <c r="AC4058">
        <v>45904</v>
      </c>
      <c r="AD4058">
        <v>0</v>
      </c>
      <c r="AE4058">
        <v>3961.6000000000004</v>
      </c>
      <c r="AF4058">
        <v>3961.6000000000004</v>
      </c>
      <c r="AG4058">
        <v>0</v>
      </c>
      <c r="AH4058">
        <v>-42.399999999999636</v>
      </c>
    </row>
    <row r="4059" spans="2:34" x14ac:dyDescent="0.35">
      <c r="B4059" t="s">
        <v>747</v>
      </c>
      <c r="C4059">
        <v>45904</v>
      </c>
      <c r="F4059" t="s">
        <v>752</v>
      </c>
      <c r="H4059">
        <v>185.07</v>
      </c>
      <c r="O4059" t="s">
        <v>239</v>
      </c>
      <c r="P4059" t="s">
        <v>514</v>
      </c>
      <c r="Y4059">
        <v>4025</v>
      </c>
      <c r="Z4059" s="259" t="s">
        <v>630</v>
      </c>
      <c r="AA4059">
        <v>30</v>
      </c>
      <c r="AB4059">
        <v>5343</v>
      </c>
      <c r="AC4059">
        <v>45904</v>
      </c>
      <c r="AD4059">
        <v>0</v>
      </c>
      <c r="AE4059">
        <v>5552.0999999999995</v>
      </c>
      <c r="AF4059">
        <v>5552.0999999999995</v>
      </c>
      <c r="AG4059">
        <v>90</v>
      </c>
      <c r="AH4059">
        <v>209.09999999999945</v>
      </c>
    </row>
    <row r="4060" spans="2:34" x14ac:dyDescent="0.35">
      <c r="B4060" t="s">
        <v>747</v>
      </c>
      <c r="C4060">
        <v>45904</v>
      </c>
      <c r="F4060" t="s">
        <v>754</v>
      </c>
      <c r="H4060">
        <v>85.59</v>
      </c>
      <c r="O4060" t="s">
        <v>239</v>
      </c>
      <c r="P4060" t="s">
        <v>514</v>
      </c>
      <c r="Y4060">
        <v>4026</v>
      </c>
      <c r="Z4060" s="259" t="s">
        <v>630</v>
      </c>
      <c r="AA4060">
        <v>100</v>
      </c>
      <c r="AB4060">
        <v>8008</v>
      </c>
      <c r="AC4060">
        <v>45904</v>
      </c>
      <c r="AD4060">
        <v>0</v>
      </c>
      <c r="AE4060">
        <v>8559</v>
      </c>
      <c r="AF4060">
        <v>8559</v>
      </c>
      <c r="AG4060">
        <v>0</v>
      </c>
      <c r="AH4060">
        <v>551</v>
      </c>
    </row>
    <row r="4061" spans="2:34" x14ac:dyDescent="0.35">
      <c r="B4061" t="s">
        <v>747</v>
      </c>
      <c r="C4061">
        <v>45905</v>
      </c>
      <c r="F4061" t="s">
        <v>749</v>
      </c>
      <c r="H4061">
        <v>49.69</v>
      </c>
      <c r="O4061" t="s">
        <v>239</v>
      </c>
      <c r="P4061" t="s">
        <v>514</v>
      </c>
      <c r="Y4061">
        <v>4027</v>
      </c>
      <c r="Z4061" s="259" t="s">
        <v>630</v>
      </c>
      <c r="AA4061">
        <v>80</v>
      </c>
      <c r="AB4061">
        <v>4004</v>
      </c>
      <c r="AC4061">
        <v>45905</v>
      </c>
      <c r="AD4061">
        <v>0</v>
      </c>
      <c r="AE4061">
        <v>3975.2</v>
      </c>
      <c r="AF4061">
        <v>3975.2</v>
      </c>
      <c r="AG4061">
        <v>0</v>
      </c>
      <c r="AH4061">
        <v>-28.800000000000182</v>
      </c>
    </row>
    <row r="4062" spans="2:34" x14ac:dyDescent="0.35">
      <c r="B4062" t="s">
        <v>747</v>
      </c>
      <c r="C4062">
        <v>45905</v>
      </c>
      <c r="F4062" t="s">
        <v>752</v>
      </c>
      <c r="H4062">
        <v>184.76</v>
      </c>
      <c r="O4062" t="s">
        <v>239</v>
      </c>
      <c r="P4062" t="s">
        <v>514</v>
      </c>
      <c r="Y4062">
        <v>4028</v>
      </c>
      <c r="Z4062" s="259" t="s">
        <v>630</v>
      </c>
      <c r="AA4062">
        <v>30</v>
      </c>
      <c r="AB4062">
        <v>5343</v>
      </c>
      <c r="AC4062">
        <v>45905</v>
      </c>
      <c r="AD4062">
        <v>0</v>
      </c>
      <c r="AE4062">
        <v>5542.7999999999993</v>
      </c>
      <c r="AF4062">
        <v>5542.7999999999993</v>
      </c>
      <c r="AG4062">
        <v>90</v>
      </c>
      <c r="AH4062">
        <v>199.79999999999927</v>
      </c>
    </row>
    <row r="4063" spans="2:34" x14ac:dyDescent="0.35">
      <c r="B4063" t="s">
        <v>747</v>
      </c>
      <c r="C4063">
        <v>45905</v>
      </c>
      <c r="F4063" t="s">
        <v>754</v>
      </c>
      <c r="H4063">
        <v>85.45</v>
      </c>
      <c r="O4063" t="s">
        <v>239</v>
      </c>
      <c r="P4063" t="s">
        <v>514</v>
      </c>
      <c r="Y4063">
        <v>4029</v>
      </c>
      <c r="Z4063" s="259" t="s">
        <v>630</v>
      </c>
      <c r="AA4063">
        <v>100</v>
      </c>
      <c r="AB4063">
        <v>8008</v>
      </c>
      <c r="AC4063">
        <v>45905</v>
      </c>
      <c r="AD4063">
        <v>0</v>
      </c>
      <c r="AE4063">
        <v>8545</v>
      </c>
      <c r="AF4063">
        <v>8545</v>
      </c>
      <c r="AG4063">
        <v>0</v>
      </c>
      <c r="AH4063">
        <v>537</v>
      </c>
    </row>
    <row r="4064" spans="2:34" x14ac:dyDescent="0.35">
      <c r="B4064" t="s">
        <v>747</v>
      </c>
      <c r="C4064">
        <v>45906</v>
      </c>
      <c r="F4064" t="s">
        <v>749</v>
      </c>
      <c r="H4064">
        <v>49.69</v>
      </c>
      <c r="O4064" t="s">
        <v>239</v>
      </c>
      <c r="P4064" t="s">
        <v>514</v>
      </c>
      <c r="Y4064">
        <v>4030</v>
      </c>
      <c r="Z4064" s="259" t="s">
        <v>630</v>
      </c>
      <c r="AA4064">
        <v>80</v>
      </c>
      <c r="AB4064">
        <v>4004</v>
      </c>
      <c r="AC4064">
        <v>45905</v>
      </c>
      <c r="AD4064">
        <v>1</v>
      </c>
      <c r="AE4064">
        <v>3975.2</v>
      </c>
      <c r="AF4064">
        <v>3975.2</v>
      </c>
      <c r="AG4064">
        <v>0</v>
      </c>
      <c r="AH4064">
        <v>-28.800000000000182</v>
      </c>
    </row>
    <row r="4065" spans="2:34" x14ac:dyDescent="0.35">
      <c r="B4065" t="s">
        <v>747</v>
      </c>
      <c r="C4065">
        <v>45906</v>
      </c>
      <c r="F4065" t="s">
        <v>752</v>
      </c>
      <c r="H4065">
        <v>184.76</v>
      </c>
      <c r="O4065" t="s">
        <v>239</v>
      </c>
      <c r="P4065" t="s">
        <v>514</v>
      </c>
      <c r="Y4065">
        <v>4031</v>
      </c>
      <c r="Z4065" s="259" t="s">
        <v>630</v>
      </c>
      <c r="AA4065">
        <v>30</v>
      </c>
      <c r="AB4065">
        <v>5343</v>
      </c>
      <c r="AC4065">
        <v>45905</v>
      </c>
      <c r="AD4065">
        <v>1</v>
      </c>
      <c r="AE4065">
        <v>5542.7999999999993</v>
      </c>
      <c r="AF4065">
        <v>5542.7999999999993</v>
      </c>
      <c r="AG4065">
        <v>90</v>
      </c>
      <c r="AH4065">
        <v>199.79999999999927</v>
      </c>
    </row>
    <row r="4066" spans="2:34" x14ac:dyDescent="0.35">
      <c r="B4066" t="s">
        <v>747</v>
      </c>
      <c r="C4066">
        <v>45906</v>
      </c>
      <c r="F4066" t="s">
        <v>754</v>
      </c>
      <c r="H4066">
        <v>85.45</v>
      </c>
      <c r="O4066" t="s">
        <v>239</v>
      </c>
      <c r="P4066" t="s">
        <v>514</v>
      </c>
      <c r="Y4066">
        <v>4032</v>
      </c>
      <c r="Z4066" s="259" t="s">
        <v>630</v>
      </c>
      <c r="AA4066">
        <v>100</v>
      </c>
      <c r="AB4066">
        <v>8008</v>
      </c>
      <c r="AC4066">
        <v>45905</v>
      </c>
      <c r="AD4066">
        <v>1</v>
      </c>
      <c r="AE4066">
        <v>8545</v>
      </c>
      <c r="AF4066">
        <v>8545</v>
      </c>
      <c r="AG4066">
        <v>0</v>
      </c>
      <c r="AH4066">
        <v>537</v>
      </c>
    </row>
    <row r="4067" spans="2:34" x14ac:dyDescent="0.35">
      <c r="B4067" t="s">
        <v>747</v>
      </c>
      <c r="C4067">
        <v>45907</v>
      </c>
      <c r="F4067" t="s">
        <v>749</v>
      </c>
      <c r="H4067">
        <v>49.69</v>
      </c>
      <c r="O4067" t="s">
        <v>239</v>
      </c>
      <c r="P4067" t="s">
        <v>514</v>
      </c>
      <c r="Y4067">
        <v>4033</v>
      </c>
      <c r="Z4067" s="259" t="s">
        <v>630</v>
      </c>
      <c r="AA4067">
        <v>80</v>
      </c>
      <c r="AB4067">
        <v>4004</v>
      </c>
      <c r="AC4067">
        <v>45905</v>
      </c>
      <c r="AD4067">
        <v>2</v>
      </c>
      <c r="AE4067">
        <v>3975.2</v>
      </c>
      <c r="AF4067">
        <v>3975.2</v>
      </c>
      <c r="AG4067">
        <v>0</v>
      </c>
      <c r="AH4067">
        <v>-28.800000000000182</v>
      </c>
    </row>
    <row r="4068" spans="2:34" x14ac:dyDescent="0.35">
      <c r="B4068" t="s">
        <v>747</v>
      </c>
      <c r="C4068">
        <v>45907</v>
      </c>
      <c r="F4068" t="s">
        <v>752</v>
      </c>
      <c r="H4068">
        <v>184.76</v>
      </c>
      <c r="O4068" t="s">
        <v>239</v>
      </c>
      <c r="P4068" t="s">
        <v>514</v>
      </c>
      <c r="Y4068">
        <v>4034</v>
      </c>
      <c r="Z4068" s="259" t="s">
        <v>630</v>
      </c>
      <c r="AA4068">
        <v>30</v>
      </c>
      <c r="AB4068">
        <v>5343</v>
      </c>
      <c r="AC4068">
        <v>45905</v>
      </c>
      <c r="AD4068">
        <v>2</v>
      </c>
      <c r="AE4068">
        <v>5542.7999999999993</v>
      </c>
      <c r="AF4068">
        <v>5542.7999999999993</v>
      </c>
      <c r="AG4068">
        <v>90</v>
      </c>
      <c r="AH4068">
        <v>199.79999999999927</v>
      </c>
    </row>
    <row r="4069" spans="2:34" x14ac:dyDescent="0.35">
      <c r="B4069" t="s">
        <v>747</v>
      </c>
      <c r="C4069">
        <v>45907</v>
      </c>
      <c r="F4069" t="s">
        <v>754</v>
      </c>
      <c r="H4069">
        <v>85.45</v>
      </c>
      <c r="O4069" t="s">
        <v>239</v>
      </c>
      <c r="P4069" t="s">
        <v>514</v>
      </c>
      <c r="Y4069">
        <v>4035</v>
      </c>
      <c r="Z4069" s="259" t="s">
        <v>630</v>
      </c>
      <c r="AA4069">
        <v>100</v>
      </c>
      <c r="AB4069">
        <v>8008</v>
      </c>
      <c r="AC4069">
        <v>45905</v>
      </c>
      <c r="AD4069">
        <v>2</v>
      </c>
      <c r="AE4069">
        <v>8545</v>
      </c>
      <c r="AF4069">
        <v>8545</v>
      </c>
      <c r="AG4069">
        <v>0</v>
      </c>
      <c r="AH4069">
        <v>537</v>
      </c>
    </row>
    <row r="4070" spans="2:34" x14ac:dyDescent="0.35">
      <c r="B4070" t="s">
        <v>747</v>
      </c>
      <c r="C4070">
        <v>45908</v>
      </c>
      <c r="F4070" t="s">
        <v>749</v>
      </c>
      <c r="H4070">
        <v>50.21</v>
      </c>
      <c r="O4070" t="s">
        <v>239</v>
      </c>
      <c r="P4070" t="s">
        <v>514</v>
      </c>
      <c r="Y4070">
        <v>4036</v>
      </c>
      <c r="Z4070" s="259" t="s">
        <v>630</v>
      </c>
      <c r="AA4070">
        <v>80</v>
      </c>
      <c r="AB4070">
        <v>4004</v>
      </c>
      <c r="AC4070">
        <v>45908</v>
      </c>
      <c r="AD4070">
        <v>0</v>
      </c>
      <c r="AE4070">
        <v>4016.8</v>
      </c>
      <c r="AF4070">
        <v>4016.8</v>
      </c>
      <c r="AG4070">
        <v>0</v>
      </c>
      <c r="AH4070">
        <v>12.800000000000182</v>
      </c>
    </row>
    <row r="4071" spans="2:34" x14ac:dyDescent="0.35">
      <c r="B4071" t="s">
        <v>747</v>
      </c>
      <c r="C4071">
        <v>45908</v>
      </c>
      <c r="F4071" t="s">
        <v>752</v>
      </c>
      <c r="H4071">
        <v>183.83</v>
      </c>
      <c r="O4071" t="s">
        <v>239</v>
      </c>
      <c r="P4071" t="s">
        <v>514</v>
      </c>
      <c r="Y4071">
        <v>4037</v>
      </c>
      <c r="Z4071" s="259" t="s">
        <v>630</v>
      </c>
      <c r="AA4071">
        <v>30</v>
      </c>
      <c r="AB4071">
        <v>5343</v>
      </c>
      <c r="AC4071">
        <v>45908</v>
      </c>
      <c r="AD4071">
        <v>0</v>
      </c>
      <c r="AE4071">
        <v>5514.9000000000005</v>
      </c>
      <c r="AF4071">
        <v>5514.9000000000005</v>
      </c>
      <c r="AG4071">
        <v>90</v>
      </c>
      <c r="AH4071">
        <v>171.90000000000055</v>
      </c>
    </row>
    <row r="4072" spans="2:34" x14ac:dyDescent="0.35">
      <c r="B4072" t="s">
        <v>747</v>
      </c>
      <c r="C4072">
        <v>45908</v>
      </c>
      <c r="F4072" t="s">
        <v>754</v>
      </c>
      <c r="H4072">
        <v>85.03</v>
      </c>
      <c r="O4072" t="s">
        <v>239</v>
      </c>
      <c r="P4072" t="s">
        <v>514</v>
      </c>
      <c r="Y4072">
        <v>4038</v>
      </c>
      <c r="Z4072" s="259" t="s">
        <v>630</v>
      </c>
      <c r="AA4072">
        <v>100</v>
      </c>
      <c r="AB4072">
        <v>8008</v>
      </c>
      <c r="AC4072">
        <v>45908</v>
      </c>
      <c r="AD4072">
        <v>0</v>
      </c>
      <c r="AE4072">
        <v>8503</v>
      </c>
      <c r="AF4072">
        <v>8503</v>
      </c>
      <c r="AG4072">
        <v>0</v>
      </c>
      <c r="AH4072">
        <v>495</v>
      </c>
    </row>
    <row r="4073" spans="2:34" x14ac:dyDescent="0.35">
      <c r="B4073" t="s">
        <v>747</v>
      </c>
      <c r="C4073">
        <v>45909</v>
      </c>
      <c r="F4073" t="s">
        <v>749</v>
      </c>
      <c r="H4073">
        <v>50.38</v>
      </c>
      <c r="O4073" t="s">
        <v>239</v>
      </c>
      <c r="P4073" t="s">
        <v>514</v>
      </c>
      <c r="Y4073">
        <v>4039</v>
      </c>
      <c r="Z4073" s="259" t="s">
        <v>630</v>
      </c>
      <c r="AA4073">
        <v>80</v>
      </c>
      <c r="AB4073">
        <v>4004</v>
      </c>
      <c r="AC4073">
        <v>45909</v>
      </c>
      <c r="AD4073">
        <v>0</v>
      </c>
      <c r="AE4073">
        <v>4030.4</v>
      </c>
      <c r="AF4073">
        <v>4030.4</v>
      </c>
      <c r="AG4073">
        <v>0</v>
      </c>
      <c r="AH4073">
        <v>26.400000000000091</v>
      </c>
    </row>
    <row r="4074" spans="2:34" x14ac:dyDescent="0.35">
      <c r="B4074" t="s">
        <v>747</v>
      </c>
      <c r="C4074">
        <v>45909</v>
      </c>
      <c r="F4074" t="s">
        <v>752</v>
      </c>
      <c r="H4074">
        <v>183.52</v>
      </c>
      <c r="O4074" t="s">
        <v>239</v>
      </c>
      <c r="P4074" t="s">
        <v>514</v>
      </c>
      <c r="Y4074">
        <v>4040</v>
      </c>
      <c r="Z4074" s="259" t="s">
        <v>630</v>
      </c>
      <c r="AA4074">
        <v>30</v>
      </c>
      <c r="AB4074">
        <v>5343</v>
      </c>
      <c r="AC4074">
        <v>45909</v>
      </c>
      <c r="AD4074">
        <v>0</v>
      </c>
      <c r="AE4074">
        <v>5505.6</v>
      </c>
      <c r="AF4074">
        <v>5505.6</v>
      </c>
      <c r="AG4074">
        <v>90</v>
      </c>
      <c r="AH4074">
        <v>162.60000000000036</v>
      </c>
    </row>
    <row r="4075" spans="2:34" x14ac:dyDescent="0.35">
      <c r="B4075" t="s">
        <v>747</v>
      </c>
      <c r="C4075">
        <v>45909</v>
      </c>
      <c r="F4075" t="s">
        <v>754</v>
      </c>
      <c r="H4075">
        <v>84.9</v>
      </c>
      <c r="O4075" t="s">
        <v>239</v>
      </c>
      <c r="P4075" t="s">
        <v>514</v>
      </c>
      <c r="Y4075">
        <v>4041</v>
      </c>
      <c r="Z4075" s="259" t="s">
        <v>630</v>
      </c>
      <c r="AA4075">
        <v>100</v>
      </c>
      <c r="AB4075">
        <v>8008</v>
      </c>
      <c r="AC4075">
        <v>45909</v>
      </c>
      <c r="AD4075">
        <v>0</v>
      </c>
      <c r="AE4075">
        <v>8490</v>
      </c>
      <c r="AF4075">
        <v>8490</v>
      </c>
      <c r="AG4075">
        <v>0</v>
      </c>
      <c r="AH4075">
        <v>482</v>
      </c>
    </row>
    <row r="4076" spans="2:34" x14ac:dyDescent="0.35">
      <c r="B4076" t="s">
        <v>747</v>
      </c>
      <c r="C4076">
        <v>45910</v>
      </c>
      <c r="F4076" t="s">
        <v>749</v>
      </c>
      <c r="H4076">
        <v>50.55</v>
      </c>
      <c r="O4076" t="s">
        <v>239</v>
      </c>
      <c r="P4076" t="s">
        <v>514</v>
      </c>
      <c r="Y4076">
        <v>4042</v>
      </c>
      <c r="Z4076" s="259" t="s">
        <v>630</v>
      </c>
      <c r="AA4076">
        <v>80</v>
      </c>
      <c r="AB4076">
        <v>4004</v>
      </c>
      <c r="AC4076">
        <v>45910</v>
      </c>
      <c r="AD4076">
        <v>0</v>
      </c>
      <c r="AE4076">
        <v>4044</v>
      </c>
      <c r="AF4076">
        <v>4044</v>
      </c>
      <c r="AG4076">
        <v>0</v>
      </c>
      <c r="AH4076">
        <v>40</v>
      </c>
    </row>
    <row r="4077" spans="2:34" x14ac:dyDescent="0.35">
      <c r="B4077" t="s">
        <v>747</v>
      </c>
      <c r="C4077">
        <v>45910</v>
      </c>
      <c r="F4077" t="s">
        <v>752</v>
      </c>
      <c r="H4077">
        <v>183.21</v>
      </c>
      <c r="O4077" t="s">
        <v>239</v>
      </c>
      <c r="P4077" t="s">
        <v>514</v>
      </c>
      <c r="Y4077">
        <v>4043</v>
      </c>
      <c r="Z4077" s="259" t="s">
        <v>630</v>
      </c>
      <c r="AA4077">
        <v>30</v>
      </c>
      <c r="AB4077">
        <v>5343</v>
      </c>
      <c r="AC4077">
        <v>45910</v>
      </c>
      <c r="AD4077">
        <v>0</v>
      </c>
      <c r="AE4077">
        <v>5496.3</v>
      </c>
      <c r="AF4077">
        <v>5496.3</v>
      </c>
      <c r="AG4077">
        <v>90</v>
      </c>
      <c r="AH4077">
        <v>153.30000000000018</v>
      </c>
    </row>
    <row r="4078" spans="2:34" x14ac:dyDescent="0.35">
      <c r="B4078" t="s">
        <v>747</v>
      </c>
      <c r="C4078">
        <v>45910</v>
      </c>
      <c r="F4078" t="s">
        <v>754</v>
      </c>
      <c r="H4078">
        <v>84.76</v>
      </c>
      <c r="O4078" t="s">
        <v>239</v>
      </c>
      <c r="P4078" t="s">
        <v>514</v>
      </c>
      <c r="Y4078">
        <v>4044</v>
      </c>
      <c r="Z4078" s="259" t="s">
        <v>630</v>
      </c>
      <c r="AA4078">
        <v>100</v>
      </c>
      <c r="AB4078">
        <v>8008</v>
      </c>
      <c r="AC4078">
        <v>45910</v>
      </c>
      <c r="AD4078">
        <v>0</v>
      </c>
      <c r="AE4078">
        <v>8476</v>
      </c>
      <c r="AF4078">
        <v>8476</v>
      </c>
      <c r="AG4078">
        <v>0</v>
      </c>
      <c r="AH4078">
        <v>468</v>
      </c>
    </row>
    <row r="4079" spans="2:34" x14ac:dyDescent="0.35">
      <c r="B4079" t="s">
        <v>747</v>
      </c>
      <c r="C4079">
        <v>45911</v>
      </c>
      <c r="F4079" t="s">
        <v>749</v>
      </c>
      <c r="H4079">
        <v>50.72</v>
      </c>
      <c r="O4079" t="s">
        <v>239</v>
      </c>
      <c r="P4079" t="s">
        <v>514</v>
      </c>
      <c r="Y4079">
        <v>4045</v>
      </c>
      <c r="Z4079" s="259" t="s">
        <v>630</v>
      </c>
      <c r="AA4079">
        <v>80</v>
      </c>
      <c r="AB4079">
        <v>4004</v>
      </c>
      <c r="AC4079">
        <v>45911</v>
      </c>
      <c r="AD4079">
        <v>0</v>
      </c>
      <c r="AE4079">
        <v>4057.6</v>
      </c>
      <c r="AF4079">
        <v>4057.6</v>
      </c>
      <c r="AG4079">
        <v>0</v>
      </c>
      <c r="AH4079">
        <v>53.599999999999909</v>
      </c>
    </row>
    <row r="4080" spans="2:34" x14ac:dyDescent="0.35">
      <c r="B4080" t="s">
        <v>747</v>
      </c>
      <c r="C4080">
        <v>45911</v>
      </c>
      <c r="F4080" t="s">
        <v>752</v>
      </c>
      <c r="H4080">
        <v>182.9</v>
      </c>
      <c r="O4080" t="s">
        <v>239</v>
      </c>
      <c r="P4080" t="s">
        <v>514</v>
      </c>
      <c r="Y4080">
        <v>4046</v>
      </c>
      <c r="Z4080" s="259" t="s">
        <v>630</v>
      </c>
      <c r="AA4080">
        <v>30</v>
      </c>
      <c r="AB4080">
        <v>5343</v>
      </c>
      <c r="AC4080">
        <v>45911</v>
      </c>
      <c r="AD4080">
        <v>0</v>
      </c>
      <c r="AE4080">
        <v>5487</v>
      </c>
      <c r="AF4080">
        <v>5487</v>
      </c>
      <c r="AG4080">
        <v>90</v>
      </c>
      <c r="AH4080">
        <v>144</v>
      </c>
    </row>
    <row r="4081" spans="2:34" x14ac:dyDescent="0.35">
      <c r="B4081" t="s">
        <v>747</v>
      </c>
      <c r="C4081">
        <v>45911</v>
      </c>
      <c r="F4081" t="s">
        <v>754</v>
      </c>
      <c r="H4081">
        <v>84.62</v>
      </c>
      <c r="O4081" t="s">
        <v>239</v>
      </c>
      <c r="P4081" t="s">
        <v>514</v>
      </c>
      <c r="Y4081">
        <v>4047</v>
      </c>
      <c r="Z4081" s="259" t="s">
        <v>630</v>
      </c>
      <c r="AA4081">
        <v>100</v>
      </c>
      <c r="AB4081">
        <v>8008</v>
      </c>
      <c r="AC4081">
        <v>45911</v>
      </c>
      <c r="AD4081">
        <v>0</v>
      </c>
      <c r="AE4081">
        <v>8462</v>
      </c>
      <c r="AF4081">
        <v>8462</v>
      </c>
      <c r="AG4081">
        <v>0</v>
      </c>
      <c r="AH4081">
        <v>454</v>
      </c>
    </row>
    <row r="4082" spans="2:34" x14ac:dyDescent="0.35">
      <c r="B4082" t="s">
        <v>747</v>
      </c>
      <c r="C4082">
        <v>45912</v>
      </c>
      <c r="F4082" t="s">
        <v>749</v>
      </c>
      <c r="H4082">
        <v>50.9</v>
      </c>
      <c r="O4082" t="s">
        <v>239</v>
      </c>
      <c r="P4082" t="s">
        <v>514</v>
      </c>
      <c r="Y4082">
        <v>4048</v>
      </c>
      <c r="Z4082" s="259" t="s">
        <v>630</v>
      </c>
      <c r="AA4082">
        <v>80</v>
      </c>
      <c r="AB4082">
        <v>4004</v>
      </c>
      <c r="AC4082">
        <v>45912</v>
      </c>
      <c r="AD4082">
        <v>0</v>
      </c>
      <c r="AE4082">
        <v>4072</v>
      </c>
      <c r="AF4082">
        <v>4072</v>
      </c>
      <c r="AG4082">
        <v>0</v>
      </c>
      <c r="AH4082">
        <v>68</v>
      </c>
    </row>
    <row r="4083" spans="2:34" x14ac:dyDescent="0.35">
      <c r="B4083" t="s">
        <v>747</v>
      </c>
      <c r="C4083">
        <v>45912</v>
      </c>
      <c r="F4083" t="s">
        <v>752</v>
      </c>
      <c r="H4083">
        <v>182.59</v>
      </c>
      <c r="O4083" t="s">
        <v>239</v>
      </c>
      <c r="P4083" t="s">
        <v>514</v>
      </c>
      <c r="Y4083">
        <v>4049</v>
      </c>
      <c r="Z4083" s="259" t="s">
        <v>630</v>
      </c>
      <c r="AA4083">
        <v>30</v>
      </c>
      <c r="AB4083">
        <v>5343</v>
      </c>
      <c r="AC4083">
        <v>45912</v>
      </c>
      <c r="AD4083">
        <v>0</v>
      </c>
      <c r="AE4083">
        <v>5477.7</v>
      </c>
      <c r="AF4083">
        <v>5477.7</v>
      </c>
      <c r="AG4083">
        <v>90</v>
      </c>
      <c r="AH4083">
        <v>134.69999999999982</v>
      </c>
    </row>
    <row r="4084" spans="2:34" x14ac:dyDescent="0.35">
      <c r="B4084" t="s">
        <v>747</v>
      </c>
      <c r="C4084">
        <v>45912</v>
      </c>
      <c r="F4084" t="s">
        <v>754</v>
      </c>
      <c r="H4084">
        <v>84.48</v>
      </c>
      <c r="O4084" t="s">
        <v>239</v>
      </c>
      <c r="P4084" t="s">
        <v>514</v>
      </c>
      <c r="Y4084">
        <v>4050</v>
      </c>
      <c r="Z4084" s="259" t="s">
        <v>630</v>
      </c>
      <c r="AA4084">
        <v>100</v>
      </c>
      <c r="AB4084">
        <v>8008</v>
      </c>
      <c r="AC4084">
        <v>45912</v>
      </c>
      <c r="AD4084">
        <v>0</v>
      </c>
      <c r="AE4084">
        <v>8448</v>
      </c>
      <c r="AF4084">
        <v>8448</v>
      </c>
      <c r="AG4084">
        <v>0</v>
      </c>
      <c r="AH4084">
        <v>440</v>
      </c>
    </row>
    <row r="4085" spans="2:34" x14ac:dyDescent="0.35">
      <c r="B4085" t="s">
        <v>747</v>
      </c>
      <c r="C4085">
        <v>45913</v>
      </c>
      <c r="F4085" t="s">
        <v>749</v>
      </c>
      <c r="H4085">
        <v>50.9</v>
      </c>
      <c r="O4085" t="s">
        <v>239</v>
      </c>
      <c r="P4085" t="s">
        <v>514</v>
      </c>
      <c r="Y4085">
        <v>4051</v>
      </c>
      <c r="Z4085" s="259" t="s">
        <v>630</v>
      </c>
      <c r="AA4085">
        <v>80</v>
      </c>
      <c r="AB4085">
        <v>4004</v>
      </c>
      <c r="AC4085">
        <v>45912</v>
      </c>
      <c r="AD4085">
        <v>1</v>
      </c>
      <c r="AE4085">
        <v>4072</v>
      </c>
      <c r="AF4085">
        <v>4072</v>
      </c>
      <c r="AG4085">
        <v>0</v>
      </c>
      <c r="AH4085">
        <v>68</v>
      </c>
    </row>
    <row r="4086" spans="2:34" x14ac:dyDescent="0.35">
      <c r="B4086" t="s">
        <v>747</v>
      </c>
      <c r="C4086">
        <v>45913</v>
      </c>
      <c r="F4086" t="s">
        <v>752</v>
      </c>
      <c r="H4086">
        <v>182.59</v>
      </c>
      <c r="O4086" t="s">
        <v>239</v>
      </c>
      <c r="P4086" t="s">
        <v>514</v>
      </c>
      <c r="Y4086">
        <v>4052</v>
      </c>
      <c r="Z4086" s="259" t="s">
        <v>630</v>
      </c>
      <c r="AA4086">
        <v>30</v>
      </c>
      <c r="AB4086">
        <v>5343</v>
      </c>
      <c r="AC4086">
        <v>45912</v>
      </c>
      <c r="AD4086">
        <v>1</v>
      </c>
      <c r="AE4086">
        <v>5477.7</v>
      </c>
      <c r="AF4086">
        <v>5477.7</v>
      </c>
      <c r="AG4086">
        <v>90</v>
      </c>
      <c r="AH4086">
        <v>134.69999999999982</v>
      </c>
    </row>
    <row r="4087" spans="2:34" x14ac:dyDescent="0.35">
      <c r="B4087" t="s">
        <v>747</v>
      </c>
      <c r="C4087">
        <v>45913</v>
      </c>
      <c r="F4087" t="s">
        <v>754</v>
      </c>
      <c r="H4087">
        <v>84.48</v>
      </c>
      <c r="O4087" t="s">
        <v>239</v>
      </c>
      <c r="P4087" t="s">
        <v>514</v>
      </c>
      <c r="Y4087">
        <v>4053</v>
      </c>
      <c r="Z4087" s="259" t="s">
        <v>630</v>
      </c>
      <c r="AA4087">
        <v>100</v>
      </c>
      <c r="AB4087">
        <v>8008</v>
      </c>
      <c r="AC4087">
        <v>45912</v>
      </c>
      <c r="AD4087">
        <v>1</v>
      </c>
      <c r="AE4087">
        <v>8448</v>
      </c>
      <c r="AF4087">
        <v>8448</v>
      </c>
      <c r="AG4087">
        <v>0</v>
      </c>
      <c r="AH4087">
        <v>440</v>
      </c>
    </row>
    <row r="4088" spans="2:34" x14ac:dyDescent="0.35">
      <c r="B4088" t="s">
        <v>747</v>
      </c>
      <c r="C4088">
        <v>45914</v>
      </c>
      <c r="F4088" t="s">
        <v>749</v>
      </c>
      <c r="H4088">
        <v>50.9</v>
      </c>
      <c r="O4088" t="s">
        <v>239</v>
      </c>
      <c r="P4088" t="s">
        <v>514</v>
      </c>
      <c r="Y4088">
        <v>4054</v>
      </c>
      <c r="Z4088" s="259" t="s">
        <v>630</v>
      </c>
      <c r="AA4088">
        <v>80</v>
      </c>
      <c r="AB4088">
        <v>4004</v>
      </c>
      <c r="AC4088">
        <v>45912</v>
      </c>
      <c r="AD4088">
        <v>2</v>
      </c>
      <c r="AE4088">
        <v>4072</v>
      </c>
      <c r="AF4088">
        <v>4072</v>
      </c>
      <c r="AG4088">
        <v>0</v>
      </c>
      <c r="AH4088">
        <v>68</v>
      </c>
    </row>
    <row r="4089" spans="2:34" x14ac:dyDescent="0.35">
      <c r="B4089" t="s">
        <v>747</v>
      </c>
      <c r="C4089">
        <v>45914</v>
      </c>
      <c r="F4089" t="s">
        <v>752</v>
      </c>
      <c r="H4089">
        <v>182.59</v>
      </c>
      <c r="O4089" t="s">
        <v>239</v>
      </c>
      <c r="P4089" t="s">
        <v>514</v>
      </c>
      <c r="Y4089">
        <v>4055</v>
      </c>
      <c r="Z4089" s="259" t="s">
        <v>630</v>
      </c>
      <c r="AA4089">
        <v>30</v>
      </c>
      <c r="AB4089">
        <v>5343</v>
      </c>
      <c r="AC4089">
        <v>45912</v>
      </c>
      <c r="AD4089">
        <v>2</v>
      </c>
      <c r="AE4089">
        <v>5477.7</v>
      </c>
      <c r="AF4089">
        <v>5477.7</v>
      </c>
      <c r="AG4089">
        <v>90</v>
      </c>
      <c r="AH4089">
        <v>134.69999999999982</v>
      </c>
    </row>
    <row r="4090" spans="2:34" x14ac:dyDescent="0.35">
      <c r="B4090" t="s">
        <v>747</v>
      </c>
      <c r="C4090">
        <v>45914</v>
      </c>
      <c r="F4090" t="s">
        <v>754</v>
      </c>
      <c r="H4090">
        <v>84.48</v>
      </c>
      <c r="O4090" t="s">
        <v>239</v>
      </c>
      <c r="P4090" t="s">
        <v>514</v>
      </c>
      <c r="Y4090">
        <v>4056</v>
      </c>
      <c r="Z4090" s="259" t="s">
        <v>630</v>
      </c>
      <c r="AA4090">
        <v>100</v>
      </c>
      <c r="AB4090">
        <v>8008</v>
      </c>
      <c r="AC4090">
        <v>45912</v>
      </c>
      <c r="AD4090">
        <v>2</v>
      </c>
      <c r="AE4090">
        <v>8448</v>
      </c>
      <c r="AF4090">
        <v>8448</v>
      </c>
      <c r="AG4090">
        <v>0</v>
      </c>
      <c r="AH4090">
        <v>440</v>
      </c>
    </row>
    <row r="4091" spans="2:34" x14ac:dyDescent="0.35">
      <c r="B4091" t="s">
        <v>747</v>
      </c>
      <c r="C4091">
        <v>45915</v>
      </c>
      <c r="F4091" t="s">
        <v>749</v>
      </c>
      <c r="H4091">
        <v>51.41</v>
      </c>
      <c r="O4091" t="s">
        <v>239</v>
      </c>
      <c r="P4091" t="s">
        <v>514</v>
      </c>
      <c r="Y4091">
        <v>4057</v>
      </c>
      <c r="Z4091" s="259" t="s">
        <v>630</v>
      </c>
      <c r="AA4091">
        <v>80</v>
      </c>
      <c r="AB4091">
        <v>4004</v>
      </c>
      <c r="AC4091">
        <v>45915</v>
      </c>
      <c r="AD4091">
        <v>0</v>
      </c>
      <c r="AE4091">
        <v>4112.7999999999993</v>
      </c>
      <c r="AF4091">
        <v>4112.7999999999993</v>
      </c>
      <c r="AG4091">
        <v>0</v>
      </c>
      <c r="AH4091">
        <v>108.79999999999927</v>
      </c>
    </row>
    <row r="4092" spans="2:34" x14ac:dyDescent="0.35">
      <c r="B4092" t="s">
        <v>747</v>
      </c>
      <c r="C4092">
        <v>45915</v>
      </c>
      <c r="F4092" t="s">
        <v>752</v>
      </c>
      <c r="H4092">
        <v>181.66</v>
      </c>
      <c r="O4092" t="s">
        <v>239</v>
      </c>
      <c r="P4092" t="s">
        <v>514</v>
      </c>
      <c r="Y4092">
        <v>4058</v>
      </c>
      <c r="Z4092" s="259" t="s">
        <v>630</v>
      </c>
      <c r="AA4092">
        <v>30</v>
      </c>
      <c r="AB4092">
        <v>5343</v>
      </c>
      <c r="AC4092">
        <v>45915</v>
      </c>
      <c r="AD4092">
        <v>0</v>
      </c>
      <c r="AE4092">
        <v>5449.8</v>
      </c>
      <c r="AF4092">
        <v>5449.8</v>
      </c>
      <c r="AG4092">
        <v>0</v>
      </c>
      <c r="AH4092">
        <v>106.80000000000018</v>
      </c>
    </row>
    <row r="4093" spans="2:34" x14ac:dyDescent="0.35">
      <c r="B4093" t="s">
        <v>747</v>
      </c>
      <c r="C4093">
        <v>45915</v>
      </c>
      <c r="F4093" t="s">
        <v>754</v>
      </c>
      <c r="H4093">
        <v>84.07</v>
      </c>
      <c r="O4093" t="s">
        <v>239</v>
      </c>
      <c r="P4093" t="s">
        <v>514</v>
      </c>
      <c r="Y4093">
        <v>4059</v>
      </c>
      <c r="Z4093" s="259" t="s">
        <v>630</v>
      </c>
      <c r="AA4093">
        <v>100</v>
      </c>
      <c r="AB4093">
        <v>8008</v>
      </c>
      <c r="AC4093">
        <v>45915</v>
      </c>
      <c r="AD4093">
        <v>0</v>
      </c>
      <c r="AE4093">
        <v>8407</v>
      </c>
      <c r="AF4093">
        <v>8407</v>
      </c>
      <c r="AG4093">
        <v>0</v>
      </c>
      <c r="AH4093">
        <v>399</v>
      </c>
    </row>
    <row r="4094" spans="2:34" x14ac:dyDescent="0.35">
      <c r="B4094" t="s">
        <v>747</v>
      </c>
      <c r="C4094">
        <v>45916</v>
      </c>
      <c r="F4094" t="s">
        <v>749</v>
      </c>
      <c r="H4094">
        <v>51.59</v>
      </c>
      <c r="O4094" t="s">
        <v>239</v>
      </c>
      <c r="P4094" t="s">
        <v>514</v>
      </c>
      <c r="Y4094">
        <v>4060</v>
      </c>
      <c r="Z4094" s="259" t="s">
        <v>630</v>
      </c>
      <c r="AA4094">
        <v>80</v>
      </c>
      <c r="AB4094">
        <v>4004</v>
      </c>
      <c r="AC4094">
        <v>45916</v>
      </c>
      <c r="AD4094">
        <v>0</v>
      </c>
      <c r="AE4094">
        <v>4127.2000000000007</v>
      </c>
      <c r="AF4094">
        <v>4127.2000000000007</v>
      </c>
      <c r="AG4094">
        <v>0</v>
      </c>
      <c r="AH4094">
        <v>123.20000000000073</v>
      </c>
    </row>
    <row r="4095" spans="2:34" x14ac:dyDescent="0.35">
      <c r="B4095" t="s">
        <v>747</v>
      </c>
      <c r="C4095">
        <v>45916</v>
      </c>
      <c r="F4095" t="s">
        <v>752</v>
      </c>
      <c r="H4095">
        <v>181.34</v>
      </c>
      <c r="O4095" t="s">
        <v>239</v>
      </c>
      <c r="P4095" t="s">
        <v>514</v>
      </c>
      <c r="Y4095">
        <v>4061</v>
      </c>
      <c r="Z4095" s="259" t="s">
        <v>630</v>
      </c>
      <c r="AA4095">
        <v>30</v>
      </c>
      <c r="AB4095">
        <v>5343</v>
      </c>
      <c r="AC4095">
        <v>45916</v>
      </c>
      <c r="AD4095">
        <v>0</v>
      </c>
      <c r="AE4095">
        <v>5440.2</v>
      </c>
      <c r="AF4095">
        <v>5440.2</v>
      </c>
      <c r="AG4095">
        <v>0</v>
      </c>
      <c r="AH4095">
        <v>97.199999999999818</v>
      </c>
    </row>
    <row r="4096" spans="2:34" x14ac:dyDescent="0.35">
      <c r="B4096" t="s">
        <v>747</v>
      </c>
      <c r="C4096">
        <v>45916</v>
      </c>
      <c r="F4096" t="s">
        <v>754</v>
      </c>
      <c r="H4096">
        <v>83.93</v>
      </c>
      <c r="O4096" t="s">
        <v>239</v>
      </c>
      <c r="P4096" t="s">
        <v>514</v>
      </c>
      <c r="Y4096">
        <v>4062</v>
      </c>
      <c r="Z4096" s="259" t="s">
        <v>630</v>
      </c>
      <c r="AA4096">
        <v>100</v>
      </c>
      <c r="AB4096">
        <v>8008</v>
      </c>
      <c r="AC4096">
        <v>45916</v>
      </c>
      <c r="AD4096">
        <v>0</v>
      </c>
      <c r="AE4096">
        <v>8393</v>
      </c>
      <c r="AF4096">
        <v>8393</v>
      </c>
      <c r="AG4096">
        <v>0</v>
      </c>
      <c r="AH4096">
        <v>385</v>
      </c>
    </row>
    <row r="4097" spans="2:34" x14ac:dyDescent="0.35">
      <c r="B4097" t="s">
        <v>747</v>
      </c>
      <c r="C4097">
        <v>45917</v>
      </c>
      <c r="F4097" t="s">
        <v>749</v>
      </c>
      <c r="H4097">
        <v>51.76</v>
      </c>
      <c r="O4097" t="s">
        <v>239</v>
      </c>
      <c r="P4097" t="s">
        <v>514</v>
      </c>
      <c r="Y4097">
        <v>4063</v>
      </c>
      <c r="Z4097" s="259" t="s">
        <v>630</v>
      </c>
      <c r="AA4097">
        <v>80</v>
      </c>
      <c r="AB4097">
        <v>4004</v>
      </c>
      <c r="AC4097">
        <v>45917</v>
      </c>
      <c r="AD4097">
        <v>0</v>
      </c>
      <c r="AE4097">
        <v>4140.8</v>
      </c>
      <c r="AF4097">
        <v>4140.8</v>
      </c>
      <c r="AG4097">
        <v>0</v>
      </c>
      <c r="AH4097">
        <v>136.80000000000018</v>
      </c>
    </row>
    <row r="4098" spans="2:34" x14ac:dyDescent="0.35">
      <c r="B4098" t="s">
        <v>747</v>
      </c>
      <c r="C4098">
        <v>45917</v>
      </c>
      <c r="F4098" t="s">
        <v>752</v>
      </c>
      <c r="H4098">
        <v>181.03</v>
      </c>
      <c r="O4098" t="s">
        <v>239</v>
      </c>
      <c r="P4098" t="s">
        <v>514</v>
      </c>
      <c r="Y4098">
        <v>4064</v>
      </c>
      <c r="Z4098" s="259" t="s">
        <v>630</v>
      </c>
      <c r="AA4098">
        <v>30</v>
      </c>
      <c r="AB4098">
        <v>5343</v>
      </c>
      <c r="AC4098">
        <v>45917</v>
      </c>
      <c r="AD4098">
        <v>0</v>
      </c>
      <c r="AE4098">
        <v>5430.9</v>
      </c>
      <c r="AF4098">
        <v>5430.9</v>
      </c>
      <c r="AG4098">
        <v>0</v>
      </c>
      <c r="AH4098">
        <v>87.899999999999636</v>
      </c>
    </row>
    <row r="4099" spans="2:34" x14ac:dyDescent="0.35">
      <c r="B4099" t="s">
        <v>747</v>
      </c>
      <c r="C4099">
        <v>45917</v>
      </c>
      <c r="F4099" t="s">
        <v>754</v>
      </c>
      <c r="H4099">
        <v>83.79</v>
      </c>
      <c r="O4099" t="s">
        <v>239</v>
      </c>
      <c r="P4099" t="s">
        <v>514</v>
      </c>
      <c r="Y4099">
        <v>4065</v>
      </c>
      <c r="Z4099" s="259" t="s">
        <v>630</v>
      </c>
      <c r="AA4099">
        <v>100</v>
      </c>
      <c r="AB4099">
        <v>8008</v>
      </c>
      <c r="AC4099">
        <v>45917</v>
      </c>
      <c r="AD4099">
        <v>0</v>
      </c>
      <c r="AE4099">
        <v>8379</v>
      </c>
      <c r="AF4099">
        <v>8379</v>
      </c>
      <c r="AG4099">
        <v>0</v>
      </c>
      <c r="AH4099">
        <v>371</v>
      </c>
    </row>
    <row r="4100" spans="2:34" x14ac:dyDescent="0.35">
      <c r="B4100" t="s">
        <v>747</v>
      </c>
      <c r="C4100">
        <v>45918</v>
      </c>
      <c r="F4100" t="s">
        <v>749</v>
      </c>
      <c r="H4100">
        <v>51.93</v>
      </c>
      <c r="O4100" t="s">
        <v>239</v>
      </c>
      <c r="P4100" t="s">
        <v>514</v>
      </c>
      <c r="Y4100">
        <v>4066</v>
      </c>
      <c r="Z4100" s="259" t="s">
        <v>630</v>
      </c>
      <c r="AA4100">
        <v>80</v>
      </c>
      <c r="AB4100">
        <v>4004</v>
      </c>
      <c r="AC4100">
        <v>45918</v>
      </c>
      <c r="AD4100">
        <v>0</v>
      </c>
      <c r="AE4100">
        <v>4154.3999999999996</v>
      </c>
      <c r="AF4100">
        <v>4154.3999999999996</v>
      </c>
      <c r="AG4100">
        <v>0</v>
      </c>
      <c r="AH4100">
        <v>150.39999999999964</v>
      </c>
    </row>
    <row r="4101" spans="2:34" x14ac:dyDescent="0.35">
      <c r="B4101" t="s">
        <v>747</v>
      </c>
      <c r="C4101">
        <v>45918</v>
      </c>
      <c r="F4101" t="s">
        <v>752</v>
      </c>
      <c r="H4101">
        <v>180.72</v>
      </c>
      <c r="O4101" t="s">
        <v>239</v>
      </c>
      <c r="P4101" t="s">
        <v>514</v>
      </c>
      <c r="Y4101">
        <v>4067</v>
      </c>
      <c r="Z4101" s="259" t="s">
        <v>630</v>
      </c>
      <c r="AA4101">
        <v>30</v>
      </c>
      <c r="AB4101">
        <v>5343</v>
      </c>
      <c r="AC4101">
        <v>45918</v>
      </c>
      <c r="AD4101">
        <v>0</v>
      </c>
      <c r="AE4101">
        <v>5421.6</v>
      </c>
      <c r="AF4101">
        <v>5421.6</v>
      </c>
      <c r="AG4101">
        <v>0</v>
      </c>
      <c r="AH4101">
        <v>78.600000000000364</v>
      </c>
    </row>
    <row r="4102" spans="2:34" x14ac:dyDescent="0.35">
      <c r="B4102" t="s">
        <v>747</v>
      </c>
      <c r="C4102">
        <v>45918</v>
      </c>
      <c r="F4102" t="s">
        <v>754</v>
      </c>
      <c r="H4102">
        <v>83.66</v>
      </c>
      <c r="O4102" t="s">
        <v>239</v>
      </c>
      <c r="P4102" t="s">
        <v>514</v>
      </c>
      <c r="Y4102">
        <v>4068</v>
      </c>
      <c r="Z4102" s="259" t="s">
        <v>630</v>
      </c>
      <c r="AA4102">
        <v>100</v>
      </c>
      <c r="AB4102">
        <v>8008</v>
      </c>
      <c r="AC4102">
        <v>45918</v>
      </c>
      <c r="AD4102">
        <v>0</v>
      </c>
      <c r="AE4102">
        <v>8366</v>
      </c>
      <c r="AF4102">
        <v>8366</v>
      </c>
      <c r="AG4102">
        <v>0</v>
      </c>
      <c r="AH4102">
        <v>358</v>
      </c>
    </row>
    <row r="4103" spans="2:34" x14ac:dyDescent="0.35">
      <c r="B4103" t="s">
        <v>747</v>
      </c>
      <c r="C4103">
        <v>45919</v>
      </c>
      <c r="F4103" t="s">
        <v>749</v>
      </c>
      <c r="H4103">
        <v>52.1</v>
      </c>
      <c r="O4103" t="s">
        <v>239</v>
      </c>
      <c r="P4103" t="s">
        <v>514</v>
      </c>
      <c r="Y4103">
        <v>4069</v>
      </c>
      <c r="Z4103" s="259" t="s">
        <v>630</v>
      </c>
      <c r="AA4103">
        <v>80</v>
      </c>
      <c r="AB4103">
        <v>4004</v>
      </c>
      <c r="AC4103">
        <v>45919</v>
      </c>
      <c r="AD4103">
        <v>0</v>
      </c>
      <c r="AE4103">
        <v>4168</v>
      </c>
      <c r="AF4103">
        <v>4168</v>
      </c>
      <c r="AG4103">
        <v>0</v>
      </c>
      <c r="AH4103">
        <v>164</v>
      </c>
    </row>
    <row r="4104" spans="2:34" x14ac:dyDescent="0.35">
      <c r="B4104" t="s">
        <v>747</v>
      </c>
      <c r="C4104">
        <v>45919</v>
      </c>
      <c r="F4104" t="s">
        <v>752</v>
      </c>
      <c r="H4104">
        <v>180.41</v>
      </c>
      <c r="O4104" t="s">
        <v>239</v>
      </c>
      <c r="P4104" t="s">
        <v>514</v>
      </c>
      <c r="Y4104">
        <v>4070</v>
      </c>
      <c r="Z4104" s="259" t="s">
        <v>630</v>
      </c>
      <c r="AA4104">
        <v>30</v>
      </c>
      <c r="AB4104">
        <v>5343</v>
      </c>
      <c r="AC4104">
        <v>45919</v>
      </c>
      <c r="AD4104">
        <v>0</v>
      </c>
      <c r="AE4104">
        <v>5412.3</v>
      </c>
      <c r="AF4104">
        <v>5412.3</v>
      </c>
      <c r="AG4104">
        <v>0</v>
      </c>
      <c r="AH4104">
        <v>69.300000000000182</v>
      </c>
    </row>
    <row r="4105" spans="2:34" x14ac:dyDescent="0.35">
      <c r="B4105" t="s">
        <v>747</v>
      </c>
      <c r="C4105">
        <v>45919</v>
      </c>
      <c r="F4105" t="s">
        <v>754</v>
      </c>
      <c r="H4105">
        <v>83.52</v>
      </c>
      <c r="O4105" t="s">
        <v>239</v>
      </c>
      <c r="P4105" t="s">
        <v>514</v>
      </c>
      <c r="Y4105">
        <v>4071</v>
      </c>
      <c r="Z4105" s="259" t="s">
        <v>630</v>
      </c>
      <c r="AA4105">
        <v>100</v>
      </c>
      <c r="AB4105">
        <v>8008</v>
      </c>
      <c r="AC4105">
        <v>45919</v>
      </c>
      <c r="AD4105">
        <v>0</v>
      </c>
      <c r="AE4105">
        <v>8352</v>
      </c>
      <c r="AF4105">
        <v>8352</v>
      </c>
      <c r="AG4105">
        <v>0</v>
      </c>
      <c r="AH4105">
        <v>344</v>
      </c>
    </row>
    <row r="4106" spans="2:34" x14ac:dyDescent="0.35">
      <c r="B4106" t="s">
        <v>747</v>
      </c>
      <c r="C4106">
        <v>45920</v>
      </c>
      <c r="F4106" t="s">
        <v>749</v>
      </c>
      <c r="H4106">
        <v>52.1</v>
      </c>
      <c r="O4106" t="s">
        <v>239</v>
      </c>
      <c r="P4106" t="s">
        <v>514</v>
      </c>
      <c r="Y4106">
        <v>4072</v>
      </c>
      <c r="Z4106" s="259" t="s">
        <v>630</v>
      </c>
      <c r="AA4106">
        <v>80</v>
      </c>
      <c r="AB4106">
        <v>4004</v>
      </c>
      <c r="AC4106">
        <v>45919</v>
      </c>
      <c r="AD4106">
        <v>1</v>
      </c>
      <c r="AE4106">
        <v>4168</v>
      </c>
      <c r="AF4106">
        <v>4168</v>
      </c>
      <c r="AG4106">
        <v>0</v>
      </c>
      <c r="AH4106">
        <v>164</v>
      </c>
    </row>
    <row r="4107" spans="2:34" x14ac:dyDescent="0.35">
      <c r="B4107" t="s">
        <v>747</v>
      </c>
      <c r="C4107">
        <v>45920</v>
      </c>
      <c r="F4107" t="s">
        <v>752</v>
      </c>
      <c r="H4107">
        <v>180.41</v>
      </c>
      <c r="O4107" t="s">
        <v>239</v>
      </c>
      <c r="P4107" t="s">
        <v>514</v>
      </c>
      <c r="Y4107">
        <v>4073</v>
      </c>
      <c r="Z4107" s="259" t="s">
        <v>630</v>
      </c>
      <c r="AA4107">
        <v>30</v>
      </c>
      <c r="AB4107">
        <v>5343</v>
      </c>
      <c r="AC4107">
        <v>45919</v>
      </c>
      <c r="AD4107">
        <v>1</v>
      </c>
      <c r="AE4107">
        <v>5412.3</v>
      </c>
      <c r="AF4107">
        <v>5412.3</v>
      </c>
      <c r="AG4107">
        <v>0</v>
      </c>
      <c r="AH4107">
        <v>69.300000000000182</v>
      </c>
    </row>
    <row r="4108" spans="2:34" x14ac:dyDescent="0.35">
      <c r="B4108" t="s">
        <v>747</v>
      </c>
      <c r="C4108">
        <v>45920</v>
      </c>
      <c r="F4108" t="s">
        <v>754</v>
      </c>
      <c r="H4108">
        <v>83.52</v>
      </c>
      <c r="O4108" t="s">
        <v>239</v>
      </c>
      <c r="P4108" t="s">
        <v>514</v>
      </c>
      <c r="Y4108">
        <v>4074</v>
      </c>
      <c r="Z4108" s="259" t="s">
        <v>630</v>
      </c>
      <c r="AA4108">
        <v>100</v>
      </c>
      <c r="AB4108">
        <v>8008</v>
      </c>
      <c r="AC4108">
        <v>45919</v>
      </c>
      <c r="AD4108">
        <v>1</v>
      </c>
      <c r="AE4108">
        <v>8352</v>
      </c>
      <c r="AF4108">
        <v>8352</v>
      </c>
      <c r="AG4108">
        <v>0</v>
      </c>
      <c r="AH4108">
        <v>344</v>
      </c>
    </row>
    <row r="4109" spans="2:34" x14ac:dyDescent="0.35">
      <c r="B4109" t="s">
        <v>747</v>
      </c>
      <c r="C4109">
        <v>45921</v>
      </c>
      <c r="F4109" t="s">
        <v>749</v>
      </c>
      <c r="H4109">
        <v>52.1</v>
      </c>
      <c r="O4109" t="s">
        <v>239</v>
      </c>
      <c r="P4109" t="s">
        <v>514</v>
      </c>
      <c r="Y4109">
        <v>4075</v>
      </c>
      <c r="Z4109" s="259" t="s">
        <v>630</v>
      </c>
      <c r="AA4109">
        <v>80</v>
      </c>
      <c r="AB4109">
        <v>4004</v>
      </c>
      <c r="AC4109">
        <v>45919</v>
      </c>
      <c r="AD4109">
        <v>2</v>
      </c>
      <c r="AE4109">
        <v>4168</v>
      </c>
      <c r="AF4109">
        <v>4168</v>
      </c>
      <c r="AG4109">
        <v>0</v>
      </c>
      <c r="AH4109">
        <v>164</v>
      </c>
    </row>
    <row r="4110" spans="2:34" x14ac:dyDescent="0.35">
      <c r="B4110" t="s">
        <v>747</v>
      </c>
      <c r="C4110">
        <v>45921</v>
      </c>
      <c r="F4110" t="s">
        <v>752</v>
      </c>
      <c r="H4110">
        <v>180.41</v>
      </c>
      <c r="O4110" t="s">
        <v>239</v>
      </c>
      <c r="P4110" t="s">
        <v>514</v>
      </c>
      <c r="Y4110">
        <v>4076</v>
      </c>
      <c r="Z4110" s="259" t="s">
        <v>630</v>
      </c>
      <c r="AA4110">
        <v>30</v>
      </c>
      <c r="AB4110">
        <v>5343</v>
      </c>
      <c r="AC4110">
        <v>45919</v>
      </c>
      <c r="AD4110">
        <v>2</v>
      </c>
      <c r="AE4110">
        <v>5412.3</v>
      </c>
      <c r="AF4110">
        <v>5412.3</v>
      </c>
      <c r="AG4110">
        <v>0</v>
      </c>
      <c r="AH4110">
        <v>69.300000000000182</v>
      </c>
    </row>
    <row r="4111" spans="2:34" x14ac:dyDescent="0.35">
      <c r="B4111" t="s">
        <v>747</v>
      </c>
      <c r="C4111">
        <v>45921</v>
      </c>
      <c r="F4111" t="s">
        <v>754</v>
      </c>
      <c r="H4111">
        <v>83.52</v>
      </c>
      <c r="O4111" t="s">
        <v>239</v>
      </c>
      <c r="P4111" t="s">
        <v>514</v>
      </c>
      <c r="Y4111">
        <v>4077</v>
      </c>
      <c r="Z4111" s="259" t="s">
        <v>630</v>
      </c>
      <c r="AA4111">
        <v>100</v>
      </c>
      <c r="AB4111">
        <v>8008</v>
      </c>
      <c r="AC4111">
        <v>45919</v>
      </c>
      <c r="AD4111">
        <v>2</v>
      </c>
      <c r="AE4111">
        <v>8352</v>
      </c>
      <c r="AF4111">
        <v>8352</v>
      </c>
      <c r="AG4111">
        <v>0</v>
      </c>
      <c r="AH4111">
        <v>344</v>
      </c>
    </row>
    <row r="4112" spans="2:34" x14ac:dyDescent="0.35">
      <c r="B4112" t="s">
        <v>747</v>
      </c>
      <c r="C4112">
        <v>45922</v>
      </c>
      <c r="F4112" t="s">
        <v>749</v>
      </c>
      <c r="H4112">
        <v>52.62</v>
      </c>
      <c r="O4112" t="s">
        <v>239</v>
      </c>
      <c r="P4112" t="s">
        <v>514</v>
      </c>
      <c r="Y4112">
        <v>4078</v>
      </c>
      <c r="Z4112" s="259" t="s">
        <v>630</v>
      </c>
      <c r="AA4112">
        <v>80</v>
      </c>
      <c r="AB4112">
        <v>4004</v>
      </c>
      <c r="AC4112">
        <v>45922</v>
      </c>
      <c r="AD4112">
        <v>0</v>
      </c>
      <c r="AE4112">
        <v>4209.5999999999995</v>
      </c>
      <c r="AF4112">
        <v>4209.5999999999995</v>
      </c>
      <c r="AG4112">
        <v>0</v>
      </c>
      <c r="AH4112">
        <v>205.59999999999945</v>
      </c>
    </row>
    <row r="4113" spans="2:34" x14ac:dyDescent="0.35">
      <c r="B4113" t="s">
        <v>747</v>
      </c>
      <c r="C4113">
        <v>45922</v>
      </c>
      <c r="F4113" t="s">
        <v>752</v>
      </c>
      <c r="H4113">
        <v>179.48</v>
      </c>
      <c r="O4113" t="s">
        <v>239</v>
      </c>
      <c r="P4113" t="s">
        <v>514</v>
      </c>
      <c r="Y4113">
        <v>4079</v>
      </c>
      <c r="Z4113" s="259" t="s">
        <v>630</v>
      </c>
      <c r="AA4113">
        <v>30</v>
      </c>
      <c r="AB4113">
        <v>5343</v>
      </c>
      <c r="AC4113">
        <v>45922</v>
      </c>
      <c r="AD4113">
        <v>0</v>
      </c>
      <c r="AE4113">
        <v>5384.4</v>
      </c>
      <c r="AF4113">
        <v>5384.4</v>
      </c>
      <c r="AG4113">
        <v>0</v>
      </c>
      <c r="AH4113">
        <v>41.399999999999636</v>
      </c>
    </row>
    <row r="4114" spans="2:34" x14ac:dyDescent="0.35">
      <c r="B4114" t="s">
        <v>747</v>
      </c>
      <c r="C4114">
        <v>45922</v>
      </c>
      <c r="F4114" t="s">
        <v>754</v>
      </c>
      <c r="H4114">
        <v>83.1</v>
      </c>
      <c r="O4114" t="s">
        <v>239</v>
      </c>
      <c r="P4114" t="s">
        <v>514</v>
      </c>
      <c r="Y4114">
        <v>4080</v>
      </c>
      <c r="Z4114" s="259" t="s">
        <v>630</v>
      </c>
      <c r="AA4114">
        <v>100</v>
      </c>
      <c r="AB4114">
        <v>8008</v>
      </c>
      <c r="AC4114">
        <v>45922</v>
      </c>
      <c r="AD4114">
        <v>0</v>
      </c>
      <c r="AE4114">
        <v>8310</v>
      </c>
      <c r="AF4114">
        <v>8310</v>
      </c>
      <c r="AG4114">
        <v>0</v>
      </c>
      <c r="AH4114">
        <v>302</v>
      </c>
    </row>
    <row r="4115" spans="2:34" x14ac:dyDescent="0.35">
      <c r="B4115" t="s">
        <v>747</v>
      </c>
      <c r="C4115">
        <v>45923</v>
      </c>
      <c r="F4115" t="s">
        <v>749</v>
      </c>
      <c r="H4115">
        <v>52.79</v>
      </c>
      <c r="O4115" t="s">
        <v>239</v>
      </c>
      <c r="P4115" t="s">
        <v>514</v>
      </c>
      <c r="Y4115">
        <v>4081</v>
      </c>
      <c r="Z4115" s="259" t="s">
        <v>630</v>
      </c>
      <c r="AA4115">
        <v>80</v>
      </c>
      <c r="AB4115">
        <v>4004</v>
      </c>
      <c r="AC4115">
        <v>45923</v>
      </c>
      <c r="AD4115">
        <v>0</v>
      </c>
      <c r="AE4115">
        <v>4223.2</v>
      </c>
      <c r="AF4115">
        <v>4223.2</v>
      </c>
      <c r="AG4115">
        <v>0</v>
      </c>
      <c r="AH4115">
        <v>219.19999999999982</v>
      </c>
    </row>
    <row r="4116" spans="2:34" x14ac:dyDescent="0.35">
      <c r="B4116" t="s">
        <v>747</v>
      </c>
      <c r="C4116">
        <v>45923</v>
      </c>
      <c r="F4116" t="s">
        <v>752</v>
      </c>
      <c r="H4116">
        <v>179.17</v>
      </c>
      <c r="O4116" t="s">
        <v>239</v>
      </c>
      <c r="P4116" t="s">
        <v>514</v>
      </c>
      <c r="Y4116">
        <v>4082</v>
      </c>
      <c r="Z4116" s="259" t="s">
        <v>630</v>
      </c>
      <c r="AA4116">
        <v>30</v>
      </c>
      <c r="AB4116">
        <v>5343</v>
      </c>
      <c r="AC4116">
        <v>45923</v>
      </c>
      <c r="AD4116">
        <v>0</v>
      </c>
      <c r="AE4116">
        <v>5375.0999999999995</v>
      </c>
      <c r="AF4116">
        <v>5375.0999999999995</v>
      </c>
      <c r="AG4116">
        <v>0</v>
      </c>
      <c r="AH4116">
        <v>32.099999999999454</v>
      </c>
    </row>
    <row r="4117" spans="2:34" x14ac:dyDescent="0.35">
      <c r="B4117" t="s">
        <v>747</v>
      </c>
      <c r="C4117">
        <v>45923</v>
      </c>
      <c r="F4117" t="s">
        <v>754</v>
      </c>
      <c r="H4117">
        <v>82.97</v>
      </c>
      <c r="O4117" t="s">
        <v>239</v>
      </c>
      <c r="P4117" t="s">
        <v>514</v>
      </c>
      <c r="Y4117">
        <v>4083</v>
      </c>
      <c r="Z4117" s="259" t="s">
        <v>630</v>
      </c>
      <c r="AA4117">
        <v>100</v>
      </c>
      <c r="AB4117">
        <v>8008</v>
      </c>
      <c r="AC4117">
        <v>45923</v>
      </c>
      <c r="AD4117">
        <v>0</v>
      </c>
      <c r="AE4117">
        <v>8297</v>
      </c>
      <c r="AF4117">
        <v>8297</v>
      </c>
      <c r="AG4117">
        <v>0</v>
      </c>
      <c r="AH4117">
        <v>289</v>
      </c>
    </row>
    <row r="4118" spans="2:34" x14ac:dyDescent="0.35">
      <c r="B4118" t="s">
        <v>747</v>
      </c>
      <c r="C4118">
        <v>45924</v>
      </c>
      <c r="F4118" t="s">
        <v>749</v>
      </c>
      <c r="H4118">
        <v>52.97</v>
      </c>
      <c r="O4118" t="s">
        <v>239</v>
      </c>
      <c r="P4118" t="s">
        <v>514</v>
      </c>
      <c r="Y4118">
        <v>4084</v>
      </c>
      <c r="Z4118" s="259" t="s">
        <v>630</v>
      </c>
      <c r="AA4118">
        <v>80</v>
      </c>
      <c r="AB4118">
        <v>4004</v>
      </c>
      <c r="AC4118">
        <v>45924</v>
      </c>
      <c r="AD4118">
        <v>0</v>
      </c>
      <c r="AE4118">
        <v>4237.6000000000004</v>
      </c>
      <c r="AF4118">
        <v>4237.6000000000004</v>
      </c>
      <c r="AG4118">
        <v>0</v>
      </c>
      <c r="AH4118">
        <v>233.60000000000036</v>
      </c>
    </row>
    <row r="4119" spans="2:34" x14ac:dyDescent="0.35">
      <c r="B4119" t="s">
        <v>747</v>
      </c>
      <c r="C4119">
        <v>45924</v>
      </c>
      <c r="F4119" t="s">
        <v>752</v>
      </c>
      <c r="H4119">
        <v>178.86</v>
      </c>
      <c r="O4119" t="s">
        <v>239</v>
      </c>
      <c r="P4119" t="s">
        <v>514</v>
      </c>
      <c r="Y4119">
        <v>4085</v>
      </c>
      <c r="Z4119" s="259" t="s">
        <v>630</v>
      </c>
      <c r="AA4119">
        <v>30</v>
      </c>
      <c r="AB4119">
        <v>5343</v>
      </c>
      <c r="AC4119">
        <v>45924</v>
      </c>
      <c r="AD4119">
        <v>0</v>
      </c>
      <c r="AE4119">
        <v>5365.8</v>
      </c>
      <c r="AF4119">
        <v>5365.8</v>
      </c>
      <c r="AG4119">
        <v>0</v>
      </c>
      <c r="AH4119">
        <v>22.800000000000182</v>
      </c>
    </row>
    <row r="4120" spans="2:34" x14ac:dyDescent="0.35">
      <c r="B4120" t="s">
        <v>747</v>
      </c>
      <c r="C4120">
        <v>45924</v>
      </c>
      <c r="F4120" t="s">
        <v>754</v>
      </c>
      <c r="H4120">
        <v>82.83</v>
      </c>
      <c r="O4120" t="s">
        <v>239</v>
      </c>
      <c r="P4120" t="s">
        <v>514</v>
      </c>
      <c r="Y4120">
        <v>4086</v>
      </c>
      <c r="Z4120" s="259" t="s">
        <v>630</v>
      </c>
      <c r="AA4120">
        <v>100</v>
      </c>
      <c r="AB4120">
        <v>8008</v>
      </c>
      <c r="AC4120">
        <v>45924</v>
      </c>
      <c r="AD4120">
        <v>0</v>
      </c>
      <c r="AE4120">
        <v>8283</v>
      </c>
      <c r="AF4120">
        <v>8283</v>
      </c>
      <c r="AG4120">
        <v>0</v>
      </c>
      <c r="AH4120">
        <v>275</v>
      </c>
    </row>
    <row r="4121" spans="2:34" x14ac:dyDescent="0.35">
      <c r="B4121" t="s">
        <v>747</v>
      </c>
      <c r="C4121">
        <v>45925</v>
      </c>
      <c r="F4121" t="s">
        <v>749</v>
      </c>
      <c r="H4121">
        <v>53.14</v>
      </c>
      <c r="O4121" t="s">
        <v>239</v>
      </c>
      <c r="P4121" t="s">
        <v>514</v>
      </c>
      <c r="Y4121">
        <v>4087</v>
      </c>
      <c r="Z4121" s="259" t="s">
        <v>630</v>
      </c>
      <c r="AA4121">
        <v>80</v>
      </c>
      <c r="AB4121">
        <v>4004</v>
      </c>
      <c r="AC4121">
        <v>45925</v>
      </c>
      <c r="AD4121">
        <v>0</v>
      </c>
      <c r="AE4121">
        <v>4251.2</v>
      </c>
      <c r="AF4121">
        <v>4251.2</v>
      </c>
      <c r="AG4121">
        <v>0</v>
      </c>
      <c r="AH4121">
        <v>247.19999999999982</v>
      </c>
    </row>
    <row r="4122" spans="2:34" x14ac:dyDescent="0.35">
      <c r="B4122" t="s">
        <v>747</v>
      </c>
      <c r="C4122">
        <v>45925</v>
      </c>
      <c r="F4122" t="s">
        <v>752</v>
      </c>
      <c r="H4122">
        <v>178.55</v>
      </c>
      <c r="O4122" t="s">
        <v>239</v>
      </c>
      <c r="P4122" t="s">
        <v>514</v>
      </c>
      <c r="Y4122">
        <v>4088</v>
      </c>
      <c r="Z4122" s="259" t="s">
        <v>630</v>
      </c>
      <c r="AA4122">
        <v>30</v>
      </c>
      <c r="AB4122">
        <v>5343</v>
      </c>
      <c r="AC4122">
        <v>45925</v>
      </c>
      <c r="AD4122">
        <v>0</v>
      </c>
      <c r="AE4122">
        <v>5356.5</v>
      </c>
      <c r="AF4122">
        <v>5356.5</v>
      </c>
      <c r="AG4122">
        <v>0</v>
      </c>
      <c r="AH4122">
        <v>13.5</v>
      </c>
    </row>
    <row r="4123" spans="2:34" x14ac:dyDescent="0.35">
      <c r="B4123" t="s">
        <v>747</v>
      </c>
      <c r="C4123">
        <v>45925</v>
      </c>
      <c r="F4123" t="s">
        <v>754</v>
      </c>
      <c r="H4123">
        <v>82.69</v>
      </c>
      <c r="O4123" t="s">
        <v>239</v>
      </c>
      <c r="P4123" t="s">
        <v>514</v>
      </c>
      <c r="Y4123">
        <v>4089</v>
      </c>
      <c r="Z4123" s="259" t="s">
        <v>630</v>
      </c>
      <c r="AA4123">
        <v>100</v>
      </c>
      <c r="AB4123">
        <v>8008</v>
      </c>
      <c r="AC4123">
        <v>45925</v>
      </c>
      <c r="AD4123">
        <v>0</v>
      </c>
      <c r="AE4123">
        <v>8269</v>
      </c>
      <c r="AF4123">
        <v>8269</v>
      </c>
      <c r="AG4123">
        <v>0</v>
      </c>
      <c r="AH4123">
        <v>261</v>
      </c>
    </row>
    <row r="4124" spans="2:34" x14ac:dyDescent="0.35">
      <c r="B4124" t="s">
        <v>747</v>
      </c>
      <c r="C4124">
        <v>45926</v>
      </c>
      <c r="F4124" t="s">
        <v>749</v>
      </c>
      <c r="H4124">
        <v>53.31</v>
      </c>
      <c r="O4124" t="s">
        <v>239</v>
      </c>
      <c r="P4124" t="s">
        <v>514</v>
      </c>
      <c r="Y4124">
        <v>4090</v>
      </c>
      <c r="Z4124" s="259" t="s">
        <v>630</v>
      </c>
      <c r="AA4124">
        <v>80</v>
      </c>
      <c r="AB4124">
        <v>4004</v>
      </c>
      <c r="AC4124">
        <v>45926</v>
      </c>
      <c r="AD4124">
        <v>0</v>
      </c>
      <c r="AE4124">
        <v>4264.8</v>
      </c>
      <c r="AF4124">
        <v>4264.8</v>
      </c>
      <c r="AG4124">
        <v>0</v>
      </c>
      <c r="AH4124">
        <v>260.80000000000018</v>
      </c>
    </row>
    <row r="4125" spans="2:34" x14ac:dyDescent="0.35">
      <c r="B4125" t="s">
        <v>747</v>
      </c>
      <c r="C4125">
        <v>45926</v>
      </c>
      <c r="F4125" t="s">
        <v>752</v>
      </c>
      <c r="H4125">
        <v>178.24</v>
      </c>
      <c r="O4125" t="s">
        <v>239</v>
      </c>
      <c r="P4125" t="s">
        <v>514</v>
      </c>
      <c r="Y4125">
        <v>4091</v>
      </c>
      <c r="Z4125" s="259" t="s">
        <v>630</v>
      </c>
      <c r="AA4125">
        <v>30</v>
      </c>
      <c r="AB4125">
        <v>5343</v>
      </c>
      <c r="AC4125">
        <v>45926</v>
      </c>
      <c r="AD4125">
        <v>0</v>
      </c>
      <c r="AE4125">
        <v>5347.2000000000007</v>
      </c>
      <c r="AF4125">
        <v>5347.2000000000007</v>
      </c>
      <c r="AG4125">
        <v>0</v>
      </c>
      <c r="AH4125">
        <v>4.2000000000007276</v>
      </c>
    </row>
    <row r="4126" spans="2:34" x14ac:dyDescent="0.35">
      <c r="B4126" t="s">
        <v>747</v>
      </c>
      <c r="C4126">
        <v>45926</v>
      </c>
      <c r="F4126" t="s">
        <v>754</v>
      </c>
      <c r="H4126">
        <v>82.55</v>
      </c>
      <c r="O4126" t="s">
        <v>239</v>
      </c>
      <c r="P4126" t="s">
        <v>514</v>
      </c>
      <c r="Y4126">
        <v>4092</v>
      </c>
      <c r="Z4126" s="259" t="s">
        <v>630</v>
      </c>
      <c r="AA4126">
        <v>100</v>
      </c>
      <c r="AB4126">
        <v>8008</v>
      </c>
      <c r="AC4126">
        <v>45926</v>
      </c>
      <c r="AD4126">
        <v>0</v>
      </c>
      <c r="AE4126">
        <v>8255</v>
      </c>
      <c r="AF4126">
        <v>8255</v>
      </c>
      <c r="AG4126">
        <v>0</v>
      </c>
      <c r="AH4126">
        <v>247</v>
      </c>
    </row>
    <row r="4127" spans="2:34" x14ac:dyDescent="0.35">
      <c r="B4127" t="s">
        <v>747</v>
      </c>
      <c r="C4127">
        <v>45927</v>
      </c>
      <c r="F4127" t="s">
        <v>749</v>
      </c>
      <c r="H4127">
        <v>53.31</v>
      </c>
      <c r="O4127" t="s">
        <v>239</v>
      </c>
      <c r="P4127" t="s">
        <v>514</v>
      </c>
      <c r="Y4127">
        <v>4093</v>
      </c>
      <c r="Z4127" s="259" t="s">
        <v>630</v>
      </c>
      <c r="AA4127">
        <v>80</v>
      </c>
      <c r="AB4127">
        <v>4004</v>
      </c>
      <c r="AC4127">
        <v>45926</v>
      </c>
      <c r="AD4127">
        <v>1</v>
      </c>
      <c r="AE4127">
        <v>4264.8</v>
      </c>
      <c r="AF4127">
        <v>4264.8</v>
      </c>
      <c r="AG4127">
        <v>0</v>
      </c>
      <c r="AH4127">
        <v>260.80000000000018</v>
      </c>
    </row>
    <row r="4128" spans="2:34" x14ac:dyDescent="0.35">
      <c r="B4128" t="s">
        <v>747</v>
      </c>
      <c r="C4128">
        <v>45927</v>
      </c>
      <c r="F4128" t="s">
        <v>752</v>
      </c>
      <c r="H4128">
        <v>178.24</v>
      </c>
      <c r="O4128" t="s">
        <v>239</v>
      </c>
      <c r="P4128" t="s">
        <v>514</v>
      </c>
      <c r="Y4128">
        <v>4094</v>
      </c>
      <c r="Z4128" s="259" t="s">
        <v>630</v>
      </c>
      <c r="AA4128">
        <v>30</v>
      </c>
      <c r="AB4128">
        <v>5343</v>
      </c>
      <c r="AC4128">
        <v>45926</v>
      </c>
      <c r="AD4128">
        <v>1</v>
      </c>
      <c r="AE4128">
        <v>5347.2000000000007</v>
      </c>
      <c r="AF4128">
        <v>5347.2000000000007</v>
      </c>
      <c r="AG4128">
        <v>0</v>
      </c>
      <c r="AH4128">
        <v>4.2000000000007276</v>
      </c>
    </row>
    <row r="4129" spans="2:34" x14ac:dyDescent="0.35">
      <c r="B4129" t="s">
        <v>747</v>
      </c>
      <c r="C4129">
        <v>45927</v>
      </c>
      <c r="F4129" t="s">
        <v>754</v>
      </c>
      <c r="H4129">
        <v>82.55</v>
      </c>
      <c r="O4129" t="s">
        <v>239</v>
      </c>
      <c r="P4129" t="s">
        <v>514</v>
      </c>
      <c r="Y4129">
        <v>4095</v>
      </c>
      <c r="Z4129" s="259" t="s">
        <v>630</v>
      </c>
      <c r="AA4129">
        <v>100</v>
      </c>
      <c r="AB4129">
        <v>8008</v>
      </c>
      <c r="AC4129">
        <v>45926</v>
      </c>
      <c r="AD4129">
        <v>1</v>
      </c>
      <c r="AE4129">
        <v>8255</v>
      </c>
      <c r="AF4129">
        <v>8255</v>
      </c>
      <c r="AG4129">
        <v>0</v>
      </c>
      <c r="AH4129">
        <v>247</v>
      </c>
    </row>
    <row r="4130" spans="2:34" x14ac:dyDescent="0.35">
      <c r="B4130" t="s">
        <v>747</v>
      </c>
      <c r="C4130">
        <v>45928</v>
      </c>
      <c r="F4130" t="s">
        <v>749</v>
      </c>
      <c r="H4130">
        <v>53.31</v>
      </c>
      <c r="O4130" t="s">
        <v>239</v>
      </c>
      <c r="P4130" t="s">
        <v>514</v>
      </c>
      <c r="Y4130">
        <v>4096</v>
      </c>
      <c r="Z4130" s="259" t="s">
        <v>630</v>
      </c>
      <c r="AA4130">
        <v>80</v>
      </c>
      <c r="AB4130">
        <v>4004</v>
      </c>
      <c r="AC4130">
        <v>45926</v>
      </c>
      <c r="AD4130">
        <v>2</v>
      </c>
      <c r="AE4130">
        <v>4264.8</v>
      </c>
      <c r="AF4130">
        <v>4264.8</v>
      </c>
      <c r="AG4130">
        <v>0</v>
      </c>
      <c r="AH4130">
        <v>260.80000000000018</v>
      </c>
    </row>
    <row r="4131" spans="2:34" x14ac:dyDescent="0.35">
      <c r="B4131" t="s">
        <v>747</v>
      </c>
      <c r="C4131">
        <v>45928</v>
      </c>
      <c r="F4131" t="s">
        <v>752</v>
      </c>
      <c r="H4131">
        <v>178.24</v>
      </c>
      <c r="O4131" t="s">
        <v>239</v>
      </c>
      <c r="P4131" t="s">
        <v>514</v>
      </c>
      <c r="Y4131">
        <v>4097</v>
      </c>
      <c r="Z4131" s="259" t="s">
        <v>630</v>
      </c>
      <c r="AA4131">
        <v>30</v>
      </c>
      <c r="AB4131">
        <v>5343</v>
      </c>
      <c r="AC4131">
        <v>45926</v>
      </c>
      <c r="AD4131">
        <v>2</v>
      </c>
      <c r="AE4131">
        <v>5347.2000000000007</v>
      </c>
      <c r="AF4131">
        <v>5347.2000000000007</v>
      </c>
      <c r="AG4131">
        <v>0</v>
      </c>
      <c r="AH4131">
        <v>4.2000000000007276</v>
      </c>
    </row>
    <row r="4132" spans="2:34" x14ac:dyDescent="0.35">
      <c r="B4132" t="s">
        <v>747</v>
      </c>
      <c r="C4132">
        <v>45928</v>
      </c>
      <c r="F4132" t="s">
        <v>754</v>
      </c>
      <c r="H4132">
        <v>82.55</v>
      </c>
      <c r="O4132" t="s">
        <v>239</v>
      </c>
      <c r="P4132" t="s">
        <v>514</v>
      </c>
      <c r="Y4132">
        <v>4098</v>
      </c>
      <c r="Z4132" s="259" t="s">
        <v>630</v>
      </c>
      <c r="AA4132">
        <v>100</v>
      </c>
      <c r="AB4132">
        <v>8008</v>
      </c>
      <c r="AC4132">
        <v>45926</v>
      </c>
      <c r="AD4132">
        <v>2</v>
      </c>
      <c r="AE4132">
        <v>8255</v>
      </c>
      <c r="AF4132">
        <v>8255</v>
      </c>
      <c r="AG4132">
        <v>0</v>
      </c>
      <c r="AH4132">
        <v>247</v>
      </c>
    </row>
    <row r="4133" spans="2:34" x14ac:dyDescent="0.35">
      <c r="B4133" t="s">
        <v>747</v>
      </c>
      <c r="C4133">
        <v>45929</v>
      </c>
      <c r="F4133" t="s">
        <v>749</v>
      </c>
      <c r="H4133">
        <v>53.83</v>
      </c>
      <c r="O4133" t="s">
        <v>239</v>
      </c>
      <c r="P4133" t="s">
        <v>514</v>
      </c>
      <c r="Y4133">
        <v>4099</v>
      </c>
      <c r="Z4133" s="259" t="s">
        <v>630</v>
      </c>
      <c r="AA4133">
        <v>80</v>
      </c>
      <c r="AB4133">
        <v>4004</v>
      </c>
      <c r="AC4133">
        <v>45929</v>
      </c>
      <c r="AD4133">
        <v>0</v>
      </c>
      <c r="AE4133">
        <v>4306.3999999999996</v>
      </c>
      <c r="AF4133">
        <v>4306.3999999999996</v>
      </c>
      <c r="AG4133">
        <v>0</v>
      </c>
      <c r="AH4133">
        <v>302.39999999999964</v>
      </c>
    </row>
    <row r="4134" spans="2:34" x14ac:dyDescent="0.35">
      <c r="B4134" t="s">
        <v>747</v>
      </c>
      <c r="C4134">
        <v>45929</v>
      </c>
      <c r="F4134" t="s">
        <v>752</v>
      </c>
      <c r="H4134">
        <v>177.31</v>
      </c>
      <c r="O4134" t="s">
        <v>239</v>
      </c>
      <c r="P4134" t="s">
        <v>514</v>
      </c>
      <c r="Y4134">
        <v>4100</v>
      </c>
      <c r="Z4134" s="259" t="s">
        <v>630</v>
      </c>
      <c r="AA4134">
        <v>30</v>
      </c>
      <c r="AB4134">
        <v>5343</v>
      </c>
      <c r="AC4134">
        <v>45929</v>
      </c>
      <c r="AD4134">
        <v>0</v>
      </c>
      <c r="AE4134">
        <v>5319.3</v>
      </c>
      <c r="AF4134">
        <v>5319.3</v>
      </c>
      <c r="AG4134">
        <v>0</v>
      </c>
      <c r="AH4134">
        <v>-23.699999999999818</v>
      </c>
    </row>
    <row r="4135" spans="2:34" x14ac:dyDescent="0.35">
      <c r="B4135" t="s">
        <v>747</v>
      </c>
      <c r="C4135">
        <v>45929</v>
      </c>
      <c r="F4135" t="s">
        <v>754</v>
      </c>
      <c r="H4135">
        <v>82.14</v>
      </c>
      <c r="O4135" t="s">
        <v>239</v>
      </c>
      <c r="P4135" t="s">
        <v>514</v>
      </c>
      <c r="Y4135">
        <v>4101</v>
      </c>
      <c r="Z4135" s="259" t="s">
        <v>630</v>
      </c>
      <c r="AA4135">
        <v>100</v>
      </c>
      <c r="AB4135">
        <v>8008</v>
      </c>
      <c r="AC4135">
        <v>45929</v>
      </c>
      <c r="AD4135">
        <v>0</v>
      </c>
      <c r="AE4135">
        <v>8214</v>
      </c>
      <c r="AF4135">
        <v>8214</v>
      </c>
      <c r="AG4135">
        <v>0</v>
      </c>
      <c r="AH4135">
        <v>206</v>
      </c>
    </row>
    <row r="4136" spans="2:34" x14ac:dyDescent="0.35">
      <c r="B4136" t="s">
        <v>747</v>
      </c>
      <c r="C4136">
        <v>45930</v>
      </c>
      <c r="F4136" t="s">
        <v>749</v>
      </c>
      <c r="H4136">
        <v>54</v>
      </c>
      <c r="O4136" t="s">
        <v>239</v>
      </c>
      <c r="P4136" t="s">
        <v>514</v>
      </c>
      <c r="Y4136">
        <v>4102</v>
      </c>
      <c r="Z4136" s="259" t="s">
        <v>630</v>
      </c>
      <c r="AA4136">
        <v>80</v>
      </c>
      <c r="AB4136">
        <v>4004</v>
      </c>
      <c r="AC4136">
        <v>45930</v>
      </c>
      <c r="AD4136">
        <v>0</v>
      </c>
      <c r="AE4136">
        <v>4320</v>
      </c>
      <c r="AF4136">
        <v>4320</v>
      </c>
      <c r="AG4136">
        <v>0</v>
      </c>
      <c r="AH4136">
        <v>316</v>
      </c>
    </row>
    <row r="4137" spans="2:34" x14ac:dyDescent="0.35">
      <c r="B4137" t="s">
        <v>747</v>
      </c>
      <c r="C4137">
        <v>45930</v>
      </c>
      <c r="F4137" t="s">
        <v>752</v>
      </c>
      <c r="H4137">
        <v>177</v>
      </c>
      <c r="O4137" t="s">
        <v>239</v>
      </c>
      <c r="P4137" t="s">
        <v>514</v>
      </c>
      <c r="Y4137">
        <v>4103</v>
      </c>
      <c r="Z4137" s="259" t="s">
        <v>630</v>
      </c>
      <c r="AA4137">
        <v>30</v>
      </c>
      <c r="AB4137">
        <v>5343</v>
      </c>
      <c r="AC4137">
        <v>45930</v>
      </c>
      <c r="AD4137">
        <v>0</v>
      </c>
      <c r="AE4137">
        <v>5310</v>
      </c>
      <c r="AF4137">
        <v>5310</v>
      </c>
      <c r="AG4137">
        <v>0</v>
      </c>
      <c r="AH4137">
        <v>-33</v>
      </c>
    </row>
    <row r="4138" spans="2:34" x14ac:dyDescent="0.35">
      <c r="B4138" t="s">
        <v>747</v>
      </c>
      <c r="C4138">
        <v>45930</v>
      </c>
      <c r="F4138" t="s">
        <v>754</v>
      </c>
      <c r="H4138">
        <v>82</v>
      </c>
      <c r="O4138" t="s">
        <v>239</v>
      </c>
      <c r="P4138" t="s">
        <v>514</v>
      </c>
      <c r="Y4138">
        <v>4104</v>
      </c>
      <c r="Z4138" s="259" t="s">
        <v>630</v>
      </c>
      <c r="AA4138">
        <v>100</v>
      </c>
      <c r="AB4138">
        <v>8008</v>
      </c>
      <c r="AC4138">
        <v>45930</v>
      </c>
      <c r="AD4138">
        <v>0</v>
      </c>
      <c r="AE4138">
        <v>8200</v>
      </c>
      <c r="AF4138">
        <v>8200</v>
      </c>
      <c r="AG4138">
        <v>0</v>
      </c>
      <c r="AH4138">
        <v>192</v>
      </c>
    </row>
    <row r="4139" spans="2:34" x14ac:dyDescent="0.35">
      <c r="B4139" t="s">
        <v>747</v>
      </c>
      <c r="C4139">
        <v>45931</v>
      </c>
      <c r="F4139" t="s">
        <v>749</v>
      </c>
      <c r="H4139">
        <v>54</v>
      </c>
      <c r="O4139" t="s">
        <v>239</v>
      </c>
      <c r="P4139" t="s">
        <v>514</v>
      </c>
      <c r="Y4139">
        <v>4105</v>
      </c>
      <c r="Z4139" s="259" t="s">
        <v>630</v>
      </c>
      <c r="AA4139">
        <v>80</v>
      </c>
      <c r="AB4139">
        <v>4004</v>
      </c>
      <c r="AC4139">
        <v>45931</v>
      </c>
      <c r="AD4139">
        <v>0</v>
      </c>
      <c r="AE4139">
        <v>4320</v>
      </c>
      <c r="AF4139">
        <v>4320</v>
      </c>
      <c r="AG4139">
        <v>0</v>
      </c>
      <c r="AH4139">
        <v>316</v>
      </c>
    </row>
    <row r="4140" spans="2:34" x14ac:dyDescent="0.35">
      <c r="B4140" t="s">
        <v>747</v>
      </c>
      <c r="C4140">
        <v>45931</v>
      </c>
      <c r="F4140" t="s">
        <v>752</v>
      </c>
      <c r="H4140">
        <v>177</v>
      </c>
      <c r="O4140" t="s">
        <v>239</v>
      </c>
      <c r="P4140" t="s">
        <v>514</v>
      </c>
      <c r="Y4140">
        <v>4106</v>
      </c>
      <c r="Z4140" s="259" t="s">
        <v>630</v>
      </c>
      <c r="AA4140">
        <v>30</v>
      </c>
      <c r="AB4140">
        <v>5343</v>
      </c>
      <c r="AC4140">
        <v>45931</v>
      </c>
      <c r="AD4140">
        <v>0</v>
      </c>
      <c r="AE4140">
        <v>5310</v>
      </c>
      <c r="AF4140">
        <v>5310</v>
      </c>
      <c r="AG4140">
        <v>0</v>
      </c>
      <c r="AH4140">
        <v>-33</v>
      </c>
    </row>
    <row r="4141" spans="2:34" x14ac:dyDescent="0.35">
      <c r="B4141" t="s">
        <v>747</v>
      </c>
      <c r="C4141">
        <v>45931</v>
      </c>
      <c r="F4141" t="s">
        <v>754</v>
      </c>
      <c r="H4141">
        <v>82</v>
      </c>
      <c r="O4141" t="s">
        <v>239</v>
      </c>
      <c r="P4141" t="s">
        <v>514</v>
      </c>
      <c r="Y4141">
        <v>4107</v>
      </c>
      <c r="Z4141" s="259" t="s">
        <v>630</v>
      </c>
      <c r="AA4141">
        <v>100</v>
      </c>
      <c r="AB4141">
        <v>8008</v>
      </c>
      <c r="AC4141">
        <v>45931</v>
      </c>
      <c r="AD4141">
        <v>0</v>
      </c>
      <c r="AE4141">
        <v>8200</v>
      </c>
      <c r="AF4141">
        <v>8200</v>
      </c>
      <c r="AG4141">
        <v>0</v>
      </c>
      <c r="AH4141">
        <v>192</v>
      </c>
    </row>
    <row r="4142" spans="2:34" x14ac:dyDescent="0.35">
      <c r="B4142" t="s">
        <v>747</v>
      </c>
      <c r="C4142">
        <v>45932</v>
      </c>
      <c r="F4142" t="s">
        <v>749</v>
      </c>
      <c r="H4142">
        <v>53.9</v>
      </c>
      <c r="O4142" t="s">
        <v>239</v>
      </c>
      <c r="P4142" t="s">
        <v>514</v>
      </c>
      <c r="Y4142">
        <v>4108</v>
      </c>
      <c r="Z4142" s="259" t="s">
        <v>630</v>
      </c>
      <c r="AA4142">
        <v>80</v>
      </c>
      <c r="AB4142">
        <v>4004</v>
      </c>
      <c r="AC4142">
        <v>45932</v>
      </c>
      <c r="AD4142">
        <v>0</v>
      </c>
      <c r="AE4142">
        <v>4312</v>
      </c>
      <c r="AF4142">
        <v>4312</v>
      </c>
      <c r="AG4142">
        <v>0</v>
      </c>
      <c r="AH4142">
        <v>308</v>
      </c>
    </row>
    <row r="4143" spans="2:34" x14ac:dyDescent="0.35">
      <c r="B4143" t="s">
        <v>747</v>
      </c>
      <c r="C4143">
        <v>45932</v>
      </c>
      <c r="F4143" t="s">
        <v>752</v>
      </c>
      <c r="H4143">
        <v>177.13</v>
      </c>
      <c r="O4143" t="s">
        <v>239</v>
      </c>
      <c r="P4143" t="s">
        <v>514</v>
      </c>
      <c r="Y4143">
        <v>4109</v>
      </c>
      <c r="Z4143" s="259" t="s">
        <v>630</v>
      </c>
      <c r="AA4143">
        <v>30</v>
      </c>
      <c r="AB4143">
        <v>5343</v>
      </c>
      <c r="AC4143">
        <v>45932</v>
      </c>
      <c r="AD4143">
        <v>0</v>
      </c>
      <c r="AE4143">
        <v>5313.9</v>
      </c>
      <c r="AF4143">
        <v>5313.9</v>
      </c>
      <c r="AG4143">
        <v>0</v>
      </c>
      <c r="AH4143">
        <v>-29.100000000000364</v>
      </c>
    </row>
    <row r="4144" spans="2:34" x14ac:dyDescent="0.35">
      <c r="B4144" t="s">
        <v>747</v>
      </c>
      <c r="C4144">
        <v>45932</v>
      </c>
      <c r="F4144" t="s">
        <v>754</v>
      </c>
      <c r="H4144">
        <v>81.83</v>
      </c>
      <c r="O4144" t="s">
        <v>239</v>
      </c>
      <c r="P4144" t="s">
        <v>514</v>
      </c>
      <c r="Y4144">
        <v>4110</v>
      </c>
      <c r="Z4144" s="259" t="s">
        <v>630</v>
      </c>
      <c r="AA4144">
        <v>100</v>
      </c>
      <c r="AB4144">
        <v>8008</v>
      </c>
      <c r="AC4144">
        <v>45932</v>
      </c>
      <c r="AD4144">
        <v>0</v>
      </c>
      <c r="AE4144">
        <v>8183</v>
      </c>
      <c r="AF4144">
        <v>8183</v>
      </c>
      <c r="AG4144">
        <v>0</v>
      </c>
      <c r="AH4144">
        <v>175</v>
      </c>
    </row>
    <row r="4145" spans="2:34" x14ac:dyDescent="0.35">
      <c r="B4145" t="s">
        <v>747</v>
      </c>
      <c r="C4145">
        <v>45933</v>
      </c>
      <c r="F4145" t="s">
        <v>749</v>
      </c>
      <c r="H4145">
        <v>53.8</v>
      </c>
      <c r="O4145" t="s">
        <v>239</v>
      </c>
      <c r="P4145" t="s">
        <v>514</v>
      </c>
      <c r="Y4145">
        <v>4111</v>
      </c>
      <c r="Z4145" s="259" t="s">
        <v>630</v>
      </c>
      <c r="AA4145">
        <v>80</v>
      </c>
      <c r="AB4145">
        <v>4004</v>
      </c>
      <c r="AC4145">
        <v>45933</v>
      </c>
      <c r="AD4145">
        <v>0</v>
      </c>
      <c r="AE4145">
        <v>4304</v>
      </c>
      <c r="AF4145">
        <v>4304</v>
      </c>
      <c r="AG4145">
        <v>0</v>
      </c>
      <c r="AH4145">
        <v>300</v>
      </c>
    </row>
    <row r="4146" spans="2:34" x14ac:dyDescent="0.35">
      <c r="B4146" t="s">
        <v>747</v>
      </c>
      <c r="C4146">
        <v>45933</v>
      </c>
      <c r="F4146" t="s">
        <v>752</v>
      </c>
      <c r="H4146">
        <v>177.27</v>
      </c>
      <c r="O4146" t="s">
        <v>239</v>
      </c>
      <c r="P4146" t="s">
        <v>514</v>
      </c>
      <c r="Y4146">
        <v>4112</v>
      </c>
      <c r="Z4146" s="259" t="s">
        <v>630</v>
      </c>
      <c r="AA4146">
        <v>30</v>
      </c>
      <c r="AB4146">
        <v>5343</v>
      </c>
      <c r="AC4146">
        <v>45933</v>
      </c>
      <c r="AD4146">
        <v>0</v>
      </c>
      <c r="AE4146">
        <v>5318.1</v>
      </c>
      <c r="AF4146">
        <v>5318.1</v>
      </c>
      <c r="AG4146">
        <v>0</v>
      </c>
      <c r="AH4146">
        <v>-24.899999999999636</v>
      </c>
    </row>
    <row r="4147" spans="2:34" x14ac:dyDescent="0.35">
      <c r="B4147" t="s">
        <v>747</v>
      </c>
      <c r="C4147">
        <v>45933</v>
      </c>
      <c r="F4147" t="s">
        <v>754</v>
      </c>
      <c r="H4147">
        <v>81.67</v>
      </c>
      <c r="O4147" t="s">
        <v>239</v>
      </c>
      <c r="P4147" t="s">
        <v>514</v>
      </c>
      <c r="Y4147">
        <v>4113</v>
      </c>
      <c r="Z4147" s="259" t="s">
        <v>630</v>
      </c>
      <c r="AA4147">
        <v>100</v>
      </c>
      <c r="AB4147">
        <v>8008</v>
      </c>
      <c r="AC4147">
        <v>45933</v>
      </c>
      <c r="AD4147">
        <v>0</v>
      </c>
      <c r="AE4147">
        <v>8167</v>
      </c>
      <c r="AF4147">
        <v>8167</v>
      </c>
      <c r="AG4147">
        <v>0</v>
      </c>
      <c r="AH4147">
        <v>159</v>
      </c>
    </row>
    <row r="4148" spans="2:34" x14ac:dyDescent="0.35">
      <c r="B4148" t="s">
        <v>747</v>
      </c>
      <c r="C4148">
        <v>45934</v>
      </c>
      <c r="F4148" t="s">
        <v>749</v>
      </c>
      <c r="H4148">
        <v>53.8</v>
      </c>
      <c r="O4148" t="s">
        <v>239</v>
      </c>
      <c r="P4148" t="s">
        <v>514</v>
      </c>
      <c r="Y4148">
        <v>4114</v>
      </c>
      <c r="Z4148" s="259" t="s">
        <v>630</v>
      </c>
      <c r="AA4148">
        <v>80</v>
      </c>
      <c r="AB4148">
        <v>4004</v>
      </c>
      <c r="AC4148">
        <v>45933</v>
      </c>
      <c r="AD4148">
        <v>1</v>
      </c>
      <c r="AE4148">
        <v>4304</v>
      </c>
      <c r="AF4148">
        <v>4304</v>
      </c>
      <c r="AG4148">
        <v>0</v>
      </c>
      <c r="AH4148">
        <v>300</v>
      </c>
    </row>
    <row r="4149" spans="2:34" x14ac:dyDescent="0.35">
      <c r="B4149" t="s">
        <v>747</v>
      </c>
      <c r="C4149">
        <v>45934</v>
      </c>
      <c r="F4149" t="s">
        <v>752</v>
      </c>
      <c r="H4149">
        <v>177.27</v>
      </c>
      <c r="O4149" t="s">
        <v>239</v>
      </c>
      <c r="P4149" t="s">
        <v>514</v>
      </c>
      <c r="Y4149">
        <v>4115</v>
      </c>
      <c r="Z4149" s="259" t="s">
        <v>630</v>
      </c>
      <c r="AA4149">
        <v>30</v>
      </c>
      <c r="AB4149">
        <v>5343</v>
      </c>
      <c r="AC4149">
        <v>45933</v>
      </c>
      <c r="AD4149">
        <v>1</v>
      </c>
      <c r="AE4149">
        <v>5318.1</v>
      </c>
      <c r="AF4149">
        <v>5318.1</v>
      </c>
      <c r="AG4149">
        <v>0</v>
      </c>
      <c r="AH4149">
        <v>-24.899999999999636</v>
      </c>
    </row>
    <row r="4150" spans="2:34" x14ac:dyDescent="0.35">
      <c r="B4150" t="s">
        <v>747</v>
      </c>
      <c r="C4150">
        <v>45934</v>
      </c>
      <c r="F4150" t="s">
        <v>754</v>
      </c>
      <c r="H4150">
        <v>81.67</v>
      </c>
      <c r="O4150" t="s">
        <v>239</v>
      </c>
      <c r="P4150" t="s">
        <v>514</v>
      </c>
      <c r="Y4150">
        <v>4116</v>
      </c>
      <c r="Z4150" s="259" t="s">
        <v>630</v>
      </c>
      <c r="AA4150">
        <v>100</v>
      </c>
      <c r="AB4150">
        <v>8008</v>
      </c>
      <c r="AC4150">
        <v>45933</v>
      </c>
      <c r="AD4150">
        <v>1</v>
      </c>
      <c r="AE4150">
        <v>8167</v>
      </c>
      <c r="AF4150">
        <v>8167</v>
      </c>
      <c r="AG4150">
        <v>0</v>
      </c>
      <c r="AH4150">
        <v>159</v>
      </c>
    </row>
    <row r="4151" spans="2:34" x14ac:dyDescent="0.35">
      <c r="B4151" t="s">
        <v>747</v>
      </c>
      <c r="C4151">
        <v>45935</v>
      </c>
      <c r="F4151" t="s">
        <v>749</v>
      </c>
      <c r="H4151">
        <v>53.8</v>
      </c>
      <c r="O4151" t="s">
        <v>239</v>
      </c>
      <c r="P4151" t="s">
        <v>514</v>
      </c>
      <c r="Y4151">
        <v>4117</v>
      </c>
      <c r="Z4151" s="259" t="s">
        <v>630</v>
      </c>
      <c r="AA4151">
        <v>80</v>
      </c>
      <c r="AB4151">
        <v>4004</v>
      </c>
      <c r="AC4151">
        <v>45933</v>
      </c>
      <c r="AD4151">
        <v>2</v>
      </c>
      <c r="AE4151">
        <v>4304</v>
      </c>
      <c r="AF4151">
        <v>4304</v>
      </c>
      <c r="AG4151">
        <v>0</v>
      </c>
      <c r="AH4151">
        <v>300</v>
      </c>
    </row>
    <row r="4152" spans="2:34" x14ac:dyDescent="0.35">
      <c r="B4152" t="s">
        <v>747</v>
      </c>
      <c r="C4152">
        <v>45935</v>
      </c>
      <c r="F4152" t="s">
        <v>752</v>
      </c>
      <c r="H4152">
        <v>177.27</v>
      </c>
      <c r="O4152" t="s">
        <v>239</v>
      </c>
      <c r="P4152" t="s">
        <v>514</v>
      </c>
      <c r="Y4152">
        <v>4118</v>
      </c>
      <c r="Z4152" s="259" t="s">
        <v>630</v>
      </c>
      <c r="AA4152">
        <v>30</v>
      </c>
      <c r="AB4152">
        <v>5343</v>
      </c>
      <c r="AC4152">
        <v>45933</v>
      </c>
      <c r="AD4152">
        <v>2</v>
      </c>
      <c r="AE4152">
        <v>5318.1</v>
      </c>
      <c r="AF4152">
        <v>5318.1</v>
      </c>
      <c r="AG4152">
        <v>0</v>
      </c>
      <c r="AH4152">
        <v>-24.899999999999636</v>
      </c>
    </row>
    <row r="4153" spans="2:34" x14ac:dyDescent="0.35">
      <c r="B4153" t="s">
        <v>747</v>
      </c>
      <c r="C4153">
        <v>45935</v>
      </c>
      <c r="F4153" t="s">
        <v>754</v>
      </c>
      <c r="H4153">
        <v>81.67</v>
      </c>
      <c r="O4153" t="s">
        <v>239</v>
      </c>
      <c r="P4153" t="s">
        <v>514</v>
      </c>
      <c r="Y4153">
        <v>4119</v>
      </c>
      <c r="Z4153" s="259" t="s">
        <v>630</v>
      </c>
      <c r="AA4153">
        <v>100</v>
      </c>
      <c r="AB4153">
        <v>8008</v>
      </c>
      <c r="AC4153">
        <v>45933</v>
      </c>
      <c r="AD4153">
        <v>2</v>
      </c>
      <c r="AE4153">
        <v>8167</v>
      </c>
      <c r="AF4153">
        <v>8167</v>
      </c>
      <c r="AG4153">
        <v>0</v>
      </c>
      <c r="AH4153">
        <v>159</v>
      </c>
    </row>
    <row r="4154" spans="2:34" x14ac:dyDescent="0.35">
      <c r="B4154" t="s">
        <v>747</v>
      </c>
      <c r="C4154">
        <v>45936</v>
      </c>
      <c r="F4154" t="s">
        <v>749</v>
      </c>
      <c r="H4154">
        <v>53.5</v>
      </c>
      <c r="O4154" t="s">
        <v>239</v>
      </c>
      <c r="P4154" t="s">
        <v>514</v>
      </c>
      <c r="Y4154">
        <v>4120</v>
      </c>
      <c r="Z4154" s="259" t="s">
        <v>630</v>
      </c>
      <c r="AA4154">
        <v>80</v>
      </c>
      <c r="AB4154">
        <v>4004</v>
      </c>
      <c r="AC4154">
        <v>45936</v>
      </c>
      <c r="AD4154">
        <v>0</v>
      </c>
      <c r="AE4154">
        <v>4280</v>
      </c>
      <c r="AF4154">
        <v>4280</v>
      </c>
      <c r="AG4154">
        <v>0</v>
      </c>
      <c r="AH4154">
        <v>276</v>
      </c>
    </row>
    <row r="4155" spans="2:34" x14ac:dyDescent="0.35">
      <c r="B4155" t="s">
        <v>747</v>
      </c>
      <c r="C4155">
        <v>45936</v>
      </c>
      <c r="F4155" t="s">
        <v>752</v>
      </c>
      <c r="H4155">
        <v>177.67</v>
      </c>
      <c r="O4155" t="s">
        <v>239</v>
      </c>
      <c r="P4155" t="s">
        <v>514</v>
      </c>
      <c r="Y4155">
        <v>4121</v>
      </c>
      <c r="Z4155" s="259" t="s">
        <v>630</v>
      </c>
      <c r="AA4155">
        <v>30</v>
      </c>
      <c r="AB4155">
        <v>5343</v>
      </c>
      <c r="AC4155">
        <v>45936</v>
      </c>
      <c r="AD4155">
        <v>0</v>
      </c>
      <c r="AE4155">
        <v>5330.0999999999995</v>
      </c>
      <c r="AF4155">
        <v>5330.0999999999995</v>
      </c>
      <c r="AG4155">
        <v>0</v>
      </c>
      <c r="AH4155">
        <v>-12.900000000000546</v>
      </c>
    </row>
    <row r="4156" spans="2:34" x14ac:dyDescent="0.35">
      <c r="B4156" t="s">
        <v>747</v>
      </c>
      <c r="C4156">
        <v>45936</v>
      </c>
      <c r="F4156" t="s">
        <v>754</v>
      </c>
      <c r="H4156">
        <v>81.17</v>
      </c>
      <c r="O4156" t="s">
        <v>239</v>
      </c>
      <c r="P4156" t="s">
        <v>514</v>
      </c>
      <c r="Y4156">
        <v>4122</v>
      </c>
      <c r="Z4156" s="259" t="s">
        <v>630</v>
      </c>
      <c r="AA4156">
        <v>100</v>
      </c>
      <c r="AB4156">
        <v>8008</v>
      </c>
      <c r="AC4156">
        <v>45936</v>
      </c>
      <c r="AD4156">
        <v>0</v>
      </c>
      <c r="AE4156">
        <v>8117</v>
      </c>
      <c r="AF4156">
        <v>8117</v>
      </c>
      <c r="AG4156">
        <v>0</v>
      </c>
      <c r="AH4156">
        <v>109</v>
      </c>
    </row>
    <row r="4157" spans="2:34" x14ac:dyDescent="0.35">
      <c r="B4157" t="s">
        <v>747</v>
      </c>
      <c r="C4157">
        <v>45937</v>
      </c>
      <c r="F4157" t="s">
        <v>749</v>
      </c>
      <c r="H4157">
        <v>53.4</v>
      </c>
      <c r="O4157" t="s">
        <v>239</v>
      </c>
      <c r="P4157" t="s">
        <v>514</v>
      </c>
      <c r="Y4157">
        <v>4123</v>
      </c>
      <c r="Z4157" s="259" t="s">
        <v>630</v>
      </c>
      <c r="AA4157">
        <v>80</v>
      </c>
      <c r="AB4157">
        <v>4004</v>
      </c>
      <c r="AC4157">
        <v>45937</v>
      </c>
      <c r="AD4157">
        <v>0</v>
      </c>
      <c r="AE4157">
        <v>4272</v>
      </c>
      <c r="AF4157">
        <v>4272</v>
      </c>
      <c r="AG4157">
        <v>0</v>
      </c>
      <c r="AH4157">
        <v>268</v>
      </c>
    </row>
    <row r="4158" spans="2:34" x14ac:dyDescent="0.35">
      <c r="B4158" t="s">
        <v>747</v>
      </c>
      <c r="C4158">
        <v>45937</v>
      </c>
      <c r="F4158" t="s">
        <v>752</v>
      </c>
      <c r="H4158">
        <v>177.8</v>
      </c>
      <c r="O4158" t="s">
        <v>239</v>
      </c>
      <c r="P4158" t="s">
        <v>514</v>
      </c>
      <c r="Y4158">
        <v>4124</v>
      </c>
      <c r="Z4158" s="259" t="s">
        <v>630</v>
      </c>
      <c r="AA4158">
        <v>30</v>
      </c>
      <c r="AB4158">
        <v>5343</v>
      </c>
      <c r="AC4158">
        <v>45937</v>
      </c>
      <c r="AD4158">
        <v>0</v>
      </c>
      <c r="AE4158">
        <v>5334</v>
      </c>
      <c r="AF4158">
        <v>5334</v>
      </c>
      <c r="AG4158">
        <v>0</v>
      </c>
      <c r="AH4158">
        <v>-9</v>
      </c>
    </row>
    <row r="4159" spans="2:34" x14ac:dyDescent="0.35">
      <c r="B4159" t="s">
        <v>747</v>
      </c>
      <c r="C4159">
        <v>45937</v>
      </c>
      <c r="F4159" t="s">
        <v>754</v>
      </c>
      <c r="H4159">
        <v>81</v>
      </c>
      <c r="O4159" t="s">
        <v>239</v>
      </c>
      <c r="P4159" t="s">
        <v>514</v>
      </c>
      <c r="Y4159">
        <v>4125</v>
      </c>
      <c r="Z4159" s="259" t="s">
        <v>630</v>
      </c>
      <c r="AA4159">
        <v>100</v>
      </c>
      <c r="AB4159">
        <v>8008</v>
      </c>
      <c r="AC4159">
        <v>45937</v>
      </c>
      <c r="AD4159">
        <v>0</v>
      </c>
      <c r="AE4159">
        <v>8100</v>
      </c>
      <c r="AF4159">
        <v>8100</v>
      </c>
      <c r="AG4159">
        <v>0</v>
      </c>
      <c r="AH4159">
        <v>92</v>
      </c>
    </row>
    <row r="4160" spans="2:34" x14ac:dyDescent="0.35">
      <c r="B4160" t="s">
        <v>747</v>
      </c>
      <c r="C4160">
        <v>45938</v>
      </c>
      <c r="F4160" t="s">
        <v>749</v>
      </c>
      <c r="H4160">
        <v>53.3</v>
      </c>
      <c r="O4160" t="s">
        <v>239</v>
      </c>
      <c r="P4160" t="s">
        <v>514</v>
      </c>
      <c r="Y4160">
        <v>4126</v>
      </c>
      <c r="Z4160" s="259" t="s">
        <v>630</v>
      </c>
      <c r="AA4160">
        <v>80</v>
      </c>
      <c r="AB4160">
        <v>4004</v>
      </c>
      <c r="AC4160">
        <v>45938</v>
      </c>
      <c r="AD4160">
        <v>0</v>
      </c>
      <c r="AE4160">
        <v>4264</v>
      </c>
      <c r="AF4160">
        <v>4264</v>
      </c>
      <c r="AG4160">
        <v>0</v>
      </c>
      <c r="AH4160">
        <v>260</v>
      </c>
    </row>
    <row r="4161" spans="2:34" x14ac:dyDescent="0.35">
      <c r="B4161" t="s">
        <v>747</v>
      </c>
      <c r="C4161">
        <v>45938</v>
      </c>
      <c r="F4161" t="s">
        <v>752</v>
      </c>
      <c r="H4161">
        <v>177.93</v>
      </c>
      <c r="O4161" t="s">
        <v>239</v>
      </c>
      <c r="P4161" t="s">
        <v>514</v>
      </c>
      <c r="Y4161">
        <v>4127</v>
      </c>
      <c r="Z4161" s="259" t="s">
        <v>630</v>
      </c>
      <c r="AA4161">
        <v>30</v>
      </c>
      <c r="AB4161">
        <v>5343</v>
      </c>
      <c r="AC4161">
        <v>45938</v>
      </c>
      <c r="AD4161">
        <v>0</v>
      </c>
      <c r="AE4161">
        <v>5337.9000000000005</v>
      </c>
      <c r="AF4161">
        <v>5337.9000000000005</v>
      </c>
      <c r="AG4161">
        <v>0</v>
      </c>
      <c r="AH4161">
        <v>-5.0999999999994543</v>
      </c>
    </row>
    <row r="4162" spans="2:34" x14ac:dyDescent="0.35">
      <c r="B4162" t="s">
        <v>747</v>
      </c>
      <c r="C4162">
        <v>45938</v>
      </c>
      <c r="F4162" t="s">
        <v>754</v>
      </c>
      <c r="H4162">
        <v>80.83</v>
      </c>
      <c r="O4162" t="s">
        <v>239</v>
      </c>
      <c r="P4162" t="s">
        <v>514</v>
      </c>
      <c r="Y4162">
        <v>4128</v>
      </c>
      <c r="Z4162" s="259" t="s">
        <v>630</v>
      </c>
      <c r="AA4162">
        <v>100</v>
      </c>
      <c r="AB4162">
        <v>8008</v>
      </c>
      <c r="AC4162">
        <v>45938</v>
      </c>
      <c r="AD4162">
        <v>0</v>
      </c>
      <c r="AE4162">
        <v>8083</v>
      </c>
      <c r="AF4162">
        <v>8083</v>
      </c>
      <c r="AG4162">
        <v>0</v>
      </c>
      <c r="AH4162">
        <v>75</v>
      </c>
    </row>
    <row r="4163" spans="2:34" x14ac:dyDescent="0.35">
      <c r="B4163" t="s">
        <v>747</v>
      </c>
      <c r="C4163">
        <v>45939</v>
      </c>
      <c r="F4163" t="s">
        <v>749</v>
      </c>
      <c r="H4163">
        <v>53.2</v>
      </c>
      <c r="O4163" t="s">
        <v>239</v>
      </c>
      <c r="P4163" t="s">
        <v>514</v>
      </c>
      <c r="Y4163">
        <v>4129</v>
      </c>
      <c r="Z4163" s="259" t="s">
        <v>630</v>
      </c>
      <c r="AA4163">
        <v>80</v>
      </c>
      <c r="AB4163">
        <v>4004</v>
      </c>
      <c r="AC4163">
        <v>45939</v>
      </c>
      <c r="AD4163">
        <v>0</v>
      </c>
      <c r="AE4163">
        <v>4256</v>
      </c>
      <c r="AF4163">
        <v>4256</v>
      </c>
      <c r="AG4163">
        <v>0</v>
      </c>
      <c r="AH4163">
        <v>252</v>
      </c>
    </row>
    <row r="4164" spans="2:34" x14ac:dyDescent="0.35">
      <c r="B4164" t="s">
        <v>747</v>
      </c>
      <c r="C4164">
        <v>45939</v>
      </c>
      <c r="F4164" t="s">
        <v>752</v>
      </c>
      <c r="H4164">
        <v>178.07</v>
      </c>
      <c r="O4164" t="s">
        <v>239</v>
      </c>
      <c r="P4164" t="s">
        <v>514</v>
      </c>
      <c r="Y4164">
        <v>4130</v>
      </c>
      <c r="Z4164" s="259" t="s">
        <v>630</v>
      </c>
      <c r="AA4164">
        <v>30</v>
      </c>
      <c r="AB4164">
        <v>5343</v>
      </c>
      <c r="AC4164">
        <v>45939</v>
      </c>
      <c r="AD4164">
        <v>0</v>
      </c>
      <c r="AE4164">
        <v>5342.0999999999995</v>
      </c>
      <c r="AF4164">
        <v>5342.0999999999995</v>
      </c>
      <c r="AG4164">
        <v>0</v>
      </c>
      <c r="AH4164">
        <v>-0.9000000000005457</v>
      </c>
    </row>
    <row r="4165" spans="2:34" x14ac:dyDescent="0.35">
      <c r="B4165" t="s">
        <v>747</v>
      </c>
      <c r="C4165">
        <v>45939</v>
      </c>
      <c r="F4165" t="s">
        <v>754</v>
      </c>
      <c r="H4165">
        <v>80.67</v>
      </c>
      <c r="O4165" t="s">
        <v>239</v>
      </c>
      <c r="P4165" t="s">
        <v>514</v>
      </c>
      <c r="Y4165">
        <v>4131</v>
      </c>
      <c r="Z4165" s="259" t="s">
        <v>630</v>
      </c>
      <c r="AA4165">
        <v>100</v>
      </c>
      <c r="AB4165">
        <v>8008</v>
      </c>
      <c r="AC4165">
        <v>45939</v>
      </c>
      <c r="AD4165">
        <v>0</v>
      </c>
      <c r="AE4165">
        <v>8067</v>
      </c>
      <c r="AF4165">
        <v>8067</v>
      </c>
      <c r="AG4165">
        <v>0</v>
      </c>
      <c r="AH4165">
        <v>59</v>
      </c>
    </row>
    <row r="4166" spans="2:34" x14ac:dyDescent="0.35">
      <c r="B4166" t="s">
        <v>747</v>
      </c>
      <c r="C4166">
        <v>45940</v>
      </c>
      <c r="F4166" t="s">
        <v>749</v>
      </c>
      <c r="H4166">
        <v>53.1</v>
      </c>
      <c r="O4166" t="s">
        <v>239</v>
      </c>
      <c r="P4166" t="s">
        <v>514</v>
      </c>
      <c r="Y4166">
        <v>4132</v>
      </c>
      <c r="Z4166" s="259" t="s">
        <v>630</v>
      </c>
      <c r="AA4166">
        <v>80</v>
      </c>
      <c r="AB4166">
        <v>4004</v>
      </c>
      <c r="AC4166">
        <v>45940</v>
      </c>
      <c r="AD4166">
        <v>0</v>
      </c>
      <c r="AE4166">
        <v>4248</v>
      </c>
      <c r="AF4166">
        <v>4248</v>
      </c>
      <c r="AG4166">
        <v>0</v>
      </c>
      <c r="AH4166">
        <v>244</v>
      </c>
    </row>
    <row r="4167" spans="2:34" x14ac:dyDescent="0.35">
      <c r="B4167" t="s">
        <v>747</v>
      </c>
      <c r="C4167">
        <v>45940</v>
      </c>
      <c r="F4167" t="s">
        <v>752</v>
      </c>
      <c r="H4167">
        <v>178.2</v>
      </c>
      <c r="O4167" t="s">
        <v>239</v>
      </c>
      <c r="P4167" t="s">
        <v>514</v>
      </c>
      <c r="Y4167">
        <v>4133</v>
      </c>
      <c r="Z4167" s="259" t="s">
        <v>630</v>
      </c>
      <c r="AA4167">
        <v>30</v>
      </c>
      <c r="AB4167">
        <v>5343</v>
      </c>
      <c r="AC4167">
        <v>45940</v>
      </c>
      <c r="AD4167">
        <v>0</v>
      </c>
      <c r="AE4167">
        <v>5346</v>
      </c>
      <c r="AF4167">
        <v>5346</v>
      </c>
      <c r="AG4167">
        <v>0</v>
      </c>
      <c r="AH4167">
        <v>3</v>
      </c>
    </row>
    <row r="4168" spans="2:34" x14ac:dyDescent="0.35">
      <c r="B4168" t="s">
        <v>747</v>
      </c>
      <c r="C4168">
        <v>45940</v>
      </c>
      <c r="F4168" t="s">
        <v>754</v>
      </c>
      <c r="H4168">
        <v>80.5</v>
      </c>
      <c r="O4168" t="s">
        <v>239</v>
      </c>
      <c r="P4168" t="s">
        <v>514</v>
      </c>
      <c r="Y4168">
        <v>4134</v>
      </c>
      <c r="Z4168" s="259" t="s">
        <v>630</v>
      </c>
      <c r="AA4168">
        <v>100</v>
      </c>
      <c r="AB4168">
        <v>8008</v>
      </c>
      <c r="AC4168">
        <v>45940</v>
      </c>
      <c r="AD4168">
        <v>0</v>
      </c>
      <c r="AE4168">
        <v>8050</v>
      </c>
      <c r="AF4168">
        <v>8050</v>
      </c>
      <c r="AG4168">
        <v>0</v>
      </c>
      <c r="AH4168">
        <v>42</v>
      </c>
    </row>
    <row r="4169" spans="2:34" x14ac:dyDescent="0.35">
      <c r="B4169" t="s">
        <v>747</v>
      </c>
      <c r="C4169">
        <v>45941</v>
      </c>
      <c r="F4169" t="s">
        <v>749</v>
      </c>
      <c r="H4169">
        <v>53.1</v>
      </c>
      <c r="O4169" t="s">
        <v>239</v>
      </c>
      <c r="P4169" t="s">
        <v>514</v>
      </c>
      <c r="Y4169">
        <v>4135</v>
      </c>
      <c r="Z4169" s="259" t="s">
        <v>630</v>
      </c>
      <c r="AA4169">
        <v>80</v>
      </c>
      <c r="AB4169">
        <v>4004</v>
      </c>
      <c r="AC4169">
        <v>45940</v>
      </c>
      <c r="AD4169">
        <v>1</v>
      </c>
      <c r="AE4169">
        <v>4248</v>
      </c>
      <c r="AF4169">
        <v>4248</v>
      </c>
      <c r="AG4169">
        <v>0</v>
      </c>
      <c r="AH4169">
        <v>244</v>
      </c>
    </row>
    <row r="4170" spans="2:34" x14ac:dyDescent="0.35">
      <c r="B4170" t="s">
        <v>747</v>
      </c>
      <c r="C4170">
        <v>45941</v>
      </c>
      <c r="F4170" t="s">
        <v>752</v>
      </c>
      <c r="H4170">
        <v>178.2</v>
      </c>
      <c r="O4170" t="s">
        <v>239</v>
      </c>
      <c r="P4170" t="s">
        <v>514</v>
      </c>
      <c r="Y4170">
        <v>4136</v>
      </c>
      <c r="Z4170" s="259" t="s">
        <v>630</v>
      </c>
      <c r="AA4170">
        <v>30</v>
      </c>
      <c r="AB4170">
        <v>5343</v>
      </c>
      <c r="AC4170">
        <v>45940</v>
      </c>
      <c r="AD4170">
        <v>1</v>
      </c>
      <c r="AE4170">
        <v>5346</v>
      </c>
      <c r="AF4170">
        <v>5346</v>
      </c>
      <c r="AG4170">
        <v>0</v>
      </c>
      <c r="AH4170">
        <v>3</v>
      </c>
    </row>
    <row r="4171" spans="2:34" x14ac:dyDescent="0.35">
      <c r="B4171" t="s">
        <v>747</v>
      </c>
      <c r="C4171">
        <v>45941</v>
      </c>
      <c r="F4171" t="s">
        <v>754</v>
      </c>
      <c r="H4171">
        <v>80.5</v>
      </c>
      <c r="O4171" t="s">
        <v>239</v>
      </c>
      <c r="P4171" t="s">
        <v>514</v>
      </c>
      <c r="Y4171">
        <v>4137</v>
      </c>
      <c r="Z4171" s="259" t="s">
        <v>630</v>
      </c>
      <c r="AA4171">
        <v>100</v>
      </c>
      <c r="AB4171">
        <v>8008</v>
      </c>
      <c r="AC4171">
        <v>45940</v>
      </c>
      <c r="AD4171">
        <v>1</v>
      </c>
      <c r="AE4171">
        <v>8050</v>
      </c>
      <c r="AF4171">
        <v>8050</v>
      </c>
      <c r="AG4171">
        <v>0</v>
      </c>
      <c r="AH4171">
        <v>42</v>
      </c>
    </row>
    <row r="4172" spans="2:34" x14ac:dyDescent="0.35">
      <c r="B4172" t="s">
        <v>747</v>
      </c>
      <c r="C4172">
        <v>45942</v>
      </c>
      <c r="F4172" t="s">
        <v>749</v>
      </c>
      <c r="H4172">
        <v>53.1</v>
      </c>
      <c r="O4172" t="s">
        <v>239</v>
      </c>
      <c r="P4172" t="s">
        <v>514</v>
      </c>
      <c r="Y4172">
        <v>4138</v>
      </c>
      <c r="Z4172" s="259" t="s">
        <v>630</v>
      </c>
      <c r="AA4172">
        <v>80</v>
      </c>
      <c r="AB4172">
        <v>4004</v>
      </c>
      <c r="AC4172">
        <v>45940</v>
      </c>
      <c r="AD4172">
        <v>2</v>
      </c>
      <c r="AE4172">
        <v>4248</v>
      </c>
      <c r="AF4172">
        <v>4248</v>
      </c>
      <c r="AG4172">
        <v>0</v>
      </c>
      <c r="AH4172">
        <v>244</v>
      </c>
    </row>
    <row r="4173" spans="2:34" x14ac:dyDescent="0.35">
      <c r="B4173" t="s">
        <v>747</v>
      </c>
      <c r="C4173">
        <v>45942</v>
      </c>
      <c r="F4173" t="s">
        <v>752</v>
      </c>
      <c r="H4173">
        <v>178.2</v>
      </c>
      <c r="O4173" t="s">
        <v>239</v>
      </c>
      <c r="P4173" t="s">
        <v>514</v>
      </c>
      <c r="Y4173">
        <v>4139</v>
      </c>
      <c r="Z4173" s="259" t="s">
        <v>630</v>
      </c>
      <c r="AA4173">
        <v>30</v>
      </c>
      <c r="AB4173">
        <v>5343</v>
      </c>
      <c r="AC4173">
        <v>45940</v>
      </c>
      <c r="AD4173">
        <v>2</v>
      </c>
      <c r="AE4173">
        <v>5346</v>
      </c>
      <c r="AF4173">
        <v>5346</v>
      </c>
      <c r="AG4173">
        <v>0</v>
      </c>
      <c r="AH4173">
        <v>3</v>
      </c>
    </row>
    <row r="4174" spans="2:34" x14ac:dyDescent="0.35">
      <c r="B4174" t="s">
        <v>747</v>
      </c>
      <c r="C4174">
        <v>45942</v>
      </c>
      <c r="F4174" t="s">
        <v>754</v>
      </c>
      <c r="H4174">
        <v>80.5</v>
      </c>
      <c r="O4174" t="s">
        <v>239</v>
      </c>
      <c r="P4174" t="s">
        <v>514</v>
      </c>
      <c r="Y4174">
        <v>4140</v>
      </c>
      <c r="Z4174" s="259" t="s">
        <v>630</v>
      </c>
      <c r="AA4174">
        <v>100</v>
      </c>
      <c r="AB4174">
        <v>8008</v>
      </c>
      <c r="AC4174">
        <v>45940</v>
      </c>
      <c r="AD4174">
        <v>2</v>
      </c>
      <c r="AE4174">
        <v>8050</v>
      </c>
      <c r="AF4174">
        <v>8050</v>
      </c>
      <c r="AG4174">
        <v>0</v>
      </c>
      <c r="AH4174">
        <v>42</v>
      </c>
    </row>
    <row r="4175" spans="2:34" x14ac:dyDescent="0.35">
      <c r="B4175" t="s">
        <v>747</v>
      </c>
      <c r="C4175">
        <v>45943</v>
      </c>
      <c r="F4175" t="s">
        <v>749</v>
      </c>
      <c r="H4175">
        <v>52.8</v>
      </c>
      <c r="O4175" t="s">
        <v>239</v>
      </c>
      <c r="P4175" t="s">
        <v>514</v>
      </c>
      <c r="Y4175">
        <v>4141</v>
      </c>
      <c r="Z4175" s="259" t="s">
        <v>630</v>
      </c>
      <c r="AA4175">
        <v>80</v>
      </c>
      <c r="AB4175">
        <v>4004</v>
      </c>
      <c r="AC4175">
        <v>45943</v>
      </c>
      <c r="AD4175">
        <v>0</v>
      </c>
      <c r="AE4175">
        <v>4224</v>
      </c>
      <c r="AF4175">
        <v>4224</v>
      </c>
      <c r="AG4175">
        <v>0</v>
      </c>
      <c r="AH4175">
        <v>220</v>
      </c>
    </row>
    <row r="4176" spans="2:34" x14ac:dyDescent="0.35">
      <c r="B4176" t="s">
        <v>747</v>
      </c>
      <c r="C4176">
        <v>45943</v>
      </c>
      <c r="F4176" t="s">
        <v>752</v>
      </c>
      <c r="H4176">
        <v>178.6</v>
      </c>
      <c r="O4176" t="s">
        <v>239</v>
      </c>
      <c r="P4176" t="s">
        <v>514</v>
      </c>
      <c r="Y4176">
        <v>4142</v>
      </c>
      <c r="Z4176" s="259" t="s">
        <v>630</v>
      </c>
      <c r="AA4176">
        <v>30</v>
      </c>
      <c r="AB4176">
        <v>5343</v>
      </c>
      <c r="AC4176">
        <v>45943</v>
      </c>
      <c r="AD4176">
        <v>0</v>
      </c>
      <c r="AE4176">
        <v>5358</v>
      </c>
      <c r="AF4176">
        <v>5358</v>
      </c>
      <c r="AG4176">
        <v>0</v>
      </c>
      <c r="AH4176">
        <v>15</v>
      </c>
    </row>
    <row r="4177" spans="2:34" x14ac:dyDescent="0.35">
      <c r="B4177" t="s">
        <v>747</v>
      </c>
      <c r="C4177">
        <v>45943</v>
      </c>
      <c r="F4177" t="s">
        <v>754</v>
      </c>
      <c r="H4177">
        <v>80</v>
      </c>
      <c r="O4177" t="s">
        <v>239</v>
      </c>
      <c r="P4177" t="s">
        <v>514</v>
      </c>
      <c r="Y4177">
        <v>4143</v>
      </c>
      <c r="Z4177" s="259" t="s">
        <v>630</v>
      </c>
      <c r="AA4177">
        <v>100</v>
      </c>
      <c r="AB4177">
        <v>8008</v>
      </c>
      <c r="AC4177">
        <v>45943</v>
      </c>
      <c r="AD4177">
        <v>0</v>
      </c>
      <c r="AE4177">
        <v>8000</v>
      </c>
      <c r="AF4177">
        <v>8000</v>
      </c>
      <c r="AG4177">
        <v>0</v>
      </c>
      <c r="AH4177">
        <v>-8</v>
      </c>
    </row>
    <row r="4178" spans="2:34" x14ac:dyDescent="0.35">
      <c r="B4178" t="s">
        <v>747</v>
      </c>
      <c r="C4178">
        <v>45944</v>
      </c>
      <c r="F4178" t="s">
        <v>749</v>
      </c>
      <c r="H4178">
        <v>52.7</v>
      </c>
      <c r="O4178" t="s">
        <v>239</v>
      </c>
      <c r="P4178" t="s">
        <v>514</v>
      </c>
      <c r="Y4178">
        <v>4144</v>
      </c>
      <c r="Z4178" s="259" t="s">
        <v>630</v>
      </c>
      <c r="AA4178">
        <v>80</v>
      </c>
      <c r="AB4178">
        <v>4004</v>
      </c>
      <c r="AC4178">
        <v>45944</v>
      </c>
      <c r="AD4178">
        <v>0</v>
      </c>
      <c r="AE4178">
        <v>4216</v>
      </c>
      <c r="AF4178">
        <v>4216</v>
      </c>
      <c r="AG4178">
        <v>0</v>
      </c>
      <c r="AH4178">
        <v>212</v>
      </c>
    </row>
    <row r="4179" spans="2:34" x14ac:dyDescent="0.35">
      <c r="B4179" t="s">
        <v>747</v>
      </c>
      <c r="C4179">
        <v>45944</v>
      </c>
      <c r="F4179" t="s">
        <v>752</v>
      </c>
      <c r="H4179">
        <v>178.73</v>
      </c>
      <c r="O4179" t="s">
        <v>239</v>
      </c>
      <c r="P4179" t="s">
        <v>514</v>
      </c>
      <c r="Y4179">
        <v>4145</v>
      </c>
      <c r="Z4179" s="259" t="s">
        <v>630</v>
      </c>
      <c r="AA4179">
        <v>30</v>
      </c>
      <c r="AB4179">
        <v>5343</v>
      </c>
      <c r="AC4179">
        <v>45944</v>
      </c>
      <c r="AD4179">
        <v>0</v>
      </c>
      <c r="AE4179">
        <v>5361.9</v>
      </c>
      <c r="AF4179">
        <v>5361.9</v>
      </c>
      <c r="AG4179">
        <v>0</v>
      </c>
      <c r="AH4179">
        <v>18.899999999999636</v>
      </c>
    </row>
    <row r="4180" spans="2:34" x14ac:dyDescent="0.35">
      <c r="B4180" t="s">
        <v>747</v>
      </c>
      <c r="C4180">
        <v>45944</v>
      </c>
      <c r="F4180" t="s">
        <v>754</v>
      </c>
      <c r="H4180">
        <v>79.83</v>
      </c>
      <c r="O4180" t="s">
        <v>239</v>
      </c>
      <c r="P4180" t="s">
        <v>514</v>
      </c>
      <c r="Y4180">
        <v>4146</v>
      </c>
      <c r="Z4180" s="259" t="s">
        <v>630</v>
      </c>
      <c r="AA4180">
        <v>100</v>
      </c>
      <c r="AB4180">
        <v>8008</v>
      </c>
      <c r="AC4180">
        <v>45944</v>
      </c>
      <c r="AD4180">
        <v>0</v>
      </c>
      <c r="AE4180">
        <v>7983</v>
      </c>
      <c r="AF4180">
        <v>7983</v>
      </c>
      <c r="AG4180">
        <v>0</v>
      </c>
      <c r="AH4180">
        <v>-25</v>
      </c>
    </row>
    <row r="4181" spans="2:34" x14ac:dyDescent="0.35">
      <c r="B4181" t="s">
        <v>747</v>
      </c>
      <c r="C4181">
        <v>45945</v>
      </c>
      <c r="F4181" t="s">
        <v>749</v>
      </c>
      <c r="H4181">
        <v>52.6</v>
      </c>
      <c r="O4181" t="s">
        <v>239</v>
      </c>
      <c r="P4181" t="s">
        <v>514</v>
      </c>
      <c r="Y4181">
        <v>4147</v>
      </c>
      <c r="Z4181" s="259" t="s">
        <v>630</v>
      </c>
      <c r="AA4181">
        <v>80</v>
      </c>
      <c r="AB4181">
        <v>4004</v>
      </c>
      <c r="AC4181">
        <v>45945</v>
      </c>
      <c r="AD4181">
        <v>0</v>
      </c>
      <c r="AE4181">
        <v>4208</v>
      </c>
      <c r="AF4181">
        <v>4208</v>
      </c>
      <c r="AG4181">
        <v>0</v>
      </c>
      <c r="AH4181">
        <v>204</v>
      </c>
    </row>
    <row r="4182" spans="2:34" x14ac:dyDescent="0.35">
      <c r="B4182" t="s">
        <v>747</v>
      </c>
      <c r="C4182">
        <v>45945</v>
      </c>
      <c r="F4182" t="s">
        <v>752</v>
      </c>
      <c r="H4182">
        <v>178.87</v>
      </c>
      <c r="O4182" t="s">
        <v>239</v>
      </c>
      <c r="P4182" t="s">
        <v>514</v>
      </c>
      <c r="Y4182">
        <v>4148</v>
      </c>
      <c r="Z4182" s="259" t="s">
        <v>630</v>
      </c>
      <c r="AA4182">
        <v>30</v>
      </c>
      <c r="AB4182">
        <v>5343</v>
      </c>
      <c r="AC4182">
        <v>45945</v>
      </c>
      <c r="AD4182">
        <v>0</v>
      </c>
      <c r="AE4182">
        <v>5366.1</v>
      </c>
      <c r="AF4182">
        <v>5366.1</v>
      </c>
      <c r="AG4182">
        <v>0</v>
      </c>
      <c r="AH4182">
        <v>23.100000000000364</v>
      </c>
    </row>
    <row r="4183" spans="2:34" x14ac:dyDescent="0.35">
      <c r="B4183" t="s">
        <v>747</v>
      </c>
      <c r="C4183">
        <v>45945</v>
      </c>
      <c r="F4183" t="s">
        <v>754</v>
      </c>
      <c r="H4183">
        <v>79.67</v>
      </c>
      <c r="O4183" t="s">
        <v>239</v>
      </c>
      <c r="P4183" t="s">
        <v>514</v>
      </c>
      <c r="Y4183">
        <v>4149</v>
      </c>
      <c r="Z4183" s="259" t="s">
        <v>630</v>
      </c>
      <c r="AA4183">
        <v>100</v>
      </c>
      <c r="AB4183">
        <v>8008</v>
      </c>
      <c r="AC4183">
        <v>45945</v>
      </c>
      <c r="AD4183">
        <v>0</v>
      </c>
      <c r="AE4183">
        <v>7967</v>
      </c>
      <c r="AF4183">
        <v>7967</v>
      </c>
      <c r="AG4183">
        <v>0</v>
      </c>
      <c r="AH4183">
        <v>-41</v>
      </c>
    </row>
    <row r="4184" spans="2:34" x14ac:dyDescent="0.35">
      <c r="B4184" t="s">
        <v>747</v>
      </c>
      <c r="C4184">
        <v>45946</v>
      </c>
      <c r="F4184" t="s">
        <v>749</v>
      </c>
      <c r="H4184">
        <v>52.5</v>
      </c>
      <c r="O4184" t="s">
        <v>239</v>
      </c>
      <c r="P4184" t="s">
        <v>514</v>
      </c>
      <c r="Y4184">
        <v>4150</v>
      </c>
      <c r="Z4184" s="259" t="s">
        <v>630</v>
      </c>
      <c r="AA4184">
        <v>80</v>
      </c>
      <c r="AB4184">
        <v>4004</v>
      </c>
      <c r="AC4184">
        <v>45946</v>
      </c>
      <c r="AD4184">
        <v>0</v>
      </c>
      <c r="AE4184">
        <v>4200</v>
      </c>
      <c r="AF4184">
        <v>4200</v>
      </c>
      <c r="AG4184">
        <v>0</v>
      </c>
      <c r="AH4184">
        <v>196</v>
      </c>
    </row>
    <row r="4185" spans="2:34" x14ac:dyDescent="0.35">
      <c r="B4185" t="s">
        <v>747</v>
      </c>
      <c r="C4185">
        <v>45946</v>
      </c>
      <c r="F4185" t="s">
        <v>752</v>
      </c>
      <c r="H4185">
        <v>179</v>
      </c>
      <c r="O4185" t="s">
        <v>239</v>
      </c>
      <c r="P4185" t="s">
        <v>514</v>
      </c>
      <c r="Y4185">
        <v>4151</v>
      </c>
      <c r="Z4185" s="259" t="s">
        <v>630</v>
      </c>
      <c r="AA4185">
        <v>30</v>
      </c>
      <c r="AB4185">
        <v>5343</v>
      </c>
      <c r="AC4185">
        <v>45946</v>
      </c>
      <c r="AD4185">
        <v>0</v>
      </c>
      <c r="AE4185">
        <v>5370</v>
      </c>
      <c r="AF4185">
        <v>5370</v>
      </c>
      <c r="AG4185">
        <v>0</v>
      </c>
      <c r="AH4185">
        <v>27</v>
      </c>
    </row>
    <row r="4186" spans="2:34" x14ac:dyDescent="0.35">
      <c r="B4186" t="s">
        <v>747</v>
      </c>
      <c r="C4186">
        <v>45946</v>
      </c>
      <c r="F4186" t="s">
        <v>754</v>
      </c>
      <c r="H4186">
        <v>79.5</v>
      </c>
      <c r="O4186" t="s">
        <v>239</v>
      </c>
      <c r="P4186" t="s">
        <v>514</v>
      </c>
      <c r="Y4186">
        <v>4152</v>
      </c>
      <c r="Z4186" s="259" t="s">
        <v>630</v>
      </c>
      <c r="AA4186">
        <v>100</v>
      </c>
      <c r="AB4186">
        <v>8008</v>
      </c>
      <c r="AC4186">
        <v>45946</v>
      </c>
      <c r="AD4186">
        <v>0</v>
      </c>
      <c r="AE4186">
        <v>7950</v>
      </c>
      <c r="AF4186">
        <v>7950</v>
      </c>
      <c r="AG4186">
        <v>0</v>
      </c>
      <c r="AH4186">
        <v>-58</v>
      </c>
    </row>
    <row r="4187" spans="2:34" x14ac:dyDescent="0.35">
      <c r="B4187" t="s">
        <v>747</v>
      </c>
      <c r="C4187">
        <v>45947</v>
      </c>
      <c r="F4187" t="s">
        <v>749</v>
      </c>
      <c r="H4187">
        <v>52.4</v>
      </c>
      <c r="O4187" t="s">
        <v>239</v>
      </c>
      <c r="P4187" t="s">
        <v>514</v>
      </c>
      <c r="Y4187">
        <v>4153</v>
      </c>
      <c r="Z4187" s="259" t="s">
        <v>630</v>
      </c>
      <c r="AA4187">
        <v>80</v>
      </c>
      <c r="AB4187">
        <v>4004</v>
      </c>
      <c r="AC4187">
        <v>45947</v>
      </c>
      <c r="AD4187">
        <v>0</v>
      </c>
      <c r="AE4187">
        <v>4192</v>
      </c>
      <c r="AF4187">
        <v>4192</v>
      </c>
      <c r="AG4187">
        <v>0</v>
      </c>
      <c r="AH4187">
        <v>188</v>
      </c>
    </row>
    <row r="4188" spans="2:34" x14ac:dyDescent="0.35">
      <c r="B4188" t="s">
        <v>747</v>
      </c>
      <c r="C4188">
        <v>45947</v>
      </c>
      <c r="F4188" t="s">
        <v>752</v>
      </c>
      <c r="H4188">
        <v>179.13</v>
      </c>
      <c r="O4188" t="s">
        <v>239</v>
      </c>
      <c r="P4188" t="s">
        <v>514</v>
      </c>
      <c r="Y4188">
        <v>4154</v>
      </c>
      <c r="Z4188" s="259" t="s">
        <v>630</v>
      </c>
      <c r="AA4188">
        <v>30</v>
      </c>
      <c r="AB4188">
        <v>5343</v>
      </c>
      <c r="AC4188">
        <v>45947</v>
      </c>
      <c r="AD4188">
        <v>0</v>
      </c>
      <c r="AE4188">
        <v>5373.9</v>
      </c>
      <c r="AF4188">
        <v>5373.9</v>
      </c>
      <c r="AG4188">
        <v>0</v>
      </c>
      <c r="AH4188">
        <v>30.899999999999636</v>
      </c>
    </row>
    <row r="4189" spans="2:34" x14ac:dyDescent="0.35">
      <c r="B4189" t="s">
        <v>747</v>
      </c>
      <c r="C4189">
        <v>45947</v>
      </c>
      <c r="F4189" t="s">
        <v>754</v>
      </c>
      <c r="H4189">
        <v>79.33</v>
      </c>
      <c r="O4189" t="s">
        <v>239</v>
      </c>
      <c r="P4189" t="s">
        <v>514</v>
      </c>
      <c r="Y4189">
        <v>4155</v>
      </c>
      <c r="Z4189" s="259" t="s">
        <v>630</v>
      </c>
      <c r="AA4189">
        <v>100</v>
      </c>
      <c r="AB4189">
        <v>8008</v>
      </c>
      <c r="AC4189">
        <v>45947</v>
      </c>
      <c r="AD4189">
        <v>0</v>
      </c>
      <c r="AE4189">
        <v>7933</v>
      </c>
      <c r="AF4189">
        <v>7933</v>
      </c>
      <c r="AG4189">
        <v>0</v>
      </c>
      <c r="AH4189">
        <v>-75</v>
      </c>
    </row>
    <row r="4190" spans="2:34" x14ac:dyDescent="0.35">
      <c r="B4190" t="s">
        <v>747</v>
      </c>
      <c r="C4190">
        <v>45948</v>
      </c>
      <c r="F4190" t="s">
        <v>749</v>
      </c>
      <c r="H4190">
        <v>52.4</v>
      </c>
      <c r="O4190" t="s">
        <v>239</v>
      </c>
      <c r="P4190" t="s">
        <v>514</v>
      </c>
      <c r="Y4190">
        <v>4156</v>
      </c>
      <c r="Z4190" s="259" t="s">
        <v>630</v>
      </c>
      <c r="AA4190">
        <v>80</v>
      </c>
      <c r="AB4190">
        <v>4004</v>
      </c>
      <c r="AC4190">
        <v>45947</v>
      </c>
      <c r="AD4190">
        <v>1</v>
      </c>
      <c r="AE4190">
        <v>4192</v>
      </c>
      <c r="AF4190">
        <v>4192</v>
      </c>
      <c r="AG4190">
        <v>0</v>
      </c>
      <c r="AH4190">
        <v>188</v>
      </c>
    </row>
    <row r="4191" spans="2:34" x14ac:dyDescent="0.35">
      <c r="B4191" t="s">
        <v>747</v>
      </c>
      <c r="C4191">
        <v>45948</v>
      </c>
      <c r="F4191" t="s">
        <v>752</v>
      </c>
      <c r="H4191">
        <v>179.13</v>
      </c>
      <c r="O4191" t="s">
        <v>239</v>
      </c>
      <c r="P4191" t="s">
        <v>514</v>
      </c>
      <c r="Y4191">
        <v>4157</v>
      </c>
      <c r="Z4191" s="259" t="s">
        <v>630</v>
      </c>
      <c r="AA4191">
        <v>30</v>
      </c>
      <c r="AB4191">
        <v>5343</v>
      </c>
      <c r="AC4191">
        <v>45947</v>
      </c>
      <c r="AD4191">
        <v>1</v>
      </c>
      <c r="AE4191">
        <v>5373.9</v>
      </c>
      <c r="AF4191">
        <v>5373.9</v>
      </c>
      <c r="AG4191">
        <v>0</v>
      </c>
      <c r="AH4191">
        <v>30.899999999999636</v>
      </c>
    </row>
    <row r="4192" spans="2:34" x14ac:dyDescent="0.35">
      <c r="B4192" t="s">
        <v>747</v>
      </c>
      <c r="C4192">
        <v>45948</v>
      </c>
      <c r="F4192" t="s">
        <v>754</v>
      </c>
      <c r="H4192">
        <v>79.33</v>
      </c>
      <c r="O4192" t="s">
        <v>239</v>
      </c>
      <c r="P4192" t="s">
        <v>514</v>
      </c>
      <c r="Y4192">
        <v>4158</v>
      </c>
      <c r="Z4192" s="259" t="s">
        <v>630</v>
      </c>
      <c r="AA4192">
        <v>100</v>
      </c>
      <c r="AB4192">
        <v>8008</v>
      </c>
      <c r="AC4192">
        <v>45947</v>
      </c>
      <c r="AD4192">
        <v>1</v>
      </c>
      <c r="AE4192">
        <v>7933</v>
      </c>
      <c r="AF4192">
        <v>7933</v>
      </c>
      <c r="AG4192">
        <v>0</v>
      </c>
      <c r="AH4192">
        <v>-75</v>
      </c>
    </row>
    <row r="4193" spans="2:34" x14ac:dyDescent="0.35">
      <c r="B4193" t="s">
        <v>747</v>
      </c>
      <c r="C4193">
        <v>45949</v>
      </c>
      <c r="F4193" t="s">
        <v>749</v>
      </c>
      <c r="H4193">
        <v>52.4</v>
      </c>
      <c r="O4193" t="s">
        <v>239</v>
      </c>
      <c r="P4193" t="s">
        <v>514</v>
      </c>
      <c r="Y4193">
        <v>4159</v>
      </c>
      <c r="Z4193" s="259" t="s">
        <v>630</v>
      </c>
      <c r="AA4193">
        <v>80</v>
      </c>
      <c r="AB4193">
        <v>4004</v>
      </c>
      <c r="AC4193">
        <v>45947</v>
      </c>
      <c r="AD4193">
        <v>2</v>
      </c>
      <c r="AE4193">
        <v>4192</v>
      </c>
      <c r="AF4193">
        <v>4192</v>
      </c>
      <c r="AG4193">
        <v>0</v>
      </c>
      <c r="AH4193">
        <v>188</v>
      </c>
    </row>
    <row r="4194" spans="2:34" x14ac:dyDescent="0.35">
      <c r="B4194" t="s">
        <v>747</v>
      </c>
      <c r="C4194">
        <v>45949</v>
      </c>
      <c r="F4194" t="s">
        <v>752</v>
      </c>
      <c r="H4194">
        <v>179.13</v>
      </c>
      <c r="O4194" t="s">
        <v>239</v>
      </c>
      <c r="P4194" t="s">
        <v>514</v>
      </c>
      <c r="Y4194">
        <v>4160</v>
      </c>
      <c r="Z4194" s="259" t="s">
        <v>630</v>
      </c>
      <c r="AA4194">
        <v>30</v>
      </c>
      <c r="AB4194">
        <v>5343</v>
      </c>
      <c r="AC4194">
        <v>45947</v>
      </c>
      <c r="AD4194">
        <v>2</v>
      </c>
      <c r="AE4194">
        <v>5373.9</v>
      </c>
      <c r="AF4194">
        <v>5373.9</v>
      </c>
      <c r="AG4194">
        <v>0</v>
      </c>
      <c r="AH4194">
        <v>30.899999999999636</v>
      </c>
    </row>
    <row r="4195" spans="2:34" x14ac:dyDescent="0.35">
      <c r="B4195" t="s">
        <v>747</v>
      </c>
      <c r="C4195">
        <v>45949</v>
      </c>
      <c r="F4195" t="s">
        <v>754</v>
      </c>
      <c r="H4195">
        <v>79.33</v>
      </c>
      <c r="O4195" t="s">
        <v>239</v>
      </c>
      <c r="P4195" t="s">
        <v>514</v>
      </c>
      <c r="Y4195">
        <v>4161</v>
      </c>
      <c r="Z4195" s="259" t="s">
        <v>630</v>
      </c>
      <c r="AA4195">
        <v>100</v>
      </c>
      <c r="AB4195">
        <v>8008</v>
      </c>
      <c r="AC4195">
        <v>45947</v>
      </c>
      <c r="AD4195">
        <v>2</v>
      </c>
      <c r="AE4195">
        <v>7933</v>
      </c>
      <c r="AF4195">
        <v>7933</v>
      </c>
      <c r="AG4195">
        <v>0</v>
      </c>
      <c r="AH4195">
        <v>-75</v>
      </c>
    </row>
    <row r="4196" spans="2:34" x14ac:dyDescent="0.35">
      <c r="B4196" t="s">
        <v>747</v>
      </c>
      <c r="C4196">
        <v>45950</v>
      </c>
      <c r="F4196" t="s">
        <v>749</v>
      </c>
      <c r="H4196">
        <v>52.1</v>
      </c>
      <c r="O4196" t="s">
        <v>239</v>
      </c>
      <c r="P4196" t="s">
        <v>514</v>
      </c>
      <c r="Y4196">
        <v>4162</v>
      </c>
      <c r="Z4196" s="259" t="s">
        <v>630</v>
      </c>
      <c r="AA4196">
        <v>80</v>
      </c>
      <c r="AB4196">
        <v>4004</v>
      </c>
      <c r="AC4196">
        <v>45950</v>
      </c>
      <c r="AD4196">
        <v>0</v>
      </c>
      <c r="AE4196">
        <v>4168</v>
      </c>
      <c r="AF4196">
        <v>4168</v>
      </c>
      <c r="AG4196">
        <v>0</v>
      </c>
      <c r="AH4196">
        <v>164</v>
      </c>
    </row>
    <row r="4197" spans="2:34" x14ac:dyDescent="0.35">
      <c r="B4197" t="s">
        <v>747</v>
      </c>
      <c r="C4197">
        <v>45950</v>
      </c>
      <c r="F4197" t="s">
        <v>752</v>
      </c>
      <c r="H4197">
        <v>179.53</v>
      </c>
      <c r="O4197" t="s">
        <v>239</v>
      </c>
      <c r="P4197" t="s">
        <v>514</v>
      </c>
      <c r="Y4197">
        <v>4163</v>
      </c>
      <c r="Z4197" s="259" t="s">
        <v>630</v>
      </c>
      <c r="AA4197">
        <v>30</v>
      </c>
      <c r="AB4197">
        <v>5343</v>
      </c>
      <c r="AC4197">
        <v>45950</v>
      </c>
      <c r="AD4197">
        <v>0</v>
      </c>
      <c r="AE4197">
        <v>5385.9</v>
      </c>
      <c r="AF4197">
        <v>5385.9</v>
      </c>
      <c r="AG4197">
        <v>0</v>
      </c>
      <c r="AH4197">
        <v>42.899999999999636</v>
      </c>
    </row>
    <row r="4198" spans="2:34" x14ac:dyDescent="0.35">
      <c r="B4198" t="s">
        <v>747</v>
      </c>
      <c r="C4198">
        <v>45950</v>
      </c>
      <c r="F4198" t="s">
        <v>754</v>
      </c>
      <c r="H4198">
        <v>78.83</v>
      </c>
      <c r="O4198" t="s">
        <v>239</v>
      </c>
      <c r="P4198" t="s">
        <v>514</v>
      </c>
      <c r="Y4198">
        <v>4164</v>
      </c>
      <c r="Z4198" s="259" t="s">
        <v>630</v>
      </c>
      <c r="AA4198">
        <v>100</v>
      </c>
      <c r="AB4198">
        <v>8008</v>
      </c>
      <c r="AC4198">
        <v>45950</v>
      </c>
      <c r="AD4198">
        <v>0</v>
      </c>
      <c r="AE4198">
        <v>7883</v>
      </c>
      <c r="AF4198">
        <v>7883</v>
      </c>
      <c r="AG4198">
        <v>0</v>
      </c>
      <c r="AH4198">
        <v>-125</v>
      </c>
    </row>
    <row r="4199" spans="2:34" x14ac:dyDescent="0.35">
      <c r="B4199" t="s">
        <v>747</v>
      </c>
      <c r="C4199">
        <v>45951</v>
      </c>
      <c r="F4199" t="s">
        <v>749</v>
      </c>
      <c r="H4199">
        <v>52</v>
      </c>
      <c r="O4199" t="s">
        <v>239</v>
      </c>
      <c r="P4199" t="s">
        <v>514</v>
      </c>
      <c r="Y4199">
        <v>4165</v>
      </c>
      <c r="Z4199" s="259" t="s">
        <v>630</v>
      </c>
      <c r="AA4199">
        <v>80</v>
      </c>
      <c r="AB4199">
        <v>4004</v>
      </c>
      <c r="AC4199">
        <v>45951</v>
      </c>
      <c r="AD4199">
        <v>0</v>
      </c>
      <c r="AE4199">
        <v>4160</v>
      </c>
      <c r="AF4199">
        <v>4160</v>
      </c>
      <c r="AG4199">
        <v>0</v>
      </c>
      <c r="AH4199">
        <v>156</v>
      </c>
    </row>
    <row r="4200" spans="2:34" x14ac:dyDescent="0.35">
      <c r="B4200" t="s">
        <v>747</v>
      </c>
      <c r="C4200">
        <v>45951</v>
      </c>
      <c r="F4200" t="s">
        <v>752</v>
      </c>
      <c r="H4200">
        <v>179.67</v>
      </c>
      <c r="O4200" t="s">
        <v>239</v>
      </c>
      <c r="P4200" t="s">
        <v>514</v>
      </c>
      <c r="Y4200">
        <v>4166</v>
      </c>
      <c r="Z4200" s="259" t="s">
        <v>630</v>
      </c>
      <c r="AA4200">
        <v>30</v>
      </c>
      <c r="AB4200">
        <v>5343</v>
      </c>
      <c r="AC4200">
        <v>45951</v>
      </c>
      <c r="AD4200">
        <v>0</v>
      </c>
      <c r="AE4200">
        <v>5390.0999999999995</v>
      </c>
      <c r="AF4200">
        <v>5390.0999999999995</v>
      </c>
      <c r="AG4200">
        <v>0</v>
      </c>
      <c r="AH4200">
        <v>47.099999999999454</v>
      </c>
    </row>
    <row r="4201" spans="2:34" x14ac:dyDescent="0.35">
      <c r="B4201" t="s">
        <v>747</v>
      </c>
      <c r="C4201">
        <v>45951</v>
      </c>
      <c r="F4201" t="s">
        <v>754</v>
      </c>
      <c r="H4201">
        <v>78.67</v>
      </c>
      <c r="O4201" t="s">
        <v>239</v>
      </c>
      <c r="P4201" t="s">
        <v>514</v>
      </c>
      <c r="Y4201">
        <v>4167</v>
      </c>
      <c r="Z4201" s="259" t="s">
        <v>630</v>
      </c>
      <c r="AA4201">
        <v>100</v>
      </c>
      <c r="AB4201">
        <v>8008</v>
      </c>
      <c r="AC4201">
        <v>45951</v>
      </c>
      <c r="AD4201">
        <v>0</v>
      </c>
      <c r="AE4201">
        <v>7867</v>
      </c>
      <c r="AF4201">
        <v>7867</v>
      </c>
      <c r="AG4201">
        <v>0</v>
      </c>
      <c r="AH4201">
        <v>-141</v>
      </c>
    </row>
    <row r="4202" spans="2:34" x14ac:dyDescent="0.35">
      <c r="B4202" t="s">
        <v>747</v>
      </c>
      <c r="C4202">
        <v>45952</v>
      </c>
      <c r="F4202" t="s">
        <v>749</v>
      </c>
      <c r="H4202">
        <v>51.9</v>
      </c>
      <c r="O4202" t="s">
        <v>239</v>
      </c>
      <c r="P4202" t="s">
        <v>514</v>
      </c>
      <c r="Y4202">
        <v>4168</v>
      </c>
      <c r="Z4202" s="259" t="s">
        <v>630</v>
      </c>
      <c r="AA4202">
        <v>80</v>
      </c>
      <c r="AB4202">
        <v>4004</v>
      </c>
      <c r="AC4202">
        <v>45952</v>
      </c>
      <c r="AD4202">
        <v>0</v>
      </c>
      <c r="AE4202">
        <v>4152</v>
      </c>
      <c r="AF4202">
        <v>4152</v>
      </c>
      <c r="AG4202">
        <v>0</v>
      </c>
      <c r="AH4202">
        <v>148</v>
      </c>
    </row>
    <row r="4203" spans="2:34" x14ac:dyDescent="0.35">
      <c r="B4203" t="s">
        <v>747</v>
      </c>
      <c r="C4203">
        <v>45952</v>
      </c>
      <c r="F4203" t="s">
        <v>752</v>
      </c>
      <c r="H4203">
        <v>179.8</v>
      </c>
      <c r="O4203" t="s">
        <v>239</v>
      </c>
      <c r="P4203" t="s">
        <v>514</v>
      </c>
      <c r="Y4203">
        <v>4169</v>
      </c>
      <c r="Z4203" s="259" t="s">
        <v>630</v>
      </c>
      <c r="AA4203">
        <v>30</v>
      </c>
      <c r="AB4203">
        <v>5343</v>
      </c>
      <c r="AC4203">
        <v>45952</v>
      </c>
      <c r="AD4203">
        <v>0</v>
      </c>
      <c r="AE4203">
        <v>5394</v>
      </c>
      <c r="AF4203">
        <v>5394</v>
      </c>
      <c r="AG4203">
        <v>0</v>
      </c>
      <c r="AH4203">
        <v>51</v>
      </c>
    </row>
    <row r="4204" spans="2:34" x14ac:dyDescent="0.35">
      <c r="B4204" t="s">
        <v>747</v>
      </c>
      <c r="C4204">
        <v>45952</v>
      </c>
      <c r="F4204" t="s">
        <v>754</v>
      </c>
      <c r="H4204">
        <v>78.5</v>
      </c>
      <c r="O4204" t="s">
        <v>239</v>
      </c>
      <c r="P4204" t="s">
        <v>514</v>
      </c>
      <c r="Y4204">
        <v>4170</v>
      </c>
      <c r="Z4204" s="259" t="s">
        <v>630</v>
      </c>
      <c r="AA4204">
        <v>100</v>
      </c>
      <c r="AB4204">
        <v>8008</v>
      </c>
      <c r="AC4204">
        <v>45952</v>
      </c>
      <c r="AD4204">
        <v>0</v>
      </c>
      <c r="AE4204">
        <v>7850</v>
      </c>
      <c r="AF4204">
        <v>7850</v>
      </c>
      <c r="AG4204">
        <v>0</v>
      </c>
      <c r="AH4204">
        <v>-158</v>
      </c>
    </row>
    <row r="4205" spans="2:34" x14ac:dyDescent="0.35">
      <c r="B4205" t="s">
        <v>747</v>
      </c>
      <c r="C4205">
        <v>45953</v>
      </c>
      <c r="F4205" t="s">
        <v>749</v>
      </c>
      <c r="H4205">
        <v>51.8</v>
      </c>
      <c r="O4205" t="s">
        <v>239</v>
      </c>
      <c r="P4205" t="s">
        <v>514</v>
      </c>
      <c r="Y4205">
        <v>4171</v>
      </c>
      <c r="Z4205" s="259" t="s">
        <v>630</v>
      </c>
      <c r="AA4205">
        <v>80</v>
      </c>
      <c r="AB4205">
        <v>4004</v>
      </c>
      <c r="AC4205">
        <v>45953</v>
      </c>
      <c r="AD4205">
        <v>0</v>
      </c>
      <c r="AE4205">
        <v>4144</v>
      </c>
      <c r="AF4205">
        <v>4144</v>
      </c>
      <c r="AG4205">
        <v>0</v>
      </c>
      <c r="AH4205">
        <v>140</v>
      </c>
    </row>
    <row r="4206" spans="2:34" x14ac:dyDescent="0.35">
      <c r="B4206" t="s">
        <v>747</v>
      </c>
      <c r="C4206">
        <v>45953</v>
      </c>
      <c r="F4206" t="s">
        <v>752</v>
      </c>
      <c r="H4206">
        <v>179.93</v>
      </c>
      <c r="O4206" t="s">
        <v>239</v>
      </c>
      <c r="P4206" t="s">
        <v>514</v>
      </c>
      <c r="Y4206">
        <v>4172</v>
      </c>
      <c r="Z4206" s="259" t="s">
        <v>630</v>
      </c>
      <c r="AA4206">
        <v>30</v>
      </c>
      <c r="AB4206">
        <v>5343</v>
      </c>
      <c r="AC4206">
        <v>45953</v>
      </c>
      <c r="AD4206">
        <v>0</v>
      </c>
      <c r="AE4206">
        <v>5397.9000000000005</v>
      </c>
      <c r="AF4206">
        <v>5397.9000000000005</v>
      </c>
      <c r="AG4206">
        <v>0</v>
      </c>
      <c r="AH4206">
        <v>54.900000000000546</v>
      </c>
    </row>
    <row r="4207" spans="2:34" x14ac:dyDescent="0.35">
      <c r="B4207" t="s">
        <v>747</v>
      </c>
      <c r="C4207">
        <v>45953</v>
      </c>
      <c r="F4207" t="s">
        <v>754</v>
      </c>
      <c r="H4207">
        <v>78.33</v>
      </c>
      <c r="O4207" t="s">
        <v>239</v>
      </c>
      <c r="P4207" t="s">
        <v>514</v>
      </c>
      <c r="Y4207">
        <v>4173</v>
      </c>
      <c r="Z4207" s="259" t="s">
        <v>630</v>
      </c>
      <c r="AA4207">
        <v>100</v>
      </c>
      <c r="AB4207">
        <v>8008</v>
      </c>
      <c r="AC4207">
        <v>45953</v>
      </c>
      <c r="AD4207">
        <v>0</v>
      </c>
      <c r="AE4207">
        <v>7833</v>
      </c>
      <c r="AF4207">
        <v>7833</v>
      </c>
      <c r="AG4207">
        <v>0</v>
      </c>
      <c r="AH4207">
        <v>-175</v>
      </c>
    </row>
    <row r="4208" spans="2:34" x14ac:dyDescent="0.35">
      <c r="B4208" t="s">
        <v>747</v>
      </c>
      <c r="C4208">
        <v>45954</v>
      </c>
      <c r="F4208" t="s">
        <v>749</v>
      </c>
      <c r="H4208">
        <v>51.7</v>
      </c>
      <c r="O4208" t="s">
        <v>239</v>
      </c>
      <c r="P4208" t="s">
        <v>514</v>
      </c>
      <c r="Y4208">
        <v>4174</v>
      </c>
      <c r="Z4208" s="259" t="s">
        <v>630</v>
      </c>
      <c r="AA4208">
        <v>80</v>
      </c>
      <c r="AB4208">
        <v>4004</v>
      </c>
      <c r="AC4208">
        <v>45954</v>
      </c>
      <c r="AD4208">
        <v>0</v>
      </c>
      <c r="AE4208">
        <v>4136</v>
      </c>
      <c r="AF4208">
        <v>4136</v>
      </c>
      <c r="AG4208">
        <v>0</v>
      </c>
      <c r="AH4208">
        <v>132</v>
      </c>
    </row>
    <row r="4209" spans="2:34" x14ac:dyDescent="0.35">
      <c r="B4209" t="s">
        <v>747</v>
      </c>
      <c r="C4209">
        <v>45954</v>
      </c>
      <c r="F4209" t="s">
        <v>752</v>
      </c>
      <c r="H4209">
        <v>180.07</v>
      </c>
      <c r="O4209" t="s">
        <v>239</v>
      </c>
      <c r="P4209" t="s">
        <v>514</v>
      </c>
      <c r="Y4209">
        <v>4175</v>
      </c>
      <c r="Z4209" s="259" t="s">
        <v>630</v>
      </c>
      <c r="AA4209">
        <v>30</v>
      </c>
      <c r="AB4209">
        <v>5343</v>
      </c>
      <c r="AC4209">
        <v>45954</v>
      </c>
      <c r="AD4209">
        <v>0</v>
      </c>
      <c r="AE4209">
        <v>5402.0999999999995</v>
      </c>
      <c r="AF4209">
        <v>5402.0999999999995</v>
      </c>
      <c r="AG4209">
        <v>0</v>
      </c>
      <c r="AH4209">
        <v>59.099999999999454</v>
      </c>
    </row>
    <row r="4210" spans="2:34" x14ac:dyDescent="0.35">
      <c r="B4210" t="s">
        <v>747</v>
      </c>
      <c r="C4210">
        <v>45954</v>
      </c>
      <c r="F4210" t="s">
        <v>754</v>
      </c>
      <c r="H4210">
        <v>78.17</v>
      </c>
      <c r="O4210" t="s">
        <v>239</v>
      </c>
      <c r="P4210" t="s">
        <v>514</v>
      </c>
      <c r="Y4210">
        <v>4176</v>
      </c>
      <c r="Z4210" s="259" t="s">
        <v>630</v>
      </c>
      <c r="AA4210">
        <v>100</v>
      </c>
      <c r="AB4210">
        <v>8008</v>
      </c>
      <c r="AC4210">
        <v>45954</v>
      </c>
      <c r="AD4210">
        <v>0</v>
      </c>
      <c r="AE4210">
        <v>7817</v>
      </c>
      <c r="AF4210">
        <v>7817</v>
      </c>
      <c r="AG4210">
        <v>0</v>
      </c>
      <c r="AH4210">
        <v>-191</v>
      </c>
    </row>
    <row r="4211" spans="2:34" x14ac:dyDescent="0.35">
      <c r="B4211" t="s">
        <v>747</v>
      </c>
      <c r="C4211">
        <v>45955</v>
      </c>
      <c r="F4211" t="s">
        <v>749</v>
      </c>
      <c r="H4211">
        <v>51.7</v>
      </c>
      <c r="O4211" t="s">
        <v>239</v>
      </c>
      <c r="P4211" t="s">
        <v>514</v>
      </c>
      <c r="Y4211">
        <v>4177</v>
      </c>
      <c r="Z4211" s="259" t="s">
        <v>630</v>
      </c>
      <c r="AA4211">
        <v>80</v>
      </c>
      <c r="AB4211">
        <v>4004</v>
      </c>
      <c r="AC4211">
        <v>45954</v>
      </c>
      <c r="AD4211">
        <v>1</v>
      </c>
      <c r="AE4211">
        <v>4136</v>
      </c>
      <c r="AF4211">
        <v>4136</v>
      </c>
      <c r="AG4211">
        <v>0</v>
      </c>
      <c r="AH4211">
        <v>132</v>
      </c>
    </row>
    <row r="4212" spans="2:34" x14ac:dyDescent="0.35">
      <c r="B4212" t="s">
        <v>747</v>
      </c>
      <c r="C4212">
        <v>45955</v>
      </c>
      <c r="F4212" t="s">
        <v>752</v>
      </c>
      <c r="H4212">
        <v>180.07</v>
      </c>
      <c r="O4212" t="s">
        <v>239</v>
      </c>
      <c r="P4212" t="s">
        <v>514</v>
      </c>
      <c r="Y4212">
        <v>4178</v>
      </c>
      <c r="Z4212" s="259" t="s">
        <v>630</v>
      </c>
      <c r="AA4212">
        <v>30</v>
      </c>
      <c r="AB4212">
        <v>5343</v>
      </c>
      <c r="AC4212">
        <v>45954</v>
      </c>
      <c r="AD4212">
        <v>1</v>
      </c>
      <c r="AE4212">
        <v>5402.0999999999995</v>
      </c>
      <c r="AF4212">
        <v>5402.0999999999995</v>
      </c>
      <c r="AG4212">
        <v>0</v>
      </c>
      <c r="AH4212">
        <v>59.099999999999454</v>
      </c>
    </row>
    <row r="4213" spans="2:34" x14ac:dyDescent="0.35">
      <c r="B4213" t="s">
        <v>747</v>
      </c>
      <c r="C4213">
        <v>45955</v>
      </c>
      <c r="F4213" t="s">
        <v>754</v>
      </c>
      <c r="H4213">
        <v>78.17</v>
      </c>
      <c r="O4213" t="s">
        <v>239</v>
      </c>
      <c r="P4213" t="s">
        <v>514</v>
      </c>
      <c r="Y4213">
        <v>4179</v>
      </c>
      <c r="Z4213" s="259" t="s">
        <v>630</v>
      </c>
      <c r="AA4213">
        <v>100</v>
      </c>
      <c r="AB4213">
        <v>8008</v>
      </c>
      <c r="AC4213">
        <v>45954</v>
      </c>
      <c r="AD4213">
        <v>1</v>
      </c>
      <c r="AE4213">
        <v>7817</v>
      </c>
      <c r="AF4213">
        <v>7817</v>
      </c>
      <c r="AG4213">
        <v>0</v>
      </c>
      <c r="AH4213">
        <v>-191</v>
      </c>
    </row>
    <row r="4214" spans="2:34" x14ac:dyDescent="0.35">
      <c r="B4214" t="s">
        <v>747</v>
      </c>
      <c r="C4214">
        <v>45956</v>
      </c>
      <c r="F4214" t="s">
        <v>749</v>
      </c>
      <c r="H4214">
        <v>51.7</v>
      </c>
      <c r="O4214" t="s">
        <v>239</v>
      </c>
      <c r="P4214" t="s">
        <v>514</v>
      </c>
      <c r="Y4214">
        <v>4180</v>
      </c>
      <c r="Z4214" s="259" t="s">
        <v>630</v>
      </c>
      <c r="AA4214">
        <v>80</v>
      </c>
      <c r="AB4214">
        <v>4004</v>
      </c>
      <c r="AC4214">
        <v>45954</v>
      </c>
      <c r="AD4214">
        <v>2</v>
      </c>
      <c r="AE4214">
        <v>4136</v>
      </c>
      <c r="AF4214">
        <v>4136</v>
      </c>
      <c r="AG4214">
        <v>0</v>
      </c>
      <c r="AH4214">
        <v>132</v>
      </c>
    </row>
    <row r="4215" spans="2:34" x14ac:dyDescent="0.35">
      <c r="B4215" t="s">
        <v>747</v>
      </c>
      <c r="C4215">
        <v>45956</v>
      </c>
      <c r="F4215" t="s">
        <v>752</v>
      </c>
      <c r="H4215">
        <v>180.07</v>
      </c>
      <c r="O4215" t="s">
        <v>239</v>
      </c>
      <c r="P4215" t="s">
        <v>514</v>
      </c>
      <c r="Y4215">
        <v>4181</v>
      </c>
      <c r="Z4215" s="259" t="s">
        <v>630</v>
      </c>
      <c r="AA4215">
        <v>30</v>
      </c>
      <c r="AB4215">
        <v>5343</v>
      </c>
      <c r="AC4215">
        <v>45954</v>
      </c>
      <c r="AD4215">
        <v>2</v>
      </c>
      <c r="AE4215">
        <v>5402.0999999999995</v>
      </c>
      <c r="AF4215">
        <v>5402.0999999999995</v>
      </c>
      <c r="AG4215">
        <v>0</v>
      </c>
      <c r="AH4215">
        <v>59.099999999999454</v>
      </c>
    </row>
    <row r="4216" spans="2:34" x14ac:dyDescent="0.35">
      <c r="B4216" t="s">
        <v>747</v>
      </c>
      <c r="C4216">
        <v>45956</v>
      </c>
      <c r="F4216" t="s">
        <v>754</v>
      </c>
      <c r="H4216">
        <v>78.17</v>
      </c>
      <c r="O4216" t="s">
        <v>239</v>
      </c>
      <c r="P4216" t="s">
        <v>514</v>
      </c>
      <c r="Y4216">
        <v>4182</v>
      </c>
      <c r="Z4216" s="259" t="s">
        <v>630</v>
      </c>
      <c r="AA4216">
        <v>100</v>
      </c>
      <c r="AB4216">
        <v>8008</v>
      </c>
      <c r="AC4216">
        <v>45954</v>
      </c>
      <c r="AD4216">
        <v>2</v>
      </c>
      <c r="AE4216">
        <v>7817</v>
      </c>
      <c r="AF4216">
        <v>7817</v>
      </c>
      <c r="AG4216">
        <v>0</v>
      </c>
      <c r="AH4216">
        <v>-191</v>
      </c>
    </row>
    <row r="4217" spans="2:34" x14ac:dyDescent="0.35">
      <c r="B4217" t="s">
        <v>747</v>
      </c>
      <c r="C4217">
        <v>45957</v>
      </c>
      <c r="F4217" t="s">
        <v>749</v>
      </c>
      <c r="H4217">
        <v>51.4</v>
      </c>
      <c r="O4217" t="s">
        <v>239</v>
      </c>
      <c r="P4217" t="s">
        <v>514</v>
      </c>
      <c r="Y4217">
        <v>4183</v>
      </c>
      <c r="Z4217" s="259" t="s">
        <v>630</v>
      </c>
      <c r="AA4217">
        <v>80</v>
      </c>
      <c r="AB4217">
        <v>4004</v>
      </c>
      <c r="AC4217">
        <v>45957</v>
      </c>
      <c r="AD4217">
        <v>0</v>
      </c>
      <c r="AE4217">
        <v>4112</v>
      </c>
      <c r="AF4217">
        <v>4112</v>
      </c>
      <c r="AG4217">
        <v>0</v>
      </c>
      <c r="AH4217">
        <v>108</v>
      </c>
    </row>
    <row r="4218" spans="2:34" x14ac:dyDescent="0.35">
      <c r="B4218" t="s">
        <v>747</v>
      </c>
      <c r="C4218">
        <v>45957</v>
      </c>
      <c r="F4218" t="s">
        <v>752</v>
      </c>
      <c r="H4218">
        <v>180.47</v>
      </c>
      <c r="O4218" t="s">
        <v>239</v>
      </c>
      <c r="P4218" t="s">
        <v>514</v>
      </c>
      <c r="Y4218">
        <v>4184</v>
      </c>
      <c r="Z4218" s="259" t="s">
        <v>630</v>
      </c>
      <c r="AA4218">
        <v>30</v>
      </c>
      <c r="AB4218">
        <v>5343</v>
      </c>
      <c r="AC4218">
        <v>45957</v>
      </c>
      <c r="AD4218">
        <v>0</v>
      </c>
      <c r="AE4218">
        <v>5414.1</v>
      </c>
      <c r="AF4218">
        <v>5414.1</v>
      </c>
      <c r="AG4218">
        <v>0</v>
      </c>
      <c r="AH4218">
        <v>71.100000000000364</v>
      </c>
    </row>
    <row r="4219" spans="2:34" x14ac:dyDescent="0.35">
      <c r="B4219" t="s">
        <v>747</v>
      </c>
      <c r="C4219">
        <v>45957</v>
      </c>
      <c r="F4219" t="s">
        <v>754</v>
      </c>
      <c r="H4219">
        <v>77.67</v>
      </c>
      <c r="O4219" t="s">
        <v>239</v>
      </c>
      <c r="P4219" t="s">
        <v>514</v>
      </c>
      <c r="Y4219">
        <v>4185</v>
      </c>
      <c r="Z4219" s="259" t="s">
        <v>630</v>
      </c>
      <c r="AA4219">
        <v>100</v>
      </c>
      <c r="AB4219">
        <v>8008</v>
      </c>
      <c r="AC4219">
        <v>45957</v>
      </c>
      <c r="AD4219">
        <v>0</v>
      </c>
      <c r="AE4219">
        <v>7767</v>
      </c>
      <c r="AF4219">
        <v>7767</v>
      </c>
      <c r="AG4219">
        <v>0</v>
      </c>
      <c r="AH4219">
        <v>-241</v>
      </c>
    </row>
    <row r="4220" spans="2:34" x14ac:dyDescent="0.35">
      <c r="B4220" t="s">
        <v>747</v>
      </c>
      <c r="C4220">
        <v>45958</v>
      </c>
      <c r="F4220" t="s">
        <v>749</v>
      </c>
      <c r="H4220">
        <v>51.3</v>
      </c>
      <c r="O4220" t="s">
        <v>239</v>
      </c>
      <c r="P4220" t="s">
        <v>514</v>
      </c>
      <c r="Y4220">
        <v>4186</v>
      </c>
      <c r="Z4220" s="259" t="s">
        <v>630</v>
      </c>
      <c r="AA4220">
        <v>80</v>
      </c>
      <c r="AB4220">
        <v>4004</v>
      </c>
      <c r="AC4220">
        <v>45958</v>
      </c>
      <c r="AD4220">
        <v>0</v>
      </c>
      <c r="AE4220">
        <v>4104</v>
      </c>
      <c r="AF4220">
        <v>4104</v>
      </c>
      <c r="AG4220">
        <v>0</v>
      </c>
      <c r="AH4220">
        <v>100</v>
      </c>
    </row>
    <row r="4221" spans="2:34" x14ac:dyDescent="0.35">
      <c r="B4221" t="s">
        <v>747</v>
      </c>
      <c r="C4221">
        <v>45958</v>
      </c>
      <c r="F4221" t="s">
        <v>752</v>
      </c>
      <c r="H4221">
        <v>180.6</v>
      </c>
      <c r="O4221" t="s">
        <v>239</v>
      </c>
      <c r="P4221" t="s">
        <v>514</v>
      </c>
      <c r="Y4221">
        <v>4187</v>
      </c>
      <c r="Z4221" s="259" t="s">
        <v>630</v>
      </c>
      <c r="AA4221">
        <v>30</v>
      </c>
      <c r="AB4221">
        <v>5343</v>
      </c>
      <c r="AC4221">
        <v>45958</v>
      </c>
      <c r="AD4221">
        <v>0</v>
      </c>
      <c r="AE4221">
        <v>5418</v>
      </c>
      <c r="AF4221">
        <v>5418</v>
      </c>
      <c r="AG4221">
        <v>0</v>
      </c>
      <c r="AH4221">
        <v>75</v>
      </c>
    </row>
    <row r="4222" spans="2:34" x14ac:dyDescent="0.35">
      <c r="B4222" t="s">
        <v>747</v>
      </c>
      <c r="C4222">
        <v>45958</v>
      </c>
      <c r="F4222" t="s">
        <v>754</v>
      </c>
      <c r="H4222">
        <v>77.5</v>
      </c>
      <c r="O4222" t="s">
        <v>239</v>
      </c>
      <c r="P4222" t="s">
        <v>514</v>
      </c>
      <c r="Y4222">
        <v>4188</v>
      </c>
      <c r="Z4222" s="259" t="s">
        <v>630</v>
      </c>
      <c r="AA4222">
        <v>100</v>
      </c>
      <c r="AB4222">
        <v>8008</v>
      </c>
      <c r="AC4222">
        <v>45958</v>
      </c>
      <c r="AD4222">
        <v>0</v>
      </c>
      <c r="AE4222">
        <v>7750</v>
      </c>
      <c r="AF4222">
        <v>7750</v>
      </c>
      <c r="AG4222">
        <v>0</v>
      </c>
      <c r="AH4222">
        <v>-258</v>
      </c>
    </row>
    <row r="4223" spans="2:34" x14ac:dyDescent="0.35">
      <c r="B4223" t="s">
        <v>747</v>
      </c>
      <c r="C4223">
        <v>45959</v>
      </c>
      <c r="F4223" t="s">
        <v>749</v>
      </c>
      <c r="H4223">
        <v>51.2</v>
      </c>
      <c r="O4223" t="s">
        <v>239</v>
      </c>
      <c r="P4223" t="s">
        <v>514</v>
      </c>
      <c r="Y4223">
        <v>4189</v>
      </c>
      <c r="Z4223" s="259" t="s">
        <v>630</v>
      </c>
      <c r="AA4223">
        <v>80</v>
      </c>
      <c r="AB4223">
        <v>4004</v>
      </c>
      <c r="AC4223">
        <v>45959</v>
      </c>
      <c r="AD4223">
        <v>0</v>
      </c>
      <c r="AE4223">
        <v>4096</v>
      </c>
      <c r="AF4223">
        <v>4096</v>
      </c>
      <c r="AG4223">
        <v>0</v>
      </c>
      <c r="AH4223">
        <v>92</v>
      </c>
    </row>
    <row r="4224" spans="2:34" x14ac:dyDescent="0.35">
      <c r="B4224" t="s">
        <v>747</v>
      </c>
      <c r="C4224">
        <v>45959</v>
      </c>
      <c r="F4224" t="s">
        <v>752</v>
      </c>
      <c r="H4224">
        <v>180.73</v>
      </c>
      <c r="O4224" t="s">
        <v>239</v>
      </c>
      <c r="P4224" t="s">
        <v>514</v>
      </c>
      <c r="Y4224">
        <v>4190</v>
      </c>
      <c r="Z4224" s="259" t="s">
        <v>630</v>
      </c>
      <c r="AA4224">
        <v>30</v>
      </c>
      <c r="AB4224">
        <v>5343</v>
      </c>
      <c r="AC4224">
        <v>45959</v>
      </c>
      <c r="AD4224">
        <v>0</v>
      </c>
      <c r="AE4224">
        <v>5421.9</v>
      </c>
      <c r="AF4224">
        <v>5421.9</v>
      </c>
      <c r="AG4224">
        <v>0</v>
      </c>
      <c r="AH4224">
        <v>78.899999999999636</v>
      </c>
    </row>
    <row r="4225" spans="2:34" x14ac:dyDescent="0.35">
      <c r="B4225" t="s">
        <v>747</v>
      </c>
      <c r="C4225">
        <v>45959</v>
      </c>
      <c r="F4225" t="s">
        <v>754</v>
      </c>
      <c r="H4225">
        <v>77.33</v>
      </c>
      <c r="O4225" t="s">
        <v>239</v>
      </c>
      <c r="P4225" t="s">
        <v>514</v>
      </c>
      <c r="Y4225">
        <v>4191</v>
      </c>
      <c r="Z4225" s="259" t="s">
        <v>630</v>
      </c>
      <c r="AA4225">
        <v>100</v>
      </c>
      <c r="AB4225">
        <v>8008</v>
      </c>
      <c r="AC4225">
        <v>45959</v>
      </c>
      <c r="AD4225">
        <v>0</v>
      </c>
      <c r="AE4225">
        <v>7733</v>
      </c>
      <c r="AF4225">
        <v>7733</v>
      </c>
      <c r="AG4225">
        <v>0</v>
      </c>
      <c r="AH4225">
        <v>-275</v>
      </c>
    </row>
    <row r="4226" spans="2:34" x14ac:dyDescent="0.35">
      <c r="B4226" t="s">
        <v>747</v>
      </c>
      <c r="C4226">
        <v>45960</v>
      </c>
      <c r="F4226" t="s">
        <v>749</v>
      </c>
      <c r="H4226">
        <v>51.1</v>
      </c>
      <c r="O4226" t="s">
        <v>239</v>
      </c>
      <c r="P4226" t="s">
        <v>514</v>
      </c>
      <c r="Y4226">
        <v>4192</v>
      </c>
      <c r="Z4226" s="259" t="s">
        <v>630</v>
      </c>
      <c r="AA4226">
        <v>80</v>
      </c>
      <c r="AB4226">
        <v>4004</v>
      </c>
      <c r="AC4226">
        <v>45960</v>
      </c>
      <c r="AD4226">
        <v>0</v>
      </c>
      <c r="AE4226">
        <v>4088</v>
      </c>
      <c r="AF4226">
        <v>4088</v>
      </c>
      <c r="AG4226">
        <v>0</v>
      </c>
      <c r="AH4226">
        <v>84</v>
      </c>
    </row>
    <row r="4227" spans="2:34" x14ac:dyDescent="0.35">
      <c r="B4227" t="s">
        <v>747</v>
      </c>
      <c r="C4227">
        <v>45960</v>
      </c>
      <c r="F4227" t="s">
        <v>752</v>
      </c>
      <c r="H4227">
        <v>180.87</v>
      </c>
      <c r="O4227" t="s">
        <v>239</v>
      </c>
      <c r="P4227" t="s">
        <v>514</v>
      </c>
      <c r="Y4227">
        <v>4193</v>
      </c>
      <c r="Z4227" s="259" t="s">
        <v>630</v>
      </c>
      <c r="AA4227">
        <v>30</v>
      </c>
      <c r="AB4227">
        <v>5343</v>
      </c>
      <c r="AC4227">
        <v>45960</v>
      </c>
      <c r="AD4227">
        <v>0</v>
      </c>
      <c r="AE4227">
        <v>5426.1</v>
      </c>
      <c r="AF4227">
        <v>5426.1</v>
      </c>
      <c r="AG4227">
        <v>0</v>
      </c>
      <c r="AH4227">
        <v>83.100000000000364</v>
      </c>
    </row>
    <row r="4228" spans="2:34" x14ac:dyDescent="0.35">
      <c r="B4228" t="s">
        <v>747</v>
      </c>
      <c r="C4228">
        <v>45960</v>
      </c>
      <c r="F4228" t="s">
        <v>754</v>
      </c>
      <c r="H4228">
        <v>77.17</v>
      </c>
      <c r="O4228" t="s">
        <v>239</v>
      </c>
      <c r="P4228" t="s">
        <v>514</v>
      </c>
      <c r="Y4228">
        <v>4194</v>
      </c>
      <c r="Z4228" s="259" t="s">
        <v>630</v>
      </c>
      <c r="AA4228">
        <v>100</v>
      </c>
      <c r="AB4228">
        <v>8008</v>
      </c>
      <c r="AC4228">
        <v>45960</v>
      </c>
      <c r="AD4228">
        <v>0</v>
      </c>
      <c r="AE4228">
        <v>7717</v>
      </c>
      <c r="AF4228">
        <v>7717</v>
      </c>
      <c r="AG4228">
        <v>0</v>
      </c>
      <c r="AH4228">
        <v>-291</v>
      </c>
    </row>
    <row r="4229" spans="2:34" x14ac:dyDescent="0.35">
      <c r="B4229" t="s">
        <v>747</v>
      </c>
      <c r="C4229">
        <v>45961</v>
      </c>
      <c r="F4229" t="s">
        <v>749</v>
      </c>
      <c r="H4229">
        <v>51</v>
      </c>
      <c r="O4229" t="s">
        <v>239</v>
      </c>
      <c r="P4229" t="s">
        <v>514</v>
      </c>
      <c r="Y4229">
        <v>4195</v>
      </c>
      <c r="Z4229" s="259" t="s">
        <v>630</v>
      </c>
      <c r="AA4229">
        <v>80</v>
      </c>
      <c r="AB4229">
        <v>4004</v>
      </c>
      <c r="AC4229">
        <v>45961</v>
      </c>
      <c r="AD4229">
        <v>0</v>
      </c>
      <c r="AE4229">
        <v>4080</v>
      </c>
      <c r="AF4229">
        <v>4080</v>
      </c>
      <c r="AG4229">
        <v>0</v>
      </c>
      <c r="AH4229">
        <v>76</v>
      </c>
    </row>
    <row r="4230" spans="2:34" x14ac:dyDescent="0.35">
      <c r="B4230" t="s">
        <v>747</v>
      </c>
      <c r="C4230">
        <v>45961</v>
      </c>
      <c r="F4230" t="s">
        <v>752</v>
      </c>
      <c r="H4230">
        <v>181</v>
      </c>
      <c r="O4230" t="s">
        <v>239</v>
      </c>
      <c r="P4230" t="s">
        <v>514</v>
      </c>
      <c r="Y4230">
        <v>4196</v>
      </c>
      <c r="Z4230" s="259" t="s">
        <v>630</v>
      </c>
      <c r="AA4230">
        <v>30</v>
      </c>
      <c r="AB4230">
        <v>5343</v>
      </c>
      <c r="AC4230">
        <v>45961</v>
      </c>
      <c r="AD4230">
        <v>0</v>
      </c>
      <c r="AE4230">
        <v>5430</v>
      </c>
      <c r="AF4230">
        <v>5430</v>
      </c>
      <c r="AG4230">
        <v>0</v>
      </c>
      <c r="AH4230">
        <v>87</v>
      </c>
    </row>
    <row r="4231" spans="2:34" x14ac:dyDescent="0.35">
      <c r="B4231" t="s">
        <v>747</v>
      </c>
      <c r="C4231">
        <v>45961</v>
      </c>
      <c r="F4231" t="s">
        <v>754</v>
      </c>
      <c r="H4231">
        <v>77</v>
      </c>
      <c r="O4231" t="s">
        <v>239</v>
      </c>
      <c r="P4231" t="s">
        <v>514</v>
      </c>
      <c r="Y4231">
        <v>4197</v>
      </c>
      <c r="Z4231" s="259" t="s">
        <v>630</v>
      </c>
      <c r="AA4231">
        <v>100</v>
      </c>
      <c r="AB4231">
        <v>8008</v>
      </c>
      <c r="AC4231">
        <v>45961</v>
      </c>
      <c r="AD4231">
        <v>0</v>
      </c>
      <c r="AE4231">
        <v>7700</v>
      </c>
      <c r="AF4231">
        <v>7700</v>
      </c>
      <c r="AG4231">
        <v>0</v>
      </c>
      <c r="AH4231">
        <v>-308</v>
      </c>
    </row>
    <row r="4232" spans="2:34" x14ac:dyDescent="0.35">
      <c r="B4232" t="s">
        <v>747</v>
      </c>
      <c r="C4232">
        <v>45962</v>
      </c>
      <c r="F4232" t="s">
        <v>749</v>
      </c>
      <c r="H4232">
        <v>51</v>
      </c>
      <c r="O4232" t="s">
        <v>239</v>
      </c>
      <c r="P4232" t="s">
        <v>514</v>
      </c>
      <c r="Y4232">
        <v>4198</v>
      </c>
      <c r="Z4232" s="259" t="s">
        <v>630</v>
      </c>
      <c r="AA4232">
        <v>80</v>
      </c>
      <c r="AB4232">
        <v>4004</v>
      </c>
      <c r="AC4232">
        <v>45961</v>
      </c>
      <c r="AD4232">
        <v>1</v>
      </c>
      <c r="AE4232">
        <v>4080</v>
      </c>
      <c r="AF4232">
        <v>4080</v>
      </c>
      <c r="AG4232">
        <v>0</v>
      </c>
      <c r="AH4232">
        <v>76</v>
      </c>
    </row>
    <row r="4233" spans="2:34" x14ac:dyDescent="0.35">
      <c r="B4233" t="s">
        <v>747</v>
      </c>
      <c r="C4233">
        <v>45962</v>
      </c>
      <c r="F4233" t="s">
        <v>752</v>
      </c>
      <c r="H4233">
        <v>181</v>
      </c>
      <c r="O4233" t="s">
        <v>239</v>
      </c>
      <c r="P4233" t="s">
        <v>514</v>
      </c>
      <c r="Y4233">
        <v>4199</v>
      </c>
      <c r="Z4233" s="259" t="s">
        <v>630</v>
      </c>
      <c r="AA4233">
        <v>30</v>
      </c>
      <c r="AB4233">
        <v>5343</v>
      </c>
      <c r="AC4233">
        <v>45961</v>
      </c>
      <c r="AD4233">
        <v>1</v>
      </c>
      <c r="AE4233">
        <v>5430</v>
      </c>
      <c r="AF4233">
        <v>5430</v>
      </c>
      <c r="AG4233">
        <v>0</v>
      </c>
      <c r="AH4233">
        <v>87</v>
      </c>
    </row>
    <row r="4234" spans="2:34" x14ac:dyDescent="0.35">
      <c r="B4234" t="s">
        <v>747</v>
      </c>
      <c r="C4234">
        <v>45962</v>
      </c>
      <c r="F4234" t="s">
        <v>754</v>
      </c>
      <c r="H4234">
        <v>77</v>
      </c>
      <c r="O4234" t="s">
        <v>239</v>
      </c>
      <c r="P4234" t="s">
        <v>514</v>
      </c>
      <c r="Y4234">
        <v>4200</v>
      </c>
      <c r="Z4234" s="259" t="s">
        <v>630</v>
      </c>
      <c r="AA4234">
        <v>100</v>
      </c>
      <c r="AB4234">
        <v>8008</v>
      </c>
      <c r="AC4234">
        <v>45961</v>
      </c>
      <c r="AD4234">
        <v>1</v>
      </c>
      <c r="AE4234">
        <v>7700</v>
      </c>
      <c r="AF4234">
        <v>7700</v>
      </c>
      <c r="AG4234">
        <v>0</v>
      </c>
      <c r="AH4234">
        <v>-308</v>
      </c>
    </row>
    <row r="4235" spans="2:34" x14ac:dyDescent="0.35">
      <c r="B4235" t="s">
        <v>747</v>
      </c>
      <c r="C4235">
        <v>45963</v>
      </c>
      <c r="F4235" t="s">
        <v>749</v>
      </c>
      <c r="H4235">
        <v>51</v>
      </c>
      <c r="O4235" t="s">
        <v>239</v>
      </c>
      <c r="P4235" t="s">
        <v>514</v>
      </c>
      <c r="Y4235">
        <v>4201</v>
      </c>
      <c r="Z4235" s="259" t="s">
        <v>630</v>
      </c>
      <c r="AA4235">
        <v>80</v>
      </c>
      <c r="AB4235">
        <v>4004</v>
      </c>
      <c r="AC4235">
        <v>45961</v>
      </c>
      <c r="AD4235">
        <v>2</v>
      </c>
      <c r="AE4235">
        <v>4080</v>
      </c>
      <c r="AF4235">
        <v>4080</v>
      </c>
      <c r="AG4235">
        <v>0</v>
      </c>
      <c r="AH4235">
        <v>76</v>
      </c>
    </row>
    <row r="4236" spans="2:34" x14ac:dyDescent="0.35">
      <c r="B4236" t="s">
        <v>747</v>
      </c>
      <c r="C4236">
        <v>45963</v>
      </c>
      <c r="F4236" t="s">
        <v>752</v>
      </c>
      <c r="H4236">
        <v>181</v>
      </c>
      <c r="O4236" t="s">
        <v>239</v>
      </c>
      <c r="P4236" t="s">
        <v>514</v>
      </c>
      <c r="Y4236">
        <v>4202</v>
      </c>
      <c r="Z4236" s="259" t="s">
        <v>630</v>
      </c>
      <c r="AA4236">
        <v>30</v>
      </c>
      <c r="AB4236">
        <v>5343</v>
      </c>
      <c r="AC4236">
        <v>45961</v>
      </c>
      <c r="AD4236">
        <v>2</v>
      </c>
      <c r="AE4236">
        <v>5430</v>
      </c>
      <c r="AF4236">
        <v>5430</v>
      </c>
      <c r="AG4236">
        <v>0</v>
      </c>
      <c r="AH4236">
        <v>87</v>
      </c>
    </row>
    <row r="4237" spans="2:34" x14ac:dyDescent="0.35">
      <c r="B4237" t="s">
        <v>747</v>
      </c>
      <c r="C4237">
        <v>45963</v>
      </c>
      <c r="F4237" t="s">
        <v>754</v>
      </c>
      <c r="H4237">
        <v>77</v>
      </c>
      <c r="O4237" t="s">
        <v>239</v>
      </c>
      <c r="P4237" t="s">
        <v>514</v>
      </c>
      <c r="Y4237">
        <v>4203</v>
      </c>
      <c r="Z4237" s="259" t="s">
        <v>630</v>
      </c>
      <c r="AA4237">
        <v>100</v>
      </c>
      <c r="AB4237">
        <v>8008</v>
      </c>
      <c r="AC4237">
        <v>45961</v>
      </c>
      <c r="AD4237">
        <v>2</v>
      </c>
      <c r="AE4237">
        <v>7700</v>
      </c>
      <c r="AF4237">
        <v>7700</v>
      </c>
      <c r="AG4237">
        <v>0</v>
      </c>
      <c r="AH4237">
        <v>-308</v>
      </c>
    </row>
    <row r="4238" spans="2:34" x14ac:dyDescent="0.35">
      <c r="B4238" t="s">
        <v>747</v>
      </c>
      <c r="C4238">
        <v>45964</v>
      </c>
      <c r="F4238" t="s">
        <v>749</v>
      </c>
      <c r="H4238">
        <v>50.79</v>
      </c>
      <c r="O4238" t="s">
        <v>239</v>
      </c>
      <c r="P4238" t="s">
        <v>514</v>
      </c>
      <c r="Y4238">
        <v>4204</v>
      </c>
      <c r="Z4238" s="259" t="s">
        <v>630</v>
      </c>
      <c r="AA4238">
        <v>80</v>
      </c>
      <c r="AB4238">
        <v>4004</v>
      </c>
      <c r="AC4238">
        <v>45964</v>
      </c>
      <c r="AD4238">
        <v>0</v>
      </c>
      <c r="AE4238">
        <v>4063.2</v>
      </c>
      <c r="AF4238">
        <v>4063.2</v>
      </c>
      <c r="AG4238">
        <v>0</v>
      </c>
      <c r="AH4238">
        <v>59.199999999999818</v>
      </c>
    </row>
    <row r="4239" spans="2:34" x14ac:dyDescent="0.35">
      <c r="B4239" t="s">
        <v>747</v>
      </c>
      <c r="C4239">
        <v>45964</v>
      </c>
      <c r="F4239" t="s">
        <v>752</v>
      </c>
      <c r="H4239">
        <v>180.24</v>
      </c>
      <c r="O4239" t="s">
        <v>239</v>
      </c>
      <c r="P4239" t="s">
        <v>514</v>
      </c>
      <c r="Y4239">
        <v>4205</v>
      </c>
      <c r="Z4239" s="259" t="s">
        <v>630</v>
      </c>
      <c r="AA4239">
        <v>30</v>
      </c>
      <c r="AB4239">
        <v>5343</v>
      </c>
      <c r="AC4239">
        <v>45964</v>
      </c>
      <c r="AD4239">
        <v>0</v>
      </c>
      <c r="AE4239">
        <v>5407.2000000000007</v>
      </c>
      <c r="AF4239">
        <v>5407.2000000000007</v>
      </c>
      <c r="AG4239">
        <v>0</v>
      </c>
      <c r="AH4239">
        <v>64.200000000000728</v>
      </c>
    </row>
    <row r="4240" spans="2:34" x14ac:dyDescent="0.35">
      <c r="B4240" t="s">
        <v>747</v>
      </c>
      <c r="C4240">
        <v>45964</v>
      </c>
      <c r="F4240" t="s">
        <v>754</v>
      </c>
      <c r="H4240">
        <v>76.010000000000005</v>
      </c>
      <c r="O4240" t="s">
        <v>239</v>
      </c>
      <c r="P4240" t="s">
        <v>514</v>
      </c>
      <c r="Y4240">
        <v>4206</v>
      </c>
      <c r="Z4240" s="259" t="s">
        <v>630</v>
      </c>
      <c r="AA4240">
        <v>100</v>
      </c>
      <c r="AB4240">
        <v>8008</v>
      </c>
      <c r="AC4240">
        <v>45964</v>
      </c>
      <c r="AD4240">
        <v>0</v>
      </c>
      <c r="AE4240">
        <v>7601.0000000000009</v>
      </c>
      <c r="AF4240">
        <v>7601.0000000000009</v>
      </c>
      <c r="AG4240">
        <v>120</v>
      </c>
      <c r="AH4240">
        <v>-406.99999999999909</v>
      </c>
    </row>
    <row r="4241" spans="2:34" x14ac:dyDescent="0.35">
      <c r="B4241" t="s">
        <v>747</v>
      </c>
      <c r="C4241">
        <v>45965</v>
      </c>
      <c r="F4241" t="s">
        <v>749</v>
      </c>
      <c r="H4241">
        <v>50.69</v>
      </c>
      <c r="O4241" t="s">
        <v>239</v>
      </c>
      <c r="P4241" t="s">
        <v>514</v>
      </c>
      <c r="Y4241">
        <v>4207</v>
      </c>
      <c r="Z4241" s="259" t="s">
        <v>630</v>
      </c>
      <c r="AA4241">
        <v>80</v>
      </c>
      <c r="AB4241">
        <v>4004</v>
      </c>
      <c r="AC4241">
        <v>45965</v>
      </c>
      <c r="AD4241">
        <v>0</v>
      </c>
      <c r="AE4241">
        <v>4055.2</v>
      </c>
      <c r="AF4241">
        <v>4055.2</v>
      </c>
      <c r="AG4241">
        <v>0</v>
      </c>
      <c r="AH4241">
        <v>51.199999999999818</v>
      </c>
    </row>
    <row r="4242" spans="2:34" x14ac:dyDescent="0.35">
      <c r="B4242" t="s">
        <v>747</v>
      </c>
      <c r="C4242">
        <v>45965</v>
      </c>
      <c r="F4242" t="s">
        <v>752</v>
      </c>
      <c r="H4242">
        <v>179.86</v>
      </c>
      <c r="O4242" t="s">
        <v>239</v>
      </c>
      <c r="P4242" t="s">
        <v>514</v>
      </c>
      <c r="Y4242">
        <v>4208</v>
      </c>
      <c r="Z4242" s="259" t="s">
        <v>630</v>
      </c>
      <c r="AA4242">
        <v>30</v>
      </c>
      <c r="AB4242">
        <v>5343</v>
      </c>
      <c r="AC4242">
        <v>45965</v>
      </c>
      <c r="AD4242">
        <v>0</v>
      </c>
      <c r="AE4242">
        <v>5395.8</v>
      </c>
      <c r="AF4242">
        <v>5395.8</v>
      </c>
      <c r="AG4242">
        <v>0</v>
      </c>
      <c r="AH4242">
        <v>52.800000000000182</v>
      </c>
    </row>
    <row r="4243" spans="2:34" x14ac:dyDescent="0.35">
      <c r="B4243" t="s">
        <v>747</v>
      </c>
      <c r="C4243">
        <v>45965</v>
      </c>
      <c r="F4243" t="s">
        <v>754</v>
      </c>
      <c r="H4243">
        <v>76.11</v>
      </c>
      <c r="O4243" t="s">
        <v>239</v>
      </c>
      <c r="P4243" t="s">
        <v>514</v>
      </c>
      <c r="Y4243">
        <v>4209</v>
      </c>
      <c r="Z4243" s="259" t="s">
        <v>630</v>
      </c>
      <c r="AA4243">
        <v>100</v>
      </c>
      <c r="AB4243">
        <v>8008</v>
      </c>
      <c r="AC4243">
        <v>45965</v>
      </c>
      <c r="AD4243">
        <v>0</v>
      </c>
      <c r="AE4243">
        <v>7611</v>
      </c>
      <c r="AF4243">
        <v>7611</v>
      </c>
      <c r="AG4243">
        <v>120</v>
      </c>
      <c r="AH4243">
        <v>-397</v>
      </c>
    </row>
    <row r="4244" spans="2:34" x14ac:dyDescent="0.35">
      <c r="B4244" t="s">
        <v>747</v>
      </c>
      <c r="C4244">
        <v>45966</v>
      </c>
      <c r="F4244" t="s">
        <v>749</v>
      </c>
      <c r="H4244">
        <v>50.59</v>
      </c>
      <c r="O4244" t="s">
        <v>239</v>
      </c>
      <c r="P4244" t="s">
        <v>514</v>
      </c>
      <c r="Y4244">
        <v>4210</v>
      </c>
      <c r="Z4244" s="259" t="s">
        <v>630</v>
      </c>
      <c r="AA4244">
        <v>80</v>
      </c>
      <c r="AB4244">
        <v>4004</v>
      </c>
      <c r="AC4244">
        <v>45966</v>
      </c>
      <c r="AD4244">
        <v>0</v>
      </c>
      <c r="AE4244">
        <v>4047.2000000000003</v>
      </c>
      <c r="AF4244">
        <v>4047.2000000000003</v>
      </c>
      <c r="AG4244">
        <v>0</v>
      </c>
      <c r="AH4244">
        <v>43.200000000000273</v>
      </c>
    </row>
    <row r="4245" spans="2:34" x14ac:dyDescent="0.35">
      <c r="B4245" t="s">
        <v>747</v>
      </c>
      <c r="C4245">
        <v>45966</v>
      </c>
      <c r="F4245" t="s">
        <v>752</v>
      </c>
      <c r="H4245">
        <v>179.48</v>
      </c>
      <c r="O4245" t="s">
        <v>239</v>
      </c>
      <c r="P4245" t="s">
        <v>514</v>
      </c>
      <c r="Y4245">
        <v>4211</v>
      </c>
      <c r="Z4245" s="259" t="s">
        <v>630</v>
      </c>
      <c r="AA4245">
        <v>30</v>
      </c>
      <c r="AB4245">
        <v>5343</v>
      </c>
      <c r="AC4245">
        <v>45966</v>
      </c>
      <c r="AD4245">
        <v>0</v>
      </c>
      <c r="AE4245">
        <v>5384.4</v>
      </c>
      <c r="AF4245">
        <v>5384.4</v>
      </c>
      <c r="AG4245">
        <v>0</v>
      </c>
      <c r="AH4245">
        <v>41.399999999999636</v>
      </c>
    </row>
    <row r="4246" spans="2:34" x14ac:dyDescent="0.35">
      <c r="B4246" t="s">
        <v>747</v>
      </c>
      <c r="C4246">
        <v>45966</v>
      </c>
      <c r="F4246" t="s">
        <v>754</v>
      </c>
      <c r="H4246">
        <v>76.209999999999994</v>
      </c>
      <c r="O4246" t="s">
        <v>239</v>
      </c>
      <c r="P4246" t="s">
        <v>514</v>
      </c>
      <c r="Y4246">
        <v>4212</v>
      </c>
      <c r="Z4246" s="259" t="s">
        <v>630</v>
      </c>
      <c r="AA4246">
        <v>100</v>
      </c>
      <c r="AB4246">
        <v>8008</v>
      </c>
      <c r="AC4246">
        <v>45966</v>
      </c>
      <c r="AD4246">
        <v>0</v>
      </c>
      <c r="AE4246">
        <v>7620.9999999999991</v>
      </c>
      <c r="AF4246">
        <v>7620.9999999999991</v>
      </c>
      <c r="AG4246">
        <v>120</v>
      </c>
      <c r="AH4246">
        <v>-387.00000000000091</v>
      </c>
    </row>
    <row r="4247" spans="2:34" x14ac:dyDescent="0.35">
      <c r="B4247" t="s">
        <v>747</v>
      </c>
      <c r="C4247">
        <v>45967</v>
      </c>
      <c r="F4247" t="s">
        <v>749</v>
      </c>
      <c r="H4247">
        <v>50.48</v>
      </c>
      <c r="O4247" t="s">
        <v>239</v>
      </c>
      <c r="P4247" t="s">
        <v>514</v>
      </c>
      <c r="Y4247">
        <v>4213</v>
      </c>
      <c r="Z4247" s="259" t="s">
        <v>630</v>
      </c>
      <c r="AA4247">
        <v>80</v>
      </c>
      <c r="AB4247">
        <v>4004</v>
      </c>
      <c r="AC4247">
        <v>45967</v>
      </c>
      <c r="AD4247">
        <v>0</v>
      </c>
      <c r="AE4247">
        <v>4038.3999999999996</v>
      </c>
      <c r="AF4247">
        <v>4038.3999999999996</v>
      </c>
      <c r="AG4247">
        <v>0</v>
      </c>
      <c r="AH4247">
        <v>34.399999999999636</v>
      </c>
    </row>
    <row r="4248" spans="2:34" x14ac:dyDescent="0.35">
      <c r="B4248" t="s">
        <v>747</v>
      </c>
      <c r="C4248">
        <v>45967</v>
      </c>
      <c r="F4248" t="s">
        <v>752</v>
      </c>
      <c r="H4248">
        <v>179.1</v>
      </c>
      <c r="O4248" t="s">
        <v>239</v>
      </c>
      <c r="P4248" t="s">
        <v>514</v>
      </c>
      <c r="Y4248">
        <v>4214</v>
      </c>
      <c r="Z4248" s="259" t="s">
        <v>630</v>
      </c>
      <c r="AA4248">
        <v>30</v>
      </c>
      <c r="AB4248">
        <v>5343</v>
      </c>
      <c r="AC4248">
        <v>45967</v>
      </c>
      <c r="AD4248">
        <v>0</v>
      </c>
      <c r="AE4248">
        <v>5373</v>
      </c>
      <c r="AF4248">
        <v>5373</v>
      </c>
      <c r="AG4248">
        <v>0</v>
      </c>
      <c r="AH4248">
        <v>30</v>
      </c>
    </row>
    <row r="4249" spans="2:34" x14ac:dyDescent="0.35">
      <c r="B4249" t="s">
        <v>747</v>
      </c>
      <c r="C4249">
        <v>45967</v>
      </c>
      <c r="F4249" t="s">
        <v>754</v>
      </c>
      <c r="H4249">
        <v>76.319999999999993</v>
      </c>
      <c r="O4249" t="s">
        <v>239</v>
      </c>
      <c r="P4249" t="s">
        <v>514</v>
      </c>
      <c r="Y4249">
        <v>4215</v>
      </c>
      <c r="Z4249" s="259" t="s">
        <v>630</v>
      </c>
      <c r="AA4249">
        <v>100</v>
      </c>
      <c r="AB4249">
        <v>8008</v>
      </c>
      <c r="AC4249">
        <v>45967</v>
      </c>
      <c r="AD4249">
        <v>0</v>
      </c>
      <c r="AE4249">
        <v>7631.9999999999991</v>
      </c>
      <c r="AF4249">
        <v>7631.9999999999991</v>
      </c>
      <c r="AG4249">
        <v>120</v>
      </c>
      <c r="AH4249">
        <v>-376.00000000000091</v>
      </c>
    </row>
    <row r="4250" spans="2:34" x14ac:dyDescent="0.35">
      <c r="B4250" t="s">
        <v>747</v>
      </c>
      <c r="C4250">
        <v>45968</v>
      </c>
      <c r="F4250" t="s">
        <v>749</v>
      </c>
      <c r="H4250">
        <v>50.38</v>
      </c>
      <c r="O4250" t="s">
        <v>239</v>
      </c>
      <c r="P4250" t="s">
        <v>514</v>
      </c>
      <c r="Y4250">
        <v>4216</v>
      </c>
      <c r="Z4250" s="259" t="s">
        <v>630</v>
      </c>
      <c r="AA4250">
        <v>80</v>
      </c>
      <c r="AB4250">
        <v>4004</v>
      </c>
      <c r="AC4250">
        <v>45968</v>
      </c>
      <c r="AD4250">
        <v>0</v>
      </c>
      <c r="AE4250">
        <v>4030.4</v>
      </c>
      <c r="AF4250">
        <v>4030.4</v>
      </c>
      <c r="AG4250">
        <v>0</v>
      </c>
      <c r="AH4250">
        <v>26.400000000000091</v>
      </c>
    </row>
    <row r="4251" spans="2:34" x14ac:dyDescent="0.35">
      <c r="B4251" t="s">
        <v>747</v>
      </c>
      <c r="C4251">
        <v>45968</v>
      </c>
      <c r="F4251" t="s">
        <v>752</v>
      </c>
      <c r="H4251">
        <v>178.72</v>
      </c>
      <c r="O4251" t="s">
        <v>239</v>
      </c>
      <c r="P4251" t="s">
        <v>514</v>
      </c>
      <c r="Y4251">
        <v>4217</v>
      </c>
      <c r="Z4251" s="259" t="s">
        <v>630</v>
      </c>
      <c r="AA4251">
        <v>30</v>
      </c>
      <c r="AB4251">
        <v>5343</v>
      </c>
      <c r="AC4251">
        <v>45968</v>
      </c>
      <c r="AD4251">
        <v>0</v>
      </c>
      <c r="AE4251">
        <v>5361.6</v>
      </c>
      <c r="AF4251">
        <v>5361.6</v>
      </c>
      <c r="AG4251">
        <v>0</v>
      </c>
      <c r="AH4251">
        <v>18.600000000000364</v>
      </c>
    </row>
    <row r="4252" spans="2:34" x14ac:dyDescent="0.35">
      <c r="B4252" t="s">
        <v>747</v>
      </c>
      <c r="C4252">
        <v>45968</v>
      </c>
      <c r="F4252" t="s">
        <v>754</v>
      </c>
      <c r="H4252">
        <v>76.42</v>
      </c>
      <c r="O4252" t="s">
        <v>239</v>
      </c>
      <c r="P4252" t="s">
        <v>514</v>
      </c>
      <c r="Y4252">
        <v>4218</v>
      </c>
      <c r="Z4252" s="259" t="s">
        <v>630</v>
      </c>
      <c r="AA4252">
        <v>100</v>
      </c>
      <c r="AB4252">
        <v>8008</v>
      </c>
      <c r="AC4252">
        <v>45968</v>
      </c>
      <c r="AD4252">
        <v>0</v>
      </c>
      <c r="AE4252">
        <v>7642</v>
      </c>
      <c r="AF4252">
        <v>7642</v>
      </c>
      <c r="AG4252">
        <v>120</v>
      </c>
      <c r="AH4252">
        <v>-366</v>
      </c>
    </row>
    <row r="4253" spans="2:34" x14ac:dyDescent="0.35">
      <c r="B4253" t="s">
        <v>747</v>
      </c>
      <c r="C4253">
        <v>45969</v>
      </c>
      <c r="F4253" t="s">
        <v>749</v>
      </c>
      <c r="H4253">
        <v>50.38</v>
      </c>
      <c r="O4253" t="s">
        <v>239</v>
      </c>
      <c r="P4253" t="s">
        <v>514</v>
      </c>
      <c r="Y4253">
        <v>4219</v>
      </c>
      <c r="Z4253" s="259" t="s">
        <v>630</v>
      </c>
      <c r="AA4253">
        <v>80</v>
      </c>
      <c r="AB4253">
        <v>4004</v>
      </c>
      <c r="AC4253">
        <v>45968</v>
      </c>
      <c r="AD4253">
        <v>1</v>
      </c>
      <c r="AE4253">
        <v>4030.4</v>
      </c>
      <c r="AF4253">
        <v>4030.4</v>
      </c>
      <c r="AG4253">
        <v>0</v>
      </c>
      <c r="AH4253">
        <v>26.400000000000091</v>
      </c>
    </row>
    <row r="4254" spans="2:34" x14ac:dyDescent="0.35">
      <c r="B4254" t="s">
        <v>747</v>
      </c>
      <c r="C4254">
        <v>45969</v>
      </c>
      <c r="F4254" t="s">
        <v>752</v>
      </c>
      <c r="H4254">
        <v>178.72</v>
      </c>
      <c r="O4254" t="s">
        <v>239</v>
      </c>
      <c r="P4254" t="s">
        <v>514</v>
      </c>
      <c r="Y4254">
        <v>4220</v>
      </c>
      <c r="Z4254" s="259" t="s">
        <v>630</v>
      </c>
      <c r="AA4254">
        <v>30</v>
      </c>
      <c r="AB4254">
        <v>5343</v>
      </c>
      <c r="AC4254">
        <v>45968</v>
      </c>
      <c r="AD4254">
        <v>1</v>
      </c>
      <c r="AE4254">
        <v>5361.6</v>
      </c>
      <c r="AF4254">
        <v>5361.6</v>
      </c>
      <c r="AG4254">
        <v>0</v>
      </c>
      <c r="AH4254">
        <v>18.600000000000364</v>
      </c>
    </row>
    <row r="4255" spans="2:34" x14ac:dyDescent="0.35">
      <c r="B4255" t="s">
        <v>747</v>
      </c>
      <c r="C4255">
        <v>45969</v>
      </c>
      <c r="F4255" t="s">
        <v>754</v>
      </c>
      <c r="H4255">
        <v>76.42</v>
      </c>
      <c r="O4255" t="s">
        <v>239</v>
      </c>
      <c r="P4255" t="s">
        <v>514</v>
      </c>
      <c r="Y4255">
        <v>4221</v>
      </c>
      <c r="Z4255" s="259" t="s">
        <v>630</v>
      </c>
      <c r="AA4255">
        <v>100</v>
      </c>
      <c r="AB4255">
        <v>8008</v>
      </c>
      <c r="AC4255">
        <v>45968</v>
      </c>
      <c r="AD4255">
        <v>1</v>
      </c>
      <c r="AE4255">
        <v>7642</v>
      </c>
      <c r="AF4255">
        <v>7642</v>
      </c>
      <c r="AG4255">
        <v>120</v>
      </c>
      <c r="AH4255">
        <v>-366</v>
      </c>
    </row>
    <row r="4256" spans="2:34" x14ac:dyDescent="0.35">
      <c r="B4256" t="s">
        <v>747</v>
      </c>
      <c r="C4256">
        <v>45970</v>
      </c>
      <c r="F4256" t="s">
        <v>749</v>
      </c>
      <c r="H4256">
        <v>50.38</v>
      </c>
      <c r="O4256" t="s">
        <v>239</v>
      </c>
      <c r="P4256" t="s">
        <v>514</v>
      </c>
      <c r="Y4256">
        <v>4222</v>
      </c>
      <c r="Z4256" s="259" t="s">
        <v>630</v>
      </c>
      <c r="AA4256">
        <v>80</v>
      </c>
      <c r="AB4256">
        <v>4004</v>
      </c>
      <c r="AC4256">
        <v>45968</v>
      </c>
      <c r="AD4256">
        <v>2</v>
      </c>
      <c r="AE4256">
        <v>4030.4</v>
      </c>
      <c r="AF4256">
        <v>4030.4</v>
      </c>
      <c r="AG4256">
        <v>0</v>
      </c>
      <c r="AH4256">
        <v>26.400000000000091</v>
      </c>
    </row>
    <row r="4257" spans="2:34" x14ac:dyDescent="0.35">
      <c r="B4257" t="s">
        <v>747</v>
      </c>
      <c r="C4257">
        <v>45970</v>
      </c>
      <c r="F4257" t="s">
        <v>752</v>
      </c>
      <c r="H4257">
        <v>178.72</v>
      </c>
      <c r="O4257" t="s">
        <v>239</v>
      </c>
      <c r="P4257" t="s">
        <v>514</v>
      </c>
      <c r="Y4257">
        <v>4223</v>
      </c>
      <c r="Z4257" s="259" t="s">
        <v>630</v>
      </c>
      <c r="AA4257">
        <v>30</v>
      </c>
      <c r="AB4257">
        <v>5343</v>
      </c>
      <c r="AC4257">
        <v>45968</v>
      </c>
      <c r="AD4257">
        <v>2</v>
      </c>
      <c r="AE4257">
        <v>5361.6</v>
      </c>
      <c r="AF4257">
        <v>5361.6</v>
      </c>
      <c r="AG4257">
        <v>0</v>
      </c>
      <c r="AH4257">
        <v>18.600000000000364</v>
      </c>
    </row>
    <row r="4258" spans="2:34" x14ac:dyDescent="0.35">
      <c r="B4258" t="s">
        <v>747</v>
      </c>
      <c r="C4258">
        <v>45970</v>
      </c>
      <c r="F4258" t="s">
        <v>754</v>
      </c>
      <c r="H4258">
        <v>76.42</v>
      </c>
      <c r="O4258" t="s">
        <v>239</v>
      </c>
      <c r="P4258" t="s">
        <v>514</v>
      </c>
      <c r="Y4258">
        <v>4224</v>
      </c>
      <c r="Z4258" s="259" t="s">
        <v>630</v>
      </c>
      <c r="AA4258">
        <v>100</v>
      </c>
      <c r="AB4258">
        <v>8008</v>
      </c>
      <c r="AC4258">
        <v>45968</v>
      </c>
      <c r="AD4258">
        <v>2</v>
      </c>
      <c r="AE4258">
        <v>7642</v>
      </c>
      <c r="AF4258">
        <v>7642</v>
      </c>
      <c r="AG4258">
        <v>120</v>
      </c>
      <c r="AH4258">
        <v>-366</v>
      </c>
    </row>
    <row r="4259" spans="2:34" x14ac:dyDescent="0.35">
      <c r="B4259" t="s">
        <v>747</v>
      </c>
      <c r="C4259">
        <v>45971</v>
      </c>
      <c r="F4259" t="s">
        <v>749</v>
      </c>
      <c r="H4259">
        <v>50.07</v>
      </c>
      <c r="O4259" t="s">
        <v>239</v>
      </c>
      <c r="P4259" t="s">
        <v>514</v>
      </c>
      <c r="Y4259">
        <v>4225</v>
      </c>
      <c r="Z4259" s="259" t="s">
        <v>630</v>
      </c>
      <c r="AA4259">
        <v>80</v>
      </c>
      <c r="AB4259">
        <v>4004</v>
      </c>
      <c r="AC4259">
        <v>45971</v>
      </c>
      <c r="AD4259">
        <v>0</v>
      </c>
      <c r="AE4259">
        <v>4005.6</v>
      </c>
      <c r="AF4259">
        <v>4005.6</v>
      </c>
      <c r="AG4259">
        <v>0</v>
      </c>
      <c r="AH4259">
        <v>1.5999999999999091</v>
      </c>
    </row>
    <row r="4260" spans="2:34" x14ac:dyDescent="0.35">
      <c r="B4260" t="s">
        <v>747</v>
      </c>
      <c r="C4260">
        <v>45971</v>
      </c>
      <c r="F4260" t="s">
        <v>752</v>
      </c>
      <c r="H4260">
        <v>177.59</v>
      </c>
      <c r="O4260" t="s">
        <v>239</v>
      </c>
      <c r="P4260" t="s">
        <v>514</v>
      </c>
      <c r="Y4260">
        <v>4226</v>
      </c>
      <c r="Z4260" s="259" t="s">
        <v>630</v>
      </c>
      <c r="AA4260">
        <v>30</v>
      </c>
      <c r="AB4260">
        <v>5343</v>
      </c>
      <c r="AC4260">
        <v>45971</v>
      </c>
      <c r="AD4260">
        <v>0</v>
      </c>
      <c r="AE4260">
        <v>5327.7</v>
      </c>
      <c r="AF4260">
        <v>5327.7</v>
      </c>
      <c r="AG4260">
        <v>0</v>
      </c>
      <c r="AH4260">
        <v>-15.300000000000182</v>
      </c>
    </row>
    <row r="4261" spans="2:34" x14ac:dyDescent="0.35">
      <c r="B4261" t="s">
        <v>747</v>
      </c>
      <c r="C4261">
        <v>45971</v>
      </c>
      <c r="F4261" t="s">
        <v>754</v>
      </c>
      <c r="H4261">
        <v>76.73</v>
      </c>
      <c r="O4261" t="s">
        <v>239</v>
      </c>
      <c r="P4261" t="s">
        <v>514</v>
      </c>
      <c r="Y4261">
        <v>4227</v>
      </c>
      <c r="Z4261" s="259" t="s">
        <v>630</v>
      </c>
      <c r="AA4261">
        <v>100</v>
      </c>
      <c r="AB4261">
        <v>8008</v>
      </c>
      <c r="AC4261">
        <v>45971</v>
      </c>
      <c r="AD4261">
        <v>0</v>
      </c>
      <c r="AE4261">
        <v>7673</v>
      </c>
      <c r="AF4261">
        <v>7673</v>
      </c>
      <c r="AG4261">
        <v>120</v>
      </c>
      <c r="AH4261">
        <v>-335</v>
      </c>
    </row>
    <row r="4262" spans="2:34" x14ac:dyDescent="0.35">
      <c r="B4262" t="s">
        <v>747</v>
      </c>
      <c r="C4262">
        <v>45972</v>
      </c>
      <c r="F4262" t="s">
        <v>749</v>
      </c>
      <c r="H4262">
        <v>49.97</v>
      </c>
      <c r="O4262" t="s">
        <v>239</v>
      </c>
      <c r="P4262" t="s">
        <v>514</v>
      </c>
      <c r="Y4262">
        <v>4228</v>
      </c>
      <c r="Z4262" s="259" t="s">
        <v>630</v>
      </c>
      <c r="AA4262">
        <v>80</v>
      </c>
      <c r="AB4262">
        <v>4004</v>
      </c>
      <c r="AC4262">
        <v>45972</v>
      </c>
      <c r="AD4262">
        <v>0</v>
      </c>
      <c r="AE4262">
        <v>3997.6</v>
      </c>
      <c r="AF4262">
        <v>3997.6</v>
      </c>
      <c r="AG4262">
        <v>0</v>
      </c>
      <c r="AH4262">
        <v>-6.4000000000000909</v>
      </c>
    </row>
    <row r="4263" spans="2:34" x14ac:dyDescent="0.35">
      <c r="B4263" t="s">
        <v>747</v>
      </c>
      <c r="C4263">
        <v>45972</v>
      </c>
      <c r="F4263" t="s">
        <v>752</v>
      </c>
      <c r="H4263">
        <v>177.21</v>
      </c>
      <c r="O4263" t="s">
        <v>239</v>
      </c>
      <c r="P4263" t="s">
        <v>514</v>
      </c>
      <c r="Y4263">
        <v>4229</v>
      </c>
      <c r="Z4263" s="259" t="s">
        <v>630</v>
      </c>
      <c r="AA4263">
        <v>30</v>
      </c>
      <c r="AB4263">
        <v>5343</v>
      </c>
      <c r="AC4263">
        <v>45972</v>
      </c>
      <c r="AD4263">
        <v>0</v>
      </c>
      <c r="AE4263">
        <v>5316.3</v>
      </c>
      <c r="AF4263">
        <v>5316.3</v>
      </c>
      <c r="AG4263">
        <v>0</v>
      </c>
      <c r="AH4263">
        <v>-26.699999999999818</v>
      </c>
    </row>
    <row r="4264" spans="2:34" x14ac:dyDescent="0.35">
      <c r="B4264" t="s">
        <v>747</v>
      </c>
      <c r="C4264">
        <v>45972</v>
      </c>
      <c r="F4264" t="s">
        <v>754</v>
      </c>
      <c r="H4264">
        <v>76.83</v>
      </c>
      <c r="O4264" t="s">
        <v>239</v>
      </c>
      <c r="P4264" t="s">
        <v>514</v>
      </c>
      <c r="Y4264">
        <v>4230</v>
      </c>
      <c r="Z4264" s="259" t="s">
        <v>630</v>
      </c>
      <c r="AA4264">
        <v>100</v>
      </c>
      <c r="AB4264">
        <v>8008</v>
      </c>
      <c r="AC4264">
        <v>45972</v>
      </c>
      <c r="AD4264">
        <v>0</v>
      </c>
      <c r="AE4264">
        <v>7683</v>
      </c>
      <c r="AF4264">
        <v>7683</v>
      </c>
      <c r="AG4264">
        <v>120</v>
      </c>
      <c r="AH4264">
        <v>-325</v>
      </c>
    </row>
    <row r="4265" spans="2:34" x14ac:dyDescent="0.35">
      <c r="B4265" t="s">
        <v>747</v>
      </c>
      <c r="C4265">
        <v>45973</v>
      </c>
      <c r="F4265" t="s">
        <v>749</v>
      </c>
      <c r="H4265">
        <v>49.86</v>
      </c>
      <c r="O4265" t="s">
        <v>239</v>
      </c>
      <c r="P4265" t="s">
        <v>514</v>
      </c>
      <c r="Y4265">
        <v>4231</v>
      </c>
      <c r="Z4265" s="259" t="s">
        <v>630</v>
      </c>
      <c r="AA4265">
        <v>80</v>
      </c>
      <c r="AB4265">
        <v>4004</v>
      </c>
      <c r="AC4265">
        <v>45973</v>
      </c>
      <c r="AD4265">
        <v>0</v>
      </c>
      <c r="AE4265">
        <v>3988.8</v>
      </c>
      <c r="AF4265">
        <v>3988.8</v>
      </c>
      <c r="AG4265">
        <v>0</v>
      </c>
      <c r="AH4265">
        <v>-15.199999999999818</v>
      </c>
    </row>
    <row r="4266" spans="2:34" x14ac:dyDescent="0.35">
      <c r="B4266" t="s">
        <v>747</v>
      </c>
      <c r="C4266">
        <v>45973</v>
      </c>
      <c r="F4266" t="s">
        <v>752</v>
      </c>
      <c r="H4266">
        <v>176.83</v>
      </c>
      <c r="O4266" t="s">
        <v>239</v>
      </c>
      <c r="P4266" t="s">
        <v>514</v>
      </c>
      <c r="Y4266">
        <v>4232</v>
      </c>
      <c r="Z4266" s="259" t="s">
        <v>630</v>
      </c>
      <c r="AA4266">
        <v>30</v>
      </c>
      <c r="AB4266">
        <v>5343</v>
      </c>
      <c r="AC4266">
        <v>45973</v>
      </c>
      <c r="AD4266">
        <v>0</v>
      </c>
      <c r="AE4266">
        <v>5304.9000000000005</v>
      </c>
      <c r="AF4266">
        <v>5304.9000000000005</v>
      </c>
      <c r="AG4266">
        <v>0</v>
      </c>
      <c r="AH4266">
        <v>-38.099999999999454</v>
      </c>
    </row>
    <row r="4267" spans="2:34" x14ac:dyDescent="0.35">
      <c r="B4267" t="s">
        <v>747</v>
      </c>
      <c r="C4267">
        <v>45973</v>
      </c>
      <c r="F4267" t="s">
        <v>754</v>
      </c>
      <c r="H4267">
        <v>76.94</v>
      </c>
      <c r="O4267" t="s">
        <v>239</v>
      </c>
      <c r="P4267" t="s">
        <v>514</v>
      </c>
      <c r="Y4267">
        <v>4233</v>
      </c>
      <c r="Z4267" s="259" t="s">
        <v>630</v>
      </c>
      <c r="AA4267">
        <v>100</v>
      </c>
      <c r="AB4267">
        <v>8008</v>
      </c>
      <c r="AC4267">
        <v>45973</v>
      </c>
      <c r="AD4267">
        <v>0</v>
      </c>
      <c r="AE4267">
        <v>7694</v>
      </c>
      <c r="AF4267">
        <v>7694</v>
      </c>
      <c r="AG4267">
        <v>120</v>
      </c>
      <c r="AH4267">
        <v>-314</v>
      </c>
    </row>
    <row r="4268" spans="2:34" x14ac:dyDescent="0.35">
      <c r="B4268" t="s">
        <v>747</v>
      </c>
      <c r="C4268">
        <v>45974</v>
      </c>
      <c r="F4268" t="s">
        <v>749</v>
      </c>
      <c r="H4268">
        <v>49.76</v>
      </c>
      <c r="O4268" t="s">
        <v>239</v>
      </c>
      <c r="P4268" t="s">
        <v>514</v>
      </c>
      <c r="Y4268">
        <v>4234</v>
      </c>
      <c r="Z4268" s="259" t="s">
        <v>630</v>
      </c>
      <c r="AA4268">
        <v>80</v>
      </c>
      <c r="AB4268">
        <v>4004</v>
      </c>
      <c r="AC4268">
        <v>45974</v>
      </c>
      <c r="AD4268">
        <v>0</v>
      </c>
      <c r="AE4268">
        <v>3980.7999999999997</v>
      </c>
      <c r="AF4268">
        <v>3980.7999999999997</v>
      </c>
      <c r="AG4268">
        <v>0</v>
      </c>
      <c r="AH4268">
        <v>-23.200000000000273</v>
      </c>
    </row>
    <row r="4269" spans="2:34" x14ac:dyDescent="0.35">
      <c r="B4269" t="s">
        <v>747</v>
      </c>
      <c r="C4269">
        <v>45974</v>
      </c>
      <c r="F4269" t="s">
        <v>752</v>
      </c>
      <c r="H4269">
        <v>176.45</v>
      </c>
      <c r="O4269" t="s">
        <v>239</v>
      </c>
      <c r="P4269" t="s">
        <v>514</v>
      </c>
      <c r="Y4269">
        <v>4235</v>
      </c>
      <c r="Z4269" s="259" t="s">
        <v>630</v>
      </c>
      <c r="AA4269">
        <v>30</v>
      </c>
      <c r="AB4269">
        <v>5343</v>
      </c>
      <c r="AC4269">
        <v>45974</v>
      </c>
      <c r="AD4269">
        <v>0</v>
      </c>
      <c r="AE4269">
        <v>5293.5</v>
      </c>
      <c r="AF4269">
        <v>5293.5</v>
      </c>
      <c r="AG4269">
        <v>0</v>
      </c>
      <c r="AH4269">
        <v>-49.5</v>
      </c>
    </row>
    <row r="4270" spans="2:34" x14ac:dyDescent="0.35">
      <c r="B4270" t="s">
        <v>747</v>
      </c>
      <c r="C4270">
        <v>45974</v>
      </c>
      <c r="F4270" t="s">
        <v>754</v>
      </c>
      <c r="H4270">
        <v>77.040000000000006</v>
      </c>
      <c r="O4270" t="s">
        <v>239</v>
      </c>
      <c r="P4270" t="s">
        <v>514</v>
      </c>
      <c r="Y4270">
        <v>4236</v>
      </c>
      <c r="Z4270" s="259" t="s">
        <v>630</v>
      </c>
      <c r="AA4270">
        <v>100</v>
      </c>
      <c r="AB4270">
        <v>8008</v>
      </c>
      <c r="AC4270">
        <v>45974</v>
      </c>
      <c r="AD4270">
        <v>0</v>
      </c>
      <c r="AE4270">
        <v>7704.0000000000009</v>
      </c>
      <c r="AF4270">
        <v>7704.0000000000009</v>
      </c>
      <c r="AG4270">
        <v>120</v>
      </c>
      <c r="AH4270">
        <v>-303.99999999999909</v>
      </c>
    </row>
    <row r="4271" spans="2:34" x14ac:dyDescent="0.35">
      <c r="B4271" t="s">
        <v>747</v>
      </c>
      <c r="C4271">
        <v>45975</v>
      </c>
      <c r="F4271" t="s">
        <v>749</v>
      </c>
      <c r="H4271">
        <v>49.66</v>
      </c>
      <c r="O4271" t="s">
        <v>239</v>
      </c>
      <c r="P4271" t="s">
        <v>514</v>
      </c>
      <c r="Y4271">
        <v>4237</v>
      </c>
      <c r="Z4271" s="259" t="s">
        <v>630</v>
      </c>
      <c r="AA4271">
        <v>80</v>
      </c>
      <c r="AB4271">
        <v>4004</v>
      </c>
      <c r="AC4271">
        <v>45975</v>
      </c>
      <c r="AD4271">
        <v>0</v>
      </c>
      <c r="AE4271">
        <v>3972.7999999999997</v>
      </c>
      <c r="AF4271">
        <v>3972.7999999999997</v>
      </c>
      <c r="AG4271">
        <v>0</v>
      </c>
      <c r="AH4271">
        <v>-31.200000000000273</v>
      </c>
    </row>
    <row r="4272" spans="2:34" x14ac:dyDescent="0.35">
      <c r="B4272" t="s">
        <v>747</v>
      </c>
      <c r="C4272">
        <v>45975</v>
      </c>
      <c r="F4272" t="s">
        <v>752</v>
      </c>
      <c r="H4272">
        <v>176.07</v>
      </c>
      <c r="O4272" t="s">
        <v>239</v>
      </c>
      <c r="P4272" t="s">
        <v>514</v>
      </c>
      <c r="Y4272">
        <v>4238</v>
      </c>
      <c r="Z4272" s="259" t="s">
        <v>630</v>
      </c>
      <c r="AA4272">
        <v>30</v>
      </c>
      <c r="AB4272">
        <v>5343</v>
      </c>
      <c r="AC4272">
        <v>45975</v>
      </c>
      <c r="AD4272">
        <v>0</v>
      </c>
      <c r="AE4272">
        <v>5282.0999999999995</v>
      </c>
      <c r="AF4272">
        <v>5282.0999999999995</v>
      </c>
      <c r="AG4272">
        <v>0</v>
      </c>
      <c r="AH4272">
        <v>-60.900000000000546</v>
      </c>
    </row>
    <row r="4273" spans="2:34" x14ac:dyDescent="0.35">
      <c r="B4273" t="s">
        <v>747</v>
      </c>
      <c r="C4273">
        <v>45975</v>
      </c>
      <c r="F4273" t="s">
        <v>754</v>
      </c>
      <c r="H4273">
        <v>77.14</v>
      </c>
      <c r="O4273" t="s">
        <v>239</v>
      </c>
      <c r="P4273" t="s">
        <v>514</v>
      </c>
      <c r="Y4273">
        <v>4239</v>
      </c>
      <c r="Z4273" s="259" t="s">
        <v>630</v>
      </c>
      <c r="AA4273">
        <v>100</v>
      </c>
      <c r="AB4273">
        <v>8008</v>
      </c>
      <c r="AC4273">
        <v>45975</v>
      </c>
      <c r="AD4273">
        <v>0</v>
      </c>
      <c r="AE4273">
        <v>7714</v>
      </c>
      <c r="AF4273">
        <v>7714</v>
      </c>
      <c r="AG4273">
        <v>120</v>
      </c>
      <c r="AH4273">
        <v>-294</v>
      </c>
    </row>
    <row r="4274" spans="2:34" x14ac:dyDescent="0.35">
      <c r="B4274" t="s">
        <v>747</v>
      </c>
      <c r="C4274">
        <v>45976</v>
      </c>
      <c r="F4274" t="s">
        <v>749</v>
      </c>
      <c r="H4274">
        <v>49.66</v>
      </c>
      <c r="O4274" t="s">
        <v>239</v>
      </c>
      <c r="P4274" t="s">
        <v>514</v>
      </c>
      <c r="Y4274">
        <v>4240</v>
      </c>
      <c r="Z4274" s="259" t="s">
        <v>630</v>
      </c>
      <c r="AA4274">
        <v>80</v>
      </c>
      <c r="AB4274">
        <v>4004</v>
      </c>
      <c r="AC4274">
        <v>45975</v>
      </c>
      <c r="AD4274">
        <v>1</v>
      </c>
      <c r="AE4274">
        <v>3972.7999999999997</v>
      </c>
      <c r="AF4274">
        <v>3972.7999999999997</v>
      </c>
      <c r="AG4274">
        <v>0</v>
      </c>
      <c r="AH4274">
        <v>-31.200000000000273</v>
      </c>
    </row>
    <row r="4275" spans="2:34" x14ac:dyDescent="0.35">
      <c r="B4275" t="s">
        <v>747</v>
      </c>
      <c r="C4275">
        <v>45976</v>
      </c>
      <c r="F4275" t="s">
        <v>752</v>
      </c>
      <c r="H4275">
        <v>176.07</v>
      </c>
      <c r="O4275" t="s">
        <v>239</v>
      </c>
      <c r="P4275" t="s">
        <v>514</v>
      </c>
      <c r="Y4275">
        <v>4241</v>
      </c>
      <c r="Z4275" s="259" t="s">
        <v>630</v>
      </c>
      <c r="AA4275">
        <v>30</v>
      </c>
      <c r="AB4275">
        <v>5343</v>
      </c>
      <c r="AC4275">
        <v>45975</v>
      </c>
      <c r="AD4275">
        <v>1</v>
      </c>
      <c r="AE4275">
        <v>5282.0999999999995</v>
      </c>
      <c r="AF4275">
        <v>5282.0999999999995</v>
      </c>
      <c r="AG4275">
        <v>0</v>
      </c>
      <c r="AH4275">
        <v>-60.900000000000546</v>
      </c>
    </row>
    <row r="4276" spans="2:34" x14ac:dyDescent="0.35">
      <c r="B4276" t="s">
        <v>747</v>
      </c>
      <c r="C4276">
        <v>45976</v>
      </c>
      <c r="F4276" t="s">
        <v>754</v>
      </c>
      <c r="H4276">
        <v>77.14</v>
      </c>
      <c r="O4276" t="s">
        <v>239</v>
      </c>
      <c r="P4276" t="s">
        <v>514</v>
      </c>
      <c r="Y4276">
        <v>4242</v>
      </c>
      <c r="Z4276" s="259" t="s">
        <v>630</v>
      </c>
      <c r="AA4276">
        <v>100</v>
      </c>
      <c r="AB4276">
        <v>8008</v>
      </c>
      <c r="AC4276">
        <v>45975</v>
      </c>
      <c r="AD4276">
        <v>1</v>
      </c>
      <c r="AE4276">
        <v>7714</v>
      </c>
      <c r="AF4276">
        <v>7714</v>
      </c>
      <c r="AG4276">
        <v>120</v>
      </c>
      <c r="AH4276">
        <v>-294</v>
      </c>
    </row>
    <row r="4277" spans="2:34" x14ac:dyDescent="0.35">
      <c r="B4277" t="s">
        <v>747</v>
      </c>
      <c r="C4277">
        <v>45977</v>
      </c>
      <c r="F4277" t="s">
        <v>749</v>
      </c>
      <c r="H4277">
        <v>49.66</v>
      </c>
      <c r="O4277" t="s">
        <v>239</v>
      </c>
      <c r="P4277" t="s">
        <v>514</v>
      </c>
      <c r="Y4277">
        <v>4243</v>
      </c>
      <c r="Z4277" s="259" t="s">
        <v>630</v>
      </c>
      <c r="AA4277">
        <v>80</v>
      </c>
      <c r="AB4277">
        <v>4004</v>
      </c>
      <c r="AC4277">
        <v>45975</v>
      </c>
      <c r="AD4277">
        <v>2</v>
      </c>
      <c r="AE4277">
        <v>3972.7999999999997</v>
      </c>
      <c r="AF4277">
        <v>3972.7999999999997</v>
      </c>
      <c r="AG4277">
        <v>0</v>
      </c>
      <c r="AH4277">
        <v>-31.200000000000273</v>
      </c>
    </row>
    <row r="4278" spans="2:34" x14ac:dyDescent="0.35">
      <c r="B4278" t="s">
        <v>747</v>
      </c>
      <c r="C4278">
        <v>45977</v>
      </c>
      <c r="F4278" t="s">
        <v>752</v>
      </c>
      <c r="H4278">
        <v>176.07</v>
      </c>
      <c r="O4278" t="s">
        <v>239</v>
      </c>
      <c r="P4278" t="s">
        <v>514</v>
      </c>
      <c r="Y4278">
        <v>4244</v>
      </c>
      <c r="Z4278" s="259" t="s">
        <v>630</v>
      </c>
      <c r="AA4278">
        <v>30</v>
      </c>
      <c r="AB4278">
        <v>5343</v>
      </c>
      <c r="AC4278">
        <v>45975</v>
      </c>
      <c r="AD4278">
        <v>2</v>
      </c>
      <c r="AE4278">
        <v>5282.0999999999995</v>
      </c>
      <c r="AF4278">
        <v>5282.0999999999995</v>
      </c>
      <c r="AG4278">
        <v>0</v>
      </c>
      <c r="AH4278">
        <v>-60.900000000000546</v>
      </c>
    </row>
    <row r="4279" spans="2:34" x14ac:dyDescent="0.35">
      <c r="B4279" t="s">
        <v>747</v>
      </c>
      <c r="C4279">
        <v>45977</v>
      </c>
      <c r="F4279" t="s">
        <v>754</v>
      </c>
      <c r="H4279">
        <v>77.14</v>
      </c>
      <c r="O4279" t="s">
        <v>239</v>
      </c>
      <c r="P4279" t="s">
        <v>514</v>
      </c>
      <c r="Y4279">
        <v>4245</v>
      </c>
      <c r="Z4279" s="259" t="s">
        <v>630</v>
      </c>
      <c r="AA4279">
        <v>100</v>
      </c>
      <c r="AB4279">
        <v>8008</v>
      </c>
      <c r="AC4279">
        <v>45975</v>
      </c>
      <c r="AD4279">
        <v>2</v>
      </c>
      <c r="AE4279">
        <v>7714</v>
      </c>
      <c r="AF4279">
        <v>7714</v>
      </c>
      <c r="AG4279">
        <v>120</v>
      </c>
      <c r="AH4279">
        <v>-294</v>
      </c>
    </row>
    <row r="4280" spans="2:34" x14ac:dyDescent="0.35">
      <c r="B4280" t="s">
        <v>747</v>
      </c>
      <c r="C4280">
        <v>45978</v>
      </c>
      <c r="F4280" t="s">
        <v>749</v>
      </c>
      <c r="H4280">
        <v>49.34</v>
      </c>
      <c r="O4280" t="s">
        <v>239</v>
      </c>
      <c r="P4280" t="s">
        <v>514</v>
      </c>
      <c r="Y4280">
        <v>4246</v>
      </c>
      <c r="Z4280" s="259" t="s">
        <v>630</v>
      </c>
      <c r="AA4280">
        <v>80</v>
      </c>
      <c r="AB4280">
        <v>4004</v>
      </c>
      <c r="AC4280">
        <v>45978</v>
      </c>
      <c r="AD4280">
        <v>0</v>
      </c>
      <c r="AE4280">
        <v>3947.2000000000003</v>
      </c>
      <c r="AF4280">
        <v>3947.2000000000003</v>
      </c>
      <c r="AG4280">
        <v>0</v>
      </c>
      <c r="AH4280">
        <v>-56.799999999999727</v>
      </c>
    </row>
    <row r="4281" spans="2:34" x14ac:dyDescent="0.35">
      <c r="B4281" t="s">
        <v>747</v>
      </c>
      <c r="C4281">
        <v>45978</v>
      </c>
      <c r="F4281" t="s">
        <v>752</v>
      </c>
      <c r="H4281">
        <v>174.93</v>
      </c>
      <c r="O4281" t="s">
        <v>239</v>
      </c>
      <c r="P4281" t="s">
        <v>514</v>
      </c>
      <c r="Y4281">
        <v>4247</v>
      </c>
      <c r="Z4281" s="259" t="s">
        <v>630</v>
      </c>
      <c r="AA4281">
        <v>30</v>
      </c>
      <c r="AB4281">
        <v>5343</v>
      </c>
      <c r="AC4281">
        <v>45978</v>
      </c>
      <c r="AD4281">
        <v>0</v>
      </c>
      <c r="AE4281">
        <v>5247.9000000000005</v>
      </c>
      <c r="AF4281">
        <v>5247.9000000000005</v>
      </c>
      <c r="AG4281">
        <v>0</v>
      </c>
      <c r="AH4281">
        <v>-95.099999999999454</v>
      </c>
    </row>
    <row r="4282" spans="2:34" x14ac:dyDescent="0.35">
      <c r="B4282" t="s">
        <v>747</v>
      </c>
      <c r="C4282">
        <v>45978</v>
      </c>
      <c r="F4282" t="s">
        <v>754</v>
      </c>
      <c r="H4282">
        <v>77.459999999999994</v>
      </c>
      <c r="O4282" t="s">
        <v>239</v>
      </c>
      <c r="P4282" t="s">
        <v>514</v>
      </c>
      <c r="Y4282">
        <v>4248</v>
      </c>
      <c r="Z4282" s="259" t="s">
        <v>630</v>
      </c>
      <c r="AA4282">
        <v>100</v>
      </c>
      <c r="AB4282">
        <v>8008</v>
      </c>
      <c r="AC4282">
        <v>45978</v>
      </c>
      <c r="AD4282">
        <v>0</v>
      </c>
      <c r="AE4282">
        <v>7745.9999999999991</v>
      </c>
      <c r="AF4282">
        <v>7745.9999999999991</v>
      </c>
      <c r="AG4282">
        <v>120</v>
      </c>
      <c r="AH4282">
        <v>-262.00000000000091</v>
      </c>
    </row>
    <row r="4283" spans="2:34" x14ac:dyDescent="0.35">
      <c r="B4283" t="s">
        <v>747</v>
      </c>
      <c r="C4283">
        <v>45979</v>
      </c>
      <c r="F4283" t="s">
        <v>749</v>
      </c>
      <c r="H4283">
        <v>49.24</v>
      </c>
      <c r="O4283" t="s">
        <v>239</v>
      </c>
      <c r="P4283" t="s">
        <v>514</v>
      </c>
      <c r="Y4283">
        <v>4249</v>
      </c>
      <c r="Z4283" s="259" t="s">
        <v>630</v>
      </c>
      <c r="AA4283">
        <v>80</v>
      </c>
      <c r="AB4283">
        <v>4004</v>
      </c>
      <c r="AC4283">
        <v>45979</v>
      </c>
      <c r="AD4283">
        <v>0</v>
      </c>
      <c r="AE4283">
        <v>3939.2000000000003</v>
      </c>
      <c r="AF4283">
        <v>3939.2000000000003</v>
      </c>
      <c r="AG4283">
        <v>0</v>
      </c>
      <c r="AH4283">
        <v>-64.799999999999727</v>
      </c>
    </row>
    <row r="4284" spans="2:34" x14ac:dyDescent="0.35">
      <c r="B4284" t="s">
        <v>747</v>
      </c>
      <c r="C4284">
        <v>45979</v>
      </c>
      <c r="F4284" t="s">
        <v>752</v>
      </c>
      <c r="H4284">
        <v>174.55</v>
      </c>
      <c r="O4284" t="s">
        <v>239</v>
      </c>
      <c r="P4284" t="s">
        <v>514</v>
      </c>
      <c r="Y4284">
        <v>4250</v>
      </c>
      <c r="Z4284" s="259" t="s">
        <v>630</v>
      </c>
      <c r="AA4284">
        <v>30</v>
      </c>
      <c r="AB4284">
        <v>5343</v>
      </c>
      <c r="AC4284">
        <v>45979</v>
      </c>
      <c r="AD4284">
        <v>0</v>
      </c>
      <c r="AE4284">
        <v>5236.5</v>
      </c>
      <c r="AF4284">
        <v>5236.5</v>
      </c>
      <c r="AG4284">
        <v>0</v>
      </c>
      <c r="AH4284">
        <v>-106.5</v>
      </c>
    </row>
    <row r="4285" spans="2:34" x14ac:dyDescent="0.35">
      <c r="B4285" t="s">
        <v>747</v>
      </c>
      <c r="C4285">
        <v>45979</v>
      </c>
      <c r="F4285" t="s">
        <v>754</v>
      </c>
      <c r="H4285">
        <v>77.56</v>
      </c>
      <c r="O4285" t="s">
        <v>239</v>
      </c>
      <c r="P4285" t="s">
        <v>514</v>
      </c>
      <c r="Y4285">
        <v>4251</v>
      </c>
      <c r="Z4285" s="259" t="s">
        <v>630</v>
      </c>
      <c r="AA4285">
        <v>100</v>
      </c>
      <c r="AB4285">
        <v>8008</v>
      </c>
      <c r="AC4285">
        <v>45979</v>
      </c>
      <c r="AD4285">
        <v>0</v>
      </c>
      <c r="AE4285">
        <v>7756</v>
      </c>
      <c r="AF4285">
        <v>7756</v>
      </c>
      <c r="AG4285">
        <v>120</v>
      </c>
      <c r="AH4285">
        <v>-252</v>
      </c>
    </row>
    <row r="4286" spans="2:34" x14ac:dyDescent="0.35">
      <c r="B4286" t="s">
        <v>747</v>
      </c>
      <c r="C4286">
        <v>45980</v>
      </c>
      <c r="F4286" t="s">
        <v>749</v>
      </c>
      <c r="H4286">
        <v>49.14</v>
      </c>
      <c r="O4286" t="s">
        <v>239</v>
      </c>
      <c r="P4286" t="s">
        <v>514</v>
      </c>
      <c r="Y4286">
        <v>4252</v>
      </c>
      <c r="Z4286" s="259" t="s">
        <v>630</v>
      </c>
      <c r="AA4286">
        <v>80</v>
      </c>
      <c r="AB4286">
        <v>4004</v>
      </c>
      <c r="AC4286">
        <v>45980</v>
      </c>
      <c r="AD4286">
        <v>0</v>
      </c>
      <c r="AE4286">
        <v>3931.2</v>
      </c>
      <c r="AF4286">
        <v>3931.2</v>
      </c>
      <c r="AG4286">
        <v>0</v>
      </c>
      <c r="AH4286">
        <v>-72.800000000000182</v>
      </c>
    </row>
    <row r="4287" spans="2:34" x14ac:dyDescent="0.35">
      <c r="B4287" t="s">
        <v>747</v>
      </c>
      <c r="C4287">
        <v>45980</v>
      </c>
      <c r="F4287" t="s">
        <v>752</v>
      </c>
      <c r="H4287">
        <v>174.17</v>
      </c>
      <c r="O4287" t="s">
        <v>239</v>
      </c>
      <c r="P4287" t="s">
        <v>514</v>
      </c>
      <c r="Y4287">
        <v>4253</v>
      </c>
      <c r="Z4287" s="259" t="s">
        <v>630</v>
      </c>
      <c r="AA4287">
        <v>30</v>
      </c>
      <c r="AB4287">
        <v>5343</v>
      </c>
      <c r="AC4287">
        <v>45980</v>
      </c>
      <c r="AD4287">
        <v>0</v>
      </c>
      <c r="AE4287">
        <v>5225.0999999999995</v>
      </c>
      <c r="AF4287">
        <v>5225.0999999999995</v>
      </c>
      <c r="AG4287">
        <v>0</v>
      </c>
      <c r="AH4287">
        <v>-117.90000000000055</v>
      </c>
    </row>
    <row r="4288" spans="2:34" x14ac:dyDescent="0.35">
      <c r="B4288" t="s">
        <v>747</v>
      </c>
      <c r="C4288">
        <v>45980</v>
      </c>
      <c r="F4288" t="s">
        <v>754</v>
      </c>
      <c r="H4288">
        <v>77.66</v>
      </c>
      <c r="O4288" t="s">
        <v>239</v>
      </c>
      <c r="P4288" t="s">
        <v>514</v>
      </c>
      <c r="Y4288">
        <v>4254</v>
      </c>
      <c r="Z4288" s="259" t="s">
        <v>630</v>
      </c>
      <c r="AA4288">
        <v>100</v>
      </c>
      <c r="AB4288">
        <v>8008</v>
      </c>
      <c r="AC4288">
        <v>45980</v>
      </c>
      <c r="AD4288">
        <v>0</v>
      </c>
      <c r="AE4288">
        <v>7766</v>
      </c>
      <c r="AF4288">
        <v>7766</v>
      </c>
      <c r="AG4288">
        <v>120</v>
      </c>
      <c r="AH4288">
        <v>-242</v>
      </c>
    </row>
    <row r="4289" spans="2:34" x14ac:dyDescent="0.35">
      <c r="B4289" t="s">
        <v>747</v>
      </c>
      <c r="C4289">
        <v>45981</v>
      </c>
      <c r="F4289" t="s">
        <v>749</v>
      </c>
      <c r="H4289">
        <v>49.03</v>
      </c>
      <c r="O4289" t="s">
        <v>239</v>
      </c>
      <c r="P4289" t="s">
        <v>514</v>
      </c>
      <c r="Y4289">
        <v>4255</v>
      </c>
      <c r="Z4289" s="259" t="s">
        <v>630</v>
      </c>
      <c r="AA4289">
        <v>80</v>
      </c>
      <c r="AB4289">
        <v>4004</v>
      </c>
      <c r="AC4289">
        <v>45981</v>
      </c>
      <c r="AD4289">
        <v>0</v>
      </c>
      <c r="AE4289">
        <v>3922.4</v>
      </c>
      <c r="AF4289">
        <v>3922.4</v>
      </c>
      <c r="AG4289">
        <v>0</v>
      </c>
      <c r="AH4289">
        <v>-81.599999999999909</v>
      </c>
    </row>
    <row r="4290" spans="2:34" x14ac:dyDescent="0.35">
      <c r="B4290" t="s">
        <v>747</v>
      </c>
      <c r="C4290">
        <v>45981</v>
      </c>
      <c r="F4290" t="s">
        <v>752</v>
      </c>
      <c r="H4290">
        <v>173.79</v>
      </c>
      <c r="O4290" t="s">
        <v>239</v>
      </c>
      <c r="P4290" t="s">
        <v>514</v>
      </c>
      <c r="Y4290">
        <v>4256</v>
      </c>
      <c r="Z4290" s="259" t="s">
        <v>630</v>
      </c>
      <c r="AA4290">
        <v>30</v>
      </c>
      <c r="AB4290">
        <v>5343</v>
      </c>
      <c r="AC4290">
        <v>45981</v>
      </c>
      <c r="AD4290">
        <v>0</v>
      </c>
      <c r="AE4290">
        <v>5213.7</v>
      </c>
      <c r="AF4290">
        <v>5213.7</v>
      </c>
      <c r="AG4290">
        <v>0</v>
      </c>
      <c r="AH4290">
        <v>-129.30000000000018</v>
      </c>
    </row>
    <row r="4291" spans="2:34" x14ac:dyDescent="0.35">
      <c r="B4291" t="s">
        <v>747</v>
      </c>
      <c r="C4291">
        <v>45981</v>
      </c>
      <c r="F4291" t="s">
        <v>754</v>
      </c>
      <c r="H4291">
        <v>77.77</v>
      </c>
      <c r="O4291" t="s">
        <v>239</v>
      </c>
      <c r="P4291" t="s">
        <v>514</v>
      </c>
      <c r="Y4291">
        <v>4257</v>
      </c>
      <c r="Z4291" s="259" t="s">
        <v>630</v>
      </c>
      <c r="AA4291">
        <v>100</v>
      </c>
      <c r="AB4291">
        <v>8008</v>
      </c>
      <c r="AC4291">
        <v>45981</v>
      </c>
      <c r="AD4291">
        <v>0</v>
      </c>
      <c r="AE4291">
        <v>7777</v>
      </c>
      <c r="AF4291">
        <v>7777</v>
      </c>
      <c r="AG4291">
        <v>120</v>
      </c>
      <c r="AH4291">
        <v>-231</v>
      </c>
    </row>
    <row r="4292" spans="2:34" x14ac:dyDescent="0.35">
      <c r="B4292" t="s">
        <v>747</v>
      </c>
      <c r="C4292">
        <v>45982</v>
      </c>
      <c r="F4292" t="s">
        <v>749</v>
      </c>
      <c r="H4292">
        <v>48.93</v>
      </c>
      <c r="O4292" t="s">
        <v>239</v>
      </c>
      <c r="P4292" t="s">
        <v>514</v>
      </c>
      <c r="Y4292">
        <v>4258</v>
      </c>
      <c r="Z4292" s="259" t="s">
        <v>630</v>
      </c>
      <c r="AA4292">
        <v>80</v>
      </c>
      <c r="AB4292">
        <v>4004</v>
      </c>
      <c r="AC4292">
        <v>45982</v>
      </c>
      <c r="AD4292">
        <v>0</v>
      </c>
      <c r="AE4292">
        <v>3914.4</v>
      </c>
      <c r="AF4292">
        <v>3914.4</v>
      </c>
      <c r="AG4292">
        <v>0</v>
      </c>
      <c r="AH4292">
        <v>-89.599999999999909</v>
      </c>
    </row>
    <row r="4293" spans="2:34" x14ac:dyDescent="0.35">
      <c r="B4293" t="s">
        <v>747</v>
      </c>
      <c r="C4293">
        <v>45982</v>
      </c>
      <c r="F4293" t="s">
        <v>752</v>
      </c>
      <c r="H4293">
        <v>173.41</v>
      </c>
      <c r="O4293" t="s">
        <v>239</v>
      </c>
      <c r="P4293" t="s">
        <v>514</v>
      </c>
      <c r="Y4293">
        <v>4259</v>
      </c>
      <c r="Z4293" s="259" t="s">
        <v>630</v>
      </c>
      <c r="AA4293">
        <v>30</v>
      </c>
      <c r="AB4293">
        <v>5343</v>
      </c>
      <c r="AC4293">
        <v>45982</v>
      </c>
      <c r="AD4293">
        <v>0</v>
      </c>
      <c r="AE4293">
        <v>5202.3</v>
      </c>
      <c r="AF4293">
        <v>5202.3</v>
      </c>
      <c r="AG4293">
        <v>0</v>
      </c>
      <c r="AH4293">
        <v>-140.69999999999982</v>
      </c>
    </row>
    <row r="4294" spans="2:34" x14ac:dyDescent="0.35">
      <c r="B4294" t="s">
        <v>747</v>
      </c>
      <c r="C4294">
        <v>45982</v>
      </c>
      <c r="F4294" t="s">
        <v>754</v>
      </c>
      <c r="H4294">
        <v>77.87</v>
      </c>
      <c r="O4294" t="s">
        <v>239</v>
      </c>
      <c r="P4294" t="s">
        <v>514</v>
      </c>
      <c r="Y4294">
        <v>4260</v>
      </c>
      <c r="Z4294" s="259" t="s">
        <v>630</v>
      </c>
      <c r="AA4294">
        <v>100</v>
      </c>
      <c r="AB4294">
        <v>8008</v>
      </c>
      <c r="AC4294">
        <v>45982</v>
      </c>
      <c r="AD4294">
        <v>0</v>
      </c>
      <c r="AE4294">
        <v>7787</v>
      </c>
      <c r="AF4294">
        <v>7787</v>
      </c>
      <c r="AG4294">
        <v>120</v>
      </c>
      <c r="AH4294">
        <v>-221</v>
      </c>
    </row>
    <row r="4295" spans="2:34" x14ac:dyDescent="0.35">
      <c r="B4295" t="s">
        <v>747</v>
      </c>
      <c r="C4295">
        <v>45983</v>
      </c>
      <c r="F4295" t="s">
        <v>749</v>
      </c>
      <c r="H4295">
        <v>48.93</v>
      </c>
      <c r="O4295" t="s">
        <v>239</v>
      </c>
      <c r="P4295" t="s">
        <v>514</v>
      </c>
      <c r="Y4295">
        <v>4261</v>
      </c>
      <c r="Z4295" s="259" t="s">
        <v>630</v>
      </c>
      <c r="AA4295">
        <v>80</v>
      </c>
      <c r="AB4295">
        <v>4004</v>
      </c>
      <c r="AC4295">
        <v>45982</v>
      </c>
      <c r="AD4295">
        <v>1</v>
      </c>
      <c r="AE4295">
        <v>3914.4</v>
      </c>
      <c r="AF4295">
        <v>3914.4</v>
      </c>
      <c r="AG4295">
        <v>0</v>
      </c>
      <c r="AH4295">
        <v>-89.599999999999909</v>
      </c>
    </row>
    <row r="4296" spans="2:34" x14ac:dyDescent="0.35">
      <c r="B4296" t="s">
        <v>747</v>
      </c>
      <c r="C4296">
        <v>45983</v>
      </c>
      <c r="F4296" t="s">
        <v>752</v>
      </c>
      <c r="H4296">
        <v>173.41</v>
      </c>
      <c r="O4296" t="s">
        <v>239</v>
      </c>
      <c r="P4296" t="s">
        <v>514</v>
      </c>
      <c r="Y4296">
        <v>4262</v>
      </c>
      <c r="Z4296" s="259" t="s">
        <v>630</v>
      </c>
      <c r="AA4296">
        <v>30</v>
      </c>
      <c r="AB4296">
        <v>5343</v>
      </c>
      <c r="AC4296">
        <v>45982</v>
      </c>
      <c r="AD4296">
        <v>1</v>
      </c>
      <c r="AE4296">
        <v>5202.3</v>
      </c>
      <c r="AF4296">
        <v>5202.3</v>
      </c>
      <c r="AG4296">
        <v>0</v>
      </c>
      <c r="AH4296">
        <v>-140.69999999999982</v>
      </c>
    </row>
    <row r="4297" spans="2:34" x14ac:dyDescent="0.35">
      <c r="B4297" t="s">
        <v>747</v>
      </c>
      <c r="C4297">
        <v>45983</v>
      </c>
      <c r="F4297" t="s">
        <v>754</v>
      </c>
      <c r="H4297">
        <v>77.87</v>
      </c>
      <c r="O4297" t="s">
        <v>239</v>
      </c>
      <c r="P4297" t="s">
        <v>514</v>
      </c>
      <c r="Y4297">
        <v>4263</v>
      </c>
      <c r="Z4297" s="259" t="s">
        <v>630</v>
      </c>
      <c r="AA4297">
        <v>100</v>
      </c>
      <c r="AB4297">
        <v>8008</v>
      </c>
      <c r="AC4297">
        <v>45982</v>
      </c>
      <c r="AD4297">
        <v>1</v>
      </c>
      <c r="AE4297">
        <v>7787</v>
      </c>
      <c r="AF4297">
        <v>7787</v>
      </c>
      <c r="AG4297">
        <v>120</v>
      </c>
      <c r="AH4297">
        <v>-221</v>
      </c>
    </row>
    <row r="4298" spans="2:34" x14ac:dyDescent="0.35">
      <c r="B4298" t="s">
        <v>747</v>
      </c>
      <c r="C4298">
        <v>45984</v>
      </c>
      <c r="F4298" t="s">
        <v>749</v>
      </c>
      <c r="H4298">
        <v>48.93</v>
      </c>
      <c r="O4298" t="s">
        <v>239</v>
      </c>
      <c r="P4298" t="s">
        <v>514</v>
      </c>
      <c r="Y4298">
        <v>4264</v>
      </c>
      <c r="Z4298" s="259" t="s">
        <v>630</v>
      </c>
      <c r="AA4298">
        <v>80</v>
      </c>
      <c r="AB4298">
        <v>4004</v>
      </c>
      <c r="AC4298">
        <v>45982</v>
      </c>
      <c r="AD4298">
        <v>2</v>
      </c>
      <c r="AE4298">
        <v>3914.4</v>
      </c>
      <c r="AF4298">
        <v>3914.4</v>
      </c>
      <c r="AG4298">
        <v>0</v>
      </c>
      <c r="AH4298">
        <v>-89.599999999999909</v>
      </c>
    </row>
    <row r="4299" spans="2:34" x14ac:dyDescent="0.35">
      <c r="B4299" t="s">
        <v>747</v>
      </c>
      <c r="C4299">
        <v>45984</v>
      </c>
      <c r="F4299" t="s">
        <v>752</v>
      </c>
      <c r="H4299">
        <v>173.41</v>
      </c>
      <c r="O4299" t="s">
        <v>239</v>
      </c>
      <c r="P4299" t="s">
        <v>514</v>
      </c>
      <c r="Y4299">
        <v>4265</v>
      </c>
      <c r="Z4299" s="259" t="s">
        <v>630</v>
      </c>
      <c r="AA4299">
        <v>30</v>
      </c>
      <c r="AB4299">
        <v>5343</v>
      </c>
      <c r="AC4299">
        <v>45982</v>
      </c>
      <c r="AD4299">
        <v>2</v>
      </c>
      <c r="AE4299">
        <v>5202.3</v>
      </c>
      <c r="AF4299">
        <v>5202.3</v>
      </c>
      <c r="AG4299">
        <v>0</v>
      </c>
      <c r="AH4299">
        <v>-140.69999999999982</v>
      </c>
    </row>
    <row r="4300" spans="2:34" x14ac:dyDescent="0.35">
      <c r="B4300" t="s">
        <v>747</v>
      </c>
      <c r="C4300">
        <v>45984</v>
      </c>
      <c r="F4300" t="s">
        <v>754</v>
      </c>
      <c r="H4300">
        <v>77.87</v>
      </c>
      <c r="O4300" t="s">
        <v>239</v>
      </c>
      <c r="P4300" t="s">
        <v>514</v>
      </c>
      <c r="Y4300">
        <v>4266</v>
      </c>
      <c r="Z4300" s="259" t="s">
        <v>630</v>
      </c>
      <c r="AA4300">
        <v>100</v>
      </c>
      <c r="AB4300">
        <v>8008</v>
      </c>
      <c r="AC4300">
        <v>45982</v>
      </c>
      <c r="AD4300">
        <v>2</v>
      </c>
      <c r="AE4300">
        <v>7787</v>
      </c>
      <c r="AF4300">
        <v>7787</v>
      </c>
      <c r="AG4300">
        <v>120</v>
      </c>
      <c r="AH4300">
        <v>-221</v>
      </c>
    </row>
    <row r="4301" spans="2:34" x14ac:dyDescent="0.35">
      <c r="B4301" t="s">
        <v>747</v>
      </c>
      <c r="C4301">
        <v>45985</v>
      </c>
      <c r="F4301" t="s">
        <v>749</v>
      </c>
      <c r="H4301">
        <v>48.62</v>
      </c>
      <c r="O4301" t="s">
        <v>239</v>
      </c>
      <c r="P4301" t="s">
        <v>514</v>
      </c>
      <c r="Y4301">
        <v>4267</v>
      </c>
      <c r="Z4301" s="259" t="s">
        <v>630</v>
      </c>
      <c r="AA4301">
        <v>80</v>
      </c>
      <c r="AB4301">
        <v>4004</v>
      </c>
      <c r="AC4301">
        <v>45985</v>
      </c>
      <c r="AD4301">
        <v>0</v>
      </c>
      <c r="AE4301">
        <v>3889.6</v>
      </c>
      <c r="AF4301">
        <v>3889.6</v>
      </c>
      <c r="AG4301">
        <v>0</v>
      </c>
      <c r="AH4301">
        <v>-114.40000000000009</v>
      </c>
    </row>
    <row r="4302" spans="2:34" x14ac:dyDescent="0.35">
      <c r="B4302" t="s">
        <v>747</v>
      </c>
      <c r="C4302">
        <v>45985</v>
      </c>
      <c r="F4302" t="s">
        <v>752</v>
      </c>
      <c r="H4302">
        <v>172.28</v>
      </c>
      <c r="O4302" t="s">
        <v>239</v>
      </c>
      <c r="P4302" t="s">
        <v>514</v>
      </c>
      <c r="Y4302">
        <v>4268</v>
      </c>
      <c r="Z4302" s="259" t="s">
        <v>630</v>
      </c>
      <c r="AA4302">
        <v>30</v>
      </c>
      <c r="AB4302">
        <v>5343</v>
      </c>
      <c r="AC4302">
        <v>45985</v>
      </c>
      <c r="AD4302">
        <v>0</v>
      </c>
      <c r="AE4302">
        <v>5168.3999999999996</v>
      </c>
      <c r="AF4302">
        <v>5168.3999999999996</v>
      </c>
      <c r="AG4302">
        <v>0</v>
      </c>
      <c r="AH4302">
        <v>-174.60000000000036</v>
      </c>
    </row>
    <row r="4303" spans="2:34" x14ac:dyDescent="0.35">
      <c r="B4303" t="s">
        <v>747</v>
      </c>
      <c r="C4303">
        <v>45985</v>
      </c>
      <c r="F4303" t="s">
        <v>754</v>
      </c>
      <c r="H4303">
        <v>78.180000000000007</v>
      </c>
      <c r="O4303" t="s">
        <v>239</v>
      </c>
      <c r="P4303" t="s">
        <v>514</v>
      </c>
      <c r="Y4303">
        <v>4269</v>
      </c>
      <c r="Z4303" s="259" t="s">
        <v>630</v>
      </c>
      <c r="AA4303">
        <v>100</v>
      </c>
      <c r="AB4303">
        <v>8008</v>
      </c>
      <c r="AC4303">
        <v>45985</v>
      </c>
      <c r="AD4303">
        <v>0</v>
      </c>
      <c r="AE4303">
        <v>7818.0000000000009</v>
      </c>
      <c r="AF4303">
        <v>7818.0000000000009</v>
      </c>
      <c r="AG4303">
        <v>120</v>
      </c>
      <c r="AH4303">
        <v>-189.99999999999909</v>
      </c>
    </row>
    <row r="4304" spans="2:34" x14ac:dyDescent="0.35">
      <c r="B4304" t="s">
        <v>747</v>
      </c>
      <c r="C4304">
        <v>45986</v>
      </c>
      <c r="F4304" t="s">
        <v>749</v>
      </c>
      <c r="H4304">
        <v>48.52</v>
      </c>
      <c r="O4304" t="s">
        <v>239</v>
      </c>
      <c r="P4304" t="s">
        <v>514</v>
      </c>
      <c r="Y4304">
        <v>4270</v>
      </c>
      <c r="Z4304" s="259" t="s">
        <v>630</v>
      </c>
      <c r="AA4304">
        <v>80</v>
      </c>
      <c r="AB4304">
        <v>4004</v>
      </c>
      <c r="AC4304">
        <v>45986</v>
      </c>
      <c r="AD4304">
        <v>0</v>
      </c>
      <c r="AE4304">
        <v>3881.6000000000004</v>
      </c>
      <c r="AF4304">
        <v>3881.6000000000004</v>
      </c>
      <c r="AG4304">
        <v>0</v>
      </c>
      <c r="AH4304">
        <v>-122.39999999999964</v>
      </c>
    </row>
    <row r="4305" spans="2:34" x14ac:dyDescent="0.35">
      <c r="B4305" t="s">
        <v>747</v>
      </c>
      <c r="C4305">
        <v>45986</v>
      </c>
      <c r="F4305" t="s">
        <v>752</v>
      </c>
      <c r="H4305">
        <v>171.9</v>
      </c>
      <c r="O4305" t="s">
        <v>239</v>
      </c>
      <c r="P4305" t="s">
        <v>514</v>
      </c>
      <c r="Y4305">
        <v>4271</v>
      </c>
      <c r="Z4305" s="259" t="s">
        <v>630</v>
      </c>
      <c r="AA4305">
        <v>30</v>
      </c>
      <c r="AB4305">
        <v>5343</v>
      </c>
      <c r="AC4305">
        <v>45986</v>
      </c>
      <c r="AD4305">
        <v>0</v>
      </c>
      <c r="AE4305">
        <v>5157</v>
      </c>
      <c r="AF4305">
        <v>5157</v>
      </c>
      <c r="AG4305">
        <v>0</v>
      </c>
      <c r="AH4305">
        <v>-186</v>
      </c>
    </row>
    <row r="4306" spans="2:34" x14ac:dyDescent="0.35">
      <c r="B4306" t="s">
        <v>747</v>
      </c>
      <c r="C4306">
        <v>45986</v>
      </c>
      <c r="F4306" t="s">
        <v>754</v>
      </c>
      <c r="H4306">
        <v>78.28</v>
      </c>
      <c r="O4306" t="s">
        <v>239</v>
      </c>
      <c r="P4306" t="s">
        <v>514</v>
      </c>
      <c r="Y4306">
        <v>4272</v>
      </c>
      <c r="Z4306" s="259" t="s">
        <v>630</v>
      </c>
      <c r="AA4306">
        <v>100</v>
      </c>
      <c r="AB4306">
        <v>8008</v>
      </c>
      <c r="AC4306">
        <v>45986</v>
      </c>
      <c r="AD4306">
        <v>0</v>
      </c>
      <c r="AE4306">
        <v>7828</v>
      </c>
      <c r="AF4306">
        <v>7828</v>
      </c>
      <c r="AG4306">
        <v>120</v>
      </c>
      <c r="AH4306">
        <v>-180</v>
      </c>
    </row>
    <row r="4307" spans="2:34" x14ac:dyDescent="0.35">
      <c r="B4307" t="s">
        <v>747</v>
      </c>
      <c r="C4307">
        <v>45987</v>
      </c>
      <c r="F4307" t="s">
        <v>749</v>
      </c>
      <c r="H4307">
        <v>48.41</v>
      </c>
      <c r="O4307" t="s">
        <v>239</v>
      </c>
      <c r="P4307" t="s">
        <v>514</v>
      </c>
      <c r="Y4307">
        <v>4273</v>
      </c>
      <c r="Z4307" s="259" t="s">
        <v>630</v>
      </c>
      <c r="AA4307">
        <v>80</v>
      </c>
      <c r="AB4307">
        <v>4004</v>
      </c>
      <c r="AC4307">
        <v>45987</v>
      </c>
      <c r="AD4307">
        <v>0</v>
      </c>
      <c r="AE4307">
        <v>3872.7999999999997</v>
      </c>
      <c r="AF4307">
        <v>3872.7999999999997</v>
      </c>
      <c r="AG4307">
        <v>0</v>
      </c>
      <c r="AH4307">
        <v>-131.20000000000027</v>
      </c>
    </row>
    <row r="4308" spans="2:34" x14ac:dyDescent="0.35">
      <c r="B4308" t="s">
        <v>747</v>
      </c>
      <c r="C4308">
        <v>45987</v>
      </c>
      <c r="F4308" t="s">
        <v>752</v>
      </c>
      <c r="H4308">
        <v>171.52</v>
      </c>
      <c r="O4308" t="s">
        <v>239</v>
      </c>
      <c r="P4308" t="s">
        <v>514</v>
      </c>
      <c r="Y4308">
        <v>4274</v>
      </c>
      <c r="Z4308" s="259" t="s">
        <v>630</v>
      </c>
      <c r="AA4308">
        <v>30</v>
      </c>
      <c r="AB4308">
        <v>5343</v>
      </c>
      <c r="AC4308">
        <v>45987</v>
      </c>
      <c r="AD4308">
        <v>0</v>
      </c>
      <c r="AE4308">
        <v>5145.6000000000004</v>
      </c>
      <c r="AF4308">
        <v>5145.6000000000004</v>
      </c>
      <c r="AG4308">
        <v>0</v>
      </c>
      <c r="AH4308">
        <v>-197.39999999999964</v>
      </c>
    </row>
    <row r="4309" spans="2:34" x14ac:dyDescent="0.35">
      <c r="B4309" t="s">
        <v>747</v>
      </c>
      <c r="C4309">
        <v>45987</v>
      </c>
      <c r="F4309" t="s">
        <v>754</v>
      </c>
      <c r="H4309">
        <v>78.39</v>
      </c>
      <c r="O4309" t="s">
        <v>239</v>
      </c>
      <c r="P4309" t="s">
        <v>514</v>
      </c>
      <c r="Y4309">
        <v>4275</v>
      </c>
      <c r="Z4309" s="259" t="s">
        <v>630</v>
      </c>
      <c r="AA4309">
        <v>100</v>
      </c>
      <c r="AB4309">
        <v>8008</v>
      </c>
      <c r="AC4309">
        <v>45987</v>
      </c>
      <c r="AD4309">
        <v>0</v>
      </c>
      <c r="AE4309">
        <v>7839</v>
      </c>
      <c r="AF4309">
        <v>7839</v>
      </c>
      <c r="AG4309">
        <v>120</v>
      </c>
      <c r="AH4309">
        <v>-169</v>
      </c>
    </row>
    <row r="4310" spans="2:34" x14ac:dyDescent="0.35">
      <c r="B4310" t="s">
        <v>747</v>
      </c>
      <c r="C4310">
        <v>45988</v>
      </c>
      <c r="F4310" t="s">
        <v>749</v>
      </c>
      <c r="H4310">
        <v>48.31</v>
      </c>
      <c r="O4310" t="s">
        <v>239</v>
      </c>
      <c r="P4310" t="s">
        <v>514</v>
      </c>
      <c r="Y4310">
        <v>4276</v>
      </c>
      <c r="Z4310" s="259" t="s">
        <v>630</v>
      </c>
      <c r="AA4310">
        <v>80</v>
      </c>
      <c r="AB4310">
        <v>4004</v>
      </c>
      <c r="AC4310">
        <v>45988</v>
      </c>
      <c r="AD4310">
        <v>0</v>
      </c>
      <c r="AE4310">
        <v>3864.8</v>
      </c>
      <c r="AF4310">
        <v>3864.8</v>
      </c>
      <c r="AG4310">
        <v>0</v>
      </c>
      <c r="AH4310">
        <v>-139.19999999999982</v>
      </c>
    </row>
    <row r="4311" spans="2:34" x14ac:dyDescent="0.35">
      <c r="B4311" t="s">
        <v>747</v>
      </c>
      <c r="C4311">
        <v>45988</v>
      </c>
      <c r="F4311" t="s">
        <v>752</v>
      </c>
      <c r="H4311">
        <v>171.14</v>
      </c>
      <c r="O4311" t="s">
        <v>239</v>
      </c>
      <c r="P4311" t="s">
        <v>514</v>
      </c>
      <c r="Y4311">
        <v>4277</v>
      </c>
      <c r="Z4311" s="259" t="s">
        <v>630</v>
      </c>
      <c r="AA4311">
        <v>30</v>
      </c>
      <c r="AB4311">
        <v>5343</v>
      </c>
      <c r="AC4311">
        <v>45988</v>
      </c>
      <c r="AD4311">
        <v>0</v>
      </c>
      <c r="AE4311">
        <v>5134.2</v>
      </c>
      <c r="AF4311">
        <v>5134.2</v>
      </c>
      <c r="AG4311">
        <v>0</v>
      </c>
      <c r="AH4311">
        <v>-208.80000000000018</v>
      </c>
    </row>
    <row r="4312" spans="2:34" x14ac:dyDescent="0.35">
      <c r="B4312" t="s">
        <v>747</v>
      </c>
      <c r="C4312">
        <v>45988</v>
      </c>
      <c r="F4312" t="s">
        <v>754</v>
      </c>
      <c r="H4312">
        <v>78.489999999999995</v>
      </c>
      <c r="O4312" t="s">
        <v>239</v>
      </c>
      <c r="P4312" t="s">
        <v>514</v>
      </c>
      <c r="Y4312">
        <v>4278</v>
      </c>
      <c r="Z4312" s="259" t="s">
        <v>630</v>
      </c>
      <c r="AA4312">
        <v>100</v>
      </c>
      <c r="AB4312">
        <v>8008</v>
      </c>
      <c r="AC4312">
        <v>45988</v>
      </c>
      <c r="AD4312">
        <v>0</v>
      </c>
      <c r="AE4312">
        <v>7848.9999999999991</v>
      </c>
      <c r="AF4312">
        <v>7848.9999999999991</v>
      </c>
      <c r="AG4312">
        <v>120</v>
      </c>
      <c r="AH4312">
        <v>-159.00000000000091</v>
      </c>
    </row>
    <row r="4313" spans="2:34" x14ac:dyDescent="0.35">
      <c r="B4313" t="s">
        <v>747</v>
      </c>
      <c r="C4313">
        <v>45989</v>
      </c>
      <c r="F4313" t="s">
        <v>749</v>
      </c>
      <c r="H4313">
        <v>48.21</v>
      </c>
      <c r="O4313" t="s">
        <v>239</v>
      </c>
      <c r="P4313" t="s">
        <v>514</v>
      </c>
      <c r="Y4313">
        <v>4279</v>
      </c>
      <c r="Z4313" s="259" t="s">
        <v>630</v>
      </c>
      <c r="AA4313">
        <v>80</v>
      </c>
      <c r="AB4313">
        <v>4004</v>
      </c>
      <c r="AC4313">
        <v>45989</v>
      </c>
      <c r="AD4313">
        <v>0</v>
      </c>
      <c r="AE4313">
        <v>3856.8</v>
      </c>
      <c r="AF4313">
        <v>3856.8</v>
      </c>
      <c r="AG4313">
        <v>0</v>
      </c>
      <c r="AH4313">
        <v>-147.19999999999982</v>
      </c>
    </row>
    <row r="4314" spans="2:34" x14ac:dyDescent="0.35">
      <c r="B4314" t="s">
        <v>747</v>
      </c>
      <c r="C4314">
        <v>45989</v>
      </c>
      <c r="F4314" t="s">
        <v>752</v>
      </c>
      <c r="H4314">
        <v>170.76</v>
      </c>
      <c r="O4314" t="s">
        <v>239</v>
      </c>
      <c r="P4314" t="s">
        <v>514</v>
      </c>
      <c r="Y4314">
        <v>4280</v>
      </c>
      <c r="Z4314" s="259" t="s">
        <v>630</v>
      </c>
      <c r="AA4314">
        <v>30</v>
      </c>
      <c r="AB4314">
        <v>5343</v>
      </c>
      <c r="AC4314">
        <v>45989</v>
      </c>
      <c r="AD4314">
        <v>0</v>
      </c>
      <c r="AE4314">
        <v>5122.7999999999993</v>
      </c>
      <c r="AF4314">
        <v>5122.7999999999993</v>
      </c>
      <c r="AG4314">
        <v>0</v>
      </c>
      <c r="AH4314">
        <v>-220.20000000000073</v>
      </c>
    </row>
    <row r="4315" spans="2:34" x14ac:dyDescent="0.35">
      <c r="B4315" t="s">
        <v>747</v>
      </c>
      <c r="C4315">
        <v>45989</v>
      </c>
      <c r="F4315" t="s">
        <v>754</v>
      </c>
      <c r="H4315">
        <v>78.59</v>
      </c>
      <c r="O4315" t="s">
        <v>239</v>
      </c>
      <c r="P4315" t="s">
        <v>514</v>
      </c>
      <c r="Y4315">
        <v>4281</v>
      </c>
      <c r="Z4315" s="259" t="s">
        <v>630</v>
      </c>
      <c r="AA4315">
        <v>100</v>
      </c>
      <c r="AB4315">
        <v>8008</v>
      </c>
      <c r="AC4315">
        <v>45989</v>
      </c>
      <c r="AD4315">
        <v>0</v>
      </c>
      <c r="AE4315">
        <v>7859</v>
      </c>
      <c r="AF4315">
        <v>7859</v>
      </c>
      <c r="AG4315">
        <v>120</v>
      </c>
      <c r="AH4315">
        <v>-149</v>
      </c>
    </row>
    <row r="4316" spans="2:34" x14ac:dyDescent="0.35">
      <c r="B4316" t="s">
        <v>747</v>
      </c>
      <c r="C4316">
        <v>45990</v>
      </c>
      <c r="F4316" t="s">
        <v>749</v>
      </c>
      <c r="H4316">
        <v>48.21</v>
      </c>
      <c r="O4316" t="s">
        <v>239</v>
      </c>
      <c r="P4316" t="s">
        <v>514</v>
      </c>
      <c r="Y4316">
        <v>4282</v>
      </c>
      <c r="Z4316" s="259" t="s">
        <v>630</v>
      </c>
      <c r="AA4316">
        <v>80</v>
      </c>
      <c r="AB4316">
        <v>4004</v>
      </c>
      <c r="AC4316">
        <v>45989</v>
      </c>
      <c r="AD4316">
        <v>1</v>
      </c>
      <c r="AE4316">
        <v>3856.8</v>
      </c>
      <c r="AF4316">
        <v>3856.8</v>
      </c>
      <c r="AG4316">
        <v>0</v>
      </c>
      <c r="AH4316">
        <v>-147.19999999999982</v>
      </c>
    </row>
    <row r="4317" spans="2:34" x14ac:dyDescent="0.35">
      <c r="B4317" t="s">
        <v>747</v>
      </c>
      <c r="C4317">
        <v>45990</v>
      </c>
      <c r="F4317" t="s">
        <v>752</v>
      </c>
      <c r="H4317">
        <v>170.76</v>
      </c>
      <c r="O4317" t="s">
        <v>239</v>
      </c>
      <c r="P4317" t="s">
        <v>514</v>
      </c>
      <c r="Y4317">
        <v>4283</v>
      </c>
      <c r="Z4317" s="259" t="s">
        <v>630</v>
      </c>
      <c r="AA4317">
        <v>30</v>
      </c>
      <c r="AB4317">
        <v>5343</v>
      </c>
      <c r="AC4317">
        <v>45989</v>
      </c>
      <c r="AD4317">
        <v>1</v>
      </c>
      <c r="AE4317">
        <v>5122.7999999999993</v>
      </c>
      <c r="AF4317">
        <v>5122.7999999999993</v>
      </c>
      <c r="AG4317">
        <v>0</v>
      </c>
      <c r="AH4317">
        <v>-220.20000000000073</v>
      </c>
    </row>
    <row r="4318" spans="2:34" x14ac:dyDescent="0.35">
      <c r="B4318" t="s">
        <v>747</v>
      </c>
      <c r="C4318">
        <v>45990</v>
      </c>
      <c r="F4318" t="s">
        <v>754</v>
      </c>
      <c r="H4318">
        <v>78.59</v>
      </c>
      <c r="O4318" t="s">
        <v>239</v>
      </c>
      <c r="P4318" t="s">
        <v>514</v>
      </c>
      <c r="Y4318">
        <v>4284</v>
      </c>
      <c r="Z4318" s="259" t="s">
        <v>630</v>
      </c>
      <c r="AA4318">
        <v>100</v>
      </c>
      <c r="AB4318">
        <v>8008</v>
      </c>
      <c r="AC4318">
        <v>45989</v>
      </c>
      <c r="AD4318">
        <v>1</v>
      </c>
      <c r="AE4318">
        <v>7859</v>
      </c>
      <c r="AF4318">
        <v>7859</v>
      </c>
      <c r="AG4318">
        <v>120</v>
      </c>
      <c r="AH4318">
        <v>-149</v>
      </c>
    </row>
    <row r="4319" spans="2:34" x14ac:dyDescent="0.35">
      <c r="B4319" t="s">
        <v>747</v>
      </c>
      <c r="C4319">
        <v>45991</v>
      </c>
      <c r="F4319" t="s">
        <v>749</v>
      </c>
      <c r="H4319">
        <v>48.21</v>
      </c>
      <c r="O4319" t="s">
        <v>239</v>
      </c>
      <c r="P4319" t="s">
        <v>514</v>
      </c>
      <c r="Y4319">
        <v>4285</v>
      </c>
      <c r="Z4319" s="259" t="s">
        <v>630</v>
      </c>
      <c r="AA4319">
        <v>80</v>
      </c>
      <c r="AB4319">
        <v>4004</v>
      </c>
      <c r="AC4319">
        <v>45989</v>
      </c>
      <c r="AD4319">
        <v>2</v>
      </c>
      <c r="AE4319">
        <v>3856.8</v>
      </c>
      <c r="AF4319">
        <v>3856.8</v>
      </c>
      <c r="AG4319">
        <v>0</v>
      </c>
      <c r="AH4319">
        <v>-147.19999999999982</v>
      </c>
    </row>
    <row r="4320" spans="2:34" x14ac:dyDescent="0.35">
      <c r="B4320" t="s">
        <v>747</v>
      </c>
      <c r="C4320">
        <v>45991</v>
      </c>
      <c r="F4320" t="s">
        <v>752</v>
      </c>
      <c r="H4320">
        <v>170.76</v>
      </c>
      <c r="O4320" t="s">
        <v>239</v>
      </c>
      <c r="P4320" t="s">
        <v>514</v>
      </c>
      <c r="Y4320">
        <v>4286</v>
      </c>
      <c r="Z4320" s="259" t="s">
        <v>630</v>
      </c>
      <c r="AA4320">
        <v>30</v>
      </c>
      <c r="AB4320">
        <v>5343</v>
      </c>
      <c r="AC4320">
        <v>45989</v>
      </c>
      <c r="AD4320">
        <v>2</v>
      </c>
      <c r="AE4320">
        <v>5122.7999999999993</v>
      </c>
      <c r="AF4320">
        <v>5122.7999999999993</v>
      </c>
      <c r="AG4320">
        <v>0</v>
      </c>
      <c r="AH4320">
        <v>-220.20000000000073</v>
      </c>
    </row>
    <row r="4321" spans="2:34" x14ac:dyDescent="0.35">
      <c r="B4321" t="s">
        <v>747</v>
      </c>
      <c r="C4321">
        <v>45991</v>
      </c>
      <c r="F4321" t="s">
        <v>754</v>
      </c>
      <c r="H4321">
        <v>78.59</v>
      </c>
      <c r="O4321" t="s">
        <v>239</v>
      </c>
      <c r="P4321" t="s">
        <v>514</v>
      </c>
      <c r="Y4321">
        <v>4287</v>
      </c>
      <c r="Z4321" s="259" t="s">
        <v>630</v>
      </c>
      <c r="AA4321">
        <v>100</v>
      </c>
      <c r="AB4321">
        <v>8008</v>
      </c>
      <c r="AC4321">
        <v>45989</v>
      </c>
      <c r="AD4321">
        <v>2</v>
      </c>
      <c r="AE4321">
        <v>7859</v>
      </c>
      <c r="AF4321">
        <v>7859</v>
      </c>
      <c r="AG4321">
        <v>120</v>
      </c>
      <c r="AH4321">
        <v>-149</v>
      </c>
    </row>
    <row r="4322" spans="2:34" x14ac:dyDescent="0.35">
      <c r="B4322" t="s">
        <v>747</v>
      </c>
      <c r="C4322">
        <v>45992</v>
      </c>
      <c r="F4322" t="s">
        <v>749</v>
      </c>
      <c r="H4322">
        <v>48</v>
      </c>
      <c r="O4322" t="s">
        <v>239</v>
      </c>
      <c r="P4322" t="s">
        <v>514</v>
      </c>
      <c r="Y4322">
        <v>4288</v>
      </c>
      <c r="Z4322" s="259" t="s">
        <v>630</v>
      </c>
      <c r="AA4322">
        <v>80</v>
      </c>
      <c r="AB4322">
        <v>4004</v>
      </c>
      <c r="AC4322">
        <v>45992</v>
      </c>
      <c r="AD4322">
        <v>0</v>
      </c>
      <c r="AE4322">
        <v>3840</v>
      </c>
      <c r="AF4322">
        <v>3840</v>
      </c>
      <c r="AG4322">
        <v>0</v>
      </c>
      <c r="AH4322">
        <v>-164</v>
      </c>
    </row>
    <row r="4323" spans="2:34" x14ac:dyDescent="0.35">
      <c r="B4323" t="s">
        <v>747</v>
      </c>
      <c r="C4323">
        <v>45992</v>
      </c>
      <c r="F4323" t="s">
        <v>752</v>
      </c>
      <c r="H4323">
        <v>170</v>
      </c>
      <c r="O4323" t="s">
        <v>239</v>
      </c>
      <c r="P4323" t="s">
        <v>514</v>
      </c>
      <c r="Y4323">
        <v>4289</v>
      </c>
      <c r="Z4323" s="259" t="s">
        <v>630</v>
      </c>
      <c r="AA4323">
        <v>30</v>
      </c>
      <c r="AB4323">
        <v>5343</v>
      </c>
      <c r="AC4323">
        <v>45992</v>
      </c>
      <c r="AD4323">
        <v>0</v>
      </c>
      <c r="AE4323">
        <v>5100</v>
      </c>
      <c r="AF4323">
        <v>5100</v>
      </c>
      <c r="AG4323">
        <v>0</v>
      </c>
      <c r="AH4323">
        <v>-243</v>
      </c>
    </row>
    <row r="4324" spans="2:34" x14ac:dyDescent="0.35">
      <c r="B4324" t="s">
        <v>747</v>
      </c>
      <c r="C4324">
        <v>45992</v>
      </c>
      <c r="F4324" t="s">
        <v>754</v>
      </c>
      <c r="H4324">
        <v>78.8</v>
      </c>
      <c r="O4324" t="s">
        <v>239</v>
      </c>
      <c r="P4324" t="s">
        <v>514</v>
      </c>
      <c r="Y4324">
        <v>4290</v>
      </c>
      <c r="Z4324" s="259" t="s">
        <v>630</v>
      </c>
      <c r="AA4324">
        <v>100</v>
      </c>
      <c r="AB4324">
        <v>8008</v>
      </c>
      <c r="AC4324">
        <v>45992</v>
      </c>
      <c r="AD4324">
        <v>0</v>
      </c>
      <c r="AE4324">
        <v>7880</v>
      </c>
      <c r="AF4324">
        <v>7880</v>
      </c>
      <c r="AG4324">
        <v>120</v>
      </c>
      <c r="AH4324">
        <v>-128</v>
      </c>
    </row>
    <row r="4325" spans="2:34" x14ac:dyDescent="0.35">
      <c r="B4325" t="s">
        <v>747</v>
      </c>
      <c r="C4325">
        <v>45993</v>
      </c>
      <c r="F4325" t="s">
        <v>749</v>
      </c>
      <c r="H4325">
        <v>47.98</v>
      </c>
      <c r="O4325" t="s">
        <v>239</v>
      </c>
      <c r="P4325" t="s">
        <v>514</v>
      </c>
      <c r="Y4325">
        <v>4291</v>
      </c>
      <c r="Z4325" s="259" t="s">
        <v>630</v>
      </c>
      <c r="AA4325">
        <v>80</v>
      </c>
      <c r="AB4325">
        <v>4004</v>
      </c>
      <c r="AC4325">
        <v>45993</v>
      </c>
      <c r="AD4325">
        <v>0</v>
      </c>
      <c r="AE4325">
        <v>3838.3999999999996</v>
      </c>
      <c r="AF4325">
        <v>3838.3999999999996</v>
      </c>
      <c r="AG4325">
        <v>0</v>
      </c>
      <c r="AH4325">
        <v>-165.60000000000036</v>
      </c>
    </row>
    <row r="4326" spans="2:34" x14ac:dyDescent="0.35">
      <c r="B4326" t="s">
        <v>747</v>
      </c>
      <c r="C4326">
        <v>45993</v>
      </c>
      <c r="F4326" t="s">
        <v>752</v>
      </c>
      <c r="H4326">
        <v>169.97</v>
      </c>
      <c r="O4326" t="s">
        <v>239</v>
      </c>
      <c r="P4326" t="s">
        <v>514</v>
      </c>
      <c r="Y4326">
        <v>4292</v>
      </c>
      <c r="Z4326" s="259" t="s">
        <v>630</v>
      </c>
      <c r="AA4326">
        <v>30</v>
      </c>
      <c r="AB4326">
        <v>5343</v>
      </c>
      <c r="AC4326">
        <v>45993</v>
      </c>
      <c r="AD4326">
        <v>0</v>
      </c>
      <c r="AE4326">
        <v>5099.1000000000004</v>
      </c>
      <c r="AF4326">
        <v>5099.1000000000004</v>
      </c>
      <c r="AG4326">
        <v>0</v>
      </c>
      <c r="AH4326">
        <v>-243.89999999999964</v>
      </c>
    </row>
    <row r="4327" spans="2:34" x14ac:dyDescent="0.35">
      <c r="B4327" t="s">
        <v>747</v>
      </c>
      <c r="C4327">
        <v>45993</v>
      </c>
      <c r="F4327" t="s">
        <v>754</v>
      </c>
      <c r="H4327">
        <v>78.77</v>
      </c>
      <c r="O4327" t="s">
        <v>239</v>
      </c>
      <c r="P4327" t="s">
        <v>514</v>
      </c>
      <c r="Y4327">
        <v>4293</v>
      </c>
      <c r="Z4327" s="259" t="s">
        <v>630</v>
      </c>
      <c r="AA4327">
        <v>100</v>
      </c>
      <c r="AB4327">
        <v>8008</v>
      </c>
      <c r="AC4327">
        <v>45993</v>
      </c>
      <c r="AD4327">
        <v>0</v>
      </c>
      <c r="AE4327">
        <v>7877</v>
      </c>
      <c r="AF4327">
        <v>7877</v>
      </c>
      <c r="AG4327">
        <v>120</v>
      </c>
      <c r="AH4327">
        <v>-131</v>
      </c>
    </row>
    <row r="4328" spans="2:34" x14ac:dyDescent="0.35">
      <c r="B4328" t="s">
        <v>747</v>
      </c>
      <c r="C4328">
        <v>45994</v>
      </c>
      <c r="F4328" t="s">
        <v>749</v>
      </c>
      <c r="H4328">
        <v>47.97</v>
      </c>
      <c r="O4328" t="s">
        <v>239</v>
      </c>
      <c r="P4328" t="s">
        <v>514</v>
      </c>
      <c r="Y4328">
        <v>4294</v>
      </c>
      <c r="Z4328" s="259" t="s">
        <v>630</v>
      </c>
      <c r="AA4328">
        <v>80</v>
      </c>
      <c r="AB4328">
        <v>4004</v>
      </c>
      <c r="AC4328">
        <v>45994</v>
      </c>
      <c r="AD4328">
        <v>0</v>
      </c>
      <c r="AE4328">
        <v>3837.6</v>
      </c>
      <c r="AF4328">
        <v>3837.6</v>
      </c>
      <c r="AG4328">
        <v>0</v>
      </c>
      <c r="AH4328">
        <v>-166.40000000000009</v>
      </c>
    </row>
    <row r="4329" spans="2:34" x14ac:dyDescent="0.35">
      <c r="B4329" t="s">
        <v>747</v>
      </c>
      <c r="C4329">
        <v>45994</v>
      </c>
      <c r="F4329" t="s">
        <v>752</v>
      </c>
      <c r="H4329">
        <v>169.93</v>
      </c>
      <c r="O4329" t="s">
        <v>239</v>
      </c>
      <c r="P4329" t="s">
        <v>514</v>
      </c>
      <c r="Y4329">
        <v>4295</v>
      </c>
      <c r="Z4329" s="259" t="s">
        <v>630</v>
      </c>
      <c r="AA4329">
        <v>30</v>
      </c>
      <c r="AB4329">
        <v>5343</v>
      </c>
      <c r="AC4329">
        <v>45994</v>
      </c>
      <c r="AD4329">
        <v>0</v>
      </c>
      <c r="AE4329">
        <v>5097.9000000000005</v>
      </c>
      <c r="AF4329">
        <v>5097.9000000000005</v>
      </c>
      <c r="AG4329">
        <v>0</v>
      </c>
      <c r="AH4329">
        <v>-245.09999999999945</v>
      </c>
    </row>
    <row r="4330" spans="2:34" x14ac:dyDescent="0.35">
      <c r="B4330" t="s">
        <v>747</v>
      </c>
      <c r="C4330">
        <v>45994</v>
      </c>
      <c r="F4330" t="s">
        <v>754</v>
      </c>
      <c r="H4330">
        <v>78.73</v>
      </c>
      <c r="O4330" t="s">
        <v>239</v>
      </c>
      <c r="P4330" t="s">
        <v>514</v>
      </c>
      <c r="Y4330">
        <v>4296</v>
      </c>
      <c r="Z4330" s="259" t="s">
        <v>630</v>
      </c>
      <c r="AA4330">
        <v>100</v>
      </c>
      <c r="AB4330">
        <v>8008</v>
      </c>
      <c r="AC4330">
        <v>45994</v>
      </c>
      <c r="AD4330">
        <v>0</v>
      </c>
      <c r="AE4330">
        <v>7873</v>
      </c>
      <c r="AF4330">
        <v>7873</v>
      </c>
      <c r="AG4330">
        <v>120</v>
      </c>
      <c r="AH4330">
        <v>-135</v>
      </c>
    </row>
    <row r="4331" spans="2:34" x14ac:dyDescent="0.35">
      <c r="B4331" t="s">
        <v>747</v>
      </c>
      <c r="C4331">
        <v>45995</v>
      </c>
      <c r="F4331" t="s">
        <v>749</v>
      </c>
      <c r="H4331">
        <v>47.95</v>
      </c>
      <c r="O4331" t="s">
        <v>239</v>
      </c>
      <c r="P4331" t="s">
        <v>514</v>
      </c>
      <c r="Y4331">
        <v>4297</v>
      </c>
      <c r="Z4331" s="259" t="s">
        <v>630</v>
      </c>
      <c r="AA4331">
        <v>80</v>
      </c>
      <c r="AB4331">
        <v>4004</v>
      </c>
      <c r="AC4331">
        <v>45995</v>
      </c>
      <c r="AD4331">
        <v>0</v>
      </c>
      <c r="AE4331">
        <v>3836</v>
      </c>
      <c r="AF4331">
        <v>3836</v>
      </c>
      <c r="AG4331">
        <v>0</v>
      </c>
      <c r="AH4331">
        <v>-168</v>
      </c>
    </row>
    <row r="4332" spans="2:34" x14ac:dyDescent="0.35">
      <c r="B4332" t="s">
        <v>747</v>
      </c>
      <c r="C4332">
        <v>45995</v>
      </c>
      <c r="F4332" t="s">
        <v>752</v>
      </c>
      <c r="H4332">
        <v>169.9</v>
      </c>
      <c r="O4332" t="s">
        <v>239</v>
      </c>
      <c r="P4332" t="s">
        <v>514</v>
      </c>
      <c r="Y4332">
        <v>4298</v>
      </c>
      <c r="Z4332" s="259" t="s">
        <v>630</v>
      </c>
      <c r="AA4332">
        <v>30</v>
      </c>
      <c r="AB4332">
        <v>5343</v>
      </c>
      <c r="AC4332">
        <v>45995</v>
      </c>
      <c r="AD4332">
        <v>0</v>
      </c>
      <c r="AE4332">
        <v>5097</v>
      </c>
      <c r="AF4332">
        <v>5097</v>
      </c>
      <c r="AG4332">
        <v>0</v>
      </c>
      <c r="AH4332">
        <v>-246</v>
      </c>
    </row>
    <row r="4333" spans="2:34" x14ac:dyDescent="0.35">
      <c r="B4333" t="s">
        <v>747</v>
      </c>
      <c r="C4333">
        <v>45995</v>
      </c>
      <c r="F4333" t="s">
        <v>754</v>
      </c>
      <c r="H4333">
        <v>78.7</v>
      </c>
      <c r="O4333" t="s">
        <v>239</v>
      </c>
      <c r="P4333" t="s">
        <v>514</v>
      </c>
      <c r="Y4333">
        <v>4299</v>
      </c>
      <c r="Z4333" s="259" t="s">
        <v>630</v>
      </c>
      <c r="AA4333">
        <v>100</v>
      </c>
      <c r="AB4333">
        <v>8008</v>
      </c>
      <c r="AC4333">
        <v>45995</v>
      </c>
      <c r="AD4333">
        <v>0</v>
      </c>
      <c r="AE4333">
        <v>7870</v>
      </c>
      <c r="AF4333">
        <v>7870</v>
      </c>
      <c r="AG4333">
        <v>120</v>
      </c>
      <c r="AH4333">
        <v>-138</v>
      </c>
    </row>
    <row r="4334" spans="2:34" x14ac:dyDescent="0.35">
      <c r="B4334" t="s">
        <v>747</v>
      </c>
      <c r="C4334">
        <v>45996</v>
      </c>
      <c r="F4334" t="s">
        <v>749</v>
      </c>
      <c r="H4334">
        <v>47.93</v>
      </c>
      <c r="O4334" t="s">
        <v>239</v>
      </c>
      <c r="P4334" t="s">
        <v>514</v>
      </c>
      <c r="Y4334">
        <v>4300</v>
      </c>
      <c r="Z4334" s="259" t="s">
        <v>630</v>
      </c>
      <c r="AA4334">
        <v>80</v>
      </c>
      <c r="AB4334">
        <v>4004</v>
      </c>
      <c r="AC4334">
        <v>45996</v>
      </c>
      <c r="AD4334">
        <v>0</v>
      </c>
      <c r="AE4334">
        <v>3834.4</v>
      </c>
      <c r="AF4334">
        <v>3834.4</v>
      </c>
      <c r="AG4334">
        <v>0</v>
      </c>
      <c r="AH4334">
        <v>-169.59999999999991</v>
      </c>
    </row>
    <row r="4335" spans="2:34" x14ac:dyDescent="0.35">
      <c r="B4335" t="s">
        <v>747</v>
      </c>
      <c r="C4335">
        <v>45996</v>
      </c>
      <c r="F4335" t="s">
        <v>752</v>
      </c>
      <c r="H4335">
        <v>169.87</v>
      </c>
      <c r="O4335" t="s">
        <v>239</v>
      </c>
      <c r="P4335" t="s">
        <v>514</v>
      </c>
      <c r="Y4335">
        <v>4301</v>
      </c>
      <c r="Z4335" s="259" t="s">
        <v>630</v>
      </c>
      <c r="AA4335">
        <v>30</v>
      </c>
      <c r="AB4335">
        <v>5343</v>
      </c>
      <c r="AC4335">
        <v>45996</v>
      </c>
      <c r="AD4335">
        <v>0</v>
      </c>
      <c r="AE4335">
        <v>5096.1000000000004</v>
      </c>
      <c r="AF4335">
        <v>5096.1000000000004</v>
      </c>
      <c r="AG4335">
        <v>0</v>
      </c>
      <c r="AH4335">
        <v>-246.89999999999964</v>
      </c>
    </row>
    <row r="4336" spans="2:34" x14ac:dyDescent="0.35">
      <c r="B4336" t="s">
        <v>747</v>
      </c>
      <c r="C4336">
        <v>45996</v>
      </c>
      <c r="F4336" t="s">
        <v>754</v>
      </c>
      <c r="H4336">
        <v>78.67</v>
      </c>
      <c r="O4336" t="s">
        <v>239</v>
      </c>
      <c r="P4336" t="s">
        <v>514</v>
      </c>
      <c r="Y4336">
        <v>4302</v>
      </c>
      <c r="Z4336" s="259" t="s">
        <v>630</v>
      </c>
      <c r="AA4336">
        <v>100</v>
      </c>
      <c r="AB4336">
        <v>8008</v>
      </c>
      <c r="AC4336">
        <v>45996</v>
      </c>
      <c r="AD4336">
        <v>0</v>
      </c>
      <c r="AE4336">
        <v>7867</v>
      </c>
      <c r="AF4336">
        <v>7867</v>
      </c>
      <c r="AG4336">
        <v>120</v>
      </c>
      <c r="AH4336">
        <v>-141</v>
      </c>
    </row>
    <row r="4337" spans="2:34" x14ac:dyDescent="0.35">
      <c r="B4337" t="s">
        <v>747</v>
      </c>
      <c r="C4337">
        <v>45997</v>
      </c>
      <c r="F4337" t="s">
        <v>749</v>
      </c>
      <c r="H4337">
        <v>47.93</v>
      </c>
      <c r="O4337" t="s">
        <v>239</v>
      </c>
      <c r="P4337" t="s">
        <v>514</v>
      </c>
      <c r="Y4337">
        <v>4303</v>
      </c>
      <c r="Z4337" s="259" t="s">
        <v>630</v>
      </c>
      <c r="AA4337">
        <v>80</v>
      </c>
      <c r="AB4337">
        <v>4004</v>
      </c>
      <c r="AC4337">
        <v>45996</v>
      </c>
      <c r="AD4337">
        <v>1</v>
      </c>
      <c r="AE4337">
        <v>3834.4</v>
      </c>
      <c r="AF4337">
        <v>3834.4</v>
      </c>
      <c r="AG4337">
        <v>0</v>
      </c>
      <c r="AH4337">
        <v>-169.59999999999991</v>
      </c>
    </row>
    <row r="4338" spans="2:34" x14ac:dyDescent="0.35">
      <c r="B4338" t="s">
        <v>747</v>
      </c>
      <c r="C4338">
        <v>45997</v>
      </c>
      <c r="F4338" t="s">
        <v>752</v>
      </c>
      <c r="H4338">
        <v>169.87</v>
      </c>
      <c r="O4338" t="s">
        <v>239</v>
      </c>
      <c r="P4338" t="s">
        <v>514</v>
      </c>
      <c r="Y4338">
        <v>4304</v>
      </c>
      <c r="Z4338" s="259" t="s">
        <v>630</v>
      </c>
      <c r="AA4338">
        <v>30</v>
      </c>
      <c r="AB4338">
        <v>5343</v>
      </c>
      <c r="AC4338">
        <v>45996</v>
      </c>
      <c r="AD4338">
        <v>1</v>
      </c>
      <c r="AE4338">
        <v>5096.1000000000004</v>
      </c>
      <c r="AF4338">
        <v>5096.1000000000004</v>
      </c>
      <c r="AG4338">
        <v>0</v>
      </c>
      <c r="AH4338">
        <v>-246.89999999999964</v>
      </c>
    </row>
    <row r="4339" spans="2:34" x14ac:dyDescent="0.35">
      <c r="B4339" t="s">
        <v>747</v>
      </c>
      <c r="C4339">
        <v>45997</v>
      </c>
      <c r="F4339" t="s">
        <v>754</v>
      </c>
      <c r="H4339">
        <v>78.67</v>
      </c>
      <c r="O4339" t="s">
        <v>239</v>
      </c>
      <c r="P4339" t="s">
        <v>514</v>
      </c>
      <c r="Y4339">
        <v>4305</v>
      </c>
      <c r="Z4339" s="259" t="s">
        <v>630</v>
      </c>
      <c r="AA4339">
        <v>100</v>
      </c>
      <c r="AB4339">
        <v>8008</v>
      </c>
      <c r="AC4339">
        <v>45996</v>
      </c>
      <c r="AD4339">
        <v>1</v>
      </c>
      <c r="AE4339">
        <v>7867</v>
      </c>
      <c r="AF4339">
        <v>7867</v>
      </c>
      <c r="AG4339">
        <v>120</v>
      </c>
      <c r="AH4339">
        <v>-141</v>
      </c>
    </row>
    <row r="4340" spans="2:34" x14ac:dyDescent="0.35">
      <c r="B4340" t="s">
        <v>747</v>
      </c>
      <c r="C4340">
        <v>45998</v>
      </c>
      <c r="F4340" t="s">
        <v>749</v>
      </c>
      <c r="H4340">
        <v>47.93</v>
      </c>
      <c r="O4340" t="s">
        <v>239</v>
      </c>
      <c r="P4340" t="s">
        <v>514</v>
      </c>
      <c r="Y4340">
        <v>4306</v>
      </c>
      <c r="Z4340" s="259" t="s">
        <v>630</v>
      </c>
      <c r="AA4340">
        <v>80</v>
      </c>
      <c r="AB4340">
        <v>4004</v>
      </c>
      <c r="AC4340">
        <v>45996</v>
      </c>
      <c r="AD4340">
        <v>2</v>
      </c>
      <c r="AE4340">
        <v>3834.4</v>
      </c>
      <c r="AF4340">
        <v>3834.4</v>
      </c>
      <c r="AG4340">
        <v>0</v>
      </c>
      <c r="AH4340">
        <v>-169.59999999999991</v>
      </c>
    </row>
    <row r="4341" spans="2:34" x14ac:dyDescent="0.35">
      <c r="B4341" t="s">
        <v>747</v>
      </c>
      <c r="C4341">
        <v>45998</v>
      </c>
      <c r="F4341" t="s">
        <v>752</v>
      </c>
      <c r="H4341">
        <v>169.87</v>
      </c>
      <c r="O4341" t="s">
        <v>239</v>
      </c>
      <c r="P4341" t="s">
        <v>514</v>
      </c>
      <c r="Y4341">
        <v>4307</v>
      </c>
      <c r="Z4341" s="259" t="s">
        <v>630</v>
      </c>
      <c r="AA4341">
        <v>30</v>
      </c>
      <c r="AB4341">
        <v>5343</v>
      </c>
      <c r="AC4341">
        <v>45996</v>
      </c>
      <c r="AD4341">
        <v>2</v>
      </c>
      <c r="AE4341">
        <v>5096.1000000000004</v>
      </c>
      <c r="AF4341">
        <v>5096.1000000000004</v>
      </c>
      <c r="AG4341">
        <v>0</v>
      </c>
      <c r="AH4341">
        <v>-246.89999999999964</v>
      </c>
    </row>
    <row r="4342" spans="2:34" x14ac:dyDescent="0.35">
      <c r="B4342" t="s">
        <v>747</v>
      </c>
      <c r="C4342">
        <v>45998</v>
      </c>
      <c r="F4342" t="s">
        <v>754</v>
      </c>
      <c r="H4342">
        <v>78.67</v>
      </c>
      <c r="O4342" t="s">
        <v>239</v>
      </c>
      <c r="P4342" t="s">
        <v>514</v>
      </c>
      <c r="Y4342">
        <v>4308</v>
      </c>
      <c r="Z4342" s="259" t="s">
        <v>630</v>
      </c>
      <c r="AA4342">
        <v>100</v>
      </c>
      <c r="AB4342">
        <v>8008</v>
      </c>
      <c r="AC4342">
        <v>45996</v>
      </c>
      <c r="AD4342">
        <v>2</v>
      </c>
      <c r="AE4342">
        <v>7867</v>
      </c>
      <c r="AF4342">
        <v>7867</v>
      </c>
      <c r="AG4342">
        <v>120</v>
      </c>
      <c r="AH4342">
        <v>-141</v>
      </c>
    </row>
    <row r="4343" spans="2:34" x14ac:dyDescent="0.35">
      <c r="B4343" t="s">
        <v>747</v>
      </c>
      <c r="C4343">
        <v>45999</v>
      </c>
      <c r="F4343" t="s">
        <v>749</v>
      </c>
      <c r="H4343">
        <v>47.88</v>
      </c>
      <c r="O4343" t="s">
        <v>239</v>
      </c>
      <c r="P4343" t="s">
        <v>514</v>
      </c>
      <c r="Y4343">
        <v>4309</v>
      </c>
      <c r="Z4343" s="259" t="s">
        <v>630</v>
      </c>
      <c r="AA4343">
        <v>80</v>
      </c>
      <c r="AB4343">
        <v>4004</v>
      </c>
      <c r="AC4343">
        <v>45999</v>
      </c>
      <c r="AD4343">
        <v>0</v>
      </c>
      <c r="AE4343">
        <v>3830.4</v>
      </c>
      <c r="AF4343">
        <v>3830.4</v>
      </c>
      <c r="AG4343">
        <v>0</v>
      </c>
      <c r="AH4343">
        <v>-173.59999999999991</v>
      </c>
    </row>
    <row r="4344" spans="2:34" x14ac:dyDescent="0.35">
      <c r="B4344" t="s">
        <v>747</v>
      </c>
      <c r="C4344">
        <v>45999</v>
      </c>
      <c r="F4344" t="s">
        <v>752</v>
      </c>
      <c r="H4344">
        <v>169.77</v>
      </c>
      <c r="O4344" t="s">
        <v>239</v>
      </c>
      <c r="P4344" t="s">
        <v>514</v>
      </c>
      <c r="Y4344">
        <v>4310</v>
      </c>
      <c r="Z4344" s="259" t="s">
        <v>630</v>
      </c>
      <c r="AA4344">
        <v>30</v>
      </c>
      <c r="AB4344">
        <v>5343</v>
      </c>
      <c r="AC4344">
        <v>45999</v>
      </c>
      <c r="AD4344">
        <v>0</v>
      </c>
      <c r="AE4344">
        <v>5093.1000000000004</v>
      </c>
      <c r="AF4344">
        <v>5093.1000000000004</v>
      </c>
      <c r="AG4344">
        <v>0</v>
      </c>
      <c r="AH4344">
        <v>-249.89999999999964</v>
      </c>
    </row>
    <row r="4345" spans="2:34" x14ac:dyDescent="0.35">
      <c r="B4345" t="s">
        <v>747</v>
      </c>
      <c r="C4345">
        <v>45999</v>
      </c>
      <c r="F4345" t="s">
        <v>754</v>
      </c>
      <c r="H4345">
        <v>78.569999999999993</v>
      </c>
      <c r="O4345" t="s">
        <v>239</v>
      </c>
      <c r="P4345" t="s">
        <v>514</v>
      </c>
      <c r="Y4345">
        <v>4311</v>
      </c>
      <c r="Z4345" s="259" t="s">
        <v>630</v>
      </c>
      <c r="AA4345">
        <v>100</v>
      </c>
      <c r="AB4345">
        <v>8008</v>
      </c>
      <c r="AC4345">
        <v>45999</v>
      </c>
      <c r="AD4345">
        <v>0</v>
      </c>
      <c r="AE4345">
        <v>7856.9999999999991</v>
      </c>
      <c r="AF4345">
        <v>7856.9999999999991</v>
      </c>
      <c r="AG4345">
        <v>120</v>
      </c>
      <c r="AH4345">
        <v>-151.00000000000091</v>
      </c>
    </row>
    <row r="4346" spans="2:34" x14ac:dyDescent="0.35">
      <c r="B4346" t="s">
        <v>747</v>
      </c>
      <c r="C4346">
        <v>46000</v>
      </c>
      <c r="F4346" t="s">
        <v>749</v>
      </c>
      <c r="H4346">
        <v>47.87</v>
      </c>
      <c r="O4346" t="s">
        <v>239</v>
      </c>
      <c r="P4346" t="s">
        <v>514</v>
      </c>
      <c r="Y4346">
        <v>4312</v>
      </c>
      <c r="Z4346" s="259" t="s">
        <v>630</v>
      </c>
      <c r="AA4346">
        <v>80</v>
      </c>
      <c r="AB4346">
        <v>4004</v>
      </c>
      <c r="AC4346">
        <v>46000</v>
      </c>
      <c r="AD4346">
        <v>0</v>
      </c>
      <c r="AE4346">
        <v>3829.6</v>
      </c>
      <c r="AF4346">
        <v>3829.6</v>
      </c>
      <c r="AG4346">
        <v>0</v>
      </c>
      <c r="AH4346">
        <v>-174.40000000000009</v>
      </c>
    </row>
    <row r="4347" spans="2:34" x14ac:dyDescent="0.35">
      <c r="B4347" t="s">
        <v>747</v>
      </c>
      <c r="C4347">
        <v>46000</v>
      </c>
      <c r="F4347" t="s">
        <v>752</v>
      </c>
      <c r="H4347">
        <v>169.73</v>
      </c>
      <c r="O4347" t="s">
        <v>239</v>
      </c>
      <c r="P4347" t="s">
        <v>514</v>
      </c>
      <c r="Y4347">
        <v>4313</v>
      </c>
      <c r="Z4347" s="259" t="s">
        <v>630</v>
      </c>
      <c r="AA4347">
        <v>30</v>
      </c>
      <c r="AB4347">
        <v>5343</v>
      </c>
      <c r="AC4347">
        <v>46000</v>
      </c>
      <c r="AD4347">
        <v>0</v>
      </c>
      <c r="AE4347">
        <v>5091.8999999999996</v>
      </c>
      <c r="AF4347">
        <v>5091.8999999999996</v>
      </c>
      <c r="AG4347">
        <v>0</v>
      </c>
      <c r="AH4347">
        <v>-251.10000000000036</v>
      </c>
    </row>
    <row r="4348" spans="2:34" x14ac:dyDescent="0.35">
      <c r="B4348" t="s">
        <v>747</v>
      </c>
      <c r="C4348">
        <v>46000</v>
      </c>
      <c r="F4348" t="s">
        <v>754</v>
      </c>
      <c r="H4348">
        <v>78.53</v>
      </c>
      <c r="O4348" t="s">
        <v>239</v>
      </c>
      <c r="P4348" t="s">
        <v>514</v>
      </c>
      <c r="Y4348">
        <v>4314</v>
      </c>
      <c r="Z4348" s="259" t="s">
        <v>630</v>
      </c>
      <c r="AA4348">
        <v>100</v>
      </c>
      <c r="AB4348">
        <v>8008</v>
      </c>
      <c r="AC4348">
        <v>46000</v>
      </c>
      <c r="AD4348">
        <v>0</v>
      </c>
      <c r="AE4348">
        <v>7853</v>
      </c>
      <c r="AF4348">
        <v>7853</v>
      </c>
      <c r="AG4348">
        <v>120</v>
      </c>
      <c r="AH4348">
        <v>-155</v>
      </c>
    </row>
    <row r="4349" spans="2:34" x14ac:dyDescent="0.35">
      <c r="B4349" t="s">
        <v>747</v>
      </c>
      <c r="C4349">
        <v>46001</v>
      </c>
      <c r="F4349" t="s">
        <v>749</v>
      </c>
      <c r="H4349">
        <v>47.85</v>
      </c>
      <c r="O4349" t="s">
        <v>239</v>
      </c>
      <c r="P4349" t="s">
        <v>514</v>
      </c>
      <c r="Y4349">
        <v>4315</v>
      </c>
      <c r="Z4349" s="259" t="s">
        <v>630</v>
      </c>
      <c r="AA4349">
        <v>80</v>
      </c>
      <c r="AB4349">
        <v>4004</v>
      </c>
      <c r="AC4349">
        <v>46001</v>
      </c>
      <c r="AD4349">
        <v>0</v>
      </c>
      <c r="AE4349">
        <v>3828</v>
      </c>
      <c r="AF4349">
        <v>3828</v>
      </c>
      <c r="AG4349">
        <v>0</v>
      </c>
      <c r="AH4349">
        <v>-176</v>
      </c>
    </row>
    <row r="4350" spans="2:34" x14ac:dyDescent="0.35">
      <c r="B4350" t="s">
        <v>747</v>
      </c>
      <c r="C4350">
        <v>46001</v>
      </c>
      <c r="F4350" t="s">
        <v>752</v>
      </c>
      <c r="H4350">
        <v>169.7</v>
      </c>
      <c r="O4350" t="s">
        <v>239</v>
      </c>
      <c r="P4350" t="s">
        <v>514</v>
      </c>
      <c r="Y4350">
        <v>4316</v>
      </c>
      <c r="Z4350" s="259" t="s">
        <v>630</v>
      </c>
      <c r="AA4350">
        <v>30</v>
      </c>
      <c r="AB4350">
        <v>5343</v>
      </c>
      <c r="AC4350">
        <v>46001</v>
      </c>
      <c r="AD4350">
        <v>0</v>
      </c>
      <c r="AE4350">
        <v>5091</v>
      </c>
      <c r="AF4350">
        <v>5091</v>
      </c>
      <c r="AG4350">
        <v>0</v>
      </c>
      <c r="AH4350">
        <v>-252</v>
      </c>
    </row>
    <row r="4351" spans="2:34" x14ac:dyDescent="0.35">
      <c r="B4351" t="s">
        <v>747</v>
      </c>
      <c r="C4351">
        <v>46001</v>
      </c>
      <c r="F4351" t="s">
        <v>754</v>
      </c>
      <c r="H4351">
        <v>78.5</v>
      </c>
      <c r="O4351" t="s">
        <v>239</v>
      </c>
      <c r="P4351" t="s">
        <v>514</v>
      </c>
      <c r="Y4351">
        <v>4317</v>
      </c>
      <c r="Z4351" s="259" t="s">
        <v>630</v>
      </c>
      <c r="AA4351">
        <v>100</v>
      </c>
      <c r="AB4351">
        <v>8008</v>
      </c>
      <c r="AC4351">
        <v>46001</v>
      </c>
      <c r="AD4351">
        <v>0</v>
      </c>
      <c r="AE4351">
        <v>7850</v>
      </c>
      <c r="AF4351">
        <v>7850</v>
      </c>
      <c r="AG4351">
        <v>120</v>
      </c>
      <c r="AH4351">
        <v>-158</v>
      </c>
    </row>
    <row r="4352" spans="2:34" x14ac:dyDescent="0.35">
      <c r="B4352" t="s">
        <v>747</v>
      </c>
      <c r="C4352">
        <v>46002</v>
      </c>
      <c r="F4352" t="s">
        <v>749</v>
      </c>
      <c r="H4352">
        <v>47.83</v>
      </c>
      <c r="O4352" t="s">
        <v>239</v>
      </c>
      <c r="P4352" t="s">
        <v>514</v>
      </c>
      <c r="Y4352">
        <v>4318</v>
      </c>
      <c r="Z4352" s="259" t="s">
        <v>630</v>
      </c>
      <c r="AA4352">
        <v>80</v>
      </c>
      <c r="AB4352">
        <v>4004</v>
      </c>
      <c r="AC4352">
        <v>46002</v>
      </c>
      <c r="AD4352">
        <v>0</v>
      </c>
      <c r="AE4352">
        <v>3826.3999999999996</v>
      </c>
      <c r="AF4352">
        <v>3826.3999999999996</v>
      </c>
      <c r="AG4352">
        <v>0</v>
      </c>
      <c r="AH4352">
        <v>-177.60000000000036</v>
      </c>
    </row>
    <row r="4353" spans="2:34" x14ac:dyDescent="0.35">
      <c r="B4353" t="s">
        <v>747</v>
      </c>
      <c r="C4353">
        <v>46002</v>
      </c>
      <c r="F4353" t="s">
        <v>752</v>
      </c>
      <c r="H4353">
        <v>169.67</v>
      </c>
      <c r="O4353" t="s">
        <v>239</v>
      </c>
      <c r="P4353" t="s">
        <v>514</v>
      </c>
      <c r="Y4353">
        <v>4319</v>
      </c>
      <c r="Z4353" s="259" t="s">
        <v>630</v>
      </c>
      <c r="AA4353">
        <v>30</v>
      </c>
      <c r="AB4353">
        <v>5343</v>
      </c>
      <c r="AC4353">
        <v>46002</v>
      </c>
      <c r="AD4353">
        <v>0</v>
      </c>
      <c r="AE4353">
        <v>5090.0999999999995</v>
      </c>
      <c r="AF4353">
        <v>5090.0999999999995</v>
      </c>
      <c r="AG4353">
        <v>0</v>
      </c>
      <c r="AH4353">
        <v>-252.90000000000055</v>
      </c>
    </row>
    <row r="4354" spans="2:34" x14ac:dyDescent="0.35">
      <c r="B4354" t="s">
        <v>747</v>
      </c>
      <c r="C4354">
        <v>46002</v>
      </c>
      <c r="F4354" t="s">
        <v>754</v>
      </c>
      <c r="H4354">
        <v>78.47</v>
      </c>
      <c r="O4354" t="s">
        <v>239</v>
      </c>
      <c r="P4354" t="s">
        <v>514</v>
      </c>
      <c r="Y4354">
        <v>4320</v>
      </c>
      <c r="Z4354" s="259" t="s">
        <v>630</v>
      </c>
      <c r="AA4354">
        <v>100</v>
      </c>
      <c r="AB4354">
        <v>8008</v>
      </c>
      <c r="AC4354">
        <v>46002</v>
      </c>
      <c r="AD4354">
        <v>0</v>
      </c>
      <c r="AE4354">
        <v>7847</v>
      </c>
      <c r="AF4354">
        <v>7847</v>
      </c>
      <c r="AG4354">
        <v>120</v>
      </c>
      <c r="AH4354">
        <v>-161</v>
      </c>
    </row>
    <row r="4355" spans="2:34" x14ac:dyDescent="0.35">
      <c r="B4355" t="s">
        <v>747</v>
      </c>
      <c r="C4355">
        <v>46003</v>
      </c>
      <c r="F4355" t="s">
        <v>749</v>
      </c>
      <c r="H4355">
        <v>47.82</v>
      </c>
      <c r="O4355" t="s">
        <v>239</v>
      </c>
      <c r="P4355" t="s">
        <v>514</v>
      </c>
      <c r="Y4355">
        <v>4321</v>
      </c>
      <c r="Z4355" s="259" t="s">
        <v>630</v>
      </c>
      <c r="AA4355">
        <v>80</v>
      </c>
      <c r="AB4355">
        <v>4004</v>
      </c>
      <c r="AC4355">
        <v>46003</v>
      </c>
      <c r="AD4355">
        <v>0</v>
      </c>
      <c r="AE4355">
        <v>3825.6</v>
      </c>
      <c r="AF4355">
        <v>3825.6</v>
      </c>
      <c r="AG4355">
        <v>0</v>
      </c>
      <c r="AH4355">
        <v>-178.40000000000009</v>
      </c>
    </row>
    <row r="4356" spans="2:34" x14ac:dyDescent="0.35">
      <c r="B4356" t="s">
        <v>747</v>
      </c>
      <c r="C4356">
        <v>46003</v>
      </c>
      <c r="F4356" t="s">
        <v>752</v>
      </c>
      <c r="H4356">
        <v>169.63</v>
      </c>
      <c r="O4356" t="s">
        <v>239</v>
      </c>
      <c r="P4356" t="s">
        <v>514</v>
      </c>
      <c r="Y4356">
        <v>4322</v>
      </c>
      <c r="Z4356" s="259" t="s">
        <v>630</v>
      </c>
      <c r="AA4356">
        <v>30</v>
      </c>
      <c r="AB4356">
        <v>5343</v>
      </c>
      <c r="AC4356">
        <v>46003</v>
      </c>
      <c r="AD4356">
        <v>0</v>
      </c>
      <c r="AE4356">
        <v>5088.8999999999996</v>
      </c>
      <c r="AF4356">
        <v>5088.8999999999996</v>
      </c>
      <c r="AG4356">
        <v>0</v>
      </c>
      <c r="AH4356">
        <v>-254.10000000000036</v>
      </c>
    </row>
    <row r="4357" spans="2:34" x14ac:dyDescent="0.35">
      <c r="B4357" t="s">
        <v>747</v>
      </c>
      <c r="C4357">
        <v>46003</v>
      </c>
      <c r="F4357" t="s">
        <v>754</v>
      </c>
      <c r="H4357">
        <v>78.430000000000007</v>
      </c>
      <c r="O4357" t="s">
        <v>239</v>
      </c>
      <c r="P4357" t="s">
        <v>514</v>
      </c>
      <c r="Y4357">
        <v>4323</v>
      </c>
      <c r="Z4357" s="259" t="s">
        <v>630</v>
      </c>
      <c r="AA4357">
        <v>100</v>
      </c>
      <c r="AB4357">
        <v>8008</v>
      </c>
      <c r="AC4357">
        <v>46003</v>
      </c>
      <c r="AD4357">
        <v>0</v>
      </c>
      <c r="AE4357">
        <v>7843.0000000000009</v>
      </c>
      <c r="AF4357">
        <v>7843.0000000000009</v>
      </c>
      <c r="AG4357">
        <v>120</v>
      </c>
      <c r="AH4357">
        <v>-164.99999999999909</v>
      </c>
    </row>
    <row r="4358" spans="2:34" x14ac:dyDescent="0.35">
      <c r="B4358" t="s">
        <v>747</v>
      </c>
      <c r="C4358">
        <v>46004</v>
      </c>
      <c r="F4358" t="s">
        <v>749</v>
      </c>
      <c r="H4358">
        <v>47.82</v>
      </c>
      <c r="O4358" t="s">
        <v>239</v>
      </c>
      <c r="P4358" t="s">
        <v>514</v>
      </c>
      <c r="Y4358">
        <v>4324</v>
      </c>
      <c r="Z4358" s="259" t="s">
        <v>630</v>
      </c>
      <c r="AA4358">
        <v>80</v>
      </c>
      <c r="AB4358">
        <v>4004</v>
      </c>
      <c r="AC4358">
        <v>46003</v>
      </c>
      <c r="AD4358">
        <v>1</v>
      </c>
      <c r="AE4358">
        <v>3825.6</v>
      </c>
      <c r="AF4358">
        <v>3825.6</v>
      </c>
      <c r="AG4358">
        <v>0</v>
      </c>
      <c r="AH4358">
        <v>-178.40000000000009</v>
      </c>
    </row>
    <row r="4359" spans="2:34" x14ac:dyDescent="0.35">
      <c r="B4359" t="s">
        <v>747</v>
      </c>
      <c r="C4359">
        <v>46004</v>
      </c>
      <c r="F4359" t="s">
        <v>752</v>
      </c>
      <c r="H4359">
        <v>169.63</v>
      </c>
      <c r="O4359" t="s">
        <v>239</v>
      </c>
      <c r="P4359" t="s">
        <v>514</v>
      </c>
      <c r="Y4359">
        <v>4325</v>
      </c>
      <c r="Z4359" s="259" t="s">
        <v>630</v>
      </c>
      <c r="AA4359">
        <v>30</v>
      </c>
      <c r="AB4359">
        <v>5343</v>
      </c>
      <c r="AC4359">
        <v>46003</v>
      </c>
      <c r="AD4359">
        <v>1</v>
      </c>
      <c r="AE4359">
        <v>5088.8999999999996</v>
      </c>
      <c r="AF4359">
        <v>5088.8999999999996</v>
      </c>
      <c r="AG4359">
        <v>0</v>
      </c>
      <c r="AH4359">
        <v>-254.10000000000036</v>
      </c>
    </row>
    <row r="4360" spans="2:34" x14ac:dyDescent="0.35">
      <c r="B4360" t="s">
        <v>747</v>
      </c>
      <c r="C4360">
        <v>46004</v>
      </c>
      <c r="F4360" t="s">
        <v>754</v>
      </c>
      <c r="H4360">
        <v>78.430000000000007</v>
      </c>
      <c r="O4360" t="s">
        <v>239</v>
      </c>
      <c r="P4360" t="s">
        <v>514</v>
      </c>
      <c r="Y4360">
        <v>4326</v>
      </c>
      <c r="Z4360" s="259" t="s">
        <v>630</v>
      </c>
      <c r="AA4360">
        <v>100</v>
      </c>
      <c r="AB4360">
        <v>8008</v>
      </c>
      <c r="AC4360">
        <v>46003</v>
      </c>
      <c r="AD4360">
        <v>1</v>
      </c>
      <c r="AE4360">
        <v>7843.0000000000009</v>
      </c>
      <c r="AF4360">
        <v>7843.0000000000009</v>
      </c>
      <c r="AG4360">
        <v>120</v>
      </c>
      <c r="AH4360">
        <v>-164.99999999999909</v>
      </c>
    </row>
    <row r="4361" spans="2:34" x14ac:dyDescent="0.35">
      <c r="B4361" t="s">
        <v>747</v>
      </c>
      <c r="C4361">
        <v>46005</v>
      </c>
      <c r="F4361" t="s">
        <v>749</v>
      </c>
      <c r="H4361">
        <v>47.82</v>
      </c>
      <c r="O4361" t="s">
        <v>239</v>
      </c>
      <c r="P4361" t="s">
        <v>514</v>
      </c>
      <c r="Y4361">
        <v>4327</v>
      </c>
      <c r="Z4361" s="259" t="s">
        <v>630</v>
      </c>
      <c r="AA4361">
        <v>80</v>
      </c>
      <c r="AB4361">
        <v>4004</v>
      </c>
      <c r="AC4361">
        <v>46003</v>
      </c>
      <c r="AD4361">
        <v>2</v>
      </c>
      <c r="AE4361">
        <v>3825.6</v>
      </c>
      <c r="AF4361">
        <v>3825.6</v>
      </c>
      <c r="AG4361">
        <v>0</v>
      </c>
      <c r="AH4361">
        <v>-178.40000000000009</v>
      </c>
    </row>
    <row r="4362" spans="2:34" x14ac:dyDescent="0.35">
      <c r="B4362" t="s">
        <v>747</v>
      </c>
      <c r="C4362">
        <v>46005</v>
      </c>
      <c r="F4362" t="s">
        <v>752</v>
      </c>
      <c r="H4362">
        <v>169.63</v>
      </c>
      <c r="O4362" t="s">
        <v>239</v>
      </c>
      <c r="P4362" t="s">
        <v>514</v>
      </c>
      <c r="Y4362">
        <v>4328</v>
      </c>
      <c r="Z4362" s="259" t="s">
        <v>630</v>
      </c>
      <c r="AA4362">
        <v>30</v>
      </c>
      <c r="AB4362">
        <v>5343</v>
      </c>
      <c r="AC4362">
        <v>46003</v>
      </c>
      <c r="AD4362">
        <v>2</v>
      </c>
      <c r="AE4362">
        <v>5088.8999999999996</v>
      </c>
      <c r="AF4362">
        <v>5088.8999999999996</v>
      </c>
      <c r="AG4362">
        <v>0</v>
      </c>
      <c r="AH4362">
        <v>-254.10000000000036</v>
      </c>
    </row>
    <row r="4363" spans="2:34" x14ac:dyDescent="0.35">
      <c r="B4363" t="s">
        <v>747</v>
      </c>
      <c r="C4363">
        <v>46005</v>
      </c>
      <c r="F4363" t="s">
        <v>754</v>
      </c>
      <c r="H4363">
        <v>78.430000000000007</v>
      </c>
      <c r="O4363" t="s">
        <v>239</v>
      </c>
      <c r="P4363" t="s">
        <v>514</v>
      </c>
      <c r="Y4363">
        <v>4329</v>
      </c>
      <c r="Z4363" s="259" t="s">
        <v>630</v>
      </c>
      <c r="AA4363">
        <v>100</v>
      </c>
      <c r="AB4363">
        <v>8008</v>
      </c>
      <c r="AC4363">
        <v>46003</v>
      </c>
      <c r="AD4363">
        <v>2</v>
      </c>
      <c r="AE4363">
        <v>7843.0000000000009</v>
      </c>
      <c r="AF4363">
        <v>7843.0000000000009</v>
      </c>
      <c r="AG4363">
        <v>120</v>
      </c>
      <c r="AH4363">
        <v>-164.99999999999909</v>
      </c>
    </row>
    <row r="4364" spans="2:34" x14ac:dyDescent="0.35">
      <c r="B4364" t="s">
        <v>747</v>
      </c>
      <c r="C4364">
        <v>46006</v>
      </c>
      <c r="F4364" t="s">
        <v>749</v>
      </c>
      <c r="H4364">
        <v>47.77</v>
      </c>
      <c r="O4364" t="s">
        <v>239</v>
      </c>
      <c r="P4364" t="s">
        <v>514</v>
      </c>
      <c r="Y4364">
        <v>4330</v>
      </c>
      <c r="Z4364" s="259" t="s">
        <v>630</v>
      </c>
      <c r="AA4364">
        <v>80</v>
      </c>
      <c r="AB4364">
        <v>4004</v>
      </c>
      <c r="AC4364">
        <v>46006</v>
      </c>
      <c r="AD4364">
        <v>0</v>
      </c>
      <c r="AE4364">
        <v>3821.6000000000004</v>
      </c>
      <c r="AF4364">
        <v>3821.6000000000004</v>
      </c>
      <c r="AG4364">
        <v>0</v>
      </c>
      <c r="AH4364">
        <v>-182.39999999999964</v>
      </c>
    </row>
    <row r="4365" spans="2:34" x14ac:dyDescent="0.35">
      <c r="B4365" t="s">
        <v>747</v>
      </c>
      <c r="C4365">
        <v>46006</v>
      </c>
      <c r="F4365" t="s">
        <v>752</v>
      </c>
      <c r="H4365">
        <v>169.53</v>
      </c>
      <c r="O4365" t="s">
        <v>239</v>
      </c>
      <c r="P4365" t="s">
        <v>514</v>
      </c>
      <c r="Y4365">
        <v>4331</v>
      </c>
      <c r="Z4365" s="259" t="s">
        <v>630</v>
      </c>
      <c r="AA4365">
        <v>30</v>
      </c>
      <c r="AB4365">
        <v>5343</v>
      </c>
      <c r="AC4365">
        <v>46006</v>
      </c>
      <c r="AD4365">
        <v>0</v>
      </c>
      <c r="AE4365">
        <v>5085.8999999999996</v>
      </c>
      <c r="AF4365">
        <v>5085.8999999999996</v>
      </c>
      <c r="AG4365">
        <v>0</v>
      </c>
      <c r="AH4365">
        <v>-257.10000000000036</v>
      </c>
    </row>
    <row r="4366" spans="2:34" x14ac:dyDescent="0.35">
      <c r="B4366" t="s">
        <v>747</v>
      </c>
      <c r="C4366">
        <v>46006</v>
      </c>
      <c r="F4366" t="s">
        <v>754</v>
      </c>
      <c r="H4366">
        <v>78.33</v>
      </c>
      <c r="O4366" t="s">
        <v>239</v>
      </c>
      <c r="P4366" t="s">
        <v>514</v>
      </c>
      <c r="Y4366">
        <v>4332</v>
      </c>
      <c r="Z4366" s="259" t="s">
        <v>630</v>
      </c>
      <c r="AA4366">
        <v>100</v>
      </c>
      <c r="AB4366">
        <v>8008</v>
      </c>
      <c r="AC4366">
        <v>46006</v>
      </c>
      <c r="AD4366">
        <v>0</v>
      </c>
      <c r="AE4366">
        <v>7833</v>
      </c>
      <c r="AF4366">
        <v>7833</v>
      </c>
      <c r="AG4366">
        <v>0</v>
      </c>
      <c r="AH4366">
        <v>-175</v>
      </c>
    </row>
    <row r="4367" spans="2:34" x14ac:dyDescent="0.35">
      <c r="B4367" t="s">
        <v>747</v>
      </c>
      <c r="C4367">
        <v>46007</v>
      </c>
      <c r="F4367" t="s">
        <v>749</v>
      </c>
      <c r="H4367">
        <v>47.75</v>
      </c>
      <c r="O4367" t="s">
        <v>239</v>
      </c>
      <c r="P4367" t="s">
        <v>514</v>
      </c>
      <c r="Y4367">
        <v>4333</v>
      </c>
      <c r="Z4367" s="259" t="s">
        <v>630</v>
      </c>
      <c r="AA4367">
        <v>80</v>
      </c>
      <c r="AB4367">
        <v>4004</v>
      </c>
      <c r="AC4367">
        <v>46007</v>
      </c>
      <c r="AD4367">
        <v>0</v>
      </c>
      <c r="AE4367">
        <v>3820</v>
      </c>
      <c r="AF4367">
        <v>3820</v>
      </c>
      <c r="AG4367">
        <v>0</v>
      </c>
      <c r="AH4367">
        <v>-184</v>
      </c>
    </row>
    <row r="4368" spans="2:34" x14ac:dyDescent="0.35">
      <c r="B4368" t="s">
        <v>747</v>
      </c>
      <c r="C4368">
        <v>46007</v>
      </c>
      <c r="F4368" t="s">
        <v>752</v>
      </c>
      <c r="H4368">
        <v>169.5</v>
      </c>
      <c r="O4368" t="s">
        <v>239</v>
      </c>
      <c r="P4368" t="s">
        <v>514</v>
      </c>
      <c r="Y4368">
        <v>4334</v>
      </c>
      <c r="Z4368" s="259" t="s">
        <v>630</v>
      </c>
      <c r="AA4368">
        <v>30</v>
      </c>
      <c r="AB4368">
        <v>5343</v>
      </c>
      <c r="AC4368">
        <v>46007</v>
      </c>
      <c r="AD4368">
        <v>0</v>
      </c>
      <c r="AE4368">
        <v>5085</v>
      </c>
      <c r="AF4368">
        <v>5085</v>
      </c>
      <c r="AG4368">
        <v>0</v>
      </c>
      <c r="AH4368">
        <v>-258</v>
      </c>
    </row>
    <row r="4369" spans="2:34" x14ac:dyDescent="0.35">
      <c r="B4369" t="s">
        <v>747</v>
      </c>
      <c r="C4369">
        <v>46007</v>
      </c>
      <c r="F4369" t="s">
        <v>754</v>
      </c>
      <c r="H4369">
        <v>78.3</v>
      </c>
      <c r="O4369" t="s">
        <v>239</v>
      </c>
      <c r="P4369" t="s">
        <v>514</v>
      </c>
      <c r="Y4369">
        <v>4335</v>
      </c>
      <c r="Z4369" s="259" t="s">
        <v>630</v>
      </c>
      <c r="AA4369">
        <v>100</v>
      </c>
      <c r="AB4369">
        <v>8008</v>
      </c>
      <c r="AC4369">
        <v>46007</v>
      </c>
      <c r="AD4369">
        <v>0</v>
      </c>
      <c r="AE4369">
        <v>7830</v>
      </c>
      <c r="AF4369">
        <v>7830</v>
      </c>
      <c r="AG4369">
        <v>0</v>
      </c>
      <c r="AH4369">
        <v>-178</v>
      </c>
    </row>
    <row r="4370" spans="2:34" x14ac:dyDescent="0.35">
      <c r="B4370" t="s">
        <v>747</v>
      </c>
      <c r="C4370">
        <v>46008</v>
      </c>
      <c r="F4370" t="s">
        <v>749</v>
      </c>
      <c r="H4370">
        <v>47.73</v>
      </c>
      <c r="O4370" t="s">
        <v>239</v>
      </c>
      <c r="P4370" t="s">
        <v>514</v>
      </c>
      <c r="Y4370">
        <v>4336</v>
      </c>
      <c r="Z4370" s="259" t="s">
        <v>630</v>
      </c>
      <c r="AA4370">
        <v>80</v>
      </c>
      <c r="AB4370">
        <v>4004</v>
      </c>
      <c r="AC4370">
        <v>46008</v>
      </c>
      <c r="AD4370">
        <v>0</v>
      </c>
      <c r="AE4370">
        <v>3818.3999999999996</v>
      </c>
      <c r="AF4370">
        <v>3818.3999999999996</v>
      </c>
      <c r="AG4370">
        <v>0</v>
      </c>
      <c r="AH4370">
        <v>-185.60000000000036</v>
      </c>
    </row>
    <row r="4371" spans="2:34" x14ac:dyDescent="0.35">
      <c r="B4371" t="s">
        <v>747</v>
      </c>
      <c r="C4371">
        <v>46008</v>
      </c>
      <c r="F4371" t="s">
        <v>752</v>
      </c>
      <c r="H4371">
        <v>169.47</v>
      </c>
      <c r="O4371" t="s">
        <v>239</v>
      </c>
      <c r="P4371" t="s">
        <v>514</v>
      </c>
      <c r="Y4371">
        <v>4337</v>
      </c>
      <c r="Z4371" s="259" t="s">
        <v>630</v>
      </c>
      <c r="AA4371">
        <v>30</v>
      </c>
      <c r="AB4371">
        <v>5343</v>
      </c>
      <c r="AC4371">
        <v>46008</v>
      </c>
      <c r="AD4371">
        <v>0</v>
      </c>
      <c r="AE4371">
        <v>5084.1000000000004</v>
      </c>
      <c r="AF4371">
        <v>5084.1000000000004</v>
      </c>
      <c r="AG4371">
        <v>0</v>
      </c>
      <c r="AH4371">
        <v>-258.89999999999964</v>
      </c>
    </row>
    <row r="4372" spans="2:34" x14ac:dyDescent="0.35">
      <c r="B4372" t="s">
        <v>747</v>
      </c>
      <c r="C4372">
        <v>46008</v>
      </c>
      <c r="F4372" t="s">
        <v>754</v>
      </c>
      <c r="H4372">
        <v>78.27</v>
      </c>
      <c r="O4372" t="s">
        <v>239</v>
      </c>
      <c r="P4372" t="s">
        <v>514</v>
      </c>
      <c r="Y4372">
        <v>4338</v>
      </c>
      <c r="Z4372" s="259" t="s">
        <v>630</v>
      </c>
      <c r="AA4372">
        <v>100</v>
      </c>
      <c r="AB4372">
        <v>8008</v>
      </c>
      <c r="AC4372">
        <v>46008</v>
      </c>
      <c r="AD4372">
        <v>0</v>
      </c>
      <c r="AE4372">
        <v>7827</v>
      </c>
      <c r="AF4372">
        <v>7827</v>
      </c>
      <c r="AG4372">
        <v>0</v>
      </c>
      <c r="AH4372">
        <v>-181</v>
      </c>
    </row>
    <row r="4373" spans="2:34" x14ac:dyDescent="0.35">
      <c r="B4373" t="s">
        <v>747</v>
      </c>
      <c r="C4373">
        <v>46009</v>
      </c>
      <c r="F4373" t="s">
        <v>749</v>
      </c>
      <c r="H4373">
        <v>47.72</v>
      </c>
      <c r="O4373" t="s">
        <v>239</v>
      </c>
      <c r="P4373" t="s">
        <v>514</v>
      </c>
      <c r="Y4373">
        <v>4339</v>
      </c>
      <c r="Z4373" s="259" t="s">
        <v>630</v>
      </c>
      <c r="AA4373">
        <v>80</v>
      </c>
      <c r="AB4373">
        <v>4004</v>
      </c>
      <c r="AC4373">
        <v>46009</v>
      </c>
      <c r="AD4373">
        <v>0</v>
      </c>
      <c r="AE4373">
        <v>3817.6</v>
      </c>
      <c r="AF4373">
        <v>3817.6</v>
      </c>
      <c r="AG4373">
        <v>0</v>
      </c>
      <c r="AH4373">
        <v>-186.40000000000009</v>
      </c>
    </row>
    <row r="4374" spans="2:34" x14ac:dyDescent="0.35">
      <c r="B4374" t="s">
        <v>747</v>
      </c>
      <c r="C4374">
        <v>46009</v>
      </c>
      <c r="F4374" t="s">
        <v>752</v>
      </c>
      <c r="H4374">
        <v>169.43</v>
      </c>
      <c r="O4374" t="s">
        <v>239</v>
      </c>
      <c r="P4374" t="s">
        <v>514</v>
      </c>
      <c r="Y4374">
        <v>4340</v>
      </c>
      <c r="Z4374" s="259" t="s">
        <v>630</v>
      </c>
      <c r="AA4374">
        <v>30</v>
      </c>
      <c r="AB4374">
        <v>5343</v>
      </c>
      <c r="AC4374">
        <v>46009</v>
      </c>
      <c r="AD4374">
        <v>0</v>
      </c>
      <c r="AE4374">
        <v>5082.9000000000005</v>
      </c>
      <c r="AF4374">
        <v>5082.9000000000005</v>
      </c>
      <c r="AG4374">
        <v>0</v>
      </c>
      <c r="AH4374">
        <v>-260.09999999999945</v>
      </c>
    </row>
    <row r="4375" spans="2:34" x14ac:dyDescent="0.35">
      <c r="B4375" t="s">
        <v>747</v>
      </c>
      <c r="C4375">
        <v>46009</v>
      </c>
      <c r="F4375" t="s">
        <v>754</v>
      </c>
      <c r="H4375">
        <v>78.23</v>
      </c>
      <c r="O4375" t="s">
        <v>239</v>
      </c>
      <c r="P4375" t="s">
        <v>514</v>
      </c>
      <c r="Y4375">
        <v>4341</v>
      </c>
      <c r="Z4375" s="259" t="s">
        <v>630</v>
      </c>
      <c r="AA4375">
        <v>100</v>
      </c>
      <c r="AB4375">
        <v>8008</v>
      </c>
      <c r="AC4375">
        <v>46009</v>
      </c>
      <c r="AD4375">
        <v>0</v>
      </c>
      <c r="AE4375">
        <v>7823</v>
      </c>
      <c r="AF4375">
        <v>7823</v>
      </c>
      <c r="AG4375">
        <v>0</v>
      </c>
      <c r="AH4375">
        <v>-185</v>
      </c>
    </row>
    <row r="4376" spans="2:34" x14ac:dyDescent="0.35">
      <c r="B4376" t="s">
        <v>747</v>
      </c>
      <c r="C4376">
        <v>46010</v>
      </c>
      <c r="F4376" t="s">
        <v>749</v>
      </c>
      <c r="H4376">
        <v>47.7</v>
      </c>
      <c r="O4376" t="s">
        <v>239</v>
      </c>
      <c r="P4376" t="s">
        <v>514</v>
      </c>
      <c r="Y4376">
        <v>4342</v>
      </c>
      <c r="Z4376" s="259" t="s">
        <v>630</v>
      </c>
      <c r="AA4376">
        <v>80</v>
      </c>
      <c r="AB4376">
        <v>4004</v>
      </c>
      <c r="AC4376">
        <v>46010</v>
      </c>
      <c r="AD4376">
        <v>0</v>
      </c>
      <c r="AE4376">
        <v>3816</v>
      </c>
      <c r="AF4376">
        <v>3816</v>
      </c>
      <c r="AG4376">
        <v>0</v>
      </c>
      <c r="AH4376">
        <v>-188</v>
      </c>
    </row>
    <row r="4377" spans="2:34" x14ac:dyDescent="0.35">
      <c r="B4377" t="s">
        <v>747</v>
      </c>
      <c r="C4377">
        <v>46010</v>
      </c>
      <c r="F4377" t="s">
        <v>752</v>
      </c>
      <c r="H4377">
        <v>169.4</v>
      </c>
      <c r="O4377" t="s">
        <v>239</v>
      </c>
      <c r="P4377" t="s">
        <v>514</v>
      </c>
      <c r="Y4377">
        <v>4343</v>
      </c>
      <c r="Z4377" s="259" t="s">
        <v>630</v>
      </c>
      <c r="AA4377">
        <v>30</v>
      </c>
      <c r="AB4377">
        <v>5343</v>
      </c>
      <c r="AC4377">
        <v>46010</v>
      </c>
      <c r="AD4377">
        <v>0</v>
      </c>
      <c r="AE4377">
        <v>5082</v>
      </c>
      <c r="AF4377">
        <v>5082</v>
      </c>
      <c r="AG4377">
        <v>0</v>
      </c>
      <c r="AH4377">
        <v>-261</v>
      </c>
    </row>
    <row r="4378" spans="2:34" x14ac:dyDescent="0.35">
      <c r="B4378" t="s">
        <v>747</v>
      </c>
      <c r="C4378">
        <v>46010</v>
      </c>
      <c r="F4378" t="s">
        <v>754</v>
      </c>
      <c r="H4378">
        <v>78.2</v>
      </c>
      <c r="O4378" t="s">
        <v>239</v>
      </c>
      <c r="P4378" t="s">
        <v>514</v>
      </c>
      <c r="Y4378">
        <v>4344</v>
      </c>
      <c r="Z4378" s="259" t="s">
        <v>630</v>
      </c>
      <c r="AA4378">
        <v>100</v>
      </c>
      <c r="AB4378">
        <v>8008</v>
      </c>
      <c r="AC4378">
        <v>46010</v>
      </c>
      <c r="AD4378">
        <v>0</v>
      </c>
      <c r="AE4378">
        <v>7820</v>
      </c>
      <c r="AF4378">
        <v>7820</v>
      </c>
      <c r="AG4378">
        <v>0</v>
      </c>
      <c r="AH4378">
        <v>-188</v>
      </c>
    </row>
    <row r="4379" spans="2:34" x14ac:dyDescent="0.35">
      <c r="B4379" t="s">
        <v>747</v>
      </c>
      <c r="C4379">
        <v>46011</v>
      </c>
      <c r="F4379" t="s">
        <v>749</v>
      </c>
      <c r="H4379">
        <v>47.7</v>
      </c>
      <c r="O4379" t="s">
        <v>239</v>
      </c>
      <c r="P4379" t="s">
        <v>514</v>
      </c>
      <c r="Y4379">
        <v>4345</v>
      </c>
      <c r="Z4379" s="259" t="s">
        <v>630</v>
      </c>
      <c r="AA4379">
        <v>80</v>
      </c>
      <c r="AB4379">
        <v>4004</v>
      </c>
      <c r="AC4379">
        <v>46010</v>
      </c>
      <c r="AD4379">
        <v>1</v>
      </c>
      <c r="AE4379">
        <v>3816</v>
      </c>
      <c r="AF4379">
        <v>3816</v>
      </c>
      <c r="AG4379">
        <v>0</v>
      </c>
      <c r="AH4379">
        <v>-188</v>
      </c>
    </row>
    <row r="4380" spans="2:34" x14ac:dyDescent="0.35">
      <c r="B4380" t="s">
        <v>747</v>
      </c>
      <c r="C4380">
        <v>46011</v>
      </c>
      <c r="F4380" t="s">
        <v>752</v>
      </c>
      <c r="H4380">
        <v>169.4</v>
      </c>
      <c r="O4380" t="s">
        <v>239</v>
      </c>
      <c r="P4380" t="s">
        <v>514</v>
      </c>
      <c r="Y4380">
        <v>4346</v>
      </c>
      <c r="Z4380" s="259" t="s">
        <v>630</v>
      </c>
      <c r="AA4380">
        <v>30</v>
      </c>
      <c r="AB4380">
        <v>5343</v>
      </c>
      <c r="AC4380">
        <v>46010</v>
      </c>
      <c r="AD4380">
        <v>1</v>
      </c>
      <c r="AE4380">
        <v>5082</v>
      </c>
      <c r="AF4380">
        <v>5082</v>
      </c>
      <c r="AG4380">
        <v>0</v>
      </c>
      <c r="AH4380">
        <v>-261</v>
      </c>
    </row>
    <row r="4381" spans="2:34" x14ac:dyDescent="0.35">
      <c r="B4381" t="s">
        <v>747</v>
      </c>
      <c r="C4381">
        <v>46011</v>
      </c>
      <c r="F4381" t="s">
        <v>754</v>
      </c>
      <c r="H4381">
        <v>78.2</v>
      </c>
      <c r="O4381" t="s">
        <v>239</v>
      </c>
      <c r="P4381" t="s">
        <v>514</v>
      </c>
      <c r="Y4381">
        <v>4347</v>
      </c>
      <c r="Z4381" s="259" t="s">
        <v>630</v>
      </c>
      <c r="AA4381">
        <v>100</v>
      </c>
      <c r="AB4381">
        <v>8008</v>
      </c>
      <c r="AC4381">
        <v>46010</v>
      </c>
      <c r="AD4381">
        <v>1</v>
      </c>
      <c r="AE4381">
        <v>7820</v>
      </c>
      <c r="AF4381">
        <v>7820</v>
      </c>
      <c r="AG4381">
        <v>0</v>
      </c>
      <c r="AH4381">
        <v>-188</v>
      </c>
    </row>
    <row r="4382" spans="2:34" x14ac:dyDescent="0.35">
      <c r="B4382" t="s">
        <v>747</v>
      </c>
      <c r="C4382">
        <v>46012</v>
      </c>
      <c r="F4382" t="s">
        <v>749</v>
      </c>
      <c r="H4382">
        <v>47.7</v>
      </c>
      <c r="O4382" t="s">
        <v>239</v>
      </c>
      <c r="P4382" t="s">
        <v>514</v>
      </c>
      <c r="Y4382">
        <v>4348</v>
      </c>
      <c r="Z4382" s="259" t="s">
        <v>630</v>
      </c>
      <c r="AA4382">
        <v>80</v>
      </c>
      <c r="AB4382">
        <v>4004</v>
      </c>
      <c r="AC4382">
        <v>46010</v>
      </c>
      <c r="AD4382">
        <v>2</v>
      </c>
      <c r="AE4382">
        <v>3816</v>
      </c>
      <c r="AF4382">
        <v>3816</v>
      </c>
      <c r="AG4382">
        <v>0</v>
      </c>
      <c r="AH4382">
        <v>-188</v>
      </c>
    </row>
    <row r="4383" spans="2:34" x14ac:dyDescent="0.35">
      <c r="B4383" t="s">
        <v>747</v>
      </c>
      <c r="C4383">
        <v>46012</v>
      </c>
      <c r="F4383" t="s">
        <v>752</v>
      </c>
      <c r="H4383">
        <v>169.4</v>
      </c>
      <c r="O4383" t="s">
        <v>239</v>
      </c>
      <c r="P4383" t="s">
        <v>514</v>
      </c>
      <c r="Y4383">
        <v>4349</v>
      </c>
      <c r="Z4383" s="259" t="s">
        <v>630</v>
      </c>
      <c r="AA4383">
        <v>30</v>
      </c>
      <c r="AB4383">
        <v>5343</v>
      </c>
      <c r="AC4383">
        <v>46010</v>
      </c>
      <c r="AD4383">
        <v>2</v>
      </c>
      <c r="AE4383">
        <v>5082</v>
      </c>
      <c r="AF4383">
        <v>5082</v>
      </c>
      <c r="AG4383">
        <v>0</v>
      </c>
      <c r="AH4383">
        <v>-261</v>
      </c>
    </row>
    <row r="4384" spans="2:34" x14ac:dyDescent="0.35">
      <c r="B4384" t="s">
        <v>747</v>
      </c>
      <c r="C4384">
        <v>46012</v>
      </c>
      <c r="F4384" t="s">
        <v>754</v>
      </c>
      <c r="H4384">
        <v>78.2</v>
      </c>
      <c r="O4384" t="s">
        <v>239</v>
      </c>
      <c r="P4384" t="s">
        <v>514</v>
      </c>
      <c r="Y4384">
        <v>4350</v>
      </c>
      <c r="Z4384" s="259" t="s">
        <v>630</v>
      </c>
      <c r="AA4384">
        <v>100</v>
      </c>
      <c r="AB4384">
        <v>8008</v>
      </c>
      <c r="AC4384">
        <v>46010</v>
      </c>
      <c r="AD4384">
        <v>2</v>
      </c>
      <c r="AE4384">
        <v>7820</v>
      </c>
      <c r="AF4384">
        <v>7820</v>
      </c>
      <c r="AG4384">
        <v>0</v>
      </c>
      <c r="AH4384">
        <v>-188</v>
      </c>
    </row>
    <row r="4385" spans="2:34" x14ac:dyDescent="0.35">
      <c r="B4385" t="s">
        <v>747</v>
      </c>
      <c r="C4385">
        <v>46013</v>
      </c>
      <c r="F4385" t="s">
        <v>749</v>
      </c>
      <c r="H4385">
        <v>47.65</v>
      </c>
      <c r="O4385" t="s">
        <v>239</v>
      </c>
      <c r="P4385" t="s">
        <v>514</v>
      </c>
      <c r="Y4385">
        <v>4351</v>
      </c>
      <c r="Z4385" s="259" t="s">
        <v>630</v>
      </c>
      <c r="AA4385">
        <v>80</v>
      </c>
      <c r="AB4385">
        <v>4004</v>
      </c>
      <c r="AC4385">
        <v>46013</v>
      </c>
      <c r="AD4385">
        <v>0</v>
      </c>
      <c r="AE4385">
        <v>3812</v>
      </c>
      <c r="AF4385">
        <v>3812</v>
      </c>
      <c r="AG4385">
        <v>0</v>
      </c>
      <c r="AH4385">
        <v>-192</v>
      </c>
    </row>
    <row r="4386" spans="2:34" x14ac:dyDescent="0.35">
      <c r="B4386" t="s">
        <v>747</v>
      </c>
      <c r="C4386">
        <v>46013</v>
      </c>
      <c r="F4386" t="s">
        <v>752</v>
      </c>
      <c r="H4386">
        <v>169.3</v>
      </c>
      <c r="O4386" t="s">
        <v>239</v>
      </c>
      <c r="P4386" t="s">
        <v>514</v>
      </c>
      <c r="Y4386">
        <v>4352</v>
      </c>
      <c r="Z4386" s="259" t="s">
        <v>630</v>
      </c>
      <c r="AA4386">
        <v>30</v>
      </c>
      <c r="AB4386">
        <v>5343</v>
      </c>
      <c r="AC4386">
        <v>46013</v>
      </c>
      <c r="AD4386">
        <v>0</v>
      </c>
      <c r="AE4386">
        <v>5079</v>
      </c>
      <c r="AF4386">
        <v>5079</v>
      </c>
      <c r="AG4386">
        <v>0</v>
      </c>
      <c r="AH4386">
        <v>-264</v>
      </c>
    </row>
    <row r="4387" spans="2:34" x14ac:dyDescent="0.35">
      <c r="B4387" t="s">
        <v>747</v>
      </c>
      <c r="C4387">
        <v>46013</v>
      </c>
      <c r="F4387" t="s">
        <v>754</v>
      </c>
      <c r="H4387">
        <v>78.099999999999994</v>
      </c>
      <c r="O4387" t="s">
        <v>239</v>
      </c>
      <c r="P4387" t="s">
        <v>514</v>
      </c>
      <c r="Y4387">
        <v>4353</v>
      </c>
      <c r="Z4387" s="259" t="s">
        <v>630</v>
      </c>
      <c r="AA4387">
        <v>100</v>
      </c>
      <c r="AB4387">
        <v>8008</v>
      </c>
      <c r="AC4387">
        <v>46013</v>
      </c>
      <c r="AD4387">
        <v>0</v>
      </c>
      <c r="AE4387">
        <v>7809.9999999999991</v>
      </c>
      <c r="AF4387">
        <v>7809.9999999999991</v>
      </c>
      <c r="AG4387">
        <v>0</v>
      </c>
      <c r="AH4387">
        <v>-198.00000000000091</v>
      </c>
    </row>
    <row r="4388" spans="2:34" x14ac:dyDescent="0.35">
      <c r="B4388" t="s">
        <v>747</v>
      </c>
      <c r="C4388">
        <v>46014</v>
      </c>
      <c r="F4388" t="s">
        <v>749</v>
      </c>
      <c r="H4388">
        <v>47.63</v>
      </c>
      <c r="O4388" t="s">
        <v>239</v>
      </c>
      <c r="P4388" t="s">
        <v>514</v>
      </c>
      <c r="Y4388">
        <v>4354</v>
      </c>
      <c r="Z4388" s="259" t="s">
        <v>630</v>
      </c>
      <c r="AA4388">
        <v>80</v>
      </c>
      <c r="AB4388">
        <v>4004</v>
      </c>
      <c r="AC4388">
        <v>46014</v>
      </c>
      <c r="AD4388">
        <v>0</v>
      </c>
      <c r="AE4388">
        <v>3810.4</v>
      </c>
      <c r="AF4388">
        <v>3810.4</v>
      </c>
      <c r="AG4388">
        <v>0</v>
      </c>
      <c r="AH4388">
        <v>-193.59999999999991</v>
      </c>
    </row>
    <row r="4389" spans="2:34" x14ac:dyDescent="0.35">
      <c r="B4389" t="s">
        <v>747</v>
      </c>
      <c r="C4389">
        <v>46014</v>
      </c>
      <c r="F4389" t="s">
        <v>752</v>
      </c>
      <c r="H4389">
        <v>169.27</v>
      </c>
      <c r="O4389" t="s">
        <v>239</v>
      </c>
      <c r="P4389" t="s">
        <v>514</v>
      </c>
      <c r="Y4389">
        <v>4355</v>
      </c>
      <c r="Z4389" s="259" t="s">
        <v>630</v>
      </c>
      <c r="AA4389">
        <v>30</v>
      </c>
      <c r="AB4389">
        <v>5343</v>
      </c>
      <c r="AC4389">
        <v>46014</v>
      </c>
      <c r="AD4389">
        <v>0</v>
      </c>
      <c r="AE4389">
        <v>5078.1000000000004</v>
      </c>
      <c r="AF4389">
        <v>5078.1000000000004</v>
      </c>
      <c r="AG4389">
        <v>0</v>
      </c>
      <c r="AH4389">
        <v>-264.89999999999964</v>
      </c>
    </row>
    <row r="4390" spans="2:34" x14ac:dyDescent="0.35">
      <c r="B4390" t="s">
        <v>747</v>
      </c>
      <c r="C4390">
        <v>46014</v>
      </c>
      <c r="F4390" t="s">
        <v>754</v>
      </c>
      <c r="H4390">
        <v>78.069999999999993</v>
      </c>
      <c r="O4390" t="s">
        <v>239</v>
      </c>
      <c r="P4390" t="s">
        <v>514</v>
      </c>
      <c r="Y4390">
        <v>4356</v>
      </c>
      <c r="Z4390" s="259" t="s">
        <v>630</v>
      </c>
      <c r="AA4390">
        <v>100</v>
      </c>
      <c r="AB4390">
        <v>8008</v>
      </c>
      <c r="AC4390">
        <v>46014</v>
      </c>
      <c r="AD4390">
        <v>0</v>
      </c>
      <c r="AE4390">
        <v>7806.9999999999991</v>
      </c>
      <c r="AF4390">
        <v>7806.9999999999991</v>
      </c>
      <c r="AG4390">
        <v>0</v>
      </c>
      <c r="AH4390">
        <v>-201.00000000000091</v>
      </c>
    </row>
    <row r="4391" spans="2:34" x14ac:dyDescent="0.35">
      <c r="B4391" t="s">
        <v>747</v>
      </c>
      <c r="C4391">
        <v>46015</v>
      </c>
      <c r="F4391" t="s">
        <v>749</v>
      </c>
      <c r="H4391">
        <v>47.62</v>
      </c>
      <c r="O4391" t="s">
        <v>239</v>
      </c>
      <c r="P4391" t="s">
        <v>514</v>
      </c>
      <c r="Y4391">
        <v>4357</v>
      </c>
      <c r="Z4391" s="259" t="s">
        <v>630</v>
      </c>
      <c r="AA4391">
        <v>80</v>
      </c>
      <c r="AB4391">
        <v>4004</v>
      </c>
      <c r="AC4391">
        <v>46015</v>
      </c>
      <c r="AD4391">
        <v>0</v>
      </c>
      <c r="AE4391">
        <v>3809.6</v>
      </c>
      <c r="AF4391">
        <v>3809.6</v>
      </c>
      <c r="AG4391">
        <v>0</v>
      </c>
      <c r="AH4391">
        <v>-194.40000000000009</v>
      </c>
    </row>
    <row r="4392" spans="2:34" x14ac:dyDescent="0.35">
      <c r="B4392" t="s">
        <v>747</v>
      </c>
      <c r="C4392">
        <v>46015</v>
      </c>
      <c r="F4392" t="s">
        <v>752</v>
      </c>
      <c r="H4392">
        <v>169.23</v>
      </c>
      <c r="O4392" t="s">
        <v>239</v>
      </c>
      <c r="P4392" t="s">
        <v>514</v>
      </c>
      <c r="Y4392">
        <v>4358</v>
      </c>
      <c r="Z4392" s="259" t="s">
        <v>630</v>
      </c>
      <c r="AA4392">
        <v>30</v>
      </c>
      <c r="AB4392">
        <v>5343</v>
      </c>
      <c r="AC4392">
        <v>46015</v>
      </c>
      <c r="AD4392">
        <v>0</v>
      </c>
      <c r="AE4392">
        <v>5076.8999999999996</v>
      </c>
      <c r="AF4392">
        <v>5076.8999999999996</v>
      </c>
      <c r="AG4392">
        <v>0</v>
      </c>
      <c r="AH4392">
        <v>-266.10000000000036</v>
      </c>
    </row>
    <row r="4393" spans="2:34" x14ac:dyDescent="0.35">
      <c r="B4393" t="s">
        <v>747</v>
      </c>
      <c r="C4393">
        <v>46015</v>
      </c>
      <c r="F4393" t="s">
        <v>754</v>
      </c>
      <c r="H4393">
        <v>78.03</v>
      </c>
      <c r="O4393" t="s">
        <v>239</v>
      </c>
      <c r="P4393" t="s">
        <v>514</v>
      </c>
      <c r="Y4393">
        <v>4359</v>
      </c>
      <c r="Z4393" s="259" t="s">
        <v>630</v>
      </c>
      <c r="AA4393">
        <v>100</v>
      </c>
      <c r="AB4393">
        <v>8008</v>
      </c>
      <c r="AC4393">
        <v>46015</v>
      </c>
      <c r="AD4393">
        <v>0</v>
      </c>
      <c r="AE4393">
        <v>7803</v>
      </c>
      <c r="AF4393">
        <v>7803</v>
      </c>
      <c r="AG4393">
        <v>0</v>
      </c>
      <c r="AH4393">
        <v>-205</v>
      </c>
    </row>
    <row r="4394" spans="2:34" x14ac:dyDescent="0.35">
      <c r="B4394" t="s">
        <v>747</v>
      </c>
      <c r="C4394">
        <v>46016</v>
      </c>
      <c r="F4394" t="s">
        <v>749</v>
      </c>
      <c r="H4394">
        <v>47.6</v>
      </c>
      <c r="O4394" t="s">
        <v>239</v>
      </c>
      <c r="P4394" t="s">
        <v>514</v>
      </c>
      <c r="Y4394">
        <v>4360</v>
      </c>
      <c r="Z4394" s="259" t="s">
        <v>630</v>
      </c>
      <c r="AA4394">
        <v>80</v>
      </c>
      <c r="AB4394">
        <v>4004</v>
      </c>
      <c r="AC4394">
        <v>46016</v>
      </c>
      <c r="AD4394">
        <v>0</v>
      </c>
      <c r="AE4394">
        <v>3808</v>
      </c>
      <c r="AF4394">
        <v>3808</v>
      </c>
      <c r="AG4394">
        <v>0</v>
      </c>
      <c r="AH4394">
        <v>-196</v>
      </c>
    </row>
    <row r="4395" spans="2:34" x14ac:dyDescent="0.35">
      <c r="B4395" t="s">
        <v>747</v>
      </c>
      <c r="C4395">
        <v>46016</v>
      </c>
      <c r="F4395" t="s">
        <v>752</v>
      </c>
      <c r="H4395">
        <v>169.2</v>
      </c>
      <c r="O4395" t="s">
        <v>239</v>
      </c>
      <c r="P4395" t="s">
        <v>514</v>
      </c>
      <c r="Y4395">
        <v>4361</v>
      </c>
      <c r="Z4395" s="259" t="s">
        <v>630</v>
      </c>
      <c r="AA4395">
        <v>30</v>
      </c>
      <c r="AB4395">
        <v>5343</v>
      </c>
      <c r="AC4395">
        <v>46016</v>
      </c>
      <c r="AD4395">
        <v>0</v>
      </c>
      <c r="AE4395">
        <v>5076</v>
      </c>
      <c r="AF4395">
        <v>5076</v>
      </c>
      <c r="AG4395">
        <v>0</v>
      </c>
      <c r="AH4395">
        <v>-267</v>
      </c>
    </row>
    <row r="4396" spans="2:34" x14ac:dyDescent="0.35">
      <c r="B4396" t="s">
        <v>747</v>
      </c>
      <c r="C4396">
        <v>46016</v>
      </c>
      <c r="F4396" t="s">
        <v>754</v>
      </c>
      <c r="H4396">
        <v>78</v>
      </c>
      <c r="O4396" t="s">
        <v>239</v>
      </c>
      <c r="P4396" t="s">
        <v>514</v>
      </c>
      <c r="Y4396">
        <v>4362</v>
      </c>
      <c r="Z4396" s="259" t="s">
        <v>630</v>
      </c>
      <c r="AA4396">
        <v>100</v>
      </c>
      <c r="AB4396">
        <v>8008</v>
      </c>
      <c r="AC4396">
        <v>46016</v>
      </c>
      <c r="AD4396">
        <v>0</v>
      </c>
      <c r="AE4396">
        <v>7800</v>
      </c>
      <c r="AF4396">
        <v>7800</v>
      </c>
      <c r="AG4396">
        <v>0</v>
      </c>
      <c r="AH4396">
        <v>-208</v>
      </c>
    </row>
    <row r="4397" spans="2:34" x14ac:dyDescent="0.35">
      <c r="B4397" t="s">
        <v>747</v>
      </c>
      <c r="C4397">
        <v>46017</v>
      </c>
      <c r="F4397" t="s">
        <v>749</v>
      </c>
      <c r="H4397">
        <v>47.58</v>
      </c>
      <c r="O4397" t="s">
        <v>239</v>
      </c>
      <c r="P4397" t="s">
        <v>514</v>
      </c>
      <c r="Y4397">
        <v>4363</v>
      </c>
      <c r="Z4397" s="259" t="s">
        <v>630</v>
      </c>
      <c r="AA4397">
        <v>80</v>
      </c>
      <c r="AB4397">
        <v>4004</v>
      </c>
      <c r="AC4397">
        <v>46017</v>
      </c>
      <c r="AD4397">
        <v>0</v>
      </c>
      <c r="AE4397">
        <v>3806.3999999999996</v>
      </c>
      <c r="AF4397">
        <v>3806.3999999999996</v>
      </c>
      <c r="AG4397">
        <v>0</v>
      </c>
      <c r="AH4397">
        <v>-197.60000000000036</v>
      </c>
    </row>
    <row r="4398" spans="2:34" x14ac:dyDescent="0.35">
      <c r="B4398" t="s">
        <v>747</v>
      </c>
      <c r="C4398">
        <v>46017</v>
      </c>
      <c r="F4398" t="s">
        <v>752</v>
      </c>
      <c r="H4398">
        <v>169.17</v>
      </c>
      <c r="O4398" t="s">
        <v>239</v>
      </c>
      <c r="P4398" t="s">
        <v>514</v>
      </c>
      <c r="Y4398">
        <v>4364</v>
      </c>
      <c r="Z4398" s="259" t="s">
        <v>630</v>
      </c>
      <c r="AA4398">
        <v>30</v>
      </c>
      <c r="AB4398">
        <v>5343</v>
      </c>
      <c r="AC4398">
        <v>46017</v>
      </c>
      <c r="AD4398">
        <v>0</v>
      </c>
      <c r="AE4398">
        <v>5075.0999999999995</v>
      </c>
      <c r="AF4398">
        <v>5075.0999999999995</v>
      </c>
      <c r="AG4398">
        <v>0</v>
      </c>
      <c r="AH4398">
        <v>-267.90000000000055</v>
      </c>
    </row>
    <row r="4399" spans="2:34" x14ac:dyDescent="0.35">
      <c r="B4399" t="s">
        <v>747</v>
      </c>
      <c r="C4399">
        <v>46017</v>
      </c>
      <c r="F4399" t="s">
        <v>754</v>
      </c>
      <c r="H4399">
        <v>77.97</v>
      </c>
      <c r="O4399" t="s">
        <v>239</v>
      </c>
      <c r="P4399" t="s">
        <v>514</v>
      </c>
      <c r="Y4399">
        <v>4365</v>
      </c>
      <c r="Z4399" s="259" t="s">
        <v>630</v>
      </c>
      <c r="AA4399">
        <v>100</v>
      </c>
      <c r="AB4399">
        <v>8008</v>
      </c>
      <c r="AC4399">
        <v>46017</v>
      </c>
      <c r="AD4399">
        <v>0</v>
      </c>
      <c r="AE4399">
        <v>7797</v>
      </c>
      <c r="AF4399">
        <v>7797</v>
      </c>
      <c r="AG4399">
        <v>0</v>
      </c>
      <c r="AH4399">
        <v>-211</v>
      </c>
    </row>
    <row r="4400" spans="2:34" x14ac:dyDescent="0.35">
      <c r="B4400" t="s">
        <v>747</v>
      </c>
      <c r="C4400">
        <v>46018</v>
      </c>
      <c r="F4400" t="s">
        <v>749</v>
      </c>
      <c r="H4400">
        <v>47.58</v>
      </c>
      <c r="O4400" t="s">
        <v>239</v>
      </c>
      <c r="P4400" t="s">
        <v>514</v>
      </c>
      <c r="Y4400">
        <v>4366</v>
      </c>
      <c r="Z4400" s="259" t="s">
        <v>630</v>
      </c>
      <c r="AA4400">
        <v>80</v>
      </c>
      <c r="AB4400">
        <v>4004</v>
      </c>
      <c r="AC4400">
        <v>46017</v>
      </c>
      <c r="AD4400">
        <v>1</v>
      </c>
      <c r="AE4400">
        <v>3806.3999999999996</v>
      </c>
      <c r="AF4400">
        <v>3806.3999999999996</v>
      </c>
      <c r="AG4400">
        <v>0</v>
      </c>
      <c r="AH4400">
        <v>-197.60000000000036</v>
      </c>
    </row>
    <row r="4401" spans="2:46" x14ac:dyDescent="0.35">
      <c r="B4401" t="s">
        <v>747</v>
      </c>
      <c r="C4401">
        <v>46018</v>
      </c>
      <c r="F4401" t="s">
        <v>752</v>
      </c>
      <c r="H4401">
        <v>169.17</v>
      </c>
      <c r="O4401" t="s">
        <v>239</v>
      </c>
      <c r="P4401" t="s">
        <v>514</v>
      </c>
      <c r="Y4401">
        <v>4367</v>
      </c>
      <c r="Z4401" s="259" t="s">
        <v>630</v>
      </c>
      <c r="AA4401">
        <v>30</v>
      </c>
      <c r="AB4401">
        <v>5343</v>
      </c>
      <c r="AC4401">
        <v>46017</v>
      </c>
      <c r="AD4401">
        <v>1</v>
      </c>
      <c r="AE4401">
        <v>5075.0999999999995</v>
      </c>
      <c r="AF4401">
        <v>5075.0999999999995</v>
      </c>
      <c r="AG4401">
        <v>0</v>
      </c>
      <c r="AH4401">
        <v>-267.90000000000055</v>
      </c>
    </row>
    <row r="4402" spans="2:46" x14ac:dyDescent="0.35">
      <c r="B4402" t="s">
        <v>747</v>
      </c>
      <c r="C4402">
        <v>46018</v>
      </c>
      <c r="F4402" t="s">
        <v>754</v>
      </c>
      <c r="H4402">
        <v>77.97</v>
      </c>
      <c r="O4402" t="s">
        <v>239</v>
      </c>
      <c r="P4402" t="s">
        <v>514</v>
      </c>
      <c r="Y4402">
        <v>4368</v>
      </c>
      <c r="Z4402" s="259" t="s">
        <v>630</v>
      </c>
      <c r="AA4402">
        <v>100</v>
      </c>
      <c r="AB4402">
        <v>8008</v>
      </c>
      <c r="AC4402">
        <v>46017</v>
      </c>
      <c r="AD4402">
        <v>1</v>
      </c>
      <c r="AE4402">
        <v>7797</v>
      </c>
      <c r="AF4402">
        <v>7797</v>
      </c>
      <c r="AG4402">
        <v>0</v>
      </c>
      <c r="AH4402">
        <v>-211</v>
      </c>
    </row>
    <row r="4403" spans="2:46" x14ac:dyDescent="0.35">
      <c r="B4403" t="s">
        <v>747</v>
      </c>
      <c r="C4403">
        <v>46019</v>
      </c>
      <c r="F4403" t="s">
        <v>749</v>
      </c>
      <c r="H4403">
        <v>47.58</v>
      </c>
      <c r="O4403" t="s">
        <v>239</v>
      </c>
      <c r="P4403" t="s">
        <v>514</v>
      </c>
      <c r="Y4403">
        <v>4369</v>
      </c>
      <c r="Z4403" s="259" t="s">
        <v>630</v>
      </c>
      <c r="AA4403">
        <v>80</v>
      </c>
      <c r="AB4403">
        <v>4004</v>
      </c>
      <c r="AC4403">
        <v>46017</v>
      </c>
      <c r="AD4403">
        <v>2</v>
      </c>
      <c r="AE4403">
        <v>3806.3999999999996</v>
      </c>
      <c r="AF4403">
        <v>3806.3999999999996</v>
      </c>
      <c r="AG4403">
        <v>0</v>
      </c>
      <c r="AH4403">
        <v>-197.60000000000036</v>
      </c>
    </row>
    <row r="4404" spans="2:46" x14ac:dyDescent="0.35">
      <c r="B4404" t="s">
        <v>747</v>
      </c>
      <c r="C4404">
        <v>46019</v>
      </c>
      <c r="F4404" t="s">
        <v>752</v>
      </c>
      <c r="H4404">
        <v>169.17</v>
      </c>
      <c r="O4404" t="s">
        <v>239</v>
      </c>
      <c r="P4404" t="s">
        <v>514</v>
      </c>
      <c r="Y4404">
        <v>4370</v>
      </c>
      <c r="Z4404" s="259" t="s">
        <v>630</v>
      </c>
      <c r="AA4404">
        <v>30</v>
      </c>
      <c r="AB4404">
        <v>5343</v>
      </c>
      <c r="AC4404">
        <v>46017</v>
      </c>
      <c r="AD4404">
        <v>2</v>
      </c>
      <c r="AE4404">
        <v>5075.0999999999995</v>
      </c>
      <c r="AF4404">
        <v>5075.0999999999995</v>
      </c>
      <c r="AG4404">
        <v>0</v>
      </c>
      <c r="AH4404">
        <v>-267.90000000000055</v>
      </c>
    </row>
    <row r="4405" spans="2:46" x14ac:dyDescent="0.35">
      <c r="B4405" t="s">
        <v>747</v>
      </c>
      <c r="C4405">
        <v>46019</v>
      </c>
      <c r="F4405" t="s">
        <v>754</v>
      </c>
      <c r="H4405">
        <v>77.97</v>
      </c>
      <c r="O4405" t="s">
        <v>239</v>
      </c>
      <c r="P4405" t="s">
        <v>514</v>
      </c>
      <c r="Y4405">
        <v>4371</v>
      </c>
      <c r="Z4405" s="259" t="s">
        <v>630</v>
      </c>
      <c r="AA4405">
        <v>100</v>
      </c>
      <c r="AB4405">
        <v>8008</v>
      </c>
      <c r="AC4405">
        <v>46017</v>
      </c>
      <c r="AD4405">
        <v>2</v>
      </c>
      <c r="AE4405">
        <v>7797</v>
      </c>
      <c r="AF4405">
        <v>7797</v>
      </c>
      <c r="AG4405">
        <v>0</v>
      </c>
      <c r="AH4405">
        <v>-211</v>
      </c>
    </row>
    <row r="4406" spans="2:46" x14ac:dyDescent="0.35">
      <c r="B4406" t="s">
        <v>747</v>
      </c>
      <c r="C4406">
        <v>46020</v>
      </c>
      <c r="F4406" t="s">
        <v>749</v>
      </c>
      <c r="H4406">
        <v>47.53</v>
      </c>
      <c r="O4406" t="s">
        <v>239</v>
      </c>
      <c r="P4406" t="s">
        <v>514</v>
      </c>
      <c r="Y4406">
        <v>4372</v>
      </c>
      <c r="Z4406" s="259" t="s">
        <v>630</v>
      </c>
      <c r="AA4406">
        <v>80</v>
      </c>
      <c r="AB4406">
        <v>4004</v>
      </c>
      <c r="AC4406">
        <v>46020</v>
      </c>
      <c r="AD4406">
        <v>0</v>
      </c>
      <c r="AE4406">
        <v>3802.4</v>
      </c>
      <c r="AF4406">
        <v>3802.4</v>
      </c>
      <c r="AG4406">
        <v>0</v>
      </c>
      <c r="AH4406">
        <v>-201.59999999999991</v>
      </c>
    </row>
    <row r="4407" spans="2:46" x14ac:dyDescent="0.35">
      <c r="B4407" t="s">
        <v>747</v>
      </c>
      <c r="C4407">
        <v>46020</v>
      </c>
      <c r="F4407" t="s">
        <v>752</v>
      </c>
      <c r="H4407">
        <v>169.07</v>
      </c>
      <c r="O4407" t="s">
        <v>239</v>
      </c>
      <c r="P4407" t="s">
        <v>514</v>
      </c>
      <c r="Y4407">
        <v>4373</v>
      </c>
      <c r="Z4407" s="259" t="s">
        <v>630</v>
      </c>
      <c r="AA4407">
        <v>30</v>
      </c>
      <c r="AB4407">
        <v>5343</v>
      </c>
      <c r="AC4407">
        <v>46020</v>
      </c>
      <c r="AD4407">
        <v>0</v>
      </c>
      <c r="AE4407">
        <v>5072.0999999999995</v>
      </c>
      <c r="AF4407">
        <v>5072.0999999999995</v>
      </c>
      <c r="AG4407">
        <v>0</v>
      </c>
      <c r="AH4407">
        <v>-270.90000000000055</v>
      </c>
    </row>
    <row r="4408" spans="2:46" x14ac:dyDescent="0.35">
      <c r="B4408" t="s">
        <v>747</v>
      </c>
      <c r="C4408">
        <v>46020</v>
      </c>
      <c r="F4408" t="s">
        <v>754</v>
      </c>
      <c r="H4408">
        <v>77.87</v>
      </c>
      <c r="O4408" t="s">
        <v>239</v>
      </c>
      <c r="P4408" t="s">
        <v>514</v>
      </c>
      <c r="Y4408">
        <v>4374</v>
      </c>
      <c r="Z4408" s="259" t="s">
        <v>630</v>
      </c>
      <c r="AA4408">
        <v>100</v>
      </c>
      <c r="AB4408">
        <v>8008</v>
      </c>
      <c r="AC4408">
        <v>46020</v>
      </c>
      <c r="AD4408">
        <v>0</v>
      </c>
      <c r="AE4408">
        <v>7787</v>
      </c>
      <c r="AF4408">
        <v>7787</v>
      </c>
      <c r="AG4408">
        <v>0</v>
      </c>
      <c r="AH4408">
        <v>-221</v>
      </c>
    </row>
    <row r="4409" spans="2:46" x14ac:dyDescent="0.35">
      <c r="B4409" t="s">
        <v>747</v>
      </c>
      <c r="C4409">
        <v>46021</v>
      </c>
      <c r="F4409" t="s">
        <v>749</v>
      </c>
      <c r="H4409">
        <v>47.52</v>
      </c>
      <c r="O4409" t="s">
        <v>239</v>
      </c>
      <c r="P4409" t="s">
        <v>514</v>
      </c>
      <c r="Y4409">
        <v>4375</v>
      </c>
      <c r="Z4409" s="259" t="s">
        <v>630</v>
      </c>
      <c r="AA4409">
        <v>80</v>
      </c>
      <c r="AB4409">
        <v>4004</v>
      </c>
      <c r="AC4409">
        <v>46021</v>
      </c>
      <c r="AD4409">
        <v>0</v>
      </c>
      <c r="AE4409">
        <v>3801.6000000000004</v>
      </c>
      <c r="AF4409">
        <v>3801.6000000000004</v>
      </c>
      <c r="AG4409">
        <v>0</v>
      </c>
      <c r="AH4409">
        <v>-202.39999999999964</v>
      </c>
    </row>
    <row r="4410" spans="2:46" x14ac:dyDescent="0.35">
      <c r="B4410" t="s">
        <v>747</v>
      </c>
      <c r="C4410">
        <v>46021</v>
      </c>
      <c r="F4410" t="s">
        <v>752</v>
      </c>
      <c r="H4410">
        <v>169.03</v>
      </c>
      <c r="O4410" t="s">
        <v>239</v>
      </c>
      <c r="P4410" t="s">
        <v>514</v>
      </c>
      <c r="Y4410">
        <v>4376</v>
      </c>
      <c r="Z4410" s="259" t="s">
        <v>630</v>
      </c>
      <c r="AA4410">
        <v>30</v>
      </c>
      <c r="AB4410">
        <v>5343</v>
      </c>
      <c r="AC4410">
        <v>46021</v>
      </c>
      <c r="AD4410">
        <v>0</v>
      </c>
      <c r="AE4410">
        <v>5070.8999999999996</v>
      </c>
      <c r="AF4410">
        <v>5070.8999999999996</v>
      </c>
      <c r="AG4410">
        <v>0</v>
      </c>
      <c r="AH4410">
        <v>-272.10000000000036</v>
      </c>
    </row>
    <row r="4411" spans="2:46" x14ac:dyDescent="0.35">
      <c r="B4411" t="s">
        <v>747</v>
      </c>
      <c r="C4411">
        <v>46021</v>
      </c>
      <c r="F4411" t="s">
        <v>754</v>
      </c>
      <c r="H4411">
        <v>77.83</v>
      </c>
      <c r="O4411" t="s">
        <v>239</v>
      </c>
      <c r="P4411" t="s">
        <v>514</v>
      </c>
      <c r="Y4411">
        <v>4377</v>
      </c>
      <c r="Z4411" s="259" t="s">
        <v>630</v>
      </c>
      <c r="AA4411">
        <v>100</v>
      </c>
      <c r="AB4411">
        <v>8008</v>
      </c>
      <c r="AC4411">
        <v>46021</v>
      </c>
      <c r="AD4411">
        <v>0</v>
      </c>
      <c r="AE4411">
        <v>7783</v>
      </c>
      <c r="AF4411">
        <v>7783</v>
      </c>
      <c r="AG4411">
        <v>0</v>
      </c>
      <c r="AH4411">
        <v>-225</v>
      </c>
    </row>
    <row r="4412" spans="2:46" x14ac:dyDescent="0.35">
      <c r="B4412" t="s">
        <v>747</v>
      </c>
      <c r="C4412">
        <v>46022</v>
      </c>
      <c r="F4412" t="s">
        <v>749</v>
      </c>
      <c r="H4412">
        <v>47.5</v>
      </c>
      <c r="O4412" t="s">
        <v>239</v>
      </c>
      <c r="P4412" t="s">
        <v>514</v>
      </c>
      <c r="Y4412">
        <v>4378</v>
      </c>
      <c r="Z4412" s="259" t="s">
        <v>630</v>
      </c>
      <c r="AA4412">
        <v>80</v>
      </c>
      <c r="AB4412">
        <v>4004</v>
      </c>
      <c r="AC4412">
        <v>46022</v>
      </c>
      <c r="AD4412">
        <v>0</v>
      </c>
      <c r="AE4412">
        <v>3800</v>
      </c>
      <c r="AF4412">
        <v>3800</v>
      </c>
      <c r="AG4412">
        <v>0</v>
      </c>
      <c r="AH4412">
        <v>-204</v>
      </c>
    </row>
    <row r="4413" spans="2:46" x14ac:dyDescent="0.35">
      <c r="B4413" t="s">
        <v>747</v>
      </c>
      <c r="C4413">
        <v>46022</v>
      </c>
      <c r="F4413" t="s">
        <v>752</v>
      </c>
      <c r="H4413">
        <v>169</v>
      </c>
      <c r="O4413" t="s">
        <v>239</v>
      </c>
      <c r="P4413" t="s">
        <v>514</v>
      </c>
      <c r="Y4413">
        <v>4379</v>
      </c>
      <c r="Z4413" s="259" t="s">
        <v>630</v>
      </c>
      <c r="AA4413">
        <v>30</v>
      </c>
      <c r="AB4413">
        <v>5343</v>
      </c>
      <c r="AC4413">
        <v>46022</v>
      </c>
      <c r="AD4413">
        <v>0</v>
      </c>
      <c r="AE4413">
        <v>5070</v>
      </c>
      <c r="AF4413">
        <v>5070</v>
      </c>
      <c r="AG4413">
        <v>0</v>
      </c>
      <c r="AH4413">
        <v>-273</v>
      </c>
    </row>
    <row r="4414" spans="2:46" x14ac:dyDescent="0.35">
      <c r="B4414" t="s">
        <v>747</v>
      </c>
      <c r="C4414">
        <v>46022</v>
      </c>
      <c r="F4414" t="s">
        <v>754</v>
      </c>
      <c r="H4414">
        <v>77.8</v>
      </c>
      <c r="O4414" t="s">
        <v>239</v>
      </c>
      <c r="P4414" t="s">
        <v>514</v>
      </c>
      <c r="Y4414">
        <v>4380</v>
      </c>
      <c r="Z4414" s="259" t="s">
        <v>630</v>
      </c>
      <c r="AA4414">
        <v>100</v>
      </c>
      <c r="AB4414">
        <v>8008</v>
      </c>
      <c r="AC4414">
        <v>46022</v>
      </c>
      <c r="AD4414">
        <v>0</v>
      </c>
      <c r="AE4414">
        <v>7780</v>
      </c>
      <c r="AF4414">
        <v>7780</v>
      </c>
      <c r="AG4414">
        <v>0</v>
      </c>
      <c r="AH4414">
        <v>-228</v>
      </c>
    </row>
    <row r="4415" spans="2:46" x14ac:dyDescent="0.35">
      <c r="B4415" t="s">
        <v>563</v>
      </c>
      <c r="C4415">
        <v>45658</v>
      </c>
      <c r="J4415">
        <v>0</v>
      </c>
      <c r="O4415" t="s">
        <v>239</v>
      </c>
      <c r="P4415" t="s">
        <v>514</v>
      </c>
      <c r="U4415">
        <v>0</v>
      </c>
      <c r="Y4415">
        <v>1</v>
      </c>
      <c r="Z4415" s="259" t="s">
        <v>637</v>
      </c>
      <c r="AB4415">
        <v>0</v>
      </c>
      <c r="AF4415">
        <v>100000</v>
      </c>
      <c r="AG4415">
        <v>0</v>
      </c>
      <c r="AI4415">
        <v>0</v>
      </c>
      <c r="AJ4415">
        <v>100000</v>
      </c>
      <c r="AK4415">
        <v>0</v>
      </c>
      <c r="AL4415">
        <v>100000</v>
      </c>
      <c r="AM4415">
        <v>100000</v>
      </c>
      <c r="AN4415">
        <v>0</v>
      </c>
      <c r="AO4415">
        <v>100000</v>
      </c>
      <c r="AP4415">
        <v>0</v>
      </c>
      <c r="AQ4415">
        <v>0</v>
      </c>
      <c r="AR4415">
        <v>0</v>
      </c>
      <c r="AS4415" t="s">
        <v>239</v>
      </c>
      <c r="AT4415" t="s">
        <v>514</v>
      </c>
    </row>
    <row r="4416" spans="2:46" x14ac:dyDescent="0.35">
      <c r="B4416" t="s">
        <v>563</v>
      </c>
      <c r="C4416">
        <v>45659</v>
      </c>
      <c r="J4416">
        <v>28</v>
      </c>
      <c r="O4416" t="s">
        <v>239</v>
      </c>
      <c r="P4416" t="s">
        <v>514</v>
      </c>
      <c r="U4416">
        <v>0</v>
      </c>
      <c r="Y4416">
        <v>2</v>
      </c>
      <c r="Z4416" s="259" t="s">
        <v>637</v>
      </c>
      <c r="AB4416">
        <v>28028</v>
      </c>
      <c r="AF4416">
        <v>99977.5</v>
      </c>
      <c r="AG4416">
        <v>0</v>
      </c>
      <c r="AI4416">
        <v>100000</v>
      </c>
      <c r="AJ4416">
        <v>0</v>
      </c>
      <c r="AK4416">
        <v>0</v>
      </c>
      <c r="AL4416">
        <v>0</v>
      </c>
      <c r="AM4416">
        <v>71972</v>
      </c>
      <c r="AN4416">
        <v>28005.5</v>
      </c>
      <c r="AO4416">
        <v>99977.5</v>
      </c>
      <c r="AP4416">
        <v>0</v>
      </c>
      <c r="AQ4416">
        <v>-22.5</v>
      </c>
      <c r="AR4416">
        <v>-2.2500000000003073E-4</v>
      </c>
      <c r="AS4416" t="s">
        <v>239</v>
      </c>
      <c r="AT4416" t="s">
        <v>514</v>
      </c>
    </row>
    <row r="4417" spans="2:46" x14ac:dyDescent="0.35">
      <c r="B4417" t="s">
        <v>563</v>
      </c>
      <c r="C4417">
        <v>45660</v>
      </c>
      <c r="J4417">
        <v>0</v>
      </c>
      <c r="O4417" t="s">
        <v>239</v>
      </c>
      <c r="P4417" t="s">
        <v>514</v>
      </c>
      <c r="U4417">
        <v>0</v>
      </c>
      <c r="Y4417">
        <v>3</v>
      </c>
      <c r="Z4417" s="259" t="s">
        <v>637</v>
      </c>
      <c r="AB4417">
        <v>28028</v>
      </c>
      <c r="AF4417">
        <v>99981.5</v>
      </c>
      <c r="AG4417">
        <v>0</v>
      </c>
      <c r="AI4417">
        <v>99977.5</v>
      </c>
      <c r="AJ4417">
        <v>0</v>
      </c>
      <c r="AK4417">
        <v>0</v>
      </c>
      <c r="AL4417">
        <v>0</v>
      </c>
      <c r="AM4417">
        <v>71972</v>
      </c>
      <c r="AN4417">
        <v>28009.5</v>
      </c>
      <c r="AO4417">
        <v>99981.5</v>
      </c>
      <c r="AP4417">
        <v>0</v>
      </c>
      <c r="AQ4417">
        <v>4</v>
      </c>
      <c r="AR4417">
        <v>4.0009002025387375E-5</v>
      </c>
      <c r="AS4417" t="s">
        <v>239</v>
      </c>
      <c r="AT4417" t="s">
        <v>514</v>
      </c>
    </row>
    <row r="4418" spans="2:46" x14ac:dyDescent="0.35">
      <c r="B4418" t="s">
        <v>563</v>
      </c>
      <c r="C4418">
        <v>45661</v>
      </c>
      <c r="J4418">
        <v>0</v>
      </c>
      <c r="O4418" t="s">
        <v>239</v>
      </c>
      <c r="P4418" t="s">
        <v>514</v>
      </c>
      <c r="U4418">
        <v>0</v>
      </c>
      <c r="Y4418">
        <v>4</v>
      </c>
      <c r="Z4418" s="259" t="s">
        <v>637</v>
      </c>
      <c r="AB4418">
        <v>28028</v>
      </c>
      <c r="AF4418">
        <v>99981.5</v>
      </c>
      <c r="AG4418">
        <v>0</v>
      </c>
      <c r="AI4418">
        <v>99981.5</v>
      </c>
      <c r="AJ4418">
        <v>0</v>
      </c>
      <c r="AK4418">
        <v>0</v>
      </c>
      <c r="AL4418">
        <v>0</v>
      </c>
      <c r="AM4418">
        <v>71972</v>
      </c>
      <c r="AN4418">
        <v>28009.5</v>
      </c>
      <c r="AO4418">
        <v>99981.5</v>
      </c>
      <c r="AP4418">
        <v>0</v>
      </c>
      <c r="AQ4418">
        <v>0</v>
      </c>
      <c r="AR4418">
        <v>0</v>
      </c>
      <c r="AS4418" t="s">
        <v>239</v>
      </c>
      <c r="AT4418" t="s">
        <v>514</v>
      </c>
    </row>
    <row r="4419" spans="2:46" x14ac:dyDescent="0.35">
      <c r="B4419" t="s">
        <v>563</v>
      </c>
      <c r="C4419">
        <v>45662</v>
      </c>
      <c r="J4419">
        <v>0</v>
      </c>
      <c r="O4419" t="s">
        <v>239</v>
      </c>
      <c r="P4419" t="s">
        <v>514</v>
      </c>
      <c r="U4419">
        <v>0</v>
      </c>
      <c r="Y4419">
        <v>5</v>
      </c>
      <c r="Z4419" s="259" t="s">
        <v>637</v>
      </c>
      <c r="AB4419">
        <v>28028</v>
      </c>
      <c r="AF4419">
        <v>99981.5</v>
      </c>
      <c r="AG4419">
        <v>0</v>
      </c>
      <c r="AI4419">
        <v>99981.5</v>
      </c>
      <c r="AJ4419">
        <v>0</v>
      </c>
      <c r="AK4419">
        <v>0</v>
      </c>
      <c r="AL4419">
        <v>0</v>
      </c>
      <c r="AM4419">
        <v>71972</v>
      </c>
      <c r="AN4419">
        <v>28009.5</v>
      </c>
      <c r="AO4419">
        <v>99981.5</v>
      </c>
      <c r="AP4419">
        <v>0</v>
      </c>
      <c r="AQ4419">
        <v>0</v>
      </c>
      <c r="AR4419">
        <v>0</v>
      </c>
      <c r="AS4419" t="s">
        <v>239</v>
      </c>
      <c r="AT4419" t="s">
        <v>514</v>
      </c>
    </row>
    <row r="4420" spans="2:46" x14ac:dyDescent="0.35">
      <c r="B4420" t="s">
        <v>563</v>
      </c>
      <c r="C4420">
        <v>45663</v>
      </c>
      <c r="J4420">
        <v>0</v>
      </c>
      <c r="O4420" t="s">
        <v>239</v>
      </c>
      <c r="P4420" t="s">
        <v>514</v>
      </c>
      <c r="U4420">
        <v>0</v>
      </c>
      <c r="Y4420">
        <v>6</v>
      </c>
      <c r="Z4420" s="259" t="s">
        <v>637</v>
      </c>
      <c r="AB4420">
        <v>28028</v>
      </c>
      <c r="AF4420">
        <v>99996.5</v>
      </c>
      <c r="AG4420">
        <v>0</v>
      </c>
      <c r="AI4420">
        <v>99981.5</v>
      </c>
      <c r="AJ4420">
        <v>0</v>
      </c>
      <c r="AK4420">
        <v>0</v>
      </c>
      <c r="AL4420">
        <v>0</v>
      </c>
      <c r="AM4420">
        <v>71972</v>
      </c>
      <c r="AN4420">
        <v>28024.5</v>
      </c>
      <c r="AO4420">
        <v>99996.5</v>
      </c>
      <c r="AP4420">
        <v>0</v>
      </c>
      <c r="AQ4420">
        <v>15</v>
      </c>
      <c r="AR4420">
        <v>1.5002775513472955E-4</v>
      </c>
      <c r="AS4420" t="s">
        <v>239</v>
      </c>
      <c r="AT4420" t="s">
        <v>514</v>
      </c>
    </row>
    <row r="4421" spans="2:46" x14ac:dyDescent="0.35">
      <c r="B4421" t="s">
        <v>563</v>
      </c>
      <c r="C4421">
        <v>45664</v>
      </c>
      <c r="J4421">
        <v>0</v>
      </c>
      <c r="O4421" t="s">
        <v>239</v>
      </c>
      <c r="P4421" t="s">
        <v>514</v>
      </c>
      <c r="U4421">
        <v>0</v>
      </c>
      <c r="Y4421">
        <v>7</v>
      </c>
      <c r="Z4421" s="259" t="s">
        <v>637</v>
      </c>
      <c r="AB4421">
        <v>28028</v>
      </c>
      <c r="AF4421">
        <v>100002</v>
      </c>
      <c r="AG4421">
        <v>0</v>
      </c>
      <c r="AI4421">
        <v>99996.5</v>
      </c>
      <c r="AJ4421">
        <v>0</v>
      </c>
      <c r="AK4421">
        <v>0</v>
      </c>
      <c r="AL4421">
        <v>0</v>
      </c>
      <c r="AM4421">
        <v>71972</v>
      </c>
      <c r="AN4421">
        <v>28030</v>
      </c>
      <c r="AO4421">
        <v>100002</v>
      </c>
      <c r="AP4421">
        <v>0</v>
      </c>
      <c r="AQ4421">
        <v>5.5</v>
      </c>
      <c r="AR4421">
        <v>5.5001925067355018E-5</v>
      </c>
      <c r="AS4421" t="s">
        <v>239</v>
      </c>
      <c r="AT4421" t="s">
        <v>514</v>
      </c>
    </row>
    <row r="4422" spans="2:46" x14ac:dyDescent="0.35">
      <c r="B4422" t="s">
        <v>563</v>
      </c>
      <c r="C4422">
        <v>45665</v>
      </c>
      <c r="J4422">
        <v>0</v>
      </c>
      <c r="O4422" t="s">
        <v>239</v>
      </c>
      <c r="P4422" t="s">
        <v>514</v>
      </c>
      <c r="U4422">
        <v>0</v>
      </c>
      <c r="Y4422">
        <v>8</v>
      </c>
      <c r="Z4422" s="259" t="s">
        <v>637</v>
      </c>
      <c r="AB4422">
        <v>28028</v>
      </c>
      <c r="AF4422">
        <v>100007.5</v>
      </c>
      <c r="AG4422">
        <v>0</v>
      </c>
      <c r="AI4422">
        <v>100002</v>
      </c>
      <c r="AJ4422">
        <v>0</v>
      </c>
      <c r="AK4422">
        <v>0</v>
      </c>
      <c r="AL4422">
        <v>0</v>
      </c>
      <c r="AM4422">
        <v>71972</v>
      </c>
      <c r="AN4422">
        <v>28035.5</v>
      </c>
      <c r="AO4422">
        <v>100007.5</v>
      </c>
      <c r="AP4422">
        <v>0</v>
      </c>
      <c r="AQ4422">
        <v>5.5</v>
      </c>
      <c r="AR4422">
        <v>5.4998900022029673E-5</v>
      </c>
      <c r="AS4422" t="s">
        <v>239</v>
      </c>
      <c r="AT4422" t="s">
        <v>514</v>
      </c>
    </row>
    <row r="4423" spans="2:46" x14ac:dyDescent="0.35">
      <c r="B4423" t="s">
        <v>563</v>
      </c>
      <c r="C4423">
        <v>45666</v>
      </c>
      <c r="J4423">
        <v>0</v>
      </c>
      <c r="O4423" t="s">
        <v>239</v>
      </c>
      <c r="P4423" t="s">
        <v>514</v>
      </c>
      <c r="U4423">
        <v>0</v>
      </c>
      <c r="Y4423">
        <v>9</v>
      </c>
      <c r="Z4423" s="259" t="s">
        <v>637</v>
      </c>
      <c r="AB4423">
        <v>28028</v>
      </c>
      <c r="AF4423">
        <v>100011.5</v>
      </c>
      <c r="AG4423">
        <v>0</v>
      </c>
      <c r="AI4423">
        <v>100007.5</v>
      </c>
      <c r="AJ4423">
        <v>0</v>
      </c>
      <c r="AK4423">
        <v>0</v>
      </c>
      <c r="AL4423">
        <v>0</v>
      </c>
      <c r="AM4423">
        <v>71972</v>
      </c>
      <c r="AN4423">
        <v>28039.5</v>
      </c>
      <c r="AO4423">
        <v>100011.5</v>
      </c>
      <c r="AP4423">
        <v>0</v>
      </c>
      <c r="AQ4423">
        <v>4</v>
      </c>
      <c r="AR4423">
        <v>3.9997000224945012E-5</v>
      </c>
      <c r="AS4423" t="s">
        <v>239</v>
      </c>
      <c r="AT4423" t="s">
        <v>514</v>
      </c>
    </row>
    <row r="4424" spans="2:46" x14ac:dyDescent="0.35">
      <c r="B4424" t="s">
        <v>563</v>
      </c>
      <c r="C4424">
        <v>45667</v>
      </c>
      <c r="J4424">
        <v>0</v>
      </c>
      <c r="O4424" t="s">
        <v>239</v>
      </c>
      <c r="P4424" t="s">
        <v>514</v>
      </c>
      <c r="U4424">
        <v>0</v>
      </c>
      <c r="Y4424">
        <v>10</v>
      </c>
      <c r="Z4424" s="259" t="s">
        <v>637</v>
      </c>
      <c r="AB4424">
        <v>28028</v>
      </c>
      <c r="AF4424">
        <v>100017</v>
      </c>
      <c r="AG4424">
        <v>0</v>
      </c>
      <c r="AI4424">
        <v>100011.5</v>
      </c>
      <c r="AJ4424">
        <v>0</v>
      </c>
      <c r="AK4424">
        <v>0</v>
      </c>
      <c r="AL4424">
        <v>0</v>
      </c>
      <c r="AM4424">
        <v>71972</v>
      </c>
      <c r="AN4424">
        <v>28045</v>
      </c>
      <c r="AO4424">
        <v>100017</v>
      </c>
      <c r="AP4424">
        <v>0</v>
      </c>
      <c r="AQ4424">
        <v>5.5</v>
      </c>
      <c r="AR4424">
        <v>5.4993675727255109E-5</v>
      </c>
      <c r="AS4424" t="s">
        <v>239</v>
      </c>
      <c r="AT4424" t="s">
        <v>514</v>
      </c>
    </row>
    <row r="4425" spans="2:46" x14ac:dyDescent="0.35">
      <c r="B4425" t="s">
        <v>563</v>
      </c>
      <c r="C4425">
        <v>45668</v>
      </c>
      <c r="J4425">
        <v>0</v>
      </c>
      <c r="O4425" t="s">
        <v>239</v>
      </c>
      <c r="P4425" t="s">
        <v>514</v>
      </c>
      <c r="U4425">
        <v>0</v>
      </c>
      <c r="Y4425">
        <v>11</v>
      </c>
      <c r="Z4425" s="259" t="s">
        <v>637</v>
      </c>
      <c r="AB4425">
        <v>28028</v>
      </c>
      <c r="AF4425">
        <v>100017</v>
      </c>
      <c r="AG4425">
        <v>0</v>
      </c>
      <c r="AI4425">
        <v>100017</v>
      </c>
      <c r="AJ4425">
        <v>0</v>
      </c>
      <c r="AK4425">
        <v>0</v>
      </c>
      <c r="AL4425">
        <v>0</v>
      </c>
      <c r="AM4425">
        <v>71972</v>
      </c>
      <c r="AN4425">
        <v>28045</v>
      </c>
      <c r="AO4425">
        <v>100017</v>
      </c>
      <c r="AP4425">
        <v>0</v>
      </c>
      <c r="AQ4425">
        <v>0</v>
      </c>
      <c r="AR4425">
        <v>0</v>
      </c>
      <c r="AS4425" t="s">
        <v>239</v>
      </c>
      <c r="AT4425" t="s">
        <v>514</v>
      </c>
    </row>
    <row r="4426" spans="2:46" x14ac:dyDescent="0.35">
      <c r="B4426" t="s">
        <v>563</v>
      </c>
      <c r="C4426">
        <v>45669</v>
      </c>
      <c r="J4426">
        <v>0</v>
      </c>
      <c r="O4426" t="s">
        <v>239</v>
      </c>
      <c r="P4426" t="s">
        <v>514</v>
      </c>
      <c r="U4426">
        <v>0</v>
      </c>
      <c r="Y4426">
        <v>12</v>
      </c>
      <c r="Z4426" s="259" t="s">
        <v>637</v>
      </c>
      <c r="AB4426">
        <v>28028</v>
      </c>
      <c r="AF4426">
        <v>100017</v>
      </c>
      <c r="AG4426">
        <v>0</v>
      </c>
      <c r="AI4426">
        <v>100017</v>
      </c>
      <c r="AJ4426">
        <v>0</v>
      </c>
      <c r="AK4426">
        <v>0</v>
      </c>
      <c r="AL4426">
        <v>0</v>
      </c>
      <c r="AM4426">
        <v>71972</v>
      </c>
      <c r="AN4426">
        <v>28045</v>
      </c>
      <c r="AO4426">
        <v>100017</v>
      </c>
      <c r="AP4426">
        <v>0</v>
      </c>
      <c r="AQ4426">
        <v>0</v>
      </c>
      <c r="AR4426">
        <v>0</v>
      </c>
      <c r="AS4426" t="s">
        <v>239</v>
      </c>
      <c r="AT4426" t="s">
        <v>514</v>
      </c>
    </row>
    <row r="4427" spans="2:46" x14ac:dyDescent="0.35">
      <c r="B4427" t="s">
        <v>563</v>
      </c>
      <c r="C4427">
        <v>45670</v>
      </c>
      <c r="J4427">
        <v>0</v>
      </c>
      <c r="O4427" t="s">
        <v>239</v>
      </c>
      <c r="P4427" t="s">
        <v>514</v>
      </c>
      <c r="U4427">
        <v>0</v>
      </c>
      <c r="Y4427">
        <v>13</v>
      </c>
      <c r="Z4427" s="259" t="s">
        <v>637</v>
      </c>
      <c r="AB4427">
        <v>28028</v>
      </c>
      <c r="AF4427">
        <v>100032</v>
      </c>
      <c r="AG4427">
        <v>0</v>
      </c>
      <c r="AI4427">
        <v>100017</v>
      </c>
      <c r="AJ4427">
        <v>0</v>
      </c>
      <c r="AK4427">
        <v>0</v>
      </c>
      <c r="AL4427">
        <v>0</v>
      </c>
      <c r="AM4427">
        <v>71972</v>
      </c>
      <c r="AN4427">
        <v>28060</v>
      </c>
      <c r="AO4427">
        <v>100032</v>
      </c>
      <c r="AP4427">
        <v>0</v>
      </c>
      <c r="AQ4427">
        <v>15</v>
      </c>
      <c r="AR4427">
        <v>1.4997450433429371E-4</v>
      </c>
      <c r="AS4427" t="s">
        <v>239</v>
      </c>
      <c r="AT4427" t="s">
        <v>514</v>
      </c>
    </row>
    <row r="4428" spans="2:46" x14ac:dyDescent="0.35">
      <c r="B4428" t="s">
        <v>563</v>
      </c>
      <c r="C4428">
        <v>45671</v>
      </c>
      <c r="J4428">
        <v>0</v>
      </c>
      <c r="O4428" t="s">
        <v>239</v>
      </c>
      <c r="P4428" t="s">
        <v>514</v>
      </c>
      <c r="U4428">
        <v>0</v>
      </c>
      <c r="Y4428">
        <v>14</v>
      </c>
      <c r="Z4428" s="259" t="s">
        <v>637</v>
      </c>
      <c r="AB4428">
        <v>28028</v>
      </c>
      <c r="AF4428">
        <v>100037.5</v>
      </c>
      <c r="AG4428">
        <v>0</v>
      </c>
      <c r="AI4428">
        <v>100032</v>
      </c>
      <c r="AJ4428">
        <v>0</v>
      </c>
      <c r="AK4428">
        <v>0</v>
      </c>
      <c r="AL4428">
        <v>0</v>
      </c>
      <c r="AM4428">
        <v>71972</v>
      </c>
      <c r="AN4428">
        <v>28065.5</v>
      </c>
      <c r="AO4428">
        <v>100037.5</v>
      </c>
      <c r="AP4428">
        <v>0</v>
      </c>
      <c r="AQ4428">
        <v>5.5</v>
      </c>
      <c r="AR4428">
        <v>5.4982405630177311E-5</v>
      </c>
      <c r="AS4428" t="s">
        <v>239</v>
      </c>
      <c r="AT4428" t="s">
        <v>514</v>
      </c>
    </row>
    <row r="4429" spans="2:46" x14ac:dyDescent="0.35">
      <c r="B4429" t="s">
        <v>563</v>
      </c>
      <c r="C4429">
        <v>45672</v>
      </c>
      <c r="J4429">
        <v>0</v>
      </c>
      <c r="O4429" t="s">
        <v>239</v>
      </c>
      <c r="P4429" t="s">
        <v>514</v>
      </c>
      <c r="U4429">
        <v>0</v>
      </c>
      <c r="Y4429">
        <v>15</v>
      </c>
      <c r="Z4429" s="259" t="s">
        <v>637</v>
      </c>
      <c r="AB4429">
        <v>28028</v>
      </c>
      <c r="AF4429">
        <v>100041.5</v>
      </c>
      <c r="AG4429">
        <v>0</v>
      </c>
      <c r="AI4429">
        <v>100037.5</v>
      </c>
      <c r="AJ4429">
        <v>0</v>
      </c>
      <c r="AK4429">
        <v>0</v>
      </c>
      <c r="AL4429">
        <v>0</v>
      </c>
      <c r="AM4429">
        <v>71972</v>
      </c>
      <c r="AN4429">
        <v>28069.5</v>
      </c>
      <c r="AO4429">
        <v>100041.5</v>
      </c>
      <c r="AP4429">
        <v>0</v>
      </c>
      <c r="AQ4429">
        <v>4</v>
      </c>
      <c r="AR4429">
        <v>3.9985005622966696E-5</v>
      </c>
      <c r="AS4429" t="s">
        <v>239</v>
      </c>
      <c r="AT4429" t="s">
        <v>514</v>
      </c>
    </row>
    <row r="4430" spans="2:46" x14ac:dyDescent="0.35">
      <c r="B4430" t="s">
        <v>563</v>
      </c>
      <c r="C4430">
        <v>45673</v>
      </c>
      <c r="J4430">
        <v>0</v>
      </c>
      <c r="O4430" t="s">
        <v>239</v>
      </c>
      <c r="P4430" t="s">
        <v>514</v>
      </c>
      <c r="U4430">
        <v>0</v>
      </c>
      <c r="Y4430">
        <v>16</v>
      </c>
      <c r="Z4430" s="259" t="s">
        <v>637</v>
      </c>
      <c r="AB4430">
        <v>28028</v>
      </c>
      <c r="AF4430">
        <v>100047</v>
      </c>
      <c r="AG4430">
        <v>0</v>
      </c>
      <c r="AI4430">
        <v>100041.5</v>
      </c>
      <c r="AJ4430">
        <v>0</v>
      </c>
      <c r="AK4430">
        <v>0</v>
      </c>
      <c r="AL4430">
        <v>0</v>
      </c>
      <c r="AM4430">
        <v>71972</v>
      </c>
      <c r="AN4430">
        <v>28075</v>
      </c>
      <c r="AO4430">
        <v>100047</v>
      </c>
      <c r="AP4430">
        <v>0</v>
      </c>
      <c r="AQ4430">
        <v>5.5</v>
      </c>
      <c r="AR4430">
        <v>5.4977184468452123E-5</v>
      </c>
      <c r="AS4430" t="s">
        <v>239</v>
      </c>
      <c r="AT4430" t="s">
        <v>514</v>
      </c>
    </row>
    <row r="4431" spans="2:46" x14ac:dyDescent="0.35">
      <c r="B4431" t="s">
        <v>563</v>
      </c>
      <c r="C4431">
        <v>45674</v>
      </c>
      <c r="J4431">
        <v>0</v>
      </c>
      <c r="O4431" t="s">
        <v>239</v>
      </c>
      <c r="P4431" t="s">
        <v>514</v>
      </c>
      <c r="U4431">
        <v>0</v>
      </c>
      <c r="Y4431">
        <v>17</v>
      </c>
      <c r="Z4431" s="259" t="s">
        <v>637</v>
      </c>
      <c r="AB4431">
        <v>28028</v>
      </c>
      <c r="AF4431">
        <v>100052.5</v>
      </c>
      <c r="AG4431">
        <v>0</v>
      </c>
      <c r="AI4431">
        <v>100047</v>
      </c>
      <c r="AJ4431">
        <v>0</v>
      </c>
      <c r="AK4431">
        <v>0</v>
      </c>
      <c r="AL4431">
        <v>0</v>
      </c>
      <c r="AM4431">
        <v>71972</v>
      </c>
      <c r="AN4431">
        <v>28080.5</v>
      </c>
      <c r="AO4431">
        <v>100052.5</v>
      </c>
      <c r="AP4431">
        <v>0</v>
      </c>
      <c r="AQ4431">
        <v>5.5</v>
      </c>
      <c r="AR4431">
        <v>5.4974162143839322E-5</v>
      </c>
      <c r="AS4431" t="s">
        <v>239</v>
      </c>
      <c r="AT4431" t="s">
        <v>514</v>
      </c>
    </row>
    <row r="4432" spans="2:46" x14ac:dyDescent="0.35">
      <c r="B4432" t="s">
        <v>563</v>
      </c>
      <c r="C4432">
        <v>45675</v>
      </c>
      <c r="J4432">
        <v>0</v>
      </c>
      <c r="O4432" t="s">
        <v>239</v>
      </c>
      <c r="P4432" t="s">
        <v>514</v>
      </c>
      <c r="U4432">
        <v>0</v>
      </c>
      <c r="Y4432">
        <v>18</v>
      </c>
      <c r="Z4432" s="259" t="s">
        <v>637</v>
      </c>
      <c r="AB4432">
        <v>28028</v>
      </c>
      <c r="AF4432">
        <v>100052.5</v>
      </c>
      <c r="AG4432">
        <v>0</v>
      </c>
      <c r="AI4432">
        <v>100052.5</v>
      </c>
      <c r="AJ4432">
        <v>0</v>
      </c>
      <c r="AK4432">
        <v>0</v>
      </c>
      <c r="AL4432">
        <v>0</v>
      </c>
      <c r="AM4432">
        <v>71972</v>
      </c>
      <c r="AN4432">
        <v>28080.5</v>
      </c>
      <c r="AO4432">
        <v>100052.5</v>
      </c>
      <c r="AP4432">
        <v>0</v>
      </c>
      <c r="AQ4432">
        <v>0</v>
      </c>
      <c r="AR4432">
        <v>0</v>
      </c>
      <c r="AS4432" t="s">
        <v>239</v>
      </c>
      <c r="AT4432" t="s">
        <v>514</v>
      </c>
    </row>
    <row r="4433" spans="2:46" x14ac:dyDescent="0.35">
      <c r="B4433" t="s">
        <v>563</v>
      </c>
      <c r="C4433">
        <v>45676</v>
      </c>
      <c r="J4433">
        <v>0</v>
      </c>
      <c r="O4433" t="s">
        <v>239</v>
      </c>
      <c r="P4433" t="s">
        <v>514</v>
      </c>
      <c r="U4433">
        <v>0</v>
      </c>
      <c r="Y4433">
        <v>19</v>
      </c>
      <c r="Z4433" s="259" t="s">
        <v>637</v>
      </c>
      <c r="AB4433">
        <v>28028</v>
      </c>
      <c r="AF4433">
        <v>100052.5</v>
      </c>
      <c r="AG4433">
        <v>0</v>
      </c>
      <c r="AI4433">
        <v>100052.5</v>
      </c>
      <c r="AJ4433">
        <v>0</v>
      </c>
      <c r="AK4433">
        <v>0</v>
      </c>
      <c r="AL4433">
        <v>0</v>
      </c>
      <c r="AM4433">
        <v>71972</v>
      </c>
      <c r="AN4433">
        <v>28080.5</v>
      </c>
      <c r="AO4433">
        <v>100052.5</v>
      </c>
      <c r="AP4433">
        <v>0</v>
      </c>
      <c r="AQ4433">
        <v>0</v>
      </c>
      <c r="AR4433">
        <v>0</v>
      </c>
      <c r="AS4433" t="s">
        <v>239</v>
      </c>
      <c r="AT4433" t="s">
        <v>514</v>
      </c>
    </row>
    <row r="4434" spans="2:46" x14ac:dyDescent="0.35">
      <c r="B4434" t="s">
        <v>563</v>
      </c>
      <c r="C4434">
        <v>45677</v>
      </c>
      <c r="J4434">
        <v>0</v>
      </c>
      <c r="O4434" t="s">
        <v>239</v>
      </c>
      <c r="P4434" t="s">
        <v>514</v>
      </c>
      <c r="U4434">
        <v>0</v>
      </c>
      <c r="Y4434">
        <v>20</v>
      </c>
      <c r="Z4434" s="259" t="s">
        <v>637</v>
      </c>
      <c r="AB4434">
        <v>28028</v>
      </c>
      <c r="AF4434">
        <v>100067.5</v>
      </c>
      <c r="AG4434">
        <v>0</v>
      </c>
      <c r="AI4434">
        <v>100052.5</v>
      </c>
      <c r="AJ4434">
        <v>0</v>
      </c>
      <c r="AK4434">
        <v>0</v>
      </c>
      <c r="AL4434">
        <v>0</v>
      </c>
      <c r="AM4434">
        <v>71972</v>
      </c>
      <c r="AN4434">
        <v>28095.5</v>
      </c>
      <c r="AO4434">
        <v>100067.5</v>
      </c>
      <c r="AP4434">
        <v>0</v>
      </c>
      <c r="AQ4434">
        <v>15</v>
      </c>
      <c r="AR4434">
        <v>1.4992129132207488E-4</v>
      </c>
      <c r="AS4434" t="s">
        <v>239</v>
      </c>
      <c r="AT4434" t="s">
        <v>514</v>
      </c>
    </row>
    <row r="4435" spans="2:46" x14ac:dyDescent="0.35">
      <c r="B4435" t="s">
        <v>563</v>
      </c>
      <c r="C4435">
        <v>45678</v>
      </c>
      <c r="J4435">
        <v>0</v>
      </c>
      <c r="O4435" t="s">
        <v>239</v>
      </c>
      <c r="P4435" t="s">
        <v>514</v>
      </c>
      <c r="U4435">
        <v>0</v>
      </c>
      <c r="Y4435">
        <v>21</v>
      </c>
      <c r="Z4435" s="259" t="s">
        <v>637</v>
      </c>
      <c r="AB4435">
        <v>28028</v>
      </c>
      <c r="AF4435">
        <v>100071.5</v>
      </c>
      <c r="AG4435">
        <v>0</v>
      </c>
      <c r="AI4435">
        <v>100067.5</v>
      </c>
      <c r="AJ4435">
        <v>0</v>
      </c>
      <c r="AK4435">
        <v>0</v>
      </c>
      <c r="AL4435">
        <v>0</v>
      </c>
      <c r="AM4435">
        <v>71972</v>
      </c>
      <c r="AN4435">
        <v>28099.5</v>
      </c>
      <c r="AO4435">
        <v>100071.5</v>
      </c>
      <c r="AP4435">
        <v>0</v>
      </c>
      <c r="AQ4435">
        <v>4</v>
      </c>
      <c r="AR4435">
        <v>3.9973018212791089E-5</v>
      </c>
      <c r="AS4435" t="s">
        <v>239</v>
      </c>
      <c r="AT4435" t="s">
        <v>514</v>
      </c>
    </row>
    <row r="4436" spans="2:46" x14ac:dyDescent="0.35">
      <c r="B4436" t="s">
        <v>563</v>
      </c>
      <c r="C4436">
        <v>45679</v>
      </c>
      <c r="J4436">
        <v>0</v>
      </c>
      <c r="O4436" t="s">
        <v>239</v>
      </c>
      <c r="P4436" t="s">
        <v>514</v>
      </c>
      <c r="U4436">
        <v>0</v>
      </c>
      <c r="Y4436">
        <v>22</v>
      </c>
      <c r="Z4436" s="259" t="s">
        <v>637</v>
      </c>
      <c r="AB4436">
        <v>28028</v>
      </c>
      <c r="AF4436">
        <v>100077</v>
      </c>
      <c r="AG4436">
        <v>0</v>
      </c>
      <c r="AI4436">
        <v>100071.5</v>
      </c>
      <c r="AJ4436">
        <v>0</v>
      </c>
      <c r="AK4436">
        <v>0</v>
      </c>
      <c r="AL4436">
        <v>0</v>
      </c>
      <c r="AM4436">
        <v>71972</v>
      </c>
      <c r="AN4436">
        <v>28105</v>
      </c>
      <c r="AO4436">
        <v>100077</v>
      </c>
      <c r="AP4436">
        <v>0</v>
      </c>
      <c r="AQ4436">
        <v>5.5</v>
      </c>
      <c r="AR4436">
        <v>5.4960703097295394E-5</v>
      </c>
      <c r="AS4436" t="s">
        <v>239</v>
      </c>
      <c r="AT4436" t="s">
        <v>514</v>
      </c>
    </row>
    <row r="4437" spans="2:46" x14ac:dyDescent="0.35">
      <c r="B4437" t="s">
        <v>563</v>
      </c>
      <c r="C4437">
        <v>45680</v>
      </c>
      <c r="J4437">
        <v>0</v>
      </c>
      <c r="O4437" t="s">
        <v>239</v>
      </c>
      <c r="P4437" t="s">
        <v>514</v>
      </c>
      <c r="U4437">
        <v>0</v>
      </c>
      <c r="Y4437">
        <v>23</v>
      </c>
      <c r="Z4437" s="259" t="s">
        <v>637</v>
      </c>
      <c r="AB4437">
        <v>28028</v>
      </c>
      <c r="AF4437">
        <v>100082.5</v>
      </c>
      <c r="AG4437">
        <v>0</v>
      </c>
      <c r="AI4437">
        <v>100077</v>
      </c>
      <c r="AJ4437">
        <v>0</v>
      </c>
      <c r="AK4437">
        <v>0</v>
      </c>
      <c r="AL4437">
        <v>0</v>
      </c>
      <c r="AM4437">
        <v>71972</v>
      </c>
      <c r="AN4437">
        <v>28110.5</v>
      </c>
      <c r="AO4437">
        <v>100082.5</v>
      </c>
      <c r="AP4437">
        <v>0</v>
      </c>
      <c r="AQ4437">
        <v>5.5</v>
      </c>
      <c r="AR4437">
        <v>5.4957682584344525E-5</v>
      </c>
      <c r="AS4437" t="s">
        <v>239</v>
      </c>
      <c r="AT4437" t="s">
        <v>514</v>
      </c>
    </row>
    <row r="4438" spans="2:46" x14ac:dyDescent="0.35">
      <c r="B4438" t="s">
        <v>563</v>
      </c>
      <c r="C4438">
        <v>45681</v>
      </c>
      <c r="J4438">
        <v>0</v>
      </c>
      <c r="O4438" t="s">
        <v>239</v>
      </c>
      <c r="P4438" t="s">
        <v>514</v>
      </c>
      <c r="U4438">
        <v>0</v>
      </c>
      <c r="Y4438">
        <v>24</v>
      </c>
      <c r="Z4438" s="259" t="s">
        <v>637</v>
      </c>
      <c r="AB4438">
        <v>28028</v>
      </c>
      <c r="AF4438">
        <v>100086.5</v>
      </c>
      <c r="AG4438">
        <v>0</v>
      </c>
      <c r="AI4438">
        <v>100082.5</v>
      </c>
      <c r="AJ4438">
        <v>0</v>
      </c>
      <c r="AK4438">
        <v>0</v>
      </c>
      <c r="AL4438">
        <v>0</v>
      </c>
      <c r="AM4438">
        <v>71972</v>
      </c>
      <c r="AN4438">
        <v>28114.5</v>
      </c>
      <c r="AO4438">
        <v>100086.5</v>
      </c>
      <c r="AP4438">
        <v>0</v>
      </c>
      <c r="AQ4438">
        <v>4</v>
      </c>
      <c r="AR4438">
        <v>3.9967027202658656E-5</v>
      </c>
      <c r="AS4438" t="s">
        <v>239</v>
      </c>
      <c r="AT4438" t="s">
        <v>514</v>
      </c>
    </row>
    <row r="4439" spans="2:46" x14ac:dyDescent="0.35">
      <c r="B4439" t="s">
        <v>563</v>
      </c>
      <c r="C4439">
        <v>45682</v>
      </c>
      <c r="J4439">
        <v>0</v>
      </c>
      <c r="O4439" t="s">
        <v>239</v>
      </c>
      <c r="P4439" t="s">
        <v>514</v>
      </c>
      <c r="U4439">
        <v>0</v>
      </c>
      <c r="Y4439">
        <v>25</v>
      </c>
      <c r="Z4439" s="259" t="s">
        <v>637</v>
      </c>
      <c r="AB4439">
        <v>28028</v>
      </c>
      <c r="AF4439">
        <v>100086.5</v>
      </c>
      <c r="AG4439">
        <v>0</v>
      </c>
      <c r="AI4439">
        <v>100086.5</v>
      </c>
      <c r="AJ4439">
        <v>0</v>
      </c>
      <c r="AK4439">
        <v>0</v>
      </c>
      <c r="AL4439">
        <v>0</v>
      </c>
      <c r="AM4439">
        <v>71972</v>
      </c>
      <c r="AN4439">
        <v>28114.5</v>
      </c>
      <c r="AO4439">
        <v>100086.5</v>
      </c>
      <c r="AP4439">
        <v>0</v>
      </c>
      <c r="AQ4439">
        <v>0</v>
      </c>
      <c r="AR4439">
        <v>0</v>
      </c>
      <c r="AS4439" t="s">
        <v>239</v>
      </c>
      <c r="AT4439" t="s">
        <v>514</v>
      </c>
    </row>
    <row r="4440" spans="2:46" x14ac:dyDescent="0.35">
      <c r="B4440" t="s">
        <v>563</v>
      </c>
      <c r="C4440">
        <v>45683</v>
      </c>
      <c r="J4440">
        <v>0</v>
      </c>
      <c r="O4440" t="s">
        <v>239</v>
      </c>
      <c r="P4440" t="s">
        <v>514</v>
      </c>
      <c r="U4440">
        <v>0</v>
      </c>
      <c r="Y4440">
        <v>26</v>
      </c>
      <c r="Z4440" s="259" t="s">
        <v>637</v>
      </c>
      <c r="AB4440">
        <v>28028</v>
      </c>
      <c r="AF4440">
        <v>100086.5</v>
      </c>
      <c r="AG4440">
        <v>0</v>
      </c>
      <c r="AI4440">
        <v>100086.5</v>
      </c>
      <c r="AJ4440">
        <v>0</v>
      </c>
      <c r="AK4440">
        <v>0</v>
      </c>
      <c r="AL4440">
        <v>0</v>
      </c>
      <c r="AM4440">
        <v>71972</v>
      </c>
      <c r="AN4440">
        <v>28114.5</v>
      </c>
      <c r="AO4440">
        <v>100086.5</v>
      </c>
      <c r="AP4440">
        <v>0</v>
      </c>
      <c r="AQ4440">
        <v>0</v>
      </c>
      <c r="AR4440">
        <v>0</v>
      </c>
      <c r="AS4440" t="s">
        <v>239</v>
      </c>
      <c r="AT4440" t="s">
        <v>514</v>
      </c>
    </row>
    <row r="4441" spans="2:46" x14ac:dyDescent="0.35">
      <c r="B4441" t="s">
        <v>563</v>
      </c>
      <c r="C4441">
        <v>45684</v>
      </c>
      <c r="J4441">
        <v>0</v>
      </c>
      <c r="O4441" t="s">
        <v>239</v>
      </c>
      <c r="P4441" t="s">
        <v>514</v>
      </c>
      <c r="U4441">
        <v>0</v>
      </c>
      <c r="Y4441">
        <v>27</v>
      </c>
      <c r="Z4441" s="259" t="s">
        <v>637</v>
      </c>
      <c r="AB4441">
        <v>28028</v>
      </c>
      <c r="AF4441">
        <v>100101.5</v>
      </c>
      <c r="AG4441">
        <v>0</v>
      </c>
      <c r="AI4441">
        <v>100086.5</v>
      </c>
      <c r="AJ4441">
        <v>0</v>
      </c>
      <c r="AK4441">
        <v>0</v>
      </c>
      <c r="AL4441">
        <v>0</v>
      </c>
      <c r="AM4441">
        <v>71972</v>
      </c>
      <c r="AN4441">
        <v>28129.5</v>
      </c>
      <c r="AO4441">
        <v>100101.5</v>
      </c>
      <c r="AP4441">
        <v>0</v>
      </c>
      <c r="AQ4441">
        <v>15</v>
      </c>
      <c r="AR4441">
        <v>1.4987036213676141E-4</v>
      </c>
      <c r="AS4441" t="s">
        <v>239</v>
      </c>
      <c r="AT4441" t="s">
        <v>514</v>
      </c>
    </row>
    <row r="4442" spans="2:46" x14ac:dyDescent="0.35">
      <c r="B4442" t="s">
        <v>563</v>
      </c>
      <c r="C4442">
        <v>45685</v>
      </c>
      <c r="J4442">
        <v>0</v>
      </c>
      <c r="O4442" t="s">
        <v>239</v>
      </c>
      <c r="P4442" t="s">
        <v>514</v>
      </c>
      <c r="U4442">
        <v>0</v>
      </c>
      <c r="Y4442">
        <v>28</v>
      </c>
      <c r="Z4442" s="259" t="s">
        <v>637</v>
      </c>
      <c r="AB4442">
        <v>28028</v>
      </c>
      <c r="AF4442">
        <v>100107</v>
      </c>
      <c r="AG4442">
        <v>0</v>
      </c>
      <c r="AI4442">
        <v>100101.5</v>
      </c>
      <c r="AJ4442">
        <v>0</v>
      </c>
      <c r="AK4442">
        <v>0</v>
      </c>
      <c r="AL4442">
        <v>0</v>
      </c>
      <c r="AM4442">
        <v>71972</v>
      </c>
      <c r="AN4442">
        <v>28135</v>
      </c>
      <c r="AO4442">
        <v>100107</v>
      </c>
      <c r="AP4442">
        <v>0</v>
      </c>
      <c r="AQ4442">
        <v>5.5</v>
      </c>
      <c r="AR4442">
        <v>5.4944231604903138E-5</v>
      </c>
      <c r="AS4442" t="s">
        <v>239</v>
      </c>
      <c r="AT4442" t="s">
        <v>514</v>
      </c>
    </row>
    <row r="4443" spans="2:46" x14ac:dyDescent="0.35">
      <c r="B4443" t="s">
        <v>563</v>
      </c>
      <c r="C4443">
        <v>45686</v>
      </c>
      <c r="J4443">
        <v>0</v>
      </c>
      <c r="O4443" t="s">
        <v>239</v>
      </c>
      <c r="P4443" t="s">
        <v>514</v>
      </c>
      <c r="U4443">
        <v>0</v>
      </c>
      <c r="Y4443">
        <v>29</v>
      </c>
      <c r="Z4443" s="259" t="s">
        <v>637</v>
      </c>
      <c r="AB4443">
        <v>28028</v>
      </c>
      <c r="AF4443">
        <v>100112.5</v>
      </c>
      <c r="AG4443">
        <v>0</v>
      </c>
      <c r="AI4443">
        <v>100107</v>
      </c>
      <c r="AJ4443">
        <v>0</v>
      </c>
      <c r="AK4443">
        <v>0</v>
      </c>
      <c r="AL4443">
        <v>0</v>
      </c>
      <c r="AM4443">
        <v>71972</v>
      </c>
      <c r="AN4443">
        <v>28140.5</v>
      </c>
      <c r="AO4443">
        <v>100112.5</v>
      </c>
      <c r="AP4443">
        <v>0</v>
      </c>
      <c r="AQ4443">
        <v>5.5</v>
      </c>
      <c r="AR4443">
        <v>5.4941212902281933E-5</v>
      </c>
      <c r="AS4443" t="s">
        <v>239</v>
      </c>
      <c r="AT4443" t="s">
        <v>514</v>
      </c>
    </row>
    <row r="4444" spans="2:46" x14ac:dyDescent="0.35">
      <c r="B4444" t="s">
        <v>563</v>
      </c>
      <c r="C4444">
        <v>45687</v>
      </c>
      <c r="J4444">
        <v>0</v>
      </c>
      <c r="O4444" t="s">
        <v>239</v>
      </c>
      <c r="P4444" t="s">
        <v>514</v>
      </c>
      <c r="U4444">
        <v>0</v>
      </c>
      <c r="Y4444">
        <v>30</v>
      </c>
      <c r="Z4444" s="259" t="s">
        <v>637</v>
      </c>
      <c r="AB4444">
        <v>28028</v>
      </c>
      <c r="AF4444">
        <v>100116.5</v>
      </c>
      <c r="AG4444">
        <v>0</v>
      </c>
      <c r="AI4444">
        <v>100112.5</v>
      </c>
      <c r="AJ4444">
        <v>0</v>
      </c>
      <c r="AK4444">
        <v>0</v>
      </c>
      <c r="AL4444">
        <v>0</v>
      </c>
      <c r="AM4444">
        <v>71972</v>
      </c>
      <c r="AN4444">
        <v>28144.5</v>
      </c>
      <c r="AO4444">
        <v>100116.5</v>
      </c>
      <c r="AP4444">
        <v>0</v>
      </c>
      <c r="AQ4444">
        <v>4</v>
      </c>
      <c r="AR4444">
        <v>3.9955050568085682E-5</v>
      </c>
      <c r="AS4444" t="s">
        <v>239</v>
      </c>
      <c r="AT4444" t="s">
        <v>514</v>
      </c>
    </row>
    <row r="4445" spans="2:46" x14ac:dyDescent="0.35">
      <c r="B4445" t="s">
        <v>563</v>
      </c>
      <c r="C4445">
        <v>45688</v>
      </c>
      <c r="J4445">
        <v>0</v>
      </c>
      <c r="O4445" t="s">
        <v>239</v>
      </c>
      <c r="P4445" t="s">
        <v>514</v>
      </c>
      <c r="U4445">
        <v>0</v>
      </c>
      <c r="Y4445">
        <v>31</v>
      </c>
      <c r="Z4445" s="259" t="s">
        <v>637</v>
      </c>
      <c r="AB4445">
        <v>28028</v>
      </c>
      <c r="AF4445">
        <v>100122</v>
      </c>
      <c r="AG4445">
        <v>0</v>
      </c>
      <c r="AI4445">
        <v>100116.5</v>
      </c>
      <c r="AJ4445">
        <v>0</v>
      </c>
      <c r="AK4445">
        <v>0</v>
      </c>
      <c r="AL4445">
        <v>0</v>
      </c>
      <c r="AM4445">
        <v>71972</v>
      </c>
      <c r="AN4445">
        <v>28150</v>
      </c>
      <c r="AO4445">
        <v>100122</v>
      </c>
      <c r="AP4445">
        <v>0</v>
      </c>
      <c r="AQ4445">
        <v>5.5</v>
      </c>
      <c r="AR4445">
        <v>5.4935999560523641E-5</v>
      </c>
      <c r="AS4445" t="s">
        <v>239</v>
      </c>
      <c r="AT4445" t="s">
        <v>514</v>
      </c>
    </row>
    <row r="4446" spans="2:46" x14ac:dyDescent="0.35">
      <c r="B4446" t="s">
        <v>563</v>
      </c>
      <c r="C4446">
        <v>45689</v>
      </c>
      <c r="J4446">
        <v>0</v>
      </c>
      <c r="O4446" t="s">
        <v>239</v>
      </c>
      <c r="P4446" t="s">
        <v>514</v>
      </c>
      <c r="U4446">
        <v>0</v>
      </c>
      <c r="Y4446">
        <v>32</v>
      </c>
      <c r="Z4446" s="259" t="s">
        <v>637</v>
      </c>
      <c r="AB4446">
        <v>28028</v>
      </c>
      <c r="AF4446">
        <v>100122</v>
      </c>
      <c r="AG4446">
        <v>0</v>
      </c>
      <c r="AI4446">
        <v>100122</v>
      </c>
      <c r="AJ4446">
        <v>0</v>
      </c>
      <c r="AK4446">
        <v>0</v>
      </c>
      <c r="AL4446">
        <v>0</v>
      </c>
      <c r="AM4446">
        <v>71972</v>
      </c>
      <c r="AN4446">
        <v>28150</v>
      </c>
      <c r="AO4446">
        <v>100122</v>
      </c>
      <c r="AP4446">
        <v>0</v>
      </c>
      <c r="AQ4446">
        <v>0</v>
      </c>
      <c r="AR4446">
        <v>0</v>
      </c>
      <c r="AS4446" t="s">
        <v>239</v>
      </c>
      <c r="AT4446" t="s">
        <v>514</v>
      </c>
    </row>
    <row r="4447" spans="2:46" x14ac:dyDescent="0.35">
      <c r="B4447" t="s">
        <v>563</v>
      </c>
      <c r="C4447">
        <v>45690</v>
      </c>
      <c r="J4447">
        <v>0</v>
      </c>
      <c r="O4447" t="s">
        <v>239</v>
      </c>
      <c r="P4447" t="s">
        <v>514</v>
      </c>
      <c r="U4447">
        <v>0</v>
      </c>
      <c r="Y4447">
        <v>33</v>
      </c>
      <c r="Z4447" s="259" t="s">
        <v>637</v>
      </c>
      <c r="AB4447">
        <v>28028</v>
      </c>
      <c r="AF4447">
        <v>100122</v>
      </c>
      <c r="AG4447">
        <v>0</v>
      </c>
      <c r="AI4447">
        <v>100122</v>
      </c>
      <c r="AJ4447">
        <v>0</v>
      </c>
      <c r="AK4447">
        <v>0</v>
      </c>
      <c r="AL4447">
        <v>0</v>
      </c>
      <c r="AM4447">
        <v>71972</v>
      </c>
      <c r="AN4447">
        <v>28150</v>
      </c>
      <c r="AO4447">
        <v>100122</v>
      </c>
      <c r="AP4447">
        <v>0</v>
      </c>
      <c r="AQ4447">
        <v>0</v>
      </c>
      <c r="AR4447">
        <v>0</v>
      </c>
      <c r="AS4447" t="s">
        <v>239</v>
      </c>
      <c r="AT4447" t="s">
        <v>514</v>
      </c>
    </row>
    <row r="4448" spans="2:46" x14ac:dyDescent="0.35">
      <c r="B4448" t="s">
        <v>563</v>
      </c>
      <c r="C4448">
        <v>45691</v>
      </c>
      <c r="J4448">
        <v>0</v>
      </c>
      <c r="O4448" t="s">
        <v>239</v>
      </c>
      <c r="P4448" t="s">
        <v>514</v>
      </c>
      <c r="U4448">
        <v>0</v>
      </c>
      <c r="Y4448">
        <v>34</v>
      </c>
      <c r="Z4448" s="259" t="s">
        <v>637</v>
      </c>
      <c r="AB4448">
        <v>28028</v>
      </c>
      <c r="AF4448">
        <v>100077</v>
      </c>
      <c r="AG4448">
        <v>0</v>
      </c>
      <c r="AI4448">
        <v>100122</v>
      </c>
      <c r="AJ4448">
        <v>0</v>
      </c>
      <c r="AK4448">
        <v>0</v>
      </c>
      <c r="AL4448">
        <v>0</v>
      </c>
      <c r="AM4448">
        <v>71972</v>
      </c>
      <c r="AN4448">
        <v>28105</v>
      </c>
      <c r="AO4448">
        <v>100077</v>
      </c>
      <c r="AP4448">
        <v>0</v>
      </c>
      <c r="AQ4448">
        <v>-45</v>
      </c>
      <c r="AR4448">
        <v>-4.4945166896381838E-4</v>
      </c>
      <c r="AS4448" t="s">
        <v>239</v>
      </c>
      <c r="AT4448" t="s">
        <v>514</v>
      </c>
    </row>
    <row r="4449" spans="2:46" x14ac:dyDescent="0.35">
      <c r="B4449" t="s">
        <v>563</v>
      </c>
      <c r="C4449">
        <v>45692</v>
      </c>
      <c r="J4449">
        <v>0</v>
      </c>
      <c r="O4449" t="s">
        <v>239</v>
      </c>
      <c r="P4449" t="s">
        <v>514</v>
      </c>
      <c r="U4449">
        <v>0</v>
      </c>
      <c r="Y4449">
        <v>35</v>
      </c>
      <c r="Z4449" s="259" t="s">
        <v>637</v>
      </c>
      <c r="AB4449">
        <v>28028</v>
      </c>
      <c r="AF4449">
        <v>100055.5</v>
      </c>
      <c r="AG4449">
        <v>0</v>
      </c>
      <c r="AI4449">
        <v>100077</v>
      </c>
      <c r="AJ4449">
        <v>0</v>
      </c>
      <c r="AK4449">
        <v>0</v>
      </c>
      <c r="AL4449">
        <v>0</v>
      </c>
      <c r="AM4449">
        <v>71972</v>
      </c>
      <c r="AN4449">
        <v>28083.5</v>
      </c>
      <c r="AO4449">
        <v>100055.5</v>
      </c>
      <c r="AP4449">
        <v>0</v>
      </c>
      <c r="AQ4449">
        <v>-21.5</v>
      </c>
      <c r="AR4449">
        <v>-2.1483457737536682E-4</v>
      </c>
      <c r="AS4449" t="s">
        <v>239</v>
      </c>
      <c r="AT4449" t="s">
        <v>514</v>
      </c>
    </row>
    <row r="4450" spans="2:46" x14ac:dyDescent="0.35">
      <c r="B4450" t="s">
        <v>563</v>
      </c>
      <c r="C4450">
        <v>45693</v>
      </c>
      <c r="J4450">
        <v>0</v>
      </c>
      <c r="O4450" t="s">
        <v>239</v>
      </c>
      <c r="P4450" t="s">
        <v>514</v>
      </c>
      <c r="U4450">
        <v>0</v>
      </c>
      <c r="Y4450">
        <v>36</v>
      </c>
      <c r="Z4450" s="259" t="s">
        <v>637</v>
      </c>
      <c r="AB4450">
        <v>28028</v>
      </c>
      <c r="AF4450">
        <v>100033.5</v>
      </c>
      <c r="AG4450">
        <v>0</v>
      </c>
      <c r="AI4450">
        <v>100055.5</v>
      </c>
      <c r="AJ4450">
        <v>0</v>
      </c>
      <c r="AK4450">
        <v>0</v>
      </c>
      <c r="AL4450">
        <v>0</v>
      </c>
      <c r="AM4450">
        <v>71972</v>
      </c>
      <c r="AN4450">
        <v>28061.5</v>
      </c>
      <c r="AO4450">
        <v>100033.5</v>
      </c>
      <c r="AP4450">
        <v>0</v>
      </c>
      <c r="AQ4450">
        <v>-22</v>
      </c>
      <c r="AR4450">
        <v>-2.1987796772793278E-4</v>
      </c>
      <c r="AS4450" t="s">
        <v>239</v>
      </c>
      <c r="AT4450" t="s">
        <v>514</v>
      </c>
    </row>
    <row r="4451" spans="2:46" x14ac:dyDescent="0.35">
      <c r="B4451" t="s">
        <v>563</v>
      </c>
      <c r="C4451">
        <v>45694</v>
      </c>
      <c r="J4451">
        <v>0</v>
      </c>
      <c r="O4451" t="s">
        <v>239</v>
      </c>
      <c r="P4451" t="s">
        <v>514</v>
      </c>
      <c r="U4451">
        <v>0</v>
      </c>
      <c r="Y4451">
        <v>37</v>
      </c>
      <c r="Z4451" s="259" t="s">
        <v>637</v>
      </c>
      <c r="AB4451">
        <v>28028</v>
      </c>
      <c r="AF4451">
        <v>100010.5</v>
      </c>
      <c r="AG4451">
        <v>0</v>
      </c>
      <c r="AI4451">
        <v>100033.5</v>
      </c>
      <c r="AJ4451">
        <v>0</v>
      </c>
      <c r="AK4451">
        <v>0</v>
      </c>
      <c r="AL4451">
        <v>0</v>
      </c>
      <c r="AM4451">
        <v>71972</v>
      </c>
      <c r="AN4451">
        <v>28038.5</v>
      </c>
      <c r="AO4451">
        <v>100010.5</v>
      </c>
      <c r="AP4451">
        <v>0</v>
      </c>
      <c r="AQ4451">
        <v>-23</v>
      </c>
      <c r="AR4451">
        <v>-2.2992297580315402E-4</v>
      </c>
      <c r="AS4451" t="s">
        <v>239</v>
      </c>
      <c r="AT4451" t="s">
        <v>514</v>
      </c>
    </row>
    <row r="4452" spans="2:46" x14ac:dyDescent="0.35">
      <c r="B4452" t="s">
        <v>563</v>
      </c>
      <c r="C4452">
        <v>45695</v>
      </c>
      <c r="J4452">
        <v>0</v>
      </c>
      <c r="O4452" t="s">
        <v>239</v>
      </c>
      <c r="P4452" t="s">
        <v>514</v>
      </c>
      <c r="U4452">
        <v>0</v>
      </c>
      <c r="Y4452">
        <v>38</v>
      </c>
      <c r="Z4452" s="259" t="s">
        <v>637</v>
      </c>
      <c r="AB4452">
        <v>28028</v>
      </c>
      <c r="AF4452">
        <v>99988.5</v>
      </c>
      <c r="AG4452">
        <v>0</v>
      </c>
      <c r="AI4452">
        <v>100010.5</v>
      </c>
      <c r="AJ4452">
        <v>0</v>
      </c>
      <c r="AK4452">
        <v>0</v>
      </c>
      <c r="AL4452">
        <v>0</v>
      </c>
      <c r="AM4452">
        <v>71972</v>
      </c>
      <c r="AN4452">
        <v>28016.5</v>
      </c>
      <c r="AO4452">
        <v>99988.5</v>
      </c>
      <c r="AP4452">
        <v>0</v>
      </c>
      <c r="AQ4452">
        <v>-22</v>
      </c>
      <c r="AR4452">
        <v>-2.1997690242525625E-4</v>
      </c>
      <c r="AS4452" t="s">
        <v>239</v>
      </c>
      <c r="AT4452" t="s">
        <v>514</v>
      </c>
    </row>
    <row r="4453" spans="2:46" x14ac:dyDescent="0.35">
      <c r="B4453" t="s">
        <v>563</v>
      </c>
      <c r="C4453">
        <v>45696</v>
      </c>
      <c r="J4453">
        <v>0</v>
      </c>
      <c r="O4453" t="s">
        <v>239</v>
      </c>
      <c r="P4453" t="s">
        <v>514</v>
      </c>
      <c r="U4453">
        <v>0</v>
      </c>
      <c r="Y4453">
        <v>39</v>
      </c>
      <c r="Z4453" s="259" t="s">
        <v>637</v>
      </c>
      <c r="AB4453">
        <v>28028</v>
      </c>
      <c r="AF4453">
        <v>99988.5</v>
      </c>
      <c r="AG4453">
        <v>0</v>
      </c>
      <c r="AI4453">
        <v>99988.5</v>
      </c>
      <c r="AJ4453">
        <v>0</v>
      </c>
      <c r="AK4453">
        <v>0</v>
      </c>
      <c r="AL4453">
        <v>0</v>
      </c>
      <c r="AM4453">
        <v>71972</v>
      </c>
      <c r="AN4453">
        <v>28016.5</v>
      </c>
      <c r="AO4453">
        <v>99988.5</v>
      </c>
      <c r="AP4453">
        <v>0</v>
      </c>
      <c r="AQ4453">
        <v>0</v>
      </c>
      <c r="AR4453">
        <v>0</v>
      </c>
      <c r="AS4453" t="s">
        <v>239</v>
      </c>
      <c r="AT4453" t="s">
        <v>514</v>
      </c>
    </row>
    <row r="4454" spans="2:46" x14ac:dyDescent="0.35">
      <c r="B4454" t="s">
        <v>563</v>
      </c>
      <c r="C4454">
        <v>45697</v>
      </c>
      <c r="J4454">
        <v>0</v>
      </c>
      <c r="O4454" t="s">
        <v>239</v>
      </c>
      <c r="P4454" t="s">
        <v>514</v>
      </c>
      <c r="U4454">
        <v>0</v>
      </c>
      <c r="Y4454">
        <v>40</v>
      </c>
      <c r="Z4454" s="259" t="s">
        <v>637</v>
      </c>
      <c r="AB4454">
        <v>28028</v>
      </c>
      <c r="AF4454">
        <v>99988.5</v>
      </c>
      <c r="AG4454">
        <v>0</v>
      </c>
      <c r="AI4454">
        <v>99988.5</v>
      </c>
      <c r="AJ4454">
        <v>0</v>
      </c>
      <c r="AK4454">
        <v>0</v>
      </c>
      <c r="AL4454">
        <v>0</v>
      </c>
      <c r="AM4454">
        <v>71972</v>
      </c>
      <c r="AN4454">
        <v>28016.5</v>
      </c>
      <c r="AO4454">
        <v>99988.5</v>
      </c>
      <c r="AP4454">
        <v>0</v>
      </c>
      <c r="AQ4454">
        <v>0</v>
      </c>
      <c r="AR4454">
        <v>0</v>
      </c>
      <c r="AS4454" t="s">
        <v>239</v>
      </c>
      <c r="AT4454" t="s">
        <v>514</v>
      </c>
    </row>
    <row r="4455" spans="2:46" x14ac:dyDescent="0.35">
      <c r="B4455" t="s">
        <v>563</v>
      </c>
      <c r="C4455">
        <v>45698</v>
      </c>
      <c r="J4455">
        <v>0</v>
      </c>
      <c r="O4455" t="s">
        <v>239</v>
      </c>
      <c r="P4455" t="s">
        <v>514</v>
      </c>
      <c r="U4455">
        <v>0</v>
      </c>
      <c r="Y4455">
        <v>41</v>
      </c>
      <c r="Z4455" s="259" t="s">
        <v>637</v>
      </c>
      <c r="AB4455">
        <v>28028</v>
      </c>
      <c r="AF4455">
        <v>99922</v>
      </c>
      <c r="AG4455">
        <v>0</v>
      </c>
      <c r="AI4455">
        <v>99988.5</v>
      </c>
      <c r="AJ4455">
        <v>0</v>
      </c>
      <c r="AK4455">
        <v>0</v>
      </c>
      <c r="AL4455">
        <v>0</v>
      </c>
      <c r="AM4455">
        <v>71972</v>
      </c>
      <c r="AN4455">
        <v>27950</v>
      </c>
      <c r="AO4455">
        <v>99922</v>
      </c>
      <c r="AP4455">
        <v>0</v>
      </c>
      <c r="AQ4455">
        <v>-66.5</v>
      </c>
      <c r="AR4455">
        <v>-6.6507648379565687E-4</v>
      </c>
      <c r="AS4455" t="s">
        <v>239</v>
      </c>
      <c r="AT4455" t="s">
        <v>514</v>
      </c>
    </row>
    <row r="4456" spans="2:46" x14ac:dyDescent="0.35">
      <c r="B4456" t="s">
        <v>563</v>
      </c>
      <c r="C4456">
        <v>45699</v>
      </c>
      <c r="J4456">
        <v>0</v>
      </c>
      <c r="O4456" t="s">
        <v>239</v>
      </c>
      <c r="P4456" t="s">
        <v>514</v>
      </c>
      <c r="U4456">
        <v>0</v>
      </c>
      <c r="Y4456">
        <v>42</v>
      </c>
      <c r="Z4456" s="259" t="s">
        <v>637</v>
      </c>
      <c r="AB4456">
        <v>28028</v>
      </c>
      <c r="AF4456">
        <v>99900</v>
      </c>
      <c r="AG4456">
        <v>0</v>
      </c>
      <c r="AI4456">
        <v>99922</v>
      </c>
      <c r="AJ4456">
        <v>0</v>
      </c>
      <c r="AK4456">
        <v>0</v>
      </c>
      <c r="AL4456">
        <v>0</v>
      </c>
      <c r="AM4456">
        <v>71972</v>
      </c>
      <c r="AN4456">
        <v>27928</v>
      </c>
      <c r="AO4456">
        <v>99900</v>
      </c>
      <c r="AP4456">
        <v>0</v>
      </c>
      <c r="AQ4456">
        <v>-22</v>
      </c>
      <c r="AR4456">
        <v>-2.2017173395250111E-4</v>
      </c>
      <c r="AS4456" t="s">
        <v>239</v>
      </c>
      <c r="AT4456" t="s">
        <v>514</v>
      </c>
    </row>
    <row r="4457" spans="2:46" x14ac:dyDescent="0.35">
      <c r="B4457" t="s">
        <v>563</v>
      </c>
      <c r="C4457">
        <v>45700</v>
      </c>
      <c r="J4457">
        <v>0</v>
      </c>
      <c r="O4457" t="s">
        <v>239</v>
      </c>
      <c r="P4457" t="s">
        <v>514</v>
      </c>
      <c r="U4457">
        <v>0</v>
      </c>
      <c r="Y4457">
        <v>43</v>
      </c>
      <c r="Z4457" s="259" t="s">
        <v>637</v>
      </c>
      <c r="AB4457">
        <v>28028</v>
      </c>
      <c r="AF4457">
        <v>99877</v>
      </c>
      <c r="AG4457">
        <v>0</v>
      </c>
      <c r="AI4457">
        <v>99900</v>
      </c>
      <c r="AJ4457">
        <v>0</v>
      </c>
      <c r="AK4457">
        <v>0</v>
      </c>
      <c r="AL4457">
        <v>0</v>
      </c>
      <c r="AM4457">
        <v>71972</v>
      </c>
      <c r="AN4457">
        <v>27905</v>
      </c>
      <c r="AO4457">
        <v>99877</v>
      </c>
      <c r="AP4457">
        <v>0</v>
      </c>
      <c r="AQ4457">
        <v>-23</v>
      </c>
      <c r="AR4457">
        <v>-2.3023023023027722E-4</v>
      </c>
      <c r="AS4457" t="s">
        <v>239</v>
      </c>
      <c r="AT4457" t="s">
        <v>514</v>
      </c>
    </row>
    <row r="4458" spans="2:46" x14ac:dyDescent="0.35">
      <c r="B4458" t="s">
        <v>563</v>
      </c>
      <c r="C4458">
        <v>45701</v>
      </c>
      <c r="J4458">
        <v>0</v>
      </c>
      <c r="O4458" t="s">
        <v>239</v>
      </c>
      <c r="P4458" t="s">
        <v>514</v>
      </c>
      <c r="U4458">
        <v>0</v>
      </c>
      <c r="Y4458">
        <v>44</v>
      </c>
      <c r="Z4458" s="259" t="s">
        <v>637</v>
      </c>
      <c r="AB4458">
        <v>28028</v>
      </c>
      <c r="AF4458">
        <v>99855.5</v>
      </c>
      <c r="AG4458">
        <v>0</v>
      </c>
      <c r="AI4458">
        <v>99877</v>
      </c>
      <c r="AJ4458">
        <v>0</v>
      </c>
      <c r="AK4458">
        <v>0</v>
      </c>
      <c r="AL4458">
        <v>0</v>
      </c>
      <c r="AM4458">
        <v>71972</v>
      </c>
      <c r="AN4458">
        <v>27883.5</v>
      </c>
      <c r="AO4458">
        <v>99855.5</v>
      </c>
      <c r="AP4458">
        <v>0</v>
      </c>
      <c r="AQ4458">
        <v>-21.5</v>
      </c>
      <c r="AR4458">
        <v>-2.1526477567412883E-4</v>
      </c>
      <c r="AS4458" t="s">
        <v>239</v>
      </c>
      <c r="AT4458" t="s">
        <v>514</v>
      </c>
    </row>
    <row r="4459" spans="2:46" x14ac:dyDescent="0.35">
      <c r="B4459" t="s">
        <v>563</v>
      </c>
      <c r="C4459">
        <v>45702</v>
      </c>
      <c r="J4459">
        <v>0</v>
      </c>
      <c r="O4459" t="s">
        <v>239</v>
      </c>
      <c r="P4459" t="s">
        <v>514</v>
      </c>
      <c r="U4459">
        <v>0</v>
      </c>
      <c r="Y4459">
        <v>45</v>
      </c>
      <c r="Z4459" s="259" t="s">
        <v>637</v>
      </c>
      <c r="AB4459">
        <v>28028</v>
      </c>
      <c r="AF4459">
        <v>99832.5</v>
      </c>
      <c r="AG4459">
        <v>0</v>
      </c>
      <c r="AI4459">
        <v>99855.5</v>
      </c>
      <c r="AJ4459">
        <v>0</v>
      </c>
      <c r="AK4459">
        <v>0</v>
      </c>
      <c r="AL4459">
        <v>0</v>
      </c>
      <c r="AM4459">
        <v>71972</v>
      </c>
      <c r="AN4459">
        <v>27860.5</v>
      </c>
      <c r="AO4459">
        <v>99832.5</v>
      </c>
      <c r="AP4459">
        <v>0</v>
      </c>
      <c r="AQ4459">
        <v>-23</v>
      </c>
      <c r="AR4459">
        <v>-2.303328309407604E-4</v>
      </c>
      <c r="AS4459" t="s">
        <v>239</v>
      </c>
      <c r="AT4459" t="s">
        <v>514</v>
      </c>
    </row>
    <row r="4460" spans="2:46" x14ac:dyDescent="0.35">
      <c r="B4460" t="s">
        <v>563</v>
      </c>
      <c r="C4460">
        <v>45703</v>
      </c>
      <c r="J4460">
        <v>0</v>
      </c>
      <c r="O4460" t="s">
        <v>239</v>
      </c>
      <c r="P4460" t="s">
        <v>514</v>
      </c>
      <c r="U4460">
        <v>0</v>
      </c>
      <c r="Y4460">
        <v>46</v>
      </c>
      <c r="Z4460" s="259" t="s">
        <v>637</v>
      </c>
      <c r="AB4460">
        <v>28028</v>
      </c>
      <c r="AF4460">
        <v>99832.5</v>
      </c>
      <c r="AG4460">
        <v>0</v>
      </c>
      <c r="AI4460">
        <v>99832.5</v>
      </c>
      <c r="AJ4460">
        <v>0</v>
      </c>
      <c r="AK4460">
        <v>0</v>
      </c>
      <c r="AL4460">
        <v>0</v>
      </c>
      <c r="AM4460">
        <v>71972</v>
      </c>
      <c r="AN4460">
        <v>27860.5</v>
      </c>
      <c r="AO4460">
        <v>99832.5</v>
      </c>
      <c r="AP4460">
        <v>0</v>
      </c>
      <c r="AQ4460">
        <v>0</v>
      </c>
      <c r="AR4460">
        <v>0</v>
      </c>
      <c r="AS4460" t="s">
        <v>239</v>
      </c>
      <c r="AT4460" t="s">
        <v>514</v>
      </c>
    </row>
    <row r="4461" spans="2:46" x14ac:dyDescent="0.35">
      <c r="B4461" t="s">
        <v>563</v>
      </c>
      <c r="C4461">
        <v>45704</v>
      </c>
      <c r="J4461">
        <v>0</v>
      </c>
      <c r="O4461" t="s">
        <v>239</v>
      </c>
      <c r="P4461" t="s">
        <v>514</v>
      </c>
      <c r="U4461">
        <v>0</v>
      </c>
      <c r="Y4461">
        <v>47</v>
      </c>
      <c r="Z4461" s="259" t="s">
        <v>637</v>
      </c>
      <c r="AB4461">
        <v>28028</v>
      </c>
      <c r="AF4461">
        <v>99832.5</v>
      </c>
      <c r="AG4461">
        <v>0</v>
      </c>
      <c r="AI4461">
        <v>99832.5</v>
      </c>
      <c r="AJ4461">
        <v>0</v>
      </c>
      <c r="AK4461">
        <v>0</v>
      </c>
      <c r="AL4461">
        <v>0</v>
      </c>
      <c r="AM4461">
        <v>71972</v>
      </c>
      <c r="AN4461">
        <v>27860.5</v>
      </c>
      <c r="AO4461">
        <v>99832.5</v>
      </c>
      <c r="AP4461">
        <v>0</v>
      </c>
      <c r="AQ4461">
        <v>0</v>
      </c>
      <c r="AR4461">
        <v>0</v>
      </c>
      <c r="AS4461" t="s">
        <v>239</v>
      </c>
      <c r="AT4461" t="s">
        <v>514</v>
      </c>
    </row>
    <row r="4462" spans="2:46" x14ac:dyDescent="0.35">
      <c r="B4462" t="s">
        <v>563</v>
      </c>
      <c r="C4462">
        <v>45705</v>
      </c>
      <c r="J4462">
        <v>0</v>
      </c>
      <c r="O4462" t="s">
        <v>239</v>
      </c>
      <c r="P4462" t="s">
        <v>514</v>
      </c>
      <c r="U4462">
        <v>0</v>
      </c>
      <c r="Y4462">
        <v>48</v>
      </c>
      <c r="Z4462" s="259" t="s">
        <v>637</v>
      </c>
      <c r="AB4462">
        <v>28028</v>
      </c>
      <c r="AF4462">
        <v>99767</v>
      </c>
      <c r="AG4462">
        <v>0</v>
      </c>
      <c r="AI4462">
        <v>99832.5</v>
      </c>
      <c r="AJ4462">
        <v>0</v>
      </c>
      <c r="AK4462">
        <v>0</v>
      </c>
      <c r="AL4462">
        <v>0</v>
      </c>
      <c r="AM4462">
        <v>71972</v>
      </c>
      <c r="AN4462">
        <v>27795</v>
      </c>
      <c r="AO4462">
        <v>99767</v>
      </c>
      <c r="AP4462">
        <v>0</v>
      </c>
      <c r="AQ4462">
        <v>-65.5</v>
      </c>
      <c r="AR4462">
        <v>-6.560989657676819E-4</v>
      </c>
      <c r="AS4462" t="s">
        <v>239</v>
      </c>
      <c r="AT4462" t="s">
        <v>514</v>
      </c>
    </row>
    <row r="4463" spans="2:46" x14ac:dyDescent="0.35">
      <c r="B4463" t="s">
        <v>563</v>
      </c>
      <c r="C4463">
        <v>45706</v>
      </c>
      <c r="J4463">
        <v>0</v>
      </c>
      <c r="O4463" t="s">
        <v>239</v>
      </c>
      <c r="P4463" t="s">
        <v>514</v>
      </c>
      <c r="U4463">
        <v>0</v>
      </c>
      <c r="Y4463">
        <v>49</v>
      </c>
      <c r="Z4463" s="259" t="s">
        <v>637</v>
      </c>
      <c r="AB4463">
        <v>28028</v>
      </c>
      <c r="AF4463">
        <v>99744</v>
      </c>
      <c r="AG4463">
        <v>0</v>
      </c>
      <c r="AI4463">
        <v>99767</v>
      </c>
      <c r="AJ4463">
        <v>0</v>
      </c>
      <c r="AK4463">
        <v>0</v>
      </c>
      <c r="AL4463">
        <v>0</v>
      </c>
      <c r="AM4463">
        <v>71972</v>
      </c>
      <c r="AN4463">
        <v>27772</v>
      </c>
      <c r="AO4463">
        <v>99744</v>
      </c>
      <c r="AP4463">
        <v>0</v>
      </c>
      <c r="AQ4463">
        <v>-23</v>
      </c>
      <c r="AR4463">
        <v>-2.3053715156318155E-4</v>
      </c>
      <c r="AS4463" t="s">
        <v>239</v>
      </c>
      <c r="AT4463" t="s">
        <v>514</v>
      </c>
    </row>
    <row r="4464" spans="2:46" x14ac:dyDescent="0.35">
      <c r="B4464" t="s">
        <v>563</v>
      </c>
      <c r="C4464">
        <v>45707</v>
      </c>
      <c r="J4464">
        <v>0</v>
      </c>
      <c r="O4464" t="s">
        <v>239</v>
      </c>
      <c r="P4464" t="s">
        <v>514</v>
      </c>
      <c r="U4464">
        <v>0</v>
      </c>
      <c r="Y4464">
        <v>50</v>
      </c>
      <c r="Z4464" s="259" t="s">
        <v>637</v>
      </c>
      <c r="AB4464">
        <v>28028</v>
      </c>
      <c r="AF4464">
        <v>99722</v>
      </c>
      <c r="AG4464">
        <v>0</v>
      </c>
      <c r="AI4464">
        <v>99744</v>
      </c>
      <c r="AJ4464">
        <v>0</v>
      </c>
      <c r="AK4464">
        <v>0</v>
      </c>
      <c r="AL4464">
        <v>0</v>
      </c>
      <c r="AM4464">
        <v>71972</v>
      </c>
      <c r="AN4464">
        <v>27750</v>
      </c>
      <c r="AO4464">
        <v>99722</v>
      </c>
      <c r="AP4464">
        <v>0</v>
      </c>
      <c r="AQ4464">
        <v>-22</v>
      </c>
      <c r="AR4464">
        <v>-2.2056464549247146E-4</v>
      </c>
      <c r="AS4464" t="s">
        <v>239</v>
      </c>
      <c r="AT4464" t="s">
        <v>514</v>
      </c>
    </row>
    <row r="4465" spans="2:46" x14ac:dyDescent="0.35">
      <c r="B4465" t="s">
        <v>563</v>
      </c>
      <c r="C4465">
        <v>45708</v>
      </c>
      <c r="J4465">
        <v>0</v>
      </c>
      <c r="O4465" t="s">
        <v>239</v>
      </c>
      <c r="P4465" t="s">
        <v>514</v>
      </c>
      <c r="U4465">
        <v>0</v>
      </c>
      <c r="Y4465">
        <v>51</v>
      </c>
      <c r="Z4465" s="259" t="s">
        <v>637</v>
      </c>
      <c r="AB4465">
        <v>28028</v>
      </c>
      <c r="AF4465">
        <v>99700</v>
      </c>
      <c r="AG4465">
        <v>0</v>
      </c>
      <c r="AI4465">
        <v>99722</v>
      </c>
      <c r="AJ4465">
        <v>0</v>
      </c>
      <c r="AK4465">
        <v>0</v>
      </c>
      <c r="AL4465">
        <v>0</v>
      </c>
      <c r="AM4465">
        <v>71972</v>
      </c>
      <c r="AN4465">
        <v>27728</v>
      </c>
      <c r="AO4465">
        <v>99700</v>
      </c>
      <c r="AP4465">
        <v>0</v>
      </c>
      <c r="AQ4465">
        <v>-22</v>
      </c>
      <c r="AR4465">
        <v>-2.2061330498790443E-4</v>
      </c>
      <c r="AS4465" t="s">
        <v>239</v>
      </c>
      <c r="AT4465" t="s">
        <v>514</v>
      </c>
    </row>
    <row r="4466" spans="2:46" x14ac:dyDescent="0.35">
      <c r="B4466" t="s">
        <v>563</v>
      </c>
      <c r="C4466">
        <v>45709</v>
      </c>
      <c r="J4466">
        <v>0</v>
      </c>
      <c r="O4466" t="s">
        <v>239</v>
      </c>
      <c r="P4466" t="s">
        <v>514</v>
      </c>
      <c r="U4466">
        <v>0</v>
      </c>
      <c r="Y4466">
        <v>52</v>
      </c>
      <c r="Z4466" s="259" t="s">
        <v>637</v>
      </c>
      <c r="AB4466">
        <v>28028</v>
      </c>
      <c r="AF4466">
        <v>99678</v>
      </c>
      <c r="AG4466">
        <v>0</v>
      </c>
      <c r="AI4466">
        <v>99700</v>
      </c>
      <c r="AJ4466">
        <v>0</v>
      </c>
      <c r="AK4466">
        <v>0</v>
      </c>
      <c r="AL4466">
        <v>0</v>
      </c>
      <c r="AM4466">
        <v>71972</v>
      </c>
      <c r="AN4466">
        <v>27706</v>
      </c>
      <c r="AO4466">
        <v>99678</v>
      </c>
      <c r="AP4466">
        <v>0</v>
      </c>
      <c r="AQ4466">
        <v>-22</v>
      </c>
      <c r="AR4466">
        <v>-2.2066198595782627E-4</v>
      </c>
      <c r="AS4466" t="s">
        <v>239</v>
      </c>
      <c r="AT4466" t="s">
        <v>514</v>
      </c>
    </row>
    <row r="4467" spans="2:46" x14ac:dyDescent="0.35">
      <c r="B4467" t="s">
        <v>563</v>
      </c>
      <c r="C4467">
        <v>45710</v>
      </c>
      <c r="J4467">
        <v>0</v>
      </c>
      <c r="O4467" t="s">
        <v>239</v>
      </c>
      <c r="P4467" t="s">
        <v>514</v>
      </c>
      <c r="U4467">
        <v>0</v>
      </c>
      <c r="Y4467">
        <v>53</v>
      </c>
      <c r="Z4467" s="259" t="s">
        <v>637</v>
      </c>
      <c r="AB4467">
        <v>28028</v>
      </c>
      <c r="AF4467">
        <v>99678</v>
      </c>
      <c r="AG4467">
        <v>0</v>
      </c>
      <c r="AI4467">
        <v>99678</v>
      </c>
      <c r="AJ4467">
        <v>0</v>
      </c>
      <c r="AK4467">
        <v>0</v>
      </c>
      <c r="AL4467">
        <v>0</v>
      </c>
      <c r="AM4467">
        <v>71972</v>
      </c>
      <c r="AN4467">
        <v>27706</v>
      </c>
      <c r="AO4467">
        <v>99678</v>
      </c>
      <c r="AP4467">
        <v>0</v>
      </c>
      <c r="AQ4467">
        <v>0</v>
      </c>
      <c r="AR4467">
        <v>0</v>
      </c>
      <c r="AS4467" t="s">
        <v>239</v>
      </c>
      <c r="AT4467" t="s">
        <v>514</v>
      </c>
    </row>
    <row r="4468" spans="2:46" x14ac:dyDescent="0.35">
      <c r="B4468" t="s">
        <v>563</v>
      </c>
      <c r="C4468">
        <v>45711</v>
      </c>
      <c r="J4468">
        <v>0</v>
      </c>
      <c r="O4468" t="s">
        <v>239</v>
      </c>
      <c r="P4468" t="s">
        <v>514</v>
      </c>
      <c r="U4468">
        <v>0</v>
      </c>
      <c r="Y4468">
        <v>54</v>
      </c>
      <c r="Z4468" s="259" t="s">
        <v>637</v>
      </c>
      <c r="AB4468">
        <v>28028</v>
      </c>
      <c r="AF4468">
        <v>99678</v>
      </c>
      <c r="AG4468">
        <v>0</v>
      </c>
      <c r="AI4468">
        <v>99678</v>
      </c>
      <c r="AJ4468">
        <v>0</v>
      </c>
      <c r="AK4468">
        <v>0</v>
      </c>
      <c r="AL4468">
        <v>0</v>
      </c>
      <c r="AM4468">
        <v>71972</v>
      </c>
      <c r="AN4468">
        <v>27706</v>
      </c>
      <c r="AO4468">
        <v>99678</v>
      </c>
      <c r="AP4468">
        <v>0</v>
      </c>
      <c r="AQ4468">
        <v>0</v>
      </c>
      <c r="AR4468">
        <v>0</v>
      </c>
      <c r="AS4468" t="s">
        <v>239</v>
      </c>
      <c r="AT4468" t="s">
        <v>514</v>
      </c>
    </row>
    <row r="4469" spans="2:46" x14ac:dyDescent="0.35">
      <c r="B4469" t="s">
        <v>563</v>
      </c>
      <c r="C4469">
        <v>45712</v>
      </c>
      <c r="J4469">
        <v>0</v>
      </c>
      <c r="O4469" t="s">
        <v>239</v>
      </c>
      <c r="P4469" t="s">
        <v>514</v>
      </c>
      <c r="U4469">
        <v>0</v>
      </c>
      <c r="Y4469">
        <v>55</v>
      </c>
      <c r="Z4469" s="259" t="s">
        <v>637</v>
      </c>
      <c r="AB4469">
        <v>28028</v>
      </c>
      <c r="AF4469">
        <v>99610.5</v>
      </c>
      <c r="AG4469">
        <v>0</v>
      </c>
      <c r="AI4469">
        <v>99678</v>
      </c>
      <c r="AJ4469">
        <v>0</v>
      </c>
      <c r="AK4469">
        <v>0</v>
      </c>
      <c r="AL4469">
        <v>0</v>
      </c>
      <c r="AM4469">
        <v>71972</v>
      </c>
      <c r="AN4469">
        <v>27638.5</v>
      </c>
      <c r="AO4469">
        <v>99610.5</v>
      </c>
      <c r="AP4469">
        <v>0</v>
      </c>
      <c r="AQ4469">
        <v>-67.5</v>
      </c>
      <c r="AR4469">
        <v>-6.771805212785198E-4</v>
      </c>
      <c r="AS4469" t="s">
        <v>239</v>
      </c>
      <c r="AT4469" t="s">
        <v>514</v>
      </c>
    </row>
    <row r="4470" spans="2:46" x14ac:dyDescent="0.35">
      <c r="B4470" t="s">
        <v>563</v>
      </c>
      <c r="C4470">
        <v>45713</v>
      </c>
      <c r="J4470">
        <v>0</v>
      </c>
      <c r="O4470" t="s">
        <v>239</v>
      </c>
      <c r="P4470" t="s">
        <v>514</v>
      </c>
      <c r="U4470">
        <v>0</v>
      </c>
      <c r="Y4470">
        <v>56</v>
      </c>
      <c r="Z4470" s="259" t="s">
        <v>637</v>
      </c>
      <c r="AB4470">
        <v>28028</v>
      </c>
      <c r="AF4470">
        <v>99588.5</v>
      </c>
      <c r="AG4470">
        <v>0</v>
      </c>
      <c r="AI4470">
        <v>99610.5</v>
      </c>
      <c r="AJ4470">
        <v>0</v>
      </c>
      <c r="AK4470">
        <v>0</v>
      </c>
      <c r="AL4470">
        <v>0</v>
      </c>
      <c r="AM4470">
        <v>71972</v>
      </c>
      <c r="AN4470">
        <v>27616.5</v>
      </c>
      <c r="AO4470">
        <v>99588.5</v>
      </c>
      <c r="AP4470">
        <v>0</v>
      </c>
      <c r="AQ4470">
        <v>-22</v>
      </c>
      <c r="AR4470">
        <v>-2.2086025067635795E-4</v>
      </c>
      <c r="AS4470" t="s">
        <v>239</v>
      </c>
      <c r="AT4470" t="s">
        <v>514</v>
      </c>
    </row>
    <row r="4471" spans="2:46" x14ac:dyDescent="0.35">
      <c r="B4471" t="s">
        <v>563</v>
      </c>
      <c r="C4471">
        <v>45714</v>
      </c>
      <c r="J4471">
        <v>0</v>
      </c>
      <c r="O4471" t="s">
        <v>239</v>
      </c>
      <c r="P4471" t="s">
        <v>514</v>
      </c>
      <c r="U4471">
        <v>0</v>
      </c>
      <c r="Y4471">
        <v>57</v>
      </c>
      <c r="Z4471" s="259" t="s">
        <v>637</v>
      </c>
      <c r="AB4471">
        <v>28028</v>
      </c>
      <c r="AF4471">
        <v>99567</v>
      </c>
      <c r="AG4471">
        <v>0</v>
      </c>
      <c r="AI4471">
        <v>99588.5</v>
      </c>
      <c r="AJ4471">
        <v>0</v>
      </c>
      <c r="AK4471">
        <v>0</v>
      </c>
      <c r="AL4471">
        <v>0</v>
      </c>
      <c r="AM4471">
        <v>71972</v>
      </c>
      <c r="AN4471">
        <v>27595</v>
      </c>
      <c r="AO4471">
        <v>99567</v>
      </c>
      <c r="AP4471">
        <v>0</v>
      </c>
      <c r="AQ4471">
        <v>-21.5</v>
      </c>
      <c r="AR4471">
        <v>-2.1588838068653526E-4</v>
      </c>
      <c r="AS4471" t="s">
        <v>239</v>
      </c>
      <c r="AT4471" t="s">
        <v>514</v>
      </c>
    </row>
    <row r="4472" spans="2:46" x14ac:dyDescent="0.35">
      <c r="B4472" t="s">
        <v>563</v>
      </c>
      <c r="C4472">
        <v>45715</v>
      </c>
      <c r="J4472">
        <v>0</v>
      </c>
      <c r="O4472" t="s">
        <v>239</v>
      </c>
      <c r="P4472" t="s">
        <v>514</v>
      </c>
      <c r="U4472">
        <v>0</v>
      </c>
      <c r="Y4472">
        <v>58</v>
      </c>
      <c r="Z4472" s="259" t="s">
        <v>637</v>
      </c>
      <c r="AB4472">
        <v>28028</v>
      </c>
      <c r="AF4472">
        <v>99545</v>
      </c>
      <c r="AG4472">
        <v>0</v>
      </c>
      <c r="AI4472">
        <v>99567</v>
      </c>
      <c r="AJ4472">
        <v>0</v>
      </c>
      <c r="AK4472">
        <v>0</v>
      </c>
      <c r="AL4472">
        <v>0</v>
      </c>
      <c r="AM4472">
        <v>71972</v>
      </c>
      <c r="AN4472">
        <v>27573</v>
      </c>
      <c r="AO4472">
        <v>99545</v>
      </c>
      <c r="AP4472">
        <v>0</v>
      </c>
      <c r="AQ4472">
        <v>-22</v>
      </c>
      <c r="AR4472">
        <v>-2.2095674269584364E-4</v>
      </c>
      <c r="AS4472" t="s">
        <v>239</v>
      </c>
      <c r="AT4472" t="s">
        <v>514</v>
      </c>
    </row>
    <row r="4473" spans="2:46" x14ac:dyDescent="0.35">
      <c r="B4473" t="s">
        <v>563</v>
      </c>
      <c r="C4473">
        <v>45716</v>
      </c>
      <c r="J4473">
        <v>0</v>
      </c>
      <c r="O4473" t="s">
        <v>239</v>
      </c>
      <c r="P4473" t="s">
        <v>514</v>
      </c>
      <c r="U4473">
        <v>0</v>
      </c>
      <c r="Y4473">
        <v>59</v>
      </c>
      <c r="Z4473" s="259" t="s">
        <v>637</v>
      </c>
      <c r="AB4473">
        <v>28028</v>
      </c>
      <c r="AF4473">
        <v>99522</v>
      </c>
      <c r="AG4473">
        <v>0</v>
      </c>
      <c r="AI4473">
        <v>99545</v>
      </c>
      <c r="AJ4473">
        <v>0</v>
      </c>
      <c r="AK4473">
        <v>0</v>
      </c>
      <c r="AL4473">
        <v>0</v>
      </c>
      <c r="AM4473">
        <v>71972</v>
      </c>
      <c r="AN4473">
        <v>27550</v>
      </c>
      <c r="AO4473">
        <v>99522</v>
      </c>
      <c r="AP4473">
        <v>0</v>
      </c>
      <c r="AQ4473">
        <v>-23</v>
      </c>
      <c r="AR4473">
        <v>-2.3105128333922309E-4</v>
      </c>
      <c r="AS4473" t="s">
        <v>239</v>
      </c>
      <c r="AT4473" t="s">
        <v>514</v>
      </c>
    </row>
    <row r="4474" spans="2:46" x14ac:dyDescent="0.35">
      <c r="B4474" t="s">
        <v>563</v>
      </c>
      <c r="C4474">
        <v>45717</v>
      </c>
      <c r="J4474">
        <v>0</v>
      </c>
      <c r="O4474" t="s">
        <v>239</v>
      </c>
      <c r="P4474" t="s">
        <v>514</v>
      </c>
      <c r="U4474">
        <v>0</v>
      </c>
      <c r="Y4474">
        <v>60</v>
      </c>
      <c r="Z4474" s="259" t="s">
        <v>637</v>
      </c>
      <c r="AB4474">
        <v>28028</v>
      </c>
      <c r="AF4474">
        <v>99522</v>
      </c>
      <c r="AG4474">
        <v>0</v>
      </c>
      <c r="AI4474">
        <v>99522</v>
      </c>
      <c r="AJ4474">
        <v>0</v>
      </c>
      <c r="AK4474">
        <v>0</v>
      </c>
      <c r="AL4474">
        <v>0</v>
      </c>
      <c r="AM4474">
        <v>71972</v>
      </c>
      <c r="AN4474">
        <v>27550</v>
      </c>
      <c r="AO4474">
        <v>99522</v>
      </c>
      <c r="AP4474">
        <v>0</v>
      </c>
      <c r="AQ4474">
        <v>0</v>
      </c>
      <c r="AR4474">
        <v>0</v>
      </c>
      <c r="AS4474" t="s">
        <v>239</v>
      </c>
      <c r="AT4474" t="s">
        <v>514</v>
      </c>
    </row>
    <row r="4475" spans="2:46" x14ac:dyDescent="0.35">
      <c r="B4475" t="s">
        <v>563</v>
      </c>
      <c r="C4475">
        <v>45718</v>
      </c>
      <c r="J4475">
        <v>0</v>
      </c>
      <c r="O4475" t="s">
        <v>239</v>
      </c>
      <c r="P4475" t="s">
        <v>514</v>
      </c>
      <c r="U4475">
        <v>0</v>
      </c>
      <c r="Y4475">
        <v>61</v>
      </c>
      <c r="Z4475" s="259" t="s">
        <v>637</v>
      </c>
      <c r="AB4475">
        <v>28028</v>
      </c>
      <c r="AF4475">
        <v>99522</v>
      </c>
      <c r="AG4475">
        <v>0</v>
      </c>
      <c r="AI4475">
        <v>99522</v>
      </c>
      <c r="AJ4475">
        <v>0</v>
      </c>
      <c r="AK4475">
        <v>0</v>
      </c>
      <c r="AL4475">
        <v>0</v>
      </c>
      <c r="AM4475">
        <v>71972</v>
      </c>
      <c r="AN4475">
        <v>27550</v>
      </c>
      <c r="AO4475">
        <v>99522</v>
      </c>
      <c r="AP4475">
        <v>0</v>
      </c>
      <c r="AQ4475">
        <v>0</v>
      </c>
      <c r="AR4475">
        <v>0</v>
      </c>
      <c r="AS4475" t="s">
        <v>239</v>
      </c>
      <c r="AT4475" t="s">
        <v>514</v>
      </c>
    </row>
    <row r="4476" spans="2:46" x14ac:dyDescent="0.35">
      <c r="B4476" t="s">
        <v>563</v>
      </c>
      <c r="C4476">
        <v>45719</v>
      </c>
      <c r="J4476">
        <v>5</v>
      </c>
      <c r="O4476" t="s">
        <v>239</v>
      </c>
      <c r="P4476" t="s">
        <v>514</v>
      </c>
      <c r="U4476">
        <v>0</v>
      </c>
      <c r="Y4476">
        <v>62</v>
      </c>
      <c r="Z4476" s="259" t="s">
        <v>637</v>
      </c>
      <c r="AB4476">
        <v>32933</v>
      </c>
      <c r="AF4476">
        <v>99527</v>
      </c>
      <c r="AG4476">
        <v>0</v>
      </c>
      <c r="AI4476">
        <v>99522</v>
      </c>
      <c r="AJ4476">
        <v>0</v>
      </c>
      <c r="AK4476">
        <v>0</v>
      </c>
      <c r="AL4476">
        <v>0</v>
      </c>
      <c r="AM4476">
        <v>67067</v>
      </c>
      <c r="AN4476">
        <v>32460</v>
      </c>
      <c r="AO4476">
        <v>99527</v>
      </c>
      <c r="AP4476">
        <v>0</v>
      </c>
      <c r="AQ4476">
        <v>5</v>
      </c>
      <c r="AR4476">
        <v>5.0240147906999155E-5</v>
      </c>
      <c r="AS4476" t="s">
        <v>239</v>
      </c>
      <c r="AT4476" t="s">
        <v>514</v>
      </c>
    </row>
    <row r="4477" spans="2:46" x14ac:dyDescent="0.35">
      <c r="B4477" t="s">
        <v>563</v>
      </c>
      <c r="C4477">
        <v>45720</v>
      </c>
      <c r="J4477">
        <v>0</v>
      </c>
      <c r="O4477" t="s">
        <v>239</v>
      </c>
      <c r="P4477" t="s">
        <v>514</v>
      </c>
      <c r="U4477">
        <v>0</v>
      </c>
      <c r="Y4477">
        <v>63</v>
      </c>
      <c r="Z4477" s="259" t="s">
        <v>637</v>
      </c>
      <c r="AB4477">
        <v>32933</v>
      </c>
      <c r="AF4477">
        <v>99557</v>
      </c>
      <c r="AG4477">
        <v>0</v>
      </c>
      <c r="AI4477">
        <v>99527</v>
      </c>
      <c r="AJ4477">
        <v>0</v>
      </c>
      <c r="AK4477">
        <v>0</v>
      </c>
      <c r="AL4477">
        <v>0</v>
      </c>
      <c r="AM4477">
        <v>67067</v>
      </c>
      <c r="AN4477">
        <v>32490</v>
      </c>
      <c r="AO4477">
        <v>99557</v>
      </c>
      <c r="AP4477">
        <v>0</v>
      </c>
      <c r="AQ4477">
        <v>30</v>
      </c>
      <c r="AR4477">
        <v>3.0142574376812448E-4</v>
      </c>
      <c r="AS4477" t="s">
        <v>239</v>
      </c>
      <c r="AT4477" t="s">
        <v>514</v>
      </c>
    </row>
    <row r="4478" spans="2:46" x14ac:dyDescent="0.35">
      <c r="B4478" t="s">
        <v>563</v>
      </c>
      <c r="C4478">
        <v>45721</v>
      </c>
      <c r="J4478">
        <v>0</v>
      </c>
      <c r="O4478" t="s">
        <v>239</v>
      </c>
      <c r="P4478" t="s">
        <v>514</v>
      </c>
      <c r="U4478">
        <v>0</v>
      </c>
      <c r="Y4478">
        <v>64</v>
      </c>
      <c r="Z4478" s="259" t="s">
        <v>637</v>
      </c>
      <c r="AB4478">
        <v>32933</v>
      </c>
      <c r="AF4478">
        <v>99587</v>
      </c>
      <c r="AG4478">
        <v>0</v>
      </c>
      <c r="AI4478">
        <v>99557</v>
      </c>
      <c r="AJ4478">
        <v>0</v>
      </c>
      <c r="AK4478">
        <v>0</v>
      </c>
      <c r="AL4478">
        <v>0</v>
      </c>
      <c r="AM4478">
        <v>67067</v>
      </c>
      <c r="AN4478">
        <v>32520</v>
      </c>
      <c r="AO4478">
        <v>99587</v>
      </c>
      <c r="AP4478">
        <v>0</v>
      </c>
      <c r="AQ4478">
        <v>30</v>
      </c>
      <c r="AR4478">
        <v>3.0133491366757248E-4</v>
      </c>
      <c r="AS4478" t="s">
        <v>239</v>
      </c>
      <c r="AT4478" t="s">
        <v>514</v>
      </c>
    </row>
    <row r="4479" spans="2:46" x14ac:dyDescent="0.35">
      <c r="B4479" t="s">
        <v>563</v>
      </c>
      <c r="C4479">
        <v>45722</v>
      </c>
      <c r="J4479">
        <v>0</v>
      </c>
      <c r="O4479" t="s">
        <v>239</v>
      </c>
      <c r="P4479" t="s">
        <v>514</v>
      </c>
      <c r="U4479">
        <v>0</v>
      </c>
      <c r="Y4479">
        <v>65</v>
      </c>
      <c r="Z4479" s="259" t="s">
        <v>637</v>
      </c>
      <c r="AB4479">
        <v>32933</v>
      </c>
      <c r="AF4479">
        <v>99617</v>
      </c>
      <c r="AG4479">
        <v>0</v>
      </c>
      <c r="AI4479">
        <v>99587</v>
      </c>
      <c r="AJ4479">
        <v>0</v>
      </c>
      <c r="AK4479">
        <v>0</v>
      </c>
      <c r="AL4479">
        <v>0</v>
      </c>
      <c r="AM4479">
        <v>67067</v>
      </c>
      <c r="AN4479">
        <v>32550</v>
      </c>
      <c r="AO4479">
        <v>99617</v>
      </c>
      <c r="AP4479">
        <v>0</v>
      </c>
      <c r="AQ4479">
        <v>30</v>
      </c>
      <c r="AR4479">
        <v>3.0124413829124563E-4</v>
      </c>
      <c r="AS4479" t="s">
        <v>239</v>
      </c>
      <c r="AT4479" t="s">
        <v>514</v>
      </c>
    </row>
    <row r="4480" spans="2:46" x14ac:dyDescent="0.35">
      <c r="B4480" t="s">
        <v>563</v>
      </c>
      <c r="C4480">
        <v>45723</v>
      </c>
      <c r="J4480">
        <v>0</v>
      </c>
      <c r="O4480" t="s">
        <v>239</v>
      </c>
      <c r="P4480" t="s">
        <v>514</v>
      </c>
      <c r="U4480">
        <v>0</v>
      </c>
      <c r="Y4480">
        <v>66</v>
      </c>
      <c r="Z4480" s="259" t="s">
        <v>637</v>
      </c>
      <c r="AB4480">
        <v>32933</v>
      </c>
      <c r="AF4480">
        <v>99647</v>
      </c>
      <c r="AG4480">
        <v>0</v>
      </c>
      <c r="AI4480">
        <v>99617</v>
      </c>
      <c r="AJ4480">
        <v>0</v>
      </c>
      <c r="AK4480">
        <v>0</v>
      </c>
      <c r="AL4480">
        <v>0</v>
      </c>
      <c r="AM4480">
        <v>67067</v>
      </c>
      <c r="AN4480">
        <v>32580</v>
      </c>
      <c r="AO4480">
        <v>99647</v>
      </c>
      <c r="AP4480">
        <v>0</v>
      </c>
      <c r="AQ4480">
        <v>30</v>
      </c>
      <c r="AR4480">
        <v>3.0115341758940595E-4</v>
      </c>
      <c r="AS4480" t="s">
        <v>239</v>
      </c>
      <c r="AT4480" t="s">
        <v>514</v>
      </c>
    </row>
    <row r="4481" spans="2:46" x14ac:dyDescent="0.35">
      <c r="B4481" t="s">
        <v>563</v>
      </c>
      <c r="C4481">
        <v>45724</v>
      </c>
      <c r="J4481">
        <v>0</v>
      </c>
      <c r="O4481" t="s">
        <v>239</v>
      </c>
      <c r="P4481" t="s">
        <v>514</v>
      </c>
      <c r="U4481">
        <v>0</v>
      </c>
      <c r="Y4481">
        <v>67</v>
      </c>
      <c r="Z4481" s="259" t="s">
        <v>637</v>
      </c>
      <c r="AB4481">
        <v>32933</v>
      </c>
      <c r="AF4481">
        <v>99647</v>
      </c>
      <c r="AG4481">
        <v>0</v>
      </c>
      <c r="AI4481">
        <v>99647</v>
      </c>
      <c r="AJ4481">
        <v>0</v>
      </c>
      <c r="AK4481">
        <v>0</v>
      </c>
      <c r="AL4481">
        <v>0</v>
      </c>
      <c r="AM4481">
        <v>67067</v>
      </c>
      <c r="AN4481">
        <v>32580</v>
      </c>
      <c r="AO4481">
        <v>99647</v>
      </c>
      <c r="AP4481">
        <v>0</v>
      </c>
      <c r="AQ4481">
        <v>0</v>
      </c>
      <c r="AR4481">
        <v>0</v>
      </c>
      <c r="AS4481" t="s">
        <v>239</v>
      </c>
      <c r="AT4481" t="s">
        <v>514</v>
      </c>
    </row>
    <row r="4482" spans="2:46" x14ac:dyDescent="0.35">
      <c r="B4482" t="s">
        <v>563</v>
      </c>
      <c r="C4482">
        <v>45725</v>
      </c>
      <c r="J4482">
        <v>0</v>
      </c>
      <c r="O4482" t="s">
        <v>239</v>
      </c>
      <c r="P4482" t="s">
        <v>514</v>
      </c>
      <c r="U4482">
        <v>0</v>
      </c>
      <c r="Y4482">
        <v>68</v>
      </c>
      <c r="Z4482" s="259" t="s">
        <v>637</v>
      </c>
      <c r="AB4482">
        <v>32933</v>
      </c>
      <c r="AF4482">
        <v>99647</v>
      </c>
      <c r="AG4482">
        <v>0</v>
      </c>
      <c r="AI4482">
        <v>99647</v>
      </c>
      <c r="AJ4482">
        <v>0</v>
      </c>
      <c r="AK4482">
        <v>0</v>
      </c>
      <c r="AL4482">
        <v>0</v>
      </c>
      <c r="AM4482">
        <v>67067</v>
      </c>
      <c r="AN4482">
        <v>32580</v>
      </c>
      <c r="AO4482">
        <v>99647</v>
      </c>
      <c r="AP4482">
        <v>0</v>
      </c>
      <c r="AQ4482">
        <v>0</v>
      </c>
      <c r="AR4482">
        <v>0</v>
      </c>
      <c r="AS4482" t="s">
        <v>239</v>
      </c>
      <c r="AT4482" t="s">
        <v>514</v>
      </c>
    </row>
    <row r="4483" spans="2:46" x14ac:dyDescent="0.35">
      <c r="B4483" t="s">
        <v>563</v>
      </c>
      <c r="C4483">
        <v>45726</v>
      </c>
      <c r="J4483">
        <v>0</v>
      </c>
      <c r="O4483" t="s">
        <v>239</v>
      </c>
      <c r="P4483" t="s">
        <v>514</v>
      </c>
      <c r="U4483">
        <v>0</v>
      </c>
      <c r="Y4483">
        <v>69</v>
      </c>
      <c r="Z4483" s="259" t="s">
        <v>637</v>
      </c>
      <c r="AB4483">
        <v>32933</v>
      </c>
      <c r="AF4483">
        <v>99737</v>
      </c>
      <c r="AG4483">
        <v>0</v>
      </c>
      <c r="AI4483">
        <v>99647</v>
      </c>
      <c r="AJ4483">
        <v>0</v>
      </c>
      <c r="AK4483">
        <v>0</v>
      </c>
      <c r="AL4483">
        <v>0</v>
      </c>
      <c r="AM4483">
        <v>67067</v>
      </c>
      <c r="AN4483">
        <v>32670</v>
      </c>
      <c r="AO4483">
        <v>99737</v>
      </c>
      <c r="AP4483">
        <v>0</v>
      </c>
      <c r="AQ4483">
        <v>90</v>
      </c>
      <c r="AR4483">
        <v>9.031882545385006E-4</v>
      </c>
      <c r="AS4483" t="s">
        <v>239</v>
      </c>
      <c r="AT4483" t="s">
        <v>514</v>
      </c>
    </row>
    <row r="4484" spans="2:46" x14ac:dyDescent="0.35">
      <c r="B4484" t="s">
        <v>563</v>
      </c>
      <c r="C4484">
        <v>45727</v>
      </c>
      <c r="J4484">
        <v>0</v>
      </c>
      <c r="O4484" t="s">
        <v>239</v>
      </c>
      <c r="P4484" t="s">
        <v>514</v>
      </c>
      <c r="U4484">
        <v>0</v>
      </c>
      <c r="Y4484">
        <v>70</v>
      </c>
      <c r="Z4484" s="259" t="s">
        <v>637</v>
      </c>
      <c r="AB4484">
        <v>32933</v>
      </c>
      <c r="AF4484">
        <v>99767</v>
      </c>
      <c r="AG4484">
        <v>0</v>
      </c>
      <c r="AI4484">
        <v>99737</v>
      </c>
      <c r="AJ4484">
        <v>0</v>
      </c>
      <c r="AK4484">
        <v>0</v>
      </c>
      <c r="AL4484">
        <v>0</v>
      </c>
      <c r="AM4484">
        <v>67067</v>
      </c>
      <c r="AN4484">
        <v>32700</v>
      </c>
      <c r="AO4484">
        <v>99767</v>
      </c>
      <c r="AP4484">
        <v>0</v>
      </c>
      <c r="AQ4484">
        <v>30</v>
      </c>
      <c r="AR4484">
        <v>3.0079108054192893E-4</v>
      </c>
      <c r="AS4484" t="s">
        <v>239</v>
      </c>
      <c r="AT4484" t="s">
        <v>514</v>
      </c>
    </row>
    <row r="4485" spans="2:46" x14ac:dyDescent="0.35">
      <c r="B4485" t="s">
        <v>563</v>
      </c>
      <c r="C4485">
        <v>45728</v>
      </c>
      <c r="J4485">
        <v>0</v>
      </c>
      <c r="O4485" t="s">
        <v>239</v>
      </c>
      <c r="P4485" t="s">
        <v>514</v>
      </c>
      <c r="U4485">
        <v>0</v>
      </c>
      <c r="Y4485">
        <v>71</v>
      </c>
      <c r="Z4485" s="259" t="s">
        <v>637</v>
      </c>
      <c r="AB4485">
        <v>32933</v>
      </c>
      <c r="AF4485">
        <v>99797</v>
      </c>
      <c r="AG4485">
        <v>0</v>
      </c>
      <c r="AI4485">
        <v>99767</v>
      </c>
      <c r="AJ4485">
        <v>0</v>
      </c>
      <c r="AK4485">
        <v>0</v>
      </c>
      <c r="AL4485">
        <v>0</v>
      </c>
      <c r="AM4485">
        <v>67067</v>
      </c>
      <c r="AN4485">
        <v>32730</v>
      </c>
      <c r="AO4485">
        <v>99797</v>
      </c>
      <c r="AP4485">
        <v>0</v>
      </c>
      <c r="AQ4485">
        <v>30</v>
      </c>
      <c r="AR4485">
        <v>3.007006324735606E-4</v>
      </c>
      <c r="AS4485" t="s">
        <v>239</v>
      </c>
      <c r="AT4485" t="s">
        <v>514</v>
      </c>
    </row>
    <row r="4486" spans="2:46" x14ac:dyDescent="0.35">
      <c r="B4486" t="s">
        <v>563</v>
      </c>
      <c r="C4486">
        <v>45729</v>
      </c>
      <c r="J4486">
        <v>0</v>
      </c>
      <c r="O4486" t="s">
        <v>239</v>
      </c>
      <c r="P4486" t="s">
        <v>514</v>
      </c>
      <c r="U4486">
        <v>0</v>
      </c>
      <c r="Y4486">
        <v>72</v>
      </c>
      <c r="Z4486" s="259" t="s">
        <v>637</v>
      </c>
      <c r="AB4486">
        <v>32933</v>
      </c>
      <c r="AF4486">
        <v>99827</v>
      </c>
      <c r="AG4486">
        <v>0</v>
      </c>
      <c r="AI4486">
        <v>99797</v>
      </c>
      <c r="AJ4486">
        <v>0</v>
      </c>
      <c r="AK4486">
        <v>0</v>
      </c>
      <c r="AL4486">
        <v>0</v>
      </c>
      <c r="AM4486">
        <v>67067</v>
      </c>
      <c r="AN4486">
        <v>32760</v>
      </c>
      <c r="AO4486">
        <v>99827</v>
      </c>
      <c r="AP4486">
        <v>0</v>
      </c>
      <c r="AQ4486">
        <v>30</v>
      </c>
      <c r="AR4486">
        <v>3.006102387848042E-4</v>
      </c>
      <c r="AS4486" t="s">
        <v>239</v>
      </c>
      <c r="AT4486" t="s">
        <v>514</v>
      </c>
    </row>
    <row r="4487" spans="2:46" x14ac:dyDescent="0.35">
      <c r="B4487" t="s">
        <v>563</v>
      </c>
      <c r="C4487">
        <v>45730</v>
      </c>
      <c r="J4487">
        <v>0</v>
      </c>
      <c r="O4487" t="s">
        <v>239</v>
      </c>
      <c r="P4487" t="s">
        <v>514</v>
      </c>
      <c r="U4487">
        <v>0</v>
      </c>
      <c r="Y4487">
        <v>73</v>
      </c>
      <c r="Z4487" s="259" t="s">
        <v>637</v>
      </c>
      <c r="AB4487">
        <v>32933</v>
      </c>
      <c r="AF4487">
        <v>99857</v>
      </c>
      <c r="AG4487">
        <v>0</v>
      </c>
      <c r="AI4487">
        <v>99827</v>
      </c>
      <c r="AJ4487">
        <v>0</v>
      </c>
      <c r="AK4487">
        <v>0</v>
      </c>
      <c r="AL4487">
        <v>0</v>
      </c>
      <c r="AM4487">
        <v>67067</v>
      </c>
      <c r="AN4487">
        <v>32790</v>
      </c>
      <c r="AO4487">
        <v>99857</v>
      </c>
      <c r="AP4487">
        <v>0</v>
      </c>
      <c r="AQ4487">
        <v>30</v>
      </c>
      <c r="AR4487">
        <v>3.0051989942592172E-4</v>
      </c>
      <c r="AS4487" t="s">
        <v>239</v>
      </c>
      <c r="AT4487" t="s">
        <v>514</v>
      </c>
    </row>
    <row r="4488" spans="2:46" x14ac:dyDescent="0.35">
      <c r="B4488" t="s">
        <v>563</v>
      </c>
      <c r="C4488">
        <v>45731</v>
      </c>
      <c r="J4488">
        <v>0</v>
      </c>
      <c r="O4488" t="s">
        <v>239</v>
      </c>
      <c r="P4488" t="s">
        <v>514</v>
      </c>
      <c r="U4488">
        <v>0</v>
      </c>
      <c r="Y4488">
        <v>74</v>
      </c>
      <c r="Z4488" s="259" t="s">
        <v>637</v>
      </c>
      <c r="AB4488">
        <v>32933</v>
      </c>
      <c r="AF4488">
        <v>99857</v>
      </c>
      <c r="AG4488">
        <v>0</v>
      </c>
      <c r="AI4488">
        <v>99857</v>
      </c>
      <c r="AJ4488">
        <v>0</v>
      </c>
      <c r="AK4488">
        <v>0</v>
      </c>
      <c r="AL4488">
        <v>0</v>
      </c>
      <c r="AM4488">
        <v>67067</v>
      </c>
      <c r="AN4488">
        <v>32790</v>
      </c>
      <c r="AO4488">
        <v>99857</v>
      </c>
      <c r="AP4488">
        <v>0</v>
      </c>
      <c r="AQ4488">
        <v>0</v>
      </c>
      <c r="AR4488">
        <v>0</v>
      </c>
      <c r="AS4488" t="s">
        <v>239</v>
      </c>
      <c r="AT4488" t="s">
        <v>514</v>
      </c>
    </row>
    <row r="4489" spans="2:46" x14ac:dyDescent="0.35">
      <c r="B4489" t="s">
        <v>563</v>
      </c>
      <c r="C4489">
        <v>45732</v>
      </c>
      <c r="J4489">
        <v>0</v>
      </c>
      <c r="O4489" t="s">
        <v>239</v>
      </c>
      <c r="P4489" t="s">
        <v>514</v>
      </c>
      <c r="U4489">
        <v>0</v>
      </c>
      <c r="Y4489">
        <v>75</v>
      </c>
      <c r="Z4489" s="259" t="s">
        <v>637</v>
      </c>
      <c r="AB4489">
        <v>32933</v>
      </c>
      <c r="AF4489">
        <v>99857</v>
      </c>
      <c r="AG4489">
        <v>0</v>
      </c>
      <c r="AI4489">
        <v>99857</v>
      </c>
      <c r="AJ4489">
        <v>0</v>
      </c>
      <c r="AK4489">
        <v>0</v>
      </c>
      <c r="AL4489">
        <v>0</v>
      </c>
      <c r="AM4489">
        <v>67067</v>
      </c>
      <c r="AN4489">
        <v>32790</v>
      </c>
      <c r="AO4489">
        <v>99857</v>
      </c>
      <c r="AP4489">
        <v>0</v>
      </c>
      <c r="AQ4489">
        <v>0</v>
      </c>
      <c r="AR4489">
        <v>0</v>
      </c>
      <c r="AS4489" t="s">
        <v>239</v>
      </c>
      <c r="AT4489" t="s">
        <v>514</v>
      </c>
    </row>
    <row r="4490" spans="2:46" x14ac:dyDescent="0.35">
      <c r="B4490" t="s">
        <v>563</v>
      </c>
      <c r="C4490">
        <v>45733</v>
      </c>
      <c r="J4490">
        <v>0</v>
      </c>
      <c r="O4490" t="s">
        <v>239</v>
      </c>
      <c r="P4490" t="s">
        <v>514</v>
      </c>
      <c r="U4490">
        <v>0</v>
      </c>
      <c r="Y4490">
        <v>76</v>
      </c>
      <c r="Z4490" s="259" t="s">
        <v>637</v>
      </c>
      <c r="AB4490">
        <v>32933</v>
      </c>
      <c r="AF4490">
        <v>99947</v>
      </c>
      <c r="AG4490">
        <v>0</v>
      </c>
      <c r="AI4490">
        <v>99857</v>
      </c>
      <c r="AJ4490">
        <v>0</v>
      </c>
      <c r="AK4490">
        <v>0</v>
      </c>
      <c r="AL4490">
        <v>0</v>
      </c>
      <c r="AM4490">
        <v>67067</v>
      </c>
      <c r="AN4490">
        <v>32880</v>
      </c>
      <c r="AO4490">
        <v>99947</v>
      </c>
      <c r="AP4490">
        <v>0</v>
      </c>
      <c r="AQ4490">
        <v>90</v>
      </c>
      <c r="AR4490">
        <v>9.0128884304552237E-4</v>
      </c>
      <c r="AS4490" t="s">
        <v>239</v>
      </c>
      <c r="AT4490" t="s">
        <v>514</v>
      </c>
    </row>
    <row r="4491" spans="2:46" x14ac:dyDescent="0.35">
      <c r="B4491" t="s">
        <v>563</v>
      </c>
      <c r="C4491">
        <v>45734</v>
      </c>
      <c r="J4491">
        <v>0</v>
      </c>
      <c r="O4491" t="s">
        <v>239</v>
      </c>
      <c r="P4491" t="s">
        <v>514</v>
      </c>
      <c r="U4491">
        <v>0</v>
      </c>
      <c r="Y4491">
        <v>77</v>
      </c>
      <c r="Z4491" s="259" t="s">
        <v>637</v>
      </c>
      <c r="AB4491">
        <v>32933</v>
      </c>
      <c r="AF4491">
        <v>99977</v>
      </c>
      <c r="AG4491">
        <v>0</v>
      </c>
      <c r="AI4491">
        <v>99947</v>
      </c>
      <c r="AJ4491">
        <v>0</v>
      </c>
      <c r="AK4491">
        <v>0</v>
      </c>
      <c r="AL4491">
        <v>0</v>
      </c>
      <c r="AM4491">
        <v>67067</v>
      </c>
      <c r="AN4491">
        <v>32910</v>
      </c>
      <c r="AO4491">
        <v>99977</v>
      </c>
      <c r="AP4491">
        <v>0</v>
      </c>
      <c r="AQ4491">
        <v>30</v>
      </c>
      <c r="AR4491">
        <v>3.0015908431457738E-4</v>
      </c>
      <c r="AS4491" t="s">
        <v>239</v>
      </c>
      <c r="AT4491" t="s">
        <v>514</v>
      </c>
    </row>
    <row r="4492" spans="2:46" x14ac:dyDescent="0.35">
      <c r="B4492" t="s">
        <v>563</v>
      </c>
      <c r="C4492">
        <v>45735</v>
      </c>
      <c r="J4492">
        <v>0</v>
      </c>
      <c r="O4492" t="s">
        <v>239</v>
      </c>
      <c r="P4492" t="s">
        <v>514</v>
      </c>
      <c r="U4492">
        <v>0</v>
      </c>
      <c r="Y4492">
        <v>78</v>
      </c>
      <c r="Z4492" s="259" t="s">
        <v>637</v>
      </c>
      <c r="AB4492">
        <v>32933</v>
      </c>
      <c r="AF4492">
        <v>100007</v>
      </c>
      <c r="AG4492">
        <v>0</v>
      </c>
      <c r="AI4492">
        <v>99977</v>
      </c>
      <c r="AJ4492">
        <v>0</v>
      </c>
      <c r="AK4492">
        <v>0</v>
      </c>
      <c r="AL4492">
        <v>0</v>
      </c>
      <c r="AM4492">
        <v>67067</v>
      </c>
      <c r="AN4492">
        <v>32940</v>
      </c>
      <c r="AO4492">
        <v>100007</v>
      </c>
      <c r="AP4492">
        <v>0</v>
      </c>
      <c r="AQ4492">
        <v>30</v>
      </c>
      <c r="AR4492">
        <v>3.0006901587364965E-4</v>
      </c>
      <c r="AS4492" t="s">
        <v>239</v>
      </c>
      <c r="AT4492" t="s">
        <v>514</v>
      </c>
    </row>
    <row r="4493" spans="2:46" x14ac:dyDescent="0.35">
      <c r="B4493" t="s">
        <v>563</v>
      </c>
      <c r="C4493">
        <v>45736</v>
      </c>
      <c r="J4493">
        <v>0</v>
      </c>
      <c r="O4493" t="s">
        <v>239</v>
      </c>
      <c r="P4493" t="s">
        <v>514</v>
      </c>
      <c r="U4493">
        <v>0</v>
      </c>
      <c r="Y4493">
        <v>79</v>
      </c>
      <c r="Z4493" s="259" t="s">
        <v>637</v>
      </c>
      <c r="AB4493">
        <v>32933</v>
      </c>
      <c r="AF4493">
        <v>100037</v>
      </c>
      <c r="AG4493">
        <v>0</v>
      </c>
      <c r="AI4493">
        <v>100007</v>
      </c>
      <c r="AJ4493">
        <v>0</v>
      </c>
      <c r="AK4493">
        <v>0</v>
      </c>
      <c r="AL4493">
        <v>0</v>
      </c>
      <c r="AM4493">
        <v>67067</v>
      </c>
      <c r="AN4493">
        <v>32970</v>
      </c>
      <c r="AO4493">
        <v>100037</v>
      </c>
      <c r="AP4493">
        <v>0</v>
      </c>
      <c r="AQ4493">
        <v>30</v>
      </c>
      <c r="AR4493">
        <v>2.9997900146994105E-4</v>
      </c>
      <c r="AS4493" t="s">
        <v>239</v>
      </c>
      <c r="AT4493" t="s">
        <v>514</v>
      </c>
    </row>
    <row r="4494" spans="2:46" x14ac:dyDescent="0.35">
      <c r="B4494" t="s">
        <v>563</v>
      </c>
      <c r="C4494">
        <v>45737</v>
      </c>
      <c r="J4494">
        <v>0</v>
      </c>
      <c r="O4494" t="s">
        <v>239</v>
      </c>
      <c r="P4494" t="s">
        <v>514</v>
      </c>
      <c r="U4494">
        <v>0</v>
      </c>
      <c r="Y4494">
        <v>80</v>
      </c>
      <c r="Z4494" s="259" t="s">
        <v>637</v>
      </c>
      <c r="AB4494">
        <v>32933</v>
      </c>
      <c r="AF4494">
        <v>100067</v>
      </c>
      <c r="AG4494">
        <v>0</v>
      </c>
      <c r="AI4494">
        <v>100037</v>
      </c>
      <c r="AJ4494">
        <v>0</v>
      </c>
      <c r="AK4494">
        <v>0</v>
      </c>
      <c r="AL4494">
        <v>0</v>
      </c>
      <c r="AM4494">
        <v>67067</v>
      </c>
      <c r="AN4494">
        <v>33000</v>
      </c>
      <c r="AO4494">
        <v>100067</v>
      </c>
      <c r="AP4494">
        <v>0</v>
      </c>
      <c r="AQ4494">
        <v>30</v>
      </c>
      <c r="AR4494">
        <v>2.9988904105482383E-4</v>
      </c>
      <c r="AS4494" t="s">
        <v>239</v>
      </c>
      <c r="AT4494" t="s">
        <v>514</v>
      </c>
    </row>
    <row r="4495" spans="2:46" x14ac:dyDescent="0.35">
      <c r="B4495" t="s">
        <v>563</v>
      </c>
      <c r="C4495">
        <v>45738</v>
      </c>
      <c r="J4495">
        <v>0</v>
      </c>
      <c r="O4495" t="s">
        <v>239</v>
      </c>
      <c r="P4495" t="s">
        <v>514</v>
      </c>
      <c r="U4495">
        <v>0</v>
      </c>
      <c r="Y4495">
        <v>81</v>
      </c>
      <c r="Z4495" s="259" t="s">
        <v>637</v>
      </c>
      <c r="AB4495">
        <v>32933</v>
      </c>
      <c r="AF4495">
        <v>100067</v>
      </c>
      <c r="AG4495">
        <v>0</v>
      </c>
      <c r="AI4495">
        <v>100067</v>
      </c>
      <c r="AJ4495">
        <v>0</v>
      </c>
      <c r="AK4495">
        <v>0</v>
      </c>
      <c r="AL4495">
        <v>0</v>
      </c>
      <c r="AM4495">
        <v>67067</v>
      </c>
      <c r="AN4495">
        <v>33000</v>
      </c>
      <c r="AO4495">
        <v>100067</v>
      </c>
      <c r="AP4495">
        <v>0</v>
      </c>
      <c r="AQ4495">
        <v>0</v>
      </c>
      <c r="AR4495">
        <v>0</v>
      </c>
      <c r="AS4495" t="s">
        <v>239</v>
      </c>
      <c r="AT4495" t="s">
        <v>514</v>
      </c>
    </row>
    <row r="4496" spans="2:46" x14ac:dyDescent="0.35">
      <c r="B4496" t="s">
        <v>563</v>
      </c>
      <c r="C4496">
        <v>45739</v>
      </c>
      <c r="J4496">
        <v>0</v>
      </c>
      <c r="O4496" t="s">
        <v>239</v>
      </c>
      <c r="P4496" t="s">
        <v>514</v>
      </c>
      <c r="U4496">
        <v>0</v>
      </c>
      <c r="Y4496">
        <v>82</v>
      </c>
      <c r="Z4496" s="259" t="s">
        <v>637</v>
      </c>
      <c r="AB4496">
        <v>32933</v>
      </c>
      <c r="AF4496">
        <v>100067</v>
      </c>
      <c r="AG4496">
        <v>0</v>
      </c>
      <c r="AI4496">
        <v>100067</v>
      </c>
      <c r="AJ4496">
        <v>0</v>
      </c>
      <c r="AK4496">
        <v>0</v>
      </c>
      <c r="AL4496">
        <v>0</v>
      </c>
      <c r="AM4496">
        <v>67067</v>
      </c>
      <c r="AN4496">
        <v>33000</v>
      </c>
      <c r="AO4496">
        <v>100067</v>
      </c>
      <c r="AP4496">
        <v>0</v>
      </c>
      <c r="AQ4496">
        <v>0</v>
      </c>
      <c r="AR4496">
        <v>0</v>
      </c>
      <c r="AS4496" t="s">
        <v>239</v>
      </c>
      <c r="AT4496" t="s">
        <v>514</v>
      </c>
    </row>
    <row r="4497" spans="2:46" x14ac:dyDescent="0.35">
      <c r="B4497" t="s">
        <v>563</v>
      </c>
      <c r="C4497">
        <v>45740</v>
      </c>
      <c r="J4497">
        <v>0</v>
      </c>
      <c r="O4497" t="s">
        <v>239</v>
      </c>
      <c r="P4497" t="s">
        <v>514</v>
      </c>
      <c r="U4497">
        <v>0</v>
      </c>
      <c r="Y4497">
        <v>83</v>
      </c>
      <c r="Z4497" s="259" t="s">
        <v>637</v>
      </c>
      <c r="AB4497">
        <v>32933</v>
      </c>
      <c r="AF4497">
        <v>100157</v>
      </c>
      <c r="AG4497">
        <v>0</v>
      </c>
      <c r="AI4497">
        <v>100067</v>
      </c>
      <c r="AJ4497">
        <v>0</v>
      </c>
      <c r="AK4497">
        <v>0</v>
      </c>
      <c r="AL4497">
        <v>0</v>
      </c>
      <c r="AM4497">
        <v>67067</v>
      </c>
      <c r="AN4497">
        <v>33090</v>
      </c>
      <c r="AO4497">
        <v>100157</v>
      </c>
      <c r="AP4497">
        <v>0</v>
      </c>
      <c r="AQ4497">
        <v>90</v>
      </c>
      <c r="AR4497">
        <v>8.9939740373945476E-4</v>
      </c>
      <c r="AS4497" t="s">
        <v>239</v>
      </c>
      <c r="AT4497" t="s">
        <v>514</v>
      </c>
    </row>
    <row r="4498" spans="2:46" x14ac:dyDescent="0.35">
      <c r="B4498" t="s">
        <v>563</v>
      </c>
      <c r="C4498">
        <v>45741</v>
      </c>
      <c r="J4498">
        <v>0</v>
      </c>
      <c r="O4498" t="s">
        <v>239</v>
      </c>
      <c r="P4498" t="s">
        <v>514</v>
      </c>
      <c r="U4498">
        <v>0</v>
      </c>
      <c r="Y4498">
        <v>84</v>
      </c>
      <c r="Z4498" s="259" t="s">
        <v>637</v>
      </c>
      <c r="AB4498">
        <v>32933</v>
      </c>
      <c r="AF4498">
        <v>100187</v>
      </c>
      <c r="AG4498">
        <v>0</v>
      </c>
      <c r="AI4498">
        <v>100157</v>
      </c>
      <c r="AJ4498">
        <v>0</v>
      </c>
      <c r="AK4498">
        <v>0</v>
      </c>
      <c r="AL4498">
        <v>0</v>
      </c>
      <c r="AM4498">
        <v>67067</v>
      </c>
      <c r="AN4498">
        <v>33120</v>
      </c>
      <c r="AO4498">
        <v>100187</v>
      </c>
      <c r="AP4498">
        <v>0</v>
      </c>
      <c r="AQ4498">
        <v>30</v>
      </c>
      <c r="AR4498">
        <v>2.9952973831082197E-4</v>
      </c>
      <c r="AS4498" t="s">
        <v>239</v>
      </c>
      <c r="AT4498" t="s">
        <v>514</v>
      </c>
    </row>
    <row r="4499" spans="2:46" x14ac:dyDescent="0.35">
      <c r="B4499" t="s">
        <v>563</v>
      </c>
      <c r="C4499">
        <v>45742</v>
      </c>
      <c r="J4499">
        <v>0</v>
      </c>
      <c r="O4499" t="s">
        <v>239</v>
      </c>
      <c r="P4499" t="s">
        <v>514</v>
      </c>
      <c r="U4499">
        <v>0</v>
      </c>
      <c r="Y4499">
        <v>85</v>
      </c>
      <c r="Z4499" s="259" t="s">
        <v>637</v>
      </c>
      <c r="AB4499">
        <v>32933</v>
      </c>
      <c r="AF4499">
        <v>100217</v>
      </c>
      <c r="AG4499">
        <v>0</v>
      </c>
      <c r="AI4499">
        <v>100187</v>
      </c>
      <c r="AJ4499">
        <v>0</v>
      </c>
      <c r="AK4499">
        <v>0</v>
      </c>
      <c r="AL4499">
        <v>0</v>
      </c>
      <c r="AM4499">
        <v>67067</v>
      </c>
      <c r="AN4499">
        <v>33150</v>
      </c>
      <c r="AO4499">
        <v>100217</v>
      </c>
      <c r="AP4499">
        <v>0</v>
      </c>
      <c r="AQ4499">
        <v>30</v>
      </c>
      <c r="AR4499">
        <v>2.9944004711190964E-4</v>
      </c>
      <c r="AS4499" t="s">
        <v>239</v>
      </c>
      <c r="AT4499" t="s">
        <v>514</v>
      </c>
    </row>
    <row r="4500" spans="2:46" x14ac:dyDescent="0.35">
      <c r="B4500" t="s">
        <v>563</v>
      </c>
      <c r="C4500">
        <v>45743</v>
      </c>
      <c r="J4500">
        <v>0</v>
      </c>
      <c r="O4500" t="s">
        <v>239</v>
      </c>
      <c r="P4500" t="s">
        <v>514</v>
      </c>
      <c r="U4500">
        <v>0</v>
      </c>
      <c r="Y4500">
        <v>86</v>
      </c>
      <c r="Z4500" s="259" t="s">
        <v>637</v>
      </c>
      <c r="AB4500">
        <v>32933</v>
      </c>
      <c r="AF4500">
        <v>100247</v>
      </c>
      <c r="AG4500">
        <v>0</v>
      </c>
      <c r="AI4500">
        <v>100217</v>
      </c>
      <c r="AJ4500">
        <v>0</v>
      </c>
      <c r="AK4500">
        <v>0</v>
      </c>
      <c r="AL4500">
        <v>0</v>
      </c>
      <c r="AM4500">
        <v>67067</v>
      </c>
      <c r="AN4500">
        <v>33180</v>
      </c>
      <c r="AO4500">
        <v>100247</v>
      </c>
      <c r="AP4500">
        <v>0</v>
      </c>
      <c r="AQ4500">
        <v>30</v>
      </c>
      <c r="AR4500">
        <v>2.9935040961115433E-4</v>
      </c>
      <c r="AS4500" t="s">
        <v>239</v>
      </c>
      <c r="AT4500" t="s">
        <v>514</v>
      </c>
    </row>
    <row r="4501" spans="2:46" x14ac:dyDescent="0.35">
      <c r="B4501" t="s">
        <v>563</v>
      </c>
      <c r="C4501">
        <v>45744</v>
      </c>
      <c r="J4501">
        <v>0</v>
      </c>
      <c r="O4501" t="s">
        <v>239</v>
      </c>
      <c r="P4501" t="s">
        <v>514</v>
      </c>
      <c r="U4501">
        <v>0</v>
      </c>
      <c r="Y4501">
        <v>87</v>
      </c>
      <c r="Z4501" s="259" t="s">
        <v>637</v>
      </c>
      <c r="AB4501">
        <v>32933</v>
      </c>
      <c r="AF4501">
        <v>100277</v>
      </c>
      <c r="AG4501">
        <v>0</v>
      </c>
      <c r="AI4501">
        <v>100247</v>
      </c>
      <c r="AJ4501">
        <v>0</v>
      </c>
      <c r="AK4501">
        <v>0</v>
      </c>
      <c r="AL4501">
        <v>0</v>
      </c>
      <c r="AM4501">
        <v>67067</v>
      </c>
      <c r="AN4501">
        <v>33210</v>
      </c>
      <c r="AO4501">
        <v>100277</v>
      </c>
      <c r="AP4501">
        <v>0</v>
      </c>
      <c r="AQ4501">
        <v>30</v>
      </c>
      <c r="AR4501">
        <v>2.9926082576037238E-4</v>
      </c>
      <c r="AS4501" t="s">
        <v>239</v>
      </c>
      <c r="AT4501" t="s">
        <v>514</v>
      </c>
    </row>
    <row r="4502" spans="2:46" x14ac:dyDescent="0.35">
      <c r="B4502" t="s">
        <v>563</v>
      </c>
      <c r="C4502">
        <v>45745</v>
      </c>
      <c r="J4502">
        <v>0</v>
      </c>
      <c r="O4502" t="s">
        <v>239</v>
      </c>
      <c r="P4502" t="s">
        <v>514</v>
      </c>
      <c r="U4502">
        <v>0</v>
      </c>
      <c r="Y4502">
        <v>88</v>
      </c>
      <c r="Z4502" s="259" t="s">
        <v>637</v>
      </c>
      <c r="AB4502">
        <v>32933</v>
      </c>
      <c r="AF4502">
        <v>100277</v>
      </c>
      <c r="AG4502">
        <v>0</v>
      </c>
      <c r="AI4502">
        <v>100277</v>
      </c>
      <c r="AJ4502">
        <v>0</v>
      </c>
      <c r="AK4502">
        <v>0</v>
      </c>
      <c r="AL4502">
        <v>0</v>
      </c>
      <c r="AM4502">
        <v>67067</v>
      </c>
      <c r="AN4502">
        <v>33210</v>
      </c>
      <c r="AO4502">
        <v>100277</v>
      </c>
      <c r="AP4502">
        <v>0</v>
      </c>
      <c r="AQ4502">
        <v>0</v>
      </c>
      <c r="AR4502">
        <v>0</v>
      </c>
      <c r="AS4502" t="s">
        <v>239</v>
      </c>
      <c r="AT4502" t="s">
        <v>514</v>
      </c>
    </row>
    <row r="4503" spans="2:46" x14ac:dyDescent="0.35">
      <c r="B4503" t="s">
        <v>563</v>
      </c>
      <c r="C4503">
        <v>45746</v>
      </c>
      <c r="J4503">
        <v>0</v>
      </c>
      <c r="O4503" t="s">
        <v>239</v>
      </c>
      <c r="P4503" t="s">
        <v>514</v>
      </c>
      <c r="U4503">
        <v>0</v>
      </c>
      <c r="Y4503">
        <v>89</v>
      </c>
      <c r="Z4503" s="259" t="s">
        <v>637</v>
      </c>
      <c r="AB4503">
        <v>32933</v>
      </c>
      <c r="AF4503">
        <v>100277</v>
      </c>
      <c r="AG4503">
        <v>0</v>
      </c>
      <c r="AI4503">
        <v>100277</v>
      </c>
      <c r="AJ4503">
        <v>0</v>
      </c>
      <c r="AK4503">
        <v>0</v>
      </c>
      <c r="AL4503">
        <v>0</v>
      </c>
      <c r="AM4503">
        <v>67067</v>
      </c>
      <c r="AN4503">
        <v>33210</v>
      </c>
      <c r="AO4503">
        <v>100277</v>
      </c>
      <c r="AP4503">
        <v>0</v>
      </c>
      <c r="AQ4503">
        <v>0</v>
      </c>
      <c r="AR4503">
        <v>0</v>
      </c>
      <c r="AS4503" t="s">
        <v>239</v>
      </c>
      <c r="AT4503" t="s">
        <v>514</v>
      </c>
    </row>
    <row r="4504" spans="2:46" x14ac:dyDescent="0.35">
      <c r="B4504" t="s">
        <v>563</v>
      </c>
      <c r="C4504">
        <v>45747</v>
      </c>
      <c r="J4504">
        <v>0</v>
      </c>
      <c r="O4504" t="s">
        <v>239</v>
      </c>
      <c r="P4504" t="s">
        <v>514</v>
      </c>
      <c r="U4504">
        <v>0</v>
      </c>
      <c r="Y4504">
        <v>90</v>
      </c>
      <c r="Z4504" s="259" t="s">
        <v>637</v>
      </c>
      <c r="AB4504">
        <v>32933</v>
      </c>
      <c r="AF4504">
        <v>100367</v>
      </c>
      <c r="AG4504">
        <v>0</v>
      </c>
      <c r="AI4504">
        <v>100277</v>
      </c>
      <c r="AJ4504">
        <v>0</v>
      </c>
      <c r="AK4504">
        <v>0</v>
      </c>
      <c r="AL4504">
        <v>0</v>
      </c>
      <c r="AM4504">
        <v>67067</v>
      </c>
      <c r="AN4504">
        <v>33300</v>
      </c>
      <c r="AO4504">
        <v>100367</v>
      </c>
      <c r="AP4504">
        <v>0</v>
      </c>
      <c r="AQ4504">
        <v>90</v>
      </c>
      <c r="AR4504">
        <v>8.9751388653436237E-4</v>
      </c>
      <c r="AS4504" t="s">
        <v>239</v>
      </c>
      <c r="AT4504" t="s">
        <v>514</v>
      </c>
    </row>
    <row r="4505" spans="2:46" x14ac:dyDescent="0.35">
      <c r="B4505" t="s">
        <v>563</v>
      </c>
      <c r="C4505">
        <v>45748</v>
      </c>
      <c r="J4505">
        <v>0</v>
      </c>
      <c r="O4505" t="s">
        <v>239</v>
      </c>
      <c r="P4505" t="s">
        <v>514</v>
      </c>
      <c r="U4505">
        <v>0</v>
      </c>
      <c r="Y4505">
        <v>91</v>
      </c>
      <c r="Z4505" s="259" t="s">
        <v>637</v>
      </c>
      <c r="AB4505">
        <v>32933</v>
      </c>
      <c r="AF4505">
        <v>100367</v>
      </c>
      <c r="AG4505">
        <v>0</v>
      </c>
      <c r="AI4505">
        <v>100367</v>
      </c>
      <c r="AJ4505">
        <v>0</v>
      </c>
      <c r="AK4505">
        <v>0</v>
      </c>
      <c r="AL4505">
        <v>0</v>
      </c>
      <c r="AM4505">
        <v>67067</v>
      </c>
      <c r="AN4505">
        <v>33300</v>
      </c>
      <c r="AO4505">
        <v>100367</v>
      </c>
      <c r="AP4505">
        <v>0</v>
      </c>
      <c r="AQ4505">
        <v>0</v>
      </c>
      <c r="AR4505">
        <v>0</v>
      </c>
      <c r="AS4505" t="s">
        <v>239</v>
      </c>
      <c r="AT4505" t="s">
        <v>514</v>
      </c>
    </row>
    <row r="4506" spans="2:46" x14ac:dyDescent="0.35">
      <c r="B4506" t="s">
        <v>563</v>
      </c>
      <c r="C4506">
        <v>45749</v>
      </c>
      <c r="J4506">
        <v>0</v>
      </c>
      <c r="O4506" t="s">
        <v>239</v>
      </c>
      <c r="P4506" t="s">
        <v>514</v>
      </c>
      <c r="U4506">
        <v>0</v>
      </c>
      <c r="Y4506">
        <v>92</v>
      </c>
      <c r="Z4506" s="259" t="s">
        <v>637</v>
      </c>
      <c r="AB4506">
        <v>32933</v>
      </c>
      <c r="AF4506">
        <v>100336.5</v>
      </c>
      <c r="AG4506">
        <v>0</v>
      </c>
      <c r="AI4506">
        <v>100367</v>
      </c>
      <c r="AJ4506">
        <v>0</v>
      </c>
      <c r="AK4506">
        <v>0</v>
      </c>
      <c r="AL4506">
        <v>0</v>
      </c>
      <c r="AM4506">
        <v>67067</v>
      </c>
      <c r="AN4506">
        <v>33269.5</v>
      </c>
      <c r="AO4506">
        <v>100336.5</v>
      </c>
      <c r="AP4506">
        <v>0</v>
      </c>
      <c r="AQ4506">
        <v>-30.5</v>
      </c>
      <c r="AR4506">
        <v>-3.0388474299325452E-4</v>
      </c>
      <c r="AS4506" t="s">
        <v>239</v>
      </c>
      <c r="AT4506" t="s">
        <v>514</v>
      </c>
    </row>
    <row r="4507" spans="2:46" x14ac:dyDescent="0.35">
      <c r="B4507" t="s">
        <v>563</v>
      </c>
      <c r="C4507">
        <v>45750</v>
      </c>
      <c r="J4507">
        <v>0</v>
      </c>
      <c r="O4507" t="s">
        <v>239</v>
      </c>
      <c r="P4507" t="s">
        <v>514</v>
      </c>
      <c r="U4507">
        <v>0</v>
      </c>
      <c r="Y4507">
        <v>93</v>
      </c>
      <c r="Z4507" s="259" t="s">
        <v>637</v>
      </c>
      <c r="AB4507">
        <v>32933</v>
      </c>
      <c r="AF4507">
        <v>100306</v>
      </c>
      <c r="AG4507">
        <v>0</v>
      </c>
      <c r="AI4507">
        <v>100336.5</v>
      </c>
      <c r="AJ4507">
        <v>0</v>
      </c>
      <c r="AK4507">
        <v>0</v>
      </c>
      <c r="AL4507">
        <v>0</v>
      </c>
      <c r="AM4507">
        <v>67067</v>
      </c>
      <c r="AN4507">
        <v>33239</v>
      </c>
      <c r="AO4507">
        <v>100306</v>
      </c>
      <c r="AP4507">
        <v>0</v>
      </c>
      <c r="AQ4507">
        <v>-30.5</v>
      </c>
      <c r="AR4507">
        <v>-3.0397711700125285E-4</v>
      </c>
      <c r="AS4507" t="s">
        <v>239</v>
      </c>
      <c r="AT4507" t="s">
        <v>514</v>
      </c>
    </row>
    <row r="4508" spans="2:46" x14ac:dyDescent="0.35">
      <c r="B4508" t="s">
        <v>563</v>
      </c>
      <c r="C4508">
        <v>45751</v>
      </c>
      <c r="J4508">
        <v>0</v>
      </c>
      <c r="O4508" t="s">
        <v>239</v>
      </c>
      <c r="P4508" t="s">
        <v>514</v>
      </c>
      <c r="U4508">
        <v>0</v>
      </c>
      <c r="Y4508">
        <v>94</v>
      </c>
      <c r="Z4508" s="259" t="s">
        <v>637</v>
      </c>
      <c r="AB4508">
        <v>32933</v>
      </c>
      <c r="AF4508">
        <v>100273</v>
      </c>
      <c r="AG4508">
        <v>0</v>
      </c>
      <c r="AI4508">
        <v>100306</v>
      </c>
      <c r="AJ4508">
        <v>0</v>
      </c>
      <c r="AK4508">
        <v>0</v>
      </c>
      <c r="AL4508">
        <v>0</v>
      </c>
      <c r="AM4508">
        <v>67067</v>
      </c>
      <c r="AN4508">
        <v>33206</v>
      </c>
      <c r="AO4508">
        <v>100273</v>
      </c>
      <c r="AP4508">
        <v>0</v>
      </c>
      <c r="AQ4508">
        <v>-33</v>
      </c>
      <c r="AR4508">
        <v>-3.289932805614626E-4</v>
      </c>
      <c r="AS4508" t="s">
        <v>239</v>
      </c>
      <c r="AT4508" t="s">
        <v>514</v>
      </c>
    </row>
    <row r="4509" spans="2:46" x14ac:dyDescent="0.35">
      <c r="B4509" t="s">
        <v>563</v>
      </c>
      <c r="C4509">
        <v>45752</v>
      </c>
      <c r="J4509">
        <v>0</v>
      </c>
      <c r="O4509" t="s">
        <v>239</v>
      </c>
      <c r="P4509" t="s">
        <v>514</v>
      </c>
      <c r="U4509">
        <v>0</v>
      </c>
      <c r="Y4509">
        <v>95</v>
      </c>
      <c r="Z4509" s="259" t="s">
        <v>637</v>
      </c>
      <c r="AB4509">
        <v>32933</v>
      </c>
      <c r="AF4509">
        <v>100273</v>
      </c>
      <c r="AG4509">
        <v>0</v>
      </c>
      <c r="AI4509">
        <v>100273</v>
      </c>
      <c r="AJ4509">
        <v>0</v>
      </c>
      <c r="AK4509">
        <v>0</v>
      </c>
      <c r="AL4509">
        <v>0</v>
      </c>
      <c r="AM4509">
        <v>67067</v>
      </c>
      <c r="AN4509">
        <v>33206</v>
      </c>
      <c r="AO4509">
        <v>100273</v>
      </c>
      <c r="AP4509">
        <v>0</v>
      </c>
      <c r="AQ4509">
        <v>0</v>
      </c>
      <c r="AR4509">
        <v>0</v>
      </c>
      <c r="AS4509" t="s">
        <v>239</v>
      </c>
      <c r="AT4509" t="s">
        <v>514</v>
      </c>
    </row>
    <row r="4510" spans="2:46" x14ac:dyDescent="0.35">
      <c r="B4510" t="s">
        <v>563</v>
      </c>
      <c r="C4510">
        <v>45753</v>
      </c>
      <c r="J4510">
        <v>0</v>
      </c>
      <c r="O4510" t="s">
        <v>239</v>
      </c>
      <c r="P4510" t="s">
        <v>514</v>
      </c>
      <c r="U4510">
        <v>0</v>
      </c>
      <c r="Y4510">
        <v>96</v>
      </c>
      <c r="Z4510" s="259" t="s">
        <v>637</v>
      </c>
      <c r="AB4510">
        <v>32933</v>
      </c>
      <c r="AF4510">
        <v>100273</v>
      </c>
      <c r="AG4510">
        <v>0</v>
      </c>
      <c r="AI4510">
        <v>100273</v>
      </c>
      <c r="AJ4510">
        <v>0</v>
      </c>
      <c r="AK4510">
        <v>0</v>
      </c>
      <c r="AL4510">
        <v>0</v>
      </c>
      <c r="AM4510">
        <v>67067</v>
      </c>
      <c r="AN4510">
        <v>33206</v>
      </c>
      <c r="AO4510">
        <v>100273</v>
      </c>
      <c r="AP4510">
        <v>0</v>
      </c>
      <c r="AQ4510">
        <v>0</v>
      </c>
      <c r="AR4510">
        <v>0</v>
      </c>
      <c r="AS4510" t="s">
        <v>239</v>
      </c>
      <c r="AT4510" t="s">
        <v>514</v>
      </c>
    </row>
    <row r="4511" spans="2:46" x14ac:dyDescent="0.35">
      <c r="B4511" t="s">
        <v>563</v>
      </c>
      <c r="C4511">
        <v>45754</v>
      </c>
      <c r="J4511">
        <v>0</v>
      </c>
      <c r="O4511" t="s">
        <v>239</v>
      </c>
      <c r="P4511" t="s">
        <v>514</v>
      </c>
      <c r="U4511">
        <v>0</v>
      </c>
      <c r="Y4511">
        <v>97</v>
      </c>
      <c r="Z4511" s="259" t="s">
        <v>637</v>
      </c>
      <c r="AB4511">
        <v>32933</v>
      </c>
      <c r="AF4511">
        <v>100181.5</v>
      </c>
      <c r="AG4511">
        <v>0</v>
      </c>
      <c r="AI4511">
        <v>100273</v>
      </c>
      <c r="AJ4511">
        <v>0</v>
      </c>
      <c r="AK4511">
        <v>0</v>
      </c>
      <c r="AL4511">
        <v>0</v>
      </c>
      <c r="AM4511">
        <v>67067</v>
      </c>
      <c r="AN4511">
        <v>33114.5</v>
      </c>
      <c r="AO4511">
        <v>100181.5</v>
      </c>
      <c r="AP4511">
        <v>0</v>
      </c>
      <c r="AQ4511">
        <v>-91.5</v>
      </c>
      <c r="AR4511">
        <v>-9.1250885083726807E-4</v>
      </c>
      <c r="AS4511" t="s">
        <v>239</v>
      </c>
      <c r="AT4511" t="s">
        <v>514</v>
      </c>
    </row>
    <row r="4512" spans="2:46" x14ac:dyDescent="0.35">
      <c r="B4512" t="s">
        <v>563</v>
      </c>
      <c r="C4512">
        <v>45755</v>
      </c>
      <c r="J4512">
        <v>0</v>
      </c>
      <c r="O4512" t="s">
        <v>239</v>
      </c>
      <c r="P4512" t="s">
        <v>514</v>
      </c>
      <c r="U4512">
        <v>0</v>
      </c>
      <c r="Y4512">
        <v>98</v>
      </c>
      <c r="Z4512" s="259" t="s">
        <v>637</v>
      </c>
      <c r="AB4512">
        <v>32933</v>
      </c>
      <c r="AF4512">
        <v>100149.5</v>
      </c>
      <c r="AG4512">
        <v>0</v>
      </c>
      <c r="AI4512">
        <v>100181.5</v>
      </c>
      <c r="AJ4512">
        <v>0</v>
      </c>
      <c r="AK4512">
        <v>0</v>
      </c>
      <c r="AL4512">
        <v>0</v>
      </c>
      <c r="AM4512">
        <v>67067</v>
      </c>
      <c r="AN4512">
        <v>33082.5</v>
      </c>
      <c r="AO4512">
        <v>100149.5</v>
      </c>
      <c r="AP4512">
        <v>0</v>
      </c>
      <c r="AQ4512">
        <v>-32</v>
      </c>
      <c r="AR4512">
        <v>-3.1942025224218629E-4</v>
      </c>
      <c r="AS4512" t="s">
        <v>239</v>
      </c>
      <c r="AT4512" t="s">
        <v>514</v>
      </c>
    </row>
    <row r="4513" spans="2:46" x14ac:dyDescent="0.35">
      <c r="B4513" t="s">
        <v>563</v>
      </c>
      <c r="C4513">
        <v>45756</v>
      </c>
      <c r="J4513">
        <v>0</v>
      </c>
      <c r="O4513" t="s">
        <v>239</v>
      </c>
      <c r="P4513" t="s">
        <v>514</v>
      </c>
      <c r="U4513">
        <v>0</v>
      </c>
      <c r="Y4513">
        <v>99</v>
      </c>
      <c r="Z4513" s="259" t="s">
        <v>637</v>
      </c>
      <c r="AB4513">
        <v>32933</v>
      </c>
      <c r="AF4513">
        <v>100118.5</v>
      </c>
      <c r="AG4513">
        <v>0</v>
      </c>
      <c r="AI4513">
        <v>100149.5</v>
      </c>
      <c r="AJ4513">
        <v>0</v>
      </c>
      <c r="AK4513">
        <v>0</v>
      </c>
      <c r="AL4513">
        <v>0</v>
      </c>
      <c r="AM4513">
        <v>67067</v>
      </c>
      <c r="AN4513">
        <v>33051.5</v>
      </c>
      <c r="AO4513">
        <v>100118.5</v>
      </c>
      <c r="AP4513">
        <v>0</v>
      </c>
      <c r="AQ4513">
        <v>-31</v>
      </c>
      <c r="AR4513">
        <v>-3.0953724182347653E-4</v>
      </c>
      <c r="AS4513" t="s">
        <v>239</v>
      </c>
      <c r="AT4513" t="s">
        <v>514</v>
      </c>
    </row>
    <row r="4514" spans="2:46" x14ac:dyDescent="0.35">
      <c r="B4514" t="s">
        <v>563</v>
      </c>
      <c r="C4514">
        <v>45757</v>
      </c>
      <c r="J4514">
        <v>0</v>
      </c>
      <c r="O4514" t="s">
        <v>239</v>
      </c>
      <c r="P4514" t="s">
        <v>514</v>
      </c>
      <c r="U4514">
        <v>0</v>
      </c>
      <c r="Y4514">
        <v>100</v>
      </c>
      <c r="Z4514" s="259" t="s">
        <v>637</v>
      </c>
      <c r="AB4514">
        <v>32933</v>
      </c>
      <c r="AF4514">
        <v>100088</v>
      </c>
      <c r="AG4514">
        <v>0</v>
      </c>
      <c r="AI4514">
        <v>100118.5</v>
      </c>
      <c r="AJ4514">
        <v>0</v>
      </c>
      <c r="AK4514">
        <v>0</v>
      </c>
      <c r="AL4514">
        <v>0</v>
      </c>
      <c r="AM4514">
        <v>67067</v>
      </c>
      <c r="AN4514">
        <v>33021</v>
      </c>
      <c r="AO4514">
        <v>100088</v>
      </c>
      <c r="AP4514">
        <v>0</v>
      </c>
      <c r="AQ4514">
        <v>-30.5</v>
      </c>
      <c r="AR4514">
        <v>-3.0463900278165923E-4</v>
      </c>
      <c r="AS4514" t="s">
        <v>239</v>
      </c>
      <c r="AT4514" t="s">
        <v>514</v>
      </c>
    </row>
    <row r="4515" spans="2:46" x14ac:dyDescent="0.35">
      <c r="B4515" t="s">
        <v>563</v>
      </c>
      <c r="C4515">
        <v>45758</v>
      </c>
      <c r="J4515">
        <v>0</v>
      </c>
      <c r="O4515" t="s">
        <v>239</v>
      </c>
      <c r="P4515" t="s">
        <v>514</v>
      </c>
      <c r="U4515">
        <v>0</v>
      </c>
      <c r="Y4515">
        <v>101</v>
      </c>
      <c r="Z4515" s="259" t="s">
        <v>637</v>
      </c>
      <c r="AB4515">
        <v>32933</v>
      </c>
      <c r="AF4515">
        <v>100057.5</v>
      </c>
      <c r="AG4515">
        <v>0</v>
      </c>
      <c r="AI4515">
        <v>100088</v>
      </c>
      <c r="AJ4515">
        <v>0</v>
      </c>
      <c r="AK4515">
        <v>0</v>
      </c>
      <c r="AL4515">
        <v>0</v>
      </c>
      <c r="AM4515">
        <v>67067</v>
      </c>
      <c r="AN4515">
        <v>32990.5</v>
      </c>
      <c r="AO4515">
        <v>100057.5</v>
      </c>
      <c r="AP4515">
        <v>0</v>
      </c>
      <c r="AQ4515">
        <v>-30.5</v>
      </c>
      <c r="AR4515">
        <v>-3.0473183598433984E-4</v>
      </c>
      <c r="AS4515" t="s">
        <v>239</v>
      </c>
      <c r="AT4515" t="s">
        <v>514</v>
      </c>
    </row>
    <row r="4516" spans="2:46" x14ac:dyDescent="0.35">
      <c r="B4516" t="s">
        <v>563</v>
      </c>
      <c r="C4516">
        <v>45759</v>
      </c>
      <c r="J4516">
        <v>0</v>
      </c>
      <c r="O4516" t="s">
        <v>239</v>
      </c>
      <c r="P4516" t="s">
        <v>514</v>
      </c>
      <c r="U4516">
        <v>0</v>
      </c>
      <c r="Y4516">
        <v>102</v>
      </c>
      <c r="Z4516" s="259" t="s">
        <v>637</v>
      </c>
      <c r="AB4516">
        <v>32933</v>
      </c>
      <c r="AF4516">
        <v>100057.5</v>
      </c>
      <c r="AG4516">
        <v>0</v>
      </c>
      <c r="AI4516">
        <v>100057.5</v>
      </c>
      <c r="AJ4516">
        <v>0</v>
      </c>
      <c r="AK4516">
        <v>0</v>
      </c>
      <c r="AL4516">
        <v>0</v>
      </c>
      <c r="AM4516">
        <v>67067</v>
      </c>
      <c r="AN4516">
        <v>32990.5</v>
      </c>
      <c r="AO4516">
        <v>100057.5</v>
      </c>
      <c r="AP4516">
        <v>0</v>
      </c>
      <c r="AQ4516">
        <v>0</v>
      </c>
      <c r="AR4516">
        <v>0</v>
      </c>
      <c r="AS4516" t="s">
        <v>239</v>
      </c>
      <c r="AT4516" t="s">
        <v>514</v>
      </c>
    </row>
    <row r="4517" spans="2:46" x14ac:dyDescent="0.35">
      <c r="B4517" t="s">
        <v>563</v>
      </c>
      <c r="C4517">
        <v>45760</v>
      </c>
      <c r="J4517">
        <v>0</v>
      </c>
      <c r="O4517" t="s">
        <v>239</v>
      </c>
      <c r="P4517" t="s">
        <v>514</v>
      </c>
      <c r="U4517">
        <v>0</v>
      </c>
      <c r="Y4517">
        <v>103</v>
      </c>
      <c r="Z4517" s="259" t="s">
        <v>637</v>
      </c>
      <c r="AB4517">
        <v>32933</v>
      </c>
      <c r="AF4517">
        <v>100057.5</v>
      </c>
      <c r="AG4517">
        <v>0</v>
      </c>
      <c r="AI4517">
        <v>100057.5</v>
      </c>
      <c r="AJ4517">
        <v>0</v>
      </c>
      <c r="AK4517">
        <v>0</v>
      </c>
      <c r="AL4517">
        <v>0</v>
      </c>
      <c r="AM4517">
        <v>67067</v>
      </c>
      <c r="AN4517">
        <v>32990.5</v>
      </c>
      <c r="AO4517">
        <v>100057.5</v>
      </c>
      <c r="AP4517">
        <v>0</v>
      </c>
      <c r="AQ4517">
        <v>0</v>
      </c>
      <c r="AR4517">
        <v>0</v>
      </c>
      <c r="AS4517" t="s">
        <v>239</v>
      </c>
      <c r="AT4517" t="s">
        <v>514</v>
      </c>
    </row>
    <row r="4518" spans="2:46" x14ac:dyDescent="0.35">
      <c r="B4518" t="s">
        <v>563</v>
      </c>
      <c r="C4518">
        <v>45761</v>
      </c>
      <c r="J4518">
        <v>0</v>
      </c>
      <c r="O4518" t="s">
        <v>239</v>
      </c>
      <c r="P4518" t="s">
        <v>514</v>
      </c>
      <c r="U4518">
        <v>0</v>
      </c>
      <c r="Y4518">
        <v>104</v>
      </c>
      <c r="Z4518" s="259" t="s">
        <v>637</v>
      </c>
      <c r="AB4518">
        <v>32933</v>
      </c>
      <c r="AF4518">
        <v>99963.5</v>
      </c>
      <c r="AG4518">
        <v>0</v>
      </c>
      <c r="AI4518">
        <v>100057.5</v>
      </c>
      <c r="AJ4518">
        <v>0</v>
      </c>
      <c r="AK4518">
        <v>0</v>
      </c>
      <c r="AL4518">
        <v>0</v>
      </c>
      <c r="AM4518">
        <v>67067</v>
      </c>
      <c r="AN4518">
        <v>32896.5</v>
      </c>
      <c r="AO4518">
        <v>99963.5</v>
      </c>
      <c r="AP4518">
        <v>0</v>
      </c>
      <c r="AQ4518">
        <v>-94</v>
      </c>
      <c r="AR4518">
        <v>-9.3945981060894468E-4</v>
      </c>
      <c r="AS4518" t="s">
        <v>239</v>
      </c>
      <c r="AT4518" t="s">
        <v>514</v>
      </c>
    </row>
    <row r="4519" spans="2:46" x14ac:dyDescent="0.35">
      <c r="B4519" t="s">
        <v>563</v>
      </c>
      <c r="C4519">
        <v>45762</v>
      </c>
      <c r="J4519">
        <v>0</v>
      </c>
      <c r="O4519" t="s">
        <v>239</v>
      </c>
      <c r="P4519" t="s">
        <v>514</v>
      </c>
      <c r="U4519">
        <v>0</v>
      </c>
      <c r="Y4519">
        <v>105</v>
      </c>
      <c r="Z4519" s="259" t="s">
        <v>637</v>
      </c>
      <c r="AB4519">
        <v>32933</v>
      </c>
      <c r="AF4519">
        <v>99933</v>
      </c>
      <c r="AG4519">
        <v>0</v>
      </c>
      <c r="AI4519">
        <v>99963.5</v>
      </c>
      <c r="AJ4519">
        <v>0</v>
      </c>
      <c r="AK4519">
        <v>0</v>
      </c>
      <c r="AL4519">
        <v>0</v>
      </c>
      <c r="AM4519">
        <v>67067</v>
      </c>
      <c r="AN4519">
        <v>32866</v>
      </c>
      <c r="AO4519">
        <v>99933</v>
      </c>
      <c r="AP4519">
        <v>0</v>
      </c>
      <c r="AQ4519">
        <v>-30.5</v>
      </c>
      <c r="AR4519">
        <v>-3.0511136564848051E-4</v>
      </c>
      <c r="AS4519" t="s">
        <v>239</v>
      </c>
      <c r="AT4519" t="s">
        <v>514</v>
      </c>
    </row>
    <row r="4520" spans="2:46" x14ac:dyDescent="0.35">
      <c r="B4520" t="s">
        <v>563</v>
      </c>
      <c r="C4520">
        <v>45763</v>
      </c>
      <c r="J4520">
        <v>0</v>
      </c>
      <c r="O4520" t="s">
        <v>239</v>
      </c>
      <c r="P4520" t="s">
        <v>514</v>
      </c>
      <c r="U4520">
        <v>0</v>
      </c>
      <c r="Y4520">
        <v>106</v>
      </c>
      <c r="Z4520" s="259" t="s">
        <v>637</v>
      </c>
      <c r="AB4520">
        <v>32933</v>
      </c>
      <c r="AF4520">
        <v>99901</v>
      </c>
      <c r="AG4520">
        <v>0</v>
      </c>
      <c r="AI4520">
        <v>99933</v>
      </c>
      <c r="AJ4520">
        <v>0</v>
      </c>
      <c r="AK4520">
        <v>0</v>
      </c>
      <c r="AL4520">
        <v>0</v>
      </c>
      <c r="AM4520">
        <v>67067</v>
      </c>
      <c r="AN4520">
        <v>32834</v>
      </c>
      <c r="AO4520">
        <v>99901</v>
      </c>
      <c r="AP4520">
        <v>0</v>
      </c>
      <c r="AQ4520">
        <v>-32</v>
      </c>
      <c r="AR4520">
        <v>-3.2021454374431269E-4</v>
      </c>
      <c r="AS4520" t="s">
        <v>239</v>
      </c>
      <c r="AT4520" t="s">
        <v>514</v>
      </c>
    </row>
    <row r="4521" spans="2:46" x14ac:dyDescent="0.35">
      <c r="B4521" t="s">
        <v>563</v>
      </c>
      <c r="C4521">
        <v>45764</v>
      </c>
      <c r="J4521">
        <v>0</v>
      </c>
      <c r="O4521" t="s">
        <v>239</v>
      </c>
      <c r="P4521" t="s">
        <v>514</v>
      </c>
      <c r="U4521">
        <v>0</v>
      </c>
      <c r="Y4521">
        <v>107</v>
      </c>
      <c r="Z4521" s="259" t="s">
        <v>637</v>
      </c>
      <c r="AB4521">
        <v>32933</v>
      </c>
      <c r="AF4521">
        <v>99870.5</v>
      </c>
      <c r="AG4521">
        <v>0</v>
      </c>
      <c r="AI4521">
        <v>99901</v>
      </c>
      <c r="AJ4521">
        <v>0</v>
      </c>
      <c r="AK4521">
        <v>0</v>
      </c>
      <c r="AL4521">
        <v>0</v>
      </c>
      <c r="AM4521">
        <v>67067</v>
      </c>
      <c r="AN4521">
        <v>32803.5</v>
      </c>
      <c r="AO4521">
        <v>99870.5</v>
      </c>
      <c r="AP4521">
        <v>0</v>
      </c>
      <c r="AQ4521">
        <v>-30.5</v>
      </c>
      <c r="AR4521">
        <v>-3.0530224922675764E-4</v>
      </c>
      <c r="AS4521" t="s">
        <v>239</v>
      </c>
      <c r="AT4521" t="s">
        <v>514</v>
      </c>
    </row>
    <row r="4522" spans="2:46" x14ac:dyDescent="0.35">
      <c r="B4522" t="s">
        <v>563</v>
      </c>
      <c r="C4522">
        <v>45765</v>
      </c>
      <c r="J4522">
        <v>0</v>
      </c>
      <c r="O4522" t="s">
        <v>239</v>
      </c>
      <c r="P4522" t="s">
        <v>514</v>
      </c>
      <c r="U4522">
        <v>0</v>
      </c>
      <c r="Y4522">
        <v>108</v>
      </c>
      <c r="Z4522" s="259" t="s">
        <v>637</v>
      </c>
      <c r="AB4522">
        <v>32933</v>
      </c>
      <c r="AF4522">
        <v>99839</v>
      </c>
      <c r="AG4522">
        <v>0</v>
      </c>
      <c r="AI4522">
        <v>99870.5</v>
      </c>
      <c r="AJ4522">
        <v>0</v>
      </c>
      <c r="AK4522">
        <v>0</v>
      </c>
      <c r="AL4522">
        <v>0</v>
      </c>
      <c r="AM4522">
        <v>67067</v>
      </c>
      <c r="AN4522">
        <v>32772</v>
      </c>
      <c r="AO4522">
        <v>99839</v>
      </c>
      <c r="AP4522">
        <v>0</v>
      </c>
      <c r="AQ4522">
        <v>-31.5</v>
      </c>
      <c r="AR4522">
        <v>-3.1540845394784078E-4</v>
      </c>
      <c r="AS4522" t="s">
        <v>239</v>
      </c>
      <c r="AT4522" t="s">
        <v>514</v>
      </c>
    </row>
    <row r="4523" spans="2:46" x14ac:dyDescent="0.35">
      <c r="B4523" t="s">
        <v>563</v>
      </c>
      <c r="C4523">
        <v>45766</v>
      </c>
      <c r="J4523">
        <v>0</v>
      </c>
      <c r="O4523" t="s">
        <v>239</v>
      </c>
      <c r="P4523" t="s">
        <v>514</v>
      </c>
      <c r="U4523">
        <v>0</v>
      </c>
      <c r="Y4523">
        <v>109</v>
      </c>
      <c r="Z4523" s="259" t="s">
        <v>637</v>
      </c>
      <c r="AB4523">
        <v>32933</v>
      </c>
      <c r="AF4523">
        <v>99839</v>
      </c>
      <c r="AG4523">
        <v>0</v>
      </c>
      <c r="AI4523">
        <v>99839</v>
      </c>
      <c r="AJ4523">
        <v>0</v>
      </c>
      <c r="AK4523">
        <v>0</v>
      </c>
      <c r="AL4523">
        <v>0</v>
      </c>
      <c r="AM4523">
        <v>67067</v>
      </c>
      <c r="AN4523">
        <v>32772</v>
      </c>
      <c r="AO4523">
        <v>99839</v>
      </c>
      <c r="AP4523">
        <v>0</v>
      </c>
      <c r="AQ4523">
        <v>0</v>
      </c>
      <c r="AR4523">
        <v>0</v>
      </c>
      <c r="AS4523" t="s">
        <v>239</v>
      </c>
      <c r="AT4523" t="s">
        <v>514</v>
      </c>
    </row>
    <row r="4524" spans="2:46" x14ac:dyDescent="0.35">
      <c r="B4524" t="s">
        <v>563</v>
      </c>
      <c r="C4524">
        <v>45767</v>
      </c>
      <c r="J4524">
        <v>0</v>
      </c>
      <c r="O4524" t="s">
        <v>239</v>
      </c>
      <c r="P4524" t="s">
        <v>514</v>
      </c>
      <c r="U4524">
        <v>0</v>
      </c>
      <c r="Y4524">
        <v>110</v>
      </c>
      <c r="Z4524" s="259" t="s">
        <v>637</v>
      </c>
      <c r="AB4524">
        <v>32933</v>
      </c>
      <c r="AF4524">
        <v>99839</v>
      </c>
      <c r="AG4524">
        <v>0</v>
      </c>
      <c r="AI4524">
        <v>99839</v>
      </c>
      <c r="AJ4524">
        <v>0</v>
      </c>
      <c r="AK4524">
        <v>0</v>
      </c>
      <c r="AL4524">
        <v>0</v>
      </c>
      <c r="AM4524">
        <v>67067</v>
      </c>
      <c r="AN4524">
        <v>32772</v>
      </c>
      <c r="AO4524">
        <v>99839</v>
      </c>
      <c r="AP4524">
        <v>0</v>
      </c>
      <c r="AQ4524">
        <v>0</v>
      </c>
      <c r="AR4524">
        <v>0</v>
      </c>
      <c r="AS4524" t="s">
        <v>239</v>
      </c>
      <c r="AT4524" t="s">
        <v>514</v>
      </c>
    </row>
    <row r="4525" spans="2:46" x14ac:dyDescent="0.35">
      <c r="B4525" t="s">
        <v>563</v>
      </c>
      <c r="C4525">
        <v>45768</v>
      </c>
      <c r="J4525">
        <v>0</v>
      </c>
      <c r="O4525" t="s">
        <v>239</v>
      </c>
      <c r="P4525" t="s">
        <v>514</v>
      </c>
      <c r="U4525">
        <v>0</v>
      </c>
      <c r="Y4525">
        <v>111</v>
      </c>
      <c r="Z4525" s="259" t="s">
        <v>637</v>
      </c>
      <c r="AB4525">
        <v>32933</v>
      </c>
      <c r="AF4525">
        <v>99746</v>
      </c>
      <c r="AG4525">
        <v>0</v>
      </c>
      <c r="AI4525">
        <v>99839</v>
      </c>
      <c r="AJ4525">
        <v>0</v>
      </c>
      <c r="AK4525">
        <v>0</v>
      </c>
      <c r="AL4525">
        <v>0</v>
      </c>
      <c r="AM4525">
        <v>67067</v>
      </c>
      <c r="AN4525">
        <v>32679</v>
      </c>
      <c r="AO4525">
        <v>99746</v>
      </c>
      <c r="AP4525">
        <v>0</v>
      </c>
      <c r="AQ4525">
        <v>-93</v>
      </c>
      <c r="AR4525">
        <v>-9.3149971454042912E-4</v>
      </c>
      <c r="AS4525" t="s">
        <v>239</v>
      </c>
      <c r="AT4525" t="s">
        <v>514</v>
      </c>
    </row>
    <row r="4526" spans="2:46" x14ac:dyDescent="0.35">
      <c r="B4526" t="s">
        <v>563</v>
      </c>
      <c r="C4526">
        <v>45769</v>
      </c>
      <c r="J4526">
        <v>0</v>
      </c>
      <c r="O4526" t="s">
        <v>239</v>
      </c>
      <c r="P4526" t="s">
        <v>514</v>
      </c>
      <c r="U4526">
        <v>0</v>
      </c>
      <c r="Y4526">
        <v>112</v>
      </c>
      <c r="Z4526" s="259" t="s">
        <v>637</v>
      </c>
      <c r="AB4526">
        <v>32933</v>
      </c>
      <c r="AF4526">
        <v>99715.5</v>
      </c>
      <c r="AG4526">
        <v>0</v>
      </c>
      <c r="AI4526">
        <v>99746</v>
      </c>
      <c r="AJ4526">
        <v>0</v>
      </c>
      <c r="AK4526">
        <v>0</v>
      </c>
      <c r="AL4526">
        <v>0</v>
      </c>
      <c r="AM4526">
        <v>67067</v>
      </c>
      <c r="AN4526">
        <v>32648.5</v>
      </c>
      <c r="AO4526">
        <v>99715.5</v>
      </c>
      <c r="AP4526">
        <v>0</v>
      </c>
      <c r="AQ4526">
        <v>-30.5</v>
      </c>
      <c r="AR4526">
        <v>-3.0577667274878095E-4</v>
      </c>
      <c r="AS4526" t="s">
        <v>239</v>
      </c>
      <c r="AT4526" t="s">
        <v>514</v>
      </c>
    </row>
    <row r="4527" spans="2:46" x14ac:dyDescent="0.35">
      <c r="B4527" t="s">
        <v>563</v>
      </c>
      <c r="C4527">
        <v>45770</v>
      </c>
      <c r="J4527">
        <v>0</v>
      </c>
      <c r="O4527" t="s">
        <v>239</v>
      </c>
      <c r="P4527" t="s">
        <v>514</v>
      </c>
      <c r="U4527">
        <v>0</v>
      </c>
      <c r="Y4527">
        <v>113</v>
      </c>
      <c r="Z4527" s="259" t="s">
        <v>637</v>
      </c>
      <c r="AB4527">
        <v>32933</v>
      </c>
      <c r="AF4527">
        <v>99684.5</v>
      </c>
      <c r="AG4527">
        <v>0</v>
      </c>
      <c r="AI4527">
        <v>99715.5</v>
      </c>
      <c r="AJ4527">
        <v>0</v>
      </c>
      <c r="AK4527">
        <v>0</v>
      </c>
      <c r="AL4527">
        <v>0</v>
      </c>
      <c r="AM4527">
        <v>67067</v>
      </c>
      <c r="AN4527">
        <v>32617.5</v>
      </c>
      <c r="AO4527">
        <v>99684.5</v>
      </c>
      <c r="AP4527">
        <v>0</v>
      </c>
      <c r="AQ4527">
        <v>-31</v>
      </c>
      <c r="AR4527">
        <v>-3.1088446630667121E-4</v>
      </c>
      <c r="AS4527" t="s">
        <v>239</v>
      </c>
      <c r="AT4527" t="s">
        <v>514</v>
      </c>
    </row>
    <row r="4528" spans="2:46" x14ac:dyDescent="0.35">
      <c r="B4528" t="s">
        <v>563</v>
      </c>
      <c r="C4528">
        <v>45771</v>
      </c>
      <c r="J4528">
        <v>0</v>
      </c>
      <c r="O4528" t="s">
        <v>239</v>
      </c>
      <c r="P4528" t="s">
        <v>514</v>
      </c>
      <c r="U4528">
        <v>0</v>
      </c>
      <c r="Y4528">
        <v>114</v>
      </c>
      <c r="Z4528" s="259" t="s">
        <v>637</v>
      </c>
      <c r="AB4528">
        <v>32933</v>
      </c>
      <c r="AF4528">
        <v>99652.5</v>
      </c>
      <c r="AG4528">
        <v>0</v>
      </c>
      <c r="AI4528">
        <v>99684.5</v>
      </c>
      <c r="AJ4528">
        <v>0</v>
      </c>
      <c r="AK4528">
        <v>0</v>
      </c>
      <c r="AL4528">
        <v>0</v>
      </c>
      <c r="AM4528">
        <v>67067</v>
      </c>
      <c r="AN4528">
        <v>32585.5</v>
      </c>
      <c r="AO4528">
        <v>99652.5</v>
      </c>
      <c r="AP4528">
        <v>0</v>
      </c>
      <c r="AQ4528">
        <v>-32</v>
      </c>
      <c r="AR4528">
        <v>-3.2101279536933536E-4</v>
      </c>
      <c r="AS4528" t="s">
        <v>239</v>
      </c>
      <c r="AT4528" t="s">
        <v>514</v>
      </c>
    </row>
    <row r="4529" spans="2:46" x14ac:dyDescent="0.35">
      <c r="B4529" t="s">
        <v>563</v>
      </c>
      <c r="C4529">
        <v>45772</v>
      </c>
      <c r="J4529">
        <v>0</v>
      </c>
      <c r="O4529" t="s">
        <v>239</v>
      </c>
      <c r="P4529" t="s">
        <v>514</v>
      </c>
      <c r="U4529">
        <v>0</v>
      </c>
      <c r="Y4529">
        <v>115</v>
      </c>
      <c r="Z4529" s="259" t="s">
        <v>637</v>
      </c>
      <c r="AB4529">
        <v>32933</v>
      </c>
      <c r="AF4529">
        <v>99622</v>
      </c>
      <c r="AG4529">
        <v>0</v>
      </c>
      <c r="AI4529">
        <v>99652.5</v>
      </c>
      <c r="AJ4529">
        <v>0</v>
      </c>
      <c r="AK4529">
        <v>0</v>
      </c>
      <c r="AL4529">
        <v>0</v>
      </c>
      <c r="AM4529">
        <v>67067</v>
      </c>
      <c r="AN4529">
        <v>32555</v>
      </c>
      <c r="AO4529">
        <v>99622</v>
      </c>
      <c r="AP4529">
        <v>0</v>
      </c>
      <c r="AQ4529">
        <v>-30.5</v>
      </c>
      <c r="AR4529">
        <v>-3.060635709088988E-4</v>
      </c>
      <c r="AS4529" t="s">
        <v>239</v>
      </c>
      <c r="AT4529" t="s">
        <v>514</v>
      </c>
    </row>
    <row r="4530" spans="2:46" x14ac:dyDescent="0.35">
      <c r="B4530" t="s">
        <v>563</v>
      </c>
      <c r="C4530">
        <v>45773</v>
      </c>
      <c r="J4530">
        <v>0</v>
      </c>
      <c r="O4530" t="s">
        <v>239</v>
      </c>
      <c r="P4530" t="s">
        <v>514</v>
      </c>
      <c r="U4530">
        <v>0</v>
      </c>
      <c r="Y4530">
        <v>116</v>
      </c>
      <c r="Z4530" s="259" t="s">
        <v>637</v>
      </c>
      <c r="AB4530">
        <v>32933</v>
      </c>
      <c r="AF4530">
        <v>99622</v>
      </c>
      <c r="AG4530">
        <v>0</v>
      </c>
      <c r="AI4530">
        <v>99622</v>
      </c>
      <c r="AJ4530">
        <v>0</v>
      </c>
      <c r="AK4530">
        <v>0</v>
      </c>
      <c r="AL4530">
        <v>0</v>
      </c>
      <c r="AM4530">
        <v>67067</v>
      </c>
      <c r="AN4530">
        <v>32555</v>
      </c>
      <c r="AO4530">
        <v>99622</v>
      </c>
      <c r="AP4530">
        <v>0</v>
      </c>
      <c r="AQ4530">
        <v>0</v>
      </c>
      <c r="AR4530">
        <v>0</v>
      </c>
      <c r="AS4530" t="s">
        <v>239</v>
      </c>
      <c r="AT4530" t="s">
        <v>514</v>
      </c>
    </row>
    <row r="4531" spans="2:46" x14ac:dyDescent="0.35">
      <c r="B4531" t="s">
        <v>563</v>
      </c>
      <c r="C4531">
        <v>45774</v>
      </c>
      <c r="J4531">
        <v>0</v>
      </c>
      <c r="O4531" t="s">
        <v>239</v>
      </c>
      <c r="P4531" t="s">
        <v>514</v>
      </c>
      <c r="U4531">
        <v>0</v>
      </c>
      <c r="Y4531">
        <v>117</v>
      </c>
      <c r="Z4531" s="259" t="s">
        <v>637</v>
      </c>
      <c r="AB4531">
        <v>32933</v>
      </c>
      <c r="AF4531">
        <v>99622</v>
      </c>
      <c r="AG4531">
        <v>0</v>
      </c>
      <c r="AI4531">
        <v>99622</v>
      </c>
      <c r="AJ4531">
        <v>0</v>
      </c>
      <c r="AK4531">
        <v>0</v>
      </c>
      <c r="AL4531">
        <v>0</v>
      </c>
      <c r="AM4531">
        <v>67067</v>
      </c>
      <c r="AN4531">
        <v>32555</v>
      </c>
      <c r="AO4531">
        <v>99622</v>
      </c>
      <c r="AP4531">
        <v>0</v>
      </c>
      <c r="AQ4531">
        <v>0</v>
      </c>
      <c r="AR4531">
        <v>0</v>
      </c>
      <c r="AS4531" t="s">
        <v>239</v>
      </c>
      <c r="AT4531" t="s">
        <v>514</v>
      </c>
    </row>
    <row r="4532" spans="2:46" x14ac:dyDescent="0.35">
      <c r="B4532" t="s">
        <v>563</v>
      </c>
      <c r="C4532">
        <v>45775</v>
      </c>
      <c r="J4532">
        <v>0</v>
      </c>
      <c r="O4532" t="s">
        <v>239</v>
      </c>
      <c r="P4532" t="s">
        <v>514</v>
      </c>
      <c r="U4532">
        <v>0</v>
      </c>
      <c r="Y4532">
        <v>118</v>
      </c>
      <c r="Z4532" s="259" t="s">
        <v>637</v>
      </c>
      <c r="AB4532">
        <v>32933</v>
      </c>
      <c r="AF4532">
        <v>99528</v>
      </c>
      <c r="AG4532">
        <v>0</v>
      </c>
      <c r="AI4532">
        <v>99622</v>
      </c>
      <c r="AJ4532">
        <v>0</v>
      </c>
      <c r="AK4532">
        <v>0</v>
      </c>
      <c r="AL4532">
        <v>0</v>
      </c>
      <c r="AM4532">
        <v>67067</v>
      </c>
      <c r="AN4532">
        <v>32461</v>
      </c>
      <c r="AO4532">
        <v>99528</v>
      </c>
      <c r="AP4532">
        <v>0</v>
      </c>
      <c r="AQ4532">
        <v>-94</v>
      </c>
      <c r="AR4532">
        <v>-9.4356668205819449E-4</v>
      </c>
      <c r="AS4532" t="s">
        <v>239</v>
      </c>
      <c r="AT4532" t="s">
        <v>514</v>
      </c>
    </row>
    <row r="4533" spans="2:46" x14ac:dyDescent="0.35">
      <c r="B4533" t="s">
        <v>563</v>
      </c>
      <c r="C4533">
        <v>45776</v>
      </c>
      <c r="J4533">
        <v>0</v>
      </c>
      <c r="O4533" t="s">
        <v>239</v>
      </c>
      <c r="P4533" t="s">
        <v>514</v>
      </c>
      <c r="U4533">
        <v>0</v>
      </c>
      <c r="Y4533">
        <v>119</v>
      </c>
      <c r="Z4533" s="259" t="s">
        <v>637</v>
      </c>
      <c r="AB4533">
        <v>32933</v>
      </c>
      <c r="AF4533">
        <v>99497.5</v>
      </c>
      <c r="AG4533">
        <v>0</v>
      </c>
      <c r="AI4533">
        <v>99528</v>
      </c>
      <c r="AJ4533">
        <v>0</v>
      </c>
      <c r="AK4533">
        <v>0</v>
      </c>
      <c r="AL4533">
        <v>0</v>
      </c>
      <c r="AM4533">
        <v>67067</v>
      </c>
      <c r="AN4533">
        <v>32430.5</v>
      </c>
      <c r="AO4533">
        <v>99497.5</v>
      </c>
      <c r="AP4533">
        <v>0</v>
      </c>
      <c r="AQ4533">
        <v>-30.5</v>
      </c>
      <c r="AR4533">
        <v>-3.0644642713606451E-4</v>
      </c>
      <c r="AS4533" t="s">
        <v>239</v>
      </c>
      <c r="AT4533" t="s">
        <v>514</v>
      </c>
    </row>
    <row r="4534" spans="2:46" x14ac:dyDescent="0.35">
      <c r="B4534" t="s">
        <v>563</v>
      </c>
      <c r="C4534">
        <v>45777</v>
      </c>
      <c r="J4534">
        <v>0</v>
      </c>
      <c r="O4534" t="s">
        <v>239</v>
      </c>
      <c r="P4534" t="s">
        <v>514</v>
      </c>
      <c r="U4534">
        <v>0</v>
      </c>
      <c r="Y4534">
        <v>120</v>
      </c>
      <c r="Z4534" s="259" t="s">
        <v>637</v>
      </c>
      <c r="AB4534">
        <v>32933</v>
      </c>
      <c r="AF4534">
        <v>99467</v>
      </c>
      <c r="AG4534">
        <v>0</v>
      </c>
      <c r="AI4534">
        <v>99497.5</v>
      </c>
      <c r="AJ4534">
        <v>0</v>
      </c>
      <c r="AK4534">
        <v>0</v>
      </c>
      <c r="AL4534">
        <v>0</v>
      </c>
      <c r="AM4534">
        <v>67067</v>
      </c>
      <c r="AN4534">
        <v>32400</v>
      </c>
      <c r="AO4534">
        <v>99467</v>
      </c>
      <c r="AP4534">
        <v>0</v>
      </c>
      <c r="AQ4534">
        <v>-30.5</v>
      </c>
      <c r="AR4534">
        <v>-3.0654036533583895E-4</v>
      </c>
      <c r="AS4534" t="s">
        <v>239</v>
      </c>
      <c r="AT4534" t="s">
        <v>514</v>
      </c>
    </row>
    <row r="4535" spans="2:46" x14ac:dyDescent="0.35">
      <c r="B4535" t="s">
        <v>563</v>
      </c>
      <c r="C4535">
        <v>45778</v>
      </c>
      <c r="J4535">
        <v>0</v>
      </c>
      <c r="O4535" t="s">
        <v>239</v>
      </c>
      <c r="P4535" t="s">
        <v>514</v>
      </c>
      <c r="U4535">
        <v>0</v>
      </c>
      <c r="Y4535">
        <v>121</v>
      </c>
      <c r="Z4535" s="259" t="s">
        <v>637</v>
      </c>
      <c r="AB4535">
        <v>32933</v>
      </c>
      <c r="AF4535">
        <v>109467</v>
      </c>
      <c r="AG4535">
        <v>0</v>
      </c>
      <c r="AI4535">
        <v>99467</v>
      </c>
      <c r="AJ4535">
        <v>0</v>
      </c>
      <c r="AK4535">
        <v>10000</v>
      </c>
      <c r="AL4535">
        <v>10000</v>
      </c>
      <c r="AM4535">
        <v>77067</v>
      </c>
      <c r="AN4535">
        <v>32400</v>
      </c>
      <c r="AO4535">
        <v>109467</v>
      </c>
      <c r="AP4535">
        <v>0</v>
      </c>
      <c r="AQ4535">
        <v>0</v>
      </c>
      <c r="AR4535">
        <v>0</v>
      </c>
      <c r="AS4535" t="s">
        <v>239</v>
      </c>
      <c r="AT4535" t="s">
        <v>514</v>
      </c>
    </row>
    <row r="4536" spans="2:46" x14ac:dyDescent="0.35">
      <c r="B4536" t="s">
        <v>563</v>
      </c>
      <c r="C4536">
        <v>45779</v>
      </c>
      <c r="J4536">
        <v>0</v>
      </c>
      <c r="O4536" t="s">
        <v>239</v>
      </c>
      <c r="P4536" t="s">
        <v>514</v>
      </c>
      <c r="U4536">
        <v>0</v>
      </c>
      <c r="Y4536">
        <v>122</v>
      </c>
      <c r="Z4536" s="259" t="s">
        <v>637</v>
      </c>
      <c r="AB4536">
        <v>32933</v>
      </c>
      <c r="AF4536">
        <v>109486.5</v>
      </c>
      <c r="AG4536">
        <v>0</v>
      </c>
      <c r="AI4536">
        <v>109467</v>
      </c>
      <c r="AJ4536">
        <v>0</v>
      </c>
      <c r="AK4536">
        <v>0</v>
      </c>
      <c r="AL4536">
        <v>0</v>
      </c>
      <c r="AM4536">
        <v>77067</v>
      </c>
      <c r="AN4536">
        <v>32419.5</v>
      </c>
      <c r="AO4536">
        <v>109486.5</v>
      </c>
      <c r="AP4536">
        <v>0</v>
      </c>
      <c r="AQ4536">
        <v>19.5</v>
      </c>
      <c r="AR4536">
        <v>1.7813587656556606E-4</v>
      </c>
      <c r="AS4536" t="s">
        <v>239</v>
      </c>
      <c r="AT4536" t="s">
        <v>514</v>
      </c>
    </row>
    <row r="4537" spans="2:46" x14ac:dyDescent="0.35">
      <c r="B4537" t="s">
        <v>563</v>
      </c>
      <c r="C4537">
        <v>45780</v>
      </c>
      <c r="J4537">
        <v>0</v>
      </c>
      <c r="O4537" t="s">
        <v>239</v>
      </c>
      <c r="P4537" t="s">
        <v>514</v>
      </c>
      <c r="U4537">
        <v>0</v>
      </c>
      <c r="Y4537">
        <v>123</v>
      </c>
      <c r="Z4537" s="259" t="s">
        <v>637</v>
      </c>
      <c r="AB4537">
        <v>32933</v>
      </c>
      <c r="AF4537">
        <v>109486.5</v>
      </c>
      <c r="AG4537">
        <v>0</v>
      </c>
      <c r="AI4537">
        <v>109486.5</v>
      </c>
      <c r="AJ4537">
        <v>0</v>
      </c>
      <c r="AK4537">
        <v>0</v>
      </c>
      <c r="AL4537">
        <v>0</v>
      </c>
      <c r="AM4537">
        <v>77067</v>
      </c>
      <c r="AN4537">
        <v>32419.5</v>
      </c>
      <c r="AO4537">
        <v>109486.5</v>
      </c>
      <c r="AP4537">
        <v>0</v>
      </c>
      <c r="AQ4537">
        <v>0</v>
      </c>
      <c r="AR4537">
        <v>0</v>
      </c>
      <c r="AS4537" t="s">
        <v>239</v>
      </c>
      <c r="AT4537" t="s">
        <v>514</v>
      </c>
    </row>
    <row r="4538" spans="2:46" x14ac:dyDescent="0.35">
      <c r="B4538" t="s">
        <v>563</v>
      </c>
      <c r="C4538">
        <v>45781</v>
      </c>
      <c r="J4538">
        <v>0</v>
      </c>
      <c r="O4538" t="s">
        <v>239</v>
      </c>
      <c r="P4538" t="s">
        <v>514</v>
      </c>
      <c r="U4538">
        <v>0</v>
      </c>
      <c r="Y4538">
        <v>124</v>
      </c>
      <c r="Z4538" s="259" t="s">
        <v>637</v>
      </c>
      <c r="AB4538">
        <v>32933</v>
      </c>
      <c r="AF4538">
        <v>109486.5</v>
      </c>
      <c r="AG4538">
        <v>0</v>
      </c>
      <c r="AI4538">
        <v>109486.5</v>
      </c>
      <c r="AJ4538">
        <v>0</v>
      </c>
      <c r="AK4538">
        <v>0</v>
      </c>
      <c r="AL4538">
        <v>0</v>
      </c>
      <c r="AM4538">
        <v>77067</v>
      </c>
      <c r="AN4538">
        <v>32419.5</v>
      </c>
      <c r="AO4538">
        <v>109486.5</v>
      </c>
      <c r="AP4538">
        <v>0</v>
      </c>
      <c r="AQ4538">
        <v>0</v>
      </c>
      <c r="AR4538">
        <v>0</v>
      </c>
      <c r="AS4538" t="s">
        <v>239</v>
      </c>
      <c r="AT4538" t="s">
        <v>514</v>
      </c>
    </row>
    <row r="4539" spans="2:46" x14ac:dyDescent="0.35">
      <c r="B4539" t="s">
        <v>563</v>
      </c>
      <c r="C4539">
        <v>45782</v>
      </c>
      <c r="J4539">
        <v>0</v>
      </c>
      <c r="O4539" t="s">
        <v>239</v>
      </c>
      <c r="P4539" t="s">
        <v>514</v>
      </c>
      <c r="U4539">
        <v>0</v>
      </c>
      <c r="Y4539">
        <v>125</v>
      </c>
      <c r="Z4539" s="259" t="s">
        <v>637</v>
      </c>
      <c r="AB4539">
        <v>32933</v>
      </c>
      <c r="AF4539">
        <v>109546.5</v>
      </c>
      <c r="AG4539">
        <v>0</v>
      </c>
      <c r="AI4539">
        <v>109486.5</v>
      </c>
      <c r="AJ4539">
        <v>0</v>
      </c>
      <c r="AK4539">
        <v>0</v>
      </c>
      <c r="AL4539">
        <v>0</v>
      </c>
      <c r="AM4539">
        <v>77067</v>
      </c>
      <c r="AN4539">
        <v>32479.5</v>
      </c>
      <c r="AO4539">
        <v>109546.5</v>
      </c>
      <c r="AP4539">
        <v>0</v>
      </c>
      <c r="AQ4539">
        <v>60</v>
      </c>
      <c r="AR4539">
        <v>5.4801276869742566E-4</v>
      </c>
      <c r="AS4539" t="s">
        <v>239</v>
      </c>
      <c r="AT4539" t="s">
        <v>514</v>
      </c>
    </row>
    <row r="4540" spans="2:46" x14ac:dyDescent="0.35">
      <c r="B4540" t="s">
        <v>563</v>
      </c>
      <c r="C4540">
        <v>45783</v>
      </c>
      <c r="J4540">
        <v>0</v>
      </c>
      <c r="O4540" t="s">
        <v>239</v>
      </c>
      <c r="P4540" t="s">
        <v>514</v>
      </c>
      <c r="U4540">
        <v>0</v>
      </c>
      <c r="Y4540">
        <v>126</v>
      </c>
      <c r="Z4540" s="259" t="s">
        <v>637</v>
      </c>
      <c r="AB4540">
        <v>32933</v>
      </c>
      <c r="AF4540">
        <v>109567.5</v>
      </c>
      <c r="AG4540">
        <v>0</v>
      </c>
      <c r="AI4540">
        <v>109546.5</v>
      </c>
      <c r="AJ4540">
        <v>0</v>
      </c>
      <c r="AK4540">
        <v>0</v>
      </c>
      <c r="AL4540">
        <v>0</v>
      </c>
      <c r="AM4540">
        <v>77067</v>
      </c>
      <c r="AN4540">
        <v>32500.5</v>
      </c>
      <c r="AO4540">
        <v>109567.5</v>
      </c>
      <c r="AP4540">
        <v>0</v>
      </c>
      <c r="AQ4540">
        <v>21</v>
      </c>
      <c r="AR4540">
        <v>1.9169941531682611E-4</v>
      </c>
      <c r="AS4540" t="s">
        <v>239</v>
      </c>
      <c r="AT4540" t="s">
        <v>514</v>
      </c>
    </row>
    <row r="4541" spans="2:46" x14ac:dyDescent="0.35">
      <c r="B4541" t="s">
        <v>563</v>
      </c>
      <c r="C4541">
        <v>45784</v>
      </c>
      <c r="J4541">
        <v>0</v>
      </c>
      <c r="O4541" t="s">
        <v>239</v>
      </c>
      <c r="P4541" t="s">
        <v>514</v>
      </c>
      <c r="U4541">
        <v>0</v>
      </c>
      <c r="Y4541">
        <v>127</v>
      </c>
      <c r="Z4541" s="259" t="s">
        <v>637</v>
      </c>
      <c r="AB4541">
        <v>32933</v>
      </c>
      <c r="AF4541">
        <v>109587</v>
      </c>
      <c r="AG4541">
        <v>0</v>
      </c>
      <c r="AI4541">
        <v>109567.5</v>
      </c>
      <c r="AJ4541">
        <v>0</v>
      </c>
      <c r="AK4541">
        <v>0</v>
      </c>
      <c r="AL4541">
        <v>0</v>
      </c>
      <c r="AM4541">
        <v>77067</v>
      </c>
      <c r="AN4541">
        <v>32520</v>
      </c>
      <c r="AO4541">
        <v>109587</v>
      </c>
      <c r="AP4541">
        <v>0</v>
      </c>
      <c r="AQ4541">
        <v>19.5</v>
      </c>
      <c r="AR4541">
        <v>1.7797248271622657E-4</v>
      </c>
      <c r="AS4541" t="s">
        <v>239</v>
      </c>
      <c r="AT4541" t="s">
        <v>514</v>
      </c>
    </row>
    <row r="4542" spans="2:46" x14ac:dyDescent="0.35">
      <c r="B4542" t="s">
        <v>563</v>
      </c>
      <c r="C4542">
        <v>45785</v>
      </c>
      <c r="J4542">
        <v>0</v>
      </c>
      <c r="O4542" t="s">
        <v>239</v>
      </c>
      <c r="P4542" t="s">
        <v>514</v>
      </c>
      <c r="U4542">
        <v>0</v>
      </c>
      <c r="Y4542">
        <v>128</v>
      </c>
      <c r="Z4542" s="259" t="s">
        <v>637</v>
      </c>
      <c r="AB4542">
        <v>32933</v>
      </c>
      <c r="AF4542">
        <v>109606.5</v>
      </c>
      <c r="AG4542">
        <v>0</v>
      </c>
      <c r="AI4542">
        <v>109587</v>
      </c>
      <c r="AJ4542">
        <v>0</v>
      </c>
      <c r="AK4542">
        <v>0</v>
      </c>
      <c r="AL4542">
        <v>0</v>
      </c>
      <c r="AM4542">
        <v>77067</v>
      </c>
      <c r="AN4542">
        <v>32539.5</v>
      </c>
      <c r="AO4542">
        <v>109606.5</v>
      </c>
      <c r="AP4542">
        <v>0</v>
      </c>
      <c r="AQ4542">
        <v>19.5</v>
      </c>
      <c r="AR4542">
        <v>1.7794081414757024E-4</v>
      </c>
      <c r="AS4542" t="s">
        <v>239</v>
      </c>
      <c r="AT4542" t="s">
        <v>514</v>
      </c>
    </row>
    <row r="4543" spans="2:46" x14ac:dyDescent="0.35">
      <c r="B4543" t="s">
        <v>563</v>
      </c>
      <c r="C4543">
        <v>45786</v>
      </c>
      <c r="J4543">
        <v>0</v>
      </c>
      <c r="O4543" t="s">
        <v>239</v>
      </c>
      <c r="P4543" t="s">
        <v>514</v>
      </c>
      <c r="U4543">
        <v>0</v>
      </c>
      <c r="Y4543">
        <v>129</v>
      </c>
      <c r="Z4543" s="259" t="s">
        <v>637</v>
      </c>
      <c r="AB4543">
        <v>32933</v>
      </c>
      <c r="AF4543">
        <v>109627.5</v>
      </c>
      <c r="AG4543">
        <v>0</v>
      </c>
      <c r="AI4543">
        <v>109606.5</v>
      </c>
      <c r="AJ4543">
        <v>0</v>
      </c>
      <c r="AK4543">
        <v>0</v>
      </c>
      <c r="AL4543">
        <v>0</v>
      </c>
      <c r="AM4543">
        <v>77067</v>
      </c>
      <c r="AN4543">
        <v>32560.5</v>
      </c>
      <c r="AO4543">
        <v>109627.5</v>
      </c>
      <c r="AP4543">
        <v>0</v>
      </c>
      <c r="AQ4543">
        <v>21</v>
      </c>
      <c r="AR4543">
        <v>1.9159447660488382E-4</v>
      </c>
      <c r="AS4543" t="s">
        <v>239</v>
      </c>
      <c r="AT4543" t="s">
        <v>514</v>
      </c>
    </row>
    <row r="4544" spans="2:46" x14ac:dyDescent="0.35">
      <c r="B4544" t="s">
        <v>563</v>
      </c>
      <c r="C4544">
        <v>45787</v>
      </c>
      <c r="J4544">
        <v>0</v>
      </c>
      <c r="O4544" t="s">
        <v>239</v>
      </c>
      <c r="P4544" t="s">
        <v>514</v>
      </c>
      <c r="U4544">
        <v>0</v>
      </c>
      <c r="Y4544">
        <v>130</v>
      </c>
      <c r="Z4544" s="259" t="s">
        <v>637</v>
      </c>
      <c r="AB4544">
        <v>32933</v>
      </c>
      <c r="AF4544">
        <v>109627.5</v>
      </c>
      <c r="AG4544">
        <v>0</v>
      </c>
      <c r="AI4544">
        <v>109627.5</v>
      </c>
      <c r="AJ4544">
        <v>0</v>
      </c>
      <c r="AK4544">
        <v>0</v>
      </c>
      <c r="AL4544">
        <v>0</v>
      </c>
      <c r="AM4544">
        <v>77067</v>
      </c>
      <c r="AN4544">
        <v>32560.5</v>
      </c>
      <c r="AO4544">
        <v>109627.5</v>
      </c>
      <c r="AP4544">
        <v>0</v>
      </c>
      <c r="AQ4544">
        <v>0</v>
      </c>
      <c r="AR4544">
        <v>0</v>
      </c>
      <c r="AS4544" t="s">
        <v>239</v>
      </c>
      <c r="AT4544" t="s">
        <v>514</v>
      </c>
    </row>
    <row r="4545" spans="2:46" x14ac:dyDescent="0.35">
      <c r="B4545" t="s">
        <v>563</v>
      </c>
      <c r="C4545">
        <v>45788</v>
      </c>
      <c r="J4545">
        <v>0</v>
      </c>
      <c r="O4545" t="s">
        <v>239</v>
      </c>
      <c r="P4545" t="s">
        <v>514</v>
      </c>
      <c r="U4545">
        <v>0</v>
      </c>
      <c r="Y4545">
        <v>131</v>
      </c>
      <c r="Z4545" s="259" t="s">
        <v>637</v>
      </c>
      <c r="AB4545">
        <v>32933</v>
      </c>
      <c r="AF4545">
        <v>109627.5</v>
      </c>
      <c r="AG4545">
        <v>0</v>
      </c>
      <c r="AI4545">
        <v>109627.5</v>
      </c>
      <c r="AJ4545">
        <v>0</v>
      </c>
      <c r="AK4545">
        <v>0</v>
      </c>
      <c r="AL4545">
        <v>0</v>
      </c>
      <c r="AM4545">
        <v>77067</v>
      </c>
      <c r="AN4545">
        <v>32560.5</v>
      </c>
      <c r="AO4545">
        <v>109627.5</v>
      </c>
      <c r="AP4545">
        <v>0</v>
      </c>
      <c r="AQ4545">
        <v>0</v>
      </c>
      <c r="AR4545">
        <v>0</v>
      </c>
      <c r="AS4545" t="s">
        <v>239</v>
      </c>
      <c r="AT4545" t="s">
        <v>514</v>
      </c>
    </row>
    <row r="4546" spans="2:46" x14ac:dyDescent="0.35">
      <c r="B4546" t="s">
        <v>563</v>
      </c>
      <c r="C4546">
        <v>45789</v>
      </c>
      <c r="J4546">
        <v>0</v>
      </c>
      <c r="O4546" t="s">
        <v>239</v>
      </c>
      <c r="P4546" t="s">
        <v>514</v>
      </c>
      <c r="U4546">
        <v>0</v>
      </c>
      <c r="Y4546">
        <v>132</v>
      </c>
      <c r="Z4546" s="259" t="s">
        <v>637</v>
      </c>
      <c r="AB4546">
        <v>32933</v>
      </c>
      <c r="AF4546">
        <v>109687.5</v>
      </c>
      <c r="AG4546">
        <v>0</v>
      </c>
      <c r="AI4546">
        <v>109627.5</v>
      </c>
      <c r="AJ4546">
        <v>0</v>
      </c>
      <c r="AK4546">
        <v>0</v>
      </c>
      <c r="AL4546">
        <v>0</v>
      </c>
      <c r="AM4546">
        <v>77067</v>
      </c>
      <c r="AN4546">
        <v>32620.5</v>
      </c>
      <c r="AO4546">
        <v>109687.5</v>
      </c>
      <c r="AP4546">
        <v>0</v>
      </c>
      <c r="AQ4546">
        <v>60</v>
      </c>
      <c r="AR4546">
        <v>5.4730792912360826E-4</v>
      </c>
      <c r="AS4546" t="s">
        <v>239</v>
      </c>
      <c r="AT4546" t="s">
        <v>514</v>
      </c>
    </row>
    <row r="4547" spans="2:46" x14ac:dyDescent="0.35">
      <c r="B4547" t="s">
        <v>563</v>
      </c>
      <c r="C4547">
        <v>45790</v>
      </c>
      <c r="J4547">
        <v>0</v>
      </c>
      <c r="O4547" t="s">
        <v>239</v>
      </c>
      <c r="P4547" t="s">
        <v>514</v>
      </c>
      <c r="U4547">
        <v>0</v>
      </c>
      <c r="Y4547">
        <v>133</v>
      </c>
      <c r="Z4547" s="259" t="s">
        <v>637</v>
      </c>
      <c r="AB4547">
        <v>32933</v>
      </c>
      <c r="AF4547">
        <v>109707</v>
      </c>
      <c r="AG4547">
        <v>0</v>
      </c>
      <c r="AI4547">
        <v>109687.5</v>
      </c>
      <c r="AJ4547">
        <v>0</v>
      </c>
      <c r="AK4547">
        <v>0</v>
      </c>
      <c r="AL4547">
        <v>0</v>
      </c>
      <c r="AM4547">
        <v>77067</v>
      </c>
      <c r="AN4547">
        <v>32640</v>
      </c>
      <c r="AO4547">
        <v>109707</v>
      </c>
      <c r="AP4547">
        <v>0</v>
      </c>
      <c r="AQ4547">
        <v>19.5</v>
      </c>
      <c r="AR4547">
        <v>1.7777777777783221E-4</v>
      </c>
      <c r="AS4547" t="s">
        <v>239</v>
      </c>
      <c r="AT4547" t="s">
        <v>514</v>
      </c>
    </row>
    <row r="4548" spans="2:46" x14ac:dyDescent="0.35">
      <c r="B4548" t="s">
        <v>563</v>
      </c>
      <c r="C4548">
        <v>45791</v>
      </c>
      <c r="J4548">
        <v>0</v>
      </c>
      <c r="O4548" t="s">
        <v>239</v>
      </c>
      <c r="P4548" t="s">
        <v>514</v>
      </c>
      <c r="U4548">
        <v>0</v>
      </c>
      <c r="Y4548">
        <v>134</v>
      </c>
      <c r="Z4548" s="259" t="s">
        <v>637</v>
      </c>
      <c r="AB4548">
        <v>32933</v>
      </c>
      <c r="AF4548">
        <v>109726.5</v>
      </c>
      <c r="AG4548">
        <v>0</v>
      </c>
      <c r="AI4548">
        <v>109707</v>
      </c>
      <c r="AJ4548">
        <v>0</v>
      </c>
      <c r="AK4548">
        <v>0</v>
      </c>
      <c r="AL4548">
        <v>0</v>
      </c>
      <c r="AM4548">
        <v>77067</v>
      </c>
      <c r="AN4548">
        <v>32659.5</v>
      </c>
      <c r="AO4548">
        <v>109726.5</v>
      </c>
      <c r="AP4548">
        <v>0</v>
      </c>
      <c r="AQ4548">
        <v>19.5</v>
      </c>
      <c r="AR4548">
        <v>1.777461784571166E-4</v>
      </c>
      <c r="AS4548" t="s">
        <v>239</v>
      </c>
      <c r="AT4548" t="s">
        <v>514</v>
      </c>
    </row>
    <row r="4549" spans="2:46" x14ac:dyDescent="0.35">
      <c r="B4549" t="s">
        <v>563</v>
      </c>
      <c r="C4549">
        <v>45792</v>
      </c>
      <c r="J4549">
        <v>0</v>
      </c>
      <c r="O4549" t="s">
        <v>239</v>
      </c>
      <c r="P4549" t="s">
        <v>514</v>
      </c>
      <c r="U4549">
        <v>0</v>
      </c>
      <c r="Y4549">
        <v>135</v>
      </c>
      <c r="Z4549" s="259" t="s">
        <v>637</v>
      </c>
      <c r="AB4549">
        <v>32933</v>
      </c>
      <c r="AF4549">
        <v>109747.5</v>
      </c>
      <c r="AG4549">
        <v>0</v>
      </c>
      <c r="AI4549">
        <v>109726.5</v>
      </c>
      <c r="AJ4549">
        <v>0</v>
      </c>
      <c r="AK4549">
        <v>0</v>
      </c>
      <c r="AL4549">
        <v>0</v>
      </c>
      <c r="AM4549">
        <v>77067</v>
      </c>
      <c r="AN4549">
        <v>32680.5</v>
      </c>
      <c r="AO4549">
        <v>109747.5</v>
      </c>
      <c r="AP4549">
        <v>0</v>
      </c>
      <c r="AQ4549">
        <v>21</v>
      </c>
      <c r="AR4549">
        <v>1.913849434731496E-4</v>
      </c>
      <c r="AS4549" t="s">
        <v>239</v>
      </c>
      <c r="AT4549" t="s">
        <v>514</v>
      </c>
    </row>
    <row r="4550" spans="2:46" x14ac:dyDescent="0.35">
      <c r="B4550" t="s">
        <v>563</v>
      </c>
      <c r="C4550">
        <v>45793</v>
      </c>
      <c r="J4550">
        <v>0</v>
      </c>
      <c r="O4550" t="s">
        <v>239</v>
      </c>
      <c r="P4550" t="s">
        <v>514</v>
      </c>
      <c r="U4550">
        <v>0</v>
      </c>
      <c r="Y4550">
        <v>136</v>
      </c>
      <c r="Z4550" s="259" t="s">
        <v>637</v>
      </c>
      <c r="AB4550">
        <v>32933</v>
      </c>
      <c r="AF4550">
        <v>109767</v>
      </c>
      <c r="AG4550">
        <v>0</v>
      </c>
      <c r="AI4550">
        <v>109747.5</v>
      </c>
      <c r="AJ4550">
        <v>0</v>
      </c>
      <c r="AK4550">
        <v>0</v>
      </c>
      <c r="AL4550">
        <v>0</v>
      </c>
      <c r="AM4550">
        <v>77067</v>
      </c>
      <c r="AN4550">
        <v>32700</v>
      </c>
      <c r="AO4550">
        <v>109767</v>
      </c>
      <c r="AP4550">
        <v>0</v>
      </c>
      <c r="AQ4550">
        <v>19.5</v>
      </c>
      <c r="AR4550">
        <v>1.7768058497913408E-4</v>
      </c>
      <c r="AS4550" t="s">
        <v>239</v>
      </c>
      <c r="AT4550" t="s">
        <v>514</v>
      </c>
    </row>
    <row r="4551" spans="2:46" x14ac:dyDescent="0.35">
      <c r="B4551" t="s">
        <v>563</v>
      </c>
      <c r="C4551">
        <v>45794</v>
      </c>
      <c r="J4551">
        <v>0</v>
      </c>
      <c r="O4551" t="s">
        <v>239</v>
      </c>
      <c r="P4551" t="s">
        <v>514</v>
      </c>
      <c r="U4551">
        <v>0</v>
      </c>
      <c r="Y4551">
        <v>137</v>
      </c>
      <c r="Z4551" s="259" t="s">
        <v>637</v>
      </c>
      <c r="AB4551">
        <v>32933</v>
      </c>
      <c r="AF4551">
        <v>109767</v>
      </c>
      <c r="AG4551">
        <v>0</v>
      </c>
      <c r="AI4551">
        <v>109767</v>
      </c>
      <c r="AJ4551">
        <v>0</v>
      </c>
      <c r="AK4551">
        <v>0</v>
      </c>
      <c r="AL4551">
        <v>0</v>
      </c>
      <c r="AM4551">
        <v>77067</v>
      </c>
      <c r="AN4551">
        <v>32700</v>
      </c>
      <c r="AO4551">
        <v>109767</v>
      </c>
      <c r="AP4551">
        <v>0</v>
      </c>
      <c r="AQ4551">
        <v>0</v>
      </c>
      <c r="AR4551">
        <v>0</v>
      </c>
      <c r="AS4551" t="s">
        <v>239</v>
      </c>
      <c r="AT4551" t="s">
        <v>514</v>
      </c>
    </row>
    <row r="4552" spans="2:46" x14ac:dyDescent="0.35">
      <c r="B4552" t="s">
        <v>563</v>
      </c>
      <c r="C4552">
        <v>45795</v>
      </c>
      <c r="J4552">
        <v>0</v>
      </c>
      <c r="O4552" t="s">
        <v>239</v>
      </c>
      <c r="P4552" t="s">
        <v>514</v>
      </c>
      <c r="U4552">
        <v>0</v>
      </c>
      <c r="Y4552">
        <v>138</v>
      </c>
      <c r="Z4552" s="259" t="s">
        <v>637</v>
      </c>
      <c r="AB4552">
        <v>32933</v>
      </c>
      <c r="AF4552">
        <v>109767</v>
      </c>
      <c r="AG4552">
        <v>0</v>
      </c>
      <c r="AI4552">
        <v>109767</v>
      </c>
      <c r="AJ4552">
        <v>0</v>
      </c>
      <c r="AK4552">
        <v>0</v>
      </c>
      <c r="AL4552">
        <v>0</v>
      </c>
      <c r="AM4552">
        <v>77067</v>
      </c>
      <c r="AN4552">
        <v>32700</v>
      </c>
      <c r="AO4552">
        <v>109767</v>
      </c>
      <c r="AP4552">
        <v>0</v>
      </c>
      <c r="AQ4552">
        <v>0</v>
      </c>
      <c r="AR4552">
        <v>0</v>
      </c>
      <c r="AS4552" t="s">
        <v>239</v>
      </c>
      <c r="AT4552" t="s">
        <v>514</v>
      </c>
    </row>
    <row r="4553" spans="2:46" x14ac:dyDescent="0.35">
      <c r="B4553" t="s">
        <v>563</v>
      </c>
      <c r="C4553">
        <v>45796</v>
      </c>
      <c r="J4553">
        <v>0</v>
      </c>
      <c r="O4553" t="s">
        <v>239</v>
      </c>
      <c r="P4553" t="s">
        <v>514</v>
      </c>
      <c r="U4553">
        <v>0</v>
      </c>
      <c r="Y4553">
        <v>139</v>
      </c>
      <c r="Z4553" s="259" t="s">
        <v>637</v>
      </c>
      <c r="AB4553">
        <v>32933</v>
      </c>
      <c r="AF4553">
        <v>109827</v>
      </c>
      <c r="AG4553">
        <v>0</v>
      </c>
      <c r="AI4553">
        <v>109767</v>
      </c>
      <c r="AJ4553">
        <v>0</v>
      </c>
      <c r="AK4553">
        <v>0</v>
      </c>
      <c r="AL4553">
        <v>0</v>
      </c>
      <c r="AM4553">
        <v>77067</v>
      </c>
      <c r="AN4553">
        <v>32760</v>
      </c>
      <c r="AO4553">
        <v>109827</v>
      </c>
      <c r="AP4553">
        <v>0</v>
      </c>
      <c r="AQ4553">
        <v>60</v>
      </c>
      <c r="AR4553">
        <v>5.4661236983788442E-4</v>
      </c>
      <c r="AS4553" t="s">
        <v>239</v>
      </c>
      <c r="AT4553" t="s">
        <v>514</v>
      </c>
    </row>
    <row r="4554" spans="2:46" x14ac:dyDescent="0.35">
      <c r="B4554" t="s">
        <v>563</v>
      </c>
      <c r="C4554">
        <v>45797</v>
      </c>
      <c r="J4554">
        <v>0</v>
      </c>
      <c r="O4554" t="s">
        <v>239</v>
      </c>
      <c r="P4554" t="s">
        <v>514</v>
      </c>
      <c r="U4554">
        <v>0</v>
      </c>
      <c r="Y4554">
        <v>140</v>
      </c>
      <c r="Z4554" s="259" t="s">
        <v>637</v>
      </c>
      <c r="AB4554">
        <v>32933</v>
      </c>
      <c r="AF4554">
        <v>109846.5</v>
      </c>
      <c r="AG4554">
        <v>0</v>
      </c>
      <c r="AI4554">
        <v>109827</v>
      </c>
      <c r="AJ4554">
        <v>0</v>
      </c>
      <c r="AK4554">
        <v>0</v>
      </c>
      <c r="AL4554">
        <v>0</v>
      </c>
      <c r="AM4554">
        <v>77067</v>
      </c>
      <c r="AN4554">
        <v>32779.5</v>
      </c>
      <c r="AO4554">
        <v>109846.5</v>
      </c>
      <c r="AP4554">
        <v>0</v>
      </c>
      <c r="AQ4554">
        <v>19.5</v>
      </c>
      <c r="AR4554">
        <v>1.7755196809532414E-4</v>
      </c>
      <c r="AS4554" t="s">
        <v>239</v>
      </c>
      <c r="AT4554" t="s">
        <v>514</v>
      </c>
    </row>
    <row r="4555" spans="2:46" x14ac:dyDescent="0.35">
      <c r="B4555" t="s">
        <v>563</v>
      </c>
      <c r="C4555">
        <v>45798</v>
      </c>
      <c r="J4555">
        <v>0</v>
      </c>
      <c r="O4555" t="s">
        <v>239</v>
      </c>
      <c r="P4555" t="s">
        <v>514</v>
      </c>
      <c r="U4555">
        <v>0</v>
      </c>
      <c r="Y4555">
        <v>141</v>
      </c>
      <c r="Z4555" s="259" t="s">
        <v>637</v>
      </c>
      <c r="AB4555">
        <v>32933</v>
      </c>
      <c r="AF4555">
        <v>109867.5</v>
      </c>
      <c r="AG4555">
        <v>0</v>
      </c>
      <c r="AI4555">
        <v>109846.5</v>
      </c>
      <c r="AJ4555">
        <v>0</v>
      </c>
      <c r="AK4555">
        <v>0</v>
      </c>
      <c r="AL4555">
        <v>0</v>
      </c>
      <c r="AM4555">
        <v>77067</v>
      </c>
      <c r="AN4555">
        <v>32800.5</v>
      </c>
      <c r="AO4555">
        <v>109867.5</v>
      </c>
      <c r="AP4555">
        <v>0</v>
      </c>
      <c r="AQ4555">
        <v>21</v>
      </c>
      <c r="AR4555">
        <v>1.9117586814321186E-4</v>
      </c>
      <c r="AS4555" t="s">
        <v>239</v>
      </c>
      <c r="AT4555" t="s">
        <v>514</v>
      </c>
    </row>
    <row r="4556" spans="2:46" x14ac:dyDescent="0.35">
      <c r="B4556" t="s">
        <v>563</v>
      </c>
      <c r="C4556">
        <v>45799</v>
      </c>
      <c r="J4556">
        <v>0</v>
      </c>
      <c r="O4556" t="s">
        <v>239</v>
      </c>
      <c r="P4556" t="s">
        <v>514</v>
      </c>
      <c r="U4556">
        <v>0</v>
      </c>
      <c r="Y4556">
        <v>142</v>
      </c>
      <c r="Z4556" s="259" t="s">
        <v>637</v>
      </c>
      <c r="AB4556">
        <v>32933</v>
      </c>
      <c r="AF4556">
        <v>109887</v>
      </c>
      <c r="AG4556">
        <v>0</v>
      </c>
      <c r="AI4556">
        <v>109867.5</v>
      </c>
      <c r="AJ4556">
        <v>0</v>
      </c>
      <c r="AK4556">
        <v>0</v>
      </c>
      <c r="AL4556">
        <v>0</v>
      </c>
      <c r="AM4556">
        <v>77067</v>
      </c>
      <c r="AN4556">
        <v>32820</v>
      </c>
      <c r="AO4556">
        <v>109887</v>
      </c>
      <c r="AP4556">
        <v>0</v>
      </c>
      <c r="AQ4556">
        <v>19.5</v>
      </c>
      <c r="AR4556">
        <v>1.7748651785098879E-4</v>
      </c>
      <c r="AS4556" t="s">
        <v>239</v>
      </c>
      <c r="AT4556" t="s">
        <v>514</v>
      </c>
    </row>
    <row r="4557" spans="2:46" x14ac:dyDescent="0.35">
      <c r="B4557" t="s">
        <v>563</v>
      </c>
      <c r="C4557">
        <v>45800</v>
      </c>
      <c r="J4557">
        <v>0</v>
      </c>
      <c r="O4557" t="s">
        <v>239</v>
      </c>
      <c r="P4557" t="s">
        <v>514</v>
      </c>
      <c r="U4557">
        <v>0</v>
      </c>
      <c r="Y4557">
        <v>143</v>
      </c>
      <c r="Z4557" s="259" t="s">
        <v>637</v>
      </c>
      <c r="AB4557">
        <v>32933</v>
      </c>
      <c r="AF4557">
        <v>109906.5</v>
      </c>
      <c r="AG4557">
        <v>0</v>
      </c>
      <c r="AI4557">
        <v>109887</v>
      </c>
      <c r="AJ4557">
        <v>0</v>
      </c>
      <c r="AK4557">
        <v>0</v>
      </c>
      <c r="AL4557">
        <v>0</v>
      </c>
      <c r="AM4557">
        <v>77067</v>
      </c>
      <c r="AN4557">
        <v>32839.5</v>
      </c>
      <c r="AO4557">
        <v>109906.5</v>
      </c>
      <c r="AP4557">
        <v>0</v>
      </c>
      <c r="AQ4557">
        <v>19.5</v>
      </c>
      <c r="AR4557">
        <v>1.7745502197707985E-4</v>
      </c>
      <c r="AS4557" t="s">
        <v>239</v>
      </c>
      <c r="AT4557" t="s">
        <v>514</v>
      </c>
    </row>
    <row r="4558" spans="2:46" x14ac:dyDescent="0.35">
      <c r="B4558" t="s">
        <v>563</v>
      </c>
      <c r="C4558">
        <v>45801</v>
      </c>
      <c r="J4558">
        <v>0</v>
      </c>
      <c r="O4558" t="s">
        <v>239</v>
      </c>
      <c r="P4558" t="s">
        <v>514</v>
      </c>
      <c r="U4558">
        <v>0</v>
      </c>
      <c r="Y4558">
        <v>144</v>
      </c>
      <c r="Z4558" s="259" t="s">
        <v>637</v>
      </c>
      <c r="AB4558">
        <v>32933</v>
      </c>
      <c r="AF4558">
        <v>109906.5</v>
      </c>
      <c r="AG4558">
        <v>0</v>
      </c>
      <c r="AI4558">
        <v>109906.5</v>
      </c>
      <c r="AJ4558">
        <v>0</v>
      </c>
      <c r="AK4558">
        <v>0</v>
      </c>
      <c r="AL4558">
        <v>0</v>
      </c>
      <c r="AM4558">
        <v>77067</v>
      </c>
      <c r="AN4558">
        <v>32839.5</v>
      </c>
      <c r="AO4558">
        <v>109906.5</v>
      </c>
      <c r="AP4558">
        <v>0</v>
      </c>
      <c r="AQ4558">
        <v>0</v>
      </c>
      <c r="AR4558">
        <v>0</v>
      </c>
      <c r="AS4558" t="s">
        <v>239</v>
      </c>
      <c r="AT4558" t="s">
        <v>514</v>
      </c>
    </row>
    <row r="4559" spans="2:46" x14ac:dyDescent="0.35">
      <c r="B4559" t="s">
        <v>563</v>
      </c>
      <c r="C4559">
        <v>45802</v>
      </c>
      <c r="J4559">
        <v>0</v>
      </c>
      <c r="O4559" t="s">
        <v>239</v>
      </c>
      <c r="P4559" t="s">
        <v>514</v>
      </c>
      <c r="U4559">
        <v>0</v>
      </c>
      <c r="Y4559">
        <v>145</v>
      </c>
      <c r="Z4559" s="259" t="s">
        <v>637</v>
      </c>
      <c r="AB4559">
        <v>32933</v>
      </c>
      <c r="AF4559">
        <v>109906.5</v>
      </c>
      <c r="AG4559">
        <v>0</v>
      </c>
      <c r="AI4559">
        <v>109906.5</v>
      </c>
      <c r="AJ4559">
        <v>0</v>
      </c>
      <c r="AK4559">
        <v>0</v>
      </c>
      <c r="AL4559">
        <v>0</v>
      </c>
      <c r="AM4559">
        <v>77067</v>
      </c>
      <c r="AN4559">
        <v>32839.5</v>
      </c>
      <c r="AO4559">
        <v>109906.5</v>
      </c>
      <c r="AP4559">
        <v>0</v>
      </c>
      <c r="AQ4559">
        <v>0</v>
      </c>
      <c r="AR4559">
        <v>0</v>
      </c>
      <c r="AS4559" t="s">
        <v>239</v>
      </c>
      <c r="AT4559" t="s">
        <v>514</v>
      </c>
    </row>
    <row r="4560" spans="2:46" x14ac:dyDescent="0.35">
      <c r="B4560" t="s">
        <v>563</v>
      </c>
      <c r="C4560">
        <v>45803</v>
      </c>
      <c r="J4560">
        <v>0</v>
      </c>
      <c r="O4560" t="s">
        <v>239</v>
      </c>
      <c r="P4560" t="s">
        <v>514</v>
      </c>
      <c r="U4560">
        <v>0</v>
      </c>
      <c r="Y4560">
        <v>146</v>
      </c>
      <c r="Z4560" s="259" t="s">
        <v>637</v>
      </c>
      <c r="AB4560">
        <v>32933</v>
      </c>
      <c r="AF4560">
        <v>109966.5</v>
      </c>
      <c r="AG4560">
        <v>0</v>
      </c>
      <c r="AI4560">
        <v>109906.5</v>
      </c>
      <c r="AJ4560">
        <v>0</v>
      </c>
      <c r="AK4560">
        <v>0</v>
      </c>
      <c r="AL4560">
        <v>0</v>
      </c>
      <c r="AM4560">
        <v>77067</v>
      </c>
      <c r="AN4560">
        <v>32899.5</v>
      </c>
      <c r="AO4560">
        <v>109966.5</v>
      </c>
      <c r="AP4560">
        <v>0</v>
      </c>
      <c r="AQ4560">
        <v>60</v>
      </c>
      <c r="AR4560">
        <v>5.4591857624441964E-4</v>
      </c>
      <c r="AS4560" t="s">
        <v>239</v>
      </c>
      <c r="AT4560" t="s">
        <v>514</v>
      </c>
    </row>
    <row r="4561" spans="2:46" x14ac:dyDescent="0.35">
      <c r="B4561" t="s">
        <v>563</v>
      </c>
      <c r="C4561">
        <v>45804</v>
      </c>
      <c r="J4561">
        <v>0</v>
      </c>
      <c r="O4561" t="s">
        <v>239</v>
      </c>
      <c r="P4561" t="s">
        <v>514</v>
      </c>
      <c r="U4561">
        <v>0</v>
      </c>
      <c r="Y4561">
        <v>147</v>
      </c>
      <c r="Z4561" s="259" t="s">
        <v>637</v>
      </c>
      <c r="AB4561">
        <v>32933</v>
      </c>
      <c r="AF4561">
        <v>109987.5</v>
      </c>
      <c r="AG4561">
        <v>0</v>
      </c>
      <c r="AI4561">
        <v>109966.5</v>
      </c>
      <c r="AJ4561">
        <v>0</v>
      </c>
      <c r="AK4561">
        <v>0</v>
      </c>
      <c r="AL4561">
        <v>0</v>
      </c>
      <c r="AM4561">
        <v>77067</v>
      </c>
      <c r="AN4561">
        <v>32920.5</v>
      </c>
      <c r="AO4561">
        <v>109987.5</v>
      </c>
      <c r="AP4561">
        <v>0</v>
      </c>
      <c r="AQ4561">
        <v>21</v>
      </c>
      <c r="AR4561">
        <v>1.9096724911671359E-4</v>
      </c>
      <c r="AS4561" t="s">
        <v>239</v>
      </c>
      <c r="AT4561" t="s">
        <v>514</v>
      </c>
    </row>
    <row r="4562" spans="2:46" x14ac:dyDescent="0.35">
      <c r="B4562" t="s">
        <v>563</v>
      </c>
      <c r="C4562">
        <v>45805</v>
      </c>
      <c r="J4562">
        <v>0</v>
      </c>
      <c r="O4562" t="s">
        <v>239</v>
      </c>
      <c r="P4562" t="s">
        <v>514</v>
      </c>
      <c r="U4562">
        <v>0</v>
      </c>
      <c r="Y4562">
        <v>148</v>
      </c>
      <c r="Z4562" s="259" t="s">
        <v>637</v>
      </c>
      <c r="AB4562">
        <v>32933</v>
      </c>
      <c r="AF4562">
        <v>110007</v>
      </c>
      <c r="AG4562">
        <v>0</v>
      </c>
      <c r="AI4562">
        <v>109987.5</v>
      </c>
      <c r="AJ4562">
        <v>0</v>
      </c>
      <c r="AK4562">
        <v>0</v>
      </c>
      <c r="AL4562">
        <v>0</v>
      </c>
      <c r="AM4562">
        <v>77067</v>
      </c>
      <c r="AN4562">
        <v>32940</v>
      </c>
      <c r="AO4562">
        <v>110007</v>
      </c>
      <c r="AP4562">
        <v>0</v>
      </c>
      <c r="AQ4562">
        <v>19.5</v>
      </c>
      <c r="AR4562">
        <v>1.772928741903268E-4</v>
      </c>
      <c r="AS4562" t="s">
        <v>239</v>
      </c>
      <c r="AT4562" t="s">
        <v>514</v>
      </c>
    </row>
    <row r="4563" spans="2:46" x14ac:dyDescent="0.35">
      <c r="B4563" t="s">
        <v>563</v>
      </c>
      <c r="C4563">
        <v>45806</v>
      </c>
      <c r="J4563">
        <v>0</v>
      </c>
      <c r="O4563" t="s">
        <v>239</v>
      </c>
      <c r="P4563" t="s">
        <v>514</v>
      </c>
      <c r="U4563">
        <v>0</v>
      </c>
      <c r="Y4563">
        <v>149</v>
      </c>
      <c r="Z4563" s="259" t="s">
        <v>637</v>
      </c>
      <c r="AB4563">
        <v>32933</v>
      </c>
      <c r="AF4563">
        <v>110026.5</v>
      </c>
      <c r="AG4563">
        <v>0</v>
      </c>
      <c r="AI4563">
        <v>110007</v>
      </c>
      <c r="AJ4563">
        <v>0</v>
      </c>
      <c r="AK4563">
        <v>0</v>
      </c>
      <c r="AL4563">
        <v>0</v>
      </c>
      <c r="AM4563">
        <v>77067</v>
      </c>
      <c r="AN4563">
        <v>32959.5</v>
      </c>
      <c r="AO4563">
        <v>110026.5</v>
      </c>
      <c r="AP4563">
        <v>0</v>
      </c>
      <c r="AQ4563">
        <v>19.5</v>
      </c>
      <c r="AR4563">
        <v>1.7726144699881097E-4</v>
      </c>
      <c r="AS4563" t="s">
        <v>239</v>
      </c>
      <c r="AT4563" t="s">
        <v>514</v>
      </c>
    </row>
    <row r="4564" spans="2:46" x14ac:dyDescent="0.35">
      <c r="B4564" t="s">
        <v>563</v>
      </c>
      <c r="C4564">
        <v>45807</v>
      </c>
      <c r="J4564">
        <v>0</v>
      </c>
      <c r="O4564" t="s">
        <v>239</v>
      </c>
      <c r="P4564" t="s">
        <v>514</v>
      </c>
      <c r="U4564">
        <v>0</v>
      </c>
      <c r="Y4564">
        <v>150</v>
      </c>
      <c r="Z4564" s="259" t="s">
        <v>637</v>
      </c>
      <c r="AB4564">
        <v>32933</v>
      </c>
      <c r="AF4564">
        <v>110047.5</v>
      </c>
      <c r="AG4564">
        <v>0</v>
      </c>
      <c r="AI4564">
        <v>110026.5</v>
      </c>
      <c r="AJ4564">
        <v>0</v>
      </c>
      <c r="AK4564">
        <v>0</v>
      </c>
      <c r="AL4564">
        <v>0</v>
      </c>
      <c r="AM4564">
        <v>77067</v>
      </c>
      <c r="AN4564">
        <v>32980.5</v>
      </c>
      <c r="AO4564">
        <v>110047.5</v>
      </c>
      <c r="AP4564">
        <v>0</v>
      </c>
      <c r="AQ4564">
        <v>21</v>
      </c>
      <c r="AR4564">
        <v>1.9086311025073854E-4</v>
      </c>
      <c r="AS4564" t="s">
        <v>239</v>
      </c>
      <c r="AT4564" t="s">
        <v>514</v>
      </c>
    </row>
    <row r="4565" spans="2:46" x14ac:dyDescent="0.35">
      <c r="B4565" t="s">
        <v>563</v>
      </c>
      <c r="C4565">
        <v>45808</v>
      </c>
      <c r="J4565">
        <v>0</v>
      </c>
      <c r="O4565" t="s">
        <v>239</v>
      </c>
      <c r="P4565" t="s">
        <v>514</v>
      </c>
      <c r="U4565">
        <v>0</v>
      </c>
      <c r="Y4565">
        <v>151</v>
      </c>
      <c r="Z4565" s="259" t="s">
        <v>637</v>
      </c>
      <c r="AB4565">
        <v>32933</v>
      </c>
      <c r="AF4565">
        <v>110047.5</v>
      </c>
      <c r="AG4565">
        <v>0</v>
      </c>
      <c r="AI4565">
        <v>110047.5</v>
      </c>
      <c r="AJ4565">
        <v>0</v>
      </c>
      <c r="AK4565">
        <v>0</v>
      </c>
      <c r="AL4565">
        <v>0</v>
      </c>
      <c r="AM4565">
        <v>77067</v>
      </c>
      <c r="AN4565">
        <v>32980.5</v>
      </c>
      <c r="AO4565">
        <v>110047.5</v>
      </c>
      <c r="AP4565">
        <v>0</v>
      </c>
      <c r="AQ4565">
        <v>0</v>
      </c>
      <c r="AR4565">
        <v>0</v>
      </c>
      <c r="AS4565" t="s">
        <v>239</v>
      </c>
      <c r="AT4565" t="s">
        <v>514</v>
      </c>
    </row>
    <row r="4566" spans="2:46" x14ac:dyDescent="0.35">
      <c r="B4566" t="s">
        <v>563</v>
      </c>
      <c r="C4566">
        <v>45809</v>
      </c>
      <c r="J4566">
        <v>0</v>
      </c>
      <c r="O4566" t="s">
        <v>239</v>
      </c>
      <c r="P4566" t="s">
        <v>514</v>
      </c>
      <c r="U4566">
        <v>0</v>
      </c>
      <c r="Y4566">
        <v>152</v>
      </c>
      <c r="Z4566" s="259" t="s">
        <v>637</v>
      </c>
      <c r="AB4566">
        <v>32933</v>
      </c>
      <c r="AF4566">
        <v>110047.5</v>
      </c>
      <c r="AG4566">
        <v>0</v>
      </c>
      <c r="AI4566">
        <v>110047.5</v>
      </c>
      <c r="AJ4566">
        <v>0</v>
      </c>
      <c r="AK4566">
        <v>0</v>
      </c>
      <c r="AL4566">
        <v>0</v>
      </c>
      <c r="AM4566">
        <v>77067</v>
      </c>
      <c r="AN4566">
        <v>32980.5</v>
      </c>
      <c r="AO4566">
        <v>110047.5</v>
      </c>
      <c r="AP4566">
        <v>0</v>
      </c>
      <c r="AQ4566">
        <v>0</v>
      </c>
      <c r="AR4566">
        <v>0</v>
      </c>
      <c r="AS4566" t="s">
        <v>239</v>
      </c>
      <c r="AT4566" t="s">
        <v>514</v>
      </c>
    </row>
    <row r="4567" spans="2:46" x14ac:dyDescent="0.35">
      <c r="B4567" t="s">
        <v>563</v>
      </c>
      <c r="C4567">
        <v>45810</v>
      </c>
      <c r="J4567">
        <v>0</v>
      </c>
      <c r="O4567" t="s">
        <v>239</v>
      </c>
      <c r="P4567" t="s">
        <v>514</v>
      </c>
      <c r="U4567">
        <v>0</v>
      </c>
      <c r="Y4567">
        <v>153</v>
      </c>
      <c r="Z4567" s="259" t="s">
        <v>637</v>
      </c>
      <c r="AB4567">
        <v>32933</v>
      </c>
      <c r="AF4567">
        <v>110095.5</v>
      </c>
      <c r="AG4567">
        <v>0</v>
      </c>
      <c r="AI4567">
        <v>110047.5</v>
      </c>
      <c r="AJ4567">
        <v>0</v>
      </c>
      <c r="AK4567">
        <v>0</v>
      </c>
      <c r="AL4567">
        <v>0</v>
      </c>
      <c r="AM4567">
        <v>77067</v>
      </c>
      <c r="AN4567">
        <v>33028.5</v>
      </c>
      <c r="AO4567">
        <v>110095.5</v>
      </c>
      <c r="AP4567">
        <v>0</v>
      </c>
      <c r="AQ4567">
        <v>48</v>
      </c>
      <c r="AR4567">
        <v>4.3617528794381855E-4</v>
      </c>
      <c r="AS4567" t="s">
        <v>239</v>
      </c>
      <c r="AT4567" t="s">
        <v>514</v>
      </c>
    </row>
    <row r="4568" spans="2:46" x14ac:dyDescent="0.35">
      <c r="B4568" t="s">
        <v>563</v>
      </c>
      <c r="C4568">
        <v>45811</v>
      </c>
      <c r="J4568">
        <v>0</v>
      </c>
      <c r="O4568" t="s">
        <v>239</v>
      </c>
      <c r="P4568" t="s">
        <v>514</v>
      </c>
      <c r="U4568">
        <v>0</v>
      </c>
      <c r="Y4568">
        <v>154</v>
      </c>
      <c r="Z4568" s="259" t="s">
        <v>637</v>
      </c>
      <c r="AB4568">
        <v>32933</v>
      </c>
      <c r="AF4568">
        <v>110125.5</v>
      </c>
      <c r="AG4568">
        <v>0</v>
      </c>
      <c r="AI4568">
        <v>110095.5</v>
      </c>
      <c r="AJ4568">
        <v>0</v>
      </c>
      <c r="AK4568">
        <v>0</v>
      </c>
      <c r="AL4568">
        <v>0</v>
      </c>
      <c r="AM4568">
        <v>77067</v>
      </c>
      <c r="AN4568">
        <v>33058.5</v>
      </c>
      <c r="AO4568">
        <v>110125.5</v>
      </c>
      <c r="AP4568">
        <v>0</v>
      </c>
      <c r="AQ4568">
        <v>30</v>
      </c>
      <c r="AR4568">
        <v>2.7249070125479058E-4</v>
      </c>
      <c r="AS4568" t="s">
        <v>239</v>
      </c>
      <c r="AT4568" t="s">
        <v>514</v>
      </c>
    </row>
    <row r="4569" spans="2:46" x14ac:dyDescent="0.35">
      <c r="B4569" t="s">
        <v>563</v>
      </c>
      <c r="C4569">
        <v>45812</v>
      </c>
      <c r="J4569">
        <v>0</v>
      </c>
      <c r="O4569" t="s">
        <v>239</v>
      </c>
      <c r="P4569" t="s">
        <v>514</v>
      </c>
      <c r="U4569">
        <v>0</v>
      </c>
      <c r="Y4569">
        <v>155</v>
      </c>
      <c r="Z4569" s="259" t="s">
        <v>637</v>
      </c>
      <c r="AB4569">
        <v>32933</v>
      </c>
      <c r="AF4569">
        <v>110155</v>
      </c>
      <c r="AG4569">
        <v>0</v>
      </c>
      <c r="AI4569">
        <v>110125.5</v>
      </c>
      <c r="AJ4569">
        <v>0</v>
      </c>
      <c r="AK4569">
        <v>0</v>
      </c>
      <c r="AL4569">
        <v>0</v>
      </c>
      <c r="AM4569">
        <v>77067</v>
      </c>
      <c r="AN4569">
        <v>33088</v>
      </c>
      <c r="AO4569">
        <v>110155</v>
      </c>
      <c r="AP4569">
        <v>0</v>
      </c>
      <c r="AQ4569">
        <v>29.5</v>
      </c>
      <c r="AR4569">
        <v>2.6787619579482502E-4</v>
      </c>
      <c r="AS4569" t="s">
        <v>239</v>
      </c>
      <c r="AT4569" t="s">
        <v>514</v>
      </c>
    </row>
    <row r="4570" spans="2:46" x14ac:dyDescent="0.35">
      <c r="B4570" t="s">
        <v>563</v>
      </c>
      <c r="C4570">
        <v>45813</v>
      </c>
      <c r="J4570">
        <v>0</v>
      </c>
      <c r="O4570" t="s">
        <v>239</v>
      </c>
      <c r="P4570" t="s">
        <v>514</v>
      </c>
      <c r="U4570">
        <v>0</v>
      </c>
      <c r="Y4570">
        <v>156</v>
      </c>
      <c r="Z4570" s="259" t="s">
        <v>637</v>
      </c>
      <c r="AB4570">
        <v>32933</v>
      </c>
      <c r="AF4570">
        <v>110185</v>
      </c>
      <c r="AG4570">
        <v>0</v>
      </c>
      <c r="AI4570">
        <v>110155</v>
      </c>
      <c r="AJ4570">
        <v>0</v>
      </c>
      <c r="AK4570">
        <v>0</v>
      </c>
      <c r="AL4570">
        <v>0</v>
      </c>
      <c r="AM4570">
        <v>77067</v>
      </c>
      <c r="AN4570">
        <v>33118</v>
      </c>
      <c r="AO4570">
        <v>110185</v>
      </c>
      <c r="AP4570">
        <v>0</v>
      </c>
      <c r="AQ4570">
        <v>30</v>
      </c>
      <c r="AR4570">
        <v>2.7234351595484263E-4</v>
      </c>
      <c r="AS4570" t="s">
        <v>239</v>
      </c>
      <c r="AT4570" t="s">
        <v>514</v>
      </c>
    </row>
    <row r="4571" spans="2:46" x14ac:dyDescent="0.35">
      <c r="B4571" t="s">
        <v>563</v>
      </c>
      <c r="C4571">
        <v>45814</v>
      </c>
      <c r="J4571">
        <v>0</v>
      </c>
      <c r="O4571" t="s">
        <v>239</v>
      </c>
      <c r="P4571" t="s">
        <v>514</v>
      </c>
      <c r="U4571">
        <v>0</v>
      </c>
      <c r="Y4571">
        <v>157</v>
      </c>
      <c r="Z4571" s="259" t="s">
        <v>637</v>
      </c>
      <c r="AB4571">
        <v>32933</v>
      </c>
      <c r="AF4571">
        <v>110213.5</v>
      </c>
      <c r="AG4571">
        <v>0</v>
      </c>
      <c r="AI4571">
        <v>110185</v>
      </c>
      <c r="AJ4571">
        <v>0</v>
      </c>
      <c r="AK4571">
        <v>0</v>
      </c>
      <c r="AL4571">
        <v>0</v>
      </c>
      <c r="AM4571">
        <v>77067</v>
      </c>
      <c r="AN4571">
        <v>33146.5</v>
      </c>
      <c r="AO4571">
        <v>110213.5</v>
      </c>
      <c r="AP4571">
        <v>0</v>
      </c>
      <c r="AQ4571">
        <v>28.5</v>
      </c>
      <c r="AR4571">
        <v>2.5865589690066138E-4</v>
      </c>
      <c r="AS4571" t="s">
        <v>239</v>
      </c>
      <c r="AT4571" t="s">
        <v>514</v>
      </c>
    </row>
    <row r="4572" spans="2:46" x14ac:dyDescent="0.35">
      <c r="B4572" t="s">
        <v>563</v>
      </c>
      <c r="C4572">
        <v>45815</v>
      </c>
      <c r="J4572">
        <v>0</v>
      </c>
      <c r="O4572" t="s">
        <v>239</v>
      </c>
      <c r="P4572" t="s">
        <v>514</v>
      </c>
      <c r="U4572">
        <v>0</v>
      </c>
      <c r="Y4572">
        <v>158</v>
      </c>
      <c r="Z4572" s="259" t="s">
        <v>637</v>
      </c>
      <c r="AB4572">
        <v>32933</v>
      </c>
      <c r="AF4572">
        <v>110213.5</v>
      </c>
      <c r="AG4572">
        <v>0</v>
      </c>
      <c r="AI4572">
        <v>110213.5</v>
      </c>
      <c r="AJ4572">
        <v>0</v>
      </c>
      <c r="AK4572">
        <v>0</v>
      </c>
      <c r="AL4572">
        <v>0</v>
      </c>
      <c r="AM4572">
        <v>77067</v>
      </c>
      <c r="AN4572">
        <v>33146.5</v>
      </c>
      <c r="AO4572">
        <v>110213.5</v>
      </c>
      <c r="AP4572">
        <v>0</v>
      </c>
      <c r="AQ4572">
        <v>0</v>
      </c>
      <c r="AR4572">
        <v>0</v>
      </c>
      <c r="AS4572" t="s">
        <v>239</v>
      </c>
      <c r="AT4572" t="s">
        <v>514</v>
      </c>
    </row>
    <row r="4573" spans="2:46" x14ac:dyDescent="0.35">
      <c r="B4573" t="s">
        <v>563</v>
      </c>
      <c r="C4573">
        <v>45816</v>
      </c>
      <c r="J4573">
        <v>0</v>
      </c>
      <c r="O4573" t="s">
        <v>239</v>
      </c>
      <c r="P4573" t="s">
        <v>514</v>
      </c>
      <c r="U4573">
        <v>0</v>
      </c>
      <c r="Y4573">
        <v>159</v>
      </c>
      <c r="Z4573" s="259" t="s">
        <v>637</v>
      </c>
      <c r="AB4573">
        <v>32933</v>
      </c>
      <c r="AF4573">
        <v>110213.5</v>
      </c>
      <c r="AG4573">
        <v>0</v>
      </c>
      <c r="AI4573">
        <v>110213.5</v>
      </c>
      <c r="AJ4573">
        <v>0</v>
      </c>
      <c r="AK4573">
        <v>0</v>
      </c>
      <c r="AL4573">
        <v>0</v>
      </c>
      <c r="AM4573">
        <v>77067</v>
      </c>
      <c r="AN4573">
        <v>33146.5</v>
      </c>
      <c r="AO4573">
        <v>110213.5</v>
      </c>
      <c r="AP4573">
        <v>0</v>
      </c>
      <c r="AQ4573">
        <v>0</v>
      </c>
      <c r="AR4573">
        <v>0</v>
      </c>
      <c r="AS4573" t="s">
        <v>239</v>
      </c>
      <c r="AT4573" t="s">
        <v>514</v>
      </c>
    </row>
    <row r="4574" spans="2:46" x14ac:dyDescent="0.35">
      <c r="B4574" t="s">
        <v>563</v>
      </c>
      <c r="C4574">
        <v>45817</v>
      </c>
      <c r="J4574">
        <v>0</v>
      </c>
      <c r="O4574" t="s">
        <v>239</v>
      </c>
      <c r="P4574" t="s">
        <v>514</v>
      </c>
      <c r="U4574">
        <v>0</v>
      </c>
      <c r="Y4574">
        <v>160</v>
      </c>
      <c r="Z4574" s="259" t="s">
        <v>637</v>
      </c>
      <c r="AB4574">
        <v>32933</v>
      </c>
      <c r="AF4574">
        <v>110302</v>
      </c>
      <c r="AG4574">
        <v>0</v>
      </c>
      <c r="AI4574">
        <v>110213.5</v>
      </c>
      <c r="AJ4574">
        <v>0</v>
      </c>
      <c r="AK4574">
        <v>0</v>
      </c>
      <c r="AL4574">
        <v>0</v>
      </c>
      <c r="AM4574">
        <v>77067</v>
      </c>
      <c r="AN4574">
        <v>33235</v>
      </c>
      <c r="AO4574">
        <v>110302</v>
      </c>
      <c r="AP4574">
        <v>0</v>
      </c>
      <c r="AQ4574">
        <v>88.5</v>
      </c>
      <c r="AR4574">
        <v>8.0298692991331855E-4</v>
      </c>
      <c r="AS4574" t="s">
        <v>239</v>
      </c>
      <c r="AT4574" t="s">
        <v>514</v>
      </c>
    </row>
    <row r="4575" spans="2:46" x14ac:dyDescent="0.35">
      <c r="B4575" t="s">
        <v>563</v>
      </c>
      <c r="C4575">
        <v>45818</v>
      </c>
      <c r="J4575">
        <v>0</v>
      </c>
      <c r="O4575" t="s">
        <v>239</v>
      </c>
      <c r="P4575" t="s">
        <v>514</v>
      </c>
      <c r="U4575">
        <v>0</v>
      </c>
      <c r="Y4575">
        <v>161</v>
      </c>
      <c r="Z4575" s="259" t="s">
        <v>637</v>
      </c>
      <c r="AB4575">
        <v>32933</v>
      </c>
      <c r="AF4575">
        <v>110330.5</v>
      </c>
      <c r="AG4575">
        <v>0</v>
      </c>
      <c r="AI4575">
        <v>110302</v>
      </c>
      <c r="AJ4575">
        <v>0</v>
      </c>
      <c r="AK4575">
        <v>0</v>
      </c>
      <c r="AL4575">
        <v>0</v>
      </c>
      <c r="AM4575">
        <v>77067</v>
      </c>
      <c r="AN4575">
        <v>33263.5</v>
      </c>
      <c r="AO4575">
        <v>110330.5</v>
      </c>
      <c r="AP4575">
        <v>0</v>
      </c>
      <c r="AQ4575">
        <v>28.5</v>
      </c>
      <c r="AR4575">
        <v>2.5838153433310751E-4</v>
      </c>
      <c r="AS4575" t="s">
        <v>239</v>
      </c>
      <c r="AT4575" t="s">
        <v>514</v>
      </c>
    </row>
    <row r="4576" spans="2:46" x14ac:dyDescent="0.35">
      <c r="B4576" t="s">
        <v>563</v>
      </c>
      <c r="C4576">
        <v>45819</v>
      </c>
      <c r="J4576">
        <v>0</v>
      </c>
      <c r="O4576" t="s">
        <v>239</v>
      </c>
      <c r="P4576" t="s">
        <v>514</v>
      </c>
      <c r="U4576">
        <v>0</v>
      </c>
      <c r="Y4576">
        <v>162</v>
      </c>
      <c r="Z4576" s="259" t="s">
        <v>637</v>
      </c>
      <c r="AB4576">
        <v>32933</v>
      </c>
      <c r="AF4576">
        <v>110360.5</v>
      </c>
      <c r="AG4576">
        <v>0</v>
      </c>
      <c r="AI4576">
        <v>110330.5</v>
      </c>
      <c r="AJ4576">
        <v>0</v>
      </c>
      <c r="AK4576">
        <v>0</v>
      </c>
      <c r="AL4576">
        <v>0</v>
      </c>
      <c r="AM4576">
        <v>77067</v>
      </c>
      <c r="AN4576">
        <v>33293.5</v>
      </c>
      <c r="AO4576">
        <v>110360.5</v>
      </c>
      <c r="AP4576">
        <v>0</v>
      </c>
      <c r="AQ4576">
        <v>30</v>
      </c>
      <c r="AR4576">
        <v>2.7191030585371756E-4</v>
      </c>
      <c r="AS4576" t="s">
        <v>239</v>
      </c>
      <c r="AT4576" t="s">
        <v>514</v>
      </c>
    </row>
    <row r="4577" spans="2:46" x14ac:dyDescent="0.35">
      <c r="B4577" t="s">
        <v>563</v>
      </c>
      <c r="C4577">
        <v>45820</v>
      </c>
      <c r="J4577">
        <v>0</v>
      </c>
      <c r="O4577" t="s">
        <v>239</v>
      </c>
      <c r="P4577" t="s">
        <v>514</v>
      </c>
      <c r="U4577">
        <v>0</v>
      </c>
      <c r="Y4577">
        <v>163</v>
      </c>
      <c r="Z4577" s="259" t="s">
        <v>637</v>
      </c>
      <c r="AB4577">
        <v>32933</v>
      </c>
      <c r="AF4577">
        <v>110389</v>
      </c>
      <c r="AG4577">
        <v>0</v>
      </c>
      <c r="AI4577">
        <v>110360.5</v>
      </c>
      <c r="AJ4577">
        <v>0</v>
      </c>
      <c r="AK4577">
        <v>0</v>
      </c>
      <c r="AL4577">
        <v>0</v>
      </c>
      <c r="AM4577">
        <v>77067</v>
      </c>
      <c r="AN4577">
        <v>33322</v>
      </c>
      <c r="AO4577">
        <v>110389</v>
      </c>
      <c r="AP4577">
        <v>0</v>
      </c>
      <c r="AQ4577">
        <v>28.5</v>
      </c>
      <c r="AR4577">
        <v>2.5824457120071642E-4</v>
      </c>
      <c r="AS4577" t="s">
        <v>239</v>
      </c>
      <c r="AT4577" t="s">
        <v>514</v>
      </c>
    </row>
    <row r="4578" spans="2:46" x14ac:dyDescent="0.35">
      <c r="B4578" t="s">
        <v>563</v>
      </c>
      <c r="C4578">
        <v>45821</v>
      </c>
      <c r="J4578">
        <v>0</v>
      </c>
      <c r="O4578" t="s">
        <v>239</v>
      </c>
      <c r="P4578" t="s">
        <v>514</v>
      </c>
      <c r="U4578">
        <v>0</v>
      </c>
      <c r="Y4578">
        <v>164</v>
      </c>
      <c r="Z4578" s="259" t="s">
        <v>637</v>
      </c>
      <c r="AB4578">
        <v>32933</v>
      </c>
      <c r="AF4578">
        <v>110419</v>
      </c>
      <c r="AG4578">
        <v>0</v>
      </c>
      <c r="AI4578">
        <v>110389</v>
      </c>
      <c r="AJ4578">
        <v>0</v>
      </c>
      <c r="AK4578">
        <v>0</v>
      </c>
      <c r="AL4578">
        <v>0</v>
      </c>
      <c r="AM4578">
        <v>77067</v>
      </c>
      <c r="AN4578">
        <v>33352</v>
      </c>
      <c r="AO4578">
        <v>110419</v>
      </c>
      <c r="AP4578">
        <v>0</v>
      </c>
      <c r="AQ4578">
        <v>30</v>
      </c>
      <c r="AR4578">
        <v>2.7176620858959666E-4</v>
      </c>
      <c r="AS4578" t="s">
        <v>239</v>
      </c>
      <c r="AT4578" t="s">
        <v>514</v>
      </c>
    </row>
    <row r="4579" spans="2:46" x14ac:dyDescent="0.35">
      <c r="B4579" t="s">
        <v>563</v>
      </c>
      <c r="C4579">
        <v>45822</v>
      </c>
      <c r="J4579">
        <v>0</v>
      </c>
      <c r="O4579" t="s">
        <v>239</v>
      </c>
      <c r="P4579" t="s">
        <v>514</v>
      </c>
      <c r="U4579">
        <v>0</v>
      </c>
      <c r="Y4579">
        <v>165</v>
      </c>
      <c r="Z4579" s="259" t="s">
        <v>637</v>
      </c>
      <c r="AB4579">
        <v>32933</v>
      </c>
      <c r="AF4579">
        <v>110419</v>
      </c>
      <c r="AG4579">
        <v>0</v>
      </c>
      <c r="AI4579">
        <v>110419</v>
      </c>
      <c r="AJ4579">
        <v>0</v>
      </c>
      <c r="AK4579">
        <v>0</v>
      </c>
      <c r="AL4579">
        <v>0</v>
      </c>
      <c r="AM4579">
        <v>77067</v>
      </c>
      <c r="AN4579">
        <v>33352</v>
      </c>
      <c r="AO4579">
        <v>110419</v>
      </c>
      <c r="AP4579">
        <v>0</v>
      </c>
      <c r="AQ4579">
        <v>0</v>
      </c>
      <c r="AR4579">
        <v>0</v>
      </c>
      <c r="AS4579" t="s">
        <v>239</v>
      </c>
      <c r="AT4579" t="s">
        <v>514</v>
      </c>
    </row>
    <row r="4580" spans="2:46" x14ac:dyDescent="0.35">
      <c r="B4580" t="s">
        <v>563</v>
      </c>
      <c r="C4580">
        <v>45823</v>
      </c>
      <c r="J4580">
        <v>0</v>
      </c>
      <c r="O4580" t="s">
        <v>239</v>
      </c>
      <c r="P4580" t="s">
        <v>514</v>
      </c>
      <c r="U4580">
        <v>0</v>
      </c>
      <c r="Y4580">
        <v>166</v>
      </c>
      <c r="Z4580" s="259" t="s">
        <v>637</v>
      </c>
      <c r="AB4580">
        <v>32933</v>
      </c>
      <c r="AF4580">
        <v>110419</v>
      </c>
      <c r="AG4580">
        <v>0</v>
      </c>
      <c r="AI4580">
        <v>110419</v>
      </c>
      <c r="AJ4580">
        <v>0</v>
      </c>
      <c r="AK4580">
        <v>0</v>
      </c>
      <c r="AL4580">
        <v>0</v>
      </c>
      <c r="AM4580">
        <v>77067</v>
      </c>
      <c r="AN4580">
        <v>33352</v>
      </c>
      <c r="AO4580">
        <v>110419</v>
      </c>
      <c r="AP4580">
        <v>0</v>
      </c>
      <c r="AQ4580">
        <v>0</v>
      </c>
      <c r="AR4580">
        <v>0</v>
      </c>
      <c r="AS4580" t="s">
        <v>239</v>
      </c>
      <c r="AT4580" t="s">
        <v>514</v>
      </c>
    </row>
    <row r="4581" spans="2:46" x14ac:dyDescent="0.35">
      <c r="B4581" t="s">
        <v>563</v>
      </c>
      <c r="C4581">
        <v>45824</v>
      </c>
      <c r="J4581">
        <v>0</v>
      </c>
      <c r="O4581" t="s">
        <v>239</v>
      </c>
      <c r="P4581" t="s">
        <v>514</v>
      </c>
      <c r="U4581">
        <v>0</v>
      </c>
      <c r="Y4581">
        <v>167</v>
      </c>
      <c r="Z4581" s="259" t="s">
        <v>637</v>
      </c>
      <c r="AB4581">
        <v>32933</v>
      </c>
      <c r="AF4581">
        <v>110505.5</v>
      </c>
      <c r="AG4581">
        <v>0</v>
      </c>
      <c r="AI4581">
        <v>110419</v>
      </c>
      <c r="AJ4581">
        <v>0</v>
      </c>
      <c r="AK4581">
        <v>0</v>
      </c>
      <c r="AL4581">
        <v>0</v>
      </c>
      <c r="AM4581">
        <v>77067</v>
      </c>
      <c r="AN4581">
        <v>33438.5</v>
      </c>
      <c r="AO4581">
        <v>110505.5</v>
      </c>
      <c r="AP4581">
        <v>0</v>
      </c>
      <c r="AQ4581">
        <v>86.5</v>
      </c>
      <c r="AR4581">
        <v>7.8337967197672498E-4</v>
      </c>
      <c r="AS4581" t="s">
        <v>239</v>
      </c>
      <c r="AT4581" t="s">
        <v>514</v>
      </c>
    </row>
    <row r="4582" spans="2:46" x14ac:dyDescent="0.35">
      <c r="B4582" t="s">
        <v>563</v>
      </c>
      <c r="C4582">
        <v>45825</v>
      </c>
      <c r="J4582">
        <v>0</v>
      </c>
      <c r="O4582" t="s">
        <v>239</v>
      </c>
      <c r="P4582" t="s">
        <v>514</v>
      </c>
      <c r="U4582">
        <v>0</v>
      </c>
      <c r="Y4582">
        <v>168</v>
      </c>
      <c r="Z4582" s="259" t="s">
        <v>637</v>
      </c>
      <c r="AB4582">
        <v>32933</v>
      </c>
      <c r="AF4582">
        <v>110535.5</v>
      </c>
      <c r="AG4582">
        <v>0</v>
      </c>
      <c r="AI4582">
        <v>110505.5</v>
      </c>
      <c r="AJ4582">
        <v>0</v>
      </c>
      <c r="AK4582">
        <v>0</v>
      </c>
      <c r="AL4582">
        <v>0</v>
      </c>
      <c r="AM4582">
        <v>77067</v>
      </c>
      <c r="AN4582">
        <v>33468.5</v>
      </c>
      <c r="AO4582">
        <v>110535.5</v>
      </c>
      <c r="AP4582">
        <v>0</v>
      </c>
      <c r="AQ4582">
        <v>30</v>
      </c>
      <c r="AR4582">
        <v>2.7147970010532596E-4</v>
      </c>
      <c r="AS4582" t="s">
        <v>239</v>
      </c>
      <c r="AT4582" t="s">
        <v>514</v>
      </c>
    </row>
    <row r="4583" spans="2:46" x14ac:dyDescent="0.35">
      <c r="B4583" t="s">
        <v>563</v>
      </c>
      <c r="C4583">
        <v>45826</v>
      </c>
      <c r="J4583">
        <v>0</v>
      </c>
      <c r="O4583" t="s">
        <v>239</v>
      </c>
      <c r="P4583" t="s">
        <v>514</v>
      </c>
      <c r="U4583">
        <v>0</v>
      </c>
      <c r="Y4583">
        <v>169</v>
      </c>
      <c r="Z4583" s="259" t="s">
        <v>637</v>
      </c>
      <c r="AB4583">
        <v>32933</v>
      </c>
      <c r="AF4583">
        <v>110566.5</v>
      </c>
      <c r="AG4583">
        <v>0</v>
      </c>
      <c r="AI4583">
        <v>110535.5</v>
      </c>
      <c r="AJ4583">
        <v>0</v>
      </c>
      <c r="AK4583">
        <v>0</v>
      </c>
      <c r="AL4583">
        <v>0</v>
      </c>
      <c r="AM4583">
        <v>77067</v>
      </c>
      <c r="AN4583">
        <v>33499.5</v>
      </c>
      <c r="AO4583">
        <v>110566.5</v>
      </c>
      <c r="AP4583">
        <v>0</v>
      </c>
      <c r="AQ4583">
        <v>31</v>
      </c>
      <c r="AR4583">
        <v>2.8045288617684072E-4</v>
      </c>
      <c r="AS4583" t="s">
        <v>239</v>
      </c>
      <c r="AT4583" t="s">
        <v>514</v>
      </c>
    </row>
    <row r="4584" spans="2:46" x14ac:dyDescent="0.35">
      <c r="B4584" t="s">
        <v>563</v>
      </c>
      <c r="C4584">
        <v>45827</v>
      </c>
      <c r="J4584">
        <v>0</v>
      </c>
      <c r="O4584" t="s">
        <v>239</v>
      </c>
      <c r="P4584" t="s">
        <v>514</v>
      </c>
      <c r="U4584">
        <v>0</v>
      </c>
      <c r="Y4584">
        <v>170</v>
      </c>
      <c r="Z4584" s="259" t="s">
        <v>637</v>
      </c>
      <c r="AB4584">
        <v>32933</v>
      </c>
      <c r="AF4584">
        <v>110593.5</v>
      </c>
      <c r="AG4584">
        <v>0</v>
      </c>
      <c r="AI4584">
        <v>110566.5</v>
      </c>
      <c r="AJ4584">
        <v>0</v>
      </c>
      <c r="AK4584">
        <v>0</v>
      </c>
      <c r="AL4584">
        <v>0</v>
      </c>
      <c r="AM4584">
        <v>77067</v>
      </c>
      <c r="AN4584">
        <v>33526.5</v>
      </c>
      <c r="AO4584">
        <v>110593.5</v>
      </c>
      <c r="AP4584">
        <v>0</v>
      </c>
      <c r="AQ4584">
        <v>27</v>
      </c>
      <c r="AR4584">
        <v>2.4419693125854458E-4</v>
      </c>
      <c r="AS4584" t="s">
        <v>239</v>
      </c>
      <c r="AT4584" t="s">
        <v>514</v>
      </c>
    </row>
    <row r="4585" spans="2:46" x14ac:dyDescent="0.35">
      <c r="B4585" t="s">
        <v>563</v>
      </c>
      <c r="C4585">
        <v>45828</v>
      </c>
      <c r="J4585">
        <v>0</v>
      </c>
      <c r="O4585" t="s">
        <v>239</v>
      </c>
      <c r="P4585" t="s">
        <v>514</v>
      </c>
      <c r="U4585">
        <v>0</v>
      </c>
      <c r="Y4585">
        <v>171</v>
      </c>
      <c r="Z4585" s="259" t="s">
        <v>637</v>
      </c>
      <c r="AB4585">
        <v>32933</v>
      </c>
      <c r="AF4585">
        <v>110623.5</v>
      </c>
      <c r="AG4585">
        <v>0</v>
      </c>
      <c r="AI4585">
        <v>110593.5</v>
      </c>
      <c r="AJ4585">
        <v>0</v>
      </c>
      <c r="AK4585">
        <v>0</v>
      </c>
      <c r="AL4585">
        <v>0</v>
      </c>
      <c r="AM4585">
        <v>77067</v>
      </c>
      <c r="AN4585">
        <v>33556.5</v>
      </c>
      <c r="AO4585">
        <v>110623.5</v>
      </c>
      <c r="AP4585">
        <v>0</v>
      </c>
      <c r="AQ4585">
        <v>30</v>
      </c>
      <c r="AR4585">
        <v>2.7126368186203287E-4</v>
      </c>
      <c r="AS4585" t="s">
        <v>239</v>
      </c>
      <c r="AT4585" t="s">
        <v>514</v>
      </c>
    </row>
    <row r="4586" spans="2:46" x14ac:dyDescent="0.35">
      <c r="B4586" t="s">
        <v>563</v>
      </c>
      <c r="C4586">
        <v>45829</v>
      </c>
      <c r="J4586">
        <v>0</v>
      </c>
      <c r="O4586" t="s">
        <v>239</v>
      </c>
      <c r="P4586" t="s">
        <v>514</v>
      </c>
      <c r="U4586">
        <v>0</v>
      </c>
      <c r="Y4586">
        <v>172</v>
      </c>
      <c r="Z4586" s="259" t="s">
        <v>637</v>
      </c>
      <c r="AB4586">
        <v>32933</v>
      </c>
      <c r="AF4586">
        <v>110623.5</v>
      </c>
      <c r="AG4586">
        <v>0</v>
      </c>
      <c r="AI4586">
        <v>110623.5</v>
      </c>
      <c r="AJ4586">
        <v>0</v>
      </c>
      <c r="AK4586">
        <v>0</v>
      </c>
      <c r="AL4586">
        <v>0</v>
      </c>
      <c r="AM4586">
        <v>77067</v>
      </c>
      <c r="AN4586">
        <v>33556.5</v>
      </c>
      <c r="AO4586">
        <v>110623.5</v>
      </c>
      <c r="AP4586">
        <v>0</v>
      </c>
      <c r="AQ4586">
        <v>0</v>
      </c>
      <c r="AR4586">
        <v>0</v>
      </c>
      <c r="AS4586" t="s">
        <v>239</v>
      </c>
      <c r="AT4586" t="s">
        <v>514</v>
      </c>
    </row>
    <row r="4587" spans="2:46" x14ac:dyDescent="0.35">
      <c r="B4587" t="s">
        <v>563</v>
      </c>
      <c r="C4587">
        <v>45830</v>
      </c>
      <c r="J4587">
        <v>0</v>
      </c>
      <c r="O4587" t="s">
        <v>239</v>
      </c>
      <c r="P4587" t="s">
        <v>514</v>
      </c>
      <c r="U4587">
        <v>0</v>
      </c>
      <c r="Y4587">
        <v>173</v>
      </c>
      <c r="Z4587" s="259" t="s">
        <v>637</v>
      </c>
      <c r="AB4587">
        <v>32933</v>
      </c>
      <c r="AF4587">
        <v>110623.5</v>
      </c>
      <c r="AG4587">
        <v>0</v>
      </c>
      <c r="AI4587">
        <v>110623.5</v>
      </c>
      <c r="AJ4587">
        <v>0</v>
      </c>
      <c r="AK4587">
        <v>0</v>
      </c>
      <c r="AL4587">
        <v>0</v>
      </c>
      <c r="AM4587">
        <v>77067</v>
      </c>
      <c r="AN4587">
        <v>33556.5</v>
      </c>
      <c r="AO4587">
        <v>110623.5</v>
      </c>
      <c r="AP4587">
        <v>0</v>
      </c>
      <c r="AQ4587">
        <v>0</v>
      </c>
      <c r="AR4587">
        <v>0</v>
      </c>
      <c r="AS4587" t="s">
        <v>239</v>
      </c>
      <c r="AT4587" t="s">
        <v>514</v>
      </c>
    </row>
    <row r="4588" spans="2:46" x14ac:dyDescent="0.35">
      <c r="B4588" t="s">
        <v>563</v>
      </c>
      <c r="C4588">
        <v>45831</v>
      </c>
      <c r="J4588">
        <v>0</v>
      </c>
      <c r="O4588" t="s">
        <v>239</v>
      </c>
      <c r="P4588" t="s">
        <v>514</v>
      </c>
      <c r="U4588">
        <v>0</v>
      </c>
      <c r="Y4588">
        <v>174</v>
      </c>
      <c r="Z4588" s="259" t="s">
        <v>637</v>
      </c>
      <c r="AB4588">
        <v>32933</v>
      </c>
      <c r="AF4588">
        <v>110712</v>
      </c>
      <c r="AG4588">
        <v>0</v>
      </c>
      <c r="AI4588">
        <v>110623.5</v>
      </c>
      <c r="AJ4588">
        <v>0</v>
      </c>
      <c r="AK4588">
        <v>0</v>
      </c>
      <c r="AL4588">
        <v>0</v>
      </c>
      <c r="AM4588">
        <v>77067</v>
      </c>
      <c r="AN4588">
        <v>33645</v>
      </c>
      <c r="AO4588">
        <v>110712</v>
      </c>
      <c r="AP4588">
        <v>0</v>
      </c>
      <c r="AQ4588">
        <v>88.5</v>
      </c>
      <c r="AR4588">
        <v>8.0001084760472629E-4</v>
      </c>
      <c r="AS4588" t="s">
        <v>239</v>
      </c>
      <c r="AT4588" t="s">
        <v>514</v>
      </c>
    </row>
    <row r="4589" spans="2:46" x14ac:dyDescent="0.35">
      <c r="B4589" t="s">
        <v>563</v>
      </c>
      <c r="C4589">
        <v>45832</v>
      </c>
      <c r="J4589">
        <v>0</v>
      </c>
      <c r="O4589" t="s">
        <v>239</v>
      </c>
      <c r="P4589" t="s">
        <v>514</v>
      </c>
      <c r="U4589">
        <v>0</v>
      </c>
      <c r="Y4589">
        <v>175</v>
      </c>
      <c r="Z4589" s="259" t="s">
        <v>637</v>
      </c>
      <c r="AB4589">
        <v>32933</v>
      </c>
      <c r="AF4589">
        <v>110742</v>
      </c>
      <c r="AG4589">
        <v>0</v>
      </c>
      <c r="AI4589">
        <v>110712</v>
      </c>
      <c r="AJ4589">
        <v>0</v>
      </c>
      <c r="AK4589">
        <v>0</v>
      </c>
      <c r="AL4589">
        <v>0</v>
      </c>
      <c r="AM4589">
        <v>77067</v>
      </c>
      <c r="AN4589">
        <v>33675</v>
      </c>
      <c r="AO4589">
        <v>110742</v>
      </c>
      <c r="AP4589">
        <v>0</v>
      </c>
      <c r="AQ4589">
        <v>30</v>
      </c>
      <c r="AR4589">
        <v>2.7097333622361219E-4</v>
      </c>
      <c r="AS4589" t="s">
        <v>239</v>
      </c>
      <c r="AT4589" t="s">
        <v>514</v>
      </c>
    </row>
    <row r="4590" spans="2:46" x14ac:dyDescent="0.35">
      <c r="B4590" t="s">
        <v>563</v>
      </c>
      <c r="C4590">
        <v>45833</v>
      </c>
      <c r="J4590">
        <v>0</v>
      </c>
      <c r="O4590" t="s">
        <v>239</v>
      </c>
      <c r="P4590" t="s">
        <v>514</v>
      </c>
      <c r="U4590">
        <v>0</v>
      </c>
      <c r="Y4590">
        <v>176</v>
      </c>
      <c r="Z4590" s="259" t="s">
        <v>637</v>
      </c>
      <c r="AB4590">
        <v>32933</v>
      </c>
      <c r="AF4590">
        <v>110772</v>
      </c>
      <c r="AG4590">
        <v>0</v>
      </c>
      <c r="AI4590">
        <v>110742</v>
      </c>
      <c r="AJ4590">
        <v>0</v>
      </c>
      <c r="AK4590">
        <v>0</v>
      </c>
      <c r="AL4590">
        <v>0</v>
      </c>
      <c r="AM4590">
        <v>77067</v>
      </c>
      <c r="AN4590">
        <v>33705</v>
      </c>
      <c r="AO4590">
        <v>110772</v>
      </c>
      <c r="AP4590">
        <v>0</v>
      </c>
      <c r="AQ4590">
        <v>30</v>
      </c>
      <c r="AR4590">
        <v>2.7089992956597087E-4</v>
      </c>
      <c r="AS4590" t="s">
        <v>239</v>
      </c>
      <c r="AT4590" t="s">
        <v>514</v>
      </c>
    </row>
    <row r="4591" spans="2:46" x14ac:dyDescent="0.35">
      <c r="B4591" t="s">
        <v>563</v>
      </c>
      <c r="C4591">
        <v>45834</v>
      </c>
      <c r="J4591">
        <v>0</v>
      </c>
      <c r="O4591" t="s">
        <v>239</v>
      </c>
      <c r="P4591" t="s">
        <v>514</v>
      </c>
      <c r="U4591">
        <v>0</v>
      </c>
      <c r="Y4591">
        <v>177</v>
      </c>
      <c r="Z4591" s="259" t="s">
        <v>637</v>
      </c>
      <c r="AB4591">
        <v>32933</v>
      </c>
      <c r="AF4591">
        <v>110799</v>
      </c>
      <c r="AG4591">
        <v>0</v>
      </c>
      <c r="AI4591">
        <v>110772</v>
      </c>
      <c r="AJ4591">
        <v>0</v>
      </c>
      <c r="AK4591">
        <v>0</v>
      </c>
      <c r="AL4591">
        <v>0</v>
      </c>
      <c r="AM4591">
        <v>77067</v>
      </c>
      <c r="AN4591">
        <v>33732</v>
      </c>
      <c r="AO4591">
        <v>110799</v>
      </c>
      <c r="AP4591">
        <v>0</v>
      </c>
      <c r="AQ4591">
        <v>27</v>
      </c>
      <c r="AR4591">
        <v>2.4374390640224952E-4</v>
      </c>
      <c r="AS4591" t="s">
        <v>239</v>
      </c>
      <c r="AT4591" t="s">
        <v>514</v>
      </c>
    </row>
    <row r="4592" spans="2:46" x14ac:dyDescent="0.35">
      <c r="B4592" t="s">
        <v>563</v>
      </c>
      <c r="C4592">
        <v>45835</v>
      </c>
      <c r="J4592">
        <v>0</v>
      </c>
      <c r="O4592" t="s">
        <v>239</v>
      </c>
      <c r="P4592" t="s">
        <v>514</v>
      </c>
      <c r="U4592">
        <v>0</v>
      </c>
      <c r="Y4592">
        <v>178</v>
      </c>
      <c r="Z4592" s="259" t="s">
        <v>637</v>
      </c>
      <c r="AB4592">
        <v>32933</v>
      </c>
      <c r="AF4592">
        <v>110829</v>
      </c>
      <c r="AG4592">
        <v>0</v>
      </c>
      <c r="AI4592">
        <v>110799</v>
      </c>
      <c r="AJ4592">
        <v>0</v>
      </c>
      <c r="AK4592">
        <v>0</v>
      </c>
      <c r="AL4592">
        <v>0</v>
      </c>
      <c r="AM4592">
        <v>77067</v>
      </c>
      <c r="AN4592">
        <v>33762</v>
      </c>
      <c r="AO4592">
        <v>110829</v>
      </c>
      <c r="AP4592">
        <v>0</v>
      </c>
      <c r="AQ4592">
        <v>30</v>
      </c>
      <c r="AR4592">
        <v>2.7076056643116075E-4</v>
      </c>
      <c r="AS4592" t="s">
        <v>239</v>
      </c>
      <c r="AT4592" t="s">
        <v>514</v>
      </c>
    </row>
    <row r="4593" spans="2:46" x14ac:dyDescent="0.35">
      <c r="B4593" t="s">
        <v>563</v>
      </c>
      <c r="C4593">
        <v>45836</v>
      </c>
      <c r="J4593">
        <v>0</v>
      </c>
      <c r="O4593" t="s">
        <v>239</v>
      </c>
      <c r="P4593" t="s">
        <v>514</v>
      </c>
      <c r="U4593">
        <v>0</v>
      </c>
      <c r="Y4593">
        <v>179</v>
      </c>
      <c r="Z4593" s="259" t="s">
        <v>637</v>
      </c>
      <c r="AB4593">
        <v>32933</v>
      </c>
      <c r="AF4593">
        <v>110829</v>
      </c>
      <c r="AG4593">
        <v>0</v>
      </c>
      <c r="AI4593">
        <v>110829</v>
      </c>
      <c r="AJ4593">
        <v>0</v>
      </c>
      <c r="AK4593">
        <v>0</v>
      </c>
      <c r="AL4593">
        <v>0</v>
      </c>
      <c r="AM4593">
        <v>77067</v>
      </c>
      <c r="AN4593">
        <v>33762</v>
      </c>
      <c r="AO4593">
        <v>110829</v>
      </c>
      <c r="AP4593">
        <v>0</v>
      </c>
      <c r="AQ4593">
        <v>0</v>
      </c>
      <c r="AR4593">
        <v>0</v>
      </c>
      <c r="AS4593" t="s">
        <v>239</v>
      </c>
      <c r="AT4593" t="s">
        <v>514</v>
      </c>
    </row>
    <row r="4594" spans="2:46" x14ac:dyDescent="0.35">
      <c r="B4594" t="s">
        <v>563</v>
      </c>
      <c r="C4594">
        <v>45837</v>
      </c>
      <c r="J4594">
        <v>0</v>
      </c>
      <c r="O4594" t="s">
        <v>239</v>
      </c>
      <c r="P4594" t="s">
        <v>514</v>
      </c>
      <c r="U4594">
        <v>0</v>
      </c>
      <c r="Y4594">
        <v>180</v>
      </c>
      <c r="Z4594" s="259" t="s">
        <v>637</v>
      </c>
      <c r="AB4594">
        <v>32933</v>
      </c>
      <c r="AF4594">
        <v>110829</v>
      </c>
      <c r="AG4594">
        <v>0</v>
      </c>
      <c r="AI4594">
        <v>110829</v>
      </c>
      <c r="AJ4594">
        <v>0</v>
      </c>
      <c r="AK4594">
        <v>0</v>
      </c>
      <c r="AL4594">
        <v>0</v>
      </c>
      <c r="AM4594">
        <v>77067</v>
      </c>
      <c r="AN4594">
        <v>33762</v>
      </c>
      <c r="AO4594">
        <v>110829</v>
      </c>
      <c r="AP4594">
        <v>0</v>
      </c>
      <c r="AQ4594">
        <v>0</v>
      </c>
      <c r="AR4594">
        <v>0</v>
      </c>
      <c r="AS4594" t="s">
        <v>239</v>
      </c>
      <c r="AT4594" t="s">
        <v>514</v>
      </c>
    </row>
    <row r="4595" spans="2:46" x14ac:dyDescent="0.35">
      <c r="B4595" t="s">
        <v>563</v>
      </c>
      <c r="C4595">
        <v>45838</v>
      </c>
      <c r="J4595">
        <v>0</v>
      </c>
      <c r="O4595" t="s">
        <v>239</v>
      </c>
      <c r="P4595" t="s">
        <v>514</v>
      </c>
      <c r="U4595">
        <v>0</v>
      </c>
      <c r="Y4595">
        <v>181</v>
      </c>
      <c r="Z4595" s="259" t="s">
        <v>637</v>
      </c>
      <c r="AB4595">
        <v>32933</v>
      </c>
      <c r="AF4595">
        <v>110917</v>
      </c>
      <c r="AG4595">
        <v>0</v>
      </c>
      <c r="AI4595">
        <v>110829</v>
      </c>
      <c r="AJ4595">
        <v>0</v>
      </c>
      <c r="AK4595">
        <v>0</v>
      </c>
      <c r="AL4595">
        <v>0</v>
      </c>
      <c r="AM4595">
        <v>77067</v>
      </c>
      <c r="AN4595">
        <v>33850</v>
      </c>
      <c r="AO4595">
        <v>110917</v>
      </c>
      <c r="AP4595">
        <v>0</v>
      </c>
      <c r="AQ4595">
        <v>88</v>
      </c>
      <c r="AR4595">
        <v>7.9401600664086303E-4</v>
      </c>
      <c r="AS4595" t="s">
        <v>239</v>
      </c>
      <c r="AT4595" t="s">
        <v>514</v>
      </c>
    </row>
    <row r="4596" spans="2:46" x14ac:dyDescent="0.35">
      <c r="B4596" t="s">
        <v>563</v>
      </c>
      <c r="C4596">
        <v>45839</v>
      </c>
      <c r="J4596">
        <v>8</v>
      </c>
      <c r="O4596" t="s">
        <v>239</v>
      </c>
      <c r="P4596" t="s">
        <v>514</v>
      </c>
      <c r="U4596">
        <v>414.66666666666652</v>
      </c>
      <c r="Y4596">
        <v>182</v>
      </c>
      <c r="Z4596" s="259" t="s">
        <v>637</v>
      </c>
      <c r="AB4596">
        <v>28955.666666666664</v>
      </c>
      <c r="AF4596">
        <v>110869</v>
      </c>
      <c r="AG4596">
        <v>0</v>
      </c>
      <c r="AI4596">
        <v>110917</v>
      </c>
      <c r="AJ4596">
        <v>0</v>
      </c>
      <c r="AK4596">
        <v>0</v>
      </c>
      <c r="AL4596">
        <v>0</v>
      </c>
      <c r="AM4596">
        <v>81459</v>
      </c>
      <c r="AN4596">
        <v>29410</v>
      </c>
      <c r="AO4596">
        <v>110869</v>
      </c>
      <c r="AP4596">
        <v>0</v>
      </c>
      <c r="AQ4596">
        <v>-48</v>
      </c>
      <c r="AR4596">
        <v>-4.3275602477532704E-4</v>
      </c>
      <c r="AS4596" t="s">
        <v>239</v>
      </c>
      <c r="AT4596" t="s">
        <v>514</v>
      </c>
    </row>
    <row r="4597" spans="2:46" x14ac:dyDescent="0.35">
      <c r="B4597" t="s">
        <v>563</v>
      </c>
      <c r="C4597">
        <v>45840</v>
      </c>
      <c r="J4597">
        <v>0</v>
      </c>
      <c r="O4597" t="s">
        <v>239</v>
      </c>
      <c r="P4597" t="s">
        <v>514</v>
      </c>
      <c r="U4597">
        <v>414.66666666666652</v>
      </c>
      <c r="Y4597">
        <v>183</v>
      </c>
      <c r="Z4597" s="259" t="s">
        <v>637</v>
      </c>
      <c r="AB4597">
        <v>28955.666666666664</v>
      </c>
      <c r="AF4597">
        <v>110823.1</v>
      </c>
      <c r="AG4597">
        <v>0</v>
      </c>
      <c r="AI4597">
        <v>110869</v>
      </c>
      <c r="AJ4597">
        <v>0</v>
      </c>
      <c r="AK4597">
        <v>0</v>
      </c>
      <c r="AL4597">
        <v>0</v>
      </c>
      <c r="AM4597">
        <v>81459</v>
      </c>
      <c r="AN4597">
        <v>29364.1</v>
      </c>
      <c r="AO4597">
        <v>110823.1</v>
      </c>
      <c r="AP4597">
        <v>0</v>
      </c>
      <c r="AQ4597">
        <v>-45.899999999994179</v>
      </c>
      <c r="AR4597">
        <v>-4.1400211059894332E-4</v>
      </c>
      <c r="AS4597" t="s">
        <v>239</v>
      </c>
      <c r="AT4597" t="s">
        <v>514</v>
      </c>
    </row>
    <row r="4598" spans="2:46" x14ac:dyDescent="0.35">
      <c r="B4598" t="s">
        <v>563</v>
      </c>
      <c r="C4598">
        <v>45841</v>
      </c>
      <c r="J4598">
        <v>0</v>
      </c>
      <c r="O4598" t="s">
        <v>239</v>
      </c>
      <c r="P4598" t="s">
        <v>514</v>
      </c>
      <c r="U4598">
        <v>414.66666666666652</v>
      </c>
      <c r="Y4598">
        <v>184</v>
      </c>
      <c r="Z4598" s="259" t="s">
        <v>637</v>
      </c>
      <c r="AB4598">
        <v>28955.666666666664</v>
      </c>
      <c r="AF4598">
        <v>110777.9</v>
      </c>
      <c r="AG4598">
        <v>0</v>
      </c>
      <c r="AI4598">
        <v>110823.1</v>
      </c>
      <c r="AJ4598">
        <v>0</v>
      </c>
      <c r="AK4598">
        <v>0</v>
      </c>
      <c r="AL4598">
        <v>0</v>
      </c>
      <c r="AM4598">
        <v>81459</v>
      </c>
      <c r="AN4598">
        <v>29318.9</v>
      </c>
      <c r="AO4598">
        <v>110777.9</v>
      </c>
      <c r="AP4598">
        <v>0</v>
      </c>
      <c r="AQ4598">
        <v>-45.200000000011642</v>
      </c>
      <c r="AR4598">
        <v>-4.0785720666547398E-4</v>
      </c>
      <c r="AS4598" t="s">
        <v>239</v>
      </c>
      <c r="AT4598" t="s">
        <v>514</v>
      </c>
    </row>
    <row r="4599" spans="2:46" x14ac:dyDescent="0.35">
      <c r="B4599" t="s">
        <v>563</v>
      </c>
      <c r="C4599">
        <v>45842</v>
      </c>
      <c r="J4599">
        <v>0</v>
      </c>
      <c r="O4599" t="s">
        <v>239</v>
      </c>
      <c r="P4599" t="s">
        <v>514</v>
      </c>
      <c r="U4599">
        <v>414.66666666666652</v>
      </c>
      <c r="Y4599">
        <v>185</v>
      </c>
      <c r="Z4599" s="259" t="s">
        <v>637</v>
      </c>
      <c r="AB4599">
        <v>28955.666666666664</v>
      </c>
      <c r="AF4599">
        <v>110732</v>
      </c>
      <c r="AG4599">
        <v>0</v>
      </c>
      <c r="AI4599">
        <v>110777.9</v>
      </c>
      <c r="AJ4599">
        <v>0</v>
      </c>
      <c r="AK4599">
        <v>0</v>
      </c>
      <c r="AL4599">
        <v>0</v>
      </c>
      <c r="AM4599">
        <v>81459</v>
      </c>
      <c r="AN4599">
        <v>29273</v>
      </c>
      <c r="AO4599">
        <v>110732</v>
      </c>
      <c r="AP4599">
        <v>0</v>
      </c>
      <c r="AQ4599">
        <v>-45.899999999994179</v>
      </c>
      <c r="AR4599">
        <v>-4.1434257193895263E-4</v>
      </c>
      <c r="AS4599" t="s">
        <v>239</v>
      </c>
      <c r="AT4599" t="s">
        <v>514</v>
      </c>
    </row>
    <row r="4600" spans="2:46" x14ac:dyDescent="0.35">
      <c r="B4600" t="s">
        <v>563</v>
      </c>
      <c r="C4600">
        <v>45843</v>
      </c>
      <c r="J4600">
        <v>0</v>
      </c>
      <c r="O4600" t="s">
        <v>239</v>
      </c>
      <c r="P4600" t="s">
        <v>514</v>
      </c>
      <c r="U4600">
        <v>414.66666666666652</v>
      </c>
      <c r="Y4600">
        <v>186</v>
      </c>
      <c r="Z4600" s="259" t="s">
        <v>637</v>
      </c>
      <c r="AB4600">
        <v>28955.666666666664</v>
      </c>
      <c r="AF4600">
        <v>110732</v>
      </c>
      <c r="AG4600">
        <v>0</v>
      </c>
      <c r="AI4600">
        <v>110732</v>
      </c>
      <c r="AJ4600">
        <v>0</v>
      </c>
      <c r="AK4600">
        <v>0</v>
      </c>
      <c r="AL4600">
        <v>0</v>
      </c>
      <c r="AM4600">
        <v>81459</v>
      </c>
      <c r="AN4600">
        <v>29273</v>
      </c>
      <c r="AO4600">
        <v>110732</v>
      </c>
      <c r="AP4600">
        <v>0</v>
      </c>
      <c r="AQ4600">
        <v>0</v>
      </c>
      <c r="AR4600">
        <v>0</v>
      </c>
      <c r="AS4600" t="s">
        <v>239</v>
      </c>
      <c r="AT4600" t="s">
        <v>514</v>
      </c>
    </row>
    <row r="4601" spans="2:46" x14ac:dyDescent="0.35">
      <c r="B4601" t="s">
        <v>563</v>
      </c>
      <c r="C4601">
        <v>45844</v>
      </c>
      <c r="J4601">
        <v>0</v>
      </c>
      <c r="O4601" t="s">
        <v>239</v>
      </c>
      <c r="P4601" t="s">
        <v>514</v>
      </c>
      <c r="U4601">
        <v>414.66666666666652</v>
      </c>
      <c r="Y4601">
        <v>187</v>
      </c>
      <c r="Z4601" s="259" t="s">
        <v>637</v>
      </c>
      <c r="AB4601">
        <v>28955.666666666664</v>
      </c>
      <c r="AF4601">
        <v>110732</v>
      </c>
      <c r="AG4601">
        <v>0</v>
      </c>
      <c r="AI4601">
        <v>110732</v>
      </c>
      <c r="AJ4601">
        <v>0</v>
      </c>
      <c r="AK4601">
        <v>0</v>
      </c>
      <c r="AL4601">
        <v>0</v>
      </c>
      <c r="AM4601">
        <v>81459</v>
      </c>
      <c r="AN4601">
        <v>29273</v>
      </c>
      <c r="AO4601">
        <v>110732</v>
      </c>
      <c r="AP4601">
        <v>0</v>
      </c>
      <c r="AQ4601">
        <v>0</v>
      </c>
      <c r="AR4601">
        <v>0</v>
      </c>
      <c r="AS4601" t="s">
        <v>239</v>
      </c>
      <c r="AT4601" t="s">
        <v>514</v>
      </c>
    </row>
    <row r="4602" spans="2:46" x14ac:dyDescent="0.35">
      <c r="B4602" t="s">
        <v>563</v>
      </c>
      <c r="C4602">
        <v>45845</v>
      </c>
      <c r="J4602">
        <v>0</v>
      </c>
      <c r="O4602" t="s">
        <v>239</v>
      </c>
      <c r="P4602" t="s">
        <v>514</v>
      </c>
      <c r="U4602">
        <v>414.66666666666652</v>
      </c>
      <c r="Y4602">
        <v>188</v>
      </c>
      <c r="Z4602" s="259" t="s">
        <v>637</v>
      </c>
      <c r="AB4602">
        <v>28955.666666666664</v>
      </c>
      <c r="AF4602">
        <v>110595</v>
      </c>
      <c r="AG4602">
        <v>0</v>
      </c>
      <c r="AI4602">
        <v>110732</v>
      </c>
      <c r="AJ4602">
        <v>0</v>
      </c>
      <c r="AK4602">
        <v>0</v>
      </c>
      <c r="AL4602">
        <v>0</v>
      </c>
      <c r="AM4602">
        <v>81459</v>
      </c>
      <c r="AN4602">
        <v>29136</v>
      </c>
      <c r="AO4602">
        <v>110595</v>
      </c>
      <c r="AP4602">
        <v>0</v>
      </c>
      <c r="AQ4602">
        <v>-137</v>
      </c>
      <c r="AR4602">
        <v>-1.2372213994148451E-3</v>
      </c>
      <c r="AS4602" t="s">
        <v>239</v>
      </c>
      <c r="AT4602" t="s">
        <v>514</v>
      </c>
    </row>
    <row r="4603" spans="2:46" x14ac:dyDescent="0.35">
      <c r="B4603" t="s">
        <v>563</v>
      </c>
      <c r="C4603">
        <v>45846</v>
      </c>
      <c r="J4603">
        <v>0</v>
      </c>
      <c r="O4603" t="s">
        <v>239</v>
      </c>
      <c r="P4603" t="s">
        <v>514</v>
      </c>
      <c r="U4603">
        <v>414.66666666666652</v>
      </c>
      <c r="Y4603">
        <v>189</v>
      </c>
      <c r="Z4603" s="259" t="s">
        <v>637</v>
      </c>
      <c r="AB4603">
        <v>28955.666666666664</v>
      </c>
      <c r="AF4603">
        <v>110549.1</v>
      </c>
      <c r="AG4603">
        <v>0</v>
      </c>
      <c r="AI4603">
        <v>110595</v>
      </c>
      <c r="AJ4603">
        <v>0</v>
      </c>
      <c r="AK4603">
        <v>0</v>
      </c>
      <c r="AL4603">
        <v>0</v>
      </c>
      <c r="AM4603">
        <v>81459</v>
      </c>
      <c r="AN4603">
        <v>29090.1</v>
      </c>
      <c r="AO4603">
        <v>110549.1</v>
      </c>
      <c r="AP4603">
        <v>0</v>
      </c>
      <c r="AQ4603">
        <v>-45.899999999994179</v>
      </c>
      <c r="AR4603">
        <v>-4.1502780415025864E-4</v>
      </c>
      <c r="AS4603" t="s">
        <v>239</v>
      </c>
      <c r="AT4603" t="s">
        <v>514</v>
      </c>
    </row>
    <row r="4604" spans="2:46" x14ac:dyDescent="0.35">
      <c r="B4604" t="s">
        <v>563</v>
      </c>
      <c r="C4604">
        <v>45847</v>
      </c>
      <c r="J4604">
        <v>0</v>
      </c>
      <c r="O4604" t="s">
        <v>239</v>
      </c>
      <c r="P4604" t="s">
        <v>514</v>
      </c>
      <c r="U4604">
        <v>414.66666666666652</v>
      </c>
      <c r="Y4604">
        <v>190</v>
      </c>
      <c r="Z4604" s="259" t="s">
        <v>637</v>
      </c>
      <c r="AB4604">
        <v>28955.666666666664</v>
      </c>
      <c r="AF4604">
        <v>110503.9</v>
      </c>
      <c r="AG4604">
        <v>0</v>
      </c>
      <c r="AI4604">
        <v>110549.1</v>
      </c>
      <c r="AJ4604">
        <v>0</v>
      </c>
      <c r="AK4604">
        <v>0</v>
      </c>
      <c r="AL4604">
        <v>0</v>
      </c>
      <c r="AM4604">
        <v>81459</v>
      </c>
      <c r="AN4604">
        <v>29044.9</v>
      </c>
      <c r="AO4604">
        <v>110503.9</v>
      </c>
      <c r="AP4604">
        <v>0</v>
      </c>
      <c r="AQ4604">
        <v>-45.200000000011642</v>
      </c>
      <c r="AR4604">
        <v>-4.0886809571505367E-4</v>
      </c>
      <c r="AS4604" t="s">
        <v>239</v>
      </c>
      <c r="AT4604" t="s">
        <v>514</v>
      </c>
    </row>
    <row r="4605" spans="2:46" x14ac:dyDescent="0.35">
      <c r="B4605" t="s">
        <v>563</v>
      </c>
      <c r="C4605">
        <v>45848</v>
      </c>
      <c r="J4605">
        <v>0</v>
      </c>
      <c r="O4605" t="s">
        <v>239</v>
      </c>
      <c r="P4605" t="s">
        <v>514</v>
      </c>
      <c r="U4605">
        <v>414.66666666666652</v>
      </c>
      <c r="Y4605">
        <v>191</v>
      </c>
      <c r="Z4605" s="259" t="s">
        <v>637</v>
      </c>
      <c r="AB4605">
        <v>28955.666666666664</v>
      </c>
      <c r="AF4605">
        <v>110458</v>
      </c>
      <c r="AG4605">
        <v>0</v>
      </c>
      <c r="AI4605">
        <v>110503.9</v>
      </c>
      <c r="AJ4605">
        <v>0</v>
      </c>
      <c r="AK4605">
        <v>0</v>
      </c>
      <c r="AL4605">
        <v>0</v>
      </c>
      <c r="AM4605">
        <v>81459</v>
      </c>
      <c r="AN4605">
        <v>28999</v>
      </c>
      <c r="AO4605">
        <v>110458</v>
      </c>
      <c r="AP4605">
        <v>0</v>
      </c>
      <c r="AQ4605">
        <v>-45.899999999994179</v>
      </c>
      <c r="AR4605">
        <v>-4.153699552684742E-4</v>
      </c>
      <c r="AS4605" t="s">
        <v>239</v>
      </c>
      <c r="AT4605" t="s">
        <v>514</v>
      </c>
    </row>
    <row r="4606" spans="2:46" x14ac:dyDescent="0.35">
      <c r="B4606" t="s">
        <v>563</v>
      </c>
      <c r="C4606">
        <v>45849</v>
      </c>
      <c r="J4606">
        <v>0</v>
      </c>
      <c r="O4606" t="s">
        <v>239</v>
      </c>
      <c r="P4606" t="s">
        <v>514</v>
      </c>
      <c r="U4606">
        <v>414.66666666666652</v>
      </c>
      <c r="Y4606">
        <v>192</v>
      </c>
      <c r="Z4606" s="259" t="s">
        <v>637</v>
      </c>
      <c r="AB4606">
        <v>28955.666666666664</v>
      </c>
      <c r="AF4606">
        <v>110412.1</v>
      </c>
      <c r="AG4606">
        <v>0</v>
      </c>
      <c r="AI4606">
        <v>110458</v>
      </c>
      <c r="AJ4606">
        <v>0</v>
      </c>
      <c r="AK4606">
        <v>0</v>
      </c>
      <c r="AL4606">
        <v>0</v>
      </c>
      <c r="AM4606">
        <v>81459</v>
      </c>
      <c r="AN4606">
        <v>28953.1</v>
      </c>
      <c r="AO4606">
        <v>110412.1</v>
      </c>
      <c r="AP4606">
        <v>0</v>
      </c>
      <c r="AQ4606">
        <v>-45.899999999994179</v>
      </c>
      <c r="AR4606">
        <v>-4.1554255916265159E-4</v>
      </c>
      <c r="AS4606" t="s">
        <v>239</v>
      </c>
      <c r="AT4606" t="s">
        <v>514</v>
      </c>
    </row>
    <row r="4607" spans="2:46" x14ac:dyDescent="0.35">
      <c r="B4607" t="s">
        <v>563</v>
      </c>
      <c r="C4607">
        <v>45850</v>
      </c>
      <c r="J4607">
        <v>0</v>
      </c>
      <c r="O4607" t="s">
        <v>239</v>
      </c>
      <c r="P4607" t="s">
        <v>514</v>
      </c>
      <c r="U4607">
        <v>414.66666666666652</v>
      </c>
      <c r="Y4607">
        <v>193</v>
      </c>
      <c r="Z4607" s="259" t="s">
        <v>637</v>
      </c>
      <c r="AB4607">
        <v>28955.666666666664</v>
      </c>
      <c r="AF4607">
        <v>110412.1</v>
      </c>
      <c r="AG4607">
        <v>0</v>
      </c>
      <c r="AI4607">
        <v>110412.1</v>
      </c>
      <c r="AJ4607">
        <v>0</v>
      </c>
      <c r="AK4607">
        <v>0</v>
      </c>
      <c r="AL4607">
        <v>0</v>
      </c>
      <c r="AM4607">
        <v>81459</v>
      </c>
      <c r="AN4607">
        <v>28953.1</v>
      </c>
      <c r="AO4607">
        <v>110412.1</v>
      </c>
      <c r="AP4607">
        <v>0</v>
      </c>
      <c r="AQ4607">
        <v>0</v>
      </c>
      <c r="AR4607">
        <v>0</v>
      </c>
      <c r="AS4607" t="s">
        <v>239</v>
      </c>
      <c r="AT4607" t="s">
        <v>514</v>
      </c>
    </row>
    <row r="4608" spans="2:46" x14ac:dyDescent="0.35">
      <c r="B4608" t="s">
        <v>563</v>
      </c>
      <c r="C4608">
        <v>45851</v>
      </c>
      <c r="J4608">
        <v>0</v>
      </c>
      <c r="O4608" t="s">
        <v>239</v>
      </c>
      <c r="P4608" t="s">
        <v>514</v>
      </c>
      <c r="U4608">
        <v>414.66666666666652</v>
      </c>
      <c r="Y4608">
        <v>194</v>
      </c>
      <c r="Z4608" s="259" t="s">
        <v>637</v>
      </c>
      <c r="AB4608">
        <v>28955.666666666664</v>
      </c>
      <c r="AF4608">
        <v>110412.1</v>
      </c>
      <c r="AG4608">
        <v>0</v>
      </c>
      <c r="AI4608">
        <v>110412.1</v>
      </c>
      <c r="AJ4608">
        <v>0</v>
      </c>
      <c r="AK4608">
        <v>0</v>
      </c>
      <c r="AL4608">
        <v>0</v>
      </c>
      <c r="AM4608">
        <v>81459</v>
      </c>
      <c r="AN4608">
        <v>28953.1</v>
      </c>
      <c r="AO4608">
        <v>110412.1</v>
      </c>
      <c r="AP4608">
        <v>0</v>
      </c>
      <c r="AQ4608">
        <v>0</v>
      </c>
      <c r="AR4608">
        <v>0</v>
      </c>
      <c r="AS4608" t="s">
        <v>239</v>
      </c>
      <c r="AT4608" t="s">
        <v>514</v>
      </c>
    </row>
    <row r="4609" spans="2:46" x14ac:dyDescent="0.35">
      <c r="B4609" t="s">
        <v>563</v>
      </c>
      <c r="C4609">
        <v>45852</v>
      </c>
      <c r="J4609">
        <v>0</v>
      </c>
      <c r="O4609" t="s">
        <v>239</v>
      </c>
      <c r="P4609" t="s">
        <v>514</v>
      </c>
      <c r="U4609">
        <v>414.66666666666652</v>
      </c>
      <c r="Y4609">
        <v>195</v>
      </c>
      <c r="Z4609" s="259" t="s">
        <v>637</v>
      </c>
      <c r="AB4609">
        <v>28955.666666666664</v>
      </c>
      <c r="AF4609">
        <v>110275.1</v>
      </c>
      <c r="AG4609">
        <v>0</v>
      </c>
      <c r="AI4609">
        <v>110412.1</v>
      </c>
      <c r="AJ4609">
        <v>0</v>
      </c>
      <c r="AK4609">
        <v>0</v>
      </c>
      <c r="AL4609">
        <v>0</v>
      </c>
      <c r="AM4609">
        <v>81459</v>
      </c>
      <c r="AN4609">
        <v>28816.1</v>
      </c>
      <c r="AO4609">
        <v>110275.1</v>
      </c>
      <c r="AP4609">
        <v>0</v>
      </c>
      <c r="AQ4609">
        <v>-137</v>
      </c>
      <c r="AR4609">
        <v>-1.2408060348457761E-3</v>
      </c>
      <c r="AS4609" t="s">
        <v>239</v>
      </c>
      <c r="AT4609" t="s">
        <v>514</v>
      </c>
    </row>
    <row r="4610" spans="2:46" x14ac:dyDescent="0.35">
      <c r="B4610" t="s">
        <v>563</v>
      </c>
      <c r="C4610">
        <v>45853</v>
      </c>
      <c r="J4610">
        <v>0</v>
      </c>
      <c r="O4610" t="s">
        <v>239</v>
      </c>
      <c r="P4610" t="s">
        <v>514</v>
      </c>
      <c r="U4610">
        <v>414.66666666666652</v>
      </c>
      <c r="Y4610">
        <v>196</v>
      </c>
      <c r="Z4610" s="259" t="s">
        <v>637</v>
      </c>
      <c r="AB4610">
        <v>28955.666666666664</v>
      </c>
      <c r="AF4610">
        <v>110229.9</v>
      </c>
      <c r="AG4610">
        <v>0</v>
      </c>
      <c r="AI4610">
        <v>110275.1</v>
      </c>
      <c r="AJ4610">
        <v>0</v>
      </c>
      <c r="AK4610">
        <v>0</v>
      </c>
      <c r="AL4610">
        <v>0</v>
      </c>
      <c r="AM4610">
        <v>81459</v>
      </c>
      <c r="AN4610">
        <v>28770.9</v>
      </c>
      <c r="AO4610">
        <v>110229.9</v>
      </c>
      <c r="AP4610">
        <v>0</v>
      </c>
      <c r="AQ4610">
        <v>-45.200000000011642</v>
      </c>
      <c r="AR4610">
        <v>-4.0988400826669213E-4</v>
      </c>
      <c r="AS4610" t="s">
        <v>239</v>
      </c>
      <c r="AT4610" t="s">
        <v>514</v>
      </c>
    </row>
    <row r="4611" spans="2:46" x14ac:dyDescent="0.35">
      <c r="B4611" t="s">
        <v>563</v>
      </c>
      <c r="C4611">
        <v>45854</v>
      </c>
      <c r="J4611">
        <v>0</v>
      </c>
      <c r="O4611" t="s">
        <v>239</v>
      </c>
      <c r="P4611" t="s">
        <v>514</v>
      </c>
      <c r="U4611">
        <v>414.66666666666652</v>
      </c>
      <c r="Y4611">
        <v>197</v>
      </c>
      <c r="Z4611" s="259" t="s">
        <v>637</v>
      </c>
      <c r="AB4611">
        <v>28955.666666666664</v>
      </c>
      <c r="AF4611">
        <v>110184</v>
      </c>
      <c r="AG4611">
        <v>0</v>
      </c>
      <c r="AI4611">
        <v>110229.9</v>
      </c>
      <c r="AJ4611">
        <v>0</v>
      </c>
      <c r="AK4611">
        <v>0</v>
      </c>
      <c r="AL4611">
        <v>0</v>
      </c>
      <c r="AM4611">
        <v>81459</v>
      </c>
      <c r="AN4611">
        <v>28725</v>
      </c>
      <c r="AO4611">
        <v>110184</v>
      </c>
      <c r="AP4611">
        <v>0</v>
      </c>
      <c r="AQ4611">
        <v>-45.899999999994179</v>
      </c>
      <c r="AR4611">
        <v>-4.1640244616014677E-4</v>
      </c>
      <c r="AS4611" t="s">
        <v>239</v>
      </c>
      <c r="AT4611" t="s">
        <v>514</v>
      </c>
    </row>
    <row r="4612" spans="2:46" x14ac:dyDescent="0.35">
      <c r="B4612" t="s">
        <v>563</v>
      </c>
      <c r="C4612">
        <v>45855</v>
      </c>
      <c r="J4612">
        <v>0</v>
      </c>
      <c r="O4612" t="s">
        <v>239</v>
      </c>
      <c r="P4612" t="s">
        <v>514</v>
      </c>
      <c r="U4612">
        <v>414.66666666666652</v>
      </c>
      <c r="Y4612">
        <v>198</v>
      </c>
      <c r="Z4612" s="259" t="s">
        <v>637</v>
      </c>
      <c r="AB4612">
        <v>28955.666666666664</v>
      </c>
      <c r="AF4612">
        <v>110138.1</v>
      </c>
      <c r="AG4612">
        <v>0</v>
      </c>
      <c r="AI4612">
        <v>110184</v>
      </c>
      <c r="AJ4612">
        <v>0</v>
      </c>
      <c r="AK4612">
        <v>0</v>
      </c>
      <c r="AL4612">
        <v>0</v>
      </c>
      <c r="AM4612">
        <v>81459</v>
      </c>
      <c r="AN4612">
        <v>28679.1</v>
      </c>
      <c r="AO4612">
        <v>110138.1</v>
      </c>
      <c r="AP4612">
        <v>0</v>
      </c>
      <c r="AQ4612">
        <v>-45.899999999994179</v>
      </c>
      <c r="AR4612">
        <v>-4.1657590938792843E-4</v>
      </c>
      <c r="AS4612" t="s">
        <v>239</v>
      </c>
      <c r="AT4612" t="s">
        <v>514</v>
      </c>
    </row>
    <row r="4613" spans="2:46" x14ac:dyDescent="0.35">
      <c r="B4613" t="s">
        <v>563</v>
      </c>
      <c r="C4613">
        <v>45856</v>
      </c>
      <c r="J4613">
        <v>0</v>
      </c>
      <c r="O4613" t="s">
        <v>239</v>
      </c>
      <c r="P4613" t="s">
        <v>514</v>
      </c>
      <c r="U4613">
        <v>414.66666666666652</v>
      </c>
      <c r="Y4613">
        <v>199</v>
      </c>
      <c r="Z4613" s="259" t="s">
        <v>637</v>
      </c>
      <c r="AB4613">
        <v>28955.666666666664</v>
      </c>
      <c r="AF4613">
        <v>110092.9</v>
      </c>
      <c r="AG4613">
        <v>0</v>
      </c>
      <c r="AI4613">
        <v>110138.1</v>
      </c>
      <c r="AJ4613">
        <v>0</v>
      </c>
      <c r="AK4613">
        <v>0</v>
      </c>
      <c r="AL4613">
        <v>0</v>
      </c>
      <c r="AM4613">
        <v>81459</v>
      </c>
      <c r="AN4613">
        <v>28633.9</v>
      </c>
      <c r="AO4613">
        <v>110092.9</v>
      </c>
      <c r="AP4613">
        <v>0</v>
      </c>
      <c r="AQ4613">
        <v>-45.200000000011642</v>
      </c>
      <c r="AR4613">
        <v>-4.1039386007213352E-4</v>
      </c>
      <c r="AS4613" t="s">
        <v>239</v>
      </c>
      <c r="AT4613" t="s">
        <v>514</v>
      </c>
    </row>
    <row r="4614" spans="2:46" x14ac:dyDescent="0.35">
      <c r="B4614" t="s">
        <v>563</v>
      </c>
      <c r="C4614">
        <v>45857</v>
      </c>
      <c r="J4614">
        <v>0</v>
      </c>
      <c r="O4614" t="s">
        <v>239</v>
      </c>
      <c r="P4614" t="s">
        <v>514</v>
      </c>
      <c r="U4614">
        <v>414.66666666666652</v>
      </c>
      <c r="Y4614">
        <v>200</v>
      </c>
      <c r="Z4614" s="259" t="s">
        <v>637</v>
      </c>
      <c r="AB4614">
        <v>28955.666666666664</v>
      </c>
      <c r="AF4614">
        <v>110092.9</v>
      </c>
      <c r="AG4614">
        <v>0</v>
      </c>
      <c r="AI4614">
        <v>110092.9</v>
      </c>
      <c r="AJ4614">
        <v>0</v>
      </c>
      <c r="AK4614">
        <v>0</v>
      </c>
      <c r="AL4614">
        <v>0</v>
      </c>
      <c r="AM4614">
        <v>81459</v>
      </c>
      <c r="AN4614">
        <v>28633.9</v>
      </c>
      <c r="AO4614">
        <v>110092.9</v>
      </c>
      <c r="AP4614">
        <v>0</v>
      </c>
      <c r="AQ4614">
        <v>0</v>
      </c>
      <c r="AR4614">
        <v>0</v>
      </c>
      <c r="AS4614" t="s">
        <v>239</v>
      </c>
      <c r="AT4614" t="s">
        <v>514</v>
      </c>
    </row>
    <row r="4615" spans="2:46" x14ac:dyDescent="0.35">
      <c r="B4615" t="s">
        <v>563</v>
      </c>
      <c r="C4615">
        <v>45858</v>
      </c>
      <c r="J4615">
        <v>0</v>
      </c>
      <c r="O4615" t="s">
        <v>239</v>
      </c>
      <c r="P4615" t="s">
        <v>514</v>
      </c>
      <c r="U4615">
        <v>414.66666666666652</v>
      </c>
      <c r="Y4615">
        <v>201</v>
      </c>
      <c r="Z4615" s="259" t="s">
        <v>637</v>
      </c>
      <c r="AB4615">
        <v>28955.666666666664</v>
      </c>
      <c r="AF4615">
        <v>110092.9</v>
      </c>
      <c r="AG4615">
        <v>0</v>
      </c>
      <c r="AI4615">
        <v>110092.9</v>
      </c>
      <c r="AJ4615">
        <v>0</v>
      </c>
      <c r="AK4615">
        <v>0</v>
      </c>
      <c r="AL4615">
        <v>0</v>
      </c>
      <c r="AM4615">
        <v>81459</v>
      </c>
      <c r="AN4615">
        <v>28633.9</v>
      </c>
      <c r="AO4615">
        <v>110092.9</v>
      </c>
      <c r="AP4615">
        <v>0</v>
      </c>
      <c r="AQ4615">
        <v>0</v>
      </c>
      <c r="AR4615">
        <v>0</v>
      </c>
      <c r="AS4615" t="s">
        <v>239</v>
      </c>
      <c r="AT4615" t="s">
        <v>514</v>
      </c>
    </row>
    <row r="4616" spans="2:46" x14ac:dyDescent="0.35">
      <c r="B4616" t="s">
        <v>563</v>
      </c>
      <c r="C4616">
        <v>45859</v>
      </c>
      <c r="J4616">
        <v>0</v>
      </c>
      <c r="O4616" t="s">
        <v>239</v>
      </c>
      <c r="P4616" t="s">
        <v>514</v>
      </c>
      <c r="U4616">
        <v>414.66666666666652</v>
      </c>
      <c r="Y4616">
        <v>202</v>
      </c>
      <c r="Z4616" s="259" t="s">
        <v>637</v>
      </c>
      <c r="AB4616">
        <v>28955.666666666664</v>
      </c>
      <c r="AF4616">
        <v>109955.9</v>
      </c>
      <c r="AG4616">
        <v>0</v>
      </c>
      <c r="AI4616">
        <v>110092.9</v>
      </c>
      <c r="AJ4616">
        <v>0</v>
      </c>
      <c r="AK4616">
        <v>0</v>
      </c>
      <c r="AL4616">
        <v>0</v>
      </c>
      <c r="AM4616">
        <v>81459</v>
      </c>
      <c r="AN4616">
        <v>28496.9</v>
      </c>
      <c r="AO4616">
        <v>109955.9</v>
      </c>
      <c r="AP4616">
        <v>0</v>
      </c>
      <c r="AQ4616">
        <v>-137</v>
      </c>
      <c r="AR4616">
        <v>-1.2444035900589512E-3</v>
      </c>
      <c r="AS4616" t="s">
        <v>239</v>
      </c>
      <c r="AT4616" t="s">
        <v>514</v>
      </c>
    </row>
    <row r="4617" spans="2:46" x14ac:dyDescent="0.35">
      <c r="B4617" t="s">
        <v>563</v>
      </c>
      <c r="C4617">
        <v>45860</v>
      </c>
      <c r="J4617">
        <v>0</v>
      </c>
      <c r="O4617" t="s">
        <v>239</v>
      </c>
      <c r="P4617" t="s">
        <v>514</v>
      </c>
      <c r="U4617">
        <v>414.66666666666652</v>
      </c>
      <c r="Y4617">
        <v>203</v>
      </c>
      <c r="Z4617" s="259" t="s">
        <v>637</v>
      </c>
      <c r="AB4617">
        <v>28955.666666666664</v>
      </c>
      <c r="AF4617">
        <v>109910</v>
      </c>
      <c r="AG4617">
        <v>0</v>
      </c>
      <c r="AI4617">
        <v>109955.9</v>
      </c>
      <c r="AJ4617">
        <v>0</v>
      </c>
      <c r="AK4617">
        <v>0</v>
      </c>
      <c r="AL4617">
        <v>0</v>
      </c>
      <c r="AM4617">
        <v>81459</v>
      </c>
      <c r="AN4617">
        <v>28451</v>
      </c>
      <c r="AO4617">
        <v>109910</v>
      </c>
      <c r="AP4617">
        <v>0</v>
      </c>
      <c r="AQ4617">
        <v>-45.899999999994179</v>
      </c>
      <c r="AR4617">
        <v>-4.1744008279676059E-4</v>
      </c>
      <c r="AS4617" t="s">
        <v>239</v>
      </c>
      <c r="AT4617" t="s">
        <v>514</v>
      </c>
    </row>
    <row r="4618" spans="2:46" x14ac:dyDescent="0.35">
      <c r="B4618" t="s">
        <v>563</v>
      </c>
      <c r="C4618">
        <v>45861</v>
      </c>
      <c r="J4618">
        <v>0</v>
      </c>
      <c r="O4618" t="s">
        <v>239</v>
      </c>
      <c r="P4618" t="s">
        <v>514</v>
      </c>
      <c r="U4618">
        <v>414.66666666666652</v>
      </c>
      <c r="Y4618">
        <v>204</v>
      </c>
      <c r="Z4618" s="259" t="s">
        <v>637</v>
      </c>
      <c r="AB4618">
        <v>28955.666666666664</v>
      </c>
      <c r="AF4618">
        <v>109864.1</v>
      </c>
      <c r="AG4618">
        <v>0</v>
      </c>
      <c r="AI4618">
        <v>109910</v>
      </c>
      <c r="AJ4618">
        <v>0</v>
      </c>
      <c r="AK4618">
        <v>0</v>
      </c>
      <c r="AL4618">
        <v>0</v>
      </c>
      <c r="AM4618">
        <v>81459</v>
      </c>
      <c r="AN4618">
        <v>28405.1</v>
      </c>
      <c r="AO4618">
        <v>109864.1</v>
      </c>
      <c r="AP4618">
        <v>0</v>
      </c>
      <c r="AQ4618">
        <v>-45.899999999994179</v>
      </c>
      <c r="AR4618">
        <v>-4.1761441179144487E-4</v>
      </c>
      <c r="AS4618" t="s">
        <v>239</v>
      </c>
      <c r="AT4618" t="s">
        <v>514</v>
      </c>
    </row>
    <row r="4619" spans="2:46" x14ac:dyDescent="0.35">
      <c r="B4619" t="s">
        <v>563</v>
      </c>
      <c r="C4619">
        <v>45862</v>
      </c>
      <c r="J4619">
        <v>0</v>
      </c>
      <c r="O4619" t="s">
        <v>239</v>
      </c>
      <c r="P4619" t="s">
        <v>514</v>
      </c>
      <c r="U4619">
        <v>414.66666666666652</v>
      </c>
      <c r="Y4619">
        <v>205</v>
      </c>
      <c r="Z4619" s="259" t="s">
        <v>637</v>
      </c>
      <c r="AB4619">
        <v>28955.666666666664</v>
      </c>
      <c r="AF4619">
        <v>109818.9</v>
      </c>
      <c r="AG4619">
        <v>0</v>
      </c>
      <c r="AI4619">
        <v>109864.1</v>
      </c>
      <c r="AJ4619">
        <v>0</v>
      </c>
      <c r="AK4619">
        <v>0</v>
      </c>
      <c r="AL4619">
        <v>0</v>
      </c>
      <c r="AM4619">
        <v>81459</v>
      </c>
      <c r="AN4619">
        <v>28359.9</v>
      </c>
      <c r="AO4619">
        <v>109818.9</v>
      </c>
      <c r="AP4619">
        <v>0</v>
      </c>
      <c r="AQ4619">
        <v>-45.200000000011642</v>
      </c>
      <c r="AR4619">
        <v>-4.1141737837935288E-4</v>
      </c>
      <c r="AS4619" t="s">
        <v>239</v>
      </c>
      <c r="AT4619" t="s">
        <v>514</v>
      </c>
    </row>
    <row r="4620" spans="2:46" x14ac:dyDescent="0.35">
      <c r="B4620" t="s">
        <v>563</v>
      </c>
      <c r="C4620">
        <v>45863</v>
      </c>
      <c r="J4620">
        <v>0</v>
      </c>
      <c r="O4620" t="s">
        <v>239</v>
      </c>
      <c r="P4620" t="s">
        <v>514</v>
      </c>
      <c r="U4620">
        <v>414.66666666666652</v>
      </c>
      <c r="Y4620">
        <v>206</v>
      </c>
      <c r="Z4620" s="259" t="s">
        <v>637</v>
      </c>
      <c r="AB4620">
        <v>28955.666666666664</v>
      </c>
      <c r="AF4620">
        <v>109773</v>
      </c>
      <c r="AG4620">
        <v>0</v>
      </c>
      <c r="AI4620">
        <v>109818.9</v>
      </c>
      <c r="AJ4620">
        <v>0</v>
      </c>
      <c r="AK4620">
        <v>0</v>
      </c>
      <c r="AL4620">
        <v>0</v>
      </c>
      <c r="AM4620">
        <v>81459</v>
      </c>
      <c r="AN4620">
        <v>28314</v>
      </c>
      <c r="AO4620">
        <v>109773</v>
      </c>
      <c r="AP4620">
        <v>0</v>
      </c>
      <c r="AQ4620">
        <v>-45.899999999994179</v>
      </c>
      <c r="AR4620">
        <v>-4.179608428056536E-4</v>
      </c>
      <c r="AS4620" t="s">
        <v>239</v>
      </c>
      <c r="AT4620" t="s">
        <v>514</v>
      </c>
    </row>
    <row r="4621" spans="2:46" x14ac:dyDescent="0.35">
      <c r="B4621" t="s">
        <v>563</v>
      </c>
      <c r="C4621">
        <v>45864</v>
      </c>
      <c r="J4621">
        <v>0</v>
      </c>
      <c r="O4621" t="s">
        <v>239</v>
      </c>
      <c r="P4621" t="s">
        <v>514</v>
      </c>
      <c r="U4621">
        <v>414.66666666666652</v>
      </c>
      <c r="Y4621">
        <v>207</v>
      </c>
      <c r="Z4621" s="259" t="s">
        <v>637</v>
      </c>
      <c r="AB4621">
        <v>28955.666666666664</v>
      </c>
      <c r="AF4621">
        <v>109773</v>
      </c>
      <c r="AG4621">
        <v>0</v>
      </c>
      <c r="AI4621">
        <v>109773</v>
      </c>
      <c r="AJ4621">
        <v>0</v>
      </c>
      <c r="AK4621">
        <v>0</v>
      </c>
      <c r="AL4621">
        <v>0</v>
      </c>
      <c r="AM4621">
        <v>81459</v>
      </c>
      <c r="AN4621">
        <v>28314</v>
      </c>
      <c r="AO4621">
        <v>109773</v>
      </c>
      <c r="AP4621">
        <v>0</v>
      </c>
      <c r="AQ4621">
        <v>0</v>
      </c>
      <c r="AR4621">
        <v>0</v>
      </c>
      <c r="AS4621" t="s">
        <v>239</v>
      </c>
      <c r="AT4621" t="s">
        <v>514</v>
      </c>
    </row>
    <row r="4622" spans="2:46" x14ac:dyDescent="0.35">
      <c r="B4622" t="s">
        <v>563</v>
      </c>
      <c r="C4622">
        <v>45865</v>
      </c>
      <c r="J4622">
        <v>0</v>
      </c>
      <c r="O4622" t="s">
        <v>239</v>
      </c>
      <c r="P4622" t="s">
        <v>514</v>
      </c>
      <c r="U4622">
        <v>414.66666666666652</v>
      </c>
      <c r="Y4622">
        <v>208</v>
      </c>
      <c r="Z4622" s="259" t="s">
        <v>637</v>
      </c>
      <c r="AB4622">
        <v>28955.666666666664</v>
      </c>
      <c r="AF4622">
        <v>109773</v>
      </c>
      <c r="AG4622">
        <v>0</v>
      </c>
      <c r="AI4622">
        <v>109773</v>
      </c>
      <c r="AJ4622">
        <v>0</v>
      </c>
      <c r="AK4622">
        <v>0</v>
      </c>
      <c r="AL4622">
        <v>0</v>
      </c>
      <c r="AM4622">
        <v>81459</v>
      </c>
      <c r="AN4622">
        <v>28314</v>
      </c>
      <c r="AO4622">
        <v>109773</v>
      </c>
      <c r="AP4622">
        <v>0</v>
      </c>
      <c r="AQ4622">
        <v>0</v>
      </c>
      <c r="AR4622">
        <v>0</v>
      </c>
      <c r="AS4622" t="s">
        <v>239</v>
      </c>
      <c r="AT4622" t="s">
        <v>514</v>
      </c>
    </row>
    <row r="4623" spans="2:46" x14ac:dyDescent="0.35">
      <c r="B4623" t="s">
        <v>563</v>
      </c>
      <c r="C4623">
        <v>45866</v>
      </c>
      <c r="J4623">
        <v>0</v>
      </c>
      <c r="O4623" t="s">
        <v>239</v>
      </c>
      <c r="P4623" t="s">
        <v>514</v>
      </c>
      <c r="U4623">
        <v>414.66666666666652</v>
      </c>
      <c r="Y4623">
        <v>209</v>
      </c>
      <c r="Z4623" s="259" t="s">
        <v>637</v>
      </c>
      <c r="AB4623">
        <v>28955.666666666664</v>
      </c>
      <c r="AF4623">
        <v>109636</v>
      </c>
      <c r="AG4623">
        <v>0</v>
      </c>
      <c r="AI4623">
        <v>109773</v>
      </c>
      <c r="AJ4623">
        <v>0</v>
      </c>
      <c r="AK4623">
        <v>0</v>
      </c>
      <c r="AL4623">
        <v>0</v>
      </c>
      <c r="AM4623">
        <v>81459</v>
      </c>
      <c r="AN4623">
        <v>28177</v>
      </c>
      <c r="AO4623">
        <v>109636</v>
      </c>
      <c r="AP4623">
        <v>0</v>
      </c>
      <c r="AQ4623">
        <v>-137</v>
      </c>
      <c r="AR4623">
        <v>-1.2480300255982568E-3</v>
      </c>
      <c r="AS4623" t="s">
        <v>239</v>
      </c>
      <c r="AT4623" t="s">
        <v>514</v>
      </c>
    </row>
    <row r="4624" spans="2:46" x14ac:dyDescent="0.35">
      <c r="B4624" t="s">
        <v>563</v>
      </c>
      <c r="C4624">
        <v>45867</v>
      </c>
      <c r="J4624">
        <v>0</v>
      </c>
      <c r="O4624" t="s">
        <v>239</v>
      </c>
      <c r="P4624" t="s">
        <v>514</v>
      </c>
      <c r="U4624">
        <v>414.66666666666652</v>
      </c>
      <c r="Y4624">
        <v>210</v>
      </c>
      <c r="Z4624" s="259" t="s">
        <v>637</v>
      </c>
      <c r="AB4624">
        <v>28955.666666666664</v>
      </c>
      <c r="AF4624">
        <v>109590.1</v>
      </c>
      <c r="AG4624">
        <v>0</v>
      </c>
      <c r="AI4624">
        <v>109636</v>
      </c>
      <c r="AJ4624">
        <v>0</v>
      </c>
      <c r="AK4624">
        <v>0</v>
      </c>
      <c r="AL4624">
        <v>0</v>
      </c>
      <c r="AM4624">
        <v>81459</v>
      </c>
      <c r="AN4624">
        <v>28131.1</v>
      </c>
      <c r="AO4624">
        <v>109590.1</v>
      </c>
      <c r="AP4624">
        <v>0</v>
      </c>
      <c r="AQ4624">
        <v>-45.899999999994179</v>
      </c>
      <c r="AR4624">
        <v>-4.1865810500196776E-4</v>
      </c>
      <c r="AS4624" t="s">
        <v>239</v>
      </c>
      <c r="AT4624" t="s">
        <v>514</v>
      </c>
    </row>
    <row r="4625" spans="2:46" x14ac:dyDescent="0.35">
      <c r="B4625" t="s">
        <v>563</v>
      </c>
      <c r="C4625">
        <v>45868</v>
      </c>
      <c r="J4625">
        <v>0</v>
      </c>
      <c r="O4625" t="s">
        <v>239</v>
      </c>
      <c r="P4625" t="s">
        <v>514</v>
      </c>
      <c r="U4625">
        <v>414.66666666666652</v>
      </c>
      <c r="Y4625">
        <v>211</v>
      </c>
      <c r="Z4625" s="259" t="s">
        <v>637</v>
      </c>
      <c r="AB4625">
        <v>28955.666666666664</v>
      </c>
      <c r="AF4625">
        <v>109544.9</v>
      </c>
      <c r="AG4625">
        <v>0</v>
      </c>
      <c r="AI4625">
        <v>109590.1</v>
      </c>
      <c r="AJ4625">
        <v>0</v>
      </c>
      <c r="AK4625">
        <v>0</v>
      </c>
      <c r="AL4625">
        <v>0</v>
      </c>
      <c r="AM4625">
        <v>81459</v>
      </c>
      <c r="AN4625">
        <v>28085.9</v>
      </c>
      <c r="AO4625">
        <v>109544.9</v>
      </c>
      <c r="AP4625">
        <v>0</v>
      </c>
      <c r="AQ4625">
        <v>-45.200000000011642</v>
      </c>
      <c r="AR4625">
        <v>-4.1244601474044185E-4</v>
      </c>
      <c r="AS4625" t="s">
        <v>239</v>
      </c>
      <c r="AT4625" t="s">
        <v>514</v>
      </c>
    </row>
    <row r="4626" spans="2:46" x14ac:dyDescent="0.35">
      <c r="B4626" t="s">
        <v>563</v>
      </c>
      <c r="C4626">
        <v>45869</v>
      </c>
      <c r="J4626">
        <v>0</v>
      </c>
      <c r="O4626" t="s">
        <v>239</v>
      </c>
      <c r="P4626" t="s">
        <v>514</v>
      </c>
      <c r="U4626">
        <v>414.66666666666652</v>
      </c>
      <c r="Y4626">
        <v>212</v>
      </c>
      <c r="Z4626" s="259" t="s">
        <v>637</v>
      </c>
      <c r="AB4626">
        <v>28955.666666666664</v>
      </c>
      <c r="AF4626">
        <v>109499</v>
      </c>
      <c r="AG4626">
        <v>0</v>
      </c>
      <c r="AI4626">
        <v>109544.9</v>
      </c>
      <c r="AJ4626">
        <v>0</v>
      </c>
      <c r="AK4626">
        <v>0</v>
      </c>
      <c r="AL4626">
        <v>0</v>
      </c>
      <c r="AM4626">
        <v>81459</v>
      </c>
      <c r="AN4626">
        <v>28040</v>
      </c>
      <c r="AO4626">
        <v>109499</v>
      </c>
      <c r="AP4626">
        <v>0</v>
      </c>
      <c r="AQ4626">
        <v>-45.899999999994179</v>
      </c>
      <c r="AR4626">
        <v>-4.1900627048807593E-4</v>
      </c>
      <c r="AS4626" t="s">
        <v>239</v>
      </c>
      <c r="AT4626" t="s">
        <v>514</v>
      </c>
    </row>
    <row r="4627" spans="2:46" x14ac:dyDescent="0.35">
      <c r="B4627" t="s">
        <v>563</v>
      </c>
      <c r="C4627">
        <v>45870</v>
      </c>
      <c r="J4627">
        <v>0</v>
      </c>
      <c r="O4627" t="s">
        <v>239</v>
      </c>
      <c r="P4627" t="s">
        <v>514</v>
      </c>
      <c r="U4627">
        <v>414.66666666666652</v>
      </c>
      <c r="Y4627">
        <v>213</v>
      </c>
      <c r="Z4627" s="259" t="s">
        <v>637</v>
      </c>
      <c r="AB4627">
        <v>28955.666666666664</v>
      </c>
      <c r="AF4627">
        <v>109499</v>
      </c>
      <c r="AG4627">
        <v>0</v>
      </c>
      <c r="AI4627">
        <v>109499</v>
      </c>
      <c r="AJ4627">
        <v>0</v>
      </c>
      <c r="AK4627">
        <v>0</v>
      </c>
      <c r="AL4627">
        <v>0</v>
      </c>
      <c r="AM4627">
        <v>81459</v>
      </c>
      <c r="AN4627">
        <v>28040</v>
      </c>
      <c r="AO4627">
        <v>109499</v>
      </c>
      <c r="AP4627">
        <v>0</v>
      </c>
      <c r="AQ4627">
        <v>0</v>
      </c>
      <c r="AR4627">
        <v>0</v>
      </c>
      <c r="AS4627" t="s">
        <v>239</v>
      </c>
      <c r="AT4627" t="s">
        <v>514</v>
      </c>
    </row>
    <row r="4628" spans="2:46" x14ac:dyDescent="0.35">
      <c r="B4628" t="s">
        <v>563</v>
      </c>
      <c r="C4628">
        <v>45871</v>
      </c>
      <c r="J4628">
        <v>0</v>
      </c>
      <c r="O4628" t="s">
        <v>239</v>
      </c>
      <c r="P4628" t="s">
        <v>514</v>
      </c>
      <c r="U4628">
        <v>414.66666666666652</v>
      </c>
      <c r="Y4628">
        <v>214</v>
      </c>
      <c r="Z4628" s="259" t="s">
        <v>637</v>
      </c>
      <c r="AB4628">
        <v>28955.666666666664</v>
      </c>
      <c r="AF4628">
        <v>109499</v>
      </c>
      <c r="AG4628">
        <v>0</v>
      </c>
      <c r="AI4628">
        <v>109499</v>
      </c>
      <c r="AJ4628">
        <v>0</v>
      </c>
      <c r="AK4628">
        <v>0</v>
      </c>
      <c r="AL4628">
        <v>0</v>
      </c>
      <c r="AM4628">
        <v>81459</v>
      </c>
      <c r="AN4628">
        <v>28040</v>
      </c>
      <c r="AO4628">
        <v>109499</v>
      </c>
      <c r="AP4628">
        <v>0</v>
      </c>
      <c r="AQ4628">
        <v>0</v>
      </c>
      <c r="AR4628">
        <v>0</v>
      </c>
      <c r="AS4628" t="s">
        <v>239</v>
      </c>
      <c r="AT4628" t="s">
        <v>514</v>
      </c>
    </row>
    <row r="4629" spans="2:46" x14ac:dyDescent="0.35">
      <c r="B4629" t="s">
        <v>563</v>
      </c>
      <c r="C4629">
        <v>45872</v>
      </c>
      <c r="J4629">
        <v>0</v>
      </c>
      <c r="O4629" t="s">
        <v>239</v>
      </c>
      <c r="P4629" t="s">
        <v>514</v>
      </c>
      <c r="U4629">
        <v>414.66666666666652</v>
      </c>
      <c r="Y4629">
        <v>215</v>
      </c>
      <c r="Z4629" s="259" t="s">
        <v>637</v>
      </c>
      <c r="AB4629">
        <v>28955.666666666664</v>
      </c>
      <c r="AF4629">
        <v>109499</v>
      </c>
      <c r="AG4629">
        <v>0</v>
      </c>
      <c r="AI4629">
        <v>109499</v>
      </c>
      <c r="AJ4629">
        <v>0</v>
      </c>
      <c r="AK4629">
        <v>0</v>
      </c>
      <c r="AL4629">
        <v>0</v>
      </c>
      <c r="AM4629">
        <v>81459</v>
      </c>
      <c r="AN4629">
        <v>28040</v>
      </c>
      <c r="AO4629">
        <v>109499</v>
      </c>
      <c r="AP4629">
        <v>0</v>
      </c>
      <c r="AQ4629">
        <v>0</v>
      </c>
      <c r="AR4629">
        <v>0</v>
      </c>
      <c r="AS4629" t="s">
        <v>239</v>
      </c>
      <c r="AT4629" t="s">
        <v>514</v>
      </c>
    </row>
    <row r="4630" spans="2:46" x14ac:dyDescent="0.35">
      <c r="B4630" t="s">
        <v>563</v>
      </c>
      <c r="C4630">
        <v>45873</v>
      </c>
      <c r="J4630">
        <v>0</v>
      </c>
      <c r="O4630" t="s">
        <v>239</v>
      </c>
      <c r="P4630" t="s">
        <v>514</v>
      </c>
      <c r="U4630">
        <v>414.66666666666652</v>
      </c>
      <c r="Y4630">
        <v>216</v>
      </c>
      <c r="Z4630" s="259" t="s">
        <v>637</v>
      </c>
      <c r="AB4630">
        <v>28955.666666666664</v>
      </c>
      <c r="AF4630">
        <v>109578</v>
      </c>
      <c r="AG4630">
        <v>0</v>
      </c>
      <c r="AI4630">
        <v>109499</v>
      </c>
      <c r="AJ4630">
        <v>0</v>
      </c>
      <c r="AK4630">
        <v>0</v>
      </c>
      <c r="AL4630">
        <v>0</v>
      </c>
      <c r="AM4630">
        <v>81459</v>
      </c>
      <c r="AN4630">
        <v>28119</v>
      </c>
      <c r="AO4630">
        <v>109578</v>
      </c>
      <c r="AP4630">
        <v>0</v>
      </c>
      <c r="AQ4630">
        <v>79</v>
      </c>
      <c r="AR4630">
        <v>7.2146777596149292E-4</v>
      </c>
      <c r="AS4630" t="s">
        <v>239</v>
      </c>
      <c r="AT4630" t="s">
        <v>514</v>
      </c>
    </row>
    <row r="4631" spans="2:46" x14ac:dyDescent="0.35">
      <c r="B4631" t="s">
        <v>563</v>
      </c>
      <c r="C4631">
        <v>45874</v>
      </c>
      <c r="J4631">
        <v>0</v>
      </c>
      <c r="O4631" t="s">
        <v>239</v>
      </c>
      <c r="P4631" t="s">
        <v>514</v>
      </c>
      <c r="U4631">
        <v>414.66666666666652</v>
      </c>
      <c r="Y4631">
        <v>217</v>
      </c>
      <c r="Z4631" s="259" t="s">
        <v>637</v>
      </c>
      <c r="AB4631">
        <v>28955.666666666664</v>
      </c>
      <c r="AF4631">
        <v>109604.5</v>
      </c>
      <c r="AG4631">
        <v>0</v>
      </c>
      <c r="AI4631">
        <v>109578</v>
      </c>
      <c r="AJ4631">
        <v>0</v>
      </c>
      <c r="AK4631">
        <v>0</v>
      </c>
      <c r="AL4631">
        <v>0</v>
      </c>
      <c r="AM4631">
        <v>81459</v>
      </c>
      <c r="AN4631">
        <v>28145.5</v>
      </c>
      <c r="AO4631">
        <v>109604.5</v>
      </c>
      <c r="AP4631">
        <v>0</v>
      </c>
      <c r="AQ4631">
        <v>26.5</v>
      </c>
      <c r="AR4631">
        <v>2.418368650640712E-4</v>
      </c>
      <c r="AS4631" t="s">
        <v>239</v>
      </c>
      <c r="AT4631" t="s">
        <v>514</v>
      </c>
    </row>
    <row r="4632" spans="2:46" x14ac:dyDescent="0.35">
      <c r="B4632" t="s">
        <v>563</v>
      </c>
      <c r="C4632">
        <v>45875</v>
      </c>
      <c r="J4632">
        <v>0</v>
      </c>
      <c r="O4632" t="s">
        <v>239</v>
      </c>
      <c r="P4632" t="s">
        <v>514</v>
      </c>
      <c r="U4632">
        <v>414.66666666666652</v>
      </c>
      <c r="Y4632">
        <v>218</v>
      </c>
      <c r="Z4632" s="259" t="s">
        <v>637</v>
      </c>
      <c r="AB4632">
        <v>28955.666666666664</v>
      </c>
      <c r="AF4632">
        <v>109630.5</v>
      </c>
      <c r="AG4632">
        <v>0</v>
      </c>
      <c r="AI4632">
        <v>109604.5</v>
      </c>
      <c r="AJ4632">
        <v>0</v>
      </c>
      <c r="AK4632">
        <v>0</v>
      </c>
      <c r="AL4632">
        <v>0</v>
      </c>
      <c r="AM4632">
        <v>81459</v>
      </c>
      <c r="AN4632">
        <v>28171.5</v>
      </c>
      <c r="AO4632">
        <v>109630.5</v>
      </c>
      <c r="AP4632">
        <v>0</v>
      </c>
      <c r="AQ4632">
        <v>26</v>
      </c>
      <c r="AR4632">
        <v>2.3721653764208206E-4</v>
      </c>
      <c r="AS4632" t="s">
        <v>239</v>
      </c>
      <c r="AT4632" t="s">
        <v>514</v>
      </c>
    </row>
    <row r="4633" spans="2:46" x14ac:dyDescent="0.35">
      <c r="B4633" t="s">
        <v>563</v>
      </c>
      <c r="C4633">
        <v>45876</v>
      </c>
      <c r="J4633">
        <v>0</v>
      </c>
      <c r="O4633" t="s">
        <v>239</v>
      </c>
      <c r="P4633" t="s">
        <v>514</v>
      </c>
      <c r="U4633">
        <v>414.66666666666652</v>
      </c>
      <c r="Y4633">
        <v>219</v>
      </c>
      <c r="Z4633" s="259" t="s">
        <v>637</v>
      </c>
      <c r="AB4633">
        <v>28955.666666666664</v>
      </c>
      <c r="AF4633">
        <v>109657</v>
      </c>
      <c r="AG4633">
        <v>0</v>
      </c>
      <c r="AI4633">
        <v>109630.5</v>
      </c>
      <c r="AJ4633">
        <v>0</v>
      </c>
      <c r="AK4633">
        <v>0</v>
      </c>
      <c r="AL4633">
        <v>0</v>
      </c>
      <c r="AM4633">
        <v>81459</v>
      </c>
      <c r="AN4633">
        <v>28198</v>
      </c>
      <c r="AO4633">
        <v>109657</v>
      </c>
      <c r="AP4633">
        <v>0</v>
      </c>
      <c r="AQ4633">
        <v>26.5</v>
      </c>
      <c r="AR4633">
        <v>2.417210539038539E-4</v>
      </c>
      <c r="AS4633" t="s">
        <v>239</v>
      </c>
      <c r="AT4633" t="s">
        <v>514</v>
      </c>
    </row>
    <row r="4634" spans="2:46" x14ac:dyDescent="0.35">
      <c r="B4634" t="s">
        <v>563</v>
      </c>
      <c r="C4634">
        <v>45877</v>
      </c>
      <c r="J4634">
        <v>0</v>
      </c>
      <c r="O4634" t="s">
        <v>239</v>
      </c>
      <c r="P4634" t="s">
        <v>514</v>
      </c>
      <c r="U4634">
        <v>414.66666666666652</v>
      </c>
      <c r="Y4634">
        <v>220</v>
      </c>
      <c r="Z4634" s="259" t="s">
        <v>637</v>
      </c>
      <c r="AB4634">
        <v>28955.666666666664</v>
      </c>
      <c r="AF4634">
        <v>109683.5</v>
      </c>
      <c r="AG4634">
        <v>0</v>
      </c>
      <c r="AI4634">
        <v>109657</v>
      </c>
      <c r="AJ4634">
        <v>0</v>
      </c>
      <c r="AK4634">
        <v>0</v>
      </c>
      <c r="AL4634">
        <v>0</v>
      </c>
      <c r="AM4634">
        <v>81459</v>
      </c>
      <c r="AN4634">
        <v>28224.5</v>
      </c>
      <c r="AO4634">
        <v>109683.5</v>
      </c>
      <c r="AP4634">
        <v>0</v>
      </c>
      <c r="AQ4634">
        <v>26.5</v>
      </c>
      <c r="AR4634">
        <v>2.4166263895608608E-4</v>
      </c>
      <c r="AS4634" t="s">
        <v>239</v>
      </c>
      <c r="AT4634" t="s">
        <v>514</v>
      </c>
    </row>
    <row r="4635" spans="2:46" x14ac:dyDescent="0.35">
      <c r="B4635" t="s">
        <v>563</v>
      </c>
      <c r="C4635">
        <v>45878</v>
      </c>
      <c r="J4635">
        <v>0</v>
      </c>
      <c r="O4635" t="s">
        <v>239</v>
      </c>
      <c r="P4635" t="s">
        <v>514</v>
      </c>
      <c r="U4635">
        <v>414.66666666666652</v>
      </c>
      <c r="Y4635">
        <v>221</v>
      </c>
      <c r="Z4635" s="259" t="s">
        <v>637</v>
      </c>
      <c r="AB4635">
        <v>28955.666666666664</v>
      </c>
      <c r="AF4635">
        <v>109683.5</v>
      </c>
      <c r="AG4635">
        <v>0</v>
      </c>
      <c r="AI4635">
        <v>109683.5</v>
      </c>
      <c r="AJ4635">
        <v>0</v>
      </c>
      <c r="AK4635">
        <v>0</v>
      </c>
      <c r="AL4635">
        <v>0</v>
      </c>
      <c r="AM4635">
        <v>81459</v>
      </c>
      <c r="AN4635">
        <v>28224.5</v>
      </c>
      <c r="AO4635">
        <v>109683.5</v>
      </c>
      <c r="AP4635">
        <v>0</v>
      </c>
      <c r="AQ4635">
        <v>0</v>
      </c>
      <c r="AR4635">
        <v>0</v>
      </c>
      <c r="AS4635" t="s">
        <v>239</v>
      </c>
      <c r="AT4635" t="s">
        <v>514</v>
      </c>
    </row>
    <row r="4636" spans="2:46" x14ac:dyDescent="0.35">
      <c r="B4636" t="s">
        <v>563</v>
      </c>
      <c r="C4636">
        <v>45879</v>
      </c>
      <c r="J4636">
        <v>0</v>
      </c>
      <c r="O4636" t="s">
        <v>239</v>
      </c>
      <c r="P4636" t="s">
        <v>514</v>
      </c>
      <c r="U4636">
        <v>414.66666666666652</v>
      </c>
      <c r="Y4636">
        <v>222</v>
      </c>
      <c r="Z4636" s="259" t="s">
        <v>637</v>
      </c>
      <c r="AB4636">
        <v>28955.666666666664</v>
      </c>
      <c r="AF4636">
        <v>109683.5</v>
      </c>
      <c r="AG4636">
        <v>0</v>
      </c>
      <c r="AI4636">
        <v>109683.5</v>
      </c>
      <c r="AJ4636">
        <v>0</v>
      </c>
      <c r="AK4636">
        <v>0</v>
      </c>
      <c r="AL4636">
        <v>0</v>
      </c>
      <c r="AM4636">
        <v>81459</v>
      </c>
      <c r="AN4636">
        <v>28224.5</v>
      </c>
      <c r="AO4636">
        <v>109683.5</v>
      </c>
      <c r="AP4636">
        <v>0</v>
      </c>
      <c r="AQ4636">
        <v>0</v>
      </c>
      <c r="AR4636">
        <v>0</v>
      </c>
      <c r="AS4636" t="s">
        <v>239</v>
      </c>
      <c r="AT4636" t="s">
        <v>514</v>
      </c>
    </row>
    <row r="4637" spans="2:46" x14ac:dyDescent="0.35">
      <c r="B4637" t="s">
        <v>563</v>
      </c>
      <c r="C4637">
        <v>45880</v>
      </c>
      <c r="J4637">
        <v>0</v>
      </c>
      <c r="O4637" t="s">
        <v>239</v>
      </c>
      <c r="P4637" t="s">
        <v>514</v>
      </c>
      <c r="U4637">
        <v>414.66666666666652</v>
      </c>
      <c r="Y4637">
        <v>223</v>
      </c>
      <c r="Z4637" s="259" t="s">
        <v>637</v>
      </c>
      <c r="AB4637">
        <v>28955.666666666664</v>
      </c>
      <c r="AF4637">
        <v>109762.5</v>
      </c>
      <c r="AG4637">
        <v>0</v>
      </c>
      <c r="AI4637">
        <v>109683.5</v>
      </c>
      <c r="AJ4637">
        <v>0</v>
      </c>
      <c r="AK4637">
        <v>0</v>
      </c>
      <c r="AL4637">
        <v>0</v>
      </c>
      <c r="AM4637">
        <v>81459</v>
      </c>
      <c r="AN4637">
        <v>28303.5</v>
      </c>
      <c r="AO4637">
        <v>109762.5</v>
      </c>
      <c r="AP4637">
        <v>0</v>
      </c>
      <c r="AQ4637">
        <v>79</v>
      </c>
      <c r="AR4637">
        <v>7.202541859077094E-4</v>
      </c>
      <c r="AS4637" t="s">
        <v>239</v>
      </c>
      <c r="AT4637" t="s">
        <v>514</v>
      </c>
    </row>
    <row r="4638" spans="2:46" x14ac:dyDescent="0.35">
      <c r="B4638" t="s">
        <v>563</v>
      </c>
      <c r="C4638">
        <v>45881</v>
      </c>
      <c r="J4638">
        <v>0</v>
      </c>
      <c r="O4638" t="s">
        <v>239</v>
      </c>
      <c r="P4638" t="s">
        <v>514</v>
      </c>
      <c r="U4638">
        <v>414.66666666666652</v>
      </c>
      <c r="Y4638">
        <v>224</v>
      </c>
      <c r="Z4638" s="259" t="s">
        <v>637</v>
      </c>
      <c r="AB4638">
        <v>28955.666666666664</v>
      </c>
      <c r="AF4638">
        <v>109788.5</v>
      </c>
      <c r="AG4638">
        <v>0</v>
      </c>
      <c r="AI4638">
        <v>109762.5</v>
      </c>
      <c r="AJ4638">
        <v>0</v>
      </c>
      <c r="AK4638">
        <v>0</v>
      </c>
      <c r="AL4638">
        <v>0</v>
      </c>
      <c r="AM4638">
        <v>81459</v>
      </c>
      <c r="AN4638">
        <v>28329.5</v>
      </c>
      <c r="AO4638">
        <v>109788.5</v>
      </c>
      <c r="AP4638">
        <v>0</v>
      </c>
      <c r="AQ4638">
        <v>26</v>
      </c>
      <c r="AR4638">
        <v>2.3687507117631235E-4</v>
      </c>
      <c r="AS4638" t="s">
        <v>239</v>
      </c>
      <c r="AT4638" t="s">
        <v>514</v>
      </c>
    </row>
    <row r="4639" spans="2:46" x14ac:dyDescent="0.35">
      <c r="B4639" t="s">
        <v>563</v>
      </c>
      <c r="C4639">
        <v>45882</v>
      </c>
      <c r="J4639">
        <v>0</v>
      </c>
      <c r="O4639" t="s">
        <v>239</v>
      </c>
      <c r="P4639" t="s">
        <v>514</v>
      </c>
      <c r="U4639">
        <v>414.66666666666652</v>
      </c>
      <c r="Y4639">
        <v>225</v>
      </c>
      <c r="Z4639" s="259" t="s">
        <v>637</v>
      </c>
      <c r="AB4639">
        <v>28955.666666666664</v>
      </c>
      <c r="AF4639">
        <v>109815</v>
      </c>
      <c r="AG4639">
        <v>0</v>
      </c>
      <c r="AI4639">
        <v>109788.5</v>
      </c>
      <c r="AJ4639">
        <v>0</v>
      </c>
      <c r="AK4639">
        <v>0</v>
      </c>
      <c r="AL4639">
        <v>0</v>
      </c>
      <c r="AM4639">
        <v>81459</v>
      </c>
      <c r="AN4639">
        <v>28356</v>
      </c>
      <c r="AO4639">
        <v>109815</v>
      </c>
      <c r="AP4639">
        <v>0</v>
      </c>
      <c r="AQ4639">
        <v>26.5</v>
      </c>
      <c r="AR4639">
        <v>2.4137318571626487E-4</v>
      </c>
      <c r="AS4639" t="s">
        <v>239</v>
      </c>
      <c r="AT4639" t="s">
        <v>514</v>
      </c>
    </row>
    <row r="4640" spans="2:46" x14ac:dyDescent="0.35">
      <c r="B4640" t="s">
        <v>563</v>
      </c>
      <c r="C4640">
        <v>45883</v>
      </c>
      <c r="J4640">
        <v>0</v>
      </c>
      <c r="O4640" t="s">
        <v>239</v>
      </c>
      <c r="P4640" t="s">
        <v>514</v>
      </c>
      <c r="U4640">
        <v>414.66666666666652</v>
      </c>
      <c r="Y4640">
        <v>226</v>
      </c>
      <c r="Z4640" s="259" t="s">
        <v>637</v>
      </c>
      <c r="AB4640">
        <v>28955.666666666664</v>
      </c>
      <c r="AF4640">
        <v>109841.5</v>
      </c>
      <c r="AG4640">
        <v>0</v>
      </c>
      <c r="AI4640">
        <v>109815</v>
      </c>
      <c r="AJ4640">
        <v>0</v>
      </c>
      <c r="AK4640">
        <v>0</v>
      </c>
      <c r="AL4640">
        <v>0</v>
      </c>
      <c r="AM4640">
        <v>81459</v>
      </c>
      <c r="AN4640">
        <v>28382.5</v>
      </c>
      <c r="AO4640">
        <v>109841.5</v>
      </c>
      <c r="AP4640">
        <v>0</v>
      </c>
      <c r="AQ4640">
        <v>26.5</v>
      </c>
      <c r="AR4640">
        <v>2.4131493876056176E-4</v>
      </c>
      <c r="AS4640" t="s">
        <v>239</v>
      </c>
      <c r="AT4640" t="s">
        <v>514</v>
      </c>
    </row>
    <row r="4641" spans="2:46" x14ac:dyDescent="0.35">
      <c r="B4641" t="s">
        <v>563</v>
      </c>
      <c r="C4641">
        <v>45884</v>
      </c>
      <c r="J4641">
        <v>0</v>
      </c>
      <c r="O4641" t="s">
        <v>239</v>
      </c>
      <c r="P4641" t="s">
        <v>514</v>
      </c>
      <c r="U4641">
        <v>414.66666666666652</v>
      </c>
      <c r="Y4641">
        <v>227</v>
      </c>
      <c r="Z4641" s="259" t="s">
        <v>637</v>
      </c>
      <c r="AB4641">
        <v>28955.666666666664</v>
      </c>
      <c r="AF4641">
        <v>109867.5</v>
      </c>
      <c r="AG4641">
        <v>0</v>
      </c>
      <c r="AI4641">
        <v>109841.5</v>
      </c>
      <c r="AJ4641">
        <v>0</v>
      </c>
      <c r="AK4641">
        <v>0</v>
      </c>
      <c r="AL4641">
        <v>0</v>
      </c>
      <c r="AM4641">
        <v>81459</v>
      </c>
      <c r="AN4641">
        <v>28408.5</v>
      </c>
      <c r="AO4641">
        <v>109867.5</v>
      </c>
      <c r="AP4641">
        <v>0</v>
      </c>
      <c r="AQ4641">
        <v>26</v>
      </c>
      <c r="AR4641">
        <v>2.3670470632675134E-4</v>
      </c>
      <c r="AS4641" t="s">
        <v>239</v>
      </c>
      <c r="AT4641" t="s">
        <v>514</v>
      </c>
    </row>
    <row r="4642" spans="2:46" x14ac:dyDescent="0.35">
      <c r="B4642" t="s">
        <v>563</v>
      </c>
      <c r="C4642">
        <v>45885</v>
      </c>
      <c r="J4642">
        <v>0</v>
      </c>
      <c r="O4642" t="s">
        <v>239</v>
      </c>
      <c r="P4642" t="s">
        <v>514</v>
      </c>
      <c r="U4642">
        <v>414.66666666666652</v>
      </c>
      <c r="Y4642">
        <v>228</v>
      </c>
      <c r="Z4642" s="259" t="s">
        <v>637</v>
      </c>
      <c r="AB4642">
        <v>28955.666666666664</v>
      </c>
      <c r="AF4642">
        <v>109867.5</v>
      </c>
      <c r="AG4642">
        <v>0</v>
      </c>
      <c r="AI4642">
        <v>109867.5</v>
      </c>
      <c r="AJ4642">
        <v>0</v>
      </c>
      <c r="AK4642">
        <v>0</v>
      </c>
      <c r="AL4642">
        <v>0</v>
      </c>
      <c r="AM4642">
        <v>81459</v>
      </c>
      <c r="AN4642">
        <v>28408.5</v>
      </c>
      <c r="AO4642">
        <v>109867.5</v>
      </c>
      <c r="AP4642">
        <v>0</v>
      </c>
      <c r="AQ4642">
        <v>0</v>
      </c>
      <c r="AR4642">
        <v>0</v>
      </c>
      <c r="AS4642" t="s">
        <v>239</v>
      </c>
      <c r="AT4642" t="s">
        <v>514</v>
      </c>
    </row>
    <row r="4643" spans="2:46" x14ac:dyDescent="0.35">
      <c r="B4643" t="s">
        <v>563</v>
      </c>
      <c r="C4643">
        <v>45886</v>
      </c>
      <c r="J4643">
        <v>0</v>
      </c>
      <c r="O4643" t="s">
        <v>239</v>
      </c>
      <c r="P4643" t="s">
        <v>514</v>
      </c>
      <c r="U4643">
        <v>414.66666666666652</v>
      </c>
      <c r="Y4643">
        <v>229</v>
      </c>
      <c r="Z4643" s="259" t="s">
        <v>637</v>
      </c>
      <c r="AB4643">
        <v>28955.666666666664</v>
      </c>
      <c r="AF4643">
        <v>109867.5</v>
      </c>
      <c r="AG4643">
        <v>0</v>
      </c>
      <c r="AI4643">
        <v>109867.5</v>
      </c>
      <c r="AJ4643">
        <v>0</v>
      </c>
      <c r="AK4643">
        <v>0</v>
      </c>
      <c r="AL4643">
        <v>0</v>
      </c>
      <c r="AM4643">
        <v>81459</v>
      </c>
      <c r="AN4643">
        <v>28408.5</v>
      </c>
      <c r="AO4643">
        <v>109867.5</v>
      </c>
      <c r="AP4643">
        <v>0</v>
      </c>
      <c r="AQ4643">
        <v>0</v>
      </c>
      <c r="AR4643">
        <v>0</v>
      </c>
      <c r="AS4643" t="s">
        <v>239</v>
      </c>
      <c r="AT4643" t="s">
        <v>514</v>
      </c>
    </row>
    <row r="4644" spans="2:46" x14ac:dyDescent="0.35">
      <c r="B4644" t="s">
        <v>563</v>
      </c>
      <c r="C4644">
        <v>45887</v>
      </c>
      <c r="J4644">
        <v>0</v>
      </c>
      <c r="O4644" t="s">
        <v>239</v>
      </c>
      <c r="P4644" t="s">
        <v>514</v>
      </c>
      <c r="U4644">
        <v>414.66666666666652</v>
      </c>
      <c r="Y4644">
        <v>230</v>
      </c>
      <c r="Z4644" s="259" t="s">
        <v>637</v>
      </c>
      <c r="AB4644">
        <v>28955.666666666664</v>
      </c>
      <c r="AF4644">
        <v>114946.5</v>
      </c>
      <c r="AG4644">
        <v>0</v>
      </c>
      <c r="AI4644">
        <v>109867.5</v>
      </c>
      <c r="AJ4644">
        <v>0</v>
      </c>
      <c r="AK4644">
        <v>5000</v>
      </c>
      <c r="AL4644">
        <v>5000</v>
      </c>
      <c r="AM4644">
        <v>86459</v>
      </c>
      <c r="AN4644">
        <v>28487.5</v>
      </c>
      <c r="AO4644">
        <v>114946.5</v>
      </c>
      <c r="AP4644">
        <v>0</v>
      </c>
      <c r="AQ4644">
        <v>79</v>
      </c>
      <c r="AR4644">
        <v>7.190479441145925E-4</v>
      </c>
      <c r="AS4644" t="s">
        <v>239</v>
      </c>
      <c r="AT4644" t="s">
        <v>514</v>
      </c>
    </row>
    <row r="4645" spans="2:46" x14ac:dyDescent="0.35">
      <c r="B4645" t="s">
        <v>563</v>
      </c>
      <c r="C4645">
        <v>45888</v>
      </c>
      <c r="J4645">
        <v>0</v>
      </c>
      <c r="O4645" t="s">
        <v>239</v>
      </c>
      <c r="P4645" t="s">
        <v>514</v>
      </c>
      <c r="U4645">
        <v>414.66666666666652</v>
      </c>
      <c r="Y4645">
        <v>231</v>
      </c>
      <c r="Z4645" s="259" t="s">
        <v>637</v>
      </c>
      <c r="AB4645">
        <v>28955.666666666664</v>
      </c>
      <c r="AF4645">
        <v>114973</v>
      </c>
      <c r="AG4645">
        <v>0</v>
      </c>
      <c r="AI4645">
        <v>114946.5</v>
      </c>
      <c r="AJ4645">
        <v>0</v>
      </c>
      <c r="AK4645">
        <v>0</v>
      </c>
      <c r="AL4645">
        <v>0</v>
      </c>
      <c r="AM4645">
        <v>86459</v>
      </c>
      <c r="AN4645">
        <v>28514</v>
      </c>
      <c r="AO4645">
        <v>114973</v>
      </c>
      <c r="AP4645">
        <v>0</v>
      </c>
      <c r="AQ4645">
        <v>26.5</v>
      </c>
      <c r="AR4645">
        <v>2.30542034772796E-4</v>
      </c>
      <c r="AS4645" t="s">
        <v>239</v>
      </c>
      <c r="AT4645" t="s">
        <v>514</v>
      </c>
    </row>
    <row r="4646" spans="2:46" x14ac:dyDescent="0.35">
      <c r="B4646" t="s">
        <v>563</v>
      </c>
      <c r="C4646">
        <v>45889</v>
      </c>
      <c r="J4646">
        <v>0</v>
      </c>
      <c r="O4646" t="s">
        <v>239</v>
      </c>
      <c r="P4646" t="s">
        <v>514</v>
      </c>
      <c r="U4646">
        <v>414.66666666666652</v>
      </c>
      <c r="Y4646">
        <v>232</v>
      </c>
      <c r="Z4646" s="259" t="s">
        <v>637</v>
      </c>
      <c r="AB4646">
        <v>28955.666666666664</v>
      </c>
      <c r="AF4646">
        <v>114999.5</v>
      </c>
      <c r="AG4646">
        <v>0</v>
      </c>
      <c r="AI4646">
        <v>114973</v>
      </c>
      <c r="AJ4646">
        <v>0</v>
      </c>
      <c r="AK4646">
        <v>0</v>
      </c>
      <c r="AL4646">
        <v>0</v>
      </c>
      <c r="AM4646">
        <v>86459</v>
      </c>
      <c r="AN4646">
        <v>28540.5</v>
      </c>
      <c r="AO4646">
        <v>114999.5</v>
      </c>
      <c r="AP4646">
        <v>0</v>
      </c>
      <c r="AQ4646">
        <v>26.5</v>
      </c>
      <c r="AR4646">
        <v>2.304888973934105E-4</v>
      </c>
      <c r="AS4646" t="s">
        <v>239</v>
      </c>
      <c r="AT4646" t="s">
        <v>514</v>
      </c>
    </row>
    <row r="4647" spans="2:46" x14ac:dyDescent="0.35">
      <c r="B4647" t="s">
        <v>563</v>
      </c>
      <c r="C4647">
        <v>45890</v>
      </c>
      <c r="J4647">
        <v>0</v>
      </c>
      <c r="O4647" t="s">
        <v>239</v>
      </c>
      <c r="P4647" t="s">
        <v>514</v>
      </c>
      <c r="U4647">
        <v>414.66666666666652</v>
      </c>
      <c r="Y4647">
        <v>233</v>
      </c>
      <c r="Z4647" s="259" t="s">
        <v>637</v>
      </c>
      <c r="AB4647">
        <v>28955.666666666664</v>
      </c>
      <c r="AF4647">
        <v>115025.5</v>
      </c>
      <c r="AG4647">
        <v>0</v>
      </c>
      <c r="AI4647">
        <v>114999.5</v>
      </c>
      <c r="AJ4647">
        <v>0</v>
      </c>
      <c r="AK4647">
        <v>0</v>
      </c>
      <c r="AL4647">
        <v>0</v>
      </c>
      <c r="AM4647">
        <v>86459</v>
      </c>
      <c r="AN4647">
        <v>28566.5</v>
      </c>
      <c r="AO4647">
        <v>115025.5</v>
      </c>
      <c r="AP4647">
        <v>0</v>
      </c>
      <c r="AQ4647">
        <v>26</v>
      </c>
      <c r="AR4647">
        <v>2.2608793951284234E-4</v>
      </c>
      <c r="AS4647" t="s">
        <v>239</v>
      </c>
      <c r="AT4647" t="s">
        <v>514</v>
      </c>
    </row>
    <row r="4648" spans="2:46" x14ac:dyDescent="0.35">
      <c r="B4648" t="s">
        <v>563</v>
      </c>
      <c r="C4648">
        <v>45891</v>
      </c>
      <c r="J4648">
        <v>0</v>
      </c>
      <c r="O4648" t="s">
        <v>239</v>
      </c>
      <c r="P4648" t="s">
        <v>514</v>
      </c>
      <c r="U4648">
        <v>414.66666666666652</v>
      </c>
      <c r="Y4648">
        <v>234</v>
      </c>
      <c r="Z4648" s="259" t="s">
        <v>637</v>
      </c>
      <c r="AB4648">
        <v>28955.666666666664</v>
      </c>
      <c r="AF4648">
        <v>115052</v>
      </c>
      <c r="AG4648">
        <v>0</v>
      </c>
      <c r="AI4648">
        <v>115025.5</v>
      </c>
      <c r="AJ4648">
        <v>0</v>
      </c>
      <c r="AK4648">
        <v>0</v>
      </c>
      <c r="AL4648">
        <v>0</v>
      </c>
      <c r="AM4648">
        <v>86459</v>
      </c>
      <c r="AN4648">
        <v>28593</v>
      </c>
      <c r="AO4648">
        <v>115052</v>
      </c>
      <c r="AP4648">
        <v>0</v>
      </c>
      <c r="AQ4648">
        <v>26.5</v>
      </c>
      <c r="AR4648">
        <v>2.3038369752792498E-4</v>
      </c>
      <c r="AS4648" t="s">
        <v>239</v>
      </c>
      <c r="AT4648" t="s">
        <v>514</v>
      </c>
    </row>
    <row r="4649" spans="2:46" x14ac:dyDescent="0.35">
      <c r="B4649" t="s">
        <v>563</v>
      </c>
      <c r="C4649">
        <v>45892</v>
      </c>
      <c r="J4649">
        <v>0</v>
      </c>
      <c r="O4649" t="s">
        <v>239</v>
      </c>
      <c r="P4649" t="s">
        <v>514</v>
      </c>
      <c r="U4649">
        <v>414.66666666666652</v>
      </c>
      <c r="Y4649">
        <v>235</v>
      </c>
      <c r="Z4649" s="259" t="s">
        <v>637</v>
      </c>
      <c r="AB4649">
        <v>28955.666666666664</v>
      </c>
      <c r="AF4649">
        <v>115052</v>
      </c>
      <c r="AG4649">
        <v>0</v>
      </c>
      <c r="AI4649">
        <v>115052</v>
      </c>
      <c r="AJ4649">
        <v>0</v>
      </c>
      <c r="AK4649">
        <v>0</v>
      </c>
      <c r="AL4649">
        <v>0</v>
      </c>
      <c r="AM4649">
        <v>86459</v>
      </c>
      <c r="AN4649">
        <v>28593</v>
      </c>
      <c r="AO4649">
        <v>115052</v>
      </c>
      <c r="AP4649">
        <v>0</v>
      </c>
      <c r="AQ4649">
        <v>0</v>
      </c>
      <c r="AR4649">
        <v>0</v>
      </c>
      <c r="AS4649" t="s">
        <v>239</v>
      </c>
      <c r="AT4649" t="s">
        <v>514</v>
      </c>
    </row>
    <row r="4650" spans="2:46" x14ac:dyDescent="0.35">
      <c r="B4650" t="s">
        <v>563</v>
      </c>
      <c r="C4650">
        <v>45893</v>
      </c>
      <c r="J4650">
        <v>0</v>
      </c>
      <c r="O4650" t="s">
        <v>239</v>
      </c>
      <c r="P4650" t="s">
        <v>514</v>
      </c>
      <c r="U4650">
        <v>414.66666666666652</v>
      </c>
      <c r="Y4650">
        <v>236</v>
      </c>
      <c r="Z4650" s="259" t="s">
        <v>637</v>
      </c>
      <c r="AB4650">
        <v>28955.666666666664</v>
      </c>
      <c r="AF4650">
        <v>115052</v>
      </c>
      <c r="AG4650">
        <v>0</v>
      </c>
      <c r="AI4650">
        <v>115052</v>
      </c>
      <c r="AJ4650">
        <v>0</v>
      </c>
      <c r="AK4650">
        <v>0</v>
      </c>
      <c r="AL4650">
        <v>0</v>
      </c>
      <c r="AM4650">
        <v>86459</v>
      </c>
      <c r="AN4650">
        <v>28593</v>
      </c>
      <c r="AO4650">
        <v>115052</v>
      </c>
      <c r="AP4650">
        <v>0</v>
      </c>
      <c r="AQ4650">
        <v>0</v>
      </c>
      <c r="AR4650">
        <v>0</v>
      </c>
      <c r="AS4650" t="s">
        <v>239</v>
      </c>
      <c r="AT4650" t="s">
        <v>514</v>
      </c>
    </row>
    <row r="4651" spans="2:46" x14ac:dyDescent="0.35">
      <c r="B4651" t="s">
        <v>563</v>
      </c>
      <c r="C4651">
        <v>45894</v>
      </c>
      <c r="J4651">
        <v>0</v>
      </c>
      <c r="O4651" t="s">
        <v>239</v>
      </c>
      <c r="P4651" t="s">
        <v>514</v>
      </c>
      <c r="U4651">
        <v>414.66666666666652</v>
      </c>
      <c r="Y4651">
        <v>237</v>
      </c>
      <c r="Z4651" s="259" t="s">
        <v>637</v>
      </c>
      <c r="AB4651">
        <v>28955.666666666664</v>
      </c>
      <c r="AF4651">
        <v>115131</v>
      </c>
      <c r="AG4651">
        <v>0</v>
      </c>
      <c r="AI4651">
        <v>115052</v>
      </c>
      <c r="AJ4651">
        <v>0</v>
      </c>
      <c r="AK4651">
        <v>0</v>
      </c>
      <c r="AL4651">
        <v>0</v>
      </c>
      <c r="AM4651">
        <v>86459</v>
      </c>
      <c r="AN4651">
        <v>28672</v>
      </c>
      <c r="AO4651">
        <v>115131</v>
      </c>
      <c r="AP4651">
        <v>0</v>
      </c>
      <c r="AQ4651">
        <v>79</v>
      </c>
      <c r="AR4651">
        <v>6.8664603831303239E-4</v>
      </c>
      <c r="AS4651" t="s">
        <v>239</v>
      </c>
      <c r="AT4651" t="s">
        <v>514</v>
      </c>
    </row>
    <row r="4652" spans="2:46" x14ac:dyDescent="0.35">
      <c r="B4652" t="s">
        <v>563</v>
      </c>
      <c r="C4652">
        <v>45895</v>
      </c>
      <c r="J4652">
        <v>0</v>
      </c>
      <c r="O4652" t="s">
        <v>239</v>
      </c>
      <c r="P4652" t="s">
        <v>514</v>
      </c>
      <c r="U4652">
        <v>414.66666666666652</v>
      </c>
      <c r="Y4652">
        <v>238</v>
      </c>
      <c r="Z4652" s="259" t="s">
        <v>637</v>
      </c>
      <c r="AB4652">
        <v>28955.666666666664</v>
      </c>
      <c r="AF4652">
        <v>115157.5</v>
      </c>
      <c r="AG4652">
        <v>0</v>
      </c>
      <c r="AI4652">
        <v>115131</v>
      </c>
      <c r="AJ4652">
        <v>0</v>
      </c>
      <c r="AK4652">
        <v>0</v>
      </c>
      <c r="AL4652">
        <v>0</v>
      </c>
      <c r="AM4652">
        <v>86459</v>
      </c>
      <c r="AN4652">
        <v>28698.5</v>
      </c>
      <c r="AO4652">
        <v>115157.5</v>
      </c>
      <c r="AP4652">
        <v>0</v>
      </c>
      <c r="AQ4652">
        <v>26.5</v>
      </c>
      <c r="AR4652">
        <v>2.301725860107684E-4</v>
      </c>
      <c r="AS4652" t="s">
        <v>239</v>
      </c>
      <c r="AT4652" t="s">
        <v>514</v>
      </c>
    </row>
    <row r="4653" spans="2:46" x14ac:dyDescent="0.35">
      <c r="B4653" t="s">
        <v>563</v>
      </c>
      <c r="C4653">
        <v>45896</v>
      </c>
      <c r="J4653">
        <v>0</v>
      </c>
      <c r="O4653" t="s">
        <v>239</v>
      </c>
      <c r="P4653" t="s">
        <v>514</v>
      </c>
      <c r="U4653">
        <v>414.66666666666652</v>
      </c>
      <c r="Y4653">
        <v>239</v>
      </c>
      <c r="Z4653" s="259" t="s">
        <v>637</v>
      </c>
      <c r="AB4653">
        <v>28955.666666666664</v>
      </c>
      <c r="AF4653">
        <v>115183.5</v>
      </c>
      <c r="AG4653">
        <v>0</v>
      </c>
      <c r="AI4653">
        <v>115157.5</v>
      </c>
      <c r="AJ4653">
        <v>0</v>
      </c>
      <c r="AK4653">
        <v>0</v>
      </c>
      <c r="AL4653">
        <v>0</v>
      </c>
      <c r="AM4653">
        <v>86459</v>
      </c>
      <c r="AN4653">
        <v>28724.5</v>
      </c>
      <c r="AO4653">
        <v>115183.5</v>
      </c>
      <c r="AP4653">
        <v>0</v>
      </c>
      <c r="AQ4653">
        <v>26</v>
      </c>
      <c r="AR4653">
        <v>2.2577773918319721E-4</v>
      </c>
      <c r="AS4653" t="s">
        <v>239</v>
      </c>
      <c r="AT4653" t="s">
        <v>514</v>
      </c>
    </row>
    <row r="4654" spans="2:46" x14ac:dyDescent="0.35">
      <c r="B4654" t="s">
        <v>563</v>
      </c>
      <c r="C4654">
        <v>45897</v>
      </c>
      <c r="J4654">
        <v>0</v>
      </c>
      <c r="O4654" t="s">
        <v>239</v>
      </c>
      <c r="P4654" t="s">
        <v>514</v>
      </c>
      <c r="U4654">
        <v>414.66666666666652</v>
      </c>
      <c r="Y4654">
        <v>240</v>
      </c>
      <c r="Z4654" s="259" t="s">
        <v>637</v>
      </c>
      <c r="AB4654">
        <v>28955.666666666664</v>
      </c>
      <c r="AF4654">
        <v>115210</v>
      </c>
      <c r="AG4654">
        <v>0</v>
      </c>
      <c r="AI4654">
        <v>115183.5</v>
      </c>
      <c r="AJ4654">
        <v>0</v>
      </c>
      <c r="AK4654">
        <v>0</v>
      </c>
      <c r="AL4654">
        <v>0</v>
      </c>
      <c r="AM4654">
        <v>86459</v>
      </c>
      <c r="AN4654">
        <v>28751</v>
      </c>
      <c r="AO4654">
        <v>115210</v>
      </c>
      <c r="AP4654">
        <v>0</v>
      </c>
      <c r="AQ4654">
        <v>26.5</v>
      </c>
      <c r="AR4654">
        <v>2.300676746236352E-4</v>
      </c>
      <c r="AS4654" t="s">
        <v>239</v>
      </c>
      <c r="AT4654" t="s">
        <v>514</v>
      </c>
    </row>
    <row r="4655" spans="2:46" x14ac:dyDescent="0.35">
      <c r="B4655" t="s">
        <v>563</v>
      </c>
      <c r="C4655">
        <v>45898</v>
      </c>
      <c r="J4655">
        <v>0</v>
      </c>
      <c r="O4655" t="s">
        <v>239</v>
      </c>
      <c r="P4655" t="s">
        <v>514</v>
      </c>
      <c r="U4655">
        <v>414.66666666666652</v>
      </c>
      <c r="Y4655">
        <v>241</v>
      </c>
      <c r="Z4655" s="259" t="s">
        <v>637</v>
      </c>
      <c r="AB4655">
        <v>28955.666666666664</v>
      </c>
      <c r="AF4655">
        <v>115236.5</v>
      </c>
      <c r="AG4655">
        <v>0</v>
      </c>
      <c r="AI4655">
        <v>115210</v>
      </c>
      <c r="AJ4655">
        <v>0</v>
      </c>
      <c r="AK4655">
        <v>0</v>
      </c>
      <c r="AL4655">
        <v>0</v>
      </c>
      <c r="AM4655">
        <v>86459</v>
      </c>
      <c r="AN4655">
        <v>28777.5</v>
      </c>
      <c r="AO4655">
        <v>115236.5</v>
      </c>
      <c r="AP4655">
        <v>0</v>
      </c>
      <c r="AQ4655">
        <v>26.5</v>
      </c>
      <c r="AR4655">
        <v>2.3001475566353236E-4</v>
      </c>
      <c r="AS4655" t="s">
        <v>239</v>
      </c>
      <c r="AT4655" t="s">
        <v>514</v>
      </c>
    </row>
    <row r="4656" spans="2:46" x14ac:dyDescent="0.35">
      <c r="B4656" t="s">
        <v>563</v>
      </c>
      <c r="C4656">
        <v>45899</v>
      </c>
      <c r="J4656">
        <v>0</v>
      </c>
      <c r="O4656" t="s">
        <v>239</v>
      </c>
      <c r="P4656" t="s">
        <v>514</v>
      </c>
      <c r="U4656">
        <v>414.66666666666652</v>
      </c>
      <c r="Y4656">
        <v>242</v>
      </c>
      <c r="Z4656" s="259" t="s">
        <v>637</v>
      </c>
      <c r="AB4656">
        <v>28955.666666666664</v>
      </c>
      <c r="AF4656">
        <v>115236.5</v>
      </c>
      <c r="AG4656">
        <v>0</v>
      </c>
      <c r="AI4656">
        <v>115236.5</v>
      </c>
      <c r="AJ4656">
        <v>0</v>
      </c>
      <c r="AK4656">
        <v>0</v>
      </c>
      <c r="AL4656">
        <v>0</v>
      </c>
      <c r="AM4656">
        <v>86459</v>
      </c>
      <c r="AN4656">
        <v>28777.5</v>
      </c>
      <c r="AO4656">
        <v>115236.5</v>
      </c>
      <c r="AP4656">
        <v>0</v>
      </c>
      <c r="AQ4656">
        <v>0</v>
      </c>
      <c r="AR4656">
        <v>0</v>
      </c>
      <c r="AS4656" t="s">
        <v>239</v>
      </c>
      <c r="AT4656" t="s">
        <v>514</v>
      </c>
    </row>
    <row r="4657" spans="2:46" x14ac:dyDescent="0.35">
      <c r="B4657" t="s">
        <v>563</v>
      </c>
      <c r="C4657">
        <v>45900</v>
      </c>
      <c r="J4657">
        <v>0</v>
      </c>
      <c r="O4657" t="s">
        <v>239</v>
      </c>
      <c r="P4657" t="s">
        <v>514</v>
      </c>
      <c r="U4657">
        <v>414.66666666666652</v>
      </c>
      <c r="Y4657">
        <v>243</v>
      </c>
      <c r="Z4657" s="259" t="s">
        <v>637</v>
      </c>
      <c r="AB4657">
        <v>28955.666666666664</v>
      </c>
      <c r="AF4657">
        <v>115236.5</v>
      </c>
      <c r="AG4657">
        <v>0</v>
      </c>
      <c r="AI4657">
        <v>115236.5</v>
      </c>
      <c r="AJ4657">
        <v>0</v>
      </c>
      <c r="AK4657">
        <v>0</v>
      </c>
      <c r="AL4657">
        <v>0</v>
      </c>
      <c r="AM4657">
        <v>86459</v>
      </c>
      <c r="AN4657">
        <v>28777.5</v>
      </c>
      <c r="AO4657">
        <v>115236.5</v>
      </c>
      <c r="AP4657">
        <v>0</v>
      </c>
      <c r="AQ4657">
        <v>0</v>
      </c>
      <c r="AR4657">
        <v>0</v>
      </c>
      <c r="AS4657" t="s">
        <v>239</v>
      </c>
      <c r="AT4657" t="s">
        <v>514</v>
      </c>
    </row>
    <row r="4658" spans="2:46" x14ac:dyDescent="0.35">
      <c r="B4658" t="s">
        <v>563</v>
      </c>
      <c r="C4658">
        <v>45901</v>
      </c>
      <c r="J4658">
        <v>0</v>
      </c>
      <c r="O4658" t="s">
        <v>239</v>
      </c>
      <c r="P4658" t="s">
        <v>514</v>
      </c>
      <c r="U4658">
        <v>414.66666666666652</v>
      </c>
      <c r="Y4658">
        <v>244</v>
      </c>
      <c r="Z4658" s="259" t="s">
        <v>637</v>
      </c>
      <c r="AB4658">
        <v>28955.666666666664</v>
      </c>
      <c r="AF4658">
        <v>115289</v>
      </c>
      <c r="AG4658">
        <v>150</v>
      </c>
      <c r="AI4658">
        <v>115236.5</v>
      </c>
      <c r="AJ4658">
        <v>0</v>
      </c>
      <c r="AK4658">
        <v>0</v>
      </c>
      <c r="AL4658">
        <v>0</v>
      </c>
      <c r="AM4658">
        <v>86459</v>
      </c>
      <c r="AN4658">
        <v>28680</v>
      </c>
      <c r="AO4658">
        <v>115289</v>
      </c>
      <c r="AP4658">
        <v>150</v>
      </c>
      <c r="AQ4658">
        <v>52.5</v>
      </c>
      <c r="AR4658">
        <v>4.5558481904595105E-4</v>
      </c>
      <c r="AS4658" t="s">
        <v>239</v>
      </c>
      <c r="AT4658" t="s">
        <v>514</v>
      </c>
    </row>
    <row r="4659" spans="2:46" x14ac:dyDescent="0.35">
      <c r="B4659" t="s">
        <v>563</v>
      </c>
      <c r="C4659">
        <v>45902</v>
      </c>
      <c r="J4659">
        <v>0</v>
      </c>
      <c r="O4659" t="s">
        <v>239</v>
      </c>
      <c r="P4659" t="s">
        <v>514</v>
      </c>
      <c r="U4659">
        <v>414.66666666666652</v>
      </c>
      <c r="Y4659">
        <v>245</v>
      </c>
      <c r="Z4659" s="259" t="s">
        <v>637</v>
      </c>
      <c r="AB4659">
        <v>28955.666666666664</v>
      </c>
      <c r="AF4659">
        <v>115296.9</v>
      </c>
      <c r="AG4659">
        <v>150</v>
      </c>
      <c r="AI4659">
        <v>115289</v>
      </c>
      <c r="AJ4659">
        <v>0</v>
      </c>
      <c r="AK4659">
        <v>0</v>
      </c>
      <c r="AL4659">
        <v>0</v>
      </c>
      <c r="AM4659">
        <v>86459</v>
      </c>
      <c r="AN4659">
        <v>28687.9</v>
      </c>
      <c r="AO4659">
        <v>115296.9</v>
      </c>
      <c r="AP4659">
        <v>0</v>
      </c>
      <c r="AQ4659">
        <v>7.8999999999941792</v>
      </c>
      <c r="AR4659">
        <v>6.8523449765267586E-5</v>
      </c>
      <c r="AS4659" t="s">
        <v>239</v>
      </c>
      <c r="AT4659" t="s">
        <v>514</v>
      </c>
    </row>
    <row r="4660" spans="2:46" x14ac:dyDescent="0.35">
      <c r="B4660" t="s">
        <v>563</v>
      </c>
      <c r="C4660">
        <v>45903</v>
      </c>
      <c r="J4660">
        <v>0</v>
      </c>
      <c r="O4660" t="s">
        <v>239</v>
      </c>
      <c r="P4660" t="s">
        <v>514</v>
      </c>
      <c r="U4660">
        <v>414.66666666666652</v>
      </c>
      <c r="Y4660">
        <v>246</v>
      </c>
      <c r="Z4660" s="259" t="s">
        <v>637</v>
      </c>
      <c r="AB4660">
        <v>28955.666666666664</v>
      </c>
      <c r="AF4660">
        <v>115304.8</v>
      </c>
      <c r="AG4660">
        <v>150</v>
      </c>
      <c r="AI4660">
        <v>115296.9</v>
      </c>
      <c r="AJ4660">
        <v>0</v>
      </c>
      <c r="AK4660">
        <v>0</v>
      </c>
      <c r="AL4660">
        <v>0</v>
      </c>
      <c r="AM4660">
        <v>86459</v>
      </c>
      <c r="AN4660">
        <v>28695.800000000003</v>
      </c>
      <c r="AO4660">
        <v>115304.8</v>
      </c>
      <c r="AP4660">
        <v>0</v>
      </c>
      <c r="AQ4660">
        <v>7.9000000000087311</v>
      </c>
      <c r="AR4660">
        <v>6.851875462410284E-5</v>
      </c>
      <c r="AS4660" t="s">
        <v>239</v>
      </c>
      <c r="AT4660" t="s">
        <v>514</v>
      </c>
    </row>
    <row r="4661" spans="2:46" x14ac:dyDescent="0.35">
      <c r="B4661" t="s">
        <v>563</v>
      </c>
      <c r="C4661">
        <v>45904</v>
      </c>
      <c r="J4661">
        <v>0</v>
      </c>
      <c r="O4661" t="s">
        <v>239</v>
      </c>
      <c r="P4661" t="s">
        <v>514</v>
      </c>
      <c r="U4661">
        <v>414.66666666666652</v>
      </c>
      <c r="Y4661">
        <v>247</v>
      </c>
      <c r="Z4661" s="259" t="s">
        <v>637</v>
      </c>
      <c r="AB4661">
        <v>28955.666666666664</v>
      </c>
      <c r="AF4661">
        <v>115315.9</v>
      </c>
      <c r="AG4661">
        <v>150</v>
      </c>
      <c r="AI4661">
        <v>115304.8</v>
      </c>
      <c r="AJ4661">
        <v>0</v>
      </c>
      <c r="AK4661">
        <v>0</v>
      </c>
      <c r="AL4661">
        <v>0</v>
      </c>
      <c r="AM4661">
        <v>86459</v>
      </c>
      <c r="AN4661">
        <v>28706.9</v>
      </c>
      <c r="AO4661">
        <v>115315.9</v>
      </c>
      <c r="AP4661">
        <v>0</v>
      </c>
      <c r="AQ4661">
        <v>11.099999999991269</v>
      </c>
      <c r="AR4661">
        <v>9.6266590809745978E-5</v>
      </c>
      <c r="AS4661" t="s">
        <v>239</v>
      </c>
      <c r="AT4661" t="s">
        <v>514</v>
      </c>
    </row>
    <row r="4662" spans="2:46" x14ac:dyDescent="0.35">
      <c r="B4662" t="s">
        <v>563</v>
      </c>
      <c r="C4662">
        <v>45905</v>
      </c>
      <c r="J4662">
        <v>0</v>
      </c>
      <c r="O4662" t="s">
        <v>239</v>
      </c>
      <c r="P4662" t="s">
        <v>514</v>
      </c>
      <c r="U4662">
        <v>414.66666666666652</v>
      </c>
      <c r="Y4662">
        <v>248</v>
      </c>
      <c r="Z4662" s="259" t="s">
        <v>637</v>
      </c>
      <c r="AB4662">
        <v>28955.666666666664</v>
      </c>
      <c r="AF4662">
        <v>115323.8</v>
      </c>
      <c r="AG4662">
        <v>150</v>
      </c>
      <c r="AI4662">
        <v>115315.9</v>
      </c>
      <c r="AJ4662">
        <v>0</v>
      </c>
      <c r="AK4662">
        <v>0</v>
      </c>
      <c r="AL4662">
        <v>0</v>
      </c>
      <c r="AM4662">
        <v>86459</v>
      </c>
      <c r="AN4662">
        <v>28714.799999999999</v>
      </c>
      <c r="AO4662">
        <v>115323.8</v>
      </c>
      <c r="AP4662">
        <v>0</v>
      </c>
      <c r="AQ4662">
        <v>7.9000000000087311</v>
      </c>
      <c r="AR4662">
        <v>6.8507465145861701E-5</v>
      </c>
      <c r="AS4662" t="s">
        <v>239</v>
      </c>
      <c r="AT4662" t="s">
        <v>514</v>
      </c>
    </row>
    <row r="4663" spans="2:46" x14ac:dyDescent="0.35">
      <c r="B4663" t="s">
        <v>563</v>
      </c>
      <c r="C4663">
        <v>45906</v>
      </c>
      <c r="J4663">
        <v>0</v>
      </c>
      <c r="O4663" t="s">
        <v>239</v>
      </c>
      <c r="P4663" t="s">
        <v>514</v>
      </c>
      <c r="U4663">
        <v>414.66666666666652</v>
      </c>
      <c r="Y4663">
        <v>249</v>
      </c>
      <c r="Z4663" s="259" t="s">
        <v>637</v>
      </c>
      <c r="AB4663">
        <v>28955.666666666664</v>
      </c>
      <c r="AF4663">
        <v>115323.8</v>
      </c>
      <c r="AG4663">
        <v>150</v>
      </c>
      <c r="AI4663">
        <v>115323.8</v>
      </c>
      <c r="AJ4663">
        <v>0</v>
      </c>
      <c r="AK4663">
        <v>0</v>
      </c>
      <c r="AL4663">
        <v>0</v>
      </c>
      <c r="AM4663">
        <v>86459</v>
      </c>
      <c r="AN4663">
        <v>28714.799999999999</v>
      </c>
      <c r="AO4663">
        <v>115323.8</v>
      </c>
      <c r="AP4663">
        <v>0</v>
      </c>
      <c r="AQ4663">
        <v>0</v>
      </c>
      <c r="AR4663">
        <v>0</v>
      </c>
      <c r="AS4663" t="s">
        <v>239</v>
      </c>
      <c r="AT4663" t="s">
        <v>514</v>
      </c>
    </row>
    <row r="4664" spans="2:46" x14ac:dyDescent="0.35">
      <c r="B4664" t="s">
        <v>563</v>
      </c>
      <c r="C4664">
        <v>45907</v>
      </c>
      <c r="J4664">
        <v>0</v>
      </c>
      <c r="O4664" t="s">
        <v>239</v>
      </c>
      <c r="P4664" t="s">
        <v>514</v>
      </c>
      <c r="U4664">
        <v>414.66666666666652</v>
      </c>
      <c r="Y4664">
        <v>250</v>
      </c>
      <c r="Z4664" s="259" t="s">
        <v>637</v>
      </c>
      <c r="AB4664">
        <v>28955.666666666664</v>
      </c>
      <c r="AF4664">
        <v>115323.8</v>
      </c>
      <c r="AG4664">
        <v>150</v>
      </c>
      <c r="AI4664">
        <v>115323.8</v>
      </c>
      <c r="AJ4664">
        <v>0</v>
      </c>
      <c r="AK4664">
        <v>0</v>
      </c>
      <c r="AL4664">
        <v>0</v>
      </c>
      <c r="AM4664">
        <v>86459</v>
      </c>
      <c r="AN4664">
        <v>28714.799999999999</v>
      </c>
      <c r="AO4664">
        <v>115323.8</v>
      </c>
      <c r="AP4664">
        <v>0</v>
      </c>
      <c r="AQ4664">
        <v>0</v>
      </c>
      <c r="AR4664">
        <v>0</v>
      </c>
      <c r="AS4664" t="s">
        <v>239</v>
      </c>
      <c r="AT4664" t="s">
        <v>514</v>
      </c>
    </row>
    <row r="4665" spans="2:46" x14ac:dyDescent="0.35">
      <c r="B4665" t="s">
        <v>563</v>
      </c>
      <c r="C4665">
        <v>45908</v>
      </c>
      <c r="J4665">
        <v>0</v>
      </c>
      <c r="O4665" t="s">
        <v>239</v>
      </c>
      <c r="P4665" t="s">
        <v>514</v>
      </c>
      <c r="U4665">
        <v>414.66666666666652</v>
      </c>
      <c r="Y4665">
        <v>251</v>
      </c>
      <c r="Z4665" s="259" t="s">
        <v>637</v>
      </c>
      <c r="AB4665">
        <v>28955.666666666664</v>
      </c>
      <c r="AF4665">
        <v>115349.7</v>
      </c>
      <c r="AG4665">
        <v>150</v>
      </c>
      <c r="AI4665">
        <v>115323.8</v>
      </c>
      <c r="AJ4665">
        <v>0</v>
      </c>
      <c r="AK4665">
        <v>0</v>
      </c>
      <c r="AL4665">
        <v>0</v>
      </c>
      <c r="AM4665">
        <v>86459</v>
      </c>
      <c r="AN4665">
        <v>28740.7</v>
      </c>
      <c r="AO4665">
        <v>115349.7</v>
      </c>
      <c r="AP4665">
        <v>0</v>
      </c>
      <c r="AQ4665">
        <v>25.899999999994179</v>
      </c>
      <c r="AR4665">
        <v>2.2458503795386164E-4</v>
      </c>
      <c r="AS4665" t="s">
        <v>239</v>
      </c>
      <c r="AT4665" t="s">
        <v>514</v>
      </c>
    </row>
    <row r="4666" spans="2:46" x14ac:dyDescent="0.35">
      <c r="B4666" t="s">
        <v>563</v>
      </c>
      <c r="C4666">
        <v>45909</v>
      </c>
      <c r="J4666">
        <v>0</v>
      </c>
      <c r="O4666" t="s">
        <v>239</v>
      </c>
      <c r="P4666" t="s">
        <v>514</v>
      </c>
      <c r="U4666">
        <v>414.66666666666652</v>
      </c>
      <c r="Y4666">
        <v>252</v>
      </c>
      <c r="Z4666" s="259" t="s">
        <v>637</v>
      </c>
      <c r="AB4666">
        <v>28955.666666666664</v>
      </c>
      <c r="AF4666">
        <v>115358.6</v>
      </c>
      <c r="AG4666">
        <v>150</v>
      </c>
      <c r="AI4666">
        <v>115349.7</v>
      </c>
      <c r="AJ4666">
        <v>0</v>
      </c>
      <c r="AK4666">
        <v>0</v>
      </c>
      <c r="AL4666">
        <v>0</v>
      </c>
      <c r="AM4666">
        <v>86459</v>
      </c>
      <c r="AN4666">
        <v>28749.599999999999</v>
      </c>
      <c r="AO4666">
        <v>115358.6</v>
      </c>
      <c r="AP4666">
        <v>0</v>
      </c>
      <c r="AQ4666">
        <v>8.9000000000087311</v>
      </c>
      <c r="AR4666">
        <v>7.7156680944989731E-5</v>
      </c>
      <c r="AS4666" t="s">
        <v>239</v>
      </c>
      <c r="AT4666" t="s">
        <v>514</v>
      </c>
    </row>
    <row r="4667" spans="2:46" x14ac:dyDescent="0.35">
      <c r="B4667" t="s">
        <v>563</v>
      </c>
      <c r="C4667">
        <v>45910</v>
      </c>
      <c r="J4667">
        <v>5</v>
      </c>
      <c r="O4667" t="s">
        <v>239</v>
      </c>
      <c r="P4667" t="s">
        <v>514</v>
      </c>
      <c r="U4667">
        <v>105.66666666666652</v>
      </c>
      <c r="Y4667">
        <v>253</v>
      </c>
      <c r="Z4667" s="259" t="s">
        <v>637</v>
      </c>
      <c r="AB4667">
        <v>24951.666666666664</v>
      </c>
      <c r="AF4667">
        <v>115397.3</v>
      </c>
      <c r="AG4667">
        <v>150</v>
      </c>
      <c r="AI4667">
        <v>115358.6</v>
      </c>
      <c r="AJ4667">
        <v>0</v>
      </c>
      <c r="AK4667">
        <v>0</v>
      </c>
      <c r="AL4667">
        <v>0</v>
      </c>
      <c r="AM4667">
        <v>90154</v>
      </c>
      <c r="AN4667">
        <v>25093.3</v>
      </c>
      <c r="AO4667">
        <v>115397.3</v>
      </c>
      <c r="AP4667">
        <v>0</v>
      </c>
      <c r="AQ4667">
        <v>38.69999999999709</v>
      </c>
      <c r="AR4667">
        <v>3.3547563857405649E-4</v>
      </c>
      <c r="AS4667" t="s">
        <v>239</v>
      </c>
      <c r="AT4667" t="s">
        <v>514</v>
      </c>
    </row>
    <row r="4668" spans="2:46" x14ac:dyDescent="0.35">
      <c r="B4668" t="s">
        <v>563</v>
      </c>
      <c r="C4668">
        <v>45911</v>
      </c>
      <c r="J4668">
        <v>0</v>
      </c>
      <c r="O4668" t="s">
        <v>239</v>
      </c>
      <c r="P4668" t="s">
        <v>514</v>
      </c>
      <c r="U4668">
        <v>105.66666666666652</v>
      </c>
      <c r="Y4668">
        <v>254</v>
      </c>
      <c r="Z4668" s="259" t="s">
        <v>637</v>
      </c>
      <c r="AB4668">
        <v>24951.666666666664</v>
      </c>
      <c r="AF4668">
        <v>115411.4</v>
      </c>
      <c r="AG4668">
        <v>150</v>
      </c>
      <c r="AI4668">
        <v>115397.3</v>
      </c>
      <c r="AJ4668">
        <v>0</v>
      </c>
      <c r="AK4668">
        <v>0</v>
      </c>
      <c r="AL4668">
        <v>0</v>
      </c>
      <c r="AM4668">
        <v>90154</v>
      </c>
      <c r="AN4668">
        <v>25107.4</v>
      </c>
      <c r="AO4668">
        <v>115411.4</v>
      </c>
      <c r="AP4668">
        <v>0</v>
      </c>
      <c r="AQ4668">
        <v>14.099999999991269</v>
      </c>
      <c r="AR4668">
        <v>1.2218656762330582E-4</v>
      </c>
      <c r="AS4668" t="s">
        <v>239</v>
      </c>
      <c r="AT4668" t="s">
        <v>514</v>
      </c>
    </row>
    <row r="4669" spans="2:46" x14ac:dyDescent="0.35">
      <c r="B4669" t="s">
        <v>563</v>
      </c>
      <c r="C4669">
        <v>45912</v>
      </c>
      <c r="J4669">
        <v>0</v>
      </c>
      <c r="O4669" t="s">
        <v>239</v>
      </c>
      <c r="P4669" t="s">
        <v>514</v>
      </c>
      <c r="U4669">
        <v>105.66666666666652</v>
      </c>
      <c r="Y4669">
        <v>255</v>
      </c>
      <c r="Z4669" s="259" t="s">
        <v>637</v>
      </c>
      <c r="AB4669">
        <v>24951.666666666664</v>
      </c>
      <c r="AF4669">
        <v>115427.7</v>
      </c>
      <c r="AG4669">
        <v>150</v>
      </c>
      <c r="AI4669">
        <v>115411.4</v>
      </c>
      <c r="AJ4669">
        <v>0</v>
      </c>
      <c r="AK4669">
        <v>0</v>
      </c>
      <c r="AL4669">
        <v>0</v>
      </c>
      <c r="AM4669">
        <v>90154</v>
      </c>
      <c r="AN4669">
        <v>25123.7</v>
      </c>
      <c r="AO4669">
        <v>115427.7</v>
      </c>
      <c r="AP4669">
        <v>0</v>
      </c>
      <c r="AQ4669">
        <v>16.30000000000291</v>
      </c>
      <c r="AR4669">
        <v>1.4123388157494254E-4</v>
      </c>
      <c r="AS4669" t="s">
        <v>239</v>
      </c>
      <c r="AT4669" t="s">
        <v>514</v>
      </c>
    </row>
    <row r="4670" spans="2:46" x14ac:dyDescent="0.35">
      <c r="B4670" t="s">
        <v>563</v>
      </c>
      <c r="C4670">
        <v>45913</v>
      </c>
      <c r="J4670">
        <v>0</v>
      </c>
      <c r="O4670" t="s">
        <v>239</v>
      </c>
      <c r="P4670" t="s">
        <v>514</v>
      </c>
      <c r="U4670">
        <v>105.66666666666652</v>
      </c>
      <c r="Y4670">
        <v>256</v>
      </c>
      <c r="Z4670" s="259" t="s">
        <v>637</v>
      </c>
      <c r="AB4670">
        <v>24951.666666666664</v>
      </c>
      <c r="AF4670">
        <v>115427.7</v>
      </c>
      <c r="AG4670">
        <v>150</v>
      </c>
      <c r="AI4670">
        <v>115427.7</v>
      </c>
      <c r="AJ4670">
        <v>0</v>
      </c>
      <c r="AK4670">
        <v>0</v>
      </c>
      <c r="AL4670">
        <v>0</v>
      </c>
      <c r="AM4670">
        <v>90154</v>
      </c>
      <c r="AN4670">
        <v>25123.7</v>
      </c>
      <c r="AO4670">
        <v>115427.7</v>
      </c>
      <c r="AP4670">
        <v>0</v>
      </c>
      <c r="AQ4670">
        <v>0</v>
      </c>
      <c r="AR4670">
        <v>0</v>
      </c>
      <c r="AS4670" t="s">
        <v>239</v>
      </c>
      <c r="AT4670" t="s">
        <v>514</v>
      </c>
    </row>
    <row r="4671" spans="2:46" x14ac:dyDescent="0.35">
      <c r="B4671" t="s">
        <v>563</v>
      </c>
      <c r="C4671">
        <v>45914</v>
      </c>
      <c r="J4671">
        <v>0</v>
      </c>
      <c r="O4671" t="s">
        <v>239</v>
      </c>
      <c r="P4671" t="s">
        <v>514</v>
      </c>
      <c r="U4671">
        <v>105.66666666666652</v>
      </c>
      <c r="Y4671">
        <v>257</v>
      </c>
      <c r="Z4671" s="259" t="s">
        <v>637</v>
      </c>
      <c r="AB4671">
        <v>24951.666666666664</v>
      </c>
      <c r="AF4671">
        <v>115427.7</v>
      </c>
      <c r="AG4671">
        <v>150</v>
      </c>
      <c r="AI4671">
        <v>115427.7</v>
      </c>
      <c r="AJ4671">
        <v>0</v>
      </c>
      <c r="AK4671">
        <v>0</v>
      </c>
      <c r="AL4671">
        <v>0</v>
      </c>
      <c r="AM4671">
        <v>90154</v>
      </c>
      <c r="AN4671">
        <v>25123.7</v>
      </c>
      <c r="AO4671">
        <v>115427.7</v>
      </c>
      <c r="AP4671">
        <v>0</v>
      </c>
      <c r="AQ4671">
        <v>0</v>
      </c>
      <c r="AR4671">
        <v>0</v>
      </c>
      <c r="AS4671" t="s">
        <v>239</v>
      </c>
      <c r="AT4671" t="s">
        <v>514</v>
      </c>
    </row>
    <row r="4672" spans="2:46" x14ac:dyDescent="0.35">
      <c r="B4672" t="s">
        <v>563</v>
      </c>
      <c r="C4672">
        <v>45915</v>
      </c>
      <c r="J4672">
        <v>0</v>
      </c>
      <c r="O4672" t="s">
        <v>239</v>
      </c>
      <c r="P4672" t="s">
        <v>514</v>
      </c>
      <c r="U4672">
        <v>105.66666666666652</v>
      </c>
      <c r="Y4672">
        <v>258</v>
      </c>
      <c r="Z4672" s="259" t="s">
        <v>637</v>
      </c>
      <c r="AB4672">
        <v>24951.666666666664</v>
      </c>
      <c r="AF4672">
        <v>115471</v>
      </c>
      <c r="AG4672">
        <v>0</v>
      </c>
      <c r="AI4672">
        <v>115427.7</v>
      </c>
      <c r="AJ4672">
        <v>0</v>
      </c>
      <c r="AK4672">
        <v>0</v>
      </c>
      <c r="AL4672">
        <v>0</v>
      </c>
      <c r="AM4672">
        <v>90304</v>
      </c>
      <c r="AN4672">
        <v>25167</v>
      </c>
      <c r="AO4672">
        <v>115471</v>
      </c>
      <c r="AP4672">
        <v>0</v>
      </c>
      <c r="AQ4672">
        <v>43.30000000000291</v>
      </c>
      <c r="AR4672">
        <v>3.7512659439631335E-4</v>
      </c>
      <c r="AS4672" t="s">
        <v>239</v>
      </c>
      <c r="AT4672" t="s">
        <v>514</v>
      </c>
    </row>
    <row r="4673" spans="2:46" x14ac:dyDescent="0.35">
      <c r="B4673" t="s">
        <v>563</v>
      </c>
      <c r="C4673">
        <v>45916</v>
      </c>
      <c r="J4673">
        <v>0</v>
      </c>
      <c r="O4673" t="s">
        <v>239</v>
      </c>
      <c r="P4673" t="s">
        <v>514</v>
      </c>
      <c r="U4673">
        <v>105.66666666666652</v>
      </c>
      <c r="Y4673">
        <v>259</v>
      </c>
      <c r="Z4673" s="259" t="s">
        <v>637</v>
      </c>
      <c r="AB4673">
        <v>24951.666666666664</v>
      </c>
      <c r="AF4673">
        <v>115487</v>
      </c>
      <c r="AG4673">
        <v>0</v>
      </c>
      <c r="AI4673">
        <v>115471</v>
      </c>
      <c r="AJ4673">
        <v>0</v>
      </c>
      <c r="AK4673">
        <v>0</v>
      </c>
      <c r="AL4673">
        <v>0</v>
      </c>
      <c r="AM4673">
        <v>90304</v>
      </c>
      <c r="AN4673">
        <v>25183</v>
      </c>
      <c r="AO4673">
        <v>115487</v>
      </c>
      <c r="AP4673">
        <v>0</v>
      </c>
      <c r="AQ4673">
        <v>16</v>
      </c>
      <c r="AR4673">
        <v>1.3856292922032054E-4</v>
      </c>
      <c r="AS4673" t="s">
        <v>239</v>
      </c>
      <c r="AT4673" t="s">
        <v>514</v>
      </c>
    </row>
    <row r="4674" spans="2:46" x14ac:dyDescent="0.35">
      <c r="B4674" t="s">
        <v>563</v>
      </c>
      <c r="C4674">
        <v>45917</v>
      </c>
      <c r="J4674">
        <v>0</v>
      </c>
      <c r="O4674" t="s">
        <v>239</v>
      </c>
      <c r="P4674" t="s">
        <v>514</v>
      </c>
      <c r="U4674">
        <v>105.66666666666652</v>
      </c>
      <c r="Y4674">
        <v>260</v>
      </c>
      <c r="Z4674" s="259" t="s">
        <v>637</v>
      </c>
      <c r="AB4674">
        <v>24951.666666666664</v>
      </c>
      <c r="AF4674">
        <v>115501.1</v>
      </c>
      <c r="AG4674">
        <v>0</v>
      </c>
      <c r="AI4674">
        <v>115487</v>
      </c>
      <c r="AJ4674">
        <v>0</v>
      </c>
      <c r="AK4674">
        <v>0</v>
      </c>
      <c r="AL4674">
        <v>0</v>
      </c>
      <c r="AM4674">
        <v>90304</v>
      </c>
      <c r="AN4674">
        <v>25197.1</v>
      </c>
      <c r="AO4674">
        <v>115501.1</v>
      </c>
      <c r="AP4674">
        <v>0</v>
      </c>
      <c r="AQ4674">
        <v>14.100000000005821</v>
      </c>
      <c r="AR4674">
        <v>1.2209166399679283E-4</v>
      </c>
      <c r="AS4674" t="s">
        <v>239</v>
      </c>
      <c r="AT4674" t="s">
        <v>514</v>
      </c>
    </row>
    <row r="4675" spans="2:46" x14ac:dyDescent="0.35">
      <c r="B4675" t="s">
        <v>563</v>
      </c>
      <c r="C4675">
        <v>45918</v>
      </c>
      <c r="J4675">
        <v>0</v>
      </c>
      <c r="O4675" t="s">
        <v>239</v>
      </c>
      <c r="P4675" t="s">
        <v>514</v>
      </c>
      <c r="U4675">
        <v>105.66666666666652</v>
      </c>
      <c r="Y4675">
        <v>261</v>
      </c>
      <c r="Z4675" s="259" t="s">
        <v>637</v>
      </c>
      <c r="AB4675">
        <v>24951.666666666664</v>
      </c>
      <c r="AF4675">
        <v>115516.2</v>
      </c>
      <c r="AG4675">
        <v>0</v>
      </c>
      <c r="AI4675">
        <v>115501.1</v>
      </c>
      <c r="AJ4675">
        <v>0</v>
      </c>
      <c r="AK4675">
        <v>0</v>
      </c>
      <c r="AL4675">
        <v>0</v>
      </c>
      <c r="AM4675">
        <v>90304</v>
      </c>
      <c r="AN4675">
        <v>25212.2</v>
      </c>
      <c r="AO4675">
        <v>115516.2</v>
      </c>
      <c r="AP4675">
        <v>0</v>
      </c>
      <c r="AQ4675">
        <v>15.099999999991269</v>
      </c>
      <c r="AR4675">
        <v>1.3073468564361868E-4</v>
      </c>
      <c r="AS4675" t="s">
        <v>239</v>
      </c>
      <c r="AT4675" t="s">
        <v>514</v>
      </c>
    </row>
    <row r="4676" spans="2:46" x14ac:dyDescent="0.35">
      <c r="B4676" t="s">
        <v>563</v>
      </c>
      <c r="C4676">
        <v>45919</v>
      </c>
      <c r="J4676">
        <v>0</v>
      </c>
      <c r="O4676" t="s">
        <v>239</v>
      </c>
      <c r="P4676" t="s">
        <v>514</v>
      </c>
      <c r="U4676">
        <v>105.66666666666652</v>
      </c>
      <c r="Y4676">
        <v>262</v>
      </c>
      <c r="Z4676" s="259" t="s">
        <v>637</v>
      </c>
      <c r="AB4676">
        <v>24951.666666666664</v>
      </c>
      <c r="AF4676">
        <v>115530.3</v>
      </c>
      <c r="AG4676">
        <v>0</v>
      </c>
      <c r="AI4676">
        <v>115516.2</v>
      </c>
      <c r="AJ4676">
        <v>0</v>
      </c>
      <c r="AK4676">
        <v>0</v>
      </c>
      <c r="AL4676">
        <v>0</v>
      </c>
      <c r="AM4676">
        <v>90304</v>
      </c>
      <c r="AN4676">
        <v>25226.3</v>
      </c>
      <c r="AO4676">
        <v>115530.3</v>
      </c>
      <c r="AP4676">
        <v>0</v>
      </c>
      <c r="AQ4676">
        <v>14.100000000005821</v>
      </c>
      <c r="AR4676">
        <v>1.2206080186150103E-4</v>
      </c>
      <c r="AS4676" t="s">
        <v>239</v>
      </c>
      <c r="AT4676" t="s">
        <v>514</v>
      </c>
    </row>
    <row r="4677" spans="2:46" x14ac:dyDescent="0.35">
      <c r="B4677" t="s">
        <v>563</v>
      </c>
      <c r="C4677">
        <v>45920</v>
      </c>
      <c r="J4677">
        <v>0</v>
      </c>
      <c r="O4677" t="s">
        <v>239</v>
      </c>
      <c r="P4677" t="s">
        <v>514</v>
      </c>
      <c r="U4677">
        <v>105.66666666666652</v>
      </c>
      <c r="Y4677">
        <v>263</v>
      </c>
      <c r="Z4677" s="259" t="s">
        <v>637</v>
      </c>
      <c r="AB4677">
        <v>24951.666666666664</v>
      </c>
      <c r="AF4677">
        <v>115530.3</v>
      </c>
      <c r="AG4677">
        <v>0</v>
      </c>
      <c r="AI4677">
        <v>115530.3</v>
      </c>
      <c r="AJ4677">
        <v>0</v>
      </c>
      <c r="AK4677">
        <v>0</v>
      </c>
      <c r="AL4677">
        <v>0</v>
      </c>
      <c r="AM4677">
        <v>90304</v>
      </c>
      <c r="AN4677">
        <v>25226.3</v>
      </c>
      <c r="AO4677">
        <v>115530.3</v>
      </c>
      <c r="AP4677">
        <v>0</v>
      </c>
      <c r="AQ4677">
        <v>0</v>
      </c>
      <c r="AR4677">
        <v>0</v>
      </c>
      <c r="AS4677" t="s">
        <v>239</v>
      </c>
      <c r="AT4677" t="s">
        <v>514</v>
      </c>
    </row>
    <row r="4678" spans="2:46" x14ac:dyDescent="0.35">
      <c r="B4678" t="s">
        <v>563</v>
      </c>
      <c r="C4678">
        <v>45921</v>
      </c>
      <c r="J4678">
        <v>0</v>
      </c>
      <c r="O4678" t="s">
        <v>239</v>
      </c>
      <c r="P4678" t="s">
        <v>514</v>
      </c>
      <c r="U4678">
        <v>105.66666666666652</v>
      </c>
      <c r="Y4678">
        <v>264</v>
      </c>
      <c r="Z4678" s="259" t="s">
        <v>637</v>
      </c>
      <c r="AB4678">
        <v>24951.666666666664</v>
      </c>
      <c r="AF4678">
        <v>115530.3</v>
      </c>
      <c r="AG4678">
        <v>0</v>
      </c>
      <c r="AI4678">
        <v>115530.3</v>
      </c>
      <c r="AJ4678">
        <v>0</v>
      </c>
      <c r="AK4678">
        <v>0</v>
      </c>
      <c r="AL4678">
        <v>0</v>
      </c>
      <c r="AM4678">
        <v>90304</v>
      </c>
      <c r="AN4678">
        <v>25226.3</v>
      </c>
      <c r="AO4678">
        <v>115530.3</v>
      </c>
      <c r="AP4678">
        <v>0</v>
      </c>
      <c r="AQ4678">
        <v>0</v>
      </c>
      <c r="AR4678">
        <v>0</v>
      </c>
      <c r="AS4678" t="s">
        <v>239</v>
      </c>
      <c r="AT4678" t="s">
        <v>514</v>
      </c>
    </row>
    <row r="4679" spans="2:46" x14ac:dyDescent="0.35">
      <c r="B4679" t="s">
        <v>563</v>
      </c>
      <c r="C4679">
        <v>45922</v>
      </c>
      <c r="J4679">
        <v>0</v>
      </c>
      <c r="O4679" t="s">
        <v>239</v>
      </c>
      <c r="P4679" t="s">
        <v>514</v>
      </c>
      <c r="U4679">
        <v>105.66666666666652</v>
      </c>
      <c r="Y4679">
        <v>265</v>
      </c>
      <c r="Z4679" s="259" t="s">
        <v>637</v>
      </c>
      <c r="AB4679">
        <v>24951.666666666664</v>
      </c>
      <c r="AF4679">
        <v>115574.8</v>
      </c>
      <c r="AG4679">
        <v>0</v>
      </c>
      <c r="AI4679">
        <v>115530.3</v>
      </c>
      <c r="AJ4679">
        <v>0</v>
      </c>
      <c r="AK4679">
        <v>0</v>
      </c>
      <c r="AL4679">
        <v>0</v>
      </c>
      <c r="AM4679">
        <v>90304</v>
      </c>
      <c r="AN4679">
        <v>25270.799999999999</v>
      </c>
      <c r="AO4679">
        <v>115574.8</v>
      </c>
      <c r="AP4679">
        <v>0</v>
      </c>
      <c r="AQ4679">
        <v>44.5</v>
      </c>
      <c r="AR4679">
        <v>3.8518033797196871E-4</v>
      </c>
      <c r="AS4679" t="s">
        <v>239</v>
      </c>
      <c r="AT4679" t="s">
        <v>514</v>
      </c>
    </row>
    <row r="4680" spans="2:46" x14ac:dyDescent="0.35">
      <c r="B4680" t="s">
        <v>563</v>
      </c>
      <c r="C4680">
        <v>45923</v>
      </c>
      <c r="J4680">
        <v>0</v>
      </c>
      <c r="O4680" t="s">
        <v>239</v>
      </c>
      <c r="P4680" t="s">
        <v>514</v>
      </c>
      <c r="U4680">
        <v>105.66666666666652</v>
      </c>
      <c r="Y4680">
        <v>266</v>
      </c>
      <c r="Z4680" s="259" t="s">
        <v>637</v>
      </c>
      <c r="AB4680">
        <v>24951.666666666664</v>
      </c>
      <c r="AF4680">
        <v>115589.9</v>
      </c>
      <c r="AG4680">
        <v>0</v>
      </c>
      <c r="AI4680">
        <v>115574.8</v>
      </c>
      <c r="AJ4680">
        <v>0</v>
      </c>
      <c r="AK4680">
        <v>0</v>
      </c>
      <c r="AL4680">
        <v>0</v>
      </c>
      <c r="AM4680">
        <v>90304</v>
      </c>
      <c r="AN4680">
        <v>25285.899999999998</v>
      </c>
      <c r="AO4680">
        <v>115589.9</v>
      </c>
      <c r="AP4680">
        <v>0</v>
      </c>
      <c r="AQ4680">
        <v>15.099999999991269</v>
      </c>
      <c r="AR4680">
        <v>1.3065131845335642E-4</v>
      </c>
      <c r="AS4680" t="s">
        <v>239</v>
      </c>
      <c r="AT4680" t="s">
        <v>514</v>
      </c>
    </row>
    <row r="4681" spans="2:46" x14ac:dyDescent="0.35">
      <c r="B4681" t="s">
        <v>563</v>
      </c>
      <c r="C4681">
        <v>45924</v>
      </c>
      <c r="J4681">
        <v>0</v>
      </c>
      <c r="O4681" t="s">
        <v>239</v>
      </c>
      <c r="P4681" t="s">
        <v>514</v>
      </c>
      <c r="U4681">
        <v>105.66666666666652</v>
      </c>
      <c r="Y4681">
        <v>267</v>
      </c>
      <c r="Z4681" s="259" t="s">
        <v>637</v>
      </c>
      <c r="AB4681">
        <v>24951.666666666664</v>
      </c>
      <c r="AF4681">
        <v>115606.2</v>
      </c>
      <c r="AG4681">
        <v>0</v>
      </c>
      <c r="AI4681">
        <v>115589.9</v>
      </c>
      <c r="AJ4681">
        <v>0</v>
      </c>
      <c r="AK4681">
        <v>0</v>
      </c>
      <c r="AL4681">
        <v>0</v>
      </c>
      <c r="AM4681">
        <v>90304</v>
      </c>
      <c r="AN4681">
        <v>25302.2</v>
      </c>
      <c r="AO4681">
        <v>115606.2</v>
      </c>
      <c r="AP4681">
        <v>0</v>
      </c>
      <c r="AQ4681">
        <v>16.30000000000291</v>
      </c>
      <c r="AR4681">
        <v>1.4101578079062094E-4</v>
      </c>
      <c r="AS4681" t="s">
        <v>239</v>
      </c>
      <c r="AT4681" t="s">
        <v>514</v>
      </c>
    </row>
    <row r="4682" spans="2:46" x14ac:dyDescent="0.35">
      <c r="B4682" t="s">
        <v>563</v>
      </c>
      <c r="C4682">
        <v>45925</v>
      </c>
      <c r="J4682">
        <v>0</v>
      </c>
      <c r="O4682" t="s">
        <v>239</v>
      </c>
      <c r="P4682" t="s">
        <v>514</v>
      </c>
      <c r="U4682">
        <v>105.66666666666652</v>
      </c>
      <c r="Y4682">
        <v>268</v>
      </c>
      <c r="Z4682" s="259" t="s">
        <v>637</v>
      </c>
      <c r="AB4682">
        <v>24951.666666666664</v>
      </c>
      <c r="AF4682">
        <v>115620.3</v>
      </c>
      <c r="AG4682">
        <v>0</v>
      </c>
      <c r="AI4682">
        <v>115606.2</v>
      </c>
      <c r="AJ4682">
        <v>0</v>
      </c>
      <c r="AK4682">
        <v>0</v>
      </c>
      <c r="AL4682">
        <v>0</v>
      </c>
      <c r="AM4682">
        <v>90304</v>
      </c>
      <c r="AN4682">
        <v>25316.3</v>
      </c>
      <c r="AO4682">
        <v>115620.3</v>
      </c>
      <c r="AP4682">
        <v>0</v>
      </c>
      <c r="AQ4682">
        <v>14.100000000005821</v>
      </c>
      <c r="AR4682">
        <v>1.2196577692202837E-4</v>
      </c>
      <c r="AS4682" t="s">
        <v>239</v>
      </c>
      <c r="AT4682" t="s">
        <v>514</v>
      </c>
    </row>
    <row r="4683" spans="2:46" x14ac:dyDescent="0.35">
      <c r="B4683" t="s">
        <v>563</v>
      </c>
      <c r="C4683">
        <v>45926</v>
      </c>
      <c r="J4683">
        <v>0</v>
      </c>
      <c r="O4683" t="s">
        <v>239</v>
      </c>
      <c r="P4683" t="s">
        <v>514</v>
      </c>
      <c r="U4683">
        <v>105.66666666666652</v>
      </c>
      <c r="Y4683">
        <v>269</v>
      </c>
      <c r="Z4683" s="259" t="s">
        <v>637</v>
      </c>
      <c r="AB4683">
        <v>24951.666666666664</v>
      </c>
      <c r="AF4683">
        <v>115634.4</v>
      </c>
      <c r="AG4683">
        <v>0</v>
      </c>
      <c r="AI4683">
        <v>115620.3</v>
      </c>
      <c r="AJ4683">
        <v>0</v>
      </c>
      <c r="AK4683">
        <v>0</v>
      </c>
      <c r="AL4683">
        <v>0</v>
      </c>
      <c r="AM4683">
        <v>90304</v>
      </c>
      <c r="AN4683">
        <v>25330.400000000001</v>
      </c>
      <c r="AO4683">
        <v>115634.4</v>
      </c>
      <c r="AP4683">
        <v>0</v>
      </c>
      <c r="AQ4683">
        <v>14.099999999991269</v>
      </c>
      <c r="AR4683">
        <v>1.2195090308519951E-4</v>
      </c>
      <c r="AS4683" t="s">
        <v>239</v>
      </c>
      <c r="AT4683" t="s">
        <v>514</v>
      </c>
    </row>
    <row r="4684" spans="2:46" x14ac:dyDescent="0.35">
      <c r="B4684" t="s">
        <v>563</v>
      </c>
      <c r="C4684">
        <v>45927</v>
      </c>
      <c r="J4684">
        <v>0</v>
      </c>
      <c r="O4684" t="s">
        <v>239</v>
      </c>
      <c r="P4684" t="s">
        <v>514</v>
      </c>
      <c r="U4684">
        <v>105.66666666666652</v>
      </c>
      <c r="Y4684">
        <v>270</v>
      </c>
      <c r="Z4684" s="259" t="s">
        <v>637</v>
      </c>
      <c r="AB4684">
        <v>24951.666666666664</v>
      </c>
      <c r="AF4684">
        <v>115634.4</v>
      </c>
      <c r="AG4684">
        <v>0</v>
      </c>
      <c r="AI4684">
        <v>115634.4</v>
      </c>
      <c r="AJ4684">
        <v>0</v>
      </c>
      <c r="AK4684">
        <v>0</v>
      </c>
      <c r="AL4684">
        <v>0</v>
      </c>
      <c r="AM4684">
        <v>90304</v>
      </c>
      <c r="AN4684">
        <v>25330.400000000001</v>
      </c>
      <c r="AO4684">
        <v>115634.4</v>
      </c>
      <c r="AP4684">
        <v>0</v>
      </c>
      <c r="AQ4684">
        <v>0</v>
      </c>
      <c r="AR4684">
        <v>0</v>
      </c>
      <c r="AS4684" t="s">
        <v>239</v>
      </c>
      <c r="AT4684" t="s">
        <v>514</v>
      </c>
    </row>
    <row r="4685" spans="2:46" x14ac:dyDescent="0.35">
      <c r="B4685" t="s">
        <v>563</v>
      </c>
      <c r="C4685">
        <v>45928</v>
      </c>
      <c r="J4685">
        <v>0</v>
      </c>
      <c r="O4685" t="s">
        <v>239</v>
      </c>
      <c r="P4685" t="s">
        <v>514</v>
      </c>
      <c r="U4685">
        <v>105.66666666666652</v>
      </c>
      <c r="Y4685">
        <v>271</v>
      </c>
      <c r="Z4685" s="259" t="s">
        <v>637</v>
      </c>
      <c r="AB4685">
        <v>24951.666666666664</v>
      </c>
      <c r="AF4685">
        <v>115634.4</v>
      </c>
      <c r="AG4685">
        <v>0</v>
      </c>
      <c r="AI4685">
        <v>115634.4</v>
      </c>
      <c r="AJ4685">
        <v>0</v>
      </c>
      <c r="AK4685">
        <v>0</v>
      </c>
      <c r="AL4685">
        <v>0</v>
      </c>
      <c r="AM4685">
        <v>90304</v>
      </c>
      <c r="AN4685">
        <v>25330.400000000001</v>
      </c>
      <c r="AO4685">
        <v>115634.4</v>
      </c>
      <c r="AP4685">
        <v>0</v>
      </c>
      <c r="AQ4685">
        <v>0</v>
      </c>
      <c r="AR4685">
        <v>0</v>
      </c>
      <c r="AS4685" t="s">
        <v>239</v>
      </c>
      <c r="AT4685" t="s">
        <v>514</v>
      </c>
    </row>
    <row r="4686" spans="2:46" x14ac:dyDescent="0.35">
      <c r="B4686" t="s">
        <v>563</v>
      </c>
      <c r="C4686">
        <v>45929</v>
      </c>
      <c r="J4686">
        <v>0</v>
      </c>
      <c r="O4686" t="s">
        <v>239</v>
      </c>
      <c r="P4686" t="s">
        <v>514</v>
      </c>
      <c r="U4686">
        <v>105.66666666666652</v>
      </c>
      <c r="Y4686">
        <v>272</v>
      </c>
      <c r="Z4686" s="259" t="s">
        <v>637</v>
      </c>
      <c r="AB4686">
        <v>24951.666666666664</v>
      </c>
      <c r="AF4686">
        <v>115679.9</v>
      </c>
      <c r="AG4686">
        <v>0</v>
      </c>
      <c r="AI4686">
        <v>115634.4</v>
      </c>
      <c r="AJ4686">
        <v>0</v>
      </c>
      <c r="AK4686">
        <v>0</v>
      </c>
      <c r="AL4686">
        <v>0</v>
      </c>
      <c r="AM4686">
        <v>90304</v>
      </c>
      <c r="AN4686">
        <v>25375.9</v>
      </c>
      <c r="AO4686">
        <v>115679.9</v>
      </c>
      <c r="AP4686">
        <v>0</v>
      </c>
      <c r="AQ4686">
        <v>45.5</v>
      </c>
      <c r="AR4686">
        <v>3.9348152452900464E-4</v>
      </c>
      <c r="AS4686" t="s">
        <v>239</v>
      </c>
      <c r="AT4686" t="s">
        <v>514</v>
      </c>
    </row>
    <row r="4687" spans="2:46" x14ac:dyDescent="0.35">
      <c r="B4687" t="s">
        <v>563</v>
      </c>
      <c r="C4687">
        <v>45930</v>
      </c>
      <c r="J4687">
        <v>0</v>
      </c>
      <c r="O4687" t="s">
        <v>239</v>
      </c>
      <c r="P4687" t="s">
        <v>514</v>
      </c>
      <c r="U4687">
        <v>105.66666666666652</v>
      </c>
      <c r="Y4687">
        <v>273</v>
      </c>
      <c r="Z4687" s="259" t="s">
        <v>637</v>
      </c>
      <c r="AB4687">
        <v>24951.666666666664</v>
      </c>
      <c r="AF4687">
        <v>115694</v>
      </c>
      <c r="AG4687">
        <v>0</v>
      </c>
      <c r="AI4687">
        <v>115679.9</v>
      </c>
      <c r="AJ4687">
        <v>0</v>
      </c>
      <c r="AK4687">
        <v>0</v>
      </c>
      <c r="AL4687">
        <v>0</v>
      </c>
      <c r="AM4687">
        <v>90304</v>
      </c>
      <c r="AN4687">
        <v>25390</v>
      </c>
      <c r="AO4687">
        <v>115694</v>
      </c>
      <c r="AP4687">
        <v>0</v>
      </c>
      <c r="AQ4687">
        <v>14.100000000005821</v>
      </c>
      <c r="AR4687">
        <v>1.2188807217161646E-4</v>
      </c>
      <c r="AS4687" t="s">
        <v>239</v>
      </c>
      <c r="AT4687" t="s">
        <v>514</v>
      </c>
    </row>
    <row r="4688" spans="2:46" x14ac:dyDescent="0.35">
      <c r="B4688" t="s">
        <v>563</v>
      </c>
      <c r="C4688">
        <v>45931</v>
      </c>
      <c r="J4688">
        <v>0</v>
      </c>
      <c r="O4688" t="s">
        <v>239</v>
      </c>
      <c r="P4688" t="s">
        <v>514</v>
      </c>
      <c r="U4688">
        <v>105.66666666666652</v>
      </c>
      <c r="Y4688">
        <v>274</v>
      </c>
      <c r="Z4688" s="259" t="s">
        <v>637</v>
      </c>
      <c r="AB4688">
        <v>24951.666666666664</v>
      </c>
      <c r="AF4688">
        <v>115694</v>
      </c>
      <c r="AG4688">
        <v>0</v>
      </c>
      <c r="AI4688">
        <v>115694</v>
      </c>
      <c r="AJ4688">
        <v>0</v>
      </c>
      <c r="AK4688">
        <v>0</v>
      </c>
      <c r="AL4688">
        <v>0</v>
      </c>
      <c r="AM4688">
        <v>90304</v>
      </c>
      <c r="AN4688">
        <v>25390</v>
      </c>
      <c r="AO4688">
        <v>115694</v>
      </c>
      <c r="AP4688">
        <v>0</v>
      </c>
      <c r="AQ4688">
        <v>0</v>
      </c>
      <c r="AR4688">
        <v>0</v>
      </c>
      <c r="AS4688" t="s">
        <v>239</v>
      </c>
      <c r="AT4688" t="s">
        <v>514</v>
      </c>
    </row>
    <row r="4689" spans="2:46" x14ac:dyDescent="0.35">
      <c r="B4689" t="s">
        <v>563</v>
      </c>
      <c r="C4689">
        <v>45932</v>
      </c>
      <c r="J4689">
        <v>0</v>
      </c>
      <c r="O4689" t="s">
        <v>239</v>
      </c>
      <c r="P4689" t="s">
        <v>514</v>
      </c>
      <c r="U4689">
        <v>105.66666666666652</v>
      </c>
      <c r="Y4689">
        <v>275</v>
      </c>
      <c r="Z4689" s="259" t="s">
        <v>637</v>
      </c>
      <c r="AB4689">
        <v>24951.666666666664</v>
      </c>
      <c r="AF4689">
        <v>115658.9</v>
      </c>
      <c r="AG4689">
        <v>0</v>
      </c>
      <c r="AI4689">
        <v>115694</v>
      </c>
      <c r="AJ4689">
        <v>0</v>
      </c>
      <c r="AK4689">
        <v>0</v>
      </c>
      <c r="AL4689">
        <v>0</v>
      </c>
      <c r="AM4689">
        <v>90304</v>
      </c>
      <c r="AN4689">
        <v>25354.9</v>
      </c>
      <c r="AO4689">
        <v>115658.9</v>
      </c>
      <c r="AP4689">
        <v>0</v>
      </c>
      <c r="AQ4689">
        <v>-35.100000000005821</v>
      </c>
      <c r="AR4689">
        <v>-3.0338651961214769E-4</v>
      </c>
      <c r="AS4689" t="s">
        <v>239</v>
      </c>
      <c r="AT4689" t="s">
        <v>514</v>
      </c>
    </row>
    <row r="4690" spans="2:46" x14ac:dyDescent="0.35">
      <c r="B4690" t="s">
        <v>563</v>
      </c>
      <c r="C4690">
        <v>45933</v>
      </c>
      <c r="J4690">
        <v>0</v>
      </c>
      <c r="O4690" t="s">
        <v>239</v>
      </c>
      <c r="P4690" t="s">
        <v>514</v>
      </c>
      <c r="U4690">
        <v>105.66666666666652</v>
      </c>
      <c r="Y4690">
        <v>276</v>
      </c>
      <c r="Z4690" s="259" t="s">
        <v>637</v>
      </c>
      <c r="AB4690">
        <v>24951.666666666664</v>
      </c>
      <c r="AF4690">
        <v>115625.1</v>
      </c>
      <c r="AG4690">
        <v>0</v>
      </c>
      <c r="AI4690">
        <v>115658.9</v>
      </c>
      <c r="AJ4690">
        <v>0</v>
      </c>
      <c r="AK4690">
        <v>0</v>
      </c>
      <c r="AL4690">
        <v>0</v>
      </c>
      <c r="AM4690">
        <v>90304</v>
      </c>
      <c r="AN4690">
        <v>25321.1</v>
      </c>
      <c r="AO4690">
        <v>115625.1</v>
      </c>
      <c r="AP4690">
        <v>0</v>
      </c>
      <c r="AQ4690">
        <v>-33.799999999988358</v>
      </c>
      <c r="AR4690">
        <v>-2.922386431134516E-4</v>
      </c>
      <c r="AS4690" t="s">
        <v>239</v>
      </c>
      <c r="AT4690" t="s">
        <v>514</v>
      </c>
    </row>
    <row r="4691" spans="2:46" x14ac:dyDescent="0.35">
      <c r="B4691" t="s">
        <v>563</v>
      </c>
      <c r="C4691">
        <v>45934</v>
      </c>
      <c r="J4691">
        <v>0</v>
      </c>
      <c r="O4691" t="s">
        <v>239</v>
      </c>
      <c r="P4691" t="s">
        <v>514</v>
      </c>
      <c r="U4691">
        <v>105.66666666666652</v>
      </c>
      <c r="Y4691">
        <v>277</v>
      </c>
      <c r="Z4691" s="259" t="s">
        <v>637</v>
      </c>
      <c r="AB4691">
        <v>24951.666666666664</v>
      </c>
      <c r="AF4691">
        <v>115625.1</v>
      </c>
      <c r="AG4691">
        <v>0</v>
      </c>
      <c r="AI4691">
        <v>115625.1</v>
      </c>
      <c r="AJ4691">
        <v>0</v>
      </c>
      <c r="AK4691">
        <v>0</v>
      </c>
      <c r="AL4691">
        <v>0</v>
      </c>
      <c r="AM4691">
        <v>90304</v>
      </c>
      <c r="AN4691">
        <v>25321.1</v>
      </c>
      <c r="AO4691">
        <v>115625.1</v>
      </c>
      <c r="AP4691">
        <v>0</v>
      </c>
      <c r="AQ4691">
        <v>0</v>
      </c>
      <c r="AR4691">
        <v>0</v>
      </c>
      <c r="AS4691" t="s">
        <v>239</v>
      </c>
      <c r="AT4691" t="s">
        <v>514</v>
      </c>
    </row>
    <row r="4692" spans="2:46" x14ac:dyDescent="0.35">
      <c r="B4692" t="s">
        <v>563</v>
      </c>
      <c r="C4692">
        <v>45935</v>
      </c>
      <c r="J4692">
        <v>0</v>
      </c>
      <c r="O4692" t="s">
        <v>239</v>
      </c>
      <c r="P4692" t="s">
        <v>514</v>
      </c>
      <c r="U4692">
        <v>105.66666666666652</v>
      </c>
      <c r="Y4692">
        <v>278</v>
      </c>
      <c r="Z4692" s="259" t="s">
        <v>637</v>
      </c>
      <c r="AB4692">
        <v>24951.666666666664</v>
      </c>
      <c r="AF4692">
        <v>115625.1</v>
      </c>
      <c r="AG4692">
        <v>0</v>
      </c>
      <c r="AI4692">
        <v>115625.1</v>
      </c>
      <c r="AJ4692">
        <v>0</v>
      </c>
      <c r="AK4692">
        <v>0</v>
      </c>
      <c r="AL4692">
        <v>0</v>
      </c>
      <c r="AM4692">
        <v>90304</v>
      </c>
      <c r="AN4692">
        <v>25321.1</v>
      </c>
      <c r="AO4692">
        <v>115625.1</v>
      </c>
      <c r="AP4692">
        <v>0</v>
      </c>
      <c r="AQ4692">
        <v>0</v>
      </c>
      <c r="AR4692">
        <v>0</v>
      </c>
      <c r="AS4692" t="s">
        <v>239</v>
      </c>
      <c r="AT4692" t="s">
        <v>514</v>
      </c>
    </row>
    <row r="4693" spans="2:46" x14ac:dyDescent="0.35">
      <c r="B4693" t="s">
        <v>563</v>
      </c>
      <c r="C4693">
        <v>45936</v>
      </c>
      <c r="J4693">
        <v>0</v>
      </c>
      <c r="O4693" t="s">
        <v>239</v>
      </c>
      <c r="P4693" t="s">
        <v>514</v>
      </c>
      <c r="U4693">
        <v>105.66666666666652</v>
      </c>
      <c r="Y4693">
        <v>279</v>
      </c>
      <c r="Z4693" s="259" t="s">
        <v>637</v>
      </c>
      <c r="AB4693">
        <v>24951.666666666664</v>
      </c>
      <c r="AF4693">
        <v>115521.1</v>
      </c>
      <c r="AG4693">
        <v>0</v>
      </c>
      <c r="AI4693">
        <v>115625.1</v>
      </c>
      <c r="AJ4693">
        <v>0</v>
      </c>
      <c r="AK4693">
        <v>0</v>
      </c>
      <c r="AL4693">
        <v>0</v>
      </c>
      <c r="AM4693">
        <v>90304</v>
      </c>
      <c r="AN4693">
        <v>25217.1</v>
      </c>
      <c r="AO4693">
        <v>115521.1</v>
      </c>
      <c r="AP4693">
        <v>0</v>
      </c>
      <c r="AQ4693">
        <v>-104</v>
      </c>
      <c r="AR4693">
        <v>-8.994586815492811E-4</v>
      </c>
      <c r="AS4693" t="s">
        <v>239</v>
      </c>
      <c r="AT4693" t="s">
        <v>514</v>
      </c>
    </row>
    <row r="4694" spans="2:46" x14ac:dyDescent="0.35">
      <c r="B4694" t="s">
        <v>563</v>
      </c>
      <c r="C4694">
        <v>45937</v>
      </c>
      <c r="J4694">
        <v>0</v>
      </c>
      <c r="O4694" t="s">
        <v>239</v>
      </c>
      <c r="P4694" t="s">
        <v>514</v>
      </c>
      <c r="U4694">
        <v>105.66666666666652</v>
      </c>
      <c r="Y4694">
        <v>280</v>
      </c>
      <c r="Z4694" s="259" t="s">
        <v>637</v>
      </c>
      <c r="AB4694">
        <v>24951.666666666664</v>
      </c>
      <c r="AF4694">
        <v>115486</v>
      </c>
      <c r="AG4694">
        <v>0</v>
      </c>
      <c r="AI4694">
        <v>115521.1</v>
      </c>
      <c r="AJ4694">
        <v>0</v>
      </c>
      <c r="AK4694">
        <v>0</v>
      </c>
      <c r="AL4694">
        <v>0</v>
      </c>
      <c r="AM4694">
        <v>90304</v>
      </c>
      <c r="AN4694">
        <v>25182</v>
      </c>
      <c r="AO4694">
        <v>115486</v>
      </c>
      <c r="AP4694">
        <v>0</v>
      </c>
      <c r="AQ4694">
        <v>-35.100000000005821</v>
      </c>
      <c r="AR4694">
        <v>-3.0384059708576938E-4</v>
      </c>
      <c r="AS4694" t="s">
        <v>239</v>
      </c>
      <c r="AT4694" t="s">
        <v>514</v>
      </c>
    </row>
    <row r="4695" spans="2:46" x14ac:dyDescent="0.35">
      <c r="B4695" t="s">
        <v>563</v>
      </c>
      <c r="C4695">
        <v>45938</v>
      </c>
      <c r="J4695">
        <v>0</v>
      </c>
      <c r="O4695" t="s">
        <v>239</v>
      </c>
      <c r="P4695" t="s">
        <v>514</v>
      </c>
      <c r="U4695">
        <v>105.66666666666652</v>
      </c>
      <c r="Y4695">
        <v>281</v>
      </c>
      <c r="Z4695" s="259" t="s">
        <v>637</v>
      </c>
      <c r="AB4695">
        <v>24951.666666666664</v>
      </c>
      <c r="AF4695">
        <v>115450.9</v>
      </c>
      <c r="AG4695">
        <v>0</v>
      </c>
      <c r="AI4695">
        <v>115486</v>
      </c>
      <c r="AJ4695">
        <v>0</v>
      </c>
      <c r="AK4695">
        <v>0</v>
      </c>
      <c r="AL4695">
        <v>0</v>
      </c>
      <c r="AM4695">
        <v>90304</v>
      </c>
      <c r="AN4695">
        <v>25146.9</v>
      </c>
      <c r="AO4695">
        <v>115450.9</v>
      </c>
      <c r="AP4695">
        <v>0</v>
      </c>
      <c r="AQ4695">
        <v>-35.100000000005821</v>
      </c>
      <c r="AR4695">
        <v>-3.0393294425301587E-4</v>
      </c>
      <c r="AS4695" t="s">
        <v>239</v>
      </c>
      <c r="AT4695" t="s">
        <v>514</v>
      </c>
    </row>
    <row r="4696" spans="2:46" x14ac:dyDescent="0.35">
      <c r="B4696" t="s">
        <v>563</v>
      </c>
      <c r="C4696">
        <v>45939</v>
      </c>
      <c r="J4696">
        <v>0</v>
      </c>
      <c r="O4696" t="s">
        <v>239</v>
      </c>
      <c r="P4696" t="s">
        <v>514</v>
      </c>
      <c r="U4696">
        <v>105.66666666666652</v>
      </c>
      <c r="Y4696">
        <v>282</v>
      </c>
      <c r="Z4696" s="259" t="s">
        <v>637</v>
      </c>
      <c r="AB4696">
        <v>24951.666666666664</v>
      </c>
      <c r="AF4696">
        <v>115417.1</v>
      </c>
      <c r="AG4696">
        <v>0</v>
      </c>
      <c r="AI4696">
        <v>115450.9</v>
      </c>
      <c r="AJ4696">
        <v>0</v>
      </c>
      <c r="AK4696">
        <v>0</v>
      </c>
      <c r="AL4696">
        <v>0</v>
      </c>
      <c r="AM4696">
        <v>90304</v>
      </c>
      <c r="AN4696">
        <v>25113.1</v>
      </c>
      <c r="AO4696">
        <v>115417.1</v>
      </c>
      <c r="AP4696">
        <v>0</v>
      </c>
      <c r="AQ4696">
        <v>-33.799999999988358</v>
      </c>
      <c r="AR4696">
        <v>-2.9276514951370736E-4</v>
      </c>
      <c r="AS4696" t="s">
        <v>239</v>
      </c>
      <c r="AT4696" t="s">
        <v>514</v>
      </c>
    </row>
    <row r="4697" spans="2:46" x14ac:dyDescent="0.35">
      <c r="B4697" t="s">
        <v>563</v>
      </c>
      <c r="C4697">
        <v>45940</v>
      </c>
      <c r="J4697">
        <v>0</v>
      </c>
      <c r="O4697" t="s">
        <v>239</v>
      </c>
      <c r="P4697" t="s">
        <v>514</v>
      </c>
      <c r="U4697">
        <v>105.66666666666652</v>
      </c>
      <c r="Y4697">
        <v>283</v>
      </c>
      <c r="Z4697" s="259" t="s">
        <v>637</v>
      </c>
      <c r="AB4697">
        <v>24951.666666666664</v>
      </c>
      <c r="AF4697">
        <v>115382</v>
      </c>
      <c r="AG4697">
        <v>0</v>
      </c>
      <c r="AI4697">
        <v>115417.1</v>
      </c>
      <c r="AJ4697">
        <v>0</v>
      </c>
      <c r="AK4697">
        <v>0</v>
      </c>
      <c r="AL4697">
        <v>0</v>
      </c>
      <c r="AM4697">
        <v>90304</v>
      </c>
      <c r="AN4697">
        <v>25078</v>
      </c>
      <c r="AO4697">
        <v>115382</v>
      </c>
      <c r="AP4697">
        <v>0</v>
      </c>
      <c r="AQ4697">
        <v>-35.100000000005821</v>
      </c>
      <c r="AR4697">
        <v>-3.0411438166444427E-4</v>
      </c>
      <c r="AS4697" t="s">
        <v>239</v>
      </c>
      <c r="AT4697" t="s">
        <v>514</v>
      </c>
    </row>
    <row r="4698" spans="2:46" x14ac:dyDescent="0.35">
      <c r="B4698" t="s">
        <v>563</v>
      </c>
      <c r="C4698">
        <v>45941</v>
      </c>
      <c r="J4698">
        <v>0</v>
      </c>
      <c r="O4698" t="s">
        <v>239</v>
      </c>
      <c r="P4698" t="s">
        <v>514</v>
      </c>
      <c r="U4698">
        <v>105.66666666666652</v>
      </c>
      <c r="Y4698">
        <v>284</v>
      </c>
      <c r="Z4698" s="259" t="s">
        <v>637</v>
      </c>
      <c r="AB4698">
        <v>24951.666666666664</v>
      </c>
      <c r="AF4698">
        <v>115382</v>
      </c>
      <c r="AG4698">
        <v>0</v>
      </c>
      <c r="AI4698">
        <v>115382</v>
      </c>
      <c r="AJ4698">
        <v>0</v>
      </c>
      <c r="AK4698">
        <v>0</v>
      </c>
      <c r="AL4698">
        <v>0</v>
      </c>
      <c r="AM4698">
        <v>90304</v>
      </c>
      <c r="AN4698">
        <v>25078</v>
      </c>
      <c r="AO4698">
        <v>115382</v>
      </c>
      <c r="AP4698">
        <v>0</v>
      </c>
      <c r="AQ4698">
        <v>0</v>
      </c>
      <c r="AR4698">
        <v>0</v>
      </c>
      <c r="AS4698" t="s">
        <v>239</v>
      </c>
      <c r="AT4698" t="s">
        <v>514</v>
      </c>
    </row>
    <row r="4699" spans="2:46" x14ac:dyDescent="0.35">
      <c r="B4699" t="s">
        <v>563</v>
      </c>
      <c r="C4699">
        <v>45942</v>
      </c>
      <c r="J4699">
        <v>0</v>
      </c>
      <c r="O4699" t="s">
        <v>239</v>
      </c>
      <c r="P4699" t="s">
        <v>514</v>
      </c>
      <c r="U4699">
        <v>105.66666666666652</v>
      </c>
      <c r="Y4699">
        <v>285</v>
      </c>
      <c r="Z4699" s="259" t="s">
        <v>637</v>
      </c>
      <c r="AB4699">
        <v>24951.666666666664</v>
      </c>
      <c r="AF4699">
        <v>115382</v>
      </c>
      <c r="AG4699">
        <v>0</v>
      </c>
      <c r="AI4699">
        <v>115382</v>
      </c>
      <c r="AJ4699">
        <v>0</v>
      </c>
      <c r="AK4699">
        <v>0</v>
      </c>
      <c r="AL4699">
        <v>0</v>
      </c>
      <c r="AM4699">
        <v>90304</v>
      </c>
      <c r="AN4699">
        <v>25078</v>
      </c>
      <c r="AO4699">
        <v>115382</v>
      </c>
      <c r="AP4699">
        <v>0</v>
      </c>
      <c r="AQ4699">
        <v>0</v>
      </c>
      <c r="AR4699">
        <v>0</v>
      </c>
      <c r="AS4699" t="s">
        <v>239</v>
      </c>
      <c r="AT4699" t="s">
        <v>514</v>
      </c>
    </row>
    <row r="4700" spans="2:46" x14ac:dyDescent="0.35">
      <c r="B4700" t="s">
        <v>563</v>
      </c>
      <c r="C4700">
        <v>45943</v>
      </c>
      <c r="J4700">
        <v>0</v>
      </c>
      <c r="O4700" t="s">
        <v>239</v>
      </c>
      <c r="P4700" t="s">
        <v>514</v>
      </c>
      <c r="U4700">
        <v>105.66666666666652</v>
      </c>
      <c r="Y4700">
        <v>286</v>
      </c>
      <c r="Z4700" s="259" t="s">
        <v>637</v>
      </c>
      <c r="AB4700">
        <v>24951.666666666664</v>
      </c>
      <c r="AF4700">
        <v>115278</v>
      </c>
      <c r="AG4700">
        <v>0</v>
      </c>
      <c r="AI4700">
        <v>115382</v>
      </c>
      <c r="AJ4700">
        <v>0</v>
      </c>
      <c r="AK4700">
        <v>0</v>
      </c>
      <c r="AL4700">
        <v>0</v>
      </c>
      <c r="AM4700">
        <v>90304</v>
      </c>
      <c r="AN4700">
        <v>24974</v>
      </c>
      <c r="AO4700">
        <v>115278</v>
      </c>
      <c r="AP4700">
        <v>0</v>
      </c>
      <c r="AQ4700">
        <v>-104</v>
      </c>
      <c r="AR4700">
        <v>-9.0135376401867529E-4</v>
      </c>
      <c r="AS4700" t="s">
        <v>239</v>
      </c>
      <c r="AT4700" t="s">
        <v>514</v>
      </c>
    </row>
    <row r="4701" spans="2:46" x14ac:dyDescent="0.35">
      <c r="B4701" t="s">
        <v>563</v>
      </c>
      <c r="C4701">
        <v>45944</v>
      </c>
      <c r="J4701">
        <v>0</v>
      </c>
      <c r="O4701" t="s">
        <v>239</v>
      </c>
      <c r="P4701" t="s">
        <v>514</v>
      </c>
      <c r="U4701">
        <v>105.66666666666652</v>
      </c>
      <c r="Y4701">
        <v>287</v>
      </c>
      <c r="Z4701" s="259" t="s">
        <v>637</v>
      </c>
      <c r="AB4701">
        <v>24951.666666666664</v>
      </c>
      <c r="AF4701">
        <v>115242.9</v>
      </c>
      <c r="AG4701">
        <v>0</v>
      </c>
      <c r="AI4701">
        <v>115278</v>
      </c>
      <c r="AJ4701">
        <v>0</v>
      </c>
      <c r="AK4701">
        <v>0</v>
      </c>
      <c r="AL4701">
        <v>0</v>
      </c>
      <c r="AM4701">
        <v>90304</v>
      </c>
      <c r="AN4701">
        <v>24938.9</v>
      </c>
      <c r="AO4701">
        <v>115242.9</v>
      </c>
      <c r="AP4701">
        <v>0</v>
      </c>
      <c r="AQ4701">
        <v>-35.100000000005821</v>
      </c>
      <c r="AR4701">
        <v>-3.0448134075888866E-4</v>
      </c>
      <c r="AS4701" t="s">
        <v>239</v>
      </c>
      <c r="AT4701" t="s">
        <v>514</v>
      </c>
    </row>
    <row r="4702" spans="2:46" x14ac:dyDescent="0.35">
      <c r="B4702" t="s">
        <v>563</v>
      </c>
      <c r="C4702">
        <v>45945</v>
      </c>
      <c r="J4702">
        <v>0</v>
      </c>
      <c r="O4702" t="s">
        <v>239</v>
      </c>
      <c r="P4702" t="s">
        <v>514</v>
      </c>
      <c r="U4702">
        <v>105.66666666666652</v>
      </c>
      <c r="Y4702">
        <v>288</v>
      </c>
      <c r="Z4702" s="259" t="s">
        <v>637</v>
      </c>
      <c r="AB4702">
        <v>24951.666666666664</v>
      </c>
      <c r="AF4702">
        <v>115209.1</v>
      </c>
      <c r="AG4702">
        <v>0</v>
      </c>
      <c r="AI4702">
        <v>115242.9</v>
      </c>
      <c r="AJ4702">
        <v>0</v>
      </c>
      <c r="AK4702">
        <v>0</v>
      </c>
      <c r="AL4702">
        <v>0</v>
      </c>
      <c r="AM4702">
        <v>90304</v>
      </c>
      <c r="AN4702">
        <v>24905.1</v>
      </c>
      <c r="AO4702">
        <v>115209.1</v>
      </c>
      <c r="AP4702">
        <v>0</v>
      </c>
      <c r="AQ4702">
        <v>-33.799999999988358</v>
      </c>
      <c r="AR4702">
        <v>-2.9329355647933486E-4</v>
      </c>
      <c r="AS4702" t="s">
        <v>239</v>
      </c>
      <c r="AT4702" t="s">
        <v>514</v>
      </c>
    </row>
    <row r="4703" spans="2:46" x14ac:dyDescent="0.35">
      <c r="B4703" t="s">
        <v>563</v>
      </c>
      <c r="C4703">
        <v>45946</v>
      </c>
      <c r="J4703">
        <v>0</v>
      </c>
      <c r="O4703" t="s">
        <v>239</v>
      </c>
      <c r="P4703" t="s">
        <v>514</v>
      </c>
      <c r="U4703">
        <v>105.66666666666652</v>
      </c>
      <c r="Y4703">
        <v>289</v>
      </c>
      <c r="Z4703" s="259" t="s">
        <v>637</v>
      </c>
      <c r="AB4703">
        <v>24951.666666666664</v>
      </c>
      <c r="AF4703">
        <v>115174</v>
      </c>
      <c r="AG4703">
        <v>0</v>
      </c>
      <c r="AI4703">
        <v>115209.1</v>
      </c>
      <c r="AJ4703">
        <v>0</v>
      </c>
      <c r="AK4703">
        <v>0</v>
      </c>
      <c r="AL4703">
        <v>0</v>
      </c>
      <c r="AM4703">
        <v>90304</v>
      </c>
      <c r="AN4703">
        <v>24870</v>
      </c>
      <c r="AO4703">
        <v>115174</v>
      </c>
      <c r="AP4703">
        <v>0</v>
      </c>
      <c r="AQ4703">
        <v>-35.100000000005821</v>
      </c>
      <c r="AR4703">
        <v>-3.0466343370449955E-4</v>
      </c>
      <c r="AS4703" t="s">
        <v>239</v>
      </c>
      <c r="AT4703" t="s">
        <v>514</v>
      </c>
    </row>
    <row r="4704" spans="2:46" x14ac:dyDescent="0.35">
      <c r="B4704" t="s">
        <v>563</v>
      </c>
      <c r="C4704">
        <v>45947</v>
      </c>
      <c r="J4704">
        <v>0</v>
      </c>
      <c r="O4704" t="s">
        <v>239</v>
      </c>
      <c r="P4704" t="s">
        <v>514</v>
      </c>
      <c r="U4704">
        <v>105.66666666666652</v>
      </c>
      <c r="Y4704">
        <v>290</v>
      </c>
      <c r="Z4704" s="259" t="s">
        <v>637</v>
      </c>
      <c r="AB4704">
        <v>24951.666666666664</v>
      </c>
      <c r="AF4704">
        <v>115138.9</v>
      </c>
      <c r="AG4704">
        <v>0</v>
      </c>
      <c r="AI4704">
        <v>115174</v>
      </c>
      <c r="AJ4704">
        <v>0</v>
      </c>
      <c r="AK4704">
        <v>0</v>
      </c>
      <c r="AL4704">
        <v>0</v>
      </c>
      <c r="AM4704">
        <v>90304</v>
      </c>
      <c r="AN4704">
        <v>24834.9</v>
      </c>
      <c r="AO4704">
        <v>115138.9</v>
      </c>
      <c r="AP4704">
        <v>0</v>
      </c>
      <c r="AQ4704">
        <v>-35.100000000005821</v>
      </c>
      <c r="AR4704">
        <v>-3.0475628179971181E-4</v>
      </c>
      <c r="AS4704" t="s">
        <v>239</v>
      </c>
      <c r="AT4704" t="s">
        <v>514</v>
      </c>
    </row>
    <row r="4705" spans="2:46" x14ac:dyDescent="0.35">
      <c r="B4705" t="s">
        <v>563</v>
      </c>
      <c r="C4705">
        <v>45948</v>
      </c>
      <c r="J4705">
        <v>0</v>
      </c>
      <c r="O4705" t="s">
        <v>239</v>
      </c>
      <c r="P4705" t="s">
        <v>514</v>
      </c>
      <c r="U4705">
        <v>105.66666666666652</v>
      </c>
      <c r="Y4705">
        <v>291</v>
      </c>
      <c r="Z4705" s="259" t="s">
        <v>637</v>
      </c>
      <c r="AB4705">
        <v>24951.666666666664</v>
      </c>
      <c r="AF4705">
        <v>115138.9</v>
      </c>
      <c r="AG4705">
        <v>0</v>
      </c>
      <c r="AI4705">
        <v>115138.9</v>
      </c>
      <c r="AJ4705">
        <v>0</v>
      </c>
      <c r="AK4705">
        <v>0</v>
      </c>
      <c r="AL4705">
        <v>0</v>
      </c>
      <c r="AM4705">
        <v>90304</v>
      </c>
      <c r="AN4705">
        <v>24834.9</v>
      </c>
      <c r="AO4705">
        <v>115138.9</v>
      </c>
      <c r="AP4705">
        <v>0</v>
      </c>
      <c r="AQ4705">
        <v>0</v>
      </c>
      <c r="AR4705">
        <v>0</v>
      </c>
      <c r="AS4705" t="s">
        <v>239</v>
      </c>
      <c r="AT4705" t="s">
        <v>514</v>
      </c>
    </row>
    <row r="4706" spans="2:46" x14ac:dyDescent="0.35">
      <c r="B4706" t="s">
        <v>563</v>
      </c>
      <c r="C4706">
        <v>45949</v>
      </c>
      <c r="J4706">
        <v>0</v>
      </c>
      <c r="O4706" t="s">
        <v>239</v>
      </c>
      <c r="P4706" t="s">
        <v>514</v>
      </c>
      <c r="U4706">
        <v>105.66666666666652</v>
      </c>
      <c r="Y4706">
        <v>292</v>
      </c>
      <c r="Z4706" s="259" t="s">
        <v>637</v>
      </c>
      <c r="AB4706">
        <v>24951.666666666664</v>
      </c>
      <c r="AF4706">
        <v>115138.9</v>
      </c>
      <c r="AG4706">
        <v>0</v>
      </c>
      <c r="AI4706">
        <v>115138.9</v>
      </c>
      <c r="AJ4706">
        <v>0</v>
      </c>
      <c r="AK4706">
        <v>0</v>
      </c>
      <c r="AL4706">
        <v>0</v>
      </c>
      <c r="AM4706">
        <v>90304</v>
      </c>
      <c r="AN4706">
        <v>24834.9</v>
      </c>
      <c r="AO4706">
        <v>115138.9</v>
      </c>
      <c r="AP4706">
        <v>0</v>
      </c>
      <c r="AQ4706">
        <v>0</v>
      </c>
      <c r="AR4706">
        <v>0</v>
      </c>
      <c r="AS4706" t="s">
        <v>239</v>
      </c>
      <c r="AT4706" t="s">
        <v>514</v>
      </c>
    </row>
    <row r="4707" spans="2:46" x14ac:dyDescent="0.35">
      <c r="B4707" t="s">
        <v>563</v>
      </c>
      <c r="C4707">
        <v>45950</v>
      </c>
      <c r="J4707">
        <v>0</v>
      </c>
      <c r="O4707" t="s">
        <v>239</v>
      </c>
      <c r="P4707" t="s">
        <v>514</v>
      </c>
      <c r="U4707">
        <v>105.66666666666652</v>
      </c>
      <c r="Y4707">
        <v>293</v>
      </c>
      <c r="Z4707" s="259" t="s">
        <v>637</v>
      </c>
      <c r="AB4707">
        <v>24951.666666666664</v>
      </c>
      <c r="AF4707">
        <v>115034.9</v>
      </c>
      <c r="AG4707">
        <v>0</v>
      </c>
      <c r="AI4707">
        <v>115138.9</v>
      </c>
      <c r="AJ4707">
        <v>0</v>
      </c>
      <c r="AK4707">
        <v>0</v>
      </c>
      <c r="AL4707">
        <v>0</v>
      </c>
      <c r="AM4707">
        <v>90304</v>
      </c>
      <c r="AN4707">
        <v>24730.9</v>
      </c>
      <c r="AO4707">
        <v>115034.9</v>
      </c>
      <c r="AP4707">
        <v>0</v>
      </c>
      <c r="AQ4707">
        <v>-104</v>
      </c>
      <c r="AR4707">
        <v>-9.0325684890157909E-4</v>
      </c>
      <c r="AS4707" t="s">
        <v>239</v>
      </c>
      <c r="AT4707" t="s">
        <v>514</v>
      </c>
    </row>
    <row r="4708" spans="2:46" x14ac:dyDescent="0.35">
      <c r="B4708" t="s">
        <v>563</v>
      </c>
      <c r="C4708">
        <v>45951</v>
      </c>
      <c r="J4708">
        <v>0</v>
      </c>
      <c r="O4708" t="s">
        <v>239</v>
      </c>
      <c r="P4708" t="s">
        <v>514</v>
      </c>
      <c r="U4708">
        <v>105.66666666666652</v>
      </c>
      <c r="Y4708">
        <v>294</v>
      </c>
      <c r="Z4708" s="259" t="s">
        <v>637</v>
      </c>
      <c r="AB4708">
        <v>24951.666666666664</v>
      </c>
      <c r="AF4708">
        <v>115001.1</v>
      </c>
      <c r="AG4708">
        <v>0</v>
      </c>
      <c r="AI4708">
        <v>115034.9</v>
      </c>
      <c r="AJ4708">
        <v>0</v>
      </c>
      <c r="AK4708">
        <v>0</v>
      </c>
      <c r="AL4708">
        <v>0</v>
      </c>
      <c r="AM4708">
        <v>90304</v>
      </c>
      <c r="AN4708">
        <v>24697.1</v>
      </c>
      <c r="AO4708">
        <v>115001.1</v>
      </c>
      <c r="AP4708">
        <v>0</v>
      </c>
      <c r="AQ4708">
        <v>-33.799999999988358</v>
      </c>
      <c r="AR4708">
        <v>-2.938238743197541E-4</v>
      </c>
      <c r="AS4708" t="s">
        <v>239</v>
      </c>
      <c r="AT4708" t="s">
        <v>514</v>
      </c>
    </row>
    <row r="4709" spans="2:46" x14ac:dyDescent="0.35">
      <c r="B4709" t="s">
        <v>563</v>
      </c>
      <c r="C4709">
        <v>45952</v>
      </c>
      <c r="J4709">
        <v>0</v>
      </c>
      <c r="O4709" t="s">
        <v>239</v>
      </c>
      <c r="P4709" t="s">
        <v>514</v>
      </c>
      <c r="U4709">
        <v>105.66666666666652</v>
      </c>
      <c r="Y4709">
        <v>295</v>
      </c>
      <c r="Z4709" s="259" t="s">
        <v>637</v>
      </c>
      <c r="AB4709">
        <v>24951.666666666664</v>
      </c>
      <c r="AF4709">
        <v>114966</v>
      </c>
      <c r="AG4709">
        <v>0</v>
      </c>
      <c r="AI4709">
        <v>115001.1</v>
      </c>
      <c r="AJ4709">
        <v>0</v>
      </c>
      <c r="AK4709">
        <v>0</v>
      </c>
      <c r="AL4709">
        <v>0</v>
      </c>
      <c r="AM4709">
        <v>90304</v>
      </c>
      <c r="AN4709">
        <v>24662</v>
      </c>
      <c r="AO4709">
        <v>114966</v>
      </c>
      <c r="AP4709">
        <v>0</v>
      </c>
      <c r="AQ4709">
        <v>-35.100000000005821</v>
      </c>
      <c r="AR4709">
        <v>-3.0521447186160344E-4</v>
      </c>
      <c r="AS4709" t="s">
        <v>239</v>
      </c>
      <c r="AT4709" t="s">
        <v>514</v>
      </c>
    </row>
    <row r="4710" spans="2:46" x14ac:dyDescent="0.35">
      <c r="B4710" t="s">
        <v>563</v>
      </c>
      <c r="C4710">
        <v>45953</v>
      </c>
      <c r="J4710">
        <v>0</v>
      </c>
      <c r="O4710" t="s">
        <v>239</v>
      </c>
      <c r="P4710" t="s">
        <v>514</v>
      </c>
      <c r="U4710">
        <v>105.66666666666652</v>
      </c>
      <c r="Y4710">
        <v>296</v>
      </c>
      <c r="Z4710" s="259" t="s">
        <v>637</v>
      </c>
      <c r="AB4710">
        <v>24951.666666666664</v>
      </c>
      <c r="AF4710">
        <v>114930.9</v>
      </c>
      <c r="AG4710">
        <v>0</v>
      </c>
      <c r="AI4710">
        <v>114966</v>
      </c>
      <c r="AJ4710">
        <v>0</v>
      </c>
      <c r="AK4710">
        <v>0</v>
      </c>
      <c r="AL4710">
        <v>0</v>
      </c>
      <c r="AM4710">
        <v>90304</v>
      </c>
      <c r="AN4710">
        <v>24626.9</v>
      </c>
      <c r="AO4710">
        <v>114930.9</v>
      </c>
      <c r="AP4710">
        <v>0</v>
      </c>
      <c r="AQ4710">
        <v>-35.100000000005821</v>
      </c>
      <c r="AR4710">
        <v>-3.0530765617664546E-4</v>
      </c>
      <c r="AS4710" t="s">
        <v>239</v>
      </c>
      <c r="AT4710" t="s">
        <v>514</v>
      </c>
    </row>
    <row r="4711" spans="2:46" x14ac:dyDescent="0.35">
      <c r="B4711" t="s">
        <v>563</v>
      </c>
      <c r="C4711">
        <v>45954</v>
      </c>
      <c r="J4711">
        <v>0</v>
      </c>
      <c r="O4711" t="s">
        <v>239</v>
      </c>
      <c r="P4711" t="s">
        <v>514</v>
      </c>
      <c r="U4711">
        <v>105.66666666666652</v>
      </c>
      <c r="Y4711">
        <v>297</v>
      </c>
      <c r="Z4711" s="259" t="s">
        <v>637</v>
      </c>
      <c r="AB4711">
        <v>24951.666666666664</v>
      </c>
      <c r="AF4711">
        <v>114897.1</v>
      </c>
      <c r="AG4711">
        <v>0</v>
      </c>
      <c r="AI4711">
        <v>114930.9</v>
      </c>
      <c r="AJ4711">
        <v>0</v>
      </c>
      <c r="AK4711">
        <v>0</v>
      </c>
      <c r="AL4711">
        <v>0</v>
      </c>
      <c r="AM4711">
        <v>90304</v>
      </c>
      <c r="AN4711">
        <v>24593.1</v>
      </c>
      <c r="AO4711">
        <v>114897.1</v>
      </c>
      <c r="AP4711">
        <v>0</v>
      </c>
      <c r="AQ4711">
        <v>-33.799999999988358</v>
      </c>
      <c r="AR4711">
        <v>-2.9408975306022267E-4</v>
      </c>
      <c r="AS4711" t="s">
        <v>239</v>
      </c>
      <c r="AT4711" t="s">
        <v>514</v>
      </c>
    </row>
    <row r="4712" spans="2:46" x14ac:dyDescent="0.35">
      <c r="B4712" t="s">
        <v>563</v>
      </c>
      <c r="C4712">
        <v>45955</v>
      </c>
      <c r="J4712">
        <v>0</v>
      </c>
      <c r="O4712" t="s">
        <v>239</v>
      </c>
      <c r="P4712" t="s">
        <v>514</v>
      </c>
      <c r="U4712">
        <v>105.66666666666652</v>
      </c>
      <c r="Y4712">
        <v>298</v>
      </c>
      <c r="Z4712" s="259" t="s">
        <v>637</v>
      </c>
      <c r="AB4712">
        <v>24951.666666666664</v>
      </c>
      <c r="AF4712">
        <v>114897.1</v>
      </c>
      <c r="AG4712">
        <v>0</v>
      </c>
      <c r="AI4712">
        <v>114897.1</v>
      </c>
      <c r="AJ4712">
        <v>0</v>
      </c>
      <c r="AK4712">
        <v>0</v>
      </c>
      <c r="AL4712">
        <v>0</v>
      </c>
      <c r="AM4712">
        <v>90304</v>
      </c>
      <c r="AN4712">
        <v>24593.1</v>
      </c>
      <c r="AO4712">
        <v>114897.1</v>
      </c>
      <c r="AP4712">
        <v>0</v>
      </c>
      <c r="AQ4712">
        <v>0</v>
      </c>
      <c r="AR4712">
        <v>0</v>
      </c>
      <c r="AS4712" t="s">
        <v>239</v>
      </c>
      <c r="AT4712" t="s">
        <v>514</v>
      </c>
    </row>
    <row r="4713" spans="2:46" x14ac:dyDescent="0.35">
      <c r="B4713" t="s">
        <v>563</v>
      </c>
      <c r="C4713">
        <v>45956</v>
      </c>
      <c r="J4713">
        <v>0</v>
      </c>
      <c r="O4713" t="s">
        <v>239</v>
      </c>
      <c r="P4713" t="s">
        <v>514</v>
      </c>
      <c r="U4713">
        <v>105.66666666666652</v>
      </c>
      <c r="Y4713">
        <v>299</v>
      </c>
      <c r="Z4713" s="259" t="s">
        <v>637</v>
      </c>
      <c r="AB4713">
        <v>24951.666666666664</v>
      </c>
      <c r="AF4713">
        <v>114897.1</v>
      </c>
      <c r="AG4713">
        <v>0</v>
      </c>
      <c r="AI4713">
        <v>114897.1</v>
      </c>
      <c r="AJ4713">
        <v>0</v>
      </c>
      <c r="AK4713">
        <v>0</v>
      </c>
      <c r="AL4713">
        <v>0</v>
      </c>
      <c r="AM4713">
        <v>90304</v>
      </c>
      <c r="AN4713">
        <v>24593.1</v>
      </c>
      <c r="AO4713">
        <v>114897.1</v>
      </c>
      <c r="AP4713">
        <v>0</v>
      </c>
      <c r="AQ4713">
        <v>0</v>
      </c>
      <c r="AR4713">
        <v>0</v>
      </c>
      <c r="AS4713" t="s">
        <v>239</v>
      </c>
      <c r="AT4713" t="s">
        <v>514</v>
      </c>
    </row>
    <row r="4714" spans="2:46" x14ac:dyDescent="0.35">
      <c r="B4714" t="s">
        <v>563</v>
      </c>
      <c r="C4714">
        <v>45957</v>
      </c>
      <c r="J4714">
        <v>0</v>
      </c>
      <c r="O4714" t="s">
        <v>239</v>
      </c>
      <c r="P4714" t="s">
        <v>514</v>
      </c>
      <c r="U4714">
        <v>105.66666666666652</v>
      </c>
      <c r="Y4714">
        <v>300</v>
      </c>
      <c r="Z4714" s="259" t="s">
        <v>637</v>
      </c>
      <c r="AB4714">
        <v>24951.666666666664</v>
      </c>
      <c r="AF4714">
        <v>114793.1</v>
      </c>
      <c r="AG4714">
        <v>0</v>
      </c>
      <c r="AI4714">
        <v>114897.1</v>
      </c>
      <c r="AJ4714">
        <v>0</v>
      </c>
      <c r="AK4714">
        <v>0</v>
      </c>
      <c r="AL4714">
        <v>0</v>
      </c>
      <c r="AM4714">
        <v>90304</v>
      </c>
      <c r="AN4714">
        <v>24489.1</v>
      </c>
      <c r="AO4714">
        <v>114793.1</v>
      </c>
      <c r="AP4714">
        <v>0</v>
      </c>
      <c r="AQ4714">
        <v>-104</v>
      </c>
      <c r="AR4714">
        <v>-9.0515774549571049E-4</v>
      </c>
      <c r="AS4714" t="s">
        <v>239</v>
      </c>
      <c r="AT4714" t="s">
        <v>514</v>
      </c>
    </row>
    <row r="4715" spans="2:46" x14ac:dyDescent="0.35">
      <c r="B4715" t="s">
        <v>563</v>
      </c>
      <c r="C4715">
        <v>45958</v>
      </c>
      <c r="J4715">
        <v>0</v>
      </c>
      <c r="O4715" t="s">
        <v>239</v>
      </c>
      <c r="P4715" t="s">
        <v>514</v>
      </c>
      <c r="U4715">
        <v>105.66666666666652</v>
      </c>
      <c r="Y4715">
        <v>301</v>
      </c>
      <c r="Z4715" s="259" t="s">
        <v>637</v>
      </c>
      <c r="AB4715">
        <v>24951.666666666664</v>
      </c>
      <c r="AF4715">
        <v>114758</v>
      </c>
      <c r="AG4715">
        <v>0</v>
      </c>
      <c r="AI4715">
        <v>114793.1</v>
      </c>
      <c r="AJ4715">
        <v>0</v>
      </c>
      <c r="AK4715">
        <v>0</v>
      </c>
      <c r="AL4715">
        <v>0</v>
      </c>
      <c r="AM4715">
        <v>90304</v>
      </c>
      <c r="AN4715">
        <v>24454</v>
      </c>
      <c r="AO4715">
        <v>114758</v>
      </c>
      <c r="AP4715">
        <v>0</v>
      </c>
      <c r="AQ4715">
        <v>-35.100000000005821</v>
      </c>
      <c r="AR4715">
        <v>-3.0576750693211974E-4</v>
      </c>
      <c r="AS4715" t="s">
        <v>239</v>
      </c>
      <c r="AT4715" t="s">
        <v>514</v>
      </c>
    </row>
    <row r="4716" spans="2:46" x14ac:dyDescent="0.35">
      <c r="B4716" t="s">
        <v>563</v>
      </c>
      <c r="C4716">
        <v>45959</v>
      </c>
      <c r="J4716">
        <v>0</v>
      </c>
      <c r="O4716" t="s">
        <v>239</v>
      </c>
      <c r="P4716" t="s">
        <v>514</v>
      </c>
      <c r="U4716">
        <v>105.66666666666652</v>
      </c>
      <c r="Y4716">
        <v>302</v>
      </c>
      <c r="Z4716" s="259" t="s">
        <v>637</v>
      </c>
      <c r="AB4716">
        <v>24951.666666666664</v>
      </c>
      <c r="AF4716">
        <v>114722.9</v>
      </c>
      <c r="AG4716">
        <v>0</v>
      </c>
      <c r="AI4716">
        <v>114758</v>
      </c>
      <c r="AJ4716">
        <v>0</v>
      </c>
      <c r="AK4716">
        <v>0</v>
      </c>
      <c r="AL4716">
        <v>0</v>
      </c>
      <c r="AM4716">
        <v>90304</v>
      </c>
      <c r="AN4716">
        <v>24418.9</v>
      </c>
      <c r="AO4716">
        <v>114722.9</v>
      </c>
      <c r="AP4716">
        <v>0</v>
      </c>
      <c r="AQ4716">
        <v>-35.100000000005821</v>
      </c>
      <c r="AR4716">
        <v>-3.0586102929652803E-4</v>
      </c>
      <c r="AS4716" t="s">
        <v>239</v>
      </c>
      <c r="AT4716" t="s">
        <v>514</v>
      </c>
    </row>
    <row r="4717" spans="2:46" x14ac:dyDescent="0.35">
      <c r="B4717" t="s">
        <v>563</v>
      </c>
      <c r="C4717">
        <v>45960</v>
      </c>
      <c r="J4717">
        <v>0</v>
      </c>
      <c r="O4717" t="s">
        <v>239</v>
      </c>
      <c r="P4717" t="s">
        <v>514</v>
      </c>
      <c r="U4717">
        <v>105.66666666666652</v>
      </c>
      <c r="Y4717">
        <v>303</v>
      </c>
      <c r="Z4717" s="259" t="s">
        <v>637</v>
      </c>
      <c r="AB4717">
        <v>24951.666666666664</v>
      </c>
      <c r="AF4717">
        <v>114689.1</v>
      </c>
      <c r="AG4717">
        <v>0</v>
      </c>
      <c r="AI4717">
        <v>114722.9</v>
      </c>
      <c r="AJ4717">
        <v>0</v>
      </c>
      <c r="AK4717">
        <v>0</v>
      </c>
      <c r="AL4717">
        <v>0</v>
      </c>
      <c r="AM4717">
        <v>90304</v>
      </c>
      <c r="AN4717">
        <v>24385.1</v>
      </c>
      <c r="AO4717">
        <v>114689.1</v>
      </c>
      <c r="AP4717">
        <v>0</v>
      </c>
      <c r="AQ4717">
        <v>-33.799999999988358</v>
      </c>
      <c r="AR4717">
        <v>-2.9462295670690253E-4</v>
      </c>
      <c r="AS4717" t="s">
        <v>239</v>
      </c>
      <c r="AT4717" t="s">
        <v>514</v>
      </c>
    </row>
    <row r="4718" spans="2:46" x14ac:dyDescent="0.35">
      <c r="B4718" t="s">
        <v>563</v>
      </c>
      <c r="C4718">
        <v>45961</v>
      </c>
      <c r="J4718">
        <v>0</v>
      </c>
      <c r="O4718" t="s">
        <v>239</v>
      </c>
      <c r="P4718" t="s">
        <v>514</v>
      </c>
      <c r="U4718">
        <v>105.66666666666652</v>
      </c>
      <c r="Y4718">
        <v>304</v>
      </c>
      <c r="Z4718" s="259" t="s">
        <v>637</v>
      </c>
      <c r="AB4718">
        <v>24951.666666666664</v>
      </c>
      <c r="AF4718">
        <v>114654</v>
      </c>
      <c r="AG4718">
        <v>0</v>
      </c>
      <c r="AI4718">
        <v>114689.1</v>
      </c>
      <c r="AJ4718">
        <v>0</v>
      </c>
      <c r="AK4718">
        <v>0</v>
      </c>
      <c r="AL4718">
        <v>0</v>
      </c>
      <c r="AM4718">
        <v>90304</v>
      </c>
      <c r="AN4718">
        <v>24350</v>
      </c>
      <c r="AO4718">
        <v>114654</v>
      </c>
      <c r="AP4718">
        <v>0</v>
      </c>
      <c r="AQ4718">
        <v>-35.100000000005821</v>
      </c>
      <c r="AR4718">
        <v>-3.0604477670503893E-4</v>
      </c>
      <c r="AS4718" t="s">
        <v>239</v>
      </c>
      <c r="AT4718" t="s">
        <v>514</v>
      </c>
    </row>
    <row r="4719" spans="2:46" x14ac:dyDescent="0.35">
      <c r="B4719" t="s">
        <v>563</v>
      </c>
      <c r="C4719">
        <v>45962</v>
      </c>
      <c r="J4719">
        <v>0</v>
      </c>
      <c r="O4719" t="s">
        <v>239</v>
      </c>
      <c r="P4719" t="s">
        <v>514</v>
      </c>
      <c r="U4719">
        <v>105.66666666666652</v>
      </c>
      <c r="Y4719">
        <v>305</v>
      </c>
      <c r="Z4719" s="259" t="s">
        <v>637</v>
      </c>
      <c r="AB4719">
        <v>24951.666666666664</v>
      </c>
      <c r="AF4719">
        <v>114654</v>
      </c>
      <c r="AG4719">
        <v>0</v>
      </c>
      <c r="AI4719">
        <v>114654</v>
      </c>
      <c r="AJ4719">
        <v>0</v>
      </c>
      <c r="AK4719">
        <v>0</v>
      </c>
      <c r="AL4719">
        <v>0</v>
      </c>
      <c r="AM4719">
        <v>90304</v>
      </c>
      <c r="AN4719">
        <v>24350</v>
      </c>
      <c r="AO4719">
        <v>114654</v>
      </c>
      <c r="AP4719">
        <v>0</v>
      </c>
      <c r="AQ4719">
        <v>0</v>
      </c>
      <c r="AR4719">
        <v>0</v>
      </c>
      <c r="AS4719" t="s">
        <v>239</v>
      </c>
      <c r="AT4719" t="s">
        <v>514</v>
      </c>
    </row>
    <row r="4720" spans="2:46" x14ac:dyDescent="0.35">
      <c r="B4720" t="s">
        <v>563</v>
      </c>
      <c r="C4720">
        <v>45963</v>
      </c>
      <c r="J4720">
        <v>0</v>
      </c>
      <c r="O4720" t="s">
        <v>239</v>
      </c>
      <c r="P4720" t="s">
        <v>514</v>
      </c>
      <c r="U4720">
        <v>105.66666666666652</v>
      </c>
      <c r="Y4720">
        <v>306</v>
      </c>
      <c r="Z4720" s="259" t="s">
        <v>637</v>
      </c>
      <c r="AB4720">
        <v>24951.666666666664</v>
      </c>
      <c r="AF4720">
        <v>114654</v>
      </c>
      <c r="AG4720">
        <v>0</v>
      </c>
      <c r="AI4720">
        <v>114654</v>
      </c>
      <c r="AJ4720">
        <v>0</v>
      </c>
      <c r="AK4720">
        <v>0</v>
      </c>
      <c r="AL4720">
        <v>0</v>
      </c>
      <c r="AM4720">
        <v>90304</v>
      </c>
      <c r="AN4720">
        <v>24350</v>
      </c>
      <c r="AO4720">
        <v>114654</v>
      </c>
      <c r="AP4720">
        <v>0</v>
      </c>
      <c r="AQ4720">
        <v>0</v>
      </c>
      <c r="AR4720">
        <v>0</v>
      </c>
      <c r="AS4720" t="s">
        <v>239</v>
      </c>
      <c r="AT4720" t="s">
        <v>514</v>
      </c>
    </row>
    <row r="4721" spans="2:46" x14ac:dyDescent="0.35">
      <c r="B4721" t="s">
        <v>563</v>
      </c>
      <c r="C4721">
        <v>45964</v>
      </c>
      <c r="J4721">
        <v>0</v>
      </c>
      <c r="O4721" t="s">
        <v>239</v>
      </c>
      <c r="P4721" t="s">
        <v>514</v>
      </c>
      <c r="U4721">
        <v>105.66666666666652</v>
      </c>
      <c r="Y4721">
        <v>307</v>
      </c>
      <c r="Z4721" s="259" t="s">
        <v>637</v>
      </c>
      <c r="AB4721">
        <v>24951.666666666664</v>
      </c>
      <c r="AF4721">
        <v>114606</v>
      </c>
      <c r="AG4721">
        <v>120</v>
      </c>
      <c r="AI4721">
        <v>114654</v>
      </c>
      <c r="AJ4721">
        <v>0</v>
      </c>
      <c r="AK4721">
        <v>0</v>
      </c>
      <c r="AL4721">
        <v>0</v>
      </c>
      <c r="AM4721">
        <v>90304</v>
      </c>
      <c r="AN4721">
        <v>24182</v>
      </c>
      <c r="AO4721">
        <v>114606</v>
      </c>
      <c r="AP4721">
        <v>120</v>
      </c>
      <c r="AQ4721">
        <v>-48</v>
      </c>
      <c r="AR4721">
        <v>-4.1865089748283069E-4</v>
      </c>
      <c r="AS4721" t="s">
        <v>239</v>
      </c>
      <c r="AT4721" t="s">
        <v>514</v>
      </c>
    </row>
    <row r="4722" spans="2:46" x14ac:dyDescent="0.35">
      <c r="B4722" t="s">
        <v>563</v>
      </c>
      <c r="C4722">
        <v>45965</v>
      </c>
      <c r="J4722">
        <v>0</v>
      </c>
      <c r="O4722" t="s">
        <v>239</v>
      </c>
      <c r="P4722" t="s">
        <v>514</v>
      </c>
      <c r="U4722">
        <v>105.66666666666652</v>
      </c>
      <c r="Y4722">
        <v>308</v>
      </c>
      <c r="Z4722" s="259" t="s">
        <v>637</v>
      </c>
      <c r="AB4722">
        <v>24951.666666666664</v>
      </c>
      <c r="AF4722">
        <v>114582.6</v>
      </c>
      <c r="AG4722">
        <v>120</v>
      </c>
      <c r="AI4722">
        <v>114606</v>
      </c>
      <c r="AJ4722">
        <v>0</v>
      </c>
      <c r="AK4722">
        <v>0</v>
      </c>
      <c r="AL4722">
        <v>0</v>
      </c>
      <c r="AM4722">
        <v>90304</v>
      </c>
      <c r="AN4722">
        <v>24158.6</v>
      </c>
      <c r="AO4722">
        <v>114582.6</v>
      </c>
      <c r="AP4722">
        <v>0</v>
      </c>
      <c r="AQ4722">
        <v>-23.399999999994179</v>
      </c>
      <c r="AR4722">
        <v>-2.041777917386467E-4</v>
      </c>
      <c r="AS4722" t="s">
        <v>239</v>
      </c>
      <c r="AT4722" t="s">
        <v>514</v>
      </c>
    </row>
    <row r="4723" spans="2:46" x14ac:dyDescent="0.35">
      <c r="B4723" t="s">
        <v>563</v>
      </c>
      <c r="C4723">
        <v>45966</v>
      </c>
      <c r="J4723">
        <v>0</v>
      </c>
      <c r="O4723" t="s">
        <v>239</v>
      </c>
      <c r="P4723" t="s">
        <v>514</v>
      </c>
      <c r="U4723">
        <v>105.66666666666652</v>
      </c>
      <c r="Y4723">
        <v>309</v>
      </c>
      <c r="Z4723" s="259" t="s">
        <v>637</v>
      </c>
      <c r="AB4723">
        <v>24951.666666666664</v>
      </c>
      <c r="AF4723">
        <v>114559.2</v>
      </c>
      <c r="AG4723">
        <v>120</v>
      </c>
      <c r="AI4723">
        <v>114582.6</v>
      </c>
      <c r="AJ4723">
        <v>0</v>
      </c>
      <c r="AK4723">
        <v>0</v>
      </c>
      <c r="AL4723">
        <v>0</v>
      </c>
      <c r="AM4723">
        <v>90304</v>
      </c>
      <c r="AN4723">
        <v>24135.200000000001</v>
      </c>
      <c r="AO4723">
        <v>114559.2</v>
      </c>
      <c r="AP4723">
        <v>0</v>
      </c>
      <c r="AQ4723">
        <v>-23.400000000008731</v>
      </c>
      <c r="AR4723">
        <v>-2.0421948882298757E-4</v>
      </c>
      <c r="AS4723" t="s">
        <v>239</v>
      </c>
      <c r="AT4723" t="s">
        <v>514</v>
      </c>
    </row>
    <row r="4724" spans="2:46" x14ac:dyDescent="0.35">
      <c r="B4724" t="s">
        <v>563</v>
      </c>
      <c r="C4724">
        <v>45967</v>
      </c>
      <c r="J4724">
        <v>0</v>
      </c>
      <c r="O4724" t="s">
        <v>239</v>
      </c>
      <c r="P4724" t="s">
        <v>514</v>
      </c>
      <c r="U4724">
        <v>105.66666666666652</v>
      </c>
      <c r="Y4724">
        <v>310</v>
      </c>
      <c r="Z4724" s="259" t="s">
        <v>637</v>
      </c>
      <c r="AB4724">
        <v>24951.666666666664</v>
      </c>
      <c r="AF4724">
        <v>114534.6</v>
      </c>
      <c r="AG4724">
        <v>120</v>
      </c>
      <c r="AI4724">
        <v>114559.2</v>
      </c>
      <c r="AJ4724">
        <v>0</v>
      </c>
      <c r="AK4724">
        <v>0</v>
      </c>
      <c r="AL4724">
        <v>0</v>
      </c>
      <c r="AM4724">
        <v>90304</v>
      </c>
      <c r="AN4724">
        <v>24110.6</v>
      </c>
      <c r="AO4724">
        <v>114534.6</v>
      </c>
      <c r="AP4724">
        <v>0</v>
      </c>
      <c r="AQ4724">
        <v>-24.599999999991269</v>
      </c>
      <c r="AR4724">
        <v>-2.1473613642541967E-4</v>
      </c>
      <c r="AS4724" t="s">
        <v>239</v>
      </c>
      <c r="AT4724" t="s">
        <v>514</v>
      </c>
    </row>
    <row r="4725" spans="2:46" x14ac:dyDescent="0.35">
      <c r="B4725" t="s">
        <v>563</v>
      </c>
      <c r="C4725">
        <v>45968</v>
      </c>
      <c r="J4725">
        <v>0</v>
      </c>
      <c r="O4725" t="s">
        <v>239</v>
      </c>
      <c r="P4725" t="s">
        <v>514</v>
      </c>
      <c r="U4725">
        <v>105.66666666666652</v>
      </c>
      <c r="Y4725">
        <v>311</v>
      </c>
      <c r="Z4725" s="259" t="s">
        <v>637</v>
      </c>
      <c r="AB4725">
        <v>24951.666666666664</v>
      </c>
      <c r="AF4725">
        <v>114511.2</v>
      </c>
      <c r="AG4725">
        <v>120</v>
      </c>
      <c r="AI4725">
        <v>114534.6</v>
      </c>
      <c r="AJ4725">
        <v>0</v>
      </c>
      <c r="AK4725">
        <v>0</v>
      </c>
      <c r="AL4725">
        <v>0</v>
      </c>
      <c r="AM4725">
        <v>90304</v>
      </c>
      <c r="AN4725">
        <v>24087.200000000001</v>
      </c>
      <c r="AO4725">
        <v>114511.2</v>
      </c>
      <c r="AP4725">
        <v>0</v>
      </c>
      <c r="AQ4725">
        <v>-23.400000000008731</v>
      </c>
      <c r="AR4725">
        <v>-2.0430507462376735E-4</v>
      </c>
      <c r="AS4725" t="s">
        <v>239</v>
      </c>
      <c r="AT4725" t="s">
        <v>514</v>
      </c>
    </row>
    <row r="4726" spans="2:46" x14ac:dyDescent="0.35">
      <c r="B4726" t="s">
        <v>563</v>
      </c>
      <c r="C4726">
        <v>45969</v>
      </c>
      <c r="J4726">
        <v>0</v>
      </c>
      <c r="O4726" t="s">
        <v>239</v>
      </c>
      <c r="P4726" t="s">
        <v>514</v>
      </c>
      <c r="U4726">
        <v>105.66666666666652</v>
      </c>
      <c r="Y4726">
        <v>312</v>
      </c>
      <c r="Z4726" s="259" t="s">
        <v>637</v>
      </c>
      <c r="AB4726">
        <v>24951.666666666664</v>
      </c>
      <c r="AF4726">
        <v>114511.2</v>
      </c>
      <c r="AG4726">
        <v>120</v>
      </c>
      <c r="AI4726">
        <v>114511.2</v>
      </c>
      <c r="AJ4726">
        <v>0</v>
      </c>
      <c r="AK4726">
        <v>0</v>
      </c>
      <c r="AL4726">
        <v>0</v>
      </c>
      <c r="AM4726">
        <v>90304</v>
      </c>
      <c r="AN4726">
        <v>24087.200000000001</v>
      </c>
      <c r="AO4726">
        <v>114511.2</v>
      </c>
      <c r="AP4726">
        <v>0</v>
      </c>
      <c r="AQ4726">
        <v>0</v>
      </c>
      <c r="AR4726">
        <v>0</v>
      </c>
      <c r="AS4726" t="s">
        <v>239</v>
      </c>
      <c r="AT4726" t="s">
        <v>514</v>
      </c>
    </row>
    <row r="4727" spans="2:46" x14ac:dyDescent="0.35">
      <c r="B4727" t="s">
        <v>563</v>
      </c>
      <c r="C4727">
        <v>45970</v>
      </c>
      <c r="J4727">
        <v>0</v>
      </c>
      <c r="O4727" t="s">
        <v>239</v>
      </c>
      <c r="P4727" t="s">
        <v>514</v>
      </c>
      <c r="U4727">
        <v>105.66666666666652</v>
      </c>
      <c r="Y4727">
        <v>313</v>
      </c>
      <c r="Z4727" s="259" t="s">
        <v>637</v>
      </c>
      <c r="AB4727">
        <v>24951.666666666664</v>
      </c>
      <c r="AF4727">
        <v>114511.2</v>
      </c>
      <c r="AG4727">
        <v>120</v>
      </c>
      <c r="AI4727">
        <v>114511.2</v>
      </c>
      <c r="AJ4727">
        <v>0</v>
      </c>
      <c r="AK4727">
        <v>0</v>
      </c>
      <c r="AL4727">
        <v>0</v>
      </c>
      <c r="AM4727">
        <v>90304</v>
      </c>
      <c r="AN4727">
        <v>24087.200000000001</v>
      </c>
      <c r="AO4727">
        <v>114511.2</v>
      </c>
      <c r="AP4727">
        <v>0</v>
      </c>
      <c r="AQ4727">
        <v>0</v>
      </c>
      <c r="AR4727">
        <v>0</v>
      </c>
      <c r="AS4727" t="s">
        <v>239</v>
      </c>
      <c r="AT4727" t="s">
        <v>514</v>
      </c>
    </row>
    <row r="4728" spans="2:46" x14ac:dyDescent="0.35">
      <c r="B4728" t="s">
        <v>563</v>
      </c>
      <c r="C4728">
        <v>45971</v>
      </c>
      <c r="J4728">
        <v>8</v>
      </c>
      <c r="O4728" t="s">
        <v>239</v>
      </c>
      <c r="P4728" t="s">
        <v>514</v>
      </c>
      <c r="U4728">
        <v>-210.33333333333348</v>
      </c>
      <c r="Y4728">
        <v>314</v>
      </c>
      <c r="Z4728" s="259" t="s">
        <v>637</v>
      </c>
      <c r="AB4728">
        <v>16943.666666666664</v>
      </c>
      <c r="AF4728">
        <v>114459.1</v>
      </c>
      <c r="AG4728">
        <v>120</v>
      </c>
      <c r="AI4728">
        <v>114511.2</v>
      </c>
      <c r="AJ4728">
        <v>0</v>
      </c>
      <c r="AK4728">
        <v>0</v>
      </c>
      <c r="AL4728">
        <v>0</v>
      </c>
      <c r="AM4728">
        <v>97996</v>
      </c>
      <c r="AN4728">
        <v>16343.099999999999</v>
      </c>
      <c r="AO4728">
        <v>114459.1</v>
      </c>
      <c r="AP4728">
        <v>0</v>
      </c>
      <c r="AQ4728">
        <v>-52.099999999991269</v>
      </c>
      <c r="AR4728">
        <v>-4.5497732972832328E-4</v>
      </c>
      <c r="AS4728" t="s">
        <v>239</v>
      </c>
      <c r="AT4728" t="s">
        <v>514</v>
      </c>
    </row>
    <row r="4729" spans="2:46" x14ac:dyDescent="0.35">
      <c r="B4729" t="s">
        <v>563</v>
      </c>
      <c r="C4729">
        <v>45972</v>
      </c>
      <c r="J4729">
        <v>0</v>
      </c>
      <c r="O4729" t="s">
        <v>239</v>
      </c>
      <c r="P4729" t="s">
        <v>514</v>
      </c>
      <c r="U4729">
        <v>-210.33333333333348</v>
      </c>
      <c r="Y4729">
        <v>315</v>
      </c>
      <c r="Z4729" s="259" t="s">
        <v>637</v>
      </c>
      <c r="AB4729">
        <v>16943.666666666664</v>
      </c>
      <c r="AF4729">
        <v>114425.7</v>
      </c>
      <c r="AG4729">
        <v>120</v>
      </c>
      <c r="AI4729">
        <v>114459.1</v>
      </c>
      <c r="AJ4729">
        <v>0</v>
      </c>
      <c r="AK4729">
        <v>0</v>
      </c>
      <c r="AL4729">
        <v>0</v>
      </c>
      <c r="AM4729">
        <v>97996</v>
      </c>
      <c r="AN4729">
        <v>16309.7</v>
      </c>
      <c r="AO4729">
        <v>114425.7</v>
      </c>
      <c r="AP4729">
        <v>0</v>
      </c>
      <c r="AQ4729">
        <v>-33.400000000008731</v>
      </c>
      <c r="AR4729">
        <v>-2.918072918624004E-4</v>
      </c>
      <c r="AS4729" t="s">
        <v>239</v>
      </c>
      <c r="AT4729" t="s">
        <v>514</v>
      </c>
    </row>
    <row r="4730" spans="2:46" x14ac:dyDescent="0.35">
      <c r="B4730" t="s">
        <v>563</v>
      </c>
      <c r="C4730">
        <v>45973</v>
      </c>
      <c r="J4730">
        <v>0</v>
      </c>
      <c r="O4730" t="s">
        <v>239</v>
      </c>
      <c r="P4730" t="s">
        <v>514</v>
      </c>
      <c r="U4730">
        <v>-210.33333333333348</v>
      </c>
      <c r="Y4730">
        <v>316</v>
      </c>
      <c r="Z4730" s="259" t="s">
        <v>637</v>
      </c>
      <c r="AB4730">
        <v>16943.666666666664</v>
      </c>
      <c r="AF4730">
        <v>114390.1</v>
      </c>
      <c r="AG4730">
        <v>120</v>
      </c>
      <c r="AI4730">
        <v>114425.7</v>
      </c>
      <c r="AJ4730">
        <v>0</v>
      </c>
      <c r="AK4730">
        <v>0</v>
      </c>
      <c r="AL4730">
        <v>0</v>
      </c>
      <c r="AM4730">
        <v>97996</v>
      </c>
      <c r="AN4730">
        <v>16274.100000000002</v>
      </c>
      <c r="AO4730">
        <v>114390.1</v>
      </c>
      <c r="AP4730">
        <v>0</v>
      </c>
      <c r="AQ4730">
        <v>-35.599999999991269</v>
      </c>
      <c r="AR4730">
        <v>-3.1111891821500315E-4</v>
      </c>
      <c r="AS4730" t="s">
        <v>239</v>
      </c>
      <c r="AT4730" t="s">
        <v>514</v>
      </c>
    </row>
    <row r="4731" spans="2:46" x14ac:dyDescent="0.35">
      <c r="B4731" t="s">
        <v>563</v>
      </c>
      <c r="C4731">
        <v>45974</v>
      </c>
      <c r="J4731">
        <v>0</v>
      </c>
      <c r="O4731" t="s">
        <v>239</v>
      </c>
      <c r="P4731" t="s">
        <v>514</v>
      </c>
      <c r="U4731">
        <v>-210.33333333333348</v>
      </c>
      <c r="Y4731">
        <v>317</v>
      </c>
      <c r="Z4731" s="259" t="s">
        <v>637</v>
      </c>
      <c r="AB4731">
        <v>16943.666666666664</v>
      </c>
      <c r="AF4731">
        <v>114356.7</v>
      </c>
      <c r="AG4731">
        <v>120</v>
      </c>
      <c r="AI4731">
        <v>114390.1</v>
      </c>
      <c r="AJ4731">
        <v>0</v>
      </c>
      <c r="AK4731">
        <v>0</v>
      </c>
      <c r="AL4731">
        <v>0</v>
      </c>
      <c r="AM4731">
        <v>97996</v>
      </c>
      <c r="AN4731">
        <v>16240.699999999999</v>
      </c>
      <c r="AO4731">
        <v>114356.7</v>
      </c>
      <c r="AP4731">
        <v>0</v>
      </c>
      <c r="AQ4731">
        <v>-33.400000000008731</v>
      </c>
      <c r="AR4731">
        <v>-2.9198330974455899E-4</v>
      </c>
      <c r="AS4731" t="s">
        <v>239</v>
      </c>
      <c r="AT4731" t="s">
        <v>514</v>
      </c>
    </row>
    <row r="4732" spans="2:46" x14ac:dyDescent="0.35">
      <c r="B4732" t="s">
        <v>563</v>
      </c>
      <c r="C4732">
        <v>45975</v>
      </c>
      <c r="J4732">
        <v>0</v>
      </c>
      <c r="O4732" t="s">
        <v>239</v>
      </c>
      <c r="P4732" t="s">
        <v>514</v>
      </c>
      <c r="U4732">
        <v>-210.33333333333348</v>
      </c>
      <c r="Y4732">
        <v>318</v>
      </c>
      <c r="Z4732" s="259" t="s">
        <v>637</v>
      </c>
      <c r="AB4732">
        <v>16943.666666666664</v>
      </c>
      <c r="AF4732">
        <v>114323.3</v>
      </c>
      <c r="AG4732">
        <v>120</v>
      </c>
      <c r="AI4732">
        <v>114356.7</v>
      </c>
      <c r="AJ4732">
        <v>0</v>
      </c>
      <c r="AK4732">
        <v>0</v>
      </c>
      <c r="AL4732">
        <v>0</v>
      </c>
      <c r="AM4732">
        <v>97996</v>
      </c>
      <c r="AN4732">
        <v>16207.3</v>
      </c>
      <c r="AO4732">
        <v>114323.3</v>
      </c>
      <c r="AP4732">
        <v>0</v>
      </c>
      <c r="AQ4732">
        <v>-33.399999999994179</v>
      </c>
      <c r="AR4732">
        <v>-2.9206858889763154E-4</v>
      </c>
      <c r="AS4732" t="s">
        <v>239</v>
      </c>
      <c r="AT4732" t="s">
        <v>514</v>
      </c>
    </row>
    <row r="4733" spans="2:46" x14ac:dyDescent="0.35">
      <c r="B4733" t="s">
        <v>563</v>
      </c>
      <c r="C4733">
        <v>45976</v>
      </c>
      <c r="J4733">
        <v>0</v>
      </c>
      <c r="O4733" t="s">
        <v>239</v>
      </c>
      <c r="P4733" t="s">
        <v>514</v>
      </c>
      <c r="U4733">
        <v>-210.33333333333348</v>
      </c>
      <c r="Y4733">
        <v>319</v>
      </c>
      <c r="Z4733" s="259" t="s">
        <v>637</v>
      </c>
      <c r="AB4733">
        <v>16943.666666666664</v>
      </c>
      <c r="AF4733">
        <v>114323.3</v>
      </c>
      <c r="AG4733">
        <v>120</v>
      </c>
      <c r="AI4733">
        <v>114323.3</v>
      </c>
      <c r="AJ4733">
        <v>0</v>
      </c>
      <c r="AK4733">
        <v>0</v>
      </c>
      <c r="AL4733">
        <v>0</v>
      </c>
      <c r="AM4733">
        <v>97996</v>
      </c>
      <c r="AN4733">
        <v>16207.3</v>
      </c>
      <c r="AO4733">
        <v>114323.3</v>
      </c>
      <c r="AP4733">
        <v>0</v>
      </c>
      <c r="AQ4733">
        <v>0</v>
      </c>
      <c r="AR4733">
        <v>0</v>
      </c>
      <c r="AS4733" t="s">
        <v>239</v>
      </c>
      <c r="AT4733" t="s">
        <v>514</v>
      </c>
    </row>
    <row r="4734" spans="2:46" x14ac:dyDescent="0.35">
      <c r="B4734" t="s">
        <v>563</v>
      </c>
      <c r="C4734">
        <v>45977</v>
      </c>
      <c r="J4734">
        <v>0</v>
      </c>
      <c r="O4734" t="s">
        <v>239</v>
      </c>
      <c r="P4734" t="s">
        <v>514</v>
      </c>
      <c r="U4734">
        <v>-210.33333333333348</v>
      </c>
      <c r="Y4734">
        <v>320</v>
      </c>
      <c r="Z4734" s="259" t="s">
        <v>637</v>
      </c>
      <c r="AB4734">
        <v>16943.666666666664</v>
      </c>
      <c r="AF4734">
        <v>114323.3</v>
      </c>
      <c r="AG4734">
        <v>120</v>
      </c>
      <c r="AI4734">
        <v>114323.3</v>
      </c>
      <c r="AJ4734">
        <v>0</v>
      </c>
      <c r="AK4734">
        <v>0</v>
      </c>
      <c r="AL4734">
        <v>0</v>
      </c>
      <c r="AM4734">
        <v>97996</v>
      </c>
      <c r="AN4734">
        <v>16207.3</v>
      </c>
      <c r="AO4734">
        <v>114323.3</v>
      </c>
      <c r="AP4734">
        <v>0</v>
      </c>
      <c r="AQ4734">
        <v>0</v>
      </c>
      <c r="AR4734">
        <v>0</v>
      </c>
      <c r="AS4734" t="s">
        <v>239</v>
      </c>
      <c r="AT4734" t="s">
        <v>514</v>
      </c>
    </row>
    <row r="4735" spans="2:46" x14ac:dyDescent="0.35">
      <c r="B4735" t="s">
        <v>563</v>
      </c>
      <c r="C4735">
        <v>45978</v>
      </c>
      <c r="J4735">
        <v>0</v>
      </c>
      <c r="O4735" t="s">
        <v>239</v>
      </c>
      <c r="P4735" t="s">
        <v>514</v>
      </c>
      <c r="U4735">
        <v>-210.33333333333348</v>
      </c>
      <c r="Y4735">
        <v>321</v>
      </c>
      <c r="Z4735" s="259" t="s">
        <v>637</v>
      </c>
      <c r="AB4735">
        <v>16943.666666666664</v>
      </c>
      <c r="AF4735">
        <v>114218.7</v>
      </c>
      <c r="AG4735">
        <v>120</v>
      </c>
      <c r="AI4735">
        <v>114323.3</v>
      </c>
      <c r="AJ4735">
        <v>0</v>
      </c>
      <c r="AK4735">
        <v>0</v>
      </c>
      <c r="AL4735">
        <v>0</v>
      </c>
      <c r="AM4735">
        <v>97996</v>
      </c>
      <c r="AN4735">
        <v>16102.7</v>
      </c>
      <c r="AO4735">
        <v>114218.7</v>
      </c>
      <c r="AP4735">
        <v>0</v>
      </c>
      <c r="AQ4735">
        <v>-104.60000000000582</v>
      </c>
      <c r="AR4735">
        <v>-9.149490961161133E-4</v>
      </c>
      <c r="AS4735" t="s">
        <v>239</v>
      </c>
      <c r="AT4735" t="s">
        <v>514</v>
      </c>
    </row>
    <row r="4736" spans="2:46" x14ac:dyDescent="0.35">
      <c r="B4736" t="s">
        <v>563</v>
      </c>
      <c r="C4736">
        <v>45979</v>
      </c>
      <c r="J4736">
        <v>0</v>
      </c>
      <c r="O4736" t="s">
        <v>239</v>
      </c>
      <c r="P4736" t="s">
        <v>514</v>
      </c>
      <c r="U4736">
        <v>-210.33333333333348</v>
      </c>
      <c r="Y4736">
        <v>322</v>
      </c>
      <c r="Z4736" s="259" t="s">
        <v>637</v>
      </c>
      <c r="AB4736">
        <v>16943.666666666664</v>
      </c>
      <c r="AF4736">
        <v>114185.3</v>
      </c>
      <c r="AG4736">
        <v>120</v>
      </c>
      <c r="AI4736">
        <v>114218.7</v>
      </c>
      <c r="AJ4736">
        <v>0</v>
      </c>
      <c r="AK4736">
        <v>0</v>
      </c>
      <c r="AL4736">
        <v>0</v>
      </c>
      <c r="AM4736">
        <v>97996</v>
      </c>
      <c r="AN4736">
        <v>16069.300000000001</v>
      </c>
      <c r="AO4736">
        <v>114185.3</v>
      </c>
      <c r="AP4736">
        <v>0</v>
      </c>
      <c r="AQ4736">
        <v>-33.399999999994179</v>
      </c>
      <c r="AR4736">
        <v>-2.9242146863861507E-4</v>
      </c>
      <c r="AS4736" t="s">
        <v>239</v>
      </c>
      <c r="AT4736" t="s">
        <v>514</v>
      </c>
    </row>
    <row r="4737" spans="2:46" x14ac:dyDescent="0.35">
      <c r="B4737" t="s">
        <v>563</v>
      </c>
      <c r="C4737">
        <v>45980</v>
      </c>
      <c r="J4737">
        <v>0</v>
      </c>
      <c r="O4737" t="s">
        <v>239</v>
      </c>
      <c r="P4737" t="s">
        <v>514</v>
      </c>
      <c r="U4737">
        <v>-210.33333333333348</v>
      </c>
      <c r="Y4737">
        <v>323</v>
      </c>
      <c r="Z4737" s="259" t="s">
        <v>637</v>
      </c>
      <c r="AB4737">
        <v>16943.666666666664</v>
      </c>
      <c r="AF4737">
        <v>114151.9</v>
      </c>
      <c r="AG4737">
        <v>120</v>
      </c>
      <c r="AI4737">
        <v>114185.3</v>
      </c>
      <c r="AJ4737">
        <v>0</v>
      </c>
      <c r="AK4737">
        <v>0</v>
      </c>
      <c r="AL4737">
        <v>0</v>
      </c>
      <c r="AM4737">
        <v>97996</v>
      </c>
      <c r="AN4737">
        <v>16035.899999999998</v>
      </c>
      <c r="AO4737">
        <v>114151.9</v>
      </c>
      <c r="AP4737">
        <v>0</v>
      </c>
      <c r="AQ4737">
        <v>-33.400000000008731</v>
      </c>
      <c r="AR4737">
        <v>-2.925070039664357E-4</v>
      </c>
      <c r="AS4737" t="s">
        <v>239</v>
      </c>
      <c r="AT4737" t="s">
        <v>514</v>
      </c>
    </row>
    <row r="4738" spans="2:46" x14ac:dyDescent="0.35">
      <c r="B4738" t="s">
        <v>563</v>
      </c>
      <c r="C4738">
        <v>45981</v>
      </c>
      <c r="J4738">
        <v>0</v>
      </c>
      <c r="O4738" t="s">
        <v>239</v>
      </c>
      <c r="P4738" t="s">
        <v>514</v>
      </c>
      <c r="U4738">
        <v>-210.33333333333348</v>
      </c>
      <c r="Y4738">
        <v>324</v>
      </c>
      <c r="Z4738" s="259" t="s">
        <v>637</v>
      </c>
      <c r="AB4738">
        <v>16943.666666666664</v>
      </c>
      <c r="AF4738">
        <v>114116.3</v>
      </c>
      <c r="AG4738">
        <v>120</v>
      </c>
      <c r="AI4738">
        <v>114151.9</v>
      </c>
      <c r="AJ4738">
        <v>0</v>
      </c>
      <c r="AK4738">
        <v>0</v>
      </c>
      <c r="AL4738">
        <v>0</v>
      </c>
      <c r="AM4738">
        <v>97996</v>
      </c>
      <c r="AN4738">
        <v>16000.3</v>
      </c>
      <c r="AO4738">
        <v>114116.3</v>
      </c>
      <c r="AP4738">
        <v>0</v>
      </c>
      <c r="AQ4738">
        <v>-35.599999999991269</v>
      </c>
      <c r="AR4738">
        <v>-3.1186515511338886E-4</v>
      </c>
      <c r="AS4738" t="s">
        <v>239</v>
      </c>
      <c r="AT4738" t="s">
        <v>514</v>
      </c>
    </row>
    <row r="4739" spans="2:46" x14ac:dyDescent="0.35">
      <c r="B4739" t="s">
        <v>563</v>
      </c>
      <c r="C4739">
        <v>45982</v>
      </c>
      <c r="J4739">
        <v>0</v>
      </c>
      <c r="O4739" t="s">
        <v>239</v>
      </c>
      <c r="P4739" t="s">
        <v>514</v>
      </c>
      <c r="U4739">
        <v>-210.33333333333348</v>
      </c>
      <c r="Y4739">
        <v>325</v>
      </c>
      <c r="Z4739" s="259" t="s">
        <v>637</v>
      </c>
      <c r="AB4739">
        <v>16943.666666666664</v>
      </c>
      <c r="AF4739">
        <v>114082.9</v>
      </c>
      <c r="AG4739">
        <v>120</v>
      </c>
      <c r="AI4739">
        <v>114116.3</v>
      </c>
      <c r="AJ4739">
        <v>0</v>
      </c>
      <c r="AK4739">
        <v>0</v>
      </c>
      <c r="AL4739">
        <v>0</v>
      </c>
      <c r="AM4739">
        <v>97996</v>
      </c>
      <c r="AN4739">
        <v>15966.900000000001</v>
      </c>
      <c r="AO4739">
        <v>114082.9</v>
      </c>
      <c r="AP4739">
        <v>0</v>
      </c>
      <c r="AQ4739">
        <v>-33.400000000008731</v>
      </c>
      <c r="AR4739">
        <v>-2.9268386724778939E-4</v>
      </c>
      <c r="AS4739" t="s">
        <v>239</v>
      </c>
      <c r="AT4739" t="s">
        <v>514</v>
      </c>
    </row>
    <row r="4740" spans="2:46" x14ac:dyDescent="0.35">
      <c r="B4740" t="s">
        <v>563</v>
      </c>
      <c r="C4740">
        <v>45983</v>
      </c>
      <c r="J4740">
        <v>0</v>
      </c>
      <c r="O4740" t="s">
        <v>239</v>
      </c>
      <c r="P4740" t="s">
        <v>514</v>
      </c>
      <c r="U4740">
        <v>-210.33333333333348</v>
      </c>
      <c r="Y4740">
        <v>326</v>
      </c>
      <c r="Z4740" s="259" t="s">
        <v>637</v>
      </c>
      <c r="AB4740">
        <v>16943.666666666664</v>
      </c>
      <c r="AF4740">
        <v>114082.9</v>
      </c>
      <c r="AG4740">
        <v>120</v>
      </c>
      <c r="AI4740">
        <v>114082.9</v>
      </c>
      <c r="AJ4740">
        <v>0</v>
      </c>
      <c r="AK4740">
        <v>0</v>
      </c>
      <c r="AL4740">
        <v>0</v>
      </c>
      <c r="AM4740">
        <v>97996</v>
      </c>
      <c r="AN4740">
        <v>15966.900000000001</v>
      </c>
      <c r="AO4740">
        <v>114082.9</v>
      </c>
      <c r="AP4740">
        <v>0</v>
      </c>
      <c r="AQ4740">
        <v>0</v>
      </c>
      <c r="AR4740">
        <v>0</v>
      </c>
      <c r="AS4740" t="s">
        <v>239</v>
      </c>
      <c r="AT4740" t="s">
        <v>514</v>
      </c>
    </row>
    <row r="4741" spans="2:46" x14ac:dyDescent="0.35">
      <c r="B4741" t="s">
        <v>563</v>
      </c>
      <c r="C4741">
        <v>45984</v>
      </c>
      <c r="J4741">
        <v>0</v>
      </c>
      <c r="O4741" t="s">
        <v>239</v>
      </c>
      <c r="P4741" t="s">
        <v>514</v>
      </c>
      <c r="U4741">
        <v>-210.33333333333348</v>
      </c>
      <c r="Y4741">
        <v>327</v>
      </c>
      <c r="Z4741" s="259" t="s">
        <v>637</v>
      </c>
      <c r="AB4741">
        <v>16943.666666666664</v>
      </c>
      <c r="AF4741">
        <v>114082.9</v>
      </c>
      <c r="AG4741">
        <v>120</v>
      </c>
      <c r="AI4741">
        <v>114082.9</v>
      </c>
      <c r="AJ4741">
        <v>0</v>
      </c>
      <c r="AK4741">
        <v>0</v>
      </c>
      <c r="AL4741">
        <v>0</v>
      </c>
      <c r="AM4741">
        <v>97996</v>
      </c>
      <c r="AN4741">
        <v>15966.900000000001</v>
      </c>
      <c r="AO4741">
        <v>114082.9</v>
      </c>
      <c r="AP4741">
        <v>0</v>
      </c>
      <c r="AQ4741">
        <v>0</v>
      </c>
      <c r="AR4741">
        <v>0</v>
      </c>
      <c r="AS4741" t="s">
        <v>239</v>
      </c>
      <c r="AT4741" t="s">
        <v>514</v>
      </c>
    </row>
    <row r="4742" spans="2:46" x14ac:dyDescent="0.35">
      <c r="B4742" t="s">
        <v>563</v>
      </c>
      <c r="C4742">
        <v>45985</v>
      </c>
      <c r="J4742">
        <v>0</v>
      </c>
      <c r="O4742" t="s">
        <v>239</v>
      </c>
      <c r="P4742" t="s">
        <v>514</v>
      </c>
      <c r="U4742">
        <v>-210.33333333333348</v>
      </c>
      <c r="Y4742">
        <v>328</v>
      </c>
      <c r="Z4742" s="259" t="s">
        <v>637</v>
      </c>
      <c r="AB4742">
        <v>16943.666666666664</v>
      </c>
      <c r="AF4742">
        <v>113980.8</v>
      </c>
      <c r="AG4742">
        <v>120</v>
      </c>
      <c r="AI4742">
        <v>114082.9</v>
      </c>
      <c r="AJ4742">
        <v>0</v>
      </c>
      <c r="AK4742">
        <v>0</v>
      </c>
      <c r="AL4742">
        <v>0</v>
      </c>
      <c r="AM4742">
        <v>97996</v>
      </c>
      <c r="AN4742">
        <v>15864.8</v>
      </c>
      <c r="AO4742">
        <v>113980.8</v>
      </c>
      <c r="AP4742">
        <v>0</v>
      </c>
      <c r="AQ4742">
        <v>-102.09999999999127</v>
      </c>
      <c r="AR4742">
        <v>-8.9496322411153351E-4</v>
      </c>
      <c r="AS4742" t="s">
        <v>239</v>
      </c>
      <c r="AT4742" t="s">
        <v>514</v>
      </c>
    </row>
    <row r="4743" spans="2:46" x14ac:dyDescent="0.35">
      <c r="B4743" t="s">
        <v>563</v>
      </c>
      <c r="C4743">
        <v>45986</v>
      </c>
      <c r="J4743">
        <v>0</v>
      </c>
      <c r="O4743" t="s">
        <v>239</v>
      </c>
      <c r="P4743" t="s">
        <v>514</v>
      </c>
      <c r="U4743">
        <v>-210.33333333333348</v>
      </c>
      <c r="Y4743">
        <v>329</v>
      </c>
      <c r="Z4743" s="259" t="s">
        <v>637</v>
      </c>
      <c r="AB4743">
        <v>16943.666666666664</v>
      </c>
      <c r="AF4743">
        <v>113947.4</v>
      </c>
      <c r="AG4743">
        <v>120</v>
      </c>
      <c r="AI4743">
        <v>113980.8</v>
      </c>
      <c r="AJ4743">
        <v>0</v>
      </c>
      <c r="AK4743">
        <v>0</v>
      </c>
      <c r="AL4743">
        <v>0</v>
      </c>
      <c r="AM4743">
        <v>97996</v>
      </c>
      <c r="AN4743">
        <v>15831.400000000001</v>
      </c>
      <c r="AO4743">
        <v>113947.4</v>
      </c>
      <c r="AP4743">
        <v>0</v>
      </c>
      <c r="AQ4743">
        <v>-33.400000000008731</v>
      </c>
      <c r="AR4743">
        <v>-2.9303180886608438E-4</v>
      </c>
      <c r="AS4743" t="s">
        <v>239</v>
      </c>
      <c r="AT4743" t="s">
        <v>514</v>
      </c>
    </row>
    <row r="4744" spans="2:46" x14ac:dyDescent="0.35">
      <c r="B4744" t="s">
        <v>563</v>
      </c>
      <c r="C4744">
        <v>45987</v>
      </c>
      <c r="J4744">
        <v>0</v>
      </c>
      <c r="O4744" t="s">
        <v>239</v>
      </c>
      <c r="P4744" t="s">
        <v>514</v>
      </c>
      <c r="U4744">
        <v>-210.33333333333348</v>
      </c>
      <c r="Y4744">
        <v>330</v>
      </c>
      <c r="Z4744" s="259" t="s">
        <v>637</v>
      </c>
      <c r="AB4744">
        <v>16943.666666666664</v>
      </c>
      <c r="AF4744">
        <v>113911.8</v>
      </c>
      <c r="AG4744">
        <v>120</v>
      </c>
      <c r="AI4744">
        <v>113947.4</v>
      </c>
      <c r="AJ4744">
        <v>0</v>
      </c>
      <c r="AK4744">
        <v>0</v>
      </c>
      <c r="AL4744">
        <v>0</v>
      </c>
      <c r="AM4744">
        <v>97996</v>
      </c>
      <c r="AN4744">
        <v>15795.8</v>
      </c>
      <c r="AO4744">
        <v>113911.8</v>
      </c>
      <c r="AP4744">
        <v>0</v>
      </c>
      <c r="AQ4744">
        <v>-35.599999999991269</v>
      </c>
      <c r="AR4744">
        <v>-3.1242485567894995E-4</v>
      </c>
      <c r="AS4744" t="s">
        <v>239</v>
      </c>
      <c r="AT4744" t="s">
        <v>514</v>
      </c>
    </row>
    <row r="4745" spans="2:46" x14ac:dyDescent="0.35">
      <c r="B4745" t="s">
        <v>563</v>
      </c>
      <c r="C4745">
        <v>45988</v>
      </c>
      <c r="J4745">
        <v>0</v>
      </c>
      <c r="O4745" t="s">
        <v>239</v>
      </c>
      <c r="P4745" t="s">
        <v>514</v>
      </c>
      <c r="U4745">
        <v>-210.33333333333348</v>
      </c>
      <c r="Y4745">
        <v>331</v>
      </c>
      <c r="Z4745" s="259" t="s">
        <v>637</v>
      </c>
      <c r="AB4745">
        <v>16943.666666666664</v>
      </c>
      <c r="AF4745">
        <v>113878.39999999999</v>
      </c>
      <c r="AG4745">
        <v>120</v>
      </c>
      <c r="AI4745">
        <v>113911.8</v>
      </c>
      <c r="AJ4745">
        <v>0</v>
      </c>
      <c r="AK4745">
        <v>0</v>
      </c>
      <c r="AL4745">
        <v>0</v>
      </c>
      <c r="AM4745">
        <v>97996</v>
      </c>
      <c r="AN4745">
        <v>15762.400000000001</v>
      </c>
      <c r="AO4745">
        <v>113878.39999999999</v>
      </c>
      <c r="AP4745">
        <v>0</v>
      </c>
      <c r="AQ4745">
        <v>-33.400000000008731</v>
      </c>
      <c r="AR4745">
        <v>-2.9320930755205588E-4</v>
      </c>
      <c r="AS4745" t="s">
        <v>239</v>
      </c>
      <c r="AT4745" t="s">
        <v>514</v>
      </c>
    </row>
    <row r="4746" spans="2:46" x14ac:dyDescent="0.35">
      <c r="B4746" t="s">
        <v>563</v>
      </c>
      <c r="C4746">
        <v>45989</v>
      </c>
      <c r="J4746">
        <v>0</v>
      </c>
      <c r="O4746" t="s">
        <v>239</v>
      </c>
      <c r="P4746" t="s">
        <v>514</v>
      </c>
      <c r="U4746">
        <v>-210.33333333333348</v>
      </c>
      <c r="Y4746">
        <v>332</v>
      </c>
      <c r="Z4746" s="259" t="s">
        <v>637</v>
      </c>
      <c r="AB4746">
        <v>16943.666666666664</v>
      </c>
      <c r="AF4746">
        <v>113845</v>
      </c>
      <c r="AG4746">
        <v>120</v>
      </c>
      <c r="AI4746">
        <v>113878.39999999999</v>
      </c>
      <c r="AJ4746">
        <v>0</v>
      </c>
      <c r="AK4746">
        <v>0</v>
      </c>
      <c r="AL4746">
        <v>0</v>
      </c>
      <c r="AM4746">
        <v>97996</v>
      </c>
      <c r="AN4746">
        <v>15729</v>
      </c>
      <c r="AO4746">
        <v>113845</v>
      </c>
      <c r="AP4746">
        <v>0</v>
      </c>
      <c r="AQ4746">
        <v>-33.399999999994179</v>
      </c>
      <c r="AR4746">
        <v>-2.93295304465091E-4</v>
      </c>
      <c r="AS4746" t="s">
        <v>239</v>
      </c>
      <c r="AT4746" t="s">
        <v>514</v>
      </c>
    </row>
    <row r="4747" spans="2:46" x14ac:dyDescent="0.35">
      <c r="B4747" t="s">
        <v>563</v>
      </c>
      <c r="C4747">
        <v>45990</v>
      </c>
      <c r="J4747">
        <v>0</v>
      </c>
      <c r="O4747" t="s">
        <v>239</v>
      </c>
      <c r="P4747" t="s">
        <v>514</v>
      </c>
      <c r="U4747">
        <v>-210.33333333333348</v>
      </c>
      <c r="Y4747">
        <v>333</v>
      </c>
      <c r="Z4747" s="259" t="s">
        <v>637</v>
      </c>
      <c r="AB4747">
        <v>16943.666666666664</v>
      </c>
      <c r="AF4747">
        <v>113845</v>
      </c>
      <c r="AG4747">
        <v>120</v>
      </c>
      <c r="AI4747">
        <v>113845</v>
      </c>
      <c r="AJ4747">
        <v>0</v>
      </c>
      <c r="AK4747">
        <v>0</v>
      </c>
      <c r="AL4747">
        <v>0</v>
      </c>
      <c r="AM4747">
        <v>97996</v>
      </c>
      <c r="AN4747">
        <v>15729</v>
      </c>
      <c r="AO4747">
        <v>113845</v>
      </c>
      <c r="AP4747">
        <v>0</v>
      </c>
      <c r="AQ4747">
        <v>0</v>
      </c>
      <c r="AR4747">
        <v>0</v>
      </c>
      <c r="AS4747" t="s">
        <v>239</v>
      </c>
      <c r="AT4747" t="s">
        <v>514</v>
      </c>
    </row>
    <row r="4748" spans="2:46" x14ac:dyDescent="0.35">
      <c r="B4748" t="s">
        <v>563</v>
      </c>
      <c r="C4748">
        <v>45991</v>
      </c>
      <c r="J4748">
        <v>0</v>
      </c>
      <c r="O4748" t="s">
        <v>239</v>
      </c>
      <c r="P4748" t="s">
        <v>514</v>
      </c>
      <c r="U4748">
        <v>-210.33333333333348</v>
      </c>
      <c r="Y4748">
        <v>334</v>
      </c>
      <c r="Z4748" s="259" t="s">
        <v>637</v>
      </c>
      <c r="AB4748">
        <v>16943.666666666664</v>
      </c>
      <c r="AF4748">
        <v>113845</v>
      </c>
      <c r="AG4748">
        <v>120</v>
      </c>
      <c r="AI4748">
        <v>113845</v>
      </c>
      <c r="AJ4748">
        <v>0</v>
      </c>
      <c r="AK4748">
        <v>0</v>
      </c>
      <c r="AL4748">
        <v>0</v>
      </c>
      <c r="AM4748">
        <v>97996</v>
      </c>
      <c r="AN4748">
        <v>15729</v>
      </c>
      <c r="AO4748">
        <v>113845</v>
      </c>
      <c r="AP4748">
        <v>0</v>
      </c>
      <c r="AQ4748">
        <v>0</v>
      </c>
      <c r="AR4748">
        <v>0</v>
      </c>
      <c r="AS4748" t="s">
        <v>239</v>
      </c>
      <c r="AT4748" t="s">
        <v>514</v>
      </c>
    </row>
    <row r="4749" spans="2:46" x14ac:dyDescent="0.35">
      <c r="B4749" t="s">
        <v>563</v>
      </c>
      <c r="C4749">
        <v>45992</v>
      </c>
      <c r="J4749">
        <v>0</v>
      </c>
      <c r="O4749" t="s">
        <v>239</v>
      </c>
      <c r="P4749" t="s">
        <v>514</v>
      </c>
      <c r="U4749">
        <v>-210.33333333333348</v>
      </c>
      <c r="Y4749">
        <v>335</v>
      </c>
      <c r="Z4749" s="259" t="s">
        <v>637</v>
      </c>
      <c r="AB4749">
        <v>16943.666666666664</v>
      </c>
      <c r="AF4749">
        <v>113776</v>
      </c>
      <c r="AG4749">
        <v>120</v>
      </c>
      <c r="AI4749">
        <v>113845</v>
      </c>
      <c r="AJ4749">
        <v>0</v>
      </c>
      <c r="AK4749">
        <v>0</v>
      </c>
      <c r="AL4749">
        <v>0</v>
      </c>
      <c r="AM4749">
        <v>97996</v>
      </c>
      <c r="AN4749">
        <v>15660</v>
      </c>
      <c r="AO4749">
        <v>113776</v>
      </c>
      <c r="AP4749">
        <v>0</v>
      </c>
      <c r="AQ4749">
        <v>-69</v>
      </c>
      <c r="AR4749">
        <v>-6.0608722385702141E-4</v>
      </c>
      <c r="AS4749" t="s">
        <v>239</v>
      </c>
      <c r="AT4749" t="s">
        <v>514</v>
      </c>
    </row>
    <row r="4750" spans="2:46" x14ac:dyDescent="0.35">
      <c r="B4750" t="s">
        <v>563</v>
      </c>
      <c r="C4750">
        <v>45993</v>
      </c>
      <c r="J4750">
        <v>0</v>
      </c>
      <c r="O4750" t="s">
        <v>239</v>
      </c>
      <c r="P4750" t="s">
        <v>514</v>
      </c>
      <c r="U4750">
        <v>-210.33333333333348</v>
      </c>
      <c r="Y4750">
        <v>336</v>
      </c>
      <c r="Z4750" s="259" t="s">
        <v>637</v>
      </c>
      <c r="AB4750">
        <v>16943.666666666664</v>
      </c>
      <c r="AF4750">
        <v>113770.7</v>
      </c>
      <c r="AG4750">
        <v>120</v>
      </c>
      <c r="AI4750">
        <v>113776</v>
      </c>
      <c r="AJ4750">
        <v>0</v>
      </c>
      <c r="AK4750">
        <v>0</v>
      </c>
      <c r="AL4750">
        <v>0</v>
      </c>
      <c r="AM4750">
        <v>97996</v>
      </c>
      <c r="AN4750">
        <v>15654.699999999999</v>
      </c>
      <c r="AO4750">
        <v>113770.7</v>
      </c>
      <c r="AP4750">
        <v>0</v>
      </c>
      <c r="AQ4750">
        <v>-5.3000000000029104</v>
      </c>
      <c r="AR4750">
        <v>-4.6582759105628924E-5</v>
      </c>
      <c r="AS4750" t="s">
        <v>239</v>
      </c>
      <c r="AT4750" t="s">
        <v>514</v>
      </c>
    </row>
    <row r="4751" spans="2:46" x14ac:dyDescent="0.35">
      <c r="B4751" t="s">
        <v>563</v>
      </c>
      <c r="C4751">
        <v>45994</v>
      </c>
      <c r="J4751">
        <v>0</v>
      </c>
      <c r="O4751" t="s">
        <v>239</v>
      </c>
      <c r="P4751" t="s">
        <v>514</v>
      </c>
      <c r="U4751">
        <v>-210.33333333333348</v>
      </c>
      <c r="Y4751">
        <v>337</v>
      </c>
      <c r="Z4751" s="259" t="s">
        <v>637</v>
      </c>
      <c r="AB4751">
        <v>16943.666666666664</v>
      </c>
      <c r="AF4751">
        <v>113767.3</v>
      </c>
      <c r="AG4751">
        <v>120</v>
      </c>
      <c r="AI4751">
        <v>113770.7</v>
      </c>
      <c r="AJ4751">
        <v>0</v>
      </c>
      <c r="AK4751">
        <v>0</v>
      </c>
      <c r="AL4751">
        <v>0</v>
      </c>
      <c r="AM4751">
        <v>97996</v>
      </c>
      <c r="AN4751">
        <v>15651.3</v>
      </c>
      <c r="AO4751">
        <v>113767.3</v>
      </c>
      <c r="AP4751">
        <v>0</v>
      </c>
      <c r="AQ4751">
        <v>-3.3999999999941792</v>
      </c>
      <c r="AR4751">
        <v>-2.9884671536639651E-5</v>
      </c>
      <c r="AS4751" t="s">
        <v>239</v>
      </c>
      <c r="AT4751" t="s">
        <v>514</v>
      </c>
    </row>
    <row r="4752" spans="2:46" x14ac:dyDescent="0.35">
      <c r="B4752" t="s">
        <v>563</v>
      </c>
      <c r="C4752">
        <v>45995</v>
      </c>
      <c r="J4752">
        <v>0</v>
      </c>
      <c r="O4752" t="s">
        <v>239</v>
      </c>
      <c r="P4752" t="s">
        <v>514</v>
      </c>
      <c r="U4752">
        <v>-210.33333333333348</v>
      </c>
      <c r="Y4752">
        <v>338</v>
      </c>
      <c r="Z4752" s="259" t="s">
        <v>637</v>
      </c>
      <c r="AB4752">
        <v>16943.666666666664</v>
      </c>
      <c r="AF4752">
        <v>113762</v>
      </c>
      <c r="AG4752">
        <v>120</v>
      </c>
      <c r="AI4752">
        <v>113767.3</v>
      </c>
      <c r="AJ4752">
        <v>0</v>
      </c>
      <c r="AK4752">
        <v>0</v>
      </c>
      <c r="AL4752">
        <v>0</v>
      </c>
      <c r="AM4752">
        <v>97996</v>
      </c>
      <c r="AN4752">
        <v>15646</v>
      </c>
      <c r="AO4752">
        <v>113762</v>
      </c>
      <c r="AP4752">
        <v>0</v>
      </c>
      <c r="AQ4752">
        <v>-5.3000000000029104</v>
      </c>
      <c r="AR4752">
        <v>-4.6586321377106721E-5</v>
      </c>
      <c r="AS4752" t="s">
        <v>239</v>
      </c>
      <c r="AT4752" t="s">
        <v>514</v>
      </c>
    </row>
    <row r="4753" spans="2:46" x14ac:dyDescent="0.35">
      <c r="B4753" t="s">
        <v>563</v>
      </c>
      <c r="C4753">
        <v>45996</v>
      </c>
      <c r="J4753">
        <v>0</v>
      </c>
      <c r="O4753" t="s">
        <v>239</v>
      </c>
      <c r="P4753" t="s">
        <v>514</v>
      </c>
      <c r="U4753">
        <v>-210.33333333333348</v>
      </c>
      <c r="Y4753">
        <v>339</v>
      </c>
      <c r="Z4753" s="259" t="s">
        <v>637</v>
      </c>
      <c r="AB4753">
        <v>16943.666666666664</v>
      </c>
      <c r="AF4753">
        <v>113756.7</v>
      </c>
      <c r="AG4753">
        <v>120</v>
      </c>
      <c r="AI4753">
        <v>113762</v>
      </c>
      <c r="AJ4753">
        <v>0</v>
      </c>
      <c r="AK4753">
        <v>0</v>
      </c>
      <c r="AL4753">
        <v>0</v>
      </c>
      <c r="AM4753">
        <v>97996</v>
      </c>
      <c r="AN4753">
        <v>15640.7</v>
      </c>
      <c r="AO4753">
        <v>113756.7</v>
      </c>
      <c r="AP4753">
        <v>0</v>
      </c>
      <c r="AQ4753">
        <v>-5.3000000000029104</v>
      </c>
      <c r="AR4753">
        <v>-4.6588491763532858E-5</v>
      </c>
      <c r="AS4753" t="s">
        <v>239</v>
      </c>
      <c r="AT4753" t="s">
        <v>514</v>
      </c>
    </row>
    <row r="4754" spans="2:46" x14ac:dyDescent="0.35">
      <c r="B4754" t="s">
        <v>563</v>
      </c>
      <c r="C4754">
        <v>45997</v>
      </c>
      <c r="J4754">
        <v>0</v>
      </c>
      <c r="O4754" t="s">
        <v>239</v>
      </c>
      <c r="P4754" t="s">
        <v>514</v>
      </c>
      <c r="U4754">
        <v>-210.33333333333348</v>
      </c>
      <c r="Y4754">
        <v>340</v>
      </c>
      <c r="Z4754" s="259" t="s">
        <v>637</v>
      </c>
      <c r="AB4754">
        <v>16943.666666666664</v>
      </c>
      <c r="AF4754">
        <v>113756.7</v>
      </c>
      <c r="AG4754">
        <v>120</v>
      </c>
      <c r="AI4754">
        <v>113756.7</v>
      </c>
      <c r="AJ4754">
        <v>0</v>
      </c>
      <c r="AK4754">
        <v>0</v>
      </c>
      <c r="AL4754">
        <v>0</v>
      </c>
      <c r="AM4754">
        <v>97996</v>
      </c>
      <c r="AN4754">
        <v>15640.7</v>
      </c>
      <c r="AO4754">
        <v>113756.7</v>
      </c>
      <c r="AP4754">
        <v>0</v>
      </c>
      <c r="AQ4754">
        <v>0</v>
      </c>
      <c r="AR4754">
        <v>0</v>
      </c>
      <c r="AS4754" t="s">
        <v>239</v>
      </c>
      <c r="AT4754" t="s">
        <v>514</v>
      </c>
    </row>
    <row r="4755" spans="2:46" x14ac:dyDescent="0.35">
      <c r="B4755" t="s">
        <v>563</v>
      </c>
      <c r="C4755">
        <v>45998</v>
      </c>
      <c r="J4755">
        <v>0</v>
      </c>
      <c r="O4755" t="s">
        <v>239</v>
      </c>
      <c r="P4755" t="s">
        <v>514</v>
      </c>
      <c r="U4755">
        <v>-210.33333333333348</v>
      </c>
      <c r="Y4755">
        <v>341</v>
      </c>
      <c r="Z4755" s="259" t="s">
        <v>637</v>
      </c>
      <c r="AB4755">
        <v>16943.666666666664</v>
      </c>
      <c r="AF4755">
        <v>113756.7</v>
      </c>
      <c r="AG4755">
        <v>120</v>
      </c>
      <c r="AI4755">
        <v>113756.7</v>
      </c>
      <c r="AJ4755">
        <v>0</v>
      </c>
      <c r="AK4755">
        <v>0</v>
      </c>
      <c r="AL4755">
        <v>0</v>
      </c>
      <c r="AM4755">
        <v>97996</v>
      </c>
      <c r="AN4755">
        <v>15640.7</v>
      </c>
      <c r="AO4755">
        <v>113756.7</v>
      </c>
      <c r="AP4755">
        <v>0</v>
      </c>
      <c r="AQ4755">
        <v>0</v>
      </c>
      <c r="AR4755">
        <v>0</v>
      </c>
      <c r="AS4755" t="s">
        <v>239</v>
      </c>
      <c r="AT4755" t="s">
        <v>514</v>
      </c>
    </row>
    <row r="4756" spans="2:46" x14ac:dyDescent="0.35">
      <c r="B4756" t="s">
        <v>563</v>
      </c>
      <c r="C4756">
        <v>45999</v>
      </c>
      <c r="J4756">
        <v>0</v>
      </c>
      <c r="O4756" t="s">
        <v>239</v>
      </c>
      <c r="P4756" t="s">
        <v>514</v>
      </c>
      <c r="U4756">
        <v>-210.33333333333348</v>
      </c>
      <c r="Y4756">
        <v>342</v>
      </c>
      <c r="Z4756" s="259" t="s">
        <v>637</v>
      </c>
      <c r="AB4756">
        <v>16943.666666666664</v>
      </c>
      <c r="AF4756">
        <v>113742.7</v>
      </c>
      <c r="AG4756">
        <v>120</v>
      </c>
      <c r="AI4756">
        <v>113756.7</v>
      </c>
      <c r="AJ4756">
        <v>0</v>
      </c>
      <c r="AK4756">
        <v>0</v>
      </c>
      <c r="AL4756">
        <v>0</v>
      </c>
      <c r="AM4756">
        <v>97996</v>
      </c>
      <c r="AN4756">
        <v>15626.7</v>
      </c>
      <c r="AO4756">
        <v>113742.7</v>
      </c>
      <c r="AP4756">
        <v>0</v>
      </c>
      <c r="AQ4756">
        <v>-14</v>
      </c>
      <c r="AR4756">
        <v>-1.2306967413788783E-4</v>
      </c>
      <c r="AS4756" t="s">
        <v>239</v>
      </c>
      <c r="AT4756" t="s">
        <v>514</v>
      </c>
    </row>
    <row r="4757" spans="2:46" x14ac:dyDescent="0.35">
      <c r="B4757" t="s">
        <v>563</v>
      </c>
      <c r="C4757">
        <v>46000</v>
      </c>
      <c r="J4757">
        <v>0</v>
      </c>
      <c r="O4757" t="s">
        <v>239</v>
      </c>
      <c r="P4757" t="s">
        <v>514</v>
      </c>
      <c r="U4757">
        <v>-210.33333333333348</v>
      </c>
      <c r="Y4757">
        <v>343</v>
      </c>
      <c r="Z4757" s="259" t="s">
        <v>637</v>
      </c>
      <c r="AB4757">
        <v>16943.666666666664</v>
      </c>
      <c r="AF4757">
        <v>113739.3</v>
      </c>
      <c r="AG4757">
        <v>120</v>
      </c>
      <c r="AI4757">
        <v>113742.7</v>
      </c>
      <c r="AJ4757">
        <v>0</v>
      </c>
      <c r="AK4757">
        <v>0</v>
      </c>
      <c r="AL4757">
        <v>0</v>
      </c>
      <c r="AM4757">
        <v>97996</v>
      </c>
      <c r="AN4757">
        <v>15623.3</v>
      </c>
      <c r="AO4757">
        <v>113739.3</v>
      </c>
      <c r="AP4757">
        <v>0</v>
      </c>
      <c r="AQ4757">
        <v>-3.3999999999941792</v>
      </c>
      <c r="AR4757">
        <v>-2.9892028235556367E-5</v>
      </c>
      <c r="AS4757" t="s">
        <v>239</v>
      </c>
      <c r="AT4757" t="s">
        <v>514</v>
      </c>
    </row>
    <row r="4758" spans="2:46" x14ac:dyDescent="0.35">
      <c r="B4758" t="s">
        <v>563</v>
      </c>
      <c r="C4758">
        <v>46001</v>
      </c>
      <c r="J4758">
        <v>0</v>
      </c>
      <c r="O4758" t="s">
        <v>239</v>
      </c>
      <c r="P4758" t="s">
        <v>514</v>
      </c>
      <c r="U4758">
        <v>-210.33333333333348</v>
      </c>
      <c r="Y4758">
        <v>344</v>
      </c>
      <c r="Z4758" s="259" t="s">
        <v>637</v>
      </c>
      <c r="AB4758">
        <v>16943.666666666664</v>
      </c>
      <c r="AF4758">
        <v>113734</v>
      </c>
      <c r="AG4758">
        <v>120</v>
      </c>
      <c r="AI4758">
        <v>113739.3</v>
      </c>
      <c r="AJ4758">
        <v>0</v>
      </c>
      <c r="AK4758">
        <v>0</v>
      </c>
      <c r="AL4758">
        <v>0</v>
      </c>
      <c r="AM4758">
        <v>97996</v>
      </c>
      <c r="AN4758">
        <v>15618</v>
      </c>
      <c r="AO4758">
        <v>113734</v>
      </c>
      <c r="AP4758">
        <v>0</v>
      </c>
      <c r="AQ4758">
        <v>-5.3000000000029104</v>
      </c>
      <c r="AR4758">
        <v>-4.659778985804941E-5</v>
      </c>
      <c r="AS4758" t="s">
        <v>239</v>
      </c>
      <c r="AT4758" t="s">
        <v>514</v>
      </c>
    </row>
    <row r="4759" spans="2:46" x14ac:dyDescent="0.35">
      <c r="B4759" t="s">
        <v>563</v>
      </c>
      <c r="C4759">
        <v>46002</v>
      </c>
      <c r="J4759">
        <v>0</v>
      </c>
      <c r="O4759" t="s">
        <v>239</v>
      </c>
      <c r="P4759" t="s">
        <v>514</v>
      </c>
      <c r="U4759">
        <v>-210.33333333333348</v>
      </c>
      <c r="Y4759">
        <v>345</v>
      </c>
      <c r="Z4759" s="259" t="s">
        <v>637</v>
      </c>
      <c r="AB4759">
        <v>16943.666666666664</v>
      </c>
      <c r="AF4759">
        <v>113728.7</v>
      </c>
      <c r="AG4759">
        <v>120</v>
      </c>
      <c r="AI4759">
        <v>113734</v>
      </c>
      <c r="AJ4759">
        <v>0</v>
      </c>
      <c r="AK4759">
        <v>0</v>
      </c>
      <c r="AL4759">
        <v>0</v>
      </c>
      <c r="AM4759">
        <v>97996</v>
      </c>
      <c r="AN4759">
        <v>15612.7</v>
      </c>
      <c r="AO4759">
        <v>113728.7</v>
      </c>
      <c r="AP4759">
        <v>0</v>
      </c>
      <c r="AQ4759">
        <v>-5.3000000000029104</v>
      </c>
      <c r="AR4759">
        <v>-4.6599961313287253E-5</v>
      </c>
      <c r="AS4759" t="s">
        <v>239</v>
      </c>
      <c r="AT4759" t="s">
        <v>514</v>
      </c>
    </row>
    <row r="4760" spans="2:46" x14ac:dyDescent="0.35">
      <c r="B4760" t="s">
        <v>563</v>
      </c>
      <c r="C4760">
        <v>46003</v>
      </c>
      <c r="J4760">
        <v>0</v>
      </c>
      <c r="O4760" t="s">
        <v>239</v>
      </c>
      <c r="P4760" t="s">
        <v>514</v>
      </c>
      <c r="U4760">
        <v>-210.33333333333348</v>
      </c>
      <c r="Y4760">
        <v>346</v>
      </c>
      <c r="Z4760" s="259" t="s">
        <v>637</v>
      </c>
      <c r="AB4760">
        <v>16943.666666666664</v>
      </c>
      <c r="AF4760">
        <v>113725.3</v>
      </c>
      <c r="AG4760">
        <v>120</v>
      </c>
      <c r="AI4760">
        <v>113728.7</v>
      </c>
      <c r="AJ4760">
        <v>0</v>
      </c>
      <c r="AK4760">
        <v>0</v>
      </c>
      <c r="AL4760">
        <v>0</v>
      </c>
      <c r="AM4760">
        <v>97996</v>
      </c>
      <c r="AN4760">
        <v>15609.3</v>
      </c>
      <c r="AO4760">
        <v>113725.3</v>
      </c>
      <c r="AP4760">
        <v>0</v>
      </c>
      <c r="AQ4760">
        <v>-3.3999999999941792</v>
      </c>
      <c r="AR4760">
        <v>-2.9895707943539129E-5</v>
      </c>
      <c r="AS4760" t="s">
        <v>239</v>
      </c>
      <c r="AT4760" t="s">
        <v>514</v>
      </c>
    </row>
    <row r="4761" spans="2:46" x14ac:dyDescent="0.35">
      <c r="B4761" t="s">
        <v>563</v>
      </c>
      <c r="C4761">
        <v>46004</v>
      </c>
      <c r="J4761">
        <v>0</v>
      </c>
      <c r="O4761" t="s">
        <v>239</v>
      </c>
      <c r="P4761" t="s">
        <v>514</v>
      </c>
      <c r="U4761">
        <v>-210.33333333333348</v>
      </c>
      <c r="Y4761">
        <v>347</v>
      </c>
      <c r="Z4761" s="259" t="s">
        <v>637</v>
      </c>
      <c r="AB4761">
        <v>16943.666666666664</v>
      </c>
      <c r="AF4761">
        <v>113725.3</v>
      </c>
      <c r="AG4761">
        <v>120</v>
      </c>
      <c r="AI4761">
        <v>113725.3</v>
      </c>
      <c r="AJ4761">
        <v>0</v>
      </c>
      <c r="AK4761">
        <v>0</v>
      </c>
      <c r="AL4761">
        <v>0</v>
      </c>
      <c r="AM4761">
        <v>97996</v>
      </c>
      <c r="AN4761">
        <v>15609.3</v>
      </c>
      <c r="AO4761">
        <v>113725.3</v>
      </c>
      <c r="AP4761">
        <v>0</v>
      </c>
      <c r="AQ4761">
        <v>0</v>
      </c>
      <c r="AR4761">
        <v>0</v>
      </c>
      <c r="AS4761" t="s">
        <v>239</v>
      </c>
      <c r="AT4761" t="s">
        <v>514</v>
      </c>
    </row>
    <row r="4762" spans="2:46" x14ac:dyDescent="0.35">
      <c r="B4762" t="s">
        <v>563</v>
      </c>
      <c r="C4762">
        <v>46005</v>
      </c>
      <c r="J4762">
        <v>0</v>
      </c>
      <c r="O4762" t="s">
        <v>239</v>
      </c>
      <c r="P4762" t="s">
        <v>514</v>
      </c>
      <c r="U4762">
        <v>-210.33333333333348</v>
      </c>
      <c r="Y4762">
        <v>348</v>
      </c>
      <c r="Z4762" s="259" t="s">
        <v>637</v>
      </c>
      <c r="AB4762">
        <v>16943.666666666664</v>
      </c>
      <c r="AF4762">
        <v>113725.3</v>
      </c>
      <c r="AG4762">
        <v>120</v>
      </c>
      <c r="AI4762">
        <v>113725.3</v>
      </c>
      <c r="AJ4762">
        <v>0</v>
      </c>
      <c r="AK4762">
        <v>0</v>
      </c>
      <c r="AL4762">
        <v>0</v>
      </c>
      <c r="AM4762">
        <v>97996</v>
      </c>
      <c r="AN4762">
        <v>15609.3</v>
      </c>
      <c r="AO4762">
        <v>113725.3</v>
      </c>
      <c r="AP4762">
        <v>0</v>
      </c>
      <c r="AQ4762">
        <v>0</v>
      </c>
      <c r="AR4762">
        <v>0</v>
      </c>
      <c r="AS4762" t="s">
        <v>239</v>
      </c>
      <c r="AT4762" t="s">
        <v>514</v>
      </c>
    </row>
    <row r="4763" spans="2:46" x14ac:dyDescent="0.35">
      <c r="B4763" t="s">
        <v>563</v>
      </c>
      <c r="C4763">
        <v>46006</v>
      </c>
      <c r="J4763">
        <v>0</v>
      </c>
      <c r="O4763" t="s">
        <v>239</v>
      </c>
      <c r="P4763" t="s">
        <v>514</v>
      </c>
      <c r="U4763">
        <v>-210.33333333333348</v>
      </c>
      <c r="Y4763">
        <v>349</v>
      </c>
      <c r="Z4763" s="259" t="s">
        <v>637</v>
      </c>
      <c r="AB4763">
        <v>16943.666666666664</v>
      </c>
      <c r="AF4763">
        <v>113711.3</v>
      </c>
      <c r="AG4763">
        <v>0</v>
      </c>
      <c r="AI4763">
        <v>113725.3</v>
      </c>
      <c r="AJ4763">
        <v>0</v>
      </c>
      <c r="AK4763">
        <v>0</v>
      </c>
      <c r="AL4763">
        <v>0</v>
      </c>
      <c r="AM4763">
        <v>98116</v>
      </c>
      <c r="AN4763">
        <v>15595.300000000001</v>
      </c>
      <c r="AO4763">
        <v>113711.3</v>
      </c>
      <c r="AP4763">
        <v>0</v>
      </c>
      <c r="AQ4763">
        <v>-14</v>
      </c>
      <c r="AR4763">
        <v>-1.2310365415613145E-4</v>
      </c>
      <c r="AS4763" t="s">
        <v>239</v>
      </c>
      <c r="AT4763" t="s">
        <v>514</v>
      </c>
    </row>
    <row r="4764" spans="2:46" x14ac:dyDescent="0.35">
      <c r="B4764" t="s">
        <v>563</v>
      </c>
      <c r="C4764">
        <v>46007</v>
      </c>
      <c r="J4764">
        <v>0</v>
      </c>
      <c r="O4764" t="s">
        <v>239</v>
      </c>
      <c r="P4764" t="s">
        <v>514</v>
      </c>
      <c r="U4764">
        <v>-210.33333333333348</v>
      </c>
      <c r="Y4764">
        <v>350</v>
      </c>
      <c r="Z4764" s="259" t="s">
        <v>637</v>
      </c>
      <c r="AB4764">
        <v>16943.666666666664</v>
      </c>
      <c r="AF4764">
        <v>113706</v>
      </c>
      <c r="AG4764">
        <v>0</v>
      </c>
      <c r="AI4764">
        <v>113711.3</v>
      </c>
      <c r="AJ4764">
        <v>0</v>
      </c>
      <c r="AK4764">
        <v>0</v>
      </c>
      <c r="AL4764">
        <v>0</v>
      </c>
      <c r="AM4764">
        <v>98116</v>
      </c>
      <c r="AN4764">
        <v>15590</v>
      </c>
      <c r="AO4764">
        <v>113706</v>
      </c>
      <c r="AP4764">
        <v>0</v>
      </c>
      <c r="AQ4764">
        <v>-5.3000000000029104</v>
      </c>
      <c r="AR4764">
        <v>-4.6609263987029692E-5</v>
      </c>
      <c r="AS4764" t="s">
        <v>239</v>
      </c>
      <c r="AT4764" t="s">
        <v>514</v>
      </c>
    </row>
    <row r="4765" spans="2:46" x14ac:dyDescent="0.35">
      <c r="B4765" t="s">
        <v>563</v>
      </c>
      <c r="C4765">
        <v>46008</v>
      </c>
      <c r="J4765">
        <v>0</v>
      </c>
      <c r="O4765" t="s">
        <v>239</v>
      </c>
      <c r="P4765" t="s">
        <v>514</v>
      </c>
      <c r="U4765">
        <v>-210.33333333333348</v>
      </c>
      <c r="Y4765">
        <v>351</v>
      </c>
      <c r="Z4765" s="259" t="s">
        <v>637</v>
      </c>
      <c r="AB4765">
        <v>16943.666666666664</v>
      </c>
      <c r="AF4765">
        <v>113700.7</v>
      </c>
      <c r="AG4765">
        <v>0</v>
      </c>
      <c r="AI4765">
        <v>113706</v>
      </c>
      <c r="AJ4765">
        <v>0</v>
      </c>
      <c r="AK4765">
        <v>0</v>
      </c>
      <c r="AL4765">
        <v>0</v>
      </c>
      <c r="AM4765">
        <v>98116</v>
      </c>
      <c r="AN4765">
        <v>15584.699999999999</v>
      </c>
      <c r="AO4765">
        <v>113700.7</v>
      </c>
      <c r="AP4765">
        <v>0</v>
      </c>
      <c r="AQ4765">
        <v>-5.3000000000029104</v>
      </c>
      <c r="AR4765">
        <v>-4.6611436511745374E-5</v>
      </c>
      <c r="AS4765" t="s">
        <v>239</v>
      </c>
      <c r="AT4765" t="s">
        <v>514</v>
      </c>
    </row>
    <row r="4766" spans="2:46" x14ac:dyDescent="0.35">
      <c r="B4766" t="s">
        <v>563</v>
      </c>
      <c r="C4766">
        <v>46009</v>
      </c>
      <c r="J4766">
        <v>0</v>
      </c>
      <c r="O4766" t="s">
        <v>239</v>
      </c>
      <c r="P4766" t="s">
        <v>514</v>
      </c>
      <c r="U4766">
        <v>-210.33333333333348</v>
      </c>
      <c r="Y4766">
        <v>352</v>
      </c>
      <c r="Z4766" s="259" t="s">
        <v>637</v>
      </c>
      <c r="AB4766">
        <v>16943.666666666664</v>
      </c>
      <c r="AF4766">
        <v>108697.3</v>
      </c>
      <c r="AG4766">
        <v>0</v>
      </c>
      <c r="AI4766">
        <v>113700.7</v>
      </c>
      <c r="AJ4766">
        <v>0</v>
      </c>
      <c r="AK4766">
        <v>-5000</v>
      </c>
      <c r="AL4766">
        <v>-5000</v>
      </c>
      <c r="AM4766">
        <v>93116</v>
      </c>
      <c r="AN4766">
        <v>15581.3</v>
      </c>
      <c r="AO4766">
        <v>108697.3</v>
      </c>
      <c r="AP4766">
        <v>0</v>
      </c>
      <c r="AQ4766">
        <v>-3.3999999999941792</v>
      </c>
      <c r="AR4766">
        <v>-2.9903070077774707E-5</v>
      </c>
      <c r="AS4766" t="s">
        <v>239</v>
      </c>
      <c r="AT4766" t="s">
        <v>514</v>
      </c>
    </row>
    <row r="4767" spans="2:46" x14ac:dyDescent="0.35">
      <c r="B4767" t="s">
        <v>563</v>
      </c>
      <c r="C4767">
        <v>46010</v>
      </c>
      <c r="J4767">
        <v>0</v>
      </c>
      <c r="O4767" t="s">
        <v>239</v>
      </c>
      <c r="P4767" t="s">
        <v>514</v>
      </c>
      <c r="U4767">
        <v>-210.33333333333348</v>
      </c>
      <c r="Y4767">
        <v>353</v>
      </c>
      <c r="Z4767" s="259" t="s">
        <v>637</v>
      </c>
      <c r="AB4767">
        <v>16943.666666666664</v>
      </c>
      <c r="AF4767">
        <v>108692</v>
      </c>
      <c r="AG4767">
        <v>0</v>
      </c>
      <c r="AI4767">
        <v>108697.3</v>
      </c>
      <c r="AJ4767">
        <v>0</v>
      </c>
      <c r="AK4767">
        <v>0</v>
      </c>
      <c r="AL4767">
        <v>0</v>
      </c>
      <c r="AM4767">
        <v>93116</v>
      </c>
      <c r="AN4767">
        <v>15576</v>
      </c>
      <c r="AO4767">
        <v>108692</v>
      </c>
      <c r="AP4767">
        <v>0</v>
      </c>
      <c r="AQ4767">
        <v>-5.3000000000029104</v>
      </c>
      <c r="AR4767">
        <v>-4.8759260809605465E-5</v>
      </c>
      <c r="AS4767" t="s">
        <v>239</v>
      </c>
      <c r="AT4767" t="s">
        <v>514</v>
      </c>
    </row>
    <row r="4768" spans="2:46" x14ac:dyDescent="0.35">
      <c r="B4768" t="s">
        <v>563</v>
      </c>
      <c r="C4768">
        <v>46011</v>
      </c>
      <c r="J4768">
        <v>0</v>
      </c>
      <c r="O4768" t="s">
        <v>239</v>
      </c>
      <c r="P4768" t="s">
        <v>514</v>
      </c>
      <c r="U4768">
        <v>-210.33333333333348</v>
      </c>
      <c r="Y4768">
        <v>354</v>
      </c>
      <c r="Z4768" s="259" t="s">
        <v>637</v>
      </c>
      <c r="AB4768">
        <v>16943.666666666664</v>
      </c>
      <c r="AF4768">
        <v>108692</v>
      </c>
      <c r="AG4768">
        <v>0</v>
      </c>
      <c r="AI4768">
        <v>108692</v>
      </c>
      <c r="AJ4768">
        <v>0</v>
      </c>
      <c r="AK4768">
        <v>0</v>
      </c>
      <c r="AL4768">
        <v>0</v>
      </c>
      <c r="AM4768">
        <v>93116</v>
      </c>
      <c r="AN4768">
        <v>15576</v>
      </c>
      <c r="AO4768">
        <v>108692</v>
      </c>
      <c r="AP4768">
        <v>0</v>
      </c>
      <c r="AQ4768">
        <v>0</v>
      </c>
      <c r="AR4768">
        <v>0</v>
      </c>
      <c r="AS4768" t="s">
        <v>239</v>
      </c>
      <c r="AT4768" t="s">
        <v>514</v>
      </c>
    </row>
    <row r="4769" spans="2:46" x14ac:dyDescent="0.35">
      <c r="B4769" t="s">
        <v>563</v>
      </c>
      <c r="C4769">
        <v>46012</v>
      </c>
      <c r="J4769">
        <v>0</v>
      </c>
      <c r="O4769" t="s">
        <v>239</v>
      </c>
      <c r="P4769" t="s">
        <v>514</v>
      </c>
      <c r="U4769">
        <v>-210.33333333333348</v>
      </c>
      <c r="Y4769">
        <v>355</v>
      </c>
      <c r="Z4769" s="259" t="s">
        <v>637</v>
      </c>
      <c r="AB4769">
        <v>16943.666666666664</v>
      </c>
      <c r="AF4769">
        <v>108692</v>
      </c>
      <c r="AG4769">
        <v>0</v>
      </c>
      <c r="AI4769">
        <v>108692</v>
      </c>
      <c r="AJ4769">
        <v>0</v>
      </c>
      <c r="AK4769">
        <v>0</v>
      </c>
      <c r="AL4769">
        <v>0</v>
      </c>
      <c r="AM4769">
        <v>93116</v>
      </c>
      <c r="AN4769">
        <v>15576</v>
      </c>
      <c r="AO4769">
        <v>108692</v>
      </c>
      <c r="AP4769">
        <v>0</v>
      </c>
      <c r="AQ4769">
        <v>0</v>
      </c>
      <c r="AR4769">
        <v>0</v>
      </c>
      <c r="AS4769" t="s">
        <v>239</v>
      </c>
      <c r="AT4769" t="s">
        <v>514</v>
      </c>
    </row>
    <row r="4770" spans="2:46" x14ac:dyDescent="0.35">
      <c r="B4770" t="s">
        <v>563</v>
      </c>
      <c r="C4770">
        <v>46013</v>
      </c>
      <c r="J4770">
        <v>0</v>
      </c>
      <c r="O4770" t="s">
        <v>239</v>
      </c>
      <c r="P4770" t="s">
        <v>514</v>
      </c>
      <c r="U4770">
        <v>-210.33333333333348</v>
      </c>
      <c r="Y4770">
        <v>356</v>
      </c>
      <c r="Z4770" s="259" t="s">
        <v>637</v>
      </c>
      <c r="AB4770">
        <v>16943.666666666664</v>
      </c>
      <c r="AF4770">
        <v>108678</v>
      </c>
      <c r="AG4770">
        <v>0</v>
      </c>
      <c r="AI4770">
        <v>108692</v>
      </c>
      <c r="AJ4770">
        <v>0</v>
      </c>
      <c r="AK4770">
        <v>0</v>
      </c>
      <c r="AL4770">
        <v>0</v>
      </c>
      <c r="AM4770">
        <v>93116</v>
      </c>
      <c r="AN4770">
        <v>15562</v>
      </c>
      <c r="AO4770">
        <v>108678</v>
      </c>
      <c r="AP4770">
        <v>0</v>
      </c>
      <c r="AQ4770">
        <v>-14</v>
      </c>
      <c r="AR4770">
        <v>-1.2880432782536033E-4</v>
      </c>
      <c r="AS4770" t="s">
        <v>239</v>
      </c>
      <c r="AT4770" t="s">
        <v>514</v>
      </c>
    </row>
    <row r="4771" spans="2:46" x14ac:dyDescent="0.35">
      <c r="B4771" t="s">
        <v>563</v>
      </c>
      <c r="C4771">
        <v>46014</v>
      </c>
      <c r="J4771">
        <v>0</v>
      </c>
      <c r="O4771" t="s">
        <v>239</v>
      </c>
      <c r="P4771" t="s">
        <v>514</v>
      </c>
      <c r="U4771">
        <v>-210.33333333333348</v>
      </c>
      <c r="Y4771">
        <v>357</v>
      </c>
      <c r="Z4771" s="259" t="s">
        <v>637</v>
      </c>
      <c r="AB4771">
        <v>16943.666666666664</v>
      </c>
      <c r="AF4771">
        <v>108672.7</v>
      </c>
      <c r="AG4771">
        <v>0</v>
      </c>
      <c r="AI4771">
        <v>108678</v>
      </c>
      <c r="AJ4771">
        <v>0</v>
      </c>
      <c r="AK4771">
        <v>0</v>
      </c>
      <c r="AL4771">
        <v>0</v>
      </c>
      <c r="AM4771">
        <v>93116</v>
      </c>
      <c r="AN4771">
        <v>15556.7</v>
      </c>
      <c r="AO4771">
        <v>108672.7</v>
      </c>
      <c r="AP4771">
        <v>0</v>
      </c>
      <c r="AQ4771">
        <v>-5.3000000000029104</v>
      </c>
      <c r="AR4771">
        <v>-4.876791991026419E-5</v>
      </c>
      <c r="AS4771" t="s">
        <v>239</v>
      </c>
      <c r="AT4771" t="s">
        <v>514</v>
      </c>
    </row>
    <row r="4772" spans="2:46" x14ac:dyDescent="0.35">
      <c r="B4772" t="s">
        <v>563</v>
      </c>
      <c r="C4772">
        <v>46015</v>
      </c>
      <c r="J4772">
        <v>0</v>
      </c>
      <c r="O4772" t="s">
        <v>239</v>
      </c>
      <c r="P4772" t="s">
        <v>514</v>
      </c>
      <c r="U4772">
        <v>-210.33333333333348</v>
      </c>
      <c r="Y4772">
        <v>358</v>
      </c>
      <c r="Z4772" s="259" t="s">
        <v>637</v>
      </c>
      <c r="AB4772">
        <v>16943.666666666664</v>
      </c>
      <c r="AF4772">
        <v>108669.3</v>
      </c>
      <c r="AG4772">
        <v>0</v>
      </c>
      <c r="AI4772">
        <v>108672.7</v>
      </c>
      <c r="AJ4772">
        <v>0</v>
      </c>
      <c r="AK4772">
        <v>0</v>
      </c>
      <c r="AL4772">
        <v>0</v>
      </c>
      <c r="AM4772">
        <v>93116</v>
      </c>
      <c r="AN4772">
        <v>15553.3</v>
      </c>
      <c r="AO4772">
        <v>108669.3</v>
      </c>
      <c r="AP4772">
        <v>0</v>
      </c>
      <c r="AQ4772">
        <v>-3.3999999999941792</v>
      </c>
      <c r="AR4772">
        <v>-3.1286606479774548E-5</v>
      </c>
      <c r="AS4772" t="s">
        <v>239</v>
      </c>
      <c r="AT4772" t="s">
        <v>514</v>
      </c>
    </row>
    <row r="4773" spans="2:46" x14ac:dyDescent="0.35">
      <c r="B4773" t="s">
        <v>563</v>
      </c>
      <c r="C4773">
        <v>46016</v>
      </c>
      <c r="J4773">
        <v>0</v>
      </c>
      <c r="O4773" t="s">
        <v>239</v>
      </c>
      <c r="P4773" t="s">
        <v>514</v>
      </c>
      <c r="U4773">
        <v>-210.33333333333348</v>
      </c>
      <c r="Y4773">
        <v>359</v>
      </c>
      <c r="Z4773" s="259" t="s">
        <v>637</v>
      </c>
      <c r="AB4773">
        <v>16943.666666666664</v>
      </c>
      <c r="AF4773">
        <v>108664</v>
      </c>
      <c r="AG4773">
        <v>0</v>
      </c>
      <c r="AI4773">
        <v>108669.3</v>
      </c>
      <c r="AJ4773">
        <v>0</v>
      </c>
      <c r="AK4773">
        <v>0</v>
      </c>
      <c r="AL4773">
        <v>0</v>
      </c>
      <c r="AM4773">
        <v>93116</v>
      </c>
      <c r="AN4773">
        <v>15548</v>
      </c>
      <c r="AO4773">
        <v>108664</v>
      </c>
      <c r="AP4773">
        <v>0</v>
      </c>
      <c r="AQ4773">
        <v>-5.3000000000029104</v>
      </c>
      <c r="AR4773">
        <v>-4.8771824241122808E-5</v>
      </c>
      <c r="AS4773" t="s">
        <v>239</v>
      </c>
      <c r="AT4773" t="s">
        <v>514</v>
      </c>
    </row>
    <row r="4774" spans="2:46" x14ac:dyDescent="0.35">
      <c r="B4774" t="s">
        <v>563</v>
      </c>
      <c r="C4774">
        <v>46017</v>
      </c>
      <c r="J4774">
        <v>0</v>
      </c>
      <c r="O4774" t="s">
        <v>239</v>
      </c>
      <c r="P4774" t="s">
        <v>514</v>
      </c>
      <c r="U4774">
        <v>-210.33333333333348</v>
      </c>
      <c r="Y4774">
        <v>360</v>
      </c>
      <c r="Z4774" s="259" t="s">
        <v>637</v>
      </c>
      <c r="AB4774">
        <v>16943.666666666664</v>
      </c>
      <c r="AF4774">
        <v>108658.7</v>
      </c>
      <c r="AG4774">
        <v>0</v>
      </c>
      <c r="AI4774">
        <v>108664</v>
      </c>
      <c r="AJ4774">
        <v>0</v>
      </c>
      <c r="AK4774">
        <v>0</v>
      </c>
      <c r="AL4774">
        <v>0</v>
      </c>
      <c r="AM4774">
        <v>93116</v>
      </c>
      <c r="AN4774">
        <v>15542.7</v>
      </c>
      <c r="AO4774">
        <v>108658.7</v>
      </c>
      <c r="AP4774">
        <v>0</v>
      </c>
      <c r="AQ4774">
        <v>-5.3000000000029104</v>
      </c>
      <c r="AR4774">
        <v>-4.8774203047941E-5</v>
      </c>
      <c r="AS4774" t="s">
        <v>239</v>
      </c>
      <c r="AT4774" t="s">
        <v>514</v>
      </c>
    </row>
    <row r="4775" spans="2:46" x14ac:dyDescent="0.35">
      <c r="B4775" t="s">
        <v>563</v>
      </c>
      <c r="C4775">
        <v>46018</v>
      </c>
      <c r="J4775">
        <v>0</v>
      </c>
      <c r="O4775" t="s">
        <v>239</v>
      </c>
      <c r="P4775" t="s">
        <v>514</v>
      </c>
      <c r="U4775">
        <v>-210.33333333333348</v>
      </c>
      <c r="Y4775">
        <v>361</v>
      </c>
      <c r="Z4775" s="259" t="s">
        <v>637</v>
      </c>
      <c r="AB4775">
        <v>16943.666666666664</v>
      </c>
      <c r="AF4775">
        <v>108658.7</v>
      </c>
      <c r="AG4775">
        <v>0</v>
      </c>
      <c r="AI4775">
        <v>108658.7</v>
      </c>
      <c r="AJ4775">
        <v>0</v>
      </c>
      <c r="AK4775">
        <v>0</v>
      </c>
      <c r="AL4775">
        <v>0</v>
      </c>
      <c r="AM4775">
        <v>93116</v>
      </c>
      <c r="AN4775">
        <v>15542.7</v>
      </c>
      <c r="AO4775">
        <v>108658.7</v>
      </c>
      <c r="AP4775">
        <v>0</v>
      </c>
      <c r="AQ4775">
        <v>0</v>
      </c>
      <c r="AR4775">
        <v>0</v>
      </c>
      <c r="AS4775" t="s">
        <v>239</v>
      </c>
      <c r="AT4775" t="s">
        <v>514</v>
      </c>
    </row>
    <row r="4776" spans="2:46" x14ac:dyDescent="0.35">
      <c r="B4776" t="s">
        <v>563</v>
      </c>
      <c r="C4776">
        <v>46019</v>
      </c>
      <c r="J4776">
        <v>0</v>
      </c>
      <c r="O4776" t="s">
        <v>239</v>
      </c>
      <c r="P4776" t="s">
        <v>514</v>
      </c>
      <c r="U4776">
        <v>-210.33333333333348</v>
      </c>
      <c r="Y4776">
        <v>362</v>
      </c>
      <c r="Z4776" s="259" t="s">
        <v>637</v>
      </c>
      <c r="AB4776">
        <v>16943.666666666664</v>
      </c>
      <c r="AF4776">
        <v>108658.7</v>
      </c>
      <c r="AG4776">
        <v>0</v>
      </c>
      <c r="AI4776">
        <v>108658.7</v>
      </c>
      <c r="AJ4776">
        <v>0</v>
      </c>
      <c r="AK4776">
        <v>0</v>
      </c>
      <c r="AL4776">
        <v>0</v>
      </c>
      <c r="AM4776">
        <v>93116</v>
      </c>
      <c r="AN4776">
        <v>15542.7</v>
      </c>
      <c r="AO4776">
        <v>108658.7</v>
      </c>
      <c r="AP4776">
        <v>0</v>
      </c>
      <c r="AQ4776">
        <v>0</v>
      </c>
      <c r="AR4776">
        <v>0</v>
      </c>
      <c r="AS4776" t="s">
        <v>239</v>
      </c>
      <c r="AT4776" t="s">
        <v>514</v>
      </c>
    </row>
    <row r="4777" spans="2:46" x14ac:dyDescent="0.35">
      <c r="B4777" t="s">
        <v>563</v>
      </c>
      <c r="C4777">
        <v>46020</v>
      </c>
      <c r="J4777">
        <v>0</v>
      </c>
      <c r="O4777" t="s">
        <v>239</v>
      </c>
      <c r="P4777" t="s">
        <v>514</v>
      </c>
      <c r="U4777">
        <v>-210.33333333333348</v>
      </c>
      <c r="Y4777">
        <v>363</v>
      </c>
      <c r="Z4777" s="259" t="s">
        <v>637</v>
      </c>
      <c r="AB4777">
        <v>16943.666666666664</v>
      </c>
      <c r="AF4777">
        <v>108644.7</v>
      </c>
      <c r="AG4777">
        <v>0</v>
      </c>
      <c r="AI4777">
        <v>108658.7</v>
      </c>
      <c r="AJ4777">
        <v>0</v>
      </c>
      <c r="AK4777">
        <v>0</v>
      </c>
      <c r="AL4777">
        <v>0</v>
      </c>
      <c r="AM4777">
        <v>93116</v>
      </c>
      <c r="AN4777">
        <v>15528.7</v>
      </c>
      <c r="AO4777">
        <v>108644.7</v>
      </c>
      <c r="AP4777">
        <v>0</v>
      </c>
      <c r="AQ4777">
        <v>-14</v>
      </c>
      <c r="AR4777">
        <v>-1.2884380173883159E-4</v>
      </c>
      <c r="AS4777" t="s">
        <v>239</v>
      </c>
      <c r="AT4777" t="s">
        <v>514</v>
      </c>
    </row>
    <row r="4778" spans="2:46" x14ac:dyDescent="0.35">
      <c r="B4778" t="s">
        <v>563</v>
      </c>
      <c r="C4778">
        <v>46021</v>
      </c>
      <c r="J4778">
        <v>0</v>
      </c>
      <c r="O4778" t="s">
        <v>239</v>
      </c>
      <c r="P4778" t="s">
        <v>514</v>
      </c>
      <c r="U4778">
        <v>-210.33333333333348</v>
      </c>
      <c r="Y4778">
        <v>364</v>
      </c>
      <c r="Z4778" s="259" t="s">
        <v>637</v>
      </c>
      <c r="AB4778">
        <v>16943.666666666664</v>
      </c>
      <c r="AF4778">
        <v>108641.3</v>
      </c>
      <c r="AG4778">
        <v>0</v>
      </c>
      <c r="AI4778">
        <v>108644.7</v>
      </c>
      <c r="AJ4778">
        <v>0</v>
      </c>
      <c r="AK4778">
        <v>0</v>
      </c>
      <c r="AL4778">
        <v>0</v>
      </c>
      <c r="AM4778">
        <v>93116</v>
      </c>
      <c r="AN4778">
        <v>15525.300000000001</v>
      </c>
      <c r="AO4778">
        <v>108641.3</v>
      </c>
      <c r="AP4778">
        <v>0</v>
      </c>
      <c r="AQ4778">
        <v>-3.3999999999941792</v>
      </c>
      <c r="AR4778">
        <v>-3.1294669689319043E-5</v>
      </c>
      <c r="AS4778" t="s">
        <v>239</v>
      </c>
      <c r="AT4778" t="s">
        <v>514</v>
      </c>
    </row>
    <row r="4779" spans="2:46" x14ac:dyDescent="0.35">
      <c r="B4779" t="s">
        <v>563</v>
      </c>
      <c r="C4779">
        <v>46022</v>
      </c>
      <c r="J4779">
        <v>25</v>
      </c>
      <c r="O4779" t="s">
        <v>239</v>
      </c>
      <c r="P4779" t="s">
        <v>514</v>
      </c>
      <c r="U4779">
        <v>-210.33333333333348</v>
      </c>
      <c r="Y4779">
        <v>365</v>
      </c>
      <c r="Z4779" s="259" t="s">
        <v>637</v>
      </c>
      <c r="AB4779">
        <v>16943.666666666664</v>
      </c>
      <c r="AF4779">
        <v>108611</v>
      </c>
      <c r="AG4779">
        <v>0</v>
      </c>
      <c r="AI4779">
        <v>108641.3</v>
      </c>
      <c r="AJ4779">
        <v>0</v>
      </c>
      <c r="AK4779">
        <v>0</v>
      </c>
      <c r="AL4779">
        <v>0</v>
      </c>
      <c r="AM4779">
        <v>93091</v>
      </c>
      <c r="AN4779">
        <v>15520</v>
      </c>
      <c r="AO4779">
        <v>108611</v>
      </c>
      <c r="AP4779">
        <v>0</v>
      </c>
      <c r="AQ4779">
        <v>-30.30000000000291</v>
      </c>
      <c r="AR4779">
        <v>-2.7889946088643924E-4</v>
      </c>
      <c r="AS4779" t="s">
        <v>239</v>
      </c>
      <c r="AT4779" t="s">
        <v>514</v>
      </c>
    </row>
    <row r="4780" spans="2:46" x14ac:dyDescent="0.35">
      <c r="B4780" t="s">
        <v>565</v>
      </c>
      <c r="C4780">
        <v>45658</v>
      </c>
      <c r="J4780">
        <v>0</v>
      </c>
      <c r="O4780" t="s">
        <v>239</v>
      </c>
      <c r="P4780" t="s">
        <v>514</v>
      </c>
      <c r="U4780">
        <v>0</v>
      </c>
      <c r="Y4780">
        <v>366</v>
      </c>
      <c r="Z4780" s="259" t="s">
        <v>637</v>
      </c>
      <c r="AB4780">
        <v>0</v>
      </c>
      <c r="AF4780">
        <v>80000</v>
      </c>
      <c r="AG4780">
        <v>0</v>
      </c>
      <c r="AI4780">
        <v>0</v>
      </c>
      <c r="AJ4780">
        <v>80000</v>
      </c>
      <c r="AK4780">
        <v>0</v>
      </c>
      <c r="AL4780">
        <v>80000</v>
      </c>
      <c r="AM4780">
        <v>80000</v>
      </c>
      <c r="AN4780">
        <v>0</v>
      </c>
      <c r="AO4780">
        <v>80000</v>
      </c>
      <c r="AP4780">
        <v>0</v>
      </c>
      <c r="AQ4780">
        <v>0</v>
      </c>
      <c r="AR4780">
        <v>0</v>
      </c>
      <c r="AS4780" t="s">
        <v>239</v>
      </c>
      <c r="AT4780" t="s">
        <v>514</v>
      </c>
    </row>
    <row r="4781" spans="2:46" x14ac:dyDescent="0.35">
      <c r="B4781" t="s">
        <v>565</v>
      </c>
      <c r="C4781">
        <v>45659</v>
      </c>
      <c r="J4781">
        <v>28</v>
      </c>
      <c r="O4781" t="s">
        <v>239</v>
      </c>
      <c r="P4781" t="s">
        <v>514</v>
      </c>
      <c r="U4781">
        <v>0</v>
      </c>
      <c r="Y4781">
        <v>367</v>
      </c>
      <c r="Z4781" s="259" t="s">
        <v>637</v>
      </c>
      <c r="AB4781">
        <v>28028</v>
      </c>
      <c r="AF4781">
        <v>79960.600000000006</v>
      </c>
      <c r="AG4781">
        <v>0</v>
      </c>
      <c r="AI4781">
        <v>80000</v>
      </c>
      <c r="AJ4781">
        <v>0</v>
      </c>
      <c r="AK4781">
        <v>0</v>
      </c>
      <c r="AL4781">
        <v>0</v>
      </c>
      <c r="AM4781">
        <v>51972</v>
      </c>
      <c r="AN4781">
        <v>27988.6</v>
      </c>
      <c r="AO4781">
        <v>79960.600000000006</v>
      </c>
      <c r="AP4781">
        <v>0</v>
      </c>
      <c r="AQ4781">
        <v>-39.399999999994179</v>
      </c>
      <c r="AR4781">
        <v>-4.924999999998958E-4</v>
      </c>
      <c r="AS4781" t="s">
        <v>239</v>
      </c>
      <c r="AT4781" t="s">
        <v>514</v>
      </c>
    </row>
    <row r="4782" spans="2:46" x14ac:dyDescent="0.35">
      <c r="B4782" t="s">
        <v>565</v>
      </c>
      <c r="C4782">
        <v>45660</v>
      </c>
      <c r="J4782">
        <v>0</v>
      </c>
      <c r="O4782" t="s">
        <v>239</v>
      </c>
      <c r="P4782" t="s">
        <v>514</v>
      </c>
      <c r="U4782">
        <v>0</v>
      </c>
      <c r="Y4782">
        <v>368</v>
      </c>
      <c r="Z4782" s="259" t="s">
        <v>637</v>
      </c>
      <c r="AB4782">
        <v>28028</v>
      </c>
      <c r="AF4782">
        <v>79949.399999999994</v>
      </c>
      <c r="AG4782">
        <v>0</v>
      </c>
      <c r="AI4782">
        <v>79960.600000000006</v>
      </c>
      <c r="AJ4782">
        <v>0</v>
      </c>
      <c r="AK4782">
        <v>0</v>
      </c>
      <c r="AL4782">
        <v>0</v>
      </c>
      <c r="AM4782">
        <v>51972</v>
      </c>
      <c r="AN4782">
        <v>27977.4</v>
      </c>
      <c r="AO4782">
        <v>79949.399999999994</v>
      </c>
      <c r="AP4782">
        <v>0</v>
      </c>
      <c r="AQ4782">
        <v>-11.200000000011642</v>
      </c>
      <c r="AR4782">
        <v>-1.4006898397478373E-4</v>
      </c>
      <c r="AS4782" t="s">
        <v>239</v>
      </c>
      <c r="AT4782" t="s">
        <v>514</v>
      </c>
    </row>
    <row r="4783" spans="2:46" x14ac:dyDescent="0.35">
      <c r="B4783" t="s">
        <v>565</v>
      </c>
      <c r="C4783">
        <v>45661</v>
      </c>
      <c r="J4783">
        <v>0</v>
      </c>
      <c r="O4783" t="s">
        <v>239</v>
      </c>
      <c r="P4783" t="s">
        <v>514</v>
      </c>
      <c r="U4783">
        <v>0</v>
      </c>
      <c r="Y4783">
        <v>369</v>
      </c>
      <c r="Z4783" s="259" t="s">
        <v>637</v>
      </c>
      <c r="AB4783">
        <v>28028</v>
      </c>
      <c r="AF4783">
        <v>79949.399999999994</v>
      </c>
      <c r="AG4783">
        <v>0</v>
      </c>
      <c r="AI4783">
        <v>79949.399999999994</v>
      </c>
      <c r="AJ4783">
        <v>0</v>
      </c>
      <c r="AK4783">
        <v>0</v>
      </c>
      <c r="AL4783">
        <v>0</v>
      </c>
      <c r="AM4783">
        <v>51972</v>
      </c>
      <c r="AN4783">
        <v>27977.4</v>
      </c>
      <c r="AO4783">
        <v>79949.399999999994</v>
      </c>
      <c r="AP4783">
        <v>0</v>
      </c>
      <c r="AQ4783">
        <v>0</v>
      </c>
      <c r="AR4783">
        <v>0</v>
      </c>
      <c r="AS4783" t="s">
        <v>239</v>
      </c>
      <c r="AT4783" t="s">
        <v>514</v>
      </c>
    </row>
    <row r="4784" spans="2:46" x14ac:dyDescent="0.35">
      <c r="B4784" t="s">
        <v>565</v>
      </c>
      <c r="C4784">
        <v>45662</v>
      </c>
      <c r="J4784">
        <v>0</v>
      </c>
      <c r="O4784" t="s">
        <v>239</v>
      </c>
      <c r="P4784" t="s">
        <v>514</v>
      </c>
      <c r="U4784">
        <v>0</v>
      </c>
      <c r="Y4784">
        <v>370</v>
      </c>
      <c r="Z4784" s="259" t="s">
        <v>637</v>
      </c>
      <c r="AB4784">
        <v>28028</v>
      </c>
      <c r="AF4784">
        <v>79949.399999999994</v>
      </c>
      <c r="AG4784">
        <v>0</v>
      </c>
      <c r="AI4784">
        <v>79949.399999999994</v>
      </c>
      <c r="AJ4784">
        <v>0</v>
      </c>
      <c r="AK4784">
        <v>0</v>
      </c>
      <c r="AL4784">
        <v>0</v>
      </c>
      <c r="AM4784">
        <v>51972</v>
      </c>
      <c r="AN4784">
        <v>27977.4</v>
      </c>
      <c r="AO4784">
        <v>79949.399999999994</v>
      </c>
      <c r="AP4784">
        <v>0</v>
      </c>
      <c r="AQ4784">
        <v>0</v>
      </c>
      <c r="AR4784">
        <v>0</v>
      </c>
      <c r="AS4784" t="s">
        <v>239</v>
      </c>
      <c r="AT4784" t="s">
        <v>514</v>
      </c>
    </row>
    <row r="4785" spans="2:46" x14ac:dyDescent="0.35">
      <c r="B4785" t="s">
        <v>565</v>
      </c>
      <c r="C4785">
        <v>45663</v>
      </c>
      <c r="J4785">
        <v>0</v>
      </c>
      <c r="O4785" t="s">
        <v>239</v>
      </c>
      <c r="P4785" t="s">
        <v>514</v>
      </c>
      <c r="U4785">
        <v>0</v>
      </c>
      <c r="Y4785">
        <v>371</v>
      </c>
      <c r="Z4785" s="259" t="s">
        <v>637</v>
      </c>
      <c r="AB4785">
        <v>28028</v>
      </c>
      <c r="AF4785">
        <v>79915.399999999994</v>
      </c>
      <c r="AG4785">
        <v>0</v>
      </c>
      <c r="AI4785">
        <v>79949.399999999994</v>
      </c>
      <c r="AJ4785">
        <v>0</v>
      </c>
      <c r="AK4785">
        <v>0</v>
      </c>
      <c r="AL4785">
        <v>0</v>
      </c>
      <c r="AM4785">
        <v>51972</v>
      </c>
      <c r="AN4785">
        <v>27943.4</v>
      </c>
      <c r="AO4785">
        <v>79915.399999999994</v>
      </c>
      <c r="AP4785">
        <v>0</v>
      </c>
      <c r="AQ4785">
        <v>-34</v>
      </c>
      <c r="AR4785">
        <v>-4.2526898263151036E-4</v>
      </c>
      <c r="AS4785" t="s">
        <v>239</v>
      </c>
      <c r="AT4785" t="s">
        <v>514</v>
      </c>
    </row>
    <row r="4786" spans="2:46" x14ac:dyDescent="0.35">
      <c r="B4786" t="s">
        <v>565</v>
      </c>
      <c r="C4786">
        <v>45664</v>
      </c>
      <c r="J4786">
        <v>0</v>
      </c>
      <c r="O4786" t="s">
        <v>239</v>
      </c>
      <c r="P4786" t="s">
        <v>514</v>
      </c>
      <c r="U4786">
        <v>0</v>
      </c>
      <c r="Y4786">
        <v>372</v>
      </c>
      <c r="Z4786" s="259" t="s">
        <v>637</v>
      </c>
      <c r="AB4786">
        <v>28028</v>
      </c>
      <c r="AF4786">
        <v>79904</v>
      </c>
      <c r="AG4786">
        <v>0</v>
      </c>
      <c r="AI4786">
        <v>79915.399999999994</v>
      </c>
      <c r="AJ4786">
        <v>0</v>
      </c>
      <c r="AK4786">
        <v>0</v>
      </c>
      <c r="AL4786">
        <v>0</v>
      </c>
      <c r="AM4786">
        <v>51972</v>
      </c>
      <c r="AN4786">
        <v>27932</v>
      </c>
      <c r="AO4786">
        <v>79904</v>
      </c>
      <c r="AP4786">
        <v>0</v>
      </c>
      <c r="AQ4786">
        <v>-11.399999999994179</v>
      </c>
      <c r="AR4786">
        <v>-1.4265085327724858E-4</v>
      </c>
      <c r="AS4786" t="s">
        <v>239</v>
      </c>
      <c r="AT4786" t="s">
        <v>514</v>
      </c>
    </row>
    <row r="4787" spans="2:46" x14ac:dyDescent="0.35">
      <c r="B4787" t="s">
        <v>565</v>
      </c>
      <c r="C4787">
        <v>45665</v>
      </c>
      <c r="J4787">
        <v>0</v>
      </c>
      <c r="O4787" t="s">
        <v>239</v>
      </c>
      <c r="P4787" t="s">
        <v>514</v>
      </c>
      <c r="U4787">
        <v>0</v>
      </c>
      <c r="Y4787">
        <v>373</v>
      </c>
      <c r="Z4787" s="259" t="s">
        <v>637</v>
      </c>
      <c r="AB4787">
        <v>28028</v>
      </c>
      <c r="AF4787">
        <v>79892.600000000006</v>
      </c>
      <c r="AG4787">
        <v>0</v>
      </c>
      <c r="AI4787">
        <v>79904</v>
      </c>
      <c r="AJ4787">
        <v>0</v>
      </c>
      <c r="AK4787">
        <v>0</v>
      </c>
      <c r="AL4787">
        <v>0</v>
      </c>
      <c r="AM4787">
        <v>51972</v>
      </c>
      <c r="AN4787">
        <v>27920.6</v>
      </c>
      <c r="AO4787">
        <v>79892.600000000006</v>
      </c>
      <c r="AP4787">
        <v>0</v>
      </c>
      <c r="AQ4787">
        <v>-11.399999999994179</v>
      </c>
      <c r="AR4787">
        <v>-1.4267120544642076E-4</v>
      </c>
      <c r="AS4787" t="s">
        <v>239</v>
      </c>
      <c r="AT4787" t="s">
        <v>514</v>
      </c>
    </row>
    <row r="4788" spans="2:46" x14ac:dyDescent="0.35">
      <c r="B4788" t="s">
        <v>565</v>
      </c>
      <c r="C4788">
        <v>45666</v>
      </c>
      <c r="J4788">
        <v>0</v>
      </c>
      <c r="O4788" t="s">
        <v>239</v>
      </c>
      <c r="P4788" t="s">
        <v>514</v>
      </c>
      <c r="U4788">
        <v>0</v>
      </c>
      <c r="Y4788">
        <v>374</v>
      </c>
      <c r="Z4788" s="259" t="s">
        <v>637</v>
      </c>
      <c r="AB4788">
        <v>28028</v>
      </c>
      <c r="AF4788">
        <v>79881.399999999994</v>
      </c>
      <c r="AG4788">
        <v>0</v>
      </c>
      <c r="AI4788">
        <v>79892.600000000006</v>
      </c>
      <c r="AJ4788">
        <v>0</v>
      </c>
      <c r="AK4788">
        <v>0</v>
      </c>
      <c r="AL4788">
        <v>0</v>
      </c>
      <c r="AM4788">
        <v>51972</v>
      </c>
      <c r="AN4788">
        <v>27909.4</v>
      </c>
      <c r="AO4788">
        <v>79881.399999999994</v>
      </c>
      <c r="AP4788">
        <v>0</v>
      </c>
      <c r="AQ4788">
        <v>-11.200000000011642</v>
      </c>
      <c r="AR4788">
        <v>-1.401882026622614E-4</v>
      </c>
      <c r="AS4788" t="s">
        <v>239</v>
      </c>
      <c r="AT4788" t="s">
        <v>514</v>
      </c>
    </row>
    <row r="4789" spans="2:46" x14ac:dyDescent="0.35">
      <c r="B4789" t="s">
        <v>565</v>
      </c>
      <c r="C4789">
        <v>45667</v>
      </c>
      <c r="J4789">
        <v>0</v>
      </c>
      <c r="O4789" t="s">
        <v>239</v>
      </c>
      <c r="P4789" t="s">
        <v>514</v>
      </c>
      <c r="U4789">
        <v>0</v>
      </c>
      <c r="Y4789">
        <v>375</v>
      </c>
      <c r="Z4789" s="259" t="s">
        <v>637</v>
      </c>
      <c r="AB4789">
        <v>28028</v>
      </c>
      <c r="AF4789">
        <v>79870</v>
      </c>
      <c r="AG4789">
        <v>0</v>
      </c>
      <c r="AI4789">
        <v>79881.399999999994</v>
      </c>
      <c r="AJ4789">
        <v>0</v>
      </c>
      <c r="AK4789">
        <v>0</v>
      </c>
      <c r="AL4789">
        <v>0</v>
      </c>
      <c r="AM4789">
        <v>51972</v>
      </c>
      <c r="AN4789">
        <v>27898</v>
      </c>
      <c r="AO4789">
        <v>79870</v>
      </c>
      <c r="AP4789">
        <v>0</v>
      </c>
      <c r="AQ4789">
        <v>-11.399999999994179</v>
      </c>
      <c r="AR4789">
        <v>-1.427115699023096E-4</v>
      </c>
      <c r="AS4789" t="s">
        <v>239</v>
      </c>
      <c r="AT4789" t="s">
        <v>514</v>
      </c>
    </row>
    <row r="4790" spans="2:46" x14ac:dyDescent="0.35">
      <c r="B4790" t="s">
        <v>565</v>
      </c>
      <c r="C4790">
        <v>45668</v>
      </c>
      <c r="J4790">
        <v>0</v>
      </c>
      <c r="O4790" t="s">
        <v>239</v>
      </c>
      <c r="P4790" t="s">
        <v>514</v>
      </c>
      <c r="U4790">
        <v>0</v>
      </c>
      <c r="Y4790">
        <v>376</v>
      </c>
      <c r="Z4790" s="259" t="s">
        <v>637</v>
      </c>
      <c r="AB4790">
        <v>28028</v>
      </c>
      <c r="AF4790">
        <v>79870</v>
      </c>
      <c r="AG4790">
        <v>0</v>
      </c>
      <c r="AI4790">
        <v>79870</v>
      </c>
      <c r="AJ4790">
        <v>0</v>
      </c>
      <c r="AK4790">
        <v>0</v>
      </c>
      <c r="AL4790">
        <v>0</v>
      </c>
      <c r="AM4790">
        <v>51972</v>
      </c>
      <c r="AN4790">
        <v>27898</v>
      </c>
      <c r="AO4790">
        <v>79870</v>
      </c>
      <c r="AP4790">
        <v>0</v>
      </c>
      <c r="AQ4790">
        <v>0</v>
      </c>
      <c r="AR4790">
        <v>0</v>
      </c>
      <c r="AS4790" t="s">
        <v>239</v>
      </c>
      <c r="AT4790" t="s">
        <v>514</v>
      </c>
    </row>
    <row r="4791" spans="2:46" x14ac:dyDescent="0.35">
      <c r="B4791" t="s">
        <v>565</v>
      </c>
      <c r="C4791">
        <v>45669</v>
      </c>
      <c r="J4791">
        <v>0</v>
      </c>
      <c r="O4791" t="s">
        <v>239</v>
      </c>
      <c r="P4791" t="s">
        <v>514</v>
      </c>
      <c r="U4791">
        <v>0</v>
      </c>
      <c r="Y4791">
        <v>377</v>
      </c>
      <c r="Z4791" s="259" t="s">
        <v>637</v>
      </c>
      <c r="AB4791">
        <v>28028</v>
      </c>
      <c r="AF4791">
        <v>79870</v>
      </c>
      <c r="AG4791">
        <v>0</v>
      </c>
      <c r="AI4791">
        <v>79870</v>
      </c>
      <c r="AJ4791">
        <v>0</v>
      </c>
      <c r="AK4791">
        <v>0</v>
      </c>
      <c r="AL4791">
        <v>0</v>
      </c>
      <c r="AM4791">
        <v>51972</v>
      </c>
      <c r="AN4791">
        <v>27898</v>
      </c>
      <c r="AO4791">
        <v>79870</v>
      </c>
      <c r="AP4791">
        <v>0</v>
      </c>
      <c r="AQ4791">
        <v>0</v>
      </c>
      <c r="AR4791">
        <v>0</v>
      </c>
      <c r="AS4791" t="s">
        <v>239</v>
      </c>
      <c r="AT4791" t="s">
        <v>514</v>
      </c>
    </row>
    <row r="4792" spans="2:46" x14ac:dyDescent="0.35">
      <c r="B4792" t="s">
        <v>565</v>
      </c>
      <c r="C4792">
        <v>45670</v>
      </c>
      <c r="J4792">
        <v>0</v>
      </c>
      <c r="O4792" t="s">
        <v>239</v>
      </c>
      <c r="P4792" t="s">
        <v>514</v>
      </c>
      <c r="U4792">
        <v>0</v>
      </c>
      <c r="Y4792">
        <v>378</v>
      </c>
      <c r="Z4792" s="259" t="s">
        <v>637</v>
      </c>
      <c r="AB4792">
        <v>28028</v>
      </c>
      <c r="AF4792">
        <v>79836</v>
      </c>
      <c r="AG4792">
        <v>0</v>
      </c>
      <c r="AI4792">
        <v>79870</v>
      </c>
      <c r="AJ4792">
        <v>0</v>
      </c>
      <c r="AK4792">
        <v>0</v>
      </c>
      <c r="AL4792">
        <v>0</v>
      </c>
      <c r="AM4792">
        <v>51972</v>
      </c>
      <c r="AN4792">
        <v>27864</v>
      </c>
      <c r="AO4792">
        <v>79836</v>
      </c>
      <c r="AP4792">
        <v>0</v>
      </c>
      <c r="AQ4792">
        <v>-34</v>
      </c>
      <c r="AR4792">
        <v>-4.256917490922385E-4</v>
      </c>
      <c r="AS4792" t="s">
        <v>239</v>
      </c>
      <c r="AT4792" t="s">
        <v>514</v>
      </c>
    </row>
    <row r="4793" spans="2:46" x14ac:dyDescent="0.35">
      <c r="B4793" t="s">
        <v>565</v>
      </c>
      <c r="C4793">
        <v>45671</v>
      </c>
      <c r="J4793">
        <v>0</v>
      </c>
      <c r="O4793" t="s">
        <v>239</v>
      </c>
      <c r="P4793" t="s">
        <v>514</v>
      </c>
      <c r="U4793">
        <v>0</v>
      </c>
      <c r="Y4793">
        <v>379</v>
      </c>
      <c r="Z4793" s="259" t="s">
        <v>637</v>
      </c>
      <c r="AB4793">
        <v>28028</v>
      </c>
      <c r="AF4793">
        <v>79824.600000000006</v>
      </c>
      <c r="AG4793">
        <v>0</v>
      </c>
      <c r="AI4793">
        <v>79836</v>
      </c>
      <c r="AJ4793">
        <v>0</v>
      </c>
      <c r="AK4793">
        <v>0</v>
      </c>
      <c r="AL4793">
        <v>0</v>
      </c>
      <c r="AM4793">
        <v>51972</v>
      </c>
      <c r="AN4793">
        <v>27852.6</v>
      </c>
      <c r="AO4793">
        <v>79824.600000000006</v>
      </c>
      <c r="AP4793">
        <v>0</v>
      </c>
      <c r="AQ4793">
        <v>-11.399999999994179</v>
      </c>
      <c r="AR4793">
        <v>-1.4279272508632701E-4</v>
      </c>
      <c r="AS4793" t="s">
        <v>239</v>
      </c>
      <c r="AT4793" t="s">
        <v>514</v>
      </c>
    </row>
    <row r="4794" spans="2:46" x14ac:dyDescent="0.35">
      <c r="B4794" t="s">
        <v>565</v>
      </c>
      <c r="C4794">
        <v>45672</v>
      </c>
      <c r="J4794">
        <v>0</v>
      </c>
      <c r="O4794" t="s">
        <v>239</v>
      </c>
      <c r="P4794" t="s">
        <v>514</v>
      </c>
      <c r="U4794">
        <v>0</v>
      </c>
      <c r="Y4794">
        <v>380</v>
      </c>
      <c r="Z4794" s="259" t="s">
        <v>637</v>
      </c>
      <c r="AB4794">
        <v>28028</v>
      </c>
      <c r="AF4794">
        <v>79813.399999999994</v>
      </c>
      <c r="AG4794">
        <v>0</v>
      </c>
      <c r="AI4794">
        <v>79824.600000000006</v>
      </c>
      <c r="AJ4794">
        <v>0</v>
      </c>
      <c r="AK4794">
        <v>0</v>
      </c>
      <c r="AL4794">
        <v>0</v>
      </c>
      <c r="AM4794">
        <v>51972</v>
      </c>
      <c r="AN4794">
        <v>27841.4</v>
      </c>
      <c r="AO4794">
        <v>79813.399999999994</v>
      </c>
      <c r="AP4794">
        <v>0</v>
      </c>
      <c r="AQ4794">
        <v>-11.200000000011642</v>
      </c>
      <c r="AR4794">
        <v>-1.4030762446681777E-4</v>
      </c>
      <c r="AS4794" t="s">
        <v>239</v>
      </c>
      <c r="AT4794" t="s">
        <v>514</v>
      </c>
    </row>
    <row r="4795" spans="2:46" x14ac:dyDescent="0.35">
      <c r="B4795" t="s">
        <v>565</v>
      </c>
      <c r="C4795">
        <v>45673</v>
      </c>
      <c r="J4795">
        <v>0</v>
      </c>
      <c r="O4795" t="s">
        <v>239</v>
      </c>
      <c r="P4795" t="s">
        <v>514</v>
      </c>
      <c r="U4795">
        <v>0</v>
      </c>
      <c r="Y4795">
        <v>381</v>
      </c>
      <c r="Z4795" s="259" t="s">
        <v>637</v>
      </c>
      <c r="AB4795">
        <v>28028</v>
      </c>
      <c r="AF4795">
        <v>79802</v>
      </c>
      <c r="AG4795">
        <v>0</v>
      </c>
      <c r="AI4795">
        <v>79813.399999999994</v>
      </c>
      <c r="AJ4795">
        <v>0</v>
      </c>
      <c r="AK4795">
        <v>0</v>
      </c>
      <c r="AL4795">
        <v>0</v>
      </c>
      <c r="AM4795">
        <v>51972</v>
      </c>
      <c r="AN4795">
        <v>27830</v>
      </c>
      <c r="AO4795">
        <v>79802</v>
      </c>
      <c r="AP4795">
        <v>0</v>
      </c>
      <c r="AQ4795">
        <v>-11.399999999994179</v>
      </c>
      <c r="AR4795">
        <v>-1.4283315834173749E-4</v>
      </c>
      <c r="AS4795" t="s">
        <v>239</v>
      </c>
      <c r="AT4795" t="s">
        <v>514</v>
      </c>
    </row>
    <row r="4796" spans="2:46" x14ac:dyDescent="0.35">
      <c r="B4796" t="s">
        <v>565</v>
      </c>
      <c r="C4796">
        <v>45674</v>
      </c>
      <c r="J4796">
        <v>0</v>
      </c>
      <c r="O4796" t="s">
        <v>239</v>
      </c>
      <c r="P4796" t="s">
        <v>514</v>
      </c>
      <c r="U4796">
        <v>0</v>
      </c>
      <c r="Y4796">
        <v>382</v>
      </c>
      <c r="Z4796" s="259" t="s">
        <v>637</v>
      </c>
      <c r="AB4796">
        <v>28028</v>
      </c>
      <c r="AF4796">
        <v>79790.600000000006</v>
      </c>
      <c r="AG4796">
        <v>0</v>
      </c>
      <c r="AI4796">
        <v>79802</v>
      </c>
      <c r="AJ4796">
        <v>0</v>
      </c>
      <c r="AK4796">
        <v>0</v>
      </c>
      <c r="AL4796">
        <v>0</v>
      </c>
      <c r="AM4796">
        <v>51972</v>
      </c>
      <c r="AN4796">
        <v>27818.6</v>
      </c>
      <c r="AO4796">
        <v>79790.600000000006</v>
      </c>
      <c r="AP4796">
        <v>0</v>
      </c>
      <c r="AQ4796">
        <v>-11.399999999994179</v>
      </c>
      <c r="AR4796">
        <v>-1.4285356256726889E-4</v>
      </c>
      <c r="AS4796" t="s">
        <v>239</v>
      </c>
      <c r="AT4796" t="s">
        <v>514</v>
      </c>
    </row>
    <row r="4797" spans="2:46" x14ac:dyDescent="0.35">
      <c r="B4797" t="s">
        <v>565</v>
      </c>
      <c r="C4797">
        <v>45675</v>
      </c>
      <c r="J4797">
        <v>0</v>
      </c>
      <c r="O4797" t="s">
        <v>239</v>
      </c>
      <c r="P4797" t="s">
        <v>514</v>
      </c>
      <c r="U4797">
        <v>0</v>
      </c>
      <c r="Y4797">
        <v>383</v>
      </c>
      <c r="Z4797" s="259" t="s">
        <v>637</v>
      </c>
      <c r="AB4797">
        <v>28028</v>
      </c>
      <c r="AF4797">
        <v>79790.600000000006</v>
      </c>
      <c r="AG4797">
        <v>0</v>
      </c>
      <c r="AI4797">
        <v>79790.600000000006</v>
      </c>
      <c r="AJ4797">
        <v>0</v>
      </c>
      <c r="AK4797">
        <v>0</v>
      </c>
      <c r="AL4797">
        <v>0</v>
      </c>
      <c r="AM4797">
        <v>51972</v>
      </c>
      <c r="AN4797">
        <v>27818.6</v>
      </c>
      <c r="AO4797">
        <v>79790.600000000006</v>
      </c>
      <c r="AP4797">
        <v>0</v>
      </c>
      <c r="AQ4797">
        <v>0</v>
      </c>
      <c r="AR4797">
        <v>0</v>
      </c>
      <c r="AS4797" t="s">
        <v>239</v>
      </c>
      <c r="AT4797" t="s">
        <v>514</v>
      </c>
    </row>
    <row r="4798" spans="2:46" x14ac:dyDescent="0.35">
      <c r="B4798" t="s">
        <v>565</v>
      </c>
      <c r="C4798">
        <v>45676</v>
      </c>
      <c r="J4798">
        <v>0</v>
      </c>
      <c r="O4798" t="s">
        <v>239</v>
      </c>
      <c r="P4798" t="s">
        <v>514</v>
      </c>
      <c r="U4798">
        <v>0</v>
      </c>
      <c r="Y4798">
        <v>384</v>
      </c>
      <c r="Z4798" s="259" t="s">
        <v>637</v>
      </c>
      <c r="AB4798">
        <v>28028</v>
      </c>
      <c r="AF4798">
        <v>79790.600000000006</v>
      </c>
      <c r="AG4798">
        <v>0</v>
      </c>
      <c r="AI4798">
        <v>79790.600000000006</v>
      </c>
      <c r="AJ4798">
        <v>0</v>
      </c>
      <c r="AK4798">
        <v>0</v>
      </c>
      <c r="AL4798">
        <v>0</v>
      </c>
      <c r="AM4798">
        <v>51972</v>
      </c>
      <c r="AN4798">
        <v>27818.6</v>
      </c>
      <c r="AO4798">
        <v>79790.600000000006</v>
      </c>
      <c r="AP4798">
        <v>0</v>
      </c>
      <c r="AQ4798">
        <v>0</v>
      </c>
      <c r="AR4798">
        <v>0</v>
      </c>
      <c r="AS4798" t="s">
        <v>239</v>
      </c>
      <c r="AT4798" t="s">
        <v>514</v>
      </c>
    </row>
    <row r="4799" spans="2:46" x14ac:dyDescent="0.35">
      <c r="B4799" t="s">
        <v>565</v>
      </c>
      <c r="C4799">
        <v>45677</v>
      </c>
      <c r="J4799">
        <v>0</v>
      </c>
      <c r="O4799" t="s">
        <v>239</v>
      </c>
      <c r="P4799" t="s">
        <v>514</v>
      </c>
      <c r="U4799">
        <v>0</v>
      </c>
      <c r="Y4799">
        <v>385</v>
      </c>
      <c r="Z4799" s="259" t="s">
        <v>637</v>
      </c>
      <c r="AB4799">
        <v>28028</v>
      </c>
      <c r="AF4799">
        <v>79756.600000000006</v>
      </c>
      <c r="AG4799">
        <v>0</v>
      </c>
      <c r="AI4799">
        <v>79790.600000000006</v>
      </c>
      <c r="AJ4799">
        <v>0</v>
      </c>
      <c r="AK4799">
        <v>0</v>
      </c>
      <c r="AL4799">
        <v>0</v>
      </c>
      <c r="AM4799">
        <v>51972</v>
      </c>
      <c r="AN4799">
        <v>27784.6</v>
      </c>
      <c r="AO4799">
        <v>79756.600000000006</v>
      </c>
      <c r="AP4799">
        <v>0</v>
      </c>
      <c r="AQ4799">
        <v>-34</v>
      </c>
      <c r="AR4799">
        <v>-4.2611535694681013E-4</v>
      </c>
      <c r="AS4799" t="s">
        <v>239</v>
      </c>
      <c r="AT4799" t="s">
        <v>514</v>
      </c>
    </row>
    <row r="4800" spans="2:46" x14ac:dyDescent="0.35">
      <c r="B4800" t="s">
        <v>565</v>
      </c>
      <c r="C4800">
        <v>45678</v>
      </c>
      <c r="J4800">
        <v>0</v>
      </c>
      <c r="O4800" t="s">
        <v>239</v>
      </c>
      <c r="P4800" t="s">
        <v>514</v>
      </c>
      <c r="U4800">
        <v>0</v>
      </c>
      <c r="Y4800">
        <v>386</v>
      </c>
      <c r="Z4800" s="259" t="s">
        <v>637</v>
      </c>
      <c r="AB4800">
        <v>28028</v>
      </c>
      <c r="AF4800">
        <v>79745.399999999994</v>
      </c>
      <c r="AG4800">
        <v>0</v>
      </c>
      <c r="AI4800">
        <v>79756.600000000006</v>
      </c>
      <c r="AJ4800">
        <v>0</v>
      </c>
      <c r="AK4800">
        <v>0</v>
      </c>
      <c r="AL4800">
        <v>0</v>
      </c>
      <c r="AM4800">
        <v>51972</v>
      </c>
      <c r="AN4800">
        <v>27773.4</v>
      </c>
      <c r="AO4800">
        <v>79745.399999999994</v>
      </c>
      <c r="AP4800">
        <v>0</v>
      </c>
      <c r="AQ4800">
        <v>-11.200000000011642</v>
      </c>
      <c r="AR4800">
        <v>-1.4042724990803723E-4</v>
      </c>
      <c r="AS4800" t="s">
        <v>239</v>
      </c>
      <c r="AT4800" t="s">
        <v>514</v>
      </c>
    </row>
    <row r="4801" spans="2:46" x14ac:dyDescent="0.35">
      <c r="B4801" t="s">
        <v>565</v>
      </c>
      <c r="C4801">
        <v>45679</v>
      </c>
      <c r="J4801">
        <v>0</v>
      </c>
      <c r="O4801" t="s">
        <v>239</v>
      </c>
      <c r="P4801" t="s">
        <v>514</v>
      </c>
      <c r="U4801">
        <v>0</v>
      </c>
      <c r="Y4801">
        <v>387</v>
      </c>
      <c r="Z4801" s="259" t="s">
        <v>637</v>
      </c>
      <c r="AB4801">
        <v>28028</v>
      </c>
      <c r="AF4801">
        <v>79734</v>
      </c>
      <c r="AG4801">
        <v>0</v>
      </c>
      <c r="AI4801">
        <v>79745.399999999994</v>
      </c>
      <c r="AJ4801">
        <v>0</v>
      </c>
      <c r="AK4801">
        <v>0</v>
      </c>
      <c r="AL4801">
        <v>0</v>
      </c>
      <c r="AM4801">
        <v>51972</v>
      </c>
      <c r="AN4801">
        <v>27762</v>
      </c>
      <c r="AO4801">
        <v>79734</v>
      </c>
      <c r="AP4801">
        <v>0</v>
      </c>
      <c r="AQ4801">
        <v>-11.399999999994179</v>
      </c>
      <c r="AR4801">
        <v>-1.4295495414151649E-4</v>
      </c>
      <c r="AS4801" t="s">
        <v>239</v>
      </c>
      <c r="AT4801" t="s">
        <v>514</v>
      </c>
    </row>
    <row r="4802" spans="2:46" x14ac:dyDescent="0.35">
      <c r="B4802" t="s">
        <v>565</v>
      </c>
      <c r="C4802">
        <v>45680</v>
      </c>
      <c r="J4802">
        <v>0</v>
      </c>
      <c r="O4802" t="s">
        <v>239</v>
      </c>
      <c r="P4802" t="s">
        <v>514</v>
      </c>
      <c r="U4802">
        <v>0</v>
      </c>
      <c r="Y4802">
        <v>388</v>
      </c>
      <c r="Z4802" s="259" t="s">
        <v>637</v>
      </c>
      <c r="AB4802">
        <v>28028</v>
      </c>
      <c r="AF4802">
        <v>79722.600000000006</v>
      </c>
      <c r="AG4802">
        <v>0</v>
      </c>
      <c r="AI4802">
        <v>79734</v>
      </c>
      <c r="AJ4802">
        <v>0</v>
      </c>
      <c r="AK4802">
        <v>0</v>
      </c>
      <c r="AL4802">
        <v>0</v>
      </c>
      <c r="AM4802">
        <v>51972</v>
      </c>
      <c r="AN4802">
        <v>27750.6</v>
      </c>
      <c r="AO4802">
        <v>79722.600000000006</v>
      </c>
      <c r="AP4802">
        <v>0</v>
      </c>
      <c r="AQ4802">
        <v>-11.399999999994179</v>
      </c>
      <c r="AR4802">
        <v>-1.4297539318230967E-4</v>
      </c>
      <c r="AS4802" t="s">
        <v>239</v>
      </c>
      <c r="AT4802" t="s">
        <v>514</v>
      </c>
    </row>
    <row r="4803" spans="2:46" x14ac:dyDescent="0.35">
      <c r="B4803" t="s">
        <v>565</v>
      </c>
      <c r="C4803">
        <v>45681</v>
      </c>
      <c r="J4803">
        <v>0</v>
      </c>
      <c r="O4803" t="s">
        <v>239</v>
      </c>
      <c r="P4803" t="s">
        <v>514</v>
      </c>
      <c r="U4803">
        <v>0</v>
      </c>
      <c r="Y4803">
        <v>389</v>
      </c>
      <c r="Z4803" s="259" t="s">
        <v>637</v>
      </c>
      <c r="AB4803">
        <v>28028</v>
      </c>
      <c r="AF4803">
        <v>79711.399999999994</v>
      </c>
      <c r="AG4803">
        <v>0</v>
      </c>
      <c r="AI4803">
        <v>79722.600000000006</v>
      </c>
      <c r="AJ4803">
        <v>0</v>
      </c>
      <c r="AK4803">
        <v>0</v>
      </c>
      <c r="AL4803">
        <v>0</v>
      </c>
      <c r="AM4803">
        <v>51972</v>
      </c>
      <c r="AN4803">
        <v>27739.4</v>
      </c>
      <c r="AO4803">
        <v>79711.399999999994</v>
      </c>
      <c r="AP4803">
        <v>0</v>
      </c>
      <c r="AQ4803">
        <v>-11.200000000011642</v>
      </c>
      <c r="AR4803">
        <v>-1.4048713915515432E-4</v>
      </c>
      <c r="AS4803" t="s">
        <v>239</v>
      </c>
      <c r="AT4803" t="s">
        <v>514</v>
      </c>
    </row>
    <row r="4804" spans="2:46" x14ac:dyDescent="0.35">
      <c r="B4804" t="s">
        <v>565</v>
      </c>
      <c r="C4804">
        <v>45682</v>
      </c>
      <c r="J4804">
        <v>0</v>
      </c>
      <c r="O4804" t="s">
        <v>239</v>
      </c>
      <c r="P4804" t="s">
        <v>514</v>
      </c>
      <c r="U4804">
        <v>0</v>
      </c>
      <c r="Y4804">
        <v>390</v>
      </c>
      <c r="Z4804" s="259" t="s">
        <v>637</v>
      </c>
      <c r="AB4804">
        <v>28028</v>
      </c>
      <c r="AF4804">
        <v>79711.399999999994</v>
      </c>
      <c r="AG4804">
        <v>0</v>
      </c>
      <c r="AI4804">
        <v>79711.399999999994</v>
      </c>
      <c r="AJ4804">
        <v>0</v>
      </c>
      <c r="AK4804">
        <v>0</v>
      </c>
      <c r="AL4804">
        <v>0</v>
      </c>
      <c r="AM4804">
        <v>51972</v>
      </c>
      <c r="AN4804">
        <v>27739.4</v>
      </c>
      <c r="AO4804">
        <v>79711.399999999994</v>
      </c>
      <c r="AP4804">
        <v>0</v>
      </c>
      <c r="AQ4804">
        <v>0</v>
      </c>
      <c r="AR4804">
        <v>0</v>
      </c>
      <c r="AS4804" t="s">
        <v>239</v>
      </c>
      <c r="AT4804" t="s">
        <v>514</v>
      </c>
    </row>
    <row r="4805" spans="2:46" x14ac:dyDescent="0.35">
      <c r="B4805" t="s">
        <v>565</v>
      </c>
      <c r="C4805">
        <v>45683</v>
      </c>
      <c r="J4805">
        <v>0</v>
      </c>
      <c r="O4805" t="s">
        <v>239</v>
      </c>
      <c r="P4805" t="s">
        <v>514</v>
      </c>
      <c r="U4805">
        <v>0</v>
      </c>
      <c r="Y4805">
        <v>391</v>
      </c>
      <c r="Z4805" s="259" t="s">
        <v>637</v>
      </c>
      <c r="AB4805">
        <v>28028</v>
      </c>
      <c r="AF4805">
        <v>79711.399999999994</v>
      </c>
      <c r="AG4805">
        <v>0</v>
      </c>
      <c r="AI4805">
        <v>79711.399999999994</v>
      </c>
      <c r="AJ4805">
        <v>0</v>
      </c>
      <c r="AK4805">
        <v>0</v>
      </c>
      <c r="AL4805">
        <v>0</v>
      </c>
      <c r="AM4805">
        <v>51972</v>
      </c>
      <c r="AN4805">
        <v>27739.4</v>
      </c>
      <c r="AO4805">
        <v>79711.399999999994</v>
      </c>
      <c r="AP4805">
        <v>0</v>
      </c>
      <c r="AQ4805">
        <v>0</v>
      </c>
      <c r="AR4805">
        <v>0</v>
      </c>
      <c r="AS4805" t="s">
        <v>239</v>
      </c>
      <c r="AT4805" t="s">
        <v>514</v>
      </c>
    </row>
    <row r="4806" spans="2:46" x14ac:dyDescent="0.35">
      <c r="B4806" t="s">
        <v>565</v>
      </c>
      <c r="C4806">
        <v>45684</v>
      </c>
      <c r="J4806">
        <v>0</v>
      </c>
      <c r="O4806" t="s">
        <v>239</v>
      </c>
      <c r="P4806" t="s">
        <v>514</v>
      </c>
      <c r="U4806">
        <v>0</v>
      </c>
      <c r="Y4806">
        <v>392</v>
      </c>
      <c r="Z4806" s="259" t="s">
        <v>637</v>
      </c>
      <c r="AB4806">
        <v>28028</v>
      </c>
      <c r="AF4806">
        <v>79677.399999999994</v>
      </c>
      <c r="AG4806">
        <v>0</v>
      </c>
      <c r="AI4806">
        <v>79711.399999999994</v>
      </c>
      <c r="AJ4806">
        <v>0</v>
      </c>
      <c r="AK4806">
        <v>0</v>
      </c>
      <c r="AL4806">
        <v>0</v>
      </c>
      <c r="AM4806">
        <v>51972</v>
      </c>
      <c r="AN4806">
        <v>27705.4</v>
      </c>
      <c r="AO4806">
        <v>79677.399999999994</v>
      </c>
      <c r="AP4806">
        <v>0</v>
      </c>
      <c r="AQ4806">
        <v>-34</v>
      </c>
      <c r="AR4806">
        <v>-4.2653873849918256E-4</v>
      </c>
      <c r="AS4806" t="s">
        <v>239</v>
      </c>
      <c r="AT4806" t="s">
        <v>514</v>
      </c>
    </row>
    <row r="4807" spans="2:46" x14ac:dyDescent="0.35">
      <c r="B4807" t="s">
        <v>565</v>
      </c>
      <c r="C4807">
        <v>45685</v>
      </c>
      <c r="J4807">
        <v>0</v>
      </c>
      <c r="O4807" t="s">
        <v>239</v>
      </c>
      <c r="P4807" t="s">
        <v>514</v>
      </c>
      <c r="U4807">
        <v>0</v>
      </c>
      <c r="Y4807">
        <v>393</v>
      </c>
      <c r="Z4807" s="259" t="s">
        <v>637</v>
      </c>
      <c r="AB4807">
        <v>28028</v>
      </c>
      <c r="AF4807">
        <v>79666</v>
      </c>
      <c r="AG4807">
        <v>0</v>
      </c>
      <c r="AI4807">
        <v>79677.399999999994</v>
      </c>
      <c r="AJ4807">
        <v>0</v>
      </c>
      <c r="AK4807">
        <v>0</v>
      </c>
      <c r="AL4807">
        <v>0</v>
      </c>
      <c r="AM4807">
        <v>51972</v>
      </c>
      <c r="AN4807">
        <v>27694</v>
      </c>
      <c r="AO4807">
        <v>79666</v>
      </c>
      <c r="AP4807">
        <v>0</v>
      </c>
      <c r="AQ4807">
        <v>-11.399999999994179</v>
      </c>
      <c r="AR4807">
        <v>-1.4307695783233321E-4</v>
      </c>
      <c r="AS4807" t="s">
        <v>239</v>
      </c>
      <c r="AT4807" t="s">
        <v>514</v>
      </c>
    </row>
    <row r="4808" spans="2:46" x14ac:dyDescent="0.35">
      <c r="B4808" t="s">
        <v>565</v>
      </c>
      <c r="C4808">
        <v>45686</v>
      </c>
      <c r="J4808">
        <v>0</v>
      </c>
      <c r="O4808" t="s">
        <v>239</v>
      </c>
      <c r="P4808" t="s">
        <v>514</v>
      </c>
      <c r="U4808">
        <v>0</v>
      </c>
      <c r="Y4808">
        <v>394</v>
      </c>
      <c r="Z4808" s="259" t="s">
        <v>637</v>
      </c>
      <c r="AB4808">
        <v>28028</v>
      </c>
      <c r="AF4808">
        <v>79654.600000000006</v>
      </c>
      <c r="AG4808">
        <v>0</v>
      </c>
      <c r="AI4808">
        <v>79666</v>
      </c>
      <c r="AJ4808">
        <v>0</v>
      </c>
      <c r="AK4808">
        <v>0</v>
      </c>
      <c r="AL4808">
        <v>0</v>
      </c>
      <c r="AM4808">
        <v>51972</v>
      </c>
      <c r="AN4808">
        <v>27682.6</v>
      </c>
      <c r="AO4808">
        <v>79654.600000000006</v>
      </c>
      <c r="AP4808">
        <v>0</v>
      </c>
      <c r="AQ4808">
        <v>-11.399999999994179</v>
      </c>
      <c r="AR4808">
        <v>-1.4309743177765011E-4</v>
      </c>
      <c r="AS4808" t="s">
        <v>239</v>
      </c>
      <c r="AT4808" t="s">
        <v>514</v>
      </c>
    </row>
    <row r="4809" spans="2:46" x14ac:dyDescent="0.35">
      <c r="B4809" t="s">
        <v>565</v>
      </c>
      <c r="C4809">
        <v>45687</v>
      </c>
      <c r="J4809">
        <v>0</v>
      </c>
      <c r="O4809" t="s">
        <v>239</v>
      </c>
      <c r="P4809" t="s">
        <v>514</v>
      </c>
      <c r="U4809">
        <v>0</v>
      </c>
      <c r="Y4809">
        <v>395</v>
      </c>
      <c r="Z4809" s="259" t="s">
        <v>637</v>
      </c>
      <c r="AB4809">
        <v>28028</v>
      </c>
      <c r="AF4809">
        <v>79643.399999999994</v>
      </c>
      <c r="AG4809">
        <v>0</v>
      </c>
      <c r="AI4809">
        <v>79654.600000000006</v>
      </c>
      <c r="AJ4809">
        <v>0</v>
      </c>
      <c r="AK4809">
        <v>0</v>
      </c>
      <c r="AL4809">
        <v>0</v>
      </c>
      <c r="AM4809">
        <v>51972</v>
      </c>
      <c r="AN4809">
        <v>27671.4</v>
      </c>
      <c r="AO4809">
        <v>79643.399999999994</v>
      </c>
      <c r="AP4809">
        <v>0</v>
      </c>
      <c r="AQ4809">
        <v>-11.200000000011642</v>
      </c>
      <c r="AR4809">
        <v>-1.4060707102936387E-4</v>
      </c>
      <c r="AS4809" t="s">
        <v>239</v>
      </c>
      <c r="AT4809" t="s">
        <v>514</v>
      </c>
    </row>
    <row r="4810" spans="2:46" x14ac:dyDescent="0.35">
      <c r="B4810" t="s">
        <v>565</v>
      </c>
      <c r="C4810">
        <v>45688</v>
      </c>
      <c r="J4810">
        <v>0</v>
      </c>
      <c r="O4810" t="s">
        <v>239</v>
      </c>
      <c r="P4810" t="s">
        <v>514</v>
      </c>
      <c r="U4810">
        <v>0</v>
      </c>
      <c r="Y4810">
        <v>396</v>
      </c>
      <c r="Z4810" s="259" t="s">
        <v>637</v>
      </c>
      <c r="AB4810">
        <v>28028</v>
      </c>
      <c r="AF4810">
        <v>79632</v>
      </c>
      <c r="AG4810">
        <v>0</v>
      </c>
      <c r="AI4810">
        <v>79643.399999999994</v>
      </c>
      <c r="AJ4810">
        <v>0</v>
      </c>
      <c r="AK4810">
        <v>0</v>
      </c>
      <c r="AL4810">
        <v>0</v>
      </c>
      <c r="AM4810">
        <v>51972</v>
      </c>
      <c r="AN4810">
        <v>27660</v>
      </c>
      <c r="AO4810">
        <v>79632</v>
      </c>
      <c r="AP4810">
        <v>0</v>
      </c>
      <c r="AQ4810">
        <v>-11.399999999994179</v>
      </c>
      <c r="AR4810">
        <v>-1.4313803780341416E-4</v>
      </c>
      <c r="AS4810" t="s">
        <v>239</v>
      </c>
      <c r="AT4810" t="s">
        <v>514</v>
      </c>
    </row>
    <row r="4811" spans="2:46" x14ac:dyDescent="0.35">
      <c r="B4811" t="s">
        <v>565</v>
      </c>
      <c r="C4811">
        <v>45689</v>
      </c>
      <c r="J4811">
        <v>0</v>
      </c>
      <c r="O4811" t="s">
        <v>239</v>
      </c>
      <c r="P4811" t="s">
        <v>514</v>
      </c>
      <c r="U4811">
        <v>0</v>
      </c>
      <c r="Y4811">
        <v>397</v>
      </c>
      <c r="Z4811" s="259" t="s">
        <v>637</v>
      </c>
      <c r="AB4811">
        <v>28028</v>
      </c>
      <c r="AF4811">
        <v>79632</v>
      </c>
      <c r="AG4811">
        <v>0</v>
      </c>
      <c r="AI4811">
        <v>79632</v>
      </c>
      <c r="AJ4811">
        <v>0</v>
      </c>
      <c r="AK4811">
        <v>0</v>
      </c>
      <c r="AL4811">
        <v>0</v>
      </c>
      <c r="AM4811">
        <v>51972</v>
      </c>
      <c r="AN4811">
        <v>27660</v>
      </c>
      <c r="AO4811">
        <v>79632</v>
      </c>
      <c r="AP4811">
        <v>0</v>
      </c>
      <c r="AQ4811">
        <v>0</v>
      </c>
      <c r="AR4811">
        <v>0</v>
      </c>
      <c r="AS4811" t="s">
        <v>239</v>
      </c>
      <c r="AT4811" t="s">
        <v>514</v>
      </c>
    </row>
    <row r="4812" spans="2:46" x14ac:dyDescent="0.35">
      <c r="B4812" t="s">
        <v>565</v>
      </c>
      <c r="C4812">
        <v>45690</v>
      </c>
      <c r="J4812">
        <v>0</v>
      </c>
      <c r="O4812" t="s">
        <v>239</v>
      </c>
      <c r="P4812" t="s">
        <v>514</v>
      </c>
      <c r="U4812">
        <v>0</v>
      </c>
      <c r="Y4812">
        <v>398</v>
      </c>
      <c r="Z4812" s="259" t="s">
        <v>637</v>
      </c>
      <c r="AB4812">
        <v>28028</v>
      </c>
      <c r="AF4812">
        <v>79632</v>
      </c>
      <c r="AG4812">
        <v>0</v>
      </c>
      <c r="AI4812">
        <v>79632</v>
      </c>
      <c r="AJ4812">
        <v>0</v>
      </c>
      <c r="AK4812">
        <v>0</v>
      </c>
      <c r="AL4812">
        <v>0</v>
      </c>
      <c r="AM4812">
        <v>51972</v>
      </c>
      <c r="AN4812">
        <v>27660</v>
      </c>
      <c r="AO4812">
        <v>79632</v>
      </c>
      <c r="AP4812">
        <v>0</v>
      </c>
      <c r="AQ4812">
        <v>0</v>
      </c>
      <c r="AR4812">
        <v>0</v>
      </c>
      <c r="AS4812" t="s">
        <v>239</v>
      </c>
      <c r="AT4812" t="s">
        <v>514</v>
      </c>
    </row>
    <row r="4813" spans="2:46" x14ac:dyDescent="0.35">
      <c r="B4813" t="s">
        <v>565</v>
      </c>
      <c r="C4813">
        <v>45691</v>
      </c>
      <c r="J4813">
        <v>4</v>
      </c>
      <c r="O4813" t="s">
        <v>239</v>
      </c>
      <c r="P4813" t="s">
        <v>514</v>
      </c>
      <c r="U4813">
        <v>0</v>
      </c>
      <c r="Y4813">
        <v>399</v>
      </c>
      <c r="Z4813" s="259" t="s">
        <v>637</v>
      </c>
      <c r="AB4813">
        <v>32132</v>
      </c>
      <c r="AF4813">
        <v>79627.399999999994</v>
      </c>
      <c r="AG4813">
        <v>0</v>
      </c>
      <c r="AI4813">
        <v>79632</v>
      </c>
      <c r="AJ4813">
        <v>0</v>
      </c>
      <c r="AK4813">
        <v>0</v>
      </c>
      <c r="AL4813">
        <v>0</v>
      </c>
      <c r="AM4813">
        <v>47868</v>
      </c>
      <c r="AN4813">
        <v>31759.4</v>
      </c>
      <c r="AO4813">
        <v>79627.399999999994</v>
      </c>
      <c r="AP4813">
        <v>0</v>
      </c>
      <c r="AQ4813">
        <v>-4.6000000000058208</v>
      </c>
      <c r="AR4813">
        <v>-5.7765722322744573E-5</v>
      </c>
      <c r="AS4813" t="s">
        <v>239</v>
      </c>
      <c r="AT4813" t="s">
        <v>514</v>
      </c>
    </row>
    <row r="4814" spans="2:46" x14ac:dyDescent="0.35">
      <c r="B4814" t="s">
        <v>565</v>
      </c>
      <c r="C4814">
        <v>45692</v>
      </c>
      <c r="J4814">
        <v>0</v>
      </c>
      <c r="O4814" t="s">
        <v>239</v>
      </c>
      <c r="P4814" t="s">
        <v>514</v>
      </c>
      <c r="U4814">
        <v>0</v>
      </c>
      <c r="Y4814">
        <v>400</v>
      </c>
      <c r="Z4814" s="259" t="s">
        <v>637</v>
      </c>
      <c r="AB4814">
        <v>32132</v>
      </c>
      <c r="AF4814">
        <v>79628.2</v>
      </c>
      <c r="AG4814">
        <v>0</v>
      </c>
      <c r="AI4814">
        <v>79627.399999999994</v>
      </c>
      <c r="AJ4814">
        <v>0</v>
      </c>
      <c r="AK4814">
        <v>0</v>
      </c>
      <c r="AL4814">
        <v>0</v>
      </c>
      <c r="AM4814">
        <v>47868</v>
      </c>
      <c r="AN4814">
        <v>31760.2</v>
      </c>
      <c r="AO4814">
        <v>79628.2</v>
      </c>
      <c r="AP4814">
        <v>0</v>
      </c>
      <c r="AQ4814">
        <v>0.80000000000291038</v>
      </c>
      <c r="AR4814">
        <v>1.0046792938256388E-5</v>
      </c>
      <c r="AS4814" t="s">
        <v>239</v>
      </c>
      <c r="AT4814" t="s">
        <v>514</v>
      </c>
    </row>
    <row r="4815" spans="2:46" x14ac:dyDescent="0.35">
      <c r="B4815" t="s">
        <v>565</v>
      </c>
      <c r="C4815">
        <v>45693</v>
      </c>
      <c r="J4815">
        <v>0</v>
      </c>
      <c r="O4815" t="s">
        <v>239</v>
      </c>
      <c r="P4815" t="s">
        <v>514</v>
      </c>
      <c r="U4815">
        <v>0</v>
      </c>
      <c r="Y4815">
        <v>401</v>
      </c>
      <c r="Z4815" s="259" t="s">
        <v>637</v>
      </c>
      <c r="AB4815">
        <v>32132</v>
      </c>
      <c r="AF4815">
        <v>79628.3</v>
      </c>
      <c r="AG4815">
        <v>0</v>
      </c>
      <c r="AI4815">
        <v>79628.2</v>
      </c>
      <c r="AJ4815">
        <v>0</v>
      </c>
      <c r="AK4815">
        <v>0</v>
      </c>
      <c r="AL4815">
        <v>0</v>
      </c>
      <c r="AM4815">
        <v>47868</v>
      </c>
      <c r="AN4815">
        <v>31760.3</v>
      </c>
      <c r="AO4815">
        <v>79628.3</v>
      </c>
      <c r="AP4815">
        <v>0</v>
      </c>
      <c r="AQ4815">
        <v>0.10000000000582077</v>
      </c>
      <c r="AR4815">
        <v>1.2558365001247296E-6</v>
      </c>
      <c r="AS4815" t="s">
        <v>239</v>
      </c>
      <c r="AT4815" t="s">
        <v>514</v>
      </c>
    </row>
    <row r="4816" spans="2:46" x14ac:dyDescent="0.35">
      <c r="B4816" t="s">
        <v>565</v>
      </c>
      <c r="C4816">
        <v>45694</v>
      </c>
      <c r="J4816">
        <v>0</v>
      </c>
      <c r="O4816" t="s">
        <v>239</v>
      </c>
      <c r="P4816" t="s">
        <v>514</v>
      </c>
      <c r="U4816">
        <v>0</v>
      </c>
      <c r="Y4816">
        <v>402</v>
      </c>
      <c r="Z4816" s="259" t="s">
        <v>637</v>
      </c>
      <c r="AB4816">
        <v>32132</v>
      </c>
      <c r="AF4816">
        <v>79627.600000000006</v>
      </c>
      <c r="AG4816">
        <v>0</v>
      </c>
      <c r="AI4816">
        <v>79628.3</v>
      </c>
      <c r="AJ4816">
        <v>0</v>
      </c>
      <c r="AK4816">
        <v>0</v>
      </c>
      <c r="AL4816">
        <v>0</v>
      </c>
      <c r="AM4816">
        <v>47868</v>
      </c>
      <c r="AN4816">
        <v>31759.599999999999</v>
      </c>
      <c r="AO4816">
        <v>79627.600000000006</v>
      </c>
      <c r="AP4816">
        <v>0</v>
      </c>
      <c r="AQ4816">
        <v>-0.69999999999708962</v>
      </c>
      <c r="AR4816">
        <v>-8.7908444610373948E-6</v>
      </c>
      <c r="AS4816" t="s">
        <v>239</v>
      </c>
      <c r="AT4816" t="s">
        <v>514</v>
      </c>
    </row>
    <row r="4817" spans="2:46" x14ac:dyDescent="0.35">
      <c r="B4817" t="s">
        <v>565</v>
      </c>
      <c r="C4817">
        <v>45695</v>
      </c>
      <c r="J4817">
        <v>0</v>
      </c>
      <c r="O4817" t="s">
        <v>239</v>
      </c>
      <c r="P4817" t="s">
        <v>514</v>
      </c>
      <c r="U4817">
        <v>0</v>
      </c>
      <c r="Y4817">
        <v>403</v>
      </c>
      <c r="Z4817" s="259" t="s">
        <v>637</v>
      </c>
      <c r="AB4817">
        <v>32132</v>
      </c>
      <c r="AF4817">
        <v>79627.7</v>
      </c>
      <c r="AG4817">
        <v>0</v>
      </c>
      <c r="AI4817">
        <v>79627.600000000006</v>
      </c>
      <c r="AJ4817">
        <v>0</v>
      </c>
      <c r="AK4817">
        <v>0</v>
      </c>
      <c r="AL4817">
        <v>0</v>
      </c>
      <c r="AM4817">
        <v>47868</v>
      </c>
      <c r="AN4817">
        <v>31759.7</v>
      </c>
      <c r="AO4817">
        <v>79627.7</v>
      </c>
      <c r="AP4817">
        <v>0</v>
      </c>
      <c r="AQ4817">
        <v>9.9999999991268851E-2</v>
      </c>
      <c r="AR4817">
        <v>1.2558459627776131E-6</v>
      </c>
      <c r="AS4817" t="s">
        <v>239</v>
      </c>
      <c r="AT4817" t="s">
        <v>514</v>
      </c>
    </row>
    <row r="4818" spans="2:46" x14ac:dyDescent="0.35">
      <c r="B4818" t="s">
        <v>565</v>
      </c>
      <c r="C4818">
        <v>45696</v>
      </c>
      <c r="J4818">
        <v>0</v>
      </c>
      <c r="O4818" t="s">
        <v>239</v>
      </c>
      <c r="P4818" t="s">
        <v>514</v>
      </c>
      <c r="U4818">
        <v>0</v>
      </c>
      <c r="Y4818">
        <v>404</v>
      </c>
      <c r="Z4818" s="259" t="s">
        <v>637</v>
      </c>
      <c r="AB4818">
        <v>32132</v>
      </c>
      <c r="AF4818">
        <v>79627.7</v>
      </c>
      <c r="AG4818">
        <v>0</v>
      </c>
      <c r="AI4818">
        <v>79627.7</v>
      </c>
      <c r="AJ4818">
        <v>0</v>
      </c>
      <c r="AK4818">
        <v>0</v>
      </c>
      <c r="AL4818">
        <v>0</v>
      </c>
      <c r="AM4818">
        <v>47868</v>
      </c>
      <c r="AN4818">
        <v>31759.7</v>
      </c>
      <c r="AO4818">
        <v>79627.7</v>
      </c>
      <c r="AP4818">
        <v>0</v>
      </c>
      <c r="AQ4818">
        <v>0</v>
      </c>
      <c r="AR4818">
        <v>0</v>
      </c>
      <c r="AS4818" t="s">
        <v>239</v>
      </c>
      <c r="AT4818" t="s">
        <v>514</v>
      </c>
    </row>
    <row r="4819" spans="2:46" x14ac:dyDescent="0.35">
      <c r="B4819" t="s">
        <v>565</v>
      </c>
      <c r="C4819">
        <v>45697</v>
      </c>
      <c r="J4819">
        <v>0</v>
      </c>
      <c r="O4819" t="s">
        <v>239</v>
      </c>
      <c r="P4819" t="s">
        <v>514</v>
      </c>
      <c r="U4819">
        <v>0</v>
      </c>
      <c r="Y4819">
        <v>405</v>
      </c>
      <c r="Z4819" s="259" t="s">
        <v>637</v>
      </c>
      <c r="AB4819">
        <v>32132</v>
      </c>
      <c r="AF4819">
        <v>79627.7</v>
      </c>
      <c r="AG4819">
        <v>0</v>
      </c>
      <c r="AI4819">
        <v>79627.7</v>
      </c>
      <c r="AJ4819">
        <v>0</v>
      </c>
      <c r="AK4819">
        <v>0</v>
      </c>
      <c r="AL4819">
        <v>0</v>
      </c>
      <c r="AM4819">
        <v>47868</v>
      </c>
      <c r="AN4819">
        <v>31759.7</v>
      </c>
      <c r="AO4819">
        <v>79627.7</v>
      </c>
      <c r="AP4819">
        <v>0</v>
      </c>
      <c r="AQ4819">
        <v>0</v>
      </c>
      <c r="AR4819">
        <v>0</v>
      </c>
      <c r="AS4819" t="s">
        <v>239</v>
      </c>
      <c r="AT4819" t="s">
        <v>514</v>
      </c>
    </row>
    <row r="4820" spans="2:46" x14ac:dyDescent="0.35">
      <c r="B4820" t="s">
        <v>565</v>
      </c>
      <c r="C4820">
        <v>45698</v>
      </c>
      <c r="J4820">
        <v>0</v>
      </c>
      <c r="O4820" t="s">
        <v>239</v>
      </c>
      <c r="P4820" t="s">
        <v>514</v>
      </c>
      <c r="U4820">
        <v>0</v>
      </c>
      <c r="Y4820">
        <v>406</v>
      </c>
      <c r="Z4820" s="259" t="s">
        <v>637</v>
      </c>
      <c r="AB4820">
        <v>32132</v>
      </c>
      <c r="AF4820">
        <v>79627.899999999994</v>
      </c>
      <c r="AG4820">
        <v>0</v>
      </c>
      <c r="AI4820">
        <v>79627.7</v>
      </c>
      <c r="AJ4820">
        <v>0</v>
      </c>
      <c r="AK4820">
        <v>0</v>
      </c>
      <c r="AL4820">
        <v>0</v>
      </c>
      <c r="AM4820">
        <v>47868</v>
      </c>
      <c r="AN4820">
        <v>31759.9</v>
      </c>
      <c r="AO4820">
        <v>79627.899999999994</v>
      </c>
      <c r="AP4820">
        <v>0</v>
      </c>
      <c r="AQ4820">
        <v>0.19999999999708962</v>
      </c>
      <c r="AR4820">
        <v>2.5116887716336578E-6</v>
      </c>
      <c r="AS4820" t="s">
        <v>239</v>
      </c>
      <c r="AT4820" t="s">
        <v>514</v>
      </c>
    </row>
    <row r="4821" spans="2:46" x14ac:dyDescent="0.35">
      <c r="B4821" t="s">
        <v>565</v>
      </c>
      <c r="C4821">
        <v>45699</v>
      </c>
      <c r="J4821">
        <v>0</v>
      </c>
      <c r="O4821" t="s">
        <v>239</v>
      </c>
      <c r="P4821" t="s">
        <v>514</v>
      </c>
      <c r="U4821">
        <v>0</v>
      </c>
      <c r="Y4821">
        <v>407</v>
      </c>
      <c r="Z4821" s="259" t="s">
        <v>637</v>
      </c>
      <c r="AB4821">
        <v>32132</v>
      </c>
      <c r="AF4821">
        <v>79628</v>
      </c>
      <c r="AG4821">
        <v>0</v>
      </c>
      <c r="AI4821">
        <v>79627.899999999994</v>
      </c>
      <c r="AJ4821">
        <v>0</v>
      </c>
      <c r="AK4821">
        <v>0</v>
      </c>
      <c r="AL4821">
        <v>0</v>
      </c>
      <c r="AM4821">
        <v>47868</v>
      </c>
      <c r="AN4821">
        <v>31760</v>
      </c>
      <c r="AO4821">
        <v>79628</v>
      </c>
      <c r="AP4821">
        <v>0</v>
      </c>
      <c r="AQ4821">
        <v>0.10000000000582077</v>
      </c>
      <c r="AR4821">
        <v>1.2558412316732159E-6</v>
      </c>
      <c r="AS4821" t="s">
        <v>239</v>
      </c>
      <c r="AT4821" t="s">
        <v>514</v>
      </c>
    </row>
    <row r="4822" spans="2:46" x14ac:dyDescent="0.35">
      <c r="B4822" t="s">
        <v>565</v>
      </c>
      <c r="C4822">
        <v>45700</v>
      </c>
      <c r="J4822">
        <v>0</v>
      </c>
      <c r="O4822" t="s">
        <v>239</v>
      </c>
      <c r="P4822" t="s">
        <v>514</v>
      </c>
      <c r="U4822">
        <v>0</v>
      </c>
      <c r="Y4822">
        <v>408</v>
      </c>
      <c r="Z4822" s="259" t="s">
        <v>637</v>
      </c>
      <c r="AB4822">
        <v>32132</v>
      </c>
      <c r="AF4822">
        <v>79627.3</v>
      </c>
      <c r="AG4822">
        <v>0</v>
      </c>
      <c r="AI4822">
        <v>79628</v>
      </c>
      <c r="AJ4822">
        <v>0</v>
      </c>
      <c r="AK4822">
        <v>0</v>
      </c>
      <c r="AL4822">
        <v>0</v>
      </c>
      <c r="AM4822">
        <v>47868</v>
      </c>
      <c r="AN4822">
        <v>31759.3</v>
      </c>
      <c r="AO4822">
        <v>79627.3</v>
      </c>
      <c r="AP4822">
        <v>0</v>
      </c>
      <c r="AQ4822">
        <v>-0.69999999999708962</v>
      </c>
      <c r="AR4822">
        <v>-8.7908775807665762E-6</v>
      </c>
      <c r="AS4822" t="s">
        <v>239</v>
      </c>
      <c r="AT4822" t="s">
        <v>514</v>
      </c>
    </row>
    <row r="4823" spans="2:46" x14ac:dyDescent="0.35">
      <c r="B4823" t="s">
        <v>565</v>
      </c>
      <c r="C4823">
        <v>45701</v>
      </c>
      <c r="J4823">
        <v>0</v>
      </c>
      <c r="O4823" t="s">
        <v>239</v>
      </c>
      <c r="P4823" t="s">
        <v>514</v>
      </c>
      <c r="U4823">
        <v>0</v>
      </c>
      <c r="Y4823">
        <v>409</v>
      </c>
      <c r="Z4823" s="259" t="s">
        <v>637</v>
      </c>
      <c r="AB4823">
        <v>32132</v>
      </c>
      <c r="AF4823">
        <v>79628.399999999994</v>
      </c>
      <c r="AG4823">
        <v>0</v>
      </c>
      <c r="AI4823">
        <v>79627.3</v>
      </c>
      <c r="AJ4823">
        <v>0</v>
      </c>
      <c r="AK4823">
        <v>0</v>
      </c>
      <c r="AL4823">
        <v>0</v>
      </c>
      <c r="AM4823">
        <v>47868</v>
      </c>
      <c r="AN4823">
        <v>31760.400000000001</v>
      </c>
      <c r="AO4823">
        <v>79628.399999999994</v>
      </c>
      <c r="AP4823">
        <v>0</v>
      </c>
      <c r="AQ4823">
        <v>1.0999999999912689</v>
      </c>
      <c r="AR4823">
        <v>1.3814357638475272E-5</v>
      </c>
      <c r="AS4823" t="s">
        <v>239</v>
      </c>
      <c r="AT4823" t="s">
        <v>514</v>
      </c>
    </row>
    <row r="4824" spans="2:46" x14ac:dyDescent="0.35">
      <c r="B4824" t="s">
        <v>565</v>
      </c>
      <c r="C4824">
        <v>45702</v>
      </c>
      <c r="J4824">
        <v>0</v>
      </c>
      <c r="O4824" t="s">
        <v>239</v>
      </c>
      <c r="P4824" t="s">
        <v>514</v>
      </c>
      <c r="U4824">
        <v>0</v>
      </c>
      <c r="Y4824">
        <v>410</v>
      </c>
      <c r="Z4824" s="259" t="s">
        <v>637</v>
      </c>
      <c r="AB4824">
        <v>32132</v>
      </c>
      <c r="AF4824">
        <v>79627.7</v>
      </c>
      <c r="AG4824">
        <v>0</v>
      </c>
      <c r="AI4824">
        <v>79628.399999999994</v>
      </c>
      <c r="AJ4824">
        <v>0</v>
      </c>
      <c r="AK4824">
        <v>0</v>
      </c>
      <c r="AL4824">
        <v>0</v>
      </c>
      <c r="AM4824">
        <v>47868</v>
      </c>
      <c r="AN4824">
        <v>31759.7</v>
      </c>
      <c r="AO4824">
        <v>79627.7</v>
      </c>
      <c r="AP4824">
        <v>0</v>
      </c>
      <c r="AQ4824">
        <v>-0.69999999999708962</v>
      </c>
      <c r="AR4824">
        <v>-8.7908334212016825E-6</v>
      </c>
      <c r="AS4824" t="s">
        <v>239</v>
      </c>
      <c r="AT4824" t="s">
        <v>514</v>
      </c>
    </row>
    <row r="4825" spans="2:46" x14ac:dyDescent="0.35">
      <c r="B4825" t="s">
        <v>565</v>
      </c>
      <c r="C4825">
        <v>45703</v>
      </c>
      <c r="J4825">
        <v>0</v>
      </c>
      <c r="O4825" t="s">
        <v>239</v>
      </c>
      <c r="P4825" t="s">
        <v>514</v>
      </c>
      <c r="U4825">
        <v>0</v>
      </c>
      <c r="Y4825">
        <v>411</v>
      </c>
      <c r="Z4825" s="259" t="s">
        <v>637</v>
      </c>
      <c r="AB4825">
        <v>32132</v>
      </c>
      <c r="AF4825">
        <v>79627.7</v>
      </c>
      <c r="AG4825">
        <v>0</v>
      </c>
      <c r="AI4825">
        <v>79627.7</v>
      </c>
      <c r="AJ4825">
        <v>0</v>
      </c>
      <c r="AK4825">
        <v>0</v>
      </c>
      <c r="AL4825">
        <v>0</v>
      </c>
      <c r="AM4825">
        <v>47868</v>
      </c>
      <c r="AN4825">
        <v>31759.7</v>
      </c>
      <c r="AO4825">
        <v>79627.7</v>
      </c>
      <c r="AP4825">
        <v>0</v>
      </c>
      <c r="AQ4825">
        <v>0</v>
      </c>
      <c r="AR4825">
        <v>0</v>
      </c>
      <c r="AS4825" t="s">
        <v>239</v>
      </c>
      <c r="AT4825" t="s">
        <v>514</v>
      </c>
    </row>
    <row r="4826" spans="2:46" x14ac:dyDescent="0.35">
      <c r="B4826" t="s">
        <v>565</v>
      </c>
      <c r="C4826">
        <v>45704</v>
      </c>
      <c r="J4826">
        <v>0</v>
      </c>
      <c r="O4826" t="s">
        <v>239</v>
      </c>
      <c r="P4826" t="s">
        <v>514</v>
      </c>
      <c r="U4826">
        <v>0</v>
      </c>
      <c r="Y4826">
        <v>412</v>
      </c>
      <c r="Z4826" s="259" t="s">
        <v>637</v>
      </c>
      <c r="AB4826">
        <v>32132</v>
      </c>
      <c r="AF4826">
        <v>79627.7</v>
      </c>
      <c r="AG4826">
        <v>0</v>
      </c>
      <c r="AI4826">
        <v>79627.7</v>
      </c>
      <c r="AJ4826">
        <v>0</v>
      </c>
      <c r="AK4826">
        <v>0</v>
      </c>
      <c r="AL4826">
        <v>0</v>
      </c>
      <c r="AM4826">
        <v>47868</v>
      </c>
      <c r="AN4826">
        <v>31759.7</v>
      </c>
      <c r="AO4826">
        <v>79627.7</v>
      </c>
      <c r="AP4826">
        <v>0</v>
      </c>
      <c r="AQ4826">
        <v>0</v>
      </c>
      <c r="AR4826">
        <v>0</v>
      </c>
      <c r="AS4826" t="s">
        <v>239</v>
      </c>
      <c r="AT4826" t="s">
        <v>514</v>
      </c>
    </row>
    <row r="4827" spans="2:46" x14ac:dyDescent="0.35">
      <c r="B4827" t="s">
        <v>565</v>
      </c>
      <c r="C4827">
        <v>45705</v>
      </c>
      <c r="J4827">
        <v>0</v>
      </c>
      <c r="O4827" t="s">
        <v>239</v>
      </c>
      <c r="P4827" t="s">
        <v>514</v>
      </c>
      <c r="U4827">
        <v>0</v>
      </c>
      <c r="Y4827">
        <v>413</v>
      </c>
      <c r="Z4827" s="259" t="s">
        <v>637</v>
      </c>
      <c r="AB4827">
        <v>32132</v>
      </c>
      <c r="AF4827">
        <v>79628.7</v>
      </c>
      <c r="AG4827">
        <v>0</v>
      </c>
      <c r="AI4827">
        <v>79627.7</v>
      </c>
      <c r="AJ4827">
        <v>0</v>
      </c>
      <c r="AK4827">
        <v>0</v>
      </c>
      <c r="AL4827">
        <v>0</v>
      </c>
      <c r="AM4827">
        <v>47868</v>
      </c>
      <c r="AN4827">
        <v>31760.7</v>
      </c>
      <c r="AO4827">
        <v>79628.7</v>
      </c>
      <c r="AP4827">
        <v>0</v>
      </c>
      <c r="AQ4827">
        <v>1</v>
      </c>
      <c r="AR4827">
        <v>1.2558443858168289E-5</v>
      </c>
      <c r="AS4827" t="s">
        <v>239</v>
      </c>
      <c r="AT4827" t="s">
        <v>514</v>
      </c>
    </row>
    <row r="4828" spans="2:46" x14ac:dyDescent="0.35">
      <c r="B4828" t="s">
        <v>565</v>
      </c>
      <c r="C4828">
        <v>45706</v>
      </c>
      <c r="J4828">
        <v>0</v>
      </c>
      <c r="O4828" t="s">
        <v>239</v>
      </c>
      <c r="P4828" t="s">
        <v>514</v>
      </c>
      <c r="U4828">
        <v>0</v>
      </c>
      <c r="Y4828">
        <v>414</v>
      </c>
      <c r="Z4828" s="259" t="s">
        <v>637</v>
      </c>
      <c r="AB4828">
        <v>32132</v>
      </c>
      <c r="AF4828">
        <v>79628</v>
      </c>
      <c r="AG4828">
        <v>0</v>
      </c>
      <c r="AI4828">
        <v>79628.7</v>
      </c>
      <c r="AJ4828">
        <v>0</v>
      </c>
      <c r="AK4828">
        <v>0</v>
      </c>
      <c r="AL4828">
        <v>0</v>
      </c>
      <c r="AM4828">
        <v>47868</v>
      </c>
      <c r="AN4828">
        <v>31760</v>
      </c>
      <c r="AO4828">
        <v>79628</v>
      </c>
      <c r="AP4828">
        <v>0</v>
      </c>
      <c r="AQ4828">
        <v>-0.69999999999708962</v>
      </c>
      <c r="AR4828">
        <v>-8.7908003019165903E-6</v>
      </c>
      <c r="AS4828" t="s">
        <v>239</v>
      </c>
      <c r="AT4828" t="s">
        <v>514</v>
      </c>
    </row>
    <row r="4829" spans="2:46" x14ac:dyDescent="0.35">
      <c r="B4829" t="s">
        <v>565</v>
      </c>
      <c r="C4829">
        <v>45707</v>
      </c>
      <c r="J4829">
        <v>0</v>
      </c>
      <c r="O4829" t="s">
        <v>239</v>
      </c>
      <c r="P4829" t="s">
        <v>514</v>
      </c>
      <c r="U4829">
        <v>0</v>
      </c>
      <c r="Y4829">
        <v>415</v>
      </c>
      <c r="Z4829" s="259" t="s">
        <v>637</v>
      </c>
      <c r="AB4829">
        <v>32132</v>
      </c>
      <c r="AF4829">
        <v>79628.100000000006</v>
      </c>
      <c r="AG4829">
        <v>0</v>
      </c>
      <c r="AI4829">
        <v>79628</v>
      </c>
      <c r="AJ4829">
        <v>0</v>
      </c>
      <c r="AK4829">
        <v>0</v>
      </c>
      <c r="AL4829">
        <v>0</v>
      </c>
      <c r="AM4829">
        <v>47868</v>
      </c>
      <c r="AN4829">
        <v>31760.1</v>
      </c>
      <c r="AO4829">
        <v>79628.100000000006</v>
      </c>
      <c r="AP4829">
        <v>0</v>
      </c>
      <c r="AQ4829">
        <v>0.10000000000582077</v>
      </c>
      <c r="AR4829">
        <v>1.2558396544903871E-6</v>
      </c>
      <c r="AS4829" t="s">
        <v>239</v>
      </c>
      <c r="AT4829" t="s">
        <v>514</v>
      </c>
    </row>
    <row r="4830" spans="2:46" x14ac:dyDescent="0.35">
      <c r="B4830" t="s">
        <v>565</v>
      </c>
      <c r="C4830">
        <v>45708</v>
      </c>
      <c r="J4830">
        <v>0</v>
      </c>
      <c r="O4830" t="s">
        <v>239</v>
      </c>
      <c r="P4830" t="s">
        <v>514</v>
      </c>
      <c r="U4830">
        <v>0</v>
      </c>
      <c r="Y4830">
        <v>416</v>
      </c>
      <c r="Z4830" s="259" t="s">
        <v>637</v>
      </c>
      <c r="AB4830">
        <v>32132</v>
      </c>
      <c r="AF4830">
        <v>79627.899999999994</v>
      </c>
      <c r="AG4830">
        <v>0</v>
      </c>
      <c r="AI4830">
        <v>79628.100000000006</v>
      </c>
      <c r="AJ4830">
        <v>0</v>
      </c>
      <c r="AK4830">
        <v>0</v>
      </c>
      <c r="AL4830">
        <v>0</v>
      </c>
      <c r="AM4830">
        <v>47868</v>
      </c>
      <c r="AN4830">
        <v>31759.9</v>
      </c>
      <c r="AO4830">
        <v>79627.899999999994</v>
      </c>
      <c r="AP4830">
        <v>0</v>
      </c>
      <c r="AQ4830">
        <v>-0.20000000001164153</v>
      </c>
      <c r="AR4830">
        <v>-2.5116761546151167E-6</v>
      </c>
      <c r="AS4830" t="s">
        <v>239</v>
      </c>
      <c r="AT4830" t="s">
        <v>514</v>
      </c>
    </row>
    <row r="4831" spans="2:46" x14ac:dyDescent="0.35">
      <c r="B4831" t="s">
        <v>565</v>
      </c>
      <c r="C4831">
        <v>45709</v>
      </c>
      <c r="J4831">
        <v>0</v>
      </c>
      <c r="O4831" t="s">
        <v>239</v>
      </c>
      <c r="P4831" t="s">
        <v>514</v>
      </c>
      <c r="U4831">
        <v>0</v>
      </c>
      <c r="Y4831">
        <v>417</v>
      </c>
      <c r="Z4831" s="259" t="s">
        <v>637</v>
      </c>
      <c r="AB4831">
        <v>32132</v>
      </c>
      <c r="AF4831">
        <v>79628</v>
      </c>
      <c r="AG4831">
        <v>0</v>
      </c>
      <c r="AI4831">
        <v>79627.899999999994</v>
      </c>
      <c r="AJ4831">
        <v>0</v>
      </c>
      <c r="AK4831">
        <v>0</v>
      </c>
      <c r="AL4831">
        <v>0</v>
      </c>
      <c r="AM4831">
        <v>47868</v>
      </c>
      <c r="AN4831">
        <v>31760</v>
      </c>
      <c r="AO4831">
        <v>79628</v>
      </c>
      <c r="AP4831">
        <v>0</v>
      </c>
      <c r="AQ4831">
        <v>0.10000000000582077</v>
      </c>
      <c r="AR4831">
        <v>1.2558412316732159E-6</v>
      </c>
      <c r="AS4831" t="s">
        <v>239</v>
      </c>
      <c r="AT4831" t="s">
        <v>514</v>
      </c>
    </row>
    <row r="4832" spans="2:46" x14ac:dyDescent="0.35">
      <c r="B4832" t="s">
        <v>565</v>
      </c>
      <c r="C4832">
        <v>45710</v>
      </c>
      <c r="J4832">
        <v>0</v>
      </c>
      <c r="O4832" t="s">
        <v>239</v>
      </c>
      <c r="P4832" t="s">
        <v>514</v>
      </c>
      <c r="U4832">
        <v>0</v>
      </c>
      <c r="Y4832">
        <v>418</v>
      </c>
      <c r="Z4832" s="259" t="s">
        <v>637</v>
      </c>
      <c r="AB4832">
        <v>32132</v>
      </c>
      <c r="AF4832">
        <v>79628</v>
      </c>
      <c r="AG4832">
        <v>0</v>
      </c>
      <c r="AI4832">
        <v>79628</v>
      </c>
      <c r="AJ4832">
        <v>0</v>
      </c>
      <c r="AK4832">
        <v>0</v>
      </c>
      <c r="AL4832">
        <v>0</v>
      </c>
      <c r="AM4832">
        <v>47868</v>
      </c>
      <c r="AN4832">
        <v>31760</v>
      </c>
      <c r="AO4832">
        <v>79628</v>
      </c>
      <c r="AP4832">
        <v>0</v>
      </c>
      <c r="AQ4832">
        <v>0</v>
      </c>
      <c r="AR4832">
        <v>0</v>
      </c>
      <c r="AS4832" t="s">
        <v>239</v>
      </c>
      <c r="AT4832" t="s">
        <v>514</v>
      </c>
    </row>
    <row r="4833" spans="2:46" x14ac:dyDescent="0.35">
      <c r="B4833" t="s">
        <v>565</v>
      </c>
      <c r="C4833">
        <v>45711</v>
      </c>
      <c r="J4833">
        <v>0</v>
      </c>
      <c r="O4833" t="s">
        <v>239</v>
      </c>
      <c r="P4833" t="s">
        <v>514</v>
      </c>
      <c r="U4833">
        <v>0</v>
      </c>
      <c r="Y4833">
        <v>419</v>
      </c>
      <c r="Z4833" s="259" t="s">
        <v>637</v>
      </c>
      <c r="AB4833">
        <v>32132</v>
      </c>
      <c r="AF4833">
        <v>79628</v>
      </c>
      <c r="AG4833">
        <v>0</v>
      </c>
      <c r="AI4833">
        <v>79628</v>
      </c>
      <c r="AJ4833">
        <v>0</v>
      </c>
      <c r="AK4833">
        <v>0</v>
      </c>
      <c r="AL4833">
        <v>0</v>
      </c>
      <c r="AM4833">
        <v>47868</v>
      </c>
      <c r="AN4833">
        <v>31760</v>
      </c>
      <c r="AO4833">
        <v>79628</v>
      </c>
      <c r="AP4833">
        <v>0</v>
      </c>
      <c r="AQ4833">
        <v>0</v>
      </c>
      <c r="AR4833">
        <v>0</v>
      </c>
      <c r="AS4833" t="s">
        <v>239</v>
      </c>
      <c r="AT4833" t="s">
        <v>514</v>
      </c>
    </row>
    <row r="4834" spans="2:46" x14ac:dyDescent="0.35">
      <c r="B4834" t="s">
        <v>565</v>
      </c>
      <c r="C4834">
        <v>45712</v>
      </c>
      <c r="J4834">
        <v>0</v>
      </c>
      <c r="O4834" t="s">
        <v>239</v>
      </c>
      <c r="P4834" t="s">
        <v>514</v>
      </c>
      <c r="U4834">
        <v>0</v>
      </c>
      <c r="Y4834">
        <v>420</v>
      </c>
      <c r="Z4834" s="259" t="s">
        <v>637</v>
      </c>
      <c r="AB4834">
        <v>32132</v>
      </c>
      <c r="AF4834">
        <v>79627.7</v>
      </c>
      <c r="AG4834">
        <v>0</v>
      </c>
      <c r="AI4834">
        <v>79628</v>
      </c>
      <c r="AJ4834">
        <v>0</v>
      </c>
      <c r="AK4834">
        <v>0</v>
      </c>
      <c r="AL4834">
        <v>0</v>
      </c>
      <c r="AM4834">
        <v>47868</v>
      </c>
      <c r="AN4834">
        <v>31759.7</v>
      </c>
      <c r="AO4834">
        <v>79627.7</v>
      </c>
      <c r="AP4834">
        <v>0</v>
      </c>
      <c r="AQ4834">
        <v>-0.30000000000291038</v>
      </c>
      <c r="AR4834">
        <v>-3.7675189632491168E-6</v>
      </c>
      <c r="AS4834" t="s">
        <v>239</v>
      </c>
      <c r="AT4834" t="s">
        <v>514</v>
      </c>
    </row>
    <row r="4835" spans="2:46" x14ac:dyDescent="0.35">
      <c r="B4835" t="s">
        <v>565</v>
      </c>
      <c r="C4835">
        <v>45713</v>
      </c>
      <c r="J4835">
        <v>0</v>
      </c>
      <c r="O4835" t="s">
        <v>239</v>
      </c>
      <c r="P4835" t="s">
        <v>514</v>
      </c>
      <c r="U4835">
        <v>0</v>
      </c>
      <c r="Y4835">
        <v>421</v>
      </c>
      <c r="Z4835" s="259" t="s">
        <v>637</v>
      </c>
      <c r="AB4835">
        <v>32132</v>
      </c>
      <c r="AF4835">
        <v>79627.8</v>
      </c>
      <c r="AG4835">
        <v>0</v>
      </c>
      <c r="AI4835">
        <v>79627.7</v>
      </c>
      <c r="AJ4835">
        <v>0</v>
      </c>
      <c r="AK4835">
        <v>0</v>
      </c>
      <c r="AL4835">
        <v>0</v>
      </c>
      <c r="AM4835">
        <v>47868</v>
      </c>
      <c r="AN4835">
        <v>31759.8</v>
      </c>
      <c r="AO4835">
        <v>79627.8</v>
      </c>
      <c r="AP4835">
        <v>0</v>
      </c>
      <c r="AQ4835">
        <v>0.10000000000582077</v>
      </c>
      <c r="AR4835">
        <v>1.2558443858168289E-6</v>
      </c>
      <c r="AS4835" t="s">
        <v>239</v>
      </c>
      <c r="AT4835" t="s">
        <v>514</v>
      </c>
    </row>
    <row r="4836" spans="2:46" x14ac:dyDescent="0.35">
      <c r="B4836" t="s">
        <v>565</v>
      </c>
      <c r="C4836">
        <v>45714</v>
      </c>
      <c r="J4836">
        <v>0</v>
      </c>
      <c r="O4836" t="s">
        <v>239</v>
      </c>
      <c r="P4836" t="s">
        <v>514</v>
      </c>
      <c r="U4836">
        <v>0</v>
      </c>
      <c r="Y4836">
        <v>422</v>
      </c>
      <c r="Z4836" s="259" t="s">
        <v>637</v>
      </c>
      <c r="AB4836">
        <v>32132</v>
      </c>
      <c r="AF4836">
        <v>79628.600000000006</v>
      </c>
      <c r="AG4836">
        <v>0</v>
      </c>
      <c r="AI4836">
        <v>79627.8</v>
      </c>
      <c r="AJ4836">
        <v>0</v>
      </c>
      <c r="AK4836">
        <v>0</v>
      </c>
      <c r="AL4836">
        <v>0</v>
      </c>
      <c r="AM4836">
        <v>47868</v>
      </c>
      <c r="AN4836">
        <v>31760.6</v>
      </c>
      <c r="AO4836">
        <v>79628.600000000006</v>
      </c>
      <c r="AP4836">
        <v>0</v>
      </c>
      <c r="AQ4836">
        <v>0.80000000000291038</v>
      </c>
      <c r="AR4836">
        <v>1.0046742469294045E-5</v>
      </c>
      <c r="AS4836" t="s">
        <v>239</v>
      </c>
      <c r="AT4836" t="s">
        <v>514</v>
      </c>
    </row>
    <row r="4837" spans="2:46" x14ac:dyDescent="0.35">
      <c r="B4837" t="s">
        <v>565</v>
      </c>
      <c r="C4837">
        <v>45715</v>
      </c>
      <c r="J4837">
        <v>0</v>
      </c>
      <c r="O4837" t="s">
        <v>239</v>
      </c>
      <c r="P4837" t="s">
        <v>514</v>
      </c>
      <c r="U4837">
        <v>0</v>
      </c>
      <c r="Y4837">
        <v>423</v>
      </c>
      <c r="Z4837" s="259" t="s">
        <v>637</v>
      </c>
      <c r="AB4837">
        <v>32132</v>
      </c>
      <c r="AF4837">
        <v>79628.7</v>
      </c>
      <c r="AG4837">
        <v>0</v>
      </c>
      <c r="AI4837">
        <v>79628.600000000006</v>
      </c>
      <c r="AJ4837">
        <v>0</v>
      </c>
      <c r="AK4837">
        <v>0</v>
      </c>
      <c r="AL4837">
        <v>0</v>
      </c>
      <c r="AM4837">
        <v>47868</v>
      </c>
      <c r="AN4837">
        <v>31760.7</v>
      </c>
      <c r="AO4837">
        <v>79628.7</v>
      </c>
      <c r="AP4837">
        <v>0</v>
      </c>
      <c r="AQ4837">
        <v>9.9999999991268851E-2</v>
      </c>
      <c r="AR4837">
        <v>1.2558301916154591E-6</v>
      </c>
      <c r="AS4837" t="s">
        <v>239</v>
      </c>
      <c r="AT4837" t="s">
        <v>514</v>
      </c>
    </row>
    <row r="4838" spans="2:46" x14ac:dyDescent="0.35">
      <c r="B4838" t="s">
        <v>565</v>
      </c>
      <c r="C4838">
        <v>45716</v>
      </c>
      <c r="J4838">
        <v>0</v>
      </c>
      <c r="O4838" t="s">
        <v>239</v>
      </c>
      <c r="P4838" t="s">
        <v>514</v>
      </c>
      <c r="U4838">
        <v>0</v>
      </c>
      <c r="Y4838">
        <v>424</v>
      </c>
      <c r="Z4838" s="259" t="s">
        <v>637</v>
      </c>
      <c r="AB4838">
        <v>32132</v>
      </c>
      <c r="AF4838">
        <v>79628</v>
      </c>
      <c r="AG4838">
        <v>0</v>
      </c>
      <c r="AI4838">
        <v>79628.7</v>
      </c>
      <c r="AJ4838">
        <v>0</v>
      </c>
      <c r="AK4838">
        <v>0</v>
      </c>
      <c r="AL4838">
        <v>0</v>
      </c>
      <c r="AM4838">
        <v>47868</v>
      </c>
      <c r="AN4838">
        <v>31760</v>
      </c>
      <c r="AO4838">
        <v>79628</v>
      </c>
      <c r="AP4838">
        <v>0</v>
      </c>
      <c r="AQ4838">
        <v>-0.69999999999708962</v>
      </c>
      <c r="AR4838">
        <v>-8.7908003019165903E-6</v>
      </c>
      <c r="AS4838" t="s">
        <v>239</v>
      </c>
      <c r="AT4838" t="s">
        <v>514</v>
      </c>
    </row>
    <row r="4839" spans="2:46" x14ac:dyDescent="0.35">
      <c r="B4839" t="s">
        <v>565</v>
      </c>
      <c r="C4839">
        <v>45717</v>
      </c>
      <c r="J4839">
        <v>0</v>
      </c>
      <c r="O4839" t="s">
        <v>239</v>
      </c>
      <c r="P4839" t="s">
        <v>514</v>
      </c>
      <c r="U4839">
        <v>0</v>
      </c>
      <c r="Y4839">
        <v>425</v>
      </c>
      <c r="Z4839" s="259" t="s">
        <v>637</v>
      </c>
      <c r="AB4839">
        <v>32132</v>
      </c>
      <c r="AF4839">
        <v>79628</v>
      </c>
      <c r="AG4839">
        <v>0</v>
      </c>
      <c r="AI4839">
        <v>79628</v>
      </c>
      <c r="AJ4839">
        <v>0</v>
      </c>
      <c r="AK4839">
        <v>0</v>
      </c>
      <c r="AL4839">
        <v>0</v>
      </c>
      <c r="AM4839">
        <v>47868</v>
      </c>
      <c r="AN4839">
        <v>31760</v>
      </c>
      <c r="AO4839">
        <v>79628</v>
      </c>
      <c r="AP4839">
        <v>0</v>
      </c>
      <c r="AQ4839">
        <v>0</v>
      </c>
      <c r="AR4839">
        <v>0</v>
      </c>
      <c r="AS4839" t="s">
        <v>239</v>
      </c>
      <c r="AT4839" t="s">
        <v>514</v>
      </c>
    </row>
    <row r="4840" spans="2:46" x14ac:dyDescent="0.35">
      <c r="B4840" t="s">
        <v>565</v>
      </c>
      <c r="C4840">
        <v>45718</v>
      </c>
      <c r="J4840">
        <v>0</v>
      </c>
      <c r="O4840" t="s">
        <v>239</v>
      </c>
      <c r="P4840" t="s">
        <v>514</v>
      </c>
      <c r="U4840">
        <v>0</v>
      </c>
      <c r="Y4840">
        <v>426</v>
      </c>
      <c r="Z4840" s="259" t="s">
        <v>637</v>
      </c>
      <c r="AB4840">
        <v>32132</v>
      </c>
      <c r="AF4840">
        <v>79628</v>
      </c>
      <c r="AG4840">
        <v>0</v>
      </c>
      <c r="AI4840">
        <v>79628</v>
      </c>
      <c r="AJ4840">
        <v>0</v>
      </c>
      <c r="AK4840">
        <v>0</v>
      </c>
      <c r="AL4840">
        <v>0</v>
      </c>
      <c r="AM4840">
        <v>47868</v>
      </c>
      <c r="AN4840">
        <v>31760</v>
      </c>
      <c r="AO4840">
        <v>79628</v>
      </c>
      <c r="AP4840">
        <v>0</v>
      </c>
      <c r="AQ4840">
        <v>0</v>
      </c>
      <c r="AR4840">
        <v>0</v>
      </c>
      <c r="AS4840" t="s">
        <v>239</v>
      </c>
      <c r="AT4840" t="s">
        <v>514</v>
      </c>
    </row>
    <row r="4841" spans="2:46" x14ac:dyDescent="0.35">
      <c r="B4841" t="s">
        <v>565</v>
      </c>
      <c r="C4841">
        <v>45719</v>
      </c>
      <c r="J4841">
        <v>0</v>
      </c>
      <c r="O4841" t="s">
        <v>239</v>
      </c>
      <c r="P4841" t="s">
        <v>514</v>
      </c>
      <c r="U4841">
        <v>0</v>
      </c>
      <c r="Y4841">
        <v>427</v>
      </c>
      <c r="Z4841" s="259" t="s">
        <v>637</v>
      </c>
      <c r="AB4841">
        <v>32132</v>
      </c>
      <c r="AF4841">
        <v>84646</v>
      </c>
      <c r="AG4841">
        <v>0</v>
      </c>
      <c r="AI4841">
        <v>79628</v>
      </c>
      <c r="AJ4841">
        <v>0</v>
      </c>
      <c r="AK4841">
        <v>5000</v>
      </c>
      <c r="AL4841">
        <v>5000</v>
      </c>
      <c r="AM4841">
        <v>52868</v>
      </c>
      <c r="AN4841">
        <v>31778</v>
      </c>
      <c r="AO4841">
        <v>84646</v>
      </c>
      <c r="AP4841">
        <v>0</v>
      </c>
      <c r="AQ4841">
        <v>18</v>
      </c>
      <c r="AR4841">
        <v>2.2605113779072816E-4</v>
      </c>
      <c r="AS4841" t="s">
        <v>239</v>
      </c>
      <c r="AT4841" t="s">
        <v>514</v>
      </c>
    </row>
    <row r="4842" spans="2:46" x14ac:dyDescent="0.35">
      <c r="B4842" t="s">
        <v>565</v>
      </c>
      <c r="C4842">
        <v>45720</v>
      </c>
      <c r="J4842">
        <v>0</v>
      </c>
      <c r="O4842" t="s">
        <v>239</v>
      </c>
      <c r="P4842" t="s">
        <v>514</v>
      </c>
      <c r="U4842">
        <v>0</v>
      </c>
      <c r="Y4842">
        <v>428</v>
      </c>
      <c r="Z4842" s="259" t="s">
        <v>637</v>
      </c>
      <c r="AB4842">
        <v>32132</v>
      </c>
      <c r="AF4842">
        <v>84655</v>
      </c>
      <c r="AG4842">
        <v>0</v>
      </c>
      <c r="AI4842">
        <v>84646</v>
      </c>
      <c r="AJ4842">
        <v>0</v>
      </c>
      <c r="AK4842">
        <v>0</v>
      </c>
      <c r="AL4842">
        <v>0</v>
      </c>
      <c r="AM4842">
        <v>52868</v>
      </c>
      <c r="AN4842">
        <v>31787</v>
      </c>
      <c r="AO4842">
        <v>84655</v>
      </c>
      <c r="AP4842">
        <v>0</v>
      </c>
      <c r="AQ4842">
        <v>9</v>
      </c>
      <c r="AR4842">
        <v>1.0632516598541031E-4</v>
      </c>
      <c r="AS4842" t="s">
        <v>239</v>
      </c>
      <c r="AT4842" t="s">
        <v>514</v>
      </c>
    </row>
    <row r="4843" spans="2:46" x14ac:dyDescent="0.35">
      <c r="B4843" t="s">
        <v>565</v>
      </c>
      <c r="C4843">
        <v>45721</v>
      </c>
      <c r="J4843">
        <v>0</v>
      </c>
      <c r="O4843" t="s">
        <v>239</v>
      </c>
      <c r="P4843" t="s">
        <v>514</v>
      </c>
      <c r="U4843">
        <v>0</v>
      </c>
      <c r="Y4843">
        <v>429</v>
      </c>
      <c r="Z4843" s="259" t="s">
        <v>637</v>
      </c>
      <c r="AB4843">
        <v>32132</v>
      </c>
      <c r="AF4843">
        <v>84664</v>
      </c>
      <c r="AG4843">
        <v>0</v>
      </c>
      <c r="AI4843">
        <v>84655</v>
      </c>
      <c r="AJ4843">
        <v>0</v>
      </c>
      <c r="AK4843">
        <v>0</v>
      </c>
      <c r="AL4843">
        <v>0</v>
      </c>
      <c r="AM4843">
        <v>52868</v>
      </c>
      <c r="AN4843">
        <v>31796</v>
      </c>
      <c r="AO4843">
        <v>84664</v>
      </c>
      <c r="AP4843">
        <v>0</v>
      </c>
      <c r="AQ4843">
        <v>9</v>
      </c>
      <c r="AR4843">
        <v>1.0631386214643435E-4</v>
      </c>
      <c r="AS4843" t="s">
        <v>239</v>
      </c>
      <c r="AT4843" t="s">
        <v>514</v>
      </c>
    </row>
    <row r="4844" spans="2:46" x14ac:dyDescent="0.35">
      <c r="B4844" t="s">
        <v>565</v>
      </c>
      <c r="C4844">
        <v>45722</v>
      </c>
      <c r="J4844">
        <v>0</v>
      </c>
      <c r="O4844" t="s">
        <v>239</v>
      </c>
      <c r="P4844" t="s">
        <v>514</v>
      </c>
      <c r="U4844">
        <v>0</v>
      </c>
      <c r="Y4844">
        <v>430</v>
      </c>
      <c r="Z4844" s="259" t="s">
        <v>637</v>
      </c>
      <c r="AB4844">
        <v>32132</v>
      </c>
      <c r="AF4844">
        <v>84673</v>
      </c>
      <c r="AG4844">
        <v>0</v>
      </c>
      <c r="AI4844">
        <v>84664</v>
      </c>
      <c r="AJ4844">
        <v>0</v>
      </c>
      <c r="AK4844">
        <v>0</v>
      </c>
      <c r="AL4844">
        <v>0</v>
      </c>
      <c r="AM4844">
        <v>52868</v>
      </c>
      <c r="AN4844">
        <v>31805</v>
      </c>
      <c r="AO4844">
        <v>84673</v>
      </c>
      <c r="AP4844">
        <v>0</v>
      </c>
      <c r="AQ4844">
        <v>9</v>
      </c>
      <c r="AR4844">
        <v>1.0630256071064714E-4</v>
      </c>
      <c r="AS4844" t="s">
        <v>239</v>
      </c>
      <c r="AT4844" t="s">
        <v>514</v>
      </c>
    </row>
    <row r="4845" spans="2:46" x14ac:dyDescent="0.35">
      <c r="B4845" t="s">
        <v>565</v>
      </c>
      <c r="C4845">
        <v>45723</v>
      </c>
      <c r="J4845">
        <v>0</v>
      </c>
      <c r="O4845" t="s">
        <v>239</v>
      </c>
      <c r="P4845" t="s">
        <v>514</v>
      </c>
      <c r="U4845">
        <v>0</v>
      </c>
      <c r="Y4845">
        <v>431</v>
      </c>
      <c r="Z4845" s="259" t="s">
        <v>637</v>
      </c>
      <c r="AB4845">
        <v>32132</v>
      </c>
      <c r="AF4845">
        <v>84682</v>
      </c>
      <c r="AG4845">
        <v>0</v>
      </c>
      <c r="AI4845">
        <v>84673</v>
      </c>
      <c r="AJ4845">
        <v>0</v>
      </c>
      <c r="AK4845">
        <v>0</v>
      </c>
      <c r="AL4845">
        <v>0</v>
      </c>
      <c r="AM4845">
        <v>52868</v>
      </c>
      <c r="AN4845">
        <v>31814</v>
      </c>
      <c r="AO4845">
        <v>84682</v>
      </c>
      <c r="AP4845">
        <v>0</v>
      </c>
      <c r="AQ4845">
        <v>9</v>
      </c>
      <c r="AR4845">
        <v>1.0629126167738256E-4</v>
      </c>
      <c r="AS4845" t="s">
        <v>239</v>
      </c>
      <c r="AT4845" t="s">
        <v>514</v>
      </c>
    </row>
    <row r="4846" spans="2:46" x14ac:dyDescent="0.35">
      <c r="B4846" t="s">
        <v>565</v>
      </c>
      <c r="C4846">
        <v>45724</v>
      </c>
      <c r="J4846">
        <v>0</v>
      </c>
      <c r="O4846" t="s">
        <v>239</v>
      </c>
      <c r="P4846" t="s">
        <v>514</v>
      </c>
      <c r="U4846">
        <v>0</v>
      </c>
      <c r="Y4846">
        <v>432</v>
      </c>
      <c r="Z4846" s="259" t="s">
        <v>637</v>
      </c>
      <c r="AB4846">
        <v>32132</v>
      </c>
      <c r="AF4846">
        <v>84682</v>
      </c>
      <c r="AG4846">
        <v>0</v>
      </c>
      <c r="AI4846">
        <v>84682</v>
      </c>
      <c r="AJ4846">
        <v>0</v>
      </c>
      <c r="AK4846">
        <v>0</v>
      </c>
      <c r="AL4846">
        <v>0</v>
      </c>
      <c r="AM4846">
        <v>52868</v>
      </c>
      <c r="AN4846">
        <v>31814</v>
      </c>
      <c r="AO4846">
        <v>84682</v>
      </c>
      <c r="AP4846">
        <v>0</v>
      </c>
      <c r="AQ4846">
        <v>0</v>
      </c>
      <c r="AR4846">
        <v>0</v>
      </c>
      <c r="AS4846" t="s">
        <v>239</v>
      </c>
      <c r="AT4846" t="s">
        <v>514</v>
      </c>
    </row>
    <row r="4847" spans="2:46" x14ac:dyDescent="0.35">
      <c r="B4847" t="s">
        <v>565</v>
      </c>
      <c r="C4847">
        <v>45725</v>
      </c>
      <c r="J4847">
        <v>0</v>
      </c>
      <c r="O4847" t="s">
        <v>239</v>
      </c>
      <c r="P4847" t="s">
        <v>514</v>
      </c>
      <c r="U4847">
        <v>0</v>
      </c>
      <c r="Y4847">
        <v>433</v>
      </c>
      <c r="Z4847" s="259" t="s">
        <v>637</v>
      </c>
      <c r="AB4847">
        <v>32132</v>
      </c>
      <c r="AF4847">
        <v>84682</v>
      </c>
      <c r="AG4847">
        <v>0</v>
      </c>
      <c r="AI4847">
        <v>84682</v>
      </c>
      <c r="AJ4847">
        <v>0</v>
      </c>
      <c r="AK4847">
        <v>0</v>
      </c>
      <c r="AL4847">
        <v>0</v>
      </c>
      <c r="AM4847">
        <v>52868</v>
      </c>
      <c r="AN4847">
        <v>31814</v>
      </c>
      <c r="AO4847">
        <v>84682</v>
      </c>
      <c r="AP4847">
        <v>0</v>
      </c>
      <c r="AQ4847">
        <v>0</v>
      </c>
      <c r="AR4847">
        <v>0</v>
      </c>
      <c r="AS4847" t="s">
        <v>239</v>
      </c>
      <c r="AT4847" t="s">
        <v>514</v>
      </c>
    </row>
    <row r="4848" spans="2:46" x14ac:dyDescent="0.35">
      <c r="B4848" t="s">
        <v>565</v>
      </c>
      <c r="C4848">
        <v>45726</v>
      </c>
      <c r="J4848">
        <v>0</v>
      </c>
      <c r="O4848" t="s">
        <v>239</v>
      </c>
      <c r="P4848" t="s">
        <v>514</v>
      </c>
      <c r="U4848">
        <v>0</v>
      </c>
      <c r="Y4848">
        <v>434</v>
      </c>
      <c r="Z4848" s="259" t="s">
        <v>637</v>
      </c>
      <c r="AB4848">
        <v>32132</v>
      </c>
      <c r="AF4848">
        <v>84709</v>
      </c>
      <c r="AG4848">
        <v>0</v>
      </c>
      <c r="AI4848">
        <v>84682</v>
      </c>
      <c r="AJ4848">
        <v>0</v>
      </c>
      <c r="AK4848">
        <v>0</v>
      </c>
      <c r="AL4848">
        <v>0</v>
      </c>
      <c r="AM4848">
        <v>52868</v>
      </c>
      <c r="AN4848">
        <v>31841</v>
      </c>
      <c r="AO4848">
        <v>84709</v>
      </c>
      <c r="AP4848">
        <v>0</v>
      </c>
      <c r="AQ4848">
        <v>27</v>
      </c>
      <c r="AR4848">
        <v>3.1883989513703526E-4</v>
      </c>
      <c r="AS4848" t="s">
        <v>239</v>
      </c>
      <c r="AT4848" t="s">
        <v>514</v>
      </c>
    </row>
    <row r="4849" spans="2:46" x14ac:dyDescent="0.35">
      <c r="B4849" t="s">
        <v>565</v>
      </c>
      <c r="C4849">
        <v>45727</v>
      </c>
      <c r="J4849">
        <v>0</v>
      </c>
      <c r="O4849" t="s">
        <v>239</v>
      </c>
      <c r="P4849" t="s">
        <v>514</v>
      </c>
      <c r="U4849">
        <v>0</v>
      </c>
      <c r="Y4849">
        <v>435</v>
      </c>
      <c r="Z4849" s="259" t="s">
        <v>637</v>
      </c>
      <c r="AB4849">
        <v>32132</v>
      </c>
      <c r="AF4849">
        <v>84718</v>
      </c>
      <c r="AG4849">
        <v>0</v>
      </c>
      <c r="AI4849">
        <v>84709</v>
      </c>
      <c r="AJ4849">
        <v>0</v>
      </c>
      <c r="AK4849">
        <v>0</v>
      </c>
      <c r="AL4849">
        <v>0</v>
      </c>
      <c r="AM4849">
        <v>52868</v>
      </c>
      <c r="AN4849">
        <v>31850</v>
      </c>
      <c r="AO4849">
        <v>84718</v>
      </c>
      <c r="AP4849">
        <v>0</v>
      </c>
      <c r="AQ4849">
        <v>9</v>
      </c>
      <c r="AR4849">
        <v>1.0624608955356329E-4</v>
      </c>
      <c r="AS4849" t="s">
        <v>239</v>
      </c>
      <c r="AT4849" t="s">
        <v>514</v>
      </c>
    </row>
    <row r="4850" spans="2:46" x14ac:dyDescent="0.35">
      <c r="B4850" t="s">
        <v>565</v>
      </c>
      <c r="C4850">
        <v>45728</v>
      </c>
      <c r="J4850">
        <v>0</v>
      </c>
      <c r="O4850" t="s">
        <v>239</v>
      </c>
      <c r="P4850" t="s">
        <v>514</v>
      </c>
      <c r="U4850">
        <v>0</v>
      </c>
      <c r="Y4850">
        <v>436</v>
      </c>
      <c r="Z4850" s="259" t="s">
        <v>637</v>
      </c>
      <c r="AB4850">
        <v>32132</v>
      </c>
      <c r="AF4850">
        <v>84727</v>
      </c>
      <c r="AG4850">
        <v>0</v>
      </c>
      <c r="AI4850">
        <v>84718</v>
      </c>
      <c r="AJ4850">
        <v>0</v>
      </c>
      <c r="AK4850">
        <v>0</v>
      </c>
      <c r="AL4850">
        <v>0</v>
      </c>
      <c r="AM4850">
        <v>52868</v>
      </c>
      <c r="AN4850">
        <v>31859</v>
      </c>
      <c r="AO4850">
        <v>84727</v>
      </c>
      <c r="AP4850">
        <v>0</v>
      </c>
      <c r="AQ4850">
        <v>9</v>
      </c>
      <c r="AR4850">
        <v>1.0623480252136552E-4</v>
      </c>
      <c r="AS4850" t="s">
        <v>239</v>
      </c>
      <c r="AT4850" t="s">
        <v>514</v>
      </c>
    </row>
    <row r="4851" spans="2:46" x14ac:dyDescent="0.35">
      <c r="B4851" t="s">
        <v>565</v>
      </c>
      <c r="C4851">
        <v>45729</v>
      </c>
      <c r="J4851">
        <v>0</v>
      </c>
      <c r="O4851" t="s">
        <v>239</v>
      </c>
      <c r="P4851" t="s">
        <v>514</v>
      </c>
      <c r="U4851">
        <v>0</v>
      </c>
      <c r="Y4851">
        <v>437</v>
      </c>
      <c r="Z4851" s="259" t="s">
        <v>637</v>
      </c>
      <c r="AB4851">
        <v>32132</v>
      </c>
      <c r="AF4851">
        <v>84736</v>
      </c>
      <c r="AG4851">
        <v>0</v>
      </c>
      <c r="AI4851">
        <v>84727</v>
      </c>
      <c r="AJ4851">
        <v>0</v>
      </c>
      <c r="AK4851">
        <v>0</v>
      </c>
      <c r="AL4851">
        <v>0</v>
      </c>
      <c r="AM4851">
        <v>52868</v>
      </c>
      <c r="AN4851">
        <v>31868</v>
      </c>
      <c r="AO4851">
        <v>84736</v>
      </c>
      <c r="AP4851">
        <v>0</v>
      </c>
      <c r="AQ4851">
        <v>9</v>
      </c>
      <c r="AR4851">
        <v>1.062235178868054E-4</v>
      </c>
      <c r="AS4851" t="s">
        <v>239</v>
      </c>
      <c r="AT4851" t="s">
        <v>514</v>
      </c>
    </row>
    <row r="4852" spans="2:46" x14ac:dyDescent="0.35">
      <c r="B4852" t="s">
        <v>565</v>
      </c>
      <c r="C4852">
        <v>45730</v>
      </c>
      <c r="J4852">
        <v>0</v>
      </c>
      <c r="O4852" t="s">
        <v>239</v>
      </c>
      <c r="P4852" t="s">
        <v>514</v>
      </c>
      <c r="U4852">
        <v>0</v>
      </c>
      <c r="Y4852">
        <v>438</v>
      </c>
      <c r="Z4852" s="259" t="s">
        <v>637</v>
      </c>
      <c r="AB4852">
        <v>32132</v>
      </c>
      <c r="AF4852">
        <v>84745</v>
      </c>
      <c r="AG4852">
        <v>0</v>
      </c>
      <c r="AI4852">
        <v>84736</v>
      </c>
      <c r="AJ4852">
        <v>0</v>
      </c>
      <c r="AK4852">
        <v>0</v>
      </c>
      <c r="AL4852">
        <v>0</v>
      </c>
      <c r="AM4852">
        <v>52868</v>
      </c>
      <c r="AN4852">
        <v>31877</v>
      </c>
      <c r="AO4852">
        <v>84745</v>
      </c>
      <c r="AP4852">
        <v>0</v>
      </c>
      <c r="AQ4852">
        <v>9</v>
      </c>
      <c r="AR4852">
        <v>1.0621223564943882E-4</v>
      </c>
      <c r="AS4852" t="s">
        <v>239</v>
      </c>
      <c r="AT4852" t="s">
        <v>514</v>
      </c>
    </row>
    <row r="4853" spans="2:46" x14ac:dyDescent="0.35">
      <c r="B4853" t="s">
        <v>565</v>
      </c>
      <c r="C4853">
        <v>45731</v>
      </c>
      <c r="J4853">
        <v>0</v>
      </c>
      <c r="O4853" t="s">
        <v>239</v>
      </c>
      <c r="P4853" t="s">
        <v>514</v>
      </c>
      <c r="U4853">
        <v>0</v>
      </c>
      <c r="Y4853">
        <v>439</v>
      </c>
      <c r="Z4853" s="259" t="s">
        <v>637</v>
      </c>
      <c r="AB4853">
        <v>32132</v>
      </c>
      <c r="AF4853">
        <v>84745</v>
      </c>
      <c r="AG4853">
        <v>0</v>
      </c>
      <c r="AI4853">
        <v>84745</v>
      </c>
      <c r="AJ4853">
        <v>0</v>
      </c>
      <c r="AK4853">
        <v>0</v>
      </c>
      <c r="AL4853">
        <v>0</v>
      </c>
      <c r="AM4853">
        <v>52868</v>
      </c>
      <c r="AN4853">
        <v>31877</v>
      </c>
      <c r="AO4853">
        <v>84745</v>
      </c>
      <c r="AP4853">
        <v>0</v>
      </c>
      <c r="AQ4853">
        <v>0</v>
      </c>
      <c r="AR4853">
        <v>0</v>
      </c>
      <c r="AS4853" t="s">
        <v>239</v>
      </c>
      <c r="AT4853" t="s">
        <v>514</v>
      </c>
    </row>
    <row r="4854" spans="2:46" x14ac:dyDescent="0.35">
      <c r="B4854" t="s">
        <v>565</v>
      </c>
      <c r="C4854">
        <v>45732</v>
      </c>
      <c r="J4854">
        <v>0</v>
      </c>
      <c r="O4854" t="s">
        <v>239</v>
      </c>
      <c r="P4854" t="s">
        <v>514</v>
      </c>
      <c r="U4854">
        <v>0</v>
      </c>
      <c r="Y4854">
        <v>440</v>
      </c>
      <c r="Z4854" s="259" t="s">
        <v>637</v>
      </c>
      <c r="AB4854">
        <v>32132</v>
      </c>
      <c r="AF4854">
        <v>84745</v>
      </c>
      <c r="AG4854">
        <v>0</v>
      </c>
      <c r="AI4854">
        <v>84745</v>
      </c>
      <c r="AJ4854">
        <v>0</v>
      </c>
      <c r="AK4854">
        <v>0</v>
      </c>
      <c r="AL4854">
        <v>0</v>
      </c>
      <c r="AM4854">
        <v>52868</v>
      </c>
      <c r="AN4854">
        <v>31877</v>
      </c>
      <c r="AO4854">
        <v>84745</v>
      </c>
      <c r="AP4854">
        <v>0</v>
      </c>
      <c r="AQ4854">
        <v>0</v>
      </c>
      <c r="AR4854">
        <v>0</v>
      </c>
      <c r="AS4854" t="s">
        <v>239</v>
      </c>
      <c r="AT4854" t="s">
        <v>514</v>
      </c>
    </row>
    <row r="4855" spans="2:46" x14ac:dyDescent="0.35">
      <c r="B4855" t="s">
        <v>565</v>
      </c>
      <c r="C4855">
        <v>45733</v>
      </c>
      <c r="J4855">
        <v>0</v>
      </c>
      <c r="O4855" t="s">
        <v>239</v>
      </c>
      <c r="P4855" t="s">
        <v>514</v>
      </c>
      <c r="U4855">
        <v>0</v>
      </c>
      <c r="Y4855">
        <v>441</v>
      </c>
      <c r="Z4855" s="259" t="s">
        <v>637</v>
      </c>
      <c r="AB4855">
        <v>32132</v>
      </c>
      <c r="AF4855">
        <v>84772</v>
      </c>
      <c r="AG4855">
        <v>0</v>
      </c>
      <c r="AI4855">
        <v>84745</v>
      </c>
      <c r="AJ4855">
        <v>0</v>
      </c>
      <c r="AK4855">
        <v>0</v>
      </c>
      <c r="AL4855">
        <v>0</v>
      </c>
      <c r="AM4855">
        <v>52868</v>
      </c>
      <c r="AN4855">
        <v>31904</v>
      </c>
      <c r="AO4855">
        <v>84772</v>
      </c>
      <c r="AP4855">
        <v>0</v>
      </c>
      <c r="AQ4855">
        <v>27</v>
      </c>
      <c r="AR4855">
        <v>3.1860286742579902E-4</v>
      </c>
      <c r="AS4855" t="s">
        <v>239</v>
      </c>
      <c r="AT4855" t="s">
        <v>514</v>
      </c>
    </row>
    <row r="4856" spans="2:46" x14ac:dyDescent="0.35">
      <c r="B4856" t="s">
        <v>565</v>
      </c>
      <c r="C4856">
        <v>45734</v>
      </c>
      <c r="J4856">
        <v>0</v>
      </c>
      <c r="O4856" t="s">
        <v>239</v>
      </c>
      <c r="P4856" t="s">
        <v>514</v>
      </c>
      <c r="U4856">
        <v>0</v>
      </c>
      <c r="Y4856">
        <v>442</v>
      </c>
      <c r="Z4856" s="259" t="s">
        <v>637</v>
      </c>
      <c r="AB4856">
        <v>32132</v>
      </c>
      <c r="AF4856">
        <v>84781</v>
      </c>
      <c r="AG4856">
        <v>0</v>
      </c>
      <c r="AI4856">
        <v>84772</v>
      </c>
      <c r="AJ4856">
        <v>0</v>
      </c>
      <c r="AK4856">
        <v>0</v>
      </c>
      <c r="AL4856">
        <v>0</v>
      </c>
      <c r="AM4856">
        <v>52868</v>
      </c>
      <c r="AN4856">
        <v>31913</v>
      </c>
      <c r="AO4856">
        <v>84781</v>
      </c>
      <c r="AP4856">
        <v>0</v>
      </c>
      <c r="AQ4856">
        <v>9</v>
      </c>
      <c r="AR4856">
        <v>1.0616713065636496E-4</v>
      </c>
      <c r="AS4856" t="s">
        <v>239</v>
      </c>
      <c r="AT4856" t="s">
        <v>514</v>
      </c>
    </row>
    <row r="4857" spans="2:46" x14ac:dyDescent="0.35">
      <c r="B4857" t="s">
        <v>565</v>
      </c>
      <c r="C4857">
        <v>45735</v>
      </c>
      <c r="J4857">
        <v>0</v>
      </c>
      <c r="O4857" t="s">
        <v>239</v>
      </c>
      <c r="P4857" t="s">
        <v>514</v>
      </c>
      <c r="U4857">
        <v>0</v>
      </c>
      <c r="Y4857">
        <v>443</v>
      </c>
      <c r="Z4857" s="259" t="s">
        <v>637</v>
      </c>
      <c r="AB4857">
        <v>32132</v>
      </c>
      <c r="AF4857">
        <v>84790</v>
      </c>
      <c r="AG4857">
        <v>0</v>
      </c>
      <c r="AI4857">
        <v>84781</v>
      </c>
      <c r="AJ4857">
        <v>0</v>
      </c>
      <c r="AK4857">
        <v>0</v>
      </c>
      <c r="AL4857">
        <v>0</v>
      </c>
      <c r="AM4857">
        <v>52868</v>
      </c>
      <c r="AN4857">
        <v>31922</v>
      </c>
      <c r="AO4857">
        <v>84790</v>
      </c>
      <c r="AP4857">
        <v>0</v>
      </c>
      <c r="AQ4857">
        <v>9</v>
      </c>
      <c r="AR4857">
        <v>1.061558603931978E-4</v>
      </c>
      <c r="AS4857" t="s">
        <v>239</v>
      </c>
      <c r="AT4857" t="s">
        <v>514</v>
      </c>
    </row>
    <row r="4858" spans="2:46" x14ac:dyDescent="0.35">
      <c r="B4858" t="s">
        <v>565</v>
      </c>
      <c r="C4858">
        <v>45736</v>
      </c>
      <c r="J4858">
        <v>0</v>
      </c>
      <c r="O4858" t="s">
        <v>239</v>
      </c>
      <c r="P4858" t="s">
        <v>514</v>
      </c>
      <c r="U4858">
        <v>0</v>
      </c>
      <c r="Y4858">
        <v>444</v>
      </c>
      <c r="Z4858" s="259" t="s">
        <v>637</v>
      </c>
      <c r="AB4858">
        <v>32132</v>
      </c>
      <c r="AF4858">
        <v>84799</v>
      </c>
      <c r="AG4858">
        <v>0</v>
      </c>
      <c r="AI4858">
        <v>84790</v>
      </c>
      <c r="AJ4858">
        <v>0</v>
      </c>
      <c r="AK4858">
        <v>0</v>
      </c>
      <c r="AL4858">
        <v>0</v>
      </c>
      <c r="AM4858">
        <v>52868</v>
      </c>
      <c r="AN4858">
        <v>31931</v>
      </c>
      <c r="AO4858">
        <v>84799</v>
      </c>
      <c r="AP4858">
        <v>0</v>
      </c>
      <c r="AQ4858">
        <v>9</v>
      </c>
      <c r="AR4858">
        <v>1.061445925227833E-4</v>
      </c>
      <c r="AS4858" t="s">
        <v>239</v>
      </c>
      <c r="AT4858" t="s">
        <v>514</v>
      </c>
    </row>
    <row r="4859" spans="2:46" x14ac:dyDescent="0.35">
      <c r="B4859" t="s">
        <v>565</v>
      </c>
      <c r="C4859">
        <v>45737</v>
      </c>
      <c r="J4859">
        <v>0</v>
      </c>
      <c r="O4859" t="s">
        <v>239</v>
      </c>
      <c r="P4859" t="s">
        <v>514</v>
      </c>
      <c r="U4859">
        <v>0</v>
      </c>
      <c r="Y4859">
        <v>445</v>
      </c>
      <c r="Z4859" s="259" t="s">
        <v>637</v>
      </c>
      <c r="AB4859">
        <v>32132</v>
      </c>
      <c r="AF4859">
        <v>84808</v>
      </c>
      <c r="AG4859">
        <v>0</v>
      </c>
      <c r="AI4859">
        <v>84799</v>
      </c>
      <c r="AJ4859">
        <v>0</v>
      </c>
      <c r="AK4859">
        <v>0</v>
      </c>
      <c r="AL4859">
        <v>0</v>
      </c>
      <c r="AM4859">
        <v>52868</v>
      </c>
      <c r="AN4859">
        <v>31940</v>
      </c>
      <c r="AO4859">
        <v>84808</v>
      </c>
      <c r="AP4859">
        <v>0</v>
      </c>
      <c r="AQ4859">
        <v>9</v>
      </c>
      <c r="AR4859">
        <v>1.0613332704401124E-4</v>
      </c>
      <c r="AS4859" t="s">
        <v>239</v>
      </c>
      <c r="AT4859" t="s">
        <v>514</v>
      </c>
    </row>
    <row r="4860" spans="2:46" x14ac:dyDescent="0.35">
      <c r="B4860" t="s">
        <v>565</v>
      </c>
      <c r="C4860">
        <v>45738</v>
      </c>
      <c r="J4860">
        <v>0</v>
      </c>
      <c r="O4860" t="s">
        <v>239</v>
      </c>
      <c r="P4860" t="s">
        <v>514</v>
      </c>
      <c r="U4860">
        <v>0</v>
      </c>
      <c r="Y4860">
        <v>446</v>
      </c>
      <c r="Z4860" s="259" t="s">
        <v>637</v>
      </c>
      <c r="AB4860">
        <v>32132</v>
      </c>
      <c r="AF4860">
        <v>84808</v>
      </c>
      <c r="AG4860">
        <v>0</v>
      </c>
      <c r="AI4860">
        <v>84808</v>
      </c>
      <c r="AJ4860">
        <v>0</v>
      </c>
      <c r="AK4860">
        <v>0</v>
      </c>
      <c r="AL4860">
        <v>0</v>
      </c>
      <c r="AM4860">
        <v>52868</v>
      </c>
      <c r="AN4860">
        <v>31940</v>
      </c>
      <c r="AO4860">
        <v>84808</v>
      </c>
      <c r="AP4860">
        <v>0</v>
      </c>
      <c r="AQ4860">
        <v>0</v>
      </c>
      <c r="AR4860">
        <v>0</v>
      </c>
      <c r="AS4860" t="s">
        <v>239</v>
      </c>
      <c r="AT4860" t="s">
        <v>514</v>
      </c>
    </row>
    <row r="4861" spans="2:46" x14ac:dyDescent="0.35">
      <c r="B4861" t="s">
        <v>565</v>
      </c>
      <c r="C4861">
        <v>45739</v>
      </c>
      <c r="J4861">
        <v>0</v>
      </c>
      <c r="O4861" t="s">
        <v>239</v>
      </c>
      <c r="P4861" t="s">
        <v>514</v>
      </c>
      <c r="U4861">
        <v>0</v>
      </c>
      <c r="Y4861">
        <v>447</v>
      </c>
      <c r="Z4861" s="259" t="s">
        <v>637</v>
      </c>
      <c r="AB4861">
        <v>32132</v>
      </c>
      <c r="AF4861">
        <v>84808</v>
      </c>
      <c r="AG4861">
        <v>0</v>
      </c>
      <c r="AI4861">
        <v>84808</v>
      </c>
      <c r="AJ4861">
        <v>0</v>
      </c>
      <c r="AK4861">
        <v>0</v>
      </c>
      <c r="AL4861">
        <v>0</v>
      </c>
      <c r="AM4861">
        <v>52868</v>
      </c>
      <c r="AN4861">
        <v>31940</v>
      </c>
      <c r="AO4861">
        <v>84808</v>
      </c>
      <c r="AP4861">
        <v>0</v>
      </c>
      <c r="AQ4861">
        <v>0</v>
      </c>
      <c r="AR4861">
        <v>0</v>
      </c>
      <c r="AS4861" t="s">
        <v>239</v>
      </c>
      <c r="AT4861" t="s">
        <v>514</v>
      </c>
    </row>
    <row r="4862" spans="2:46" x14ac:dyDescent="0.35">
      <c r="B4862" t="s">
        <v>565</v>
      </c>
      <c r="C4862">
        <v>45740</v>
      </c>
      <c r="J4862">
        <v>0</v>
      </c>
      <c r="O4862" t="s">
        <v>239</v>
      </c>
      <c r="P4862" t="s">
        <v>514</v>
      </c>
      <c r="U4862">
        <v>0</v>
      </c>
      <c r="Y4862">
        <v>448</v>
      </c>
      <c r="Z4862" s="259" t="s">
        <v>637</v>
      </c>
      <c r="AB4862">
        <v>32132</v>
      </c>
      <c r="AF4862">
        <v>84835</v>
      </c>
      <c r="AG4862">
        <v>0</v>
      </c>
      <c r="AI4862">
        <v>84808</v>
      </c>
      <c r="AJ4862">
        <v>0</v>
      </c>
      <c r="AK4862">
        <v>0</v>
      </c>
      <c r="AL4862">
        <v>0</v>
      </c>
      <c r="AM4862">
        <v>52868</v>
      </c>
      <c r="AN4862">
        <v>31967</v>
      </c>
      <c r="AO4862">
        <v>84835</v>
      </c>
      <c r="AP4862">
        <v>0</v>
      </c>
      <c r="AQ4862">
        <v>27</v>
      </c>
      <c r="AR4862">
        <v>3.1836619186864645E-4</v>
      </c>
      <c r="AS4862" t="s">
        <v>239</v>
      </c>
      <c r="AT4862" t="s">
        <v>514</v>
      </c>
    </row>
    <row r="4863" spans="2:46" x14ac:dyDescent="0.35">
      <c r="B4863" t="s">
        <v>565</v>
      </c>
      <c r="C4863">
        <v>45741</v>
      </c>
      <c r="J4863">
        <v>0</v>
      </c>
      <c r="O4863" t="s">
        <v>239</v>
      </c>
      <c r="P4863" t="s">
        <v>514</v>
      </c>
      <c r="U4863">
        <v>0</v>
      </c>
      <c r="Y4863">
        <v>449</v>
      </c>
      <c r="Z4863" s="259" t="s">
        <v>637</v>
      </c>
      <c r="AB4863">
        <v>32132</v>
      </c>
      <c r="AF4863">
        <v>84844</v>
      </c>
      <c r="AG4863">
        <v>0</v>
      </c>
      <c r="AI4863">
        <v>84835</v>
      </c>
      <c r="AJ4863">
        <v>0</v>
      </c>
      <c r="AK4863">
        <v>0</v>
      </c>
      <c r="AL4863">
        <v>0</v>
      </c>
      <c r="AM4863">
        <v>52868</v>
      </c>
      <c r="AN4863">
        <v>31976</v>
      </c>
      <c r="AO4863">
        <v>84844</v>
      </c>
      <c r="AP4863">
        <v>0</v>
      </c>
      <c r="AQ4863">
        <v>9</v>
      </c>
      <c r="AR4863">
        <v>1.0608828903158063E-4</v>
      </c>
      <c r="AS4863" t="s">
        <v>239</v>
      </c>
      <c r="AT4863" t="s">
        <v>514</v>
      </c>
    </row>
    <row r="4864" spans="2:46" x14ac:dyDescent="0.35">
      <c r="B4864" t="s">
        <v>565</v>
      </c>
      <c r="C4864">
        <v>45742</v>
      </c>
      <c r="J4864">
        <v>0</v>
      </c>
      <c r="O4864" t="s">
        <v>239</v>
      </c>
      <c r="P4864" t="s">
        <v>514</v>
      </c>
      <c r="U4864">
        <v>0</v>
      </c>
      <c r="Y4864">
        <v>450</v>
      </c>
      <c r="Z4864" s="259" t="s">
        <v>637</v>
      </c>
      <c r="AB4864">
        <v>32132</v>
      </c>
      <c r="AF4864">
        <v>84853</v>
      </c>
      <c r="AG4864">
        <v>0</v>
      </c>
      <c r="AI4864">
        <v>84844</v>
      </c>
      <c r="AJ4864">
        <v>0</v>
      </c>
      <c r="AK4864">
        <v>0</v>
      </c>
      <c r="AL4864">
        <v>0</v>
      </c>
      <c r="AM4864">
        <v>52868</v>
      </c>
      <c r="AN4864">
        <v>31985</v>
      </c>
      <c r="AO4864">
        <v>84853</v>
      </c>
      <c r="AP4864">
        <v>0</v>
      </c>
      <c r="AQ4864">
        <v>9</v>
      </c>
      <c r="AR4864">
        <v>1.0607703550036263E-4</v>
      </c>
      <c r="AS4864" t="s">
        <v>239</v>
      </c>
      <c r="AT4864" t="s">
        <v>514</v>
      </c>
    </row>
    <row r="4865" spans="2:46" x14ac:dyDescent="0.35">
      <c r="B4865" t="s">
        <v>565</v>
      </c>
      <c r="C4865">
        <v>45743</v>
      </c>
      <c r="J4865">
        <v>0</v>
      </c>
      <c r="O4865" t="s">
        <v>239</v>
      </c>
      <c r="P4865" t="s">
        <v>514</v>
      </c>
      <c r="U4865">
        <v>0</v>
      </c>
      <c r="Y4865">
        <v>451</v>
      </c>
      <c r="Z4865" s="259" t="s">
        <v>637</v>
      </c>
      <c r="AB4865">
        <v>32132</v>
      </c>
      <c r="AF4865">
        <v>84862</v>
      </c>
      <c r="AG4865">
        <v>0</v>
      </c>
      <c r="AI4865">
        <v>84853</v>
      </c>
      <c r="AJ4865">
        <v>0</v>
      </c>
      <c r="AK4865">
        <v>0</v>
      </c>
      <c r="AL4865">
        <v>0</v>
      </c>
      <c r="AM4865">
        <v>52868</v>
      </c>
      <c r="AN4865">
        <v>31994</v>
      </c>
      <c r="AO4865">
        <v>84862</v>
      </c>
      <c r="AP4865">
        <v>0</v>
      </c>
      <c r="AQ4865">
        <v>9</v>
      </c>
      <c r="AR4865">
        <v>1.0606578435656822E-4</v>
      </c>
      <c r="AS4865" t="s">
        <v>239</v>
      </c>
      <c r="AT4865" t="s">
        <v>514</v>
      </c>
    </row>
    <row r="4866" spans="2:46" x14ac:dyDescent="0.35">
      <c r="B4866" t="s">
        <v>565</v>
      </c>
      <c r="C4866">
        <v>45744</v>
      </c>
      <c r="J4866">
        <v>0</v>
      </c>
      <c r="O4866" t="s">
        <v>239</v>
      </c>
      <c r="P4866" t="s">
        <v>514</v>
      </c>
      <c r="U4866">
        <v>0</v>
      </c>
      <c r="Y4866">
        <v>452</v>
      </c>
      <c r="Z4866" s="259" t="s">
        <v>637</v>
      </c>
      <c r="AB4866">
        <v>32132</v>
      </c>
      <c r="AF4866">
        <v>84871</v>
      </c>
      <c r="AG4866">
        <v>0</v>
      </c>
      <c r="AI4866">
        <v>84862</v>
      </c>
      <c r="AJ4866">
        <v>0</v>
      </c>
      <c r="AK4866">
        <v>0</v>
      </c>
      <c r="AL4866">
        <v>0</v>
      </c>
      <c r="AM4866">
        <v>52868</v>
      </c>
      <c r="AN4866">
        <v>32003</v>
      </c>
      <c r="AO4866">
        <v>84871</v>
      </c>
      <c r="AP4866">
        <v>0</v>
      </c>
      <c r="AQ4866">
        <v>9</v>
      </c>
      <c r="AR4866">
        <v>1.0605453559886513E-4</v>
      </c>
      <c r="AS4866" t="s">
        <v>239</v>
      </c>
      <c r="AT4866" t="s">
        <v>514</v>
      </c>
    </row>
    <row r="4867" spans="2:46" x14ac:dyDescent="0.35">
      <c r="B4867" t="s">
        <v>565</v>
      </c>
      <c r="C4867">
        <v>45745</v>
      </c>
      <c r="J4867">
        <v>0</v>
      </c>
      <c r="O4867" t="s">
        <v>239</v>
      </c>
      <c r="P4867" t="s">
        <v>514</v>
      </c>
      <c r="U4867">
        <v>0</v>
      </c>
      <c r="Y4867">
        <v>453</v>
      </c>
      <c r="Z4867" s="259" t="s">
        <v>637</v>
      </c>
      <c r="AB4867">
        <v>32132</v>
      </c>
      <c r="AF4867">
        <v>84871</v>
      </c>
      <c r="AG4867">
        <v>0</v>
      </c>
      <c r="AI4867">
        <v>84871</v>
      </c>
      <c r="AJ4867">
        <v>0</v>
      </c>
      <c r="AK4867">
        <v>0</v>
      </c>
      <c r="AL4867">
        <v>0</v>
      </c>
      <c r="AM4867">
        <v>52868</v>
      </c>
      <c r="AN4867">
        <v>32003</v>
      </c>
      <c r="AO4867">
        <v>84871</v>
      </c>
      <c r="AP4867">
        <v>0</v>
      </c>
      <c r="AQ4867">
        <v>0</v>
      </c>
      <c r="AR4867">
        <v>0</v>
      </c>
      <c r="AS4867" t="s">
        <v>239</v>
      </c>
      <c r="AT4867" t="s">
        <v>514</v>
      </c>
    </row>
    <row r="4868" spans="2:46" x14ac:dyDescent="0.35">
      <c r="B4868" t="s">
        <v>565</v>
      </c>
      <c r="C4868">
        <v>45746</v>
      </c>
      <c r="J4868">
        <v>0</v>
      </c>
      <c r="O4868" t="s">
        <v>239</v>
      </c>
      <c r="P4868" t="s">
        <v>514</v>
      </c>
      <c r="U4868">
        <v>0</v>
      </c>
      <c r="Y4868">
        <v>454</v>
      </c>
      <c r="Z4868" s="259" t="s">
        <v>637</v>
      </c>
      <c r="AB4868">
        <v>32132</v>
      </c>
      <c r="AF4868">
        <v>84871</v>
      </c>
      <c r="AG4868">
        <v>0</v>
      </c>
      <c r="AI4868">
        <v>84871</v>
      </c>
      <c r="AJ4868">
        <v>0</v>
      </c>
      <c r="AK4868">
        <v>0</v>
      </c>
      <c r="AL4868">
        <v>0</v>
      </c>
      <c r="AM4868">
        <v>52868</v>
      </c>
      <c r="AN4868">
        <v>32003</v>
      </c>
      <c r="AO4868">
        <v>84871</v>
      </c>
      <c r="AP4868">
        <v>0</v>
      </c>
      <c r="AQ4868">
        <v>0</v>
      </c>
      <c r="AR4868">
        <v>0</v>
      </c>
      <c r="AS4868" t="s">
        <v>239</v>
      </c>
      <c r="AT4868" t="s">
        <v>514</v>
      </c>
    </row>
    <row r="4869" spans="2:46" x14ac:dyDescent="0.35">
      <c r="B4869" t="s">
        <v>565</v>
      </c>
      <c r="C4869">
        <v>45747</v>
      </c>
      <c r="J4869">
        <v>0</v>
      </c>
      <c r="O4869" t="s">
        <v>239</v>
      </c>
      <c r="P4869" t="s">
        <v>514</v>
      </c>
      <c r="U4869">
        <v>0</v>
      </c>
      <c r="Y4869">
        <v>455</v>
      </c>
      <c r="Z4869" s="259" t="s">
        <v>637</v>
      </c>
      <c r="AB4869">
        <v>32132</v>
      </c>
      <c r="AF4869">
        <v>84898</v>
      </c>
      <c r="AG4869">
        <v>0</v>
      </c>
      <c r="AI4869">
        <v>84871</v>
      </c>
      <c r="AJ4869">
        <v>0</v>
      </c>
      <c r="AK4869">
        <v>0</v>
      </c>
      <c r="AL4869">
        <v>0</v>
      </c>
      <c r="AM4869">
        <v>52868</v>
      </c>
      <c r="AN4869">
        <v>32030</v>
      </c>
      <c r="AO4869">
        <v>84898</v>
      </c>
      <c r="AP4869">
        <v>0</v>
      </c>
      <c r="AQ4869">
        <v>27</v>
      </c>
      <c r="AR4869">
        <v>3.1812986768153806E-4</v>
      </c>
      <c r="AS4869" t="s">
        <v>239</v>
      </c>
      <c r="AT4869" t="s">
        <v>514</v>
      </c>
    </row>
    <row r="4870" spans="2:46" x14ac:dyDescent="0.35">
      <c r="B4870" t="s">
        <v>565</v>
      </c>
      <c r="C4870">
        <v>45748</v>
      </c>
      <c r="J4870">
        <v>0</v>
      </c>
      <c r="O4870" t="s">
        <v>239</v>
      </c>
      <c r="P4870" t="s">
        <v>514</v>
      </c>
      <c r="U4870">
        <v>0</v>
      </c>
      <c r="Y4870">
        <v>456</v>
      </c>
      <c r="Z4870" s="259" t="s">
        <v>637</v>
      </c>
      <c r="AB4870">
        <v>32132</v>
      </c>
      <c r="AF4870">
        <v>84898</v>
      </c>
      <c r="AG4870">
        <v>0</v>
      </c>
      <c r="AI4870">
        <v>84898</v>
      </c>
      <c r="AJ4870">
        <v>0</v>
      </c>
      <c r="AK4870">
        <v>0</v>
      </c>
      <c r="AL4870">
        <v>0</v>
      </c>
      <c r="AM4870">
        <v>52868</v>
      </c>
      <c r="AN4870">
        <v>32030</v>
      </c>
      <c r="AO4870">
        <v>84898</v>
      </c>
      <c r="AP4870">
        <v>0</v>
      </c>
      <c r="AQ4870">
        <v>0</v>
      </c>
      <c r="AR4870">
        <v>0</v>
      </c>
      <c r="AS4870" t="s">
        <v>239</v>
      </c>
      <c r="AT4870" t="s">
        <v>514</v>
      </c>
    </row>
    <row r="4871" spans="2:46" x14ac:dyDescent="0.35">
      <c r="B4871" t="s">
        <v>565</v>
      </c>
      <c r="C4871">
        <v>45749</v>
      </c>
      <c r="J4871">
        <v>0</v>
      </c>
      <c r="O4871" t="s">
        <v>239</v>
      </c>
      <c r="P4871" t="s">
        <v>514</v>
      </c>
      <c r="U4871">
        <v>0</v>
      </c>
      <c r="Y4871">
        <v>457</v>
      </c>
      <c r="Z4871" s="259" t="s">
        <v>637</v>
      </c>
      <c r="AB4871">
        <v>32132</v>
      </c>
      <c r="AF4871">
        <v>84853.4</v>
      </c>
      <c r="AG4871">
        <v>0</v>
      </c>
      <c r="AI4871">
        <v>84898</v>
      </c>
      <c r="AJ4871">
        <v>0</v>
      </c>
      <c r="AK4871">
        <v>0</v>
      </c>
      <c r="AL4871">
        <v>0</v>
      </c>
      <c r="AM4871">
        <v>52868</v>
      </c>
      <c r="AN4871">
        <v>31985.4</v>
      </c>
      <c r="AO4871">
        <v>84853.4</v>
      </c>
      <c r="AP4871">
        <v>0</v>
      </c>
      <c r="AQ4871">
        <v>-44.600000000005821</v>
      </c>
      <c r="AR4871">
        <v>-5.2533628589612746E-4</v>
      </c>
      <c r="AS4871" t="s">
        <v>239</v>
      </c>
      <c r="AT4871" t="s">
        <v>514</v>
      </c>
    </row>
    <row r="4872" spans="2:46" x14ac:dyDescent="0.35">
      <c r="B4872" t="s">
        <v>565</v>
      </c>
      <c r="C4872">
        <v>45750</v>
      </c>
      <c r="J4872">
        <v>0</v>
      </c>
      <c r="O4872" t="s">
        <v>239</v>
      </c>
      <c r="P4872" t="s">
        <v>514</v>
      </c>
      <c r="U4872">
        <v>0</v>
      </c>
      <c r="Y4872">
        <v>458</v>
      </c>
      <c r="Z4872" s="259" t="s">
        <v>637</v>
      </c>
      <c r="AB4872">
        <v>32132</v>
      </c>
      <c r="AF4872">
        <v>84808.8</v>
      </c>
      <c r="AG4872">
        <v>0</v>
      </c>
      <c r="AI4872">
        <v>84853.4</v>
      </c>
      <c r="AJ4872">
        <v>0</v>
      </c>
      <c r="AK4872">
        <v>0</v>
      </c>
      <c r="AL4872">
        <v>0</v>
      </c>
      <c r="AM4872">
        <v>52868</v>
      </c>
      <c r="AN4872">
        <v>31940.799999999999</v>
      </c>
      <c r="AO4872">
        <v>84808.8</v>
      </c>
      <c r="AP4872">
        <v>0</v>
      </c>
      <c r="AQ4872">
        <v>-44.599999999991269</v>
      </c>
      <c r="AR4872">
        <v>-5.2561240916682017E-4</v>
      </c>
      <c r="AS4872" t="s">
        <v>239</v>
      </c>
      <c r="AT4872" t="s">
        <v>514</v>
      </c>
    </row>
    <row r="4873" spans="2:46" x14ac:dyDescent="0.35">
      <c r="B4873" t="s">
        <v>565</v>
      </c>
      <c r="C4873">
        <v>45751</v>
      </c>
      <c r="J4873">
        <v>0</v>
      </c>
      <c r="O4873" t="s">
        <v>239</v>
      </c>
      <c r="P4873" t="s">
        <v>514</v>
      </c>
      <c r="U4873">
        <v>0</v>
      </c>
      <c r="Y4873">
        <v>459</v>
      </c>
      <c r="Z4873" s="259" t="s">
        <v>637</v>
      </c>
      <c r="AB4873">
        <v>32132</v>
      </c>
      <c r="AF4873">
        <v>84762.9</v>
      </c>
      <c r="AG4873">
        <v>0</v>
      </c>
      <c r="AI4873">
        <v>84808.8</v>
      </c>
      <c r="AJ4873">
        <v>0</v>
      </c>
      <c r="AK4873">
        <v>0</v>
      </c>
      <c r="AL4873">
        <v>0</v>
      </c>
      <c r="AM4873">
        <v>52868</v>
      </c>
      <c r="AN4873">
        <v>31894.9</v>
      </c>
      <c r="AO4873">
        <v>84762.9</v>
      </c>
      <c r="AP4873">
        <v>0</v>
      </c>
      <c r="AQ4873">
        <v>-45.900000000008731</v>
      </c>
      <c r="AR4873">
        <v>-5.4121742083379498E-4</v>
      </c>
      <c r="AS4873" t="s">
        <v>239</v>
      </c>
      <c r="AT4873" t="s">
        <v>514</v>
      </c>
    </row>
    <row r="4874" spans="2:46" x14ac:dyDescent="0.35">
      <c r="B4874" t="s">
        <v>565</v>
      </c>
      <c r="C4874">
        <v>45752</v>
      </c>
      <c r="J4874">
        <v>0</v>
      </c>
      <c r="O4874" t="s">
        <v>239</v>
      </c>
      <c r="P4874" t="s">
        <v>514</v>
      </c>
      <c r="U4874">
        <v>0</v>
      </c>
      <c r="Y4874">
        <v>460</v>
      </c>
      <c r="Z4874" s="259" t="s">
        <v>637</v>
      </c>
      <c r="AB4874">
        <v>32132</v>
      </c>
      <c r="AF4874">
        <v>84762.9</v>
      </c>
      <c r="AG4874">
        <v>0</v>
      </c>
      <c r="AI4874">
        <v>84762.9</v>
      </c>
      <c r="AJ4874">
        <v>0</v>
      </c>
      <c r="AK4874">
        <v>0</v>
      </c>
      <c r="AL4874">
        <v>0</v>
      </c>
      <c r="AM4874">
        <v>52868</v>
      </c>
      <c r="AN4874">
        <v>31894.9</v>
      </c>
      <c r="AO4874">
        <v>84762.9</v>
      </c>
      <c r="AP4874">
        <v>0</v>
      </c>
      <c r="AQ4874">
        <v>0</v>
      </c>
      <c r="AR4874">
        <v>0</v>
      </c>
      <c r="AS4874" t="s">
        <v>239</v>
      </c>
      <c r="AT4874" t="s">
        <v>514</v>
      </c>
    </row>
    <row r="4875" spans="2:46" x14ac:dyDescent="0.35">
      <c r="B4875" t="s">
        <v>565</v>
      </c>
      <c r="C4875">
        <v>45753</v>
      </c>
      <c r="J4875">
        <v>0</v>
      </c>
      <c r="O4875" t="s">
        <v>239</v>
      </c>
      <c r="P4875" t="s">
        <v>514</v>
      </c>
      <c r="U4875">
        <v>0</v>
      </c>
      <c r="Y4875">
        <v>461</v>
      </c>
      <c r="Z4875" s="259" t="s">
        <v>637</v>
      </c>
      <c r="AB4875">
        <v>32132</v>
      </c>
      <c r="AF4875">
        <v>84762.9</v>
      </c>
      <c r="AG4875">
        <v>0</v>
      </c>
      <c r="AI4875">
        <v>84762.9</v>
      </c>
      <c r="AJ4875">
        <v>0</v>
      </c>
      <c r="AK4875">
        <v>0</v>
      </c>
      <c r="AL4875">
        <v>0</v>
      </c>
      <c r="AM4875">
        <v>52868</v>
      </c>
      <c r="AN4875">
        <v>31894.9</v>
      </c>
      <c r="AO4875">
        <v>84762.9</v>
      </c>
      <c r="AP4875">
        <v>0</v>
      </c>
      <c r="AQ4875">
        <v>0</v>
      </c>
      <c r="AR4875">
        <v>0</v>
      </c>
      <c r="AS4875" t="s">
        <v>239</v>
      </c>
      <c r="AT4875" t="s">
        <v>514</v>
      </c>
    </row>
    <row r="4876" spans="2:46" x14ac:dyDescent="0.35">
      <c r="B4876" t="s">
        <v>565</v>
      </c>
      <c r="C4876">
        <v>45754</v>
      </c>
      <c r="J4876">
        <v>0</v>
      </c>
      <c r="O4876" t="s">
        <v>239</v>
      </c>
      <c r="P4876" t="s">
        <v>514</v>
      </c>
      <c r="U4876">
        <v>0</v>
      </c>
      <c r="Y4876">
        <v>462</v>
      </c>
      <c r="Z4876" s="259" t="s">
        <v>637</v>
      </c>
      <c r="AB4876">
        <v>32132</v>
      </c>
      <c r="AF4876">
        <v>84629.1</v>
      </c>
      <c r="AG4876">
        <v>0</v>
      </c>
      <c r="AI4876">
        <v>84762.9</v>
      </c>
      <c r="AJ4876">
        <v>0</v>
      </c>
      <c r="AK4876">
        <v>0</v>
      </c>
      <c r="AL4876">
        <v>0</v>
      </c>
      <c r="AM4876">
        <v>52868</v>
      </c>
      <c r="AN4876">
        <v>31761.1</v>
      </c>
      <c r="AO4876">
        <v>84629.1</v>
      </c>
      <c r="AP4876">
        <v>0</v>
      </c>
      <c r="AQ4876">
        <v>-133.79999999998836</v>
      </c>
      <c r="AR4876">
        <v>-1.5785207915254285E-3</v>
      </c>
      <c r="AS4876" t="s">
        <v>239</v>
      </c>
      <c r="AT4876" t="s">
        <v>514</v>
      </c>
    </row>
    <row r="4877" spans="2:46" x14ac:dyDescent="0.35">
      <c r="B4877" t="s">
        <v>565</v>
      </c>
      <c r="C4877">
        <v>45755</v>
      </c>
      <c r="J4877">
        <v>0</v>
      </c>
      <c r="O4877" t="s">
        <v>239</v>
      </c>
      <c r="P4877" t="s">
        <v>514</v>
      </c>
      <c r="U4877">
        <v>0</v>
      </c>
      <c r="Y4877">
        <v>463</v>
      </c>
      <c r="Z4877" s="259" t="s">
        <v>637</v>
      </c>
      <c r="AB4877">
        <v>32132</v>
      </c>
      <c r="AF4877">
        <v>84583.7</v>
      </c>
      <c r="AG4877">
        <v>0</v>
      </c>
      <c r="AI4877">
        <v>84629.1</v>
      </c>
      <c r="AJ4877">
        <v>0</v>
      </c>
      <c r="AK4877">
        <v>0</v>
      </c>
      <c r="AL4877">
        <v>0</v>
      </c>
      <c r="AM4877">
        <v>52868</v>
      </c>
      <c r="AN4877">
        <v>31715.7</v>
      </c>
      <c r="AO4877">
        <v>84583.7</v>
      </c>
      <c r="AP4877">
        <v>0</v>
      </c>
      <c r="AQ4877">
        <v>-45.400000000008731</v>
      </c>
      <c r="AR4877">
        <v>-5.3645849949968127E-4</v>
      </c>
      <c r="AS4877" t="s">
        <v>239</v>
      </c>
      <c r="AT4877" t="s">
        <v>514</v>
      </c>
    </row>
    <row r="4878" spans="2:46" x14ac:dyDescent="0.35">
      <c r="B4878" t="s">
        <v>565</v>
      </c>
      <c r="C4878">
        <v>45756</v>
      </c>
      <c r="J4878">
        <v>0</v>
      </c>
      <c r="O4878" t="s">
        <v>239</v>
      </c>
      <c r="P4878" t="s">
        <v>514</v>
      </c>
      <c r="U4878">
        <v>0</v>
      </c>
      <c r="Y4878">
        <v>464</v>
      </c>
      <c r="Z4878" s="259" t="s">
        <v>637</v>
      </c>
      <c r="AB4878">
        <v>32132</v>
      </c>
      <c r="AF4878">
        <v>84539.6</v>
      </c>
      <c r="AG4878">
        <v>0</v>
      </c>
      <c r="AI4878">
        <v>84583.7</v>
      </c>
      <c r="AJ4878">
        <v>0</v>
      </c>
      <c r="AK4878">
        <v>0</v>
      </c>
      <c r="AL4878">
        <v>0</v>
      </c>
      <c r="AM4878">
        <v>52868</v>
      </c>
      <c r="AN4878">
        <v>31671.599999999999</v>
      </c>
      <c r="AO4878">
        <v>84539.6</v>
      </c>
      <c r="AP4878">
        <v>0</v>
      </c>
      <c r="AQ4878">
        <v>-44.099999999991269</v>
      </c>
      <c r="AR4878">
        <v>-5.2137705018806546E-4</v>
      </c>
      <c r="AS4878" t="s">
        <v>239</v>
      </c>
      <c r="AT4878" t="s">
        <v>514</v>
      </c>
    </row>
    <row r="4879" spans="2:46" x14ac:dyDescent="0.35">
      <c r="B4879" t="s">
        <v>565</v>
      </c>
      <c r="C4879">
        <v>45757</v>
      </c>
      <c r="J4879">
        <v>0</v>
      </c>
      <c r="O4879" t="s">
        <v>239</v>
      </c>
      <c r="P4879" t="s">
        <v>514</v>
      </c>
      <c r="U4879">
        <v>0</v>
      </c>
      <c r="Y4879">
        <v>465</v>
      </c>
      <c r="Z4879" s="259" t="s">
        <v>637</v>
      </c>
      <c r="AB4879">
        <v>32132</v>
      </c>
      <c r="AF4879">
        <v>84495</v>
      </c>
      <c r="AG4879">
        <v>0</v>
      </c>
      <c r="AI4879">
        <v>84539.6</v>
      </c>
      <c r="AJ4879">
        <v>0</v>
      </c>
      <c r="AK4879">
        <v>0</v>
      </c>
      <c r="AL4879">
        <v>0</v>
      </c>
      <c r="AM4879">
        <v>52868</v>
      </c>
      <c r="AN4879">
        <v>31627</v>
      </c>
      <c r="AO4879">
        <v>84495</v>
      </c>
      <c r="AP4879">
        <v>0</v>
      </c>
      <c r="AQ4879">
        <v>-44.600000000005821</v>
      </c>
      <c r="AR4879">
        <v>-5.2756341406878793E-4</v>
      </c>
      <c r="AS4879" t="s">
        <v>239</v>
      </c>
      <c r="AT4879" t="s">
        <v>514</v>
      </c>
    </row>
    <row r="4880" spans="2:46" x14ac:dyDescent="0.35">
      <c r="B4880" t="s">
        <v>565</v>
      </c>
      <c r="C4880">
        <v>45758</v>
      </c>
      <c r="J4880">
        <v>0</v>
      </c>
      <c r="O4880" t="s">
        <v>239</v>
      </c>
      <c r="P4880" t="s">
        <v>514</v>
      </c>
      <c r="U4880">
        <v>0</v>
      </c>
      <c r="Y4880">
        <v>466</v>
      </c>
      <c r="Z4880" s="259" t="s">
        <v>637</v>
      </c>
      <c r="AB4880">
        <v>32132</v>
      </c>
      <c r="AF4880">
        <v>84450.4</v>
      </c>
      <c r="AG4880">
        <v>0</v>
      </c>
      <c r="AI4880">
        <v>84495</v>
      </c>
      <c r="AJ4880">
        <v>0</v>
      </c>
      <c r="AK4880">
        <v>0</v>
      </c>
      <c r="AL4880">
        <v>0</v>
      </c>
      <c r="AM4880">
        <v>52868</v>
      </c>
      <c r="AN4880">
        <v>31582.400000000001</v>
      </c>
      <c r="AO4880">
        <v>84450.4</v>
      </c>
      <c r="AP4880">
        <v>0</v>
      </c>
      <c r="AQ4880">
        <v>-44.600000000005821</v>
      </c>
      <c r="AR4880">
        <v>-5.2784188413523836E-4</v>
      </c>
      <c r="AS4880" t="s">
        <v>239</v>
      </c>
      <c r="AT4880" t="s">
        <v>514</v>
      </c>
    </row>
    <row r="4881" spans="2:46" x14ac:dyDescent="0.35">
      <c r="B4881" t="s">
        <v>565</v>
      </c>
      <c r="C4881">
        <v>45759</v>
      </c>
      <c r="J4881">
        <v>0</v>
      </c>
      <c r="O4881" t="s">
        <v>239</v>
      </c>
      <c r="P4881" t="s">
        <v>514</v>
      </c>
      <c r="U4881">
        <v>0</v>
      </c>
      <c r="Y4881">
        <v>467</v>
      </c>
      <c r="Z4881" s="259" t="s">
        <v>637</v>
      </c>
      <c r="AB4881">
        <v>32132</v>
      </c>
      <c r="AF4881">
        <v>84450.4</v>
      </c>
      <c r="AG4881">
        <v>0</v>
      </c>
      <c r="AI4881">
        <v>84450.4</v>
      </c>
      <c r="AJ4881">
        <v>0</v>
      </c>
      <c r="AK4881">
        <v>0</v>
      </c>
      <c r="AL4881">
        <v>0</v>
      </c>
      <c r="AM4881">
        <v>52868</v>
      </c>
      <c r="AN4881">
        <v>31582.400000000001</v>
      </c>
      <c r="AO4881">
        <v>84450.4</v>
      </c>
      <c r="AP4881">
        <v>0</v>
      </c>
      <c r="AQ4881">
        <v>0</v>
      </c>
      <c r="AR4881">
        <v>0</v>
      </c>
      <c r="AS4881" t="s">
        <v>239</v>
      </c>
      <c r="AT4881" t="s">
        <v>514</v>
      </c>
    </row>
    <row r="4882" spans="2:46" x14ac:dyDescent="0.35">
      <c r="B4882" t="s">
        <v>565</v>
      </c>
      <c r="C4882">
        <v>45760</v>
      </c>
      <c r="J4882">
        <v>0</v>
      </c>
      <c r="O4882" t="s">
        <v>239</v>
      </c>
      <c r="P4882" t="s">
        <v>514</v>
      </c>
      <c r="U4882">
        <v>0</v>
      </c>
      <c r="Y4882">
        <v>468</v>
      </c>
      <c r="Z4882" s="259" t="s">
        <v>637</v>
      </c>
      <c r="AB4882">
        <v>32132</v>
      </c>
      <c r="AF4882">
        <v>84450.4</v>
      </c>
      <c r="AG4882">
        <v>0</v>
      </c>
      <c r="AI4882">
        <v>84450.4</v>
      </c>
      <c r="AJ4882">
        <v>0</v>
      </c>
      <c r="AK4882">
        <v>0</v>
      </c>
      <c r="AL4882">
        <v>0</v>
      </c>
      <c r="AM4882">
        <v>52868</v>
      </c>
      <c r="AN4882">
        <v>31582.400000000001</v>
      </c>
      <c r="AO4882">
        <v>84450.4</v>
      </c>
      <c r="AP4882">
        <v>0</v>
      </c>
      <c r="AQ4882">
        <v>0</v>
      </c>
      <c r="AR4882">
        <v>0</v>
      </c>
      <c r="AS4882" t="s">
        <v>239</v>
      </c>
      <c r="AT4882" t="s">
        <v>514</v>
      </c>
    </row>
    <row r="4883" spans="2:46" x14ac:dyDescent="0.35">
      <c r="B4883" t="s">
        <v>565</v>
      </c>
      <c r="C4883">
        <v>45761</v>
      </c>
      <c r="J4883">
        <v>0</v>
      </c>
      <c r="O4883" t="s">
        <v>239</v>
      </c>
      <c r="P4883" t="s">
        <v>514</v>
      </c>
      <c r="U4883">
        <v>0</v>
      </c>
      <c r="Y4883">
        <v>469</v>
      </c>
      <c r="Z4883" s="259" t="s">
        <v>637</v>
      </c>
      <c r="AB4883">
        <v>32132</v>
      </c>
      <c r="AF4883">
        <v>84315.3</v>
      </c>
      <c r="AG4883">
        <v>0</v>
      </c>
      <c r="AI4883">
        <v>84450.4</v>
      </c>
      <c r="AJ4883">
        <v>0</v>
      </c>
      <c r="AK4883">
        <v>0</v>
      </c>
      <c r="AL4883">
        <v>0</v>
      </c>
      <c r="AM4883">
        <v>52868</v>
      </c>
      <c r="AN4883">
        <v>31447.300000000003</v>
      </c>
      <c r="AO4883">
        <v>84315.3</v>
      </c>
      <c r="AP4883">
        <v>0</v>
      </c>
      <c r="AQ4883">
        <v>-135.09999999999127</v>
      </c>
      <c r="AR4883">
        <v>-1.5997555961841936E-3</v>
      </c>
      <c r="AS4883" t="s">
        <v>239</v>
      </c>
      <c r="AT4883" t="s">
        <v>514</v>
      </c>
    </row>
    <row r="4884" spans="2:46" x14ac:dyDescent="0.35">
      <c r="B4884" t="s">
        <v>565</v>
      </c>
      <c r="C4884">
        <v>45762</v>
      </c>
      <c r="J4884">
        <v>0</v>
      </c>
      <c r="O4884" t="s">
        <v>239</v>
      </c>
      <c r="P4884" t="s">
        <v>514</v>
      </c>
      <c r="U4884">
        <v>0</v>
      </c>
      <c r="Y4884">
        <v>470</v>
      </c>
      <c r="Z4884" s="259" t="s">
        <v>637</v>
      </c>
      <c r="AB4884">
        <v>32132</v>
      </c>
      <c r="AF4884">
        <v>84270.7</v>
      </c>
      <c r="AG4884">
        <v>0</v>
      </c>
      <c r="AI4884">
        <v>84315.3</v>
      </c>
      <c r="AJ4884">
        <v>0</v>
      </c>
      <c r="AK4884">
        <v>0</v>
      </c>
      <c r="AL4884">
        <v>0</v>
      </c>
      <c r="AM4884">
        <v>52868</v>
      </c>
      <c r="AN4884">
        <v>31402.7</v>
      </c>
      <c r="AO4884">
        <v>84270.7</v>
      </c>
      <c r="AP4884">
        <v>0</v>
      </c>
      <c r="AQ4884">
        <v>-44.600000000005821</v>
      </c>
      <c r="AR4884">
        <v>-5.2896686603742804E-4</v>
      </c>
      <c r="AS4884" t="s">
        <v>239</v>
      </c>
      <c r="AT4884" t="s">
        <v>514</v>
      </c>
    </row>
    <row r="4885" spans="2:46" x14ac:dyDescent="0.35">
      <c r="B4885" t="s">
        <v>565</v>
      </c>
      <c r="C4885">
        <v>45763</v>
      </c>
      <c r="J4885">
        <v>0</v>
      </c>
      <c r="O4885" t="s">
        <v>239</v>
      </c>
      <c r="P4885" t="s">
        <v>514</v>
      </c>
      <c r="U4885">
        <v>0</v>
      </c>
      <c r="Y4885">
        <v>471</v>
      </c>
      <c r="Z4885" s="259" t="s">
        <v>637</v>
      </c>
      <c r="AB4885">
        <v>32132</v>
      </c>
      <c r="AF4885">
        <v>84225.3</v>
      </c>
      <c r="AG4885">
        <v>0</v>
      </c>
      <c r="AI4885">
        <v>84270.7</v>
      </c>
      <c r="AJ4885">
        <v>0</v>
      </c>
      <c r="AK4885">
        <v>0</v>
      </c>
      <c r="AL4885">
        <v>0</v>
      </c>
      <c r="AM4885">
        <v>52868</v>
      </c>
      <c r="AN4885">
        <v>31357.3</v>
      </c>
      <c r="AO4885">
        <v>84225.3</v>
      </c>
      <c r="AP4885">
        <v>0</v>
      </c>
      <c r="AQ4885">
        <v>-45.399999999994179</v>
      </c>
      <c r="AR4885">
        <v>-5.387400365725048E-4</v>
      </c>
      <c r="AS4885" t="s">
        <v>239</v>
      </c>
      <c r="AT4885" t="s">
        <v>514</v>
      </c>
    </row>
    <row r="4886" spans="2:46" x14ac:dyDescent="0.35">
      <c r="B4886" t="s">
        <v>565</v>
      </c>
      <c r="C4886">
        <v>45764</v>
      </c>
      <c r="J4886">
        <v>0</v>
      </c>
      <c r="O4886" t="s">
        <v>239</v>
      </c>
      <c r="P4886" t="s">
        <v>514</v>
      </c>
      <c r="U4886">
        <v>0</v>
      </c>
      <c r="Y4886">
        <v>472</v>
      </c>
      <c r="Z4886" s="259" t="s">
        <v>637</v>
      </c>
      <c r="AB4886">
        <v>32132</v>
      </c>
      <c r="AF4886">
        <v>84180.7</v>
      </c>
      <c r="AG4886">
        <v>0</v>
      </c>
      <c r="AI4886">
        <v>84225.3</v>
      </c>
      <c r="AJ4886">
        <v>0</v>
      </c>
      <c r="AK4886">
        <v>0</v>
      </c>
      <c r="AL4886">
        <v>0</v>
      </c>
      <c r="AM4886">
        <v>52868</v>
      </c>
      <c r="AN4886">
        <v>31312.699999999997</v>
      </c>
      <c r="AO4886">
        <v>84180.7</v>
      </c>
      <c r="AP4886">
        <v>0</v>
      </c>
      <c r="AQ4886">
        <v>-44.600000000005821</v>
      </c>
      <c r="AR4886">
        <v>-5.2953210021222663E-4</v>
      </c>
      <c r="AS4886" t="s">
        <v>239</v>
      </c>
      <c r="AT4886" t="s">
        <v>514</v>
      </c>
    </row>
    <row r="4887" spans="2:46" x14ac:dyDescent="0.35">
      <c r="B4887" t="s">
        <v>565</v>
      </c>
      <c r="C4887">
        <v>45765</v>
      </c>
      <c r="J4887">
        <v>0</v>
      </c>
      <c r="O4887" t="s">
        <v>239</v>
      </c>
      <c r="P4887" t="s">
        <v>514</v>
      </c>
      <c r="U4887">
        <v>0</v>
      </c>
      <c r="Y4887">
        <v>473</v>
      </c>
      <c r="Z4887" s="259" t="s">
        <v>637</v>
      </c>
      <c r="AB4887">
        <v>32132</v>
      </c>
      <c r="AF4887">
        <v>84135.6</v>
      </c>
      <c r="AG4887">
        <v>0</v>
      </c>
      <c r="AI4887">
        <v>84180.7</v>
      </c>
      <c r="AJ4887">
        <v>0</v>
      </c>
      <c r="AK4887">
        <v>0</v>
      </c>
      <c r="AL4887">
        <v>0</v>
      </c>
      <c r="AM4887">
        <v>52868</v>
      </c>
      <c r="AN4887">
        <v>31267.599999999999</v>
      </c>
      <c r="AO4887">
        <v>84135.6</v>
      </c>
      <c r="AP4887">
        <v>0</v>
      </c>
      <c r="AQ4887">
        <v>-45.099999999991269</v>
      </c>
      <c r="AR4887">
        <v>-5.3575225675228655E-4</v>
      </c>
      <c r="AS4887" t="s">
        <v>239</v>
      </c>
      <c r="AT4887" t="s">
        <v>514</v>
      </c>
    </row>
    <row r="4888" spans="2:46" x14ac:dyDescent="0.35">
      <c r="B4888" t="s">
        <v>565</v>
      </c>
      <c r="C4888">
        <v>45766</v>
      </c>
      <c r="J4888">
        <v>0</v>
      </c>
      <c r="O4888" t="s">
        <v>239</v>
      </c>
      <c r="P4888" t="s">
        <v>514</v>
      </c>
      <c r="U4888">
        <v>0</v>
      </c>
      <c r="Y4888">
        <v>474</v>
      </c>
      <c r="Z4888" s="259" t="s">
        <v>637</v>
      </c>
      <c r="AB4888">
        <v>32132</v>
      </c>
      <c r="AF4888">
        <v>84135.6</v>
      </c>
      <c r="AG4888">
        <v>0</v>
      </c>
      <c r="AI4888">
        <v>84135.6</v>
      </c>
      <c r="AJ4888">
        <v>0</v>
      </c>
      <c r="AK4888">
        <v>0</v>
      </c>
      <c r="AL4888">
        <v>0</v>
      </c>
      <c r="AM4888">
        <v>52868</v>
      </c>
      <c r="AN4888">
        <v>31267.599999999999</v>
      </c>
      <c r="AO4888">
        <v>84135.6</v>
      </c>
      <c r="AP4888">
        <v>0</v>
      </c>
      <c r="AQ4888">
        <v>0</v>
      </c>
      <c r="AR4888">
        <v>0</v>
      </c>
      <c r="AS4888" t="s">
        <v>239</v>
      </c>
      <c r="AT4888" t="s">
        <v>514</v>
      </c>
    </row>
    <row r="4889" spans="2:46" x14ac:dyDescent="0.35">
      <c r="B4889" t="s">
        <v>565</v>
      </c>
      <c r="C4889">
        <v>45767</v>
      </c>
      <c r="J4889">
        <v>0</v>
      </c>
      <c r="O4889" t="s">
        <v>239</v>
      </c>
      <c r="P4889" t="s">
        <v>514</v>
      </c>
      <c r="U4889">
        <v>0</v>
      </c>
      <c r="Y4889">
        <v>475</v>
      </c>
      <c r="Z4889" s="259" t="s">
        <v>637</v>
      </c>
      <c r="AB4889">
        <v>32132</v>
      </c>
      <c r="AF4889">
        <v>84135.6</v>
      </c>
      <c r="AG4889">
        <v>0</v>
      </c>
      <c r="AI4889">
        <v>84135.6</v>
      </c>
      <c r="AJ4889">
        <v>0</v>
      </c>
      <c r="AK4889">
        <v>0</v>
      </c>
      <c r="AL4889">
        <v>0</v>
      </c>
      <c r="AM4889">
        <v>52868</v>
      </c>
      <c r="AN4889">
        <v>31267.599999999999</v>
      </c>
      <c r="AO4889">
        <v>84135.6</v>
      </c>
      <c r="AP4889">
        <v>0</v>
      </c>
      <c r="AQ4889">
        <v>0</v>
      </c>
      <c r="AR4889">
        <v>0</v>
      </c>
      <c r="AS4889" t="s">
        <v>239</v>
      </c>
      <c r="AT4889" t="s">
        <v>514</v>
      </c>
    </row>
    <row r="4890" spans="2:46" x14ac:dyDescent="0.35">
      <c r="B4890" t="s">
        <v>565</v>
      </c>
      <c r="C4890">
        <v>45768</v>
      </c>
      <c r="J4890">
        <v>0</v>
      </c>
      <c r="O4890" t="s">
        <v>239</v>
      </c>
      <c r="P4890" t="s">
        <v>514</v>
      </c>
      <c r="U4890">
        <v>0</v>
      </c>
      <c r="Y4890">
        <v>476</v>
      </c>
      <c r="Z4890" s="259" t="s">
        <v>637</v>
      </c>
      <c r="AB4890">
        <v>32132</v>
      </c>
      <c r="AF4890">
        <v>84001</v>
      </c>
      <c r="AG4890">
        <v>0</v>
      </c>
      <c r="AI4890">
        <v>84135.6</v>
      </c>
      <c r="AJ4890">
        <v>0</v>
      </c>
      <c r="AK4890">
        <v>0</v>
      </c>
      <c r="AL4890">
        <v>0</v>
      </c>
      <c r="AM4890">
        <v>52868</v>
      </c>
      <c r="AN4890">
        <v>31133</v>
      </c>
      <c r="AO4890">
        <v>84001</v>
      </c>
      <c r="AP4890">
        <v>0</v>
      </c>
      <c r="AQ4890">
        <v>-134.60000000000582</v>
      </c>
      <c r="AR4890">
        <v>-1.5997984206448379E-3</v>
      </c>
      <c r="AS4890" t="s">
        <v>239</v>
      </c>
      <c r="AT4890" t="s">
        <v>514</v>
      </c>
    </row>
    <row r="4891" spans="2:46" x14ac:dyDescent="0.35">
      <c r="B4891" t="s">
        <v>565</v>
      </c>
      <c r="C4891">
        <v>45769</v>
      </c>
      <c r="J4891">
        <v>0</v>
      </c>
      <c r="O4891" t="s">
        <v>239</v>
      </c>
      <c r="P4891" t="s">
        <v>514</v>
      </c>
      <c r="U4891">
        <v>0</v>
      </c>
      <c r="Y4891">
        <v>477</v>
      </c>
      <c r="Z4891" s="259" t="s">
        <v>637</v>
      </c>
      <c r="AB4891">
        <v>32132</v>
      </c>
      <c r="AF4891">
        <v>83956.4</v>
      </c>
      <c r="AG4891">
        <v>0</v>
      </c>
      <c r="AI4891">
        <v>84001</v>
      </c>
      <c r="AJ4891">
        <v>0</v>
      </c>
      <c r="AK4891">
        <v>0</v>
      </c>
      <c r="AL4891">
        <v>0</v>
      </c>
      <c r="AM4891">
        <v>52868</v>
      </c>
      <c r="AN4891">
        <v>31088.400000000001</v>
      </c>
      <c r="AO4891">
        <v>83956.4</v>
      </c>
      <c r="AP4891">
        <v>0</v>
      </c>
      <c r="AQ4891">
        <v>-44.600000000005821</v>
      </c>
      <c r="AR4891">
        <v>-5.3094606016601542E-4</v>
      </c>
      <c r="AS4891" t="s">
        <v>239</v>
      </c>
      <c r="AT4891" t="s">
        <v>514</v>
      </c>
    </row>
    <row r="4892" spans="2:46" x14ac:dyDescent="0.35">
      <c r="B4892" t="s">
        <v>565</v>
      </c>
      <c r="C4892">
        <v>45770</v>
      </c>
      <c r="J4892">
        <v>0</v>
      </c>
      <c r="O4892" t="s">
        <v>239</v>
      </c>
      <c r="P4892" t="s">
        <v>514</v>
      </c>
      <c r="U4892">
        <v>0</v>
      </c>
      <c r="Y4892">
        <v>478</v>
      </c>
      <c r="Z4892" s="259" t="s">
        <v>637</v>
      </c>
      <c r="AB4892">
        <v>32132</v>
      </c>
      <c r="AF4892">
        <v>83912.3</v>
      </c>
      <c r="AG4892">
        <v>0</v>
      </c>
      <c r="AI4892">
        <v>83956.4</v>
      </c>
      <c r="AJ4892">
        <v>0</v>
      </c>
      <c r="AK4892">
        <v>0</v>
      </c>
      <c r="AL4892">
        <v>0</v>
      </c>
      <c r="AM4892">
        <v>52868</v>
      </c>
      <c r="AN4892">
        <v>31044.3</v>
      </c>
      <c r="AO4892">
        <v>83912.3</v>
      </c>
      <c r="AP4892">
        <v>0</v>
      </c>
      <c r="AQ4892">
        <v>-44.099999999991269</v>
      </c>
      <c r="AR4892">
        <v>-5.2527264151380759E-4</v>
      </c>
      <c r="AS4892" t="s">
        <v>239</v>
      </c>
      <c r="AT4892" t="s">
        <v>514</v>
      </c>
    </row>
    <row r="4893" spans="2:46" x14ac:dyDescent="0.35">
      <c r="B4893" t="s">
        <v>565</v>
      </c>
      <c r="C4893">
        <v>45771</v>
      </c>
      <c r="J4893">
        <v>0</v>
      </c>
      <c r="O4893" t="s">
        <v>239</v>
      </c>
      <c r="P4893" t="s">
        <v>514</v>
      </c>
      <c r="U4893">
        <v>0</v>
      </c>
      <c r="Y4893">
        <v>479</v>
      </c>
      <c r="Z4893" s="259" t="s">
        <v>637</v>
      </c>
      <c r="AB4893">
        <v>32132</v>
      </c>
      <c r="AF4893">
        <v>83866.899999999994</v>
      </c>
      <c r="AG4893">
        <v>0</v>
      </c>
      <c r="AI4893">
        <v>83912.3</v>
      </c>
      <c r="AJ4893">
        <v>0</v>
      </c>
      <c r="AK4893">
        <v>0</v>
      </c>
      <c r="AL4893">
        <v>0</v>
      </c>
      <c r="AM4893">
        <v>52868</v>
      </c>
      <c r="AN4893">
        <v>30998.9</v>
      </c>
      <c r="AO4893">
        <v>83866.899999999994</v>
      </c>
      <c r="AP4893">
        <v>0</v>
      </c>
      <c r="AQ4893">
        <v>-45.400000000008731</v>
      </c>
      <c r="AR4893">
        <v>-5.4104106311003708E-4</v>
      </c>
      <c r="AS4893" t="s">
        <v>239</v>
      </c>
      <c r="AT4893" t="s">
        <v>514</v>
      </c>
    </row>
    <row r="4894" spans="2:46" x14ac:dyDescent="0.35">
      <c r="B4894" t="s">
        <v>565</v>
      </c>
      <c r="C4894">
        <v>45772</v>
      </c>
      <c r="J4894">
        <v>0</v>
      </c>
      <c r="O4894" t="s">
        <v>239</v>
      </c>
      <c r="P4894" t="s">
        <v>514</v>
      </c>
      <c r="U4894">
        <v>0</v>
      </c>
      <c r="Y4894">
        <v>480</v>
      </c>
      <c r="Z4894" s="259" t="s">
        <v>637</v>
      </c>
      <c r="AB4894">
        <v>32132</v>
      </c>
      <c r="AF4894">
        <v>83822.3</v>
      </c>
      <c r="AG4894">
        <v>0</v>
      </c>
      <c r="AI4894">
        <v>83866.899999999994</v>
      </c>
      <c r="AJ4894">
        <v>0</v>
      </c>
      <c r="AK4894">
        <v>0</v>
      </c>
      <c r="AL4894">
        <v>0</v>
      </c>
      <c r="AM4894">
        <v>52868</v>
      </c>
      <c r="AN4894">
        <v>30954.3</v>
      </c>
      <c r="AO4894">
        <v>83822.3</v>
      </c>
      <c r="AP4894">
        <v>0</v>
      </c>
      <c r="AQ4894">
        <v>-44.599999999991269</v>
      </c>
      <c r="AR4894">
        <v>-5.3179502282774127E-4</v>
      </c>
      <c r="AS4894" t="s">
        <v>239</v>
      </c>
      <c r="AT4894" t="s">
        <v>514</v>
      </c>
    </row>
    <row r="4895" spans="2:46" x14ac:dyDescent="0.35">
      <c r="B4895" t="s">
        <v>565</v>
      </c>
      <c r="C4895">
        <v>45773</v>
      </c>
      <c r="J4895">
        <v>0</v>
      </c>
      <c r="O4895" t="s">
        <v>239</v>
      </c>
      <c r="P4895" t="s">
        <v>514</v>
      </c>
      <c r="U4895">
        <v>0</v>
      </c>
      <c r="Y4895">
        <v>481</v>
      </c>
      <c r="Z4895" s="259" t="s">
        <v>637</v>
      </c>
      <c r="AB4895">
        <v>32132</v>
      </c>
      <c r="AF4895">
        <v>83822.3</v>
      </c>
      <c r="AG4895">
        <v>0</v>
      </c>
      <c r="AI4895">
        <v>83822.3</v>
      </c>
      <c r="AJ4895">
        <v>0</v>
      </c>
      <c r="AK4895">
        <v>0</v>
      </c>
      <c r="AL4895">
        <v>0</v>
      </c>
      <c r="AM4895">
        <v>52868</v>
      </c>
      <c r="AN4895">
        <v>30954.3</v>
      </c>
      <c r="AO4895">
        <v>83822.3</v>
      </c>
      <c r="AP4895">
        <v>0</v>
      </c>
      <c r="AQ4895">
        <v>0</v>
      </c>
      <c r="AR4895">
        <v>0</v>
      </c>
      <c r="AS4895" t="s">
        <v>239</v>
      </c>
      <c r="AT4895" t="s">
        <v>514</v>
      </c>
    </row>
    <row r="4896" spans="2:46" x14ac:dyDescent="0.35">
      <c r="B4896" t="s">
        <v>565</v>
      </c>
      <c r="C4896">
        <v>45774</v>
      </c>
      <c r="J4896">
        <v>0</v>
      </c>
      <c r="O4896" t="s">
        <v>239</v>
      </c>
      <c r="P4896" t="s">
        <v>514</v>
      </c>
      <c r="U4896">
        <v>0</v>
      </c>
      <c r="Y4896">
        <v>482</v>
      </c>
      <c r="Z4896" s="259" t="s">
        <v>637</v>
      </c>
      <c r="AB4896">
        <v>32132</v>
      </c>
      <c r="AF4896">
        <v>83822.3</v>
      </c>
      <c r="AG4896">
        <v>0</v>
      </c>
      <c r="AI4896">
        <v>83822.3</v>
      </c>
      <c r="AJ4896">
        <v>0</v>
      </c>
      <c r="AK4896">
        <v>0</v>
      </c>
      <c r="AL4896">
        <v>0</v>
      </c>
      <c r="AM4896">
        <v>52868</v>
      </c>
      <c r="AN4896">
        <v>30954.3</v>
      </c>
      <c r="AO4896">
        <v>83822.3</v>
      </c>
      <c r="AP4896">
        <v>0</v>
      </c>
      <c r="AQ4896">
        <v>0</v>
      </c>
      <c r="AR4896">
        <v>0</v>
      </c>
      <c r="AS4896" t="s">
        <v>239</v>
      </c>
      <c r="AT4896" t="s">
        <v>514</v>
      </c>
    </row>
    <row r="4897" spans="2:46" x14ac:dyDescent="0.35">
      <c r="B4897" t="s">
        <v>565</v>
      </c>
      <c r="C4897">
        <v>45775</v>
      </c>
      <c r="J4897">
        <v>0</v>
      </c>
      <c r="O4897" t="s">
        <v>239</v>
      </c>
      <c r="P4897" t="s">
        <v>514</v>
      </c>
      <c r="U4897">
        <v>0</v>
      </c>
      <c r="Y4897">
        <v>483</v>
      </c>
      <c r="Z4897" s="259" t="s">
        <v>637</v>
      </c>
      <c r="AB4897">
        <v>32132</v>
      </c>
      <c r="AF4897">
        <v>83687.199999999997</v>
      </c>
      <c r="AG4897">
        <v>0</v>
      </c>
      <c r="AI4897">
        <v>83822.3</v>
      </c>
      <c r="AJ4897">
        <v>0</v>
      </c>
      <c r="AK4897">
        <v>0</v>
      </c>
      <c r="AL4897">
        <v>0</v>
      </c>
      <c r="AM4897">
        <v>52868</v>
      </c>
      <c r="AN4897">
        <v>30819.200000000001</v>
      </c>
      <c r="AO4897">
        <v>83687.199999999997</v>
      </c>
      <c r="AP4897">
        <v>0</v>
      </c>
      <c r="AQ4897">
        <v>-135.10000000000582</v>
      </c>
      <c r="AR4897">
        <v>-1.6117429371420577E-3</v>
      </c>
      <c r="AS4897" t="s">
        <v>239</v>
      </c>
      <c r="AT4897" t="s">
        <v>514</v>
      </c>
    </row>
    <row r="4898" spans="2:46" x14ac:dyDescent="0.35">
      <c r="B4898" t="s">
        <v>565</v>
      </c>
      <c r="C4898">
        <v>45776</v>
      </c>
      <c r="J4898">
        <v>0</v>
      </c>
      <c r="O4898" t="s">
        <v>239</v>
      </c>
      <c r="P4898" t="s">
        <v>514</v>
      </c>
      <c r="U4898">
        <v>0</v>
      </c>
      <c r="Y4898">
        <v>484</v>
      </c>
      <c r="Z4898" s="259" t="s">
        <v>637</v>
      </c>
      <c r="AB4898">
        <v>32132</v>
      </c>
      <c r="AF4898">
        <v>83642.600000000006</v>
      </c>
      <c r="AG4898">
        <v>0</v>
      </c>
      <c r="AI4898">
        <v>83687.199999999997</v>
      </c>
      <c r="AJ4898">
        <v>0</v>
      </c>
      <c r="AK4898">
        <v>0</v>
      </c>
      <c r="AL4898">
        <v>0</v>
      </c>
      <c r="AM4898">
        <v>52868</v>
      </c>
      <c r="AN4898">
        <v>30774.6</v>
      </c>
      <c r="AO4898">
        <v>83642.600000000006</v>
      </c>
      <c r="AP4898">
        <v>0</v>
      </c>
      <c r="AQ4898">
        <v>-44.599999999991269</v>
      </c>
      <c r="AR4898">
        <v>-5.329369365923986E-4</v>
      </c>
      <c r="AS4898" t="s">
        <v>239</v>
      </c>
      <c r="AT4898" t="s">
        <v>514</v>
      </c>
    </row>
    <row r="4899" spans="2:46" x14ac:dyDescent="0.35">
      <c r="B4899" t="s">
        <v>565</v>
      </c>
      <c r="C4899">
        <v>45777</v>
      </c>
      <c r="J4899">
        <v>0</v>
      </c>
      <c r="O4899" t="s">
        <v>239</v>
      </c>
      <c r="P4899" t="s">
        <v>514</v>
      </c>
      <c r="U4899">
        <v>0</v>
      </c>
      <c r="Y4899">
        <v>485</v>
      </c>
      <c r="Z4899" s="259" t="s">
        <v>637</v>
      </c>
      <c r="AB4899">
        <v>32132</v>
      </c>
      <c r="AF4899">
        <v>83598</v>
      </c>
      <c r="AG4899">
        <v>0</v>
      </c>
      <c r="AI4899">
        <v>83642.600000000006</v>
      </c>
      <c r="AJ4899">
        <v>0</v>
      </c>
      <c r="AK4899">
        <v>0</v>
      </c>
      <c r="AL4899">
        <v>0</v>
      </c>
      <c r="AM4899">
        <v>52868</v>
      </c>
      <c r="AN4899">
        <v>30730</v>
      </c>
      <c r="AO4899">
        <v>83598</v>
      </c>
      <c r="AP4899">
        <v>0</v>
      </c>
      <c r="AQ4899">
        <v>-44.600000000005821</v>
      </c>
      <c r="AR4899">
        <v>-5.3322110981735005E-4</v>
      </c>
      <c r="AS4899" t="s">
        <v>239</v>
      </c>
      <c r="AT4899" t="s">
        <v>514</v>
      </c>
    </row>
    <row r="4900" spans="2:46" x14ac:dyDescent="0.35">
      <c r="B4900" t="s">
        <v>565</v>
      </c>
      <c r="C4900">
        <v>45778</v>
      </c>
      <c r="J4900">
        <v>0</v>
      </c>
      <c r="O4900" t="s">
        <v>239</v>
      </c>
      <c r="P4900" t="s">
        <v>514</v>
      </c>
      <c r="U4900">
        <v>0</v>
      </c>
      <c r="Y4900">
        <v>486</v>
      </c>
      <c r="Z4900" s="259" t="s">
        <v>637</v>
      </c>
      <c r="AB4900">
        <v>32132</v>
      </c>
      <c r="AF4900">
        <v>83598</v>
      </c>
      <c r="AG4900">
        <v>0</v>
      </c>
      <c r="AI4900">
        <v>83598</v>
      </c>
      <c r="AJ4900">
        <v>0</v>
      </c>
      <c r="AK4900">
        <v>0</v>
      </c>
      <c r="AL4900">
        <v>0</v>
      </c>
      <c r="AM4900">
        <v>52868</v>
      </c>
      <c r="AN4900">
        <v>30730</v>
      </c>
      <c r="AO4900">
        <v>83598</v>
      </c>
      <c r="AP4900">
        <v>0</v>
      </c>
      <c r="AQ4900">
        <v>0</v>
      </c>
      <c r="AR4900">
        <v>0</v>
      </c>
      <c r="AS4900" t="s">
        <v>239</v>
      </c>
      <c r="AT4900" t="s">
        <v>514</v>
      </c>
    </row>
    <row r="4901" spans="2:46" x14ac:dyDescent="0.35">
      <c r="B4901" t="s">
        <v>565</v>
      </c>
      <c r="C4901">
        <v>45779</v>
      </c>
      <c r="J4901">
        <v>0</v>
      </c>
      <c r="O4901" t="s">
        <v>239</v>
      </c>
      <c r="P4901" t="s">
        <v>514</v>
      </c>
      <c r="U4901">
        <v>0</v>
      </c>
      <c r="Y4901">
        <v>487</v>
      </c>
      <c r="Z4901" s="259" t="s">
        <v>637</v>
      </c>
      <c r="AB4901">
        <v>32132</v>
      </c>
      <c r="AF4901">
        <v>83622.399999999994</v>
      </c>
      <c r="AG4901">
        <v>0</v>
      </c>
      <c r="AI4901">
        <v>83598</v>
      </c>
      <c r="AJ4901">
        <v>0</v>
      </c>
      <c r="AK4901">
        <v>0</v>
      </c>
      <c r="AL4901">
        <v>0</v>
      </c>
      <c r="AM4901">
        <v>52868</v>
      </c>
      <c r="AN4901">
        <v>30754.400000000001</v>
      </c>
      <c r="AO4901">
        <v>83622.399999999994</v>
      </c>
      <c r="AP4901">
        <v>0</v>
      </c>
      <c r="AQ4901">
        <v>24.399999999994179</v>
      </c>
      <c r="AR4901">
        <v>2.9187301131594623E-4</v>
      </c>
      <c r="AS4901" t="s">
        <v>239</v>
      </c>
      <c r="AT4901" t="s">
        <v>514</v>
      </c>
    </row>
    <row r="4902" spans="2:46" x14ac:dyDescent="0.35">
      <c r="B4902" t="s">
        <v>565</v>
      </c>
      <c r="C4902">
        <v>45780</v>
      </c>
      <c r="J4902">
        <v>0</v>
      </c>
      <c r="O4902" t="s">
        <v>239</v>
      </c>
      <c r="P4902" t="s">
        <v>514</v>
      </c>
      <c r="U4902">
        <v>0</v>
      </c>
      <c r="Y4902">
        <v>488</v>
      </c>
      <c r="Z4902" s="259" t="s">
        <v>637</v>
      </c>
      <c r="AB4902">
        <v>32132</v>
      </c>
      <c r="AF4902">
        <v>83622.399999999994</v>
      </c>
      <c r="AG4902">
        <v>0</v>
      </c>
      <c r="AI4902">
        <v>83622.399999999994</v>
      </c>
      <c r="AJ4902">
        <v>0</v>
      </c>
      <c r="AK4902">
        <v>0</v>
      </c>
      <c r="AL4902">
        <v>0</v>
      </c>
      <c r="AM4902">
        <v>52868</v>
      </c>
      <c r="AN4902">
        <v>30754.400000000001</v>
      </c>
      <c r="AO4902">
        <v>83622.399999999994</v>
      </c>
      <c r="AP4902">
        <v>0</v>
      </c>
      <c r="AQ4902">
        <v>0</v>
      </c>
      <c r="AR4902">
        <v>0</v>
      </c>
      <c r="AS4902" t="s">
        <v>239</v>
      </c>
      <c r="AT4902" t="s">
        <v>514</v>
      </c>
    </row>
    <row r="4903" spans="2:46" x14ac:dyDescent="0.35">
      <c r="B4903" t="s">
        <v>565</v>
      </c>
      <c r="C4903">
        <v>45781</v>
      </c>
      <c r="J4903">
        <v>0</v>
      </c>
      <c r="O4903" t="s">
        <v>239</v>
      </c>
      <c r="P4903" t="s">
        <v>514</v>
      </c>
      <c r="U4903">
        <v>0</v>
      </c>
      <c r="Y4903">
        <v>489</v>
      </c>
      <c r="Z4903" s="259" t="s">
        <v>637</v>
      </c>
      <c r="AB4903">
        <v>32132</v>
      </c>
      <c r="AF4903">
        <v>83622.399999999994</v>
      </c>
      <c r="AG4903">
        <v>0</v>
      </c>
      <c r="AI4903">
        <v>83622.399999999994</v>
      </c>
      <c r="AJ4903">
        <v>0</v>
      </c>
      <c r="AK4903">
        <v>0</v>
      </c>
      <c r="AL4903">
        <v>0</v>
      </c>
      <c r="AM4903">
        <v>52868</v>
      </c>
      <c r="AN4903">
        <v>30754.400000000001</v>
      </c>
      <c r="AO4903">
        <v>83622.399999999994</v>
      </c>
      <c r="AP4903">
        <v>0</v>
      </c>
      <c r="AQ4903">
        <v>0</v>
      </c>
      <c r="AR4903">
        <v>0</v>
      </c>
      <c r="AS4903" t="s">
        <v>239</v>
      </c>
      <c r="AT4903" t="s">
        <v>514</v>
      </c>
    </row>
    <row r="4904" spans="2:46" x14ac:dyDescent="0.35">
      <c r="B4904" t="s">
        <v>565</v>
      </c>
      <c r="C4904">
        <v>45782</v>
      </c>
      <c r="J4904">
        <v>0</v>
      </c>
      <c r="O4904" t="s">
        <v>239</v>
      </c>
      <c r="P4904" t="s">
        <v>514</v>
      </c>
      <c r="U4904">
        <v>0</v>
      </c>
      <c r="Y4904">
        <v>490</v>
      </c>
      <c r="Z4904" s="259" t="s">
        <v>637</v>
      </c>
      <c r="AB4904">
        <v>32132</v>
      </c>
      <c r="AF4904">
        <v>83696.399999999994</v>
      </c>
      <c r="AG4904">
        <v>0</v>
      </c>
      <c r="AI4904">
        <v>83622.399999999994</v>
      </c>
      <c r="AJ4904">
        <v>0</v>
      </c>
      <c r="AK4904">
        <v>0</v>
      </c>
      <c r="AL4904">
        <v>0</v>
      </c>
      <c r="AM4904">
        <v>52868</v>
      </c>
      <c r="AN4904">
        <v>30828.400000000001</v>
      </c>
      <c r="AO4904">
        <v>83696.399999999994</v>
      </c>
      <c r="AP4904">
        <v>0</v>
      </c>
      <c r="AQ4904">
        <v>74</v>
      </c>
      <c r="AR4904">
        <v>8.8493035358938599E-4</v>
      </c>
      <c r="AS4904" t="s">
        <v>239</v>
      </c>
      <c r="AT4904" t="s">
        <v>514</v>
      </c>
    </row>
    <row r="4905" spans="2:46" x14ac:dyDescent="0.35">
      <c r="B4905" t="s">
        <v>565</v>
      </c>
      <c r="C4905">
        <v>45783</v>
      </c>
      <c r="J4905">
        <v>0</v>
      </c>
      <c r="O4905" t="s">
        <v>239</v>
      </c>
      <c r="P4905" t="s">
        <v>514</v>
      </c>
      <c r="U4905">
        <v>0</v>
      </c>
      <c r="Y4905">
        <v>491</v>
      </c>
      <c r="Z4905" s="259" t="s">
        <v>637</v>
      </c>
      <c r="AB4905">
        <v>32132</v>
      </c>
      <c r="AF4905">
        <v>83721.600000000006</v>
      </c>
      <c r="AG4905">
        <v>0</v>
      </c>
      <c r="AI4905">
        <v>83696.399999999994</v>
      </c>
      <c r="AJ4905">
        <v>0</v>
      </c>
      <c r="AK4905">
        <v>0</v>
      </c>
      <c r="AL4905">
        <v>0</v>
      </c>
      <c r="AM4905">
        <v>52868</v>
      </c>
      <c r="AN4905">
        <v>30853.599999999999</v>
      </c>
      <c r="AO4905">
        <v>83721.600000000006</v>
      </c>
      <c r="AP4905">
        <v>0</v>
      </c>
      <c r="AQ4905">
        <v>25.200000000011642</v>
      </c>
      <c r="AR4905">
        <v>3.0108821884833326E-4</v>
      </c>
      <c r="AS4905" t="s">
        <v>239</v>
      </c>
      <c r="AT4905" t="s">
        <v>514</v>
      </c>
    </row>
    <row r="4906" spans="2:46" x14ac:dyDescent="0.35">
      <c r="B4906" t="s">
        <v>565</v>
      </c>
      <c r="C4906">
        <v>45784</v>
      </c>
      <c r="J4906">
        <v>0</v>
      </c>
      <c r="O4906" t="s">
        <v>239</v>
      </c>
      <c r="P4906" t="s">
        <v>514</v>
      </c>
      <c r="U4906">
        <v>0</v>
      </c>
      <c r="Y4906">
        <v>492</v>
      </c>
      <c r="Z4906" s="259" t="s">
        <v>637</v>
      </c>
      <c r="AB4906">
        <v>32132</v>
      </c>
      <c r="AF4906">
        <v>83746</v>
      </c>
      <c r="AG4906">
        <v>0</v>
      </c>
      <c r="AI4906">
        <v>83721.600000000006</v>
      </c>
      <c r="AJ4906">
        <v>0</v>
      </c>
      <c r="AK4906">
        <v>0</v>
      </c>
      <c r="AL4906">
        <v>0</v>
      </c>
      <c r="AM4906">
        <v>52868</v>
      </c>
      <c r="AN4906">
        <v>30878</v>
      </c>
      <c r="AO4906">
        <v>83746</v>
      </c>
      <c r="AP4906">
        <v>0</v>
      </c>
      <c r="AQ4906">
        <v>24.399999999994179</v>
      </c>
      <c r="AR4906">
        <v>2.9144211290743627E-4</v>
      </c>
      <c r="AS4906" t="s">
        <v>239</v>
      </c>
      <c r="AT4906" t="s">
        <v>514</v>
      </c>
    </row>
    <row r="4907" spans="2:46" x14ac:dyDescent="0.35">
      <c r="B4907" t="s">
        <v>565</v>
      </c>
      <c r="C4907">
        <v>45785</v>
      </c>
      <c r="J4907">
        <v>0</v>
      </c>
      <c r="O4907" t="s">
        <v>239</v>
      </c>
      <c r="P4907" t="s">
        <v>514</v>
      </c>
      <c r="U4907">
        <v>0</v>
      </c>
      <c r="Y4907">
        <v>493</v>
      </c>
      <c r="Z4907" s="259" t="s">
        <v>637</v>
      </c>
      <c r="AB4907">
        <v>32132</v>
      </c>
      <c r="AF4907">
        <v>83770.399999999994</v>
      </c>
      <c r="AG4907">
        <v>0</v>
      </c>
      <c r="AI4907">
        <v>83746</v>
      </c>
      <c r="AJ4907">
        <v>0</v>
      </c>
      <c r="AK4907">
        <v>0</v>
      </c>
      <c r="AL4907">
        <v>0</v>
      </c>
      <c r="AM4907">
        <v>52868</v>
      </c>
      <c r="AN4907">
        <v>30902.400000000001</v>
      </c>
      <c r="AO4907">
        <v>83770.399999999994</v>
      </c>
      <c r="AP4907">
        <v>0</v>
      </c>
      <c r="AQ4907">
        <v>24.399999999994179</v>
      </c>
      <c r="AR4907">
        <v>2.9135719914963332E-4</v>
      </c>
      <c r="AS4907" t="s">
        <v>239</v>
      </c>
      <c r="AT4907" t="s">
        <v>514</v>
      </c>
    </row>
    <row r="4908" spans="2:46" x14ac:dyDescent="0.35">
      <c r="B4908" t="s">
        <v>565</v>
      </c>
      <c r="C4908">
        <v>45786</v>
      </c>
      <c r="J4908">
        <v>0</v>
      </c>
      <c r="O4908" t="s">
        <v>239</v>
      </c>
      <c r="P4908" t="s">
        <v>514</v>
      </c>
      <c r="U4908">
        <v>0</v>
      </c>
      <c r="Y4908">
        <v>494</v>
      </c>
      <c r="Z4908" s="259" t="s">
        <v>637</v>
      </c>
      <c r="AB4908">
        <v>32132</v>
      </c>
      <c r="AF4908">
        <v>83795.600000000006</v>
      </c>
      <c r="AG4908">
        <v>0</v>
      </c>
      <c r="AI4908">
        <v>83770.399999999994</v>
      </c>
      <c r="AJ4908">
        <v>0</v>
      </c>
      <c r="AK4908">
        <v>0</v>
      </c>
      <c r="AL4908">
        <v>0</v>
      </c>
      <c r="AM4908">
        <v>52868</v>
      </c>
      <c r="AN4908">
        <v>30927.599999999999</v>
      </c>
      <c r="AO4908">
        <v>83795.600000000006</v>
      </c>
      <c r="AP4908">
        <v>0</v>
      </c>
      <c r="AQ4908">
        <v>25.200000000011642</v>
      </c>
      <c r="AR4908">
        <v>3.0082224747651765E-4</v>
      </c>
      <c r="AS4908" t="s">
        <v>239</v>
      </c>
      <c r="AT4908" t="s">
        <v>514</v>
      </c>
    </row>
    <row r="4909" spans="2:46" x14ac:dyDescent="0.35">
      <c r="B4909" t="s">
        <v>565</v>
      </c>
      <c r="C4909">
        <v>45787</v>
      </c>
      <c r="J4909">
        <v>0</v>
      </c>
      <c r="O4909" t="s">
        <v>239</v>
      </c>
      <c r="P4909" t="s">
        <v>514</v>
      </c>
      <c r="U4909">
        <v>0</v>
      </c>
      <c r="Y4909">
        <v>495</v>
      </c>
      <c r="Z4909" s="259" t="s">
        <v>637</v>
      </c>
      <c r="AB4909">
        <v>32132</v>
      </c>
      <c r="AF4909">
        <v>83795.600000000006</v>
      </c>
      <c r="AG4909">
        <v>0</v>
      </c>
      <c r="AI4909">
        <v>83795.600000000006</v>
      </c>
      <c r="AJ4909">
        <v>0</v>
      </c>
      <c r="AK4909">
        <v>0</v>
      </c>
      <c r="AL4909">
        <v>0</v>
      </c>
      <c r="AM4909">
        <v>52868</v>
      </c>
      <c r="AN4909">
        <v>30927.599999999999</v>
      </c>
      <c r="AO4909">
        <v>83795.600000000006</v>
      </c>
      <c r="AP4909">
        <v>0</v>
      </c>
      <c r="AQ4909">
        <v>0</v>
      </c>
      <c r="AR4909">
        <v>0</v>
      </c>
      <c r="AS4909" t="s">
        <v>239</v>
      </c>
      <c r="AT4909" t="s">
        <v>514</v>
      </c>
    </row>
    <row r="4910" spans="2:46" x14ac:dyDescent="0.35">
      <c r="B4910" t="s">
        <v>565</v>
      </c>
      <c r="C4910">
        <v>45788</v>
      </c>
      <c r="J4910">
        <v>0</v>
      </c>
      <c r="O4910" t="s">
        <v>239</v>
      </c>
      <c r="P4910" t="s">
        <v>514</v>
      </c>
      <c r="U4910">
        <v>0</v>
      </c>
      <c r="Y4910">
        <v>496</v>
      </c>
      <c r="Z4910" s="259" t="s">
        <v>637</v>
      </c>
      <c r="AB4910">
        <v>32132</v>
      </c>
      <c r="AF4910">
        <v>83795.600000000006</v>
      </c>
      <c r="AG4910">
        <v>0</v>
      </c>
      <c r="AI4910">
        <v>83795.600000000006</v>
      </c>
      <c r="AJ4910">
        <v>0</v>
      </c>
      <c r="AK4910">
        <v>0</v>
      </c>
      <c r="AL4910">
        <v>0</v>
      </c>
      <c r="AM4910">
        <v>52868</v>
      </c>
      <c r="AN4910">
        <v>30927.599999999999</v>
      </c>
      <c r="AO4910">
        <v>83795.600000000006</v>
      </c>
      <c r="AP4910">
        <v>0</v>
      </c>
      <c r="AQ4910">
        <v>0</v>
      </c>
      <c r="AR4910">
        <v>0</v>
      </c>
      <c r="AS4910" t="s">
        <v>239</v>
      </c>
      <c r="AT4910" t="s">
        <v>514</v>
      </c>
    </row>
    <row r="4911" spans="2:46" x14ac:dyDescent="0.35">
      <c r="B4911" t="s">
        <v>565</v>
      </c>
      <c r="C4911">
        <v>45789</v>
      </c>
      <c r="J4911">
        <v>0</v>
      </c>
      <c r="O4911" t="s">
        <v>239</v>
      </c>
      <c r="P4911" t="s">
        <v>514</v>
      </c>
      <c r="U4911">
        <v>0</v>
      </c>
      <c r="Y4911">
        <v>497</v>
      </c>
      <c r="Z4911" s="259" t="s">
        <v>637</v>
      </c>
      <c r="AB4911">
        <v>32132</v>
      </c>
      <c r="AF4911">
        <v>83869.600000000006</v>
      </c>
      <c r="AG4911">
        <v>0</v>
      </c>
      <c r="AI4911">
        <v>83795.600000000006</v>
      </c>
      <c r="AJ4911">
        <v>0</v>
      </c>
      <c r="AK4911">
        <v>0</v>
      </c>
      <c r="AL4911">
        <v>0</v>
      </c>
      <c r="AM4911">
        <v>52868</v>
      </c>
      <c r="AN4911">
        <v>31001.599999999999</v>
      </c>
      <c r="AO4911">
        <v>83869.600000000006</v>
      </c>
      <c r="AP4911">
        <v>0</v>
      </c>
      <c r="AQ4911">
        <v>74</v>
      </c>
      <c r="AR4911">
        <v>8.831012606866917E-4</v>
      </c>
      <c r="AS4911" t="s">
        <v>239</v>
      </c>
      <c r="AT4911" t="s">
        <v>514</v>
      </c>
    </row>
    <row r="4912" spans="2:46" x14ac:dyDescent="0.35">
      <c r="B4912" t="s">
        <v>565</v>
      </c>
      <c r="C4912">
        <v>45790</v>
      </c>
      <c r="J4912">
        <v>0</v>
      </c>
      <c r="O4912" t="s">
        <v>239</v>
      </c>
      <c r="P4912" t="s">
        <v>514</v>
      </c>
      <c r="U4912">
        <v>0</v>
      </c>
      <c r="Y4912">
        <v>498</v>
      </c>
      <c r="Z4912" s="259" t="s">
        <v>637</v>
      </c>
      <c r="AB4912">
        <v>32132</v>
      </c>
      <c r="AF4912">
        <v>83894</v>
      </c>
      <c r="AG4912">
        <v>0</v>
      </c>
      <c r="AI4912">
        <v>83869.600000000006</v>
      </c>
      <c r="AJ4912">
        <v>0</v>
      </c>
      <c r="AK4912">
        <v>0</v>
      </c>
      <c r="AL4912">
        <v>0</v>
      </c>
      <c r="AM4912">
        <v>52868</v>
      </c>
      <c r="AN4912">
        <v>31026</v>
      </c>
      <c r="AO4912">
        <v>83894</v>
      </c>
      <c r="AP4912">
        <v>0</v>
      </c>
      <c r="AQ4912">
        <v>24.399999999994179</v>
      </c>
      <c r="AR4912">
        <v>2.9092782128437022E-4</v>
      </c>
      <c r="AS4912" t="s">
        <v>239</v>
      </c>
      <c r="AT4912" t="s">
        <v>514</v>
      </c>
    </row>
    <row r="4913" spans="2:46" x14ac:dyDescent="0.35">
      <c r="B4913" t="s">
        <v>565</v>
      </c>
      <c r="C4913">
        <v>45791</v>
      </c>
      <c r="J4913">
        <v>0</v>
      </c>
      <c r="O4913" t="s">
        <v>239</v>
      </c>
      <c r="P4913" t="s">
        <v>514</v>
      </c>
      <c r="U4913">
        <v>0</v>
      </c>
      <c r="Y4913">
        <v>499</v>
      </c>
      <c r="Z4913" s="259" t="s">
        <v>637</v>
      </c>
      <c r="AB4913">
        <v>32132</v>
      </c>
      <c r="AF4913">
        <v>83918.399999999994</v>
      </c>
      <c r="AG4913">
        <v>0</v>
      </c>
      <c r="AI4913">
        <v>83894</v>
      </c>
      <c r="AJ4913">
        <v>0</v>
      </c>
      <c r="AK4913">
        <v>0</v>
      </c>
      <c r="AL4913">
        <v>0</v>
      </c>
      <c r="AM4913">
        <v>52868</v>
      </c>
      <c r="AN4913">
        <v>31050.400000000001</v>
      </c>
      <c r="AO4913">
        <v>83918.399999999994</v>
      </c>
      <c r="AP4913">
        <v>0</v>
      </c>
      <c r="AQ4913">
        <v>24.399999999994179</v>
      </c>
      <c r="AR4913">
        <v>2.9084320690397902E-4</v>
      </c>
      <c r="AS4913" t="s">
        <v>239</v>
      </c>
      <c r="AT4913" t="s">
        <v>514</v>
      </c>
    </row>
    <row r="4914" spans="2:46" x14ac:dyDescent="0.35">
      <c r="B4914" t="s">
        <v>565</v>
      </c>
      <c r="C4914">
        <v>45792</v>
      </c>
      <c r="J4914">
        <v>0</v>
      </c>
      <c r="O4914" t="s">
        <v>239</v>
      </c>
      <c r="P4914" t="s">
        <v>514</v>
      </c>
      <c r="U4914">
        <v>0</v>
      </c>
      <c r="Y4914">
        <v>500</v>
      </c>
      <c r="Z4914" s="259" t="s">
        <v>637</v>
      </c>
      <c r="AB4914">
        <v>32132</v>
      </c>
      <c r="AF4914">
        <v>83943.6</v>
      </c>
      <c r="AG4914">
        <v>0</v>
      </c>
      <c r="AI4914">
        <v>83918.399999999994</v>
      </c>
      <c r="AJ4914">
        <v>0</v>
      </c>
      <c r="AK4914">
        <v>0</v>
      </c>
      <c r="AL4914">
        <v>0</v>
      </c>
      <c r="AM4914">
        <v>52868</v>
      </c>
      <c r="AN4914">
        <v>31075.599999999999</v>
      </c>
      <c r="AO4914">
        <v>83943.6</v>
      </c>
      <c r="AP4914">
        <v>0</v>
      </c>
      <c r="AQ4914">
        <v>25.200000000011642</v>
      </c>
      <c r="AR4914">
        <v>3.0029171194878579E-4</v>
      </c>
      <c r="AS4914" t="s">
        <v>239</v>
      </c>
      <c r="AT4914" t="s">
        <v>514</v>
      </c>
    </row>
    <row r="4915" spans="2:46" x14ac:dyDescent="0.35">
      <c r="B4915" t="s">
        <v>565</v>
      </c>
      <c r="C4915">
        <v>45793</v>
      </c>
      <c r="J4915">
        <v>0</v>
      </c>
      <c r="O4915" t="s">
        <v>239</v>
      </c>
      <c r="P4915" t="s">
        <v>514</v>
      </c>
      <c r="U4915">
        <v>0</v>
      </c>
      <c r="Y4915">
        <v>501</v>
      </c>
      <c r="Z4915" s="259" t="s">
        <v>637</v>
      </c>
      <c r="AB4915">
        <v>32132</v>
      </c>
      <c r="AF4915">
        <v>83968</v>
      </c>
      <c r="AG4915">
        <v>0</v>
      </c>
      <c r="AI4915">
        <v>83943.6</v>
      </c>
      <c r="AJ4915">
        <v>0</v>
      </c>
      <c r="AK4915">
        <v>0</v>
      </c>
      <c r="AL4915">
        <v>0</v>
      </c>
      <c r="AM4915">
        <v>52868</v>
      </c>
      <c r="AN4915">
        <v>31100</v>
      </c>
      <c r="AO4915">
        <v>83968</v>
      </c>
      <c r="AP4915">
        <v>0</v>
      </c>
      <c r="AQ4915">
        <v>24.399999999994179</v>
      </c>
      <c r="AR4915">
        <v>2.9067135552907075E-4</v>
      </c>
      <c r="AS4915" t="s">
        <v>239</v>
      </c>
      <c r="AT4915" t="s">
        <v>514</v>
      </c>
    </row>
    <row r="4916" spans="2:46" x14ac:dyDescent="0.35">
      <c r="B4916" t="s">
        <v>565</v>
      </c>
      <c r="C4916">
        <v>45794</v>
      </c>
      <c r="J4916">
        <v>0</v>
      </c>
      <c r="O4916" t="s">
        <v>239</v>
      </c>
      <c r="P4916" t="s">
        <v>514</v>
      </c>
      <c r="U4916">
        <v>0</v>
      </c>
      <c r="Y4916">
        <v>502</v>
      </c>
      <c r="Z4916" s="259" t="s">
        <v>637</v>
      </c>
      <c r="AB4916">
        <v>32132</v>
      </c>
      <c r="AF4916">
        <v>83968</v>
      </c>
      <c r="AG4916">
        <v>0</v>
      </c>
      <c r="AI4916">
        <v>83968</v>
      </c>
      <c r="AJ4916">
        <v>0</v>
      </c>
      <c r="AK4916">
        <v>0</v>
      </c>
      <c r="AL4916">
        <v>0</v>
      </c>
      <c r="AM4916">
        <v>52868</v>
      </c>
      <c r="AN4916">
        <v>31100</v>
      </c>
      <c r="AO4916">
        <v>83968</v>
      </c>
      <c r="AP4916">
        <v>0</v>
      </c>
      <c r="AQ4916">
        <v>0</v>
      </c>
      <c r="AR4916">
        <v>0</v>
      </c>
      <c r="AS4916" t="s">
        <v>239</v>
      </c>
      <c r="AT4916" t="s">
        <v>514</v>
      </c>
    </row>
    <row r="4917" spans="2:46" x14ac:dyDescent="0.35">
      <c r="B4917" t="s">
        <v>565</v>
      </c>
      <c r="C4917">
        <v>45795</v>
      </c>
      <c r="J4917">
        <v>0</v>
      </c>
      <c r="O4917" t="s">
        <v>239</v>
      </c>
      <c r="P4917" t="s">
        <v>514</v>
      </c>
      <c r="U4917">
        <v>0</v>
      </c>
      <c r="Y4917">
        <v>503</v>
      </c>
      <c r="Z4917" s="259" t="s">
        <v>637</v>
      </c>
      <c r="AB4917">
        <v>32132</v>
      </c>
      <c r="AF4917">
        <v>83968</v>
      </c>
      <c r="AG4917">
        <v>0</v>
      </c>
      <c r="AI4917">
        <v>83968</v>
      </c>
      <c r="AJ4917">
        <v>0</v>
      </c>
      <c r="AK4917">
        <v>0</v>
      </c>
      <c r="AL4917">
        <v>0</v>
      </c>
      <c r="AM4917">
        <v>52868</v>
      </c>
      <c r="AN4917">
        <v>31100</v>
      </c>
      <c r="AO4917">
        <v>83968</v>
      </c>
      <c r="AP4917">
        <v>0</v>
      </c>
      <c r="AQ4917">
        <v>0</v>
      </c>
      <c r="AR4917">
        <v>0</v>
      </c>
      <c r="AS4917" t="s">
        <v>239</v>
      </c>
      <c r="AT4917" t="s">
        <v>514</v>
      </c>
    </row>
    <row r="4918" spans="2:46" x14ac:dyDescent="0.35">
      <c r="B4918" t="s">
        <v>565</v>
      </c>
      <c r="C4918">
        <v>45796</v>
      </c>
      <c r="J4918">
        <v>0</v>
      </c>
      <c r="O4918" t="s">
        <v>239</v>
      </c>
      <c r="P4918" t="s">
        <v>514</v>
      </c>
      <c r="U4918">
        <v>0</v>
      </c>
      <c r="Y4918">
        <v>504</v>
      </c>
      <c r="Z4918" s="259" t="s">
        <v>637</v>
      </c>
      <c r="AB4918">
        <v>32132</v>
      </c>
      <c r="AF4918">
        <v>84042</v>
      </c>
      <c r="AG4918">
        <v>0</v>
      </c>
      <c r="AI4918">
        <v>83968</v>
      </c>
      <c r="AJ4918">
        <v>0</v>
      </c>
      <c r="AK4918">
        <v>0</v>
      </c>
      <c r="AL4918">
        <v>0</v>
      </c>
      <c r="AM4918">
        <v>52868</v>
      </c>
      <c r="AN4918">
        <v>31174</v>
      </c>
      <c r="AO4918">
        <v>84042</v>
      </c>
      <c r="AP4918">
        <v>0</v>
      </c>
      <c r="AQ4918">
        <v>74</v>
      </c>
      <c r="AR4918">
        <v>8.8128810975618421E-4</v>
      </c>
      <c r="AS4918" t="s">
        <v>239</v>
      </c>
      <c r="AT4918" t="s">
        <v>514</v>
      </c>
    </row>
    <row r="4919" spans="2:46" x14ac:dyDescent="0.35">
      <c r="B4919" t="s">
        <v>565</v>
      </c>
      <c r="C4919">
        <v>45797</v>
      </c>
      <c r="J4919">
        <v>0</v>
      </c>
      <c r="O4919" t="s">
        <v>239</v>
      </c>
      <c r="P4919" t="s">
        <v>514</v>
      </c>
      <c r="U4919">
        <v>0</v>
      </c>
      <c r="Y4919">
        <v>505</v>
      </c>
      <c r="Z4919" s="259" t="s">
        <v>637</v>
      </c>
      <c r="AB4919">
        <v>32132</v>
      </c>
      <c r="AF4919">
        <v>84066.4</v>
      </c>
      <c r="AG4919">
        <v>0</v>
      </c>
      <c r="AI4919">
        <v>84042</v>
      </c>
      <c r="AJ4919">
        <v>0</v>
      </c>
      <c r="AK4919">
        <v>0</v>
      </c>
      <c r="AL4919">
        <v>0</v>
      </c>
      <c r="AM4919">
        <v>52868</v>
      </c>
      <c r="AN4919">
        <v>31198.400000000001</v>
      </c>
      <c r="AO4919">
        <v>84066.4</v>
      </c>
      <c r="AP4919">
        <v>0</v>
      </c>
      <c r="AQ4919">
        <v>24.399999999994179</v>
      </c>
      <c r="AR4919">
        <v>2.9033102496356378E-4</v>
      </c>
      <c r="AS4919" t="s">
        <v>239</v>
      </c>
      <c r="AT4919" t="s">
        <v>514</v>
      </c>
    </row>
    <row r="4920" spans="2:46" x14ac:dyDescent="0.35">
      <c r="B4920" t="s">
        <v>565</v>
      </c>
      <c r="C4920">
        <v>45798</v>
      </c>
      <c r="J4920">
        <v>0</v>
      </c>
      <c r="O4920" t="s">
        <v>239</v>
      </c>
      <c r="P4920" t="s">
        <v>514</v>
      </c>
      <c r="U4920">
        <v>0</v>
      </c>
      <c r="Y4920">
        <v>506</v>
      </c>
      <c r="Z4920" s="259" t="s">
        <v>637</v>
      </c>
      <c r="AB4920">
        <v>32132</v>
      </c>
      <c r="AF4920">
        <v>84091.6</v>
      </c>
      <c r="AG4920">
        <v>0</v>
      </c>
      <c r="AI4920">
        <v>84066.4</v>
      </c>
      <c r="AJ4920">
        <v>0</v>
      </c>
      <c r="AK4920">
        <v>0</v>
      </c>
      <c r="AL4920">
        <v>0</v>
      </c>
      <c r="AM4920">
        <v>52868</v>
      </c>
      <c r="AN4920">
        <v>31223.599999999999</v>
      </c>
      <c r="AO4920">
        <v>84091.6</v>
      </c>
      <c r="AP4920">
        <v>0</v>
      </c>
      <c r="AQ4920">
        <v>25.200000000011642</v>
      </c>
      <c r="AR4920">
        <v>2.9976304445078483E-4</v>
      </c>
      <c r="AS4920" t="s">
        <v>239</v>
      </c>
      <c r="AT4920" t="s">
        <v>514</v>
      </c>
    </row>
    <row r="4921" spans="2:46" x14ac:dyDescent="0.35">
      <c r="B4921" t="s">
        <v>565</v>
      </c>
      <c r="C4921">
        <v>45799</v>
      </c>
      <c r="J4921">
        <v>0</v>
      </c>
      <c r="O4921" t="s">
        <v>239</v>
      </c>
      <c r="P4921" t="s">
        <v>514</v>
      </c>
      <c r="U4921">
        <v>0</v>
      </c>
      <c r="Y4921">
        <v>507</v>
      </c>
      <c r="Z4921" s="259" t="s">
        <v>637</v>
      </c>
      <c r="AB4921">
        <v>32132</v>
      </c>
      <c r="AF4921">
        <v>84116</v>
      </c>
      <c r="AG4921">
        <v>0</v>
      </c>
      <c r="AI4921">
        <v>84091.6</v>
      </c>
      <c r="AJ4921">
        <v>0</v>
      </c>
      <c r="AK4921">
        <v>0</v>
      </c>
      <c r="AL4921">
        <v>0</v>
      </c>
      <c r="AM4921">
        <v>52868</v>
      </c>
      <c r="AN4921">
        <v>31248</v>
      </c>
      <c r="AO4921">
        <v>84116</v>
      </c>
      <c r="AP4921">
        <v>0</v>
      </c>
      <c r="AQ4921">
        <v>24.399999999994179</v>
      </c>
      <c r="AR4921">
        <v>2.9015977814661476E-4</v>
      </c>
      <c r="AS4921" t="s">
        <v>239</v>
      </c>
      <c r="AT4921" t="s">
        <v>514</v>
      </c>
    </row>
    <row r="4922" spans="2:46" x14ac:dyDescent="0.35">
      <c r="B4922" t="s">
        <v>565</v>
      </c>
      <c r="C4922">
        <v>45800</v>
      </c>
      <c r="J4922">
        <v>0</v>
      </c>
      <c r="O4922" t="s">
        <v>239</v>
      </c>
      <c r="P4922" t="s">
        <v>514</v>
      </c>
      <c r="U4922">
        <v>0</v>
      </c>
      <c r="Y4922">
        <v>508</v>
      </c>
      <c r="Z4922" s="259" t="s">
        <v>637</v>
      </c>
      <c r="AB4922">
        <v>32132</v>
      </c>
      <c r="AF4922">
        <v>84140.4</v>
      </c>
      <c r="AG4922">
        <v>0</v>
      </c>
      <c r="AI4922">
        <v>84116</v>
      </c>
      <c r="AJ4922">
        <v>0</v>
      </c>
      <c r="AK4922">
        <v>0</v>
      </c>
      <c r="AL4922">
        <v>0</v>
      </c>
      <c r="AM4922">
        <v>52868</v>
      </c>
      <c r="AN4922">
        <v>31272.400000000001</v>
      </c>
      <c r="AO4922">
        <v>84140.4</v>
      </c>
      <c r="AP4922">
        <v>0</v>
      </c>
      <c r="AQ4922">
        <v>24.399999999994179</v>
      </c>
      <c r="AR4922">
        <v>2.9007560987204251E-4</v>
      </c>
      <c r="AS4922" t="s">
        <v>239</v>
      </c>
      <c r="AT4922" t="s">
        <v>514</v>
      </c>
    </row>
    <row r="4923" spans="2:46" x14ac:dyDescent="0.35">
      <c r="B4923" t="s">
        <v>565</v>
      </c>
      <c r="C4923">
        <v>45801</v>
      </c>
      <c r="J4923">
        <v>0</v>
      </c>
      <c r="O4923" t="s">
        <v>239</v>
      </c>
      <c r="P4923" t="s">
        <v>514</v>
      </c>
      <c r="U4923">
        <v>0</v>
      </c>
      <c r="Y4923">
        <v>509</v>
      </c>
      <c r="Z4923" s="259" t="s">
        <v>637</v>
      </c>
      <c r="AB4923">
        <v>32132</v>
      </c>
      <c r="AF4923">
        <v>84140.4</v>
      </c>
      <c r="AG4923">
        <v>0</v>
      </c>
      <c r="AI4923">
        <v>84140.4</v>
      </c>
      <c r="AJ4923">
        <v>0</v>
      </c>
      <c r="AK4923">
        <v>0</v>
      </c>
      <c r="AL4923">
        <v>0</v>
      </c>
      <c r="AM4923">
        <v>52868</v>
      </c>
      <c r="AN4923">
        <v>31272.400000000001</v>
      </c>
      <c r="AO4923">
        <v>84140.4</v>
      </c>
      <c r="AP4923">
        <v>0</v>
      </c>
      <c r="AQ4923">
        <v>0</v>
      </c>
      <c r="AR4923">
        <v>0</v>
      </c>
      <c r="AS4923" t="s">
        <v>239</v>
      </c>
      <c r="AT4923" t="s">
        <v>514</v>
      </c>
    </row>
    <row r="4924" spans="2:46" x14ac:dyDescent="0.35">
      <c r="B4924" t="s">
        <v>565</v>
      </c>
      <c r="C4924">
        <v>45802</v>
      </c>
      <c r="J4924">
        <v>0</v>
      </c>
      <c r="O4924" t="s">
        <v>239</v>
      </c>
      <c r="P4924" t="s">
        <v>514</v>
      </c>
      <c r="U4924">
        <v>0</v>
      </c>
      <c r="Y4924">
        <v>510</v>
      </c>
      <c r="Z4924" s="259" t="s">
        <v>637</v>
      </c>
      <c r="AB4924">
        <v>32132</v>
      </c>
      <c r="AF4924">
        <v>84140.4</v>
      </c>
      <c r="AG4924">
        <v>0</v>
      </c>
      <c r="AI4924">
        <v>84140.4</v>
      </c>
      <c r="AJ4924">
        <v>0</v>
      </c>
      <c r="AK4924">
        <v>0</v>
      </c>
      <c r="AL4924">
        <v>0</v>
      </c>
      <c r="AM4924">
        <v>52868</v>
      </c>
      <c r="AN4924">
        <v>31272.400000000001</v>
      </c>
      <c r="AO4924">
        <v>84140.4</v>
      </c>
      <c r="AP4924">
        <v>0</v>
      </c>
      <c r="AQ4924">
        <v>0</v>
      </c>
      <c r="AR4924">
        <v>0</v>
      </c>
      <c r="AS4924" t="s">
        <v>239</v>
      </c>
      <c r="AT4924" t="s">
        <v>514</v>
      </c>
    </row>
    <row r="4925" spans="2:46" x14ac:dyDescent="0.35">
      <c r="B4925" t="s">
        <v>565</v>
      </c>
      <c r="C4925">
        <v>45803</v>
      </c>
      <c r="J4925">
        <v>0</v>
      </c>
      <c r="O4925" t="s">
        <v>239</v>
      </c>
      <c r="P4925" t="s">
        <v>514</v>
      </c>
      <c r="U4925">
        <v>0</v>
      </c>
      <c r="Y4925">
        <v>511</v>
      </c>
      <c r="Z4925" s="259" t="s">
        <v>637</v>
      </c>
      <c r="AB4925">
        <v>32132</v>
      </c>
      <c r="AF4925">
        <v>84214.399999999994</v>
      </c>
      <c r="AG4925">
        <v>0</v>
      </c>
      <c r="AI4925">
        <v>84140.4</v>
      </c>
      <c r="AJ4925">
        <v>0</v>
      </c>
      <c r="AK4925">
        <v>0</v>
      </c>
      <c r="AL4925">
        <v>0</v>
      </c>
      <c r="AM4925">
        <v>52868</v>
      </c>
      <c r="AN4925">
        <v>31346.400000000001</v>
      </c>
      <c r="AO4925">
        <v>84214.399999999994</v>
      </c>
      <c r="AP4925">
        <v>0</v>
      </c>
      <c r="AQ4925">
        <v>74</v>
      </c>
      <c r="AR4925">
        <v>8.794823889592962E-4</v>
      </c>
      <c r="AS4925" t="s">
        <v>239</v>
      </c>
      <c r="AT4925" t="s">
        <v>514</v>
      </c>
    </row>
    <row r="4926" spans="2:46" x14ac:dyDescent="0.35">
      <c r="B4926" t="s">
        <v>565</v>
      </c>
      <c r="C4926">
        <v>45804</v>
      </c>
      <c r="J4926">
        <v>0</v>
      </c>
      <c r="O4926" t="s">
        <v>239</v>
      </c>
      <c r="P4926" t="s">
        <v>514</v>
      </c>
      <c r="U4926">
        <v>0</v>
      </c>
      <c r="Y4926">
        <v>512</v>
      </c>
      <c r="Z4926" s="259" t="s">
        <v>637</v>
      </c>
      <c r="AB4926">
        <v>32132</v>
      </c>
      <c r="AF4926">
        <v>84239.6</v>
      </c>
      <c r="AG4926">
        <v>0</v>
      </c>
      <c r="AI4926">
        <v>84214.399999999994</v>
      </c>
      <c r="AJ4926">
        <v>0</v>
      </c>
      <c r="AK4926">
        <v>0</v>
      </c>
      <c r="AL4926">
        <v>0</v>
      </c>
      <c r="AM4926">
        <v>52868</v>
      </c>
      <c r="AN4926">
        <v>31371.599999999999</v>
      </c>
      <c r="AO4926">
        <v>84239.6</v>
      </c>
      <c r="AP4926">
        <v>0</v>
      </c>
      <c r="AQ4926">
        <v>25.200000000011642</v>
      </c>
      <c r="AR4926">
        <v>2.9923623513328224E-4</v>
      </c>
      <c r="AS4926" t="s">
        <v>239</v>
      </c>
      <c r="AT4926" t="s">
        <v>514</v>
      </c>
    </row>
    <row r="4927" spans="2:46" x14ac:dyDescent="0.35">
      <c r="B4927" t="s">
        <v>565</v>
      </c>
      <c r="C4927">
        <v>45805</v>
      </c>
      <c r="J4927">
        <v>0</v>
      </c>
      <c r="O4927" t="s">
        <v>239</v>
      </c>
      <c r="P4927" t="s">
        <v>514</v>
      </c>
      <c r="U4927">
        <v>0</v>
      </c>
      <c r="Y4927">
        <v>513</v>
      </c>
      <c r="Z4927" s="259" t="s">
        <v>637</v>
      </c>
      <c r="AB4927">
        <v>32132</v>
      </c>
      <c r="AF4927">
        <v>84264</v>
      </c>
      <c r="AG4927">
        <v>0</v>
      </c>
      <c r="AI4927">
        <v>84239.6</v>
      </c>
      <c r="AJ4927">
        <v>0</v>
      </c>
      <c r="AK4927">
        <v>0</v>
      </c>
      <c r="AL4927">
        <v>0</v>
      </c>
      <c r="AM4927">
        <v>52868</v>
      </c>
      <c r="AN4927">
        <v>31396</v>
      </c>
      <c r="AO4927">
        <v>84264</v>
      </c>
      <c r="AP4927">
        <v>0</v>
      </c>
      <c r="AQ4927">
        <v>24.399999999994179</v>
      </c>
      <c r="AR4927">
        <v>2.8964999833802629E-4</v>
      </c>
      <c r="AS4927" t="s">
        <v>239</v>
      </c>
      <c r="AT4927" t="s">
        <v>514</v>
      </c>
    </row>
    <row r="4928" spans="2:46" x14ac:dyDescent="0.35">
      <c r="B4928" t="s">
        <v>565</v>
      </c>
      <c r="C4928">
        <v>45806</v>
      </c>
      <c r="J4928">
        <v>0</v>
      </c>
      <c r="O4928" t="s">
        <v>239</v>
      </c>
      <c r="P4928" t="s">
        <v>514</v>
      </c>
      <c r="U4928">
        <v>0</v>
      </c>
      <c r="Y4928">
        <v>514</v>
      </c>
      <c r="Z4928" s="259" t="s">
        <v>637</v>
      </c>
      <c r="AB4928">
        <v>32132</v>
      </c>
      <c r="AF4928">
        <v>84288.4</v>
      </c>
      <c r="AG4928">
        <v>0</v>
      </c>
      <c r="AI4928">
        <v>84264</v>
      </c>
      <c r="AJ4928">
        <v>0</v>
      </c>
      <c r="AK4928">
        <v>0</v>
      </c>
      <c r="AL4928">
        <v>0</v>
      </c>
      <c r="AM4928">
        <v>52868</v>
      </c>
      <c r="AN4928">
        <v>31420.400000000001</v>
      </c>
      <c r="AO4928">
        <v>84288.4</v>
      </c>
      <c r="AP4928">
        <v>0</v>
      </c>
      <c r="AQ4928">
        <v>24.399999999994179</v>
      </c>
      <c r="AR4928">
        <v>2.895661255102322E-4</v>
      </c>
      <c r="AS4928" t="s">
        <v>239</v>
      </c>
      <c r="AT4928" t="s">
        <v>514</v>
      </c>
    </row>
    <row r="4929" spans="2:46" x14ac:dyDescent="0.35">
      <c r="B4929" t="s">
        <v>565</v>
      </c>
      <c r="C4929">
        <v>45807</v>
      </c>
      <c r="J4929">
        <v>0</v>
      </c>
      <c r="O4929" t="s">
        <v>239</v>
      </c>
      <c r="P4929" t="s">
        <v>514</v>
      </c>
      <c r="U4929">
        <v>0</v>
      </c>
      <c r="Y4929">
        <v>515</v>
      </c>
      <c r="Z4929" s="259" t="s">
        <v>637</v>
      </c>
      <c r="AB4929">
        <v>32132</v>
      </c>
      <c r="AF4929">
        <v>84313.600000000006</v>
      </c>
      <c r="AG4929">
        <v>0</v>
      </c>
      <c r="AI4929">
        <v>84288.4</v>
      </c>
      <c r="AJ4929">
        <v>0</v>
      </c>
      <c r="AK4929">
        <v>0</v>
      </c>
      <c r="AL4929">
        <v>0</v>
      </c>
      <c r="AM4929">
        <v>52868</v>
      </c>
      <c r="AN4929">
        <v>31445.599999999999</v>
      </c>
      <c r="AO4929">
        <v>84313.600000000006</v>
      </c>
      <c r="AP4929">
        <v>0</v>
      </c>
      <c r="AQ4929">
        <v>25.200000000011642</v>
      </c>
      <c r="AR4929">
        <v>2.9897352423358114E-4</v>
      </c>
      <c r="AS4929" t="s">
        <v>239</v>
      </c>
      <c r="AT4929" t="s">
        <v>514</v>
      </c>
    </row>
    <row r="4930" spans="2:46" x14ac:dyDescent="0.35">
      <c r="B4930" t="s">
        <v>565</v>
      </c>
      <c r="C4930">
        <v>45808</v>
      </c>
      <c r="J4930">
        <v>0</v>
      </c>
      <c r="O4930" t="s">
        <v>239</v>
      </c>
      <c r="P4930" t="s">
        <v>514</v>
      </c>
      <c r="U4930">
        <v>0</v>
      </c>
      <c r="Y4930">
        <v>516</v>
      </c>
      <c r="Z4930" s="259" t="s">
        <v>637</v>
      </c>
      <c r="AB4930">
        <v>32132</v>
      </c>
      <c r="AF4930">
        <v>84313.600000000006</v>
      </c>
      <c r="AG4930">
        <v>0</v>
      </c>
      <c r="AI4930">
        <v>84313.600000000006</v>
      </c>
      <c r="AJ4930">
        <v>0</v>
      </c>
      <c r="AK4930">
        <v>0</v>
      </c>
      <c r="AL4930">
        <v>0</v>
      </c>
      <c r="AM4930">
        <v>52868</v>
      </c>
      <c r="AN4930">
        <v>31445.599999999999</v>
      </c>
      <c r="AO4930">
        <v>84313.600000000006</v>
      </c>
      <c r="AP4930">
        <v>0</v>
      </c>
      <c r="AQ4930">
        <v>0</v>
      </c>
      <c r="AR4930">
        <v>0</v>
      </c>
      <c r="AS4930" t="s">
        <v>239</v>
      </c>
      <c r="AT4930" t="s">
        <v>514</v>
      </c>
    </row>
    <row r="4931" spans="2:46" x14ac:dyDescent="0.35">
      <c r="B4931" t="s">
        <v>565</v>
      </c>
      <c r="C4931">
        <v>45809</v>
      </c>
      <c r="J4931">
        <v>0</v>
      </c>
      <c r="O4931" t="s">
        <v>239</v>
      </c>
      <c r="P4931" t="s">
        <v>514</v>
      </c>
      <c r="U4931">
        <v>0</v>
      </c>
      <c r="Y4931">
        <v>517</v>
      </c>
      <c r="Z4931" s="259" t="s">
        <v>637</v>
      </c>
      <c r="AB4931">
        <v>32132</v>
      </c>
      <c r="AF4931">
        <v>84313.600000000006</v>
      </c>
      <c r="AG4931">
        <v>0</v>
      </c>
      <c r="AI4931">
        <v>84313.600000000006</v>
      </c>
      <c r="AJ4931">
        <v>0</v>
      </c>
      <c r="AK4931">
        <v>0</v>
      </c>
      <c r="AL4931">
        <v>0</v>
      </c>
      <c r="AM4931">
        <v>52868</v>
      </c>
      <c r="AN4931">
        <v>31445.599999999999</v>
      </c>
      <c r="AO4931">
        <v>84313.600000000006</v>
      </c>
      <c r="AP4931">
        <v>0</v>
      </c>
      <c r="AQ4931">
        <v>0</v>
      </c>
      <c r="AR4931">
        <v>0</v>
      </c>
      <c r="AS4931" t="s">
        <v>239</v>
      </c>
      <c r="AT4931" t="s">
        <v>514</v>
      </c>
    </row>
    <row r="4932" spans="2:46" x14ac:dyDescent="0.35">
      <c r="B4932" t="s">
        <v>565</v>
      </c>
      <c r="C4932">
        <v>45810</v>
      </c>
      <c r="J4932">
        <v>0</v>
      </c>
      <c r="O4932" t="s">
        <v>239</v>
      </c>
      <c r="P4932" t="s">
        <v>514</v>
      </c>
      <c r="U4932">
        <v>0</v>
      </c>
      <c r="Y4932">
        <v>518</v>
      </c>
      <c r="Z4932" s="259" t="s">
        <v>637</v>
      </c>
      <c r="AB4932">
        <v>32132</v>
      </c>
      <c r="AF4932">
        <v>84325.8</v>
      </c>
      <c r="AG4932">
        <v>0</v>
      </c>
      <c r="AI4932">
        <v>84313.600000000006</v>
      </c>
      <c r="AJ4932">
        <v>0</v>
      </c>
      <c r="AK4932">
        <v>0</v>
      </c>
      <c r="AL4932">
        <v>0</v>
      </c>
      <c r="AM4932">
        <v>52868</v>
      </c>
      <c r="AN4932">
        <v>31457.8</v>
      </c>
      <c r="AO4932">
        <v>84325.8</v>
      </c>
      <c r="AP4932">
        <v>0</v>
      </c>
      <c r="AQ4932">
        <v>12.19999999999709</v>
      </c>
      <c r="AR4932">
        <v>1.4469788978277442E-4</v>
      </c>
      <c r="AS4932" t="s">
        <v>239</v>
      </c>
      <c r="AT4932" t="s">
        <v>514</v>
      </c>
    </row>
    <row r="4933" spans="2:46" x14ac:dyDescent="0.35">
      <c r="B4933" t="s">
        <v>565</v>
      </c>
      <c r="C4933">
        <v>45811</v>
      </c>
      <c r="J4933">
        <v>0</v>
      </c>
      <c r="O4933" t="s">
        <v>239</v>
      </c>
      <c r="P4933" t="s">
        <v>514</v>
      </c>
      <c r="U4933">
        <v>0</v>
      </c>
      <c r="Y4933">
        <v>519</v>
      </c>
      <c r="Z4933" s="259" t="s">
        <v>637</v>
      </c>
      <c r="AB4933">
        <v>32132</v>
      </c>
      <c r="AF4933">
        <v>84314.4</v>
      </c>
      <c r="AG4933">
        <v>0</v>
      </c>
      <c r="AI4933">
        <v>84325.8</v>
      </c>
      <c r="AJ4933">
        <v>0</v>
      </c>
      <c r="AK4933">
        <v>0</v>
      </c>
      <c r="AL4933">
        <v>0</v>
      </c>
      <c r="AM4933">
        <v>52868</v>
      </c>
      <c r="AN4933">
        <v>31446.400000000001</v>
      </c>
      <c r="AO4933">
        <v>84314.4</v>
      </c>
      <c r="AP4933">
        <v>0</v>
      </c>
      <c r="AQ4933">
        <v>-11.400000000008731</v>
      </c>
      <c r="AR4933">
        <v>-1.3518994186845212E-4</v>
      </c>
      <c r="AS4933" t="s">
        <v>239</v>
      </c>
      <c r="AT4933" t="s">
        <v>514</v>
      </c>
    </row>
    <row r="4934" spans="2:46" x14ac:dyDescent="0.35">
      <c r="B4934" t="s">
        <v>565</v>
      </c>
      <c r="C4934">
        <v>45812</v>
      </c>
      <c r="J4934">
        <v>0</v>
      </c>
      <c r="O4934" t="s">
        <v>239</v>
      </c>
      <c r="P4934" t="s">
        <v>514</v>
      </c>
      <c r="U4934">
        <v>0</v>
      </c>
      <c r="Y4934">
        <v>520</v>
      </c>
      <c r="Z4934" s="259" t="s">
        <v>637</v>
      </c>
      <c r="AB4934">
        <v>32132</v>
      </c>
      <c r="AF4934">
        <v>84302.7</v>
      </c>
      <c r="AG4934">
        <v>0</v>
      </c>
      <c r="AI4934">
        <v>84314.4</v>
      </c>
      <c r="AJ4934">
        <v>0</v>
      </c>
      <c r="AK4934">
        <v>0</v>
      </c>
      <c r="AL4934">
        <v>0</v>
      </c>
      <c r="AM4934">
        <v>52868</v>
      </c>
      <c r="AN4934">
        <v>31434.7</v>
      </c>
      <c r="AO4934">
        <v>84302.7</v>
      </c>
      <c r="AP4934">
        <v>0</v>
      </c>
      <c r="AQ4934">
        <v>-11.69999999999709</v>
      </c>
      <c r="AR4934">
        <v>-1.3876633172982267E-4</v>
      </c>
      <c r="AS4934" t="s">
        <v>239</v>
      </c>
      <c r="AT4934" t="s">
        <v>514</v>
      </c>
    </row>
    <row r="4935" spans="2:46" x14ac:dyDescent="0.35">
      <c r="B4935" t="s">
        <v>565</v>
      </c>
      <c r="C4935">
        <v>45813</v>
      </c>
      <c r="J4935">
        <v>0</v>
      </c>
      <c r="O4935" t="s">
        <v>239</v>
      </c>
      <c r="P4935" t="s">
        <v>514</v>
      </c>
      <c r="U4935">
        <v>0</v>
      </c>
      <c r="Y4935">
        <v>521</v>
      </c>
      <c r="Z4935" s="259" t="s">
        <v>637</v>
      </c>
      <c r="AB4935">
        <v>32132</v>
      </c>
      <c r="AF4935">
        <v>84291.3</v>
      </c>
      <c r="AG4935">
        <v>0</v>
      </c>
      <c r="AI4935">
        <v>84302.7</v>
      </c>
      <c r="AJ4935">
        <v>0</v>
      </c>
      <c r="AK4935">
        <v>0</v>
      </c>
      <c r="AL4935">
        <v>0</v>
      </c>
      <c r="AM4935">
        <v>52868</v>
      </c>
      <c r="AN4935">
        <v>31423.3</v>
      </c>
      <c r="AO4935">
        <v>84291.3</v>
      </c>
      <c r="AP4935">
        <v>0</v>
      </c>
      <c r="AQ4935">
        <v>-11.399999999994179</v>
      </c>
      <c r="AR4935">
        <v>-1.3522698561252433E-4</v>
      </c>
      <c r="AS4935" t="s">
        <v>239</v>
      </c>
      <c r="AT4935" t="s">
        <v>514</v>
      </c>
    </row>
    <row r="4936" spans="2:46" x14ac:dyDescent="0.35">
      <c r="B4936" t="s">
        <v>565</v>
      </c>
      <c r="C4936">
        <v>45814</v>
      </c>
      <c r="J4936">
        <v>0</v>
      </c>
      <c r="O4936" t="s">
        <v>239</v>
      </c>
      <c r="P4936" t="s">
        <v>514</v>
      </c>
      <c r="U4936">
        <v>0</v>
      </c>
      <c r="Y4936">
        <v>522</v>
      </c>
      <c r="Z4936" s="259" t="s">
        <v>637</v>
      </c>
      <c r="AB4936">
        <v>32132</v>
      </c>
      <c r="AF4936">
        <v>84279.1</v>
      </c>
      <c r="AG4936">
        <v>0</v>
      </c>
      <c r="AI4936">
        <v>84291.3</v>
      </c>
      <c r="AJ4936">
        <v>0</v>
      </c>
      <c r="AK4936">
        <v>0</v>
      </c>
      <c r="AL4936">
        <v>0</v>
      </c>
      <c r="AM4936">
        <v>52868</v>
      </c>
      <c r="AN4936">
        <v>31411.1</v>
      </c>
      <c r="AO4936">
        <v>84279.1</v>
      </c>
      <c r="AP4936">
        <v>0</v>
      </c>
      <c r="AQ4936">
        <v>-12.19999999999709</v>
      </c>
      <c r="AR4936">
        <v>-1.4473617087407131E-4</v>
      </c>
      <c r="AS4936" t="s">
        <v>239</v>
      </c>
      <c r="AT4936" t="s">
        <v>514</v>
      </c>
    </row>
    <row r="4937" spans="2:46" x14ac:dyDescent="0.35">
      <c r="B4937" t="s">
        <v>565</v>
      </c>
      <c r="C4937">
        <v>45815</v>
      </c>
      <c r="J4937">
        <v>0</v>
      </c>
      <c r="O4937" t="s">
        <v>239</v>
      </c>
      <c r="P4937" t="s">
        <v>514</v>
      </c>
      <c r="U4937">
        <v>0</v>
      </c>
      <c r="Y4937">
        <v>523</v>
      </c>
      <c r="Z4937" s="259" t="s">
        <v>637</v>
      </c>
      <c r="AB4937">
        <v>32132</v>
      </c>
      <c r="AF4937">
        <v>84279.1</v>
      </c>
      <c r="AG4937">
        <v>0</v>
      </c>
      <c r="AI4937">
        <v>84279.1</v>
      </c>
      <c r="AJ4937">
        <v>0</v>
      </c>
      <c r="AK4937">
        <v>0</v>
      </c>
      <c r="AL4937">
        <v>0</v>
      </c>
      <c r="AM4937">
        <v>52868</v>
      </c>
      <c r="AN4937">
        <v>31411.1</v>
      </c>
      <c r="AO4937">
        <v>84279.1</v>
      </c>
      <c r="AP4937">
        <v>0</v>
      </c>
      <c r="AQ4937">
        <v>0</v>
      </c>
      <c r="AR4937">
        <v>0</v>
      </c>
      <c r="AS4937" t="s">
        <v>239</v>
      </c>
      <c r="AT4937" t="s">
        <v>514</v>
      </c>
    </row>
    <row r="4938" spans="2:46" x14ac:dyDescent="0.35">
      <c r="B4938" t="s">
        <v>565</v>
      </c>
      <c r="C4938">
        <v>45816</v>
      </c>
      <c r="J4938">
        <v>0</v>
      </c>
      <c r="O4938" t="s">
        <v>239</v>
      </c>
      <c r="P4938" t="s">
        <v>514</v>
      </c>
      <c r="U4938">
        <v>0</v>
      </c>
      <c r="Y4938">
        <v>524</v>
      </c>
      <c r="Z4938" s="259" t="s">
        <v>637</v>
      </c>
      <c r="AB4938">
        <v>32132</v>
      </c>
      <c r="AF4938">
        <v>84279.1</v>
      </c>
      <c r="AG4938">
        <v>0</v>
      </c>
      <c r="AI4938">
        <v>84279.1</v>
      </c>
      <c r="AJ4938">
        <v>0</v>
      </c>
      <c r="AK4938">
        <v>0</v>
      </c>
      <c r="AL4938">
        <v>0</v>
      </c>
      <c r="AM4938">
        <v>52868</v>
      </c>
      <c r="AN4938">
        <v>31411.1</v>
      </c>
      <c r="AO4938">
        <v>84279.1</v>
      </c>
      <c r="AP4938">
        <v>0</v>
      </c>
      <c r="AQ4938">
        <v>0</v>
      </c>
      <c r="AR4938">
        <v>0</v>
      </c>
      <c r="AS4938" t="s">
        <v>239</v>
      </c>
      <c r="AT4938" t="s">
        <v>514</v>
      </c>
    </row>
    <row r="4939" spans="2:46" x14ac:dyDescent="0.35">
      <c r="B4939" t="s">
        <v>565</v>
      </c>
      <c r="C4939">
        <v>45817</v>
      </c>
      <c r="J4939">
        <v>0</v>
      </c>
      <c r="O4939" t="s">
        <v>239</v>
      </c>
      <c r="P4939" t="s">
        <v>514</v>
      </c>
      <c r="U4939">
        <v>0</v>
      </c>
      <c r="Y4939">
        <v>525</v>
      </c>
      <c r="Z4939" s="259" t="s">
        <v>637</v>
      </c>
      <c r="AB4939">
        <v>32132</v>
      </c>
      <c r="AF4939">
        <v>84244.800000000003</v>
      </c>
      <c r="AG4939">
        <v>0</v>
      </c>
      <c r="AI4939">
        <v>84279.1</v>
      </c>
      <c r="AJ4939">
        <v>0</v>
      </c>
      <c r="AK4939">
        <v>0</v>
      </c>
      <c r="AL4939">
        <v>0</v>
      </c>
      <c r="AM4939">
        <v>52868</v>
      </c>
      <c r="AN4939">
        <v>31376.799999999999</v>
      </c>
      <c r="AO4939">
        <v>84244.800000000003</v>
      </c>
      <c r="AP4939">
        <v>0</v>
      </c>
      <c r="AQ4939">
        <v>-34.30000000000291</v>
      </c>
      <c r="AR4939">
        <v>-4.0698109021097828E-4</v>
      </c>
      <c r="AS4939" t="s">
        <v>239</v>
      </c>
      <c r="AT4939" t="s">
        <v>514</v>
      </c>
    </row>
    <row r="4940" spans="2:46" x14ac:dyDescent="0.35">
      <c r="B4940" t="s">
        <v>565</v>
      </c>
      <c r="C4940">
        <v>45818</v>
      </c>
      <c r="J4940">
        <v>0</v>
      </c>
      <c r="O4940" t="s">
        <v>239</v>
      </c>
      <c r="P4940" t="s">
        <v>514</v>
      </c>
      <c r="U4940">
        <v>0</v>
      </c>
      <c r="Y4940">
        <v>526</v>
      </c>
      <c r="Z4940" s="259" t="s">
        <v>637</v>
      </c>
      <c r="AB4940">
        <v>32132</v>
      </c>
      <c r="AF4940">
        <v>84232.6</v>
      </c>
      <c r="AG4940">
        <v>0</v>
      </c>
      <c r="AI4940">
        <v>84244.800000000003</v>
      </c>
      <c r="AJ4940">
        <v>0</v>
      </c>
      <c r="AK4940">
        <v>0</v>
      </c>
      <c r="AL4940">
        <v>0</v>
      </c>
      <c r="AM4940">
        <v>52868</v>
      </c>
      <c r="AN4940">
        <v>31364.6</v>
      </c>
      <c r="AO4940">
        <v>84232.6</v>
      </c>
      <c r="AP4940">
        <v>0</v>
      </c>
      <c r="AQ4940">
        <v>-12.19999999999709</v>
      </c>
      <c r="AR4940">
        <v>-1.4481605986360613E-4</v>
      </c>
      <c r="AS4940" t="s">
        <v>239</v>
      </c>
      <c r="AT4940" t="s">
        <v>514</v>
      </c>
    </row>
    <row r="4941" spans="2:46" x14ac:dyDescent="0.35">
      <c r="B4941" t="s">
        <v>565</v>
      </c>
      <c r="C4941">
        <v>45819</v>
      </c>
      <c r="J4941">
        <v>0</v>
      </c>
      <c r="O4941" t="s">
        <v>239</v>
      </c>
      <c r="P4941" t="s">
        <v>514</v>
      </c>
      <c r="U4941">
        <v>0</v>
      </c>
      <c r="Y4941">
        <v>527</v>
      </c>
      <c r="Z4941" s="259" t="s">
        <v>637</v>
      </c>
      <c r="AB4941">
        <v>32132</v>
      </c>
      <c r="AF4941">
        <v>84221.2</v>
      </c>
      <c r="AG4941">
        <v>0</v>
      </c>
      <c r="AI4941">
        <v>84232.6</v>
      </c>
      <c r="AJ4941">
        <v>0</v>
      </c>
      <c r="AK4941">
        <v>0</v>
      </c>
      <c r="AL4941">
        <v>0</v>
      </c>
      <c r="AM4941">
        <v>52868</v>
      </c>
      <c r="AN4941">
        <v>31353.200000000001</v>
      </c>
      <c r="AO4941">
        <v>84221.2</v>
      </c>
      <c r="AP4941">
        <v>0</v>
      </c>
      <c r="AQ4941">
        <v>-11.400000000008731</v>
      </c>
      <c r="AR4941">
        <v>-1.3533952412736472E-4</v>
      </c>
      <c r="AS4941" t="s">
        <v>239</v>
      </c>
      <c r="AT4941" t="s">
        <v>514</v>
      </c>
    </row>
    <row r="4942" spans="2:46" x14ac:dyDescent="0.35">
      <c r="B4942" t="s">
        <v>565</v>
      </c>
      <c r="C4942">
        <v>45820</v>
      </c>
      <c r="J4942">
        <v>0</v>
      </c>
      <c r="O4942" t="s">
        <v>239</v>
      </c>
      <c r="P4942" t="s">
        <v>514</v>
      </c>
      <c r="U4942">
        <v>0</v>
      </c>
      <c r="Y4942">
        <v>528</v>
      </c>
      <c r="Z4942" s="259" t="s">
        <v>637</v>
      </c>
      <c r="AB4942">
        <v>32132</v>
      </c>
      <c r="AF4942">
        <v>84209</v>
      </c>
      <c r="AG4942">
        <v>0</v>
      </c>
      <c r="AI4942">
        <v>84221.2</v>
      </c>
      <c r="AJ4942">
        <v>0</v>
      </c>
      <c r="AK4942">
        <v>0</v>
      </c>
      <c r="AL4942">
        <v>0</v>
      </c>
      <c r="AM4942">
        <v>52868</v>
      </c>
      <c r="AN4942">
        <v>31341</v>
      </c>
      <c r="AO4942">
        <v>84209</v>
      </c>
      <c r="AP4942">
        <v>0</v>
      </c>
      <c r="AQ4942">
        <v>-12.19999999999709</v>
      </c>
      <c r="AR4942">
        <v>-1.4485663942087612E-4</v>
      </c>
      <c r="AS4942" t="s">
        <v>239</v>
      </c>
      <c r="AT4942" t="s">
        <v>514</v>
      </c>
    </row>
    <row r="4943" spans="2:46" x14ac:dyDescent="0.35">
      <c r="B4943" t="s">
        <v>565</v>
      </c>
      <c r="C4943">
        <v>45821</v>
      </c>
      <c r="J4943">
        <v>0</v>
      </c>
      <c r="O4943" t="s">
        <v>239</v>
      </c>
      <c r="P4943" t="s">
        <v>514</v>
      </c>
      <c r="U4943">
        <v>0</v>
      </c>
      <c r="Y4943">
        <v>529</v>
      </c>
      <c r="Z4943" s="259" t="s">
        <v>637</v>
      </c>
      <c r="AB4943">
        <v>32132</v>
      </c>
      <c r="AF4943">
        <v>84197.6</v>
      </c>
      <c r="AG4943">
        <v>0</v>
      </c>
      <c r="AI4943">
        <v>84209</v>
      </c>
      <c r="AJ4943">
        <v>0</v>
      </c>
      <c r="AK4943">
        <v>0</v>
      </c>
      <c r="AL4943">
        <v>0</v>
      </c>
      <c r="AM4943">
        <v>52868</v>
      </c>
      <c r="AN4943">
        <v>31329.599999999999</v>
      </c>
      <c r="AO4943">
        <v>84197.6</v>
      </c>
      <c r="AP4943">
        <v>0</v>
      </c>
      <c r="AQ4943">
        <v>-11.399999999994179</v>
      </c>
      <c r="AR4943">
        <v>-1.3537745371627885E-4</v>
      </c>
      <c r="AS4943" t="s">
        <v>239</v>
      </c>
      <c r="AT4943" t="s">
        <v>514</v>
      </c>
    </row>
    <row r="4944" spans="2:46" x14ac:dyDescent="0.35">
      <c r="B4944" t="s">
        <v>565</v>
      </c>
      <c r="C4944">
        <v>45822</v>
      </c>
      <c r="J4944">
        <v>0</v>
      </c>
      <c r="O4944" t="s">
        <v>239</v>
      </c>
      <c r="P4944" t="s">
        <v>514</v>
      </c>
      <c r="U4944">
        <v>0</v>
      </c>
      <c r="Y4944">
        <v>530</v>
      </c>
      <c r="Z4944" s="259" t="s">
        <v>637</v>
      </c>
      <c r="AB4944">
        <v>32132</v>
      </c>
      <c r="AF4944">
        <v>84197.6</v>
      </c>
      <c r="AG4944">
        <v>0</v>
      </c>
      <c r="AI4944">
        <v>84197.6</v>
      </c>
      <c r="AJ4944">
        <v>0</v>
      </c>
      <c r="AK4944">
        <v>0</v>
      </c>
      <c r="AL4944">
        <v>0</v>
      </c>
      <c r="AM4944">
        <v>52868</v>
      </c>
      <c r="AN4944">
        <v>31329.599999999999</v>
      </c>
      <c r="AO4944">
        <v>84197.6</v>
      </c>
      <c r="AP4944">
        <v>0</v>
      </c>
      <c r="AQ4944">
        <v>0</v>
      </c>
      <c r="AR4944">
        <v>0</v>
      </c>
      <c r="AS4944" t="s">
        <v>239</v>
      </c>
      <c r="AT4944" t="s">
        <v>514</v>
      </c>
    </row>
    <row r="4945" spans="2:46" x14ac:dyDescent="0.35">
      <c r="B4945" t="s">
        <v>565</v>
      </c>
      <c r="C4945">
        <v>45823</v>
      </c>
      <c r="J4945">
        <v>0</v>
      </c>
      <c r="O4945" t="s">
        <v>239</v>
      </c>
      <c r="P4945" t="s">
        <v>514</v>
      </c>
      <c r="U4945">
        <v>0</v>
      </c>
      <c r="Y4945">
        <v>531</v>
      </c>
      <c r="Z4945" s="259" t="s">
        <v>637</v>
      </c>
      <c r="AB4945">
        <v>32132</v>
      </c>
      <c r="AF4945">
        <v>84197.6</v>
      </c>
      <c r="AG4945">
        <v>0</v>
      </c>
      <c r="AI4945">
        <v>84197.6</v>
      </c>
      <c r="AJ4945">
        <v>0</v>
      </c>
      <c r="AK4945">
        <v>0</v>
      </c>
      <c r="AL4945">
        <v>0</v>
      </c>
      <c r="AM4945">
        <v>52868</v>
      </c>
      <c r="AN4945">
        <v>31329.599999999999</v>
      </c>
      <c r="AO4945">
        <v>84197.6</v>
      </c>
      <c r="AP4945">
        <v>0</v>
      </c>
      <c r="AQ4945">
        <v>0</v>
      </c>
      <c r="AR4945">
        <v>0</v>
      </c>
      <c r="AS4945" t="s">
        <v>239</v>
      </c>
      <c r="AT4945" t="s">
        <v>514</v>
      </c>
    </row>
    <row r="4946" spans="2:46" x14ac:dyDescent="0.35">
      <c r="B4946" t="s">
        <v>565</v>
      </c>
      <c r="C4946">
        <v>45824</v>
      </c>
      <c r="J4946">
        <v>0</v>
      </c>
      <c r="O4946" t="s">
        <v>239</v>
      </c>
      <c r="P4946" t="s">
        <v>514</v>
      </c>
      <c r="U4946">
        <v>0</v>
      </c>
      <c r="Y4946">
        <v>532</v>
      </c>
      <c r="Z4946" s="259" t="s">
        <v>637</v>
      </c>
      <c r="AB4946">
        <v>32132</v>
      </c>
      <c r="AF4946">
        <v>84161.5</v>
      </c>
      <c r="AG4946">
        <v>0</v>
      </c>
      <c r="AI4946">
        <v>84197.6</v>
      </c>
      <c r="AJ4946">
        <v>0</v>
      </c>
      <c r="AK4946">
        <v>0</v>
      </c>
      <c r="AL4946">
        <v>0</v>
      </c>
      <c r="AM4946">
        <v>52868</v>
      </c>
      <c r="AN4946">
        <v>31293.5</v>
      </c>
      <c r="AO4946">
        <v>84161.5</v>
      </c>
      <c r="AP4946">
        <v>0</v>
      </c>
      <c r="AQ4946">
        <v>-36.100000000005821</v>
      </c>
      <c r="AR4946">
        <v>-4.2875331363367852E-4</v>
      </c>
      <c r="AS4946" t="s">
        <v>239</v>
      </c>
      <c r="AT4946" t="s">
        <v>514</v>
      </c>
    </row>
    <row r="4947" spans="2:46" x14ac:dyDescent="0.35">
      <c r="B4947" t="s">
        <v>565</v>
      </c>
      <c r="C4947">
        <v>45825</v>
      </c>
      <c r="J4947">
        <v>0</v>
      </c>
      <c r="O4947" t="s">
        <v>239</v>
      </c>
      <c r="P4947" t="s">
        <v>514</v>
      </c>
      <c r="U4947">
        <v>0</v>
      </c>
      <c r="Y4947">
        <v>533</v>
      </c>
      <c r="Z4947" s="259" t="s">
        <v>637</v>
      </c>
      <c r="AB4947">
        <v>32132</v>
      </c>
      <c r="AF4947">
        <v>84150.1</v>
      </c>
      <c r="AG4947">
        <v>0</v>
      </c>
      <c r="AI4947">
        <v>84161.5</v>
      </c>
      <c r="AJ4947">
        <v>0</v>
      </c>
      <c r="AK4947">
        <v>0</v>
      </c>
      <c r="AL4947">
        <v>0</v>
      </c>
      <c r="AM4947">
        <v>52868</v>
      </c>
      <c r="AN4947">
        <v>31282.1</v>
      </c>
      <c r="AO4947">
        <v>84150.1</v>
      </c>
      <c r="AP4947">
        <v>0</v>
      </c>
      <c r="AQ4947">
        <v>-11.399999999994179</v>
      </c>
      <c r="AR4947">
        <v>-1.354538595438326E-4</v>
      </c>
      <c r="AS4947" t="s">
        <v>239</v>
      </c>
      <c r="AT4947" t="s">
        <v>514</v>
      </c>
    </row>
    <row r="4948" spans="2:46" x14ac:dyDescent="0.35">
      <c r="B4948" t="s">
        <v>565</v>
      </c>
      <c r="C4948">
        <v>45826</v>
      </c>
      <c r="J4948">
        <v>0</v>
      </c>
      <c r="O4948" t="s">
        <v>239</v>
      </c>
      <c r="P4948" t="s">
        <v>514</v>
      </c>
      <c r="U4948">
        <v>0</v>
      </c>
      <c r="Y4948">
        <v>534</v>
      </c>
      <c r="Z4948" s="259" t="s">
        <v>637</v>
      </c>
      <c r="AB4948">
        <v>32132</v>
      </c>
      <c r="AF4948">
        <v>84139.199999999997</v>
      </c>
      <c r="AG4948">
        <v>0</v>
      </c>
      <c r="AI4948">
        <v>84150.1</v>
      </c>
      <c r="AJ4948">
        <v>0</v>
      </c>
      <c r="AK4948">
        <v>0</v>
      </c>
      <c r="AL4948">
        <v>0</v>
      </c>
      <c r="AM4948">
        <v>52868</v>
      </c>
      <c r="AN4948">
        <v>31271.200000000001</v>
      </c>
      <c r="AO4948">
        <v>84139.199999999997</v>
      </c>
      <c r="AP4948">
        <v>0</v>
      </c>
      <c r="AQ4948">
        <v>-10.900000000008731</v>
      </c>
      <c r="AR4948">
        <v>-1.2953044619090637E-4</v>
      </c>
      <c r="AS4948" t="s">
        <v>239</v>
      </c>
      <c r="AT4948" t="s">
        <v>514</v>
      </c>
    </row>
    <row r="4949" spans="2:46" x14ac:dyDescent="0.35">
      <c r="B4949" t="s">
        <v>565</v>
      </c>
      <c r="C4949">
        <v>45827</v>
      </c>
      <c r="J4949">
        <v>0</v>
      </c>
      <c r="O4949" t="s">
        <v>239</v>
      </c>
      <c r="P4949" t="s">
        <v>514</v>
      </c>
      <c r="U4949">
        <v>0</v>
      </c>
      <c r="Y4949">
        <v>535</v>
      </c>
      <c r="Z4949" s="259" t="s">
        <v>637</v>
      </c>
      <c r="AB4949">
        <v>32132</v>
      </c>
      <c r="AF4949">
        <v>84126.2</v>
      </c>
      <c r="AG4949">
        <v>0</v>
      </c>
      <c r="AI4949">
        <v>84139.199999999997</v>
      </c>
      <c r="AJ4949">
        <v>0</v>
      </c>
      <c r="AK4949">
        <v>0</v>
      </c>
      <c r="AL4949">
        <v>0</v>
      </c>
      <c r="AM4949">
        <v>52868</v>
      </c>
      <c r="AN4949">
        <v>31258.2</v>
      </c>
      <c r="AO4949">
        <v>84126.2</v>
      </c>
      <c r="AP4949">
        <v>0</v>
      </c>
      <c r="AQ4949">
        <v>-13</v>
      </c>
      <c r="AR4949">
        <v>-1.5450586646892361E-4</v>
      </c>
      <c r="AS4949" t="s">
        <v>239</v>
      </c>
      <c r="AT4949" t="s">
        <v>514</v>
      </c>
    </row>
    <row r="4950" spans="2:46" x14ac:dyDescent="0.35">
      <c r="B4950" t="s">
        <v>565</v>
      </c>
      <c r="C4950">
        <v>45828</v>
      </c>
      <c r="J4950">
        <v>0</v>
      </c>
      <c r="O4950" t="s">
        <v>239</v>
      </c>
      <c r="P4950" t="s">
        <v>514</v>
      </c>
      <c r="U4950">
        <v>0</v>
      </c>
      <c r="Y4950">
        <v>536</v>
      </c>
      <c r="Z4950" s="259" t="s">
        <v>637</v>
      </c>
      <c r="AB4950">
        <v>32132</v>
      </c>
      <c r="AF4950">
        <v>84114.8</v>
      </c>
      <c r="AG4950">
        <v>0</v>
      </c>
      <c r="AI4950">
        <v>84126.2</v>
      </c>
      <c r="AJ4950">
        <v>0</v>
      </c>
      <c r="AK4950">
        <v>0</v>
      </c>
      <c r="AL4950">
        <v>0</v>
      </c>
      <c r="AM4950">
        <v>52868</v>
      </c>
      <c r="AN4950">
        <v>31246.799999999999</v>
      </c>
      <c r="AO4950">
        <v>84114.8</v>
      </c>
      <c r="AP4950">
        <v>0</v>
      </c>
      <c r="AQ4950">
        <v>-11.399999999994179</v>
      </c>
      <c r="AR4950">
        <v>-1.3551069702411045E-4</v>
      </c>
      <c r="AS4950" t="s">
        <v>239</v>
      </c>
      <c r="AT4950" t="s">
        <v>514</v>
      </c>
    </row>
    <row r="4951" spans="2:46" x14ac:dyDescent="0.35">
      <c r="B4951" t="s">
        <v>565</v>
      </c>
      <c r="C4951">
        <v>45829</v>
      </c>
      <c r="J4951">
        <v>0</v>
      </c>
      <c r="O4951" t="s">
        <v>239</v>
      </c>
      <c r="P4951" t="s">
        <v>514</v>
      </c>
      <c r="U4951">
        <v>0</v>
      </c>
      <c r="Y4951">
        <v>537</v>
      </c>
      <c r="Z4951" s="259" t="s">
        <v>637</v>
      </c>
      <c r="AB4951">
        <v>32132</v>
      </c>
      <c r="AF4951">
        <v>84114.8</v>
      </c>
      <c r="AG4951">
        <v>0</v>
      </c>
      <c r="AI4951">
        <v>84114.8</v>
      </c>
      <c r="AJ4951">
        <v>0</v>
      </c>
      <c r="AK4951">
        <v>0</v>
      </c>
      <c r="AL4951">
        <v>0</v>
      </c>
      <c r="AM4951">
        <v>52868</v>
      </c>
      <c r="AN4951">
        <v>31246.799999999999</v>
      </c>
      <c r="AO4951">
        <v>84114.8</v>
      </c>
      <c r="AP4951">
        <v>0</v>
      </c>
      <c r="AQ4951">
        <v>0</v>
      </c>
      <c r="AR4951">
        <v>0</v>
      </c>
      <c r="AS4951" t="s">
        <v>239</v>
      </c>
      <c r="AT4951" t="s">
        <v>514</v>
      </c>
    </row>
    <row r="4952" spans="2:46" x14ac:dyDescent="0.35">
      <c r="B4952" t="s">
        <v>565</v>
      </c>
      <c r="C4952">
        <v>45830</v>
      </c>
      <c r="J4952">
        <v>0</v>
      </c>
      <c r="O4952" t="s">
        <v>239</v>
      </c>
      <c r="P4952" t="s">
        <v>514</v>
      </c>
      <c r="U4952">
        <v>0</v>
      </c>
      <c r="Y4952">
        <v>538</v>
      </c>
      <c r="Z4952" s="259" t="s">
        <v>637</v>
      </c>
      <c r="AB4952">
        <v>32132</v>
      </c>
      <c r="AF4952">
        <v>84114.8</v>
      </c>
      <c r="AG4952">
        <v>0</v>
      </c>
      <c r="AI4952">
        <v>84114.8</v>
      </c>
      <c r="AJ4952">
        <v>0</v>
      </c>
      <c r="AK4952">
        <v>0</v>
      </c>
      <c r="AL4952">
        <v>0</v>
      </c>
      <c r="AM4952">
        <v>52868</v>
      </c>
      <c r="AN4952">
        <v>31246.799999999999</v>
      </c>
      <c r="AO4952">
        <v>84114.8</v>
      </c>
      <c r="AP4952">
        <v>0</v>
      </c>
      <c r="AQ4952">
        <v>0</v>
      </c>
      <c r="AR4952">
        <v>0</v>
      </c>
      <c r="AS4952" t="s">
        <v>239</v>
      </c>
      <c r="AT4952" t="s">
        <v>514</v>
      </c>
    </row>
    <row r="4953" spans="2:46" x14ac:dyDescent="0.35">
      <c r="B4953" t="s">
        <v>565</v>
      </c>
      <c r="C4953">
        <v>45831</v>
      </c>
      <c r="J4953">
        <v>0</v>
      </c>
      <c r="O4953" t="s">
        <v>239</v>
      </c>
      <c r="P4953" t="s">
        <v>514</v>
      </c>
      <c r="U4953">
        <v>0</v>
      </c>
      <c r="Y4953">
        <v>539</v>
      </c>
      <c r="Z4953" s="259" t="s">
        <v>637</v>
      </c>
      <c r="AB4953">
        <v>32132</v>
      </c>
      <c r="AF4953">
        <v>84080.5</v>
      </c>
      <c r="AG4953">
        <v>0</v>
      </c>
      <c r="AI4953">
        <v>84114.8</v>
      </c>
      <c r="AJ4953">
        <v>0</v>
      </c>
      <c r="AK4953">
        <v>0</v>
      </c>
      <c r="AL4953">
        <v>0</v>
      </c>
      <c r="AM4953">
        <v>52868</v>
      </c>
      <c r="AN4953">
        <v>31212.5</v>
      </c>
      <c r="AO4953">
        <v>84080.5</v>
      </c>
      <c r="AP4953">
        <v>0</v>
      </c>
      <c r="AQ4953">
        <v>-34.30000000000291</v>
      </c>
      <c r="AR4953">
        <v>-4.077760394128882E-4</v>
      </c>
      <c r="AS4953" t="s">
        <v>239</v>
      </c>
      <c r="AT4953" t="s">
        <v>514</v>
      </c>
    </row>
    <row r="4954" spans="2:46" x14ac:dyDescent="0.35">
      <c r="B4954" t="s">
        <v>565</v>
      </c>
      <c r="C4954">
        <v>45832</v>
      </c>
      <c r="J4954">
        <v>0</v>
      </c>
      <c r="O4954" t="s">
        <v>239</v>
      </c>
      <c r="P4954" t="s">
        <v>514</v>
      </c>
      <c r="U4954">
        <v>0</v>
      </c>
      <c r="Y4954">
        <v>540</v>
      </c>
      <c r="Z4954" s="259" t="s">
        <v>637</v>
      </c>
      <c r="AB4954">
        <v>32132</v>
      </c>
      <c r="AF4954">
        <v>84069.1</v>
      </c>
      <c r="AG4954">
        <v>0</v>
      </c>
      <c r="AI4954">
        <v>84080.5</v>
      </c>
      <c r="AJ4954">
        <v>0</v>
      </c>
      <c r="AK4954">
        <v>0</v>
      </c>
      <c r="AL4954">
        <v>0</v>
      </c>
      <c r="AM4954">
        <v>52868</v>
      </c>
      <c r="AN4954">
        <v>31201.1</v>
      </c>
      <c r="AO4954">
        <v>84069.1</v>
      </c>
      <c r="AP4954">
        <v>0</v>
      </c>
      <c r="AQ4954">
        <v>-11.399999999994179</v>
      </c>
      <c r="AR4954">
        <v>-1.3558435071148178E-4</v>
      </c>
      <c r="AS4954" t="s">
        <v>239</v>
      </c>
      <c r="AT4954" t="s">
        <v>514</v>
      </c>
    </row>
    <row r="4955" spans="2:46" x14ac:dyDescent="0.35">
      <c r="B4955" t="s">
        <v>565</v>
      </c>
      <c r="C4955">
        <v>45833</v>
      </c>
      <c r="J4955">
        <v>0</v>
      </c>
      <c r="O4955" t="s">
        <v>239</v>
      </c>
      <c r="P4955" t="s">
        <v>514</v>
      </c>
      <c r="U4955">
        <v>0</v>
      </c>
      <c r="Y4955">
        <v>541</v>
      </c>
      <c r="Z4955" s="259" t="s">
        <v>637</v>
      </c>
      <c r="AB4955">
        <v>32132</v>
      </c>
      <c r="AF4955">
        <v>84057.7</v>
      </c>
      <c r="AG4955">
        <v>0</v>
      </c>
      <c r="AI4955">
        <v>84069.1</v>
      </c>
      <c r="AJ4955">
        <v>0</v>
      </c>
      <c r="AK4955">
        <v>0</v>
      </c>
      <c r="AL4955">
        <v>0</v>
      </c>
      <c r="AM4955">
        <v>52868</v>
      </c>
      <c r="AN4955">
        <v>31189.7</v>
      </c>
      <c r="AO4955">
        <v>84057.7</v>
      </c>
      <c r="AP4955">
        <v>0</v>
      </c>
      <c r="AQ4955">
        <v>-11.400000000008731</v>
      </c>
      <c r="AR4955">
        <v>-1.3560273632062803E-4</v>
      </c>
      <c r="AS4955" t="s">
        <v>239</v>
      </c>
      <c r="AT4955" t="s">
        <v>514</v>
      </c>
    </row>
    <row r="4956" spans="2:46" x14ac:dyDescent="0.35">
      <c r="B4956" t="s">
        <v>565</v>
      </c>
      <c r="C4956">
        <v>45834</v>
      </c>
      <c r="J4956">
        <v>0</v>
      </c>
      <c r="O4956" t="s">
        <v>239</v>
      </c>
      <c r="P4956" t="s">
        <v>514</v>
      </c>
      <c r="U4956">
        <v>0</v>
      </c>
      <c r="Y4956">
        <v>542</v>
      </c>
      <c r="Z4956" s="259" t="s">
        <v>637</v>
      </c>
      <c r="AB4956">
        <v>32132</v>
      </c>
      <c r="AF4956">
        <v>84044.7</v>
      </c>
      <c r="AG4956">
        <v>0</v>
      </c>
      <c r="AI4956">
        <v>84057.7</v>
      </c>
      <c r="AJ4956">
        <v>0</v>
      </c>
      <c r="AK4956">
        <v>0</v>
      </c>
      <c r="AL4956">
        <v>0</v>
      </c>
      <c r="AM4956">
        <v>52868</v>
      </c>
      <c r="AN4956">
        <v>31176.7</v>
      </c>
      <c r="AO4956">
        <v>84044.7</v>
      </c>
      <c r="AP4956">
        <v>0</v>
      </c>
      <c r="AQ4956">
        <v>-13</v>
      </c>
      <c r="AR4956">
        <v>-1.5465567104500089E-4</v>
      </c>
      <c r="AS4956" t="s">
        <v>239</v>
      </c>
      <c r="AT4956" t="s">
        <v>514</v>
      </c>
    </row>
    <row r="4957" spans="2:46" x14ac:dyDescent="0.35">
      <c r="B4957" t="s">
        <v>565</v>
      </c>
      <c r="C4957">
        <v>45835</v>
      </c>
      <c r="J4957">
        <v>0</v>
      </c>
      <c r="O4957" t="s">
        <v>239</v>
      </c>
      <c r="P4957" t="s">
        <v>514</v>
      </c>
      <c r="U4957">
        <v>0</v>
      </c>
      <c r="Y4957">
        <v>543</v>
      </c>
      <c r="Z4957" s="259" t="s">
        <v>637</v>
      </c>
      <c r="AB4957">
        <v>32132</v>
      </c>
      <c r="AF4957">
        <v>84033.3</v>
      </c>
      <c r="AG4957">
        <v>0</v>
      </c>
      <c r="AI4957">
        <v>84044.7</v>
      </c>
      <c r="AJ4957">
        <v>0</v>
      </c>
      <c r="AK4957">
        <v>0</v>
      </c>
      <c r="AL4957">
        <v>0</v>
      </c>
      <c r="AM4957">
        <v>52868</v>
      </c>
      <c r="AN4957">
        <v>31165.300000000003</v>
      </c>
      <c r="AO4957">
        <v>84033.3</v>
      </c>
      <c r="AP4957">
        <v>0</v>
      </c>
      <c r="AQ4957">
        <v>-11.399999999994179</v>
      </c>
      <c r="AR4957">
        <v>-1.3564210473704374E-4</v>
      </c>
      <c r="AS4957" t="s">
        <v>239</v>
      </c>
      <c r="AT4957" t="s">
        <v>514</v>
      </c>
    </row>
    <row r="4958" spans="2:46" x14ac:dyDescent="0.35">
      <c r="B4958" t="s">
        <v>565</v>
      </c>
      <c r="C4958">
        <v>45836</v>
      </c>
      <c r="J4958">
        <v>0</v>
      </c>
      <c r="O4958" t="s">
        <v>239</v>
      </c>
      <c r="P4958" t="s">
        <v>514</v>
      </c>
      <c r="U4958">
        <v>0</v>
      </c>
      <c r="Y4958">
        <v>544</v>
      </c>
      <c r="Z4958" s="259" t="s">
        <v>637</v>
      </c>
      <c r="AB4958">
        <v>32132</v>
      </c>
      <c r="AF4958">
        <v>84033.3</v>
      </c>
      <c r="AG4958">
        <v>0</v>
      </c>
      <c r="AI4958">
        <v>84033.3</v>
      </c>
      <c r="AJ4958">
        <v>0</v>
      </c>
      <c r="AK4958">
        <v>0</v>
      </c>
      <c r="AL4958">
        <v>0</v>
      </c>
      <c r="AM4958">
        <v>52868</v>
      </c>
      <c r="AN4958">
        <v>31165.300000000003</v>
      </c>
      <c r="AO4958">
        <v>84033.3</v>
      </c>
      <c r="AP4958">
        <v>0</v>
      </c>
      <c r="AQ4958">
        <v>0</v>
      </c>
      <c r="AR4958">
        <v>0</v>
      </c>
      <c r="AS4958" t="s">
        <v>239</v>
      </c>
      <c r="AT4958" t="s">
        <v>514</v>
      </c>
    </row>
    <row r="4959" spans="2:46" x14ac:dyDescent="0.35">
      <c r="B4959" t="s">
        <v>565</v>
      </c>
      <c r="C4959">
        <v>45837</v>
      </c>
      <c r="J4959">
        <v>0</v>
      </c>
      <c r="O4959" t="s">
        <v>239</v>
      </c>
      <c r="P4959" t="s">
        <v>514</v>
      </c>
      <c r="U4959">
        <v>0</v>
      </c>
      <c r="Y4959">
        <v>545</v>
      </c>
      <c r="Z4959" s="259" t="s">
        <v>637</v>
      </c>
      <c r="AB4959">
        <v>32132</v>
      </c>
      <c r="AF4959">
        <v>84033.3</v>
      </c>
      <c r="AG4959">
        <v>0</v>
      </c>
      <c r="AI4959">
        <v>84033.3</v>
      </c>
      <c r="AJ4959">
        <v>0</v>
      </c>
      <c r="AK4959">
        <v>0</v>
      </c>
      <c r="AL4959">
        <v>0</v>
      </c>
      <c r="AM4959">
        <v>52868</v>
      </c>
      <c r="AN4959">
        <v>31165.300000000003</v>
      </c>
      <c r="AO4959">
        <v>84033.3</v>
      </c>
      <c r="AP4959">
        <v>0</v>
      </c>
      <c r="AQ4959">
        <v>0</v>
      </c>
      <c r="AR4959">
        <v>0</v>
      </c>
      <c r="AS4959" t="s">
        <v>239</v>
      </c>
      <c r="AT4959" t="s">
        <v>514</v>
      </c>
    </row>
    <row r="4960" spans="2:46" x14ac:dyDescent="0.35">
      <c r="B4960" t="s">
        <v>565</v>
      </c>
      <c r="C4960">
        <v>45838</v>
      </c>
      <c r="J4960">
        <v>0</v>
      </c>
      <c r="O4960" t="s">
        <v>239</v>
      </c>
      <c r="P4960" t="s">
        <v>514</v>
      </c>
      <c r="U4960">
        <v>0</v>
      </c>
      <c r="Y4960">
        <v>546</v>
      </c>
      <c r="Z4960" s="259" t="s">
        <v>637</v>
      </c>
      <c r="AB4960">
        <v>32132</v>
      </c>
      <c r="AF4960">
        <v>83998</v>
      </c>
      <c r="AG4960">
        <v>0</v>
      </c>
      <c r="AI4960">
        <v>84033.3</v>
      </c>
      <c r="AJ4960">
        <v>0</v>
      </c>
      <c r="AK4960">
        <v>0</v>
      </c>
      <c r="AL4960">
        <v>0</v>
      </c>
      <c r="AM4960">
        <v>52868</v>
      </c>
      <c r="AN4960">
        <v>31130</v>
      </c>
      <c r="AO4960">
        <v>83998</v>
      </c>
      <c r="AP4960">
        <v>0</v>
      </c>
      <c r="AQ4960">
        <v>-35.30000000000291</v>
      </c>
      <c r="AR4960">
        <v>-4.2007156686696412E-4</v>
      </c>
      <c r="AS4960" t="s">
        <v>239</v>
      </c>
      <c r="AT4960" t="s">
        <v>514</v>
      </c>
    </row>
    <row r="4961" spans="2:46" x14ac:dyDescent="0.35">
      <c r="B4961" t="s">
        <v>565</v>
      </c>
      <c r="C4961">
        <v>45839</v>
      </c>
      <c r="J4961">
        <v>0</v>
      </c>
      <c r="O4961" t="s">
        <v>239</v>
      </c>
      <c r="P4961" t="s">
        <v>514</v>
      </c>
      <c r="U4961">
        <v>0</v>
      </c>
      <c r="Y4961">
        <v>547</v>
      </c>
      <c r="Z4961" s="259" t="s">
        <v>637</v>
      </c>
      <c r="AB4961">
        <v>32132</v>
      </c>
      <c r="AF4961">
        <v>83998</v>
      </c>
      <c r="AG4961">
        <v>0</v>
      </c>
      <c r="AI4961">
        <v>83998</v>
      </c>
      <c r="AJ4961">
        <v>0</v>
      </c>
      <c r="AK4961">
        <v>0</v>
      </c>
      <c r="AL4961">
        <v>0</v>
      </c>
      <c r="AM4961">
        <v>52868</v>
      </c>
      <c r="AN4961">
        <v>31130</v>
      </c>
      <c r="AO4961">
        <v>83998</v>
      </c>
      <c r="AP4961">
        <v>0</v>
      </c>
      <c r="AQ4961">
        <v>0</v>
      </c>
      <c r="AR4961">
        <v>0</v>
      </c>
      <c r="AS4961" t="s">
        <v>239</v>
      </c>
      <c r="AT4961" t="s">
        <v>514</v>
      </c>
    </row>
    <row r="4962" spans="2:46" x14ac:dyDescent="0.35">
      <c r="B4962" t="s">
        <v>565</v>
      </c>
      <c r="C4962">
        <v>45840</v>
      </c>
      <c r="J4962">
        <v>0</v>
      </c>
      <c r="O4962" t="s">
        <v>239</v>
      </c>
      <c r="P4962" t="s">
        <v>514</v>
      </c>
      <c r="U4962">
        <v>0</v>
      </c>
      <c r="Y4962">
        <v>548</v>
      </c>
      <c r="Z4962" s="259" t="s">
        <v>637</v>
      </c>
      <c r="AB4962">
        <v>32132</v>
      </c>
      <c r="AF4962">
        <v>83959.3</v>
      </c>
      <c r="AG4962">
        <v>0</v>
      </c>
      <c r="AI4962">
        <v>83998</v>
      </c>
      <c r="AJ4962">
        <v>0</v>
      </c>
      <c r="AK4962">
        <v>0</v>
      </c>
      <c r="AL4962">
        <v>0</v>
      </c>
      <c r="AM4962">
        <v>52868</v>
      </c>
      <c r="AN4962">
        <v>31091.300000000003</v>
      </c>
      <c r="AO4962">
        <v>83959.3</v>
      </c>
      <c r="AP4962">
        <v>0</v>
      </c>
      <c r="AQ4962">
        <v>-38.69999999999709</v>
      </c>
      <c r="AR4962">
        <v>-4.6072525536322573E-4</v>
      </c>
      <c r="AS4962" t="s">
        <v>239</v>
      </c>
      <c r="AT4962" t="s">
        <v>514</v>
      </c>
    </row>
    <row r="4963" spans="2:46" x14ac:dyDescent="0.35">
      <c r="B4963" t="s">
        <v>565</v>
      </c>
      <c r="C4963">
        <v>45841</v>
      </c>
      <c r="J4963">
        <v>0</v>
      </c>
      <c r="O4963" t="s">
        <v>239</v>
      </c>
      <c r="P4963" t="s">
        <v>514</v>
      </c>
      <c r="U4963">
        <v>0</v>
      </c>
      <c r="Y4963">
        <v>549</v>
      </c>
      <c r="Z4963" s="259" t="s">
        <v>637</v>
      </c>
      <c r="AB4963">
        <v>32132</v>
      </c>
      <c r="AF4963">
        <v>83920.7</v>
      </c>
      <c r="AG4963">
        <v>0</v>
      </c>
      <c r="AI4963">
        <v>83959.3</v>
      </c>
      <c r="AJ4963">
        <v>0</v>
      </c>
      <c r="AK4963">
        <v>0</v>
      </c>
      <c r="AL4963">
        <v>0</v>
      </c>
      <c r="AM4963">
        <v>52868</v>
      </c>
      <c r="AN4963">
        <v>31052.7</v>
      </c>
      <c r="AO4963">
        <v>83920.7</v>
      </c>
      <c r="AP4963">
        <v>0</v>
      </c>
      <c r="AQ4963">
        <v>-38.600000000005821</v>
      </c>
      <c r="AR4963">
        <v>-4.5974656768221767E-4</v>
      </c>
      <c r="AS4963" t="s">
        <v>239</v>
      </c>
      <c r="AT4963" t="s">
        <v>514</v>
      </c>
    </row>
    <row r="4964" spans="2:46" x14ac:dyDescent="0.35">
      <c r="B4964" t="s">
        <v>565</v>
      </c>
      <c r="C4964">
        <v>45842</v>
      </c>
      <c r="J4964">
        <v>0</v>
      </c>
      <c r="O4964" t="s">
        <v>239</v>
      </c>
      <c r="P4964" t="s">
        <v>514</v>
      </c>
      <c r="U4964">
        <v>0</v>
      </c>
      <c r="Y4964">
        <v>550</v>
      </c>
      <c r="Z4964" s="259" t="s">
        <v>637</v>
      </c>
      <c r="AB4964">
        <v>32132</v>
      </c>
      <c r="AF4964">
        <v>83882</v>
      </c>
      <c r="AG4964">
        <v>0</v>
      </c>
      <c r="AI4964">
        <v>83920.7</v>
      </c>
      <c r="AJ4964">
        <v>0</v>
      </c>
      <c r="AK4964">
        <v>0</v>
      </c>
      <c r="AL4964">
        <v>0</v>
      </c>
      <c r="AM4964">
        <v>52868</v>
      </c>
      <c r="AN4964">
        <v>31014</v>
      </c>
      <c r="AO4964">
        <v>83882</v>
      </c>
      <c r="AP4964">
        <v>0</v>
      </c>
      <c r="AQ4964">
        <v>-38.69999999999709</v>
      </c>
      <c r="AR4964">
        <v>-4.6114963292720468E-4</v>
      </c>
      <c r="AS4964" t="s">
        <v>239</v>
      </c>
      <c r="AT4964" t="s">
        <v>514</v>
      </c>
    </row>
    <row r="4965" spans="2:46" x14ac:dyDescent="0.35">
      <c r="B4965" t="s">
        <v>565</v>
      </c>
      <c r="C4965">
        <v>45843</v>
      </c>
      <c r="J4965">
        <v>0</v>
      </c>
      <c r="O4965" t="s">
        <v>239</v>
      </c>
      <c r="P4965" t="s">
        <v>514</v>
      </c>
      <c r="U4965">
        <v>0</v>
      </c>
      <c r="Y4965">
        <v>551</v>
      </c>
      <c r="Z4965" s="259" t="s">
        <v>637</v>
      </c>
      <c r="AB4965">
        <v>32132</v>
      </c>
      <c r="AF4965">
        <v>83882</v>
      </c>
      <c r="AG4965">
        <v>0</v>
      </c>
      <c r="AI4965">
        <v>83882</v>
      </c>
      <c r="AJ4965">
        <v>0</v>
      </c>
      <c r="AK4965">
        <v>0</v>
      </c>
      <c r="AL4965">
        <v>0</v>
      </c>
      <c r="AM4965">
        <v>52868</v>
      </c>
      <c r="AN4965">
        <v>31014</v>
      </c>
      <c r="AO4965">
        <v>83882</v>
      </c>
      <c r="AP4965">
        <v>0</v>
      </c>
      <c r="AQ4965">
        <v>0</v>
      </c>
      <c r="AR4965">
        <v>0</v>
      </c>
      <c r="AS4965" t="s">
        <v>239</v>
      </c>
      <c r="AT4965" t="s">
        <v>514</v>
      </c>
    </row>
    <row r="4966" spans="2:46" x14ac:dyDescent="0.35">
      <c r="B4966" t="s">
        <v>565</v>
      </c>
      <c r="C4966">
        <v>45844</v>
      </c>
      <c r="J4966">
        <v>0</v>
      </c>
      <c r="O4966" t="s">
        <v>239</v>
      </c>
      <c r="P4966" t="s">
        <v>514</v>
      </c>
      <c r="U4966">
        <v>0</v>
      </c>
      <c r="Y4966">
        <v>552</v>
      </c>
      <c r="Z4966" s="259" t="s">
        <v>637</v>
      </c>
      <c r="AB4966">
        <v>32132</v>
      </c>
      <c r="AF4966">
        <v>83882</v>
      </c>
      <c r="AG4966">
        <v>0</v>
      </c>
      <c r="AI4966">
        <v>83882</v>
      </c>
      <c r="AJ4966">
        <v>0</v>
      </c>
      <c r="AK4966">
        <v>0</v>
      </c>
      <c r="AL4966">
        <v>0</v>
      </c>
      <c r="AM4966">
        <v>52868</v>
      </c>
      <c r="AN4966">
        <v>31014</v>
      </c>
      <c r="AO4966">
        <v>83882</v>
      </c>
      <c r="AP4966">
        <v>0</v>
      </c>
      <c r="AQ4966">
        <v>0</v>
      </c>
      <c r="AR4966">
        <v>0</v>
      </c>
      <c r="AS4966" t="s">
        <v>239</v>
      </c>
      <c r="AT4966" t="s">
        <v>514</v>
      </c>
    </row>
    <row r="4967" spans="2:46" x14ac:dyDescent="0.35">
      <c r="B4967" t="s">
        <v>565</v>
      </c>
      <c r="C4967">
        <v>45845</v>
      </c>
      <c r="J4967">
        <v>0</v>
      </c>
      <c r="O4967" t="s">
        <v>239</v>
      </c>
      <c r="P4967" t="s">
        <v>514</v>
      </c>
      <c r="U4967">
        <v>0</v>
      </c>
      <c r="Y4967">
        <v>553</v>
      </c>
      <c r="Z4967" s="259" t="s">
        <v>637</v>
      </c>
      <c r="AB4967">
        <v>32132</v>
      </c>
      <c r="AF4967">
        <v>83766</v>
      </c>
      <c r="AG4967">
        <v>0</v>
      </c>
      <c r="AI4967">
        <v>83882</v>
      </c>
      <c r="AJ4967">
        <v>0</v>
      </c>
      <c r="AK4967">
        <v>0</v>
      </c>
      <c r="AL4967">
        <v>0</v>
      </c>
      <c r="AM4967">
        <v>52868</v>
      </c>
      <c r="AN4967">
        <v>30898</v>
      </c>
      <c r="AO4967">
        <v>83766</v>
      </c>
      <c r="AP4967">
        <v>0</v>
      </c>
      <c r="AQ4967">
        <v>-116</v>
      </c>
      <c r="AR4967">
        <v>-1.3828950191936418E-3</v>
      </c>
      <c r="AS4967" t="s">
        <v>239</v>
      </c>
      <c r="AT4967" t="s">
        <v>514</v>
      </c>
    </row>
    <row r="4968" spans="2:46" x14ac:dyDescent="0.35">
      <c r="B4968" t="s">
        <v>565</v>
      </c>
      <c r="C4968">
        <v>45846</v>
      </c>
      <c r="J4968">
        <v>0</v>
      </c>
      <c r="O4968" t="s">
        <v>239</v>
      </c>
      <c r="P4968" t="s">
        <v>514</v>
      </c>
      <c r="U4968">
        <v>0</v>
      </c>
      <c r="Y4968">
        <v>554</v>
      </c>
      <c r="Z4968" s="259" t="s">
        <v>637</v>
      </c>
      <c r="AB4968">
        <v>32132</v>
      </c>
      <c r="AF4968">
        <v>83727.3</v>
      </c>
      <c r="AG4968">
        <v>0</v>
      </c>
      <c r="AI4968">
        <v>83766</v>
      </c>
      <c r="AJ4968">
        <v>0</v>
      </c>
      <c r="AK4968">
        <v>0</v>
      </c>
      <c r="AL4968">
        <v>0</v>
      </c>
      <c r="AM4968">
        <v>52868</v>
      </c>
      <c r="AN4968">
        <v>30859.3</v>
      </c>
      <c r="AO4968">
        <v>83727.3</v>
      </c>
      <c r="AP4968">
        <v>0</v>
      </c>
      <c r="AQ4968">
        <v>-38.69999999999709</v>
      </c>
      <c r="AR4968">
        <v>-4.6200128930584672E-4</v>
      </c>
      <c r="AS4968" t="s">
        <v>239</v>
      </c>
      <c r="AT4968" t="s">
        <v>514</v>
      </c>
    </row>
    <row r="4969" spans="2:46" x14ac:dyDescent="0.35">
      <c r="B4969" t="s">
        <v>565</v>
      </c>
      <c r="C4969">
        <v>45847</v>
      </c>
      <c r="J4969">
        <v>0</v>
      </c>
      <c r="O4969" t="s">
        <v>239</v>
      </c>
      <c r="P4969" t="s">
        <v>514</v>
      </c>
      <c r="U4969">
        <v>0</v>
      </c>
      <c r="Y4969">
        <v>555</v>
      </c>
      <c r="Z4969" s="259" t="s">
        <v>637</v>
      </c>
      <c r="AB4969">
        <v>32132</v>
      </c>
      <c r="AF4969">
        <v>83688.7</v>
      </c>
      <c r="AG4969">
        <v>0</v>
      </c>
      <c r="AI4969">
        <v>83727.3</v>
      </c>
      <c r="AJ4969">
        <v>0</v>
      </c>
      <c r="AK4969">
        <v>0</v>
      </c>
      <c r="AL4969">
        <v>0</v>
      </c>
      <c r="AM4969">
        <v>52868</v>
      </c>
      <c r="AN4969">
        <v>30820.7</v>
      </c>
      <c r="AO4969">
        <v>83688.7</v>
      </c>
      <c r="AP4969">
        <v>0</v>
      </c>
      <c r="AQ4969">
        <v>-38.600000000005821</v>
      </c>
      <c r="AR4969">
        <v>-4.6102047958085368E-4</v>
      </c>
      <c r="AS4969" t="s">
        <v>239</v>
      </c>
      <c r="AT4969" t="s">
        <v>514</v>
      </c>
    </row>
    <row r="4970" spans="2:46" x14ac:dyDescent="0.35">
      <c r="B4970" t="s">
        <v>565</v>
      </c>
      <c r="C4970">
        <v>45848</v>
      </c>
      <c r="J4970">
        <v>0</v>
      </c>
      <c r="O4970" t="s">
        <v>239</v>
      </c>
      <c r="P4970" t="s">
        <v>514</v>
      </c>
      <c r="U4970">
        <v>0</v>
      </c>
      <c r="Y4970">
        <v>556</v>
      </c>
      <c r="Z4970" s="259" t="s">
        <v>637</v>
      </c>
      <c r="AB4970">
        <v>32132</v>
      </c>
      <c r="AF4970">
        <v>83650</v>
      </c>
      <c r="AG4970">
        <v>0</v>
      </c>
      <c r="AI4970">
        <v>83688.7</v>
      </c>
      <c r="AJ4970">
        <v>0</v>
      </c>
      <c r="AK4970">
        <v>0</v>
      </c>
      <c r="AL4970">
        <v>0</v>
      </c>
      <c r="AM4970">
        <v>52868</v>
      </c>
      <c r="AN4970">
        <v>30782</v>
      </c>
      <c r="AO4970">
        <v>83650</v>
      </c>
      <c r="AP4970">
        <v>0</v>
      </c>
      <c r="AQ4970">
        <v>-38.69999999999709</v>
      </c>
      <c r="AR4970">
        <v>-4.6242802194318422E-4</v>
      </c>
      <c r="AS4970" t="s">
        <v>239</v>
      </c>
      <c r="AT4970" t="s">
        <v>514</v>
      </c>
    </row>
    <row r="4971" spans="2:46" x14ac:dyDescent="0.35">
      <c r="B4971" t="s">
        <v>565</v>
      </c>
      <c r="C4971">
        <v>45849</v>
      </c>
      <c r="J4971">
        <v>0</v>
      </c>
      <c r="O4971" t="s">
        <v>239</v>
      </c>
      <c r="P4971" t="s">
        <v>514</v>
      </c>
      <c r="U4971">
        <v>0</v>
      </c>
      <c r="Y4971">
        <v>557</v>
      </c>
      <c r="Z4971" s="259" t="s">
        <v>637</v>
      </c>
      <c r="AB4971">
        <v>32132</v>
      </c>
      <c r="AF4971">
        <v>83611.3</v>
      </c>
      <c r="AG4971">
        <v>0</v>
      </c>
      <c r="AI4971">
        <v>83650</v>
      </c>
      <c r="AJ4971">
        <v>0</v>
      </c>
      <c r="AK4971">
        <v>0</v>
      </c>
      <c r="AL4971">
        <v>0</v>
      </c>
      <c r="AM4971">
        <v>52868</v>
      </c>
      <c r="AN4971">
        <v>30743.3</v>
      </c>
      <c r="AO4971">
        <v>83611.3</v>
      </c>
      <c r="AP4971">
        <v>0</v>
      </c>
      <c r="AQ4971">
        <v>-38.69999999999709</v>
      </c>
      <c r="AR4971">
        <v>-4.6264196054990325E-4</v>
      </c>
      <c r="AS4971" t="s">
        <v>239</v>
      </c>
      <c r="AT4971" t="s">
        <v>514</v>
      </c>
    </row>
    <row r="4972" spans="2:46" x14ac:dyDescent="0.35">
      <c r="B4972" t="s">
        <v>565</v>
      </c>
      <c r="C4972">
        <v>45850</v>
      </c>
      <c r="J4972">
        <v>0</v>
      </c>
      <c r="O4972" t="s">
        <v>239</v>
      </c>
      <c r="P4972" t="s">
        <v>514</v>
      </c>
      <c r="U4972">
        <v>0</v>
      </c>
      <c r="Y4972">
        <v>558</v>
      </c>
      <c r="Z4972" s="259" t="s">
        <v>637</v>
      </c>
      <c r="AB4972">
        <v>32132</v>
      </c>
      <c r="AF4972">
        <v>83611.3</v>
      </c>
      <c r="AG4972">
        <v>0</v>
      </c>
      <c r="AI4972">
        <v>83611.3</v>
      </c>
      <c r="AJ4972">
        <v>0</v>
      </c>
      <c r="AK4972">
        <v>0</v>
      </c>
      <c r="AL4972">
        <v>0</v>
      </c>
      <c r="AM4972">
        <v>52868</v>
      </c>
      <c r="AN4972">
        <v>30743.3</v>
      </c>
      <c r="AO4972">
        <v>83611.3</v>
      </c>
      <c r="AP4972">
        <v>0</v>
      </c>
      <c r="AQ4972">
        <v>0</v>
      </c>
      <c r="AR4972">
        <v>0</v>
      </c>
      <c r="AS4972" t="s">
        <v>239</v>
      </c>
      <c r="AT4972" t="s">
        <v>514</v>
      </c>
    </row>
    <row r="4973" spans="2:46" x14ac:dyDescent="0.35">
      <c r="B4973" t="s">
        <v>565</v>
      </c>
      <c r="C4973">
        <v>45851</v>
      </c>
      <c r="J4973">
        <v>0</v>
      </c>
      <c r="O4973" t="s">
        <v>239</v>
      </c>
      <c r="P4973" t="s">
        <v>514</v>
      </c>
      <c r="U4973">
        <v>0</v>
      </c>
      <c r="Y4973">
        <v>559</v>
      </c>
      <c r="Z4973" s="259" t="s">
        <v>637</v>
      </c>
      <c r="AB4973">
        <v>32132</v>
      </c>
      <c r="AF4973">
        <v>83611.3</v>
      </c>
      <c r="AG4973">
        <v>0</v>
      </c>
      <c r="AI4973">
        <v>83611.3</v>
      </c>
      <c r="AJ4973">
        <v>0</v>
      </c>
      <c r="AK4973">
        <v>0</v>
      </c>
      <c r="AL4973">
        <v>0</v>
      </c>
      <c r="AM4973">
        <v>52868</v>
      </c>
      <c r="AN4973">
        <v>30743.3</v>
      </c>
      <c r="AO4973">
        <v>83611.3</v>
      </c>
      <c r="AP4973">
        <v>0</v>
      </c>
      <c r="AQ4973">
        <v>0</v>
      </c>
      <c r="AR4973">
        <v>0</v>
      </c>
      <c r="AS4973" t="s">
        <v>239</v>
      </c>
      <c r="AT4973" t="s">
        <v>514</v>
      </c>
    </row>
    <row r="4974" spans="2:46" x14ac:dyDescent="0.35">
      <c r="B4974" t="s">
        <v>565</v>
      </c>
      <c r="C4974">
        <v>45852</v>
      </c>
      <c r="J4974">
        <v>0</v>
      </c>
      <c r="O4974" t="s">
        <v>239</v>
      </c>
      <c r="P4974" t="s">
        <v>514</v>
      </c>
      <c r="U4974">
        <v>0</v>
      </c>
      <c r="Y4974">
        <v>560</v>
      </c>
      <c r="Z4974" s="259" t="s">
        <v>637</v>
      </c>
      <c r="AB4974">
        <v>32132</v>
      </c>
      <c r="AF4974">
        <v>83495.3</v>
      </c>
      <c r="AG4974">
        <v>0</v>
      </c>
      <c r="AI4974">
        <v>83611.3</v>
      </c>
      <c r="AJ4974">
        <v>0</v>
      </c>
      <c r="AK4974">
        <v>0</v>
      </c>
      <c r="AL4974">
        <v>0</v>
      </c>
      <c r="AM4974">
        <v>52868</v>
      </c>
      <c r="AN4974">
        <v>30627.3</v>
      </c>
      <c r="AO4974">
        <v>83495.3</v>
      </c>
      <c r="AP4974">
        <v>0</v>
      </c>
      <c r="AQ4974">
        <v>-116</v>
      </c>
      <c r="AR4974">
        <v>-1.3873722810194833E-3</v>
      </c>
      <c r="AS4974" t="s">
        <v>239</v>
      </c>
      <c r="AT4974" t="s">
        <v>514</v>
      </c>
    </row>
    <row r="4975" spans="2:46" x14ac:dyDescent="0.35">
      <c r="B4975" t="s">
        <v>565</v>
      </c>
      <c r="C4975">
        <v>45853</v>
      </c>
      <c r="J4975">
        <v>0</v>
      </c>
      <c r="O4975" t="s">
        <v>239</v>
      </c>
      <c r="P4975" t="s">
        <v>514</v>
      </c>
      <c r="U4975">
        <v>0</v>
      </c>
      <c r="Y4975">
        <v>561</v>
      </c>
      <c r="Z4975" s="259" t="s">
        <v>637</v>
      </c>
      <c r="AB4975">
        <v>32132</v>
      </c>
      <c r="AF4975">
        <v>83456.7</v>
      </c>
      <c r="AG4975">
        <v>0</v>
      </c>
      <c r="AI4975">
        <v>83495.3</v>
      </c>
      <c r="AJ4975">
        <v>0</v>
      </c>
      <c r="AK4975">
        <v>0</v>
      </c>
      <c r="AL4975">
        <v>0</v>
      </c>
      <c r="AM4975">
        <v>52868</v>
      </c>
      <c r="AN4975">
        <v>30588.699999999997</v>
      </c>
      <c r="AO4975">
        <v>83456.7</v>
      </c>
      <c r="AP4975">
        <v>0</v>
      </c>
      <c r="AQ4975">
        <v>-38.600000000005821</v>
      </c>
      <c r="AR4975">
        <v>-4.6230147086134821E-4</v>
      </c>
      <c r="AS4975" t="s">
        <v>239</v>
      </c>
      <c r="AT4975" t="s">
        <v>514</v>
      </c>
    </row>
    <row r="4976" spans="2:46" x14ac:dyDescent="0.35">
      <c r="B4976" t="s">
        <v>565</v>
      </c>
      <c r="C4976">
        <v>45854</v>
      </c>
      <c r="J4976">
        <v>0</v>
      </c>
      <c r="O4976" t="s">
        <v>239</v>
      </c>
      <c r="P4976" t="s">
        <v>514</v>
      </c>
      <c r="U4976">
        <v>0</v>
      </c>
      <c r="Y4976">
        <v>562</v>
      </c>
      <c r="Z4976" s="259" t="s">
        <v>637</v>
      </c>
      <c r="AB4976">
        <v>32132</v>
      </c>
      <c r="AF4976">
        <v>83418</v>
      </c>
      <c r="AG4976">
        <v>0</v>
      </c>
      <c r="AI4976">
        <v>83456.7</v>
      </c>
      <c r="AJ4976">
        <v>0</v>
      </c>
      <c r="AK4976">
        <v>0</v>
      </c>
      <c r="AL4976">
        <v>0</v>
      </c>
      <c r="AM4976">
        <v>52868</v>
      </c>
      <c r="AN4976">
        <v>30550</v>
      </c>
      <c r="AO4976">
        <v>83418</v>
      </c>
      <c r="AP4976">
        <v>0</v>
      </c>
      <c r="AQ4976">
        <v>-38.69999999999709</v>
      </c>
      <c r="AR4976">
        <v>-4.6371351850715836E-4</v>
      </c>
      <c r="AS4976" t="s">
        <v>239</v>
      </c>
      <c r="AT4976" t="s">
        <v>514</v>
      </c>
    </row>
    <row r="4977" spans="2:46" x14ac:dyDescent="0.35">
      <c r="B4977" t="s">
        <v>565</v>
      </c>
      <c r="C4977">
        <v>45855</v>
      </c>
      <c r="J4977">
        <v>0</v>
      </c>
      <c r="O4977" t="s">
        <v>239</v>
      </c>
      <c r="P4977" t="s">
        <v>514</v>
      </c>
      <c r="U4977">
        <v>0</v>
      </c>
      <c r="Y4977">
        <v>563</v>
      </c>
      <c r="Z4977" s="259" t="s">
        <v>637</v>
      </c>
      <c r="AB4977">
        <v>32132</v>
      </c>
      <c r="AF4977">
        <v>83379.3</v>
      </c>
      <c r="AG4977">
        <v>0</v>
      </c>
      <c r="AI4977">
        <v>83418</v>
      </c>
      <c r="AJ4977">
        <v>0</v>
      </c>
      <c r="AK4977">
        <v>0</v>
      </c>
      <c r="AL4977">
        <v>0</v>
      </c>
      <c r="AM4977">
        <v>52868</v>
      </c>
      <c r="AN4977">
        <v>30511.300000000003</v>
      </c>
      <c r="AO4977">
        <v>83379.3</v>
      </c>
      <c r="AP4977">
        <v>0</v>
      </c>
      <c r="AQ4977">
        <v>-38.69999999999709</v>
      </c>
      <c r="AR4977">
        <v>-4.639286484930949E-4</v>
      </c>
      <c r="AS4977" t="s">
        <v>239</v>
      </c>
      <c r="AT4977" t="s">
        <v>514</v>
      </c>
    </row>
    <row r="4978" spans="2:46" x14ac:dyDescent="0.35">
      <c r="B4978" t="s">
        <v>565</v>
      </c>
      <c r="C4978">
        <v>45856</v>
      </c>
      <c r="J4978">
        <v>0</v>
      </c>
      <c r="O4978" t="s">
        <v>239</v>
      </c>
      <c r="P4978" t="s">
        <v>514</v>
      </c>
      <c r="U4978">
        <v>0</v>
      </c>
      <c r="Y4978">
        <v>564</v>
      </c>
      <c r="Z4978" s="259" t="s">
        <v>637</v>
      </c>
      <c r="AB4978">
        <v>32132</v>
      </c>
      <c r="AF4978">
        <v>83340.7</v>
      </c>
      <c r="AG4978">
        <v>0</v>
      </c>
      <c r="AI4978">
        <v>83379.3</v>
      </c>
      <c r="AJ4978">
        <v>0</v>
      </c>
      <c r="AK4978">
        <v>0</v>
      </c>
      <c r="AL4978">
        <v>0</v>
      </c>
      <c r="AM4978">
        <v>52868</v>
      </c>
      <c r="AN4978">
        <v>30472.7</v>
      </c>
      <c r="AO4978">
        <v>83340.7</v>
      </c>
      <c r="AP4978">
        <v>0</v>
      </c>
      <c r="AQ4978">
        <v>-38.600000000005821</v>
      </c>
      <c r="AR4978">
        <v>-4.6294463973683975E-4</v>
      </c>
      <c r="AS4978" t="s">
        <v>239</v>
      </c>
      <c r="AT4978" t="s">
        <v>514</v>
      </c>
    </row>
    <row r="4979" spans="2:46" x14ac:dyDescent="0.35">
      <c r="B4979" t="s">
        <v>565</v>
      </c>
      <c r="C4979">
        <v>45857</v>
      </c>
      <c r="J4979">
        <v>0</v>
      </c>
      <c r="O4979" t="s">
        <v>239</v>
      </c>
      <c r="P4979" t="s">
        <v>514</v>
      </c>
      <c r="U4979">
        <v>0</v>
      </c>
      <c r="Y4979">
        <v>565</v>
      </c>
      <c r="Z4979" s="259" t="s">
        <v>637</v>
      </c>
      <c r="AB4979">
        <v>32132</v>
      </c>
      <c r="AF4979">
        <v>83340.7</v>
      </c>
      <c r="AG4979">
        <v>0</v>
      </c>
      <c r="AI4979">
        <v>83340.7</v>
      </c>
      <c r="AJ4979">
        <v>0</v>
      </c>
      <c r="AK4979">
        <v>0</v>
      </c>
      <c r="AL4979">
        <v>0</v>
      </c>
      <c r="AM4979">
        <v>52868</v>
      </c>
      <c r="AN4979">
        <v>30472.7</v>
      </c>
      <c r="AO4979">
        <v>83340.7</v>
      </c>
      <c r="AP4979">
        <v>0</v>
      </c>
      <c r="AQ4979">
        <v>0</v>
      </c>
      <c r="AR4979">
        <v>0</v>
      </c>
      <c r="AS4979" t="s">
        <v>239</v>
      </c>
      <c r="AT4979" t="s">
        <v>514</v>
      </c>
    </row>
    <row r="4980" spans="2:46" x14ac:dyDescent="0.35">
      <c r="B4980" t="s">
        <v>565</v>
      </c>
      <c r="C4980">
        <v>45858</v>
      </c>
      <c r="J4980">
        <v>0</v>
      </c>
      <c r="O4980" t="s">
        <v>239</v>
      </c>
      <c r="P4980" t="s">
        <v>514</v>
      </c>
      <c r="U4980">
        <v>0</v>
      </c>
      <c r="Y4980">
        <v>566</v>
      </c>
      <c r="Z4980" s="259" t="s">
        <v>637</v>
      </c>
      <c r="AB4980">
        <v>32132</v>
      </c>
      <c r="AF4980">
        <v>83340.7</v>
      </c>
      <c r="AG4980">
        <v>0</v>
      </c>
      <c r="AI4980">
        <v>83340.7</v>
      </c>
      <c r="AJ4980">
        <v>0</v>
      </c>
      <c r="AK4980">
        <v>0</v>
      </c>
      <c r="AL4980">
        <v>0</v>
      </c>
      <c r="AM4980">
        <v>52868</v>
      </c>
      <c r="AN4980">
        <v>30472.7</v>
      </c>
      <c r="AO4980">
        <v>83340.7</v>
      </c>
      <c r="AP4980">
        <v>0</v>
      </c>
      <c r="AQ4980">
        <v>0</v>
      </c>
      <c r="AR4980">
        <v>0</v>
      </c>
      <c r="AS4980" t="s">
        <v>239</v>
      </c>
      <c r="AT4980" t="s">
        <v>514</v>
      </c>
    </row>
    <row r="4981" spans="2:46" x14ac:dyDescent="0.35">
      <c r="B4981" t="s">
        <v>565</v>
      </c>
      <c r="C4981">
        <v>45859</v>
      </c>
      <c r="J4981">
        <v>0</v>
      </c>
      <c r="O4981" t="s">
        <v>239</v>
      </c>
      <c r="P4981" t="s">
        <v>514</v>
      </c>
      <c r="U4981">
        <v>0</v>
      </c>
      <c r="Y4981">
        <v>567</v>
      </c>
      <c r="Z4981" s="259" t="s">
        <v>637</v>
      </c>
      <c r="AB4981">
        <v>32132</v>
      </c>
      <c r="AF4981">
        <v>83224.7</v>
      </c>
      <c r="AG4981">
        <v>0</v>
      </c>
      <c r="AI4981">
        <v>83340.7</v>
      </c>
      <c r="AJ4981">
        <v>0</v>
      </c>
      <c r="AK4981">
        <v>0</v>
      </c>
      <c r="AL4981">
        <v>0</v>
      </c>
      <c r="AM4981">
        <v>52868</v>
      </c>
      <c r="AN4981">
        <v>30356.7</v>
      </c>
      <c r="AO4981">
        <v>83224.7</v>
      </c>
      <c r="AP4981">
        <v>0</v>
      </c>
      <c r="AQ4981">
        <v>-116</v>
      </c>
      <c r="AR4981">
        <v>-1.3918769580768542E-3</v>
      </c>
      <c r="AS4981" t="s">
        <v>239</v>
      </c>
      <c r="AT4981" t="s">
        <v>514</v>
      </c>
    </row>
    <row r="4982" spans="2:46" x14ac:dyDescent="0.35">
      <c r="B4982" t="s">
        <v>565</v>
      </c>
      <c r="C4982">
        <v>45860</v>
      </c>
      <c r="J4982">
        <v>0</v>
      </c>
      <c r="O4982" t="s">
        <v>239</v>
      </c>
      <c r="P4982" t="s">
        <v>514</v>
      </c>
      <c r="U4982">
        <v>0</v>
      </c>
      <c r="Y4982">
        <v>568</v>
      </c>
      <c r="Z4982" s="259" t="s">
        <v>637</v>
      </c>
      <c r="AB4982">
        <v>32132</v>
      </c>
      <c r="AF4982">
        <v>83186</v>
      </c>
      <c r="AG4982">
        <v>0</v>
      </c>
      <c r="AI4982">
        <v>83224.7</v>
      </c>
      <c r="AJ4982">
        <v>0</v>
      </c>
      <c r="AK4982">
        <v>0</v>
      </c>
      <c r="AL4982">
        <v>0</v>
      </c>
      <c r="AM4982">
        <v>52868</v>
      </c>
      <c r="AN4982">
        <v>30318</v>
      </c>
      <c r="AO4982">
        <v>83186</v>
      </c>
      <c r="AP4982">
        <v>0</v>
      </c>
      <c r="AQ4982">
        <v>-38.69999999999709</v>
      </c>
      <c r="AR4982">
        <v>-4.6500618205891353E-4</v>
      </c>
      <c r="AS4982" t="s">
        <v>239</v>
      </c>
      <c r="AT4982" t="s">
        <v>514</v>
      </c>
    </row>
    <row r="4983" spans="2:46" x14ac:dyDescent="0.35">
      <c r="B4983" t="s">
        <v>565</v>
      </c>
      <c r="C4983">
        <v>45861</v>
      </c>
      <c r="J4983">
        <v>0</v>
      </c>
      <c r="O4983" t="s">
        <v>239</v>
      </c>
      <c r="P4983" t="s">
        <v>514</v>
      </c>
      <c r="U4983">
        <v>0</v>
      </c>
      <c r="Y4983">
        <v>569</v>
      </c>
      <c r="Z4983" s="259" t="s">
        <v>637</v>
      </c>
      <c r="AB4983">
        <v>32132</v>
      </c>
      <c r="AF4983">
        <v>83147.3</v>
      </c>
      <c r="AG4983">
        <v>0</v>
      </c>
      <c r="AI4983">
        <v>83186</v>
      </c>
      <c r="AJ4983">
        <v>0</v>
      </c>
      <c r="AK4983">
        <v>0</v>
      </c>
      <c r="AL4983">
        <v>0</v>
      </c>
      <c r="AM4983">
        <v>52868</v>
      </c>
      <c r="AN4983">
        <v>30279.3</v>
      </c>
      <c r="AO4983">
        <v>83147.3</v>
      </c>
      <c r="AP4983">
        <v>0</v>
      </c>
      <c r="AQ4983">
        <v>-38.69999999999709</v>
      </c>
      <c r="AR4983">
        <v>-4.6522251340364029E-4</v>
      </c>
      <c r="AS4983" t="s">
        <v>239</v>
      </c>
      <c r="AT4983" t="s">
        <v>514</v>
      </c>
    </row>
    <row r="4984" spans="2:46" x14ac:dyDescent="0.35">
      <c r="B4984" t="s">
        <v>565</v>
      </c>
      <c r="C4984">
        <v>45862</v>
      </c>
      <c r="J4984">
        <v>0</v>
      </c>
      <c r="O4984" t="s">
        <v>239</v>
      </c>
      <c r="P4984" t="s">
        <v>514</v>
      </c>
      <c r="U4984">
        <v>0</v>
      </c>
      <c r="Y4984">
        <v>570</v>
      </c>
      <c r="Z4984" s="259" t="s">
        <v>637</v>
      </c>
      <c r="AB4984">
        <v>32132</v>
      </c>
      <c r="AF4984">
        <v>83108.7</v>
      </c>
      <c r="AG4984">
        <v>0</v>
      </c>
      <c r="AI4984">
        <v>83147.3</v>
      </c>
      <c r="AJ4984">
        <v>0</v>
      </c>
      <c r="AK4984">
        <v>0</v>
      </c>
      <c r="AL4984">
        <v>0</v>
      </c>
      <c r="AM4984">
        <v>52868</v>
      </c>
      <c r="AN4984">
        <v>30240.7</v>
      </c>
      <c r="AO4984">
        <v>83108.7</v>
      </c>
      <c r="AP4984">
        <v>0</v>
      </c>
      <c r="AQ4984">
        <v>-38.600000000005821</v>
      </c>
      <c r="AR4984">
        <v>-4.6423636125292322E-4</v>
      </c>
      <c r="AS4984" t="s">
        <v>239</v>
      </c>
      <c r="AT4984" t="s">
        <v>514</v>
      </c>
    </row>
    <row r="4985" spans="2:46" x14ac:dyDescent="0.35">
      <c r="B4985" t="s">
        <v>565</v>
      </c>
      <c r="C4985">
        <v>45863</v>
      </c>
      <c r="J4985">
        <v>0</v>
      </c>
      <c r="O4985" t="s">
        <v>239</v>
      </c>
      <c r="P4985" t="s">
        <v>514</v>
      </c>
      <c r="U4985">
        <v>0</v>
      </c>
      <c r="Y4985">
        <v>571</v>
      </c>
      <c r="Z4985" s="259" t="s">
        <v>637</v>
      </c>
      <c r="AB4985">
        <v>32132</v>
      </c>
      <c r="AF4985">
        <v>83070</v>
      </c>
      <c r="AG4985">
        <v>0</v>
      </c>
      <c r="AI4985">
        <v>83108.7</v>
      </c>
      <c r="AJ4985">
        <v>0</v>
      </c>
      <c r="AK4985">
        <v>0</v>
      </c>
      <c r="AL4985">
        <v>0</v>
      </c>
      <c r="AM4985">
        <v>52868</v>
      </c>
      <c r="AN4985">
        <v>30202</v>
      </c>
      <c r="AO4985">
        <v>83070</v>
      </c>
      <c r="AP4985">
        <v>0</v>
      </c>
      <c r="AQ4985">
        <v>-38.69999999999709</v>
      </c>
      <c r="AR4985">
        <v>-4.6565522021158046E-4</v>
      </c>
      <c r="AS4985" t="s">
        <v>239</v>
      </c>
      <c r="AT4985" t="s">
        <v>514</v>
      </c>
    </row>
    <row r="4986" spans="2:46" x14ac:dyDescent="0.35">
      <c r="B4986" t="s">
        <v>565</v>
      </c>
      <c r="C4986">
        <v>45864</v>
      </c>
      <c r="J4986">
        <v>0</v>
      </c>
      <c r="O4986" t="s">
        <v>239</v>
      </c>
      <c r="P4986" t="s">
        <v>514</v>
      </c>
      <c r="U4986">
        <v>0</v>
      </c>
      <c r="Y4986">
        <v>572</v>
      </c>
      <c r="Z4986" s="259" t="s">
        <v>637</v>
      </c>
      <c r="AB4986">
        <v>32132</v>
      </c>
      <c r="AF4986">
        <v>83070</v>
      </c>
      <c r="AG4986">
        <v>0</v>
      </c>
      <c r="AI4986">
        <v>83070</v>
      </c>
      <c r="AJ4986">
        <v>0</v>
      </c>
      <c r="AK4986">
        <v>0</v>
      </c>
      <c r="AL4986">
        <v>0</v>
      </c>
      <c r="AM4986">
        <v>52868</v>
      </c>
      <c r="AN4986">
        <v>30202</v>
      </c>
      <c r="AO4986">
        <v>83070</v>
      </c>
      <c r="AP4986">
        <v>0</v>
      </c>
      <c r="AQ4986">
        <v>0</v>
      </c>
      <c r="AR4986">
        <v>0</v>
      </c>
      <c r="AS4986" t="s">
        <v>239</v>
      </c>
      <c r="AT4986" t="s">
        <v>514</v>
      </c>
    </row>
    <row r="4987" spans="2:46" x14ac:dyDescent="0.35">
      <c r="B4987" t="s">
        <v>565</v>
      </c>
      <c r="C4987">
        <v>45865</v>
      </c>
      <c r="J4987">
        <v>0</v>
      </c>
      <c r="O4987" t="s">
        <v>239</v>
      </c>
      <c r="P4987" t="s">
        <v>514</v>
      </c>
      <c r="U4987">
        <v>0</v>
      </c>
      <c r="Y4987">
        <v>573</v>
      </c>
      <c r="Z4987" s="259" t="s">
        <v>637</v>
      </c>
      <c r="AB4987">
        <v>32132</v>
      </c>
      <c r="AF4987">
        <v>83070</v>
      </c>
      <c r="AG4987">
        <v>0</v>
      </c>
      <c r="AI4987">
        <v>83070</v>
      </c>
      <c r="AJ4987">
        <v>0</v>
      </c>
      <c r="AK4987">
        <v>0</v>
      </c>
      <c r="AL4987">
        <v>0</v>
      </c>
      <c r="AM4987">
        <v>52868</v>
      </c>
      <c r="AN4987">
        <v>30202</v>
      </c>
      <c r="AO4987">
        <v>83070</v>
      </c>
      <c r="AP4987">
        <v>0</v>
      </c>
      <c r="AQ4987">
        <v>0</v>
      </c>
      <c r="AR4987">
        <v>0</v>
      </c>
      <c r="AS4987" t="s">
        <v>239</v>
      </c>
      <c r="AT4987" t="s">
        <v>514</v>
      </c>
    </row>
    <row r="4988" spans="2:46" x14ac:dyDescent="0.35">
      <c r="B4988" t="s">
        <v>565</v>
      </c>
      <c r="C4988">
        <v>45866</v>
      </c>
      <c r="J4988">
        <v>0</v>
      </c>
      <c r="O4988" t="s">
        <v>239</v>
      </c>
      <c r="P4988" t="s">
        <v>514</v>
      </c>
      <c r="U4988">
        <v>0</v>
      </c>
      <c r="Y4988">
        <v>574</v>
      </c>
      <c r="Z4988" s="259" t="s">
        <v>637</v>
      </c>
      <c r="AB4988">
        <v>32132</v>
      </c>
      <c r="AF4988">
        <v>82954</v>
      </c>
      <c r="AG4988">
        <v>0</v>
      </c>
      <c r="AI4988">
        <v>83070</v>
      </c>
      <c r="AJ4988">
        <v>0</v>
      </c>
      <c r="AK4988">
        <v>0</v>
      </c>
      <c r="AL4988">
        <v>0</v>
      </c>
      <c r="AM4988">
        <v>52868</v>
      </c>
      <c r="AN4988">
        <v>30086</v>
      </c>
      <c r="AO4988">
        <v>82954</v>
      </c>
      <c r="AP4988">
        <v>0</v>
      </c>
      <c r="AQ4988">
        <v>-116</v>
      </c>
      <c r="AR4988">
        <v>-1.3964126640182428E-3</v>
      </c>
      <c r="AS4988" t="s">
        <v>239</v>
      </c>
      <c r="AT4988" t="s">
        <v>514</v>
      </c>
    </row>
    <row r="4989" spans="2:46" x14ac:dyDescent="0.35">
      <c r="B4989" t="s">
        <v>565</v>
      </c>
      <c r="C4989">
        <v>45867</v>
      </c>
      <c r="J4989">
        <v>0</v>
      </c>
      <c r="O4989" t="s">
        <v>239</v>
      </c>
      <c r="P4989" t="s">
        <v>514</v>
      </c>
      <c r="U4989">
        <v>0</v>
      </c>
      <c r="Y4989">
        <v>575</v>
      </c>
      <c r="Z4989" s="259" t="s">
        <v>637</v>
      </c>
      <c r="AB4989">
        <v>32132</v>
      </c>
      <c r="AF4989">
        <v>82915.3</v>
      </c>
      <c r="AG4989">
        <v>0</v>
      </c>
      <c r="AI4989">
        <v>82954</v>
      </c>
      <c r="AJ4989">
        <v>0</v>
      </c>
      <c r="AK4989">
        <v>0</v>
      </c>
      <c r="AL4989">
        <v>0</v>
      </c>
      <c r="AM4989">
        <v>52868</v>
      </c>
      <c r="AN4989">
        <v>30047.3</v>
      </c>
      <c r="AO4989">
        <v>82915.3</v>
      </c>
      <c r="AP4989">
        <v>0</v>
      </c>
      <c r="AQ4989">
        <v>-38.69999999999709</v>
      </c>
      <c r="AR4989">
        <v>-4.6652361549770482E-4</v>
      </c>
      <c r="AS4989" t="s">
        <v>239</v>
      </c>
      <c r="AT4989" t="s">
        <v>514</v>
      </c>
    </row>
    <row r="4990" spans="2:46" x14ac:dyDescent="0.35">
      <c r="B4990" t="s">
        <v>565</v>
      </c>
      <c r="C4990">
        <v>45868</v>
      </c>
      <c r="J4990">
        <v>0</v>
      </c>
      <c r="O4990" t="s">
        <v>239</v>
      </c>
      <c r="P4990" t="s">
        <v>514</v>
      </c>
      <c r="U4990">
        <v>0</v>
      </c>
      <c r="Y4990">
        <v>576</v>
      </c>
      <c r="Z4990" s="259" t="s">
        <v>637</v>
      </c>
      <c r="AB4990">
        <v>32132</v>
      </c>
      <c r="AF4990">
        <v>82876.7</v>
      </c>
      <c r="AG4990">
        <v>0</v>
      </c>
      <c r="AI4990">
        <v>82915.3</v>
      </c>
      <c r="AJ4990">
        <v>0</v>
      </c>
      <c r="AK4990">
        <v>0</v>
      </c>
      <c r="AL4990">
        <v>0</v>
      </c>
      <c r="AM4990">
        <v>52868</v>
      </c>
      <c r="AN4990">
        <v>30008.699999999997</v>
      </c>
      <c r="AO4990">
        <v>82876.7</v>
      </c>
      <c r="AP4990">
        <v>0</v>
      </c>
      <c r="AQ4990">
        <v>-38.600000000005821</v>
      </c>
      <c r="AR4990">
        <v>-4.655353113358629E-4</v>
      </c>
      <c r="AS4990" t="s">
        <v>239</v>
      </c>
      <c r="AT4990" t="s">
        <v>514</v>
      </c>
    </row>
    <row r="4991" spans="2:46" x14ac:dyDescent="0.35">
      <c r="B4991" t="s">
        <v>565</v>
      </c>
      <c r="C4991">
        <v>45869</v>
      </c>
      <c r="J4991">
        <v>0</v>
      </c>
      <c r="O4991" t="s">
        <v>239</v>
      </c>
      <c r="P4991" t="s">
        <v>514</v>
      </c>
      <c r="U4991">
        <v>0</v>
      </c>
      <c r="Y4991">
        <v>577</v>
      </c>
      <c r="Z4991" s="259" t="s">
        <v>637</v>
      </c>
      <c r="AB4991">
        <v>32132</v>
      </c>
      <c r="AF4991">
        <v>82838</v>
      </c>
      <c r="AG4991">
        <v>0</v>
      </c>
      <c r="AI4991">
        <v>82876.7</v>
      </c>
      <c r="AJ4991">
        <v>0</v>
      </c>
      <c r="AK4991">
        <v>0</v>
      </c>
      <c r="AL4991">
        <v>0</v>
      </c>
      <c r="AM4991">
        <v>52868</v>
      </c>
      <c r="AN4991">
        <v>29970</v>
      </c>
      <c r="AO4991">
        <v>82838</v>
      </c>
      <c r="AP4991">
        <v>0</v>
      </c>
      <c r="AQ4991">
        <v>-38.69999999999709</v>
      </c>
      <c r="AR4991">
        <v>-4.669587471508585E-4</v>
      </c>
      <c r="AS4991" t="s">
        <v>239</v>
      </c>
      <c r="AT4991" t="s">
        <v>514</v>
      </c>
    </row>
    <row r="4992" spans="2:46" x14ac:dyDescent="0.35">
      <c r="B4992" t="s">
        <v>565</v>
      </c>
      <c r="C4992">
        <v>45870</v>
      </c>
      <c r="J4992">
        <v>0</v>
      </c>
      <c r="O4992" t="s">
        <v>239</v>
      </c>
      <c r="P4992" t="s">
        <v>514</v>
      </c>
      <c r="U4992">
        <v>0</v>
      </c>
      <c r="Y4992">
        <v>578</v>
      </c>
      <c r="Z4992" s="259" t="s">
        <v>637</v>
      </c>
      <c r="AB4992">
        <v>32132</v>
      </c>
      <c r="AF4992">
        <v>82838</v>
      </c>
      <c r="AG4992">
        <v>0</v>
      </c>
      <c r="AI4992">
        <v>82838</v>
      </c>
      <c r="AJ4992">
        <v>0</v>
      </c>
      <c r="AK4992">
        <v>0</v>
      </c>
      <c r="AL4992">
        <v>0</v>
      </c>
      <c r="AM4992">
        <v>52868</v>
      </c>
      <c r="AN4992">
        <v>29970</v>
      </c>
      <c r="AO4992">
        <v>82838</v>
      </c>
      <c r="AP4992">
        <v>0</v>
      </c>
      <c r="AQ4992">
        <v>0</v>
      </c>
      <c r="AR4992">
        <v>0</v>
      </c>
      <c r="AS4992" t="s">
        <v>239</v>
      </c>
      <c r="AT4992" t="s">
        <v>514</v>
      </c>
    </row>
    <row r="4993" spans="2:46" x14ac:dyDescent="0.35">
      <c r="B4993" t="s">
        <v>565</v>
      </c>
      <c r="C4993">
        <v>45871</v>
      </c>
      <c r="J4993">
        <v>0</v>
      </c>
      <c r="O4993" t="s">
        <v>239</v>
      </c>
      <c r="P4993" t="s">
        <v>514</v>
      </c>
      <c r="U4993">
        <v>0</v>
      </c>
      <c r="Y4993">
        <v>579</v>
      </c>
      <c r="Z4993" s="259" t="s">
        <v>637</v>
      </c>
      <c r="AB4993">
        <v>32132</v>
      </c>
      <c r="AF4993">
        <v>82838</v>
      </c>
      <c r="AG4993">
        <v>0</v>
      </c>
      <c r="AI4993">
        <v>82838</v>
      </c>
      <c r="AJ4993">
        <v>0</v>
      </c>
      <c r="AK4993">
        <v>0</v>
      </c>
      <c r="AL4993">
        <v>0</v>
      </c>
      <c r="AM4993">
        <v>52868</v>
      </c>
      <c r="AN4993">
        <v>29970</v>
      </c>
      <c r="AO4993">
        <v>82838</v>
      </c>
      <c r="AP4993">
        <v>0</v>
      </c>
      <c r="AQ4993">
        <v>0</v>
      </c>
      <c r="AR4993">
        <v>0</v>
      </c>
      <c r="AS4993" t="s">
        <v>239</v>
      </c>
      <c r="AT4993" t="s">
        <v>514</v>
      </c>
    </row>
    <row r="4994" spans="2:46" x14ac:dyDescent="0.35">
      <c r="B4994" t="s">
        <v>565</v>
      </c>
      <c r="C4994">
        <v>45872</v>
      </c>
      <c r="J4994">
        <v>0</v>
      </c>
      <c r="O4994" t="s">
        <v>239</v>
      </c>
      <c r="P4994" t="s">
        <v>514</v>
      </c>
      <c r="U4994">
        <v>0</v>
      </c>
      <c r="Y4994">
        <v>580</v>
      </c>
      <c r="Z4994" s="259" t="s">
        <v>637</v>
      </c>
      <c r="AB4994">
        <v>32132</v>
      </c>
      <c r="AF4994">
        <v>82838</v>
      </c>
      <c r="AG4994">
        <v>0</v>
      </c>
      <c r="AI4994">
        <v>82838</v>
      </c>
      <c r="AJ4994">
        <v>0</v>
      </c>
      <c r="AK4994">
        <v>0</v>
      </c>
      <c r="AL4994">
        <v>0</v>
      </c>
      <c r="AM4994">
        <v>52868</v>
      </c>
      <c r="AN4994">
        <v>29970</v>
      </c>
      <c r="AO4994">
        <v>82838</v>
      </c>
      <c r="AP4994">
        <v>0</v>
      </c>
      <c r="AQ4994">
        <v>0</v>
      </c>
      <c r="AR4994">
        <v>0</v>
      </c>
      <c r="AS4994" t="s">
        <v>239</v>
      </c>
      <c r="AT4994" t="s">
        <v>514</v>
      </c>
    </row>
    <row r="4995" spans="2:46" x14ac:dyDescent="0.35">
      <c r="B4995" t="s">
        <v>565</v>
      </c>
      <c r="C4995">
        <v>45873</v>
      </c>
      <c r="J4995">
        <v>0</v>
      </c>
      <c r="O4995" t="s">
        <v>239</v>
      </c>
      <c r="P4995" t="s">
        <v>514</v>
      </c>
      <c r="U4995">
        <v>0</v>
      </c>
      <c r="Y4995">
        <v>581</v>
      </c>
      <c r="Z4995" s="259" t="s">
        <v>637</v>
      </c>
      <c r="AB4995">
        <v>32132</v>
      </c>
      <c r="AF4995">
        <v>82945</v>
      </c>
      <c r="AG4995">
        <v>0</v>
      </c>
      <c r="AI4995">
        <v>82838</v>
      </c>
      <c r="AJ4995">
        <v>0</v>
      </c>
      <c r="AK4995">
        <v>0</v>
      </c>
      <c r="AL4995">
        <v>0</v>
      </c>
      <c r="AM4995">
        <v>52868</v>
      </c>
      <c r="AN4995">
        <v>30077</v>
      </c>
      <c r="AO4995">
        <v>82945</v>
      </c>
      <c r="AP4995">
        <v>0</v>
      </c>
      <c r="AQ4995">
        <v>107</v>
      </c>
      <c r="AR4995">
        <v>1.291677732441654E-3</v>
      </c>
      <c r="AS4995" t="s">
        <v>239</v>
      </c>
      <c r="AT4995" t="s">
        <v>514</v>
      </c>
    </row>
    <row r="4996" spans="2:46" x14ac:dyDescent="0.35">
      <c r="B4996" t="s">
        <v>565</v>
      </c>
      <c r="C4996">
        <v>45874</v>
      </c>
      <c r="J4996">
        <v>0</v>
      </c>
      <c r="O4996" t="s">
        <v>239</v>
      </c>
      <c r="P4996" t="s">
        <v>514</v>
      </c>
      <c r="U4996">
        <v>0</v>
      </c>
      <c r="Y4996">
        <v>582</v>
      </c>
      <c r="Z4996" s="259" t="s">
        <v>637</v>
      </c>
      <c r="AB4996">
        <v>32132</v>
      </c>
      <c r="AF4996">
        <v>82981</v>
      </c>
      <c r="AG4996">
        <v>0</v>
      </c>
      <c r="AI4996">
        <v>82945</v>
      </c>
      <c r="AJ4996">
        <v>0</v>
      </c>
      <c r="AK4996">
        <v>0</v>
      </c>
      <c r="AL4996">
        <v>0</v>
      </c>
      <c r="AM4996">
        <v>52868</v>
      </c>
      <c r="AN4996">
        <v>30113</v>
      </c>
      <c r="AO4996">
        <v>82981</v>
      </c>
      <c r="AP4996">
        <v>0</v>
      </c>
      <c r="AQ4996">
        <v>36</v>
      </c>
      <c r="AR4996">
        <v>4.3402254506008653E-4</v>
      </c>
      <c r="AS4996" t="s">
        <v>239</v>
      </c>
      <c r="AT4996" t="s">
        <v>514</v>
      </c>
    </row>
    <row r="4997" spans="2:46" x14ac:dyDescent="0.35">
      <c r="B4997" t="s">
        <v>565</v>
      </c>
      <c r="C4997">
        <v>45875</v>
      </c>
      <c r="J4997">
        <v>0</v>
      </c>
      <c r="O4997" t="s">
        <v>239</v>
      </c>
      <c r="P4997" t="s">
        <v>514</v>
      </c>
      <c r="U4997">
        <v>0</v>
      </c>
      <c r="Y4997">
        <v>583</v>
      </c>
      <c r="Z4997" s="259" t="s">
        <v>637</v>
      </c>
      <c r="AB4997">
        <v>32132</v>
      </c>
      <c r="AF4997">
        <v>83016</v>
      </c>
      <c r="AG4997">
        <v>0</v>
      </c>
      <c r="AI4997">
        <v>82981</v>
      </c>
      <c r="AJ4997">
        <v>0</v>
      </c>
      <c r="AK4997">
        <v>0</v>
      </c>
      <c r="AL4997">
        <v>0</v>
      </c>
      <c r="AM4997">
        <v>52868</v>
      </c>
      <c r="AN4997">
        <v>30148</v>
      </c>
      <c r="AO4997">
        <v>83016</v>
      </c>
      <c r="AP4997">
        <v>0</v>
      </c>
      <c r="AQ4997">
        <v>35</v>
      </c>
      <c r="AR4997">
        <v>4.2178329979147833E-4</v>
      </c>
      <c r="AS4997" t="s">
        <v>239</v>
      </c>
      <c r="AT4997" t="s">
        <v>514</v>
      </c>
    </row>
    <row r="4998" spans="2:46" x14ac:dyDescent="0.35">
      <c r="B4998" t="s">
        <v>565</v>
      </c>
      <c r="C4998">
        <v>45876</v>
      </c>
      <c r="J4998">
        <v>0</v>
      </c>
      <c r="O4998" t="s">
        <v>239</v>
      </c>
      <c r="P4998" t="s">
        <v>514</v>
      </c>
      <c r="U4998">
        <v>0</v>
      </c>
      <c r="Y4998">
        <v>584</v>
      </c>
      <c r="Z4998" s="259" t="s">
        <v>637</v>
      </c>
      <c r="AB4998">
        <v>32132</v>
      </c>
      <c r="AF4998">
        <v>83052</v>
      </c>
      <c r="AG4998">
        <v>0</v>
      </c>
      <c r="AI4998">
        <v>83016</v>
      </c>
      <c r="AJ4998">
        <v>0</v>
      </c>
      <c r="AK4998">
        <v>0</v>
      </c>
      <c r="AL4998">
        <v>0</v>
      </c>
      <c r="AM4998">
        <v>52868</v>
      </c>
      <c r="AN4998">
        <v>30184</v>
      </c>
      <c r="AO4998">
        <v>83052</v>
      </c>
      <c r="AP4998">
        <v>0</v>
      </c>
      <c r="AQ4998">
        <v>36</v>
      </c>
      <c r="AR4998">
        <v>4.3365134431927466E-4</v>
      </c>
      <c r="AS4998" t="s">
        <v>239</v>
      </c>
      <c r="AT4998" t="s">
        <v>514</v>
      </c>
    </row>
    <row r="4999" spans="2:46" x14ac:dyDescent="0.35">
      <c r="B4999" t="s">
        <v>565</v>
      </c>
      <c r="C4999">
        <v>45877</v>
      </c>
      <c r="J4999">
        <v>0</v>
      </c>
      <c r="O4999" t="s">
        <v>239</v>
      </c>
      <c r="P4999" t="s">
        <v>514</v>
      </c>
      <c r="U4999">
        <v>0</v>
      </c>
      <c r="Y4999">
        <v>585</v>
      </c>
      <c r="Z4999" s="259" t="s">
        <v>637</v>
      </c>
      <c r="AB4999">
        <v>32132</v>
      </c>
      <c r="AF4999">
        <v>83088</v>
      </c>
      <c r="AG4999">
        <v>0</v>
      </c>
      <c r="AI4999">
        <v>83052</v>
      </c>
      <c r="AJ4999">
        <v>0</v>
      </c>
      <c r="AK4999">
        <v>0</v>
      </c>
      <c r="AL4999">
        <v>0</v>
      </c>
      <c r="AM4999">
        <v>52868</v>
      </c>
      <c r="AN4999">
        <v>30220</v>
      </c>
      <c r="AO4999">
        <v>83088</v>
      </c>
      <c r="AP4999">
        <v>0</v>
      </c>
      <c r="AQ4999">
        <v>36</v>
      </c>
      <c r="AR4999">
        <v>4.3346337234506649E-4</v>
      </c>
      <c r="AS4999" t="s">
        <v>239</v>
      </c>
      <c r="AT4999" t="s">
        <v>514</v>
      </c>
    </row>
    <row r="5000" spans="2:46" x14ac:dyDescent="0.35">
      <c r="B5000" t="s">
        <v>565</v>
      </c>
      <c r="C5000">
        <v>45878</v>
      </c>
      <c r="J5000">
        <v>0</v>
      </c>
      <c r="O5000" t="s">
        <v>239</v>
      </c>
      <c r="P5000" t="s">
        <v>514</v>
      </c>
      <c r="U5000">
        <v>0</v>
      </c>
      <c r="Y5000">
        <v>586</v>
      </c>
      <c r="Z5000" s="259" t="s">
        <v>637</v>
      </c>
      <c r="AB5000">
        <v>32132</v>
      </c>
      <c r="AF5000">
        <v>83088</v>
      </c>
      <c r="AG5000">
        <v>0</v>
      </c>
      <c r="AI5000">
        <v>83088</v>
      </c>
      <c r="AJ5000">
        <v>0</v>
      </c>
      <c r="AK5000">
        <v>0</v>
      </c>
      <c r="AL5000">
        <v>0</v>
      </c>
      <c r="AM5000">
        <v>52868</v>
      </c>
      <c r="AN5000">
        <v>30220</v>
      </c>
      <c r="AO5000">
        <v>83088</v>
      </c>
      <c r="AP5000">
        <v>0</v>
      </c>
      <c r="AQ5000">
        <v>0</v>
      </c>
      <c r="AR5000">
        <v>0</v>
      </c>
      <c r="AS5000" t="s">
        <v>239</v>
      </c>
      <c r="AT5000" t="s">
        <v>514</v>
      </c>
    </row>
    <row r="5001" spans="2:46" x14ac:dyDescent="0.35">
      <c r="B5001" t="s">
        <v>565</v>
      </c>
      <c r="C5001">
        <v>45879</v>
      </c>
      <c r="J5001">
        <v>0</v>
      </c>
      <c r="O5001" t="s">
        <v>239</v>
      </c>
      <c r="P5001" t="s">
        <v>514</v>
      </c>
      <c r="U5001">
        <v>0</v>
      </c>
      <c r="Y5001">
        <v>587</v>
      </c>
      <c r="Z5001" s="259" t="s">
        <v>637</v>
      </c>
      <c r="AB5001">
        <v>32132</v>
      </c>
      <c r="AF5001">
        <v>83088</v>
      </c>
      <c r="AG5001">
        <v>0</v>
      </c>
      <c r="AI5001">
        <v>83088</v>
      </c>
      <c r="AJ5001">
        <v>0</v>
      </c>
      <c r="AK5001">
        <v>0</v>
      </c>
      <c r="AL5001">
        <v>0</v>
      </c>
      <c r="AM5001">
        <v>52868</v>
      </c>
      <c r="AN5001">
        <v>30220</v>
      </c>
      <c r="AO5001">
        <v>83088</v>
      </c>
      <c r="AP5001">
        <v>0</v>
      </c>
      <c r="AQ5001">
        <v>0</v>
      </c>
      <c r="AR5001">
        <v>0</v>
      </c>
      <c r="AS5001" t="s">
        <v>239</v>
      </c>
      <c r="AT5001" t="s">
        <v>514</v>
      </c>
    </row>
    <row r="5002" spans="2:46" x14ac:dyDescent="0.35">
      <c r="B5002" t="s">
        <v>565</v>
      </c>
      <c r="C5002">
        <v>45880</v>
      </c>
      <c r="J5002">
        <v>0</v>
      </c>
      <c r="O5002" t="s">
        <v>239</v>
      </c>
      <c r="P5002" t="s">
        <v>514</v>
      </c>
      <c r="U5002">
        <v>0</v>
      </c>
      <c r="Y5002">
        <v>588</v>
      </c>
      <c r="Z5002" s="259" t="s">
        <v>637</v>
      </c>
      <c r="AB5002">
        <v>32132</v>
      </c>
      <c r="AF5002">
        <v>83195</v>
      </c>
      <c r="AG5002">
        <v>0</v>
      </c>
      <c r="AI5002">
        <v>83088</v>
      </c>
      <c r="AJ5002">
        <v>0</v>
      </c>
      <c r="AK5002">
        <v>0</v>
      </c>
      <c r="AL5002">
        <v>0</v>
      </c>
      <c r="AM5002">
        <v>52868</v>
      </c>
      <c r="AN5002">
        <v>30327</v>
      </c>
      <c r="AO5002">
        <v>83195</v>
      </c>
      <c r="AP5002">
        <v>0</v>
      </c>
      <c r="AQ5002">
        <v>107</v>
      </c>
      <c r="AR5002">
        <v>1.2877912574620343E-3</v>
      </c>
      <c r="AS5002" t="s">
        <v>239</v>
      </c>
      <c r="AT5002" t="s">
        <v>514</v>
      </c>
    </row>
    <row r="5003" spans="2:46" x14ac:dyDescent="0.35">
      <c r="B5003" t="s">
        <v>565</v>
      </c>
      <c r="C5003">
        <v>45881</v>
      </c>
      <c r="J5003">
        <v>0</v>
      </c>
      <c r="O5003" t="s">
        <v>239</v>
      </c>
      <c r="P5003" t="s">
        <v>514</v>
      </c>
      <c r="U5003">
        <v>0</v>
      </c>
      <c r="Y5003">
        <v>589</v>
      </c>
      <c r="Z5003" s="259" t="s">
        <v>637</v>
      </c>
      <c r="AB5003">
        <v>32132</v>
      </c>
      <c r="AF5003">
        <v>83230</v>
      </c>
      <c r="AG5003">
        <v>0</v>
      </c>
      <c r="AI5003">
        <v>83195</v>
      </c>
      <c r="AJ5003">
        <v>0</v>
      </c>
      <c r="AK5003">
        <v>0</v>
      </c>
      <c r="AL5003">
        <v>0</v>
      </c>
      <c r="AM5003">
        <v>52868</v>
      </c>
      <c r="AN5003">
        <v>30362</v>
      </c>
      <c r="AO5003">
        <v>83230</v>
      </c>
      <c r="AP5003">
        <v>0</v>
      </c>
      <c r="AQ5003">
        <v>35</v>
      </c>
      <c r="AR5003">
        <v>4.2069835927649457E-4</v>
      </c>
      <c r="AS5003" t="s">
        <v>239</v>
      </c>
      <c r="AT5003" t="s">
        <v>514</v>
      </c>
    </row>
    <row r="5004" spans="2:46" x14ac:dyDescent="0.35">
      <c r="B5004" t="s">
        <v>565</v>
      </c>
      <c r="C5004">
        <v>45882</v>
      </c>
      <c r="J5004">
        <v>0</v>
      </c>
      <c r="O5004" t="s">
        <v>239</v>
      </c>
      <c r="P5004" t="s">
        <v>514</v>
      </c>
      <c r="U5004">
        <v>0</v>
      </c>
      <c r="Y5004">
        <v>590</v>
      </c>
      <c r="Z5004" s="259" t="s">
        <v>637</v>
      </c>
      <c r="AB5004">
        <v>32132</v>
      </c>
      <c r="AF5004">
        <v>83266</v>
      </c>
      <c r="AG5004">
        <v>0</v>
      </c>
      <c r="AI5004">
        <v>83230</v>
      </c>
      <c r="AJ5004">
        <v>0</v>
      </c>
      <c r="AK5004">
        <v>0</v>
      </c>
      <c r="AL5004">
        <v>0</v>
      </c>
      <c r="AM5004">
        <v>52868</v>
      </c>
      <c r="AN5004">
        <v>30398</v>
      </c>
      <c r="AO5004">
        <v>83266</v>
      </c>
      <c r="AP5004">
        <v>0</v>
      </c>
      <c r="AQ5004">
        <v>36</v>
      </c>
      <c r="AR5004">
        <v>4.3253634506790206E-4</v>
      </c>
      <c r="AS5004" t="s">
        <v>239</v>
      </c>
      <c r="AT5004" t="s">
        <v>514</v>
      </c>
    </row>
    <row r="5005" spans="2:46" x14ac:dyDescent="0.35">
      <c r="B5005" t="s">
        <v>565</v>
      </c>
      <c r="C5005">
        <v>45883</v>
      </c>
      <c r="J5005">
        <v>0</v>
      </c>
      <c r="O5005" t="s">
        <v>239</v>
      </c>
      <c r="P5005" t="s">
        <v>514</v>
      </c>
      <c r="U5005">
        <v>0</v>
      </c>
      <c r="Y5005">
        <v>591</v>
      </c>
      <c r="Z5005" s="259" t="s">
        <v>637</v>
      </c>
      <c r="AB5005">
        <v>32132</v>
      </c>
      <c r="AF5005">
        <v>83302</v>
      </c>
      <c r="AG5005">
        <v>0</v>
      </c>
      <c r="AI5005">
        <v>83266</v>
      </c>
      <c r="AJ5005">
        <v>0</v>
      </c>
      <c r="AK5005">
        <v>0</v>
      </c>
      <c r="AL5005">
        <v>0</v>
      </c>
      <c r="AM5005">
        <v>52868</v>
      </c>
      <c r="AN5005">
        <v>30434</v>
      </c>
      <c r="AO5005">
        <v>83302</v>
      </c>
      <c r="AP5005">
        <v>0</v>
      </c>
      <c r="AQ5005">
        <v>36</v>
      </c>
      <c r="AR5005">
        <v>4.3234933826541422E-4</v>
      </c>
      <c r="AS5005" t="s">
        <v>239</v>
      </c>
      <c r="AT5005" t="s">
        <v>514</v>
      </c>
    </row>
    <row r="5006" spans="2:46" x14ac:dyDescent="0.35">
      <c r="B5006" t="s">
        <v>565</v>
      </c>
      <c r="C5006">
        <v>45884</v>
      </c>
      <c r="J5006">
        <v>0</v>
      </c>
      <c r="O5006" t="s">
        <v>239</v>
      </c>
      <c r="P5006" t="s">
        <v>514</v>
      </c>
      <c r="U5006">
        <v>0</v>
      </c>
      <c r="Y5006">
        <v>592</v>
      </c>
      <c r="Z5006" s="259" t="s">
        <v>637</v>
      </c>
      <c r="AB5006">
        <v>32132</v>
      </c>
      <c r="AF5006">
        <v>83337</v>
      </c>
      <c r="AG5006">
        <v>0</v>
      </c>
      <c r="AI5006">
        <v>83302</v>
      </c>
      <c r="AJ5006">
        <v>0</v>
      </c>
      <c r="AK5006">
        <v>0</v>
      </c>
      <c r="AL5006">
        <v>0</v>
      </c>
      <c r="AM5006">
        <v>52868</v>
      </c>
      <c r="AN5006">
        <v>30469</v>
      </c>
      <c r="AO5006">
        <v>83337</v>
      </c>
      <c r="AP5006">
        <v>0</v>
      </c>
      <c r="AQ5006">
        <v>35</v>
      </c>
      <c r="AR5006">
        <v>4.2015797940031518E-4</v>
      </c>
      <c r="AS5006" t="s">
        <v>239</v>
      </c>
      <c r="AT5006" t="s">
        <v>514</v>
      </c>
    </row>
    <row r="5007" spans="2:46" x14ac:dyDescent="0.35">
      <c r="B5007" t="s">
        <v>565</v>
      </c>
      <c r="C5007">
        <v>45885</v>
      </c>
      <c r="J5007">
        <v>0</v>
      </c>
      <c r="O5007" t="s">
        <v>239</v>
      </c>
      <c r="P5007" t="s">
        <v>514</v>
      </c>
      <c r="U5007">
        <v>0</v>
      </c>
      <c r="Y5007">
        <v>593</v>
      </c>
      <c r="Z5007" s="259" t="s">
        <v>637</v>
      </c>
      <c r="AB5007">
        <v>32132</v>
      </c>
      <c r="AF5007">
        <v>83337</v>
      </c>
      <c r="AG5007">
        <v>0</v>
      </c>
      <c r="AI5007">
        <v>83337</v>
      </c>
      <c r="AJ5007">
        <v>0</v>
      </c>
      <c r="AK5007">
        <v>0</v>
      </c>
      <c r="AL5007">
        <v>0</v>
      </c>
      <c r="AM5007">
        <v>52868</v>
      </c>
      <c r="AN5007">
        <v>30469</v>
      </c>
      <c r="AO5007">
        <v>83337</v>
      </c>
      <c r="AP5007">
        <v>0</v>
      </c>
      <c r="AQ5007">
        <v>0</v>
      </c>
      <c r="AR5007">
        <v>0</v>
      </c>
      <c r="AS5007" t="s">
        <v>239</v>
      </c>
      <c r="AT5007" t="s">
        <v>514</v>
      </c>
    </row>
    <row r="5008" spans="2:46" x14ac:dyDescent="0.35">
      <c r="B5008" t="s">
        <v>565</v>
      </c>
      <c r="C5008">
        <v>45886</v>
      </c>
      <c r="J5008">
        <v>0</v>
      </c>
      <c r="O5008" t="s">
        <v>239</v>
      </c>
      <c r="P5008" t="s">
        <v>514</v>
      </c>
      <c r="U5008">
        <v>0</v>
      </c>
      <c r="Y5008">
        <v>594</v>
      </c>
      <c r="Z5008" s="259" t="s">
        <v>637</v>
      </c>
      <c r="AB5008">
        <v>32132</v>
      </c>
      <c r="AF5008">
        <v>83337</v>
      </c>
      <c r="AG5008">
        <v>0</v>
      </c>
      <c r="AI5008">
        <v>83337</v>
      </c>
      <c r="AJ5008">
        <v>0</v>
      </c>
      <c r="AK5008">
        <v>0</v>
      </c>
      <c r="AL5008">
        <v>0</v>
      </c>
      <c r="AM5008">
        <v>52868</v>
      </c>
      <c r="AN5008">
        <v>30469</v>
      </c>
      <c r="AO5008">
        <v>83337</v>
      </c>
      <c r="AP5008">
        <v>0</v>
      </c>
      <c r="AQ5008">
        <v>0</v>
      </c>
      <c r="AR5008">
        <v>0</v>
      </c>
      <c r="AS5008" t="s">
        <v>239</v>
      </c>
      <c r="AT5008" t="s">
        <v>514</v>
      </c>
    </row>
    <row r="5009" spans="2:46" x14ac:dyDescent="0.35">
      <c r="B5009" t="s">
        <v>565</v>
      </c>
      <c r="C5009">
        <v>45887</v>
      </c>
      <c r="J5009">
        <v>0</v>
      </c>
      <c r="O5009" t="s">
        <v>239</v>
      </c>
      <c r="P5009" t="s">
        <v>514</v>
      </c>
      <c r="U5009">
        <v>0</v>
      </c>
      <c r="Y5009">
        <v>595</v>
      </c>
      <c r="Z5009" s="259" t="s">
        <v>637</v>
      </c>
      <c r="AB5009">
        <v>32132</v>
      </c>
      <c r="AF5009">
        <v>78444</v>
      </c>
      <c r="AG5009">
        <v>0</v>
      </c>
      <c r="AI5009">
        <v>83337</v>
      </c>
      <c r="AJ5009">
        <v>0</v>
      </c>
      <c r="AK5009">
        <v>-5000</v>
      </c>
      <c r="AL5009">
        <v>-5000</v>
      </c>
      <c r="AM5009">
        <v>47868</v>
      </c>
      <c r="AN5009">
        <v>30576</v>
      </c>
      <c r="AO5009">
        <v>78444</v>
      </c>
      <c r="AP5009">
        <v>0</v>
      </c>
      <c r="AQ5009">
        <v>107</v>
      </c>
      <c r="AR5009">
        <v>1.2839435064857518E-3</v>
      </c>
      <c r="AS5009" t="s">
        <v>239</v>
      </c>
      <c r="AT5009" t="s">
        <v>514</v>
      </c>
    </row>
    <row r="5010" spans="2:46" x14ac:dyDescent="0.35">
      <c r="B5010" t="s">
        <v>565</v>
      </c>
      <c r="C5010">
        <v>45888</v>
      </c>
      <c r="J5010">
        <v>0</v>
      </c>
      <c r="O5010" t="s">
        <v>239</v>
      </c>
      <c r="P5010" t="s">
        <v>514</v>
      </c>
      <c r="U5010">
        <v>0</v>
      </c>
      <c r="Y5010">
        <v>596</v>
      </c>
      <c r="Z5010" s="259" t="s">
        <v>637</v>
      </c>
      <c r="AB5010">
        <v>32132</v>
      </c>
      <c r="AF5010">
        <v>78480</v>
      </c>
      <c r="AG5010">
        <v>0</v>
      </c>
      <c r="AI5010">
        <v>78444</v>
      </c>
      <c r="AJ5010">
        <v>0</v>
      </c>
      <c r="AK5010">
        <v>0</v>
      </c>
      <c r="AL5010">
        <v>0</v>
      </c>
      <c r="AM5010">
        <v>47868</v>
      </c>
      <c r="AN5010">
        <v>30612</v>
      </c>
      <c r="AO5010">
        <v>78480</v>
      </c>
      <c r="AP5010">
        <v>0</v>
      </c>
      <c r="AQ5010">
        <v>36</v>
      </c>
      <c r="AR5010">
        <v>4.5892611289577445E-4</v>
      </c>
      <c r="AS5010" t="s">
        <v>239</v>
      </c>
      <c r="AT5010" t="s">
        <v>514</v>
      </c>
    </row>
    <row r="5011" spans="2:46" x14ac:dyDescent="0.35">
      <c r="B5011" t="s">
        <v>565</v>
      </c>
      <c r="C5011">
        <v>45889</v>
      </c>
      <c r="J5011">
        <v>0</v>
      </c>
      <c r="O5011" t="s">
        <v>239</v>
      </c>
      <c r="P5011" t="s">
        <v>514</v>
      </c>
      <c r="U5011">
        <v>0</v>
      </c>
      <c r="Y5011">
        <v>597</v>
      </c>
      <c r="Z5011" s="259" t="s">
        <v>637</v>
      </c>
      <c r="AB5011">
        <v>32132</v>
      </c>
      <c r="AF5011">
        <v>78516</v>
      </c>
      <c r="AG5011">
        <v>0</v>
      </c>
      <c r="AI5011">
        <v>78480</v>
      </c>
      <c r="AJ5011">
        <v>0</v>
      </c>
      <c r="AK5011">
        <v>0</v>
      </c>
      <c r="AL5011">
        <v>0</v>
      </c>
      <c r="AM5011">
        <v>47868</v>
      </c>
      <c r="AN5011">
        <v>30648</v>
      </c>
      <c r="AO5011">
        <v>78516</v>
      </c>
      <c r="AP5011">
        <v>0</v>
      </c>
      <c r="AQ5011">
        <v>36</v>
      </c>
      <c r="AR5011">
        <v>4.5871559633026138E-4</v>
      </c>
      <c r="AS5011" t="s">
        <v>239</v>
      </c>
      <c r="AT5011" t="s">
        <v>514</v>
      </c>
    </row>
    <row r="5012" spans="2:46" x14ac:dyDescent="0.35">
      <c r="B5012" t="s">
        <v>565</v>
      </c>
      <c r="C5012">
        <v>45890</v>
      </c>
      <c r="J5012">
        <v>0</v>
      </c>
      <c r="O5012" t="s">
        <v>239</v>
      </c>
      <c r="P5012" t="s">
        <v>514</v>
      </c>
      <c r="U5012">
        <v>0</v>
      </c>
      <c r="Y5012">
        <v>598</v>
      </c>
      <c r="Z5012" s="259" t="s">
        <v>637</v>
      </c>
      <c r="AB5012">
        <v>32132</v>
      </c>
      <c r="AF5012">
        <v>78551</v>
      </c>
      <c r="AG5012">
        <v>0</v>
      </c>
      <c r="AI5012">
        <v>78516</v>
      </c>
      <c r="AJ5012">
        <v>0</v>
      </c>
      <c r="AK5012">
        <v>0</v>
      </c>
      <c r="AL5012">
        <v>0</v>
      </c>
      <c r="AM5012">
        <v>47868</v>
      </c>
      <c r="AN5012">
        <v>30683</v>
      </c>
      <c r="AO5012">
        <v>78551</v>
      </c>
      <c r="AP5012">
        <v>0</v>
      </c>
      <c r="AQ5012">
        <v>35</v>
      </c>
      <c r="AR5012">
        <v>4.4576901523263324E-4</v>
      </c>
      <c r="AS5012" t="s">
        <v>239</v>
      </c>
      <c r="AT5012" t="s">
        <v>514</v>
      </c>
    </row>
    <row r="5013" spans="2:46" x14ac:dyDescent="0.35">
      <c r="B5013" t="s">
        <v>565</v>
      </c>
      <c r="C5013">
        <v>45891</v>
      </c>
      <c r="J5013">
        <v>0</v>
      </c>
      <c r="O5013" t="s">
        <v>239</v>
      </c>
      <c r="P5013" t="s">
        <v>514</v>
      </c>
      <c r="U5013">
        <v>0</v>
      </c>
      <c r="Y5013">
        <v>599</v>
      </c>
      <c r="Z5013" s="259" t="s">
        <v>637</v>
      </c>
      <c r="AB5013">
        <v>32132</v>
      </c>
      <c r="AF5013">
        <v>78587</v>
      </c>
      <c r="AG5013">
        <v>0</v>
      </c>
      <c r="AI5013">
        <v>78551</v>
      </c>
      <c r="AJ5013">
        <v>0</v>
      </c>
      <c r="AK5013">
        <v>0</v>
      </c>
      <c r="AL5013">
        <v>0</v>
      </c>
      <c r="AM5013">
        <v>47868</v>
      </c>
      <c r="AN5013">
        <v>30719</v>
      </c>
      <c r="AO5013">
        <v>78587</v>
      </c>
      <c r="AP5013">
        <v>0</v>
      </c>
      <c r="AQ5013">
        <v>36</v>
      </c>
      <c r="AR5013">
        <v>4.5830097643562162E-4</v>
      </c>
      <c r="AS5013" t="s">
        <v>239</v>
      </c>
      <c r="AT5013" t="s">
        <v>514</v>
      </c>
    </row>
    <row r="5014" spans="2:46" x14ac:dyDescent="0.35">
      <c r="B5014" t="s">
        <v>565</v>
      </c>
      <c r="C5014">
        <v>45892</v>
      </c>
      <c r="J5014">
        <v>0</v>
      </c>
      <c r="O5014" t="s">
        <v>239</v>
      </c>
      <c r="P5014" t="s">
        <v>514</v>
      </c>
      <c r="U5014">
        <v>0</v>
      </c>
      <c r="Y5014">
        <v>600</v>
      </c>
      <c r="Z5014" s="259" t="s">
        <v>637</v>
      </c>
      <c r="AB5014">
        <v>32132</v>
      </c>
      <c r="AF5014">
        <v>78587</v>
      </c>
      <c r="AG5014">
        <v>0</v>
      </c>
      <c r="AI5014">
        <v>78587</v>
      </c>
      <c r="AJ5014">
        <v>0</v>
      </c>
      <c r="AK5014">
        <v>0</v>
      </c>
      <c r="AL5014">
        <v>0</v>
      </c>
      <c r="AM5014">
        <v>47868</v>
      </c>
      <c r="AN5014">
        <v>30719</v>
      </c>
      <c r="AO5014">
        <v>78587</v>
      </c>
      <c r="AP5014">
        <v>0</v>
      </c>
      <c r="AQ5014">
        <v>0</v>
      </c>
      <c r="AR5014">
        <v>0</v>
      </c>
      <c r="AS5014" t="s">
        <v>239</v>
      </c>
      <c r="AT5014" t="s">
        <v>514</v>
      </c>
    </row>
    <row r="5015" spans="2:46" x14ac:dyDescent="0.35">
      <c r="B5015" t="s">
        <v>565</v>
      </c>
      <c r="C5015">
        <v>45893</v>
      </c>
      <c r="J5015">
        <v>0</v>
      </c>
      <c r="O5015" t="s">
        <v>239</v>
      </c>
      <c r="P5015" t="s">
        <v>514</v>
      </c>
      <c r="U5015">
        <v>0</v>
      </c>
      <c r="Y5015">
        <v>601</v>
      </c>
      <c r="Z5015" s="259" t="s">
        <v>637</v>
      </c>
      <c r="AB5015">
        <v>32132</v>
      </c>
      <c r="AF5015">
        <v>78587</v>
      </c>
      <c r="AG5015">
        <v>0</v>
      </c>
      <c r="AI5015">
        <v>78587</v>
      </c>
      <c r="AJ5015">
        <v>0</v>
      </c>
      <c r="AK5015">
        <v>0</v>
      </c>
      <c r="AL5015">
        <v>0</v>
      </c>
      <c r="AM5015">
        <v>47868</v>
      </c>
      <c r="AN5015">
        <v>30719</v>
      </c>
      <c r="AO5015">
        <v>78587</v>
      </c>
      <c r="AP5015">
        <v>0</v>
      </c>
      <c r="AQ5015">
        <v>0</v>
      </c>
      <c r="AR5015">
        <v>0</v>
      </c>
      <c r="AS5015" t="s">
        <v>239</v>
      </c>
      <c r="AT5015" t="s">
        <v>514</v>
      </c>
    </row>
    <row r="5016" spans="2:46" x14ac:dyDescent="0.35">
      <c r="B5016" t="s">
        <v>565</v>
      </c>
      <c r="C5016">
        <v>45894</v>
      </c>
      <c r="J5016">
        <v>0</v>
      </c>
      <c r="O5016" t="s">
        <v>239</v>
      </c>
      <c r="P5016" t="s">
        <v>514</v>
      </c>
      <c r="U5016">
        <v>0</v>
      </c>
      <c r="Y5016">
        <v>602</v>
      </c>
      <c r="Z5016" s="259" t="s">
        <v>637</v>
      </c>
      <c r="AB5016">
        <v>32132</v>
      </c>
      <c r="AF5016">
        <v>78694</v>
      </c>
      <c r="AG5016">
        <v>0</v>
      </c>
      <c r="AI5016">
        <v>78587</v>
      </c>
      <c r="AJ5016">
        <v>0</v>
      </c>
      <c r="AK5016">
        <v>0</v>
      </c>
      <c r="AL5016">
        <v>0</v>
      </c>
      <c r="AM5016">
        <v>47868</v>
      </c>
      <c r="AN5016">
        <v>30826</v>
      </c>
      <c r="AO5016">
        <v>78694</v>
      </c>
      <c r="AP5016">
        <v>0</v>
      </c>
      <c r="AQ5016">
        <v>107</v>
      </c>
      <c r="AR5016">
        <v>1.3615483476911994E-3</v>
      </c>
      <c r="AS5016" t="s">
        <v>239</v>
      </c>
      <c r="AT5016" t="s">
        <v>514</v>
      </c>
    </row>
    <row r="5017" spans="2:46" x14ac:dyDescent="0.35">
      <c r="B5017" t="s">
        <v>565</v>
      </c>
      <c r="C5017">
        <v>45895</v>
      </c>
      <c r="J5017">
        <v>0</v>
      </c>
      <c r="O5017" t="s">
        <v>239</v>
      </c>
      <c r="P5017" t="s">
        <v>514</v>
      </c>
      <c r="U5017">
        <v>0</v>
      </c>
      <c r="Y5017">
        <v>603</v>
      </c>
      <c r="Z5017" s="259" t="s">
        <v>637</v>
      </c>
      <c r="AB5017">
        <v>32132</v>
      </c>
      <c r="AF5017">
        <v>78730</v>
      </c>
      <c r="AG5017">
        <v>0</v>
      </c>
      <c r="AI5017">
        <v>78694</v>
      </c>
      <c r="AJ5017">
        <v>0</v>
      </c>
      <c r="AK5017">
        <v>0</v>
      </c>
      <c r="AL5017">
        <v>0</v>
      </c>
      <c r="AM5017">
        <v>47868</v>
      </c>
      <c r="AN5017">
        <v>30862</v>
      </c>
      <c r="AO5017">
        <v>78730</v>
      </c>
      <c r="AP5017">
        <v>0</v>
      </c>
      <c r="AQ5017">
        <v>36</v>
      </c>
      <c r="AR5017">
        <v>4.5746816783998057E-4</v>
      </c>
      <c r="AS5017" t="s">
        <v>239</v>
      </c>
      <c r="AT5017" t="s">
        <v>514</v>
      </c>
    </row>
    <row r="5018" spans="2:46" x14ac:dyDescent="0.35">
      <c r="B5018" t="s">
        <v>565</v>
      </c>
      <c r="C5018">
        <v>45896</v>
      </c>
      <c r="J5018">
        <v>0</v>
      </c>
      <c r="O5018" t="s">
        <v>239</v>
      </c>
      <c r="P5018" t="s">
        <v>514</v>
      </c>
      <c r="U5018">
        <v>0</v>
      </c>
      <c r="Y5018">
        <v>604</v>
      </c>
      <c r="Z5018" s="259" t="s">
        <v>637</v>
      </c>
      <c r="AB5018">
        <v>32132</v>
      </c>
      <c r="AF5018">
        <v>78765</v>
      </c>
      <c r="AG5018">
        <v>0</v>
      </c>
      <c r="AI5018">
        <v>78730</v>
      </c>
      <c r="AJ5018">
        <v>0</v>
      </c>
      <c r="AK5018">
        <v>0</v>
      </c>
      <c r="AL5018">
        <v>0</v>
      </c>
      <c r="AM5018">
        <v>47868</v>
      </c>
      <c r="AN5018">
        <v>30897</v>
      </c>
      <c r="AO5018">
        <v>78765</v>
      </c>
      <c r="AP5018">
        <v>0</v>
      </c>
      <c r="AQ5018">
        <v>35</v>
      </c>
      <c r="AR5018">
        <v>4.4455734789794477E-4</v>
      </c>
      <c r="AS5018" t="s">
        <v>239</v>
      </c>
      <c r="AT5018" t="s">
        <v>514</v>
      </c>
    </row>
    <row r="5019" spans="2:46" x14ac:dyDescent="0.35">
      <c r="B5019" t="s">
        <v>565</v>
      </c>
      <c r="C5019">
        <v>45897</v>
      </c>
      <c r="J5019">
        <v>0</v>
      </c>
      <c r="O5019" t="s">
        <v>239</v>
      </c>
      <c r="P5019" t="s">
        <v>514</v>
      </c>
      <c r="U5019">
        <v>0</v>
      </c>
      <c r="Y5019">
        <v>605</v>
      </c>
      <c r="Z5019" s="259" t="s">
        <v>637</v>
      </c>
      <c r="AB5019">
        <v>32132</v>
      </c>
      <c r="AF5019">
        <v>78801</v>
      </c>
      <c r="AG5019">
        <v>0</v>
      </c>
      <c r="AI5019">
        <v>78765</v>
      </c>
      <c r="AJ5019">
        <v>0</v>
      </c>
      <c r="AK5019">
        <v>0</v>
      </c>
      <c r="AL5019">
        <v>0</v>
      </c>
      <c r="AM5019">
        <v>47868</v>
      </c>
      <c r="AN5019">
        <v>30933</v>
      </c>
      <c r="AO5019">
        <v>78801</v>
      </c>
      <c r="AP5019">
        <v>0</v>
      </c>
      <c r="AQ5019">
        <v>36</v>
      </c>
      <c r="AR5019">
        <v>4.570557988954338E-4</v>
      </c>
      <c r="AS5019" t="s">
        <v>239</v>
      </c>
      <c r="AT5019" t="s">
        <v>514</v>
      </c>
    </row>
    <row r="5020" spans="2:46" x14ac:dyDescent="0.35">
      <c r="B5020" t="s">
        <v>565</v>
      </c>
      <c r="C5020">
        <v>45898</v>
      </c>
      <c r="J5020">
        <v>0</v>
      </c>
      <c r="O5020" t="s">
        <v>239</v>
      </c>
      <c r="P5020" t="s">
        <v>514</v>
      </c>
      <c r="U5020">
        <v>0</v>
      </c>
      <c r="Y5020">
        <v>606</v>
      </c>
      <c r="Z5020" s="259" t="s">
        <v>637</v>
      </c>
      <c r="AB5020">
        <v>32132</v>
      </c>
      <c r="AF5020">
        <v>78837</v>
      </c>
      <c r="AG5020">
        <v>0</v>
      </c>
      <c r="AI5020">
        <v>78801</v>
      </c>
      <c r="AJ5020">
        <v>0</v>
      </c>
      <c r="AK5020">
        <v>0</v>
      </c>
      <c r="AL5020">
        <v>0</v>
      </c>
      <c r="AM5020">
        <v>47868</v>
      </c>
      <c r="AN5020">
        <v>30969</v>
      </c>
      <c r="AO5020">
        <v>78837</v>
      </c>
      <c r="AP5020">
        <v>0</v>
      </c>
      <c r="AQ5020">
        <v>36</v>
      </c>
      <c r="AR5020">
        <v>4.5684699432757547E-4</v>
      </c>
      <c r="AS5020" t="s">
        <v>239</v>
      </c>
      <c r="AT5020" t="s">
        <v>514</v>
      </c>
    </row>
    <row r="5021" spans="2:46" x14ac:dyDescent="0.35">
      <c r="B5021" t="s">
        <v>565</v>
      </c>
      <c r="C5021">
        <v>45899</v>
      </c>
      <c r="J5021">
        <v>0</v>
      </c>
      <c r="O5021" t="s">
        <v>239</v>
      </c>
      <c r="P5021" t="s">
        <v>514</v>
      </c>
      <c r="U5021">
        <v>0</v>
      </c>
      <c r="Y5021">
        <v>607</v>
      </c>
      <c r="Z5021" s="259" t="s">
        <v>637</v>
      </c>
      <c r="AB5021">
        <v>32132</v>
      </c>
      <c r="AF5021">
        <v>78837</v>
      </c>
      <c r="AG5021">
        <v>0</v>
      </c>
      <c r="AI5021">
        <v>78837</v>
      </c>
      <c r="AJ5021">
        <v>0</v>
      </c>
      <c r="AK5021">
        <v>0</v>
      </c>
      <c r="AL5021">
        <v>0</v>
      </c>
      <c r="AM5021">
        <v>47868</v>
      </c>
      <c r="AN5021">
        <v>30969</v>
      </c>
      <c r="AO5021">
        <v>78837</v>
      </c>
      <c r="AP5021">
        <v>0</v>
      </c>
      <c r="AQ5021">
        <v>0</v>
      </c>
      <c r="AR5021">
        <v>0</v>
      </c>
      <c r="AS5021" t="s">
        <v>239</v>
      </c>
      <c r="AT5021" t="s">
        <v>514</v>
      </c>
    </row>
    <row r="5022" spans="2:46" x14ac:dyDescent="0.35">
      <c r="B5022" t="s">
        <v>565</v>
      </c>
      <c r="C5022">
        <v>45900</v>
      </c>
      <c r="J5022">
        <v>0</v>
      </c>
      <c r="O5022" t="s">
        <v>239</v>
      </c>
      <c r="P5022" t="s">
        <v>514</v>
      </c>
      <c r="U5022">
        <v>0</v>
      </c>
      <c r="Y5022">
        <v>608</v>
      </c>
      <c r="Z5022" s="259" t="s">
        <v>637</v>
      </c>
      <c r="AB5022">
        <v>32132</v>
      </c>
      <c r="AF5022">
        <v>78837</v>
      </c>
      <c r="AG5022">
        <v>0</v>
      </c>
      <c r="AI5022">
        <v>78837</v>
      </c>
      <c r="AJ5022">
        <v>0</v>
      </c>
      <c r="AK5022">
        <v>0</v>
      </c>
      <c r="AL5022">
        <v>0</v>
      </c>
      <c r="AM5022">
        <v>47868</v>
      </c>
      <c r="AN5022">
        <v>30969</v>
      </c>
      <c r="AO5022">
        <v>78837</v>
      </c>
      <c r="AP5022">
        <v>0</v>
      </c>
      <c r="AQ5022">
        <v>0</v>
      </c>
      <c r="AR5022">
        <v>0</v>
      </c>
      <c r="AS5022" t="s">
        <v>239</v>
      </c>
      <c r="AT5022" t="s">
        <v>514</v>
      </c>
    </row>
    <row r="5023" spans="2:46" x14ac:dyDescent="0.35">
      <c r="B5023" t="s">
        <v>565</v>
      </c>
      <c r="C5023">
        <v>45901</v>
      </c>
      <c r="J5023">
        <v>6</v>
      </c>
      <c r="O5023" t="s">
        <v>239</v>
      </c>
      <c r="P5023" t="s">
        <v>514</v>
      </c>
      <c r="U5023">
        <v>-69</v>
      </c>
      <c r="Y5023">
        <v>609</v>
      </c>
      <c r="Z5023" s="259" t="s">
        <v>637</v>
      </c>
      <c r="AB5023">
        <v>29129</v>
      </c>
      <c r="AF5023">
        <v>78902</v>
      </c>
      <c r="AG5023">
        <v>300</v>
      </c>
      <c r="AI5023">
        <v>78837</v>
      </c>
      <c r="AJ5023">
        <v>0</v>
      </c>
      <c r="AK5023">
        <v>0</v>
      </c>
      <c r="AL5023">
        <v>0</v>
      </c>
      <c r="AM5023">
        <v>50802</v>
      </c>
      <c r="AN5023">
        <v>27800</v>
      </c>
      <c r="AO5023">
        <v>78902</v>
      </c>
      <c r="AP5023">
        <v>300</v>
      </c>
      <c r="AQ5023">
        <v>65</v>
      </c>
      <c r="AR5023">
        <v>8.2448596471196289E-4</v>
      </c>
      <c r="AS5023" t="s">
        <v>239</v>
      </c>
      <c r="AT5023" t="s">
        <v>514</v>
      </c>
    </row>
    <row r="5024" spans="2:46" x14ac:dyDescent="0.35">
      <c r="B5024" t="s">
        <v>565</v>
      </c>
      <c r="C5024">
        <v>45902</v>
      </c>
      <c r="J5024">
        <v>0</v>
      </c>
      <c r="O5024" t="s">
        <v>239</v>
      </c>
      <c r="P5024" t="s">
        <v>514</v>
      </c>
      <c r="U5024">
        <v>-69</v>
      </c>
      <c r="Y5024">
        <v>610</v>
      </c>
      <c r="Z5024" s="259" t="s">
        <v>637</v>
      </c>
      <c r="AB5024">
        <v>29129</v>
      </c>
      <c r="AF5024">
        <v>78881</v>
      </c>
      <c r="AG5024">
        <v>300</v>
      </c>
      <c r="AI5024">
        <v>78902</v>
      </c>
      <c r="AJ5024">
        <v>0</v>
      </c>
      <c r="AK5024">
        <v>0</v>
      </c>
      <c r="AL5024">
        <v>0</v>
      </c>
      <c r="AM5024">
        <v>50802</v>
      </c>
      <c r="AN5024">
        <v>27779</v>
      </c>
      <c r="AO5024">
        <v>78881</v>
      </c>
      <c r="AP5024">
        <v>0</v>
      </c>
      <c r="AQ5024">
        <v>-21</v>
      </c>
      <c r="AR5024">
        <v>-2.6615294922816002E-4</v>
      </c>
      <c r="AS5024" t="s">
        <v>239</v>
      </c>
      <c r="AT5024" t="s">
        <v>514</v>
      </c>
    </row>
    <row r="5025" spans="2:46" x14ac:dyDescent="0.35">
      <c r="B5025" t="s">
        <v>565</v>
      </c>
      <c r="C5025">
        <v>45903</v>
      </c>
      <c r="J5025">
        <v>0</v>
      </c>
      <c r="O5025" t="s">
        <v>239</v>
      </c>
      <c r="P5025" t="s">
        <v>514</v>
      </c>
      <c r="U5025">
        <v>-69</v>
      </c>
      <c r="Y5025">
        <v>611</v>
      </c>
      <c r="Z5025" s="259" t="s">
        <v>637</v>
      </c>
      <c r="AB5025">
        <v>29129</v>
      </c>
      <c r="AF5025">
        <v>78860</v>
      </c>
      <c r="AG5025">
        <v>300</v>
      </c>
      <c r="AI5025">
        <v>78881</v>
      </c>
      <c r="AJ5025">
        <v>0</v>
      </c>
      <c r="AK5025">
        <v>0</v>
      </c>
      <c r="AL5025">
        <v>0</v>
      </c>
      <c r="AM5025">
        <v>50802</v>
      </c>
      <c r="AN5025">
        <v>27758</v>
      </c>
      <c r="AO5025">
        <v>78860</v>
      </c>
      <c r="AP5025">
        <v>0</v>
      </c>
      <c r="AQ5025">
        <v>-21</v>
      </c>
      <c r="AR5025">
        <v>-2.6622380547913771E-4</v>
      </c>
      <c r="AS5025" t="s">
        <v>239</v>
      </c>
      <c r="AT5025" t="s">
        <v>514</v>
      </c>
    </row>
    <row r="5026" spans="2:46" x14ac:dyDescent="0.35">
      <c r="B5026" t="s">
        <v>565</v>
      </c>
      <c r="C5026">
        <v>45904</v>
      </c>
      <c r="J5026">
        <v>0</v>
      </c>
      <c r="O5026" t="s">
        <v>239</v>
      </c>
      <c r="P5026" t="s">
        <v>514</v>
      </c>
      <c r="U5026">
        <v>-69</v>
      </c>
      <c r="Y5026">
        <v>612</v>
      </c>
      <c r="Z5026" s="259" t="s">
        <v>637</v>
      </c>
      <c r="AB5026">
        <v>29129</v>
      </c>
      <c r="AF5026">
        <v>78840.5</v>
      </c>
      <c r="AG5026">
        <v>300</v>
      </c>
      <c r="AI5026">
        <v>78860</v>
      </c>
      <c r="AJ5026">
        <v>0</v>
      </c>
      <c r="AK5026">
        <v>0</v>
      </c>
      <c r="AL5026">
        <v>0</v>
      </c>
      <c r="AM5026">
        <v>50802</v>
      </c>
      <c r="AN5026">
        <v>27738.5</v>
      </c>
      <c r="AO5026">
        <v>78840.5</v>
      </c>
      <c r="AP5026">
        <v>0</v>
      </c>
      <c r="AQ5026">
        <v>-19.5</v>
      </c>
      <c r="AR5026">
        <v>-2.4727364950549724E-4</v>
      </c>
      <c r="AS5026" t="s">
        <v>239</v>
      </c>
      <c r="AT5026" t="s">
        <v>514</v>
      </c>
    </row>
    <row r="5027" spans="2:46" x14ac:dyDescent="0.35">
      <c r="B5027" t="s">
        <v>565</v>
      </c>
      <c r="C5027">
        <v>45905</v>
      </c>
      <c r="J5027">
        <v>0</v>
      </c>
      <c r="O5027" t="s">
        <v>239</v>
      </c>
      <c r="P5027" t="s">
        <v>514</v>
      </c>
      <c r="U5027">
        <v>-69</v>
      </c>
      <c r="Y5027">
        <v>613</v>
      </c>
      <c r="Z5027" s="259" t="s">
        <v>637</v>
      </c>
      <c r="AB5027">
        <v>29129</v>
      </c>
      <c r="AF5027">
        <v>78819.5</v>
      </c>
      <c r="AG5027">
        <v>300</v>
      </c>
      <c r="AI5027">
        <v>78840.5</v>
      </c>
      <c r="AJ5027">
        <v>0</v>
      </c>
      <c r="AK5027">
        <v>0</v>
      </c>
      <c r="AL5027">
        <v>0</v>
      </c>
      <c r="AM5027">
        <v>50802</v>
      </c>
      <c r="AN5027">
        <v>27717.5</v>
      </c>
      <c r="AO5027">
        <v>78819.5</v>
      </c>
      <c r="AP5027">
        <v>0</v>
      </c>
      <c r="AQ5027">
        <v>-21</v>
      </c>
      <c r="AR5027">
        <v>-2.6636056341600156E-4</v>
      </c>
      <c r="AS5027" t="s">
        <v>239</v>
      </c>
      <c r="AT5027" t="s">
        <v>514</v>
      </c>
    </row>
    <row r="5028" spans="2:46" x14ac:dyDescent="0.35">
      <c r="B5028" t="s">
        <v>565</v>
      </c>
      <c r="C5028">
        <v>45906</v>
      </c>
      <c r="J5028">
        <v>0</v>
      </c>
      <c r="O5028" t="s">
        <v>239</v>
      </c>
      <c r="P5028" t="s">
        <v>514</v>
      </c>
      <c r="U5028">
        <v>-69</v>
      </c>
      <c r="Y5028">
        <v>614</v>
      </c>
      <c r="Z5028" s="259" t="s">
        <v>637</v>
      </c>
      <c r="AB5028">
        <v>29129</v>
      </c>
      <c r="AF5028">
        <v>78819.5</v>
      </c>
      <c r="AG5028">
        <v>300</v>
      </c>
      <c r="AI5028">
        <v>78819.5</v>
      </c>
      <c r="AJ5028">
        <v>0</v>
      </c>
      <c r="AK5028">
        <v>0</v>
      </c>
      <c r="AL5028">
        <v>0</v>
      </c>
      <c r="AM5028">
        <v>50802</v>
      </c>
      <c r="AN5028">
        <v>27717.5</v>
      </c>
      <c r="AO5028">
        <v>78819.5</v>
      </c>
      <c r="AP5028">
        <v>0</v>
      </c>
      <c r="AQ5028">
        <v>0</v>
      </c>
      <c r="AR5028">
        <v>0</v>
      </c>
      <c r="AS5028" t="s">
        <v>239</v>
      </c>
      <c r="AT5028" t="s">
        <v>514</v>
      </c>
    </row>
    <row r="5029" spans="2:46" x14ac:dyDescent="0.35">
      <c r="B5029" t="s">
        <v>565</v>
      </c>
      <c r="C5029">
        <v>45907</v>
      </c>
      <c r="J5029">
        <v>0</v>
      </c>
      <c r="O5029" t="s">
        <v>239</v>
      </c>
      <c r="P5029" t="s">
        <v>514</v>
      </c>
      <c r="U5029">
        <v>-69</v>
      </c>
      <c r="Y5029">
        <v>615</v>
      </c>
      <c r="Z5029" s="259" t="s">
        <v>637</v>
      </c>
      <c r="AB5029">
        <v>29129</v>
      </c>
      <c r="AF5029">
        <v>78819.5</v>
      </c>
      <c r="AG5029">
        <v>300</v>
      </c>
      <c r="AI5029">
        <v>78819.5</v>
      </c>
      <c r="AJ5029">
        <v>0</v>
      </c>
      <c r="AK5029">
        <v>0</v>
      </c>
      <c r="AL5029">
        <v>0</v>
      </c>
      <c r="AM5029">
        <v>50802</v>
      </c>
      <c r="AN5029">
        <v>27717.5</v>
      </c>
      <c r="AO5029">
        <v>78819.5</v>
      </c>
      <c r="AP5029">
        <v>0</v>
      </c>
      <c r="AQ5029">
        <v>0</v>
      </c>
      <c r="AR5029">
        <v>0</v>
      </c>
      <c r="AS5029" t="s">
        <v>239</v>
      </c>
      <c r="AT5029" t="s">
        <v>514</v>
      </c>
    </row>
    <row r="5030" spans="2:46" x14ac:dyDescent="0.35">
      <c r="B5030" t="s">
        <v>565</v>
      </c>
      <c r="C5030">
        <v>45908</v>
      </c>
      <c r="J5030">
        <v>0</v>
      </c>
      <c r="O5030" t="s">
        <v>239</v>
      </c>
      <c r="P5030" t="s">
        <v>514</v>
      </c>
      <c r="U5030">
        <v>-69</v>
      </c>
      <c r="Y5030">
        <v>616</v>
      </c>
      <c r="Z5030" s="259" t="s">
        <v>637</v>
      </c>
      <c r="AB5030">
        <v>29129</v>
      </c>
      <c r="AF5030">
        <v>78757.5</v>
      </c>
      <c r="AG5030">
        <v>300</v>
      </c>
      <c r="AI5030">
        <v>78819.5</v>
      </c>
      <c r="AJ5030">
        <v>0</v>
      </c>
      <c r="AK5030">
        <v>0</v>
      </c>
      <c r="AL5030">
        <v>0</v>
      </c>
      <c r="AM5030">
        <v>50802</v>
      </c>
      <c r="AN5030">
        <v>27655.5</v>
      </c>
      <c r="AO5030">
        <v>78757.5</v>
      </c>
      <c r="AP5030">
        <v>0</v>
      </c>
      <c r="AQ5030">
        <v>-62</v>
      </c>
      <c r="AR5030">
        <v>-7.8660737507851852E-4</v>
      </c>
      <c r="AS5030" t="s">
        <v>239</v>
      </c>
      <c r="AT5030" t="s">
        <v>514</v>
      </c>
    </row>
    <row r="5031" spans="2:46" x14ac:dyDescent="0.35">
      <c r="B5031" t="s">
        <v>565</v>
      </c>
      <c r="C5031">
        <v>45909</v>
      </c>
      <c r="J5031">
        <v>0</v>
      </c>
      <c r="O5031" t="s">
        <v>239</v>
      </c>
      <c r="P5031" t="s">
        <v>514</v>
      </c>
      <c r="U5031">
        <v>-69</v>
      </c>
      <c r="Y5031">
        <v>617</v>
      </c>
      <c r="Z5031" s="259" t="s">
        <v>637</v>
      </c>
      <c r="AB5031">
        <v>29129</v>
      </c>
      <c r="AF5031">
        <v>78737</v>
      </c>
      <c r="AG5031">
        <v>300</v>
      </c>
      <c r="AI5031">
        <v>78757.5</v>
      </c>
      <c r="AJ5031">
        <v>0</v>
      </c>
      <c r="AK5031">
        <v>0</v>
      </c>
      <c r="AL5031">
        <v>0</v>
      </c>
      <c r="AM5031">
        <v>50802</v>
      </c>
      <c r="AN5031">
        <v>27635</v>
      </c>
      <c r="AO5031">
        <v>78737</v>
      </c>
      <c r="AP5031">
        <v>0</v>
      </c>
      <c r="AQ5031">
        <v>-20.5</v>
      </c>
      <c r="AR5031">
        <v>-2.6029267053928606E-4</v>
      </c>
      <c r="AS5031" t="s">
        <v>239</v>
      </c>
      <c r="AT5031" t="s">
        <v>514</v>
      </c>
    </row>
    <row r="5032" spans="2:46" x14ac:dyDescent="0.35">
      <c r="B5032" t="s">
        <v>565</v>
      </c>
      <c r="C5032">
        <v>45910</v>
      </c>
      <c r="J5032">
        <v>0</v>
      </c>
      <c r="O5032" t="s">
        <v>239</v>
      </c>
      <c r="P5032" t="s">
        <v>514</v>
      </c>
      <c r="U5032">
        <v>-69</v>
      </c>
      <c r="Y5032">
        <v>618</v>
      </c>
      <c r="Z5032" s="259" t="s">
        <v>637</v>
      </c>
      <c r="AB5032">
        <v>29129</v>
      </c>
      <c r="AF5032">
        <v>78716</v>
      </c>
      <c r="AG5032">
        <v>300</v>
      </c>
      <c r="AI5032">
        <v>78737</v>
      </c>
      <c r="AJ5032">
        <v>0</v>
      </c>
      <c r="AK5032">
        <v>0</v>
      </c>
      <c r="AL5032">
        <v>0</v>
      </c>
      <c r="AM5032">
        <v>50802</v>
      </c>
      <c r="AN5032">
        <v>27614</v>
      </c>
      <c r="AO5032">
        <v>78716</v>
      </c>
      <c r="AP5032">
        <v>0</v>
      </c>
      <c r="AQ5032">
        <v>-21</v>
      </c>
      <c r="AR5032">
        <v>-2.6671069509887069E-4</v>
      </c>
      <c r="AS5032" t="s">
        <v>239</v>
      </c>
      <c r="AT5032" t="s">
        <v>514</v>
      </c>
    </row>
    <row r="5033" spans="2:46" x14ac:dyDescent="0.35">
      <c r="B5033" t="s">
        <v>565</v>
      </c>
      <c r="C5033">
        <v>45911</v>
      </c>
      <c r="J5033">
        <v>0</v>
      </c>
      <c r="O5033" t="s">
        <v>239</v>
      </c>
      <c r="P5033" t="s">
        <v>514</v>
      </c>
      <c r="U5033">
        <v>-69</v>
      </c>
      <c r="Y5033">
        <v>619</v>
      </c>
      <c r="Z5033" s="259" t="s">
        <v>637</v>
      </c>
      <c r="AB5033">
        <v>29129</v>
      </c>
      <c r="AF5033">
        <v>78695</v>
      </c>
      <c r="AG5033">
        <v>300</v>
      </c>
      <c r="AI5033">
        <v>78716</v>
      </c>
      <c r="AJ5033">
        <v>0</v>
      </c>
      <c r="AK5033">
        <v>0</v>
      </c>
      <c r="AL5033">
        <v>0</v>
      </c>
      <c r="AM5033">
        <v>50802</v>
      </c>
      <c r="AN5033">
        <v>27593</v>
      </c>
      <c r="AO5033">
        <v>78695</v>
      </c>
      <c r="AP5033">
        <v>0</v>
      </c>
      <c r="AQ5033">
        <v>-21</v>
      </c>
      <c r="AR5033">
        <v>-2.6678184867112709E-4</v>
      </c>
      <c r="AS5033" t="s">
        <v>239</v>
      </c>
      <c r="AT5033" t="s">
        <v>514</v>
      </c>
    </row>
    <row r="5034" spans="2:46" x14ac:dyDescent="0.35">
      <c r="B5034" t="s">
        <v>565</v>
      </c>
      <c r="C5034">
        <v>45912</v>
      </c>
      <c r="J5034">
        <v>0</v>
      </c>
      <c r="O5034" t="s">
        <v>239</v>
      </c>
      <c r="P5034" t="s">
        <v>514</v>
      </c>
      <c r="U5034">
        <v>-69</v>
      </c>
      <c r="Y5034">
        <v>620</v>
      </c>
      <c r="Z5034" s="259" t="s">
        <v>637</v>
      </c>
      <c r="AB5034">
        <v>29129</v>
      </c>
      <c r="AF5034">
        <v>78675</v>
      </c>
      <c r="AG5034">
        <v>300</v>
      </c>
      <c r="AI5034">
        <v>78695</v>
      </c>
      <c r="AJ5034">
        <v>0</v>
      </c>
      <c r="AK5034">
        <v>0</v>
      </c>
      <c r="AL5034">
        <v>0</v>
      </c>
      <c r="AM5034">
        <v>50802</v>
      </c>
      <c r="AN5034">
        <v>27573</v>
      </c>
      <c r="AO5034">
        <v>78675</v>
      </c>
      <c r="AP5034">
        <v>0</v>
      </c>
      <c r="AQ5034">
        <v>-20</v>
      </c>
      <c r="AR5034">
        <v>-2.5414575258908556E-4</v>
      </c>
      <c r="AS5034" t="s">
        <v>239</v>
      </c>
      <c r="AT5034" t="s">
        <v>514</v>
      </c>
    </row>
    <row r="5035" spans="2:46" x14ac:dyDescent="0.35">
      <c r="B5035" t="s">
        <v>565</v>
      </c>
      <c r="C5035">
        <v>45913</v>
      </c>
      <c r="J5035">
        <v>0</v>
      </c>
      <c r="O5035" t="s">
        <v>239</v>
      </c>
      <c r="P5035" t="s">
        <v>514</v>
      </c>
      <c r="U5035">
        <v>-69</v>
      </c>
      <c r="Y5035">
        <v>621</v>
      </c>
      <c r="Z5035" s="259" t="s">
        <v>637</v>
      </c>
      <c r="AB5035">
        <v>29129</v>
      </c>
      <c r="AF5035">
        <v>78675</v>
      </c>
      <c r="AG5035">
        <v>300</v>
      </c>
      <c r="AI5035">
        <v>78675</v>
      </c>
      <c r="AJ5035">
        <v>0</v>
      </c>
      <c r="AK5035">
        <v>0</v>
      </c>
      <c r="AL5035">
        <v>0</v>
      </c>
      <c r="AM5035">
        <v>50802</v>
      </c>
      <c r="AN5035">
        <v>27573</v>
      </c>
      <c r="AO5035">
        <v>78675</v>
      </c>
      <c r="AP5035">
        <v>0</v>
      </c>
      <c r="AQ5035">
        <v>0</v>
      </c>
      <c r="AR5035">
        <v>0</v>
      </c>
      <c r="AS5035" t="s">
        <v>239</v>
      </c>
      <c r="AT5035" t="s">
        <v>514</v>
      </c>
    </row>
    <row r="5036" spans="2:46" x14ac:dyDescent="0.35">
      <c r="B5036" t="s">
        <v>565</v>
      </c>
      <c r="C5036">
        <v>45914</v>
      </c>
      <c r="J5036">
        <v>0</v>
      </c>
      <c r="O5036" t="s">
        <v>239</v>
      </c>
      <c r="P5036" t="s">
        <v>514</v>
      </c>
      <c r="U5036">
        <v>-69</v>
      </c>
      <c r="Y5036">
        <v>622</v>
      </c>
      <c r="Z5036" s="259" t="s">
        <v>637</v>
      </c>
      <c r="AB5036">
        <v>29129</v>
      </c>
      <c r="AF5036">
        <v>78675</v>
      </c>
      <c r="AG5036">
        <v>300</v>
      </c>
      <c r="AI5036">
        <v>78675</v>
      </c>
      <c r="AJ5036">
        <v>0</v>
      </c>
      <c r="AK5036">
        <v>0</v>
      </c>
      <c r="AL5036">
        <v>0</v>
      </c>
      <c r="AM5036">
        <v>50802</v>
      </c>
      <c r="AN5036">
        <v>27573</v>
      </c>
      <c r="AO5036">
        <v>78675</v>
      </c>
      <c r="AP5036">
        <v>0</v>
      </c>
      <c r="AQ5036">
        <v>0</v>
      </c>
      <c r="AR5036">
        <v>0</v>
      </c>
      <c r="AS5036" t="s">
        <v>239</v>
      </c>
      <c r="AT5036" t="s">
        <v>514</v>
      </c>
    </row>
    <row r="5037" spans="2:46" x14ac:dyDescent="0.35">
      <c r="B5037" t="s">
        <v>565</v>
      </c>
      <c r="C5037">
        <v>45915</v>
      </c>
      <c r="J5037">
        <v>0</v>
      </c>
      <c r="O5037" t="s">
        <v>239</v>
      </c>
      <c r="P5037" t="s">
        <v>514</v>
      </c>
      <c r="U5037">
        <v>-69</v>
      </c>
      <c r="Y5037">
        <v>623</v>
      </c>
      <c r="Z5037" s="259" t="s">
        <v>637</v>
      </c>
      <c r="AB5037">
        <v>29129</v>
      </c>
      <c r="AF5037">
        <v>78612.5</v>
      </c>
      <c r="AG5037">
        <v>0</v>
      </c>
      <c r="AI5037">
        <v>78675</v>
      </c>
      <c r="AJ5037">
        <v>0</v>
      </c>
      <c r="AK5037">
        <v>0</v>
      </c>
      <c r="AL5037">
        <v>0</v>
      </c>
      <c r="AM5037">
        <v>51102</v>
      </c>
      <c r="AN5037">
        <v>27510.5</v>
      </c>
      <c r="AO5037">
        <v>78612.5</v>
      </c>
      <c r="AP5037">
        <v>0</v>
      </c>
      <c r="AQ5037">
        <v>-62.5</v>
      </c>
      <c r="AR5037">
        <v>-7.9440737210045853E-4</v>
      </c>
      <c r="AS5037" t="s">
        <v>239</v>
      </c>
      <c r="AT5037" t="s">
        <v>514</v>
      </c>
    </row>
    <row r="5038" spans="2:46" x14ac:dyDescent="0.35">
      <c r="B5038" t="s">
        <v>565</v>
      </c>
      <c r="C5038">
        <v>45916</v>
      </c>
      <c r="J5038">
        <v>0</v>
      </c>
      <c r="O5038" t="s">
        <v>239</v>
      </c>
      <c r="P5038" t="s">
        <v>514</v>
      </c>
      <c r="U5038">
        <v>-69</v>
      </c>
      <c r="Y5038">
        <v>624</v>
      </c>
      <c r="Z5038" s="259" t="s">
        <v>637</v>
      </c>
      <c r="AB5038">
        <v>29129</v>
      </c>
      <c r="AF5038">
        <v>78591.5</v>
      </c>
      <c r="AG5038">
        <v>0</v>
      </c>
      <c r="AI5038">
        <v>78612.5</v>
      </c>
      <c r="AJ5038">
        <v>0</v>
      </c>
      <c r="AK5038">
        <v>0</v>
      </c>
      <c r="AL5038">
        <v>0</v>
      </c>
      <c r="AM5038">
        <v>51102</v>
      </c>
      <c r="AN5038">
        <v>27489.5</v>
      </c>
      <c r="AO5038">
        <v>78591.5</v>
      </c>
      <c r="AP5038">
        <v>0</v>
      </c>
      <c r="AQ5038">
        <v>-21</v>
      </c>
      <c r="AR5038">
        <v>-2.6713308952142079E-4</v>
      </c>
      <c r="AS5038" t="s">
        <v>239</v>
      </c>
      <c r="AT5038" t="s">
        <v>514</v>
      </c>
    </row>
    <row r="5039" spans="2:46" x14ac:dyDescent="0.35">
      <c r="B5039" t="s">
        <v>565</v>
      </c>
      <c r="C5039">
        <v>45917</v>
      </c>
      <c r="J5039">
        <v>0</v>
      </c>
      <c r="O5039" t="s">
        <v>239</v>
      </c>
      <c r="P5039" t="s">
        <v>514</v>
      </c>
      <c r="U5039">
        <v>-69</v>
      </c>
      <c r="Y5039">
        <v>625</v>
      </c>
      <c r="Z5039" s="259" t="s">
        <v>637</v>
      </c>
      <c r="AB5039">
        <v>29129</v>
      </c>
      <c r="AF5039">
        <v>78570.5</v>
      </c>
      <c r="AG5039">
        <v>0</v>
      </c>
      <c r="AI5039">
        <v>78591.5</v>
      </c>
      <c r="AJ5039">
        <v>0</v>
      </c>
      <c r="AK5039">
        <v>0</v>
      </c>
      <c r="AL5039">
        <v>0</v>
      </c>
      <c r="AM5039">
        <v>51102</v>
      </c>
      <c r="AN5039">
        <v>27468.5</v>
      </c>
      <c r="AO5039">
        <v>78570.5</v>
      </c>
      <c r="AP5039">
        <v>0</v>
      </c>
      <c r="AQ5039">
        <v>-21</v>
      </c>
      <c r="AR5039">
        <v>-2.6720446867667391E-4</v>
      </c>
      <c r="AS5039" t="s">
        <v>239</v>
      </c>
      <c r="AT5039" t="s">
        <v>514</v>
      </c>
    </row>
    <row r="5040" spans="2:46" x14ac:dyDescent="0.35">
      <c r="B5040" t="s">
        <v>565</v>
      </c>
      <c r="C5040">
        <v>45918</v>
      </c>
      <c r="J5040">
        <v>0</v>
      </c>
      <c r="O5040" t="s">
        <v>239</v>
      </c>
      <c r="P5040" t="s">
        <v>514</v>
      </c>
      <c r="U5040">
        <v>-69</v>
      </c>
      <c r="Y5040">
        <v>626</v>
      </c>
      <c r="Z5040" s="259" t="s">
        <v>637</v>
      </c>
      <c r="AB5040">
        <v>29129</v>
      </c>
      <c r="AF5040">
        <v>78550</v>
      </c>
      <c r="AG5040">
        <v>0</v>
      </c>
      <c r="AI5040">
        <v>78570.5</v>
      </c>
      <c r="AJ5040">
        <v>0</v>
      </c>
      <c r="AK5040">
        <v>0</v>
      </c>
      <c r="AL5040">
        <v>0</v>
      </c>
      <c r="AM5040">
        <v>51102</v>
      </c>
      <c r="AN5040">
        <v>27448</v>
      </c>
      <c r="AO5040">
        <v>78550</v>
      </c>
      <c r="AP5040">
        <v>0</v>
      </c>
      <c r="AQ5040">
        <v>-20.5</v>
      </c>
      <c r="AR5040">
        <v>-2.6091217441659431E-4</v>
      </c>
      <c r="AS5040" t="s">
        <v>239</v>
      </c>
      <c r="AT5040" t="s">
        <v>514</v>
      </c>
    </row>
    <row r="5041" spans="2:46" x14ac:dyDescent="0.35">
      <c r="B5041" t="s">
        <v>565</v>
      </c>
      <c r="C5041">
        <v>45919</v>
      </c>
      <c r="J5041">
        <v>0</v>
      </c>
      <c r="O5041" t="s">
        <v>239</v>
      </c>
      <c r="P5041" t="s">
        <v>514</v>
      </c>
      <c r="U5041">
        <v>-69</v>
      </c>
      <c r="Y5041">
        <v>627</v>
      </c>
      <c r="Z5041" s="259" t="s">
        <v>637</v>
      </c>
      <c r="AB5041">
        <v>29129</v>
      </c>
      <c r="AF5041">
        <v>78529</v>
      </c>
      <c r="AG5041">
        <v>0</v>
      </c>
      <c r="AI5041">
        <v>78550</v>
      </c>
      <c r="AJ5041">
        <v>0</v>
      </c>
      <c r="AK5041">
        <v>0</v>
      </c>
      <c r="AL5041">
        <v>0</v>
      </c>
      <c r="AM5041">
        <v>51102</v>
      </c>
      <c r="AN5041">
        <v>27427</v>
      </c>
      <c r="AO5041">
        <v>78529</v>
      </c>
      <c r="AP5041">
        <v>0</v>
      </c>
      <c r="AQ5041">
        <v>-21</v>
      </c>
      <c r="AR5041">
        <v>-2.673456397199736E-4</v>
      </c>
      <c r="AS5041" t="s">
        <v>239</v>
      </c>
      <c r="AT5041" t="s">
        <v>514</v>
      </c>
    </row>
    <row r="5042" spans="2:46" x14ac:dyDescent="0.35">
      <c r="B5042" t="s">
        <v>565</v>
      </c>
      <c r="C5042">
        <v>45920</v>
      </c>
      <c r="J5042">
        <v>0</v>
      </c>
      <c r="O5042" t="s">
        <v>239</v>
      </c>
      <c r="P5042" t="s">
        <v>514</v>
      </c>
      <c r="U5042">
        <v>-69</v>
      </c>
      <c r="Y5042">
        <v>628</v>
      </c>
      <c r="Z5042" s="259" t="s">
        <v>637</v>
      </c>
      <c r="AB5042">
        <v>29129</v>
      </c>
      <c r="AF5042">
        <v>78529</v>
      </c>
      <c r="AG5042">
        <v>0</v>
      </c>
      <c r="AI5042">
        <v>78529</v>
      </c>
      <c r="AJ5042">
        <v>0</v>
      </c>
      <c r="AK5042">
        <v>0</v>
      </c>
      <c r="AL5042">
        <v>0</v>
      </c>
      <c r="AM5042">
        <v>51102</v>
      </c>
      <c r="AN5042">
        <v>27427</v>
      </c>
      <c r="AO5042">
        <v>78529</v>
      </c>
      <c r="AP5042">
        <v>0</v>
      </c>
      <c r="AQ5042">
        <v>0</v>
      </c>
      <c r="AR5042">
        <v>0</v>
      </c>
      <c r="AS5042" t="s">
        <v>239</v>
      </c>
      <c r="AT5042" t="s">
        <v>514</v>
      </c>
    </row>
    <row r="5043" spans="2:46" x14ac:dyDescent="0.35">
      <c r="B5043" t="s">
        <v>565</v>
      </c>
      <c r="C5043">
        <v>45921</v>
      </c>
      <c r="J5043">
        <v>0</v>
      </c>
      <c r="O5043" t="s">
        <v>239</v>
      </c>
      <c r="P5043" t="s">
        <v>514</v>
      </c>
      <c r="U5043">
        <v>-69</v>
      </c>
      <c r="Y5043">
        <v>629</v>
      </c>
      <c r="Z5043" s="259" t="s">
        <v>637</v>
      </c>
      <c r="AB5043">
        <v>29129</v>
      </c>
      <c r="AF5043">
        <v>78529</v>
      </c>
      <c r="AG5043">
        <v>0</v>
      </c>
      <c r="AI5043">
        <v>78529</v>
      </c>
      <c r="AJ5043">
        <v>0</v>
      </c>
      <c r="AK5043">
        <v>0</v>
      </c>
      <c r="AL5043">
        <v>0</v>
      </c>
      <c r="AM5043">
        <v>51102</v>
      </c>
      <c r="AN5043">
        <v>27427</v>
      </c>
      <c r="AO5043">
        <v>78529</v>
      </c>
      <c r="AP5043">
        <v>0</v>
      </c>
      <c r="AQ5043">
        <v>0</v>
      </c>
      <c r="AR5043">
        <v>0</v>
      </c>
      <c r="AS5043" t="s">
        <v>239</v>
      </c>
      <c r="AT5043" t="s">
        <v>514</v>
      </c>
    </row>
    <row r="5044" spans="2:46" x14ac:dyDescent="0.35">
      <c r="B5044" t="s">
        <v>565</v>
      </c>
      <c r="C5044">
        <v>45922</v>
      </c>
      <c r="J5044">
        <v>0</v>
      </c>
      <c r="O5044" t="s">
        <v>239</v>
      </c>
      <c r="P5044" t="s">
        <v>514</v>
      </c>
      <c r="U5044">
        <v>-69</v>
      </c>
      <c r="Y5044">
        <v>630</v>
      </c>
      <c r="Z5044" s="259" t="s">
        <v>637</v>
      </c>
      <c r="AB5044">
        <v>29129</v>
      </c>
      <c r="AF5044">
        <v>78467</v>
      </c>
      <c r="AG5044">
        <v>0</v>
      </c>
      <c r="AI5044">
        <v>78529</v>
      </c>
      <c r="AJ5044">
        <v>0</v>
      </c>
      <c r="AK5044">
        <v>0</v>
      </c>
      <c r="AL5044">
        <v>0</v>
      </c>
      <c r="AM5044">
        <v>51102</v>
      </c>
      <c r="AN5044">
        <v>27365</v>
      </c>
      <c r="AO5044">
        <v>78467</v>
      </c>
      <c r="AP5044">
        <v>0</v>
      </c>
      <c r="AQ5044">
        <v>-62</v>
      </c>
      <c r="AR5044">
        <v>-7.8951724840503612E-4</v>
      </c>
      <c r="AS5044" t="s">
        <v>239</v>
      </c>
      <c r="AT5044" t="s">
        <v>514</v>
      </c>
    </row>
    <row r="5045" spans="2:46" x14ac:dyDescent="0.35">
      <c r="B5045" t="s">
        <v>565</v>
      </c>
      <c r="C5045">
        <v>45923</v>
      </c>
      <c r="J5045">
        <v>0</v>
      </c>
      <c r="O5045" t="s">
        <v>239</v>
      </c>
      <c r="P5045" t="s">
        <v>514</v>
      </c>
      <c r="U5045">
        <v>-69</v>
      </c>
      <c r="Y5045">
        <v>631</v>
      </c>
      <c r="Z5045" s="259" t="s">
        <v>637</v>
      </c>
      <c r="AB5045">
        <v>29129</v>
      </c>
      <c r="AF5045">
        <v>78446.5</v>
      </c>
      <c r="AG5045">
        <v>0</v>
      </c>
      <c r="AI5045">
        <v>78467</v>
      </c>
      <c r="AJ5045">
        <v>0</v>
      </c>
      <c r="AK5045">
        <v>0</v>
      </c>
      <c r="AL5045">
        <v>0</v>
      </c>
      <c r="AM5045">
        <v>51102</v>
      </c>
      <c r="AN5045">
        <v>27344.5</v>
      </c>
      <c r="AO5045">
        <v>78446.5</v>
      </c>
      <c r="AP5045">
        <v>0</v>
      </c>
      <c r="AQ5045">
        <v>-20.5</v>
      </c>
      <c r="AR5045">
        <v>-2.6125632431472923E-4</v>
      </c>
      <c r="AS5045" t="s">
        <v>239</v>
      </c>
      <c r="AT5045" t="s">
        <v>514</v>
      </c>
    </row>
    <row r="5046" spans="2:46" x14ac:dyDescent="0.35">
      <c r="B5046" t="s">
        <v>565</v>
      </c>
      <c r="C5046">
        <v>45924</v>
      </c>
      <c r="J5046">
        <v>0</v>
      </c>
      <c r="O5046" t="s">
        <v>239</v>
      </c>
      <c r="P5046" t="s">
        <v>514</v>
      </c>
      <c r="U5046">
        <v>-69</v>
      </c>
      <c r="Y5046">
        <v>632</v>
      </c>
      <c r="Z5046" s="259" t="s">
        <v>637</v>
      </c>
      <c r="AB5046">
        <v>29129</v>
      </c>
      <c r="AF5046">
        <v>78426.5</v>
      </c>
      <c r="AG5046">
        <v>0</v>
      </c>
      <c r="AI5046">
        <v>78446.5</v>
      </c>
      <c r="AJ5046">
        <v>0</v>
      </c>
      <c r="AK5046">
        <v>0</v>
      </c>
      <c r="AL5046">
        <v>0</v>
      </c>
      <c r="AM5046">
        <v>51102</v>
      </c>
      <c r="AN5046">
        <v>27324.5</v>
      </c>
      <c r="AO5046">
        <v>78426.5</v>
      </c>
      <c r="AP5046">
        <v>0</v>
      </c>
      <c r="AQ5046">
        <v>-20</v>
      </c>
      <c r="AR5046">
        <v>-2.5495082635940136E-4</v>
      </c>
      <c r="AS5046" t="s">
        <v>239</v>
      </c>
      <c r="AT5046" t="s">
        <v>514</v>
      </c>
    </row>
    <row r="5047" spans="2:46" x14ac:dyDescent="0.35">
      <c r="B5047" t="s">
        <v>565</v>
      </c>
      <c r="C5047">
        <v>45925</v>
      </c>
      <c r="J5047">
        <v>0</v>
      </c>
      <c r="O5047" t="s">
        <v>239</v>
      </c>
      <c r="P5047" t="s">
        <v>514</v>
      </c>
      <c r="U5047">
        <v>-69</v>
      </c>
      <c r="Y5047">
        <v>633</v>
      </c>
      <c r="Z5047" s="259" t="s">
        <v>637</v>
      </c>
      <c r="AB5047">
        <v>29129</v>
      </c>
      <c r="AF5047">
        <v>78405.5</v>
      </c>
      <c r="AG5047">
        <v>0</v>
      </c>
      <c r="AI5047">
        <v>78426.5</v>
      </c>
      <c r="AJ5047">
        <v>0</v>
      </c>
      <c r="AK5047">
        <v>0</v>
      </c>
      <c r="AL5047">
        <v>0</v>
      </c>
      <c r="AM5047">
        <v>51102</v>
      </c>
      <c r="AN5047">
        <v>27303.5</v>
      </c>
      <c r="AO5047">
        <v>78405.5</v>
      </c>
      <c r="AP5047">
        <v>0</v>
      </c>
      <c r="AQ5047">
        <v>-21</v>
      </c>
      <c r="AR5047">
        <v>-2.6776663500216458E-4</v>
      </c>
      <c r="AS5047" t="s">
        <v>239</v>
      </c>
      <c r="AT5047" t="s">
        <v>514</v>
      </c>
    </row>
    <row r="5048" spans="2:46" x14ac:dyDescent="0.35">
      <c r="B5048" t="s">
        <v>565</v>
      </c>
      <c r="C5048">
        <v>45926</v>
      </c>
      <c r="J5048">
        <v>0</v>
      </c>
      <c r="O5048" t="s">
        <v>239</v>
      </c>
      <c r="P5048" t="s">
        <v>514</v>
      </c>
      <c r="U5048">
        <v>-69</v>
      </c>
      <c r="Y5048">
        <v>634</v>
      </c>
      <c r="Z5048" s="259" t="s">
        <v>637</v>
      </c>
      <c r="AB5048">
        <v>29129</v>
      </c>
      <c r="AF5048">
        <v>78384.5</v>
      </c>
      <c r="AG5048">
        <v>0</v>
      </c>
      <c r="AI5048">
        <v>78405.5</v>
      </c>
      <c r="AJ5048">
        <v>0</v>
      </c>
      <c r="AK5048">
        <v>0</v>
      </c>
      <c r="AL5048">
        <v>0</v>
      </c>
      <c r="AM5048">
        <v>51102</v>
      </c>
      <c r="AN5048">
        <v>27282.5</v>
      </c>
      <c r="AO5048">
        <v>78384.5</v>
      </c>
      <c r="AP5048">
        <v>0</v>
      </c>
      <c r="AQ5048">
        <v>-21</v>
      </c>
      <c r="AR5048">
        <v>-2.6783835317678584E-4</v>
      </c>
      <c r="AS5048" t="s">
        <v>239</v>
      </c>
      <c r="AT5048" t="s">
        <v>514</v>
      </c>
    </row>
    <row r="5049" spans="2:46" x14ac:dyDescent="0.35">
      <c r="B5049" t="s">
        <v>565</v>
      </c>
      <c r="C5049">
        <v>45927</v>
      </c>
      <c r="J5049">
        <v>0</v>
      </c>
      <c r="O5049" t="s">
        <v>239</v>
      </c>
      <c r="P5049" t="s">
        <v>514</v>
      </c>
      <c r="U5049">
        <v>-69</v>
      </c>
      <c r="Y5049">
        <v>635</v>
      </c>
      <c r="Z5049" s="259" t="s">
        <v>637</v>
      </c>
      <c r="AB5049">
        <v>29129</v>
      </c>
      <c r="AF5049">
        <v>78384.5</v>
      </c>
      <c r="AG5049">
        <v>0</v>
      </c>
      <c r="AI5049">
        <v>78384.5</v>
      </c>
      <c r="AJ5049">
        <v>0</v>
      </c>
      <c r="AK5049">
        <v>0</v>
      </c>
      <c r="AL5049">
        <v>0</v>
      </c>
      <c r="AM5049">
        <v>51102</v>
      </c>
      <c r="AN5049">
        <v>27282.5</v>
      </c>
      <c r="AO5049">
        <v>78384.5</v>
      </c>
      <c r="AP5049">
        <v>0</v>
      </c>
      <c r="AQ5049">
        <v>0</v>
      </c>
      <c r="AR5049">
        <v>0</v>
      </c>
      <c r="AS5049" t="s">
        <v>239</v>
      </c>
      <c r="AT5049" t="s">
        <v>514</v>
      </c>
    </row>
    <row r="5050" spans="2:46" x14ac:dyDescent="0.35">
      <c r="B5050" t="s">
        <v>565</v>
      </c>
      <c r="C5050">
        <v>45928</v>
      </c>
      <c r="J5050">
        <v>0</v>
      </c>
      <c r="O5050" t="s">
        <v>239</v>
      </c>
      <c r="P5050" t="s">
        <v>514</v>
      </c>
      <c r="U5050">
        <v>-69</v>
      </c>
      <c r="Y5050">
        <v>636</v>
      </c>
      <c r="Z5050" s="259" t="s">
        <v>637</v>
      </c>
      <c r="AB5050">
        <v>29129</v>
      </c>
      <c r="AF5050">
        <v>78384.5</v>
      </c>
      <c r="AG5050">
        <v>0</v>
      </c>
      <c r="AI5050">
        <v>78384.5</v>
      </c>
      <c r="AJ5050">
        <v>0</v>
      </c>
      <c r="AK5050">
        <v>0</v>
      </c>
      <c r="AL5050">
        <v>0</v>
      </c>
      <c r="AM5050">
        <v>51102</v>
      </c>
      <c r="AN5050">
        <v>27282.5</v>
      </c>
      <c r="AO5050">
        <v>78384.5</v>
      </c>
      <c r="AP5050">
        <v>0</v>
      </c>
      <c r="AQ5050">
        <v>0</v>
      </c>
      <c r="AR5050">
        <v>0</v>
      </c>
      <c r="AS5050" t="s">
        <v>239</v>
      </c>
      <c r="AT5050" t="s">
        <v>514</v>
      </c>
    </row>
    <row r="5051" spans="2:46" x14ac:dyDescent="0.35">
      <c r="B5051" t="s">
        <v>565</v>
      </c>
      <c r="C5051">
        <v>45929</v>
      </c>
      <c r="J5051">
        <v>0</v>
      </c>
      <c r="O5051" t="s">
        <v>239</v>
      </c>
      <c r="P5051" t="s">
        <v>514</v>
      </c>
      <c r="U5051">
        <v>-69</v>
      </c>
      <c r="Y5051">
        <v>637</v>
      </c>
      <c r="Z5051" s="259" t="s">
        <v>637</v>
      </c>
      <c r="AB5051">
        <v>29129</v>
      </c>
      <c r="AF5051">
        <v>78323</v>
      </c>
      <c r="AG5051">
        <v>0</v>
      </c>
      <c r="AI5051">
        <v>78384.5</v>
      </c>
      <c r="AJ5051">
        <v>0</v>
      </c>
      <c r="AK5051">
        <v>0</v>
      </c>
      <c r="AL5051">
        <v>0</v>
      </c>
      <c r="AM5051">
        <v>51102</v>
      </c>
      <c r="AN5051">
        <v>27221</v>
      </c>
      <c r="AO5051">
        <v>78323</v>
      </c>
      <c r="AP5051">
        <v>0</v>
      </c>
      <c r="AQ5051">
        <v>-61.5</v>
      </c>
      <c r="AR5051">
        <v>-7.8459389292528936E-4</v>
      </c>
      <c r="AS5051" t="s">
        <v>239</v>
      </c>
      <c r="AT5051" t="s">
        <v>514</v>
      </c>
    </row>
    <row r="5052" spans="2:46" x14ac:dyDescent="0.35">
      <c r="B5052" t="s">
        <v>565</v>
      </c>
      <c r="C5052">
        <v>45930</v>
      </c>
      <c r="J5052">
        <v>0</v>
      </c>
      <c r="O5052" t="s">
        <v>239</v>
      </c>
      <c r="P5052" t="s">
        <v>514</v>
      </c>
      <c r="U5052">
        <v>-69</v>
      </c>
      <c r="Y5052">
        <v>638</v>
      </c>
      <c r="Z5052" s="259" t="s">
        <v>637</v>
      </c>
      <c r="AB5052">
        <v>29129</v>
      </c>
      <c r="AF5052">
        <v>78302</v>
      </c>
      <c r="AG5052">
        <v>0</v>
      </c>
      <c r="AI5052">
        <v>78323</v>
      </c>
      <c r="AJ5052">
        <v>0</v>
      </c>
      <c r="AK5052">
        <v>0</v>
      </c>
      <c r="AL5052">
        <v>0</v>
      </c>
      <c r="AM5052">
        <v>51102</v>
      </c>
      <c r="AN5052">
        <v>27200</v>
      </c>
      <c r="AO5052">
        <v>78302</v>
      </c>
      <c r="AP5052">
        <v>0</v>
      </c>
      <c r="AQ5052">
        <v>-21</v>
      </c>
      <c r="AR5052">
        <v>-2.6812047546698192E-4</v>
      </c>
      <c r="AS5052" t="s">
        <v>239</v>
      </c>
      <c r="AT5052" t="s">
        <v>514</v>
      </c>
    </row>
    <row r="5053" spans="2:46" x14ac:dyDescent="0.35">
      <c r="B5053" t="s">
        <v>565</v>
      </c>
      <c r="C5053">
        <v>45931</v>
      </c>
      <c r="J5053">
        <v>0</v>
      </c>
      <c r="O5053" t="s">
        <v>239</v>
      </c>
      <c r="P5053" t="s">
        <v>514</v>
      </c>
      <c r="U5053">
        <v>-69</v>
      </c>
      <c r="Y5053">
        <v>639</v>
      </c>
      <c r="Z5053" s="259" t="s">
        <v>637</v>
      </c>
      <c r="AB5053">
        <v>29129</v>
      </c>
      <c r="AF5053">
        <v>78302</v>
      </c>
      <c r="AG5053">
        <v>0</v>
      </c>
      <c r="AI5053">
        <v>78302</v>
      </c>
      <c r="AJ5053">
        <v>0</v>
      </c>
      <c r="AK5053">
        <v>0</v>
      </c>
      <c r="AL5053">
        <v>0</v>
      </c>
      <c r="AM5053">
        <v>51102</v>
      </c>
      <c r="AN5053">
        <v>27200</v>
      </c>
      <c r="AO5053">
        <v>78302</v>
      </c>
      <c r="AP5053">
        <v>0</v>
      </c>
      <c r="AQ5053">
        <v>0</v>
      </c>
      <c r="AR5053">
        <v>0</v>
      </c>
      <c r="AS5053" t="s">
        <v>239</v>
      </c>
      <c r="AT5053" t="s">
        <v>514</v>
      </c>
    </row>
    <row r="5054" spans="2:46" x14ac:dyDescent="0.35">
      <c r="B5054" t="s">
        <v>565</v>
      </c>
      <c r="C5054">
        <v>45932</v>
      </c>
      <c r="J5054">
        <v>0</v>
      </c>
      <c r="O5054" t="s">
        <v>239</v>
      </c>
      <c r="P5054" t="s">
        <v>514</v>
      </c>
      <c r="U5054">
        <v>-69</v>
      </c>
      <c r="Y5054">
        <v>640</v>
      </c>
      <c r="Z5054" s="259" t="s">
        <v>637</v>
      </c>
      <c r="AB5054">
        <v>29129</v>
      </c>
      <c r="AF5054">
        <v>78296.5</v>
      </c>
      <c r="AG5054">
        <v>0</v>
      </c>
      <c r="AI5054">
        <v>78302</v>
      </c>
      <c r="AJ5054">
        <v>0</v>
      </c>
      <c r="AK5054">
        <v>0</v>
      </c>
      <c r="AL5054">
        <v>0</v>
      </c>
      <c r="AM5054">
        <v>51102</v>
      </c>
      <c r="AN5054">
        <v>27194.5</v>
      </c>
      <c r="AO5054">
        <v>78296.5</v>
      </c>
      <c r="AP5054">
        <v>0</v>
      </c>
      <c r="AQ5054">
        <v>-5.5</v>
      </c>
      <c r="AR5054">
        <v>-7.0240862302339835E-5</v>
      </c>
      <c r="AS5054" t="s">
        <v>239</v>
      </c>
      <c r="AT5054" t="s">
        <v>514</v>
      </c>
    </row>
    <row r="5055" spans="2:46" x14ac:dyDescent="0.35">
      <c r="B5055" t="s">
        <v>565</v>
      </c>
      <c r="C5055">
        <v>45933</v>
      </c>
      <c r="J5055">
        <v>0</v>
      </c>
      <c r="O5055" t="s">
        <v>239</v>
      </c>
      <c r="P5055" t="s">
        <v>514</v>
      </c>
      <c r="U5055">
        <v>-69</v>
      </c>
      <c r="Y5055">
        <v>641</v>
      </c>
      <c r="Z5055" s="259" t="s">
        <v>637</v>
      </c>
      <c r="AB5055">
        <v>29129</v>
      </c>
      <c r="AF5055">
        <v>78292.5</v>
      </c>
      <c r="AG5055">
        <v>0</v>
      </c>
      <c r="AI5055">
        <v>78296.5</v>
      </c>
      <c r="AJ5055">
        <v>0</v>
      </c>
      <c r="AK5055">
        <v>0</v>
      </c>
      <c r="AL5055">
        <v>0</v>
      </c>
      <c r="AM5055">
        <v>51102</v>
      </c>
      <c r="AN5055">
        <v>27190.5</v>
      </c>
      <c r="AO5055">
        <v>78292.5</v>
      </c>
      <c r="AP5055">
        <v>0</v>
      </c>
      <c r="AQ5055">
        <v>-4</v>
      </c>
      <c r="AR5055">
        <v>-5.1087851947406726E-5</v>
      </c>
      <c r="AS5055" t="s">
        <v>239</v>
      </c>
      <c r="AT5055" t="s">
        <v>514</v>
      </c>
    </row>
    <row r="5056" spans="2:46" x14ac:dyDescent="0.35">
      <c r="B5056" t="s">
        <v>565</v>
      </c>
      <c r="C5056">
        <v>45934</v>
      </c>
      <c r="J5056">
        <v>0</v>
      </c>
      <c r="O5056" t="s">
        <v>239</v>
      </c>
      <c r="P5056" t="s">
        <v>514</v>
      </c>
      <c r="U5056">
        <v>-69</v>
      </c>
      <c r="Y5056">
        <v>642</v>
      </c>
      <c r="Z5056" s="259" t="s">
        <v>637</v>
      </c>
      <c r="AB5056">
        <v>29129</v>
      </c>
      <c r="AF5056">
        <v>78292.5</v>
      </c>
      <c r="AG5056">
        <v>0</v>
      </c>
      <c r="AI5056">
        <v>78292.5</v>
      </c>
      <c r="AJ5056">
        <v>0</v>
      </c>
      <c r="AK5056">
        <v>0</v>
      </c>
      <c r="AL5056">
        <v>0</v>
      </c>
      <c r="AM5056">
        <v>51102</v>
      </c>
      <c r="AN5056">
        <v>27190.5</v>
      </c>
      <c r="AO5056">
        <v>78292.5</v>
      </c>
      <c r="AP5056">
        <v>0</v>
      </c>
      <c r="AQ5056">
        <v>0</v>
      </c>
      <c r="AR5056">
        <v>0</v>
      </c>
      <c r="AS5056" t="s">
        <v>239</v>
      </c>
      <c r="AT5056" t="s">
        <v>514</v>
      </c>
    </row>
    <row r="5057" spans="2:46" x14ac:dyDescent="0.35">
      <c r="B5057" t="s">
        <v>565</v>
      </c>
      <c r="C5057">
        <v>45935</v>
      </c>
      <c r="J5057">
        <v>0</v>
      </c>
      <c r="O5057" t="s">
        <v>239</v>
      </c>
      <c r="P5057" t="s">
        <v>514</v>
      </c>
      <c r="U5057">
        <v>-69</v>
      </c>
      <c r="Y5057">
        <v>643</v>
      </c>
      <c r="Z5057" s="259" t="s">
        <v>637</v>
      </c>
      <c r="AB5057">
        <v>29129</v>
      </c>
      <c r="AF5057">
        <v>78292.5</v>
      </c>
      <c r="AG5057">
        <v>0</v>
      </c>
      <c r="AI5057">
        <v>78292.5</v>
      </c>
      <c r="AJ5057">
        <v>0</v>
      </c>
      <c r="AK5057">
        <v>0</v>
      </c>
      <c r="AL5057">
        <v>0</v>
      </c>
      <c r="AM5057">
        <v>51102</v>
      </c>
      <c r="AN5057">
        <v>27190.5</v>
      </c>
      <c r="AO5057">
        <v>78292.5</v>
      </c>
      <c r="AP5057">
        <v>0</v>
      </c>
      <c r="AQ5057">
        <v>0</v>
      </c>
      <c r="AR5057">
        <v>0</v>
      </c>
      <c r="AS5057" t="s">
        <v>239</v>
      </c>
      <c r="AT5057" t="s">
        <v>514</v>
      </c>
    </row>
    <row r="5058" spans="2:46" x14ac:dyDescent="0.35">
      <c r="B5058" t="s">
        <v>565</v>
      </c>
      <c r="C5058">
        <v>45936</v>
      </c>
      <c r="J5058">
        <v>0</v>
      </c>
      <c r="O5058" t="s">
        <v>239</v>
      </c>
      <c r="P5058" t="s">
        <v>514</v>
      </c>
      <c r="U5058">
        <v>-69</v>
      </c>
      <c r="Y5058">
        <v>644</v>
      </c>
      <c r="Z5058" s="259" t="s">
        <v>637</v>
      </c>
      <c r="AB5058">
        <v>29129</v>
      </c>
      <c r="AF5058">
        <v>78277.5</v>
      </c>
      <c r="AG5058">
        <v>0</v>
      </c>
      <c r="AI5058">
        <v>78292.5</v>
      </c>
      <c r="AJ5058">
        <v>0</v>
      </c>
      <c r="AK5058">
        <v>0</v>
      </c>
      <c r="AL5058">
        <v>0</v>
      </c>
      <c r="AM5058">
        <v>51102</v>
      </c>
      <c r="AN5058">
        <v>27175.5</v>
      </c>
      <c r="AO5058">
        <v>78277.5</v>
      </c>
      <c r="AP5058">
        <v>0</v>
      </c>
      <c r="AQ5058">
        <v>-15</v>
      </c>
      <c r="AR5058">
        <v>-1.9158923268514094E-4</v>
      </c>
      <c r="AS5058" t="s">
        <v>239</v>
      </c>
      <c r="AT5058" t="s">
        <v>514</v>
      </c>
    </row>
    <row r="5059" spans="2:46" x14ac:dyDescent="0.35">
      <c r="B5059" t="s">
        <v>565</v>
      </c>
      <c r="C5059">
        <v>45937</v>
      </c>
      <c r="J5059">
        <v>0</v>
      </c>
      <c r="O5059" t="s">
        <v>239</v>
      </c>
      <c r="P5059" t="s">
        <v>514</v>
      </c>
      <c r="U5059">
        <v>-69</v>
      </c>
      <c r="Y5059">
        <v>645</v>
      </c>
      <c r="Z5059" s="259" t="s">
        <v>637</v>
      </c>
      <c r="AB5059">
        <v>29129</v>
      </c>
      <c r="AF5059">
        <v>78272</v>
      </c>
      <c r="AG5059">
        <v>0</v>
      </c>
      <c r="AI5059">
        <v>78277.5</v>
      </c>
      <c r="AJ5059">
        <v>0</v>
      </c>
      <c r="AK5059">
        <v>0</v>
      </c>
      <c r="AL5059">
        <v>0</v>
      </c>
      <c r="AM5059">
        <v>51102</v>
      </c>
      <c r="AN5059">
        <v>27170</v>
      </c>
      <c r="AO5059">
        <v>78272</v>
      </c>
      <c r="AP5059">
        <v>0</v>
      </c>
      <c r="AQ5059">
        <v>-5.5</v>
      </c>
      <c r="AR5059">
        <v>-7.0262846922797273E-5</v>
      </c>
      <c r="AS5059" t="s">
        <v>239</v>
      </c>
      <c r="AT5059" t="s">
        <v>514</v>
      </c>
    </row>
    <row r="5060" spans="2:46" x14ac:dyDescent="0.35">
      <c r="B5060" t="s">
        <v>565</v>
      </c>
      <c r="C5060">
        <v>45938</v>
      </c>
      <c r="J5060">
        <v>0</v>
      </c>
      <c r="O5060" t="s">
        <v>239</v>
      </c>
      <c r="P5060" t="s">
        <v>514</v>
      </c>
      <c r="U5060">
        <v>-69</v>
      </c>
      <c r="Y5060">
        <v>646</v>
      </c>
      <c r="Z5060" s="259" t="s">
        <v>637</v>
      </c>
      <c r="AB5060">
        <v>29129</v>
      </c>
      <c r="AF5060">
        <v>78266.5</v>
      </c>
      <c r="AG5060">
        <v>0</v>
      </c>
      <c r="AI5060">
        <v>78272</v>
      </c>
      <c r="AJ5060">
        <v>0</v>
      </c>
      <c r="AK5060">
        <v>0</v>
      </c>
      <c r="AL5060">
        <v>0</v>
      </c>
      <c r="AM5060">
        <v>51102</v>
      </c>
      <c r="AN5060">
        <v>27164.5</v>
      </c>
      <c r="AO5060">
        <v>78266.5</v>
      </c>
      <c r="AP5060">
        <v>0</v>
      </c>
      <c r="AQ5060">
        <v>-5.5</v>
      </c>
      <c r="AR5060">
        <v>-7.0267784137323375E-5</v>
      </c>
      <c r="AS5060" t="s">
        <v>239</v>
      </c>
      <c r="AT5060" t="s">
        <v>514</v>
      </c>
    </row>
    <row r="5061" spans="2:46" x14ac:dyDescent="0.35">
      <c r="B5061" t="s">
        <v>565</v>
      </c>
      <c r="C5061">
        <v>45939</v>
      </c>
      <c r="J5061">
        <v>0</v>
      </c>
      <c r="O5061" t="s">
        <v>239</v>
      </c>
      <c r="P5061" t="s">
        <v>514</v>
      </c>
      <c r="U5061">
        <v>-69</v>
      </c>
      <c r="Y5061">
        <v>647</v>
      </c>
      <c r="Z5061" s="259" t="s">
        <v>637</v>
      </c>
      <c r="AB5061">
        <v>29129</v>
      </c>
      <c r="AF5061">
        <v>78262.5</v>
      </c>
      <c r="AG5061">
        <v>0</v>
      </c>
      <c r="AI5061">
        <v>78266.5</v>
      </c>
      <c r="AJ5061">
        <v>0</v>
      </c>
      <c r="AK5061">
        <v>0</v>
      </c>
      <c r="AL5061">
        <v>0</v>
      </c>
      <c r="AM5061">
        <v>51102</v>
      </c>
      <c r="AN5061">
        <v>27160.5</v>
      </c>
      <c r="AO5061">
        <v>78262.5</v>
      </c>
      <c r="AP5061">
        <v>0</v>
      </c>
      <c r="AQ5061">
        <v>-4</v>
      </c>
      <c r="AR5061">
        <v>-5.1107434215102998E-5</v>
      </c>
      <c r="AS5061" t="s">
        <v>239</v>
      </c>
      <c r="AT5061" t="s">
        <v>514</v>
      </c>
    </row>
    <row r="5062" spans="2:46" x14ac:dyDescent="0.35">
      <c r="B5062" t="s">
        <v>565</v>
      </c>
      <c r="C5062">
        <v>45940</v>
      </c>
      <c r="J5062">
        <v>0</v>
      </c>
      <c r="O5062" t="s">
        <v>239</v>
      </c>
      <c r="P5062" t="s">
        <v>514</v>
      </c>
      <c r="U5062">
        <v>-69</v>
      </c>
      <c r="Y5062">
        <v>648</v>
      </c>
      <c r="Z5062" s="259" t="s">
        <v>637</v>
      </c>
      <c r="AB5062">
        <v>29129</v>
      </c>
      <c r="AF5062">
        <v>78257</v>
      </c>
      <c r="AG5062">
        <v>0</v>
      </c>
      <c r="AI5062">
        <v>78262.5</v>
      </c>
      <c r="AJ5062">
        <v>0</v>
      </c>
      <c r="AK5062">
        <v>0</v>
      </c>
      <c r="AL5062">
        <v>0</v>
      </c>
      <c r="AM5062">
        <v>51102</v>
      </c>
      <c r="AN5062">
        <v>27155</v>
      </c>
      <c r="AO5062">
        <v>78257</v>
      </c>
      <c r="AP5062">
        <v>0</v>
      </c>
      <c r="AQ5062">
        <v>-5.5</v>
      </c>
      <c r="AR5062">
        <v>-7.0276313687944736E-5</v>
      </c>
      <c r="AS5062" t="s">
        <v>239</v>
      </c>
      <c r="AT5062" t="s">
        <v>514</v>
      </c>
    </row>
    <row r="5063" spans="2:46" x14ac:dyDescent="0.35">
      <c r="B5063" t="s">
        <v>565</v>
      </c>
      <c r="C5063">
        <v>45941</v>
      </c>
      <c r="J5063">
        <v>0</v>
      </c>
      <c r="O5063" t="s">
        <v>239</v>
      </c>
      <c r="P5063" t="s">
        <v>514</v>
      </c>
      <c r="U5063">
        <v>-69</v>
      </c>
      <c r="Y5063">
        <v>649</v>
      </c>
      <c r="Z5063" s="259" t="s">
        <v>637</v>
      </c>
      <c r="AB5063">
        <v>29129</v>
      </c>
      <c r="AF5063">
        <v>78257</v>
      </c>
      <c r="AG5063">
        <v>0</v>
      </c>
      <c r="AI5063">
        <v>78257</v>
      </c>
      <c r="AJ5063">
        <v>0</v>
      </c>
      <c r="AK5063">
        <v>0</v>
      </c>
      <c r="AL5063">
        <v>0</v>
      </c>
      <c r="AM5063">
        <v>51102</v>
      </c>
      <c r="AN5063">
        <v>27155</v>
      </c>
      <c r="AO5063">
        <v>78257</v>
      </c>
      <c r="AP5063">
        <v>0</v>
      </c>
      <c r="AQ5063">
        <v>0</v>
      </c>
      <c r="AR5063">
        <v>0</v>
      </c>
      <c r="AS5063" t="s">
        <v>239</v>
      </c>
      <c r="AT5063" t="s">
        <v>514</v>
      </c>
    </row>
    <row r="5064" spans="2:46" x14ac:dyDescent="0.35">
      <c r="B5064" t="s">
        <v>565</v>
      </c>
      <c r="C5064">
        <v>45942</v>
      </c>
      <c r="J5064">
        <v>0</v>
      </c>
      <c r="O5064" t="s">
        <v>239</v>
      </c>
      <c r="P5064" t="s">
        <v>514</v>
      </c>
      <c r="U5064">
        <v>-69</v>
      </c>
      <c r="Y5064">
        <v>650</v>
      </c>
      <c r="Z5064" s="259" t="s">
        <v>637</v>
      </c>
      <c r="AB5064">
        <v>29129</v>
      </c>
      <c r="AF5064">
        <v>78257</v>
      </c>
      <c r="AG5064">
        <v>0</v>
      </c>
      <c r="AI5064">
        <v>78257</v>
      </c>
      <c r="AJ5064">
        <v>0</v>
      </c>
      <c r="AK5064">
        <v>0</v>
      </c>
      <c r="AL5064">
        <v>0</v>
      </c>
      <c r="AM5064">
        <v>51102</v>
      </c>
      <c r="AN5064">
        <v>27155</v>
      </c>
      <c r="AO5064">
        <v>78257</v>
      </c>
      <c r="AP5064">
        <v>0</v>
      </c>
      <c r="AQ5064">
        <v>0</v>
      </c>
      <c r="AR5064">
        <v>0</v>
      </c>
      <c r="AS5064" t="s">
        <v>239</v>
      </c>
      <c r="AT5064" t="s">
        <v>514</v>
      </c>
    </row>
    <row r="5065" spans="2:46" x14ac:dyDescent="0.35">
      <c r="B5065" t="s">
        <v>565</v>
      </c>
      <c r="C5065">
        <v>45943</v>
      </c>
      <c r="J5065">
        <v>0</v>
      </c>
      <c r="O5065" t="s">
        <v>239</v>
      </c>
      <c r="P5065" t="s">
        <v>514</v>
      </c>
      <c r="U5065">
        <v>-69</v>
      </c>
      <c r="Y5065">
        <v>651</v>
      </c>
      <c r="Z5065" s="259" t="s">
        <v>637</v>
      </c>
      <c r="AB5065">
        <v>29129</v>
      </c>
      <c r="AF5065">
        <v>78242</v>
      </c>
      <c r="AG5065">
        <v>0</v>
      </c>
      <c r="AI5065">
        <v>78257</v>
      </c>
      <c r="AJ5065">
        <v>0</v>
      </c>
      <c r="AK5065">
        <v>0</v>
      </c>
      <c r="AL5065">
        <v>0</v>
      </c>
      <c r="AM5065">
        <v>51102</v>
      </c>
      <c r="AN5065">
        <v>27140</v>
      </c>
      <c r="AO5065">
        <v>78242</v>
      </c>
      <c r="AP5065">
        <v>0</v>
      </c>
      <c r="AQ5065">
        <v>-15</v>
      </c>
      <c r="AR5065">
        <v>-1.91676143987074E-4</v>
      </c>
      <c r="AS5065" t="s">
        <v>239</v>
      </c>
      <c r="AT5065" t="s">
        <v>514</v>
      </c>
    </row>
    <row r="5066" spans="2:46" x14ac:dyDescent="0.35">
      <c r="B5066" t="s">
        <v>565</v>
      </c>
      <c r="C5066">
        <v>45944</v>
      </c>
      <c r="J5066">
        <v>0</v>
      </c>
      <c r="O5066" t="s">
        <v>239</v>
      </c>
      <c r="P5066" t="s">
        <v>514</v>
      </c>
      <c r="U5066">
        <v>-69</v>
      </c>
      <c r="Y5066">
        <v>652</v>
      </c>
      <c r="Z5066" s="259" t="s">
        <v>637</v>
      </c>
      <c r="AB5066">
        <v>29129</v>
      </c>
      <c r="AF5066">
        <v>78236.5</v>
      </c>
      <c r="AG5066">
        <v>0</v>
      </c>
      <c r="AI5066">
        <v>78242</v>
      </c>
      <c r="AJ5066">
        <v>0</v>
      </c>
      <c r="AK5066">
        <v>0</v>
      </c>
      <c r="AL5066">
        <v>0</v>
      </c>
      <c r="AM5066">
        <v>51102</v>
      </c>
      <c r="AN5066">
        <v>27134.5</v>
      </c>
      <c r="AO5066">
        <v>78236.5</v>
      </c>
      <c r="AP5066">
        <v>0</v>
      </c>
      <c r="AQ5066">
        <v>-5.5</v>
      </c>
      <c r="AR5066">
        <v>-7.0294726617459169E-5</v>
      </c>
      <c r="AS5066" t="s">
        <v>239</v>
      </c>
      <c r="AT5066" t="s">
        <v>514</v>
      </c>
    </row>
    <row r="5067" spans="2:46" x14ac:dyDescent="0.35">
      <c r="B5067" t="s">
        <v>565</v>
      </c>
      <c r="C5067">
        <v>45945</v>
      </c>
      <c r="J5067">
        <v>0</v>
      </c>
      <c r="O5067" t="s">
        <v>239</v>
      </c>
      <c r="P5067" t="s">
        <v>514</v>
      </c>
      <c r="U5067">
        <v>-69</v>
      </c>
      <c r="Y5067">
        <v>653</v>
      </c>
      <c r="Z5067" s="259" t="s">
        <v>637</v>
      </c>
      <c r="AB5067">
        <v>29129</v>
      </c>
      <c r="AF5067">
        <v>78232.5</v>
      </c>
      <c r="AG5067">
        <v>0</v>
      </c>
      <c r="AI5067">
        <v>78236.5</v>
      </c>
      <c r="AJ5067">
        <v>0</v>
      </c>
      <c r="AK5067">
        <v>0</v>
      </c>
      <c r="AL5067">
        <v>0</v>
      </c>
      <c r="AM5067">
        <v>51102</v>
      </c>
      <c r="AN5067">
        <v>27130.5</v>
      </c>
      <c r="AO5067">
        <v>78232.5</v>
      </c>
      <c r="AP5067">
        <v>0</v>
      </c>
      <c r="AQ5067">
        <v>-4</v>
      </c>
      <c r="AR5067">
        <v>-5.1127031500675102E-5</v>
      </c>
      <c r="AS5067" t="s">
        <v>239</v>
      </c>
      <c r="AT5067" t="s">
        <v>514</v>
      </c>
    </row>
    <row r="5068" spans="2:46" x14ac:dyDescent="0.35">
      <c r="B5068" t="s">
        <v>565</v>
      </c>
      <c r="C5068">
        <v>45946</v>
      </c>
      <c r="J5068">
        <v>0</v>
      </c>
      <c r="O5068" t="s">
        <v>239</v>
      </c>
      <c r="P5068" t="s">
        <v>514</v>
      </c>
      <c r="U5068">
        <v>-69</v>
      </c>
      <c r="Y5068">
        <v>654</v>
      </c>
      <c r="Z5068" s="259" t="s">
        <v>637</v>
      </c>
      <c r="AB5068">
        <v>29129</v>
      </c>
      <c r="AF5068">
        <v>78227</v>
      </c>
      <c r="AG5068">
        <v>0</v>
      </c>
      <c r="AI5068">
        <v>78232.5</v>
      </c>
      <c r="AJ5068">
        <v>0</v>
      </c>
      <c r="AK5068">
        <v>0</v>
      </c>
      <c r="AL5068">
        <v>0</v>
      </c>
      <c r="AM5068">
        <v>51102</v>
      </c>
      <c r="AN5068">
        <v>27125</v>
      </c>
      <c r="AO5068">
        <v>78227</v>
      </c>
      <c r="AP5068">
        <v>0</v>
      </c>
      <c r="AQ5068">
        <v>-5.5</v>
      </c>
      <c r="AR5068">
        <v>-7.0303262710513792E-5</v>
      </c>
      <c r="AS5068" t="s">
        <v>239</v>
      </c>
      <c r="AT5068" t="s">
        <v>514</v>
      </c>
    </row>
    <row r="5069" spans="2:46" x14ac:dyDescent="0.35">
      <c r="B5069" t="s">
        <v>565</v>
      </c>
      <c r="C5069">
        <v>45947</v>
      </c>
      <c r="J5069">
        <v>0</v>
      </c>
      <c r="O5069" t="s">
        <v>239</v>
      </c>
      <c r="P5069" t="s">
        <v>514</v>
      </c>
      <c r="U5069">
        <v>-69</v>
      </c>
      <c r="Y5069">
        <v>655</v>
      </c>
      <c r="Z5069" s="259" t="s">
        <v>637</v>
      </c>
      <c r="AB5069">
        <v>29129</v>
      </c>
      <c r="AF5069">
        <v>78221.5</v>
      </c>
      <c r="AG5069">
        <v>0</v>
      </c>
      <c r="AI5069">
        <v>78227</v>
      </c>
      <c r="AJ5069">
        <v>0</v>
      </c>
      <c r="AK5069">
        <v>0</v>
      </c>
      <c r="AL5069">
        <v>0</v>
      </c>
      <c r="AM5069">
        <v>51102</v>
      </c>
      <c r="AN5069">
        <v>27119.5</v>
      </c>
      <c r="AO5069">
        <v>78221.5</v>
      </c>
      <c r="AP5069">
        <v>0</v>
      </c>
      <c r="AQ5069">
        <v>-5.5</v>
      </c>
      <c r="AR5069">
        <v>-7.0308205606717245E-5</v>
      </c>
      <c r="AS5069" t="s">
        <v>239</v>
      </c>
      <c r="AT5069" t="s">
        <v>514</v>
      </c>
    </row>
    <row r="5070" spans="2:46" x14ac:dyDescent="0.35">
      <c r="B5070" t="s">
        <v>565</v>
      </c>
      <c r="C5070">
        <v>45948</v>
      </c>
      <c r="J5070">
        <v>0</v>
      </c>
      <c r="O5070" t="s">
        <v>239</v>
      </c>
      <c r="P5070" t="s">
        <v>514</v>
      </c>
      <c r="U5070">
        <v>-69</v>
      </c>
      <c r="Y5070">
        <v>656</v>
      </c>
      <c r="Z5070" s="259" t="s">
        <v>637</v>
      </c>
      <c r="AB5070">
        <v>29129</v>
      </c>
      <c r="AF5070">
        <v>78221.5</v>
      </c>
      <c r="AG5070">
        <v>0</v>
      </c>
      <c r="AI5070">
        <v>78221.5</v>
      </c>
      <c r="AJ5070">
        <v>0</v>
      </c>
      <c r="AK5070">
        <v>0</v>
      </c>
      <c r="AL5070">
        <v>0</v>
      </c>
      <c r="AM5070">
        <v>51102</v>
      </c>
      <c r="AN5070">
        <v>27119.5</v>
      </c>
      <c r="AO5070">
        <v>78221.5</v>
      </c>
      <c r="AP5070">
        <v>0</v>
      </c>
      <c r="AQ5070">
        <v>0</v>
      </c>
      <c r="AR5070">
        <v>0</v>
      </c>
      <c r="AS5070" t="s">
        <v>239</v>
      </c>
      <c r="AT5070" t="s">
        <v>514</v>
      </c>
    </row>
    <row r="5071" spans="2:46" x14ac:dyDescent="0.35">
      <c r="B5071" t="s">
        <v>565</v>
      </c>
      <c r="C5071">
        <v>45949</v>
      </c>
      <c r="J5071">
        <v>0</v>
      </c>
      <c r="O5071" t="s">
        <v>239</v>
      </c>
      <c r="P5071" t="s">
        <v>514</v>
      </c>
      <c r="U5071">
        <v>-69</v>
      </c>
      <c r="Y5071">
        <v>657</v>
      </c>
      <c r="Z5071" s="259" t="s">
        <v>637</v>
      </c>
      <c r="AB5071">
        <v>29129</v>
      </c>
      <c r="AF5071">
        <v>78221.5</v>
      </c>
      <c r="AG5071">
        <v>0</v>
      </c>
      <c r="AI5071">
        <v>78221.5</v>
      </c>
      <c r="AJ5071">
        <v>0</v>
      </c>
      <c r="AK5071">
        <v>0</v>
      </c>
      <c r="AL5071">
        <v>0</v>
      </c>
      <c r="AM5071">
        <v>51102</v>
      </c>
      <c r="AN5071">
        <v>27119.5</v>
      </c>
      <c r="AO5071">
        <v>78221.5</v>
      </c>
      <c r="AP5071">
        <v>0</v>
      </c>
      <c r="AQ5071">
        <v>0</v>
      </c>
      <c r="AR5071">
        <v>0</v>
      </c>
      <c r="AS5071" t="s">
        <v>239</v>
      </c>
      <c r="AT5071" t="s">
        <v>514</v>
      </c>
    </row>
    <row r="5072" spans="2:46" x14ac:dyDescent="0.35">
      <c r="B5072" t="s">
        <v>565</v>
      </c>
      <c r="C5072">
        <v>45950</v>
      </c>
      <c r="J5072">
        <v>0</v>
      </c>
      <c r="O5072" t="s">
        <v>239</v>
      </c>
      <c r="P5072" t="s">
        <v>514</v>
      </c>
      <c r="U5072">
        <v>-69</v>
      </c>
      <c r="Y5072">
        <v>658</v>
      </c>
      <c r="Z5072" s="259" t="s">
        <v>637</v>
      </c>
      <c r="AB5072">
        <v>29129</v>
      </c>
      <c r="AF5072">
        <v>78206.5</v>
      </c>
      <c r="AG5072">
        <v>0</v>
      </c>
      <c r="AI5072">
        <v>78221.5</v>
      </c>
      <c r="AJ5072">
        <v>0</v>
      </c>
      <c r="AK5072">
        <v>0</v>
      </c>
      <c r="AL5072">
        <v>0</v>
      </c>
      <c r="AM5072">
        <v>51102</v>
      </c>
      <c r="AN5072">
        <v>27104.5</v>
      </c>
      <c r="AO5072">
        <v>78206.5</v>
      </c>
      <c r="AP5072">
        <v>0</v>
      </c>
      <c r="AQ5072">
        <v>-15</v>
      </c>
      <c r="AR5072">
        <v>-1.9176313417668123E-4</v>
      </c>
      <c r="AS5072" t="s">
        <v>239</v>
      </c>
      <c r="AT5072" t="s">
        <v>514</v>
      </c>
    </row>
    <row r="5073" spans="2:46" x14ac:dyDescent="0.35">
      <c r="B5073" t="s">
        <v>565</v>
      </c>
      <c r="C5073">
        <v>45951</v>
      </c>
      <c r="J5073">
        <v>0</v>
      </c>
      <c r="O5073" t="s">
        <v>239</v>
      </c>
      <c r="P5073" t="s">
        <v>514</v>
      </c>
      <c r="U5073">
        <v>-69</v>
      </c>
      <c r="Y5073">
        <v>659</v>
      </c>
      <c r="Z5073" s="259" t="s">
        <v>637</v>
      </c>
      <c r="AB5073">
        <v>29129</v>
      </c>
      <c r="AF5073">
        <v>78202.5</v>
      </c>
      <c r="AG5073">
        <v>0</v>
      </c>
      <c r="AI5073">
        <v>78206.5</v>
      </c>
      <c r="AJ5073">
        <v>0</v>
      </c>
      <c r="AK5073">
        <v>0</v>
      </c>
      <c r="AL5073">
        <v>0</v>
      </c>
      <c r="AM5073">
        <v>51102</v>
      </c>
      <c r="AN5073">
        <v>27100.5</v>
      </c>
      <c r="AO5073">
        <v>78202.5</v>
      </c>
      <c r="AP5073">
        <v>0</v>
      </c>
      <c r="AQ5073">
        <v>-4</v>
      </c>
      <c r="AR5073">
        <v>-5.1146643821220472E-5</v>
      </c>
      <c r="AS5073" t="s">
        <v>239</v>
      </c>
      <c r="AT5073" t="s">
        <v>514</v>
      </c>
    </row>
    <row r="5074" spans="2:46" x14ac:dyDescent="0.35">
      <c r="B5074" t="s">
        <v>565</v>
      </c>
      <c r="C5074">
        <v>45952</v>
      </c>
      <c r="J5074">
        <v>0</v>
      </c>
      <c r="O5074" t="s">
        <v>239</v>
      </c>
      <c r="P5074" t="s">
        <v>514</v>
      </c>
      <c r="U5074">
        <v>-69</v>
      </c>
      <c r="Y5074">
        <v>660</v>
      </c>
      <c r="Z5074" s="259" t="s">
        <v>637</v>
      </c>
      <c r="AB5074">
        <v>29129</v>
      </c>
      <c r="AF5074">
        <v>78197</v>
      </c>
      <c r="AG5074">
        <v>0</v>
      </c>
      <c r="AI5074">
        <v>78202.5</v>
      </c>
      <c r="AJ5074">
        <v>0</v>
      </c>
      <c r="AK5074">
        <v>0</v>
      </c>
      <c r="AL5074">
        <v>0</v>
      </c>
      <c r="AM5074">
        <v>51102</v>
      </c>
      <c r="AN5074">
        <v>27095</v>
      </c>
      <c r="AO5074">
        <v>78197</v>
      </c>
      <c r="AP5074">
        <v>0</v>
      </c>
      <c r="AQ5074">
        <v>-5.5</v>
      </c>
      <c r="AR5074">
        <v>-7.0330232409432369E-5</v>
      </c>
      <c r="AS5074" t="s">
        <v>239</v>
      </c>
      <c r="AT5074" t="s">
        <v>514</v>
      </c>
    </row>
    <row r="5075" spans="2:46" x14ac:dyDescent="0.35">
      <c r="B5075" t="s">
        <v>565</v>
      </c>
      <c r="C5075">
        <v>45953</v>
      </c>
      <c r="J5075">
        <v>0</v>
      </c>
      <c r="O5075" t="s">
        <v>239</v>
      </c>
      <c r="P5075" t="s">
        <v>514</v>
      </c>
      <c r="U5075">
        <v>-69</v>
      </c>
      <c r="Y5075">
        <v>661</v>
      </c>
      <c r="Z5075" s="259" t="s">
        <v>637</v>
      </c>
      <c r="AB5075">
        <v>29129</v>
      </c>
      <c r="AF5075">
        <v>78191.5</v>
      </c>
      <c r="AG5075">
        <v>0</v>
      </c>
      <c r="AI5075">
        <v>78197</v>
      </c>
      <c r="AJ5075">
        <v>0</v>
      </c>
      <c r="AK5075">
        <v>0</v>
      </c>
      <c r="AL5075">
        <v>0</v>
      </c>
      <c r="AM5075">
        <v>51102</v>
      </c>
      <c r="AN5075">
        <v>27089.5</v>
      </c>
      <c r="AO5075">
        <v>78191.5</v>
      </c>
      <c r="AP5075">
        <v>0</v>
      </c>
      <c r="AQ5075">
        <v>-5.5</v>
      </c>
      <c r="AR5075">
        <v>-7.033517909893483E-5</v>
      </c>
      <c r="AS5075" t="s">
        <v>239</v>
      </c>
      <c r="AT5075" t="s">
        <v>514</v>
      </c>
    </row>
    <row r="5076" spans="2:46" x14ac:dyDescent="0.35">
      <c r="B5076" t="s">
        <v>565</v>
      </c>
      <c r="C5076">
        <v>45954</v>
      </c>
      <c r="J5076">
        <v>0</v>
      </c>
      <c r="O5076" t="s">
        <v>239</v>
      </c>
      <c r="P5076" t="s">
        <v>514</v>
      </c>
      <c r="U5076">
        <v>-69</v>
      </c>
      <c r="Y5076">
        <v>662</v>
      </c>
      <c r="Z5076" s="259" t="s">
        <v>637</v>
      </c>
      <c r="AB5076">
        <v>29129</v>
      </c>
      <c r="AF5076">
        <v>78187.5</v>
      </c>
      <c r="AG5076">
        <v>0</v>
      </c>
      <c r="AI5076">
        <v>78191.5</v>
      </c>
      <c r="AJ5076">
        <v>0</v>
      </c>
      <c r="AK5076">
        <v>0</v>
      </c>
      <c r="AL5076">
        <v>0</v>
      </c>
      <c r="AM5076">
        <v>51102</v>
      </c>
      <c r="AN5076">
        <v>27085.5</v>
      </c>
      <c r="AO5076">
        <v>78187.5</v>
      </c>
      <c r="AP5076">
        <v>0</v>
      </c>
      <c r="AQ5076">
        <v>-4</v>
      </c>
      <c r="AR5076">
        <v>-5.1156455624923325E-5</v>
      </c>
      <c r="AS5076" t="s">
        <v>239</v>
      </c>
      <c r="AT5076" t="s">
        <v>514</v>
      </c>
    </row>
    <row r="5077" spans="2:46" x14ac:dyDescent="0.35">
      <c r="B5077" t="s">
        <v>565</v>
      </c>
      <c r="C5077">
        <v>45955</v>
      </c>
      <c r="J5077">
        <v>0</v>
      </c>
      <c r="O5077" t="s">
        <v>239</v>
      </c>
      <c r="P5077" t="s">
        <v>514</v>
      </c>
      <c r="U5077">
        <v>-69</v>
      </c>
      <c r="Y5077">
        <v>663</v>
      </c>
      <c r="Z5077" s="259" t="s">
        <v>637</v>
      </c>
      <c r="AB5077">
        <v>29129</v>
      </c>
      <c r="AF5077">
        <v>78187.5</v>
      </c>
      <c r="AG5077">
        <v>0</v>
      </c>
      <c r="AI5077">
        <v>78187.5</v>
      </c>
      <c r="AJ5077">
        <v>0</v>
      </c>
      <c r="AK5077">
        <v>0</v>
      </c>
      <c r="AL5077">
        <v>0</v>
      </c>
      <c r="AM5077">
        <v>51102</v>
      </c>
      <c r="AN5077">
        <v>27085.5</v>
      </c>
      <c r="AO5077">
        <v>78187.5</v>
      </c>
      <c r="AP5077">
        <v>0</v>
      </c>
      <c r="AQ5077">
        <v>0</v>
      </c>
      <c r="AR5077">
        <v>0</v>
      </c>
      <c r="AS5077" t="s">
        <v>239</v>
      </c>
      <c r="AT5077" t="s">
        <v>514</v>
      </c>
    </row>
    <row r="5078" spans="2:46" x14ac:dyDescent="0.35">
      <c r="B5078" t="s">
        <v>565</v>
      </c>
      <c r="C5078">
        <v>45956</v>
      </c>
      <c r="J5078">
        <v>0</v>
      </c>
      <c r="O5078" t="s">
        <v>239</v>
      </c>
      <c r="P5078" t="s">
        <v>514</v>
      </c>
      <c r="U5078">
        <v>-69</v>
      </c>
      <c r="Y5078">
        <v>664</v>
      </c>
      <c r="Z5078" s="259" t="s">
        <v>637</v>
      </c>
      <c r="AB5078">
        <v>29129</v>
      </c>
      <c r="AF5078">
        <v>78187.5</v>
      </c>
      <c r="AG5078">
        <v>0</v>
      </c>
      <c r="AI5078">
        <v>78187.5</v>
      </c>
      <c r="AJ5078">
        <v>0</v>
      </c>
      <c r="AK5078">
        <v>0</v>
      </c>
      <c r="AL5078">
        <v>0</v>
      </c>
      <c r="AM5078">
        <v>51102</v>
      </c>
      <c r="AN5078">
        <v>27085.5</v>
      </c>
      <c r="AO5078">
        <v>78187.5</v>
      </c>
      <c r="AP5078">
        <v>0</v>
      </c>
      <c r="AQ5078">
        <v>0</v>
      </c>
      <c r="AR5078">
        <v>0</v>
      </c>
      <c r="AS5078" t="s">
        <v>239</v>
      </c>
      <c r="AT5078" t="s">
        <v>514</v>
      </c>
    </row>
    <row r="5079" spans="2:46" x14ac:dyDescent="0.35">
      <c r="B5079" t="s">
        <v>565</v>
      </c>
      <c r="C5079">
        <v>45957</v>
      </c>
      <c r="J5079">
        <v>0</v>
      </c>
      <c r="O5079" t="s">
        <v>239</v>
      </c>
      <c r="P5079" t="s">
        <v>514</v>
      </c>
      <c r="U5079">
        <v>-69</v>
      </c>
      <c r="Y5079">
        <v>665</v>
      </c>
      <c r="Z5079" s="259" t="s">
        <v>637</v>
      </c>
      <c r="AB5079">
        <v>29129</v>
      </c>
      <c r="AF5079">
        <v>78172.5</v>
      </c>
      <c r="AG5079">
        <v>0</v>
      </c>
      <c r="AI5079">
        <v>78187.5</v>
      </c>
      <c r="AJ5079">
        <v>0</v>
      </c>
      <c r="AK5079">
        <v>0</v>
      </c>
      <c r="AL5079">
        <v>0</v>
      </c>
      <c r="AM5079">
        <v>51102</v>
      </c>
      <c r="AN5079">
        <v>27070.5</v>
      </c>
      <c r="AO5079">
        <v>78172.5</v>
      </c>
      <c r="AP5079">
        <v>0</v>
      </c>
      <c r="AQ5079">
        <v>-15</v>
      </c>
      <c r="AR5079">
        <v>-1.9184652278181336E-4</v>
      </c>
      <c r="AS5079" t="s">
        <v>239</v>
      </c>
      <c r="AT5079" t="s">
        <v>514</v>
      </c>
    </row>
    <row r="5080" spans="2:46" x14ac:dyDescent="0.35">
      <c r="B5080" t="s">
        <v>565</v>
      </c>
      <c r="C5080">
        <v>45958</v>
      </c>
      <c r="J5080">
        <v>0</v>
      </c>
      <c r="O5080" t="s">
        <v>239</v>
      </c>
      <c r="P5080" t="s">
        <v>514</v>
      </c>
      <c r="U5080">
        <v>-69</v>
      </c>
      <c r="Y5080">
        <v>666</v>
      </c>
      <c r="Z5080" s="259" t="s">
        <v>637</v>
      </c>
      <c r="AB5080">
        <v>29129</v>
      </c>
      <c r="AF5080">
        <v>78167</v>
      </c>
      <c r="AG5080">
        <v>0</v>
      </c>
      <c r="AI5080">
        <v>78172.5</v>
      </c>
      <c r="AJ5080">
        <v>0</v>
      </c>
      <c r="AK5080">
        <v>0</v>
      </c>
      <c r="AL5080">
        <v>0</v>
      </c>
      <c r="AM5080">
        <v>51102</v>
      </c>
      <c r="AN5080">
        <v>27065</v>
      </c>
      <c r="AO5080">
        <v>78167</v>
      </c>
      <c r="AP5080">
        <v>0</v>
      </c>
      <c r="AQ5080">
        <v>-5.5</v>
      </c>
      <c r="AR5080">
        <v>-7.0357222808570263E-5</v>
      </c>
      <c r="AS5080" t="s">
        <v>239</v>
      </c>
      <c r="AT5080" t="s">
        <v>514</v>
      </c>
    </row>
    <row r="5081" spans="2:46" x14ac:dyDescent="0.35">
      <c r="B5081" t="s">
        <v>565</v>
      </c>
      <c r="C5081">
        <v>45959</v>
      </c>
      <c r="J5081">
        <v>0</v>
      </c>
      <c r="O5081" t="s">
        <v>239</v>
      </c>
      <c r="P5081" t="s">
        <v>514</v>
      </c>
      <c r="U5081">
        <v>-69</v>
      </c>
      <c r="Y5081">
        <v>667</v>
      </c>
      <c r="Z5081" s="259" t="s">
        <v>637</v>
      </c>
      <c r="AB5081">
        <v>29129</v>
      </c>
      <c r="AF5081">
        <v>78161.5</v>
      </c>
      <c r="AG5081">
        <v>0</v>
      </c>
      <c r="AI5081">
        <v>78167</v>
      </c>
      <c r="AJ5081">
        <v>0</v>
      </c>
      <c r="AK5081">
        <v>0</v>
      </c>
      <c r="AL5081">
        <v>0</v>
      </c>
      <c r="AM5081">
        <v>51102</v>
      </c>
      <c r="AN5081">
        <v>27059.5</v>
      </c>
      <c r="AO5081">
        <v>78161.5</v>
      </c>
      <c r="AP5081">
        <v>0</v>
      </c>
      <c r="AQ5081">
        <v>-5.5</v>
      </c>
      <c r="AR5081">
        <v>-7.036217329559058E-5</v>
      </c>
      <c r="AS5081" t="s">
        <v>239</v>
      </c>
      <c r="AT5081" t="s">
        <v>514</v>
      </c>
    </row>
    <row r="5082" spans="2:46" x14ac:dyDescent="0.35">
      <c r="B5082" t="s">
        <v>565</v>
      </c>
      <c r="C5082">
        <v>45960</v>
      </c>
      <c r="J5082">
        <v>0</v>
      </c>
      <c r="O5082" t="s">
        <v>239</v>
      </c>
      <c r="P5082" t="s">
        <v>514</v>
      </c>
      <c r="U5082">
        <v>-69</v>
      </c>
      <c r="Y5082">
        <v>668</v>
      </c>
      <c r="Z5082" s="259" t="s">
        <v>637</v>
      </c>
      <c r="AB5082">
        <v>29129</v>
      </c>
      <c r="AF5082">
        <v>78157.5</v>
      </c>
      <c r="AG5082">
        <v>0</v>
      </c>
      <c r="AI5082">
        <v>78161.5</v>
      </c>
      <c r="AJ5082">
        <v>0</v>
      </c>
      <c r="AK5082">
        <v>0</v>
      </c>
      <c r="AL5082">
        <v>0</v>
      </c>
      <c r="AM5082">
        <v>51102</v>
      </c>
      <c r="AN5082">
        <v>27055.5</v>
      </c>
      <c r="AO5082">
        <v>78157.5</v>
      </c>
      <c r="AP5082">
        <v>0</v>
      </c>
      <c r="AQ5082">
        <v>-4</v>
      </c>
      <c r="AR5082">
        <v>-5.117609053051364E-5</v>
      </c>
      <c r="AS5082" t="s">
        <v>239</v>
      </c>
      <c r="AT5082" t="s">
        <v>514</v>
      </c>
    </row>
    <row r="5083" spans="2:46" x14ac:dyDescent="0.35">
      <c r="B5083" t="s">
        <v>565</v>
      </c>
      <c r="C5083">
        <v>45961</v>
      </c>
      <c r="J5083">
        <v>0</v>
      </c>
      <c r="O5083" t="s">
        <v>239</v>
      </c>
      <c r="P5083" t="s">
        <v>514</v>
      </c>
      <c r="U5083">
        <v>-69</v>
      </c>
      <c r="Y5083">
        <v>669</v>
      </c>
      <c r="Z5083" s="259" t="s">
        <v>637</v>
      </c>
      <c r="AB5083">
        <v>29129</v>
      </c>
      <c r="AF5083">
        <v>78152</v>
      </c>
      <c r="AG5083">
        <v>0</v>
      </c>
      <c r="AI5083">
        <v>78157.5</v>
      </c>
      <c r="AJ5083">
        <v>0</v>
      </c>
      <c r="AK5083">
        <v>0</v>
      </c>
      <c r="AL5083">
        <v>0</v>
      </c>
      <c r="AM5083">
        <v>51102</v>
      </c>
      <c r="AN5083">
        <v>27050</v>
      </c>
      <c r="AO5083">
        <v>78152</v>
      </c>
      <c r="AP5083">
        <v>0</v>
      </c>
      <c r="AQ5083">
        <v>-5.5</v>
      </c>
      <c r="AR5083">
        <v>-7.0370725778090559E-5</v>
      </c>
      <c r="AS5083" t="s">
        <v>239</v>
      </c>
      <c r="AT5083" t="s">
        <v>514</v>
      </c>
    </row>
    <row r="5084" spans="2:46" x14ac:dyDescent="0.35">
      <c r="B5084" t="s">
        <v>565</v>
      </c>
      <c r="C5084">
        <v>45962</v>
      </c>
      <c r="J5084">
        <v>0</v>
      </c>
      <c r="O5084" t="s">
        <v>239</v>
      </c>
      <c r="P5084" t="s">
        <v>514</v>
      </c>
      <c r="U5084">
        <v>-69</v>
      </c>
      <c r="Y5084">
        <v>670</v>
      </c>
      <c r="Z5084" s="259" t="s">
        <v>637</v>
      </c>
      <c r="AB5084">
        <v>29129</v>
      </c>
      <c r="AF5084">
        <v>78152</v>
      </c>
      <c r="AG5084">
        <v>0</v>
      </c>
      <c r="AI5084">
        <v>78152</v>
      </c>
      <c r="AJ5084">
        <v>0</v>
      </c>
      <c r="AK5084">
        <v>0</v>
      </c>
      <c r="AL5084">
        <v>0</v>
      </c>
      <c r="AM5084">
        <v>51102</v>
      </c>
      <c r="AN5084">
        <v>27050</v>
      </c>
      <c r="AO5084">
        <v>78152</v>
      </c>
      <c r="AP5084">
        <v>0</v>
      </c>
      <c r="AQ5084">
        <v>0</v>
      </c>
      <c r="AR5084">
        <v>0</v>
      </c>
      <c r="AS5084" t="s">
        <v>239</v>
      </c>
      <c r="AT5084" t="s">
        <v>514</v>
      </c>
    </row>
    <row r="5085" spans="2:46" x14ac:dyDescent="0.35">
      <c r="B5085" t="s">
        <v>565</v>
      </c>
      <c r="C5085">
        <v>45963</v>
      </c>
      <c r="J5085">
        <v>0</v>
      </c>
      <c r="O5085" t="s">
        <v>239</v>
      </c>
      <c r="P5085" t="s">
        <v>514</v>
      </c>
      <c r="U5085">
        <v>-69</v>
      </c>
      <c r="Y5085">
        <v>671</v>
      </c>
      <c r="Z5085" s="259" t="s">
        <v>637</v>
      </c>
      <c r="AB5085">
        <v>29129</v>
      </c>
      <c r="AF5085">
        <v>78152</v>
      </c>
      <c r="AG5085">
        <v>0</v>
      </c>
      <c r="AI5085">
        <v>78152</v>
      </c>
      <c r="AJ5085">
        <v>0</v>
      </c>
      <c r="AK5085">
        <v>0</v>
      </c>
      <c r="AL5085">
        <v>0</v>
      </c>
      <c r="AM5085">
        <v>51102</v>
      </c>
      <c r="AN5085">
        <v>27050</v>
      </c>
      <c r="AO5085">
        <v>78152</v>
      </c>
      <c r="AP5085">
        <v>0</v>
      </c>
      <c r="AQ5085">
        <v>0</v>
      </c>
      <c r="AR5085">
        <v>0</v>
      </c>
      <c r="AS5085" t="s">
        <v>239</v>
      </c>
      <c r="AT5085" t="s">
        <v>514</v>
      </c>
    </row>
    <row r="5086" spans="2:46" x14ac:dyDescent="0.35">
      <c r="B5086" t="s">
        <v>565</v>
      </c>
      <c r="C5086">
        <v>45964</v>
      </c>
      <c r="J5086">
        <v>0</v>
      </c>
      <c r="O5086" t="s">
        <v>239</v>
      </c>
      <c r="P5086" t="s">
        <v>514</v>
      </c>
      <c r="U5086">
        <v>-69</v>
      </c>
      <c r="Y5086">
        <v>672</v>
      </c>
      <c r="Z5086" s="259" t="s">
        <v>637</v>
      </c>
      <c r="AB5086">
        <v>29129</v>
      </c>
      <c r="AF5086">
        <v>78065.5</v>
      </c>
      <c r="AG5086">
        <v>60</v>
      </c>
      <c r="AI5086">
        <v>78152</v>
      </c>
      <c r="AJ5086">
        <v>0</v>
      </c>
      <c r="AK5086">
        <v>0</v>
      </c>
      <c r="AL5086">
        <v>0</v>
      </c>
      <c r="AM5086">
        <v>51102</v>
      </c>
      <c r="AN5086">
        <v>26903.5</v>
      </c>
      <c r="AO5086">
        <v>78065.5</v>
      </c>
      <c r="AP5086">
        <v>60</v>
      </c>
      <c r="AQ5086">
        <v>-86.5</v>
      </c>
      <c r="AR5086">
        <v>-1.1068174838775313E-3</v>
      </c>
      <c r="AS5086" t="s">
        <v>239</v>
      </c>
      <c r="AT5086" t="s">
        <v>514</v>
      </c>
    </row>
    <row r="5087" spans="2:46" x14ac:dyDescent="0.35">
      <c r="B5087" t="s">
        <v>565</v>
      </c>
      <c r="C5087">
        <v>45965</v>
      </c>
      <c r="J5087">
        <v>0</v>
      </c>
      <c r="O5087" t="s">
        <v>239</v>
      </c>
      <c r="P5087" t="s">
        <v>514</v>
      </c>
      <c r="U5087">
        <v>-69</v>
      </c>
      <c r="Y5087">
        <v>673</v>
      </c>
      <c r="Z5087" s="259" t="s">
        <v>637</v>
      </c>
      <c r="AB5087">
        <v>29129</v>
      </c>
      <c r="AF5087">
        <v>78022.5</v>
      </c>
      <c r="AG5087">
        <v>60</v>
      </c>
      <c r="AI5087">
        <v>78065.5</v>
      </c>
      <c r="AJ5087">
        <v>0</v>
      </c>
      <c r="AK5087">
        <v>0</v>
      </c>
      <c r="AL5087">
        <v>0</v>
      </c>
      <c r="AM5087">
        <v>51102</v>
      </c>
      <c r="AN5087">
        <v>26860.5</v>
      </c>
      <c r="AO5087">
        <v>78022.5</v>
      </c>
      <c r="AP5087">
        <v>0</v>
      </c>
      <c r="AQ5087">
        <v>-43</v>
      </c>
      <c r="AR5087">
        <v>-5.5081950413438108E-4</v>
      </c>
      <c r="AS5087" t="s">
        <v>239</v>
      </c>
      <c r="AT5087" t="s">
        <v>514</v>
      </c>
    </row>
    <row r="5088" spans="2:46" x14ac:dyDescent="0.35">
      <c r="B5088" t="s">
        <v>565</v>
      </c>
      <c r="C5088">
        <v>45966</v>
      </c>
      <c r="J5088">
        <v>0</v>
      </c>
      <c r="O5088" t="s">
        <v>239</v>
      </c>
      <c r="P5088" t="s">
        <v>514</v>
      </c>
      <c r="U5088">
        <v>-69</v>
      </c>
      <c r="Y5088">
        <v>674</v>
      </c>
      <c r="Z5088" s="259" t="s">
        <v>637</v>
      </c>
      <c r="AB5088">
        <v>29129</v>
      </c>
      <c r="AF5088">
        <v>77979.5</v>
      </c>
      <c r="AG5088">
        <v>60</v>
      </c>
      <c r="AI5088">
        <v>78022.5</v>
      </c>
      <c r="AJ5088">
        <v>0</v>
      </c>
      <c r="AK5088">
        <v>0</v>
      </c>
      <c r="AL5088">
        <v>0</v>
      </c>
      <c r="AM5088">
        <v>51102</v>
      </c>
      <c r="AN5088">
        <v>26817.5</v>
      </c>
      <c r="AO5088">
        <v>77979.5</v>
      </c>
      <c r="AP5088">
        <v>0</v>
      </c>
      <c r="AQ5088">
        <v>-43</v>
      </c>
      <c r="AR5088">
        <v>-5.5112307347238154E-4</v>
      </c>
      <c r="AS5088" t="s">
        <v>239</v>
      </c>
      <c r="AT5088" t="s">
        <v>514</v>
      </c>
    </row>
    <row r="5089" spans="2:46" x14ac:dyDescent="0.35">
      <c r="B5089" t="s">
        <v>565</v>
      </c>
      <c r="C5089">
        <v>45967</v>
      </c>
      <c r="J5089">
        <v>0</v>
      </c>
      <c r="O5089" t="s">
        <v>239</v>
      </c>
      <c r="P5089" t="s">
        <v>514</v>
      </c>
      <c r="U5089">
        <v>-69</v>
      </c>
      <c r="Y5089">
        <v>675</v>
      </c>
      <c r="Z5089" s="259" t="s">
        <v>637</v>
      </c>
      <c r="AB5089">
        <v>29129</v>
      </c>
      <c r="AF5089">
        <v>77936</v>
      </c>
      <c r="AG5089">
        <v>60</v>
      </c>
      <c r="AI5089">
        <v>77979.5</v>
      </c>
      <c r="AJ5089">
        <v>0</v>
      </c>
      <c r="AK5089">
        <v>0</v>
      </c>
      <c r="AL5089">
        <v>0</v>
      </c>
      <c r="AM5089">
        <v>51102</v>
      </c>
      <c r="AN5089">
        <v>26774</v>
      </c>
      <c r="AO5089">
        <v>77936</v>
      </c>
      <c r="AP5089">
        <v>0</v>
      </c>
      <c r="AQ5089">
        <v>-43.5</v>
      </c>
      <c r="AR5089">
        <v>-5.5783891920313522E-4</v>
      </c>
      <c r="AS5089" t="s">
        <v>239</v>
      </c>
      <c r="AT5089" t="s">
        <v>514</v>
      </c>
    </row>
    <row r="5090" spans="2:46" x14ac:dyDescent="0.35">
      <c r="B5090" t="s">
        <v>565</v>
      </c>
      <c r="C5090">
        <v>45968</v>
      </c>
      <c r="J5090">
        <v>0</v>
      </c>
      <c r="O5090" t="s">
        <v>239</v>
      </c>
      <c r="P5090" t="s">
        <v>514</v>
      </c>
      <c r="U5090">
        <v>-69</v>
      </c>
      <c r="Y5090">
        <v>676</v>
      </c>
      <c r="Z5090" s="259" t="s">
        <v>637</v>
      </c>
      <c r="AB5090">
        <v>29129</v>
      </c>
      <c r="AF5090">
        <v>77893</v>
      </c>
      <c r="AG5090">
        <v>60</v>
      </c>
      <c r="AI5090">
        <v>77936</v>
      </c>
      <c r="AJ5090">
        <v>0</v>
      </c>
      <c r="AK5090">
        <v>0</v>
      </c>
      <c r="AL5090">
        <v>0</v>
      </c>
      <c r="AM5090">
        <v>51102</v>
      </c>
      <c r="AN5090">
        <v>26731</v>
      </c>
      <c r="AO5090">
        <v>77893</v>
      </c>
      <c r="AP5090">
        <v>0</v>
      </c>
      <c r="AQ5090">
        <v>-43</v>
      </c>
      <c r="AR5090">
        <v>-5.5173475672343208E-4</v>
      </c>
      <c r="AS5090" t="s">
        <v>239</v>
      </c>
      <c r="AT5090" t="s">
        <v>514</v>
      </c>
    </row>
    <row r="5091" spans="2:46" x14ac:dyDescent="0.35">
      <c r="B5091" t="s">
        <v>565</v>
      </c>
      <c r="C5091">
        <v>45969</v>
      </c>
      <c r="J5091">
        <v>0</v>
      </c>
      <c r="O5091" t="s">
        <v>239</v>
      </c>
      <c r="P5091" t="s">
        <v>514</v>
      </c>
      <c r="U5091">
        <v>-69</v>
      </c>
      <c r="Y5091">
        <v>677</v>
      </c>
      <c r="Z5091" s="259" t="s">
        <v>637</v>
      </c>
      <c r="AB5091">
        <v>29129</v>
      </c>
      <c r="AF5091">
        <v>77893</v>
      </c>
      <c r="AG5091">
        <v>60</v>
      </c>
      <c r="AI5091">
        <v>77893</v>
      </c>
      <c r="AJ5091">
        <v>0</v>
      </c>
      <c r="AK5091">
        <v>0</v>
      </c>
      <c r="AL5091">
        <v>0</v>
      </c>
      <c r="AM5091">
        <v>51102</v>
      </c>
      <c r="AN5091">
        <v>26731</v>
      </c>
      <c r="AO5091">
        <v>77893</v>
      </c>
      <c r="AP5091">
        <v>0</v>
      </c>
      <c r="AQ5091">
        <v>0</v>
      </c>
      <c r="AR5091">
        <v>0</v>
      </c>
      <c r="AS5091" t="s">
        <v>239</v>
      </c>
      <c r="AT5091" t="s">
        <v>514</v>
      </c>
    </row>
    <row r="5092" spans="2:46" x14ac:dyDescent="0.35">
      <c r="B5092" t="s">
        <v>565</v>
      </c>
      <c r="C5092">
        <v>45970</v>
      </c>
      <c r="J5092">
        <v>0</v>
      </c>
      <c r="O5092" t="s">
        <v>239</v>
      </c>
      <c r="P5092" t="s">
        <v>514</v>
      </c>
      <c r="U5092">
        <v>-69</v>
      </c>
      <c r="Y5092">
        <v>678</v>
      </c>
      <c r="Z5092" s="259" t="s">
        <v>637</v>
      </c>
      <c r="AB5092">
        <v>29129</v>
      </c>
      <c r="AF5092">
        <v>77893</v>
      </c>
      <c r="AG5092">
        <v>60</v>
      </c>
      <c r="AI5092">
        <v>77893</v>
      </c>
      <c r="AJ5092">
        <v>0</v>
      </c>
      <c r="AK5092">
        <v>0</v>
      </c>
      <c r="AL5092">
        <v>0</v>
      </c>
      <c r="AM5092">
        <v>51102</v>
      </c>
      <c r="AN5092">
        <v>26731</v>
      </c>
      <c r="AO5092">
        <v>77893</v>
      </c>
      <c r="AP5092">
        <v>0</v>
      </c>
      <c r="AQ5092">
        <v>0</v>
      </c>
      <c r="AR5092">
        <v>0</v>
      </c>
      <c r="AS5092" t="s">
        <v>239</v>
      </c>
      <c r="AT5092" t="s">
        <v>514</v>
      </c>
    </row>
    <row r="5093" spans="2:46" x14ac:dyDescent="0.35">
      <c r="B5093" t="s">
        <v>565</v>
      </c>
      <c r="C5093">
        <v>45971</v>
      </c>
      <c r="J5093">
        <v>0</v>
      </c>
      <c r="O5093" t="s">
        <v>239</v>
      </c>
      <c r="P5093" t="s">
        <v>514</v>
      </c>
      <c r="U5093">
        <v>-69</v>
      </c>
      <c r="Y5093">
        <v>679</v>
      </c>
      <c r="Z5093" s="259" t="s">
        <v>637</v>
      </c>
      <c r="AB5093">
        <v>29129</v>
      </c>
      <c r="AF5093">
        <v>77764.5</v>
      </c>
      <c r="AG5093">
        <v>60</v>
      </c>
      <c r="AI5093">
        <v>77893</v>
      </c>
      <c r="AJ5093">
        <v>0</v>
      </c>
      <c r="AK5093">
        <v>0</v>
      </c>
      <c r="AL5093">
        <v>0</v>
      </c>
      <c r="AM5093">
        <v>51102</v>
      </c>
      <c r="AN5093">
        <v>26602.5</v>
      </c>
      <c r="AO5093">
        <v>77764.5</v>
      </c>
      <c r="AP5093">
        <v>0</v>
      </c>
      <c r="AQ5093">
        <v>-128.5</v>
      </c>
      <c r="AR5093">
        <v>-1.6496989459899858E-3</v>
      </c>
      <c r="AS5093" t="s">
        <v>239</v>
      </c>
      <c r="AT5093" t="s">
        <v>514</v>
      </c>
    </row>
    <row r="5094" spans="2:46" x14ac:dyDescent="0.35">
      <c r="B5094" t="s">
        <v>565</v>
      </c>
      <c r="C5094">
        <v>45972</v>
      </c>
      <c r="J5094">
        <v>0</v>
      </c>
      <c r="O5094" t="s">
        <v>239</v>
      </c>
      <c r="P5094" t="s">
        <v>514</v>
      </c>
      <c r="U5094">
        <v>-69</v>
      </c>
      <c r="Y5094">
        <v>680</v>
      </c>
      <c r="Z5094" s="259" t="s">
        <v>637</v>
      </c>
      <c r="AB5094">
        <v>29129</v>
      </c>
      <c r="AF5094">
        <v>77721.5</v>
      </c>
      <c r="AG5094">
        <v>60</v>
      </c>
      <c r="AI5094">
        <v>77764.5</v>
      </c>
      <c r="AJ5094">
        <v>0</v>
      </c>
      <c r="AK5094">
        <v>0</v>
      </c>
      <c r="AL5094">
        <v>0</v>
      </c>
      <c r="AM5094">
        <v>51102</v>
      </c>
      <c r="AN5094">
        <v>26559.5</v>
      </c>
      <c r="AO5094">
        <v>77721.5</v>
      </c>
      <c r="AP5094">
        <v>0</v>
      </c>
      <c r="AQ5094">
        <v>-43</v>
      </c>
      <c r="AR5094">
        <v>-5.5295153958423438E-4</v>
      </c>
      <c r="AS5094" t="s">
        <v>239</v>
      </c>
      <c r="AT5094" t="s">
        <v>514</v>
      </c>
    </row>
    <row r="5095" spans="2:46" x14ac:dyDescent="0.35">
      <c r="B5095" t="s">
        <v>565</v>
      </c>
      <c r="C5095">
        <v>45973</v>
      </c>
      <c r="J5095">
        <v>0</v>
      </c>
      <c r="O5095" t="s">
        <v>239</v>
      </c>
      <c r="P5095" t="s">
        <v>514</v>
      </c>
      <c r="U5095">
        <v>-69</v>
      </c>
      <c r="Y5095">
        <v>681</v>
      </c>
      <c r="Z5095" s="259" t="s">
        <v>637</v>
      </c>
      <c r="AB5095">
        <v>29129</v>
      </c>
      <c r="AF5095">
        <v>77678</v>
      </c>
      <c r="AG5095">
        <v>60</v>
      </c>
      <c r="AI5095">
        <v>77721.5</v>
      </c>
      <c r="AJ5095">
        <v>0</v>
      </c>
      <c r="AK5095">
        <v>0</v>
      </c>
      <c r="AL5095">
        <v>0</v>
      </c>
      <c r="AM5095">
        <v>51102</v>
      </c>
      <c r="AN5095">
        <v>26516</v>
      </c>
      <c r="AO5095">
        <v>77678</v>
      </c>
      <c r="AP5095">
        <v>0</v>
      </c>
      <c r="AQ5095">
        <v>-43.5</v>
      </c>
      <c r="AR5095">
        <v>-5.5969069047823172E-4</v>
      </c>
      <c r="AS5095" t="s">
        <v>239</v>
      </c>
      <c r="AT5095" t="s">
        <v>514</v>
      </c>
    </row>
    <row r="5096" spans="2:46" x14ac:dyDescent="0.35">
      <c r="B5096" t="s">
        <v>565</v>
      </c>
      <c r="C5096">
        <v>45974</v>
      </c>
      <c r="J5096">
        <v>0</v>
      </c>
      <c r="O5096" t="s">
        <v>239</v>
      </c>
      <c r="P5096" t="s">
        <v>514</v>
      </c>
      <c r="U5096">
        <v>-69</v>
      </c>
      <c r="Y5096">
        <v>682</v>
      </c>
      <c r="Z5096" s="259" t="s">
        <v>637</v>
      </c>
      <c r="AB5096">
        <v>29129</v>
      </c>
      <c r="AF5096">
        <v>77635</v>
      </c>
      <c r="AG5096">
        <v>60</v>
      </c>
      <c r="AI5096">
        <v>77678</v>
      </c>
      <c r="AJ5096">
        <v>0</v>
      </c>
      <c r="AK5096">
        <v>0</v>
      </c>
      <c r="AL5096">
        <v>0</v>
      </c>
      <c r="AM5096">
        <v>51102</v>
      </c>
      <c r="AN5096">
        <v>26473</v>
      </c>
      <c r="AO5096">
        <v>77635</v>
      </c>
      <c r="AP5096">
        <v>0</v>
      </c>
      <c r="AQ5096">
        <v>-43</v>
      </c>
      <c r="AR5096">
        <v>-5.5356729060995757E-4</v>
      </c>
      <c r="AS5096" t="s">
        <v>239</v>
      </c>
      <c r="AT5096" t="s">
        <v>514</v>
      </c>
    </row>
    <row r="5097" spans="2:46" x14ac:dyDescent="0.35">
      <c r="B5097" t="s">
        <v>565</v>
      </c>
      <c r="C5097">
        <v>45975</v>
      </c>
      <c r="J5097">
        <v>0</v>
      </c>
      <c r="O5097" t="s">
        <v>239</v>
      </c>
      <c r="P5097" t="s">
        <v>514</v>
      </c>
      <c r="U5097">
        <v>-69</v>
      </c>
      <c r="Y5097">
        <v>683</v>
      </c>
      <c r="Z5097" s="259" t="s">
        <v>637</v>
      </c>
      <c r="AB5097">
        <v>29129</v>
      </c>
      <c r="AF5097">
        <v>77592</v>
      </c>
      <c r="AG5097">
        <v>60</v>
      </c>
      <c r="AI5097">
        <v>77635</v>
      </c>
      <c r="AJ5097">
        <v>0</v>
      </c>
      <c r="AK5097">
        <v>0</v>
      </c>
      <c r="AL5097">
        <v>0</v>
      </c>
      <c r="AM5097">
        <v>51102</v>
      </c>
      <c r="AN5097">
        <v>26430</v>
      </c>
      <c r="AO5097">
        <v>77592</v>
      </c>
      <c r="AP5097">
        <v>0</v>
      </c>
      <c r="AQ5097">
        <v>-43</v>
      </c>
      <c r="AR5097">
        <v>-5.538738970825019E-4</v>
      </c>
      <c r="AS5097" t="s">
        <v>239</v>
      </c>
      <c r="AT5097" t="s">
        <v>514</v>
      </c>
    </row>
    <row r="5098" spans="2:46" x14ac:dyDescent="0.35">
      <c r="B5098" t="s">
        <v>565</v>
      </c>
      <c r="C5098">
        <v>45976</v>
      </c>
      <c r="J5098">
        <v>0</v>
      </c>
      <c r="O5098" t="s">
        <v>239</v>
      </c>
      <c r="P5098" t="s">
        <v>514</v>
      </c>
      <c r="U5098">
        <v>-69</v>
      </c>
      <c r="Y5098">
        <v>684</v>
      </c>
      <c r="Z5098" s="259" t="s">
        <v>637</v>
      </c>
      <c r="AB5098">
        <v>29129</v>
      </c>
      <c r="AF5098">
        <v>77592</v>
      </c>
      <c r="AG5098">
        <v>60</v>
      </c>
      <c r="AI5098">
        <v>77592</v>
      </c>
      <c r="AJ5098">
        <v>0</v>
      </c>
      <c r="AK5098">
        <v>0</v>
      </c>
      <c r="AL5098">
        <v>0</v>
      </c>
      <c r="AM5098">
        <v>51102</v>
      </c>
      <c r="AN5098">
        <v>26430</v>
      </c>
      <c r="AO5098">
        <v>77592</v>
      </c>
      <c r="AP5098">
        <v>0</v>
      </c>
      <c r="AQ5098">
        <v>0</v>
      </c>
      <c r="AR5098">
        <v>0</v>
      </c>
      <c r="AS5098" t="s">
        <v>239</v>
      </c>
      <c r="AT5098" t="s">
        <v>514</v>
      </c>
    </row>
    <row r="5099" spans="2:46" x14ac:dyDescent="0.35">
      <c r="B5099" t="s">
        <v>565</v>
      </c>
      <c r="C5099">
        <v>45977</v>
      </c>
      <c r="J5099">
        <v>0</v>
      </c>
      <c r="O5099" t="s">
        <v>239</v>
      </c>
      <c r="P5099" t="s">
        <v>514</v>
      </c>
      <c r="U5099">
        <v>-69</v>
      </c>
      <c r="Y5099">
        <v>685</v>
      </c>
      <c r="Z5099" s="259" t="s">
        <v>637</v>
      </c>
      <c r="AB5099">
        <v>29129</v>
      </c>
      <c r="AF5099">
        <v>77592</v>
      </c>
      <c r="AG5099">
        <v>60</v>
      </c>
      <c r="AI5099">
        <v>77592</v>
      </c>
      <c r="AJ5099">
        <v>0</v>
      </c>
      <c r="AK5099">
        <v>0</v>
      </c>
      <c r="AL5099">
        <v>0</v>
      </c>
      <c r="AM5099">
        <v>51102</v>
      </c>
      <c r="AN5099">
        <v>26430</v>
      </c>
      <c r="AO5099">
        <v>77592</v>
      </c>
      <c r="AP5099">
        <v>0</v>
      </c>
      <c r="AQ5099">
        <v>0</v>
      </c>
      <c r="AR5099">
        <v>0</v>
      </c>
      <c r="AS5099" t="s">
        <v>239</v>
      </c>
      <c r="AT5099" t="s">
        <v>514</v>
      </c>
    </row>
    <row r="5100" spans="2:46" x14ac:dyDescent="0.35">
      <c r="B5100" t="s">
        <v>565</v>
      </c>
      <c r="C5100">
        <v>45978</v>
      </c>
      <c r="J5100">
        <v>0</v>
      </c>
      <c r="O5100" t="s">
        <v>239</v>
      </c>
      <c r="P5100" t="s">
        <v>514</v>
      </c>
      <c r="U5100">
        <v>-69</v>
      </c>
      <c r="Y5100">
        <v>686</v>
      </c>
      <c r="Z5100" s="259" t="s">
        <v>637</v>
      </c>
      <c r="AB5100">
        <v>29129</v>
      </c>
      <c r="AF5100">
        <v>77462</v>
      </c>
      <c r="AG5100">
        <v>60</v>
      </c>
      <c r="AI5100">
        <v>77592</v>
      </c>
      <c r="AJ5100">
        <v>0</v>
      </c>
      <c r="AK5100">
        <v>0</v>
      </c>
      <c r="AL5100">
        <v>0</v>
      </c>
      <c r="AM5100">
        <v>51102</v>
      </c>
      <c r="AN5100">
        <v>26300</v>
      </c>
      <c r="AO5100">
        <v>77462</v>
      </c>
      <c r="AP5100">
        <v>0</v>
      </c>
      <c r="AQ5100">
        <v>-130</v>
      </c>
      <c r="AR5100">
        <v>-1.6754304567481171E-3</v>
      </c>
      <c r="AS5100" t="s">
        <v>239</v>
      </c>
      <c r="AT5100" t="s">
        <v>514</v>
      </c>
    </row>
    <row r="5101" spans="2:46" x14ac:dyDescent="0.35">
      <c r="B5101" t="s">
        <v>565</v>
      </c>
      <c r="C5101">
        <v>45979</v>
      </c>
      <c r="J5101">
        <v>0</v>
      </c>
      <c r="O5101" t="s">
        <v>239</v>
      </c>
      <c r="P5101" t="s">
        <v>514</v>
      </c>
      <c r="U5101">
        <v>-69</v>
      </c>
      <c r="Y5101">
        <v>687</v>
      </c>
      <c r="Z5101" s="259" t="s">
        <v>637</v>
      </c>
      <c r="AB5101">
        <v>29129</v>
      </c>
      <c r="AF5101">
        <v>77419</v>
      </c>
      <c r="AG5101">
        <v>60</v>
      </c>
      <c r="AI5101">
        <v>77462</v>
      </c>
      <c r="AJ5101">
        <v>0</v>
      </c>
      <c r="AK5101">
        <v>0</v>
      </c>
      <c r="AL5101">
        <v>0</v>
      </c>
      <c r="AM5101">
        <v>51102</v>
      </c>
      <c r="AN5101">
        <v>26257</v>
      </c>
      <c r="AO5101">
        <v>77419</v>
      </c>
      <c r="AP5101">
        <v>0</v>
      </c>
      <c r="AQ5101">
        <v>-43</v>
      </c>
      <c r="AR5101">
        <v>-5.5511089308302175E-4</v>
      </c>
      <c r="AS5101" t="s">
        <v>239</v>
      </c>
      <c r="AT5101" t="s">
        <v>514</v>
      </c>
    </row>
    <row r="5102" spans="2:46" x14ac:dyDescent="0.35">
      <c r="B5102" t="s">
        <v>565</v>
      </c>
      <c r="C5102">
        <v>45980</v>
      </c>
      <c r="J5102">
        <v>0</v>
      </c>
      <c r="O5102" t="s">
        <v>239</v>
      </c>
      <c r="P5102" t="s">
        <v>514</v>
      </c>
      <c r="U5102">
        <v>-69</v>
      </c>
      <c r="Y5102">
        <v>688</v>
      </c>
      <c r="Z5102" s="259" t="s">
        <v>637</v>
      </c>
      <c r="AB5102">
        <v>29129</v>
      </c>
      <c r="AF5102">
        <v>77376</v>
      </c>
      <c r="AG5102">
        <v>60</v>
      </c>
      <c r="AI5102">
        <v>77419</v>
      </c>
      <c r="AJ5102">
        <v>0</v>
      </c>
      <c r="AK5102">
        <v>0</v>
      </c>
      <c r="AL5102">
        <v>0</v>
      </c>
      <c r="AM5102">
        <v>51102</v>
      </c>
      <c r="AN5102">
        <v>26214</v>
      </c>
      <c r="AO5102">
        <v>77376</v>
      </c>
      <c r="AP5102">
        <v>0</v>
      </c>
      <c r="AQ5102">
        <v>-43</v>
      </c>
      <c r="AR5102">
        <v>-5.5541921233803748E-4</v>
      </c>
      <c r="AS5102" t="s">
        <v>239</v>
      </c>
      <c r="AT5102" t="s">
        <v>514</v>
      </c>
    </row>
    <row r="5103" spans="2:46" x14ac:dyDescent="0.35">
      <c r="B5103" t="s">
        <v>565</v>
      </c>
      <c r="C5103">
        <v>45981</v>
      </c>
      <c r="J5103">
        <v>0</v>
      </c>
      <c r="O5103" t="s">
        <v>239</v>
      </c>
      <c r="P5103" t="s">
        <v>514</v>
      </c>
      <c r="U5103">
        <v>-69</v>
      </c>
      <c r="Y5103">
        <v>689</v>
      </c>
      <c r="Z5103" s="259" t="s">
        <v>637</v>
      </c>
      <c r="AB5103">
        <v>29129</v>
      </c>
      <c r="AF5103">
        <v>77332.5</v>
      </c>
      <c r="AG5103">
        <v>60</v>
      </c>
      <c r="AI5103">
        <v>77376</v>
      </c>
      <c r="AJ5103">
        <v>0</v>
      </c>
      <c r="AK5103">
        <v>0</v>
      </c>
      <c r="AL5103">
        <v>0</v>
      </c>
      <c r="AM5103">
        <v>51102</v>
      </c>
      <c r="AN5103">
        <v>26170.5</v>
      </c>
      <c r="AO5103">
        <v>77332.5</v>
      </c>
      <c r="AP5103">
        <v>0</v>
      </c>
      <c r="AQ5103">
        <v>-43.5</v>
      </c>
      <c r="AR5103">
        <v>-5.6218982630273917E-4</v>
      </c>
      <c r="AS5103" t="s">
        <v>239</v>
      </c>
      <c r="AT5103" t="s">
        <v>514</v>
      </c>
    </row>
    <row r="5104" spans="2:46" x14ac:dyDescent="0.35">
      <c r="B5104" t="s">
        <v>565</v>
      </c>
      <c r="C5104">
        <v>45982</v>
      </c>
      <c r="J5104">
        <v>0</v>
      </c>
      <c r="O5104" t="s">
        <v>239</v>
      </c>
      <c r="P5104" t="s">
        <v>514</v>
      </c>
      <c r="U5104">
        <v>-69</v>
      </c>
      <c r="Y5104">
        <v>690</v>
      </c>
      <c r="Z5104" s="259" t="s">
        <v>637</v>
      </c>
      <c r="AB5104">
        <v>29129</v>
      </c>
      <c r="AF5104">
        <v>77289.5</v>
      </c>
      <c r="AG5104">
        <v>60</v>
      </c>
      <c r="AI5104">
        <v>77332.5</v>
      </c>
      <c r="AJ5104">
        <v>0</v>
      </c>
      <c r="AK5104">
        <v>0</v>
      </c>
      <c r="AL5104">
        <v>0</v>
      </c>
      <c r="AM5104">
        <v>51102</v>
      </c>
      <c r="AN5104">
        <v>26127.5</v>
      </c>
      <c r="AO5104">
        <v>77289.5</v>
      </c>
      <c r="AP5104">
        <v>0</v>
      </c>
      <c r="AQ5104">
        <v>-43</v>
      </c>
      <c r="AR5104">
        <v>-5.5604047457402661E-4</v>
      </c>
      <c r="AS5104" t="s">
        <v>239</v>
      </c>
      <c r="AT5104" t="s">
        <v>514</v>
      </c>
    </row>
    <row r="5105" spans="2:46" x14ac:dyDescent="0.35">
      <c r="B5105" t="s">
        <v>565</v>
      </c>
      <c r="C5105">
        <v>45983</v>
      </c>
      <c r="J5105">
        <v>0</v>
      </c>
      <c r="O5105" t="s">
        <v>239</v>
      </c>
      <c r="P5105" t="s">
        <v>514</v>
      </c>
      <c r="U5105">
        <v>-69</v>
      </c>
      <c r="Y5105">
        <v>691</v>
      </c>
      <c r="Z5105" s="259" t="s">
        <v>637</v>
      </c>
      <c r="AB5105">
        <v>29129</v>
      </c>
      <c r="AF5105">
        <v>77289.5</v>
      </c>
      <c r="AG5105">
        <v>60</v>
      </c>
      <c r="AI5105">
        <v>77289.5</v>
      </c>
      <c r="AJ5105">
        <v>0</v>
      </c>
      <c r="AK5105">
        <v>0</v>
      </c>
      <c r="AL5105">
        <v>0</v>
      </c>
      <c r="AM5105">
        <v>51102</v>
      </c>
      <c r="AN5105">
        <v>26127.5</v>
      </c>
      <c r="AO5105">
        <v>77289.5</v>
      </c>
      <c r="AP5105">
        <v>0</v>
      </c>
      <c r="AQ5105">
        <v>0</v>
      </c>
      <c r="AR5105">
        <v>0</v>
      </c>
      <c r="AS5105" t="s">
        <v>239</v>
      </c>
      <c r="AT5105" t="s">
        <v>514</v>
      </c>
    </row>
    <row r="5106" spans="2:46" x14ac:dyDescent="0.35">
      <c r="B5106" t="s">
        <v>565</v>
      </c>
      <c r="C5106">
        <v>45984</v>
      </c>
      <c r="J5106">
        <v>0</v>
      </c>
      <c r="O5106" t="s">
        <v>239</v>
      </c>
      <c r="P5106" t="s">
        <v>514</v>
      </c>
      <c r="U5106">
        <v>-69</v>
      </c>
      <c r="Y5106">
        <v>692</v>
      </c>
      <c r="Z5106" s="259" t="s">
        <v>637</v>
      </c>
      <c r="AB5106">
        <v>29129</v>
      </c>
      <c r="AF5106">
        <v>77289.5</v>
      </c>
      <c r="AG5106">
        <v>60</v>
      </c>
      <c r="AI5106">
        <v>77289.5</v>
      </c>
      <c r="AJ5106">
        <v>0</v>
      </c>
      <c r="AK5106">
        <v>0</v>
      </c>
      <c r="AL5106">
        <v>0</v>
      </c>
      <c r="AM5106">
        <v>51102</v>
      </c>
      <c r="AN5106">
        <v>26127.5</v>
      </c>
      <c r="AO5106">
        <v>77289.5</v>
      </c>
      <c r="AP5106">
        <v>0</v>
      </c>
      <c r="AQ5106">
        <v>0</v>
      </c>
      <c r="AR5106">
        <v>0</v>
      </c>
      <c r="AS5106" t="s">
        <v>239</v>
      </c>
      <c r="AT5106" t="s">
        <v>514</v>
      </c>
    </row>
    <row r="5107" spans="2:46" x14ac:dyDescent="0.35">
      <c r="B5107" t="s">
        <v>565</v>
      </c>
      <c r="C5107">
        <v>45985</v>
      </c>
      <c r="J5107">
        <v>0</v>
      </c>
      <c r="O5107" t="s">
        <v>239</v>
      </c>
      <c r="P5107" t="s">
        <v>514</v>
      </c>
      <c r="U5107">
        <v>-69</v>
      </c>
      <c r="Y5107">
        <v>693</v>
      </c>
      <c r="Z5107" s="259" t="s">
        <v>637</v>
      </c>
      <c r="AB5107">
        <v>29129</v>
      </c>
      <c r="AF5107">
        <v>77161</v>
      </c>
      <c r="AG5107">
        <v>60</v>
      </c>
      <c r="AI5107">
        <v>77289.5</v>
      </c>
      <c r="AJ5107">
        <v>0</v>
      </c>
      <c r="AK5107">
        <v>0</v>
      </c>
      <c r="AL5107">
        <v>0</v>
      </c>
      <c r="AM5107">
        <v>51102</v>
      </c>
      <c r="AN5107">
        <v>25999</v>
      </c>
      <c r="AO5107">
        <v>77161</v>
      </c>
      <c r="AP5107">
        <v>0</v>
      </c>
      <c r="AQ5107">
        <v>-128.5</v>
      </c>
      <c r="AR5107">
        <v>-1.6625802987468852E-3</v>
      </c>
      <c r="AS5107" t="s">
        <v>239</v>
      </c>
      <c r="AT5107" t="s">
        <v>514</v>
      </c>
    </row>
    <row r="5108" spans="2:46" x14ac:dyDescent="0.35">
      <c r="B5108" t="s">
        <v>565</v>
      </c>
      <c r="C5108">
        <v>45986</v>
      </c>
      <c r="J5108">
        <v>0</v>
      </c>
      <c r="O5108" t="s">
        <v>239</v>
      </c>
      <c r="P5108" t="s">
        <v>514</v>
      </c>
      <c r="U5108">
        <v>-69</v>
      </c>
      <c r="Y5108">
        <v>694</v>
      </c>
      <c r="Z5108" s="259" t="s">
        <v>637</v>
      </c>
      <c r="AB5108">
        <v>29129</v>
      </c>
      <c r="AF5108">
        <v>77118</v>
      </c>
      <c r="AG5108">
        <v>60</v>
      </c>
      <c r="AI5108">
        <v>77161</v>
      </c>
      <c r="AJ5108">
        <v>0</v>
      </c>
      <c r="AK5108">
        <v>0</v>
      </c>
      <c r="AL5108">
        <v>0</v>
      </c>
      <c r="AM5108">
        <v>51102</v>
      </c>
      <c r="AN5108">
        <v>25956</v>
      </c>
      <c r="AO5108">
        <v>77118</v>
      </c>
      <c r="AP5108">
        <v>0</v>
      </c>
      <c r="AQ5108">
        <v>-43</v>
      </c>
      <c r="AR5108">
        <v>-5.5727634426716577E-4</v>
      </c>
      <c r="AS5108" t="s">
        <v>239</v>
      </c>
      <c r="AT5108" t="s">
        <v>514</v>
      </c>
    </row>
    <row r="5109" spans="2:46" x14ac:dyDescent="0.35">
      <c r="B5109" t="s">
        <v>565</v>
      </c>
      <c r="C5109">
        <v>45987</v>
      </c>
      <c r="J5109">
        <v>0</v>
      </c>
      <c r="O5109" t="s">
        <v>239</v>
      </c>
      <c r="P5109" t="s">
        <v>514</v>
      </c>
      <c r="U5109">
        <v>-69</v>
      </c>
      <c r="Y5109">
        <v>695</v>
      </c>
      <c r="Z5109" s="259" t="s">
        <v>637</v>
      </c>
      <c r="AB5109">
        <v>29129</v>
      </c>
      <c r="AF5109">
        <v>77074.5</v>
      </c>
      <c r="AG5109">
        <v>60</v>
      </c>
      <c r="AI5109">
        <v>77118</v>
      </c>
      <c r="AJ5109">
        <v>0</v>
      </c>
      <c r="AK5109">
        <v>0</v>
      </c>
      <c r="AL5109">
        <v>0</v>
      </c>
      <c r="AM5109">
        <v>51102</v>
      </c>
      <c r="AN5109">
        <v>25912.5</v>
      </c>
      <c r="AO5109">
        <v>77074.5</v>
      </c>
      <c r="AP5109">
        <v>0</v>
      </c>
      <c r="AQ5109">
        <v>-43.5</v>
      </c>
      <c r="AR5109">
        <v>-5.6407064498564807E-4</v>
      </c>
      <c r="AS5109" t="s">
        <v>239</v>
      </c>
      <c r="AT5109" t="s">
        <v>514</v>
      </c>
    </row>
    <row r="5110" spans="2:46" x14ac:dyDescent="0.35">
      <c r="B5110" t="s">
        <v>565</v>
      </c>
      <c r="C5110">
        <v>45988</v>
      </c>
      <c r="J5110">
        <v>0</v>
      </c>
      <c r="O5110" t="s">
        <v>239</v>
      </c>
      <c r="P5110" t="s">
        <v>514</v>
      </c>
      <c r="U5110">
        <v>-69</v>
      </c>
      <c r="Y5110">
        <v>696</v>
      </c>
      <c r="Z5110" s="259" t="s">
        <v>637</v>
      </c>
      <c r="AB5110">
        <v>29129</v>
      </c>
      <c r="AF5110">
        <v>77031.5</v>
      </c>
      <c r="AG5110">
        <v>60</v>
      </c>
      <c r="AI5110">
        <v>77074.5</v>
      </c>
      <c r="AJ5110">
        <v>0</v>
      </c>
      <c r="AK5110">
        <v>0</v>
      </c>
      <c r="AL5110">
        <v>0</v>
      </c>
      <c r="AM5110">
        <v>51102</v>
      </c>
      <c r="AN5110">
        <v>25869.5</v>
      </c>
      <c r="AO5110">
        <v>77031.5</v>
      </c>
      <c r="AP5110">
        <v>0</v>
      </c>
      <c r="AQ5110">
        <v>-43</v>
      </c>
      <c r="AR5110">
        <v>-5.5790177036507682E-4</v>
      </c>
      <c r="AS5110" t="s">
        <v>239</v>
      </c>
      <c r="AT5110" t="s">
        <v>514</v>
      </c>
    </row>
    <row r="5111" spans="2:46" x14ac:dyDescent="0.35">
      <c r="B5111" t="s">
        <v>565</v>
      </c>
      <c r="C5111">
        <v>45989</v>
      </c>
      <c r="J5111">
        <v>0</v>
      </c>
      <c r="O5111" t="s">
        <v>239</v>
      </c>
      <c r="P5111" t="s">
        <v>514</v>
      </c>
      <c r="U5111">
        <v>-69</v>
      </c>
      <c r="Y5111">
        <v>697</v>
      </c>
      <c r="Z5111" s="259" t="s">
        <v>637</v>
      </c>
      <c r="AB5111">
        <v>29129</v>
      </c>
      <c r="AF5111">
        <v>76988.5</v>
      </c>
      <c r="AG5111">
        <v>60</v>
      </c>
      <c r="AI5111">
        <v>77031.5</v>
      </c>
      <c r="AJ5111">
        <v>0</v>
      </c>
      <c r="AK5111">
        <v>0</v>
      </c>
      <c r="AL5111">
        <v>0</v>
      </c>
      <c r="AM5111">
        <v>51102</v>
      </c>
      <c r="AN5111">
        <v>25826.5</v>
      </c>
      <c r="AO5111">
        <v>76988.5</v>
      </c>
      <c r="AP5111">
        <v>0</v>
      </c>
      <c r="AQ5111">
        <v>-43</v>
      </c>
      <c r="AR5111">
        <v>-5.5821319849669315E-4</v>
      </c>
      <c r="AS5111" t="s">
        <v>239</v>
      </c>
      <c r="AT5111" t="s">
        <v>514</v>
      </c>
    </row>
    <row r="5112" spans="2:46" x14ac:dyDescent="0.35">
      <c r="B5112" t="s">
        <v>565</v>
      </c>
      <c r="C5112">
        <v>45990</v>
      </c>
      <c r="J5112">
        <v>0</v>
      </c>
      <c r="O5112" t="s">
        <v>239</v>
      </c>
      <c r="P5112" t="s">
        <v>514</v>
      </c>
      <c r="U5112">
        <v>-69</v>
      </c>
      <c r="Y5112">
        <v>698</v>
      </c>
      <c r="Z5112" s="259" t="s">
        <v>637</v>
      </c>
      <c r="AB5112">
        <v>29129</v>
      </c>
      <c r="AF5112">
        <v>76988.5</v>
      </c>
      <c r="AG5112">
        <v>60</v>
      </c>
      <c r="AI5112">
        <v>76988.5</v>
      </c>
      <c r="AJ5112">
        <v>0</v>
      </c>
      <c r="AK5112">
        <v>0</v>
      </c>
      <c r="AL5112">
        <v>0</v>
      </c>
      <c r="AM5112">
        <v>51102</v>
      </c>
      <c r="AN5112">
        <v>25826.5</v>
      </c>
      <c r="AO5112">
        <v>76988.5</v>
      </c>
      <c r="AP5112">
        <v>0</v>
      </c>
      <c r="AQ5112">
        <v>0</v>
      </c>
      <c r="AR5112">
        <v>0</v>
      </c>
      <c r="AS5112" t="s">
        <v>239</v>
      </c>
      <c r="AT5112" t="s">
        <v>514</v>
      </c>
    </row>
    <row r="5113" spans="2:46" x14ac:dyDescent="0.35">
      <c r="B5113" t="s">
        <v>565</v>
      </c>
      <c r="C5113">
        <v>45991</v>
      </c>
      <c r="J5113">
        <v>0</v>
      </c>
      <c r="O5113" t="s">
        <v>239</v>
      </c>
      <c r="P5113" t="s">
        <v>514</v>
      </c>
      <c r="U5113">
        <v>-69</v>
      </c>
      <c r="Y5113">
        <v>699</v>
      </c>
      <c r="Z5113" s="259" t="s">
        <v>637</v>
      </c>
      <c r="AB5113">
        <v>29129</v>
      </c>
      <c r="AF5113">
        <v>76988.5</v>
      </c>
      <c r="AG5113">
        <v>60</v>
      </c>
      <c r="AI5113">
        <v>76988.5</v>
      </c>
      <c r="AJ5113">
        <v>0</v>
      </c>
      <c r="AK5113">
        <v>0</v>
      </c>
      <c r="AL5113">
        <v>0</v>
      </c>
      <c r="AM5113">
        <v>51102</v>
      </c>
      <c r="AN5113">
        <v>25826.5</v>
      </c>
      <c r="AO5113">
        <v>76988.5</v>
      </c>
      <c r="AP5113">
        <v>0</v>
      </c>
      <c r="AQ5113">
        <v>0</v>
      </c>
      <c r="AR5113">
        <v>0</v>
      </c>
      <c r="AS5113" t="s">
        <v>239</v>
      </c>
      <c r="AT5113" t="s">
        <v>514</v>
      </c>
    </row>
    <row r="5114" spans="2:46" x14ac:dyDescent="0.35">
      <c r="B5114" t="s">
        <v>565</v>
      </c>
      <c r="C5114">
        <v>45992</v>
      </c>
      <c r="J5114">
        <v>0</v>
      </c>
      <c r="O5114" t="s">
        <v>239</v>
      </c>
      <c r="P5114" t="s">
        <v>514</v>
      </c>
      <c r="U5114">
        <v>-69</v>
      </c>
      <c r="Y5114">
        <v>700</v>
      </c>
      <c r="Z5114" s="259" t="s">
        <v>637</v>
      </c>
      <c r="AB5114">
        <v>29129</v>
      </c>
      <c r="AF5114">
        <v>76902</v>
      </c>
      <c r="AG5114">
        <v>60</v>
      </c>
      <c r="AI5114">
        <v>76988.5</v>
      </c>
      <c r="AJ5114">
        <v>0</v>
      </c>
      <c r="AK5114">
        <v>0</v>
      </c>
      <c r="AL5114">
        <v>0</v>
      </c>
      <c r="AM5114">
        <v>51102</v>
      </c>
      <c r="AN5114">
        <v>25740</v>
      </c>
      <c r="AO5114">
        <v>76902</v>
      </c>
      <c r="AP5114">
        <v>0</v>
      </c>
      <c r="AQ5114">
        <v>-86.5</v>
      </c>
      <c r="AR5114">
        <v>-1.1235444254661386E-3</v>
      </c>
      <c r="AS5114" t="s">
        <v>239</v>
      </c>
      <c r="AT5114" t="s">
        <v>514</v>
      </c>
    </row>
    <row r="5115" spans="2:46" x14ac:dyDescent="0.35">
      <c r="B5115" t="s">
        <v>565</v>
      </c>
      <c r="C5115">
        <v>45993</v>
      </c>
      <c r="J5115">
        <v>0</v>
      </c>
      <c r="O5115" t="s">
        <v>239</v>
      </c>
      <c r="P5115" t="s">
        <v>514</v>
      </c>
      <c r="U5115">
        <v>-69</v>
      </c>
      <c r="Y5115">
        <v>701</v>
      </c>
      <c r="Z5115" s="259" t="s">
        <v>637</v>
      </c>
      <c r="AB5115">
        <v>29129</v>
      </c>
      <c r="AF5115">
        <v>76895.5</v>
      </c>
      <c r="AG5115">
        <v>60</v>
      </c>
      <c r="AI5115">
        <v>76902</v>
      </c>
      <c r="AJ5115">
        <v>0</v>
      </c>
      <c r="AK5115">
        <v>0</v>
      </c>
      <c r="AL5115">
        <v>0</v>
      </c>
      <c r="AM5115">
        <v>51102</v>
      </c>
      <c r="AN5115">
        <v>25733.5</v>
      </c>
      <c r="AO5115">
        <v>76895.5</v>
      </c>
      <c r="AP5115">
        <v>0</v>
      </c>
      <c r="AQ5115">
        <v>-6.5</v>
      </c>
      <c r="AR5115">
        <v>-8.4523159345706311E-5</v>
      </c>
      <c r="AS5115" t="s">
        <v>239</v>
      </c>
      <c r="AT5115" t="s">
        <v>514</v>
      </c>
    </row>
    <row r="5116" spans="2:46" x14ac:dyDescent="0.35">
      <c r="B5116" t="s">
        <v>565</v>
      </c>
      <c r="C5116">
        <v>45994</v>
      </c>
      <c r="J5116">
        <v>0</v>
      </c>
      <c r="O5116" t="s">
        <v>239</v>
      </c>
      <c r="P5116" t="s">
        <v>514</v>
      </c>
      <c r="U5116">
        <v>-69</v>
      </c>
      <c r="Y5116">
        <v>702</v>
      </c>
      <c r="Z5116" s="259" t="s">
        <v>637</v>
      </c>
      <c r="AB5116">
        <v>29129</v>
      </c>
      <c r="AF5116">
        <v>76888.5</v>
      </c>
      <c r="AG5116">
        <v>60</v>
      </c>
      <c r="AI5116">
        <v>76895.5</v>
      </c>
      <c r="AJ5116">
        <v>0</v>
      </c>
      <c r="AK5116">
        <v>0</v>
      </c>
      <c r="AL5116">
        <v>0</v>
      </c>
      <c r="AM5116">
        <v>51102</v>
      </c>
      <c r="AN5116">
        <v>25726.5</v>
      </c>
      <c r="AO5116">
        <v>76888.5</v>
      </c>
      <c r="AP5116">
        <v>0</v>
      </c>
      <c r="AQ5116">
        <v>-7</v>
      </c>
      <c r="AR5116">
        <v>-9.1032635199717049E-5</v>
      </c>
      <c r="AS5116" t="s">
        <v>239</v>
      </c>
      <c r="AT5116" t="s">
        <v>514</v>
      </c>
    </row>
    <row r="5117" spans="2:46" x14ac:dyDescent="0.35">
      <c r="B5117" t="s">
        <v>565</v>
      </c>
      <c r="C5117">
        <v>45995</v>
      </c>
      <c r="J5117">
        <v>0</v>
      </c>
      <c r="O5117" t="s">
        <v>239</v>
      </c>
      <c r="P5117" t="s">
        <v>514</v>
      </c>
      <c r="U5117">
        <v>-69</v>
      </c>
      <c r="Y5117">
        <v>703</v>
      </c>
      <c r="Z5117" s="259" t="s">
        <v>637</v>
      </c>
      <c r="AB5117">
        <v>29129</v>
      </c>
      <c r="AF5117">
        <v>76882</v>
      </c>
      <c r="AG5117">
        <v>60</v>
      </c>
      <c r="AI5117">
        <v>76888.5</v>
      </c>
      <c r="AJ5117">
        <v>0</v>
      </c>
      <c r="AK5117">
        <v>0</v>
      </c>
      <c r="AL5117">
        <v>0</v>
      </c>
      <c r="AM5117">
        <v>51102</v>
      </c>
      <c r="AN5117">
        <v>25720</v>
      </c>
      <c r="AO5117">
        <v>76882</v>
      </c>
      <c r="AP5117">
        <v>0</v>
      </c>
      <c r="AQ5117">
        <v>-6.5</v>
      </c>
      <c r="AR5117">
        <v>-8.4537999830880395E-5</v>
      </c>
      <c r="AS5117" t="s">
        <v>239</v>
      </c>
      <c r="AT5117" t="s">
        <v>514</v>
      </c>
    </row>
    <row r="5118" spans="2:46" x14ac:dyDescent="0.35">
      <c r="B5118" t="s">
        <v>565</v>
      </c>
      <c r="C5118">
        <v>45996</v>
      </c>
      <c r="J5118">
        <v>0</v>
      </c>
      <c r="O5118" t="s">
        <v>239</v>
      </c>
      <c r="P5118" t="s">
        <v>514</v>
      </c>
      <c r="U5118">
        <v>-69</v>
      </c>
      <c r="Y5118">
        <v>704</v>
      </c>
      <c r="Z5118" s="259" t="s">
        <v>637</v>
      </c>
      <c r="AB5118">
        <v>29129</v>
      </c>
      <c r="AF5118">
        <v>76875.5</v>
      </c>
      <c r="AG5118">
        <v>60</v>
      </c>
      <c r="AI5118">
        <v>76882</v>
      </c>
      <c r="AJ5118">
        <v>0</v>
      </c>
      <c r="AK5118">
        <v>0</v>
      </c>
      <c r="AL5118">
        <v>0</v>
      </c>
      <c r="AM5118">
        <v>51102</v>
      </c>
      <c r="AN5118">
        <v>25713.5</v>
      </c>
      <c r="AO5118">
        <v>76875.5</v>
      </c>
      <c r="AP5118">
        <v>0</v>
      </c>
      <c r="AQ5118">
        <v>-6.5</v>
      </c>
      <c r="AR5118">
        <v>-8.4545147108538998E-5</v>
      </c>
      <c r="AS5118" t="s">
        <v>239</v>
      </c>
      <c r="AT5118" t="s">
        <v>514</v>
      </c>
    </row>
    <row r="5119" spans="2:46" x14ac:dyDescent="0.35">
      <c r="B5119" t="s">
        <v>565</v>
      </c>
      <c r="C5119">
        <v>45997</v>
      </c>
      <c r="J5119">
        <v>0</v>
      </c>
      <c r="O5119" t="s">
        <v>239</v>
      </c>
      <c r="P5119" t="s">
        <v>514</v>
      </c>
      <c r="U5119">
        <v>-69</v>
      </c>
      <c r="Y5119">
        <v>705</v>
      </c>
      <c r="Z5119" s="259" t="s">
        <v>637</v>
      </c>
      <c r="AB5119">
        <v>29129</v>
      </c>
      <c r="AF5119">
        <v>76875.5</v>
      </c>
      <c r="AG5119">
        <v>60</v>
      </c>
      <c r="AI5119">
        <v>76875.5</v>
      </c>
      <c r="AJ5119">
        <v>0</v>
      </c>
      <c r="AK5119">
        <v>0</v>
      </c>
      <c r="AL5119">
        <v>0</v>
      </c>
      <c r="AM5119">
        <v>51102</v>
      </c>
      <c r="AN5119">
        <v>25713.5</v>
      </c>
      <c r="AO5119">
        <v>76875.5</v>
      </c>
      <c r="AP5119">
        <v>0</v>
      </c>
      <c r="AQ5119">
        <v>0</v>
      </c>
      <c r="AR5119">
        <v>0</v>
      </c>
      <c r="AS5119" t="s">
        <v>239</v>
      </c>
      <c r="AT5119" t="s">
        <v>514</v>
      </c>
    </row>
    <row r="5120" spans="2:46" x14ac:dyDescent="0.35">
      <c r="B5120" t="s">
        <v>565</v>
      </c>
      <c r="C5120">
        <v>45998</v>
      </c>
      <c r="J5120">
        <v>0</v>
      </c>
      <c r="O5120" t="s">
        <v>239</v>
      </c>
      <c r="P5120" t="s">
        <v>514</v>
      </c>
      <c r="U5120">
        <v>-69</v>
      </c>
      <c r="Y5120">
        <v>706</v>
      </c>
      <c r="Z5120" s="259" t="s">
        <v>637</v>
      </c>
      <c r="AB5120">
        <v>29129</v>
      </c>
      <c r="AF5120">
        <v>76875.5</v>
      </c>
      <c r="AG5120">
        <v>60</v>
      </c>
      <c r="AI5120">
        <v>76875.5</v>
      </c>
      <c r="AJ5120">
        <v>0</v>
      </c>
      <c r="AK5120">
        <v>0</v>
      </c>
      <c r="AL5120">
        <v>0</v>
      </c>
      <c r="AM5120">
        <v>51102</v>
      </c>
      <c r="AN5120">
        <v>25713.5</v>
      </c>
      <c r="AO5120">
        <v>76875.5</v>
      </c>
      <c r="AP5120">
        <v>0</v>
      </c>
      <c r="AQ5120">
        <v>0</v>
      </c>
      <c r="AR5120">
        <v>0</v>
      </c>
      <c r="AS5120" t="s">
        <v>239</v>
      </c>
      <c r="AT5120" t="s">
        <v>514</v>
      </c>
    </row>
    <row r="5121" spans="2:46" x14ac:dyDescent="0.35">
      <c r="B5121" t="s">
        <v>565</v>
      </c>
      <c r="C5121">
        <v>45999</v>
      </c>
      <c r="J5121">
        <v>0</v>
      </c>
      <c r="O5121" t="s">
        <v>239</v>
      </c>
      <c r="P5121" t="s">
        <v>514</v>
      </c>
      <c r="U5121">
        <v>-69</v>
      </c>
      <c r="Y5121">
        <v>707</v>
      </c>
      <c r="Z5121" s="259" t="s">
        <v>637</v>
      </c>
      <c r="AB5121">
        <v>29129</v>
      </c>
      <c r="AF5121">
        <v>76855.5</v>
      </c>
      <c r="AG5121">
        <v>60</v>
      </c>
      <c r="AI5121">
        <v>76875.5</v>
      </c>
      <c r="AJ5121">
        <v>0</v>
      </c>
      <c r="AK5121">
        <v>0</v>
      </c>
      <c r="AL5121">
        <v>0</v>
      </c>
      <c r="AM5121">
        <v>51102</v>
      </c>
      <c r="AN5121">
        <v>25693.5</v>
      </c>
      <c r="AO5121">
        <v>76855.5</v>
      </c>
      <c r="AP5121">
        <v>0</v>
      </c>
      <c r="AQ5121">
        <v>-20</v>
      </c>
      <c r="AR5121">
        <v>-2.6016090952252213E-4</v>
      </c>
      <c r="AS5121" t="s">
        <v>239</v>
      </c>
      <c r="AT5121" t="s">
        <v>514</v>
      </c>
    </row>
    <row r="5122" spans="2:46" x14ac:dyDescent="0.35">
      <c r="B5122" t="s">
        <v>565</v>
      </c>
      <c r="C5122">
        <v>46000</v>
      </c>
      <c r="J5122">
        <v>0</v>
      </c>
      <c r="O5122" t="s">
        <v>239</v>
      </c>
      <c r="P5122" t="s">
        <v>514</v>
      </c>
      <c r="U5122">
        <v>-69</v>
      </c>
      <c r="Y5122">
        <v>708</v>
      </c>
      <c r="Z5122" s="259" t="s">
        <v>637</v>
      </c>
      <c r="AB5122">
        <v>29129</v>
      </c>
      <c r="AF5122">
        <v>76848.5</v>
      </c>
      <c r="AG5122">
        <v>60</v>
      </c>
      <c r="AI5122">
        <v>76855.5</v>
      </c>
      <c r="AJ5122">
        <v>0</v>
      </c>
      <c r="AK5122">
        <v>0</v>
      </c>
      <c r="AL5122">
        <v>0</v>
      </c>
      <c r="AM5122">
        <v>51102</v>
      </c>
      <c r="AN5122">
        <v>25686.5</v>
      </c>
      <c r="AO5122">
        <v>76848.5</v>
      </c>
      <c r="AP5122">
        <v>0</v>
      </c>
      <c r="AQ5122">
        <v>-7</v>
      </c>
      <c r="AR5122">
        <v>-9.1080013792099734E-5</v>
      </c>
      <c r="AS5122" t="s">
        <v>239</v>
      </c>
      <c r="AT5122" t="s">
        <v>514</v>
      </c>
    </row>
    <row r="5123" spans="2:46" x14ac:dyDescent="0.35">
      <c r="B5123" t="s">
        <v>565</v>
      </c>
      <c r="C5123">
        <v>46001</v>
      </c>
      <c r="J5123">
        <v>0</v>
      </c>
      <c r="O5123" t="s">
        <v>239</v>
      </c>
      <c r="P5123" t="s">
        <v>514</v>
      </c>
      <c r="U5123">
        <v>-69</v>
      </c>
      <c r="Y5123">
        <v>709</v>
      </c>
      <c r="Z5123" s="259" t="s">
        <v>637</v>
      </c>
      <c r="AB5123">
        <v>29129</v>
      </c>
      <c r="AF5123">
        <v>76842</v>
      </c>
      <c r="AG5123">
        <v>60</v>
      </c>
      <c r="AI5123">
        <v>76848.5</v>
      </c>
      <c r="AJ5123">
        <v>0</v>
      </c>
      <c r="AK5123">
        <v>0</v>
      </c>
      <c r="AL5123">
        <v>0</v>
      </c>
      <c r="AM5123">
        <v>51102</v>
      </c>
      <c r="AN5123">
        <v>25680</v>
      </c>
      <c r="AO5123">
        <v>76842</v>
      </c>
      <c r="AP5123">
        <v>0</v>
      </c>
      <c r="AQ5123">
        <v>-6.5</v>
      </c>
      <c r="AR5123">
        <v>-8.4582002251143429E-5</v>
      </c>
      <c r="AS5123" t="s">
        <v>239</v>
      </c>
      <c r="AT5123" t="s">
        <v>514</v>
      </c>
    </row>
    <row r="5124" spans="2:46" x14ac:dyDescent="0.35">
      <c r="B5124" t="s">
        <v>565</v>
      </c>
      <c r="C5124">
        <v>46002</v>
      </c>
      <c r="J5124">
        <v>0</v>
      </c>
      <c r="O5124" t="s">
        <v>239</v>
      </c>
      <c r="P5124" t="s">
        <v>514</v>
      </c>
      <c r="U5124">
        <v>-69</v>
      </c>
      <c r="Y5124">
        <v>710</v>
      </c>
      <c r="Z5124" s="259" t="s">
        <v>637</v>
      </c>
      <c r="AB5124">
        <v>29129</v>
      </c>
      <c r="AF5124">
        <v>76835.5</v>
      </c>
      <c r="AG5124">
        <v>60</v>
      </c>
      <c r="AI5124">
        <v>76842</v>
      </c>
      <c r="AJ5124">
        <v>0</v>
      </c>
      <c r="AK5124">
        <v>0</v>
      </c>
      <c r="AL5124">
        <v>0</v>
      </c>
      <c r="AM5124">
        <v>51102</v>
      </c>
      <c r="AN5124">
        <v>25673.5</v>
      </c>
      <c r="AO5124">
        <v>76835.5</v>
      </c>
      <c r="AP5124">
        <v>0</v>
      </c>
      <c r="AQ5124">
        <v>-6.5</v>
      </c>
      <c r="AR5124">
        <v>-8.4589156971404122E-5</v>
      </c>
      <c r="AS5124" t="s">
        <v>239</v>
      </c>
      <c r="AT5124" t="s">
        <v>514</v>
      </c>
    </row>
    <row r="5125" spans="2:46" x14ac:dyDescent="0.35">
      <c r="B5125" t="s">
        <v>565</v>
      </c>
      <c r="C5125">
        <v>46003</v>
      </c>
      <c r="J5125">
        <v>0</v>
      </c>
      <c r="O5125" t="s">
        <v>239</v>
      </c>
      <c r="P5125" t="s">
        <v>514</v>
      </c>
      <c r="U5125">
        <v>-69</v>
      </c>
      <c r="Y5125">
        <v>711</v>
      </c>
      <c r="Z5125" s="259" t="s">
        <v>637</v>
      </c>
      <c r="AB5125">
        <v>29129</v>
      </c>
      <c r="AF5125">
        <v>76828.5</v>
      </c>
      <c r="AG5125">
        <v>60</v>
      </c>
      <c r="AI5125">
        <v>76835.5</v>
      </c>
      <c r="AJ5125">
        <v>0</v>
      </c>
      <c r="AK5125">
        <v>0</v>
      </c>
      <c r="AL5125">
        <v>0</v>
      </c>
      <c r="AM5125">
        <v>51102</v>
      </c>
      <c r="AN5125">
        <v>25666.5</v>
      </c>
      <c r="AO5125">
        <v>76828.5</v>
      </c>
      <c r="AP5125">
        <v>0</v>
      </c>
      <c r="AQ5125">
        <v>-7</v>
      </c>
      <c r="AR5125">
        <v>-9.1103721587049158E-5</v>
      </c>
      <c r="AS5125" t="s">
        <v>239</v>
      </c>
      <c r="AT5125" t="s">
        <v>514</v>
      </c>
    </row>
    <row r="5126" spans="2:46" x14ac:dyDescent="0.35">
      <c r="B5126" t="s">
        <v>565</v>
      </c>
      <c r="C5126">
        <v>46004</v>
      </c>
      <c r="J5126">
        <v>0</v>
      </c>
      <c r="O5126" t="s">
        <v>239</v>
      </c>
      <c r="P5126" t="s">
        <v>514</v>
      </c>
      <c r="U5126">
        <v>-69</v>
      </c>
      <c r="Y5126">
        <v>712</v>
      </c>
      <c r="Z5126" s="259" t="s">
        <v>637</v>
      </c>
      <c r="AB5126">
        <v>29129</v>
      </c>
      <c r="AF5126">
        <v>76828.5</v>
      </c>
      <c r="AG5126">
        <v>60</v>
      </c>
      <c r="AI5126">
        <v>76828.5</v>
      </c>
      <c r="AJ5126">
        <v>0</v>
      </c>
      <c r="AK5126">
        <v>0</v>
      </c>
      <c r="AL5126">
        <v>0</v>
      </c>
      <c r="AM5126">
        <v>51102</v>
      </c>
      <c r="AN5126">
        <v>25666.5</v>
      </c>
      <c r="AO5126">
        <v>76828.5</v>
      </c>
      <c r="AP5126">
        <v>0</v>
      </c>
      <c r="AQ5126">
        <v>0</v>
      </c>
      <c r="AR5126">
        <v>0</v>
      </c>
      <c r="AS5126" t="s">
        <v>239</v>
      </c>
      <c r="AT5126" t="s">
        <v>514</v>
      </c>
    </row>
    <row r="5127" spans="2:46" x14ac:dyDescent="0.35">
      <c r="B5127" t="s">
        <v>565</v>
      </c>
      <c r="C5127">
        <v>46005</v>
      </c>
      <c r="J5127">
        <v>0</v>
      </c>
      <c r="O5127" t="s">
        <v>239</v>
      </c>
      <c r="P5127" t="s">
        <v>514</v>
      </c>
      <c r="U5127">
        <v>-69</v>
      </c>
      <c r="Y5127">
        <v>713</v>
      </c>
      <c r="Z5127" s="259" t="s">
        <v>637</v>
      </c>
      <c r="AB5127">
        <v>29129</v>
      </c>
      <c r="AF5127">
        <v>76828.5</v>
      </c>
      <c r="AG5127">
        <v>60</v>
      </c>
      <c r="AI5127">
        <v>76828.5</v>
      </c>
      <c r="AJ5127">
        <v>0</v>
      </c>
      <c r="AK5127">
        <v>0</v>
      </c>
      <c r="AL5127">
        <v>0</v>
      </c>
      <c r="AM5127">
        <v>51102</v>
      </c>
      <c r="AN5127">
        <v>25666.5</v>
      </c>
      <c r="AO5127">
        <v>76828.5</v>
      </c>
      <c r="AP5127">
        <v>0</v>
      </c>
      <c r="AQ5127">
        <v>0</v>
      </c>
      <c r="AR5127">
        <v>0</v>
      </c>
      <c r="AS5127" t="s">
        <v>239</v>
      </c>
      <c r="AT5127" t="s">
        <v>514</v>
      </c>
    </row>
    <row r="5128" spans="2:46" x14ac:dyDescent="0.35">
      <c r="B5128" t="s">
        <v>565</v>
      </c>
      <c r="C5128">
        <v>46006</v>
      </c>
      <c r="J5128">
        <v>0</v>
      </c>
      <c r="O5128" t="s">
        <v>239</v>
      </c>
      <c r="P5128" t="s">
        <v>514</v>
      </c>
      <c r="U5128">
        <v>-69</v>
      </c>
      <c r="Y5128">
        <v>714</v>
      </c>
      <c r="Z5128" s="259" t="s">
        <v>637</v>
      </c>
      <c r="AB5128">
        <v>29129</v>
      </c>
      <c r="AF5128">
        <v>76808.5</v>
      </c>
      <c r="AG5128">
        <v>0</v>
      </c>
      <c r="AI5128">
        <v>76828.5</v>
      </c>
      <c r="AJ5128">
        <v>0</v>
      </c>
      <c r="AK5128">
        <v>0</v>
      </c>
      <c r="AL5128">
        <v>0</v>
      </c>
      <c r="AM5128">
        <v>51162</v>
      </c>
      <c r="AN5128">
        <v>25646.5</v>
      </c>
      <c r="AO5128">
        <v>76808.5</v>
      </c>
      <c r="AP5128">
        <v>0</v>
      </c>
      <c r="AQ5128">
        <v>-20</v>
      </c>
      <c r="AR5128">
        <v>-2.6032006351806025E-4</v>
      </c>
      <c r="AS5128" t="s">
        <v>239</v>
      </c>
      <c r="AT5128" t="s">
        <v>514</v>
      </c>
    </row>
    <row r="5129" spans="2:46" x14ac:dyDescent="0.35">
      <c r="B5129" t="s">
        <v>565</v>
      </c>
      <c r="C5129">
        <v>46007</v>
      </c>
      <c r="J5129">
        <v>0</v>
      </c>
      <c r="O5129" t="s">
        <v>239</v>
      </c>
      <c r="P5129" t="s">
        <v>514</v>
      </c>
      <c r="U5129">
        <v>-69</v>
      </c>
      <c r="Y5129">
        <v>715</v>
      </c>
      <c r="Z5129" s="259" t="s">
        <v>637</v>
      </c>
      <c r="AB5129">
        <v>29129</v>
      </c>
      <c r="AF5129">
        <v>76802</v>
      </c>
      <c r="AG5129">
        <v>0</v>
      </c>
      <c r="AI5129">
        <v>76808.5</v>
      </c>
      <c r="AJ5129">
        <v>0</v>
      </c>
      <c r="AK5129">
        <v>0</v>
      </c>
      <c r="AL5129">
        <v>0</v>
      </c>
      <c r="AM5129">
        <v>51162</v>
      </c>
      <c r="AN5129">
        <v>25640</v>
      </c>
      <c r="AO5129">
        <v>76802</v>
      </c>
      <c r="AP5129">
        <v>0</v>
      </c>
      <c r="AQ5129">
        <v>-6.5</v>
      </c>
      <c r="AR5129">
        <v>-8.4626050502190076E-5</v>
      </c>
      <c r="AS5129" t="s">
        <v>239</v>
      </c>
      <c r="AT5129" t="s">
        <v>514</v>
      </c>
    </row>
    <row r="5130" spans="2:46" x14ac:dyDescent="0.35">
      <c r="B5130" t="s">
        <v>565</v>
      </c>
      <c r="C5130">
        <v>46008</v>
      </c>
      <c r="J5130">
        <v>0</v>
      </c>
      <c r="O5130" t="s">
        <v>239</v>
      </c>
      <c r="P5130" t="s">
        <v>514</v>
      </c>
      <c r="U5130">
        <v>-69</v>
      </c>
      <c r="Y5130">
        <v>716</v>
      </c>
      <c r="Z5130" s="259" t="s">
        <v>637</v>
      </c>
      <c r="AB5130">
        <v>29129</v>
      </c>
      <c r="AF5130">
        <v>76795.5</v>
      </c>
      <c r="AG5130">
        <v>0</v>
      </c>
      <c r="AI5130">
        <v>76802</v>
      </c>
      <c r="AJ5130">
        <v>0</v>
      </c>
      <c r="AK5130">
        <v>0</v>
      </c>
      <c r="AL5130">
        <v>0</v>
      </c>
      <c r="AM5130">
        <v>51162</v>
      </c>
      <c r="AN5130">
        <v>25633.5</v>
      </c>
      <c r="AO5130">
        <v>76795.5</v>
      </c>
      <c r="AP5130">
        <v>0</v>
      </c>
      <c r="AQ5130">
        <v>-6.5</v>
      </c>
      <c r="AR5130">
        <v>-8.4633212676710201E-5</v>
      </c>
      <c r="AS5130" t="s">
        <v>239</v>
      </c>
      <c r="AT5130" t="s">
        <v>514</v>
      </c>
    </row>
    <row r="5131" spans="2:46" x14ac:dyDescent="0.35">
      <c r="B5131" t="s">
        <v>565</v>
      </c>
      <c r="C5131">
        <v>46009</v>
      </c>
      <c r="J5131">
        <v>0</v>
      </c>
      <c r="O5131" t="s">
        <v>239</v>
      </c>
      <c r="P5131" t="s">
        <v>514</v>
      </c>
      <c r="U5131">
        <v>-69</v>
      </c>
      <c r="Y5131">
        <v>717</v>
      </c>
      <c r="Z5131" s="259" t="s">
        <v>637</v>
      </c>
      <c r="AB5131">
        <v>29129</v>
      </c>
      <c r="AF5131">
        <v>73788.5</v>
      </c>
      <c r="AG5131">
        <v>0</v>
      </c>
      <c r="AI5131">
        <v>76795.5</v>
      </c>
      <c r="AJ5131">
        <v>0</v>
      </c>
      <c r="AK5131">
        <v>-3000</v>
      </c>
      <c r="AL5131">
        <v>-3000</v>
      </c>
      <c r="AM5131">
        <v>48162</v>
      </c>
      <c r="AN5131">
        <v>25626.5</v>
      </c>
      <c r="AO5131">
        <v>73788.5</v>
      </c>
      <c r="AP5131">
        <v>0</v>
      </c>
      <c r="AQ5131">
        <v>-7</v>
      </c>
      <c r="AR5131">
        <v>-9.1151174222425801E-5</v>
      </c>
      <c r="AS5131" t="s">
        <v>239</v>
      </c>
      <c r="AT5131" t="s">
        <v>514</v>
      </c>
    </row>
    <row r="5132" spans="2:46" x14ac:dyDescent="0.35">
      <c r="B5132" t="s">
        <v>565</v>
      </c>
      <c r="C5132">
        <v>46010</v>
      </c>
      <c r="J5132">
        <v>0</v>
      </c>
      <c r="O5132" t="s">
        <v>239</v>
      </c>
      <c r="P5132" t="s">
        <v>514</v>
      </c>
      <c r="U5132">
        <v>-69</v>
      </c>
      <c r="Y5132">
        <v>718</v>
      </c>
      <c r="Z5132" s="259" t="s">
        <v>637</v>
      </c>
      <c r="AB5132">
        <v>29129</v>
      </c>
      <c r="AF5132">
        <v>73782</v>
      </c>
      <c r="AG5132">
        <v>0</v>
      </c>
      <c r="AI5132">
        <v>73788.5</v>
      </c>
      <c r="AJ5132">
        <v>0</v>
      </c>
      <c r="AK5132">
        <v>0</v>
      </c>
      <c r="AL5132">
        <v>0</v>
      </c>
      <c r="AM5132">
        <v>48162</v>
      </c>
      <c r="AN5132">
        <v>25620</v>
      </c>
      <c r="AO5132">
        <v>73782</v>
      </c>
      <c r="AP5132">
        <v>0</v>
      </c>
      <c r="AQ5132">
        <v>-6.5</v>
      </c>
      <c r="AR5132">
        <v>-8.8089607459207464E-5</v>
      </c>
      <c r="AS5132" t="s">
        <v>239</v>
      </c>
      <c r="AT5132" t="s">
        <v>514</v>
      </c>
    </row>
    <row r="5133" spans="2:46" x14ac:dyDescent="0.35">
      <c r="B5133" t="s">
        <v>565</v>
      </c>
      <c r="C5133">
        <v>46011</v>
      </c>
      <c r="J5133">
        <v>0</v>
      </c>
      <c r="O5133" t="s">
        <v>239</v>
      </c>
      <c r="P5133" t="s">
        <v>514</v>
      </c>
      <c r="U5133">
        <v>-69</v>
      </c>
      <c r="Y5133">
        <v>719</v>
      </c>
      <c r="Z5133" s="259" t="s">
        <v>637</v>
      </c>
      <c r="AB5133">
        <v>29129</v>
      </c>
      <c r="AF5133">
        <v>73782</v>
      </c>
      <c r="AG5133">
        <v>0</v>
      </c>
      <c r="AI5133">
        <v>73782</v>
      </c>
      <c r="AJ5133">
        <v>0</v>
      </c>
      <c r="AK5133">
        <v>0</v>
      </c>
      <c r="AL5133">
        <v>0</v>
      </c>
      <c r="AM5133">
        <v>48162</v>
      </c>
      <c r="AN5133">
        <v>25620</v>
      </c>
      <c r="AO5133">
        <v>73782</v>
      </c>
      <c r="AP5133">
        <v>0</v>
      </c>
      <c r="AQ5133">
        <v>0</v>
      </c>
      <c r="AR5133">
        <v>0</v>
      </c>
      <c r="AS5133" t="s">
        <v>239</v>
      </c>
      <c r="AT5133" t="s">
        <v>514</v>
      </c>
    </row>
    <row r="5134" spans="2:46" x14ac:dyDescent="0.35">
      <c r="B5134" t="s">
        <v>565</v>
      </c>
      <c r="C5134">
        <v>46012</v>
      </c>
      <c r="J5134">
        <v>0</v>
      </c>
      <c r="O5134" t="s">
        <v>239</v>
      </c>
      <c r="P5134" t="s">
        <v>514</v>
      </c>
      <c r="U5134">
        <v>-69</v>
      </c>
      <c r="Y5134">
        <v>720</v>
      </c>
      <c r="Z5134" s="259" t="s">
        <v>637</v>
      </c>
      <c r="AB5134">
        <v>29129</v>
      </c>
      <c r="AF5134">
        <v>73782</v>
      </c>
      <c r="AG5134">
        <v>0</v>
      </c>
      <c r="AI5134">
        <v>73782</v>
      </c>
      <c r="AJ5134">
        <v>0</v>
      </c>
      <c r="AK5134">
        <v>0</v>
      </c>
      <c r="AL5134">
        <v>0</v>
      </c>
      <c r="AM5134">
        <v>48162</v>
      </c>
      <c r="AN5134">
        <v>25620</v>
      </c>
      <c r="AO5134">
        <v>73782</v>
      </c>
      <c r="AP5134">
        <v>0</v>
      </c>
      <c r="AQ5134">
        <v>0</v>
      </c>
      <c r="AR5134">
        <v>0</v>
      </c>
      <c r="AS5134" t="s">
        <v>239</v>
      </c>
      <c r="AT5134" t="s">
        <v>514</v>
      </c>
    </row>
    <row r="5135" spans="2:46" x14ac:dyDescent="0.35">
      <c r="B5135" t="s">
        <v>565</v>
      </c>
      <c r="C5135">
        <v>46013</v>
      </c>
      <c r="J5135">
        <v>0</v>
      </c>
      <c r="O5135" t="s">
        <v>239</v>
      </c>
      <c r="P5135" t="s">
        <v>514</v>
      </c>
      <c r="U5135">
        <v>-69</v>
      </c>
      <c r="Y5135">
        <v>721</v>
      </c>
      <c r="Z5135" s="259" t="s">
        <v>637</v>
      </c>
      <c r="AB5135">
        <v>29129</v>
      </c>
      <c r="AF5135">
        <v>73762</v>
      </c>
      <c r="AG5135">
        <v>0</v>
      </c>
      <c r="AI5135">
        <v>73782</v>
      </c>
      <c r="AJ5135">
        <v>0</v>
      </c>
      <c r="AK5135">
        <v>0</v>
      </c>
      <c r="AL5135">
        <v>0</v>
      </c>
      <c r="AM5135">
        <v>48162</v>
      </c>
      <c r="AN5135">
        <v>25600</v>
      </c>
      <c r="AO5135">
        <v>73762</v>
      </c>
      <c r="AP5135">
        <v>0</v>
      </c>
      <c r="AQ5135">
        <v>-20</v>
      </c>
      <c r="AR5135">
        <v>-2.7106882437455404E-4</v>
      </c>
      <c r="AS5135" t="s">
        <v>239</v>
      </c>
      <c r="AT5135" t="s">
        <v>514</v>
      </c>
    </row>
    <row r="5136" spans="2:46" x14ac:dyDescent="0.35">
      <c r="B5136" t="s">
        <v>565</v>
      </c>
      <c r="C5136">
        <v>46014</v>
      </c>
      <c r="J5136">
        <v>0</v>
      </c>
      <c r="O5136" t="s">
        <v>239</v>
      </c>
      <c r="P5136" t="s">
        <v>514</v>
      </c>
      <c r="U5136">
        <v>-69</v>
      </c>
      <c r="Y5136">
        <v>722</v>
      </c>
      <c r="Z5136" s="259" t="s">
        <v>637</v>
      </c>
      <c r="AB5136">
        <v>29129</v>
      </c>
      <c r="AF5136">
        <v>73755.5</v>
      </c>
      <c r="AG5136">
        <v>0</v>
      </c>
      <c r="AI5136">
        <v>73762</v>
      </c>
      <c r="AJ5136">
        <v>0</v>
      </c>
      <c r="AK5136">
        <v>0</v>
      </c>
      <c r="AL5136">
        <v>0</v>
      </c>
      <c r="AM5136">
        <v>48162</v>
      </c>
      <c r="AN5136">
        <v>25593.5</v>
      </c>
      <c r="AO5136">
        <v>73755.5</v>
      </c>
      <c r="AP5136">
        <v>0</v>
      </c>
      <c r="AQ5136">
        <v>-6.5</v>
      </c>
      <c r="AR5136">
        <v>-8.8121254846695862E-5</v>
      </c>
      <c r="AS5136" t="s">
        <v>239</v>
      </c>
      <c r="AT5136" t="s">
        <v>514</v>
      </c>
    </row>
    <row r="5137" spans="2:46" x14ac:dyDescent="0.35">
      <c r="B5137" t="s">
        <v>565</v>
      </c>
      <c r="C5137">
        <v>46015</v>
      </c>
      <c r="J5137">
        <v>0</v>
      </c>
      <c r="O5137" t="s">
        <v>239</v>
      </c>
      <c r="P5137" t="s">
        <v>514</v>
      </c>
      <c r="U5137">
        <v>-69</v>
      </c>
      <c r="Y5137">
        <v>723</v>
      </c>
      <c r="Z5137" s="259" t="s">
        <v>637</v>
      </c>
      <c r="AB5137">
        <v>29129</v>
      </c>
      <c r="AF5137">
        <v>73748.5</v>
      </c>
      <c r="AG5137">
        <v>0</v>
      </c>
      <c r="AI5137">
        <v>73755.5</v>
      </c>
      <c r="AJ5137">
        <v>0</v>
      </c>
      <c r="AK5137">
        <v>0</v>
      </c>
      <c r="AL5137">
        <v>0</v>
      </c>
      <c r="AM5137">
        <v>48162</v>
      </c>
      <c r="AN5137">
        <v>25586.5</v>
      </c>
      <c r="AO5137">
        <v>73748.5</v>
      </c>
      <c r="AP5137">
        <v>0</v>
      </c>
      <c r="AQ5137">
        <v>-7</v>
      </c>
      <c r="AR5137">
        <v>-9.4908176339392192E-5</v>
      </c>
      <c r="AS5137" t="s">
        <v>239</v>
      </c>
      <c r="AT5137" t="s">
        <v>514</v>
      </c>
    </row>
    <row r="5138" spans="2:46" x14ac:dyDescent="0.35">
      <c r="B5138" t="s">
        <v>565</v>
      </c>
      <c r="C5138">
        <v>46016</v>
      </c>
      <c r="J5138">
        <v>0</v>
      </c>
      <c r="O5138" t="s">
        <v>239</v>
      </c>
      <c r="P5138" t="s">
        <v>514</v>
      </c>
      <c r="U5138">
        <v>-69</v>
      </c>
      <c r="Y5138">
        <v>724</v>
      </c>
      <c r="Z5138" s="259" t="s">
        <v>637</v>
      </c>
      <c r="AB5138">
        <v>29129</v>
      </c>
      <c r="AF5138">
        <v>73742</v>
      </c>
      <c r="AG5138">
        <v>0</v>
      </c>
      <c r="AI5138">
        <v>73748.5</v>
      </c>
      <c r="AJ5138">
        <v>0</v>
      </c>
      <c r="AK5138">
        <v>0</v>
      </c>
      <c r="AL5138">
        <v>0</v>
      </c>
      <c r="AM5138">
        <v>48162</v>
      </c>
      <c r="AN5138">
        <v>25580</v>
      </c>
      <c r="AO5138">
        <v>73742</v>
      </c>
      <c r="AP5138">
        <v>0</v>
      </c>
      <c r="AQ5138">
        <v>-6.5</v>
      </c>
      <c r="AR5138">
        <v>-8.8137385845121763E-5</v>
      </c>
      <c r="AS5138" t="s">
        <v>239</v>
      </c>
      <c r="AT5138" t="s">
        <v>514</v>
      </c>
    </row>
    <row r="5139" spans="2:46" x14ac:dyDescent="0.35">
      <c r="B5139" t="s">
        <v>565</v>
      </c>
      <c r="C5139">
        <v>46017</v>
      </c>
      <c r="J5139">
        <v>0</v>
      </c>
      <c r="O5139" t="s">
        <v>239</v>
      </c>
      <c r="P5139" t="s">
        <v>514</v>
      </c>
      <c r="U5139">
        <v>-69</v>
      </c>
      <c r="Y5139">
        <v>725</v>
      </c>
      <c r="Z5139" s="259" t="s">
        <v>637</v>
      </c>
      <c r="AB5139">
        <v>29129</v>
      </c>
      <c r="AF5139">
        <v>73735.5</v>
      </c>
      <c r="AG5139">
        <v>0</v>
      </c>
      <c r="AI5139">
        <v>73742</v>
      </c>
      <c r="AJ5139">
        <v>0</v>
      </c>
      <c r="AK5139">
        <v>0</v>
      </c>
      <c r="AL5139">
        <v>0</v>
      </c>
      <c r="AM5139">
        <v>48162</v>
      </c>
      <c r="AN5139">
        <v>25573.5</v>
      </c>
      <c r="AO5139">
        <v>73735.5</v>
      </c>
      <c r="AP5139">
        <v>0</v>
      </c>
      <c r="AQ5139">
        <v>-6.5</v>
      </c>
      <c r="AR5139">
        <v>-8.8145154728658248E-5</v>
      </c>
      <c r="AS5139" t="s">
        <v>239</v>
      </c>
      <c r="AT5139" t="s">
        <v>514</v>
      </c>
    </row>
    <row r="5140" spans="2:46" x14ac:dyDescent="0.35">
      <c r="B5140" t="s">
        <v>565</v>
      </c>
      <c r="C5140">
        <v>46018</v>
      </c>
      <c r="J5140">
        <v>0</v>
      </c>
      <c r="O5140" t="s">
        <v>239</v>
      </c>
      <c r="P5140" t="s">
        <v>514</v>
      </c>
      <c r="U5140">
        <v>-69</v>
      </c>
      <c r="Y5140">
        <v>726</v>
      </c>
      <c r="Z5140" s="259" t="s">
        <v>637</v>
      </c>
      <c r="AB5140">
        <v>29129</v>
      </c>
      <c r="AF5140">
        <v>73735.5</v>
      </c>
      <c r="AG5140">
        <v>0</v>
      </c>
      <c r="AI5140">
        <v>73735.5</v>
      </c>
      <c r="AJ5140">
        <v>0</v>
      </c>
      <c r="AK5140">
        <v>0</v>
      </c>
      <c r="AL5140">
        <v>0</v>
      </c>
      <c r="AM5140">
        <v>48162</v>
      </c>
      <c r="AN5140">
        <v>25573.5</v>
      </c>
      <c r="AO5140">
        <v>73735.5</v>
      </c>
      <c r="AP5140">
        <v>0</v>
      </c>
      <c r="AQ5140">
        <v>0</v>
      </c>
      <c r="AR5140">
        <v>0</v>
      </c>
      <c r="AS5140" t="s">
        <v>239</v>
      </c>
      <c r="AT5140" t="s">
        <v>514</v>
      </c>
    </row>
    <row r="5141" spans="2:46" x14ac:dyDescent="0.35">
      <c r="B5141" t="s">
        <v>565</v>
      </c>
      <c r="C5141">
        <v>46019</v>
      </c>
      <c r="J5141">
        <v>0</v>
      </c>
      <c r="O5141" t="s">
        <v>239</v>
      </c>
      <c r="P5141" t="s">
        <v>514</v>
      </c>
      <c r="U5141">
        <v>-69</v>
      </c>
      <c r="Y5141">
        <v>727</v>
      </c>
      <c r="Z5141" s="259" t="s">
        <v>637</v>
      </c>
      <c r="AB5141">
        <v>29129</v>
      </c>
      <c r="AF5141">
        <v>73735.5</v>
      </c>
      <c r="AG5141">
        <v>0</v>
      </c>
      <c r="AI5141">
        <v>73735.5</v>
      </c>
      <c r="AJ5141">
        <v>0</v>
      </c>
      <c r="AK5141">
        <v>0</v>
      </c>
      <c r="AL5141">
        <v>0</v>
      </c>
      <c r="AM5141">
        <v>48162</v>
      </c>
      <c r="AN5141">
        <v>25573.5</v>
      </c>
      <c r="AO5141">
        <v>73735.5</v>
      </c>
      <c r="AP5141">
        <v>0</v>
      </c>
      <c r="AQ5141">
        <v>0</v>
      </c>
      <c r="AR5141">
        <v>0</v>
      </c>
      <c r="AS5141" t="s">
        <v>239</v>
      </c>
      <c r="AT5141" t="s">
        <v>514</v>
      </c>
    </row>
    <row r="5142" spans="2:46" x14ac:dyDescent="0.35">
      <c r="B5142" t="s">
        <v>565</v>
      </c>
      <c r="C5142">
        <v>46020</v>
      </c>
      <c r="J5142">
        <v>0</v>
      </c>
      <c r="O5142" t="s">
        <v>239</v>
      </c>
      <c r="P5142" t="s">
        <v>514</v>
      </c>
      <c r="U5142">
        <v>-69</v>
      </c>
      <c r="Y5142">
        <v>728</v>
      </c>
      <c r="Z5142" s="259" t="s">
        <v>637</v>
      </c>
      <c r="AB5142">
        <v>29129</v>
      </c>
      <c r="AF5142">
        <v>73715.5</v>
      </c>
      <c r="AG5142">
        <v>0</v>
      </c>
      <c r="AI5142">
        <v>73735.5</v>
      </c>
      <c r="AJ5142">
        <v>0</v>
      </c>
      <c r="AK5142">
        <v>0</v>
      </c>
      <c r="AL5142">
        <v>0</v>
      </c>
      <c r="AM5142">
        <v>48162</v>
      </c>
      <c r="AN5142">
        <v>25553.5</v>
      </c>
      <c r="AO5142">
        <v>73715.5</v>
      </c>
      <c r="AP5142">
        <v>0</v>
      </c>
      <c r="AQ5142">
        <v>-20</v>
      </c>
      <c r="AR5142">
        <v>-2.7123976917498016E-4</v>
      </c>
      <c r="AS5142" t="s">
        <v>239</v>
      </c>
      <c r="AT5142" t="s">
        <v>514</v>
      </c>
    </row>
    <row r="5143" spans="2:46" x14ac:dyDescent="0.35">
      <c r="B5143" t="s">
        <v>565</v>
      </c>
      <c r="C5143">
        <v>46021</v>
      </c>
      <c r="J5143">
        <v>0</v>
      </c>
      <c r="O5143" t="s">
        <v>239</v>
      </c>
      <c r="P5143" t="s">
        <v>514</v>
      </c>
      <c r="U5143">
        <v>-69</v>
      </c>
      <c r="Y5143">
        <v>729</v>
      </c>
      <c r="Z5143" s="259" t="s">
        <v>637</v>
      </c>
      <c r="AB5143">
        <v>29129</v>
      </c>
      <c r="AF5143">
        <v>73708.5</v>
      </c>
      <c r="AG5143">
        <v>0</v>
      </c>
      <c r="AI5143">
        <v>73715.5</v>
      </c>
      <c r="AJ5143">
        <v>0</v>
      </c>
      <c r="AK5143">
        <v>0</v>
      </c>
      <c r="AL5143">
        <v>0</v>
      </c>
      <c r="AM5143">
        <v>48162</v>
      </c>
      <c r="AN5143">
        <v>25546.5</v>
      </c>
      <c r="AO5143">
        <v>73708.5</v>
      </c>
      <c r="AP5143">
        <v>0</v>
      </c>
      <c r="AQ5143">
        <v>-7</v>
      </c>
      <c r="AR5143">
        <v>-9.495967605188671E-5</v>
      </c>
      <c r="AS5143" t="s">
        <v>239</v>
      </c>
      <c r="AT5143" t="s">
        <v>514</v>
      </c>
    </row>
    <row r="5144" spans="2:46" x14ac:dyDescent="0.35">
      <c r="B5144" t="s">
        <v>565</v>
      </c>
      <c r="C5144">
        <v>46022</v>
      </c>
      <c r="J5144">
        <v>20</v>
      </c>
      <c r="O5144" t="s">
        <v>239</v>
      </c>
      <c r="P5144" t="s">
        <v>514</v>
      </c>
      <c r="U5144">
        <v>-69</v>
      </c>
      <c r="Y5144">
        <v>730</v>
      </c>
      <c r="Z5144" s="259" t="s">
        <v>637</v>
      </c>
      <c r="AB5144">
        <v>29129</v>
      </c>
      <c r="AF5144">
        <v>73682</v>
      </c>
      <c r="AG5144">
        <v>0</v>
      </c>
      <c r="AI5144">
        <v>73708.5</v>
      </c>
      <c r="AJ5144">
        <v>0</v>
      </c>
      <c r="AK5144">
        <v>0</v>
      </c>
      <c r="AL5144">
        <v>0</v>
      </c>
      <c r="AM5144">
        <v>48142</v>
      </c>
      <c r="AN5144">
        <v>25540</v>
      </c>
      <c r="AO5144">
        <v>73682</v>
      </c>
      <c r="AP5144">
        <v>0</v>
      </c>
      <c r="AQ5144">
        <v>-26.5</v>
      </c>
      <c r="AR5144">
        <v>-3.5952434251140808E-4</v>
      </c>
      <c r="AS5144" t="s">
        <v>239</v>
      </c>
      <c r="AT5144" t="s">
        <v>514</v>
      </c>
    </row>
    <row r="5145" spans="2:46" x14ac:dyDescent="0.35">
      <c r="B5145" t="s">
        <v>566</v>
      </c>
      <c r="C5145">
        <v>45658</v>
      </c>
      <c r="J5145">
        <v>0</v>
      </c>
      <c r="O5145" t="s">
        <v>239</v>
      </c>
      <c r="P5145" t="s">
        <v>514</v>
      </c>
      <c r="U5145">
        <v>0</v>
      </c>
      <c r="Y5145">
        <v>731</v>
      </c>
      <c r="Z5145" s="259" t="s">
        <v>637</v>
      </c>
      <c r="AB5145">
        <v>0</v>
      </c>
      <c r="AF5145">
        <v>40000</v>
      </c>
      <c r="AG5145">
        <v>0</v>
      </c>
      <c r="AI5145">
        <v>0</v>
      </c>
      <c r="AJ5145">
        <v>40000</v>
      </c>
      <c r="AK5145">
        <v>0</v>
      </c>
      <c r="AL5145">
        <v>40000</v>
      </c>
      <c r="AM5145">
        <v>40000</v>
      </c>
      <c r="AN5145">
        <v>0</v>
      </c>
      <c r="AO5145">
        <v>40000</v>
      </c>
      <c r="AP5145">
        <v>0</v>
      </c>
      <c r="AQ5145">
        <v>0</v>
      </c>
      <c r="AR5145">
        <v>0</v>
      </c>
      <c r="AS5145" t="s">
        <v>239</v>
      </c>
      <c r="AT5145" t="s">
        <v>514</v>
      </c>
    </row>
    <row r="5146" spans="2:46" x14ac:dyDescent="0.35">
      <c r="B5146" t="s">
        <v>566</v>
      </c>
      <c r="C5146">
        <v>45659</v>
      </c>
      <c r="J5146">
        <v>0</v>
      </c>
      <c r="O5146" t="s">
        <v>239</v>
      </c>
      <c r="P5146" t="s">
        <v>514</v>
      </c>
      <c r="U5146">
        <v>0</v>
      </c>
      <c r="Y5146">
        <v>732</v>
      </c>
      <c r="Z5146" s="259" t="s">
        <v>637</v>
      </c>
      <c r="AB5146">
        <v>0</v>
      </c>
      <c r="AF5146">
        <v>40000</v>
      </c>
      <c r="AG5146">
        <v>0</v>
      </c>
      <c r="AI5146">
        <v>40000</v>
      </c>
      <c r="AJ5146">
        <v>0</v>
      </c>
      <c r="AK5146">
        <v>0</v>
      </c>
      <c r="AL5146">
        <v>0</v>
      </c>
      <c r="AM5146">
        <v>40000</v>
      </c>
      <c r="AN5146">
        <v>0</v>
      </c>
      <c r="AO5146">
        <v>40000</v>
      </c>
      <c r="AP5146">
        <v>0</v>
      </c>
      <c r="AQ5146">
        <v>0</v>
      </c>
      <c r="AR5146">
        <v>0</v>
      </c>
      <c r="AS5146" t="s">
        <v>239</v>
      </c>
      <c r="AT5146" t="s">
        <v>514</v>
      </c>
    </row>
    <row r="5147" spans="2:46" x14ac:dyDescent="0.35">
      <c r="B5147" t="s">
        <v>566</v>
      </c>
      <c r="C5147">
        <v>45660</v>
      </c>
      <c r="J5147">
        <v>0</v>
      </c>
      <c r="O5147" t="s">
        <v>239</v>
      </c>
      <c r="P5147" t="s">
        <v>514</v>
      </c>
      <c r="U5147">
        <v>0</v>
      </c>
      <c r="Y5147">
        <v>733</v>
      </c>
      <c r="Z5147" s="259" t="s">
        <v>637</v>
      </c>
      <c r="AB5147">
        <v>0</v>
      </c>
      <c r="AF5147">
        <v>40000</v>
      </c>
      <c r="AG5147">
        <v>0</v>
      </c>
      <c r="AI5147">
        <v>40000</v>
      </c>
      <c r="AJ5147">
        <v>0</v>
      </c>
      <c r="AK5147">
        <v>0</v>
      </c>
      <c r="AL5147">
        <v>0</v>
      </c>
      <c r="AM5147">
        <v>40000</v>
      </c>
      <c r="AN5147">
        <v>0</v>
      </c>
      <c r="AO5147">
        <v>40000</v>
      </c>
      <c r="AP5147">
        <v>0</v>
      </c>
      <c r="AQ5147">
        <v>0</v>
      </c>
      <c r="AR5147">
        <v>0</v>
      </c>
      <c r="AS5147" t="s">
        <v>239</v>
      </c>
      <c r="AT5147" t="s">
        <v>514</v>
      </c>
    </row>
    <row r="5148" spans="2:46" x14ac:dyDescent="0.35">
      <c r="B5148" t="s">
        <v>566</v>
      </c>
      <c r="C5148">
        <v>45661</v>
      </c>
      <c r="J5148">
        <v>0</v>
      </c>
      <c r="O5148" t="s">
        <v>239</v>
      </c>
      <c r="P5148" t="s">
        <v>514</v>
      </c>
      <c r="U5148">
        <v>0</v>
      </c>
      <c r="Y5148">
        <v>734</v>
      </c>
      <c r="Z5148" s="259" t="s">
        <v>637</v>
      </c>
      <c r="AB5148">
        <v>0</v>
      </c>
      <c r="AF5148">
        <v>40000</v>
      </c>
      <c r="AG5148">
        <v>0</v>
      </c>
      <c r="AI5148">
        <v>40000</v>
      </c>
      <c r="AJ5148">
        <v>0</v>
      </c>
      <c r="AK5148">
        <v>0</v>
      </c>
      <c r="AL5148">
        <v>0</v>
      </c>
      <c r="AM5148">
        <v>40000</v>
      </c>
      <c r="AN5148">
        <v>0</v>
      </c>
      <c r="AO5148">
        <v>40000</v>
      </c>
      <c r="AP5148">
        <v>0</v>
      </c>
      <c r="AQ5148">
        <v>0</v>
      </c>
      <c r="AR5148">
        <v>0</v>
      </c>
      <c r="AS5148" t="s">
        <v>239</v>
      </c>
      <c r="AT5148" t="s">
        <v>514</v>
      </c>
    </row>
    <row r="5149" spans="2:46" x14ac:dyDescent="0.35">
      <c r="B5149" t="s">
        <v>566</v>
      </c>
      <c r="C5149">
        <v>45662</v>
      </c>
      <c r="J5149">
        <v>0</v>
      </c>
      <c r="O5149" t="s">
        <v>239</v>
      </c>
      <c r="P5149" t="s">
        <v>514</v>
      </c>
      <c r="U5149">
        <v>0</v>
      </c>
      <c r="Y5149">
        <v>735</v>
      </c>
      <c r="Z5149" s="259" t="s">
        <v>637</v>
      </c>
      <c r="AB5149">
        <v>0</v>
      </c>
      <c r="AF5149">
        <v>40000</v>
      </c>
      <c r="AG5149">
        <v>0</v>
      </c>
      <c r="AI5149">
        <v>40000</v>
      </c>
      <c r="AJ5149">
        <v>0</v>
      </c>
      <c r="AK5149">
        <v>0</v>
      </c>
      <c r="AL5149">
        <v>0</v>
      </c>
      <c r="AM5149">
        <v>40000</v>
      </c>
      <c r="AN5149">
        <v>0</v>
      </c>
      <c r="AO5149">
        <v>40000</v>
      </c>
      <c r="AP5149">
        <v>0</v>
      </c>
      <c r="AQ5149">
        <v>0</v>
      </c>
      <c r="AR5149">
        <v>0</v>
      </c>
      <c r="AS5149" t="s">
        <v>239</v>
      </c>
      <c r="AT5149" t="s">
        <v>514</v>
      </c>
    </row>
    <row r="5150" spans="2:46" x14ac:dyDescent="0.35">
      <c r="B5150" t="s">
        <v>566</v>
      </c>
      <c r="C5150">
        <v>45663</v>
      </c>
      <c r="J5150">
        <v>0</v>
      </c>
      <c r="O5150" t="s">
        <v>239</v>
      </c>
      <c r="P5150" t="s">
        <v>514</v>
      </c>
      <c r="U5150">
        <v>0</v>
      </c>
      <c r="Y5150">
        <v>736</v>
      </c>
      <c r="Z5150" s="259" t="s">
        <v>637</v>
      </c>
      <c r="AB5150">
        <v>0</v>
      </c>
      <c r="AF5150">
        <v>40000</v>
      </c>
      <c r="AG5150">
        <v>0</v>
      </c>
      <c r="AI5150">
        <v>40000</v>
      </c>
      <c r="AJ5150">
        <v>0</v>
      </c>
      <c r="AK5150">
        <v>0</v>
      </c>
      <c r="AL5150">
        <v>0</v>
      </c>
      <c r="AM5150">
        <v>40000</v>
      </c>
      <c r="AN5150">
        <v>0</v>
      </c>
      <c r="AO5150">
        <v>40000</v>
      </c>
      <c r="AP5150">
        <v>0</v>
      </c>
      <c r="AQ5150">
        <v>0</v>
      </c>
      <c r="AR5150">
        <v>0</v>
      </c>
      <c r="AS5150" t="s">
        <v>239</v>
      </c>
      <c r="AT5150" t="s">
        <v>514</v>
      </c>
    </row>
    <row r="5151" spans="2:46" x14ac:dyDescent="0.35">
      <c r="B5151" t="s">
        <v>566</v>
      </c>
      <c r="C5151">
        <v>45664</v>
      </c>
      <c r="J5151">
        <v>0</v>
      </c>
      <c r="O5151" t="s">
        <v>239</v>
      </c>
      <c r="P5151" t="s">
        <v>514</v>
      </c>
      <c r="U5151">
        <v>0</v>
      </c>
      <c r="Y5151">
        <v>737</v>
      </c>
      <c r="Z5151" s="259" t="s">
        <v>637</v>
      </c>
      <c r="AB5151">
        <v>0</v>
      </c>
      <c r="AF5151">
        <v>40000</v>
      </c>
      <c r="AG5151">
        <v>0</v>
      </c>
      <c r="AI5151">
        <v>40000</v>
      </c>
      <c r="AJ5151">
        <v>0</v>
      </c>
      <c r="AK5151">
        <v>0</v>
      </c>
      <c r="AL5151">
        <v>0</v>
      </c>
      <c r="AM5151">
        <v>40000</v>
      </c>
      <c r="AN5151">
        <v>0</v>
      </c>
      <c r="AO5151">
        <v>40000</v>
      </c>
      <c r="AP5151">
        <v>0</v>
      </c>
      <c r="AQ5151">
        <v>0</v>
      </c>
      <c r="AR5151">
        <v>0</v>
      </c>
      <c r="AS5151" t="s">
        <v>239</v>
      </c>
      <c r="AT5151" t="s">
        <v>514</v>
      </c>
    </row>
    <row r="5152" spans="2:46" x14ac:dyDescent="0.35">
      <c r="B5152" t="s">
        <v>566</v>
      </c>
      <c r="C5152">
        <v>45665</v>
      </c>
      <c r="J5152">
        <v>0</v>
      </c>
      <c r="O5152" t="s">
        <v>239</v>
      </c>
      <c r="P5152" t="s">
        <v>514</v>
      </c>
      <c r="U5152">
        <v>0</v>
      </c>
      <c r="Y5152">
        <v>738</v>
      </c>
      <c r="Z5152" s="259" t="s">
        <v>637</v>
      </c>
      <c r="AB5152">
        <v>0</v>
      </c>
      <c r="AF5152">
        <v>40000</v>
      </c>
      <c r="AG5152">
        <v>0</v>
      </c>
      <c r="AI5152">
        <v>40000</v>
      </c>
      <c r="AJ5152">
        <v>0</v>
      </c>
      <c r="AK5152">
        <v>0</v>
      </c>
      <c r="AL5152">
        <v>0</v>
      </c>
      <c r="AM5152">
        <v>40000</v>
      </c>
      <c r="AN5152">
        <v>0</v>
      </c>
      <c r="AO5152">
        <v>40000</v>
      </c>
      <c r="AP5152">
        <v>0</v>
      </c>
      <c r="AQ5152">
        <v>0</v>
      </c>
      <c r="AR5152">
        <v>0</v>
      </c>
      <c r="AS5152" t="s">
        <v>239</v>
      </c>
      <c r="AT5152" t="s">
        <v>514</v>
      </c>
    </row>
    <row r="5153" spans="2:46" x14ac:dyDescent="0.35">
      <c r="B5153" t="s">
        <v>566</v>
      </c>
      <c r="C5153">
        <v>45666</v>
      </c>
      <c r="J5153">
        <v>0</v>
      </c>
      <c r="O5153" t="s">
        <v>239</v>
      </c>
      <c r="P5153" t="s">
        <v>514</v>
      </c>
      <c r="U5153">
        <v>0</v>
      </c>
      <c r="Y5153">
        <v>739</v>
      </c>
      <c r="Z5153" s="259" t="s">
        <v>637</v>
      </c>
      <c r="AB5153">
        <v>0</v>
      </c>
      <c r="AF5153">
        <v>40000</v>
      </c>
      <c r="AG5153">
        <v>0</v>
      </c>
      <c r="AI5153">
        <v>40000</v>
      </c>
      <c r="AJ5153">
        <v>0</v>
      </c>
      <c r="AK5153">
        <v>0</v>
      </c>
      <c r="AL5153">
        <v>0</v>
      </c>
      <c r="AM5153">
        <v>40000</v>
      </c>
      <c r="AN5153">
        <v>0</v>
      </c>
      <c r="AO5153">
        <v>40000</v>
      </c>
      <c r="AP5153">
        <v>0</v>
      </c>
      <c r="AQ5153">
        <v>0</v>
      </c>
      <c r="AR5153">
        <v>0</v>
      </c>
      <c r="AS5153" t="s">
        <v>239</v>
      </c>
      <c r="AT5153" t="s">
        <v>514</v>
      </c>
    </row>
    <row r="5154" spans="2:46" x14ac:dyDescent="0.35">
      <c r="B5154" t="s">
        <v>566</v>
      </c>
      <c r="C5154">
        <v>45667</v>
      </c>
      <c r="J5154">
        <v>0</v>
      </c>
      <c r="O5154" t="s">
        <v>239</v>
      </c>
      <c r="P5154" t="s">
        <v>514</v>
      </c>
      <c r="U5154">
        <v>0</v>
      </c>
      <c r="Y5154">
        <v>740</v>
      </c>
      <c r="Z5154" s="259" t="s">
        <v>637</v>
      </c>
      <c r="AB5154">
        <v>0</v>
      </c>
      <c r="AF5154">
        <v>40000</v>
      </c>
      <c r="AG5154">
        <v>0</v>
      </c>
      <c r="AI5154">
        <v>40000</v>
      </c>
      <c r="AJ5154">
        <v>0</v>
      </c>
      <c r="AK5154">
        <v>0</v>
      </c>
      <c r="AL5154">
        <v>0</v>
      </c>
      <c r="AM5154">
        <v>40000</v>
      </c>
      <c r="AN5154">
        <v>0</v>
      </c>
      <c r="AO5154">
        <v>40000</v>
      </c>
      <c r="AP5154">
        <v>0</v>
      </c>
      <c r="AQ5154">
        <v>0</v>
      </c>
      <c r="AR5154">
        <v>0</v>
      </c>
      <c r="AS5154" t="s">
        <v>239</v>
      </c>
      <c r="AT5154" t="s">
        <v>514</v>
      </c>
    </row>
    <row r="5155" spans="2:46" x14ac:dyDescent="0.35">
      <c r="B5155" t="s">
        <v>566</v>
      </c>
      <c r="C5155">
        <v>45668</v>
      </c>
      <c r="J5155">
        <v>0</v>
      </c>
      <c r="O5155" t="s">
        <v>239</v>
      </c>
      <c r="P5155" t="s">
        <v>514</v>
      </c>
      <c r="U5155">
        <v>0</v>
      </c>
      <c r="Y5155">
        <v>741</v>
      </c>
      <c r="Z5155" s="259" t="s">
        <v>637</v>
      </c>
      <c r="AB5155">
        <v>0</v>
      </c>
      <c r="AF5155">
        <v>40000</v>
      </c>
      <c r="AG5155">
        <v>0</v>
      </c>
      <c r="AI5155">
        <v>40000</v>
      </c>
      <c r="AJ5155">
        <v>0</v>
      </c>
      <c r="AK5155">
        <v>0</v>
      </c>
      <c r="AL5155">
        <v>0</v>
      </c>
      <c r="AM5155">
        <v>40000</v>
      </c>
      <c r="AN5155">
        <v>0</v>
      </c>
      <c r="AO5155">
        <v>40000</v>
      </c>
      <c r="AP5155">
        <v>0</v>
      </c>
      <c r="AQ5155">
        <v>0</v>
      </c>
      <c r="AR5155">
        <v>0</v>
      </c>
      <c r="AS5155" t="s">
        <v>239</v>
      </c>
      <c r="AT5155" t="s">
        <v>514</v>
      </c>
    </row>
    <row r="5156" spans="2:46" x14ac:dyDescent="0.35">
      <c r="B5156" t="s">
        <v>566</v>
      </c>
      <c r="C5156">
        <v>45669</v>
      </c>
      <c r="J5156">
        <v>0</v>
      </c>
      <c r="O5156" t="s">
        <v>239</v>
      </c>
      <c r="P5156" t="s">
        <v>514</v>
      </c>
      <c r="U5156">
        <v>0</v>
      </c>
      <c r="Y5156">
        <v>742</v>
      </c>
      <c r="Z5156" s="259" t="s">
        <v>637</v>
      </c>
      <c r="AB5156">
        <v>0</v>
      </c>
      <c r="AF5156">
        <v>40000</v>
      </c>
      <c r="AG5156">
        <v>0</v>
      </c>
      <c r="AI5156">
        <v>40000</v>
      </c>
      <c r="AJ5156">
        <v>0</v>
      </c>
      <c r="AK5156">
        <v>0</v>
      </c>
      <c r="AL5156">
        <v>0</v>
      </c>
      <c r="AM5156">
        <v>40000</v>
      </c>
      <c r="AN5156">
        <v>0</v>
      </c>
      <c r="AO5156">
        <v>40000</v>
      </c>
      <c r="AP5156">
        <v>0</v>
      </c>
      <c r="AQ5156">
        <v>0</v>
      </c>
      <c r="AR5156">
        <v>0</v>
      </c>
      <c r="AS5156" t="s">
        <v>239</v>
      </c>
      <c r="AT5156" t="s">
        <v>514</v>
      </c>
    </row>
    <row r="5157" spans="2:46" x14ac:dyDescent="0.35">
      <c r="B5157" t="s">
        <v>566</v>
      </c>
      <c r="C5157">
        <v>45670</v>
      </c>
      <c r="J5157">
        <v>0</v>
      </c>
      <c r="O5157" t="s">
        <v>239</v>
      </c>
      <c r="P5157" t="s">
        <v>514</v>
      </c>
      <c r="U5157">
        <v>0</v>
      </c>
      <c r="Y5157">
        <v>743</v>
      </c>
      <c r="Z5157" s="259" t="s">
        <v>637</v>
      </c>
      <c r="AB5157">
        <v>0</v>
      </c>
      <c r="AF5157">
        <v>40000</v>
      </c>
      <c r="AG5157">
        <v>0</v>
      </c>
      <c r="AI5157">
        <v>40000</v>
      </c>
      <c r="AJ5157">
        <v>0</v>
      </c>
      <c r="AK5157">
        <v>0</v>
      </c>
      <c r="AL5157">
        <v>0</v>
      </c>
      <c r="AM5157">
        <v>40000</v>
      </c>
      <c r="AN5157">
        <v>0</v>
      </c>
      <c r="AO5157">
        <v>40000</v>
      </c>
      <c r="AP5157">
        <v>0</v>
      </c>
      <c r="AQ5157">
        <v>0</v>
      </c>
      <c r="AR5157">
        <v>0</v>
      </c>
      <c r="AS5157" t="s">
        <v>239</v>
      </c>
      <c r="AT5157" t="s">
        <v>514</v>
      </c>
    </row>
    <row r="5158" spans="2:46" x14ac:dyDescent="0.35">
      <c r="B5158" t="s">
        <v>566</v>
      </c>
      <c r="C5158">
        <v>45671</v>
      </c>
      <c r="J5158">
        <v>0</v>
      </c>
      <c r="O5158" t="s">
        <v>239</v>
      </c>
      <c r="P5158" t="s">
        <v>514</v>
      </c>
      <c r="U5158">
        <v>0</v>
      </c>
      <c r="Y5158">
        <v>744</v>
      </c>
      <c r="Z5158" s="259" t="s">
        <v>637</v>
      </c>
      <c r="AB5158">
        <v>0</v>
      </c>
      <c r="AF5158">
        <v>40000</v>
      </c>
      <c r="AG5158">
        <v>0</v>
      </c>
      <c r="AI5158">
        <v>40000</v>
      </c>
      <c r="AJ5158">
        <v>0</v>
      </c>
      <c r="AK5158">
        <v>0</v>
      </c>
      <c r="AL5158">
        <v>0</v>
      </c>
      <c r="AM5158">
        <v>40000</v>
      </c>
      <c r="AN5158">
        <v>0</v>
      </c>
      <c r="AO5158">
        <v>40000</v>
      </c>
      <c r="AP5158">
        <v>0</v>
      </c>
      <c r="AQ5158">
        <v>0</v>
      </c>
      <c r="AR5158">
        <v>0</v>
      </c>
      <c r="AS5158" t="s">
        <v>239</v>
      </c>
      <c r="AT5158" t="s">
        <v>514</v>
      </c>
    </row>
    <row r="5159" spans="2:46" x14ac:dyDescent="0.35">
      <c r="B5159" t="s">
        <v>566</v>
      </c>
      <c r="C5159">
        <v>45672</v>
      </c>
      <c r="J5159">
        <v>0</v>
      </c>
      <c r="O5159" t="s">
        <v>239</v>
      </c>
      <c r="P5159" t="s">
        <v>514</v>
      </c>
      <c r="U5159">
        <v>0</v>
      </c>
      <c r="Y5159">
        <v>745</v>
      </c>
      <c r="Z5159" s="259" t="s">
        <v>637</v>
      </c>
      <c r="AB5159">
        <v>0</v>
      </c>
      <c r="AF5159">
        <v>40000</v>
      </c>
      <c r="AG5159">
        <v>0</v>
      </c>
      <c r="AI5159">
        <v>40000</v>
      </c>
      <c r="AJ5159">
        <v>0</v>
      </c>
      <c r="AK5159">
        <v>0</v>
      </c>
      <c r="AL5159">
        <v>0</v>
      </c>
      <c r="AM5159">
        <v>40000</v>
      </c>
      <c r="AN5159">
        <v>0</v>
      </c>
      <c r="AO5159">
        <v>40000</v>
      </c>
      <c r="AP5159">
        <v>0</v>
      </c>
      <c r="AQ5159">
        <v>0</v>
      </c>
      <c r="AR5159">
        <v>0</v>
      </c>
      <c r="AS5159" t="s">
        <v>239</v>
      </c>
      <c r="AT5159" t="s">
        <v>514</v>
      </c>
    </row>
    <row r="5160" spans="2:46" x14ac:dyDescent="0.35">
      <c r="B5160" t="s">
        <v>566</v>
      </c>
      <c r="C5160">
        <v>45673</v>
      </c>
      <c r="J5160">
        <v>0</v>
      </c>
      <c r="O5160" t="s">
        <v>239</v>
      </c>
      <c r="P5160" t="s">
        <v>514</v>
      </c>
      <c r="U5160">
        <v>0</v>
      </c>
      <c r="Y5160">
        <v>746</v>
      </c>
      <c r="Z5160" s="259" t="s">
        <v>637</v>
      </c>
      <c r="AB5160">
        <v>0</v>
      </c>
      <c r="AF5160">
        <v>40000</v>
      </c>
      <c r="AG5160">
        <v>0</v>
      </c>
      <c r="AI5160">
        <v>40000</v>
      </c>
      <c r="AJ5160">
        <v>0</v>
      </c>
      <c r="AK5160">
        <v>0</v>
      </c>
      <c r="AL5160">
        <v>0</v>
      </c>
      <c r="AM5160">
        <v>40000</v>
      </c>
      <c r="AN5160">
        <v>0</v>
      </c>
      <c r="AO5160">
        <v>40000</v>
      </c>
      <c r="AP5160">
        <v>0</v>
      </c>
      <c r="AQ5160">
        <v>0</v>
      </c>
      <c r="AR5160">
        <v>0</v>
      </c>
      <c r="AS5160" t="s">
        <v>239</v>
      </c>
      <c r="AT5160" t="s">
        <v>514</v>
      </c>
    </row>
    <row r="5161" spans="2:46" x14ac:dyDescent="0.35">
      <c r="B5161" t="s">
        <v>566</v>
      </c>
      <c r="C5161">
        <v>45674</v>
      </c>
      <c r="J5161">
        <v>0</v>
      </c>
      <c r="O5161" t="s">
        <v>239</v>
      </c>
      <c r="P5161" t="s">
        <v>514</v>
      </c>
      <c r="U5161">
        <v>0</v>
      </c>
      <c r="Y5161">
        <v>747</v>
      </c>
      <c r="Z5161" s="259" t="s">
        <v>637</v>
      </c>
      <c r="AB5161">
        <v>0</v>
      </c>
      <c r="AF5161">
        <v>40000</v>
      </c>
      <c r="AG5161">
        <v>0</v>
      </c>
      <c r="AI5161">
        <v>40000</v>
      </c>
      <c r="AJ5161">
        <v>0</v>
      </c>
      <c r="AK5161">
        <v>0</v>
      </c>
      <c r="AL5161">
        <v>0</v>
      </c>
      <c r="AM5161">
        <v>40000</v>
      </c>
      <c r="AN5161">
        <v>0</v>
      </c>
      <c r="AO5161">
        <v>40000</v>
      </c>
      <c r="AP5161">
        <v>0</v>
      </c>
      <c r="AQ5161">
        <v>0</v>
      </c>
      <c r="AR5161">
        <v>0</v>
      </c>
      <c r="AS5161" t="s">
        <v>239</v>
      </c>
      <c r="AT5161" t="s">
        <v>514</v>
      </c>
    </row>
    <row r="5162" spans="2:46" x14ac:dyDescent="0.35">
      <c r="B5162" t="s">
        <v>566</v>
      </c>
      <c r="C5162">
        <v>45675</v>
      </c>
      <c r="J5162">
        <v>0</v>
      </c>
      <c r="O5162" t="s">
        <v>239</v>
      </c>
      <c r="P5162" t="s">
        <v>514</v>
      </c>
      <c r="U5162">
        <v>0</v>
      </c>
      <c r="Y5162">
        <v>748</v>
      </c>
      <c r="Z5162" s="259" t="s">
        <v>637</v>
      </c>
      <c r="AB5162">
        <v>0</v>
      </c>
      <c r="AF5162">
        <v>40000</v>
      </c>
      <c r="AG5162">
        <v>0</v>
      </c>
      <c r="AI5162">
        <v>40000</v>
      </c>
      <c r="AJ5162">
        <v>0</v>
      </c>
      <c r="AK5162">
        <v>0</v>
      </c>
      <c r="AL5162">
        <v>0</v>
      </c>
      <c r="AM5162">
        <v>40000</v>
      </c>
      <c r="AN5162">
        <v>0</v>
      </c>
      <c r="AO5162">
        <v>40000</v>
      </c>
      <c r="AP5162">
        <v>0</v>
      </c>
      <c r="AQ5162">
        <v>0</v>
      </c>
      <c r="AR5162">
        <v>0</v>
      </c>
      <c r="AS5162" t="s">
        <v>239</v>
      </c>
      <c r="AT5162" t="s">
        <v>514</v>
      </c>
    </row>
    <row r="5163" spans="2:46" x14ac:dyDescent="0.35">
      <c r="B5163" t="s">
        <v>566</v>
      </c>
      <c r="C5163">
        <v>45676</v>
      </c>
      <c r="J5163">
        <v>0</v>
      </c>
      <c r="O5163" t="s">
        <v>239</v>
      </c>
      <c r="P5163" t="s">
        <v>514</v>
      </c>
      <c r="U5163">
        <v>0</v>
      </c>
      <c r="Y5163">
        <v>749</v>
      </c>
      <c r="Z5163" s="259" t="s">
        <v>637</v>
      </c>
      <c r="AB5163">
        <v>0</v>
      </c>
      <c r="AF5163">
        <v>40000</v>
      </c>
      <c r="AG5163">
        <v>0</v>
      </c>
      <c r="AI5163">
        <v>40000</v>
      </c>
      <c r="AJ5163">
        <v>0</v>
      </c>
      <c r="AK5163">
        <v>0</v>
      </c>
      <c r="AL5163">
        <v>0</v>
      </c>
      <c r="AM5163">
        <v>40000</v>
      </c>
      <c r="AN5163">
        <v>0</v>
      </c>
      <c r="AO5163">
        <v>40000</v>
      </c>
      <c r="AP5163">
        <v>0</v>
      </c>
      <c r="AQ5163">
        <v>0</v>
      </c>
      <c r="AR5163">
        <v>0</v>
      </c>
      <c r="AS5163" t="s">
        <v>239</v>
      </c>
      <c r="AT5163" t="s">
        <v>514</v>
      </c>
    </row>
    <row r="5164" spans="2:46" x14ac:dyDescent="0.35">
      <c r="B5164" t="s">
        <v>566</v>
      </c>
      <c r="C5164">
        <v>45677</v>
      </c>
      <c r="J5164">
        <v>0</v>
      </c>
      <c r="O5164" t="s">
        <v>239</v>
      </c>
      <c r="P5164" t="s">
        <v>514</v>
      </c>
      <c r="U5164">
        <v>0</v>
      </c>
      <c r="Y5164">
        <v>750</v>
      </c>
      <c r="Z5164" s="259" t="s">
        <v>637</v>
      </c>
      <c r="AB5164">
        <v>0</v>
      </c>
      <c r="AF5164">
        <v>40000</v>
      </c>
      <c r="AG5164">
        <v>0</v>
      </c>
      <c r="AI5164">
        <v>40000</v>
      </c>
      <c r="AJ5164">
        <v>0</v>
      </c>
      <c r="AK5164">
        <v>0</v>
      </c>
      <c r="AL5164">
        <v>0</v>
      </c>
      <c r="AM5164">
        <v>40000</v>
      </c>
      <c r="AN5164">
        <v>0</v>
      </c>
      <c r="AO5164">
        <v>40000</v>
      </c>
      <c r="AP5164">
        <v>0</v>
      </c>
      <c r="AQ5164">
        <v>0</v>
      </c>
      <c r="AR5164">
        <v>0</v>
      </c>
      <c r="AS5164" t="s">
        <v>239</v>
      </c>
      <c r="AT5164" t="s">
        <v>514</v>
      </c>
    </row>
    <row r="5165" spans="2:46" x14ac:dyDescent="0.35">
      <c r="B5165" t="s">
        <v>566</v>
      </c>
      <c r="C5165">
        <v>45678</v>
      </c>
      <c r="J5165">
        <v>0</v>
      </c>
      <c r="O5165" t="s">
        <v>239</v>
      </c>
      <c r="P5165" t="s">
        <v>514</v>
      </c>
      <c r="U5165">
        <v>0</v>
      </c>
      <c r="Y5165">
        <v>751</v>
      </c>
      <c r="Z5165" s="259" t="s">
        <v>637</v>
      </c>
      <c r="AB5165">
        <v>0</v>
      </c>
      <c r="AF5165">
        <v>40000</v>
      </c>
      <c r="AG5165">
        <v>0</v>
      </c>
      <c r="AI5165">
        <v>40000</v>
      </c>
      <c r="AJ5165">
        <v>0</v>
      </c>
      <c r="AK5165">
        <v>0</v>
      </c>
      <c r="AL5165">
        <v>0</v>
      </c>
      <c r="AM5165">
        <v>40000</v>
      </c>
      <c r="AN5165">
        <v>0</v>
      </c>
      <c r="AO5165">
        <v>40000</v>
      </c>
      <c r="AP5165">
        <v>0</v>
      </c>
      <c r="AQ5165">
        <v>0</v>
      </c>
      <c r="AR5165">
        <v>0</v>
      </c>
      <c r="AS5165" t="s">
        <v>239</v>
      </c>
      <c r="AT5165" t="s">
        <v>514</v>
      </c>
    </row>
    <row r="5166" spans="2:46" x14ac:dyDescent="0.35">
      <c r="B5166" t="s">
        <v>566</v>
      </c>
      <c r="C5166">
        <v>45679</v>
      </c>
      <c r="J5166">
        <v>0</v>
      </c>
      <c r="O5166" t="s">
        <v>239</v>
      </c>
      <c r="P5166" t="s">
        <v>514</v>
      </c>
      <c r="U5166">
        <v>0</v>
      </c>
      <c r="Y5166">
        <v>752</v>
      </c>
      <c r="Z5166" s="259" t="s">
        <v>637</v>
      </c>
      <c r="AB5166">
        <v>0</v>
      </c>
      <c r="AF5166">
        <v>40000</v>
      </c>
      <c r="AG5166">
        <v>0</v>
      </c>
      <c r="AI5166">
        <v>40000</v>
      </c>
      <c r="AJ5166">
        <v>0</v>
      </c>
      <c r="AK5166">
        <v>0</v>
      </c>
      <c r="AL5166">
        <v>0</v>
      </c>
      <c r="AM5166">
        <v>40000</v>
      </c>
      <c r="AN5166">
        <v>0</v>
      </c>
      <c r="AO5166">
        <v>40000</v>
      </c>
      <c r="AP5166">
        <v>0</v>
      </c>
      <c r="AQ5166">
        <v>0</v>
      </c>
      <c r="AR5166">
        <v>0</v>
      </c>
      <c r="AS5166" t="s">
        <v>239</v>
      </c>
      <c r="AT5166" t="s">
        <v>514</v>
      </c>
    </row>
    <row r="5167" spans="2:46" x14ac:dyDescent="0.35">
      <c r="B5167" t="s">
        <v>566</v>
      </c>
      <c r="C5167">
        <v>45680</v>
      </c>
      <c r="J5167">
        <v>0</v>
      </c>
      <c r="O5167" t="s">
        <v>239</v>
      </c>
      <c r="P5167" t="s">
        <v>514</v>
      </c>
      <c r="U5167">
        <v>0</v>
      </c>
      <c r="Y5167">
        <v>753</v>
      </c>
      <c r="Z5167" s="259" t="s">
        <v>637</v>
      </c>
      <c r="AB5167">
        <v>0</v>
      </c>
      <c r="AF5167">
        <v>40000</v>
      </c>
      <c r="AG5167">
        <v>0</v>
      </c>
      <c r="AI5167">
        <v>40000</v>
      </c>
      <c r="AJ5167">
        <v>0</v>
      </c>
      <c r="AK5167">
        <v>0</v>
      </c>
      <c r="AL5167">
        <v>0</v>
      </c>
      <c r="AM5167">
        <v>40000</v>
      </c>
      <c r="AN5167">
        <v>0</v>
      </c>
      <c r="AO5167">
        <v>40000</v>
      </c>
      <c r="AP5167">
        <v>0</v>
      </c>
      <c r="AQ5167">
        <v>0</v>
      </c>
      <c r="AR5167">
        <v>0</v>
      </c>
      <c r="AS5167" t="s">
        <v>239</v>
      </c>
      <c r="AT5167" t="s">
        <v>514</v>
      </c>
    </row>
    <row r="5168" spans="2:46" x14ac:dyDescent="0.35">
      <c r="B5168" t="s">
        <v>566</v>
      </c>
      <c r="C5168">
        <v>45681</v>
      </c>
      <c r="J5168">
        <v>0</v>
      </c>
      <c r="O5168" t="s">
        <v>239</v>
      </c>
      <c r="P5168" t="s">
        <v>514</v>
      </c>
      <c r="U5168">
        <v>0</v>
      </c>
      <c r="Y5168">
        <v>754</v>
      </c>
      <c r="Z5168" s="259" t="s">
        <v>637</v>
      </c>
      <c r="AB5168">
        <v>0</v>
      </c>
      <c r="AF5168">
        <v>40000</v>
      </c>
      <c r="AG5168">
        <v>0</v>
      </c>
      <c r="AI5168">
        <v>40000</v>
      </c>
      <c r="AJ5168">
        <v>0</v>
      </c>
      <c r="AK5168">
        <v>0</v>
      </c>
      <c r="AL5168">
        <v>0</v>
      </c>
      <c r="AM5168">
        <v>40000</v>
      </c>
      <c r="AN5168">
        <v>0</v>
      </c>
      <c r="AO5168">
        <v>40000</v>
      </c>
      <c r="AP5168">
        <v>0</v>
      </c>
      <c r="AQ5168">
        <v>0</v>
      </c>
      <c r="AR5168">
        <v>0</v>
      </c>
      <c r="AS5168" t="s">
        <v>239</v>
      </c>
      <c r="AT5168" t="s">
        <v>514</v>
      </c>
    </row>
    <row r="5169" spans="2:46" x14ac:dyDescent="0.35">
      <c r="B5169" t="s">
        <v>566</v>
      </c>
      <c r="C5169">
        <v>45682</v>
      </c>
      <c r="J5169">
        <v>0</v>
      </c>
      <c r="O5169" t="s">
        <v>239</v>
      </c>
      <c r="P5169" t="s">
        <v>514</v>
      </c>
      <c r="U5169">
        <v>0</v>
      </c>
      <c r="Y5169">
        <v>755</v>
      </c>
      <c r="Z5169" s="259" t="s">
        <v>637</v>
      </c>
      <c r="AB5169">
        <v>0</v>
      </c>
      <c r="AF5169">
        <v>40000</v>
      </c>
      <c r="AG5169">
        <v>0</v>
      </c>
      <c r="AI5169">
        <v>40000</v>
      </c>
      <c r="AJ5169">
        <v>0</v>
      </c>
      <c r="AK5169">
        <v>0</v>
      </c>
      <c r="AL5169">
        <v>0</v>
      </c>
      <c r="AM5169">
        <v>40000</v>
      </c>
      <c r="AN5169">
        <v>0</v>
      </c>
      <c r="AO5169">
        <v>40000</v>
      </c>
      <c r="AP5169">
        <v>0</v>
      </c>
      <c r="AQ5169">
        <v>0</v>
      </c>
      <c r="AR5169">
        <v>0</v>
      </c>
      <c r="AS5169" t="s">
        <v>239</v>
      </c>
      <c r="AT5169" t="s">
        <v>514</v>
      </c>
    </row>
    <row r="5170" spans="2:46" x14ac:dyDescent="0.35">
      <c r="B5170" t="s">
        <v>566</v>
      </c>
      <c r="C5170">
        <v>45683</v>
      </c>
      <c r="J5170">
        <v>0</v>
      </c>
      <c r="O5170" t="s">
        <v>239</v>
      </c>
      <c r="P5170" t="s">
        <v>514</v>
      </c>
      <c r="U5170">
        <v>0</v>
      </c>
      <c r="Y5170">
        <v>756</v>
      </c>
      <c r="Z5170" s="259" t="s">
        <v>637</v>
      </c>
      <c r="AB5170">
        <v>0</v>
      </c>
      <c r="AF5170">
        <v>40000</v>
      </c>
      <c r="AG5170">
        <v>0</v>
      </c>
      <c r="AI5170">
        <v>40000</v>
      </c>
      <c r="AJ5170">
        <v>0</v>
      </c>
      <c r="AK5170">
        <v>0</v>
      </c>
      <c r="AL5170">
        <v>0</v>
      </c>
      <c r="AM5170">
        <v>40000</v>
      </c>
      <c r="AN5170">
        <v>0</v>
      </c>
      <c r="AO5170">
        <v>40000</v>
      </c>
      <c r="AP5170">
        <v>0</v>
      </c>
      <c r="AQ5170">
        <v>0</v>
      </c>
      <c r="AR5170">
        <v>0</v>
      </c>
      <c r="AS5170" t="s">
        <v>239</v>
      </c>
      <c r="AT5170" t="s">
        <v>514</v>
      </c>
    </row>
    <row r="5171" spans="2:46" x14ac:dyDescent="0.35">
      <c r="B5171" t="s">
        <v>566</v>
      </c>
      <c r="C5171">
        <v>45684</v>
      </c>
      <c r="J5171">
        <v>0</v>
      </c>
      <c r="O5171" t="s">
        <v>239</v>
      </c>
      <c r="P5171" t="s">
        <v>514</v>
      </c>
      <c r="U5171">
        <v>0</v>
      </c>
      <c r="Y5171">
        <v>757</v>
      </c>
      <c r="Z5171" s="259" t="s">
        <v>637</v>
      </c>
      <c r="AB5171">
        <v>0</v>
      </c>
      <c r="AF5171">
        <v>40000</v>
      </c>
      <c r="AG5171">
        <v>0</v>
      </c>
      <c r="AI5171">
        <v>40000</v>
      </c>
      <c r="AJ5171">
        <v>0</v>
      </c>
      <c r="AK5171">
        <v>0</v>
      </c>
      <c r="AL5171">
        <v>0</v>
      </c>
      <c r="AM5171">
        <v>40000</v>
      </c>
      <c r="AN5171">
        <v>0</v>
      </c>
      <c r="AO5171">
        <v>40000</v>
      </c>
      <c r="AP5171">
        <v>0</v>
      </c>
      <c r="AQ5171">
        <v>0</v>
      </c>
      <c r="AR5171">
        <v>0</v>
      </c>
      <c r="AS5171" t="s">
        <v>239</v>
      </c>
      <c r="AT5171" t="s">
        <v>514</v>
      </c>
    </row>
    <row r="5172" spans="2:46" x14ac:dyDescent="0.35">
      <c r="B5172" t="s">
        <v>566</v>
      </c>
      <c r="C5172">
        <v>45685</v>
      </c>
      <c r="J5172">
        <v>0</v>
      </c>
      <c r="O5172" t="s">
        <v>239</v>
      </c>
      <c r="P5172" t="s">
        <v>514</v>
      </c>
      <c r="U5172">
        <v>0</v>
      </c>
      <c r="Y5172">
        <v>758</v>
      </c>
      <c r="Z5172" s="259" t="s">
        <v>637</v>
      </c>
      <c r="AB5172">
        <v>0</v>
      </c>
      <c r="AF5172">
        <v>40000</v>
      </c>
      <c r="AG5172">
        <v>0</v>
      </c>
      <c r="AI5172">
        <v>40000</v>
      </c>
      <c r="AJ5172">
        <v>0</v>
      </c>
      <c r="AK5172">
        <v>0</v>
      </c>
      <c r="AL5172">
        <v>0</v>
      </c>
      <c r="AM5172">
        <v>40000</v>
      </c>
      <c r="AN5172">
        <v>0</v>
      </c>
      <c r="AO5172">
        <v>40000</v>
      </c>
      <c r="AP5172">
        <v>0</v>
      </c>
      <c r="AQ5172">
        <v>0</v>
      </c>
      <c r="AR5172">
        <v>0</v>
      </c>
      <c r="AS5172" t="s">
        <v>239</v>
      </c>
      <c r="AT5172" t="s">
        <v>514</v>
      </c>
    </row>
    <row r="5173" spans="2:46" x14ac:dyDescent="0.35">
      <c r="B5173" t="s">
        <v>566</v>
      </c>
      <c r="C5173">
        <v>45686</v>
      </c>
      <c r="J5173">
        <v>0</v>
      </c>
      <c r="O5173" t="s">
        <v>239</v>
      </c>
      <c r="P5173" t="s">
        <v>514</v>
      </c>
      <c r="U5173">
        <v>0</v>
      </c>
      <c r="Y5173">
        <v>759</v>
      </c>
      <c r="Z5173" s="259" t="s">
        <v>637</v>
      </c>
      <c r="AB5173">
        <v>0</v>
      </c>
      <c r="AF5173">
        <v>40000</v>
      </c>
      <c r="AG5173">
        <v>0</v>
      </c>
      <c r="AI5173">
        <v>40000</v>
      </c>
      <c r="AJ5173">
        <v>0</v>
      </c>
      <c r="AK5173">
        <v>0</v>
      </c>
      <c r="AL5173">
        <v>0</v>
      </c>
      <c r="AM5173">
        <v>40000</v>
      </c>
      <c r="AN5173">
        <v>0</v>
      </c>
      <c r="AO5173">
        <v>40000</v>
      </c>
      <c r="AP5173">
        <v>0</v>
      </c>
      <c r="AQ5173">
        <v>0</v>
      </c>
      <c r="AR5173">
        <v>0</v>
      </c>
      <c r="AS5173" t="s">
        <v>239</v>
      </c>
      <c r="AT5173" t="s">
        <v>514</v>
      </c>
    </row>
    <row r="5174" spans="2:46" x14ac:dyDescent="0.35">
      <c r="B5174" t="s">
        <v>566</v>
      </c>
      <c r="C5174">
        <v>45687</v>
      </c>
      <c r="J5174">
        <v>0</v>
      </c>
      <c r="O5174" t="s">
        <v>239</v>
      </c>
      <c r="P5174" t="s">
        <v>514</v>
      </c>
      <c r="U5174">
        <v>0</v>
      </c>
      <c r="Y5174">
        <v>760</v>
      </c>
      <c r="Z5174" s="259" t="s">
        <v>637</v>
      </c>
      <c r="AB5174">
        <v>0</v>
      </c>
      <c r="AF5174">
        <v>40000</v>
      </c>
      <c r="AG5174">
        <v>0</v>
      </c>
      <c r="AI5174">
        <v>40000</v>
      </c>
      <c r="AJ5174">
        <v>0</v>
      </c>
      <c r="AK5174">
        <v>0</v>
      </c>
      <c r="AL5174">
        <v>0</v>
      </c>
      <c r="AM5174">
        <v>40000</v>
      </c>
      <c r="AN5174">
        <v>0</v>
      </c>
      <c r="AO5174">
        <v>40000</v>
      </c>
      <c r="AP5174">
        <v>0</v>
      </c>
      <c r="AQ5174">
        <v>0</v>
      </c>
      <c r="AR5174">
        <v>0</v>
      </c>
      <c r="AS5174" t="s">
        <v>239</v>
      </c>
      <c r="AT5174" t="s">
        <v>514</v>
      </c>
    </row>
    <row r="5175" spans="2:46" x14ac:dyDescent="0.35">
      <c r="B5175" t="s">
        <v>566</v>
      </c>
      <c r="C5175">
        <v>45688</v>
      </c>
      <c r="J5175">
        <v>0</v>
      </c>
      <c r="O5175" t="s">
        <v>239</v>
      </c>
      <c r="P5175" t="s">
        <v>514</v>
      </c>
      <c r="U5175">
        <v>0</v>
      </c>
      <c r="Y5175">
        <v>761</v>
      </c>
      <c r="Z5175" s="259" t="s">
        <v>637</v>
      </c>
      <c r="AB5175">
        <v>0</v>
      </c>
      <c r="AF5175">
        <v>40000</v>
      </c>
      <c r="AG5175">
        <v>0</v>
      </c>
      <c r="AI5175">
        <v>40000</v>
      </c>
      <c r="AJ5175">
        <v>0</v>
      </c>
      <c r="AK5175">
        <v>0</v>
      </c>
      <c r="AL5175">
        <v>0</v>
      </c>
      <c r="AM5175">
        <v>40000</v>
      </c>
      <c r="AN5175">
        <v>0</v>
      </c>
      <c r="AO5175">
        <v>40000</v>
      </c>
      <c r="AP5175">
        <v>0</v>
      </c>
      <c r="AQ5175">
        <v>0</v>
      </c>
      <c r="AR5175">
        <v>0</v>
      </c>
      <c r="AS5175" t="s">
        <v>239</v>
      </c>
      <c r="AT5175" t="s">
        <v>514</v>
      </c>
    </row>
    <row r="5176" spans="2:46" x14ac:dyDescent="0.35">
      <c r="B5176" t="s">
        <v>566</v>
      </c>
      <c r="C5176">
        <v>45689</v>
      </c>
      <c r="J5176">
        <v>0</v>
      </c>
      <c r="O5176" t="s">
        <v>239</v>
      </c>
      <c r="P5176" t="s">
        <v>514</v>
      </c>
      <c r="U5176">
        <v>0</v>
      </c>
      <c r="Y5176">
        <v>762</v>
      </c>
      <c r="Z5176" s="259" t="s">
        <v>637</v>
      </c>
      <c r="AB5176">
        <v>0</v>
      </c>
      <c r="AF5176">
        <v>40000</v>
      </c>
      <c r="AG5176">
        <v>0</v>
      </c>
      <c r="AI5176">
        <v>40000</v>
      </c>
      <c r="AJ5176">
        <v>0</v>
      </c>
      <c r="AK5176">
        <v>0</v>
      </c>
      <c r="AL5176">
        <v>0</v>
      </c>
      <c r="AM5176">
        <v>40000</v>
      </c>
      <c r="AN5176">
        <v>0</v>
      </c>
      <c r="AO5176">
        <v>40000</v>
      </c>
      <c r="AP5176">
        <v>0</v>
      </c>
      <c r="AQ5176">
        <v>0</v>
      </c>
      <c r="AR5176">
        <v>0</v>
      </c>
      <c r="AS5176" t="s">
        <v>239</v>
      </c>
      <c r="AT5176" t="s">
        <v>514</v>
      </c>
    </row>
    <row r="5177" spans="2:46" x14ac:dyDescent="0.35">
      <c r="B5177" t="s">
        <v>566</v>
      </c>
      <c r="C5177">
        <v>45690</v>
      </c>
      <c r="J5177">
        <v>0</v>
      </c>
      <c r="O5177" t="s">
        <v>239</v>
      </c>
      <c r="P5177" t="s">
        <v>514</v>
      </c>
      <c r="U5177">
        <v>0</v>
      </c>
      <c r="Y5177">
        <v>763</v>
      </c>
      <c r="Z5177" s="259" t="s">
        <v>637</v>
      </c>
      <c r="AB5177">
        <v>0</v>
      </c>
      <c r="AF5177">
        <v>40000</v>
      </c>
      <c r="AG5177">
        <v>0</v>
      </c>
      <c r="AI5177">
        <v>40000</v>
      </c>
      <c r="AJ5177">
        <v>0</v>
      </c>
      <c r="AK5177">
        <v>0</v>
      </c>
      <c r="AL5177">
        <v>0</v>
      </c>
      <c r="AM5177">
        <v>40000</v>
      </c>
      <c r="AN5177">
        <v>0</v>
      </c>
      <c r="AO5177">
        <v>40000</v>
      </c>
      <c r="AP5177">
        <v>0</v>
      </c>
      <c r="AQ5177">
        <v>0</v>
      </c>
      <c r="AR5177">
        <v>0</v>
      </c>
      <c r="AS5177" t="s">
        <v>239</v>
      </c>
      <c r="AT5177" t="s">
        <v>514</v>
      </c>
    </row>
    <row r="5178" spans="2:46" x14ac:dyDescent="0.35">
      <c r="B5178" t="s">
        <v>566</v>
      </c>
      <c r="C5178">
        <v>45691</v>
      </c>
      <c r="J5178">
        <v>0</v>
      </c>
      <c r="O5178" t="s">
        <v>239</v>
      </c>
      <c r="P5178" t="s">
        <v>514</v>
      </c>
      <c r="U5178">
        <v>0</v>
      </c>
      <c r="Y5178">
        <v>764</v>
      </c>
      <c r="Z5178" s="259" t="s">
        <v>637</v>
      </c>
      <c r="AB5178">
        <v>0</v>
      </c>
      <c r="AF5178">
        <v>40000</v>
      </c>
      <c r="AG5178">
        <v>0</v>
      </c>
      <c r="AI5178">
        <v>40000</v>
      </c>
      <c r="AJ5178">
        <v>0</v>
      </c>
      <c r="AK5178">
        <v>0</v>
      </c>
      <c r="AL5178">
        <v>0</v>
      </c>
      <c r="AM5178">
        <v>40000</v>
      </c>
      <c r="AN5178">
        <v>0</v>
      </c>
      <c r="AO5178">
        <v>40000</v>
      </c>
      <c r="AP5178">
        <v>0</v>
      </c>
      <c r="AQ5178">
        <v>0</v>
      </c>
      <c r="AR5178">
        <v>0</v>
      </c>
      <c r="AS5178" t="s">
        <v>239</v>
      </c>
      <c r="AT5178" t="s">
        <v>514</v>
      </c>
    </row>
    <row r="5179" spans="2:46" x14ac:dyDescent="0.35">
      <c r="B5179" t="s">
        <v>566</v>
      </c>
      <c r="C5179">
        <v>45692</v>
      </c>
      <c r="J5179">
        <v>0</v>
      </c>
      <c r="O5179" t="s">
        <v>239</v>
      </c>
      <c r="P5179" t="s">
        <v>514</v>
      </c>
      <c r="U5179">
        <v>0</v>
      </c>
      <c r="Y5179">
        <v>765</v>
      </c>
      <c r="Z5179" s="259" t="s">
        <v>637</v>
      </c>
      <c r="AB5179">
        <v>0</v>
      </c>
      <c r="AF5179">
        <v>40000</v>
      </c>
      <c r="AG5179">
        <v>0</v>
      </c>
      <c r="AI5179">
        <v>40000</v>
      </c>
      <c r="AJ5179">
        <v>0</v>
      </c>
      <c r="AK5179">
        <v>0</v>
      </c>
      <c r="AL5179">
        <v>0</v>
      </c>
      <c r="AM5179">
        <v>40000</v>
      </c>
      <c r="AN5179">
        <v>0</v>
      </c>
      <c r="AO5179">
        <v>40000</v>
      </c>
      <c r="AP5179">
        <v>0</v>
      </c>
      <c r="AQ5179">
        <v>0</v>
      </c>
      <c r="AR5179">
        <v>0</v>
      </c>
      <c r="AS5179" t="s">
        <v>239</v>
      </c>
      <c r="AT5179" t="s">
        <v>514</v>
      </c>
    </row>
    <row r="5180" spans="2:46" x14ac:dyDescent="0.35">
      <c r="B5180" t="s">
        <v>566</v>
      </c>
      <c r="C5180">
        <v>45693</v>
      </c>
      <c r="J5180">
        <v>0</v>
      </c>
      <c r="O5180" t="s">
        <v>239</v>
      </c>
      <c r="P5180" t="s">
        <v>514</v>
      </c>
      <c r="U5180">
        <v>0</v>
      </c>
      <c r="Y5180">
        <v>766</v>
      </c>
      <c r="Z5180" s="259" t="s">
        <v>637</v>
      </c>
      <c r="AB5180">
        <v>0</v>
      </c>
      <c r="AF5180">
        <v>40000</v>
      </c>
      <c r="AG5180">
        <v>0</v>
      </c>
      <c r="AI5180">
        <v>40000</v>
      </c>
      <c r="AJ5180">
        <v>0</v>
      </c>
      <c r="AK5180">
        <v>0</v>
      </c>
      <c r="AL5180">
        <v>0</v>
      </c>
      <c r="AM5180">
        <v>40000</v>
      </c>
      <c r="AN5180">
        <v>0</v>
      </c>
      <c r="AO5180">
        <v>40000</v>
      </c>
      <c r="AP5180">
        <v>0</v>
      </c>
      <c r="AQ5180">
        <v>0</v>
      </c>
      <c r="AR5180">
        <v>0</v>
      </c>
      <c r="AS5180" t="s">
        <v>239</v>
      </c>
      <c r="AT5180" t="s">
        <v>514</v>
      </c>
    </row>
    <row r="5181" spans="2:46" x14ac:dyDescent="0.35">
      <c r="B5181" t="s">
        <v>566</v>
      </c>
      <c r="C5181">
        <v>45694</v>
      </c>
      <c r="J5181">
        <v>0</v>
      </c>
      <c r="O5181" t="s">
        <v>239</v>
      </c>
      <c r="P5181" t="s">
        <v>514</v>
      </c>
      <c r="U5181">
        <v>0</v>
      </c>
      <c r="Y5181">
        <v>767</v>
      </c>
      <c r="Z5181" s="259" t="s">
        <v>637</v>
      </c>
      <c r="AB5181">
        <v>0</v>
      </c>
      <c r="AF5181">
        <v>40000</v>
      </c>
      <c r="AG5181">
        <v>0</v>
      </c>
      <c r="AI5181">
        <v>40000</v>
      </c>
      <c r="AJ5181">
        <v>0</v>
      </c>
      <c r="AK5181">
        <v>0</v>
      </c>
      <c r="AL5181">
        <v>0</v>
      </c>
      <c r="AM5181">
        <v>40000</v>
      </c>
      <c r="AN5181">
        <v>0</v>
      </c>
      <c r="AO5181">
        <v>40000</v>
      </c>
      <c r="AP5181">
        <v>0</v>
      </c>
      <c r="AQ5181">
        <v>0</v>
      </c>
      <c r="AR5181">
        <v>0</v>
      </c>
      <c r="AS5181" t="s">
        <v>239</v>
      </c>
      <c r="AT5181" t="s">
        <v>514</v>
      </c>
    </row>
    <row r="5182" spans="2:46" x14ac:dyDescent="0.35">
      <c r="B5182" t="s">
        <v>566</v>
      </c>
      <c r="C5182">
        <v>45695</v>
      </c>
      <c r="J5182">
        <v>0</v>
      </c>
      <c r="O5182" t="s">
        <v>239</v>
      </c>
      <c r="P5182" t="s">
        <v>514</v>
      </c>
      <c r="U5182">
        <v>0</v>
      </c>
      <c r="Y5182">
        <v>768</v>
      </c>
      <c r="Z5182" s="259" t="s">
        <v>637</v>
      </c>
      <c r="AB5182">
        <v>0</v>
      </c>
      <c r="AF5182">
        <v>40000</v>
      </c>
      <c r="AG5182">
        <v>0</v>
      </c>
      <c r="AI5182">
        <v>40000</v>
      </c>
      <c r="AJ5182">
        <v>0</v>
      </c>
      <c r="AK5182">
        <v>0</v>
      </c>
      <c r="AL5182">
        <v>0</v>
      </c>
      <c r="AM5182">
        <v>40000</v>
      </c>
      <c r="AN5182">
        <v>0</v>
      </c>
      <c r="AO5182">
        <v>40000</v>
      </c>
      <c r="AP5182">
        <v>0</v>
      </c>
      <c r="AQ5182">
        <v>0</v>
      </c>
      <c r="AR5182">
        <v>0</v>
      </c>
      <c r="AS5182" t="s">
        <v>239</v>
      </c>
      <c r="AT5182" t="s">
        <v>514</v>
      </c>
    </row>
    <row r="5183" spans="2:46" x14ac:dyDescent="0.35">
      <c r="B5183" t="s">
        <v>566</v>
      </c>
      <c r="C5183">
        <v>45696</v>
      </c>
      <c r="J5183">
        <v>0</v>
      </c>
      <c r="O5183" t="s">
        <v>239</v>
      </c>
      <c r="P5183" t="s">
        <v>514</v>
      </c>
      <c r="U5183">
        <v>0</v>
      </c>
      <c r="Y5183">
        <v>769</v>
      </c>
      <c r="Z5183" s="259" t="s">
        <v>637</v>
      </c>
      <c r="AB5183">
        <v>0</v>
      </c>
      <c r="AF5183">
        <v>40000</v>
      </c>
      <c r="AG5183">
        <v>0</v>
      </c>
      <c r="AI5183">
        <v>40000</v>
      </c>
      <c r="AJ5183">
        <v>0</v>
      </c>
      <c r="AK5183">
        <v>0</v>
      </c>
      <c r="AL5183">
        <v>0</v>
      </c>
      <c r="AM5183">
        <v>40000</v>
      </c>
      <c r="AN5183">
        <v>0</v>
      </c>
      <c r="AO5183">
        <v>40000</v>
      </c>
      <c r="AP5183">
        <v>0</v>
      </c>
      <c r="AQ5183">
        <v>0</v>
      </c>
      <c r="AR5183">
        <v>0</v>
      </c>
      <c r="AS5183" t="s">
        <v>239</v>
      </c>
      <c r="AT5183" t="s">
        <v>514</v>
      </c>
    </row>
    <row r="5184" spans="2:46" x14ac:dyDescent="0.35">
      <c r="B5184" t="s">
        <v>566</v>
      </c>
      <c r="C5184">
        <v>45697</v>
      </c>
      <c r="J5184">
        <v>0</v>
      </c>
      <c r="O5184" t="s">
        <v>239</v>
      </c>
      <c r="P5184" t="s">
        <v>514</v>
      </c>
      <c r="U5184">
        <v>0</v>
      </c>
      <c r="Y5184">
        <v>770</v>
      </c>
      <c r="Z5184" s="259" t="s">
        <v>637</v>
      </c>
      <c r="AB5184">
        <v>0</v>
      </c>
      <c r="AF5184">
        <v>40000</v>
      </c>
      <c r="AG5184">
        <v>0</v>
      </c>
      <c r="AI5184">
        <v>40000</v>
      </c>
      <c r="AJ5184">
        <v>0</v>
      </c>
      <c r="AK5184">
        <v>0</v>
      </c>
      <c r="AL5184">
        <v>0</v>
      </c>
      <c r="AM5184">
        <v>40000</v>
      </c>
      <c r="AN5184">
        <v>0</v>
      </c>
      <c r="AO5184">
        <v>40000</v>
      </c>
      <c r="AP5184">
        <v>0</v>
      </c>
      <c r="AQ5184">
        <v>0</v>
      </c>
      <c r="AR5184">
        <v>0</v>
      </c>
      <c r="AS5184" t="s">
        <v>239</v>
      </c>
      <c r="AT5184" t="s">
        <v>514</v>
      </c>
    </row>
    <row r="5185" spans="2:46" x14ac:dyDescent="0.35">
      <c r="B5185" t="s">
        <v>566</v>
      </c>
      <c r="C5185">
        <v>45698</v>
      </c>
      <c r="J5185">
        <v>0</v>
      </c>
      <c r="O5185" t="s">
        <v>239</v>
      </c>
      <c r="P5185" t="s">
        <v>514</v>
      </c>
      <c r="U5185">
        <v>0</v>
      </c>
      <c r="Y5185">
        <v>771</v>
      </c>
      <c r="Z5185" s="259" t="s">
        <v>637</v>
      </c>
      <c r="AB5185">
        <v>0</v>
      </c>
      <c r="AF5185">
        <v>40000</v>
      </c>
      <c r="AG5185">
        <v>0</v>
      </c>
      <c r="AI5185">
        <v>40000</v>
      </c>
      <c r="AJ5185">
        <v>0</v>
      </c>
      <c r="AK5185">
        <v>0</v>
      </c>
      <c r="AL5185">
        <v>0</v>
      </c>
      <c r="AM5185">
        <v>40000</v>
      </c>
      <c r="AN5185">
        <v>0</v>
      </c>
      <c r="AO5185">
        <v>40000</v>
      </c>
      <c r="AP5185">
        <v>0</v>
      </c>
      <c r="AQ5185">
        <v>0</v>
      </c>
      <c r="AR5185">
        <v>0</v>
      </c>
      <c r="AS5185" t="s">
        <v>239</v>
      </c>
      <c r="AT5185" t="s">
        <v>514</v>
      </c>
    </row>
    <row r="5186" spans="2:46" x14ac:dyDescent="0.35">
      <c r="B5186" t="s">
        <v>566</v>
      </c>
      <c r="C5186">
        <v>45699</v>
      </c>
      <c r="J5186">
        <v>0</v>
      </c>
      <c r="O5186" t="s">
        <v>239</v>
      </c>
      <c r="P5186" t="s">
        <v>514</v>
      </c>
      <c r="U5186">
        <v>0</v>
      </c>
      <c r="Y5186">
        <v>772</v>
      </c>
      <c r="Z5186" s="259" t="s">
        <v>637</v>
      </c>
      <c r="AB5186">
        <v>0</v>
      </c>
      <c r="AF5186">
        <v>40000</v>
      </c>
      <c r="AG5186">
        <v>0</v>
      </c>
      <c r="AI5186">
        <v>40000</v>
      </c>
      <c r="AJ5186">
        <v>0</v>
      </c>
      <c r="AK5186">
        <v>0</v>
      </c>
      <c r="AL5186">
        <v>0</v>
      </c>
      <c r="AM5186">
        <v>40000</v>
      </c>
      <c r="AN5186">
        <v>0</v>
      </c>
      <c r="AO5186">
        <v>40000</v>
      </c>
      <c r="AP5186">
        <v>0</v>
      </c>
      <c r="AQ5186">
        <v>0</v>
      </c>
      <c r="AR5186">
        <v>0</v>
      </c>
      <c r="AS5186" t="s">
        <v>239</v>
      </c>
      <c r="AT5186" t="s">
        <v>514</v>
      </c>
    </row>
    <row r="5187" spans="2:46" x14ac:dyDescent="0.35">
      <c r="B5187" t="s">
        <v>566</v>
      </c>
      <c r="C5187">
        <v>45700</v>
      </c>
      <c r="J5187">
        <v>0</v>
      </c>
      <c r="O5187" t="s">
        <v>239</v>
      </c>
      <c r="P5187" t="s">
        <v>514</v>
      </c>
      <c r="U5187">
        <v>0</v>
      </c>
      <c r="Y5187">
        <v>773</v>
      </c>
      <c r="Z5187" s="259" t="s">
        <v>637</v>
      </c>
      <c r="AB5187">
        <v>0</v>
      </c>
      <c r="AF5187">
        <v>40000</v>
      </c>
      <c r="AG5187">
        <v>0</v>
      </c>
      <c r="AI5187">
        <v>40000</v>
      </c>
      <c r="AJ5187">
        <v>0</v>
      </c>
      <c r="AK5187">
        <v>0</v>
      </c>
      <c r="AL5187">
        <v>0</v>
      </c>
      <c r="AM5187">
        <v>40000</v>
      </c>
      <c r="AN5187">
        <v>0</v>
      </c>
      <c r="AO5187">
        <v>40000</v>
      </c>
      <c r="AP5187">
        <v>0</v>
      </c>
      <c r="AQ5187">
        <v>0</v>
      </c>
      <c r="AR5187">
        <v>0</v>
      </c>
      <c r="AS5187" t="s">
        <v>239</v>
      </c>
      <c r="AT5187" t="s">
        <v>514</v>
      </c>
    </row>
    <row r="5188" spans="2:46" x14ac:dyDescent="0.35">
      <c r="B5188" t="s">
        <v>566</v>
      </c>
      <c r="C5188">
        <v>45701</v>
      </c>
      <c r="J5188">
        <v>0</v>
      </c>
      <c r="O5188" t="s">
        <v>239</v>
      </c>
      <c r="P5188" t="s">
        <v>514</v>
      </c>
      <c r="U5188">
        <v>0</v>
      </c>
      <c r="Y5188">
        <v>774</v>
      </c>
      <c r="Z5188" s="259" t="s">
        <v>637</v>
      </c>
      <c r="AB5188">
        <v>0</v>
      </c>
      <c r="AF5188">
        <v>40000</v>
      </c>
      <c r="AG5188">
        <v>0</v>
      </c>
      <c r="AI5188">
        <v>40000</v>
      </c>
      <c r="AJ5188">
        <v>0</v>
      </c>
      <c r="AK5188">
        <v>0</v>
      </c>
      <c r="AL5188">
        <v>0</v>
      </c>
      <c r="AM5188">
        <v>40000</v>
      </c>
      <c r="AN5188">
        <v>0</v>
      </c>
      <c r="AO5188">
        <v>40000</v>
      </c>
      <c r="AP5188">
        <v>0</v>
      </c>
      <c r="AQ5188">
        <v>0</v>
      </c>
      <c r="AR5188">
        <v>0</v>
      </c>
      <c r="AS5188" t="s">
        <v>239</v>
      </c>
      <c r="AT5188" t="s">
        <v>514</v>
      </c>
    </row>
    <row r="5189" spans="2:46" x14ac:dyDescent="0.35">
      <c r="B5189" t="s">
        <v>566</v>
      </c>
      <c r="C5189">
        <v>45702</v>
      </c>
      <c r="J5189">
        <v>0</v>
      </c>
      <c r="O5189" t="s">
        <v>239</v>
      </c>
      <c r="P5189" t="s">
        <v>514</v>
      </c>
      <c r="U5189">
        <v>0</v>
      </c>
      <c r="Y5189">
        <v>775</v>
      </c>
      <c r="Z5189" s="259" t="s">
        <v>637</v>
      </c>
      <c r="AB5189">
        <v>0</v>
      </c>
      <c r="AF5189">
        <v>40000</v>
      </c>
      <c r="AG5189">
        <v>0</v>
      </c>
      <c r="AI5189">
        <v>40000</v>
      </c>
      <c r="AJ5189">
        <v>0</v>
      </c>
      <c r="AK5189">
        <v>0</v>
      </c>
      <c r="AL5189">
        <v>0</v>
      </c>
      <c r="AM5189">
        <v>40000</v>
      </c>
      <c r="AN5189">
        <v>0</v>
      </c>
      <c r="AO5189">
        <v>40000</v>
      </c>
      <c r="AP5189">
        <v>0</v>
      </c>
      <c r="AQ5189">
        <v>0</v>
      </c>
      <c r="AR5189">
        <v>0</v>
      </c>
      <c r="AS5189" t="s">
        <v>239</v>
      </c>
      <c r="AT5189" t="s">
        <v>514</v>
      </c>
    </row>
    <row r="5190" spans="2:46" x14ac:dyDescent="0.35">
      <c r="B5190" t="s">
        <v>566</v>
      </c>
      <c r="C5190">
        <v>45703</v>
      </c>
      <c r="J5190">
        <v>0</v>
      </c>
      <c r="O5190" t="s">
        <v>239</v>
      </c>
      <c r="P5190" t="s">
        <v>514</v>
      </c>
      <c r="U5190">
        <v>0</v>
      </c>
      <c r="Y5190">
        <v>776</v>
      </c>
      <c r="Z5190" s="259" t="s">
        <v>637</v>
      </c>
      <c r="AB5190">
        <v>0</v>
      </c>
      <c r="AF5190">
        <v>40000</v>
      </c>
      <c r="AG5190">
        <v>0</v>
      </c>
      <c r="AI5190">
        <v>40000</v>
      </c>
      <c r="AJ5190">
        <v>0</v>
      </c>
      <c r="AK5190">
        <v>0</v>
      </c>
      <c r="AL5190">
        <v>0</v>
      </c>
      <c r="AM5190">
        <v>40000</v>
      </c>
      <c r="AN5190">
        <v>0</v>
      </c>
      <c r="AO5190">
        <v>40000</v>
      </c>
      <c r="AP5190">
        <v>0</v>
      </c>
      <c r="AQ5190">
        <v>0</v>
      </c>
      <c r="AR5190">
        <v>0</v>
      </c>
      <c r="AS5190" t="s">
        <v>239</v>
      </c>
      <c r="AT5190" t="s">
        <v>514</v>
      </c>
    </row>
    <row r="5191" spans="2:46" x14ac:dyDescent="0.35">
      <c r="B5191" t="s">
        <v>566</v>
      </c>
      <c r="C5191">
        <v>45704</v>
      </c>
      <c r="J5191">
        <v>0</v>
      </c>
      <c r="O5191" t="s">
        <v>239</v>
      </c>
      <c r="P5191" t="s">
        <v>514</v>
      </c>
      <c r="U5191">
        <v>0</v>
      </c>
      <c r="Y5191">
        <v>777</v>
      </c>
      <c r="Z5191" s="259" t="s">
        <v>637</v>
      </c>
      <c r="AB5191">
        <v>0</v>
      </c>
      <c r="AF5191">
        <v>40000</v>
      </c>
      <c r="AG5191">
        <v>0</v>
      </c>
      <c r="AI5191">
        <v>40000</v>
      </c>
      <c r="AJ5191">
        <v>0</v>
      </c>
      <c r="AK5191">
        <v>0</v>
      </c>
      <c r="AL5191">
        <v>0</v>
      </c>
      <c r="AM5191">
        <v>40000</v>
      </c>
      <c r="AN5191">
        <v>0</v>
      </c>
      <c r="AO5191">
        <v>40000</v>
      </c>
      <c r="AP5191">
        <v>0</v>
      </c>
      <c r="AQ5191">
        <v>0</v>
      </c>
      <c r="AR5191">
        <v>0</v>
      </c>
      <c r="AS5191" t="s">
        <v>239</v>
      </c>
      <c r="AT5191" t="s">
        <v>514</v>
      </c>
    </row>
    <row r="5192" spans="2:46" x14ac:dyDescent="0.35">
      <c r="B5192" t="s">
        <v>566</v>
      </c>
      <c r="C5192">
        <v>45705</v>
      </c>
      <c r="J5192">
        <v>0</v>
      </c>
      <c r="O5192" t="s">
        <v>239</v>
      </c>
      <c r="P5192" t="s">
        <v>514</v>
      </c>
      <c r="U5192">
        <v>0</v>
      </c>
      <c r="Y5192">
        <v>778</v>
      </c>
      <c r="Z5192" s="259" t="s">
        <v>637</v>
      </c>
      <c r="AB5192">
        <v>0</v>
      </c>
      <c r="AF5192">
        <v>40000</v>
      </c>
      <c r="AG5192">
        <v>0</v>
      </c>
      <c r="AI5192">
        <v>40000</v>
      </c>
      <c r="AJ5192">
        <v>0</v>
      </c>
      <c r="AK5192">
        <v>0</v>
      </c>
      <c r="AL5192">
        <v>0</v>
      </c>
      <c r="AM5192">
        <v>40000</v>
      </c>
      <c r="AN5192">
        <v>0</v>
      </c>
      <c r="AO5192">
        <v>40000</v>
      </c>
      <c r="AP5192">
        <v>0</v>
      </c>
      <c r="AQ5192">
        <v>0</v>
      </c>
      <c r="AR5192">
        <v>0</v>
      </c>
      <c r="AS5192" t="s">
        <v>239</v>
      </c>
      <c r="AT5192" t="s">
        <v>514</v>
      </c>
    </row>
    <row r="5193" spans="2:46" x14ac:dyDescent="0.35">
      <c r="B5193" t="s">
        <v>566</v>
      </c>
      <c r="C5193">
        <v>45706</v>
      </c>
      <c r="J5193">
        <v>0</v>
      </c>
      <c r="O5193" t="s">
        <v>239</v>
      </c>
      <c r="P5193" t="s">
        <v>514</v>
      </c>
      <c r="U5193">
        <v>0</v>
      </c>
      <c r="Y5193">
        <v>779</v>
      </c>
      <c r="Z5193" s="259" t="s">
        <v>637</v>
      </c>
      <c r="AB5193">
        <v>0</v>
      </c>
      <c r="AF5193">
        <v>40000</v>
      </c>
      <c r="AG5193">
        <v>0</v>
      </c>
      <c r="AI5193">
        <v>40000</v>
      </c>
      <c r="AJ5193">
        <v>0</v>
      </c>
      <c r="AK5193">
        <v>0</v>
      </c>
      <c r="AL5193">
        <v>0</v>
      </c>
      <c r="AM5193">
        <v>40000</v>
      </c>
      <c r="AN5193">
        <v>0</v>
      </c>
      <c r="AO5193">
        <v>40000</v>
      </c>
      <c r="AP5193">
        <v>0</v>
      </c>
      <c r="AQ5193">
        <v>0</v>
      </c>
      <c r="AR5193">
        <v>0</v>
      </c>
      <c r="AS5193" t="s">
        <v>239</v>
      </c>
      <c r="AT5193" t="s">
        <v>514</v>
      </c>
    </row>
    <row r="5194" spans="2:46" x14ac:dyDescent="0.35">
      <c r="B5194" t="s">
        <v>566</v>
      </c>
      <c r="C5194">
        <v>45707</v>
      </c>
      <c r="J5194">
        <v>0</v>
      </c>
      <c r="O5194" t="s">
        <v>239</v>
      </c>
      <c r="P5194" t="s">
        <v>514</v>
      </c>
      <c r="U5194">
        <v>0</v>
      </c>
      <c r="Y5194">
        <v>780</v>
      </c>
      <c r="Z5194" s="259" t="s">
        <v>637</v>
      </c>
      <c r="AB5194">
        <v>0</v>
      </c>
      <c r="AF5194">
        <v>40000</v>
      </c>
      <c r="AG5194">
        <v>0</v>
      </c>
      <c r="AI5194">
        <v>40000</v>
      </c>
      <c r="AJ5194">
        <v>0</v>
      </c>
      <c r="AK5194">
        <v>0</v>
      </c>
      <c r="AL5194">
        <v>0</v>
      </c>
      <c r="AM5194">
        <v>40000</v>
      </c>
      <c r="AN5194">
        <v>0</v>
      </c>
      <c r="AO5194">
        <v>40000</v>
      </c>
      <c r="AP5194">
        <v>0</v>
      </c>
      <c r="AQ5194">
        <v>0</v>
      </c>
      <c r="AR5194">
        <v>0</v>
      </c>
      <c r="AS5194" t="s">
        <v>239</v>
      </c>
      <c r="AT5194" t="s">
        <v>514</v>
      </c>
    </row>
    <row r="5195" spans="2:46" x14ac:dyDescent="0.35">
      <c r="B5195" t="s">
        <v>566</v>
      </c>
      <c r="C5195">
        <v>45708</v>
      </c>
      <c r="J5195">
        <v>0</v>
      </c>
      <c r="O5195" t="s">
        <v>239</v>
      </c>
      <c r="P5195" t="s">
        <v>514</v>
      </c>
      <c r="U5195">
        <v>0</v>
      </c>
      <c r="Y5195">
        <v>781</v>
      </c>
      <c r="Z5195" s="259" t="s">
        <v>637</v>
      </c>
      <c r="AB5195">
        <v>0</v>
      </c>
      <c r="AF5195">
        <v>40000</v>
      </c>
      <c r="AG5195">
        <v>0</v>
      </c>
      <c r="AI5195">
        <v>40000</v>
      </c>
      <c r="AJ5195">
        <v>0</v>
      </c>
      <c r="AK5195">
        <v>0</v>
      </c>
      <c r="AL5195">
        <v>0</v>
      </c>
      <c r="AM5195">
        <v>40000</v>
      </c>
      <c r="AN5195">
        <v>0</v>
      </c>
      <c r="AO5195">
        <v>40000</v>
      </c>
      <c r="AP5195">
        <v>0</v>
      </c>
      <c r="AQ5195">
        <v>0</v>
      </c>
      <c r="AR5195">
        <v>0</v>
      </c>
      <c r="AS5195" t="s">
        <v>239</v>
      </c>
      <c r="AT5195" t="s">
        <v>514</v>
      </c>
    </row>
    <row r="5196" spans="2:46" x14ac:dyDescent="0.35">
      <c r="B5196" t="s">
        <v>566</v>
      </c>
      <c r="C5196">
        <v>45709</v>
      </c>
      <c r="J5196">
        <v>0</v>
      </c>
      <c r="O5196" t="s">
        <v>239</v>
      </c>
      <c r="P5196" t="s">
        <v>514</v>
      </c>
      <c r="U5196">
        <v>0</v>
      </c>
      <c r="Y5196">
        <v>782</v>
      </c>
      <c r="Z5196" s="259" t="s">
        <v>637</v>
      </c>
      <c r="AB5196">
        <v>0</v>
      </c>
      <c r="AF5196">
        <v>40000</v>
      </c>
      <c r="AG5196">
        <v>0</v>
      </c>
      <c r="AI5196">
        <v>40000</v>
      </c>
      <c r="AJ5196">
        <v>0</v>
      </c>
      <c r="AK5196">
        <v>0</v>
      </c>
      <c r="AL5196">
        <v>0</v>
      </c>
      <c r="AM5196">
        <v>40000</v>
      </c>
      <c r="AN5196">
        <v>0</v>
      </c>
      <c r="AO5196">
        <v>40000</v>
      </c>
      <c r="AP5196">
        <v>0</v>
      </c>
      <c r="AQ5196">
        <v>0</v>
      </c>
      <c r="AR5196">
        <v>0</v>
      </c>
      <c r="AS5196" t="s">
        <v>239</v>
      </c>
      <c r="AT5196" t="s">
        <v>514</v>
      </c>
    </row>
    <row r="5197" spans="2:46" x14ac:dyDescent="0.35">
      <c r="B5197" t="s">
        <v>566</v>
      </c>
      <c r="C5197">
        <v>45710</v>
      </c>
      <c r="J5197">
        <v>0</v>
      </c>
      <c r="O5197" t="s">
        <v>239</v>
      </c>
      <c r="P5197" t="s">
        <v>514</v>
      </c>
      <c r="U5197">
        <v>0</v>
      </c>
      <c r="Y5197">
        <v>783</v>
      </c>
      <c r="Z5197" s="259" t="s">
        <v>637</v>
      </c>
      <c r="AB5197">
        <v>0</v>
      </c>
      <c r="AF5197">
        <v>40000</v>
      </c>
      <c r="AG5197">
        <v>0</v>
      </c>
      <c r="AI5197">
        <v>40000</v>
      </c>
      <c r="AJ5197">
        <v>0</v>
      </c>
      <c r="AK5197">
        <v>0</v>
      </c>
      <c r="AL5197">
        <v>0</v>
      </c>
      <c r="AM5197">
        <v>40000</v>
      </c>
      <c r="AN5197">
        <v>0</v>
      </c>
      <c r="AO5197">
        <v>40000</v>
      </c>
      <c r="AP5197">
        <v>0</v>
      </c>
      <c r="AQ5197">
        <v>0</v>
      </c>
      <c r="AR5197">
        <v>0</v>
      </c>
      <c r="AS5197" t="s">
        <v>239</v>
      </c>
      <c r="AT5197" t="s">
        <v>514</v>
      </c>
    </row>
    <row r="5198" spans="2:46" x14ac:dyDescent="0.35">
      <c r="B5198" t="s">
        <v>566</v>
      </c>
      <c r="C5198">
        <v>45711</v>
      </c>
      <c r="J5198">
        <v>0</v>
      </c>
      <c r="O5198" t="s">
        <v>239</v>
      </c>
      <c r="P5198" t="s">
        <v>514</v>
      </c>
      <c r="U5198">
        <v>0</v>
      </c>
      <c r="Y5198">
        <v>784</v>
      </c>
      <c r="Z5198" s="259" t="s">
        <v>637</v>
      </c>
      <c r="AB5198">
        <v>0</v>
      </c>
      <c r="AF5198">
        <v>40000</v>
      </c>
      <c r="AG5198">
        <v>0</v>
      </c>
      <c r="AI5198">
        <v>40000</v>
      </c>
      <c r="AJ5198">
        <v>0</v>
      </c>
      <c r="AK5198">
        <v>0</v>
      </c>
      <c r="AL5198">
        <v>0</v>
      </c>
      <c r="AM5198">
        <v>40000</v>
      </c>
      <c r="AN5198">
        <v>0</v>
      </c>
      <c r="AO5198">
        <v>40000</v>
      </c>
      <c r="AP5198">
        <v>0</v>
      </c>
      <c r="AQ5198">
        <v>0</v>
      </c>
      <c r="AR5198">
        <v>0</v>
      </c>
      <c r="AS5198" t="s">
        <v>239</v>
      </c>
      <c r="AT5198" t="s">
        <v>514</v>
      </c>
    </row>
    <row r="5199" spans="2:46" x14ac:dyDescent="0.35">
      <c r="B5199" t="s">
        <v>566</v>
      </c>
      <c r="C5199">
        <v>45712</v>
      </c>
      <c r="J5199">
        <v>0</v>
      </c>
      <c r="O5199" t="s">
        <v>239</v>
      </c>
      <c r="P5199" t="s">
        <v>514</v>
      </c>
      <c r="U5199">
        <v>0</v>
      </c>
      <c r="Y5199">
        <v>785</v>
      </c>
      <c r="Z5199" s="259" t="s">
        <v>637</v>
      </c>
      <c r="AB5199">
        <v>0</v>
      </c>
      <c r="AF5199">
        <v>40000</v>
      </c>
      <c r="AG5199">
        <v>0</v>
      </c>
      <c r="AI5199">
        <v>40000</v>
      </c>
      <c r="AJ5199">
        <v>0</v>
      </c>
      <c r="AK5199">
        <v>0</v>
      </c>
      <c r="AL5199">
        <v>0</v>
      </c>
      <c r="AM5199">
        <v>40000</v>
      </c>
      <c r="AN5199">
        <v>0</v>
      </c>
      <c r="AO5199">
        <v>40000</v>
      </c>
      <c r="AP5199">
        <v>0</v>
      </c>
      <c r="AQ5199">
        <v>0</v>
      </c>
      <c r="AR5199">
        <v>0</v>
      </c>
      <c r="AS5199" t="s">
        <v>239</v>
      </c>
      <c r="AT5199" t="s">
        <v>514</v>
      </c>
    </row>
    <row r="5200" spans="2:46" x14ac:dyDescent="0.35">
      <c r="B5200" t="s">
        <v>566</v>
      </c>
      <c r="C5200">
        <v>45713</v>
      </c>
      <c r="J5200">
        <v>0</v>
      </c>
      <c r="O5200" t="s">
        <v>239</v>
      </c>
      <c r="P5200" t="s">
        <v>514</v>
      </c>
      <c r="U5200">
        <v>0</v>
      </c>
      <c r="Y5200">
        <v>786</v>
      </c>
      <c r="Z5200" s="259" t="s">
        <v>637</v>
      </c>
      <c r="AB5200">
        <v>0</v>
      </c>
      <c r="AF5200">
        <v>40000</v>
      </c>
      <c r="AG5200">
        <v>0</v>
      </c>
      <c r="AI5200">
        <v>40000</v>
      </c>
      <c r="AJ5200">
        <v>0</v>
      </c>
      <c r="AK5200">
        <v>0</v>
      </c>
      <c r="AL5200">
        <v>0</v>
      </c>
      <c r="AM5200">
        <v>40000</v>
      </c>
      <c r="AN5200">
        <v>0</v>
      </c>
      <c r="AO5200">
        <v>40000</v>
      </c>
      <c r="AP5200">
        <v>0</v>
      </c>
      <c r="AQ5200">
        <v>0</v>
      </c>
      <c r="AR5200">
        <v>0</v>
      </c>
      <c r="AS5200" t="s">
        <v>239</v>
      </c>
      <c r="AT5200" t="s">
        <v>514</v>
      </c>
    </row>
    <row r="5201" spans="2:46" x14ac:dyDescent="0.35">
      <c r="B5201" t="s">
        <v>566</v>
      </c>
      <c r="C5201">
        <v>45714</v>
      </c>
      <c r="J5201">
        <v>0</v>
      </c>
      <c r="O5201" t="s">
        <v>239</v>
      </c>
      <c r="P5201" t="s">
        <v>514</v>
      </c>
      <c r="U5201">
        <v>0</v>
      </c>
      <c r="Y5201">
        <v>787</v>
      </c>
      <c r="Z5201" s="259" t="s">
        <v>637</v>
      </c>
      <c r="AB5201">
        <v>0</v>
      </c>
      <c r="AF5201">
        <v>40000</v>
      </c>
      <c r="AG5201">
        <v>0</v>
      </c>
      <c r="AI5201">
        <v>40000</v>
      </c>
      <c r="AJ5201">
        <v>0</v>
      </c>
      <c r="AK5201">
        <v>0</v>
      </c>
      <c r="AL5201">
        <v>0</v>
      </c>
      <c r="AM5201">
        <v>40000</v>
      </c>
      <c r="AN5201">
        <v>0</v>
      </c>
      <c r="AO5201">
        <v>40000</v>
      </c>
      <c r="AP5201">
        <v>0</v>
      </c>
      <c r="AQ5201">
        <v>0</v>
      </c>
      <c r="AR5201">
        <v>0</v>
      </c>
      <c r="AS5201" t="s">
        <v>239</v>
      </c>
      <c r="AT5201" t="s">
        <v>514</v>
      </c>
    </row>
    <row r="5202" spans="2:46" x14ac:dyDescent="0.35">
      <c r="B5202" t="s">
        <v>566</v>
      </c>
      <c r="C5202">
        <v>45715</v>
      </c>
      <c r="J5202">
        <v>0</v>
      </c>
      <c r="O5202" t="s">
        <v>239</v>
      </c>
      <c r="P5202" t="s">
        <v>514</v>
      </c>
      <c r="U5202">
        <v>0</v>
      </c>
      <c r="Y5202">
        <v>788</v>
      </c>
      <c r="Z5202" s="259" t="s">
        <v>637</v>
      </c>
      <c r="AB5202">
        <v>0</v>
      </c>
      <c r="AF5202">
        <v>40000</v>
      </c>
      <c r="AG5202">
        <v>0</v>
      </c>
      <c r="AI5202">
        <v>40000</v>
      </c>
      <c r="AJ5202">
        <v>0</v>
      </c>
      <c r="AK5202">
        <v>0</v>
      </c>
      <c r="AL5202">
        <v>0</v>
      </c>
      <c r="AM5202">
        <v>40000</v>
      </c>
      <c r="AN5202">
        <v>0</v>
      </c>
      <c r="AO5202">
        <v>40000</v>
      </c>
      <c r="AP5202">
        <v>0</v>
      </c>
      <c r="AQ5202">
        <v>0</v>
      </c>
      <c r="AR5202">
        <v>0</v>
      </c>
      <c r="AS5202" t="s">
        <v>239</v>
      </c>
      <c r="AT5202" t="s">
        <v>514</v>
      </c>
    </row>
    <row r="5203" spans="2:46" x14ac:dyDescent="0.35">
      <c r="B5203" t="s">
        <v>566</v>
      </c>
      <c r="C5203">
        <v>45716</v>
      </c>
      <c r="J5203">
        <v>0</v>
      </c>
      <c r="O5203" t="s">
        <v>239</v>
      </c>
      <c r="P5203" t="s">
        <v>514</v>
      </c>
      <c r="U5203">
        <v>0</v>
      </c>
      <c r="Y5203">
        <v>789</v>
      </c>
      <c r="Z5203" s="259" t="s">
        <v>637</v>
      </c>
      <c r="AB5203">
        <v>0</v>
      </c>
      <c r="AF5203">
        <v>40000</v>
      </c>
      <c r="AG5203">
        <v>0</v>
      </c>
      <c r="AI5203">
        <v>40000</v>
      </c>
      <c r="AJ5203">
        <v>0</v>
      </c>
      <c r="AK5203">
        <v>0</v>
      </c>
      <c r="AL5203">
        <v>0</v>
      </c>
      <c r="AM5203">
        <v>40000</v>
      </c>
      <c r="AN5203">
        <v>0</v>
      </c>
      <c r="AO5203">
        <v>40000</v>
      </c>
      <c r="AP5203">
        <v>0</v>
      </c>
      <c r="AQ5203">
        <v>0</v>
      </c>
      <c r="AR5203">
        <v>0</v>
      </c>
      <c r="AS5203" t="s">
        <v>239</v>
      </c>
      <c r="AT5203" t="s">
        <v>514</v>
      </c>
    </row>
    <row r="5204" spans="2:46" x14ac:dyDescent="0.35">
      <c r="B5204" t="s">
        <v>566</v>
      </c>
      <c r="C5204">
        <v>45717</v>
      </c>
      <c r="J5204">
        <v>0</v>
      </c>
      <c r="O5204" t="s">
        <v>239</v>
      </c>
      <c r="P5204" t="s">
        <v>514</v>
      </c>
      <c r="U5204">
        <v>0</v>
      </c>
      <c r="Y5204">
        <v>790</v>
      </c>
      <c r="Z5204" s="259" t="s">
        <v>637</v>
      </c>
      <c r="AB5204">
        <v>0</v>
      </c>
      <c r="AF5204">
        <v>40000</v>
      </c>
      <c r="AG5204">
        <v>0</v>
      </c>
      <c r="AI5204">
        <v>40000</v>
      </c>
      <c r="AJ5204">
        <v>0</v>
      </c>
      <c r="AK5204">
        <v>0</v>
      </c>
      <c r="AL5204">
        <v>0</v>
      </c>
      <c r="AM5204">
        <v>40000</v>
      </c>
      <c r="AN5204">
        <v>0</v>
      </c>
      <c r="AO5204">
        <v>40000</v>
      </c>
      <c r="AP5204">
        <v>0</v>
      </c>
      <c r="AQ5204">
        <v>0</v>
      </c>
      <c r="AR5204">
        <v>0</v>
      </c>
      <c r="AS5204" t="s">
        <v>239</v>
      </c>
      <c r="AT5204" t="s">
        <v>514</v>
      </c>
    </row>
    <row r="5205" spans="2:46" x14ac:dyDescent="0.35">
      <c r="B5205" t="s">
        <v>566</v>
      </c>
      <c r="C5205">
        <v>45718</v>
      </c>
      <c r="J5205">
        <v>0</v>
      </c>
      <c r="O5205" t="s">
        <v>239</v>
      </c>
      <c r="P5205" t="s">
        <v>514</v>
      </c>
      <c r="U5205">
        <v>0</v>
      </c>
      <c r="Y5205">
        <v>791</v>
      </c>
      <c r="Z5205" s="259" t="s">
        <v>637</v>
      </c>
      <c r="AB5205">
        <v>0</v>
      </c>
      <c r="AF5205">
        <v>40000</v>
      </c>
      <c r="AG5205">
        <v>0</v>
      </c>
      <c r="AI5205">
        <v>40000</v>
      </c>
      <c r="AJ5205">
        <v>0</v>
      </c>
      <c r="AK5205">
        <v>0</v>
      </c>
      <c r="AL5205">
        <v>0</v>
      </c>
      <c r="AM5205">
        <v>40000</v>
      </c>
      <c r="AN5205">
        <v>0</v>
      </c>
      <c r="AO5205">
        <v>40000</v>
      </c>
      <c r="AP5205">
        <v>0</v>
      </c>
      <c r="AQ5205">
        <v>0</v>
      </c>
      <c r="AR5205">
        <v>0</v>
      </c>
      <c r="AS5205" t="s">
        <v>239</v>
      </c>
      <c r="AT5205" t="s">
        <v>514</v>
      </c>
    </row>
    <row r="5206" spans="2:46" x14ac:dyDescent="0.35">
      <c r="B5206" t="s">
        <v>566</v>
      </c>
      <c r="C5206">
        <v>45719</v>
      </c>
      <c r="J5206">
        <v>0</v>
      </c>
      <c r="O5206" t="s">
        <v>239</v>
      </c>
      <c r="P5206" t="s">
        <v>514</v>
      </c>
      <c r="U5206">
        <v>0</v>
      </c>
      <c r="Y5206">
        <v>792</v>
      </c>
      <c r="Z5206" s="259" t="s">
        <v>637</v>
      </c>
      <c r="AB5206">
        <v>0</v>
      </c>
      <c r="AF5206">
        <v>40000</v>
      </c>
      <c r="AG5206">
        <v>0</v>
      </c>
      <c r="AI5206">
        <v>40000</v>
      </c>
      <c r="AJ5206">
        <v>0</v>
      </c>
      <c r="AK5206">
        <v>0</v>
      </c>
      <c r="AL5206">
        <v>0</v>
      </c>
      <c r="AM5206">
        <v>40000</v>
      </c>
      <c r="AN5206">
        <v>0</v>
      </c>
      <c r="AO5206">
        <v>40000</v>
      </c>
      <c r="AP5206">
        <v>0</v>
      </c>
      <c r="AQ5206">
        <v>0</v>
      </c>
      <c r="AR5206">
        <v>0</v>
      </c>
      <c r="AS5206" t="s">
        <v>239</v>
      </c>
      <c r="AT5206" t="s">
        <v>514</v>
      </c>
    </row>
    <row r="5207" spans="2:46" x14ac:dyDescent="0.35">
      <c r="B5207" t="s">
        <v>566</v>
      </c>
      <c r="C5207">
        <v>45720</v>
      </c>
      <c r="J5207">
        <v>0</v>
      </c>
      <c r="O5207" t="s">
        <v>239</v>
      </c>
      <c r="P5207" t="s">
        <v>514</v>
      </c>
      <c r="U5207">
        <v>0</v>
      </c>
      <c r="Y5207">
        <v>793</v>
      </c>
      <c r="Z5207" s="259" t="s">
        <v>637</v>
      </c>
      <c r="AB5207">
        <v>0</v>
      </c>
      <c r="AF5207">
        <v>40000</v>
      </c>
      <c r="AG5207">
        <v>0</v>
      </c>
      <c r="AI5207">
        <v>40000</v>
      </c>
      <c r="AJ5207">
        <v>0</v>
      </c>
      <c r="AK5207">
        <v>0</v>
      </c>
      <c r="AL5207">
        <v>0</v>
      </c>
      <c r="AM5207">
        <v>40000</v>
      </c>
      <c r="AN5207">
        <v>0</v>
      </c>
      <c r="AO5207">
        <v>40000</v>
      </c>
      <c r="AP5207">
        <v>0</v>
      </c>
      <c r="AQ5207">
        <v>0</v>
      </c>
      <c r="AR5207">
        <v>0</v>
      </c>
      <c r="AS5207" t="s">
        <v>239</v>
      </c>
      <c r="AT5207" t="s">
        <v>514</v>
      </c>
    </row>
    <row r="5208" spans="2:46" x14ac:dyDescent="0.35">
      <c r="B5208" t="s">
        <v>566</v>
      </c>
      <c r="C5208">
        <v>45721</v>
      </c>
      <c r="J5208">
        <v>0</v>
      </c>
      <c r="O5208" t="s">
        <v>239</v>
      </c>
      <c r="P5208" t="s">
        <v>514</v>
      </c>
      <c r="U5208">
        <v>0</v>
      </c>
      <c r="Y5208">
        <v>794</v>
      </c>
      <c r="Z5208" s="259" t="s">
        <v>637</v>
      </c>
      <c r="AB5208">
        <v>0</v>
      </c>
      <c r="AF5208">
        <v>40000</v>
      </c>
      <c r="AG5208">
        <v>0</v>
      </c>
      <c r="AI5208">
        <v>40000</v>
      </c>
      <c r="AJ5208">
        <v>0</v>
      </c>
      <c r="AK5208">
        <v>0</v>
      </c>
      <c r="AL5208">
        <v>0</v>
      </c>
      <c r="AM5208">
        <v>40000</v>
      </c>
      <c r="AN5208">
        <v>0</v>
      </c>
      <c r="AO5208">
        <v>40000</v>
      </c>
      <c r="AP5208">
        <v>0</v>
      </c>
      <c r="AQ5208">
        <v>0</v>
      </c>
      <c r="AR5208">
        <v>0</v>
      </c>
      <c r="AS5208" t="s">
        <v>239</v>
      </c>
      <c r="AT5208" t="s">
        <v>514</v>
      </c>
    </row>
    <row r="5209" spans="2:46" x14ac:dyDescent="0.35">
      <c r="B5209" t="s">
        <v>566</v>
      </c>
      <c r="C5209">
        <v>45722</v>
      </c>
      <c r="J5209">
        <v>0</v>
      </c>
      <c r="O5209" t="s">
        <v>239</v>
      </c>
      <c r="P5209" t="s">
        <v>514</v>
      </c>
      <c r="U5209">
        <v>0</v>
      </c>
      <c r="Y5209">
        <v>795</v>
      </c>
      <c r="Z5209" s="259" t="s">
        <v>637</v>
      </c>
      <c r="AB5209">
        <v>0</v>
      </c>
      <c r="AF5209">
        <v>40000</v>
      </c>
      <c r="AG5209">
        <v>0</v>
      </c>
      <c r="AI5209">
        <v>40000</v>
      </c>
      <c r="AJ5209">
        <v>0</v>
      </c>
      <c r="AK5209">
        <v>0</v>
      </c>
      <c r="AL5209">
        <v>0</v>
      </c>
      <c r="AM5209">
        <v>40000</v>
      </c>
      <c r="AN5209">
        <v>0</v>
      </c>
      <c r="AO5209">
        <v>40000</v>
      </c>
      <c r="AP5209">
        <v>0</v>
      </c>
      <c r="AQ5209">
        <v>0</v>
      </c>
      <c r="AR5209">
        <v>0</v>
      </c>
      <c r="AS5209" t="s">
        <v>239</v>
      </c>
      <c r="AT5209" t="s">
        <v>514</v>
      </c>
    </row>
    <row r="5210" spans="2:46" x14ac:dyDescent="0.35">
      <c r="B5210" t="s">
        <v>566</v>
      </c>
      <c r="C5210">
        <v>45723</v>
      </c>
      <c r="J5210">
        <v>0</v>
      </c>
      <c r="O5210" t="s">
        <v>239</v>
      </c>
      <c r="P5210" t="s">
        <v>514</v>
      </c>
      <c r="U5210">
        <v>0</v>
      </c>
      <c r="Y5210">
        <v>796</v>
      </c>
      <c r="Z5210" s="259" t="s">
        <v>637</v>
      </c>
      <c r="AB5210">
        <v>0</v>
      </c>
      <c r="AF5210">
        <v>40000</v>
      </c>
      <c r="AG5210">
        <v>0</v>
      </c>
      <c r="AI5210">
        <v>40000</v>
      </c>
      <c r="AJ5210">
        <v>0</v>
      </c>
      <c r="AK5210">
        <v>0</v>
      </c>
      <c r="AL5210">
        <v>0</v>
      </c>
      <c r="AM5210">
        <v>40000</v>
      </c>
      <c r="AN5210">
        <v>0</v>
      </c>
      <c r="AO5210">
        <v>40000</v>
      </c>
      <c r="AP5210">
        <v>0</v>
      </c>
      <c r="AQ5210">
        <v>0</v>
      </c>
      <c r="AR5210">
        <v>0</v>
      </c>
      <c r="AS5210" t="s">
        <v>239</v>
      </c>
      <c r="AT5210" t="s">
        <v>514</v>
      </c>
    </row>
    <row r="5211" spans="2:46" x14ac:dyDescent="0.35">
      <c r="B5211" t="s">
        <v>566</v>
      </c>
      <c r="C5211">
        <v>45724</v>
      </c>
      <c r="J5211">
        <v>0</v>
      </c>
      <c r="O5211" t="s">
        <v>239</v>
      </c>
      <c r="P5211" t="s">
        <v>514</v>
      </c>
      <c r="U5211">
        <v>0</v>
      </c>
      <c r="Y5211">
        <v>797</v>
      </c>
      <c r="Z5211" s="259" t="s">
        <v>637</v>
      </c>
      <c r="AB5211">
        <v>0</v>
      </c>
      <c r="AF5211">
        <v>40000</v>
      </c>
      <c r="AG5211">
        <v>0</v>
      </c>
      <c r="AI5211">
        <v>40000</v>
      </c>
      <c r="AJ5211">
        <v>0</v>
      </c>
      <c r="AK5211">
        <v>0</v>
      </c>
      <c r="AL5211">
        <v>0</v>
      </c>
      <c r="AM5211">
        <v>40000</v>
      </c>
      <c r="AN5211">
        <v>0</v>
      </c>
      <c r="AO5211">
        <v>40000</v>
      </c>
      <c r="AP5211">
        <v>0</v>
      </c>
      <c r="AQ5211">
        <v>0</v>
      </c>
      <c r="AR5211">
        <v>0</v>
      </c>
      <c r="AS5211" t="s">
        <v>239</v>
      </c>
      <c r="AT5211" t="s">
        <v>514</v>
      </c>
    </row>
    <row r="5212" spans="2:46" x14ac:dyDescent="0.35">
      <c r="B5212" t="s">
        <v>566</v>
      </c>
      <c r="C5212">
        <v>45725</v>
      </c>
      <c r="J5212">
        <v>0</v>
      </c>
      <c r="O5212" t="s">
        <v>239</v>
      </c>
      <c r="P5212" t="s">
        <v>514</v>
      </c>
      <c r="U5212">
        <v>0</v>
      </c>
      <c r="Y5212">
        <v>798</v>
      </c>
      <c r="Z5212" s="259" t="s">
        <v>637</v>
      </c>
      <c r="AB5212">
        <v>0</v>
      </c>
      <c r="AF5212">
        <v>40000</v>
      </c>
      <c r="AG5212">
        <v>0</v>
      </c>
      <c r="AI5212">
        <v>40000</v>
      </c>
      <c r="AJ5212">
        <v>0</v>
      </c>
      <c r="AK5212">
        <v>0</v>
      </c>
      <c r="AL5212">
        <v>0</v>
      </c>
      <c r="AM5212">
        <v>40000</v>
      </c>
      <c r="AN5212">
        <v>0</v>
      </c>
      <c r="AO5212">
        <v>40000</v>
      </c>
      <c r="AP5212">
        <v>0</v>
      </c>
      <c r="AQ5212">
        <v>0</v>
      </c>
      <c r="AR5212">
        <v>0</v>
      </c>
      <c r="AS5212" t="s">
        <v>239</v>
      </c>
      <c r="AT5212" t="s">
        <v>514</v>
      </c>
    </row>
    <row r="5213" spans="2:46" x14ac:dyDescent="0.35">
      <c r="B5213" t="s">
        <v>566</v>
      </c>
      <c r="C5213">
        <v>45726</v>
      </c>
      <c r="J5213">
        <v>0</v>
      </c>
      <c r="O5213" t="s">
        <v>239</v>
      </c>
      <c r="P5213" t="s">
        <v>514</v>
      </c>
      <c r="U5213">
        <v>0</v>
      </c>
      <c r="Y5213">
        <v>799</v>
      </c>
      <c r="Z5213" s="259" t="s">
        <v>637</v>
      </c>
      <c r="AB5213">
        <v>0</v>
      </c>
      <c r="AF5213">
        <v>40000</v>
      </c>
      <c r="AG5213">
        <v>0</v>
      </c>
      <c r="AI5213">
        <v>40000</v>
      </c>
      <c r="AJ5213">
        <v>0</v>
      </c>
      <c r="AK5213">
        <v>0</v>
      </c>
      <c r="AL5213">
        <v>0</v>
      </c>
      <c r="AM5213">
        <v>40000</v>
      </c>
      <c r="AN5213">
        <v>0</v>
      </c>
      <c r="AO5213">
        <v>40000</v>
      </c>
      <c r="AP5213">
        <v>0</v>
      </c>
      <c r="AQ5213">
        <v>0</v>
      </c>
      <c r="AR5213">
        <v>0</v>
      </c>
      <c r="AS5213" t="s">
        <v>239</v>
      </c>
      <c r="AT5213" t="s">
        <v>514</v>
      </c>
    </row>
    <row r="5214" spans="2:46" x14ac:dyDescent="0.35">
      <c r="B5214" t="s">
        <v>566</v>
      </c>
      <c r="C5214">
        <v>45727</v>
      </c>
      <c r="J5214">
        <v>0</v>
      </c>
      <c r="O5214" t="s">
        <v>239</v>
      </c>
      <c r="P5214" t="s">
        <v>514</v>
      </c>
      <c r="U5214">
        <v>0</v>
      </c>
      <c r="Y5214">
        <v>800</v>
      </c>
      <c r="Z5214" s="259" t="s">
        <v>637</v>
      </c>
      <c r="AB5214">
        <v>0</v>
      </c>
      <c r="AF5214">
        <v>40000</v>
      </c>
      <c r="AG5214">
        <v>0</v>
      </c>
      <c r="AI5214">
        <v>40000</v>
      </c>
      <c r="AJ5214">
        <v>0</v>
      </c>
      <c r="AK5214">
        <v>0</v>
      </c>
      <c r="AL5214">
        <v>0</v>
      </c>
      <c r="AM5214">
        <v>40000</v>
      </c>
      <c r="AN5214">
        <v>0</v>
      </c>
      <c r="AO5214">
        <v>40000</v>
      </c>
      <c r="AP5214">
        <v>0</v>
      </c>
      <c r="AQ5214">
        <v>0</v>
      </c>
      <c r="AR5214">
        <v>0</v>
      </c>
      <c r="AS5214" t="s">
        <v>239</v>
      </c>
      <c r="AT5214" t="s">
        <v>514</v>
      </c>
    </row>
    <row r="5215" spans="2:46" x14ac:dyDescent="0.35">
      <c r="B5215" t="s">
        <v>566</v>
      </c>
      <c r="C5215">
        <v>45728</v>
      </c>
      <c r="J5215">
        <v>0</v>
      </c>
      <c r="O5215" t="s">
        <v>239</v>
      </c>
      <c r="P5215" t="s">
        <v>514</v>
      </c>
      <c r="U5215">
        <v>0</v>
      </c>
      <c r="Y5215">
        <v>801</v>
      </c>
      <c r="Z5215" s="259" t="s">
        <v>637</v>
      </c>
      <c r="AB5215">
        <v>0</v>
      </c>
      <c r="AF5215">
        <v>40000</v>
      </c>
      <c r="AG5215">
        <v>0</v>
      </c>
      <c r="AI5215">
        <v>40000</v>
      </c>
      <c r="AJ5215">
        <v>0</v>
      </c>
      <c r="AK5215">
        <v>0</v>
      </c>
      <c r="AL5215">
        <v>0</v>
      </c>
      <c r="AM5215">
        <v>40000</v>
      </c>
      <c r="AN5215">
        <v>0</v>
      </c>
      <c r="AO5215">
        <v>40000</v>
      </c>
      <c r="AP5215">
        <v>0</v>
      </c>
      <c r="AQ5215">
        <v>0</v>
      </c>
      <c r="AR5215">
        <v>0</v>
      </c>
      <c r="AS5215" t="s">
        <v>239</v>
      </c>
      <c r="AT5215" t="s">
        <v>514</v>
      </c>
    </row>
    <row r="5216" spans="2:46" x14ac:dyDescent="0.35">
      <c r="B5216" t="s">
        <v>566</v>
      </c>
      <c r="C5216">
        <v>45729</v>
      </c>
      <c r="J5216">
        <v>0</v>
      </c>
      <c r="O5216" t="s">
        <v>239</v>
      </c>
      <c r="P5216" t="s">
        <v>514</v>
      </c>
      <c r="U5216">
        <v>0</v>
      </c>
      <c r="Y5216">
        <v>802</v>
      </c>
      <c r="Z5216" s="259" t="s">
        <v>637</v>
      </c>
      <c r="AB5216">
        <v>0</v>
      </c>
      <c r="AF5216">
        <v>40000</v>
      </c>
      <c r="AG5216">
        <v>0</v>
      </c>
      <c r="AI5216">
        <v>40000</v>
      </c>
      <c r="AJ5216">
        <v>0</v>
      </c>
      <c r="AK5216">
        <v>0</v>
      </c>
      <c r="AL5216">
        <v>0</v>
      </c>
      <c r="AM5216">
        <v>40000</v>
      </c>
      <c r="AN5216">
        <v>0</v>
      </c>
      <c r="AO5216">
        <v>40000</v>
      </c>
      <c r="AP5216">
        <v>0</v>
      </c>
      <c r="AQ5216">
        <v>0</v>
      </c>
      <c r="AR5216">
        <v>0</v>
      </c>
      <c r="AS5216" t="s">
        <v>239</v>
      </c>
      <c r="AT5216" t="s">
        <v>514</v>
      </c>
    </row>
    <row r="5217" spans="2:46" x14ac:dyDescent="0.35">
      <c r="B5217" t="s">
        <v>566</v>
      </c>
      <c r="C5217">
        <v>45730</v>
      </c>
      <c r="J5217">
        <v>0</v>
      </c>
      <c r="O5217" t="s">
        <v>239</v>
      </c>
      <c r="P5217" t="s">
        <v>514</v>
      </c>
      <c r="U5217">
        <v>0</v>
      </c>
      <c r="Y5217">
        <v>803</v>
      </c>
      <c r="Z5217" s="259" t="s">
        <v>637</v>
      </c>
      <c r="AB5217">
        <v>0</v>
      </c>
      <c r="AF5217">
        <v>40000</v>
      </c>
      <c r="AG5217">
        <v>0</v>
      </c>
      <c r="AI5217">
        <v>40000</v>
      </c>
      <c r="AJ5217">
        <v>0</v>
      </c>
      <c r="AK5217">
        <v>0</v>
      </c>
      <c r="AL5217">
        <v>0</v>
      </c>
      <c r="AM5217">
        <v>40000</v>
      </c>
      <c r="AN5217">
        <v>0</v>
      </c>
      <c r="AO5217">
        <v>40000</v>
      </c>
      <c r="AP5217">
        <v>0</v>
      </c>
      <c r="AQ5217">
        <v>0</v>
      </c>
      <c r="AR5217">
        <v>0</v>
      </c>
      <c r="AS5217" t="s">
        <v>239</v>
      </c>
      <c r="AT5217" t="s">
        <v>514</v>
      </c>
    </row>
    <row r="5218" spans="2:46" x14ac:dyDescent="0.35">
      <c r="B5218" t="s">
        <v>566</v>
      </c>
      <c r="C5218">
        <v>45731</v>
      </c>
      <c r="J5218">
        <v>0</v>
      </c>
      <c r="O5218" t="s">
        <v>239</v>
      </c>
      <c r="P5218" t="s">
        <v>514</v>
      </c>
      <c r="U5218">
        <v>0</v>
      </c>
      <c r="Y5218">
        <v>804</v>
      </c>
      <c r="Z5218" s="259" t="s">
        <v>637</v>
      </c>
      <c r="AB5218">
        <v>0</v>
      </c>
      <c r="AF5218">
        <v>40000</v>
      </c>
      <c r="AG5218">
        <v>0</v>
      </c>
      <c r="AI5218">
        <v>40000</v>
      </c>
      <c r="AJ5218">
        <v>0</v>
      </c>
      <c r="AK5218">
        <v>0</v>
      </c>
      <c r="AL5218">
        <v>0</v>
      </c>
      <c r="AM5218">
        <v>40000</v>
      </c>
      <c r="AN5218">
        <v>0</v>
      </c>
      <c r="AO5218">
        <v>40000</v>
      </c>
      <c r="AP5218">
        <v>0</v>
      </c>
      <c r="AQ5218">
        <v>0</v>
      </c>
      <c r="AR5218">
        <v>0</v>
      </c>
      <c r="AS5218" t="s">
        <v>239</v>
      </c>
      <c r="AT5218" t="s">
        <v>514</v>
      </c>
    </row>
    <row r="5219" spans="2:46" x14ac:dyDescent="0.35">
      <c r="B5219" t="s">
        <v>566</v>
      </c>
      <c r="C5219">
        <v>45732</v>
      </c>
      <c r="J5219">
        <v>0</v>
      </c>
      <c r="O5219" t="s">
        <v>239</v>
      </c>
      <c r="P5219" t="s">
        <v>514</v>
      </c>
      <c r="U5219">
        <v>0</v>
      </c>
      <c r="Y5219">
        <v>805</v>
      </c>
      <c r="Z5219" s="259" t="s">
        <v>637</v>
      </c>
      <c r="AB5219">
        <v>0</v>
      </c>
      <c r="AF5219">
        <v>40000</v>
      </c>
      <c r="AG5219">
        <v>0</v>
      </c>
      <c r="AI5219">
        <v>40000</v>
      </c>
      <c r="AJ5219">
        <v>0</v>
      </c>
      <c r="AK5219">
        <v>0</v>
      </c>
      <c r="AL5219">
        <v>0</v>
      </c>
      <c r="AM5219">
        <v>40000</v>
      </c>
      <c r="AN5219">
        <v>0</v>
      </c>
      <c r="AO5219">
        <v>40000</v>
      </c>
      <c r="AP5219">
        <v>0</v>
      </c>
      <c r="AQ5219">
        <v>0</v>
      </c>
      <c r="AR5219">
        <v>0</v>
      </c>
      <c r="AS5219" t="s">
        <v>239</v>
      </c>
      <c r="AT5219" t="s">
        <v>514</v>
      </c>
    </row>
    <row r="5220" spans="2:46" x14ac:dyDescent="0.35">
      <c r="B5220" t="s">
        <v>566</v>
      </c>
      <c r="C5220">
        <v>45733</v>
      </c>
      <c r="J5220">
        <v>0</v>
      </c>
      <c r="O5220" t="s">
        <v>239</v>
      </c>
      <c r="P5220" t="s">
        <v>514</v>
      </c>
      <c r="U5220">
        <v>0</v>
      </c>
      <c r="Y5220">
        <v>806</v>
      </c>
      <c r="Z5220" s="259" t="s">
        <v>637</v>
      </c>
      <c r="AB5220">
        <v>0</v>
      </c>
      <c r="AF5220">
        <v>40000</v>
      </c>
      <c r="AG5220">
        <v>0</v>
      </c>
      <c r="AI5220">
        <v>40000</v>
      </c>
      <c r="AJ5220">
        <v>0</v>
      </c>
      <c r="AK5220">
        <v>0</v>
      </c>
      <c r="AL5220">
        <v>0</v>
      </c>
      <c r="AM5220">
        <v>40000</v>
      </c>
      <c r="AN5220">
        <v>0</v>
      </c>
      <c r="AO5220">
        <v>40000</v>
      </c>
      <c r="AP5220">
        <v>0</v>
      </c>
      <c r="AQ5220">
        <v>0</v>
      </c>
      <c r="AR5220">
        <v>0</v>
      </c>
      <c r="AS5220" t="s">
        <v>239</v>
      </c>
      <c r="AT5220" t="s">
        <v>514</v>
      </c>
    </row>
    <row r="5221" spans="2:46" x14ac:dyDescent="0.35">
      <c r="B5221" t="s">
        <v>566</v>
      </c>
      <c r="C5221">
        <v>45734</v>
      </c>
      <c r="J5221">
        <v>0</v>
      </c>
      <c r="O5221" t="s">
        <v>239</v>
      </c>
      <c r="P5221" t="s">
        <v>514</v>
      </c>
      <c r="U5221">
        <v>0</v>
      </c>
      <c r="Y5221">
        <v>807</v>
      </c>
      <c r="Z5221" s="259" t="s">
        <v>637</v>
      </c>
      <c r="AB5221">
        <v>0</v>
      </c>
      <c r="AF5221">
        <v>40000</v>
      </c>
      <c r="AG5221">
        <v>0</v>
      </c>
      <c r="AI5221">
        <v>40000</v>
      </c>
      <c r="AJ5221">
        <v>0</v>
      </c>
      <c r="AK5221">
        <v>0</v>
      </c>
      <c r="AL5221">
        <v>0</v>
      </c>
      <c r="AM5221">
        <v>40000</v>
      </c>
      <c r="AN5221">
        <v>0</v>
      </c>
      <c r="AO5221">
        <v>40000</v>
      </c>
      <c r="AP5221">
        <v>0</v>
      </c>
      <c r="AQ5221">
        <v>0</v>
      </c>
      <c r="AR5221">
        <v>0</v>
      </c>
      <c r="AS5221" t="s">
        <v>239</v>
      </c>
      <c r="AT5221" t="s">
        <v>514</v>
      </c>
    </row>
    <row r="5222" spans="2:46" x14ac:dyDescent="0.35">
      <c r="B5222" t="s">
        <v>566</v>
      </c>
      <c r="C5222">
        <v>45735</v>
      </c>
      <c r="J5222">
        <v>0</v>
      </c>
      <c r="O5222" t="s">
        <v>239</v>
      </c>
      <c r="P5222" t="s">
        <v>514</v>
      </c>
      <c r="U5222">
        <v>0</v>
      </c>
      <c r="Y5222">
        <v>808</v>
      </c>
      <c r="Z5222" s="259" t="s">
        <v>637</v>
      </c>
      <c r="AB5222">
        <v>0</v>
      </c>
      <c r="AF5222">
        <v>40000</v>
      </c>
      <c r="AG5222">
        <v>0</v>
      </c>
      <c r="AI5222">
        <v>40000</v>
      </c>
      <c r="AJ5222">
        <v>0</v>
      </c>
      <c r="AK5222">
        <v>0</v>
      </c>
      <c r="AL5222">
        <v>0</v>
      </c>
      <c r="AM5222">
        <v>40000</v>
      </c>
      <c r="AN5222">
        <v>0</v>
      </c>
      <c r="AO5222">
        <v>40000</v>
      </c>
      <c r="AP5222">
        <v>0</v>
      </c>
      <c r="AQ5222">
        <v>0</v>
      </c>
      <c r="AR5222">
        <v>0</v>
      </c>
      <c r="AS5222" t="s">
        <v>239</v>
      </c>
      <c r="AT5222" t="s">
        <v>514</v>
      </c>
    </row>
    <row r="5223" spans="2:46" x14ac:dyDescent="0.35">
      <c r="B5223" t="s">
        <v>566</v>
      </c>
      <c r="C5223">
        <v>45736</v>
      </c>
      <c r="J5223">
        <v>0</v>
      </c>
      <c r="O5223" t="s">
        <v>239</v>
      </c>
      <c r="P5223" t="s">
        <v>514</v>
      </c>
      <c r="U5223">
        <v>0</v>
      </c>
      <c r="Y5223">
        <v>809</v>
      </c>
      <c r="Z5223" s="259" t="s">
        <v>637</v>
      </c>
      <c r="AB5223">
        <v>0</v>
      </c>
      <c r="AF5223">
        <v>40000</v>
      </c>
      <c r="AG5223">
        <v>0</v>
      </c>
      <c r="AI5223">
        <v>40000</v>
      </c>
      <c r="AJ5223">
        <v>0</v>
      </c>
      <c r="AK5223">
        <v>0</v>
      </c>
      <c r="AL5223">
        <v>0</v>
      </c>
      <c r="AM5223">
        <v>40000</v>
      </c>
      <c r="AN5223">
        <v>0</v>
      </c>
      <c r="AO5223">
        <v>40000</v>
      </c>
      <c r="AP5223">
        <v>0</v>
      </c>
      <c r="AQ5223">
        <v>0</v>
      </c>
      <c r="AR5223">
        <v>0</v>
      </c>
      <c r="AS5223" t="s">
        <v>239</v>
      </c>
      <c r="AT5223" t="s">
        <v>514</v>
      </c>
    </row>
    <row r="5224" spans="2:46" x14ac:dyDescent="0.35">
      <c r="B5224" t="s">
        <v>566</v>
      </c>
      <c r="C5224">
        <v>45737</v>
      </c>
      <c r="J5224">
        <v>0</v>
      </c>
      <c r="O5224" t="s">
        <v>239</v>
      </c>
      <c r="P5224" t="s">
        <v>514</v>
      </c>
      <c r="U5224">
        <v>0</v>
      </c>
      <c r="Y5224">
        <v>810</v>
      </c>
      <c r="Z5224" s="259" t="s">
        <v>637</v>
      </c>
      <c r="AB5224">
        <v>0</v>
      </c>
      <c r="AF5224">
        <v>40000</v>
      </c>
      <c r="AG5224">
        <v>0</v>
      </c>
      <c r="AI5224">
        <v>40000</v>
      </c>
      <c r="AJ5224">
        <v>0</v>
      </c>
      <c r="AK5224">
        <v>0</v>
      </c>
      <c r="AL5224">
        <v>0</v>
      </c>
      <c r="AM5224">
        <v>40000</v>
      </c>
      <c r="AN5224">
        <v>0</v>
      </c>
      <c r="AO5224">
        <v>40000</v>
      </c>
      <c r="AP5224">
        <v>0</v>
      </c>
      <c r="AQ5224">
        <v>0</v>
      </c>
      <c r="AR5224">
        <v>0</v>
      </c>
      <c r="AS5224" t="s">
        <v>239</v>
      </c>
      <c r="AT5224" t="s">
        <v>514</v>
      </c>
    </row>
    <row r="5225" spans="2:46" x14ac:dyDescent="0.35">
      <c r="B5225" t="s">
        <v>566</v>
      </c>
      <c r="C5225">
        <v>45738</v>
      </c>
      <c r="J5225">
        <v>0</v>
      </c>
      <c r="O5225" t="s">
        <v>239</v>
      </c>
      <c r="P5225" t="s">
        <v>514</v>
      </c>
      <c r="U5225">
        <v>0</v>
      </c>
      <c r="Y5225">
        <v>811</v>
      </c>
      <c r="Z5225" s="259" t="s">
        <v>637</v>
      </c>
      <c r="AB5225">
        <v>0</v>
      </c>
      <c r="AF5225">
        <v>40000</v>
      </c>
      <c r="AG5225">
        <v>0</v>
      </c>
      <c r="AI5225">
        <v>40000</v>
      </c>
      <c r="AJ5225">
        <v>0</v>
      </c>
      <c r="AK5225">
        <v>0</v>
      </c>
      <c r="AL5225">
        <v>0</v>
      </c>
      <c r="AM5225">
        <v>40000</v>
      </c>
      <c r="AN5225">
        <v>0</v>
      </c>
      <c r="AO5225">
        <v>40000</v>
      </c>
      <c r="AP5225">
        <v>0</v>
      </c>
      <c r="AQ5225">
        <v>0</v>
      </c>
      <c r="AR5225">
        <v>0</v>
      </c>
      <c r="AS5225" t="s">
        <v>239</v>
      </c>
      <c r="AT5225" t="s">
        <v>514</v>
      </c>
    </row>
    <row r="5226" spans="2:46" x14ac:dyDescent="0.35">
      <c r="B5226" t="s">
        <v>566</v>
      </c>
      <c r="C5226">
        <v>45739</v>
      </c>
      <c r="J5226">
        <v>0</v>
      </c>
      <c r="O5226" t="s">
        <v>239</v>
      </c>
      <c r="P5226" t="s">
        <v>514</v>
      </c>
      <c r="U5226">
        <v>0</v>
      </c>
      <c r="Y5226">
        <v>812</v>
      </c>
      <c r="Z5226" s="259" t="s">
        <v>637</v>
      </c>
      <c r="AB5226">
        <v>0</v>
      </c>
      <c r="AF5226">
        <v>40000</v>
      </c>
      <c r="AG5226">
        <v>0</v>
      </c>
      <c r="AI5226">
        <v>40000</v>
      </c>
      <c r="AJ5226">
        <v>0</v>
      </c>
      <c r="AK5226">
        <v>0</v>
      </c>
      <c r="AL5226">
        <v>0</v>
      </c>
      <c r="AM5226">
        <v>40000</v>
      </c>
      <c r="AN5226">
        <v>0</v>
      </c>
      <c r="AO5226">
        <v>40000</v>
      </c>
      <c r="AP5226">
        <v>0</v>
      </c>
      <c r="AQ5226">
        <v>0</v>
      </c>
      <c r="AR5226">
        <v>0</v>
      </c>
      <c r="AS5226" t="s">
        <v>239</v>
      </c>
      <c r="AT5226" t="s">
        <v>514</v>
      </c>
    </row>
    <row r="5227" spans="2:46" x14ac:dyDescent="0.35">
      <c r="B5227" t="s">
        <v>566</v>
      </c>
      <c r="C5227">
        <v>45740</v>
      </c>
      <c r="J5227">
        <v>0</v>
      </c>
      <c r="O5227" t="s">
        <v>239</v>
      </c>
      <c r="P5227" t="s">
        <v>514</v>
      </c>
      <c r="U5227">
        <v>0</v>
      </c>
      <c r="Y5227">
        <v>813</v>
      </c>
      <c r="Z5227" s="259" t="s">
        <v>637</v>
      </c>
      <c r="AB5227">
        <v>0</v>
      </c>
      <c r="AF5227">
        <v>40000</v>
      </c>
      <c r="AG5227">
        <v>0</v>
      </c>
      <c r="AI5227">
        <v>40000</v>
      </c>
      <c r="AJ5227">
        <v>0</v>
      </c>
      <c r="AK5227">
        <v>0</v>
      </c>
      <c r="AL5227">
        <v>0</v>
      </c>
      <c r="AM5227">
        <v>40000</v>
      </c>
      <c r="AN5227">
        <v>0</v>
      </c>
      <c r="AO5227">
        <v>40000</v>
      </c>
      <c r="AP5227">
        <v>0</v>
      </c>
      <c r="AQ5227">
        <v>0</v>
      </c>
      <c r="AR5227">
        <v>0</v>
      </c>
      <c r="AS5227" t="s">
        <v>239</v>
      </c>
      <c r="AT5227" t="s">
        <v>514</v>
      </c>
    </row>
    <row r="5228" spans="2:46" x14ac:dyDescent="0.35">
      <c r="B5228" t="s">
        <v>566</v>
      </c>
      <c r="C5228">
        <v>45741</v>
      </c>
      <c r="J5228">
        <v>0</v>
      </c>
      <c r="O5228" t="s">
        <v>239</v>
      </c>
      <c r="P5228" t="s">
        <v>514</v>
      </c>
      <c r="U5228">
        <v>0</v>
      </c>
      <c r="Y5228">
        <v>814</v>
      </c>
      <c r="Z5228" s="259" t="s">
        <v>637</v>
      </c>
      <c r="AB5228">
        <v>0</v>
      </c>
      <c r="AF5228">
        <v>40000</v>
      </c>
      <c r="AG5228">
        <v>0</v>
      </c>
      <c r="AI5228">
        <v>40000</v>
      </c>
      <c r="AJ5228">
        <v>0</v>
      </c>
      <c r="AK5228">
        <v>0</v>
      </c>
      <c r="AL5228">
        <v>0</v>
      </c>
      <c r="AM5228">
        <v>40000</v>
      </c>
      <c r="AN5228">
        <v>0</v>
      </c>
      <c r="AO5228">
        <v>40000</v>
      </c>
      <c r="AP5228">
        <v>0</v>
      </c>
      <c r="AQ5228">
        <v>0</v>
      </c>
      <c r="AR5228">
        <v>0</v>
      </c>
      <c r="AS5228" t="s">
        <v>239</v>
      </c>
      <c r="AT5228" t="s">
        <v>514</v>
      </c>
    </row>
    <row r="5229" spans="2:46" x14ac:dyDescent="0.35">
      <c r="B5229" t="s">
        <v>566</v>
      </c>
      <c r="C5229">
        <v>45742</v>
      </c>
      <c r="J5229">
        <v>0</v>
      </c>
      <c r="O5229" t="s">
        <v>239</v>
      </c>
      <c r="P5229" t="s">
        <v>514</v>
      </c>
      <c r="U5229">
        <v>0</v>
      </c>
      <c r="Y5229">
        <v>815</v>
      </c>
      <c r="Z5229" s="259" t="s">
        <v>637</v>
      </c>
      <c r="AB5229">
        <v>0</v>
      </c>
      <c r="AF5229">
        <v>40000</v>
      </c>
      <c r="AG5229">
        <v>0</v>
      </c>
      <c r="AI5229">
        <v>40000</v>
      </c>
      <c r="AJ5229">
        <v>0</v>
      </c>
      <c r="AK5229">
        <v>0</v>
      </c>
      <c r="AL5229">
        <v>0</v>
      </c>
      <c r="AM5229">
        <v>40000</v>
      </c>
      <c r="AN5229">
        <v>0</v>
      </c>
      <c r="AO5229">
        <v>40000</v>
      </c>
      <c r="AP5229">
        <v>0</v>
      </c>
      <c r="AQ5229">
        <v>0</v>
      </c>
      <c r="AR5229">
        <v>0</v>
      </c>
      <c r="AS5229" t="s">
        <v>239</v>
      </c>
      <c r="AT5229" t="s">
        <v>514</v>
      </c>
    </row>
    <row r="5230" spans="2:46" x14ac:dyDescent="0.35">
      <c r="B5230" t="s">
        <v>566</v>
      </c>
      <c r="C5230">
        <v>45743</v>
      </c>
      <c r="J5230">
        <v>0</v>
      </c>
      <c r="O5230" t="s">
        <v>239</v>
      </c>
      <c r="P5230" t="s">
        <v>514</v>
      </c>
      <c r="U5230">
        <v>0</v>
      </c>
      <c r="Y5230">
        <v>816</v>
      </c>
      <c r="Z5230" s="259" t="s">
        <v>637</v>
      </c>
      <c r="AB5230">
        <v>0</v>
      </c>
      <c r="AF5230">
        <v>40000</v>
      </c>
      <c r="AG5230">
        <v>0</v>
      </c>
      <c r="AI5230">
        <v>40000</v>
      </c>
      <c r="AJ5230">
        <v>0</v>
      </c>
      <c r="AK5230">
        <v>0</v>
      </c>
      <c r="AL5230">
        <v>0</v>
      </c>
      <c r="AM5230">
        <v>40000</v>
      </c>
      <c r="AN5230">
        <v>0</v>
      </c>
      <c r="AO5230">
        <v>40000</v>
      </c>
      <c r="AP5230">
        <v>0</v>
      </c>
      <c r="AQ5230">
        <v>0</v>
      </c>
      <c r="AR5230">
        <v>0</v>
      </c>
      <c r="AS5230" t="s">
        <v>239</v>
      </c>
      <c r="AT5230" t="s">
        <v>514</v>
      </c>
    </row>
    <row r="5231" spans="2:46" x14ac:dyDescent="0.35">
      <c r="B5231" t="s">
        <v>566</v>
      </c>
      <c r="C5231">
        <v>45744</v>
      </c>
      <c r="J5231">
        <v>0</v>
      </c>
      <c r="O5231" t="s">
        <v>239</v>
      </c>
      <c r="P5231" t="s">
        <v>514</v>
      </c>
      <c r="U5231">
        <v>0</v>
      </c>
      <c r="Y5231">
        <v>817</v>
      </c>
      <c r="Z5231" s="259" t="s">
        <v>637</v>
      </c>
      <c r="AB5231">
        <v>0</v>
      </c>
      <c r="AF5231">
        <v>40000</v>
      </c>
      <c r="AG5231">
        <v>0</v>
      </c>
      <c r="AI5231">
        <v>40000</v>
      </c>
      <c r="AJ5231">
        <v>0</v>
      </c>
      <c r="AK5231">
        <v>0</v>
      </c>
      <c r="AL5231">
        <v>0</v>
      </c>
      <c r="AM5231">
        <v>40000</v>
      </c>
      <c r="AN5231">
        <v>0</v>
      </c>
      <c r="AO5231">
        <v>40000</v>
      </c>
      <c r="AP5231">
        <v>0</v>
      </c>
      <c r="AQ5231">
        <v>0</v>
      </c>
      <c r="AR5231">
        <v>0</v>
      </c>
      <c r="AS5231" t="s">
        <v>239</v>
      </c>
      <c r="AT5231" t="s">
        <v>514</v>
      </c>
    </row>
    <row r="5232" spans="2:46" x14ac:dyDescent="0.35">
      <c r="B5232" t="s">
        <v>566</v>
      </c>
      <c r="C5232">
        <v>45745</v>
      </c>
      <c r="J5232">
        <v>0</v>
      </c>
      <c r="O5232" t="s">
        <v>239</v>
      </c>
      <c r="P5232" t="s">
        <v>514</v>
      </c>
      <c r="U5232">
        <v>0</v>
      </c>
      <c r="Y5232">
        <v>818</v>
      </c>
      <c r="Z5232" s="259" t="s">
        <v>637</v>
      </c>
      <c r="AB5232">
        <v>0</v>
      </c>
      <c r="AF5232">
        <v>40000</v>
      </c>
      <c r="AG5232">
        <v>0</v>
      </c>
      <c r="AI5232">
        <v>40000</v>
      </c>
      <c r="AJ5232">
        <v>0</v>
      </c>
      <c r="AK5232">
        <v>0</v>
      </c>
      <c r="AL5232">
        <v>0</v>
      </c>
      <c r="AM5232">
        <v>40000</v>
      </c>
      <c r="AN5232">
        <v>0</v>
      </c>
      <c r="AO5232">
        <v>40000</v>
      </c>
      <c r="AP5232">
        <v>0</v>
      </c>
      <c r="AQ5232">
        <v>0</v>
      </c>
      <c r="AR5232">
        <v>0</v>
      </c>
      <c r="AS5232" t="s">
        <v>239</v>
      </c>
      <c r="AT5232" t="s">
        <v>514</v>
      </c>
    </row>
    <row r="5233" spans="2:46" x14ac:dyDescent="0.35">
      <c r="B5233" t="s">
        <v>566</v>
      </c>
      <c r="C5233">
        <v>45746</v>
      </c>
      <c r="J5233">
        <v>0</v>
      </c>
      <c r="O5233" t="s">
        <v>239</v>
      </c>
      <c r="P5233" t="s">
        <v>514</v>
      </c>
      <c r="U5233">
        <v>0</v>
      </c>
      <c r="Y5233">
        <v>819</v>
      </c>
      <c r="Z5233" s="259" t="s">
        <v>637</v>
      </c>
      <c r="AB5233">
        <v>0</v>
      </c>
      <c r="AF5233">
        <v>40000</v>
      </c>
      <c r="AG5233">
        <v>0</v>
      </c>
      <c r="AI5233">
        <v>40000</v>
      </c>
      <c r="AJ5233">
        <v>0</v>
      </c>
      <c r="AK5233">
        <v>0</v>
      </c>
      <c r="AL5233">
        <v>0</v>
      </c>
      <c r="AM5233">
        <v>40000</v>
      </c>
      <c r="AN5233">
        <v>0</v>
      </c>
      <c r="AO5233">
        <v>40000</v>
      </c>
      <c r="AP5233">
        <v>0</v>
      </c>
      <c r="AQ5233">
        <v>0</v>
      </c>
      <c r="AR5233">
        <v>0</v>
      </c>
      <c r="AS5233" t="s">
        <v>239</v>
      </c>
      <c r="AT5233" t="s">
        <v>514</v>
      </c>
    </row>
    <row r="5234" spans="2:46" x14ac:dyDescent="0.35">
      <c r="B5234" t="s">
        <v>566</v>
      </c>
      <c r="C5234">
        <v>45747</v>
      </c>
      <c r="J5234">
        <v>0</v>
      </c>
      <c r="O5234" t="s">
        <v>239</v>
      </c>
      <c r="P5234" t="s">
        <v>514</v>
      </c>
      <c r="U5234">
        <v>0</v>
      </c>
      <c r="Y5234">
        <v>820</v>
      </c>
      <c r="Z5234" s="259" t="s">
        <v>637</v>
      </c>
      <c r="AB5234">
        <v>0</v>
      </c>
      <c r="AF5234">
        <v>40000</v>
      </c>
      <c r="AG5234">
        <v>0</v>
      </c>
      <c r="AI5234">
        <v>40000</v>
      </c>
      <c r="AJ5234">
        <v>0</v>
      </c>
      <c r="AK5234">
        <v>0</v>
      </c>
      <c r="AL5234">
        <v>0</v>
      </c>
      <c r="AM5234">
        <v>40000</v>
      </c>
      <c r="AN5234">
        <v>0</v>
      </c>
      <c r="AO5234">
        <v>40000</v>
      </c>
      <c r="AP5234">
        <v>0</v>
      </c>
      <c r="AQ5234">
        <v>0</v>
      </c>
      <c r="AR5234">
        <v>0</v>
      </c>
      <c r="AS5234" t="s">
        <v>239</v>
      </c>
      <c r="AT5234" t="s">
        <v>514</v>
      </c>
    </row>
    <row r="5235" spans="2:46" x14ac:dyDescent="0.35">
      <c r="B5235" t="s">
        <v>566</v>
      </c>
      <c r="C5235">
        <v>45748</v>
      </c>
      <c r="J5235">
        <v>0</v>
      </c>
      <c r="O5235" t="s">
        <v>239</v>
      </c>
      <c r="P5235" t="s">
        <v>514</v>
      </c>
      <c r="U5235">
        <v>0</v>
      </c>
      <c r="Y5235">
        <v>821</v>
      </c>
      <c r="Z5235" s="259" t="s">
        <v>637</v>
      </c>
      <c r="AB5235">
        <v>0</v>
      </c>
      <c r="AF5235">
        <v>42000</v>
      </c>
      <c r="AG5235">
        <v>0</v>
      </c>
      <c r="AI5235">
        <v>40000</v>
      </c>
      <c r="AJ5235">
        <v>0</v>
      </c>
      <c r="AK5235">
        <v>2000</v>
      </c>
      <c r="AL5235">
        <v>2000</v>
      </c>
      <c r="AM5235">
        <v>42000</v>
      </c>
      <c r="AN5235">
        <v>0</v>
      </c>
      <c r="AO5235">
        <v>42000</v>
      </c>
      <c r="AP5235">
        <v>0</v>
      </c>
      <c r="AQ5235">
        <v>0</v>
      </c>
      <c r="AR5235">
        <v>0</v>
      </c>
      <c r="AS5235" t="s">
        <v>239</v>
      </c>
      <c r="AT5235" t="s">
        <v>514</v>
      </c>
    </row>
    <row r="5236" spans="2:46" x14ac:dyDescent="0.35">
      <c r="B5236" t="s">
        <v>566</v>
      </c>
      <c r="C5236">
        <v>45749</v>
      </c>
      <c r="J5236">
        <v>0</v>
      </c>
      <c r="O5236" t="s">
        <v>239</v>
      </c>
      <c r="P5236" t="s">
        <v>514</v>
      </c>
      <c r="U5236">
        <v>0</v>
      </c>
      <c r="Y5236">
        <v>822</v>
      </c>
      <c r="Z5236" s="259" t="s">
        <v>637</v>
      </c>
      <c r="AB5236">
        <v>0</v>
      </c>
      <c r="AF5236">
        <v>42000</v>
      </c>
      <c r="AG5236">
        <v>0</v>
      </c>
      <c r="AI5236">
        <v>42000</v>
      </c>
      <c r="AJ5236">
        <v>0</v>
      </c>
      <c r="AK5236">
        <v>0</v>
      </c>
      <c r="AL5236">
        <v>0</v>
      </c>
      <c r="AM5236">
        <v>42000</v>
      </c>
      <c r="AN5236">
        <v>0</v>
      </c>
      <c r="AO5236">
        <v>42000</v>
      </c>
      <c r="AP5236">
        <v>0</v>
      </c>
      <c r="AQ5236">
        <v>0</v>
      </c>
      <c r="AR5236">
        <v>0</v>
      </c>
      <c r="AS5236" t="s">
        <v>239</v>
      </c>
      <c r="AT5236" t="s">
        <v>514</v>
      </c>
    </row>
    <row r="5237" spans="2:46" x14ac:dyDescent="0.35">
      <c r="B5237" t="s">
        <v>566</v>
      </c>
      <c r="C5237">
        <v>45750</v>
      </c>
      <c r="J5237">
        <v>0</v>
      </c>
      <c r="O5237" t="s">
        <v>239</v>
      </c>
      <c r="P5237" t="s">
        <v>514</v>
      </c>
      <c r="U5237">
        <v>0</v>
      </c>
      <c r="Y5237">
        <v>823</v>
      </c>
      <c r="Z5237" s="259" t="s">
        <v>637</v>
      </c>
      <c r="AB5237">
        <v>0</v>
      </c>
      <c r="AF5237">
        <v>42000</v>
      </c>
      <c r="AG5237">
        <v>0</v>
      </c>
      <c r="AI5237">
        <v>42000</v>
      </c>
      <c r="AJ5237">
        <v>0</v>
      </c>
      <c r="AK5237">
        <v>0</v>
      </c>
      <c r="AL5237">
        <v>0</v>
      </c>
      <c r="AM5237">
        <v>42000</v>
      </c>
      <c r="AN5237">
        <v>0</v>
      </c>
      <c r="AO5237">
        <v>42000</v>
      </c>
      <c r="AP5237">
        <v>0</v>
      </c>
      <c r="AQ5237">
        <v>0</v>
      </c>
      <c r="AR5237">
        <v>0</v>
      </c>
      <c r="AS5237" t="s">
        <v>239</v>
      </c>
      <c r="AT5237" t="s">
        <v>514</v>
      </c>
    </row>
    <row r="5238" spans="2:46" x14ac:dyDescent="0.35">
      <c r="B5238" t="s">
        <v>566</v>
      </c>
      <c r="C5238">
        <v>45751</v>
      </c>
      <c r="J5238">
        <v>0</v>
      </c>
      <c r="O5238" t="s">
        <v>239</v>
      </c>
      <c r="P5238" t="s">
        <v>514</v>
      </c>
      <c r="U5238">
        <v>0</v>
      </c>
      <c r="Y5238">
        <v>824</v>
      </c>
      <c r="Z5238" s="259" t="s">
        <v>637</v>
      </c>
      <c r="AB5238">
        <v>0</v>
      </c>
      <c r="AF5238">
        <v>42000</v>
      </c>
      <c r="AG5238">
        <v>0</v>
      </c>
      <c r="AI5238">
        <v>42000</v>
      </c>
      <c r="AJ5238">
        <v>0</v>
      </c>
      <c r="AK5238">
        <v>0</v>
      </c>
      <c r="AL5238">
        <v>0</v>
      </c>
      <c r="AM5238">
        <v>42000</v>
      </c>
      <c r="AN5238">
        <v>0</v>
      </c>
      <c r="AO5238">
        <v>42000</v>
      </c>
      <c r="AP5238">
        <v>0</v>
      </c>
      <c r="AQ5238">
        <v>0</v>
      </c>
      <c r="AR5238">
        <v>0</v>
      </c>
      <c r="AS5238" t="s">
        <v>239</v>
      </c>
      <c r="AT5238" t="s">
        <v>514</v>
      </c>
    </row>
    <row r="5239" spans="2:46" x14ac:dyDescent="0.35">
      <c r="B5239" t="s">
        <v>566</v>
      </c>
      <c r="C5239">
        <v>45752</v>
      </c>
      <c r="J5239">
        <v>0</v>
      </c>
      <c r="O5239" t="s">
        <v>239</v>
      </c>
      <c r="P5239" t="s">
        <v>514</v>
      </c>
      <c r="U5239">
        <v>0</v>
      </c>
      <c r="Y5239">
        <v>825</v>
      </c>
      <c r="Z5239" s="259" t="s">
        <v>637</v>
      </c>
      <c r="AB5239">
        <v>0</v>
      </c>
      <c r="AF5239">
        <v>42000</v>
      </c>
      <c r="AG5239">
        <v>0</v>
      </c>
      <c r="AI5239">
        <v>42000</v>
      </c>
      <c r="AJ5239">
        <v>0</v>
      </c>
      <c r="AK5239">
        <v>0</v>
      </c>
      <c r="AL5239">
        <v>0</v>
      </c>
      <c r="AM5239">
        <v>42000</v>
      </c>
      <c r="AN5239">
        <v>0</v>
      </c>
      <c r="AO5239">
        <v>42000</v>
      </c>
      <c r="AP5239">
        <v>0</v>
      </c>
      <c r="AQ5239">
        <v>0</v>
      </c>
      <c r="AR5239">
        <v>0</v>
      </c>
      <c r="AS5239" t="s">
        <v>239</v>
      </c>
      <c r="AT5239" t="s">
        <v>514</v>
      </c>
    </row>
    <row r="5240" spans="2:46" x14ac:dyDescent="0.35">
      <c r="B5240" t="s">
        <v>566</v>
      </c>
      <c r="C5240">
        <v>45753</v>
      </c>
      <c r="J5240">
        <v>0</v>
      </c>
      <c r="O5240" t="s">
        <v>239</v>
      </c>
      <c r="P5240" t="s">
        <v>514</v>
      </c>
      <c r="U5240">
        <v>0</v>
      </c>
      <c r="Y5240">
        <v>826</v>
      </c>
      <c r="Z5240" s="259" t="s">
        <v>637</v>
      </c>
      <c r="AB5240">
        <v>0</v>
      </c>
      <c r="AF5240">
        <v>42000</v>
      </c>
      <c r="AG5240">
        <v>0</v>
      </c>
      <c r="AI5240">
        <v>42000</v>
      </c>
      <c r="AJ5240">
        <v>0</v>
      </c>
      <c r="AK5240">
        <v>0</v>
      </c>
      <c r="AL5240">
        <v>0</v>
      </c>
      <c r="AM5240">
        <v>42000</v>
      </c>
      <c r="AN5240">
        <v>0</v>
      </c>
      <c r="AO5240">
        <v>42000</v>
      </c>
      <c r="AP5240">
        <v>0</v>
      </c>
      <c r="AQ5240">
        <v>0</v>
      </c>
      <c r="AR5240">
        <v>0</v>
      </c>
      <c r="AS5240" t="s">
        <v>239</v>
      </c>
      <c r="AT5240" t="s">
        <v>514</v>
      </c>
    </row>
    <row r="5241" spans="2:46" x14ac:dyDescent="0.35">
      <c r="B5241" t="s">
        <v>566</v>
      </c>
      <c r="C5241">
        <v>45754</v>
      </c>
      <c r="J5241">
        <v>0</v>
      </c>
      <c r="O5241" t="s">
        <v>239</v>
      </c>
      <c r="P5241" t="s">
        <v>514</v>
      </c>
      <c r="U5241">
        <v>0</v>
      </c>
      <c r="Y5241">
        <v>827</v>
      </c>
      <c r="Z5241" s="259" t="s">
        <v>637</v>
      </c>
      <c r="AB5241">
        <v>0</v>
      </c>
      <c r="AF5241">
        <v>42000</v>
      </c>
      <c r="AG5241">
        <v>0</v>
      </c>
      <c r="AI5241">
        <v>42000</v>
      </c>
      <c r="AJ5241">
        <v>0</v>
      </c>
      <c r="AK5241">
        <v>0</v>
      </c>
      <c r="AL5241">
        <v>0</v>
      </c>
      <c r="AM5241">
        <v>42000</v>
      </c>
      <c r="AN5241">
        <v>0</v>
      </c>
      <c r="AO5241">
        <v>42000</v>
      </c>
      <c r="AP5241">
        <v>0</v>
      </c>
      <c r="AQ5241">
        <v>0</v>
      </c>
      <c r="AR5241">
        <v>0</v>
      </c>
      <c r="AS5241" t="s">
        <v>239</v>
      </c>
      <c r="AT5241" t="s">
        <v>514</v>
      </c>
    </row>
    <row r="5242" spans="2:46" x14ac:dyDescent="0.35">
      <c r="B5242" t="s">
        <v>566</v>
      </c>
      <c r="C5242">
        <v>45755</v>
      </c>
      <c r="J5242">
        <v>0</v>
      </c>
      <c r="O5242" t="s">
        <v>239</v>
      </c>
      <c r="P5242" t="s">
        <v>514</v>
      </c>
      <c r="U5242">
        <v>0</v>
      </c>
      <c r="Y5242">
        <v>828</v>
      </c>
      <c r="Z5242" s="259" t="s">
        <v>637</v>
      </c>
      <c r="AB5242">
        <v>0</v>
      </c>
      <c r="AF5242">
        <v>42000</v>
      </c>
      <c r="AG5242">
        <v>0</v>
      </c>
      <c r="AI5242">
        <v>42000</v>
      </c>
      <c r="AJ5242">
        <v>0</v>
      </c>
      <c r="AK5242">
        <v>0</v>
      </c>
      <c r="AL5242">
        <v>0</v>
      </c>
      <c r="AM5242">
        <v>42000</v>
      </c>
      <c r="AN5242">
        <v>0</v>
      </c>
      <c r="AO5242">
        <v>42000</v>
      </c>
      <c r="AP5242">
        <v>0</v>
      </c>
      <c r="AQ5242">
        <v>0</v>
      </c>
      <c r="AR5242">
        <v>0</v>
      </c>
      <c r="AS5242" t="s">
        <v>239</v>
      </c>
      <c r="AT5242" t="s">
        <v>514</v>
      </c>
    </row>
    <row r="5243" spans="2:46" x14ac:dyDescent="0.35">
      <c r="B5243" t="s">
        <v>566</v>
      </c>
      <c r="C5243">
        <v>45756</v>
      </c>
      <c r="J5243">
        <v>0</v>
      </c>
      <c r="O5243" t="s">
        <v>239</v>
      </c>
      <c r="P5243" t="s">
        <v>514</v>
      </c>
      <c r="U5243">
        <v>0</v>
      </c>
      <c r="Y5243">
        <v>829</v>
      </c>
      <c r="Z5243" s="259" t="s">
        <v>637</v>
      </c>
      <c r="AB5243">
        <v>0</v>
      </c>
      <c r="AF5243">
        <v>42000</v>
      </c>
      <c r="AG5243">
        <v>0</v>
      </c>
      <c r="AI5243">
        <v>42000</v>
      </c>
      <c r="AJ5243">
        <v>0</v>
      </c>
      <c r="AK5243">
        <v>0</v>
      </c>
      <c r="AL5243">
        <v>0</v>
      </c>
      <c r="AM5243">
        <v>42000</v>
      </c>
      <c r="AN5243">
        <v>0</v>
      </c>
      <c r="AO5243">
        <v>42000</v>
      </c>
      <c r="AP5243">
        <v>0</v>
      </c>
      <c r="AQ5243">
        <v>0</v>
      </c>
      <c r="AR5243">
        <v>0</v>
      </c>
      <c r="AS5243" t="s">
        <v>239</v>
      </c>
      <c r="AT5243" t="s">
        <v>514</v>
      </c>
    </row>
    <row r="5244" spans="2:46" x14ac:dyDescent="0.35">
      <c r="B5244" t="s">
        <v>566</v>
      </c>
      <c r="C5244">
        <v>45757</v>
      </c>
      <c r="J5244">
        <v>0</v>
      </c>
      <c r="O5244" t="s">
        <v>239</v>
      </c>
      <c r="P5244" t="s">
        <v>514</v>
      </c>
      <c r="U5244">
        <v>0</v>
      </c>
      <c r="Y5244">
        <v>830</v>
      </c>
      <c r="Z5244" s="259" t="s">
        <v>637</v>
      </c>
      <c r="AB5244">
        <v>0</v>
      </c>
      <c r="AF5244">
        <v>42000</v>
      </c>
      <c r="AG5244">
        <v>0</v>
      </c>
      <c r="AI5244">
        <v>42000</v>
      </c>
      <c r="AJ5244">
        <v>0</v>
      </c>
      <c r="AK5244">
        <v>0</v>
      </c>
      <c r="AL5244">
        <v>0</v>
      </c>
      <c r="AM5244">
        <v>42000</v>
      </c>
      <c r="AN5244">
        <v>0</v>
      </c>
      <c r="AO5244">
        <v>42000</v>
      </c>
      <c r="AP5244">
        <v>0</v>
      </c>
      <c r="AQ5244">
        <v>0</v>
      </c>
      <c r="AR5244">
        <v>0</v>
      </c>
      <c r="AS5244" t="s">
        <v>239</v>
      </c>
      <c r="AT5244" t="s">
        <v>514</v>
      </c>
    </row>
    <row r="5245" spans="2:46" x14ac:dyDescent="0.35">
      <c r="B5245" t="s">
        <v>566</v>
      </c>
      <c r="C5245">
        <v>45758</v>
      </c>
      <c r="J5245">
        <v>0</v>
      </c>
      <c r="O5245" t="s">
        <v>239</v>
      </c>
      <c r="P5245" t="s">
        <v>514</v>
      </c>
      <c r="U5245">
        <v>0</v>
      </c>
      <c r="Y5245">
        <v>831</v>
      </c>
      <c r="Z5245" s="259" t="s">
        <v>637</v>
      </c>
      <c r="AB5245">
        <v>0</v>
      </c>
      <c r="AF5245">
        <v>42000</v>
      </c>
      <c r="AG5245">
        <v>0</v>
      </c>
      <c r="AI5245">
        <v>42000</v>
      </c>
      <c r="AJ5245">
        <v>0</v>
      </c>
      <c r="AK5245">
        <v>0</v>
      </c>
      <c r="AL5245">
        <v>0</v>
      </c>
      <c r="AM5245">
        <v>42000</v>
      </c>
      <c r="AN5245">
        <v>0</v>
      </c>
      <c r="AO5245">
        <v>42000</v>
      </c>
      <c r="AP5245">
        <v>0</v>
      </c>
      <c r="AQ5245">
        <v>0</v>
      </c>
      <c r="AR5245">
        <v>0</v>
      </c>
      <c r="AS5245" t="s">
        <v>239</v>
      </c>
      <c r="AT5245" t="s">
        <v>514</v>
      </c>
    </row>
    <row r="5246" spans="2:46" x14ac:dyDescent="0.35">
      <c r="B5246" t="s">
        <v>566</v>
      </c>
      <c r="C5246">
        <v>45759</v>
      </c>
      <c r="J5246">
        <v>0</v>
      </c>
      <c r="O5246" t="s">
        <v>239</v>
      </c>
      <c r="P5246" t="s">
        <v>514</v>
      </c>
      <c r="U5246">
        <v>0</v>
      </c>
      <c r="Y5246">
        <v>832</v>
      </c>
      <c r="Z5246" s="259" t="s">
        <v>637</v>
      </c>
      <c r="AB5246">
        <v>0</v>
      </c>
      <c r="AF5246">
        <v>42000</v>
      </c>
      <c r="AG5246">
        <v>0</v>
      </c>
      <c r="AI5246">
        <v>42000</v>
      </c>
      <c r="AJ5246">
        <v>0</v>
      </c>
      <c r="AK5246">
        <v>0</v>
      </c>
      <c r="AL5246">
        <v>0</v>
      </c>
      <c r="AM5246">
        <v>42000</v>
      </c>
      <c r="AN5246">
        <v>0</v>
      </c>
      <c r="AO5246">
        <v>42000</v>
      </c>
      <c r="AP5246">
        <v>0</v>
      </c>
      <c r="AQ5246">
        <v>0</v>
      </c>
      <c r="AR5246">
        <v>0</v>
      </c>
      <c r="AS5246" t="s">
        <v>239</v>
      </c>
      <c r="AT5246" t="s">
        <v>514</v>
      </c>
    </row>
    <row r="5247" spans="2:46" x14ac:dyDescent="0.35">
      <c r="B5247" t="s">
        <v>566</v>
      </c>
      <c r="C5247">
        <v>45760</v>
      </c>
      <c r="J5247">
        <v>0</v>
      </c>
      <c r="O5247" t="s">
        <v>239</v>
      </c>
      <c r="P5247" t="s">
        <v>514</v>
      </c>
      <c r="U5247">
        <v>0</v>
      </c>
      <c r="Y5247">
        <v>833</v>
      </c>
      <c r="Z5247" s="259" t="s">
        <v>637</v>
      </c>
      <c r="AB5247">
        <v>0</v>
      </c>
      <c r="AF5247">
        <v>42000</v>
      </c>
      <c r="AG5247">
        <v>0</v>
      </c>
      <c r="AI5247">
        <v>42000</v>
      </c>
      <c r="AJ5247">
        <v>0</v>
      </c>
      <c r="AK5247">
        <v>0</v>
      </c>
      <c r="AL5247">
        <v>0</v>
      </c>
      <c r="AM5247">
        <v>42000</v>
      </c>
      <c r="AN5247">
        <v>0</v>
      </c>
      <c r="AO5247">
        <v>42000</v>
      </c>
      <c r="AP5247">
        <v>0</v>
      </c>
      <c r="AQ5247">
        <v>0</v>
      </c>
      <c r="AR5247">
        <v>0</v>
      </c>
      <c r="AS5247" t="s">
        <v>239</v>
      </c>
      <c r="AT5247" t="s">
        <v>514</v>
      </c>
    </row>
    <row r="5248" spans="2:46" x14ac:dyDescent="0.35">
      <c r="B5248" t="s">
        <v>566</v>
      </c>
      <c r="C5248">
        <v>45761</v>
      </c>
      <c r="J5248">
        <v>0</v>
      </c>
      <c r="O5248" t="s">
        <v>239</v>
      </c>
      <c r="P5248" t="s">
        <v>514</v>
      </c>
      <c r="U5248">
        <v>0</v>
      </c>
      <c r="Y5248">
        <v>834</v>
      </c>
      <c r="Z5248" s="259" t="s">
        <v>637</v>
      </c>
      <c r="AB5248">
        <v>0</v>
      </c>
      <c r="AF5248">
        <v>42000</v>
      </c>
      <c r="AG5248">
        <v>0</v>
      </c>
      <c r="AI5248">
        <v>42000</v>
      </c>
      <c r="AJ5248">
        <v>0</v>
      </c>
      <c r="AK5248">
        <v>0</v>
      </c>
      <c r="AL5248">
        <v>0</v>
      </c>
      <c r="AM5248">
        <v>42000</v>
      </c>
      <c r="AN5248">
        <v>0</v>
      </c>
      <c r="AO5248">
        <v>42000</v>
      </c>
      <c r="AP5248">
        <v>0</v>
      </c>
      <c r="AQ5248">
        <v>0</v>
      </c>
      <c r="AR5248">
        <v>0</v>
      </c>
      <c r="AS5248" t="s">
        <v>239</v>
      </c>
      <c r="AT5248" t="s">
        <v>514</v>
      </c>
    </row>
    <row r="5249" spans="2:46" x14ac:dyDescent="0.35">
      <c r="B5249" t="s">
        <v>566</v>
      </c>
      <c r="C5249">
        <v>45762</v>
      </c>
      <c r="J5249">
        <v>0</v>
      </c>
      <c r="O5249" t="s">
        <v>239</v>
      </c>
      <c r="P5249" t="s">
        <v>514</v>
      </c>
      <c r="U5249">
        <v>0</v>
      </c>
      <c r="Y5249">
        <v>835</v>
      </c>
      <c r="Z5249" s="259" t="s">
        <v>637</v>
      </c>
      <c r="AB5249">
        <v>0</v>
      </c>
      <c r="AF5249">
        <v>42000</v>
      </c>
      <c r="AG5249">
        <v>0</v>
      </c>
      <c r="AI5249">
        <v>42000</v>
      </c>
      <c r="AJ5249">
        <v>0</v>
      </c>
      <c r="AK5249">
        <v>0</v>
      </c>
      <c r="AL5249">
        <v>0</v>
      </c>
      <c r="AM5249">
        <v>42000</v>
      </c>
      <c r="AN5249">
        <v>0</v>
      </c>
      <c r="AO5249">
        <v>42000</v>
      </c>
      <c r="AP5249">
        <v>0</v>
      </c>
      <c r="AQ5249">
        <v>0</v>
      </c>
      <c r="AR5249">
        <v>0</v>
      </c>
      <c r="AS5249" t="s">
        <v>239</v>
      </c>
      <c r="AT5249" t="s">
        <v>514</v>
      </c>
    </row>
    <row r="5250" spans="2:46" x14ac:dyDescent="0.35">
      <c r="B5250" t="s">
        <v>566</v>
      </c>
      <c r="C5250">
        <v>45763</v>
      </c>
      <c r="J5250">
        <v>0</v>
      </c>
      <c r="O5250" t="s">
        <v>239</v>
      </c>
      <c r="P5250" t="s">
        <v>514</v>
      </c>
      <c r="U5250">
        <v>0</v>
      </c>
      <c r="Y5250">
        <v>836</v>
      </c>
      <c r="Z5250" s="259" t="s">
        <v>637</v>
      </c>
      <c r="AB5250">
        <v>0</v>
      </c>
      <c r="AF5250">
        <v>42000</v>
      </c>
      <c r="AG5250">
        <v>0</v>
      </c>
      <c r="AI5250">
        <v>42000</v>
      </c>
      <c r="AJ5250">
        <v>0</v>
      </c>
      <c r="AK5250">
        <v>0</v>
      </c>
      <c r="AL5250">
        <v>0</v>
      </c>
      <c r="AM5250">
        <v>42000</v>
      </c>
      <c r="AN5250">
        <v>0</v>
      </c>
      <c r="AO5250">
        <v>42000</v>
      </c>
      <c r="AP5250">
        <v>0</v>
      </c>
      <c r="AQ5250">
        <v>0</v>
      </c>
      <c r="AR5250">
        <v>0</v>
      </c>
      <c r="AS5250" t="s">
        <v>239</v>
      </c>
      <c r="AT5250" t="s">
        <v>514</v>
      </c>
    </row>
    <row r="5251" spans="2:46" x14ac:dyDescent="0.35">
      <c r="B5251" t="s">
        <v>566</v>
      </c>
      <c r="C5251">
        <v>45764</v>
      </c>
      <c r="J5251">
        <v>0</v>
      </c>
      <c r="O5251" t="s">
        <v>239</v>
      </c>
      <c r="P5251" t="s">
        <v>514</v>
      </c>
      <c r="U5251">
        <v>0</v>
      </c>
      <c r="Y5251">
        <v>837</v>
      </c>
      <c r="Z5251" s="259" t="s">
        <v>637</v>
      </c>
      <c r="AB5251">
        <v>0</v>
      </c>
      <c r="AF5251">
        <v>42000</v>
      </c>
      <c r="AG5251">
        <v>0</v>
      </c>
      <c r="AI5251">
        <v>42000</v>
      </c>
      <c r="AJ5251">
        <v>0</v>
      </c>
      <c r="AK5251">
        <v>0</v>
      </c>
      <c r="AL5251">
        <v>0</v>
      </c>
      <c r="AM5251">
        <v>42000</v>
      </c>
      <c r="AN5251">
        <v>0</v>
      </c>
      <c r="AO5251">
        <v>42000</v>
      </c>
      <c r="AP5251">
        <v>0</v>
      </c>
      <c r="AQ5251">
        <v>0</v>
      </c>
      <c r="AR5251">
        <v>0</v>
      </c>
      <c r="AS5251" t="s">
        <v>239</v>
      </c>
      <c r="AT5251" t="s">
        <v>514</v>
      </c>
    </row>
    <row r="5252" spans="2:46" x14ac:dyDescent="0.35">
      <c r="B5252" t="s">
        <v>566</v>
      </c>
      <c r="C5252">
        <v>45765</v>
      </c>
      <c r="J5252">
        <v>0</v>
      </c>
      <c r="O5252" t="s">
        <v>239</v>
      </c>
      <c r="P5252" t="s">
        <v>514</v>
      </c>
      <c r="U5252">
        <v>0</v>
      </c>
      <c r="Y5252">
        <v>838</v>
      </c>
      <c r="Z5252" s="259" t="s">
        <v>637</v>
      </c>
      <c r="AB5252">
        <v>0</v>
      </c>
      <c r="AF5252">
        <v>42000</v>
      </c>
      <c r="AG5252">
        <v>0</v>
      </c>
      <c r="AI5252">
        <v>42000</v>
      </c>
      <c r="AJ5252">
        <v>0</v>
      </c>
      <c r="AK5252">
        <v>0</v>
      </c>
      <c r="AL5252">
        <v>0</v>
      </c>
      <c r="AM5252">
        <v>42000</v>
      </c>
      <c r="AN5252">
        <v>0</v>
      </c>
      <c r="AO5252">
        <v>42000</v>
      </c>
      <c r="AP5252">
        <v>0</v>
      </c>
      <c r="AQ5252">
        <v>0</v>
      </c>
      <c r="AR5252">
        <v>0</v>
      </c>
      <c r="AS5252" t="s">
        <v>239</v>
      </c>
      <c r="AT5252" t="s">
        <v>514</v>
      </c>
    </row>
    <row r="5253" spans="2:46" x14ac:dyDescent="0.35">
      <c r="B5253" t="s">
        <v>566</v>
      </c>
      <c r="C5253">
        <v>45766</v>
      </c>
      <c r="J5253">
        <v>0</v>
      </c>
      <c r="O5253" t="s">
        <v>239</v>
      </c>
      <c r="P5253" t="s">
        <v>514</v>
      </c>
      <c r="U5253">
        <v>0</v>
      </c>
      <c r="Y5253">
        <v>839</v>
      </c>
      <c r="Z5253" s="259" t="s">
        <v>637</v>
      </c>
      <c r="AB5253">
        <v>0</v>
      </c>
      <c r="AF5253">
        <v>42000</v>
      </c>
      <c r="AG5253">
        <v>0</v>
      </c>
      <c r="AI5253">
        <v>42000</v>
      </c>
      <c r="AJ5253">
        <v>0</v>
      </c>
      <c r="AK5253">
        <v>0</v>
      </c>
      <c r="AL5253">
        <v>0</v>
      </c>
      <c r="AM5253">
        <v>42000</v>
      </c>
      <c r="AN5253">
        <v>0</v>
      </c>
      <c r="AO5253">
        <v>42000</v>
      </c>
      <c r="AP5253">
        <v>0</v>
      </c>
      <c r="AQ5253">
        <v>0</v>
      </c>
      <c r="AR5253">
        <v>0</v>
      </c>
      <c r="AS5253" t="s">
        <v>239</v>
      </c>
      <c r="AT5253" t="s">
        <v>514</v>
      </c>
    </row>
    <row r="5254" spans="2:46" x14ac:dyDescent="0.35">
      <c r="B5254" t="s">
        <v>566</v>
      </c>
      <c r="C5254">
        <v>45767</v>
      </c>
      <c r="J5254">
        <v>0</v>
      </c>
      <c r="O5254" t="s">
        <v>239</v>
      </c>
      <c r="P5254" t="s">
        <v>514</v>
      </c>
      <c r="U5254">
        <v>0</v>
      </c>
      <c r="Y5254">
        <v>840</v>
      </c>
      <c r="Z5254" s="259" t="s">
        <v>637</v>
      </c>
      <c r="AB5254">
        <v>0</v>
      </c>
      <c r="AF5254">
        <v>42000</v>
      </c>
      <c r="AG5254">
        <v>0</v>
      </c>
      <c r="AI5254">
        <v>42000</v>
      </c>
      <c r="AJ5254">
        <v>0</v>
      </c>
      <c r="AK5254">
        <v>0</v>
      </c>
      <c r="AL5254">
        <v>0</v>
      </c>
      <c r="AM5254">
        <v>42000</v>
      </c>
      <c r="AN5254">
        <v>0</v>
      </c>
      <c r="AO5254">
        <v>42000</v>
      </c>
      <c r="AP5254">
        <v>0</v>
      </c>
      <c r="AQ5254">
        <v>0</v>
      </c>
      <c r="AR5254">
        <v>0</v>
      </c>
      <c r="AS5254" t="s">
        <v>239</v>
      </c>
      <c r="AT5254" t="s">
        <v>514</v>
      </c>
    </row>
    <row r="5255" spans="2:46" x14ac:dyDescent="0.35">
      <c r="B5255" t="s">
        <v>566</v>
      </c>
      <c r="C5255">
        <v>45768</v>
      </c>
      <c r="J5255">
        <v>0</v>
      </c>
      <c r="O5255" t="s">
        <v>239</v>
      </c>
      <c r="P5255" t="s">
        <v>514</v>
      </c>
      <c r="U5255">
        <v>0</v>
      </c>
      <c r="Y5255">
        <v>841</v>
      </c>
      <c r="Z5255" s="259" t="s">
        <v>637</v>
      </c>
      <c r="AB5255">
        <v>0</v>
      </c>
      <c r="AF5255">
        <v>42000</v>
      </c>
      <c r="AG5255">
        <v>0</v>
      </c>
      <c r="AI5255">
        <v>42000</v>
      </c>
      <c r="AJ5255">
        <v>0</v>
      </c>
      <c r="AK5255">
        <v>0</v>
      </c>
      <c r="AL5255">
        <v>0</v>
      </c>
      <c r="AM5255">
        <v>42000</v>
      </c>
      <c r="AN5255">
        <v>0</v>
      </c>
      <c r="AO5255">
        <v>42000</v>
      </c>
      <c r="AP5255">
        <v>0</v>
      </c>
      <c r="AQ5255">
        <v>0</v>
      </c>
      <c r="AR5255">
        <v>0</v>
      </c>
      <c r="AS5255" t="s">
        <v>239</v>
      </c>
      <c r="AT5255" t="s">
        <v>514</v>
      </c>
    </row>
    <row r="5256" spans="2:46" x14ac:dyDescent="0.35">
      <c r="B5256" t="s">
        <v>566</v>
      </c>
      <c r="C5256">
        <v>45769</v>
      </c>
      <c r="J5256">
        <v>0</v>
      </c>
      <c r="O5256" t="s">
        <v>239</v>
      </c>
      <c r="P5256" t="s">
        <v>514</v>
      </c>
      <c r="U5256">
        <v>0</v>
      </c>
      <c r="Y5256">
        <v>842</v>
      </c>
      <c r="Z5256" s="259" t="s">
        <v>637</v>
      </c>
      <c r="AB5256">
        <v>0</v>
      </c>
      <c r="AF5256">
        <v>42000</v>
      </c>
      <c r="AG5256">
        <v>0</v>
      </c>
      <c r="AI5256">
        <v>42000</v>
      </c>
      <c r="AJ5256">
        <v>0</v>
      </c>
      <c r="AK5256">
        <v>0</v>
      </c>
      <c r="AL5256">
        <v>0</v>
      </c>
      <c r="AM5256">
        <v>42000</v>
      </c>
      <c r="AN5256">
        <v>0</v>
      </c>
      <c r="AO5256">
        <v>42000</v>
      </c>
      <c r="AP5256">
        <v>0</v>
      </c>
      <c r="AQ5256">
        <v>0</v>
      </c>
      <c r="AR5256">
        <v>0</v>
      </c>
      <c r="AS5256" t="s">
        <v>239</v>
      </c>
      <c r="AT5256" t="s">
        <v>514</v>
      </c>
    </row>
    <row r="5257" spans="2:46" x14ac:dyDescent="0.35">
      <c r="B5257" t="s">
        <v>566</v>
      </c>
      <c r="C5257">
        <v>45770</v>
      </c>
      <c r="J5257">
        <v>0</v>
      </c>
      <c r="O5257" t="s">
        <v>239</v>
      </c>
      <c r="P5257" t="s">
        <v>514</v>
      </c>
      <c r="U5257">
        <v>0</v>
      </c>
      <c r="Y5257">
        <v>843</v>
      </c>
      <c r="Z5257" s="259" t="s">
        <v>637</v>
      </c>
      <c r="AB5257">
        <v>0</v>
      </c>
      <c r="AF5257">
        <v>42000</v>
      </c>
      <c r="AG5257">
        <v>0</v>
      </c>
      <c r="AI5257">
        <v>42000</v>
      </c>
      <c r="AJ5257">
        <v>0</v>
      </c>
      <c r="AK5257">
        <v>0</v>
      </c>
      <c r="AL5257">
        <v>0</v>
      </c>
      <c r="AM5257">
        <v>42000</v>
      </c>
      <c r="AN5257">
        <v>0</v>
      </c>
      <c r="AO5257">
        <v>42000</v>
      </c>
      <c r="AP5257">
        <v>0</v>
      </c>
      <c r="AQ5257">
        <v>0</v>
      </c>
      <c r="AR5257">
        <v>0</v>
      </c>
      <c r="AS5257" t="s">
        <v>239</v>
      </c>
      <c r="AT5257" t="s">
        <v>514</v>
      </c>
    </row>
    <row r="5258" spans="2:46" x14ac:dyDescent="0.35">
      <c r="B5258" t="s">
        <v>566</v>
      </c>
      <c r="C5258">
        <v>45771</v>
      </c>
      <c r="J5258">
        <v>0</v>
      </c>
      <c r="O5258" t="s">
        <v>239</v>
      </c>
      <c r="P5258" t="s">
        <v>514</v>
      </c>
      <c r="U5258">
        <v>0</v>
      </c>
      <c r="Y5258">
        <v>844</v>
      </c>
      <c r="Z5258" s="259" t="s">
        <v>637</v>
      </c>
      <c r="AB5258">
        <v>0</v>
      </c>
      <c r="AF5258">
        <v>42000</v>
      </c>
      <c r="AG5258">
        <v>0</v>
      </c>
      <c r="AI5258">
        <v>42000</v>
      </c>
      <c r="AJ5258">
        <v>0</v>
      </c>
      <c r="AK5258">
        <v>0</v>
      </c>
      <c r="AL5258">
        <v>0</v>
      </c>
      <c r="AM5258">
        <v>42000</v>
      </c>
      <c r="AN5258">
        <v>0</v>
      </c>
      <c r="AO5258">
        <v>42000</v>
      </c>
      <c r="AP5258">
        <v>0</v>
      </c>
      <c r="AQ5258">
        <v>0</v>
      </c>
      <c r="AR5258">
        <v>0</v>
      </c>
      <c r="AS5258" t="s">
        <v>239</v>
      </c>
      <c r="AT5258" t="s">
        <v>514</v>
      </c>
    </row>
    <row r="5259" spans="2:46" x14ac:dyDescent="0.35">
      <c r="B5259" t="s">
        <v>566</v>
      </c>
      <c r="C5259">
        <v>45772</v>
      </c>
      <c r="J5259">
        <v>0</v>
      </c>
      <c r="O5259" t="s">
        <v>239</v>
      </c>
      <c r="P5259" t="s">
        <v>514</v>
      </c>
      <c r="U5259">
        <v>0</v>
      </c>
      <c r="Y5259">
        <v>845</v>
      </c>
      <c r="Z5259" s="259" t="s">
        <v>637</v>
      </c>
      <c r="AB5259">
        <v>0</v>
      </c>
      <c r="AF5259">
        <v>42000</v>
      </c>
      <c r="AG5259">
        <v>0</v>
      </c>
      <c r="AI5259">
        <v>42000</v>
      </c>
      <c r="AJ5259">
        <v>0</v>
      </c>
      <c r="AK5259">
        <v>0</v>
      </c>
      <c r="AL5259">
        <v>0</v>
      </c>
      <c r="AM5259">
        <v>42000</v>
      </c>
      <c r="AN5259">
        <v>0</v>
      </c>
      <c r="AO5259">
        <v>42000</v>
      </c>
      <c r="AP5259">
        <v>0</v>
      </c>
      <c r="AQ5259">
        <v>0</v>
      </c>
      <c r="AR5259">
        <v>0</v>
      </c>
      <c r="AS5259" t="s">
        <v>239</v>
      </c>
      <c r="AT5259" t="s">
        <v>514</v>
      </c>
    </row>
    <row r="5260" spans="2:46" x14ac:dyDescent="0.35">
      <c r="B5260" t="s">
        <v>566</v>
      </c>
      <c r="C5260">
        <v>45773</v>
      </c>
      <c r="J5260">
        <v>0</v>
      </c>
      <c r="O5260" t="s">
        <v>239</v>
      </c>
      <c r="P5260" t="s">
        <v>514</v>
      </c>
      <c r="U5260">
        <v>0</v>
      </c>
      <c r="Y5260">
        <v>846</v>
      </c>
      <c r="Z5260" s="259" t="s">
        <v>637</v>
      </c>
      <c r="AB5260">
        <v>0</v>
      </c>
      <c r="AF5260">
        <v>42000</v>
      </c>
      <c r="AG5260">
        <v>0</v>
      </c>
      <c r="AI5260">
        <v>42000</v>
      </c>
      <c r="AJ5260">
        <v>0</v>
      </c>
      <c r="AK5260">
        <v>0</v>
      </c>
      <c r="AL5260">
        <v>0</v>
      </c>
      <c r="AM5260">
        <v>42000</v>
      </c>
      <c r="AN5260">
        <v>0</v>
      </c>
      <c r="AO5260">
        <v>42000</v>
      </c>
      <c r="AP5260">
        <v>0</v>
      </c>
      <c r="AQ5260">
        <v>0</v>
      </c>
      <c r="AR5260">
        <v>0</v>
      </c>
      <c r="AS5260" t="s">
        <v>239</v>
      </c>
      <c r="AT5260" t="s">
        <v>514</v>
      </c>
    </row>
    <row r="5261" spans="2:46" x14ac:dyDescent="0.35">
      <c r="B5261" t="s">
        <v>566</v>
      </c>
      <c r="C5261">
        <v>45774</v>
      </c>
      <c r="J5261">
        <v>0</v>
      </c>
      <c r="O5261" t="s">
        <v>239</v>
      </c>
      <c r="P5261" t="s">
        <v>514</v>
      </c>
      <c r="U5261">
        <v>0</v>
      </c>
      <c r="Y5261">
        <v>847</v>
      </c>
      <c r="Z5261" s="259" t="s">
        <v>637</v>
      </c>
      <c r="AB5261">
        <v>0</v>
      </c>
      <c r="AF5261">
        <v>42000</v>
      </c>
      <c r="AG5261">
        <v>0</v>
      </c>
      <c r="AI5261">
        <v>42000</v>
      </c>
      <c r="AJ5261">
        <v>0</v>
      </c>
      <c r="AK5261">
        <v>0</v>
      </c>
      <c r="AL5261">
        <v>0</v>
      </c>
      <c r="AM5261">
        <v>42000</v>
      </c>
      <c r="AN5261">
        <v>0</v>
      </c>
      <c r="AO5261">
        <v>42000</v>
      </c>
      <c r="AP5261">
        <v>0</v>
      </c>
      <c r="AQ5261">
        <v>0</v>
      </c>
      <c r="AR5261">
        <v>0</v>
      </c>
      <c r="AS5261" t="s">
        <v>239</v>
      </c>
      <c r="AT5261" t="s">
        <v>514</v>
      </c>
    </row>
    <row r="5262" spans="2:46" x14ac:dyDescent="0.35">
      <c r="B5262" t="s">
        <v>566</v>
      </c>
      <c r="C5262">
        <v>45775</v>
      </c>
      <c r="J5262">
        <v>0</v>
      </c>
      <c r="O5262" t="s">
        <v>239</v>
      </c>
      <c r="P5262" t="s">
        <v>514</v>
      </c>
      <c r="U5262">
        <v>0</v>
      </c>
      <c r="Y5262">
        <v>848</v>
      </c>
      <c r="Z5262" s="259" t="s">
        <v>637</v>
      </c>
      <c r="AB5262">
        <v>0</v>
      </c>
      <c r="AF5262">
        <v>42000</v>
      </c>
      <c r="AG5262">
        <v>0</v>
      </c>
      <c r="AI5262">
        <v>42000</v>
      </c>
      <c r="AJ5262">
        <v>0</v>
      </c>
      <c r="AK5262">
        <v>0</v>
      </c>
      <c r="AL5262">
        <v>0</v>
      </c>
      <c r="AM5262">
        <v>42000</v>
      </c>
      <c r="AN5262">
        <v>0</v>
      </c>
      <c r="AO5262">
        <v>42000</v>
      </c>
      <c r="AP5262">
        <v>0</v>
      </c>
      <c r="AQ5262">
        <v>0</v>
      </c>
      <c r="AR5262">
        <v>0</v>
      </c>
      <c r="AS5262" t="s">
        <v>239</v>
      </c>
      <c r="AT5262" t="s">
        <v>514</v>
      </c>
    </row>
    <row r="5263" spans="2:46" x14ac:dyDescent="0.35">
      <c r="B5263" t="s">
        <v>566</v>
      </c>
      <c r="C5263">
        <v>45776</v>
      </c>
      <c r="J5263">
        <v>0</v>
      </c>
      <c r="O5263" t="s">
        <v>239</v>
      </c>
      <c r="P5263" t="s">
        <v>514</v>
      </c>
      <c r="U5263">
        <v>0</v>
      </c>
      <c r="Y5263">
        <v>849</v>
      </c>
      <c r="Z5263" s="259" t="s">
        <v>637</v>
      </c>
      <c r="AB5263">
        <v>0</v>
      </c>
      <c r="AF5263">
        <v>42000</v>
      </c>
      <c r="AG5263">
        <v>0</v>
      </c>
      <c r="AI5263">
        <v>42000</v>
      </c>
      <c r="AJ5263">
        <v>0</v>
      </c>
      <c r="AK5263">
        <v>0</v>
      </c>
      <c r="AL5263">
        <v>0</v>
      </c>
      <c r="AM5263">
        <v>42000</v>
      </c>
      <c r="AN5263">
        <v>0</v>
      </c>
      <c r="AO5263">
        <v>42000</v>
      </c>
      <c r="AP5263">
        <v>0</v>
      </c>
      <c r="AQ5263">
        <v>0</v>
      </c>
      <c r="AR5263">
        <v>0</v>
      </c>
      <c r="AS5263" t="s">
        <v>239</v>
      </c>
      <c r="AT5263" t="s">
        <v>514</v>
      </c>
    </row>
    <row r="5264" spans="2:46" x14ac:dyDescent="0.35">
      <c r="B5264" t="s">
        <v>566</v>
      </c>
      <c r="C5264">
        <v>45777</v>
      </c>
      <c r="J5264">
        <v>0</v>
      </c>
      <c r="O5264" t="s">
        <v>239</v>
      </c>
      <c r="P5264" t="s">
        <v>514</v>
      </c>
      <c r="U5264">
        <v>0</v>
      </c>
      <c r="Y5264">
        <v>850</v>
      </c>
      <c r="Z5264" s="259" t="s">
        <v>637</v>
      </c>
      <c r="AB5264">
        <v>0</v>
      </c>
      <c r="AF5264">
        <v>42000</v>
      </c>
      <c r="AG5264">
        <v>0</v>
      </c>
      <c r="AI5264">
        <v>42000</v>
      </c>
      <c r="AJ5264">
        <v>0</v>
      </c>
      <c r="AK5264">
        <v>0</v>
      </c>
      <c r="AL5264">
        <v>0</v>
      </c>
      <c r="AM5264">
        <v>42000</v>
      </c>
      <c r="AN5264">
        <v>0</v>
      </c>
      <c r="AO5264">
        <v>42000</v>
      </c>
      <c r="AP5264">
        <v>0</v>
      </c>
      <c r="AQ5264">
        <v>0</v>
      </c>
      <c r="AR5264">
        <v>0</v>
      </c>
      <c r="AS5264" t="s">
        <v>239</v>
      </c>
      <c r="AT5264" t="s">
        <v>514</v>
      </c>
    </row>
    <row r="5265" spans="2:46" x14ac:dyDescent="0.35">
      <c r="B5265" t="s">
        <v>566</v>
      </c>
      <c r="C5265">
        <v>45778</v>
      </c>
      <c r="J5265">
        <v>0</v>
      </c>
      <c r="O5265" t="s">
        <v>239</v>
      </c>
      <c r="P5265" t="s">
        <v>514</v>
      </c>
      <c r="U5265">
        <v>0</v>
      </c>
      <c r="Y5265">
        <v>851</v>
      </c>
      <c r="Z5265" s="259" t="s">
        <v>637</v>
      </c>
      <c r="AB5265">
        <v>0</v>
      </c>
      <c r="AF5265">
        <v>42000</v>
      </c>
      <c r="AG5265">
        <v>0</v>
      </c>
      <c r="AI5265">
        <v>42000</v>
      </c>
      <c r="AJ5265">
        <v>0</v>
      </c>
      <c r="AK5265">
        <v>0</v>
      </c>
      <c r="AL5265">
        <v>0</v>
      </c>
      <c r="AM5265">
        <v>42000</v>
      </c>
      <c r="AN5265">
        <v>0</v>
      </c>
      <c r="AO5265">
        <v>42000</v>
      </c>
      <c r="AP5265">
        <v>0</v>
      </c>
      <c r="AQ5265">
        <v>0</v>
      </c>
      <c r="AR5265">
        <v>0</v>
      </c>
      <c r="AS5265" t="s">
        <v>239</v>
      </c>
      <c r="AT5265" t="s">
        <v>514</v>
      </c>
    </row>
    <row r="5266" spans="2:46" x14ac:dyDescent="0.35">
      <c r="B5266" t="s">
        <v>566</v>
      </c>
      <c r="C5266">
        <v>45779</v>
      </c>
      <c r="J5266">
        <v>0</v>
      </c>
      <c r="O5266" t="s">
        <v>239</v>
      </c>
      <c r="P5266" t="s">
        <v>514</v>
      </c>
      <c r="U5266">
        <v>0</v>
      </c>
      <c r="Y5266">
        <v>852</v>
      </c>
      <c r="Z5266" s="259" t="s">
        <v>637</v>
      </c>
      <c r="AB5266">
        <v>0</v>
      </c>
      <c r="AF5266">
        <v>42000</v>
      </c>
      <c r="AG5266">
        <v>0</v>
      </c>
      <c r="AI5266">
        <v>42000</v>
      </c>
      <c r="AJ5266">
        <v>0</v>
      </c>
      <c r="AK5266">
        <v>0</v>
      </c>
      <c r="AL5266">
        <v>0</v>
      </c>
      <c r="AM5266">
        <v>42000</v>
      </c>
      <c r="AN5266">
        <v>0</v>
      </c>
      <c r="AO5266">
        <v>42000</v>
      </c>
      <c r="AP5266">
        <v>0</v>
      </c>
      <c r="AQ5266">
        <v>0</v>
      </c>
      <c r="AR5266">
        <v>0</v>
      </c>
      <c r="AS5266" t="s">
        <v>239</v>
      </c>
      <c r="AT5266" t="s">
        <v>514</v>
      </c>
    </row>
    <row r="5267" spans="2:46" x14ac:dyDescent="0.35">
      <c r="B5267" t="s">
        <v>566</v>
      </c>
      <c r="C5267">
        <v>45780</v>
      </c>
      <c r="J5267">
        <v>0</v>
      </c>
      <c r="O5267" t="s">
        <v>239</v>
      </c>
      <c r="P5267" t="s">
        <v>514</v>
      </c>
      <c r="U5267">
        <v>0</v>
      </c>
      <c r="Y5267">
        <v>853</v>
      </c>
      <c r="Z5267" s="259" t="s">
        <v>637</v>
      </c>
      <c r="AB5267">
        <v>0</v>
      </c>
      <c r="AF5267">
        <v>42000</v>
      </c>
      <c r="AG5267">
        <v>0</v>
      </c>
      <c r="AI5267">
        <v>42000</v>
      </c>
      <c r="AJ5267">
        <v>0</v>
      </c>
      <c r="AK5267">
        <v>0</v>
      </c>
      <c r="AL5267">
        <v>0</v>
      </c>
      <c r="AM5267">
        <v>42000</v>
      </c>
      <c r="AN5267">
        <v>0</v>
      </c>
      <c r="AO5267">
        <v>42000</v>
      </c>
      <c r="AP5267">
        <v>0</v>
      </c>
      <c r="AQ5267">
        <v>0</v>
      </c>
      <c r="AR5267">
        <v>0</v>
      </c>
      <c r="AS5267" t="s">
        <v>239</v>
      </c>
      <c r="AT5267" t="s">
        <v>514</v>
      </c>
    </row>
    <row r="5268" spans="2:46" x14ac:dyDescent="0.35">
      <c r="B5268" t="s">
        <v>566</v>
      </c>
      <c r="C5268">
        <v>45781</v>
      </c>
      <c r="J5268">
        <v>0</v>
      </c>
      <c r="O5268" t="s">
        <v>239</v>
      </c>
      <c r="P5268" t="s">
        <v>514</v>
      </c>
      <c r="U5268">
        <v>0</v>
      </c>
      <c r="Y5268">
        <v>854</v>
      </c>
      <c r="Z5268" s="259" t="s">
        <v>637</v>
      </c>
      <c r="AB5268">
        <v>0</v>
      </c>
      <c r="AF5268">
        <v>42000</v>
      </c>
      <c r="AG5268">
        <v>0</v>
      </c>
      <c r="AI5268">
        <v>42000</v>
      </c>
      <c r="AJ5268">
        <v>0</v>
      </c>
      <c r="AK5268">
        <v>0</v>
      </c>
      <c r="AL5268">
        <v>0</v>
      </c>
      <c r="AM5268">
        <v>42000</v>
      </c>
      <c r="AN5268">
        <v>0</v>
      </c>
      <c r="AO5268">
        <v>42000</v>
      </c>
      <c r="AP5268">
        <v>0</v>
      </c>
      <c r="AQ5268">
        <v>0</v>
      </c>
      <c r="AR5268">
        <v>0</v>
      </c>
      <c r="AS5268" t="s">
        <v>239</v>
      </c>
      <c r="AT5268" t="s">
        <v>514</v>
      </c>
    </row>
    <row r="5269" spans="2:46" x14ac:dyDescent="0.35">
      <c r="B5269" t="s">
        <v>566</v>
      </c>
      <c r="C5269">
        <v>45782</v>
      </c>
      <c r="J5269">
        <v>0</v>
      </c>
      <c r="O5269" t="s">
        <v>239</v>
      </c>
      <c r="P5269" t="s">
        <v>514</v>
      </c>
      <c r="U5269">
        <v>0</v>
      </c>
      <c r="Y5269">
        <v>855</v>
      </c>
      <c r="Z5269" s="259" t="s">
        <v>637</v>
      </c>
      <c r="AB5269">
        <v>0</v>
      </c>
      <c r="AF5269">
        <v>42000</v>
      </c>
      <c r="AG5269">
        <v>0</v>
      </c>
      <c r="AI5269">
        <v>42000</v>
      </c>
      <c r="AJ5269">
        <v>0</v>
      </c>
      <c r="AK5269">
        <v>0</v>
      </c>
      <c r="AL5269">
        <v>0</v>
      </c>
      <c r="AM5269">
        <v>42000</v>
      </c>
      <c r="AN5269">
        <v>0</v>
      </c>
      <c r="AO5269">
        <v>42000</v>
      </c>
      <c r="AP5269">
        <v>0</v>
      </c>
      <c r="AQ5269">
        <v>0</v>
      </c>
      <c r="AR5269">
        <v>0</v>
      </c>
      <c r="AS5269" t="s">
        <v>239</v>
      </c>
      <c r="AT5269" t="s">
        <v>514</v>
      </c>
    </row>
    <row r="5270" spans="2:46" x14ac:dyDescent="0.35">
      <c r="B5270" t="s">
        <v>566</v>
      </c>
      <c r="C5270">
        <v>45783</v>
      </c>
      <c r="J5270">
        <v>0</v>
      </c>
      <c r="O5270" t="s">
        <v>239</v>
      </c>
      <c r="P5270" t="s">
        <v>514</v>
      </c>
      <c r="U5270">
        <v>0</v>
      </c>
      <c r="Y5270">
        <v>856</v>
      </c>
      <c r="Z5270" s="259" t="s">
        <v>637</v>
      </c>
      <c r="AB5270">
        <v>0</v>
      </c>
      <c r="AF5270">
        <v>42000</v>
      </c>
      <c r="AG5270">
        <v>0</v>
      </c>
      <c r="AI5270">
        <v>42000</v>
      </c>
      <c r="AJ5270">
        <v>0</v>
      </c>
      <c r="AK5270">
        <v>0</v>
      </c>
      <c r="AL5270">
        <v>0</v>
      </c>
      <c r="AM5270">
        <v>42000</v>
      </c>
      <c r="AN5270">
        <v>0</v>
      </c>
      <c r="AO5270">
        <v>42000</v>
      </c>
      <c r="AP5270">
        <v>0</v>
      </c>
      <c r="AQ5270">
        <v>0</v>
      </c>
      <c r="AR5270">
        <v>0</v>
      </c>
      <c r="AS5270" t="s">
        <v>239</v>
      </c>
      <c r="AT5270" t="s">
        <v>514</v>
      </c>
    </row>
    <row r="5271" spans="2:46" x14ac:dyDescent="0.35">
      <c r="B5271" t="s">
        <v>566</v>
      </c>
      <c r="C5271">
        <v>45784</v>
      </c>
      <c r="J5271">
        <v>0</v>
      </c>
      <c r="O5271" t="s">
        <v>239</v>
      </c>
      <c r="P5271" t="s">
        <v>514</v>
      </c>
      <c r="U5271">
        <v>0</v>
      </c>
      <c r="Y5271">
        <v>857</v>
      </c>
      <c r="Z5271" s="259" t="s">
        <v>637</v>
      </c>
      <c r="AB5271">
        <v>0</v>
      </c>
      <c r="AF5271">
        <v>42000</v>
      </c>
      <c r="AG5271">
        <v>0</v>
      </c>
      <c r="AI5271">
        <v>42000</v>
      </c>
      <c r="AJ5271">
        <v>0</v>
      </c>
      <c r="AK5271">
        <v>0</v>
      </c>
      <c r="AL5271">
        <v>0</v>
      </c>
      <c r="AM5271">
        <v>42000</v>
      </c>
      <c r="AN5271">
        <v>0</v>
      </c>
      <c r="AO5271">
        <v>42000</v>
      </c>
      <c r="AP5271">
        <v>0</v>
      </c>
      <c r="AQ5271">
        <v>0</v>
      </c>
      <c r="AR5271">
        <v>0</v>
      </c>
      <c r="AS5271" t="s">
        <v>239</v>
      </c>
      <c r="AT5271" t="s">
        <v>514</v>
      </c>
    </row>
    <row r="5272" spans="2:46" x14ac:dyDescent="0.35">
      <c r="B5272" t="s">
        <v>566</v>
      </c>
      <c r="C5272">
        <v>45785</v>
      </c>
      <c r="J5272">
        <v>0</v>
      </c>
      <c r="O5272" t="s">
        <v>239</v>
      </c>
      <c r="P5272" t="s">
        <v>514</v>
      </c>
      <c r="U5272">
        <v>0</v>
      </c>
      <c r="Y5272">
        <v>858</v>
      </c>
      <c r="Z5272" s="259" t="s">
        <v>637</v>
      </c>
      <c r="AB5272">
        <v>0</v>
      </c>
      <c r="AF5272">
        <v>42000</v>
      </c>
      <c r="AG5272">
        <v>0</v>
      </c>
      <c r="AI5272">
        <v>42000</v>
      </c>
      <c r="AJ5272">
        <v>0</v>
      </c>
      <c r="AK5272">
        <v>0</v>
      </c>
      <c r="AL5272">
        <v>0</v>
      </c>
      <c r="AM5272">
        <v>42000</v>
      </c>
      <c r="AN5272">
        <v>0</v>
      </c>
      <c r="AO5272">
        <v>42000</v>
      </c>
      <c r="AP5272">
        <v>0</v>
      </c>
      <c r="AQ5272">
        <v>0</v>
      </c>
      <c r="AR5272">
        <v>0</v>
      </c>
      <c r="AS5272" t="s">
        <v>239</v>
      </c>
      <c r="AT5272" t="s">
        <v>514</v>
      </c>
    </row>
    <row r="5273" spans="2:46" x14ac:dyDescent="0.35">
      <c r="B5273" t="s">
        <v>566</v>
      </c>
      <c r="C5273">
        <v>45786</v>
      </c>
      <c r="J5273">
        <v>0</v>
      </c>
      <c r="O5273" t="s">
        <v>239</v>
      </c>
      <c r="P5273" t="s">
        <v>514</v>
      </c>
      <c r="U5273">
        <v>0</v>
      </c>
      <c r="Y5273">
        <v>859</v>
      </c>
      <c r="Z5273" s="259" t="s">
        <v>637</v>
      </c>
      <c r="AB5273">
        <v>0</v>
      </c>
      <c r="AF5273">
        <v>42000</v>
      </c>
      <c r="AG5273">
        <v>0</v>
      </c>
      <c r="AI5273">
        <v>42000</v>
      </c>
      <c r="AJ5273">
        <v>0</v>
      </c>
      <c r="AK5273">
        <v>0</v>
      </c>
      <c r="AL5273">
        <v>0</v>
      </c>
      <c r="AM5273">
        <v>42000</v>
      </c>
      <c r="AN5273">
        <v>0</v>
      </c>
      <c r="AO5273">
        <v>42000</v>
      </c>
      <c r="AP5273">
        <v>0</v>
      </c>
      <c r="AQ5273">
        <v>0</v>
      </c>
      <c r="AR5273">
        <v>0</v>
      </c>
      <c r="AS5273" t="s">
        <v>239</v>
      </c>
      <c r="AT5273" t="s">
        <v>514</v>
      </c>
    </row>
    <row r="5274" spans="2:46" x14ac:dyDescent="0.35">
      <c r="B5274" t="s">
        <v>566</v>
      </c>
      <c r="C5274">
        <v>45787</v>
      </c>
      <c r="J5274">
        <v>0</v>
      </c>
      <c r="O5274" t="s">
        <v>239</v>
      </c>
      <c r="P5274" t="s">
        <v>514</v>
      </c>
      <c r="U5274">
        <v>0</v>
      </c>
      <c r="Y5274">
        <v>860</v>
      </c>
      <c r="Z5274" s="259" t="s">
        <v>637</v>
      </c>
      <c r="AB5274">
        <v>0</v>
      </c>
      <c r="AF5274">
        <v>42000</v>
      </c>
      <c r="AG5274">
        <v>0</v>
      </c>
      <c r="AI5274">
        <v>42000</v>
      </c>
      <c r="AJ5274">
        <v>0</v>
      </c>
      <c r="AK5274">
        <v>0</v>
      </c>
      <c r="AL5274">
        <v>0</v>
      </c>
      <c r="AM5274">
        <v>42000</v>
      </c>
      <c r="AN5274">
        <v>0</v>
      </c>
      <c r="AO5274">
        <v>42000</v>
      </c>
      <c r="AP5274">
        <v>0</v>
      </c>
      <c r="AQ5274">
        <v>0</v>
      </c>
      <c r="AR5274">
        <v>0</v>
      </c>
      <c r="AS5274" t="s">
        <v>239</v>
      </c>
      <c r="AT5274" t="s">
        <v>514</v>
      </c>
    </row>
    <row r="5275" spans="2:46" x14ac:dyDescent="0.35">
      <c r="B5275" t="s">
        <v>566</v>
      </c>
      <c r="C5275">
        <v>45788</v>
      </c>
      <c r="J5275">
        <v>0</v>
      </c>
      <c r="O5275" t="s">
        <v>239</v>
      </c>
      <c r="P5275" t="s">
        <v>514</v>
      </c>
      <c r="U5275">
        <v>0</v>
      </c>
      <c r="Y5275">
        <v>861</v>
      </c>
      <c r="Z5275" s="259" t="s">
        <v>637</v>
      </c>
      <c r="AB5275">
        <v>0</v>
      </c>
      <c r="AF5275">
        <v>42000</v>
      </c>
      <c r="AG5275">
        <v>0</v>
      </c>
      <c r="AI5275">
        <v>42000</v>
      </c>
      <c r="AJ5275">
        <v>0</v>
      </c>
      <c r="AK5275">
        <v>0</v>
      </c>
      <c r="AL5275">
        <v>0</v>
      </c>
      <c r="AM5275">
        <v>42000</v>
      </c>
      <c r="AN5275">
        <v>0</v>
      </c>
      <c r="AO5275">
        <v>42000</v>
      </c>
      <c r="AP5275">
        <v>0</v>
      </c>
      <c r="AQ5275">
        <v>0</v>
      </c>
      <c r="AR5275">
        <v>0</v>
      </c>
      <c r="AS5275" t="s">
        <v>239</v>
      </c>
      <c r="AT5275" t="s">
        <v>514</v>
      </c>
    </row>
    <row r="5276" spans="2:46" x14ac:dyDescent="0.35">
      <c r="B5276" t="s">
        <v>566</v>
      </c>
      <c r="C5276">
        <v>45789</v>
      </c>
      <c r="J5276">
        <v>0</v>
      </c>
      <c r="O5276" t="s">
        <v>239</v>
      </c>
      <c r="P5276" t="s">
        <v>514</v>
      </c>
      <c r="U5276">
        <v>0</v>
      </c>
      <c r="Y5276">
        <v>862</v>
      </c>
      <c r="Z5276" s="259" t="s">
        <v>637</v>
      </c>
      <c r="AB5276">
        <v>0</v>
      </c>
      <c r="AF5276">
        <v>42000</v>
      </c>
      <c r="AG5276">
        <v>0</v>
      </c>
      <c r="AI5276">
        <v>42000</v>
      </c>
      <c r="AJ5276">
        <v>0</v>
      </c>
      <c r="AK5276">
        <v>0</v>
      </c>
      <c r="AL5276">
        <v>0</v>
      </c>
      <c r="AM5276">
        <v>42000</v>
      </c>
      <c r="AN5276">
        <v>0</v>
      </c>
      <c r="AO5276">
        <v>42000</v>
      </c>
      <c r="AP5276">
        <v>0</v>
      </c>
      <c r="AQ5276">
        <v>0</v>
      </c>
      <c r="AR5276">
        <v>0</v>
      </c>
      <c r="AS5276" t="s">
        <v>239</v>
      </c>
      <c r="AT5276" t="s">
        <v>514</v>
      </c>
    </row>
    <row r="5277" spans="2:46" x14ac:dyDescent="0.35">
      <c r="B5277" t="s">
        <v>566</v>
      </c>
      <c r="C5277">
        <v>45790</v>
      </c>
      <c r="J5277">
        <v>0</v>
      </c>
      <c r="O5277" t="s">
        <v>239</v>
      </c>
      <c r="P5277" t="s">
        <v>514</v>
      </c>
      <c r="U5277">
        <v>0</v>
      </c>
      <c r="Y5277">
        <v>863</v>
      </c>
      <c r="Z5277" s="259" t="s">
        <v>637</v>
      </c>
      <c r="AB5277">
        <v>0</v>
      </c>
      <c r="AF5277">
        <v>42000</v>
      </c>
      <c r="AG5277">
        <v>0</v>
      </c>
      <c r="AI5277">
        <v>42000</v>
      </c>
      <c r="AJ5277">
        <v>0</v>
      </c>
      <c r="AK5277">
        <v>0</v>
      </c>
      <c r="AL5277">
        <v>0</v>
      </c>
      <c r="AM5277">
        <v>42000</v>
      </c>
      <c r="AN5277">
        <v>0</v>
      </c>
      <c r="AO5277">
        <v>42000</v>
      </c>
      <c r="AP5277">
        <v>0</v>
      </c>
      <c r="AQ5277">
        <v>0</v>
      </c>
      <c r="AR5277">
        <v>0</v>
      </c>
      <c r="AS5277" t="s">
        <v>239</v>
      </c>
      <c r="AT5277" t="s">
        <v>514</v>
      </c>
    </row>
    <row r="5278" spans="2:46" x14ac:dyDescent="0.35">
      <c r="B5278" t="s">
        <v>566</v>
      </c>
      <c r="C5278">
        <v>45791</v>
      </c>
      <c r="J5278">
        <v>0</v>
      </c>
      <c r="O5278" t="s">
        <v>239</v>
      </c>
      <c r="P5278" t="s">
        <v>514</v>
      </c>
      <c r="U5278">
        <v>0</v>
      </c>
      <c r="Y5278">
        <v>864</v>
      </c>
      <c r="Z5278" s="259" t="s">
        <v>637</v>
      </c>
      <c r="AB5278">
        <v>0</v>
      </c>
      <c r="AF5278">
        <v>42000</v>
      </c>
      <c r="AG5278">
        <v>0</v>
      </c>
      <c r="AI5278">
        <v>42000</v>
      </c>
      <c r="AJ5278">
        <v>0</v>
      </c>
      <c r="AK5278">
        <v>0</v>
      </c>
      <c r="AL5278">
        <v>0</v>
      </c>
      <c r="AM5278">
        <v>42000</v>
      </c>
      <c r="AN5278">
        <v>0</v>
      </c>
      <c r="AO5278">
        <v>42000</v>
      </c>
      <c r="AP5278">
        <v>0</v>
      </c>
      <c r="AQ5278">
        <v>0</v>
      </c>
      <c r="AR5278">
        <v>0</v>
      </c>
      <c r="AS5278" t="s">
        <v>239</v>
      </c>
      <c r="AT5278" t="s">
        <v>514</v>
      </c>
    </row>
    <row r="5279" spans="2:46" x14ac:dyDescent="0.35">
      <c r="B5279" t="s">
        <v>566</v>
      </c>
      <c r="C5279">
        <v>45792</v>
      </c>
      <c r="J5279">
        <v>0</v>
      </c>
      <c r="O5279" t="s">
        <v>239</v>
      </c>
      <c r="P5279" t="s">
        <v>514</v>
      </c>
      <c r="U5279">
        <v>0</v>
      </c>
      <c r="Y5279">
        <v>865</v>
      </c>
      <c r="Z5279" s="259" t="s">
        <v>637</v>
      </c>
      <c r="AB5279">
        <v>0</v>
      </c>
      <c r="AF5279">
        <v>42000</v>
      </c>
      <c r="AG5279">
        <v>0</v>
      </c>
      <c r="AI5279">
        <v>42000</v>
      </c>
      <c r="AJ5279">
        <v>0</v>
      </c>
      <c r="AK5279">
        <v>0</v>
      </c>
      <c r="AL5279">
        <v>0</v>
      </c>
      <c r="AM5279">
        <v>42000</v>
      </c>
      <c r="AN5279">
        <v>0</v>
      </c>
      <c r="AO5279">
        <v>42000</v>
      </c>
      <c r="AP5279">
        <v>0</v>
      </c>
      <c r="AQ5279">
        <v>0</v>
      </c>
      <c r="AR5279">
        <v>0</v>
      </c>
      <c r="AS5279" t="s">
        <v>239</v>
      </c>
      <c r="AT5279" t="s">
        <v>514</v>
      </c>
    </row>
    <row r="5280" spans="2:46" x14ac:dyDescent="0.35">
      <c r="B5280" t="s">
        <v>566</v>
      </c>
      <c r="C5280">
        <v>45793</v>
      </c>
      <c r="J5280">
        <v>0</v>
      </c>
      <c r="O5280" t="s">
        <v>239</v>
      </c>
      <c r="P5280" t="s">
        <v>514</v>
      </c>
      <c r="U5280">
        <v>0</v>
      </c>
      <c r="Y5280">
        <v>866</v>
      </c>
      <c r="Z5280" s="259" t="s">
        <v>637</v>
      </c>
      <c r="AB5280">
        <v>0</v>
      </c>
      <c r="AF5280">
        <v>42000</v>
      </c>
      <c r="AG5280">
        <v>0</v>
      </c>
      <c r="AI5280">
        <v>42000</v>
      </c>
      <c r="AJ5280">
        <v>0</v>
      </c>
      <c r="AK5280">
        <v>0</v>
      </c>
      <c r="AL5280">
        <v>0</v>
      </c>
      <c r="AM5280">
        <v>42000</v>
      </c>
      <c r="AN5280">
        <v>0</v>
      </c>
      <c r="AO5280">
        <v>42000</v>
      </c>
      <c r="AP5280">
        <v>0</v>
      </c>
      <c r="AQ5280">
        <v>0</v>
      </c>
      <c r="AR5280">
        <v>0</v>
      </c>
      <c r="AS5280" t="s">
        <v>239</v>
      </c>
      <c r="AT5280" t="s">
        <v>514</v>
      </c>
    </row>
    <row r="5281" spans="2:46" x14ac:dyDescent="0.35">
      <c r="B5281" t="s">
        <v>566</v>
      </c>
      <c r="C5281">
        <v>45794</v>
      </c>
      <c r="J5281">
        <v>0</v>
      </c>
      <c r="O5281" t="s">
        <v>239</v>
      </c>
      <c r="P5281" t="s">
        <v>514</v>
      </c>
      <c r="U5281">
        <v>0</v>
      </c>
      <c r="Y5281">
        <v>867</v>
      </c>
      <c r="Z5281" s="259" t="s">
        <v>637</v>
      </c>
      <c r="AB5281">
        <v>0</v>
      </c>
      <c r="AF5281">
        <v>42000</v>
      </c>
      <c r="AG5281">
        <v>0</v>
      </c>
      <c r="AI5281">
        <v>42000</v>
      </c>
      <c r="AJ5281">
        <v>0</v>
      </c>
      <c r="AK5281">
        <v>0</v>
      </c>
      <c r="AL5281">
        <v>0</v>
      </c>
      <c r="AM5281">
        <v>42000</v>
      </c>
      <c r="AN5281">
        <v>0</v>
      </c>
      <c r="AO5281">
        <v>42000</v>
      </c>
      <c r="AP5281">
        <v>0</v>
      </c>
      <c r="AQ5281">
        <v>0</v>
      </c>
      <c r="AR5281">
        <v>0</v>
      </c>
      <c r="AS5281" t="s">
        <v>239</v>
      </c>
      <c r="AT5281" t="s">
        <v>514</v>
      </c>
    </row>
    <row r="5282" spans="2:46" x14ac:dyDescent="0.35">
      <c r="B5282" t="s">
        <v>566</v>
      </c>
      <c r="C5282">
        <v>45795</v>
      </c>
      <c r="J5282">
        <v>0</v>
      </c>
      <c r="O5282" t="s">
        <v>239</v>
      </c>
      <c r="P5282" t="s">
        <v>514</v>
      </c>
      <c r="U5282">
        <v>0</v>
      </c>
      <c r="Y5282">
        <v>868</v>
      </c>
      <c r="Z5282" s="259" t="s">
        <v>637</v>
      </c>
      <c r="AB5282">
        <v>0</v>
      </c>
      <c r="AF5282">
        <v>42000</v>
      </c>
      <c r="AG5282">
        <v>0</v>
      </c>
      <c r="AI5282">
        <v>42000</v>
      </c>
      <c r="AJ5282">
        <v>0</v>
      </c>
      <c r="AK5282">
        <v>0</v>
      </c>
      <c r="AL5282">
        <v>0</v>
      </c>
      <c r="AM5282">
        <v>42000</v>
      </c>
      <c r="AN5282">
        <v>0</v>
      </c>
      <c r="AO5282">
        <v>42000</v>
      </c>
      <c r="AP5282">
        <v>0</v>
      </c>
      <c r="AQ5282">
        <v>0</v>
      </c>
      <c r="AR5282">
        <v>0</v>
      </c>
      <c r="AS5282" t="s">
        <v>239</v>
      </c>
      <c r="AT5282" t="s">
        <v>514</v>
      </c>
    </row>
    <row r="5283" spans="2:46" x14ac:dyDescent="0.35">
      <c r="B5283" t="s">
        <v>566</v>
      </c>
      <c r="C5283">
        <v>45796</v>
      </c>
      <c r="J5283">
        <v>0</v>
      </c>
      <c r="O5283" t="s">
        <v>239</v>
      </c>
      <c r="P5283" t="s">
        <v>514</v>
      </c>
      <c r="U5283">
        <v>0</v>
      </c>
      <c r="Y5283">
        <v>869</v>
      </c>
      <c r="Z5283" s="259" t="s">
        <v>637</v>
      </c>
      <c r="AB5283">
        <v>0</v>
      </c>
      <c r="AF5283">
        <v>42000</v>
      </c>
      <c r="AG5283">
        <v>0</v>
      </c>
      <c r="AI5283">
        <v>42000</v>
      </c>
      <c r="AJ5283">
        <v>0</v>
      </c>
      <c r="AK5283">
        <v>0</v>
      </c>
      <c r="AL5283">
        <v>0</v>
      </c>
      <c r="AM5283">
        <v>42000</v>
      </c>
      <c r="AN5283">
        <v>0</v>
      </c>
      <c r="AO5283">
        <v>42000</v>
      </c>
      <c r="AP5283">
        <v>0</v>
      </c>
      <c r="AQ5283">
        <v>0</v>
      </c>
      <c r="AR5283">
        <v>0</v>
      </c>
      <c r="AS5283" t="s">
        <v>239</v>
      </c>
      <c r="AT5283" t="s">
        <v>514</v>
      </c>
    </row>
    <row r="5284" spans="2:46" x14ac:dyDescent="0.35">
      <c r="B5284" t="s">
        <v>566</v>
      </c>
      <c r="C5284">
        <v>45797</v>
      </c>
      <c r="J5284">
        <v>0</v>
      </c>
      <c r="O5284" t="s">
        <v>239</v>
      </c>
      <c r="P5284" t="s">
        <v>514</v>
      </c>
      <c r="U5284">
        <v>0</v>
      </c>
      <c r="Y5284">
        <v>870</v>
      </c>
      <c r="Z5284" s="259" t="s">
        <v>637</v>
      </c>
      <c r="AB5284">
        <v>0</v>
      </c>
      <c r="AF5284">
        <v>42000</v>
      </c>
      <c r="AG5284">
        <v>0</v>
      </c>
      <c r="AI5284">
        <v>42000</v>
      </c>
      <c r="AJ5284">
        <v>0</v>
      </c>
      <c r="AK5284">
        <v>0</v>
      </c>
      <c r="AL5284">
        <v>0</v>
      </c>
      <c r="AM5284">
        <v>42000</v>
      </c>
      <c r="AN5284">
        <v>0</v>
      </c>
      <c r="AO5284">
        <v>42000</v>
      </c>
      <c r="AP5284">
        <v>0</v>
      </c>
      <c r="AQ5284">
        <v>0</v>
      </c>
      <c r="AR5284">
        <v>0</v>
      </c>
      <c r="AS5284" t="s">
        <v>239</v>
      </c>
      <c r="AT5284" t="s">
        <v>514</v>
      </c>
    </row>
    <row r="5285" spans="2:46" x14ac:dyDescent="0.35">
      <c r="B5285" t="s">
        <v>566</v>
      </c>
      <c r="C5285">
        <v>45798</v>
      </c>
      <c r="J5285">
        <v>0</v>
      </c>
      <c r="O5285" t="s">
        <v>239</v>
      </c>
      <c r="P5285" t="s">
        <v>514</v>
      </c>
      <c r="U5285">
        <v>0</v>
      </c>
      <c r="Y5285">
        <v>871</v>
      </c>
      <c r="Z5285" s="259" t="s">
        <v>637</v>
      </c>
      <c r="AB5285">
        <v>0</v>
      </c>
      <c r="AF5285">
        <v>42000</v>
      </c>
      <c r="AG5285">
        <v>0</v>
      </c>
      <c r="AI5285">
        <v>42000</v>
      </c>
      <c r="AJ5285">
        <v>0</v>
      </c>
      <c r="AK5285">
        <v>0</v>
      </c>
      <c r="AL5285">
        <v>0</v>
      </c>
      <c r="AM5285">
        <v>42000</v>
      </c>
      <c r="AN5285">
        <v>0</v>
      </c>
      <c r="AO5285">
        <v>42000</v>
      </c>
      <c r="AP5285">
        <v>0</v>
      </c>
      <c r="AQ5285">
        <v>0</v>
      </c>
      <c r="AR5285">
        <v>0</v>
      </c>
      <c r="AS5285" t="s">
        <v>239</v>
      </c>
      <c r="AT5285" t="s">
        <v>514</v>
      </c>
    </row>
    <row r="5286" spans="2:46" x14ac:dyDescent="0.35">
      <c r="B5286" t="s">
        <v>566</v>
      </c>
      <c r="C5286">
        <v>45799</v>
      </c>
      <c r="J5286">
        <v>0</v>
      </c>
      <c r="O5286" t="s">
        <v>239</v>
      </c>
      <c r="P5286" t="s">
        <v>514</v>
      </c>
      <c r="U5286">
        <v>0</v>
      </c>
      <c r="Y5286">
        <v>872</v>
      </c>
      <c r="Z5286" s="259" t="s">
        <v>637</v>
      </c>
      <c r="AB5286">
        <v>0</v>
      </c>
      <c r="AF5286">
        <v>42000</v>
      </c>
      <c r="AG5286">
        <v>0</v>
      </c>
      <c r="AI5286">
        <v>42000</v>
      </c>
      <c r="AJ5286">
        <v>0</v>
      </c>
      <c r="AK5286">
        <v>0</v>
      </c>
      <c r="AL5286">
        <v>0</v>
      </c>
      <c r="AM5286">
        <v>42000</v>
      </c>
      <c r="AN5286">
        <v>0</v>
      </c>
      <c r="AO5286">
        <v>42000</v>
      </c>
      <c r="AP5286">
        <v>0</v>
      </c>
      <c r="AQ5286">
        <v>0</v>
      </c>
      <c r="AR5286">
        <v>0</v>
      </c>
      <c r="AS5286" t="s">
        <v>239</v>
      </c>
      <c r="AT5286" t="s">
        <v>514</v>
      </c>
    </row>
    <row r="5287" spans="2:46" x14ac:dyDescent="0.35">
      <c r="B5287" t="s">
        <v>566</v>
      </c>
      <c r="C5287">
        <v>45800</v>
      </c>
      <c r="J5287">
        <v>0</v>
      </c>
      <c r="O5287" t="s">
        <v>239</v>
      </c>
      <c r="P5287" t="s">
        <v>514</v>
      </c>
      <c r="U5287">
        <v>0</v>
      </c>
      <c r="Y5287">
        <v>873</v>
      </c>
      <c r="Z5287" s="259" t="s">
        <v>637</v>
      </c>
      <c r="AB5287">
        <v>0</v>
      </c>
      <c r="AF5287">
        <v>42000</v>
      </c>
      <c r="AG5287">
        <v>0</v>
      </c>
      <c r="AI5287">
        <v>42000</v>
      </c>
      <c r="AJ5287">
        <v>0</v>
      </c>
      <c r="AK5287">
        <v>0</v>
      </c>
      <c r="AL5287">
        <v>0</v>
      </c>
      <c r="AM5287">
        <v>42000</v>
      </c>
      <c r="AN5287">
        <v>0</v>
      </c>
      <c r="AO5287">
        <v>42000</v>
      </c>
      <c r="AP5287">
        <v>0</v>
      </c>
      <c r="AQ5287">
        <v>0</v>
      </c>
      <c r="AR5287">
        <v>0</v>
      </c>
      <c r="AS5287" t="s">
        <v>239</v>
      </c>
      <c r="AT5287" t="s">
        <v>514</v>
      </c>
    </row>
    <row r="5288" spans="2:46" x14ac:dyDescent="0.35">
      <c r="B5288" t="s">
        <v>566</v>
      </c>
      <c r="C5288">
        <v>45801</v>
      </c>
      <c r="J5288">
        <v>0</v>
      </c>
      <c r="O5288" t="s">
        <v>239</v>
      </c>
      <c r="P5288" t="s">
        <v>514</v>
      </c>
      <c r="U5288">
        <v>0</v>
      </c>
      <c r="Y5288">
        <v>874</v>
      </c>
      <c r="Z5288" s="259" t="s">
        <v>637</v>
      </c>
      <c r="AB5288">
        <v>0</v>
      </c>
      <c r="AF5288">
        <v>42000</v>
      </c>
      <c r="AG5288">
        <v>0</v>
      </c>
      <c r="AI5288">
        <v>42000</v>
      </c>
      <c r="AJ5288">
        <v>0</v>
      </c>
      <c r="AK5288">
        <v>0</v>
      </c>
      <c r="AL5288">
        <v>0</v>
      </c>
      <c r="AM5288">
        <v>42000</v>
      </c>
      <c r="AN5288">
        <v>0</v>
      </c>
      <c r="AO5288">
        <v>42000</v>
      </c>
      <c r="AP5288">
        <v>0</v>
      </c>
      <c r="AQ5288">
        <v>0</v>
      </c>
      <c r="AR5288">
        <v>0</v>
      </c>
      <c r="AS5288" t="s">
        <v>239</v>
      </c>
      <c r="AT5288" t="s">
        <v>514</v>
      </c>
    </row>
    <row r="5289" spans="2:46" x14ac:dyDescent="0.35">
      <c r="B5289" t="s">
        <v>566</v>
      </c>
      <c r="C5289">
        <v>45802</v>
      </c>
      <c r="J5289">
        <v>0</v>
      </c>
      <c r="O5289" t="s">
        <v>239</v>
      </c>
      <c r="P5289" t="s">
        <v>514</v>
      </c>
      <c r="U5289">
        <v>0</v>
      </c>
      <c r="Y5289">
        <v>875</v>
      </c>
      <c r="Z5289" s="259" t="s">
        <v>637</v>
      </c>
      <c r="AB5289">
        <v>0</v>
      </c>
      <c r="AF5289">
        <v>42000</v>
      </c>
      <c r="AG5289">
        <v>0</v>
      </c>
      <c r="AI5289">
        <v>42000</v>
      </c>
      <c r="AJ5289">
        <v>0</v>
      </c>
      <c r="AK5289">
        <v>0</v>
      </c>
      <c r="AL5289">
        <v>0</v>
      </c>
      <c r="AM5289">
        <v>42000</v>
      </c>
      <c r="AN5289">
        <v>0</v>
      </c>
      <c r="AO5289">
        <v>42000</v>
      </c>
      <c r="AP5289">
        <v>0</v>
      </c>
      <c r="AQ5289">
        <v>0</v>
      </c>
      <c r="AR5289">
        <v>0</v>
      </c>
      <c r="AS5289" t="s">
        <v>239</v>
      </c>
      <c r="AT5289" t="s">
        <v>514</v>
      </c>
    </row>
    <row r="5290" spans="2:46" x14ac:dyDescent="0.35">
      <c r="B5290" t="s">
        <v>566</v>
      </c>
      <c r="C5290">
        <v>45803</v>
      </c>
      <c r="J5290">
        <v>0</v>
      </c>
      <c r="O5290" t="s">
        <v>239</v>
      </c>
      <c r="P5290" t="s">
        <v>514</v>
      </c>
      <c r="U5290">
        <v>0</v>
      </c>
      <c r="Y5290">
        <v>876</v>
      </c>
      <c r="Z5290" s="259" t="s">
        <v>637</v>
      </c>
      <c r="AB5290">
        <v>0</v>
      </c>
      <c r="AF5290">
        <v>42000</v>
      </c>
      <c r="AG5290">
        <v>0</v>
      </c>
      <c r="AI5290">
        <v>42000</v>
      </c>
      <c r="AJ5290">
        <v>0</v>
      </c>
      <c r="AK5290">
        <v>0</v>
      </c>
      <c r="AL5290">
        <v>0</v>
      </c>
      <c r="AM5290">
        <v>42000</v>
      </c>
      <c r="AN5290">
        <v>0</v>
      </c>
      <c r="AO5290">
        <v>42000</v>
      </c>
      <c r="AP5290">
        <v>0</v>
      </c>
      <c r="AQ5290">
        <v>0</v>
      </c>
      <c r="AR5290">
        <v>0</v>
      </c>
      <c r="AS5290" t="s">
        <v>239</v>
      </c>
      <c r="AT5290" t="s">
        <v>514</v>
      </c>
    </row>
    <row r="5291" spans="2:46" x14ac:dyDescent="0.35">
      <c r="B5291" t="s">
        <v>566</v>
      </c>
      <c r="C5291">
        <v>45804</v>
      </c>
      <c r="J5291">
        <v>0</v>
      </c>
      <c r="O5291" t="s">
        <v>239</v>
      </c>
      <c r="P5291" t="s">
        <v>514</v>
      </c>
      <c r="U5291">
        <v>0</v>
      </c>
      <c r="Y5291">
        <v>877</v>
      </c>
      <c r="Z5291" s="259" t="s">
        <v>637</v>
      </c>
      <c r="AB5291">
        <v>0</v>
      </c>
      <c r="AF5291">
        <v>42000</v>
      </c>
      <c r="AG5291">
        <v>0</v>
      </c>
      <c r="AI5291">
        <v>42000</v>
      </c>
      <c r="AJ5291">
        <v>0</v>
      </c>
      <c r="AK5291">
        <v>0</v>
      </c>
      <c r="AL5291">
        <v>0</v>
      </c>
      <c r="AM5291">
        <v>42000</v>
      </c>
      <c r="AN5291">
        <v>0</v>
      </c>
      <c r="AO5291">
        <v>42000</v>
      </c>
      <c r="AP5291">
        <v>0</v>
      </c>
      <c r="AQ5291">
        <v>0</v>
      </c>
      <c r="AR5291">
        <v>0</v>
      </c>
      <c r="AS5291" t="s">
        <v>239</v>
      </c>
      <c r="AT5291" t="s">
        <v>514</v>
      </c>
    </row>
    <row r="5292" spans="2:46" x14ac:dyDescent="0.35">
      <c r="B5292" t="s">
        <v>566</v>
      </c>
      <c r="C5292">
        <v>45805</v>
      </c>
      <c r="J5292">
        <v>0</v>
      </c>
      <c r="O5292" t="s">
        <v>239</v>
      </c>
      <c r="P5292" t="s">
        <v>514</v>
      </c>
      <c r="U5292">
        <v>0</v>
      </c>
      <c r="Y5292">
        <v>878</v>
      </c>
      <c r="Z5292" s="259" t="s">
        <v>637</v>
      </c>
      <c r="AB5292">
        <v>0</v>
      </c>
      <c r="AF5292">
        <v>42000</v>
      </c>
      <c r="AG5292">
        <v>0</v>
      </c>
      <c r="AI5292">
        <v>42000</v>
      </c>
      <c r="AJ5292">
        <v>0</v>
      </c>
      <c r="AK5292">
        <v>0</v>
      </c>
      <c r="AL5292">
        <v>0</v>
      </c>
      <c r="AM5292">
        <v>42000</v>
      </c>
      <c r="AN5292">
        <v>0</v>
      </c>
      <c r="AO5292">
        <v>42000</v>
      </c>
      <c r="AP5292">
        <v>0</v>
      </c>
      <c r="AQ5292">
        <v>0</v>
      </c>
      <c r="AR5292">
        <v>0</v>
      </c>
      <c r="AS5292" t="s">
        <v>239</v>
      </c>
      <c r="AT5292" t="s">
        <v>514</v>
      </c>
    </row>
    <row r="5293" spans="2:46" x14ac:dyDescent="0.35">
      <c r="B5293" t="s">
        <v>566</v>
      </c>
      <c r="C5293">
        <v>45806</v>
      </c>
      <c r="J5293">
        <v>0</v>
      </c>
      <c r="O5293" t="s">
        <v>239</v>
      </c>
      <c r="P5293" t="s">
        <v>514</v>
      </c>
      <c r="U5293">
        <v>0</v>
      </c>
      <c r="Y5293">
        <v>879</v>
      </c>
      <c r="Z5293" s="259" t="s">
        <v>637</v>
      </c>
      <c r="AB5293">
        <v>0</v>
      </c>
      <c r="AF5293">
        <v>42000</v>
      </c>
      <c r="AG5293">
        <v>0</v>
      </c>
      <c r="AI5293">
        <v>42000</v>
      </c>
      <c r="AJ5293">
        <v>0</v>
      </c>
      <c r="AK5293">
        <v>0</v>
      </c>
      <c r="AL5293">
        <v>0</v>
      </c>
      <c r="AM5293">
        <v>42000</v>
      </c>
      <c r="AN5293">
        <v>0</v>
      </c>
      <c r="AO5293">
        <v>42000</v>
      </c>
      <c r="AP5293">
        <v>0</v>
      </c>
      <c r="AQ5293">
        <v>0</v>
      </c>
      <c r="AR5293">
        <v>0</v>
      </c>
      <c r="AS5293" t="s">
        <v>239</v>
      </c>
      <c r="AT5293" t="s">
        <v>514</v>
      </c>
    </row>
    <row r="5294" spans="2:46" x14ac:dyDescent="0.35">
      <c r="B5294" t="s">
        <v>566</v>
      </c>
      <c r="C5294">
        <v>45807</v>
      </c>
      <c r="J5294">
        <v>0</v>
      </c>
      <c r="O5294" t="s">
        <v>239</v>
      </c>
      <c r="P5294" t="s">
        <v>514</v>
      </c>
      <c r="U5294">
        <v>0</v>
      </c>
      <c r="Y5294">
        <v>880</v>
      </c>
      <c r="Z5294" s="259" t="s">
        <v>637</v>
      </c>
      <c r="AB5294">
        <v>0</v>
      </c>
      <c r="AF5294">
        <v>42000</v>
      </c>
      <c r="AG5294">
        <v>0</v>
      </c>
      <c r="AI5294">
        <v>42000</v>
      </c>
      <c r="AJ5294">
        <v>0</v>
      </c>
      <c r="AK5294">
        <v>0</v>
      </c>
      <c r="AL5294">
        <v>0</v>
      </c>
      <c r="AM5294">
        <v>42000</v>
      </c>
      <c r="AN5294">
        <v>0</v>
      </c>
      <c r="AO5294">
        <v>42000</v>
      </c>
      <c r="AP5294">
        <v>0</v>
      </c>
      <c r="AQ5294">
        <v>0</v>
      </c>
      <c r="AR5294">
        <v>0</v>
      </c>
      <c r="AS5294" t="s">
        <v>239</v>
      </c>
      <c r="AT5294" t="s">
        <v>514</v>
      </c>
    </row>
    <row r="5295" spans="2:46" x14ac:dyDescent="0.35">
      <c r="B5295" t="s">
        <v>566</v>
      </c>
      <c r="C5295">
        <v>45808</v>
      </c>
      <c r="J5295">
        <v>0</v>
      </c>
      <c r="O5295" t="s">
        <v>239</v>
      </c>
      <c r="P5295" t="s">
        <v>514</v>
      </c>
      <c r="U5295">
        <v>0</v>
      </c>
      <c r="Y5295">
        <v>881</v>
      </c>
      <c r="Z5295" s="259" t="s">
        <v>637</v>
      </c>
      <c r="AB5295">
        <v>0</v>
      </c>
      <c r="AF5295">
        <v>42000</v>
      </c>
      <c r="AG5295">
        <v>0</v>
      </c>
      <c r="AI5295">
        <v>42000</v>
      </c>
      <c r="AJ5295">
        <v>0</v>
      </c>
      <c r="AK5295">
        <v>0</v>
      </c>
      <c r="AL5295">
        <v>0</v>
      </c>
      <c r="AM5295">
        <v>42000</v>
      </c>
      <c r="AN5295">
        <v>0</v>
      </c>
      <c r="AO5295">
        <v>42000</v>
      </c>
      <c r="AP5295">
        <v>0</v>
      </c>
      <c r="AQ5295">
        <v>0</v>
      </c>
      <c r="AR5295">
        <v>0</v>
      </c>
      <c r="AS5295" t="s">
        <v>239</v>
      </c>
      <c r="AT5295" t="s">
        <v>514</v>
      </c>
    </row>
    <row r="5296" spans="2:46" x14ac:dyDescent="0.35">
      <c r="B5296" t="s">
        <v>566</v>
      </c>
      <c r="C5296">
        <v>45809</v>
      </c>
      <c r="J5296">
        <v>0</v>
      </c>
      <c r="O5296" t="s">
        <v>239</v>
      </c>
      <c r="P5296" t="s">
        <v>514</v>
      </c>
      <c r="U5296">
        <v>0</v>
      </c>
      <c r="Y5296">
        <v>882</v>
      </c>
      <c r="Z5296" s="259" t="s">
        <v>637</v>
      </c>
      <c r="AB5296">
        <v>0</v>
      </c>
      <c r="AF5296">
        <v>42000</v>
      </c>
      <c r="AG5296">
        <v>0</v>
      </c>
      <c r="AI5296">
        <v>42000</v>
      </c>
      <c r="AJ5296">
        <v>0</v>
      </c>
      <c r="AK5296">
        <v>0</v>
      </c>
      <c r="AL5296">
        <v>0</v>
      </c>
      <c r="AM5296">
        <v>42000</v>
      </c>
      <c r="AN5296">
        <v>0</v>
      </c>
      <c r="AO5296">
        <v>42000</v>
      </c>
      <c r="AP5296">
        <v>0</v>
      </c>
      <c r="AQ5296">
        <v>0</v>
      </c>
      <c r="AR5296">
        <v>0</v>
      </c>
      <c r="AS5296" t="s">
        <v>239</v>
      </c>
      <c r="AT5296" t="s">
        <v>514</v>
      </c>
    </row>
    <row r="5297" spans="2:46" x14ac:dyDescent="0.35">
      <c r="B5297" t="s">
        <v>566</v>
      </c>
      <c r="C5297">
        <v>45810</v>
      </c>
      <c r="J5297">
        <v>0</v>
      </c>
      <c r="O5297" t="s">
        <v>239</v>
      </c>
      <c r="P5297" t="s">
        <v>514</v>
      </c>
      <c r="U5297">
        <v>0</v>
      </c>
      <c r="Y5297">
        <v>883</v>
      </c>
      <c r="Z5297" s="259" t="s">
        <v>637</v>
      </c>
      <c r="AB5297">
        <v>0</v>
      </c>
      <c r="AF5297">
        <v>42000</v>
      </c>
      <c r="AG5297">
        <v>0</v>
      </c>
      <c r="AI5297">
        <v>42000</v>
      </c>
      <c r="AJ5297">
        <v>0</v>
      </c>
      <c r="AK5297">
        <v>0</v>
      </c>
      <c r="AL5297">
        <v>0</v>
      </c>
      <c r="AM5297">
        <v>42000</v>
      </c>
      <c r="AN5297">
        <v>0</v>
      </c>
      <c r="AO5297">
        <v>42000</v>
      </c>
      <c r="AP5297">
        <v>0</v>
      </c>
      <c r="AQ5297">
        <v>0</v>
      </c>
      <c r="AR5297">
        <v>0</v>
      </c>
      <c r="AS5297" t="s">
        <v>239</v>
      </c>
      <c r="AT5297" t="s">
        <v>514</v>
      </c>
    </row>
    <row r="5298" spans="2:46" x14ac:dyDescent="0.35">
      <c r="B5298" t="s">
        <v>566</v>
      </c>
      <c r="C5298">
        <v>45811</v>
      </c>
      <c r="J5298">
        <v>0</v>
      </c>
      <c r="O5298" t="s">
        <v>239</v>
      </c>
      <c r="P5298" t="s">
        <v>514</v>
      </c>
      <c r="U5298">
        <v>0</v>
      </c>
      <c r="Y5298">
        <v>884</v>
      </c>
      <c r="Z5298" s="259" t="s">
        <v>637</v>
      </c>
      <c r="AB5298">
        <v>0</v>
      </c>
      <c r="AF5298">
        <v>42000</v>
      </c>
      <c r="AG5298">
        <v>0</v>
      </c>
      <c r="AI5298">
        <v>42000</v>
      </c>
      <c r="AJ5298">
        <v>0</v>
      </c>
      <c r="AK5298">
        <v>0</v>
      </c>
      <c r="AL5298">
        <v>0</v>
      </c>
      <c r="AM5298">
        <v>42000</v>
      </c>
      <c r="AN5298">
        <v>0</v>
      </c>
      <c r="AO5298">
        <v>42000</v>
      </c>
      <c r="AP5298">
        <v>0</v>
      </c>
      <c r="AQ5298">
        <v>0</v>
      </c>
      <c r="AR5298">
        <v>0</v>
      </c>
      <c r="AS5298" t="s">
        <v>239</v>
      </c>
      <c r="AT5298" t="s">
        <v>514</v>
      </c>
    </row>
    <row r="5299" spans="2:46" x14ac:dyDescent="0.35">
      <c r="B5299" t="s">
        <v>566</v>
      </c>
      <c r="C5299">
        <v>45812</v>
      </c>
      <c r="J5299">
        <v>0</v>
      </c>
      <c r="O5299" t="s">
        <v>239</v>
      </c>
      <c r="P5299" t="s">
        <v>514</v>
      </c>
      <c r="U5299">
        <v>0</v>
      </c>
      <c r="Y5299">
        <v>885</v>
      </c>
      <c r="Z5299" s="259" t="s">
        <v>637</v>
      </c>
      <c r="AB5299">
        <v>0</v>
      </c>
      <c r="AF5299">
        <v>42000</v>
      </c>
      <c r="AG5299">
        <v>0</v>
      </c>
      <c r="AI5299">
        <v>42000</v>
      </c>
      <c r="AJ5299">
        <v>0</v>
      </c>
      <c r="AK5299">
        <v>0</v>
      </c>
      <c r="AL5299">
        <v>0</v>
      </c>
      <c r="AM5299">
        <v>42000</v>
      </c>
      <c r="AN5299">
        <v>0</v>
      </c>
      <c r="AO5299">
        <v>42000</v>
      </c>
      <c r="AP5299">
        <v>0</v>
      </c>
      <c r="AQ5299">
        <v>0</v>
      </c>
      <c r="AR5299">
        <v>0</v>
      </c>
      <c r="AS5299" t="s">
        <v>239</v>
      </c>
      <c r="AT5299" t="s">
        <v>514</v>
      </c>
    </row>
    <row r="5300" spans="2:46" x14ac:dyDescent="0.35">
      <c r="B5300" t="s">
        <v>566</v>
      </c>
      <c r="C5300">
        <v>45813</v>
      </c>
      <c r="J5300">
        <v>0</v>
      </c>
      <c r="O5300" t="s">
        <v>239</v>
      </c>
      <c r="P5300" t="s">
        <v>514</v>
      </c>
      <c r="U5300">
        <v>0</v>
      </c>
      <c r="Y5300">
        <v>886</v>
      </c>
      <c r="Z5300" s="259" t="s">
        <v>637</v>
      </c>
      <c r="AB5300">
        <v>0</v>
      </c>
      <c r="AF5300">
        <v>42000</v>
      </c>
      <c r="AG5300">
        <v>0</v>
      </c>
      <c r="AI5300">
        <v>42000</v>
      </c>
      <c r="AJ5300">
        <v>0</v>
      </c>
      <c r="AK5300">
        <v>0</v>
      </c>
      <c r="AL5300">
        <v>0</v>
      </c>
      <c r="AM5300">
        <v>42000</v>
      </c>
      <c r="AN5300">
        <v>0</v>
      </c>
      <c r="AO5300">
        <v>42000</v>
      </c>
      <c r="AP5300">
        <v>0</v>
      </c>
      <c r="AQ5300">
        <v>0</v>
      </c>
      <c r="AR5300">
        <v>0</v>
      </c>
      <c r="AS5300" t="s">
        <v>239</v>
      </c>
      <c r="AT5300" t="s">
        <v>514</v>
      </c>
    </row>
    <row r="5301" spans="2:46" x14ac:dyDescent="0.35">
      <c r="B5301" t="s">
        <v>566</v>
      </c>
      <c r="C5301">
        <v>45814</v>
      </c>
      <c r="J5301">
        <v>0</v>
      </c>
      <c r="O5301" t="s">
        <v>239</v>
      </c>
      <c r="P5301" t="s">
        <v>514</v>
      </c>
      <c r="U5301">
        <v>0</v>
      </c>
      <c r="Y5301">
        <v>887</v>
      </c>
      <c r="Z5301" s="259" t="s">
        <v>637</v>
      </c>
      <c r="AB5301">
        <v>0</v>
      </c>
      <c r="AF5301">
        <v>42000</v>
      </c>
      <c r="AG5301">
        <v>0</v>
      </c>
      <c r="AI5301">
        <v>42000</v>
      </c>
      <c r="AJ5301">
        <v>0</v>
      </c>
      <c r="AK5301">
        <v>0</v>
      </c>
      <c r="AL5301">
        <v>0</v>
      </c>
      <c r="AM5301">
        <v>42000</v>
      </c>
      <c r="AN5301">
        <v>0</v>
      </c>
      <c r="AO5301">
        <v>42000</v>
      </c>
      <c r="AP5301">
        <v>0</v>
      </c>
      <c r="AQ5301">
        <v>0</v>
      </c>
      <c r="AR5301">
        <v>0</v>
      </c>
      <c r="AS5301" t="s">
        <v>239</v>
      </c>
      <c r="AT5301" t="s">
        <v>514</v>
      </c>
    </row>
    <row r="5302" spans="2:46" x14ac:dyDescent="0.35">
      <c r="B5302" t="s">
        <v>566</v>
      </c>
      <c r="C5302">
        <v>45815</v>
      </c>
      <c r="J5302">
        <v>0</v>
      </c>
      <c r="O5302" t="s">
        <v>239</v>
      </c>
      <c r="P5302" t="s">
        <v>514</v>
      </c>
      <c r="U5302">
        <v>0</v>
      </c>
      <c r="Y5302">
        <v>888</v>
      </c>
      <c r="Z5302" s="259" t="s">
        <v>637</v>
      </c>
      <c r="AB5302">
        <v>0</v>
      </c>
      <c r="AF5302">
        <v>42000</v>
      </c>
      <c r="AG5302">
        <v>0</v>
      </c>
      <c r="AI5302">
        <v>42000</v>
      </c>
      <c r="AJ5302">
        <v>0</v>
      </c>
      <c r="AK5302">
        <v>0</v>
      </c>
      <c r="AL5302">
        <v>0</v>
      </c>
      <c r="AM5302">
        <v>42000</v>
      </c>
      <c r="AN5302">
        <v>0</v>
      </c>
      <c r="AO5302">
        <v>42000</v>
      </c>
      <c r="AP5302">
        <v>0</v>
      </c>
      <c r="AQ5302">
        <v>0</v>
      </c>
      <c r="AR5302">
        <v>0</v>
      </c>
      <c r="AS5302" t="s">
        <v>239</v>
      </c>
      <c r="AT5302" t="s">
        <v>514</v>
      </c>
    </row>
    <row r="5303" spans="2:46" x14ac:dyDescent="0.35">
      <c r="B5303" t="s">
        <v>566</v>
      </c>
      <c r="C5303">
        <v>45816</v>
      </c>
      <c r="J5303">
        <v>0</v>
      </c>
      <c r="O5303" t="s">
        <v>239</v>
      </c>
      <c r="P5303" t="s">
        <v>514</v>
      </c>
      <c r="U5303">
        <v>0</v>
      </c>
      <c r="Y5303">
        <v>889</v>
      </c>
      <c r="Z5303" s="259" t="s">
        <v>637</v>
      </c>
      <c r="AB5303">
        <v>0</v>
      </c>
      <c r="AF5303">
        <v>42000</v>
      </c>
      <c r="AG5303">
        <v>0</v>
      </c>
      <c r="AI5303">
        <v>42000</v>
      </c>
      <c r="AJ5303">
        <v>0</v>
      </c>
      <c r="AK5303">
        <v>0</v>
      </c>
      <c r="AL5303">
        <v>0</v>
      </c>
      <c r="AM5303">
        <v>42000</v>
      </c>
      <c r="AN5303">
        <v>0</v>
      </c>
      <c r="AO5303">
        <v>42000</v>
      </c>
      <c r="AP5303">
        <v>0</v>
      </c>
      <c r="AQ5303">
        <v>0</v>
      </c>
      <c r="AR5303">
        <v>0</v>
      </c>
      <c r="AS5303" t="s">
        <v>239</v>
      </c>
      <c r="AT5303" t="s">
        <v>514</v>
      </c>
    </row>
    <row r="5304" spans="2:46" x14ac:dyDescent="0.35">
      <c r="B5304" t="s">
        <v>566</v>
      </c>
      <c r="C5304">
        <v>45817</v>
      </c>
      <c r="J5304">
        <v>0</v>
      </c>
      <c r="O5304" t="s">
        <v>239</v>
      </c>
      <c r="P5304" t="s">
        <v>514</v>
      </c>
      <c r="U5304">
        <v>0</v>
      </c>
      <c r="Y5304">
        <v>890</v>
      </c>
      <c r="Z5304" s="259" t="s">
        <v>637</v>
      </c>
      <c r="AB5304">
        <v>0</v>
      </c>
      <c r="AF5304">
        <v>42000</v>
      </c>
      <c r="AG5304">
        <v>0</v>
      </c>
      <c r="AI5304">
        <v>42000</v>
      </c>
      <c r="AJ5304">
        <v>0</v>
      </c>
      <c r="AK5304">
        <v>0</v>
      </c>
      <c r="AL5304">
        <v>0</v>
      </c>
      <c r="AM5304">
        <v>42000</v>
      </c>
      <c r="AN5304">
        <v>0</v>
      </c>
      <c r="AO5304">
        <v>42000</v>
      </c>
      <c r="AP5304">
        <v>0</v>
      </c>
      <c r="AQ5304">
        <v>0</v>
      </c>
      <c r="AR5304">
        <v>0</v>
      </c>
      <c r="AS5304" t="s">
        <v>239</v>
      </c>
      <c r="AT5304" t="s">
        <v>514</v>
      </c>
    </row>
    <row r="5305" spans="2:46" x14ac:dyDescent="0.35">
      <c r="B5305" t="s">
        <v>566</v>
      </c>
      <c r="C5305">
        <v>45818</v>
      </c>
      <c r="J5305">
        <v>0</v>
      </c>
      <c r="O5305" t="s">
        <v>239</v>
      </c>
      <c r="P5305" t="s">
        <v>514</v>
      </c>
      <c r="U5305">
        <v>0</v>
      </c>
      <c r="Y5305">
        <v>891</v>
      </c>
      <c r="Z5305" s="259" t="s">
        <v>637</v>
      </c>
      <c r="AB5305">
        <v>0</v>
      </c>
      <c r="AF5305">
        <v>42000</v>
      </c>
      <c r="AG5305">
        <v>0</v>
      </c>
      <c r="AI5305">
        <v>42000</v>
      </c>
      <c r="AJ5305">
        <v>0</v>
      </c>
      <c r="AK5305">
        <v>0</v>
      </c>
      <c r="AL5305">
        <v>0</v>
      </c>
      <c r="AM5305">
        <v>42000</v>
      </c>
      <c r="AN5305">
        <v>0</v>
      </c>
      <c r="AO5305">
        <v>42000</v>
      </c>
      <c r="AP5305">
        <v>0</v>
      </c>
      <c r="AQ5305">
        <v>0</v>
      </c>
      <c r="AR5305">
        <v>0</v>
      </c>
      <c r="AS5305" t="s">
        <v>239</v>
      </c>
      <c r="AT5305" t="s">
        <v>514</v>
      </c>
    </row>
    <row r="5306" spans="2:46" x14ac:dyDescent="0.35">
      <c r="B5306" t="s">
        <v>566</v>
      </c>
      <c r="C5306">
        <v>45819</v>
      </c>
      <c r="J5306">
        <v>0</v>
      </c>
      <c r="O5306" t="s">
        <v>239</v>
      </c>
      <c r="P5306" t="s">
        <v>514</v>
      </c>
      <c r="U5306">
        <v>0</v>
      </c>
      <c r="Y5306">
        <v>892</v>
      </c>
      <c r="Z5306" s="259" t="s">
        <v>637</v>
      </c>
      <c r="AB5306">
        <v>0</v>
      </c>
      <c r="AF5306">
        <v>42000</v>
      </c>
      <c r="AG5306">
        <v>0</v>
      </c>
      <c r="AI5306">
        <v>42000</v>
      </c>
      <c r="AJ5306">
        <v>0</v>
      </c>
      <c r="AK5306">
        <v>0</v>
      </c>
      <c r="AL5306">
        <v>0</v>
      </c>
      <c r="AM5306">
        <v>42000</v>
      </c>
      <c r="AN5306">
        <v>0</v>
      </c>
      <c r="AO5306">
        <v>42000</v>
      </c>
      <c r="AP5306">
        <v>0</v>
      </c>
      <c r="AQ5306">
        <v>0</v>
      </c>
      <c r="AR5306">
        <v>0</v>
      </c>
      <c r="AS5306" t="s">
        <v>239</v>
      </c>
      <c r="AT5306" t="s">
        <v>514</v>
      </c>
    </row>
    <row r="5307" spans="2:46" x14ac:dyDescent="0.35">
      <c r="B5307" t="s">
        <v>566</v>
      </c>
      <c r="C5307">
        <v>45820</v>
      </c>
      <c r="J5307">
        <v>0</v>
      </c>
      <c r="O5307" t="s">
        <v>239</v>
      </c>
      <c r="P5307" t="s">
        <v>514</v>
      </c>
      <c r="U5307">
        <v>0</v>
      </c>
      <c r="Y5307">
        <v>893</v>
      </c>
      <c r="Z5307" s="259" t="s">
        <v>637</v>
      </c>
      <c r="AB5307">
        <v>0</v>
      </c>
      <c r="AF5307">
        <v>42000</v>
      </c>
      <c r="AG5307">
        <v>0</v>
      </c>
      <c r="AI5307">
        <v>42000</v>
      </c>
      <c r="AJ5307">
        <v>0</v>
      </c>
      <c r="AK5307">
        <v>0</v>
      </c>
      <c r="AL5307">
        <v>0</v>
      </c>
      <c r="AM5307">
        <v>42000</v>
      </c>
      <c r="AN5307">
        <v>0</v>
      </c>
      <c r="AO5307">
        <v>42000</v>
      </c>
      <c r="AP5307">
        <v>0</v>
      </c>
      <c r="AQ5307">
        <v>0</v>
      </c>
      <c r="AR5307">
        <v>0</v>
      </c>
      <c r="AS5307" t="s">
        <v>239</v>
      </c>
      <c r="AT5307" t="s">
        <v>514</v>
      </c>
    </row>
    <row r="5308" spans="2:46" x14ac:dyDescent="0.35">
      <c r="B5308" t="s">
        <v>566</v>
      </c>
      <c r="C5308">
        <v>45821</v>
      </c>
      <c r="J5308">
        <v>0</v>
      </c>
      <c r="O5308" t="s">
        <v>239</v>
      </c>
      <c r="P5308" t="s">
        <v>514</v>
      </c>
      <c r="U5308">
        <v>0</v>
      </c>
      <c r="Y5308">
        <v>894</v>
      </c>
      <c r="Z5308" s="259" t="s">
        <v>637</v>
      </c>
      <c r="AB5308">
        <v>0</v>
      </c>
      <c r="AF5308">
        <v>42000</v>
      </c>
      <c r="AG5308">
        <v>0</v>
      </c>
      <c r="AI5308">
        <v>42000</v>
      </c>
      <c r="AJ5308">
        <v>0</v>
      </c>
      <c r="AK5308">
        <v>0</v>
      </c>
      <c r="AL5308">
        <v>0</v>
      </c>
      <c r="AM5308">
        <v>42000</v>
      </c>
      <c r="AN5308">
        <v>0</v>
      </c>
      <c r="AO5308">
        <v>42000</v>
      </c>
      <c r="AP5308">
        <v>0</v>
      </c>
      <c r="AQ5308">
        <v>0</v>
      </c>
      <c r="AR5308">
        <v>0</v>
      </c>
      <c r="AS5308" t="s">
        <v>239</v>
      </c>
      <c r="AT5308" t="s">
        <v>514</v>
      </c>
    </row>
    <row r="5309" spans="2:46" x14ac:dyDescent="0.35">
      <c r="B5309" t="s">
        <v>566</v>
      </c>
      <c r="C5309">
        <v>45822</v>
      </c>
      <c r="J5309">
        <v>0</v>
      </c>
      <c r="O5309" t="s">
        <v>239</v>
      </c>
      <c r="P5309" t="s">
        <v>514</v>
      </c>
      <c r="U5309">
        <v>0</v>
      </c>
      <c r="Y5309">
        <v>895</v>
      </c>
      <c r="Z5309" s="259" t="s">
        <v>637</v>
      </c>
      <c r="AB5309">
        <v>0</v>
      </c>
      <c r="AF5309">
        <v>42000</v>
      </c>
      <c r="AG5309">
        <v>0</v>
      </c>
      <c r="AI5309">
        <v>42000</v>
      </c>
      <c r="AJ5309">
        <v>0</v>
      </c>
      <c r="AK5309">
        <v>0</v>
      </c>
      <c r="AL5309">
        <v>0</v>
      </c>
      <c r="AM5309">
        <v>42000</v>
      </c>
      <c r="AN5309">
        <v>0</v>
      </c>
      <c r="AO5309">
        <v>42000</v>
      </c>
      <c r="AP5309">
        <v>0</v>
      </c>
      <c r="AQ5309">
        <v>0</v>
      </c>
      <c r="AR5309">
        <v>0</v>
      </c>
      <c r="AS5309" t="s">
        <v>239</v>
      </c>
      <c r="AT5309" t="s">
        <v>514</v>
      </c>
    </row>
    <row r="5310" spans="2:46" x14ac:dyDescent="0.35">
      <c r="B5310" t="s">
        <v>566</v>
      </c>
      <c r="C5310">
        <v>45823</v>
      </c>
      <c r="J5310">
        <v>0</v>
      </c>
      <c r="O5310" t="s">
        <v>239</v>
      </c>
      <c r="P5310" t="s">
        <v>514</v>
      </c>
      <c r="U5310">
        <v>0</v>
      </c>
      <c r="Y5310">
        <v>896</v>
      </c>
      <c r="Z5310" s="259" t="s">
        <v>637</v>
      </c>
      <c r="AB5310">
        <v>0</v>
      </c>
      <c r="AF5310">
        <v>42000</v>
      </c>
      <c r="AG5310">
        <v>0</v>
      </c>
      <c r="AI5310">
        <v>42000</v>
      </c>
      <c r="AJ5310">
        <v>0</v>
      </c>
      <c r="AK5310">
        <v>0</v>
      </c>
      <c r="AL5310">
        <v>0</v>
      </c>
      <c r="AM5310">
        <v>42000</v>
      </c>
      <c r="AN5310">
        <v>0</v>
      </c>
      <c r="AO5310">
        <v>42000</v>
      </c>
      <c r="AP5310">
        <v>0</v>
      </c>
      <c r="AQ5310">
        <v>0</v>
      </c>
      <c r="AR5310">
        <v>0</v>
      </c>
      <c r="AS5310" t="s">
        <v>239</v>
      </c>
      <c r="AT5310" t="s">
        <v>514</v>
      </c>
    </row>
    <row r="5311" spans="2:46" x14ac:dyDescent="0.35">
      <c r="B5311" t="s">
        <v>566</v>
      </c>
      <c r="C5311">
        <v>45824</v>
      </c>
      <c r="J5311">
        <v>0</v>
      </c>
      <c r="O5311" t="s">
        <v>239</v>
      </c>
      <c r="P5311" t="s">
        <v>514</v>
      </c>
      <c r="U5311">
        <v>0</v>
      </c>
      <c r="Y5311">
        <v>897</v>
      </c>
      <c r="Z5311" s="259" t="s">
        <v>637</v>
      </c>
      <c r="AB5311">
        <v>0</v>
      </c>
      <c r="AF5311">
        <v>42000</v>
      </c>
      <c r="AG5311">
        <v>0</v>
      </c>
      <c r="AI5311">
        <v>42000</v>
      </c>
      <c r="AJ5311">
        <v>0</v>
      </c>
      <c r="AK5311">
        <v>0</v>
      </c>
      <c r="AL5311">
        <v>0</v>
      </c>
      <c r="AM5311">
        <v>42000</v>
      </c>
      <c r="AN5311">
        <v>0</v>
      </c>
      <c r="AO5311">
        <v>42000</v>
      </c>
      <c r="AP5311">
        <v>0</v>
      </c>
      <c r="AQ5311">
        <v>0</v>
      </c>
      <c r="AR5311">
        <v>0</v>
      </c>
      <c r="AS5311" t="s">
        <v>239</v>
      </c>
      <c r="AT5311" t="s">
        <v>514</v>
      </c>
    </row>
    <row r="5312" spans="2:46" x14ac:dyDescent="0.35">
      <c r="B5312" t="s">
        <v>566</v>
      </c>
      <c r="C5312">
        <v>45825</v>
      </c>
      <c r="J5312">
        <v>0</v>
      </c>
      <c r="O5312" t="s">
        <v>239</v>
      </c>
      <c r="P5312" t="s">
        <v>514</v>
      </c>
      <c r="U5312">
        <v>0</v>
      </c>
      <c r="Y5312">
        <v>898</v>
      </c>
      <c r="Z5312" s="259" t="s">
        <v>637</v>
      </c>
      <c r="AB5312">
        <v>0</v>
      </c>
      <c r="AF5312">
        <v>42000</v>
      </c>
      <c r="AG5312">
        <v>0</v>
      </c>
      <c r="AI5312">
        <v>42000</v>
      </c>
      <c r="AJ5312">
        <v>0</v>
      </c>
      <c r="AK5312">
        <v>0</v>
      </c>
      <c r="AL5312">
        <v>0</v>
      </c>
      <c r="AM5312">
        <v>42000</v>
      </c>
      <c r="AN5312">
        <v>0</v>
      </c>
      <c r="AO5312">
        <v>42000</v>
      </c>
      <c r="AP5312">
        <v>0</v>
      </c>
      <c r="AQ5312">
        <v>0</v>
      </c>
      <c r="AR5312">
        <v>0</v>
      </c>
      <c r="AS5312" t="s">
        <v>239</v>
      </c>
      <c r="AT5312" t="s">
        <v>514</v>
      </c>
    </row>
    <row r="5313" spans="2:46" x14ac:dyDescent="0.35">
      <c r="B5313" t="s">
        <v>566</v>
      </c>
      <c r="C5313">
        <v>45826</v>
      </c>
      <c r="J5313">
        <v>0</v>
      </c>
      <c r="O5313" t="s">
        <v>239</v>
      </c>
      <c r="P5313" t="s">
        <v>514</v>
      </c>
      <c r="U5313">
        <v>0</v>
      </c>
      <c r="Y5313">
        <v>899</v>
      </c>
      <c r="Z5313" s="259" t="s">
        <v>637</v>
      </c>
      <c r="AB5313">
        <v>0</v>
      </c>
      <c r="AF5313">
        <v>42000</v>
      </c>
      <c r="AG5313">
        <v>0</v>
      </c>
      <c r="AI5313">
        <v>42000</v>
      </c>
      <c r="AJ5313">
        <v>0</v>
      </c>
      <c r="AK5313">
        <v>0</v>
      </c>
      <c r="AL5313">
        <v>0</v>
      </c>
      <c r="AM5313">
        <v>42000</v>
      </c>
      <c r="AN5313">
        <v>0</v>
      </c>
      <c r="AO5313">
        <v>42000</v>
      </c>
      <c r="AP5313">
        <v>0</v>
      </c>
      <c r="AQ5313">
        <v>0</v>
      </c>
      <c r="AR5313">
        <v>0</v>
      </c>
      <c r="AS5313" t="s">
        <v>239</v>
      </c>
      <c r="AT5313" t="s">
        <v>514</v>
      </c>
    </row>
    <row r="5314" spans="2:46" x14ac:dyDescent="0.35">
      <c r="B5314" t="s">
        <v>566</v>
      </c>
      <c r="C5314">
        <v>45827</v>
      </c>
      <c r="J5314">
        <v>0</v>
      </c>
      <c r="O5314" t="s">
        <v>239</v>
      </c>
      <c r="P5314" t="s">
        <v>514</v>
      </c>
      <c r="U5314">
        <v>0</v>
      </c>
      <c r="Y5314">
        <v>900</v>
      </c>
      <c r="Z5314" s="259" t="s">
        <v>637</v>
      </c>
      <c r="AB5314">
        <v>0</v>
      </c>
      <c r="AF5314">
        <v>42000</v>
      </c>
      <c r="AG5314">
        <v>0</v>
      </c>
      <c r="AI5314">
        <v>42000</v>
      </c>
      <c r="AJ5314">
        <v>0</v>
      </c>
      <c r="AK5314">
        <v>0</v>
      </c>
      <c r="AL5314">
        <v>0</v>
      </c>
      <c r="AM5314">
        <v>42000</v>
      </c>
      <c r="AN5314">
        <v>0</v>
      </c>
      <c r="AO5314">
        <v>42000</v>
      </c>
      <c r="AP5314">
        <v>0</v>
      </c>
      <c r="AQ5314">
        <v>0</v>
      </c>
      <c r="AR5314">
        <v>0</v>
      </c>
      <c r="AS5314" t="s">
        <v>239</v>
      </c>
      <c r="AT5314" t="s">
        <v>514</v>
      </c>
    </row>
    <row r="5315" spans="2:46" x14ac:dyDescent="0.35">
      <c r="B5315" t="s">
        <v>566</v>
      </c>
      <c r="C5315">
        <v>45828</v>
      </c>
      <c r="J5315">
        <v>0</v>
      </c>
      <c r="O5315" t="s">
        <v>239</v>
      </c>
      <c r="P5315" t="s">
        <v>514</v>
      </c>
      <c r="U5315">
        <v>0</v>
      </c>
      <c r="Y5315">
        <v>901</v>
      </c>
      <c r="Z5315" s="259" t="s">
        <v>637</v>
      </c>
      <c r="AB5315">
        <v>0</v>
      </c>
      <c r="AF5315">
        <v>42000</v>
      </c>
      <c r="AG5315">
        <v>0</v>
      </c>
      <c r="AI5315">
        <v>42000</v>
      </c>
      <c r="AJ5315">
        <v>0</v>
      </c>
      <c r="AK5315">
        <v>0</v>
      </c>
      <c r="AL5315">
        <v>0</v>
      </c>
      <c r="AM5315">
        <v>42000</v>
      </c>
      <c r="AN5315">
        <v>0</v>
      </c>
      <c r="AO5315">
        <v>42000</v>
      </c>
      <c r="AP5315">
        <v>0</v>
      </c>
      <c r="AQ5315">
        <v>0</v>
      </c>
      <c r="AR5315">
        <v>0</v>
      </c>
      <c r="AS5315" t="s">
        <v>239</v>
      </c>
      <c r="AT5315" t="s">
        <v>514</v>
      </c>
    </row>
    <row r="5316" spans="2:46" x14ac:dyDescent="0.35">
      <c r="B5316" t="s">
        <v>566</v>
      </c>
      <c r="C5316">
        <v>45829</v>
      </c>
      <c r="J5316">
        <v>0</v>
      </c>
      <c r="O5316" t="s">
        <v>239</v>
      </c>
      <c r="P5316" t="s">
        <v>514</v>
      </c>
      <c r="U5316">
        <v>0</v>
      </c>
      <c r="Y5316">
        <v>902</v>
      </c>
      <c r="Z5316" s="259" t="s">
        <v>637</v>
      </c>
      <c r="AB5316">
        <v>0</v>
      </c>
      <c r="AF5316">
        <v>42000</v>
      </c>
      <c r="AG5316">
        <v>0</v>
      </c>
      <c r="AI5316">
        <v>42000</v>
      </c>
      <c r="AJ5316">
        <v>0</v>
      </c>
      <c r="AK5316">
        <v>0</v>
      </c>
      <c r="AL5316">
        <v>0</v>
      </c>
      <c r="AM5316">
        <v>42000</v>
      </c>
      <c r="AN5316">
        <v>0</v>
      </c>
      <c r="AO5316">
        <v>42000</v>
      </c>
      <c r="AP5316">
        <v>0</v>
      </c>
      <c r="AQ5316">
        <v>0</v>
      </c>
      <c r="AR5316">
        <v>0</v>
      </c>
      <c r="AS5316" t="s">
        <v>239</v>
      </c>
      <c r="AT5316" t="s">
        <v>514</v>
      </c>
    </row>
    <row r="5317" spans="2:46" x14ac:dyDescent="0.35">
      <c r="B5317" t="s">
        <v>566</v>
      </c>
      <c r="C5317">
        <v>45830</v>
      </c>
      <c r="J5317">
        <v>0</v>
      </c>
      <c r="O5317" t="s">
        <v>239</v>
      </c>
      <c r="P5317" t="s">
        <v>514</v>
      </c>
      <c r="U5317">
        <v>0</v>
      </c>
      <c r="Y5317">
        <v>903</v>
      </c>
      <c r="Z5317" s="259" t="s">
        <v>637</v>
      </c>
      <c r="AB5317">
        <v>0</v>
      </c>
      <c r="AF5317">
        <v>42000</v>
      </c>
      <c r="AG5317">
        <v>0</v>
      </c>
      <c r="AI5317">
        <v>42000</v>
      </c>
      <c r="AJ5317">
        <v>0</v>
      </c>
      <c r="AK5317">
        <v>0</v>
      </c>
      <c r="AL5317">
        <v>0</v>
      </c>
      <c r="AM5317">
        <v>42000</v>
      </c>
      <c r="AN5317">
        <v>0</v>
      </c>
      <c r="AO5317">
        <v>42000</v>
      </c>
      <c r="AP5317">
        <v>0</v>
      </c>
      <c r="AQ5317">
        <v>0</v>
      </c>
      <c r="AR5317">
        <v>0</v>
      </c>
      <c r="AS5317" t="s">
        <v>239</v>
      </c>
      <c r="AT5317" t="s">
        <v>514</v>
      </c>
    </row>
    <row r="5318" spans="2:46" x14ac:dyDescent="0.35">
      <c r="B5318" t="s">
        <v>566</v>
      </c>
      <c r="C5318">
        <v>45831</v>
      </c>
      <c r="J5318">
        <v>0</v>
      </c>
      <c r="O5318" t="s">
        <v>239</v>
      </c>
      <c r="P5318" t="s">
        <v>514</v>
      </c>
      <c r="U5318">
        <v>0</v>
      </c>
      <c r="Y5318">
        <v>904</v>
      </c>
      <c r="Z5318" s="259" t="s">
        <v>637</v>
      </c>
      <c r="AB5318">
        <v>0</v>
      </c>
      <c r="AF5318">
        <v>42000</v>
      </c>
      <c r="AG5318">
        <v>0</v>
      </c>
      <c r="AI5318">
        <v>42000</v>
      </c>
      <c r="AJ5318">
        <v>0</v>
      </c>
      <c r="AK5318">
        <v>0</v>
      </c>
      <c r="AL5318">
        <v>0</v>
      </c>
      <c r="AM5318">
        <v>42000</v>
      </c>
      <c r="AN5318">
        <v>0</v>
      </c>
      <c r="AO5318">
        <v>42000</v>
      </c>
      <c r="AP5318">
        <v>0</v>
      </c>
      <c r="AQ5318">
        <v>0</v>
      </c>
      <c r="AR5318">
        <v>0</v>
      </c>
      <c r="AS5318" t="s">
        <v>239</v>
      </c>
      <c r="AT5318" t="s">
        <v>514</v>
      </c>
    </row>
    <row r="5319" spans="2:46" x14ac:dyDescent="0.35">
      <c r="B5319" t="s">
        <v>566</v>
      </c>
      <c r="C5319">
        <v>45832</v>
      </c>
      <c r="J5319">
        <v>0</v>
      </c>
      <c r="O5319" t="s">
        <v>239</v>
      </c>
      <c r="P5319" t="s">
        <v>514</v>
      </c>
      <c r="U5319">
        <v>0</v>
      </c>
      <c r="Y5319">
        <v>905</v>
      </c>
      <c r="Z5319" s="259" t="s">
        <v>637</v>
      </c>
      <c r="AB5319">
        <v>0</v>
      </c>
      <c r="AF5319">
        <v>42000</v>
      </c>
      <c r="AG5319">
        <v>0</v>
      </c>
      <c r="AI5319">
        <v>42000</v>
      </c>
      <c r="AJ5319">
        <v>0</v>
      </c>
      <c r="AK5319">
        <v>0</v>
      </c>
      <c r="AL5319">
        <v>0</v>
      </c>
      <c r="AM5319">
        <v>42000</v>
      </c>
      <c r="AN5319">
        <v>0</v>
      </c>
      <c r="AO5319">
        <v>42000</v>
      </c>
      <c r="AP5319">
        <v>0</v>
      </c>
      <c r="AQ5319">
        <v>0</v>
      </c>
      <c r="AR5319">
        <v>0</v>
      </c>
      <c r="AS5319" t="s">
        <v>239</v>
      </c>
      <c r="AT5319" t="s">
        <v>514</v>
      </c>
    </row>
    <row r="5320" spans="2:46" x14ac:dyDescent="0.35">
      <c r="B5320" t="s">
        <v>566</v>
      </c>
      <c r="C5320">
        <v>45833</v>
      </c>
      <c r="J5320">
        <v>0</v>
      </c>
      <c r="O5320" t="s">
        <v>239</v>
      </c>
      <c r="P5320" t="s">
        <v>514</v>
      </c>
      <c r="U5320">
        <v>0</v>
      </c>
      <c r="Y5320">
        <v>906</v>
      </c>
      <c r="Z5320" s="259" t="s">
        <v>637</v>
      </c>
      <c r="AB5320">
        <v>0</v>
      </c>
      <c r="AF5320">
        <v>42000</v>
      </c>
      <c r="AG5320">
        <v>0</v>
      </c>
      <c r="AI5320">
        <v>42000</v>
      </c>
      <c r="AJ5320">
        <v>0</v>
      </c>
      <c r="AK5320">
        <v>0</v>
      </c>
      <c r="AL5320">
        <v>0</v>
      </c>
      <c r="AM5320">
        <v>42000</v>
      </c>
      <c r="AN5320">
        <v>0</v>
      </c>
      <c r="AO5320">
        <v>42000</v>
      </c>
      <c r="AP5320">
        <v>0</v>
      </c>
      <c r="AQ5320">
        <v>0</v>
      </c>
      <c r="AR5320">
        <v>0</v>
      </c>
      <c r="AS5320" t="s">
        <v>239</v>
      </c>
      <c r="AT5320" t="s">
        <v>514</v>
      </c>
    </row>
    <row r="5321" spans="2:46" x14ac:dyDescent="0.35">
      <c r="B5321" t="s">
        <v>566</v>
      </c>
      <c r="C5321">
        <v>45834</v>
      </c>
      <c r="J5321">
        <v>0</v>
      </c>
      <c r="O5321" t="s">
        <v>239</v>
      </c>
      <c r="P5321" t="s">
        <v>514</v>
      </c>
      <c r="U5321">
        <v>0</v>
      </c>
      <c r="Y5321">
        <v>907</v>
      </c>
      <c r="Z5321" s="259" t="s">
        <v>637</v>
      </c>
      <c r="AB5321">
        <v>0</v>
      </c>
      <c r="AF5321">
        <v>42000</v>
      </c>
      <c r="AG5321">
        <v>0</v>
      </c>
      <c r="AI5321">
        <v>42000</v>
      </c>
      <c r="AJ5321">
        <v>0</v>
      </c>
      <c r="AK5321">
        <v>0</v>
      </c>
      <c r="AL5321">
        <v>0</v>
      </c>
      <c r="AM5321">
        <v>42000</v>
      </c>
      <c r="AN5321">
        <v>0</v>
      </c>
      <c r="AO5321">
        <v>42000</v>
      </c>
      <c r="AP5321">
        <v>0</v>
      </c>
      <c r="AQ5321">
        <v>0</v>
      </c>
      <c r="AR5321">
        <v>0</v>
      </c>
      <c r="AS5321" t="s">
        <v>239</v>
      </c>
      <c r="AT5321" t="s">
        <v>514</v>
      </c>
    </row>
    <row r="5322" spans="2:46" x14ac:dyDescent="0.35">
      <c r="B5322" t="s">
        <v>566</v>
      </c>
      <c r="C5322">
        <v>45835</v>
      </c>
      <c r="J5322">
        <v>0</v>
      </c>
      <c r="O5322" t="s">
        <v>239</v>
      </c>
      <c r="P5322" t="s">
        <v>514</v>
      </c>
      <c r="U5322">
        <v>0</v>
      </c>
      <c r="Y5322">
        <v>908</v>
      </c>
      <c r="Z5322" s="259" t="s">
        <v>637</v>
      </c>
      <c r="AB5322">
        <v>0</v>
      </c>
      <c r="AF5322">
        <v>42000</v>
      </c>
      <c r="AG5322">
        <v>0</v>
      </c>
      <c r="AI5322">
        <v>42000</v>
      </c>
      <c r="AJ5322">
        <v>0</v>
      </c>
      <c r="AK5322">
        <v>0</v>
      </c>
      <c r="AL5322">
        <v>0</v>
      </c>
      <c r="AM5322">
        <v>42000</v>
      </c>
      <c r="AN5322">
        <v>0</v>
      </c>
      <c r="AO5322">
        <v>42000</v>
      </c>
      <c r="AP5322">
        <v>0</v>
      </c>
      <c r="AQ5322">
        <v>0</v>
      </c>
      <c r="AR5322">
        <v>0</v>
      </c>
      <c r="AS5322" t="s">
        <v>239</v>
      </c>
      <c r="AT5322" t="s">
        <v>514</v>
      </c>
    </row>
    <row r="5323" spans="2:46" x14ac:dyDescent="0.35">
      <c r="B5323" t="s">
        <v>566</v>
      </c>
      <c r="C5323">
        <v>45836</v>
      </c>
      <c r="J5323">
        <v>0</v>
      </c>
      <c r="O5323" t="s">
        <v>239</v>
      </c>
      <c r="P5323" t="s">
        <v>514</v>
      </c>
      <c r="U5323">
        <v>0</v>
      </c>
      <c r="Y5323">
        <v>909</v>
      </c>
      <c r="Z5323" s="259" t="s">
        <v>637</v>
      </c>
      <c r="AB5323">
        <v>0</v>
      </c>
      <c r="AF5323">
        <v>42000</v>
      </c>
      <c r="AG5323">
        <v>0</v>
      </c>
      <c r="AI5323">
        <v>42000</v>
      </c>
      <c r="AJ5323">
        <v>0</v>
      </c>
      <c r="AK5323">
        <v>0</v>
      </c>
      <c r="AL5323">
        <v>0</v>
      </c>
      <c r="AM5323">
        <v>42000</v>
      </c>
      <c r="AN5323">
        <v>0</v>
      </c>
      <c r="AO5323">
        <v>42000</v>
      </c>
      <c r="AP5323">
        <v>0</v>
      </c>
      <c r="AQ5323">
        <v>0</v>
      </c>
      <c r="AR5323">
        <v>0</v>
      </c>
      <c r="AS5323" t="s">
        <v>239</v>
      </c>
      <c r="AT5323" t="s">
        <v>514</v>
      </c>
    </row>
    <row r="5324" spans="2:46" x14ac:dyDescent="0.35">
      <c r="B5324" t="s">
        <v>566</v>
      </c>
      <c r="C5324">
        <v>45837</v>
      </c>
      <c r="J5324">
        <v>0</v>
      </c>
      <c r="O5324" t="s">
        <v>239</v>
      </c>
      <c r="P5324" t="s">
        <v>514</v>
      </c>
      <c r="U5324">
        <v>0</v>
      </c>
      <c r="Y5324">
        <v>910</v>
      </c>
      <c r="Z5324" s="259" t="s">
        <v>637</v>
      </c>
      <c r="AB5324">
        <v>0</v>
      </c>
      <c r="AF5324">
        <v>42000</v>
      </c>
      <c r="AG5324">
        <v>0</v>
      </c>
      <c r="AI5324">
        <v>42000</v>
      </c>
      <c r="AJ5324">
        <v>0</v>
      </c>
      <c r="AK5324">
        <v>0</v>
      </c>
      <c r="AL5324">
        <v>0</v>
      </c>
      <c r="AM5324">
        <v>42000</v>
      </c>
      <c r="AN5324">
        <v>0</v>
      </c>
      <c r="AO5324">
        <v>42000</v>
      </c>
      <c r="AP5324">
        <v>0</v>
      </c>
      <c r="AQ5324">
        <v>0</v>
      </c>
      <c r="AR5324">
        <v>0</v>
      </c>
      <c r="AS5324" t="s">
        <v>239</v>
      </c>
      <c r="AT5324" t="s">
        <v>514</v>
      </c>
    </row>
    <row r="5325" spans="2:46" x14ac:dyDescent="0.35">
      <c r="B5325" t="s">
        <v>566</v>
      </c>
      <c r="C5325">
        <v>45838</v>
      </c>
      <c r="J5325">
        <v>0</v>
      </c>
      <c r="O5325" t="s">
        <v>239</v>
      </c>
      <c r="P5325" t="s">
        <v>514</v>
      </c>
      <c r="U5325">
        <v>0</v>
      </c>
      <c r="Y5325">
        <v>911</v>
      </c>
      <c r="Z5325" s="259" t="s">
        <v>637</v>
      </c>
      <c r="AB5325">
        <v>0</v>
      </c>
      <c r="AF5325">
        <v>42000</v>
      </c>
      <c r="AG5325">
        <v>0</v>
      </c>
      <c r="AI5325">
        <v>42000</v>
      </c>
      <c r="AJ5325">
        <v>0</v>
      </c>
      <c r="AK5325">
        <v>0</v>
      </c>
      <c r="AL5325">
        <v>0</v>
      </c>
      <c r="AM5325">
        <v>42000</v>
      </c>
      <c r="AN5325">
        <v>0</v>
      </c>
      <c r="AO5325">
        <v>42000</v>
      </c>
      <c r="AP5325">
        <v>0</v>
      </c>
      <c r="AQ5325">
        <v>0</v>
      </c>
      <c r="AR5325">
        <v>0</v>
      </c>
      <c r="AS5325" t="s">
        <v>239</v>
      </c>
      <c r="AT5325" t="s">
        <v>514</v>
      </c>
    </row>
    <row r="5326" spans="2:46" x14ac:dyDescent="0.35">
      <c r="B5326" t="s">
        <v>566</v>
      </c>
      <c r="C5326">
        <v>45839</v>
      </c>
      <c r="J5326">
        <v>0</v>
      </c>
      <c r="O5326" t="s">
        <v>239</v>
      </c>
      <c r="P5326" t="s">
        <v>514</v>
      </c>
      <c r="U5326">
        <v>0</v>
      </c>
      <c r="Y5326">
        <v>912</v>
      </c>
      <c r="Z5326" s="259" t="s">
        <v>637</v>
      </c>
      <c r="AB5326">
        <v>0</v>
      </c>
      <c r="AF5326">
        <v>42000</v>
      </c>
      <c r="AG5326">
        <v>0</v>
      </c>
      <c r="AI5326">
        <v>42000</v>
      </c>
      <c r="AJ5326">
        <v>0</v>
      </c>
      <c r="AK5326">
        <v>0</v>
      </c>
      <c r="AL5326">
        <v>0</v>
      </c>
      <c r="AM5326">
        <v>42000</v>
      </c>
      <c r="AN5326">
        <v>0</v>
      </c>
      <c r="AO5326">
        <v>42000</v>
      </c>
      <c r="AP5326">
        <v>0</v>
      </c>
      <c r="AQ5326">
        <v>0</v>
      </c>
      <c r="AR5326">
        <v>0</v>
      </c>
      <c r="AS5326" t="s">
        <v>239</v>
      </c>
      <c r="AT5326" t="s">
        <v>514</v>
      </c>
    </row>
    <row r="5327" spans="2:46" x14ac:dyDescent="0.35">
      <c r="B5327" t="s">
        <v>566</v>
      </c>
      <c r="C5327">
        <v>45840</v>
      </c>
      <c r="J5327">
        <v>0</v>
      </c>
      <c r="O5327" t="s">
        <v>239</v>
      </c>
      <c r="P5327" t="s">
        <v>514</v>
      </c>
      <c r="U5327">
        <v>0</v>
      </c>
      <c r="Y5327">
        <v>913</v>
      </c>
      <c r="Z5327" s="259" t="s">
        <v>637</v>
      </c>
      <c r="AB5327">
        <v>0</v>
      </c>
      <c r="AF5327">
        <v>42000</v>
      </c>
      <c r="AG5327">
        <v>0</v>
      </c>
      <c r="AI5327">
        <v>42000</v>
      </c>
      <c r="AJ5327">
        <v>0</v>
      </c>
      <c r="AK5327">
        <v>0</v>
      </c>
      <c r="AL5327">
        <v>0</v>
      </c>
      <c r="AM5327">
        <v>42000</v>
      </c>
      <c r="AN5327">
        <v>0</v>
      </c>
      <c r="AO5327">
        <v>42000</v>
      </c>
      <c r="AP5327">
        <v>0</v>
      </c>
      <c r="AQ5327">
        <v>0</v>
      </c>
      <c r="AR5327">
        <v>0</v>
      </c>
      <c r="AS5327" t="s">
        <v>239</v>
      </c>
      <c r="AT5327" t="s">
        <v>514</v>
      </c>
    </row>
    <row r="5328" spans="2:46" x14ac:dyDescent="0.35">
      <c r="B5328" t="s">
        <v>566</v>
      </c>
      <c r="C5328">
        <v>45841</v>
      </c>
      <c r="J5328">
        <v>0</v>
      </c>
      <c r="O5328" t="s">
        <v>239</v>
      </c>
      <c r="P5328" t="s">
        <v>514</v>
      </c>
      <c r="U5328">
        <v>0</v>
      </c>
      <c r="Y5328">
        <v>914</v>
      </c>
      <c r="Z5328" s="259" t="s">
        <v>637</v>
      </c>
      <c r="AB5328">
        <v>0</v>
      </c>
      <c r="AF5328">
        <v>42000</v>
      </c>
      <c r="AG5328">
        <v>0</v>
      </c>
      <c r="AI5328">
        <v>42000</v>
      </c>
      <c r="AJ5328">
        <v>0</v>
      </c>
      <c r="AK5328">
        <v>0</v>
      </c>
      <c r="AL5328">
        <v>0</v>
      </c>
      <c r="AM5328">
        <v>42000</v>
      </c>
      <c r="AN5328">
        <v>0</v>
      </c>
      <c r="AO5328">
        <v>42000</v>
      </c>
      <c r="AP5328">
        <v>0</v>
      </c>
      <c r="AQ5328">
        <v>0</v>
      </c>
      <c r="AR5328">
        <v>0</v>
      </c>
      <c r="AS5328" t="s">
        <v>239</v>
      </c>
      <c r="AT5328" t="s">
        <v>514</v>
      </c>
    </row>
    <row r="5329" spans="2:46" x14ac:dyDescent="0.35">
      <c r="B5329" t="s">
        <v>566</v>
      </c>
      <c r="C5329">
        <v>45842</v>
      </c>
      <c r="J5329">
        <v>0</v>
      </c>
      <c r="O5329" t="s">
        <v>239</v>
      </c>
      <c r="P5329" t="s">
        <v>514</v>
      </c>
      <c r="U5329">
        <v>0</v>
      </c>
      <c r="Y5329">
        <v>915</v>
      </c>
      <c r="Z5329" s="259" t="s">
        <v>637</v>
      </c>
      <c r="AB5329">
        <v>0</v>
      </c>
      <c r="AF5329">
        <v>42000</v>
      </c>
      <c r="AG5329">
        <v>0</v>
      </c>
      <c r="AI5329">
        <v>42000</v>
      </c>
      <c r="AJ5329">
        <v>0</v>
      </c>
      <c r="AK5329">
        <v>0</v>
      </c>
      <c r="AL5329">
        <v>0</v>
      </c>
      <c r="AM5329">
        <v>42000</v>
      </c>
      <c r="AN5329">
        <v>0</v>
      </c>
      <c r="AO5329">
        <v>42000</v>
      </c>
      <c r="AP5329">
        <v>0</v>
      </c>
      <c r="AQ5329">
        <v>0</v>
      </c>
      <c r="AR5329">
        <v>0</v>
      </c>
      <c r="AS5329" t="s">
        <v>239</v>
      </c>
      <c r="AT5329" t="s">
        <v>514</v>
      </c>
    </row>
    <row r="5330" spans="2:46" x14ac:dyDescent="0.35">
      <c r="B5330" t="s">
        <v>566</v>
      </c>
      <c r="C5330">
        <v>45843</v>
      </c>
      <c r="J5330">
        <v>0</v>
      </c>
      <c r="O5330" t="s">
        <v>239</v>
      </c>
      <c r="P5330" t="s">
        <v>514</v>
      </c>
      <c r="U5330">
        <v>0</v>
      </c>
      <c r="Y5330">
        <v>916</v>
      </c>
      <c r="Z5330" s="259" t="s">
        <v>637</v>
      </c>
      <c r="AB5330">
        <v>0</v>
      </c>
      <c r="AF5330">
        <v>42000</v>
      </c>
      <c r="AG5330">
        <v>0</v>
      </c>
      <c r="AI5330">
        <v>42000</v>
      </c>
      <c r="AJ5330">
        <v>0</v>
      </c>
      <c r="AK5330">
        <v>0</v>
      </c>
      <c r="AL5330">
        <v>0</v>
      </c>
      <c r="AM5330">
        <v>42000</v>
      </c>
      <c r="AN5330">
        <v>0</v>
      </c>
      <c r="AO5330">
        <v>42000</v>
      </c>
      <c r="AP5330">
        <v>0</v>
      </c>
      <c r="AQ5330">
        <v>0</v>
      </c>
      <c r="AR5330">
        <v>0</v>
      </c>
      <c r="AS5330" t="s">
        <v>239</v>
      </c>
      <c r="AT5330" t="s">
        <v>514</v>
      </c>
    </row>
    <row r="5331" spans="2:46" x14ac:dyDescent="0.35">
      <c r="B5331" t="s">
        <v>566</v>
      </c>
      <c r="C5331">
        <v>45844</v>
      </c>
      <c r="J5331">
        <v>0</v>
      </c>
      <c r="O5331" t="s">
        <v>239</v>
      </c>
      <c r="P5331" t="s">
        <v>514</v>
      </c>
      <c r="U5331">
        <v>0</v>
      </c>
      <c r="Y5331">
        <v>917</v>
      </c>
      <c r="Z5331" s="259" t="s">
        <v>637</v>
      </c>
      <c r="AB5331">
        <v>0</v>
      </c>
      <c r="AF5331">
        <v>42000</v>
      </c>
      <c r="AG5331">
        <v>0</v>
      </c>
      <c r="AI5331">
        <v>42000</v>
      </c>
      <c r="AJ5331">
        <v>0</v>
      </c>
      <c r="AK5331">
        <v>0</v>
      </c>
      <c r="AL5331">
        <v>0</v>
      </c>
      <c r="AM5331">
        <v>42000</v>
      </c>
      <c r="AN5331">
        <v>0</v>
      </c>
      <c r="AO5331">
        <v>42000</v>
      </c>
      <c r="AP5331">
        <v>0</v>
      </c>
      <c r="AQ5331">
        <v>0</v>
      </c>
      <c r="AR5331">
        <v>0</v>
      </c>
      <c r="AS5331" t="s">
        <v>239</v>
      </c>
      <c r="AT5331" t="s">
        <v>514</v>
      </c>
    </row>
    <row r="5332" spans="2:46" x14ac:dyDescent="0.35">
      <c r="B5332" t="s">
        <v>566</v>
      </c>
      <c r="C5332">
        <v>45845</v>
      </c>
      <c r="J5332">
        <v>0</v>
      </c>
      <c r="O5332" t="s">
        <v>239</v>
      </c>
      <c r="P5332" t="s">
        <v>514</v>
      </c>
      <c r="U5332">
        <v>0</v>
      </c>
      <c r="Y5332">
        <v>918</v>
      </c>
      <c r="Z5332" s="259" t="s">
        <v>637</v>
      </c>
      <c r="AB5332">
        <v>0</v>
      </c>
      <c r="AF5332">
        <v>42000</v>
      </c>
      <c r="AG5332">
        <v>0</v>
      </c>
      <c r="AI5332">
        <v>42000</v>
      </c>
      <c r="AJ5332">
        <v>0</v>
      </c>
      <c r="AK5332">
        <v>0</v>
      </c>
      <c r="AL5332">
        <v>0</v>
      </c>
      <c r="AM5332">
        <v>42000</v>
      </c>
      <c r="AN5332">
        <v>0</v>
      </c>
      <c r="AO5332">
        <v>42000</v>
      </c>
      <c r="AP5332">
        <v>0</v>
      </c>
      <c r="AQ5332">
        <v>0</v>
      </c>
      <c r="AR5332">
        <v>0</v>
      </c>
      <c r="AS5332" t="s">
        <v>239</v>
      </c>
      <c r="AT5332" t="s">
        <v>514</v>
      </c>
    </row>
    <row r="5333" spans="2:46" x14ac:dyDescent="0.35">
      <c r="B5333" t="s">
        <v>566</v>
      </c>
      <c r="C5333">
        <v>45846</v>
      </c>
      <c r="J5333">
        <v>0</v>
      </c>
      <c r="O5333" t="s">
        <v>239</v>
      </c>
      <c r="P5333" t="s">
        <v>514</v>
      </c>
      <c r="U5333">
        <v>0</v>
      </c>
      <c r="Y5333">
        <v>919</v>
      </c>
      <c r="Z5333" s="259" t="s">
        <v>637</v>
      </c>
      <c r="AB5333">
        <v>0</v>
      </c>
      <c r="AF5333">
        <v>42000</v>
      </c>
      <c r="AG5333">
        <v>0</v>
      </c>
      <c r="AI5333">
        <v>42000</v>
      </c>
      <c r="AJ5333">
        <v>0</v>
      </c>
      <c r="AK5333">
        <v>0</v>
      </c>
      <c r="AL5333">
        <v>0</v>
      </c>
      <c r="AM5333">
        <v>42000</v>
      </c>
      <c r="AN5333">
        <v>0</v>
      </c>
      <c r="AO5333">
        <v>42000</v>
      </c>
      <c r="AP5333">
        <v>0</v>
      </c>
      <c r="AQ5333">
        <v>0</v>
      </c>
      <c r="AR5333">
        <v>0</v>
      </c>
      <c r="AS5333" t="s">
        <v>239</v>
      </c>
      <c r="AT5333" t="s">
        <v>514</v>
      </c>
    </row>
    <row r="5334" spans="2:46" x14ac:dyDescent="0.35">
      <c r="B5334" t="s">
        <v>566</v>
      </c>
      <c r="C5334">
        <v>45847</v>
      </c>
      <c r="J5334">
        <v>0</v>
      </c>
      <c r="O5334" t="s">
        <v>239</v>
      </c>
      <c r="P5334" t="s">
        <v>514</v>
      </c>
      <c r="U5334">
        <v>0</v>
      </c>
      <c r="Y5334">
        <v>920</v>
      </c>
      <c r="Z5334" s="259" t="s">
        <v>637</v>
      </c>
      <c r="AB5334">
        <v>0</v>
      </c>
      <c r="AF5334">
        <v>42000</v>
      </c>
      <c r="AG5334">
        <v>0</v>
      </c>
      <c r="AI5334">
        <v>42000</v>
      </c>
      <c r="AJ5334">
        <v>0</v>
      </c>
      <c r="AK5334">
        <v>0</v>
      </c>
      <c r="AL5334">
        <v>0</v>
      </c>
      <c r="AM5334">
        <v>42000</v>
      </c>
      <c r="AN5334">
        <v>0</v>
      </c>
      <c r="AO5334">
        <v>42000</v>
      </c>
      <c r="AP5334">
        <v>0</v>
      </c>
      <c r="AQ5334">
        <v>0</v>
      </c>
      <c r="AR5334">
        <v>0</v>
      </c>
      <c r="AS5334" t="s">
        <v>239</v>
      </c>
      <c r="AT5334" t="s">
        <v>514</v>
      </c>
    </row>
    <row r="5335" spans="2:46" x14ac:dyDescent="0.35">
      <c r="B5335" t="s">
        <v>566</v>
      </c>
      <c r="C5335">
        <v>45848</v>
      </c>
      <c r="J5335">
        <v>0</v>
      </c>
      <c r="O5335" t="s">
        <v>239</v>
      </c>
      <c r="P5335" t="s">
        <v>514</v>
      </c>
      <c r="U5335">
        <v>0</v>
      </c>
      <c r="Y5335">
        <v>921</v>
      </c>
      <c r="Z5335" s="259" t="s">
        <v>637</v>
      </c>
      <c r="AB5335">
        <v>0</v>
      </c>
      <c r="AF5335">
        <v>42000</v>
      </c>
      <c r="AG5335">
        <v>0</v>
      </c>
      <c r="AI5335">
        <v>42000</v>
      </c>
      <c r="AJ5335">
        <v>0</v>
      </c>
      <c r="AK5335">
        <v>0</v>
      </c>
      <c r="AL5335">
        <v>0</v>
      </c>
      <c r="AM5335">
        <v>42000</v>
      </c>
      <c r="AN5335">
        <v>0</v>
      </c>
      <c r="AO5335">
        <v>42000</v>
      </c>
      <c r="AP5335">
        <v>0</v>
      </c>
      <c r="AQ5335">
        <v>0</v>
      </c>
      <c r="AR5335">
        <v>0</v>
      </c>
      <c r="AS5335" t="s">
        <v>239</v>
      </c>
      <c r="AT5335" t="s">
        <v>514</v>
      </c>
    </row>
    <row r="5336" spans="2:46" x14ac:dyDescent="0.35">
      <c r="B5336" t="s">
        <v>566</v>
      </c>
      <c r="C5336">
        <v>45849</v>
      </c>
      <c r="J5336">
        <v>0</v>
      </c>
      <c r="O5336" t="s">
        <v>239</v>
      </c>
      <c r="P5336" t="s">
        <v>514</v>
      </c>
      <c r="U5336">
        <v>0</v>
      </c>
      <c r="Y5336">
        <v>922</v>
      </c>
      <c r="Z5336" s="259" t="s">
        <v>637</v>
      </c>
      <c r="AB5336">
        <v>0</v>
      </c>
      <c r="AF5336">
        <v>42000</v>
      </c>
      <c r="AG5336">
        <v>0</v>
      </c>
      <c r="AI5336">
        <v>42000</v>
      </c>
      <c r="AJ5336">
        <v>0</v>
      </c>
      <c r="AK5336">
        <v>0</v>
      </c>
      <c r="AL5336">
        <v>0</v>
      </c>
      <c r="AM5336">
        <v>42000</v>
      </c>
      <c r="AN5336">
        <v>0</v>
      </c>
      <c r="AO5336">
        <v>42000</v>
      </c>
      <c r="AP5336">
        <v>0</v>
      </c>
      <c r="AQ5336">
        <v>0</v>
      </c>
      <c r="AR5336">
        <v>0</v>
      </c>
      <c r="AS5336" t="s">
        <v>239</v>
      </c>
      <c r="AT5336" t="s">
        <v>514</v>
      </c>
    </row>
    <row r="5337" spans="2:46" x14ac:dyDescent="0.35">
      <c r="B5337" t="s">
        <v>566</v>
      </c>
      <c r="C5337">
        <v>45850</v>
      </c>
      <c r="J5337">
        <v>0</v>
      </c>
      <c r="O5337" t="s">
        <v>239</v>
      </c>
      <c r="P5337" t="s">
        <v>514</v>
      </c>
      <c r="U5337">
        <v>0</v>
      </c>
      <c r="Y5337">
        <v>923</v>
      </c>
      <c r="Z5337" s="259" t="s">
        <v>637</v>
      </c>
      <c r="AB5337">
        <v>0</v>
      </c>
      <c r="AF5337">
        <v>42000</v>
      </c>
      <c r="AG5337">
        <v>0</v>
      </c>
      <c r="AI5337">
        <v>42000</v>
      </c>
      <c r="AJ5337">
        <v>0</v>
      </c>
      <c r="AK5337">
        <v>0</v>
      </c>
      <c r="AL5337">
        <v>0</v>
      </c>
      <c r="AM5337">
        <v>42000</v>
      </c>
      <c r="AN5337">
        <v>0</v>
      </c>
      <c r="AO5337">
        <v>42000</v>
      </c>
      <c r="AP5337">
        <v>0</v>
      </c>
      <c r="AQ5337">
        <v>0</v>
      </c>
      <c r="AR5337">
        <v>0</v>
      </c>
      <c r="AS5337" t="s">
        <v>239</v>
      </c>
      <c r="AT5337" t="s">
        <v>514</v>
      </c>
    </row>
    <row r="5338" spans="2:46" x14ac:dyDescent="0.35">
      <c r="B5338" t="s">
        <v>566</v>
      </c>
      <c r="C5338">
        <v>45851</v>
      </c>
      <c r="J5338">
        <v>0</v>
      </c>
      <c r="O5338" t="s">
        <v>239</v>
      </c>
      <c r="P5338" t="s">
        <v>514</v>
      </c>
      <c r="U5338">
        <v>0</v>
      </c>
      <c r="Y5338">
        <v>924</v>
      </c>
      <c r="Z5338" s="259" t="s">
        <v>637</v>
      </c>
      <c r="AB5338">
        <v>0</v>
      </c>
      <c r="AF5338">
        <v>42000</v>
      </c>
      <c r="AG5338">
        <v>0</v>
      </c>
      <c r="AI5338">
        <v>42000</v>
      </c>
      <c r="AJ5338">
        <v>0</v>
      </c>
      <c r="AK5338">
        <v>0</v>
      </c>
      <c r="AL5338">
        <v>0</v>
      </c>
      <c r="AM5338">
        <v>42000</v>
      </c>
      <c r="AN5338">
        <v>0</v>
      </c>
      <c r="AO5338">
        <v>42000</v>
      </c>
      <c r="AP5338">
        <v>0</v>
      </c>
      <c r="AQ5338">
        <v>0</v>
      </c>
      <c r="AR5338">
        <v>0</v>
      </c>
      <c r="AS5338" t="s">
        <v>239</v>
      </c>
      <c r="AT5338" t="s">
        <v>514</v>
      </c>
    </row>
    <row r="5339" spans="2:46" x14ac:dyDescent="0.35">
      <c r="B5339" t="s">
        <v>566</v>
      </c>
      <c r="C5339">
        <v>45852</v>
      </c>
      <c r="J5339">
        <v>0</v>
      </c>
      <c r="O5339" t="s">
        <v>239</v>
      </c>
      <c r="P5339" t="s">
        <v>514</v>
      </c>
      <c r="U5339">
        <v>0</v>
      </c>
      <c r="Y5339">
        <v>925</v>
      </c>
      <c r="Z5339" s="259" t="s">
        <v>637</v>
      </c>
      <c r="AB5339">
        <v>0</v>
      </c>
      <c r="AF5339">
        <v>42000</v>
      </c>
      <c r="AG5339">
        <v>0</v>
      </c>
      <c r="AI5339">
        <v>42000</v>
      </c>
      <c r="AJ5339">
        <v>0</v>
      </c>
      <c r="AK5339">
        <v>0</v>
      </c>
      <c r="AL5339">
        <v>0</v>
      </c>
      <c r="AM5339">
        <v>42000</v>
      </c>
      <c r="AN5339">
        <v>0</v>
      </c>
      <c r="AO5339">
        <v>42000</v>
      </c>
      <c r="AP5339">
        <v>0</v>
      </c>
      <c r="AQ5339">
        <v>0</v>
      </c>
      <c r="AR5339">
        <v>0</v>
      </c>
      <c r="AS5339" t="s">
        <v>239</v>
      </c>
      <c r="AT5339" t="s">
        <v>514</v>
      </c>
    </row>
    <row r="5340" spans="2:46" x14ac:dyDescent="0.35">
      <c r="B5340" t="s">
        <v>566</v>
      </c>
      <c r="C5340">
        <v>45853</v>
      </c>
      <c r="J5340">
        <v>0</v>
      </c>
      <c r="O5340" t="s">
        <v>239</v>
      </c>
      <c r="P5340" t="s">
        <v>514</v>
      </c>
      <c r="U5340">
        <v>0</v>
      </c>
      <c r="Y5340">
        <v>926</v>
      </c>
      <c r="Z5340" s="259" t="s">
        <v>637</v>
      </c>
      <c r="AB5340">
        <v>0</v>
      </c>
      <c r="AF5340">
        <v>42000</v>
      </c>
      <c r="AG5340">
        <v>0</v>
      </c>
      <c r="AI5340">
        <v>42000</v>
      </c>
      <c r="AJ5340">
        <v>0</v>
      </c>
      <c r="AK5340">
        <v>0</v>
      </c>
      <c r="AL5340">
        <v>0</v>
      </c>
      <c r="AM5340">
        <v>42000</v>
      </c>
      <c r="AN5340">
        <v>0</v>
      </c>
      <c r="AO5340">
        <v>42000</v>
      </c>
      <c r="AP5340">
        <v>0</v>
      </c>
      <c r="AQ5340">
        <v>0</v>
      </c>
      <c r="AR5340">
        <v>0</v>
      </c>
      <c r="AS5340" t="s">
        <v>239</v>
      </c>
      <c r="AT5340" t="s">
        <v>514</v>
      </c>
    </row>
    <row r="5341" spans="2:46" x14ac:dyDescent="0.35">
      <c r="B5341" t="s">
        <v>566</v>
      </c>
      <c r="C5341">
        <v>45854</v>
      </c>
      <c r="J5341">
        <v>0</v>
      </c>
      <c r="O5341" t="s">
        <v>239</v>
      </c>
      <c r="P5341" t="s">
        <v>514</v>
      </c>
      <c r="U5341">
        <v>0</v>
      </c>
      <c r="Y5341">
        <v>927</v>
      </c>
      <c r="Z5341" s="259" t="s">
        <v>637</v>
      </c>
      <c r="AB5341">
        <v>0</v>
      </c>
      <c r="AF5341">
        <v>42000</v>
      </c>
      <c r="AG5341">
        <v>0</v>
      </c>
      <c r="AI5341">
        <v>42000</v>
      </c>
      <c r="AJ5341">
        <v>0</v>
      </c>
      <c r="AK5341">
        <v>0</v>
      </c>
      <c r="AL5341">
        <v>0</v>
      </c>
      <c r="AM5341">
        <v>42000</v>
      </c>
      <c r="AN5341">
        <v>0</v>
      </c>
      <c r="AO5341">
        <v>42000</v>
      </c>
      <c r="AP5341">
        <v>0</v>
      </c>
      <c r="AQ5341">
        <v>0</v>
      </c>
      <c r="AR5341">
        <v>0</v>
      </c>
      <c r="AS5341" t="s">
        <v>239</v>
      </c>
      <c r="AT5341" t="s">
        <v>514</v>
      </c>
    </row>
    <row r="5342" spans="2:46" x14ac:dyDescent="0.35">
      <c r="B5342" t="s">
        <v>566</v>
      </c>
      <c r="C5342">
        <v>45855</v>
      </c>
      <c r="J5342">
        <v>0</v>
      </c>
      <c r="O5342" t="s">
        <v>239</v>
      </c>
      <c r="P5342" t="s">
        <v>514</v>
      </c>
      <c r="U5342">
        <v>0</v>
      </c>
      <c r="Y5342">
        <v>928</v>
      </c>
      <c r="Z5342" s="259" t="s">
        <v>637</v>
      </c>
      <c r="AB5342">
        <v>0</v>
      </c>
      <c r="AF5342">
        <v>42000</v>
      </c>
      <c r="AG5342">
        <v>0</v>
      </c>
      <c r="AI5342">
        <v>42000</v>
      </c>
      <c r="AJ5342">
        <v>0</v>
      </c>
      <c r="AK5342">
        <v>0</v>
      </c>
      <c r="AL5342">
        <v>0</v>
      </c>
      <c r="AM5342">
        <v>42000</v>
      </c>
      <c r="AN5342">
        <v>0</v>
      </c>
      <c r="AO5342">
        <v>42000</v>
      </c>
      <c r="AP5342">
        <v>0</v>
      </c>
      <c r="AQ5342">
        <v>0</v>
      </c>
      <c r="AR5342">
        <v>0</v>
      </c>
      <c r="AS5342" t="s">
        <v>239</v>
      </c>
      <c r="AT5342" t="s">
        <v>514</v>
      </c>
    </row>
    <row r="5343" spans="2:46" x14ac:dyDescent="0.35">
      <c r="B5343" t="s">
        <v>566</v>
      </c>
      <c r="C5343">
        <v>45856</v>
      </c>
      <c r="J5343">
        <v>0</v>
      </c>
      <c r="O5343" t="s">
        <v>239</v>
      </c>
      <c r="P5343" t="s">
        <v>514</v>
      </c>
      <c r="U5343">
        <v>0</v>
      </c>
      <c r="Y5343">
        <v>929</v>
      </c>
      <c r="Z5343" s="259" t="s">
        <v>637</v>
      </c>
      <c r="AB5343">
        <v>0</v>
      </c>
      <c r="AF5343">
        <v>42000</v>
      </c>
      <c r="AG5343">
        <v>0</v>
      </c>
      <c r="AI5343">
        <v>42000</v>
      </c>
      <c r="AJ5343">
        <v>0</v>
      </c>
      <c r="AK5343">
        <v>0</v>
      </c>
      <c r="AL5343">
        <v>0</v>
      </c>
      <c r="AM5343">
        <v>42000</v>
      </c>
      <c r="AN5343">
        <v>0</v>
      </c>
      <c r="AO5343">
        <v>42000</v>
      </c>
      <c r="AP5343">
        <v>0</v>
      </c>
      <c r="AQ5343">
        <v>0</v>
      </c>
      <c r="AR5343">
        <v>0</v>
      </c>
      <c r="AS5343" t="s">
        <v>239</v>
      </c>
      <c r="AT5343" t="s">
        <v>514</v>
      </c>
    </row>
    <row r="5344" spans="2:46" x14ac:dyDescent="0.35">
      <c r="B5344" t="s">
        <v>566</v>
      </c>
      <c r="C5344">
        <v>45857</v>
      </c>
      <c r="J5344">
        <v>0</v>
      </c>
      <c r="O5344" t="s">
        <v>239</v>
      </c>
      <c r="P5344" t="s">
        <v>514</v>
      </c>
      <c r="U5344">
        <v>0</v>
      </c>
      <c r="Y5344">
        <v>930</v>
      </c>
      <c r="Z5344" s="259" t="s">
        <v>637</v>
      </c>
      <c r="AB5344">
        <v>0</v>
      </c>
      <c r="AF5344">
        <v>42000</v>
      </c>
      <c r="AG5344">
        <v>0</v>
      </c>
      <c r="AI5344">
        <v>42000</v>
      </c>
      <c r="AJ5344">
        <v>0</v>
      </c>
      <c r="AK5344">
        <v>0</v>
      </c>
      <c r="AL5344">
        <v>0</v>
      </c>
      <c r="AM5344">
        <v>42000</v>
      </c>
      <c r="AN5344">
        <v>0</v>
      </c>
      <c r="AO5344">
        <v>42000</v>
      </c>
      <c r="AP5344">
        <v>0</v>
      </c>
      <c r="AQ5344">
        <v>0</v>
      </c>
      <c r="AR5344">
        <v>0</v>
      </c>
      <c r="AS5344" t="s">
        <v>239</v>
      </c>
      <c r="AT5344" t="s">
        <v>514</v>
      </c>
    </row>
    <row r="5345" spans="2:46" x14ac:dyDescent="0.35">
      <c r="B5345" t="s">
        <v>566</v>
      </c>
      <c r="C5345">
        <v>45858</v>
      </c>
      <c r="J5345">
        <v>0</v>
      </c>
      <c r="O5345" t="s">
        <v>239</v>
      </c>
      <c r="P5345" t="s">
        <v>514</v>
      </c>
      <c r="U5345">
        <v>0</v>
      </c>
      <c r="Y5345">
        <v>931</v>
      </c>
      <c r="Z5345" s="259" t="s">
        <v>637</v>
      </c>
      <c r="AB5345">
        <v>0</v>
      </c>
      <c r="AF5345">
        <v>42000</v>
      </c>
      <c r="AG5345">
        <v>0</v>
      </c>
      <c r="AI5345">
        <v>42000</v>
      </c>
      <c r="AJ5345">
        <v>0</v>
      </c>
      <c r="AK5345">
        <v>0</v>
      </c>
      <c r="AL5345">
        <v>0</v>
      </c>
      <c r="AM5345">
        <v>42000</v>
      </c>
      <c r="AN5345">
        <v>0</v>
      </c>
      <c r="AO5345">
        <v>42000</v>
      </c>
      <c r="AP5345">
        <v>0</v>
      </c>
      <c r="AQ5345">
        <v>0</v>
      </c>
      <c r="AR5345">
        <v>0</v>
      </c>
      <c r="AS5345" t="s">
        <v>239</v>
      </c>
      <c r="AT5345" t="s">
        <v>514</v>
      </c>
    </row>
    <row r="5346" spans="2:46" x14ac:dyDescent="0.35">
      <c r="B5346" t="s">
        <v>566</v>
      </c>
      <c r="C5346">
        <v>45859</v>
      </c>
      <c r="J5346">
        <v>0</v>
      </c>
      <c r="O5346" t="s">
        <v>239</v>
      </c>
      <c r="P5346" t="s">
        <v>514</v>
      </c>
      <c r="U5346">
        <v>0</v>
      </c>
      <c r="Y5346">
        <v>932</v>
      </c>
      <c r="Z5346" s="259" t="s">
        <v>637</v>
      </c>
      <c r="AB5346">
        <v>0</v>
      </c>
      <c r="AF5346">
        <v>42000</v>
      </c>
      <c r="AG5346">
        <v>0</v>
      </c>
      <c r="AI5346">
        <v>42000</v>
      </c>
      <c r="AJ5346">
        <v>0</v>
      </c>
      <c r="AK5346">
        <v>0</v>
      </c>
      <c r="AL5346">
        <v>0</v>
      </c>
      <c r="AM5346">
        <v>42000</v>
      </c>
      <c r="AN5346">
        <v>0</v>
      </c>
      <c r="AO5346">
        <v>42000</v>
      </c>
      <c r="AP5346">
        <v>0</v>
      </c>
      <c r="AQ5346">
        <v>0</v>
      </c>
      <c r="AR5346">
        <v>0</v>
      </c>
      <c r="AS5346" t="s">
        <v>239</v>
      </c>
      <c r="AT5346" t="s">
        <v>514</v>
      </c>
    </row>
    <row r="5347" spans="2:46" x14ac:dyDescent="0.35">
      <c r="B5347" t="s">
        <v>566</v>
      </c>
      <c r="C5347">
        <v>45860</v>
      </c>
      <c r="J5347">
        <v>0</v>
      </c>
      <c r="O5347" t="s">
        <v>239</v>
      </c>
      <c r="P5347" t="s">
        <v>514</v>
      </c>
      <c r="U5347">
        <v>0</v>
      </c>
      <c r="Y5347">
        <v>933</v>
      </c>
      <c r="Z5347" s="259" t="s">
        <v>637</v>
      </c>
      <c r="AB5347">
        <v>0</v>
      </c>
      <c r="AF5347">
        <v>42000</v>
      </c>
      <c r="AG5347">
        <v>0</v>
      </c>
      <c r="AI5347">
        <v>42000</v>
      </c>
      <c r="AJ5347">
        <v>0</v>
      </c>
      <c r="AK5347">
        <v>0</v>
      </c>
      <c r="AL5347">
        <v>0</v>
      </c>
      <c r="AM5347">
        <v>42000</v>
      </c>
      <c r="AN5347">
        <v>0</v>
      </c>
      <c r="AO5347">
        <v>42000</v>
      </c>
      <c r="AP5347">
        <v>0</v>
      </c>
      <c r="AQ5347">
        <v>0</v>
      </c>
      <c r="AR5347">
        <v>0</v>
      </c>
      <c r="AS5347" t="s">
        <v>239</v>
      </c>
      <c r="AT5347" t="s">
        <v>514</v>
      </c>
    </row>
    <row r="5348" spans="2:46" x14ac:dyDescent="0.35">
      <c r="B5348" t="s">
        <v>566</v>
      </c>
      <c r="C5348">
        <v>45861</v>
      </c>
      <c r="J5348">
        <v>0</v>
      </c>
      <c r="O5348" t="s">
        <v>239</v>
      </c>
      <c r="P5348" t="s">
        <v>514</v>
      </c>
      <c r="U5348">
        <v>0</v>
      </c>
      <c r="Y5348">
        <v>934</v>
      </c>
      <c r="Z5348" s="259" t="s">
        <v>637</v>
      </c>
      <c r="AB5348">
        <v>0</v>
      </c>
      <c r="AF5348">
        <v>42000</v>
      </c>
      <c r="AG5348">
        <v>0</v>
      </c>
      <c r="AI5348">
        <v>42000</v>
      </c>
      <c r="AJ5348">
        <v>0</v>
      </c>
      <c r="AK5348">
        <v>0</v>
      </c>
      <c r="AL5348">
        <v>0</v>
      </c>
      <c r="AM5348">
        <v>42000</v>
      </c>
      <c r="AN5348">
        <v>0</v>
      </c>
      <c r="AO5348">
        <v>42000</v>
      </c>
      <c r="AP5348">
        <v>0</v>
      </c>
      <c r="AQ5348">
        <v>0</v>
      </c>
      <c r="AR5348">
        <v>0</v>
      </c>
      <c r="AS5348" t="s">
        <v>239</v>
      </c>
      <c r="AT5348" t="s">
        <v>514</v>
      </c>
    </row>
    <row r="5349" spans="2:46" x14ac:dyDescent="0.35">
      <c r="B5349" t="s">
        <v>566</v>
      </c>
      <c r="C5349">
        <v>45862</v>
      </c>
      <c r="J5349">
        <v>0</v>
      </c>
      <c r="O5349" t="s">
        <v>239</v>
      </c>
      <c r="P5349" t="s">
        <v>514</v>
      </c>
      <c r="U5349">
        <v>0</v>
      </c>
      <c r="Y5349">
        <v>935</v>
      </c>
      <c r="Z5349" s="259" t="s">
        <v>637</v>
      </c>
      <c r="AB5349">
        <v>0</v>
      </c>
      <c r="AF5349">
        <v>42000</v>
      </c>
      <c r="AG5349">
        <v>0</v>
      </c>
      <c r="AI5349">
        <v>42000</v>
      </c>
      <c r="AJ5349">
        <v>0</v>
      </c>
      <c r="AK5349">
        <v>0</v>
      </c>
      <c r="AL5349">
        <v>0</v>
      </c>
      <c r="AM5349">
        <v>42000</v>
      </c>
      <c r="AN5349">
        <v>0</v>
      </c>
      <c r="AO5349">
        <v>42000</v>
      </c>
      <c r="AP5349">
        <v>0</v>
      </c>
      <c r="AQ5349">
        <v>0</v>
      </c>
      <c r="AR5349">
        <v>0</v>
      </c>
      <c r="AS5349" t="s">
        <v>239</v>
      </c>
      <c r="AT5349" t="s">
        <v>514</v>
      </c>
    </row>
    <row r="5350" spans="2:46" x14ac:dyDescent="0.35">
      <c r="B5350" t="s">
        <v>566</v>
      </c>
      <c r="C5350">
        <v>45863</v>
      </c>
      <c r="J5350">
        <v>0</v>
      </c>
      <c r="O5350" t="s">
        <v>239</v>
      </c>
      <c r="P5350" t="s">
        <v>514</v>
      </c>
      <c r="U5350">
        <v>0</v>
      </c>
      <c r="Y5350">
        <v>936</v>
      </c>
      <c r="Z5350" s="259" t="s">
        <v>637</v>
      </c>
      <c r="AB5350">
        <v>0</v>
      </c>
      <c r="AF5350">
        <v>42000</v>
      </c>
      <c r="AG5350">
        <v>0</v>
      </c>
      <c r="AI5350">
        <v>42000</v>
      </c>
      <c r="AJ5350">
        <v>0</v>
      </c>
      <c r="AK5350">
        <v>0</v>
      </c>
      <c r="AL5350">
        <v>0</v>
      </c>
      <c r="AM5350">
        <v>42000</v>
      </c>
      <c r="AN5350">
        <v>0</v>
      </c>
      <c r="AO5350">
        <v>42000</v>
      </c>
      <c r="AP5350">
        <v>0</v>
      </c>
      <c r="AQ5350">
        <v>0</v>
      </c>
      <c r="AR5350">
        <v>0</v>
      </c>
      <c r="AS5350" t="s">
        <v>239</v>
      </c>
      <c r="AT5350" t="s">
        <v>514</v>
      </c>
    </row>
    <row r="5351" spans="2:46" x14ac:dyDescent="0.35">
      <c r="B5351" t="s">
        <v>566</v>
      </c>
      <c r="C5351">
        <v>45864</v>
      </c>
      <c r="J5351">
        <v>0</v>
      </c>
      <c r="O5351" t="s">
        <v>239</v>
      </c>
      <c r="P5351" t="s">
        <v>514</v>
      </c>
      <c r="U5351">
        <v>0</v>
      </c>
      <c r="Y5351">
        <v>937</v>
      </c>
      <c r="Z5351" s="259" t="s">
        <v>637</v>
      </c>
      <c r="AB5351">
        <v>0</v>
      </c>
      <c r="AF5351">
        <v>42000</v>
      </c>
      <c r="AG5351">
        <v>0</v>
      </c>
      <c r="AI5351">
        <v>42000</v>
      </c>
      <c r="AJ5351">
        <v>0</v>
      </c>
      <c r="AK5351">
        <v>0</v>
      </c>
      <c r="AL5351">
        <v>0</v>
      </c>
      <c r="AM5351">
        <v>42000</v>
      </c>
      <c r="AN5351">
        <v>0</v>
      </c>
      <c r="AO5351">
        <v>42000</v>
      </c>
      <c r="AP5351">
        <v>0</v>
      </c>
      <c r="AQ5351">
        <v>0</v>
      </c>
      <c r="AR5351">
        <v>0</v>
      </c>
      <c r="AS5351" t="s">
        <v>239</v>
      </c>
      <c r="AT5351" t="s">
        <v>514</v>
      </c>
    </row>
    <row r="5352" spans="2:46" x14ac:dyDescent="0.35">
      <c r="B5352" t="s">
        <v>566</v>
      </c>
      <c r="C5352">
        <v>45865</v>
      </c>
      <c r="J5352">
        <v>0</v>
      </c>
      <c r="O5352" t="s">
        <v>239</v>
      </c>
      <c r="P5352" t="s">
        <v>514</v>
      </c>
      <c r="U5352">
        <v>0</v>
      </c>
      <c r="Y5352">
        <v>938</v>
      </c>
      <c r="Z5352" s="259" t="s">
        <v>637</v>
      </c>
      <c r="AB5352">
        <v>0</v>
      </c>
      <c r="AF5352">
        <v>42000</v>
      </c>
      <c r="AG5352">
        <v>0</v>
      </c>
      <c r="AI5352">
        <v>42000</v>
      </c>
      <c r="AJ5352">
        <v>0</v>
      </c>
      <c r="AK5352">
        <v>0</v>
      </c>
      <c r="AL5352">
        <v>0</v>
      </c>
      <c r="AM5352">
        <v>42000</v>
      </c>
      <c r="AN5352">
        <v>0</v>
      </c>
      <c r="AO5352">
        <v>42000</v>
      </c>
      <c r="AP5352">
        <v>0</v>
      </c>
      <c r="AQ5352">
        <v>0</v>
      </c>
      <c r="AR5352">
        <v>0</v>
      </c>
      <c r="AS5352" t="s">
        <v>239</v>
      </c>
      <c r="AT5352" t="s">
        <v>514</v>
      </c>
    </row>
    <row r="5353" spans="2:46" x14ac:dyDescent="0.35">
      <c r="B5353" t="s">
        <v>566</v>
      </c>
      <c r="C5353">
        <v>45866</v>
      </c>
      <c r="J5353">
        <v>0</v>
      </c>
      <c r="O5353" t="s">
        <v>239</v>
      </c>
      <c r="P5353" t="s">
        <v>514</v>
      </c>
      <c r="U5353">
        <v>0</v>
      </c>
      <c r="Y5353">
        <v>939</v>
      </c>
      <c r="Z5353" s="259" t="s">
        <v>637</v>
      </c>
      <c r="AB5353">
        <v>0</v>
      </c>
      <c r="AF5353">
        <v>42000</v>
      </c>
      <c r="AG5353">
        <v>0</v>
      </c>
      <c r="AI5353">
        <v>42000</v>
      </c>
      <c r="AJ5353">
        <v>0</v>
      </c>
      <c r="AK5353">
        <v>0</v>
      </c>
      <c r="AL5353">
        <v>0</v>
      </c>
      <c r="AM5353">
        <v>42000</v>
      </c>
      <c r="AN5353">
        <v>0</v>
      </c>
      <c r="AO5353">
        <v>42000</v>
      </c>
      <c r="AP5353">
        <v>0</v>
      </c>
      <c r="AQ5353">
        <v>0</v>
      </c>
      <c r="AR5353">
        <v>0</v>
      </c>
      <c r="AS5353" t="s">
        <v>239</v>
      </c>
      <c r="AT5353" t="s">
        <v>514</v>
      </c>
    </row>
    <row r="5354" spans="2:46" x14ac:dyDescent="0.35">
      <c r="B5354" t="s">
        <v>566</v>
      </c>
      <c r="C5354">
        <v>45867</v>
      </c>
      <c r="J5354">
        <v>0</v>
      </c>
      <c r="O5354" t="s">
        <v>239</v>
      </c>
      <c r="P5354" t="s">
        <v>514</v>
      </c>
      <c r="U5354">
        <v>0</v>
      </c>
      <c r="Y5354">
        <v>940</v>
      </c>
      <c r="Z5354" s="259" t="s">
        <v>637</v>
      </c>
      <c r="AB5354">
        <v>0</v>
      </c>
      <c r="AF5354">
        <v>42000</v>
      </c>
      <c r="AG5354">
        <v>0</v>
      </c>
      <c r="AI5354">
        <v>42000</v>
      </c>
      <c r="AJ5354">
        <v>0</v>
      </c>
      <c r="AK5354">
        <v>0</v>
      </c>
      <c r="AL5354">
        <v>0</v>
      </c>
      <c r="AM5354">
        <v>42000</v>
      </c>
      <c r="AN5354">
        <v>0</v>
      </c>
      <c r="AO5354">
        <v>42000</v>
      </c>
      <c r="AP5354">
        <v>0</v>
      </c>
      <c r="AQ5354">
        <v>0</v>
      </c>
      <c r="AR5354">
        <v>0</v>
      </c>
      <c r="AS5354" t="s">
        <v>239</v>
      </c>
      <c r="AT5354" t="s">
        <v>514</v>
      </c>
    </row>
    <row r="5355" spans="2:46" x14ac:dyDescent="0.35">
      <c r="B5355" t="s">
        <v>566</v>
      </c>
      <c r="C5355">
        <v>45868</v>
      </c>
      <c r="J5355">
        <v>0</v>
      </c>
      <c r="O5355" t="s">
        <v>239</v>
      </c>
      <c r="P5355" t="s">
        <v>514</v>
      </c>
      <c r="U5355">
        <v>0</v>
      </c>
      <c r="Y5355">
        <v>941</v>
      </c>
      <c r="Z5355" s="259" t="s">
        <v>637</v>
      </c>
      <c r="AB5355">
        <v>0</v>
      </c>
      <c r="AF5355">
        <v>42000</v>
      </c>
      <c r="AG5355">
        <v>0</v>
      </c>
      <c r="AI5355">
        <v>42000</v>
      </c>
      <c r="AJ5355">
        <v>0</v>
      </c>
      <c r="AK5355">
        <v>0</v>
      </c>
      <c r="AL5355">
        <v>0</v>
      </c>
      <c r="AM5355">
        <v>42000</v>
      </c>
      <c r="AN5355">
        <v>0</v>
      </c>
      <c r="AO5355">
        <v>42000</v>
      </c>
      <c r="AP5355">
        <v>0</v>
      </c>
      <c r="AQ5355">
        <v>0</v>
      </c>
      <c r="AR5355">
        <v>0</v>
      </c>
      <c r="AS5355" t="s">
        <v>239</v>
      </c>
      <c r="AT5355" t="s">
        <v>514</v>
      </c>
    </row>
    <row r="5356" spans="2:46" x14ac:dyDescent="0.35">
      <c r="B5356" t="s">
        <v>566</v>
      </c>
      <c r="C5356">
        <v>45869</v>
      </c>
      <c r="J5356">
        <v>0</v>
      </c>
      <c r="O5356" t="s">
        <v>239</v>
      </c>
      <c r="P5356" t="s">
        <v>514</v>
      </c>
      <c r="U5356">
        <v>0</v>
      </c>
      <c r="Y5356">
        <v>942</v>
      </c>
      <c r="Z5356" s="259" t="s">
        <v>637</v>
      </c>
      <c r="AB5356">
        <v>0</v>
      </c>
      <c r="AF5356">
        <v>42000</v>
      </c>
      <c r="AG5356">
        <v>0</v>
      </c>
      <c r="AI5356">
        <v>42000</v>
      </c>
      <c r="AJ5356">
        <v>0</v>
      </c>
      <c r="AK5356">
        <v>0</v>
      </c>
      <c r="AL5356">
        <v>0</v>
      </c>
      <c r="AM5356">
        <v>42000</v>
      </c>
      <c r="AN5356">
        <v>0</v>
      </c>
      <c r="AO5356">
        <v>42000</v>
      </c>
      <c r="AP5356">
        <v>0</v>
      </c>
      <c r="AQ5356">
        <v>0</v>
      </c>
      <c r="AR5356">
        <v>0</v>
      </c>
      <c r="AS5356" t="s">
        <v>239</v>
      </c>
      <c r="AT5356" t="s">
        <v>514</v>
      </c>
    </row>
    <row r="5357" spans="2:46" x14ac:dyDescent="0.35">
      <c r="B5357" t="s">
        <v>566</v>
      </c>
      <c r="C5357">
        <v>45870</v>
      </c>
      <c r="J5357">
        <v>0</v>
      </c>
      <c r="O5357" t="s">
        <v>239</v>
      </c>
      <c r="P5357" t="s">
        <v>514</v>
      </c>
      <c r="U5357">
        <v>0</v>
      </c>
      <c r="Y5357">
        <v>943</v>
      </c>
      <c r="Z5357" s="259" t="s">
        <v>637</v>
      </c>
      <c r="AB5357">
        <v>0</v>
      </c>
      <c r="AF5357">
        <v>42000</v>
      </c>
      <c r="AG5357">
        <v>0</v>
      </c>
      <c r="AI5357">
        <v>42000</v>
      </c>
      <c r="AJ5357">
        <v>0</v>
      </c>
      <c r="AK5357">
        <v>0</v>
      </c>
      <c r="AL5357">
        <v>0</v>
      </c>
      <c r="AM5357">
        <v>42000</v>
      </c>
      <c r="AN5357">
        <v>0</v>
      </c>
      <c r="AO5357">
        <v>42000</v>
      </c>
      <c r="AP5357">
        <v>0</v>
      </c>
      <c r="AQ5357">
        <v>0</v>
      </c>
      <c r="AR5357">
        <v>0</v>
      </c>
      <c r="AS5357" t="s">
        <v>239</v>
      </c>
      <c r="AT5357" t="s">
        <v>514</v>
      </c>
    </row>
    <row r="5358" spans="2:46" x14ac:dyDescent="0.35">
      <c r="B5358" t="s">
        <v>566</v>
      </c>
      <c r="C5358">
        <v>45871</v>
      </c>
      <c r="J5358">
        <v>0</v>
      </c>
      <c r="O5358" t="s">
        <v>239</v>
      </c>
      <c r="P5358" t="s">
        <v>514</v>
      </c>
      <c r="U5358">
        <v>0</v>
      </c>
      <c r="Y5358">
        <v>944</v>
      </c>
      <c r="Z5358" s="259" t="s">
        <v>637</v>
      </c>
      <c r="AB5358">
        <v>0</v>
      </c>
      <c r="AF5358">
        <v>42000</v>
      </c>
      <c r="AG5358">
        <v>0</v>
      </c>
      <c r="AI5358">
        <v>42000</v>
      </c>
      <c r="AJ5358">
        <v>0</v>
      </c>
      <c r="AK5358">
        <v>0</v>
      </c>
      <c r="AL5358">
        <v>0</v>
      </c>
      <c r="AM5358">
        <v>42000</v>
      </c>
      <c r="AN5358">
        <v>0</v>
      </c>
      <c r="AO5358">
        <v>42000</v>
      </c>
      <c r="AP5358">
        <v>0</v>
      </c>
      <c r="AQ5358">
        <v>0</v>
      </c>
      <c r="AR5358">
        <v>0</v>
      </c>
      <c r="AS5358" t="s">
        <v>239</v>
      </c>
      <c r="AT5358" t="s">
        <v>514</v>
      </c>
    </row>
    <row r="5359" spans="2:46" x14ac:dyDescent="0.35">
      <c r="B5359" t="s">
        <v>566</v>
      </c>
      <c r="C5359">
        <v>45872</v>
      </c>
      <c r="J5359">
        <v>0</v>
      </c>
      <c r="O5359" t="s">
        <v>239</v>
      </c>
      <c r="P5359" t="s">
        <v>514</v>
      </c>
      <c r="U5359">
        <v>0</v>
      </c>
      <c r="Y5359">
        <v>945</v>
      </c>
      <c r="Z5359" s="259" t="s">
        <v>637</v>
      </c>
      <c r="AB5359">
        <v>0</v>
      </c>
      <c r="AF5359">
        <v>42000</v>
      </c>
      <c r="AG5359">
        <v>0</v>
      </c>
      <c r="AI5359">
        <v>42000</v>
      </c>
      <c r="AJ5359">
        <v>0</v>
      </c>
      <c r="AK5359">
        <v>0</v>
      </c>
      <c r="AL5359">
        <v>0</v>
      </c>
      <c r="AM5359">
        <v>42000</v>
      </c>
      <c r="AN5359">
        <v>0</v>
      </c>
      <c r="AO5359">
        <v>42000</v>
      </c>
      <c r="AP5359">
        <v>0</v>
      </c>
      <c r="AQ5359">
        <v>0</v>
      </c>
      <c r="AR5359">
        <v>0</v>
      </c>
      <c r="AS5359" t="s">
        <v>239</v>
      </c>
      <c r="AT5359" t="s">
        <v>514</v>
      </c>
    </row>
    <row r="5360" spans="2:46" x14ac:dyDescent="0.35">
      <c r="B5360" t="s">
        <v>566</v>
      </c>
      <c r="C5360">
        <v>45873</v>
      </c>
      <c r="J5360">
        <v>0</v>
      </c>
      <c r="O5360" t="s">
        <v>239</v>
      </c>
      <c r="P5360" t="s">
        <v>514</v>
      </c>
      <c r="U5360">
        <v>0</v>
      </c>
      <c r="Y5360">
        <v>946</v>
      </c>
      <c r="Z5360" s="259" t="s">
        <v>637</v>
      </c>
      <c r="AB5360">
        <v>0</v>
      </c>
      <c r="AF5360">
        <v>42000</v>
      </c>
      <c r="AG5360">
        <v>0</v>
      </c>
      <c r="AI5360">
        <v>42000</v>
      </c>
      <c r="AJ5360">
        <v>0</v>
      </c>
      <c r="AK5360">
        <v>0</v>
      </c>
      <c r="AL5360">
        <v>0</v>
      </c>
      <c r="AM5360">
        <v>42000</v>
      </c>
      <c r="AN5360">
        <v>0</v>
      </c>
      <c r="AO5360">
        <v>42000</v>
      </c>
      <c r="AP5360">
        <v>0</v>
      </c>
      <c r="AQ5360">
        <v>0</v>
      </c>
      <c r="AR5360">
        <v>0</v>
      </c>
      <c r="AS5360" t="s">
        <v>239</v>
      </c>
      <c r="AT5360" t="s">
        <v>514</v>
      </c>
    </row>
    <row r="5361" spans="2:46" x14ac:dyDescent="0.35">
      <c r="B5361" t="s">
        <v>566</v>
      </c>
      <c r="C5361">
        <v>45874</v>
      </c>
      <c r="J5361">
        <v>0</v>
      </c>
      <c r="O5361" t="s">
        <v>239</v>
      </c>
      <c r="P5361" t="s">
        <v>514</v>
      </c>
      <c r="U5361">
        <v>0</v>
      </c>
      <c r="Y5361">
        <v>947</v>
      </c>
      <c r="Z5361" s="259" t="s">
        <v>637</v>
      </c>
      <c r="AB5361">
        <v>0</v>
      </c>
      <c r="AF5361">
        <v>42000</v>
      </c>
      <c r="AG5361">
        <v>0</v>
      </c>
      <c r="AI5361">
        <v>42000</v>
      </c>
      <c r="AJ5361">
        <v>0</v>
      </c>
      <c r="AK5361">
        <v>0</v>
      </c>
      <c r="AL5361">
        <v>0</v>
      </c>
      <c r="AM5361">
        <v>42000</v>
      </c>
      <c r="AN5361">
        <v>0</v>
      </c>
      <c r="AO5361">
        <v>42000</v>
      </c>
      <c r="AP5361">
        <v>0</v>
      </c>
      <c r="AQ5361">
        <v>0</v>
      </c>
      <c r="AR5361">
        <v>0</v>
      </c>
      <c r="AS5361" t="s">
        <v>239</v>
      </c>
      <c r="AT5361" t="s">
        <v>514</v>
      </c>
    </row>
    <row r="5362" spans="2:46" x14ac:dyDescent="0.35">
      <c r="B5362" t="s">
        <v>566</v>
      </c>
      <c r="C5362">
        <v>45875</v>
      </c>
      <c r="J5362">
        <v>0</v>
      </c>
      <c r="O5362" t="s">
        <v>239</v>
      </c>
      <c r="P5362" t="s">
        <v>514</v>
      </c>
      <c r="U5362">
        <v>0</v>
      </c>
      <c r="Y5362">
        <v>948</v>
      </c>
      <c r="Z5362" s="259" t="s">
        <v>637</v>
      </c>
      <c r="AB5362">
        <v>0</v>
      </c>
      <c r="AF5362">
        <v>42000</v>
      </c>
      <c r="AG5362">
        <v>0</v>
      </c>
      <c r="AI5362">
        <v>42000</v>
      </c>
      <c r="AJ5362">
        <v>0</v>
      </c>
      <c r="AK5362">
        <v>0</v>
      </c>
      <c r="AL5362">
        <v>0</v>
      </c>
      <c r="AM5362">
        <v>42000</v>
      </c>
      <c r="AN5362">
        <v>0</v>
      </c>
      <c r="AO5362">
        <v>42000</v>
      </c>
      <c r="AP5362">
        <v>0</v>
      </c>
      <c r="AQ5362">
        <v>0</v>
      </c>
      <c r="AR5362">
        <v>0</v>
      </c>
      <c r="AS5362" t="s">
        <v>239</v>
      </c>
      <c r="AT5362" t="s">
        <v>514</v>
      </c>
    </row>
    <row r="5363" spans="2:46" x14ac:dyDescent="0.35">
      <c r="B5363" t="s">
        <v>566</v>
      </c>
      <c r="C5363">
        <v>45876</v>
      </c>
      <c r="J5363">
        <v>0</v>
      </c>
      <c r="O5363" t="s">
        <v>239</v>
      </c>
      <c r="P5363" t="s">
        <v>514</v>
      </c>
      <c r="U5363">
        <v>0</v>
      </c>
      <c r="Y5363">
        <v>949</v>
      </c>
      <c r="Z5363" s="259" t="s">
        <v>637</v>
      </c>
      <c r="AB5363">
        <v>0</v>
      </c>
      <c r="AF5363">
        <v>42000</v>
      </c>
      <c r="AG5363">
        <v>0</v>
      </c>
      <c r="AI5363">
        <v>42000</v>
      </c>
      <c r="AJ5363">
        <v>0</v>
      </c>
      <c r="AK5363">
        <v>0</v>
      </c>
      <c r="AL5363">
        <v>0</v>
      </c>
      <c r="AM5363">
        <v>42000</v>
      </c>
      <c r="AN5363">
        <v>0</v>
      </c>
      <c r="AO5363">
        <v>42000</v>
      </c>
      <c r="AP5363">
        <v>0</v>
      </c>
      <c r="AQ5363">
        <v>0</v>
      </c>
      <c r="AR5363">
        <v>0</v>
      </c>
      <c r="AS5363" t="s">
        <v>239</v>
      </c>
      <c r="AT5363" t="s">
        <v>514</v>
      </c>
    </row>
    <row r="5364" spans="2:46" x14ac:dyDescent="0.35">
      <c r="B5364" t="s">
        <v>566</v>
      </c>
      <c r="C5364">
        <v>45877</v>
      </c>
      <c r="J5364">
        <v>0</v>
      </c>
      <c r="O5364" t="s">
        <v>239</v>
      </c>
      <c r="P5364" t="s">
        <v>514</v>
      </c>
      <c r="U5364">
        <v>0</v>
      </c>
      <c r="Y5364">
        <v>950</v>
      </c>
      <c r="Z5364" s="259" t="s">
        <v>637</v>
      </c>
      <c r="AB5364">
        <v>0</v>
      </c>
      <c r="AF5364">
        <v>42000</v>
      </c>
      <c r="AG5364">
        <v>0</v>
      </c>
      <c r="AI5364">
        <v>42000</v>
      </c>
      <c r="AJ5364">
        <v>0</v>
      </c>
      <c r="AK5364">
        <v>0</v>
      </c>
      <c r="AL5364">
        <v>0</v>
      </c>
      <c r="AM5364">
        <v>42000</v>
      </c>
      <c r="AN5364">
        <v>0</v>
      </c>
      <c r="AO5364">
        <v>42000</v>
      </c>
      <c r="AP5364">
        <v>0</v>
      </c>
      <c r="AQ5364">
        <v>0</v>
      </c>
      <c r="AR5364">
        <v>0</v>
      </c>
      <c r="AS5364" t="s">
        <v>239</v>
      </c>
      <c r="AT5364" t="s">
        <v>514</v>
      </c>
    </row>
    <row r="5365" spans="2:46" x14ac:dyDescent="0.35">
      <c r="B5365" t="s">
        <v>566</v>
      </c>
      <c r="C5365">
        <v>45878</v>
      </c>
      <c r="J5365">
        <v>0</v>
      </c>
      <c r="O5365" t="s">
        <v>239</v>
      </c>
      <c r="P5365" t="s">
        <v>514</v>
      </c>
      <c r="U5365">
        <v>0</v>
      </c>
      <c r="Y5365">
        <v>951</v>
      </c>
      <c r="Z5365" s="259" t="s">
        <v>637</v>
      </c>
      <c r="AB5365">
        <v>0</v>
      </c>
      <c r="AF5365">
        <v>42000</v>
      </c>
      <c r="AG5365">
        <v>0</v>
      </c>
      <c r="AI5365">
        <v>42000</v>
      </c>
      <c r="AJ5365">
        <v>0</v>
      </c>
      <c r="AK5365">
        <v>0</v>
      </c>
      <c r="AL5365">
        <v>0</v>
      </c>
      <c r="AM5365">
        <v>42000</v>
      </c>
      <c r="AN5365">
        <v>0</v>
      </c>
      <c r="AO5365">
        <v>42000</v>
      </c>
      <c r="AP5365">
        <v>0</v>
      </c>
      <c r="AQ5365">
        <v>0</v>
      </c>
      <c r="AR5365">
        <v>0</v>
      </c>
      <c r="AS5365" t="s">
        <v>239</v>
      </c>
      <c r="AT5365" t="s">
        <v>514</v>
      </c>
    </row>
    <row r="5366" spans="2:46" x14ac:dyDescent="0.35">
      <c r="B5366" t="s">
        <v>566</v>
      </c>
      <c r="C5366">
        <v>45879</v>
      </c>
      <c r="J5366">
        <v>0</v>
      </c>
      <c r="O5366" t="s">
        <v>239</v>
      </c>
      <c r="P5366" t="s">
        <v>514</v>
      </c>
      <c r="U5366">
        <v>0</v>
      </c>
      <c r="Y5366">
        <v>952</v>
      </c>
      <c r="Z5366" s="259" t="s">
        <v>637</v>
      </c>
      <c r="AB5366">
        <v>0</v>
      </c>
      <c r="AF5366">
        <v>42000</v>
      </c>
      <c r="AG5366">
        <v>0</v>
      </c>
      <c r="AI5366">
        <v>42000</v>
      </c>
      <c r="AJ5366">
        <v>0</v>
      </c>
      <c r="AK5366">
        <v>0</v>
      </c>
      <c r="AL5366">
        <v>0</v>
      </c>
      <c r="AM5366">
        <v>42000</v>
      </c>
      <c r="AN5366">
        <v>0</v>
      </c>
      <c r="AO5366">
        <v>42000</v>
      </c>
      <c r="AP5366">
        <v>0</v>
      </c>
      <c r="AQ5366">
        <v>0</v>
      </c>
      <c r="AR5366">
        <v>0</v>
      </c>
      <c r="AS5366" t="s">
        <v>239</v>
      </c>
      <c r="AT5366" t="s">
        <v>514</v>
      </c>
    </row>
    <row r="5367" spans="2:46" x14ac:dyDescent="0.35">
      <c r="B5367" t="s">
        <v>566</v>
      </c>
      <c r="C5367">
        <v>45880</v>
      </c>
      <c r="J5367">
        <v>0</v>
      </c>
      <c r="O5367" t="s">
        <v>239</v>
      </c>
      <c r="P5367" t="s">
        <v>514</v>
      </c>
      <c r="U5367">
        <v>0</v>
      </c>
      <c r="Y5367">
        <v>953</v>
      </c>
      <c r="Z5367" s="259" t="s">
        <v>637</v>
      </c>
      <c r="AB5367">
        <v>0</v>
      </c>
      <c r="AF5367">
        <v>42000</v>
      </c>
      <c r="AG5367">
        <v>0</v>
      </c>
      <c r="AI5367">
        <v>42000</v>
      </c>
      <c r="AJ5367">
        <v>0</v>
      </c>
      <c r="AK5367">
        <v>0</v>
      </c>
      <c r="AL5367">
        <v>0</v>
      </c>
      <c r="AM5367">
        <v>42000</v>
      </c>
      <c r="AN5367">
        <v>0</v>
      </c>
      <c r="AO5367">
        <v>42000</v>
      </c>
      <c r="AP5367">
        <v>0</v>
      </c>
      <c r="AQ5367">
        <v>0</v>
      </c>
      <c r="AR5367">
        <v>0</v>
      </c>
      <c r="AS5367" t="s">
        <v>239</v>
      </c>
      <c r="AT5367" t="s">
        <v>514</v>
      </c>
    </row>
    <row r="5368" spans="2:46" x14ac:dyDescent="0.35">
      <c r="B5368" t="s">
        <v>566</v>
      </c>
      <c r="C5368">
        <v>45881</v>
      </c>
      <c r="J5368">
        <v>0</v>
      </c>
      <c r="O5368" t="s">
        <v>239</v>
      </c>
      <c r="P5368" t="s">
        <v>514</v>
      </c>
      <c r="U5368">
        <v>0</v>
      </c>
      <c r="Y5368">
        <v>954</v>
      </c>
      <c r="Z5368" s="259" t="s">
        <v>637</v>
      </c>
      <c r="AB5368">
        <v>0</v>
      </c>
      <c r="AF5368">
        <v>42000</v>
      </c>
      <c r="AG5368">
        <v>0</v>
      </c>
      <c r="AI5368">
        <v>42000</v>
      </c>
      <c r="AJ5368">
        <v>0</v>
      </c>
      <c r="AK5368">
        <v>0</v>
      </c>
      <c r="AL5368">
        <v>0</v>
      </c>
      <c r="AM5368">
        <v>42000</v>
      </c>
      <c r="AN5368">
        <v>0</v>
      </c>
      <c r="AO5368">
        <v>42000</v>
      </c>
      <c r="AP5368">
        <v>0</v>
      </c>
      <c r="AQ5368">
        <v>0</v>
      </c>
      <c r="AR5368">
        <v>0</v>
      </c>
      <c r="AS5368" t="s">
        <v>239</v>
      </c>
      <c r="AT5368" t="s">
        <v>514</v>
      </c>
    </row>
    <row r="5369" spans="2:46" x14ac:dyDescent="0.35">
      <c r="B5369" t="s">
        <v>566</v>
      </c>
      <c r="C5369">
        <v>45882</v>
      </c>
      <c r="J5369">
        <v>0</v>
      </c>
      <c r="O5369" t="s">
        <v>239</v>
      </c>
      <c r="P5369" t="s">
        <v>514</v>
      </c>
      <c r="U5369">
        <v>0</v>
      </c>
      <c r="Y5369">
        <v>955</v>
      </c>
      <c r="Z5369" s="259" t="s">
        <v>637</v>
      </c>
      <c r="AB5369">
        <v>0</v>
      </c>
      <c r="AF5369">
        <v>42000</v>
      </c>
      <c r="AG5369">
        <v>0</v>
      </c>
      <c r="AI5369">
        <v>42000</v>
      </c>
      <c r="AJ5369">
        <v>0</v>
      </c>
      <c r="AK5369">
        <v>0</v>
      </c>
      <c r="AL5369">
        <v>0</v>
      </c>
      <c r="AM5369">
        <v>42000</v>
      </c>
      <c r="AN5369">
        <v>0</v>
      </c>
      <c r="AO5369">
        <v>42000</v>
      </c>
      <c r="AP5369">
        <v>0</v>
      </c>
      <c r="AQ5369">
        <v>0</v>
      </c>
      <c r="AR5369">
        <v>0</v>
      </c>
      <c r="AS5369" t="s">
        <v>239</v>
      </c>
      <c r="AT5369" t="s">
        <v>514</v>
      </c>
    </row>
    <row r="5370" spans="2:46" x14ac:dyDescent="0.35">
      <c r="B5370" t="s">
        <v>566</v>
      </c>
      <c r="C5370">
        <v>45883</v>
      </c>
      <c r="J5370">
        <v>0</v>
      </c>
      <c r="O5370" t="s">
        <v>239</v>
      </c>
      <c r="P5370" t="s">
        <v>514</v>
      </c>
      <c r="U5370">
        <v>0</v>
      </c>
      <c r="Y5370">
        <v>956</v>
      </c>
      <c r="Z5370" s="259" t="s">
        <v>637</v>
      </c>
      <c r="AB5370">
        <v>0</v>
      </c>
      <c r="AF5370">
        <v>42000</v>
      </c>
      <c r="AG5370">
        <v>0</v>
      </c>
      <c r="AI5370">
        <v>42000</v>
      </c>
      <c r="AJ5370">
        <v>0</v>
      </c>
      <c r="AK5370">
        <v>0</v>
      </c>
      <c r="AL5370">
        <v>0</v>
      </c>
      <c r="AM5370">
        <v>42000</v>
      </c>
      <c r="AN5370">
        <v>0</v>
      </c>
      <c r="AO5370">
        <v>42000</v>
      </c>
      <c r="AP5370">
        <v>0</v>
      </c>
      <c r="AQ5370">
        <v>0</v>
      </c>
      <c r="AR5370">
        <v>0</v>
      </c>
      <c r="AS5370" t="s">
        <v>239</v>
      </c>
      <c r="AT5370" t="s">
        <v>514</v>
      </c>
    </row>
    <row r="5371" spans="2:46" x14ac:dyDescent="0.35">
      <c r="B5371" t="s">
        <v>566</v>
      </c>
      <c r="C5371">
        <v>45884</v>
      </c>
      <c r="J5371">
        <v>0</v>
      </c>
      <c r="O5371" t="s">
        <v>239</v>
      </c>
      <c r="P5371" t="s">
        <v>514</v>
      </c>
      <c r="U5371">
        <v>0</v>
      </c>
      <c r="Y5371">
        <v>957</v>
      </c>
      <c r="Z5371" s="259" t="s">
        <v>637</v>
      </c>
      <c r="AB5371">
        <v>0</v>
      </c>
      <c r="AF5371">
        <v>42000</v>
      </c>
      <c r="AG5371">
        <v>0</v>
      </c>
      <c r="AI5371">
        <v>42000</v>
      </c>
      <c r="AJ5371">
        <v>0</v>
      </c>
      <c r="AK5371">
        <v>0</v>
      </c>
      <c r="AL5371">
        <v>0</v>
      </c>
      <c r="AM5371">
        <v>42000</v>
      </c>
      <c r="AN5371">
        <v>0</v>
      </c>
      <c r="AO5371">
        <v>42000</v>
      </c>
      <c r="AP5371">
        <v>0</v>
      </c>
      <c r="AQ5371">
        <v>0</v>
      </c>
      <c r="AR5371">
        <v>0</v>
      </c>
      <c r="AS5371" t="s">
        <v>239</v>
      </c>
      <c r="AT5371" t="s">
        <v>514</v>
      </c>
    </row>
    <row r="5372" spans="2:46" x14ac:dyDescent="0.35">
      <c r="B5372" t="s">
        <v>566</v>
      </c>
      <c r="C5372">
        <v>45885</v>
      </c>
      <c r="J5372">
        <v>0</v>
      </c>
      <c r="O5372" t="s">
        <v>239</v>
      </c>
      <c r="P5372" t="s">
        <v>514</v>
      </c>
      <c r="U5372">
        <v>0</v>
      </c>
      <c r="Y5372">
        <v>958</v>
      </c>
      <c r="Z5372" s="259" t="s">
        <v>637</v>
      </c>
      <c r="AB5372">
        <v>0</v>
      </c>
      <c r="AF5372">
        <v>42000</v>
      </c>
      <c r="AG5372">
        <v>0</v>
      </c>
      <c r="AI5372">
        <v>42000</v>
      </c>
      <c r="AJ5372">
        <v>0</v>
      </c>
      <c r="AK5372">
        <v>0</v>
      </c>
      <c r="AL5372">
        <v>0</v>
      </c>
      <c r="AM5372">
        <v>42000</v>
      </c>
      <c r="AN5372">
        <v>0</v>
      </c>
      <c r="AO5372">
        <v>42000</v>
      </c>
      <c r="AP5372">
        <v>0</v>
      </c>
      <c r="AQ5372">
        <v>0</v>
      </c>
      <c r="AR5372">
        <v>0</v>
      </c>
      <c r="AS5372" t="s">
        <v>239</v>
      </c>
      <c r="AT5372" t="s">
        <v>514</v>
      </c>
    </row>
    <row r="5373" spans="2:46" x14ac:dyDescent="0.35">
      <c r="B5373" t="s">
        <v>566</v>
      </c>
      <c r="C5373">
        <v>45886</v>
      </c>
      <c r="J5373">
        <v>0</v>
      </c>
      <c r="O5373" t="s">
        <v>239</v>
      </c>
      <c r="P5373" t="s">
        <v>514</v>
      </c>
      <c r="U5373">
        <v>0</v>
      </c>
      <c r="Y5373">
        <v>959</v>
      </c>
      <c r="Z5373" s="259" t="s">
        <v>637</v>
      </c>
      <c r="AB5373">
        <v>0</v>
      </c>
      <c r="AF5373">
        <v>42000</v>
      </c>
      <c r="AG5373">
        <v>0</v>
      </c>
      <c r="AI5373">
        <v>42000</v>
      </c>
      <c r="AJ5373">
        <v>0</v>
      </c>
      <c r="AK5373">
        <v>0</v>
      </c>
      <c r="AL5373">
        <v>0</v>
      </c>
      <c r="AM5373">
        <v>42000</v>
      </c>
      <c r="AN5373">
        <v>0</v>
      </c>
      <c r="AO5373">
        <v>42000</v>
      </c>
      <c r="AP5373">
        <v>0</v>
      </c>
      <c r="AQ5373">
        <v>0</v>
      </c>
      <c r="AR5373">
        <v>0</v>
      </c>
      <c r="AS5373" t="s">
        <v>239</v>
      </c>
      <c r="AT5373" t="s">
        <v>514</v>
      </c>
    </row>
    <row r="5374" spans="2:46" x14ac:dyDescent="0.35">
      <c r="B5374" t="s">
        <v>566</v>
      </c>
      <c r="C5374">
        <v>45887</v>
      </c>
      <c r="J5374">
        <v>0</v>
      </c>
      <c r="O5374" t="s">
        <v>239</v>
      </c>
      <c r="P5374" t="s">
        <v>514</v>
      </c>
      <c r="U5374">
        <v>0</v>
      </c>
      <c r="Y5374">
        <v>960</v>
      </c>
      <c r="Z5374" s="259" t="s">
        <v>637</v>
      </c>
      <c r="AB5374">
        <v>0</v>
      </c>
      <c r="AF5374">
        <v>42000</v>
      </c>
      <c r="AG5374">
        <v>0</v>
      </c>
      <c r="AI5374">
        <v>42000</v>
      </c>
      <c r="AJ5374">
        <v>0</v>
      </c>
      <c r="AK5374">
        <v>0</v>
      </c>
      <c r="AL5374">
        <v>0</v>
      </c>
      <c r="AM5374">
        <v>42000</v>
      </c>
      <c r="AN5374">
        <v>0</v>
      </c>
      <c r="AO5374">
        <v>42000</v>
      </c>
      <c r="AP5374">
        <v>0</v>
      </c>
      <c r="AQ5374">
        <v>0</v>
      </c>
      <c r="AR5374">
        <v>0</v>
      </c>
      <c r="AS5374" t="s">
        <v>239</v>
      </c>
      <c r="AT5374" t="s">
        <v>514</v>
      </c>
    </row>
    <row r="5375" spans="2:46" x14ac:dyDescent="0.35">
      <c r="B5375" t="s">
        <v>566</v>
      </c>
      <c r="C5375">
        <v>45888</v>
      </c>
      <c r="J5375">
        <v>0</v>
      </c>
      <c r="O5375" t="s">
        <v>239</v>
      </c>
      <c r="P5375" t="s">
        <v>514</v>
      </c>
      <c r="U5375">
        <v>0</v>
      </c>
      <c r="Y5375">
        <v>961</v>
      </c>
      <c r="Z5375" s="259" t="s">
        <v>637</v>
      </c>
      <c r="AB5375">
        <v>0</v>
      </c>
      <c r="AF5375">
        <v>42000</v>
      </c>
      <c r="AG5375">
        <v>0</v>
      </c>
      <c r="AI5375">
        <v>42000</v>
      </c>
      <c r="AJ5375">
        <v>0</v>
      </c>
      <c r="AK5375">
        <v>0</v>
      </c>
      <c r="AL5375">
        <v>0</v>
      </c>
      <c r="AM5375">
        <v>42000</v>
      </c>
      <c r="AN5375">
        <v>0</v>
      </c>
      <c r="AO5375">
        <v>42000</v>
      </c>
      <c r="AP5375">
        <v>0</v>
      </c>
      <c r="AQ5375">
        <v>0</v>
      </c>
      <c r="AR5375">
        <v>0</v>
      </c>
      <c r="AS5375" t="s">
        <v>239</v>
      </c>
      <c r="AT5375" t="s">
        <v>514</v>
      </c>
    </row>
    <row r="5376" spans="2:46" x14ac:dyDescent="0.35">
      <c r="B5376" t="s">
        <v>566</v>
      </c>
      <c r="C5376">
        <v>45889</v>
      </c>
      <c r="J5376">
        <v>0</v>
      </c>
      <c r="O5376" t="s">
        <v>239</v>
      </c>
      <c r="P5376" t="s">
        <v>514</v>
      </c>
      <c r="U5376">
        <v>0</v>
      </c>
      <c r="Y5376">
        <v>962</v>
      </c>
      <c r="Z5376" s="259" t="s">
        <v>637</v>
      </c>
      <c r="AB5376">
        <v>0</v>
      </c>
      <c r="AF5376">
        <v>42000</v>
      </c>
      <c r="AG5376">
        <v>0</v>
      </c>
      <c r="AI5376">
        <v>42000</v>
      </c>
      <c r="AJ5376">
        <v>0</v>
      </c>
      <c r="AK5376">
        <v>0</v>
      </c>
      <c r="AL5376">
        <v>0</v>
      </c>
      <c r="AM5376">
        <v>42000</v>
      </c>
      <c r="AN5376">
        <v>0</v>
      </c>
      <c r="AO5376">
        <v>42000</v>
      </c>
      <c r="AP5376">
        <v>0</v>
      </c>
      <c r="AQ5376">
        <v>0</v>
      </c>
      <c r="AR5376">
        <v>0</v>
      </c>
      <c r="AS5376" t="s">
        <v>239</v>
      </c>
      <c r="AT5376" t="s">
        <v>514</v>
      </c>
    </row>
    <row r="5377" spans="2:46" x14ac:dyDescent="0.35">
      <c r="B5377" t="s">
        <v>566</v>
      </c>
      <c r="C5377">
        <v>45890</v>
      </c>
      <c r="J5377">
        <v>0</v>
      </c>
      <c r="O5377" t="s">
        <v>239</v>
      </c>
      <c r="P5377" t="s">
        <v>514</v>
      </c>
      <c r="U5377">
        <v>0</v>
      </c>
      <c r="Y5377">
        <v>963</v>
      </c>
      <c r="Z5377" s="259" t="s">
        <v>637</v>
      </c>
      <c r="AB5377">
        <v>0</v>
      </c>
      <c r="AF5377">
        <v>42000</v>
      </c>
      <c r="AG5377">
        <v>0</v>
      </c>
      <c r="AI5377">
        <v>42000</v>
      </c>
      <c r="AJ5377">
        <v>0</v>
      </c>
      <c r="AK5377">
        <v>0</v>
      </c>
      <c r="AL5377">
        <v>0</v>
      </c>
      <c r="AM5377">
        <v>42000</v>
      </c>
      <c r="AN5377">
        <v>0</v>
      </c>
      <c r="AO5377">
        <v>42000</v>
      </c>
      <c r="AP5377">
        <v>0</v>
      </c>
      <c r="AQ5377">
        <v>0</v>
      </c>
      <c r="AR5377">
        <v>0</v>
      </c>
      <c r="AS5377" t="s">
        <v>239</v>
      </c>
      <c r="AT5377" t="s">
        <v>514</v>
      </c>
    </row>
    <row r="5378" spans="2:46" x14ac:dyDescent="0.35">
      <c r="B5378" t="s">
        <v>566</v>
      </c>
      <c r="C5378">
        <v>45891</v>
      </c>
      <c r="J5378">
        <v>0</v>
      </c>
      <c r="O5378" t="s">
        <v>239</v>
      </c>
      <c r="P5378" t="s">
        <v>514</v>
      </c>
      <c r="U5378">
        <v>0</v>
      </c>
      <c r="Y5378">
        <v>964</v>
      </c>
      <c r="Z5378" s="259" t="s">
        <v>637</v>
      </c>
      <c r="AB5378">
        <v>0</v>
      </c>
      <c r="AF5378">
        <v>42000</v>
      </c>
      <c r="AG5378">
        <v>0</v>
      </c>
      <c r="AI5378">
        <v>42000</v>
      </c>
      <c r="AJ5378">
        <v>0</v>
      </c>
      <c r="AK5378">
        <v>0</v>
      </c>
      <c r="AL5378">
        <v>0</v>
      </c>
      <c r="AM5378">
        <v>42000</v>
      </c>
      <c r="AN5378">
        <v>0</v>
      </c>
      <c r="AO5378">
        <v>42000</v>
      </c>
      <c r="AP5378">
        <v>0</v>
      </c>
      <c r="AQ5378">
        <v>0</v>
      </c>
      <c r="AR5378">
        <v>0</v>
      </c>
      <c r="AS5378" t="s">
        <v>239</v>
      </c>
      <c r="AT5378" t="s">
        <v>514</v>
      </c>
    </row>
    <row r="5379" spans="2:46" x14ac:dyDescent="0.35">
      <c r="B5379" t="s">
        <v>566</v>
      </c>
      <c r="C5379">
        <v>45892</v>
      </c>
      <c r="J5379">
        <v>0</v>
      </c>
      <c r="O5379" t="s">
        <v>239</v>
      </c>
      <c r="P5379" t="s">
        <v>514</v>
      </c>
      <c r="U5379">
        <v>0</v>
      </c>
      <c r="Y5379">
        <v>965</v>
      </c>
      <c r="Z5379" s="259" t="s">
        <v>637</v>
      </c>
      <c r="AB5379">
        <v>0</v>
      </c>
      <c r="AF5379">
        <v>42000</v>
      </c>
      <c r="AG5379">
        <v>0</v>
      </c>
      <c r="AI5379">
        <v>42000</v>
      </c>
      <c r="AJ5379">
        <v>0</v>
      </c>
      <c r="AK5379">
        <v>0</v>
      </c>
      <c r="AL5379">
        <v>0</v>
      </c>
      <c r="AM5379">
        <v>42000</v>
      </c>
      <c r="AN5379">
        <v>0</v>
      </c>
      <c r="AO5379">
        <v>42000</v>
      </c>
      <c r="AP5379">
        <v>0</v>
      </c>
      <c r="AQ5379">
        <v>0</v>
      </c>
      <c r="AR5379">
        <v>0</v>
      </c>
      <c r="AS5379" t="s">
        <v>239</v>
      </c>
      <c r="AT5379" t="s">
        <v>514</v>
      </c>
    </row>
    <row r="5380" spans="2:46" x14ac:dyDescent="0.35">
      <c r="B5380" t="s">
        <v>566</v>
      </c>
      <c r="C5380">
        <v>45893</v>
      </c>
      <c r="J5380">
        <v>0</v>
      </c>
      <c r="O5380" t="s">
        <v>239</v>
      </c>
      <c r="P5380" t="s">
        <v>514</v>
      </c>
      <c r="U5380">
        <v>0</v>
      </c>
      <c r="Y5380">
        <v>966</v>
      </c>
      <c r="Z5380" s="259" t="s">
        <v>637</v>
      </c>
      <c r="AB5380">
        <v>0</v>
      </c>
      <c r="AF5380">
        <v>42000</v>
      </c>
      <c r="AG5380">
        <v>0</v>
      </c>
      <c r="AI5380">
        <v>42000</v>
      </c>
      <c r="AJ5380">
        <v>0</v>
      </c>
      <c r="AK5380">
        <v>0</v>
      </c>
      <c r="AL5380">
        <v>0</v>
      </c>
      <c r="AM5380">
        <v>42000</v>
      </c>
      <c r="AN5380">
        <v>0</v>
      </c>
      <c r="AO5380">
        <v>42000</v>
      </c>
      <c r="AP5380">
        <v>0</v>
      </c>
      <c r="AQ5380">
        <v>0</v>
      </c>
      <c r="AR5380">
        <v>0</v>
      </c>
      <c r="AS5380" t="s">
        <v>239</v>
      </c>
      <c r="AT5380" t="s">
        <v>514</v>
      </c>
    </row>
    <row r="5381" spans="2:46" x14ac:dyDescent="0.35">
      <c r="B5381" t="s">
        <v>566</v>
      </c>
      <c r="C5381">
        <v>45894</v>
      </c>
      <c r="J5381">
        <v>0</v>
      </c>
      <c r="O5381" t="s">
        <v>239</v>
      </c>
      <c r="P5381" t="s">
        <v>514</v>
      </c>
      <c r="U5381">
        <v>0</v>
      </c>
      <c r="Y5381">
        <v>967</v>
      </c>
      <c r="Z5381" s="259" t="s">
        <v>637</v>
      </c>
      <c r="AB5381">
        <v>0</v>
      </c>
      <c r="AF5381">
        <v>42000</v>
      </c>
      <c r="AG5381">
        <v>0</v>
      </c>
      <c r="AI5381">
        <v>42000</v>
      </c>
      <c r="AJ5381">
        <v>0</v>
      </c>
      <c r="AK5381">
        <v>0</v>
      </c>
      <c r="AL5381">
        <v>0</v>
      </c>
      <c r="AM5381">
        <v>42000</v>
      </c>
      <c r="AN5381">
        <v>0</v>
      </c>
      <c r="AO5381">
        <v>42000</v>
      </c>
      <c r="AP5381">
        <v>0</v>
      </c>
      <c r="AQ5381">
        <v>0</v>
      </c>
      <c r="AR5381">
        <v>0</v>
      </c>
      <c r="AS5381" t="s">
        <v>239</v>
      </c>
      <c r="AT5381" t="s">
        <v>514</v>
      </c>
    </row>
    <row r="5382" spans="2:46" x14ac:dyDescent="0.35">
      <c r="B5382" t="s">
        <v>566</v>
      </c>
      <c r="C5382">
        <v>45895</v>
      </c>
      <c r="J5382">
        <v>0</v>
      </c>
      <c r="O5382" t="s">
        <v>239</v>
      </c>
      <c r="P5382" t="s">
        <v>514</v>
      </c>
      <c r="U5382">
        <v>0</v>
      </c>
      <c r="Y5382">
        <v>968</v>
      </c>
      <c r="Z5382" s="259" t="s">
        <v>637</v>
      </c>
      <c r="AB5382">
        <v>0</v>
      </c>
      <c r="AF5382">
        <v>42000</v>
      </c>
      <c r="AG5382">
        <v>0</v>
      </c>
      <c r="AI5382">
        <v>42000</v>
      </c>
      <c r="AJ5382">
        <v>0</v>
      </c>
      <c r="AK5382">
        <v>0</v>
      </c>
      <c r="AL5382">
        <v>0</v>
      </c>
      <c r="AM5382">
        <v>42000</v>
      </c>
      <c r="AN5382">
        <v>0</v>
      </c>
      <c r="AO5382">
        <v>42000</v>
      </c>
      <c r="AP5382">
        <v>0</v>
      </c>
      <c r="AQ5382">
        <v>0</v>
      </c>
      <c r="AR5382">
        <v>0</v>
      </c>
      <c r="AS5382" t="s">
        <v>239</v>
      </c>
      <c r="AT5382" t="s">
        <v>514</v>
      </c>
    </row>
    <row r="5383" spans="2:46" x14ac:dyDescent="0.35">
      <c r="B5383" t="s">
        <v>566</v>
      </c>
      <c r="C5383">
        <v>45896</v>
      </c>
      <c r="J5383">
        <v>0</v>
      </c>
      <c r="O5383" t="s">
        <v>239</v>
      </c>
      <c r="P5383" t="s">
        <v>514</v>
      </c>
      <c r="U5383">
        <v>0</v>
      </c>
      <c r="Y5383">
        <v>969</v>
      </c>
      <c r="Z5383" s="259" t="s">
        <v>637</v>
      </c>
      <c r="AB5383">
        <v>0</v>
      </c>
      <c r="AF5383">
        <v>42000</v>
      </c>
      <c r="AG5383">
        <v>0</v>
      </c>
      <c r="AI5383">
        <v>42000</v>
      </c>
      <c r="AJ5383">
        <v>0</v>
      </c>
      <c r="AK5383">
        <v>0</v>
      </c>
      <c r="AL5383">
        <v>0</v>
      </c>
      <c r="AM5383">
        <v>42000</v>
      </c>
      <c r="AN5383">
        <v>0</v>
      </c>
      <c r="AO5383">
        <v>42000</v>
      </c>
      <c r="AP5383">
        <v>0</v>
      </c>
      <c r="AQ5383">
        <v>0</v>
      </c>
      <c r="AR5383">
        <v>0</v>
      </c>
      <c r="AS5383" t="s">
        <v>239</v>
      </c>
      <c r="AT5383" t="s">
        <v>514</v>
      </c>
    </row>
    <row r="5384" spans="2:46" x14ac:dyDescent="0.35">
      <c r="B5384" t="s">
        <v>566</v>
      </c>
      <c r="C5384">
        <v>45897</v>
      </c>
      <c r="J5384">
        <v>0</v>
      </c>
      <c r="O5384" t="s">
        <v>239</v>
      </c>
      <c r="P5384" t="s">
        <v>514</v>
      </c>
      <c r="U5384">
        <v>0</v>
      </c>
      <c r="Y5384">
        <v>970</v>
      </c>
      <c r="Z5384" s="259" t="s">
        <v>637</v>
      </c>
      <c r="AB5384">
        <v>0</v>
      </c>
      <c r="AF5384">
        <v>42000</v>
      </c>
      <c r="AG5384">
        <v>0</v>
      </c>
      <c r="AI5384">
        <v>42000</v>
      </c>
      <c r="AJ5384">
        <v>0</v>
      </c>
      <c r="AK5384">
        <v>0</v>
      </c>
      <c r="AL5384">
        <v>0</v>
      </c>
      <c r="AM5384">
        <v>42000</v>
      </c>
      <c r="AN5384">
        <v>0</v>
      </c>
      <c r="AO5384">
        <v>42000</v>
      </c>
      <c r="AP5384">
        <v>0</v>
      </c>
      <c r="AQ5384">
        <v>0</v>
      </c>
      <c r="AR5384">
        <v>0</v>
      </c>
      <c r="AS5384" t="s">
        <v>239</v>
      </c>
      <c r="AT5384" t="s">
        <v>514</v>
      </c>
    </row>
    <row r="5385" spans="2:46" x14ac:dyDescent="0.35">
      <c r="B5385" t="s">
        <v>566</v>
      </c>
      <c r="C5385">
        <v>45898</v>
      </c>
      <c r="J5385">
        <v>0</v>
      </c>
      <c r="O5385" t="s">
        <v>239</v>
      </c>
      <c r="P5385" t="s">
        <v>514</v>
      </c>
      <c r="U5385">
        <v>0</v>
      </c>
      <c r="Y5385">
        <v>971</v>
      </c>
      <c r="Z5385" s="259" t="s">
        <v>637</v>
      </c>
      <c r="AB5385">
        <v>0</v>
      </c>
      <c r="AF5385">
        <v>42000</v>
      </c>
      <c r="AG5385">
        <v>0</v>
      </c>
      <c r="AI5385">
        <v>42000</v>
      </c>
      <c r="AJ5385">
        <v>0</v>
      </c>
      <c r="AK5385">
        <v>0</v>
      </c>
      <c r="AL5385">
        <v>0</v>
      </c>
      <c r="AM5385">
        <v>42000</v>
      </c>
      <c r="AN5385">
        <v>0</v>
      </c>
      <c r="AO5385">
        <v>42000</v>
      </c>
      <c r="AP5385">
        <v>0</v>
      </c>
      <c r="AQ5385">
        <v>0</v>
      </c>
      <c r="AR5385">
        <v>0</v>
      </c>
      <c r="AS5385" t="s">
        <v>239</v>
      </c>
      <c r="AT5385" t="s">
        <v>514</v>
      </c>
    </row>
    <row r="5386" spans="2:46" x14ac:dyDescent="0.35">
      <c r="B5386" t="s">
        <v>566</v>
      </c>
      <c r="C5386">
        <v>45899</v>
      </c>
      <c r="J5386">
        <v>0</v>
      </c>
      <c r="O5386" t="s">
        <v>239</v>
      </c>
      <c r="P5386" t="s">
        <v>514</v>
      </c>
      <c r="U5386">
        <v>0</v>
      </c>
      <c r="Y5386">
        <v>972</v>
      </c>
      <c r="Z5386" s="259" t="s">
        <v>637</v>
      </c>
      <c r="AB5386">
        <v>0</v>
      </c>
      <c r="AF5386">
        <v>42000</v>
      </c>
      <c r="AG5386">
        <v>0</v>
      </c>
      <c r="AI5386">
        <v>42000</v>
      </c>
      <c r="AJ5386">
        <v>0</v>
      </c>
      <c r="AK5386">
        <v>0</v>
      </c>
      <c r="AL5386">
        <v>0</v>
      </c>
      <c r="AM5386">
        <v>42000</v>
      </c>
      <c r="AN5386">
        <v>0</v>
      </c>
      <c r="AO5386">
        <v>42000</v>
      </c>
      <c r="AP5386">
        <v>0</v>
      </c>
      <c r="AQ5386">
        <v>0</v>
      </c>
      <c r="AR5386">
        <v>0</v>
      </c>
      <c r="AS5386" t="s">
        <v>239</v>
      </c>
      <c r="AT5386" t="s">
        <v>514</v>
      </c>
    </row>
    <row r="5387" spans="2:46" x14ac:dyDescent="0.35">
      <c r="B5387" t="s">
        <v>566</v>
      </c>
      <c r="C5387">
        <v>45900</v>
      </c>
      <c r="J5387">
        <v>0</v>
      </c>
      <c r="O5387" t="s">
        <v>239</v>
      </c>
      <c r="P5387" t="s">
        <v>514</v>
      </c>
      <c r="U5387">
        <v>0</v>
      </c>
      <c r="Y5387">
        <v>973</v>
      </c>
      <c r="Z5387" s="259" t="s">
        <v>637</v>
      </c>
      <c r="AB5387">
        <v>0</v>
      </c>
      <c r="AF5387">
        <v>42000</v>
      </c>
      <c r="AG5387">
        <v>0</v>
      </c>
      <c r="AI5387">
        <v>42000</v>
      </c>
      <c r="AJ5387">
        <v>0</v>
      </c>
      <c r="AK5387">
        <v>0</v>
      </c>
      <c r="AL5387">
        <v>0</v>
      </c>
      <c r="AM5387">
        <v>42000</v>
      </c>
      <c r="AN5387">
        <v>0</v>
      </c>
      <c r="AO5387">
        <v>42000</v>
      </c>
      <c r="AP5387">
        <v>0</v>
      </c>
      <c r="AQ5387">
        <v>0</v>
      </c>
      <c r="AR5387">
        <v>0</v>
      </c>
      <c r="AS5387" t="s">
        <v>239</v>
      </c>
      <c r="AT5387" t="s">
        <v>514</v>
      </c>
    </row>
    <row r="5388" spans="2:46" x14ac:dyDescent="0.35">
      <c r="B5388" t="s">
        <v>566</v>
      </c>
      <c r="C5388">
        <v>45901</v>
      </c>
      <c r="J5388">
        <v>0</v>
      </c>
      <c r="O5388" t="s">
        <v>239</v>
      </c>
      <c r="P5388" t="s">
        <v>514</v>
      </c>
      <c r="U5388">
        <v>0</v>
      </c>
      <c r="Y5388">
        <v>974</v>
      </c>
      <c r="Z5388" s="259" t="s">
        <v>637</v>
      </c>
      <c r="AB5388">
        <v>0</v>
      </c>
      <c r="AF5388">
        <v>42000</v>
      </c>
      <c r="AG5388">
        <v>0</v>
      </c>
      <c r="AI5388">
        <v>42000</v>
      </c>
      <c r="AJ5388">
        <v>0</v>
      </c>
      <c r="AK5388">
        <v>0</v>
      </c>
      <c r="AL5388">
        <v>0</v>
      </c>
      <c r="AM5388">
        <v>42000</v>
      </c>
      <c r="AN5388">
        <v>0</v>
      </c>
      <c r="AO5388">
        <v>42000</v>
      </c>
      <c r="AP5388">
        <v>0</v>
      </c>
      <c r="AQ5388">
        <v>0</v>
      </c>
      <c r="AR5388">
        <v>0</v>
      </c>
      <c r="AS5388" t="s">
        <v>239</v>
      </c>
      <c r="AT5388" t="s">
        <v>514</v>
      </c>
    </row>
    <row r="5389" spans="2:46" x14ac:dyDescent="0.35">
      <c r="B5389" t="s">
        <v>566</v>
      </c>
      <c r="C5389">
        <v>45902</v>
      </c>
      <c r="J5389">
        <v>0</v>
      </c>
      <c r="O5389" t="s">
        <v>239</v>
      </c>
      <c r="P5389" t="s">
        <v>514</v>
      </c>
      <c r="U5389">
        <v>0</v>
      </c>
      <c r="Y5389">
        <v>975</v>
      </c>
      <c r="Z5389" s="259" t="s">
        <v>637</v>
      </c>
      <c r="AB5389">
        <v>0</v>
      </c>
      <c r="AF5389">
        <v>42000</v>
      </c>
      <c r="AG5389">
        <v>0</v>
      </c>
      <c r="AI5389">
        <v>42000</v>
      </c>
      <c r="AJ5389">
        <v>0</v>
      </c>
      <c r="AK5389">
        <v>0</v>
      </c>
      <c r="AL5389">
        <v>0</v>
      </c>
      <c r="AM5389">
        <v>42000</v>
      </c>
      <c r="AN5389">
        <v>0</v>
      </c>
      <c r="AO5389">
        <v>42000</v>
      </c>
      <c r="AP5389">
        <v>0</v>
      </c>
      <c r="AQ5389">
        <v>0</v>
      </c>
      <c r="AR5389">
        <v>0</v>
      </c>
      <c r="AS5389" t="s">
        <v>239</v>
      </c>
      <c r="AT5389" t="s">
        <v>514</v>
      </c>
    </row>
    <row r="5390" spans="2:46" x14ac:dyDescent="0.35">
      <c r="B5390" t="s">
        <v>566</v>
      </c>
      <c r="C5390">
        <v>45903</v>
      </c>
      <c r="J5390">
        <v>0</v>
      </c>
      <c r="O5390" t="s">
        <v>239</v>
      </c>
      <c r="P5390" t="s">
        <v>514</v>
      </c>
      <c r="U5390">
        <v>0</v>
      </c>
      <c r="Y5390">
        <v>976</v>
      </c>
      <c r="Z5390" s="259" t="s">
        <v>637</v>
      </c>
      <c r="AB5390">
        <v>0</v>
      </c>
      <c r="AF5390">
        <v>42000</v>
      </c>
      <c r="AG5390">
        <v>0</v>
      </c>
      <c r="AI5390">
        <v>42000</v>
      </c>
      <c r="AJ5390">
        <v>0</v>
      </c>
      <c r="AK5390">
        <v>0</v>
      </c>
      <c r="AL5390">
        <v>0</v>
      </c>
      <c r="AM5390">
        <v>42000</v>
      </c>
      <c r="AN5390">
        <v>0</v>
      </c>
      <c r="AO5390">
        <v>42000</v>
      </c>
      <c r="AP5390">
        <v>0</v>
      </c>
      <c r="AQ5390">
        <v>0</v>
      </c>
      <c r="AR5390">
        <v>0</v>
      </c>
      <c r="AS5390" t="s">
        <v>239</v>
      </c>
      <c r="AT5390" t="s">
        <v>514</v>
      </c>
    </row>
    <row r="5391" spans="2:46" x14ac:dyDescent="0.35">
      <c r="B5391" t="s">
        <v>566</v>
      </c>
      <c r="C5391">
        <v>45904</v>
      </c>
      <c r="J5391">
        <v>0</v>
      </c>
      <c r="O5391" t="s">
        <v>239</v>
      </c>
      <c r="P5391" t="s">
        <v>514</v>
      </c>
      <c r="U5391">
        <v>0</v>
      </c>
      <c r="Y5391">
        <v>977</v>
      </c>
      <c r="Z5391" s="259" t="s">
        <v>637</v>
      </c>
      <c r="AB5391">
        <v>0</v>
      </c>
      <c r="AF5391">
        <v>42000</v>
      </c>
      <c r="AG5391">
        <v>0</v>
      </c>
      <c r="AI5391">
        <v>42000</v>
      </c>
      <c r="AJ5391">
        <v>0</v>
      </c>
      <c r="AK5391">
        <v>0</v>
      </c>
      <c r="AL5391">
        <v>0</v>
      </c>
      <c r="AM5391">
        <v>42000</v>
      </c>
      <c r="AN5391">
        <v>0</v>
      </c>
      <c r="AO5391">
        <v>42000</v>
      </c>
      <c r="AP5391">
        <v>0</v>
      </c>
      <c r="AQ5391">
        <v>0</v>
      </c>
      <c r="AR5391">
        <v>0</v>
      </c>
      <c r="AS5391" t="s">
        <v>239</v>
      </c>
      <c r="AT5391" t="s">
        <v>514</v>
      </c>
    </row>
    <row r="5392" spans="2:46" x14ac:dyDescent="0.35">
      <c r="B5392" t="s">
        <v>566</v>
      </c>
      <c r="C5392">
        <v>45905</v>
      </c>
      <c r="J5392">
        <v>0</v>
      </c>
      <c r="O5392" t="s">
        <v>239</v>
      </c>
      <c r="P5392" t="s">
        <v>514</v>
      </c>
      <c r="U5392">
        <v>0</v>
      </c>
      <c r="Y5392">
        <v>978</v>
      </c>
      <c r="Z5392" s="259" t="s">
        <v>637</v>
      </c>
      <c r="AB5392">
        <v>0</v>
      </c>
      <c r="AF5392">
        <v>42000</v>
      </c>
      <c r="AG5392">
        <v>0</v>
      </c>
      <c r="AI5392">
        <v>42000</v>
      </c>
      <c r="AJ5392">
        <v>0</v>
      </c>
      <c r="AK5392">
        <v>0</v>
      </c>
      <c r="AL5392">
        <v>0</v>
      </c>
      <c r="AM5392">
        <v>42000</v>
      </c>
      <c r="AN5392">
        <v>0</v>
      </c>
      <c r="AO5392">
        <v>42000</v>
      </c>
      <c r="AP5392">
        <v>0</v>
      </c>
      <c r="AQ5392">
        <v>0</v>
      </c>
      <c r="AR5392">
        <v>0</v>
      </c>
      <c r="AS5392" t="s">
        <v>239</v>
      </c>
      <c r="AT5392" t="s">
        <v>514</v>
      </c>
    </row>
    <row r="5393" spans="2:46" x14ac:dyDescent="0.35">
      <c r="B5393" t="s">
        <v>566</v>
      </c>
      <c r="C5393">
        <v>45906</v>
      </c>
      <c r="J5393">
        <v>0</v>
      </c>
      <c r="O5393" t="s">
        <v>239</v>
      </c>
      <c r="P5393" t="s">
        <v>514</v>
      </c>
      <c r="U5393">
        <v>0</v>
      </c>
      <c r="Y5393">
        <v>979</v>
      </c>
      <c r="Z5393" s="259" t="s">
        <v>637</v>
      </c>
      <c r="AB5393">
        <v>0</v>
      </c>
      <c r="AF5393">
        <v>42000</v>
      </c>
      <c r="AG5393">
        <v>0</v>
      </c>
      <c r="AI5393">
        <v>42000</v>
      </c>
      <c r="AJ5393">
        <v>0</v>
      </c>
      <c r="AK5393">
        <v>0</v>
      </c>
      <c r="AL5393">
        <v>0</v>
      </c>
      <c r="AM5393">
        <v>42000</v>
      </c>
      <c r="AN5393">
        <v>0</v>
      </c>
      <c r="AO5393">
        <v>42000</v>
      </c>
      <c r="AP5393">
        <v>0</v>
      </c>
      <c r="AQ5393">
        <v>0</v>
      </c>
      <c r="AR5393">
        <v>0</v>
      </c>
      <c r="AS5393" t="s">
        <v>239</v>
      </c>
      <c r="AT5393" t="s">
        <v>514</v>
      </c>
    </row>
    <row r="5394" spans="2:46" x14ac:dyDescent="0.35">
      <c r="B5394" t="s">
        <v>566</v>
      </c>
      <c r="C5394">
        <v>45907</v>
      </c>
      <c r="J5394">
        <v>0</v>
      </c>
      <c r="O5394" t="s">
        <v>239</v>
      </c>
      <c r="P5394" t="s">
        <v>514</v>
      </c>
      <c r="U5394">
        <v>0</v>
      </c>
      <c r="Y5394">
        <v>980</v>
      </c>
      <c r="Z5394" s="259" t="s">
        <v>637</v>
      </c>
      <c r="AB5394">
        <v>0</v>
      </c>
      <c r="AF5394">
        <v>42000</v>
      </c>
      <c r="AG5394">
        <v>0</v>
      </c>
      <c r="AI5394">
        <v>42000</v>
      </c>
      <c r="AJ5394">
        <v>0</v>
      </c>
      <c r="AK5394">
        <v>0</v>
      </c>
      <c r="AL5394">
        <v>0</v>
      </c>
      <c r="AM5394">
        <v>42000</v>
      </c>
      <c r="AN5394">
        <v>0</v>
      </c>
      <c r="AO5394">
        <v>42000</v>
      </c>
      <c r="AP5394">
        <v>0</v>
      </c>
      <c r="AQ5394">
        <v>0</v>
      </c>
      <c r="AR5394">
        <v>0</v>
      </c>
      <c r="AS5394" t="s">
        <v>239</v>
      </c>
      <c r="AT5394" t="s">
        <v>514</v>
      </c>
    </row>
    <row r="5395" spans="2:46" x14ac:dyDescent="0.35">
      <c r="B5395" t="s">
        <v>566</v>
      </c>
      <c r="C5395">
        <v>45908</v>
      </c>
      <c r="J5395">
        <v>0</v>
      </c>
      <c r="O5395" t="s">
        <v>239</v>
      </c>
      <c r="P5395" t="s">
        <v>514</v>
      </c>
      <c r="U5395">
        <v>0</v>
      </c>
      <c r="Y5395">
        <v>981</v>
      </c>
      <c r="Z5395" s="259" t="s">
        <v>637</v>
      </c>
      <c r="AB5395">
        <v>0</v>
      </c>
      <c r="AF5395">
        <v>42000</v>
      </c>
      <c r="AG5395">
        <v>0</v>
      </c>
      <c r="AI5395">
        <v>42000</v>
      </c>
      <c r="AJ5395">
        <v>0</v>
      </c>
      <c r="AK5395">
        <v>0</v>
      </c>
      <c r="AL5395">
        <v>0</v>
      </c>
      <c r="AM5395">
        <v>42000</v>
      </c>
      <c r="AN5395">
        <v>0</v>
      </c>
      <c r="AO5395">
        <v>42000</v>
      </c>
      <c r="AP5395">
        <v>0</v>
      </c>
      <c r="AQ5395">
        <v>0</v>
      </c>
      <c r="AR5395">
        <v>0</v>
      </c>
      <c r="AS5395" t="s">
        <v>239</v>
      </c>
      <c r="AT5395" t="s">
        <v>514</v>
      </c>
    </row>
    <row r="5396" spans="2:46" x14ac:dyDescent="0.35">
      <c r="B5396" t="s">
        <v>566</v>
      </c>
      <c r="C5396">
        <v>45909</v>
      </c>
      <c r="J5396">
        <v>0</v>
      </c>
      <c r="O5396" t="s">
        <v>239</v>
      </c>
      <c r="P5396" t="s">
        <v>514</v>
      </c>
      <c r="U5396">
        <v>0</v>
      </c>
      <c r="Y5396">
        <v>982</v>
      </c>
      <c r="Z5396" s="259" t="s">
        <v>637</v>
      </c>
      <c r="AB5396">
        <v>0</v>
      </c>
      <c r="AF5396">
        <v>42000</v>
      </c>
      <c r="AG5396">
        <v>0</v>
      </c>
      <c r="AI5396">
        <v>42000</v>
      </c>
      <c r="AJ5396">
        <v>0</v>
      </c>
      <c r="AK5396">
        <v>0</v>
      </c>
      <c r="AL5396">
        <v>0</v>
      </c>
      <c r="AM5396">
        <v>42000</v>
      </c>
      <c r="AN5396">
        <v>0</v>
      </c>
      <c r="AO5396">
        <v>42000</v>
      </c>
      <c r="AP5396">
        <v>0</v>
      </c>
      <c r="AQ5396">
        <v>0</v>
      </c>
      <c r="AR5396">
        <v>0</v>
      </c>
      <c r="AS5396" t="s">
        <v>239</v>
      </c>
      <c r="AT5396" t="s">
        <v>514</v>
      </c>
    </row>
    <row r="5397" spans="2:46" x14ac:dyDescent="0.35">
      <c r="B5397" t="s">
        <v>566</v>
      </c>
      <c r="C5397">
        <v>45910</v>
      </c>
      <c r="J5397">
        <v>0</v>
      </c>
      <c r="O5397" t="s">
        <v>239</v>
      </c>
      <c r="P5397" t="s">
        <v>514</v>
      </c>
      <c r="U5397">
        <v>0</v>
      </c>
      <c r="Y5397">
        <v>983</v>
      </c>
      <c r="Z5397" s="259" t="s">
        <v>637</v>
      </c>
      <c r="AB5397">
        <v>0</v>
      </c>
      <c r="AF5397">
        <v>42000</v>
      </c>
      <c r="AG5397">
        <v>0</v>
      </c>
      <c r="AI5397">
        <v>42000</v>
      </c>
      <c r="AJ5397">
        <v>0</v>
      </c>
      <c r="AK5397">
        <v>0</v>
      </c>
      <c r="AL5397">
        <v>0</v>
      </c>
      <c r="AM5397">
        <v>42000</v>
      </c>
      <c r="AN5397">
        <v>0</v>
      </c>
      <c r="AO5397">
        <v>42000</v>
      </c>
      <c r="AP5397">
        <v>0</v>
      </c>
      <c r="AQ5397">
        <v>0</v>
      </c>
      <c r="AR5397">
        <v>0</v>
      </c>
      <c r="AS5397" t="s">
        <v>239</v>
      </c>
      <c r="AT5397" t="s">
        <v>514</v>
      </c>
    </row>
    <row r="5398" spans="2:46" x14ac:dyDescent="0.35">
      <c r="B5398" t="s">
        <v>566</v>
      </c>
      <c r="C5398">
        <v>45911</v>
      </c>
      <c r="J5398">
        <v>0</v>
      </c>
      <c r="O5398" t="s">
        <v>239</v>
      </c>
      <c r="P5398" t="s">
        <v>514</v>
      </c>
      <c r="U5398">
        <v>0</v>
      </c>
      <c r="Y5398">
        <v>984</v>
      </c>
      <c r="Z5398" s="259" t="s">
        <v>637</v>
      </c>
      <c r="AB5398">
        <v>0</v>
      </c>
      <c r="AF5398">
        <v>42000</v>
      </c>
      <c r="AG5398">
        <v>0</v>
      </c>
      <c r="AI5398">
        <v>42000</v>
      </c>
      <c r="AJ5398">
        <v>0</v>
      </c>
      <c r="AK5398">
        <v>0</v>
      </c>
      <c r="AL5398">
        <v>0</v>
      </c>
      <c r="AM5398">
        <v>42000</v>
      </c>
      <c r="AN5398">
        <v>0</v>
      </c>
      <c r="AO5398">
        <v>42000</v>
      </c>
      <c r="AP5398">
        <v>0</v>
      </c>
      <c r="AQ5398">
        <v>0</v>
      </c>
      <c r="AR5398">
        <v>0</v>
      </c>
      <c r="AS5398" t="s">
        <v>239</v>
      </c>
      <c r="AT5398" t="s">
        <v>514</v>
      </c>
    </row>
    <row r="5399" spans="2:46" x14ac:dyDescent="0.35">
      <c r="B5399" t="s">
        <v>566</v>
      </c>
      <c r="C5399">
        <v>45912</v>
      </c>
      <c r="J5399">
        <v>0</v>
      </c>
      <c r="O5399" t="s">
        <v>239</v>
      </c>
      <c r="P5399" t="s">
        <v>514</v>
      </c>
      <c r="U5399">
        <v>0</v>
      </c>
      <c r="Y5399">
        <v>985</v>
      </c>
      <c r="Z5399" s="259" t="s">
        <v>637</v>
      </c>
      <c r="AB5399">
        <v>0</v>
      </c>
      <c r="AF5399">
        <v>42000</v>
      </c>
      <c r="AG5399">
        <v>0</v>
      </c>
      <c r="AI5399">
        <v>42000</v>
      </c>
      <c r="AJ5399">
        <v>0</v>
      </c>
      <c r="AK5399">
        <v>0</v>
      </c>
      <c r="AL5399">
        <v>0</v>
      </c>
      <c r="AM5399">
        <v>42000</v>
      </c>
      <c r="AN5399">
        <v>0</v>
      </c>
      <c r="AO5399">
        <v>42000</v>
      </c>
      <c r="AP5399">
        <v>0</v>
      </c>
      <c r="AQ5399">
        <v>0</v>
      </c>
      <c r="AR5399">
        <v>0</v>
      </c>
      <c r="AS5399" t="s">
        <v>239</v>
      </c>
      <c r="AT5399" t="s">
        <v>514</v>
      </c>
    </row>
    <row r="5400" spans="2:46" x14ac:dyDescent="0.35">
      <c r="B5400" t="s">
        <v>566</v>
      </c>
      <c r="C5400">
        <v>45913</v>
      </c>
      <c r="J5400">
        <v>0</v>
      </c>
      <c r="O5400" t="s">
        <v>239</v>
      </c>
      <c r="P5400" t="s">
        <v>514</v>
      </c>
      <c r="U5400">
        <v>0</v>
      </c>
      <c r="Y5400">
        <v>986</v>
      </c>
      <c r="Z5400" s="259" t="s">
        <v>637</v>
      </c>
      <c r="AB5400">
        <v>0</v>
      </c>
      <c r="AF5400">
        <v>42000</v>
      </c>
      <c r="AG5400">
        <v>0</v>
      </c>
      <c r="AI5400">
        <v>42000</v>
      </c>
      <c r="AJ5400">
        <v>0</v>
      </c>
      <c r="AK5400">
        <v>0</v>
      </c>
      <c r="AL5400">
        <v>0</v>
      </c>
      <c r="AM5400">
        <v>42000</v>
      </c>
      <c r="AN5400">
        <v>0</v>
      </c>
      <c r="AO5400">
        <v>42000</v>
      </c>
      <c r="AP5400">
        <v>0</v>
      </c>
      <c r="AQ5400">
        <v>0</v>
      </c>
      <c r="AR5400">
        <v>0</v>
      </c>
      <c r="AS5400" t="s">
        <v>239</v>
      </c>
      <c r="AT5400" t="s">
        <v>514</v>
      </c>
    </row>
    <row r="5401" spans="2:46" x14ac:dyDescent="0.35">
      <c r="B5401" t="s">
        <v>566</v>
      </c>
      <c r="C5401">
        <v>45914</v>
      </c>
      <c r="J5401">
        <v>0</v>
      </c>
      <c r="O5401" t="s">
        <v>239</v>
      </c>
      <c r="P5401" t="s">
        <v>514</v>
      </c>
      <c r="U5401">
        <v>0</v>
      </c>
      <c r="Y5401">
        <v>987</v>
      </c>
      <c r="Z5401" s="259" t="s">
        <v>637</v>
      </c>
      <c r="AB5401">
        <v>0</v>
      </c>
      <c r="AF5401">
        <v>42000</v>
      </c>
      <c r="AG5401">
        <v>0</v>
      </c>
      <c r="AI5401">
        <v>42000</v>
      </c>
      <c r="AJ5401">
        <v>0</v>
      </c>
      <c r="AK5401">
        <v>0</v>
      </c>
      <c r="AL5401">
        <v>0</v>
      </c>
      <c r="AM5401">
        <v>42000</v>
      </c>
      <c r="AN5401">
        <v>0</v>
      </c>
      <c r="AO5401">
        <v>42000</v>
      </c>
      <c r="AP5401">
        <v>0</v>
      </c>
      <c r="AQ5401">
        <v>0</v>
      </c>
      <c r="AR5401">
        <v>0</v>
      </c>
      <c r="AS5401" t="s">
        <v>239</v>
      </c>
      <c r="AT5401" t="s">
        <v>514</v>
      </c>
    </row>
    <row r="5402" spans="2:46" x14ac:dyDescent="0.35">
      <c r="B5402" t="s">
        <v>566</v>
      </c>
      <c r="C5402">
        <v>45915</v>
      </c>
      <c r="J5402">
        <v>0</v>
      </c>
      <c r="O5402" t="s">
        <v>239</v>
      </c>
      <c r="P5402" t="s">
        <v>514</v>
      </c>
      <c r="U5402">
        <v>0</v>
      </c>
      <c r="Y5402">
        <v>988</v>
      </c>
      <c r="Z5402" s="259" t="s">
        <v>637</v>
      </c>
      <c r="AB5402">
        <v>0</v>
      </c>
      <c r="AF5402">
        <v>42000</v>
      </c>
      <c r="AG5402">
        <v>0</v>
      </c>
      <c r="AI5402">
        <v>42000</v>
      </c>
      <c r="AJ5402">
        <v>0</v>
      </c>
      <c r="AK5402">
        <v>0</v>
      </c>
      <c r="AL5402">
        <v>0</v>
      </c>
      <c r="AM5402">
        <v>42000</v>
      </c>
      <c r="AN5402">
        <v>0</v>
      </c>
      <c r="AO5402">
        <v>42000</v>
      </c>
      <c r="AP5402">
        <v>0</v>
      </c>
      <c r="AQ5402">
        <v>0</v>
      </c>
      <c r="AR5402">
        <v>0</v>
      </c>
      <c r="AS5402" t="s">
        <v>239</v>
      </c>
      <c r="AT5402" t="s">
        <v>514</v>
      </c>
    </row>
    <row r="5403" spans="2:46" x14ac:dyDescent="0.35">
      <c r="B5403" t="s">
        <v>566</v>
      </c>
      <c r="C5403">
        <v>45916</v>
      </c>
      <c r="J5403">
        <v>0</v>
      </c>
      <c r="O5403" t="s">
        <v>239</v>
      </c>
      <c r="P5403" t="s">
        <v>514</v>
      </c>
      <c r="U5403">
        <v>0</v>
      </c>
      <c r="Y5403">
        <v>989</v>
      </c>
      <c r="Z5403" s="259" t="s">
        <v>637</v>
      </c>
      <c r="AB5403">
        <v>0</v>
      </c>
      <c r="AF5403">
        <v>42000</v>
      </c>
      <c r="AG5403">
        <v>0</v>
      </c>
      <c r="AI5403">
        <v>42000</v>
      </c>
      <c r="AJ5403">
        <v>0</v>
      </c>
      <c r="AK5403">
        <v>0</v>
      </c>
      <c r="AL5403">
        <v>0</v>
      </c>
      <c r="AM5403">
        <v>42000</v>
      </c>
      <c r="AN5403">
        <v>0</v>
      </c>
      <c r="AO5403">
        <v>42000</v>
      </c>
      <c r="AP5403">
        <v>0</v>
      </c>
      <c r="AQ5403">
        <v>0</v>
      </c>
      <c r="AR5403">
        <v>0</v>
      </c>
      <c r="AS5403" t="s">
        <v>239</v>
      </c>
      <c r="AT5403" t="s">
        <v>514</v>
      </c>
    </row>
    <row r="5404" spans="2:46" x14ac:dyDescent="0.35">
      <c r="B5404" t="s">
        <v>566</v>
      </c>
      <c r="C5404">
        <v>45917</v>
      </c>
      <c r="J5404">
        <v>0</v>
      </c>
      <c r="O5404" t="s">
        <v>239</v>
      </c>
      <c r="P5404" t="s">
        <v>514</v>
      </c>
      <c r="U5404">
        <v>0</v>
      </c>
      <c r="Y5404">
        <v>990</v>
      </c>
      <c r="Z5404" s="259" t="s">
        <v>637</v>
      </c>
      <c r="AB5404">
        <v>0</v>
      </c>
      <c r="AF5404">
        <v>42000</v>
      </c>
      <c r="AG5404">
        <v>0</v>
      </c>
      <c r="AI5404">
        <v>42000</v>
      </c>
      <c r="AJ5404">
        <v>0</v>
      </c>
      <c r="AK5404">
        <v>0</v>
      </c>
      <c r="AL5404">
        <v>0</v>
      </c>
      <c r="AM5404">
        <v>42000</v>
      </c>
      <c r="AN5404">
        <v>0</v>
      </c>
      <c r="AO5404">
        <v>42000</v>
      </c>
      <c r="AP5404">
        <v>0</v>
      </c>
      <c r="AQ5404">
        <v>0</v>
      </c>
      <c r="AR5404">
        <v>0</v>
      </c>
      <c r="AS5404" t="s">
        <v>239</v>
      </c>
      <c r="AT5404" t="s">
        <v>514</v>
      </c>
    </row>
    <row r="5405" spans="2:46" x14ac:dyDescent="0.35">
      <c r="B5405" t="s">
        <v>566</v>
      </c>
      <c r="C5405">
        <v>45918</v>
      </c>
      <c r="J5405">
        <v>0</v>
      </c>
      <c r="O5405" t="s">
        <v>239</v>
      </c>
      <c r="P5405" t="s">
        <v>514</v>
      </c>
      <c r="U5405">
        <v>0</v>
      </c>
      <c r="Y5405">
        <v>991</v>
      </c>
      <c r="Z5405" s="259" t="s">
        <v>637</v>
      </c>
      <c r="AB5405">
        <v>0</v>
      </c>
      <c r="AF5405">
        <v>42000</v>
      </c>
      <c r="AG5405">
        <v>0</v>
      </c>
      <c r="AI5405">
        <v>42000</v>
      </c>
      <c r="AJ5405">
        <v>0</v>
      </c>
      <c r="AK5405">
        <v>0</v>
      </c>
      <c r="AL5405">
        <v>0</v>
      </c>
      <c r="AM5405">
        <v>42000</v>
      </c>
      <c r="AN5405">
        <v>0</v>
      </c>
      <c r="AO5405">
        <v>42000</v>
      </c>
      <c r="AP5405">
        <v>0</v>
      </c>
      <c r="AQ5405">
        <v>0</v>
      </c>
      <c r="AR5405">
        <v>0</v>
      </c>
      <c r="AS5405" t="s">
        <v>239</v>
      </c>
      <c r="AT5405" t="s">
        <v>514</v>
      </c>
    </row>
    <row r="5406" spans="2:46" x14ac:dyDescent="0.35">
      <c r="B5406" t="s">
        <v>566</v>
      </c>
      <c r="C5406">
        <v>45919</v>
      </c>
      <c r="J5406">
        <v>0</v>
      </c>
      <c r="O5406" t="s">
        <v>239</v>
      </c>
      <c r="P5406" t="s">
        <v>514</v>
      </c>
      <c r="U5406">
        <v>0</v>
      </c>
      <c r="Y5406">
        <v>992</v>
      </c>
      <c r="Z5406" s="259" t="s">
        <v>637</v>
      </c>
      <c r="AB5406">
        <v>0</v>
      </c>
      <c r="AF5406">
        <v>42000</v>
      </c>
      <c r="AG5406">
        <v>0</v>
      </c>
      <c r="AI5406">
        <v>42000</v>
      </c>
      <c r="AJ5406">
        <v>0</v>
      </c>
      <c r="AK5406">
        <v>0</v>
      </c>
      <c r="AL5406">
        <v>0</v>
      </c>
      <c r="AM5406">
        <v>42000</v>
      </c>
      <c r="AN5406">
        <v>0</v>
      </c>
      <c r="AO5406">
        <v>42000</v>
      </c>
      <c r="AP5406">
        <v>0</v>
      </c>
      <c r="AQ5406">
        <v>0</v>
      </c>
      <c r="AR5406">
        <v>0</v>
      </c>
      <c r="AS5406" t="s">
        <v>239</v>
      </c>
      <c r="AT5406" t="s">
        <v>514</v>
      </c>
    </row>
    <row r="5407" spans="2:46" x14ac:dyDescent="0.35">
      <c r="B5407" t="s">
        <v>566</v>
      </c>
      <c r="C5407">
        <v>45920</v>
      </c>
      <c r="J5407">
        <v>0</v>
      </c>
      <c r="O5407" t="s">
        <v>239</v>
      </c>
      <c r="P5407" t="s">
        <v>514</v>
      </c>
      <c r="U5407">
        <v>0</v>
      </c>
      <c r="Y5407">
        <v>993</v>
      </c>
      <c r="Z5407" s="259" t="s">
        <v>637</v>
      </c>
      <c r="AB5407">
        <v>0</v>
      </c>
      <c r="AF5407">
        <v>42000</v>
      </c>
      <c r="AG5407">
        <v>0</v>
      </c>
      <c r="AI5407">
        <v>42000</v>
      </c>
      <c r="AJ5407">
        <v>0</v>
      </c>
      <c r="AK5407">
        <v>0</v>
      </c>
      <c r="AL5407">
        <v>0</v>
      </c>
      <c r="AM5407">
        <v>42000</v>
      </c>
      <c r="AN5407">
        <v>0</v>
      </c>
      <c r="AO5407">
        <v>42000</v>
      </c>
      <c r="AP5407">
        <v>0</v>
      </c>
      <c r="AQ5407">
        <v>0</v>
      </c>
      <c r="AR5407">
        <v>0</v>
      </c>
      <c r="AS5407" t="s">
        <v>239</v>
      </c>
      <c r="AT5407" t="s">
        <v>514</v>
      </c>
    </row>
    <row r="5408" spans="2:46" x14ac:dyDescent="0.35">
      <c r="B5408" t="s">
        <v>566</v>
      </c>
      <c r="C5408">
        <v>45921</v>
      </c>
      <c r="J5408">
        <v>0</v>
      </c>
      <c r="O5408" t="s">
        <v>239</v>
      </c>
      <c r="P5408" t="s">
        <v>514</v>
      </c>
      <c r="U5408">
        <v>0</v>
      </c>
      <c r="Y5408">
        <v>994</v>
      </c>
      <c r="Z5408" s="259" t="s">
        <v>637</v>
      </c>
      <c r="AB5408">
        <v>0</v>
      </c>
      <c r="AF5408">
        <v>42000</v>
      </c>
      <c r="AG5408">
        <v>0</v>
      </c>
      <c r="AI5408">
        <v>42000</v>
      </c>
      <c r="AJ5408">
        <v>0</v>
      </c>
      <c r="AK5408">
        <v>0</v>
      </c>
      <c r="AL5408">
        <v>0</v>
      </c>
      <c r="AM5408">
        <v>42000</v>
      </c>
      <c r="AN5408">
        <v>0</v>
      </c>
      <c r="AO5408">
        <v>42000</v>
      </c>
      <c r="AP5408">
        <v>0</v>
      </c>
      <c r="AQ5408">
        <v>0</v>
      </c>
      <c r="AR5408">
        <v>0</v>
      </c>
      <c r="AS5408" t="s">
        <v>239</v>
      </c>
      <c r="AT5408" t="s">
        <v>514</v>
      </c>
    </row>
    <row r="5409" spans="2:46" x14ac:dyDescent="0.35">
      <c r="B5409" t="s">
        <v>566</v>
      </c>
      <c r="C5409">
        <v>45922</v>
      </c>
      <c r="J5409">
        <v>0</v>
      </c>
      <c r="O5409" t="s">
        <v>239</v>
      </c>
      <c r="P5409" t="s">
        <v>514</v>
      </c>
      <c r="U5409">
        <v>0</v>
      </c>
      <c r="Y5409">
        <v>995</v>
      </c>
      <c r="Z5409" s="259" t="s">
        <v>637</v>
      </c>
      <c r="AB5409">
        <v>0</v>
      </c>
      <c r="AF5409">
        <v>42000</v>
      </c>
      <c r="AG5409">
        <v>0</v>
      </c>
      <c r="AI5409">
        <v>42000</v>
      </c>
      <c r="AJ5409">
        <v>0</v>
      </c>
      <c r="AK5409">
        <v>0</v>
      </c>
      <c r="AL5409">
        <v>0</v>
      </c>
      <c r="AM5409">
        <v>42000</v>
      </c>
      <c r="AN5409">
        <v>0</v>
      </c>
      <c r="AO5409">
        <v>42000</v>
      </c>
      <c r="AP5409">
        <v>0</v>
      </c>
      <c r="AQ5409">
        <v>0</v>
      </c>
      <c r="AR5409">
        <v>0</v>
      </c>
      <c r="AS5409" t="s">
        <v>239</v>
      </c>
      <c r="AT5409" t="s">
        <v>514</v>
      </c>
    </row>
    <row r="5410" spans="2:46" x14ac:dyDescent="0.35">
      <c r="B5410" t="s">
        <v>566</v>
      </c>
      <c r="C5410">
        <v>45923</v>
      </c>
      <c r="J5410">
        <v>0</v>
      </c>
      <c r="O5410" t="s">
        <v>239</v>
      </c>
      <c r="P5410" t="s">
        <v>514</v>
      </c>
      <c r="U5410">
        <v>0</v>
      </c>
      <c r="Y5410">
        <v>996</v>
      </c>
      <c r="Z5410" s="259" t="s">
        <v>637</v>
      </c>
      <c r="AB5410">
        <v>0</v>
      </c>
      <c r="AF5410">
        <v>42000</v>
      </c>
      <c r="AG5410">
        <v>0</v>
      </c>
      <c r="AI5410">
        <v>42000</v>
      </c>
      <c r="AJ5410">
        <v>0</v>
      </c>
      <c r="AK5410">
        <v>0</v>
      </c>
      <c r="AL5410">
        <v>0</v>
      </c>
      <c r="AM5410">
        <v>42000</v>
      </c>
      <c r="AN5410">
        <v>0</v>
      </c>
      <c r="AO5410">
        <v>42000</v>
      </c>
      <c r="AP5410">
        <v>0</v>
      </c>
      <c r="AQ5410">
        <v>0</v>
      </c>
      <c r="AR5410">
        <v>0</v>
      </c>
      <c r="AS5410" t="s">
        <v>239</v>
      </c>
      <c r="AT5410" t="s">
        <v>514</v>
      </c>
    </row>
    <row r="5411" spans="2:46" x14ac:dyDescent="0.35">
      <c r="B5411" t="s">
        <v>566</v>
      </c>
      <c r="C5411">
        <v>45924</v>
      </c>
      <c r="J5411">
        <v>0</v>
      </c>
      <c r="O5411" t="s">
        <v>239</v>
      </c>
      <c r="P5411" t="s">
        <v>514</v>
      </c>
      <c r="U5411">
        <v>0</v>
      </c>
      <c r="Y5411">
        <v>997</v>
      </c>
      <c r="Z5411" s="259" t="s">
        <v>637</v>
      </c>
      <c r="AB5411">
        <v>0</v>
      </c>
      <c r="AF5411">
        <v>42000</v>
      </c>
      <c r="AG5411">
        <v>0</v>
      </c>
      <c r="AI5411">
        <v>42000</v>
      </c>
      <c r="AJ5411">
        <v>0</v>
      </c>
      <c r="AK5411">
        <v>0</v>
      </c>
      <c r="AL5411">
        <v>0</v>
      </c>
      <c r="AM5411">
        <v>42000</v>
      </c>
      <c r="AN5411">
        <v>0</v>
      </c>
      <c r="AO5411">
        <v>42000</v>
      </c>
      <c r="AP5411">
        <v>0</v>
      </c>
      <c r="AQ5411">
        <v>0</v>
      </c>
      <c r="AR5411">
        <v>0</v>
      </c>
      <c r="AS5411" t="s">
        <v>239</v>
      </c>
      <c r="AT5411" t="s">
        <v>514</v>
      </c>
    </row>
    <row r="5412" spans="2:46" x14ac:dyDescent="0.35">
      <c r="B5412" t="s">
        <v>566</v>
      </c>
      <c r="C5412">
        <v>45925</v>
      </c>
      <c r="J5412">
        <v>0</v>
      </c>
      <c r="O5412" t="s">
        <v>239</v>
      </c>
      <c r="P5412" t="s">
        <v>514</v>
      </c>
      <c r="U5412">
        <v>0</v>
      </c>
      <c r="Y5412">
        <v>998</v>
      </c>
      <c r="Z5412" s="259" t="s">
        <v>637</v>
      </c>
      <c r="AB5412">
        <v>0</v>
      </c>
      <c r="AF5412">
        <v>42000</v>
      </c>
      <c r="AG5412">
        <v>0</v>
      </c>
      <c r="AI5412">
        <v>42000</v>
      </c>
      <c r="AJ5412">
        <v>0</v>
      </c>
      <c r="AK5412">
        <v>0</v>
      </c>
      <c r="AL5412">
        <v>0</v>
      </c>
      <c r="AM5412">
        <v>42000</v>
      </c>
      <c r="AN5412">
        <v>0</v>
      </c>
      <c r="AO5412">
        <v>42000</v>
      </c>
      <c r="AP5412">
        <v>0</v>
      </c>
      <c r="AQ5412">
        <v>0</v>
      </c>
      <c r="AR5412">
        <v>0</v>
      </c>
      <c r="AS5412" t="s">
        <v>239</v>
      </c>
      <c r="AT5412" t="s">
        <v>514</v>
      </c>
    </row>
    <row r="5413" spans="2:46" x14ac:dyDescent="0.35">
      <c r="B5413" t="s">
        <v>566</v>
      </c>
      <c r="C5413">
        <v>45926</v>
      </c>
      <c r="J5413">
        <v>0</v>
      </c>
      <c r="O5413" t="s">
        <v>239</v>
      </c>
      <c r="P5413" t="s">
        <v>514</v>
      </c>
      <c r="U5413">
        <v>0</v>
      </c>
      <c r="Y5413">
        <v>999</v>
      </c>
      <c r="Z5413" s="259" t="s">
        <v>637</v>
      </c>
      <c r="AB5413">
        <v>0</v>
      </c>
      <c r="AF5413">
        <v>42000</v>
      </c>
      <c r="AG5413">
        <v>0</v>
      </c>
      <c r="AI5413">
        <v>42000</v>
      </c>
      <c r="AJ5413">
        <v>0</v>
      </c>
      <c r="AK5413">
        <v>0</v>
      </c>
      <c r="AL5413">
        <v>0</v>
      </c>
      <c r="AM5413">
        <v>42000</v>
      </c>
      <c r="AN5413">
        <v>0</v>
      </c>
      <c r="AO5413">
        <v>42000</v>
      </c>
      <c r="AP5413">
        <v>0</v>
      </c>
      <c r="AQ5413">
        <v>0</v>
      </c>
      <c r="AR5413">
        <v>0</v>
      </c>
      <c r="AS5413" t="s">
        <v>239</v>
      </c>
      <c r="AT5413" t="s">
        <v>514</v>
      </c>
    </row>
    <row r="5414" spans="2:46" x14ac:dyDescent="0.35">
      <c r="B5414" t="s">
        <v>566</v>
      </c>
      <c r="C5414">
        <v>45927</v>
      </c>
      <c r="J5414">
        <v>0</v>
      </c>
      <c r="O5414" t="s">
        <v>239</v>
      </c>
      <c r="P5414" t="s">
        <v>514</v>
      </c>
      <c r="U5414">
        <v>0</v>
      </c>
      <c r="Y5414">
        <v>1000</v>
      </c>
      <c r="Z5414" s="259" t="s">
        <v>637</v>
      </c>
      <c r="AB5414">
        <v>0</v>
      </c>
      <c r="AF5414">
        <v>42000</v>
      </c>
      <c r="AG5414">
        <v>0</v>
      </c>
      <c r="AI5414">
        <v>42000</v>
      </c>
      <c r="AJ5414">
        <v>0</v>
      </c>
      <c r="AK5414">
        <v>0</v>
      </c>
      <c r="AL5414">
        <v>0</v>
      </c>
      <c r="AM5414">
        <v>42000</v>
      </c>
      <c r="AN5414">
        <v>0</v>
      </c>
      <c r="AO5414">
        <v>42000</v>
      </c>
      <c r="AP5414">
        <v>0</v>
      </c>
      <c r="AQ5414">
        <v>0</v>
      </c>
      <c r="AR5414">
        <v>0</v>
      </c>
      <c r="AS5414" t="s">
        <v>239</v>
      </c>
      <c r="AT5414" t="s">
        <v>514</v>
      </c>
    </row>
    <row r="5415" spans="2:46" x14ac:dyDescent="0.35">
      <c r="B5415" t="s">
        <v>566</v>
      </c>
      <c r="C5415">
        <v>45928</v>
      </c>
      <c r="J5415">
        <v>0</v>
      </c>
      <c r="O5415" t="s">
        <v>239</v>
      </c>
      <c r="P5415" t="s">
        <v>514</v>
      </c>
      <c r="U5415">
        <v>0</v>
      </c>
      <c r="Y5415">
        <v>1001</v>
      </c>
      <c r="Z5415" s="259" t="s">
        <v>637</v>
      </c>
      <c r="AB5415">
        <v>0</v>
      </c>
      <c r="AF5415">
        <v>42000</v>
      </c>
      <c r="AG5415">
        <v>0</v>
      </c>
      <c r="AI5415">
        <v>42000</v>
      </c>
      <c r="AJ5415">
        <v>0</v>
      </c>
      <c r="AK5415">
        <v>0</v>
      </c>
      <c r="AL5415">
        <v>0</v>
      </c>
      <c r="AM5415">
        <v>42000</v>
      </c>
      <c r="AN5415">
        <v>0</v>
      </c>
      <c r="AO5415">
        <v>42000</v>
      </c>
      <c r="AP5415">
        <v>0</v>
      </c>
      <c r="AQ5415">
        <v>0</v>
      </c>
      <c r="AR5415">
        <v>0</v>
      </c>
      <c r="AS5415" t="s">
        <v>239</v>
      </c>
      <c r="AT5415" t="s">
        <v>514</v>
      </c>
    </row>
    <row r="5416" spans="2:46" x14ac:dyDescent="0.35">
      <c r="B5416" t="s">
        <v>566</v>
      </c>
      <c r="C5416">
        <v>45929</v>
      </c>
      <c r="J5416">
        <v>0</v>
      </c>
      <c r="O5416" t="s">
        <v>239</v>
      </c>
      <c r="P5416" t="s">
        <v>514</v>
      </c>
      <c r="U5416">
        <v>0</v>
      </c>
      <c r="Y5416">
        <v>1002</v>
      </c>
      <c r="Z5416" s="259" t="s">
        <v>637</v>
      </c>
      <c r="AB5416">
        <v>0</v>
      </c>
      <c r="AF5416">
        <v>42000</v>
      </c>
      <c r="AG5416">
        <v>0</v>
      </c>
      <c r="AI5416">
        <v>42000</v>
      </c>
      <c r="AJ5416">
        <v>0</v>
      </c>
      <c r="AK5416">
        <v>0</v>
      </c>
      <c r="AL5416">
        <v>0</v>
      </c>
      <c r="AM5416">
        <v>42000</v>
      </c>
      <c r="AN5416">
        <v>0</v>
      </c>
      <c r="AO5416">
        <v>42000</v>
      </c>
      <c r="AP5416">
        <v>0</v>
      </c>
      <c r="AQ5416">
        <v>0</v>
      </c>
      <c r="AR5416">
        <v>0</v>
      </c>
      <c r="AS5416" t="s">
        <v>239</v>
      </c>
      <c r="AT5416" t="s">
        <v>514</v>
      </c>
    </row>
    <row r="5417" spans="2:46" x14ac:dyDescent="0.35">
      <c r="B5417" t="s">
        <v>566</v>
      </c>
      <c r="C5417">
        <v>45930</v>
      </c>
      <c r="J5417">
        <v>0</v>
      </c>
      <c r="O5417" t="s">
        <v>239</v>
      </c>
      <c r="P5417" t="s">
        <v>514</v>
      </c>
      <c r="U5417">
        <v>0</v>
      </c>
      <c r="Y5417">
        <v>1003</v>
      </c>
      <c r="Z5417" s="259" t="s">
        <v>637</v>
      </c>
      <c r="AB5417">
        <v>0</v>
      </c>
      <c r="AF5417">
        <v>42000</v>
      </c>
      <c r="AG5417">
        <v>0</v>
      </c>
      <c r="AI5417">
        <v>42000</v>
      </c>
      <c r="AJ5417">
        <v>0</v>
      </c>
      <c r="AK5417">
        <v>0</v>
      </c>
      <c r="AL5417">
        <v>0</v>
      </c>
      <c r="AM5417">
        <v>42000</v>
      </c>
      <c r="AN5417">
        <v>0</v>
      </c>
      <c r="AO5417">
        <v>42000</v>
      </c>
      <c r="AP5417">
        <v>0</v>
      </c>
      <c r="AQ5417">
        <v>0</v>
      </c>
      <c r="AR5417">
        <v>0</v>
      </c>
      <c r="AS5417" t="s">
        <v>239</v>
      </c>
      <c r="AT5417" t="s">
        <v>514</v>
      </c>
    </row>
    <row r="5418" spans="2:46" x14ac:dyDescent="0.35">
      <c r="B5418" t="s">
        <v>566</v>
      </c>
      <c r="C5418">
        <v>45931</v>
      </c>
      <c r="J5418">
        <v>0</v>
      </c>
      <c r="O5418" t="s">
        <v>239</v>
      </c>
      <c r="P5418" t="s">
        <v>514</v>
      </c>
      <c r="U5418">
        <v>0</v>
      </c>
      <c r="Y5418">
        <v>1004</v>
      </c>
      <c r="Z5418" s="259" t="s">
        <v>637</v>
      </c>
      <c r="AB5418">
        <v>0</v>
      </c>
      <c r="AF5418">
        <v>42000</v>
      </c>
      <c r="AG5418">
        <v>0</v>
      </c>
      <c r="AI5418">
        <v>42000</v>
      </c>
      <c r="AJ5418">
        <v>0</v>
      </c>
      <c r="AK5418">
        <v>0</v>
      </c>
      <c r="AL5418">
        <v>0</v>
      </c>
      <c r="AM5418">
        <v>42000</v>
      </c>
      <c r="AN5418">
        <v>0</v>
      </c>
      <c r="AO5418">
        <v>42000</v>
      </c>
      <c r="AP5418">
        <v>0</v>
      </c>
      <c r="AQ5418">
        <v>0</v>
      </c>
      <c r="AR5418">
        <v>0</v>
      </c>
      <c r="AS5418" t="s">
        <v>239</v>
      </c>
      <c r="AT5418" t="s">
        <v>514</v>
      </c>
    </row>
    <row r="5419" spans="2:46" x14ac:dyDescent="0.35">
      <c r="B5419" t="s">
        <v>566</v>
      </c>
      <c r="C5419">
        <v>45932</v>
      </c>
      <c r="J5419">
        <v>0</v>
      </c>
      <c r="O5419" t="s">
        <v>239</v>
      </c>
      <c r="P5419" t="s">
        <v>514</v>
      </c>
      <c r="U5419">
        <v>0</v>
      </c>
      <c r="Y5419">
        <v>1005</v>
      </c>
      <c r="Z5419" s="259" t="s">
        <v>637</v>
      </c>
      <c r="AB5419">
        <v>0</v>
      </c>
      <c r="AF5419">
        <v>42000</v>
      </c>
      <c r="AG5419">
        <v>0</v>
      </c>
      <c r="AI5419">
        <v>42000</v>
      </c>
      <c r="AJ5419">
        <v>0</v>
      </c>
      <c r="AK5419">
        <v>0</v>
      </c>
      <c r="AL5419">
        <v>0</v>
      </c>
      <c r="AM5419">
        <v>42000</v>
      </c>
      <c r="AN5419">
        <v>0</v>
      </c>
      <c r="AO5419">
        <v>42000</v>
      </c>
      <c r="AP5419">
        <v>0</v>
      </c>
      <c r="AQ5419">
        <v>0</v>
      </c>
      <c r="AR5419">
        <v>0</v>
      </c>
      <c r="AS5419" t="s">
        <v>239</v>
      </c>
      <c r="AT5419" t="s">
        <v>514</v>
      </c>
    </row>
    <row r="5420" spans="2:46" x14ac:dyDescent="0.35">
      <c r="B5420" t="s">
        <v>566</v>
      </c>
      <c r="C5420">
        <v>45933</v>
      </c>
      <c r="J5420">
        <v>0</v>
      </c>
      <c r="O5420" t="s">
        <v>239</v>
      </c>
      <c r="P5420" t="s">
        <v>514</v>
      </c>
      <c r="U5420">
        <v>0</v>
      </c>
      <c r="Y5420">
        <v>1006</v>
      </c>
      <c r="Z5420" s="259" t="s">
        <v>637</v>
      </c>
      <c r="AB5420">
        <v>0</v>
      </c>
      <c r="AF5420">
        <v>42000</v>
      </c>
      <c r="AG5420">
        <v>0</v>
      </c>
      <c r="AI5420">
        <v>42000</v>
      </c>
      <c r="AJ5420">
        <v>0</v>
      </c>
      <c r="AK5420">
        <v>0</v>
      </c>
      <c r="AL5420">
        <v>0</v>
      </c>
      <c r="AM5420">
        <v>42000</v>
      </c>
      <c r="AN5420">
        <v>0</v>
      </c>
      <c r="AO5420">
        <v>42000</v>
      </c>
      <c r="AP5420">
        <v>0</v>
      </c>
      <c r="AQ5420">
        <v>0</v>
      </c>
      <c r="AR5420">
        <v>0</v>
      </c>
      <c r="AS5420" t="s">
        <v>239</v>
      </c>
      <c r="AT5420" t="s">
        <v>514</v>
      </c>
    </row>
    <row r="5421" spans="2:46" x14ac:dyDescent="0.35">
      <c r="B5421" t="s">
        <v>566</v>
      </c>
      <c r="C5421">
        <v>45934</v>
      </c>
      <c r="J5421">
        <v>0</v>
      </c>
      <c r="O5421" t="s">
        <v>239</v>
      </c>
      <c r="P5421" t="s">
        <v>514</v>
      </c>
      <c r="U5421">
        <v>0</v>
      </c>
      <c r="Y5421">
        <v>1007</v>
      </c>
      <c r="Z5421" s="259" t="s">
        <v>637</v>
      </c>
      <c r="AB5421">
        <v>0</v>
      </c>
      <c r="AF5421">
        <v>42000</v>
      </c>
      <c r="AG5421">
        <v>0</v>
      </c>
      <c r="AI5421">
        <v>42000</v>
      </c>
      <c r="AJ5421">
        <v>0</v>
      </c>
      <c r="AK5421">
        <v>0</v>
      </c>
      <c r="AL5421">
        <v>0</v>
      </c>
      <c r="AM5421">
        <v>42000</v>
      </c>
      <c r="AN5421">
        <v>0</v>
      </c>
      <c r="AO5421">
        <v>42000</v>
      </c>
      <c r="AP5421">
        <v>0</v>
      </c>
      <c r="AQ5421">
        <v>0</v>
      </c>
      <c r="AR5421">
        <v>0</v>
      </c>
      <c r="AS5421" t="s">
        <v>239</v>
      </c>
      <c r="AT5421" t="s">
        <v>514</v>
      </c>
    </row>
    <row r="5422" spans="2:46" x14ac:dyDescent="0.35">
      <c r="B5422" t="s">
        <v>566</v>
      </c>
      <c r="C5422">
        <v>45935</v>
      </c>
      <c r="J5422">
        <v>0</v>
      </c>
      <c r="O5422" t="s">
        <v>239</v>
      </c>
      <c r="P5422" t="s">
        <v>514</v>
      </c>
      <c r="U5422">
        <v>0</v>
      </c>
      <c r="Y5422">
        <v>1008</v>
      </c>
      <c r="Z5422" s="259" t="s">
        <v>637</v>
      </c>
      <c r="AB5422">
        <v>0</v>
      </c>
      <c r="AF5422">
        <v>42000</v>
      </c>
      <c r="AG5422">
        <v>0</v>
      </c>
      <c r="AI5422">
        <v>42000</v>
      </c>
      <c r="AJ5422">
        <v>0</v>
      </c>
      <c r="AK5422">
        <v>0</v>
      </c>
      <c r="AL5422">
        <v>0</v>
      </c>
      <c r="AM5422">
        <v>42000</v>
      </c>
      <c r="AN5422">
        <v>0</v>
      </c>
      <c r="AO5422">
        <v>42000</v>
      </c>
      <c r="AP5422">
        <v>0</v>
      </c>
      <c r="AQ5422">
        <v>0</v>
      </c>
      <c r="AR5422">
        <v>0</v>
      </c>
      <c r="AS5422" t="s">
        <v>239</v>
      </c>
      <c r="AT5422" t="s">
        <v>514</v>
      </c>
    </row>
    <row r="5423" spans="2:46" x14ac:dyDescent="0.35">
      <c r="B5423" t="s">
        <v>566</v>
      </c>
      <c r="C5423">
        <v>45936</v>
      </c>
      <c r="J5423">
        <v>0</v>
      </c>
      <c r="O5423" t="s">
        <v>239</v>
      </c>
      <c r="P5423" t="s">
        <v>514</v>
      </c>
      <c r="U5423">
        <v>0</v>
      </c>
      <c r="Y5423">
        <v>1009</v>
      </c>
      <c r="Z5423" s="259" t="s">
        <v>637</v>
      </c>
      <c r="AB5423">
        <v>0</v>
      </c>
      <c r="AF5423">
        <v>42000</v>
      </c>
      <c r="AG5423">
        <v>0</v>
      </c>
      <c r="AI5423">
        <v>42000</v>
      </c>
      <c r="AJ5423">
        <v>0</v>
      </c>
      <c r="AK5423">
        <v>0</v>
      </c>
      <c r="AL5423">
        <v>0</v>
      </c>
      <c r="AM5423">
        <v>42000</v>
      </c>
      <c r="AN5423">
        <v>0</v>
      </c>
      <c r="AO5423">
        <v>42000</v>
      </c>
      <c r="AP5423">
        <v>0</v>
      </c>
      <c r="AQ5423">
        <v>0</v>
      </c>
      <c r="AR5423">
        <v>0</v>
      </c>
      <c r="AS5423" t="s">
        <v>239</v>
      </c>
      <c r="AT5423" t="s">
        <v>514</v>
      </c>
    </row>
    <row r="5424" spans="2:46" x14ac:dyDescent="0.35">
      <c r="B5424" t="s">
        <v>566</v>
      </c>
      <c r="C5424">
        <v>45937</v>
      </c>
      <c r="J5424">
        <v>0</v>
      </c>
      <c r="O5424" t="s">
        <v>239</v>
      </c>
      <c r="P5424" t="s">
        <v>514</v>
      </c>
      <c r="U5424">
        <v>0</v>
      </c>
      <c r="Y5424">
        <v>1010</v>
      </c>
      <c r="Z5424" s="259" t="s">
        <v>637</v>
      </c>
      <c r="AB5424">
        <v>0</v>
      </c>
      <c r="AF5424">
        <v>42000</v>
      </c>
      <c r="AG5424">
        <v>0</v>
      </c>
      <c r="AI5424">
        <v>42000</v>
      </c>
      <c r="AJ5424">
        <v>0</v>
      </c>
      <c r="AK5424">
        <v>0</v>
      </c>
      <c r="AL5424">
        <v>0</v>
      </c>
      <c r="AM5424">
        <v>42000</v>
      </c>
      <c r="AN5424">
        <v>0</v>
      </c>
      <c r="AO5424">
        <v>42000</v>
      </c>
      <c r="AP5424">
        <v>0</v>
      </c>
      <c r="AQ5424">
        <v>0</v>
      </c>
      <c r="AR5424">
        <v>0</v>
      </c>
      <c r="AS5424" t="s">
        <v>239</v>
      </c>
      <c r="AT5424" t="s">
        <v>514</v>
      </c>
    </row>
    <row r="5425" spans="2:46" x14ac:dyDescent="0.35">
      <c r="B5425" t="s">
        <v>566</v>
      </c>
      <c r="C5425">
        <v>45938</v>
      </c>
      <c r="J5425">
        <v>0</v>
      </c>
      <c r="O5425" t="s">
        <v>239</v>
      </c>
      <c r="P5425" t="s">
        <v>514</v>
      </c>
      <c r="U5425">
        <v>0</v>
      </c>
      <c r="Y5425">
        <v>1011</v>
      </c>
      <c r="Z5425" s="259" t="s">
        <v>637</v>
      </c>
      <c r="AB5425">
        <v>0</v>
      </c>
      <c r="AF5425">
        <v>42000</v>
      </c>
      <c r="AG5425">
        <v>0</v>
      </c>
      <c r="AI5425">
        <v>42000</v>
      </c>
      <c r="AJ5425">
        <v>0</v>
      </c>
      <c r="AK5425">
        <v>0</v>
      </c>
      <c r="AL5425">
        <v>0</v>
      </c>
      <c r="AM5425">
        <v>42000</v>
      </c>
      <c r="AN5425">
        <v>0</v>
      </c>
      <c r="AO5425">
        <v>42000</v>
      </c>
      <c r="AP5425">
        <v>0</v>
      </c>
      <c r="AQ5425">
        <v>0</v>
      </c>
      <c r="AR5425">
        <v>0</v>
      </c>
      <c r="AS5425" t="s">
        <v>239</v>
      </c>
      <c r="AT5425" t="s">
        <v>514</v>
      </c>
    </row>
    <row r="5426" spans="2:46" x14ac:dyDescent="0.35">
      <c r="B5426" t="s">
        <v>566</v>
      </c>
      <c r="C5426">
        <v>45939</v>
      </c>
      <c r="J5426">
        <v>0</v>
      </c>
      <c r="O5426" t="s">
        <v>239</v>
      </c>
      <c r="P5426" t="s">
        <v>514</v>
      </c>
      <c r="U5426">
        <v>0</v>
      </c>
      <c r="Y5426">
        <v>1012</v>
      </c>
      <c r="Z5426" s="259" t="s">
        <v>637</v>
      </c>
      <c r="AB5426">
        <v>0</v>
      </c>
      <c r="AF5426">
        <v>42000</v>
      </c>
      <c r="AG5426">
        <v>0</v>
      </c>
      <c r="AI5426">
        <v>42000</v>
      </c>
      <c r="AJ5426">
        <v>0</v>
      </c>
      <c r="AK5426">
        <v>0</v>
      </c>
      <c r="AL5426">
        <v>0</v>
      </c>
      <c r="AM5426">
        <v>42000</v>
      </c>
      <c r="AN5426">
        <v>0</v>
      </c>
      <c r="AO5426">
        <v>42000</v>
      </c>
      <c r="AP5426">
        <v>0</v>
      </c>
      <c r="AQ5426">
        <v>0</v>
      </c>
      <c r="AR5426">
        <v>0</v>
      </c>
      <c r="AS5426" t="s">
        <v>239</v>
      </c>
      <c r="AT5426" t="s">
        <v>514</v>
      </c>
    </row>
    <row r="5427" spans="2:46" x14ac:dyDescent="0.35">
      <c r="B5427" t="s">
        <v>566</v>
      </c>
      <c r="C5427">
        <v>45940</v>
      </c>
      <c r="J5427">
        <v>0</v>
      </c>
      <c r="O5427" t="s">
        <v>239</v>
      </c>
      <c r="P5427" t="s">
        <v>514</v>
      </c>
      <c r="U5427">
        <v>0</v>
      </c>
      <c r="Y5427">
        <v>1013</v>
      </c>
      <c r="Z5427" s="259" t="s">
        <v>637</v>
      </c>
      <c r="AB5427">
        <v>0</v>
      </c>
      <c r="AF5427">
        <v>42000</v>
      </c>
      <c r="AG5427">
        <v>0</v>
      </c>
      <c r="AI5427">
        <v>42000</v>
      </c>
      <c r="AJ5427">
        <v>0</v>
      </c>
      <c r="AK5427">
        <v>0</v>
      </c>
      <c r="AL5427">
        <v>0</v>
      </c>
      <c r="AM5427">
        <v>42000</v>
      </c>
      <c r="AN5427">
        <v>0</v>
      </c>
      <c r="AO5427">
        <v>42000</v>
      </c>
      <c r="AP5427">
        <v>0</v>
      </c>
      <c r="AQ5427">
        <v>0</v>
      </c>
      <c r="AR5427">
        <v>0</v>
      </c>
      <c r="AS5427" t="s">
        <v>239</v>
      </c>
      <c r="AT5427" t="s">
        <v>514</v>
      </c>
    </row>
    <row r="5428" spans="2:46" x14ac:dyDescent="0.35">
      <c r="B5428" t="s">
        <v>566</v>
      </c>
      <c r="C5428">
        <v>45941</v>
      </c>
      <c r="J5428">
        <v>0</v>
      </c>
      <c r="O5428" t="s">
        <v>239</v>
      </c>
      <c r="P5428" t="s">
        <v>514</v>
      </c>
      <c r="U5428">
        <v>0</v>
      </c>
      <c r="Y5428">
        <v>1014</v>
      </c>
      <c r="Z5428" s="259" t="s">
        <v>637</v>
      </c>
      <c r="AB5428">
        <v>0</v>
      </c>
      <c r="AF5428">
        <v>42000</v>
      </c>
      <c r="AG5428">
        <v>0</v>
      </c>
      <c r="AI5428">
        <v>42000</v>
      </c>
      <c r="AJ5428">
        <v>0</v>
      </c>
      <c r="AK5428">
        <v>0</v>
      </c>
      <c r="AL5428">
        <v>0</v>
      </c>
      <c r="AM5428">
        <v>42000</v>
      </c>
      <c r="AN5428">
        <v>0</v>
      </c>
      <c r="AO5428">
        <v>42000</v>
      </c>
      <c r="AP5428">
        <v>0</v>
      </c>
      <c r="AQ5428">
        <v>0</v>
      </c>
      <c r="AR5428">
        <v>0</v>
      </c>
      <c r="AS5428" t="s">
        <v>239</v>
      </c>
      <c r="AT5428" t="s">
        <v>514</v>
      </c>
    </row>
    <row r="5429" spans="2:46" x14ac:dyDescent="0.35">
      <c r="B5429" t="s">
        <v>566</v>
      </c>
      <c r="C5429">
        <v>45942</v>
      </c>
      <c r="J5429">
        <v>0</v>
      </c>
      <c r="O5429" t="s">
        <v>239</v>
      </c>
      <c r="P5429" t="s">
        <v>514</v>
      </c>
      <c r="U5429">
        <v>0</v>
      </c>
      <c r="Y5429">
        <v>1015</v>
      </c>
      <c r="Z5429" s="259" t="s">
        <v>637</v>
      </c>
      <c r="AB5429">
        <v>0</v>
      </c>
      <c r="AF5429">
        <v>42000</v>
      </c>
      <c r="AG5429">
        <v>0</v>
      </c>
      <c r="AI5429">
        <v>42000</v>
      </c>
      <c r="AJ5429">
        <v>0</v>
      </c>
      <c r="AK5429">
        <v>0</v>
      </c>
      <c r="AL5429">
        <v>0</v>
      </c>
      <c r="AM5429">
        <v>42000</v>
      </c>
      <c r="AN5429">
        <v>0</v>
      </c>
      <c r="AO5429">
        <v>42000</v>
      </c>
      <c r="AP5429">
        <v>0</v>
      </c>
      <c r="AQ5429">
        <v>0</v>
      </c>
      <c r="AR5429">
        <v>0</v>
      </c>
      <c r="AS5429" t="s">
        <v>239</v>
      </c>
      <c r="AT5429" t="s">
        <v>514</v>
      </c>
    </row>
    <row r="5430" spans="2:46" x14ac:dyDescent="0.35">
      <c r="B5430" t="s">
        <v>566</v>
      </c>
      <c r="C5430">
        <v>45943</v>
      </c>
      <c r="J5430">
        <v>0</v>
      </c>
      <c r="O5430" t="s">
        <v>239</v>
      </c>
      <c r="P5430" t="s">
        <v>514</v>
      </c>
      <c r="U5430">
        <v>0</v>
      </c>
      <c r="Y5430">
        <v>1016</v>
      </c>
      <c r="Z5430" s="259" t="s">
        <v>637</v>
      </c>
      <c r="AB5430">
        <v>0</v>
      </c>
      <c r="AF5430">
        <v>42000</v>
      </c>
      <c r="AG5430">
        <v>0</v>
      </c>
      <c r="AI5430">
        <v>42000</v>
      </c>
      <c r="AJ5430">
        <v>0</v>
      </c>
      <c r="AK5430">
        <v>0</v>
      </c>
      <c r="AL5430">
        <v>0</v>
      </c>
      <c r="AM5430">
        <v>42000</v>
      </c>
      <c r="AN5430">
        <v>0</v>
      </c>
      <c r="AO5430">
        <v>42000</v>
      </c>
      <c r="AP5430">
        <v>0</v>
      </c>
      <c r="AQ5430">
        <v>0</v>
      </c>
      <c r="AR5430">
        <v>0</v>
      </c>
      <c r="AS5430" t="s">
        <v>239</v>
      </c>
      <c r="AT5430" t="s">
        <v>514</v>
      </c>
    </row>
    <row r="5431" spans="2:46" x14ac:dyDescent="0.35">
      <c r="B5431" t="s">
        <v>566</v>
      </c>
      <c r="C5431">
        <v>45944</v>
      </c>
      <c r="J5431">
        <v>0</v>
      </c>
      <c r="O5431" t="s">
        <v>239</v>
      </c>
      <c r="P5431" t="s">
        <v>514</v>
      </c>
      <c r="U5431">
        <v>0</v>
      </c>
      <c r="Y5431">
        <v>1017</v>
      </c>
      <c r="Z5431" s="259" t="s">
        <v>637</v>
      </c>
      <c r="AB5431">
        <v>0</v>
      </c>
      <c r="AF5431">
        <v>42000</v>
      </c>
      <c r="AG5431">
        <v>0</v>
      </c>
      <c r="AI5431">
        <v>42000</v>
      </c>
      <c r="AJ5431">
        <v>0</v>
      </c>
      <c r="AK5431">
        <v>0</v>
      </c>
      <c r="AL5431">
        <v>0</v>
      </c>
      <c r="AM5431">
        <v>42000</v>
      </c>
      <c r="AN5431">
        <v>0</v>
      </c>
      <c r="AO5431">
        <v>42000</v>
      </c>
      <c r="AP5431">
        <v>0</v>
      </c>
      <c r="AQ5431">
        <v>0</v>
      </c>
      <c r="AR5431">
        <v>0</v>
      </c>
      <c r="AS5431" t="s">
        <v>239</v>
      </c>
      <c r="AT5431" t="s">
        <v>514</v>
      </c>
    </row>
    <row r="5432" spans="2:46" x14ac:dyDescent="0.35">
      <c r="B5432" t="s">
        <v>566</v>
      </c>
      <c r="C5432">
        <v>45945</v>
      </c>
      <c r="J5432">
        <v>0</v>
      </c>
      <c r="O5432" t="s">
        <v>239</v>
      </c>
      <c r="P5432" t="s">
        <v>514</v>
      </c>
      <c r="U5432">
        <v>0</v>
      </c>
      <c r="Y5432">
        <v>1018</v>
      </c>
      <c r="Z5432" s="259" t="s">
        <v>637</v>
      </c>
      <c r="AB5432">
        <v>0</v>
      </c>
      <c r="AF5432">
        <v>42000</v>
      </c>
      <c r="AG5432">
        <v>0</v>
      </c>
      <c r="AI5432">
        <v>42000</v>
      </c>
      <c r="AJ5432">
        <v>0</v>
      </c>
      <c r="AK5432">
        <v>0</v>
      </c>
      <c r="AL5432">
        <v>0</v>
      </c>
      <c r="AM5432">
        <v>42000</v>
      </c>
      <c r="AN5432">
        <v>0</v>
      </c>
      <c r="AO5432">
        <v>42000</v>
      </c>
      <c r="AP5432">
        <v>0</v>
      </c>
      <c r="AQ5432">
        <v>0</v>
      </c>
      <c r="AR5432">
        <v>0</v>
      </c>
      <c r="AS5432" t="s">
        <v>239</v>
      </c>
      <c r="AT5432" t="s">
        <v>514</v>
      </c>
    </row>
    <row r="5433" spans="2:46" x14ac:dyDescent="0.35">
      <c r="B5433" t="s">
        <v>566</v>
      </c>
      <c r="C5433">
        <v>45946</v>
      </c>
      <c r="J5433">
        <v>0</v>
      </c>
      <c r="O5433" t="s">
        <v>239</v>
      </c>
      <c r="P5433" t="s">
        <v>514</v>
      </c>
      <c r="U5433">
        <v>0</v>
      </c>
      <c r="Y5433">
        <v>1019</v>
      </c>
      <c r="Z5433" s="259" t="s">
        <v>637</v>
      </c>
      <c r="AB5433">
        <v>0</v>
      </c>
      <c r="AF5433">
        <v>42000</v>
      </c>
      <c r="AG5433">
        <v>0</v>
      </c>
      <c r="AI5433">
        <v>42000</v>
      </c>
      <c r="AJ5433">
        <v>0</v>
      </c>
      <c r="AK5433">
        <v>0</v>
      </c>
      <c r="AL5433">
        <v>0</v>
      </c>
      <c r="AM5433">
        <v>42000</v>
      </c>
      <c r="AN5433">
        <v>0</v>
      </c>
      <c r="AO5433">
        <v>42000</v>
      </c>
      <c r="AP5433">
        <v>0</v>
      </c>
      <c r="AQ5433">
        <v>0</v>
      </c>
      <c r="AR5433">
        <v>0</v>
      </c>
      <c r="AS5433" t="s">
        <v>239</v>
      </c>
      <c r="AT5433" t="s">
        <v>514</v>
      </c>
    </row>
    <row r="5434" spans="2:46" x14ac:dyDescent="0.35">
      <c r="B5434" t="s">
        <v>566</v>
      </c>
      <c r="C5434">
        <v>45947</v>
      </c>
      <c r="J5434">
        <v>0</v>
      </c>
      <c r="O5434" t="s">
        <v>239</v>
      </c>
      <c r="P5434" t="s">
        <v>514</v>
      </c>
      <c r="U5434">
        <v>0</v>
      </c>
      <c r="Y5434">
        <v>1020</v>
      </c>
      <c r="Z5434" s="259" t="s">
        <v>637</v>
      </c>
      <c r="AB5434">
        <v>0</v>
      </c>
      <c r="AF5434">
        <v>42000</v>
      </c>
      <c r="AG5434">
        <v>0</v>
      </c>
      <c r="AI5434">
        <v>42000</v>
      </c>
      <c r="AJ5434">
        <v>0</v>
      </c>
      <c r="AK5434">
        <v>0</v>
      </c>
      <c r="AL5434">
        <v>0</v>
      </c>
      <c r="AM5434">
        <v>42000</v>
      </c>
      <c r="AN5434">
        <v>0</v>
      </c>
      <c r="AO5434">
        <v>42000</v>
      </c>
      <c r="AP5434">
        <v>0</v>
      </c>
      <c r="AQ5434">
        <v>0</v>
      </c>
      <c r="AR5434">
        <v>0</v>
      </c>
      <c r="AS5434" t="s">
        <v>239</v>
      </c>
      <c r="AT5434" t="s">
        <v>514</v>
      </c>
    </row>
    <row r="5435" spans="2:46" x14ac:dyDescent="0.35">
      <c r="B5435" t="s">
        <v>566</v>
      </c>
      <c r="C5435">
        <v>45948</v>
      </c>
      <c r="J5435">
        <v>0</v>
      </c>
      <c r="O5435" t="s">
        <v>239</v>
      </c>
      <c r="P5435" t="s">
        <v>514</v>
      </c>
      <c r="U5435">
        <v>0</v>
      </c>
      <c r="Y5435">
        <v>1021</v>
      </c>
      <c r="Z5435" s="259" t="s">
        <v>637</v>
      </c>
      <c r="AB5435">
        <v>0</v>
      </c>
      <c r="AF5435">
        <v>42000</v>
      </c>
      <c r="AG5435">
        <v>0</v>
      </c>
      <c r="AI5435">
        <v>42000</v>
      </c>
      <c r="AJ5435">
        <v>0</v>
      </c>
      <c r="AK5435">
        <v>0</v>
      </c>
      <c r="AL5435">
        <v>0</v>
      </c>
      <c r="AM5435">
        <v>42000</v>
      </c>
      <c r="AN5435">
        <v>0</v>
      </c>
      <c r="AO5435">
        <v>42000</v>
      </c>
      <c r="AP5435">
        <v>0</v>
      </c>
      <c r="AQ5435">
        <v>0</v>
      </c>
      <c r="AR5435">
        <v>0</v>
      </c>
      <c r="AS5435" t="s">
        <v>239</v>
      </c>
      <c r="AT5435" t="s">
        <v>514</v>
      </c>
    </row>
    <row r="5436" spans="2:46" x14ac:dyDescent="0.35">
      <c r="B5436" t="s">
        <v>566</v>
      </c>
      <c r="C5436">
        <v>45949</v>
      </c>
      <c r="J5436">
        <v>0</v>
      </c>
      <c r="O5436" t="s">
        <v>239</v>
      </c>
      <c r="P5436" t="s">
        <v>514</v>
      </c>
      <c r="U5436">
        <v>0</v>
      </c>
      <c r="Y5436">
        <v>1022</v>
      </c>
      <c r="Z5436" s="259" t="s">
        <v>637</v>
      </c>
      <c r="AB5436">
        <v>0</v>
      </c>
      <c r="AF5436">
        <v>42000</v>
      </c>
      <c r="AG5436">
        <v>0</v>
      </c>
      <c r="AI5436">
        <v>42000</v>
      </c>
      <c r="AJ5436">
        <v>0</v>
      </c>
      <c r="AK5436">
        <v>0</v>
      </c>
      <c r="AL5436">
        <v>0</v>
      </c>
      <c r="AM5436">
        <v>42000</v>
      </c>
      <c r="AN5436">
        <v>0</v>
      </c>
      <c r="AO5436">
        <v>42000</v>
      </c>
      <c r="AP5436">
        <v>0</v>
      </c>
      <c r="AQ5436">
        <v>0</v>
      </c>
      <c r="AR5436">
        <v>0</v>
      </c>
      <c r="AS5436" t="s">
        <v>239</v>
      </c>
      <c r="AT5436" t="s">
        <v>514</v>
      </c>
    </row>
    <row r="5437" spans="2:46" x14ac:dyDescent="0.35">
      <c r="B5437" t="s">
        <v>566</v>
      </c>
      <c r="C5437">
        <v>45950</v>
      </c>
      <c r="J5437">
        <v>0</v>
      </c>
      <c r="O5437" t="s">
        <v>239</v>
      </c>
      <c r="P5437" t="s">
        <v>514</v>
      </c>
      <c r="U5437">
        <v>0</v>
      </c>
      <c r="Y5437">
        <v>1023</v>
      </c>
      <c r="Z5437" s="259" t="s">
        <v>637</v>
      </c>
      <c r="AB5437">
        <v>0</v>
      </c>
      <c r="AF5437">
        <v>42000</v>
      </c>
      <c r="AG5437">
        <v>0</v>
      </c>
      <c r="AI5437">
        <v>42000</v>
      </c>
      <c r="AJ5437">
        <v>0</v>
      </c>
      <c r="AK5437">
        <v>0</v>
      </c>
      <c r="AL5437">
        <v>0</v>
      </c>
      <c r="AM5437">
        <v>42000</v>
      </c>
      <c r="AN5437">
        <v>0</v>
      </c>
      <c r="AO5437">
        <v>42000</v>
      </c>
      <c r="AP5437">
        <v>0</v>
      </c>
      <c r="AQ5437">
        <v>0</v>
      </c>
      <c r="AR5437">
        <v>0</v>
      </c>
      <c r="AS5437" t="s">
        <v>239</v>
      </c>
      <c r="AT5437" t="s">
        <v>514</v>
      </c>
    </row>
    <row r="5438" spans="2:46" x14ac:dyDescent="0.35">
      <c r="B5438" t="s">
        <v>566</v>
      </c>
      <c r="C5438">
        <v>45951</v>
      </c>
      <c r="J5438">
        <v>0</v>
      </c>
      <c r="O5438" t="s">
        <v>239</v>
      </c>
      <c r="P5438" t="s">
        <v>514</v>
      </c>
      <c r="U5438">
        <v>0</v>
      </c>
      <c r="Y5438">
        <v>1024</v>
      </c>
      <c r="Z5438" s="259" t="s">
        <v>637</v>
      </c>
      <c r="AB5438">
        <v>0</v>
      </c>
      <c r="AF5438">
        <v>42000</v>
      </c>
      <c r="AG5438">
        <v>0</v>
      </c>
      <c r="AI5438">
        <v>42000</v>
      </c>
      <c r="AJ5438">
        <v>0</v>
      </c>
      <c r="AK5438">
        <v>0</v>
      </c>
      <c r="AL5438">
        <v>0</v>
      </c>
      <c r="AM5438">
        <v>42000</v>
      </c>
      <c r="AN5438">
        <v>0</v>
      </c>
      <c r="AO5438">
        <v>42000</v>
      </c>
      <c r="AP5438">
        <v>0</v>
      </c>
      <c r="AQ5438">
        <v>0</v>
      </c>
      <c r="AR5438">
        <v>0</v>
      </c>
      <c r="AS5438" t="s">
        <v>239</v>
      </c>
      <c r="AT5438" t="s">
        <v>514</v>
      </c>
    </row>
    <row r="5439" spans="2:46" x14ac:dyDescent="0.35">
      <c r="B5439" t="s">
        <v>566</v>
      </c>
      <c r="C5439">
        <v>45952</v>
      </c>
      <c r="J5439">
        <v>0</v>
      </c>
      <c r="O5439" t="s">
        <v>239</v>
      </c>
      <c r="P5439" t="s">
        <v>514</v>
      </c>
      <c r="U5439">
        <v>0</v>
      </c>
      <c r="Y5439">
        <v>1025</v>
      </c>
      <c r="Z5439" s="259" t="s">
        <v>637</v>
      </c>
      <c r="AB5439">
        <v>0</v>
      </c>
      <c r="AF5439">
        <v>42000</v>
      </c>
      <c r="AG5439">
        <v>0</v>
      </c>
      <c r="AI5439">
        <v>42000</v>
      </c>
      <c r="AJ5439">
        <v>0</v>
      </c>
      <c r="AK5439">
        <v>0</v>
      </c>
      <c r="AL5439">
        <v>0</v>
      </c>
      <c r="AM5439">
        <v>42000</v>
      </c>
      <c r="AN5439">
        <v>0</v>
      </c>
      <c r="AO5439">
        <v>42000</v>
      </c>
      <c r="AP5439">
        <v>0</v>
      </c>
      <c r="AQ5439">
        <v>0</v>
      </c>
      <c r="AR5439">
        <v>0</v>
      </c>
      <c r="AS5439" t="s">
        <v>239</v>
      </c>
      <c r="AT5439" t="s">
        <v>514</v>
      </c>
    </row>
    <row r="5440" spans="2:46" x14ac:dyDescent="0.35">
      <c r="B5440" t="s">
        <v>566</v>
      </c>
      <c r="C5440">
        <v>45953</v>
      </c>
      <c r="J5440">
        <v>0</v>
      </c>
      <c r="O5440" t="s">
        <v>239</v>
      </c>
      <c r="P5440" t="s">
        <v>514</v>
      </c>
      <c r="U5440">
        <v>0</v>
      </c>
      <c r="Y5440">
        <v>1026</v>
      </c>
      <c r="Z5440" s="259" t="s">
        <v>637</v>
      </c>
      <c r="AB5440">
        <v>0</v>
      </c>
      <c r="AF5440">
        <v>42000</v>
      </c>
      <c r="AG5440">
        <v>0</v>
      </c>
      <c r="AI5440">
        <v>42000</v>
      </c>
      <c r="AJ5440">
        <v>0</v>
      </c>
      <c r="AK5440">
        <v>0</v>
      </c>
      <c r="AL5440">
        <v>0</v>
      </c>
      <c r="AM5440">
        <v>42000</v>
      </c>
      <c r="AN5440">
        <v>0</v>
      </c>
      <c r="AO5440">
        <v>42000</v>
      </c>
      <c r="AP5440">
        <v>0</v>
      </c>
      <c r="AQ5440">
        <v>0</v>
      </c>
      <c r="AR5440">
        <v>0</v>
      </c>
      <c r="AS5440" t="s">
        <v>239</v>
      </c>
      <c r="AT5440" t="s">
        <v>514</v>
      </c>
    </row>
    <row r="5441" spans="2:46" x14ac:dyDescent="0.35">
      <c r="B5441" t="s">
        <v>566</v>
      </c>
      <c r="C5441">
        <v>45954</v>
      </c>
      <c r="J5441">
        <v>0</v>
      </c>
      <c r="O5441" t="s">
        <v>239</v>
      </c>
      <c r="P5441" t="s">
        <v>514</v>
      </c>
      <c r="U5441">
        <v>0</v>
      </c>
      <c r="Y5441">
        <v>1027</v>
      </c>
      <c r="Z5441" s="259" t="s">
        <v>637</v>
      </c>
      <c r="AB5441">
        <v>0</v>
      </c>
      <c r="AF5441">
        <v>42000</v>
      </c>
      <c r="AG5441">
        <v>0</v>
      </c>
      <c r="AI5441">
        <v>42000</v>
      </c>
      <c r="AJ5441">
        <v>0</v>
      </c>
      <c r="AK5441">
        <v>0</v>
      </c>
      <c r="AL5441">
        <v>0</v>
      </c>
      <c r="AM5441">
        <v>42000</v>
      </c>
      <c r="AN5441">
        <v>0</v>
      </c>
      <c r="AO5441">
        <v>42000</v>
      </c>
      <c r="AP5441">
        <v>0</v>
      </c>
      <c r="AQ5441">
        <v>0</v>
      </c>
      <c r="AR5441">
        <v>0</v>
      </c>
      <c r="AS5441" t="s">
        <v>239</v>
      </c>
      <c r="AT5441" t="s">
        <v>514</v>
      </c>
    </row>
    <row r="5442" spans="2:46" x14ac:dyDescent="0.35">
      <c r="B5442" t="s">
        <v>566</v>
      </c>
      <c r="C5442">
        <v>45955</v>
      </c>
      <c r="J5442">
        <v>0</v>
      </c>
      <c r="O5442" t="s">
        <v>239</v>
      </c>
      <c r="P5442" t="s">
        <v>514</v>
      </c>
      <c r="U5442">
        <v>0</v>
      </c>
      <c r="Y5442">
        <v>1028</v>
      </c>
      <c r="Z5442" s="259" t="s">
        <v>637</v>
      </c>
      <c r="AB5442">
        <v>0</v>
      </c>
      <c r="AF5442">
        <v>42000</v>
      </c>
      <c r="AG5442">
        <v>0</v>
      </c>
      <c r="AI5442">
        <v>42000</v>
      </c>
      <c r="AJ5442">
        <v>0</v>
      </c>
      <c r="AK5442">
        <v>0</v>
      </c>
      <c r="AL5442">
        <v>0</v>
      </c>
      <c r="AM5442">
        <v>42000</v>
      </c>
      <c r="AN5442">
        <v>0</v>
      </c>
      <c r="AO5442">
        <v>42000</v>
      </c>
      <c r="AP5442">
        <v>0</v>
      </c>
      <c r="AQ5442">
        <v>0</v>
      </c>
      <c r="AR5442">
        <v>0</v>
      </c>
      <c r="AS5442" t="s">
        <v>239</v>
      </c>
      <c r="AT5442" t="s">
        <v>514</v>
      </c>
    </row>
    <row r="5443" spans="2:46" x14ac:dyDescent="0.35">
      <c r="B5443" t="s">
        <v>566</v>
      </c>
      <c r="C5443">
        <v>45956</v>
      </c>
      <c r="J5443">
        <v>0</v>
      </c>
      <c r="O5443" t="s">
        <v>239</v>
      </c>
      <c r="P5443" t="s">
        <v>514</v>
      </c>
      <c r="U5443">
        <v>0</v>
      </c>
      <c r="Y5443">
        <v>1029</v>
      </c>
      <c r="Z5443" s="259" t="s">
        <v>637</v>
      </c>
      <c r="AB5443">
        <v>0</v>
      </c>
      <c r="AF5443">
        <v>42000</v>
      </c>
      <c r="AG5443">
        <v>0</v>
      </c>
      <c r="AI5443">
        <v>42000</v>
      </c>
      <c r="AJ5443">
        <v>0</v>
      </c>
      <c r="AK5443">
        <v>0</v>
      </c>
      <c r="AL5443">
        <v>0</v>
      </c>
      <c r="AM5443">
        <v>42000</v>
      </c>
      <c r="AN5443">
        <v>0</v>
      </c>
      <c r="AO5443">
        <v>42000</v>
      </c>
      <c r="AP5443">
        <v>0</v>
      </c>
      <c r="AQ5443">
        <v>0</v>
      </c>
      <c r="AR5443">
        <v>0</v>
      </c>
      <c r="AS5443" t="s">
        <v>239</v>
      </c>
      <c r="AT5443" t="s">
        <v>514</v>
      </c>
    </row>
    <row r="5444" spans="2:46" x14ac:dyDescent="0.35">
      <c r="B5444" t="s">
        <v>566</v>
      </c>
      <c r="C5444">
        <v>45957</v>
      </c>
      <c r="J5444">
        <v>0</v>
      </c>
      <c r="O5444" t="s">
        <v>239</v>
      </c>
      <c r="P5444" t="s">
        <v>514</v>
      </c>
      <c r="U5444">
        <v>0</v>
      </c>
      <c r="Y5444">
        <v>1030</v>
      </c>
      <c r="Z5444" s="259" t="s">
        <v>637</v>
      </c>
      <c r="AB5444">
        <v>0</v>
      </c>
      <c r="AF5444">
        <v>42000</v>
      </c>
      <c r="AG5444">
        <v>0</v>
      </c>
      <c r="AI5444">
        <v>42000</v>
      </c>
      <c r="AJ5444">
        <v>0</v>
      </c>
      <c r="AK5444">
        <v>0</v>
      </c>
      <c r="AL5444">
        <v>0</v>
      </c>
      <c r="AM5444">
        <v>42000</v>
      </c>
      <c r="AN5444">
        <v>0</v>
      </c>
      <c r="AO5444">
        <v>42000</v>
      </c>
      <c r="AP5444">
        <v>0</v>
      </c>
      <c r="AQ5444">
        <v>0</v>
      </c>
      <c r="AR5444">
        <v>0</v>
      </c>
      <c r="AS5444" t="s">
        <v>239</v>
      </c>
      <c r="AT5444" t="s">
        <v>514</v>
      </c>
    </row>
    <row r="5445" spans="2:46" x14ac:dyDescent="0.35">
      <c r="B5445" t="s">
        <v>566</v>
      </c>
      <c r="C5445">
        <v>45958</v>
      </c>
      <c r="J5445">
        <v>0</v>
      </c>
      <c r="O5445" t="s">
        <v>239</v>
      </c>
      <c r="P5445" t="s">
        <v>514</v>
      </c>
      <c r="U5445">
        <v>0</v>
      </c>
      <c r="Y5445">
        <v>1031</v>
      </c>
      <c r="Z5445" s="259" t="s">
        <v>637</v>
      </c>
      <c r="AB5445">
        <v>0</v>
      </c>
      <c r="AF5445">
        <v>42000</v>
      </c>
      <c r="AG5445">
        <v>0</v>
      </c>
      <c r="AI5445">
        <v>42000</v>
      </c>
      <c r="AJ5445">
        <v>0</v>
      </c>
      <c r="AK5445">
        <v>0</v>
      </c>
      <c r="AL5445">
        <v>0</v>
      </c>
      <c r="AM5445">
        <v>42000</v>
      </c>
      <c r="AN5445">
        <v>0</v>
      </c>
      <c r="AO5445">
        <v>42000</v>
      </c>
      <c r="AP5445">
        <v>0</v>
      </c>
      <c r="AQ5445">
        <v>0</v>
      </c>
      <c r="AR5445">
        <v>0</v>
      </c>
      <c r="AS5445" t="s">
        <v>239</v>
      </c>
      <c r="AT5445" t="s">
        <v>514</v>
      </c>
    </row>
    <row r="5446" spans="2:46" x14ac:dyDescent="0.35">
      <c r="B5446" t="s">
        <v>566</v>
      </c>
      <c r="C5446">
        <v>45959</v>
      </c>
      <c r="J5446">
        <v>0</v>
      </c>
      <c r="O5446" t="s">
        <v>239</v>
      </c>
      <c r="P5446" t="s">
        <v>514</v>
      </c>
      <c r="U5446">
        <v>0</v>
      </c>
      <c r="Y5446">
        <v>1032</v>
      </c>
      <c r="Z5446" s="259" t="s">
        <v>637</v>
      </c>
      <c r="AB5446">
        <v>0</v>
      </c>
      <c r="AF5446">
        <v>42000</v>
      </c>
      <c r="AG5446">
        <v>0</v>
      </c>
      <c r="AI5446">
        <v>42000</v>
      </c>
      <c r="AJ5446">
        <v>0</v>
      </c>
      <c r="AK5446">
        <v>0</v>
      </c>
      <c r="AL5446">
        <v>0</v>
      </c>
      <c r="AM5446">
        <v>42000</v>
      </c>
      <c r="AN5446">
        <v>0</v>
      </c>
      <c r="AO5446">
        <v>42000</v>
      </c>
      <c r="AP5446">
        <v>0</v>
      </c>
      <c r="AQ5446">
        <v>0</v>
      </c>
      <c r="AR5446">
        <v>0</v>
      </c>
      <c r="AS5446" t="s">
        <v>239</v>
      </c>
      <c r="AT5446" t="s">
        <v>514</v>
      </c>
    </row>
    <row r="5447" spans="2:46" x14ac:dyDescent="0.35">
      <c r="B5447" t="s">
        <v>566</v>
      </c>
      <c r="C5447">
        <v>45960</v>
      </c>
      <c r="J5447">
        <v>0</v>
      </c>
      <c r="O5447" t="s">
        <v>239</v>
      </c>
      <c r="P5447" t="s">
        <v>514</v>
      </c>
      <c r="U5447">
        <v>0</v>
      </c>
      <c r="Y5447">
        <v>1033</v>
      </c>
      <c r="Z5447" s="259" t="s">
        <v>637</v>
      </c>
      <c r="AB5447">
        <v>0</v>
      </c>
      <c r="AF5447">
        <v>42000</v>
      </c>
      <c r="AG5447">
        <v>0</v>
      </c>
      <c r="AI5447">
        <v>42000</v>
      </c>
      <c r="AJ5447">
        <v>0</v>
      </c>
      <c r="AK5447">
        <v>0</v>
      </c>
      <c r="AL5447">
        <v>0</v>
      </c>
      <c r="AM5447">
        <v>42000</v>
      </c>
      <c r="AN5447">
        <v>0</v>
      </c>
      <c r="AO5447">
        <v>42000</v>
      </c>
      <c r="AP5447">
        <v>0</v>
      </c>
      <c r="AQ5447">
        <v>0</v>
      </c>
      <c r="AR5447">
        <v>0</v>
      </c>
      <c r="AS5447" t="s">
        <v>239</v>
      </c>
      <c r="AT5447" t="s">
        <v>514</v>
      </c>
    </row>
    <row r="5448" spans="2:46" x14ac:dyDescent="0.35">
      <c r="B5448" t="s">
        <v>566</v>
      </c>
      <c r="C5448">
        <v>45961</v>
      </c>
      <c r="J5448">
        <v>0</v>
      </c>
      <c r="O5448" t="s">
        <v>239</v>
      </c>
      <c r="P5448" t="s">
        <v>514</v>
      </c>
      <c r="U5448">
        <v>0</v>
      </c>
      <c r="Y5448">
        <v>1034</v>
      </c>
      <c r="Z5448" s="259" t="s">
        <v>637</v>
      </c>
      <c r="AB5448">
        <v>0</v>
      </c>
      <c r="AF5448">
        <v>42000</v>
      </c>
      <c r="AG5448">
        <v>0</v>
      </c>
      <c r="AI5448">
        <v>42000</v>
      </c>
      <c r="AJ5448">
        <v>0</v>
      </c>
      <c r="AK5448">
        <v>0</v>
      </c>
      <c r="AL5448">
        <v>0</v>
      </c>
      <c r="AM5448">
        <v>42000</v>
      </c>
      <c r="AN5448">
        <v>0</v>
      </c>
      <c r="AO5448">
        <v>42000</v>
      </c>
      <c r="AP5448">
        <v>0</v>
      </c>
      <c r="AQ5448">
        <v>0</v>
      </c>
      <c r="AR5448">
        <v>0</v>
      </c>
      <c r="AS5448" t="s">
        <v>239</v>
      </c>
      <c r="AT5448" t="s">
        <v>514</v>
      </c>
    </row>
    <row r="5449" spans="2:46" x14ac:dyDescent="0.35">
      <c r="B5449" t="s">
        <v>566</v>
      </c>
      <c r="C5449">
        <v>45962</v>
      </c>
      <c r="J5449">
        <v>0</v>
      </c>
      <c r="O5449" t="s">
        <v>239</v>
      </c>
      <c r="P5449" t="s">
        <v>514</v>
      </c>
      <c r="U5449">
        <v>0</v>
      </c>
      <c r="Y5449">
        <v>1035</v>
      </c>
      <c r="Z5449" s="259" t="s">
        <v>637</v>
      </c>
      <c r="AB5449">
        <v>0</v>
      </c>
      <c r="AF5449">
        <v>42000</v>
      </c>
      <c r="AG5449">
        <v>0</v>
      </c>
      <c r="AI5449">
        <v>42000</v>
      </c>
      <c r="AJ5449">
        <v>0</v>
      </c>
      <c r="AK5449">
        <v>0</v>
      </c>
      <c r="AL5449">
        <v>0</v>
      </c>
      <c r="AM5449">
        <v>42000</v>
      </c>
      <c r="AN5449">
        <v>0</v>
      </c>
      <c r="AO5449">
        <v>42000</v>
      </c>
      <c r="AP5449">
        <v>0</v>
      </c>
      <c r="AQ5449">
        <v>0</v>
      </c>
      <c r="AR5449">
        <v>0</v>
      </c>
      <c r="AS5449" t="s">
        <v>239</v>
      </c>
      <c r="AT5449" t="s">
        <v>514</v>
      </c>
    </row>
    <row r="5450" spans="2:46" x14ac:dyDescent="0.35">
      <c r="B5450" t="s">
        <v>566</v>
      </c>
      <c r="C5450">
        <v>45963</v>
      </c>
      <c r="J5450">
        <v>0</v>
      </c>
      <c r="O5450" t="s">
        <v>239</v>
      </c>
      <c r="P5450" t="s">
        <v>514</v>
      </c>
      <c r="U5450">
        <v>0</v>
      </c>
      <c r="Y5450">
        <v>1036</v>
      </c>
      <c r="Z5450" s="259" t="s">
        <v>637</v>
      </c>
      <c r="AB5450">
        <v>0</v>
      </c>
      <c r="AF5450">
        <v>42000</v>
      </c>
      <c r="AG5450">
        <v>0</v>
      </c>
      <c r="AI5450">
        <v>42000</v>
      </c>
      <c r="AJ5450">
        <v>0</v>
      </c>
      <c r="AK5450">
        <v>0</v>
      </c>
      <c r="AL5450">
        <v>0</v>
      </c>
      <c r="AM5450">
        <v>42000</v>
      </c>
      <c r="AN5450">
        <v>0</v>
      </c>
      <c r="AO5450">
        <v>42000</v>
      </c>
      <c r="AP5450">
        <v>0</v>
      </c>
      <c r="AQ5450">
        <v>0</v>
      </c>
      <c r="AR5450">
        <v>0</v>
      </c>
      <c r="AS5450" t="s">
        <v>239</v>
      </c>
      <c r="AT5450" t="s">
        <v>514</v>
      </c>
    </row>
    <row r="5451" spans="2:46" x14ac:dyDescent="0.35">
      <c r="B5451" t="s">
        <v>566</v>
      </c>
      <c r="C5451">
        <v>45964</v>
      </c>
      <c r="J5451">
        <v>0</v>
      </c>
      <c r="O5451" t="s">
        <v>239</v>
      </c>
      <c r="P5451" t="s">
        <v>514</v>
      </c>
      <c r="U5451">
        <v>0</v>
      </c>
      <c r="Y5451">
        <v>1037</v>
      </c>
      <c r="Z5451" s="259" t="s">
        <v>637</v>
      </c>
      <c r="AB5451">
        <v>0</v>
      </c>
      <c r="AF5451">
        <v>42000</v>
      </c>
      <c r="AG5451">
        <v>0</v>
      </c>
      <c r="AI5451">
        <v>42000</v>
      </c>
      <c r="AJ5451">
        <v>0</v>
      </c>
      <c r="AK5451">
        <v>0</v>
      </c>
      <c r="AL5451">
        <v>0</v>
      </c>
      <c r="AM5451">
        <v>42000</v>
      </c>
      <c r="AN5451">
        <v>0</v>
      </c>
      <c r="AO5451">
        <v>42000</v>
      </c>
      <c r="AP5451">
        <v>0</v>
      </c>
      <c r="AQ5451">
        <v>0</v>
      </c>
      <c r="AR5451">
        <v>0</v>
      </c>
      <c r="AS5451" t="s">
        <v>239</v>
      </c>
      <c r="AT5451" t="s">
        <v>514</v>
      </c>
    </row>
    <row r="5452" spans="2:46" x14ac:dyDescent="0.35">
      <c r="B5452" t="s">
        <v>566</v>
      </c>
      <c r="C5452">
        <v>45965</v>
      </c>
      <c r="J5452">
        <v>0</v>
      </c>
      <c r="O5452" t="s">
        <v>239</v>
      </c>
      <c r="P5452" t="s">
        <v>514</v>
      </c>
      <c r="U5452">
        <v>0</v>
      </c>
      <c r="Y5452">
        <v>1038</v>
      </c>
      <c r="Z5452" s="259" t="s">
        <v>637</v>
      </c>
      <c r="AB5452">
        <v>0</v>
      </c>
      <c r="AF5452">
        <v>42000</v>
      </c>
      <c r="AG5452">
        <v>0</v>
      </c>
      <c r="AI5452">
        <v>42000</v>
      </c>
      <c r="AJ5452">
        <v>0</v>
      </c>
      <c r="AK5452">
        <v>0</v>
      </c>
      <c r="AL5452">
        <v>0</v>
      </c>
      <c r="AM5452">
        <v>42000</v>
      </c>
      <c r="AN5452">
        <v>0</v>
      </c>
      <c r="AO5452">
        <v>42000</v>
      </c>
      <c r="AP5452">
        <v>0</v>
      </c>
      <c r="AQ5452">
        <v>0</v>
      </c>
      <c r="AR5452">
        <v>0</v>
      </c>
      <c r="AS5452" t="s">
        <v>239</v>
      </c>
      <c r="AT5452" t="s">
        <v>514</v>
      </c>
    </row>
    <row r="5453" spans="2:46" x14ac:dyDescent="0.35">
      <c r="B5453" t="s">
        <v>566</v>
      </c>
      <c r="C5453">
        <v>45966</v>
      </c>
      <c r="J5453">
        <v>0</v>
      </c>
      <c r="O5453" t="s">
        <v>239</v>
      </c>
      <c r="P5453" t="s">
        <v>514</v>
      </c>
      <c r="U5453">
        <v>0</v>
      </c>
      <c r="Y5453">
        <v>1039</v>
      </c>
      <c r="Z5453" s="259" t="s">
        <v>637</v>
      </c>
      <c r="AB5453">
        <v>0</v>
      </c>
      <c r="AF5453">
        <v>42000</v>
      </c>
      <c r="AG5453">
        <v>0</v>
      </c>
      <c r="AI5453">
        <v>42000</v>
      </c>
      <c r="AJ5453">
        <v>0</v>
      </c>
      <c r="AK5453">
        <v>0</v>
      </c>
      <c r="AL5453">
        <v>0</v>
      </c>
      <c r="AM5453">
        <v>42000</v>
      </c>
      <c r="AN5453">
        <v>0</v>
      </c>
      <c r="AO5453">
        <v>42000</v>
      </c>
      <c r="AP5453">
        <v>0</v>
      </c>
      <c r="AQ5453">
        <v>0</v>
      </c>
      <c r="AR5453">
        <v>0</v>
      </c>
      <c r="AS5453" t="s">
        <v>239</v>
      </c>
      <c r="AT5453" t="s">
        <v>514</v>
      </c>
    </row>
    <row r="5454" spans="2:46" x14ac:dyDescent="0.35">
      <c r="B5454" t="s">
        <v>566</v>
      </c>
      <c r="C5454">
        <v>45967</v>
      </c>
      <c r="J5454">
        <v>0</v>
      </c>
      <c r="O5454" t="s">
        <v>239</v>
      </c>
      <c r="P5454" t="s">
        <v>514</v>
      </c>
      <c r="U5454">
        <v>0</v>
      </c>
      <c r="Y5454">
        <v>1040</v>
      </c>
      <c r="Z5454" s="259" t="s">
        <v>637</v>
      </c>
      <c r="AB5454">
        <v>0</v>
      </c>
      <c r="AF5454">
        <v>42000</v>
      </c>
      <c r="AG5454">
        <v>0</v>
      </c>
      <c r="AI5454">
        <v>42000</v>
      </c>
      <c r="AJ5454">
        <v>0</v>
      </c>
      <c r="AK5454">
        <v>0</v>
      </c>
      <c r="AL5454">
        <v>0</v>
      </c>
      <c r="AM5454">
        <v>42000</v>
      </c>
      <c r="AN5454">
        <v>0</v>
      </c>
      <c r="AO5454">
        <v>42000</v>
      </c>
      <c r="AP5454">
        <v>0</v>
      </c>
      <c r="AQ5454">
        <v>0</v>
      </c>
      <c r="AR5454">
        <v>0</v>
      </c>
      <c r="AS5454" t="s">
        <v>239</v>
      </c>
      <c r="AT5454" t="s">
        <v>514</v>
      </c>
    </row>
    <row r="5455" spans="2:46" x14ac:dyDescent="0.35">
      <c r="B5455" t="s">
        <v>566</v>
      </c>
      <c r="C5455">
        <v>45968</v>
      </c>
      <c r="J5455">
        <v>0</v>
      </c>
      <c r="O5455" t="s">
        <v>239</v>
      </c>
      <c r="P5455" t="s">
        <v>514</v>
      </c>
      <c r="U5455">
        <v>0</v>
      </c>
      <c r="Y5455">
        <v>1041</v>
      </c>
      <c r="Z5455" s="259" t="s">
        <v>637</v>
      </c>
      <c r="AB5455">
        <v>0</v>
      </c>
      <c r="AF5455">
        <v>42000</v>
      </c>
      <c r="AG5455">
        <v>0</v>
      </c>
      <c r="AI5455">
        <v>42000</v>
      </c>
      <c r="AJ5455">
        <v>0</v>
      </c>
      <c r="AK5455">
        <v>0</v>
      </c>
      <c r="AL5455">
        <v>0</v>
      </c>
      <c r="AM5455">
        <v>42000</v>
      </c>
      <c r="AN5455">
        <v>0</v>
      </c>
      <c r="AO5455">
        <v>42000</v>
      </c>
      <c r="AP5455">
        <v>0</v>
      </c>
      <c r="AQ5455">
        <v>0</v>
      </c>
      <c r="AR5455">
        <v>0</v>
      </c>
      <c r="AS5455" t="s">
        <v>239</v>
      </c>
      <c r="AT5455" t="s">
        <v>514</v>
      </c>
    </row>
    <row r="5456" spans="2:46" x14ac:dyDescent="0.35">
      <c r="B5456" t="s">
        <v>566</v>
      </c>
      <c r="C5456">
        <v>45969</v>
      </c>
      <c r="J5456">
        <v>0</v>
      </c>
      <c r="O5456" t="s">
        <v>239</v>
      </c>
      <c r="P5456" t="s">
        <v>514</v>
      </c>
      <c r="U5456">
        <v>0</v>
      </c>
      <c r="Y5456">
        <v>1042</v>
      </c>
      <c r="Z5456" s="259" t="s">
        <v>637</v>
      </c>
      <c r="AB5456">
        <v>0</v>
      </c>
      <c r="AF5456">
        <v>42000</v>
      </c>
      <c r="AG5456">
        <v>0</v>
      </c>
      <c r="AI5456">
        <v>42000</v>
      </c>
      <c r="AJ5456">
        <v>0</v>
      </c>
      <c r="AK5456">
        <v>0</v>
      </c>
      <c r="AL5456">
        <v>0</v>
      </c>
      <c r="AM5456">
        <v>42000</v>
      </c>
      <c r="AN5456">
        <v>0</v>
      </c>
      <c r="AO5456">
        <v>42000</v>
      </c>
      <c r="AP5456">
        <v>0</v>
      </c>
      <c r="AQ5456">
        <v>0</v>
      </c>
      <c r="AR5456">
        <v>0</v>
      </c>
      <c r="AS5456" t="s">
        <v>239</v>
      </c>
      <c r="AT5456" t="s">
        <v>514</v>
      </c>
    </row>
    <row r="5457" spans="2:46" x14ac:dyDescent="0.35">
      <c r="B5457" t="s">
        <v>566</v>
      </c>
      <c r="C5457">
        <v>45970</v>
      </c>
      <c r="J5457">
        <v>0</v>
      </c>
      <c r="O5457" t="s">
        <v>239</v>
      </c>
      <c r="P5457" t="s">
        <v>514</v>
      </c>
      <c r="U5457">
        <v>0</v>
      </c>
      <c r="Y5457">
        <v>1043</v>
      </c>
      <c r="Z5457" s="259" t="s">
        <v>637</v>
      </c>
      <c r="AB5457">
        <v>0</v>
      </c>
      <c r="AF5457">
        <v>42000</v>
      </c>
      <c r="AG5457">
        <v>0</v>
      </c>
      <c r="AI5457">
        <v>42000</v>
      </c>
      <c r="AJ5457">
        <v>0</v>
      </c>
      <c r="AK5457">
        <v>0</v>
      </c>
      <c r="AL5457">
        <v>0</v>
      </c>
      <c r="AM5457">
        <v>42000</v>
      </c>
      <c r="AN5457">
        <v>0</v>
      </c>
      <c r="AO5457">
        <v>42000</v>
      </c>
      <c r="AP5457">
        <v>0</v>
      </c>
      <c r="AQ5457">
        <v>0</v>
      </c>
      <c r="AR5457">
        <v>0</v>
      </c>
      <c r="AS5457" t="s">
        <v>239</v>
      </c>
      <c r="AT5457" t="s">
        <v>514</v>
      </c>
    </row>
    <row r="5458" spans="2:46" x14ac:dyDescent="0.35">
      <c r="B5458" t="s">
        <v>566</v>
      </c>
      <c r="C5458">
        <v>45971</v>
      </c>
      <c r="J5458">
        <v>0</v>
      </c>
      <c r="O5458" t="s">
        <v>239</v>
      </c>
      <c r="P5458" t="s">
        <v>514</v>
      </c>
      <c r="U5458">
        <v>0</v>
      </c>
      <c r="Y5458">
        <v>1044</v>
      </c>
      <c r="Z5458" s="259" t="s">
        <v>637</v>
      </c>
      <c r="AB5458">
        <v>0</v>
      </c>
      <c r="AF5458">
        <v>42000</v>
      </c>
      <c r="AG5458">
        <v>0</v>
      </c>
      <c r="AI5458">
        <v>42000</v>
      </c>
      <c r="AJ5458">
        <v>0</v>
      </c>
      <c r="AK5458">
        <v>0</v>
      </c>
      <c r="AL5458">
        <v>0</v>
      </c>
      <c r="AM5458">
        <v>42000</v>
      </c>
      <c r="AN5458">
        <v>0</v>
      </c>
      <c r="AO5458">
        <v>42000</v>
      </c>
      <c r="AP5458">
        <v>0</v>
      </c>
      <c r="AQ5458">
        <v>0</v>
      </c>
      <c r="AR5458">
        <v>0</v>
      </c>
      <c r="AS5458" t="s">
        <v>239</v>
      </c>
      <c r="AT5458" t="s">
        <v>514</v>
      </c>
    </row>
    <row r="5459" spans="2:46" x14ac:dyDescent="0.35">
      <c r="B5459" t="s">
        <v>566</v>
      </c>
      <c r="C5459">
        <v>45972</v>
      </c>
      <c r="J5459">
        <v>0</v>
      </c>
      <c r="O5459" t="s">
        <v>239</v>
      </c>
      <c r="P5459" t="s">
        <v>514</v>
      </c>
      <c r="U5459">
        <v>0</v>
      </c>
      <c r="Y5459">
        <v>1045</v>
      </c>
      <c r="Z5459" s="259" t="s">
        <v>637</v>
      </c>
      <c r="AB5459">
        <v>0</v>
      </c>
      <c r="AF5459">
        <v>42000</v>
      </c>
      <c r="AG5459">
        <v>0</v>
      </c>
      <c r="AI5459">
        <v>42000</v>
      </c>
      <c r="AJ5459">
        <v>0</v>
      </c>
      <c r="AK5459">
        <v>0</v>
      </c>
      <c r="AL5459">
        <v>0</v>
      </c>
      <c r="AM5459">
        <v>42000</v>
      </c>
      <c r="AN5459">
        <v>0</v>
      </c>
      <c r="AO5459">
        <v>42000</v>
      </c>
      <c r="AP5459">
        <v>0</v>
      </c>
      <c r="AQ5459">
        <v>0</v>
      </c>
      <c r="AR5459">
        <v>0</v>
      </c>
      <c r="AS5459" t="s">
        <v>239</v>
      </c>
      <c r="AT5459" t="s">
        <v>514</v>
      </c>
    </row>
    <row r="5460" spans="2:46" x14ac:dyDescent="0.35">
      <c r="B5460" t="s">
        <v>566</v>
      </c>
      <c r="C5460">
        <v>45973</v>
      </c>
      <c r="J5460">
        <v>0</v>
      </c>
      <c r="O5460" t="s">
        <v>239</v>
      </c>
      <c r="P5460" t="s">
        <v>514</v>
      </c>
      <c r="U5460">
        <v>0</v>
      </c>
      <c r="Y5460">
        <v>1046</v>
      </c>
      <c r="Z5460" s="259" t="s">
        <v>637</v>
      </c>
      <c r="AB5460">
        <v>0</v>
      </c>
      <c r="AF5460">
        <v>42000</v>
      </c>
      <c r="AG5460">
        <v>0</v>
      </c>
      <c r="AI5460">
        <v>42000</v>
      </c>
      <c r="AJ5460">
        <v>0</v>
      </c>
      <c r="AK5460">
        <v>0</v>
      </c>
      <c r="AL5460">
        <v>0</v>
      </c>
      <c r="AM5460">
        <v>42000</v>
      </c>
      <c r="AN5460">
        <v>0</v>
      </c>
      <c r="AO5460">
        <v>42000</v>
      </c>
      <c r="AP5460">
        <v>0</v>
      </c>
      <c r="AQ5460">
        <v>0</v>
      </c>
      <c r="AR5460">
        <v>0</v>
      </c>
      <c r="AS5460" t="s">
        <v>239</v>
      </c>
      <c r="AT5460" t="s">
        <v>514</v>
      </c>
    </row>
    <row r="5461" spans="2:46" x14ac:dyDescent="0.35">
      <c r="B5461" t="s">
        <v>566</v>
      </c>
      <c r="C5461">
        <v>45974</v>
      </c>
      <c r="J5461">
        <v>0</v>
      </c>
      <c r="O5461" t="s">
        <v>239</v>
      </c>
      <c r="P5461" t="s">
        <v>514</v>
      </c>
      <c r="U5461">
        <v>0</v>
      </c>
      <c r="Y5461">
        <v>1047</v>
      </c>
      <c r="Z5461" s="259" t="s">
        <v>637</v>
      </c>
      <c r="AB5461">
        <v>0</v>
      </c>
      <c r="AF5461">
        <v>42000</v>
      </c>
      <c r="AG5461">
        <v>0</v>
      </c>
      <c r="AI5461">
        <v>42000</v>
      </c>
      <c r="AJ5461">
        <v>0</v>
      </c>
      <c r="AK5461">
        <v>0</v>
      </c>
      <c r="AL5461">
        <v>0</v>
      </c>
      <c r="AM5461">
        <v>42000</v>
      </c>
      <c r="AN5461">
        <v>0</v>
      </c>
      <c r="AO5461">
        <v>42000</v>
      </c>
      <c r="AP5461">
        <v>0</v>
      </c>
      <c r="AQ5461">
        <v>0</v>
      </c>
      <c r="AR5461">
        <v>0</v>
      </c>
      <c r="AS5461" t="s">
        <v>239</v>
      </c>
      <c r="AT5461" t="s">
        <v>514</v>
      </c>
    </row>
    <row r="5462" spans="2:46" x14ac:dyDescent="0.35">
      <c r="B5462" t="s">
        <v>566</v>
      </c>
      <c r="C5462">
        <v>45975</v>
      </c>
      <c r="J5462">
        <v>0</v>
      </c>
      <c r="O5462" t="s">
        <v>239</v>
      </c>
      <c r="P5462" t="s">
        <v>514</v>
      </c>
      <c r="U5462">
        <v>0</v>
      </c>
      <c r="Y5462">
        <v>1048</v>
      </c>
      <c r="Z5462" s="259" t="s">
        <v>637</v>
      </c>
      <c r="AB5462">
        <v>0</v>
      </c>
      <c r="AF5462">
        <v>42000</v>
      </c>
      <c r="AG5462">
        <v>0</v>
      </c>
      <c r="AI5462">
        <v>42000</v>
      </c>
      <c r="AJ5462">
        <v>0</v>
      </c>
      <c r="AK5462">
        <v>0</v>
      </c>
      <c r="AL5462">
        <v>0</v>
      </c>
      <c r="AM5462">
        <v>42000</v>
      </c>
      <c r="AN5462">
        <v>0</v>
      </c>
      <c r="AO5462">
        <v>42000</v>
      </c>
      <c r="AP5462">
        <v>0</v>
      </c>
      <c r="AQ5462">
        <v>0</v>
      </c>
      <c r="AR5462">
        <v>0</v>
      </c>
      <c r="AS5462" t="s">
        <v>239</v>
      </c>
      <c r="AT5462" t="s">
        <v>514</v>
      </c>
    </row>
    <row r="5463" spans="2:46" x14ac:dyDescent="0.35">
      <c r="B5463" t="s">
        <v>566</v>
      </c>
      <c r="C5463">
        <v>45976</v>
      </c>
      <c r="J5463">
        <v>0</v>
      </c>
      <c r="O5463" t="s">
        <v>239</v>
      </c>
      <c r="P5463" t="s">
        <v>514</v>
      </c>
      <c r="U5463">
        <v>0</v>
      </c>
      <c r="Y5463">
        <v>1049</v>
      </c>
      <c r="Z5463" s="259" t="s">
        <v>637</v>
      </c>
      <c r="AB5463">
        <v>0</v>
      </c>
      <c r="AF5463">
        <v>42000</v>
      </c>
      <c r="AG5463">
        <v>0</v>
      </c>
      <c r="AI5463">
        <v>42000</v>
      </c>
      <c r="AJ5463">
        <v>0</v>
      </c>
      <c r="AK5463">
        <v>0</v>
      </c>
      <c r="AL5463">
        <v>0</v>
      </c>
      <c r="AM5463">
        <v>42000</v>
      </c>
      <c r="AN5463">
        <v>0</v>
      </c>
      <c r="AO5463">
        <v>42000</v>
      </c>
      <c r="AP5463">
        <v>0</v>
      </c>
      <c r="AQ5463">
        <v>0</v>
      </c>
      <c r="AR5463">
        <v>0</v>
      </c>
      <c r="AS5463" t="s">
        <v>239</v>
      </c>
      <c r="AT5463" t="s">
        <v>514</v>
      </c>
    </row>
    <row r="5464" spans="2:46" x14ac:dyDescent="0.35">
      <c r="B5464" t="s">
        <v>566</v>
      </c>
      <c r="C5464">
        <v>45977</v>
      </c>
      <c r="J5464">
        <v>0</v>
      </c>
      <c r="O5464" t="s">
        <v>239</v>
      </c>
      <c r="P5464" t="s">
        <v>514</v>
      </c>
      <c r="U5464">
        <v>0</v>
      </c>
      <c r="Y5464">
        <v>1050</v>
      </c>
      <c r="Z5464" s="259" t="s">
        <v>637</v>
      </c>
      <c r="AB5464">
        <v>0</v>
      </c>
      <c r="AF5464">
        <v>42000</v>
      </c>
      <c r="AG5464">
        <v>0</v>
      </c>
      <c r="AI5464">
        <v>42000</v>
      </c>
      <c r="AJ5464">
        <v>0</v>
      </c>
      <c r="AK5464">
        <v>0</v>
      </c>
      <c r="AL5464">
        <v>0</v>
      </c>
      <c r="AM5464">
        <v>42000</v>
      </c>
      <c r="AN5464">
        <v>0</v>
      </c>
      <c r="AO5464">
        <v>42000</v>
      </c>
      <c r="AP5464">
        <v>0</v>
      </c>
      <c r="AQ5464">
        <v>0</v>
      </c>
      <c r="AR5464">
        <v>0</v>
      </c>
      <c r="AS5464" t="s">
        <v>239</v>
      </c>
      <c r="AT5464" t="s">
        <v>514</v>
      </c>
    </row>
    <row r="5465" spans="2:46" x14ac:dyDescent="0.35">
      <c r="B5465" t="s">
        <v>566</v>
      </c>
      <c r="C5465">
        <v>45978</v>
      </c>
      <c r="J5465">
        <v>0</v>
      </c>
      <c r="O5465" t="s">
        <v>239</v>
      </c>
      <c r="P5465" t="s">
        <v>514</v>
      </c>
      <c r="U5465">
        <v>0</v>
      </c>
      <c r="Y5465">
        <v>1051</v>
      </c>
      <c r="Z5465" s="259" t="s">
        <v>637</v>
      </c>
      <c r="AB5465">
        <v>0</v>
      </c>
      <c r="AF5465">
        <v>42000</v>
      </c>
      <c r="AG5465">
        <v>0</v>
      </c>
      <c r="AI5465">
        <v>42000</v>
      </c>
      <c r="AJ5465">
        <v>0</v>
      </c>
      <c r="AK5465">
        <v>0</v>
      </c>
      <c r="AL5465">
        <v>0</v>
      </c>
      <c r="AM5465">
        <v>42000</v>
      </c>
      <c r="AN5465">
        <v>0</v>
      </c>
      <c r="AO5465">
        <v>42000</v>
      </c>
      <c r="AP5465">
        <v>0</v>
      </c>
      <c r="AQ5465">
        <v>0</v>
      </c>
      <c r="AR5465">
        <v>0</v>
      </c>
      <c r="AS5465" t="s">
        <v>239</v>
      </c>
      <c r="AT5465" t="s">
        <v>514</v>
      </c>
    </row>
    <row r="5466" spans="2:46" x14ac:dyDescent="0.35">
      <c r="B5466" t="s">
        <v>566</v>
      </c>
      <c r="C5466">
        <v>45979</v>
      </c>
      <c r="J5466">
        <v>0</v>
      </c>
      <c r="O5466" t="s">
        <v>239</v>
      </c>
      <c r="P5466" t="s">
        <v>514</v>
      </c>
      <c r="U5466">
        <v>0</v>
      </c>
      <c r="Y5466">
        <v>1052</v>
      </c>
      <c r="Z5466" s="259" t="s">
        <v>637</v>
      </c>
      <c r="AB5466">
        <v>0</v>
      </c>
      <c r="AF5466">
        <v>42000</v>
      </c>
      <c r="AG5466">
        <v>0</v>
      </c>
      <c r="AI5466">
        <v>42000</v>
      </c>
      <c r="AJ5466">
        <v>0</v>
      </c>
      <c r="AK5466">
        <v>0</v>
      </c>
      <c r="AL5466">
        <v>0</v>
      </c>
      <c r="AM5466">
        <v>42000</v>
      </c>
      <c r="AN5466">
        <v>0</v>
      </c>
      <c r="AO5466">
        <v>42000</v>
      </c>
      <c r="AP5466">
        <v>0</v>
      </c>
      <c r="AQ5466">
        <v>0</v>
      </c>
      <c r="AR5466">
        <v>0</v>
      </c>
      <c r="AS5466" t="s">
        <v>239</v>
      </c>
      <c r="AT5466" t="s">
        <v>514</v>
      </c>
    </row>
    <row r="5467" spans="2:46" x14ac:dyDescent="0.35">
      <c r="B5467" t="s">
        <v>566</v>
      </c>
      <c r="C5467">
        <v>45980</v>
      </c>
      <c r="J5467">
        <v>0</v>
      </c>
      <c r="O5467" t="s">
        <v>239</v>
      </c>
      <c r="P5467" t="s">
        <v>514</v>
      </c>
      <c r="U5467">
        <v>0</v>
      </c>
      <c r="Y5467">
        <v>1053</v>
      </c>
      <c r="Z5467" s="259" t="s">
        <v>637</v>
      </c>
      <c r="AB5467">
        <v>0</v>
      </c>
      <c r="AF5467">
        <v>42000</v>
      </c>
      <c r="AG5467">
        <v>0</v>
      </c>
      <c r="AI5467">
        <v>42000</v>
      </c>
      <c r="AJ5467">
        <v>0</v>
      </c>
      <c r="AK5467">
        <v>0</v>
      </c>
      <c r="AL5467">
        <v>0</v>
      </c>
      <c r="AM5467">
        <v>42000</v>
      </c>
      <c r="AN5467">
        <v>0</v>
      </c>
      <c r="AO5467">
        <v>42000</v>
      </c>
      <c r="AP5467">
        <v>0</v>
      </c>
      <c r="AQ5467">
        <v>0</v>
      </c>
      <c r="AR5467">
        <v>0</v>
      </c>
      <c r="AS5467" t="s">
        <v>239</v>
      </c>
      <c r="AT5467" t="s">
        <v>514</v>
      </c>
    </row>
    <row r="5468" spans="2:46" x14ac:dyDescent="0.35">
      <c r="B5468" t="s">
        <v>566</v>
      </c>
      <c r="C5468">
        <v>45981</v>
      </c>
      <c r="J5468">
        <v>0</v>
      </c>
      <c r="O5468" t="s">
        <v>239</v>
      </c>
      <c r="P5468" t="s">
        <v>514</v>
      </c>
      <c r="U5468">
        <v>0</v>
      </c>
      <c r="Y5468">
        <v>1054</v>
      </c>
      <c r="Z5468" s="259" t="s">
        <v>637</v>
      </c>
      <c r="AB5468">
        <v>0</v>
      </c>
      <c r="AF5468">
        <v>42000</v>
      </c>
      <c r="AG5468">
        <v>0</v>
      </c>
      <c r="AI5468">
        <v>42000</v>
      </c>
      <c r="AJ5468">
        <v>0</v>
      </c>
      <c r="AK5468">
        <v>0</v>
      </c>
      <c r="AL5468">
        <v>0</v>
      </c>
      <c r="AM5468">
        <v>42000</v>
      </c>
      <c r="AN5468">
        <v>0</v>
      </c>
      <c r="AO5468">
        <v>42000</v>
      </c>
      <c r="AP5468">
        <v>0</v>
      </c>
      <c r="AQ5468">
        <v>0</v>
      </c>
      <c r="AR5468">
        <v>0</v>
      </c>
      <c r="AS5468" t="s">
        <v>239</v>
      </c>
      <c r="AT5468" t="s">
        <v>514</v>
      </c>
    </row>
    <row r="5469" spans="2:46" x14ac:dyDescent="0.35">
      <c r="B5469" t="s">
        <v>566</v>
      </c>
      <c r="C5469">
        <v>45982</v>
      </c>
      <c r="J5469">
        <v>0</v>
      </c>
      <c r="O5469" t="s">
        <v>239</v>
      </c>
      <c r="P5469" t="s">
        <v>514</v>
      </c>
      <c r="U5469">
        <v>0</v>
      </c>
      <c r="Y5469">
        <v>1055</v>
      </c>
      <c r="Z5469" s="259" t="s">
        <v>637</v>
      </c>
      <c r="AB5469">
        <v>0</v>
      </c>
      <c r="AF5469">
        <v>42000</v>
      </c>
      <c r="AG5469">
        <v>0</v>
      </c>
      <c r="AI5469">
        <v>42000</v>
      </c>
      <c r="AJ5469">
        <v>0</v>
      </c>
      <c r="AK5469">
        <v>0</v>
      </c>
      <c r="AL5469">
        <v>0</v>
      </c>
      <c r="AM5469">
        <v>42000</v>
      </c>
      <c r="AN5469">
        <v>0</v>
      </c>
      <c r="AO5469">
        <v>42000</v>
      </c>
      <c r="AP5469">
        <v>0</v>
      </c>
      <c r="AQ5469">
        <v>0</v>
      </c>
      <c r="AR5469">
        <v>0</v>
      </c>
      <c r="AS5469" t="s">
        <v>239</v>
      </c>
      <c r="AT5469" t="s">
        <v>514</v>
      </c>
    </row>
    <row r="5470" spans="2:46" x14ac:dyDescent="0.35">
      <c r="B5470" t="s">
        <v>566</v>
      </c>
      <c r="C5470">
        <v>45983</v>
      </c>
      <c r="J5470">
        <v>0</v>
      </c>
      <c r="O5470" t="s">
        <v>239</v>
      </c>
      <c r="P5470" t="s">
        <v>514</v>
      </c>
      <c r="U5470">
        <v>0</v>
      </c>
      <c r="Y5470">
        <v>1056</v>
      </c>
      <c r="Z5470" s="259" t="s">
        <v>637</v>
      </c>
      <c r="AB5470">
        <v>0</v>
      </c>
      <c r="AF5470">
        <v>42000</v>
      </c>
      <c r="AG5470">
        <v>0</v>
      </c>
      <c r="AI5470">
        <v>42000</v>
      </c>
      <c r="AJ5470">
        <v>0</v>
      </c>
      <c r="AK5470">
        <v>0</v>
      </c>
      <c r="AL5470">
        <v>0</v>
      </c>
      <c r="AM5470">
        <v>42000</v>
      </c>
      <c r="AN5470">
        <v>0</v>
      </c>
      <c r="AO5470">
        <v>42000</v>
      </c>
      <c r="AP5470">
        <v>0</v>
      </c>
      <c r="AQ5470">
        <v>0</v>
      </c>
      <c r="AR5470">
        <v>0</v>
      </c>
      <c r="AS5470" t="s">
        <v>239</v>
      </c>
      <c r="AT5470" t="s">
        <v>514</v>
      </c>
    </row>
    <row r="5471" spans="2:46" x14ac:dyDescent="0.35">
      <c r="B5471" t="s">
        <v>566</v>
      </c>
      <c r="C5471">
        <v>45984</v>
      </c>
      <c r="J5471">
        <v>0</v>
      </c>
      <c r="O5471" t="s">
        <v>239</v>
      </c>
      <c r="P5471" t="s">
        <v>514</v>
      </c>
      <c r="U5471">
        <v>0</v>
      </c>
      <c r="Y5471">
        <v>1057</v>
      </c>
      <c r="Z5471" s="259" t="s">
        <v>637</v>
      </c>
      <c r="AB5471">
        <v>0</v>
      </c>
      <c r="AF5471">
        <v>42000</v>
      </c>
      <c r="AG5471">
        <v>0</v>
      </c>
      <c r="AI5471">
        <v>42000</v>
      </c>
      <c r="AJ5471">
        <v>0</v>
      </c>
      <c r="AK5471">
        <v>0</v>
      </c>
      <c r="AL5471">
        <v>0</v>
      </c>
      <c r="AM5471">
        <v>42000</v>
      </c>
      <c r="AN5471">
        <v>0</v>
      </c>
      <c r="AO5471">
        <v>42000</v>
      </c>
      <c r="AP5471">
        <v>0</v>
      </c>
      <c r="AQ5471">
        <v>0</v>
      </c>
      <c r="AR5471">
        <v>0</v>
      </c>
      <c r="AS5471" t="s">
        <v>239</v>
      </c>
      <c r="AT5471" t="s">
        <v>514</v>
      </c>
    </row>
    <row r="5472" spans="2:46" x14ac:dyDescent="0.35">
      <c r="B5472" t="s">
        <v>566</v>
      </c>
      <c r="C5472">
        <v>45985</v>
      </c>
      <c r="J5472">
        <v>0</v>
      </c>
      <c r="O5472" t="s">
        <v>239</v>
      </c>
      <c r="P5472" t="s">
        <v>514</v>
      </c>
      <c r="U5472">
        <v>0</v>
      </c>
      <c r="Y5472">
        <v>1058</v>
      </c>
      <c r="Z5472" s="259" t="s">
        <v>637</v>
      </c>
      <c r="AB5472">
        <v>0</v>
      </c>
      <c r="AF5472">
        <v>42000</v>
      </c>
      <c r="AG5472">
        <v>0</v>
      </c>
      <c r="AI5472">
        <v>42000</v>
      </c>
      <c r="AJ5472">
        <v>0</v>
      </c>
      <c r="AK5472">
        <v>0</v>
      </c>
      <c r="AL5472">
        <v>0</v>
      </c>
      <c r="AM5472">
        <v>42000</v>
      </c>
      <c r="AN5472">
        <v>0</v>
      </c>
      <c r="AO5472">
        <v>42000</v>
      </c>
      <c r="AP5472">
        <v>0</v>
      </c>
      <c r="AQ5472">
        <v>0</v>
      </c>
      <c r="AR5472">
        <v>0</v>
      </c>
      <c r="AS5472" t="s">
        <v>239</v>
      </c>
      <c r="AT5472" t="s">
        <v>514</v>
      </c>
    </row>
    <row r="5473" spans="2:46" x14ac:dyDescent="0.35">
      <c r="B5473" t="s">
        <v>566</v>
      </c>
      <c r="C5473">
        <v>45986</v>
      </c>
      <c r="J5473">
        <v>0</v>
      </c>
      <c r="O5473" t="s">
        <v>239</v>
      </c>
      <c r="P5473" t="s">
        <v>514</v>
      </c>
      <c r="U5473">
        <v>0</v>
      </c>
      <c r="Y5473">
        <v>1059</v>
      </c>
      <c r="Z5473" s="259" t="s">
        <v>637</v>
      </c>
      <c r="AB5473">
        <v>0</v>
      </c>
      <c r="AF5473">
        <v>42000</v>
      </c>
      <c r="AG5473">
        <v>0</v>
      </c>
      <c r="AI5473">
        <v>42000</v>
      </c>
      <c r="AJ5473">
        <v>0</v>
      </c>
      <c r="AK5473">
        <v>0</v>
      </c>
      <c r="AL5473">
        <v>0</v>
      </c>
      <c r="AM5473">
        <v>42000</v>
      </c>
      <c r="AN5473">
        <v>0</v>
      </c>
      <c r="AO5473">
        <v>42000</v>
      </c>
      <c r="AP5473">
        <v>0</v>
      </c>
      <c r="AQ5473">
        <v>0</v>
      </c>
      <c r="AR5473">
        <v>0</v>
      </c>
      <c r="AS5473" t="s">
        <v>239</v>
      </c>
      <c r="AT5473" t="s">
        <v>514</v>
      </c>
    </row>
    <row r="5474" spans="2:46" x14ac:dyDescent="0.35">
      <c r="B5474" t="s">
        <v>566</v>
      </c>
      <c r="C5474">
        <v>45987</v>
      </c>
      <c r="J5474">
        <v>0</v>
      </c>
      <c r="O5474" t="s">
        <v>239</v>
      </c>
      <c r="P5474" t="s">
        <v>514</v>
      </c>
      <c r="U5474">
        <v>0</v>
      </c>
      <c r="Y5474">
        <v>1060</v>
      </c>
      <c r="Z5474" s="259" t="s">
        <v>637</v>
      </c>
      <c r="AB5474">
        <v>0</v>
      </c>
      <c r="AF5474">
        <v>42000</v>
      </c>
      <c r="AG5474">
        <v>0</v>
      </c>
      <c r="AI5474">
        <v>42000</v>
      </c>
      <c r="AJ5474">
        <v>0</v>
      </c>
      <c r="AK5474">
        <v>0</v>
      </c>
      <c r="AL5474">
        <v>0</v>
      </c>
      <c r="AM5474">
        <v>42000</v>
      </c>
      <c r="AN5474">
        <v>0</v>
      </c>
      <c r="AO5474">
        <v>42000</v>
      </c>
      <c r="AP5474">
        <v>0</v>
      </c>
      <c r="AQ5474">
        <v>0</v>
      </c>
      <c r="AR5474">
        <v>0</v>
      </c>
      <c r="AS5474" t="s">
        <v>239</v>
      </c>
      <c r="AT5474" t="s">
        <v>514</v>
      </c>
    </row>
    <row r="5475" spans="2:46" x14ac:dyDescent="0.35">
      <c r="B5475" t="s">
        <v>566</v>
      </c>
      <c r="C5475">
        <v>45988</v>
      </c>
      <c r="J5475">
        <v>0</v>
      </c>
      <c r="O5475" t="s">
        <v>239</v>
      </c>
      <c r="P5475" t="s">
        <v>514</v>
      </c>
      <c r="U5475">
        <v>0</v>
      </c>
      <c r="Y5475">
        <v>1061</v>
      </c>
      <c r="Z5475" s="259" t="s">
        <v>637</v>
      </c>
      <c r="AB5475">
        <v>0</v>
      </c>
      <c r="AF5475">
        <v>42000</v>
      </c>
      <c r="AG5475">
        <v>0</v>
      </c>
      <c r="AI5475">
        <v>42000</v>
      </c>
      <c r="AJ5475">
        <v>0</v>
      </c>
      <c r="AK5475">
        <v>0</v>
      </c>
      <c r="AL5475">
        <v>0</v>
      </c>
      <c r="AM5475">
        <v>42000</v>
      </c>
      <c r="AN5475">
        <v>0</v>
      </c>
      <c r="AO5475">
        <v>42000</v>
      </c>
      <c r="AP5475">
        <v>0</v>
      </c>
      <c r="AQ5475">
        <v>0</v>
      </c>
      <c r="AR5475">
        <v>0</v>
      </c>
      <c r="AS5475" t="s">
        <v>239</v>
      </c>
      <c r="AT5475" t="s">
        <v>514</v>
      </c>
    </row>
    <row r="5476" spans="2:46" x14ac:dyDescent="0.35">
      <c r="B5476" t="s">
        <v>566</v>
      </c>
      <c r="C5476">
        <v>45989</v>
      </c>
      <c r="J5476">
        <v>0</v>
      </c>
      <c r="O5476" t="s">
        <v>239</v>
      </c>
      <c r="P5476" t="s">
        <v>514</v>
      </c>
      <c r="U5476">
        <v>0</v>
      </c>
      <c r="Y5476">
        <v>1062</v>
      </c>
      <c r="Z5476" s="259" t="s">
        <v>637</v>
      </c>
      <c r="AB5476">
        <v>0</v>
      </c>
      <c r="AF5476">
        <v>42000</v>
      </c>
      <c r="AG5476">
        <v>0</v>
      </c>
      <c r="AI5476">
        <v>42000</v>
      </c>
      <c r="AJ5476">
        <v>0</v>
      </c>
      <c r="AK5476">
        <v>0</v>
      </c>
      <c r="AL5476">
        <v>0</v>
      </c>
      <c r="AM5476">
        <v>42000</v>
      </c>
      <c r="AN5476">
        <v>0</v>
      </c>
      <c r="AO5476">
        <v>42000</v>
      </c>
      <c r="AP5476">
        <v>0</v>
      </c>
      <c r="AQ5476">
        <v>0</v>
      </c>
      <c r="AR5476">
        <v>0</v>
      </c>
      <c r="AS5476" t="s">
        <v>239</v>
      </c>
      <c r="AT5476" t="s">
        <v>514</v>
      </c>
    </row>
    <row r="5477" spans="2:46" x14ac:dyDescent="0.35">
      <c r="B5477" t="s">
        <v>566</v>
      </c>
      <c r="C5477">
        <v>45990</v>
      </c>
      <c r="J5477">
        <v>0</v>
      </c>
      <c r="O5477" t="s">
        <v>239</v>
      </c>
      <c r="P5477" t="s">
        <v>514</v>
      </c>
      <c r="U5477">
        <v>0</v>
      </c>
      <c r="Y5477">
        <v>1063</v>
      </c>
      <c r="Z5477" s="259" t="s">
        <v>637</v>
      </c>
      <c r="AB5477">
        <v>0</v>
      </c>
      <c r="AF5477">
        <v>42000</v>
      </c>
      <c r="AG5477">
        <v>0</v>
      </c>
      <c r="AI5477">
        <v>42000</v>
      </c>
      <c r="AJ5477">
        <v>0</v>
      </c>
      <c r="AK5477">
        <v>0</v>
      </c>
      <c r="AL5477">
        <v>0</v>
      </c>
      <c r="AM5477">
        <v>42000</v>
      </c>
      <c r="AN5477">
        <v>0</v>
      </c>
      <c r="AO5477">
        <v>42000</v>
      </c>
      <c r="AP5477">
        <v>0</v>
      </c>
      <c r="AQ5477">
        <v>0</v>
      </c>
      <c r="AR5477">
        <v>0</v>
      </c>
      <c r="AS5477" t="s">
        <v>239</v>
      </c>
      <c r="AT5477" t="s">
        <v>514</v>
      </c>
    </row>
    <row r="5478" spans="2:46" x14ac:dyDescent="0.35">
      <c r="B5478" t="s">
        <v>566</v>
      </c>
      <c r="C5478">
        <v>45991</v>
      </c>
      <c r="J5478">
        <v>0</v>
      </c>
      <c r="O5478" t="s">
        <v>239</v>
      </c>
      <c r="P5478" t="s">
        <v>514</v>
      </c>
      <c r="U5478">
        <v>0</v>
      </c>
      <c r="Y5478">
        <v>1064</v>
      </c>
      <c r="Z5478" s="259" t="s">
        <v>637</v>
      </c>
      <c r="AB5478">
        <v>0</v>
      </c>
      <c r="AF5478">
        <v>42000</v>
      </c>
      <c r="AG5478">
        <v>0</v>
      </c>
      <c r="AI5478">
        <v>42000</v>
      </c>
      <c r="AJ5478">
        <v>0</v>
      </c>
      <c r="AK5478">
        <v>0</v>
      </c>
      <c r="AL5478">
        <v>0</v>
      </c>
      <c r="AM5478">
        <v>42000</v>
      </c>
      <c r="AN5478">
        <v>0</v>
      </c>
      <c r="AO5478">
        <v>42000</v>
      </c>
      <c r="AP5478">
        <v>0</v>
      </c>
      <c r="AQ5478">
        <v>0</v>
      </c>
      <c r="AR5478">
        <v>0</v>
      </c>
      <c r="AS5478" t="s">
        <v>239</v>
      </c>
      <c r="AT5478" t="s">
        <v>514</v>
      </c>
    </row>
    <row r="5479" spans="2:46" x14ac:dyDescent="0.35">
      <c r="B5479" t="s">
        <v>566</v>
      </c>
      <c r="C5479">
        <v>45992</v>
      </c>
      <c r="J5479">
        <v>0</v>
      </c>
      <c r="O5479" t="s">
        <v>239</v>
      </c>
      <c r="P5479" t="s">
        <v>514</v>
      </c>
      <c r="U5479">
        <v>0</v>
      </c>
      <c r="Y5479">
        <v>1065</v>
      </c>
      <c r="Z5479" s="259" t="s">
        <v>637</v>
      </c>
      <c r="AB5479">
        <v>0</v>
      </c>
      <c r="AF5479">
        <v>42000</v>
      </c>
      <c r="AG5479">
        <v>0</v>
      </c>
      <c r="AI5479">
        <v>42000</v>
      </c>
      <c r="AJ5479">
        <v>0</v>
      </c>
      <c r="AK5479">
        <v>0</v>
      </c>
      <c r="AL5479">
        <v>0</v>
      </c>
      <c r="AM5479">
        <v>42000</v>
      </c>
      <c r="AN5479">
        <v>0</v>
      </c>
      <c r="AO5479">
        <v>42000</v>
      </c>
      <c r="AP5479">
        <v>0</v>
      </c>
      <c r="AQ5479">
        <v>0</v>
      </c>
      <c r="AR5479">
        <v>0</v>
      </c>
      <c r="AS5479" t="s">
        <v>239</v>
      </c>
      <c r="AT5479" t="s">
        <v>514</v>
      </c>
    </row>
    <row r="5480" spans="2:46" x14ac:dyDescent="0.35">
      <c r="B5480" t="s">
        <v>566</v>
      </c>
      <c r="C5480">
        <v>45993</v>
      </c>
      <c r="J5480">
        <v>0</v>
      </c>
      <c r="O5480" t="s">
        <v>239</v>
      </c>
      <c r="P5480" t="s">
        <v>514</v>
      </c>
      <c r="U5480">
        <v>0</v>
      </c>
      <c r="Y5480">
        <v>1066</v>
      </c>
      <c r="Z5480" s="259" t="s">
        <v>637</v>
      </c>
      <c r="AB5480">
        <v>0</v>
      </c>
      <c r="AF5480">
        <v>42000</v>
      </c>
      <c r="AG5480">
        <v>0</v>
      </c>
      <c r="AI5480">
        <v>42000</v>
      </c>
      <c r="AJ5480">
        <v>0</v>
      </c>
      <c r="AK5480">
        <v>0</v>
      </c>
      <c r="AL5480">
        <v>0</v>
      </c>
      <c r="AM5480">
        <v>42000</v>
      </c>
      <c r="AN5480">
        <v>0</v>
      </c>
      <c r="AO5480">
        <v>42000</v>
      </c>
      <c r="AP5480">
        <v>0</v>
      </c>
      <c r="AQ5480">
        <v>0</v>
      </c>
      <c r="AR5480">
        <v>0</v>
      </c>
      <c r="AS5480" t="s">
        <v>239</v>
      </c>
      <c r="AT5480" t="s">
        <v>514</v>
      </c>
    </row>
    <row r="5481" spans="2:46" x14ac:dyDescent="0.35">
      <c r="B5481" t="s">
        <v>566</v>
      </c>
      <c r="C5481">
        <v>45994</v>
      </c>
      <c r="J5481">
        <v>0</v>
      </c>
      <c r="O5481" t="s">
        <v>239</v>
      </c>
      <c r="P5481" t="s">
        <v>514</v>
      </c>
      <c r="U5481">
        <v>0</v>
      </c>
      <c r="Y5481">
        <v>1067</v>
      </c>
      <c r="Z5481" s="259" t="s">
        <v>637</v>
      </c>
      <c r="AB5481">
        <v>0</v>
      </c>
      <c r="AF5481">
        <v>42000</v>
      </c>
      <c r="AG5481">
        <v>0</v>
      </c>
      <c r="AI5481">
        <v>42000</v>
      </c>
      <c r="AJ5481">
        <v>0</v>
      </c>
      <c r="AK5481">
        <v>0</v>
      </c>
      <c r="AL5481">
        <v>0</v>
      </c>
      <c r="AM5481">
        <v>42000</v>
      </c>
      <c r="AN5481">
        <v>0</v>
      </c>
      <c r="AO5481">
        <v>42000</v>
      </c>
      <c r="AP5481">
        <v>0</v>
      </c>
      <c r="AQ5481">
        <v>0</v>
      </c>
      <c r="AR5481">
        <v>0</v>
      </c>
      <c r="AS5481" t="s">
        <v>239</v>
      </c>
      <c r="AT5481" t="s">
        <v>514</v>
      </c>
    </row>
    <row r="5482" spans="2:46" x14ac:dyDescent="0.35">
      <c r="B5482" t="s">
        <v>566</v>
      </c>
      <c r="C5482">
        <v>45995</v>
      </c>
      <c r="J5482">
        <v>0</v>
      </c>
      <c r="O5482" t="s">
        <v>239</v>
      </c>
      <c r="P5482" t="s">
        <v>514</v>
      </c>
      <c r="U5482">
        <v>0</v>
      </c>
      <c r="Y5482">
        <v>1068</v>
      </c>
      <c r="Z5482" s="259" t="s">
        <v>637</v>
      </c>
      <c r="AB5482">
        <v>0</v>
      </c>
      <c r="AF5482">
        <v>42000</v>
      </c>
      <c r="AG5482">
        <v>0</v>
      </c>
      <c r="AI5482">
        <v>42000</v>
      </c>
      <c r="AJ5482">
        <v>0</v>
      </c>
      <c r="AK5482">
        <v>0</v>
      </c>
      <c r="AL5482">
        <v>0</v>
      </c>
      <c r="AM5482">
        <v>42000</v>
      </c>
      <c r="AN5482">
        <v>0</v>
      </c>
      <c r="AO5482">
        <v>42000</v>
      </c>
      <c r="AP5482">
        <v>0</v>
      </c>
      <c r="AQ5482">
        <v>0</v>
      </c>
      <c r="AR5482">
        <v>0</v>
      </c>
      <c r="AS5482" t="s">
        <v>239</v>
      </c>
      <c r="AT5482" t="s">
        <v>514</v>
      </c>
    </row>
    <row r="5483" spans="2:46" x14ac:dyDescent="0.35">
      <c r="B5483" t="s">
        <v>566</v>
      </c>
      <c r="C5483">
        <v>45996</v>
      </c>
      <c r="J5483">
        <v>0</v>
      </c>
      <c r="O5483" t="s">
        <v>239</v>
      </c>
      <c r="P5483" t="s">
        <v>514</v>
      </c>
      <c r="U5483">
        <v>0</v>
      </c>
      <c r="Y5483">
        <v>1069</v>
      </c>
      <c r="Z5483" s="259" t="s">
        <v>637</v>
      </c>
      <c r="AB5483">
        <v>0</v>
      </c>
      <c r="AF5483">
        <v>42000</v>
      </c>
      <c r="AG5483">
        <v>0</v>
      </c>
      <c r="AI5483">
        <v>42000</v>
      </c>
      <c r="AJ5483">
        <v>0</v>
      </c>
      <c r="AK5483">
        <v>0</v>
      </c>
      <c r="AL5483">
        <v>0</v>
      </c>
      <c r="AM5483">
        <v>42000</v>
      </c>
      <c r="AN5483">
        <v>0</v>
      </c>
      <c r="AO5483">
        <v>42000</v>
      </c>
      <c r="AP5483">
        <v>0</v>
      </c>
      <c r="AQ5483">
        <v>0</v>
      </c>
      <c r="AR5483">
        <v>0</v>
      </c>
      <c r="AS5483" t="s">
        <v>239</v>
      </c>
      <c r="AT5483" t="s">
        <v>514</v>
      </c>
    </row>
    <row r="5484" spans="2:46" x14ac:dyDescent="0.35">
      <c r="B5484" t="s">
        <v>566</v>
      </c>
      <c r="C5484">
        <v>45997</v>
      </c>
      <c r="J5484">
        <v>0</v>
      </c>
      <c r="O5484" t="s">
        <v>239</v>
      </c>
      <c r="P5484" t="s">
        <v>514</v>
      </c>
      <c r="U5484">
        <v>0</v>
      </c>
      <c r="Y5484">
        <v>1070</v>
      </c>
      <c r="Z5484" s="259" t="s">
        <v>637</v>
      </c>
      <c r="AB5484">
        <v>0</v>
      </c>
      <c r="AF5484">
        <v>42000</v>
      </c>
      <c r="AG5484">
        <v>0</v>
      </c>
      <c r="AI5484">
        <v>42000</v>
      </c>
      <c r="AJ5484">
        <v>0</v>
      </c>
      <c r="AK5484">
        <v>0</v>
      </c>
      <c r="AL5484">
        <v>0</v>
      </c>
      <c r="AM5484">
        <v>42000</v>
      </c>
      <c r="AN5484">
        <v>0</v>
      </c>
      <c r="AO5484">
        <v>42000</v>
      </c>
      <c r="AP5484">
        <v>0</v>
      </c>
      <c r="AQ5484">
        <v>0</v>
      </c>
      <c r="AR5484">
        <v>0</v>
      </c>
      <c r="AS5484" t="s">
        <v>239</v>
      </c>
      <c r="AT5484" t="s">
        <v>514</v>
      </c>
    </row>
    <row r="5485" spans="2:46" x14ac:dyDescent="0.35">
      <c r="B5485" t="s">
        <v>566</v>
      </c>
      <c r="C5485">
        <v>45998</v>
      </c>
      <c r="J5485">
        <v>0</v>
      </c>
      <c r="O5485" t="s">
        <v>239</v>
      </c>
      <c r="P5485" t="s">
        <v>514</v>
      </c>
      <c r="U5485">
        <v>0</v>
      </c>
      <c r="Y5485">
        <v>1071</v>
      </c>
      <c r="Z5485" s="259" t="s">
        <v>637</v>
      </c>
      <c r="AB5485">
        <v>0</v>
      </c>
      <c r="AF5485">
        <v>42000</v>
      </c>
      <c r="AG5485">
        <v>0</v>
      </c>
      <c r="AI5485">
        <v>42000</v>
      </c>
      <c r="AJ5485">
        <v>0</v>
      </c>
      <c r="AK5485">
        <v>0</v>
      </c>
      <c r="AL5485">
        <v>0</v>
      </c>
      <c r="AM5485">
        <v>42000</v>
      </c>
      <c r="AN5485">
        <v>0</v>
      </c>
      <c r="AO5485">
        <v>42000</v>
      </c>
      <c r="AP5485">
        <v>0</v>
      </c>
      <c r="AQ5485">
        <v>0</v>
      </c>
      <c r="AR5485">
        <v>0</v>
      </c>
      <c r="AS5485" t="s">
        <v>239</v>
      </c>
      <c r="AT5485" t="s">
        <v>514</v>
      </c>
    </row>
    <row r="5486" spans="2:46" x14ac:dyDescent="0.35">
      <c r="B5486" t="s">
        <v>566</v>
      </c>
      <c r="C5486">
        <v>45999</v>
      </c>
      <c r="J5486">
        <v>0</v>
      </c>
      <c r="O5486" t="s">
        <v>239</v>
      </c>
      <c r="P5486" t="s">
        <v>514</v>
      </c>
      <c r="U5486">
        <v>0</v>
      </c>
      <c r="Y5486">
        <v>1072</v>
      </c>
      <c r="Z5486" s="259" t="s">
        <v>637</v>
      </c>
      <c r="AB5486">
        <v>0</v>
      </c>
      <c r="AF5486">
        <v>42000</v>
      </c>
      <c r="AG5486">
        <v>0</v>
      </c>
      <c r="AI5486">
        <v>42000</v>
      </c>
      <c r="AJ5486">
        <v>0</v>
      </c>
      <c r="AK5486">
        <v>0</v>
      </c>
      <c r="AL5486">
        <v>0</v>
      </c>
      <c r="AM5486">
        <v>42000</v>
      </c>
      <c r="AN5486">
        <v>0</v>
      </c>
      <c r="AO5486">
        <v>42000</v>
      </c>
      <c r="AP5486">
        <v>0</v>
      </c>
      <c r="AQ5486">
        <v>0</v>
      </c>
      <c r="AR5486">
        <v>0</v>
      </c>
      <c r="AS5486" t="s">
        <v>239</v>
      </c>
      <c r="AT5486" t="s">
        <v>514</v>
      </c>
    </row>
    <row r="5487" spans="2:46" x14ac:dyDescent="0.35">
      <c r="B5487" t="s">
        <v>566</v>
      </c>
      <c r="C5487">
        <v>46000</v>
      </c>
      <c r="J5487">
        <v>0</v>
      </c>
      <c r="O5487" t="s">
        <v>239</v>
      </c>
      <c r="P5487" t="s">
        <v>514</v>
      </c>
      <c r="U5487">
        <v>0</v>
      </c>
      <c r="Y5487">
        <v>1073</v>
      </c>
      <c r="Z5487" s="259" t="s">
        <v>637</v>
      </c>
      <c r="AB5487">
        <v>0</v>
      </c>
      <c r="AF5487">
        <v>42000</v>
      </c>
      <c r="AG5487">
        <v>0</v>
      </c>
      <c r="AI5487">
        <v>42000</v>
      </c>
      <c r="AJ5487">
        <v>0</v>
      </c>
      <c r="AK5487">
        <v>0</v>
      </c>
      <c r="AL5487">
        <v>0</v>
      </c>
      <c r="AM5487">
        <v>42000</v>
      </c>
      <c r="AN5487">
        <v>0</v>
      </c>
      <c r="AO5487">
        <v>42000</v>
      </c>
      <c r="AP5487">
        <v>0</v>
      </c>
      <c r="AQ5487">
        <v>0</v>
      </c>
      <c r="AR5487">
        <v>0</v>
      </c>
      <c r="AS5487" t="s">
        <v>239</v>
      </c>
      <c r="AT5487" t="s">
        <v>514</v>
      </c>
    </row>
    <row r="5488" spans="2:46" x14ac:dyDescent="0.35">
      <c r="B5488" t="s">
        <v>566</v>
      </c>
      <c r="C5488">
        <v>46001</v>
      </c>
      <c r="J5488">
        <v>0</v>
      </c>
      <c r="O5488" t="s">
        <v>239</v>
      </c>
      <c r="P5488" t="s">
        <v>514</v>
      </c>
      <c r="U5488">
        <v>0</v>
      </c>
      <c r="Y5488">
        <v>1074</v>
      </c>
      <c r="Z5488" s="259" t="s">
        <v>637</v>
      </c>
      <c r="AB5488">
        <v>0</v>
      </c>
      <c r="AF5488">
        <v>42000</v>
      </c>
      <c r="AG5488">
        <v>0</v>
      </c>
      <c r="AI5488">
        <v>42000</v>
      </c>
      <c r="AJ5488">
        <v>0</v>
      </c>
      <c r="AK5488">
        <v>0</v>
      </c>
      <c r="AL5488">
        <v>0</v>
      </c>
      <c r="AM5488">
        <v>42000</v>
      </c>
      <c r="AN5488">
        <v>0</v>
      </c>
      <c r="AO5488">
        <v>42000</v>
      </c>
      <c r="AP5488">
        <v>0</v>
      </c>
      <c r="AQ5488">
        <v>0</v>
      </c>
      <c r="AR5488">
        <v>0</v>
      </c>
      <c r="AS5488" t="s">
        <v>239</v>
      </c>
      <c r="AT5488" t="s">
        <v>514</v>
      </c>
    </row>
    <row r="5489" spans="2:46" x14ac:dyDescent="0.35">
      <c r="B5489" t="s">
        <v>566</v>
      </c>
      <c r="C5489">
        <v>46002</v>
      </c>
      <c r="J5489">
        <v>0</v>
      </c>
      <c r="O5489" t="s">
        <v>239</v>
      </c>
      <c r="P5489" t="s">
        <v>514</v>
      </c>
      <c r="U5489">
        <v>0</v>
      </c>
      <c r="Y5489">
        <v>1075</v>
      </c>
      <c r="Z5489" s="259" t="s">
        <v>637</v>
      </c>
      <c r="AB5489">
        <v>0</v>
      </c>
      <c r="AF5489">
        <v>42000</v>
      </c>
      <c r="AG5489">
        <v>0</v>
      </c>
      <c r="AI5489">
        <v>42000</v>
      </c>
      <c r="AJ5489">
        <v>0</v>
      </c>
      <c r="AK5489">
        <v>0</v>
      </c>
      <c r="AL5489">
        <v>0</v>
      </c>
      <c r="AM5489">
        <v>42000</v>
      </c>
      <c r="AN5489">
        <v>0</v>
      </c>
      <c r="AO5489">
        <v>42000</v>
      </c>
      <c r="AP5489">
        <v>0</v>
      </c>
      <c r="AQ5489">
        <v>0</v>
      </c>
      <c r="AR5489">
        <v>0</v>
      </c>
      <c r="AS5489" t="s">
        <v>239</v>
      </c>
      <c r="AT5489" t="s">
        <v>514</v>
      </c>
    </row>
    <row r="5490" spans="2:46" x14ac:dyDescent="0.35">
      <c r="B5490" t="s">
        <v>566</v>
      </c>
      <c r="C5490">
        <v>46003</v>
      </c>
      <c r="J5490">
        <v>0</v>
      </c>
      <c r="O5490" t="s">
        <v>239</v>
      </c>
      <c r="P5490" t="s">
        <v>514</v>
      </c>
      <c r="U5490">
        <v>0</v>
      </c>
      <c r="Y5490">
        <v>1076</v>
      </c>
      <c r="Z5490" s="259" t="s">
        <v>637</v>
      </c>
      <c r="AB5490">
        <v>0</v>
      </c>
      <c r="AF5490">
        <v>42000</v>
      </c>
      <c r="AG5490">
        <v>0</v>
      </c>
      <c r="AI5490">
        <v>42000</v>
      </c>
      <c r="AJ5490">
        <v>0</v>
      </c>
      <c r="AK5490">
        <v>0</v>
      </c>
      <c r="AL5490">
        <v>0</v>
      </c>
      <c r="AM5490">
        <v>42000</v>
      </c>
      <c r="AN5490">
        <v>0</v>
      </c>
      <c r="AO5490">
        <v>42000</v>
      </c>
      <c r="AP5490">
        <v>0</v>
      </c>
      <c r="AQ5490">
        <v>0</v>
      </c>
      <c r="AR5490">
        <v>0</v>
      </c>
      <c r="AS5490" t="s">
        <v>239</v>
      </c>
      <c r="AT5490" t="s">
        <v>514</v>
      </c>
    </row>
    <row r="5491" spans="2:46" x14ac:dyDescent="0.35">
      <c r="B5491" t="s">
        <v>566</v>
      </c>
      <c r="C5491">
        <v>46004</v>
      </c>
      <c r="J5491">
        <v>0</v>
      </c>
      <c r="O5491" t="s">
        <v>239</v>
      </c>
      <c r="P5491" t="s">
        <v>514</v>
      </c>
      <c r="U5491">
        <v>0</v>
      </c>
      <c r="Y5491">
        <v>1077</v>
      </c>
      <c r="Z5491" s="259" t="s">
        <v>637</v>
      </c>
      <c r="AB5491">
        <v>0</v>
      </c>
      <c r="AF5491">
        <v>42000</v>
      </c>
      <c r="AG5491">
        <v>0</v>
      </c>
      <c r="AI5491">
        <v>42000</v>
      </c>
      <c r="AJ5491">
        <v>0</v>
      </c>
      <c r="AK5491">
        <v>0</v>
      </c>
      <c r="AL5491">
        <v>0</v>
      </c>
      <c r="AM5491">
        <v>42000</v>
      </c>
      <c r="AN5491">
        <v>0</v>
      </c>
      <c r="AO5491">
        <v>42000</v>
      </c>
      <c r="AP5491">
        <v>0</v>
      </c>
      <c r="AQ5491">
        <v>0</v>
      </c>
      <c r="AR5491">
        <v>0</v>
      </c>
      <c r="AS5491" t="s">
        <v>239</v>
      </c>
      <c r="AT5491" t="s">
        <v>514</v>
      </c>
    </row>
    <row r="5492" spans="2:46" x14ac:dyDescent="0.35">
      <c r="B5492" t="s">
        <v>566</v>
      </c>
      <c r="C5492">
        <v>46005</v>
      </c>
      <c r="J5492">
        <v>0</v>
      </c>
      <c r="O5492" t="s">
        <v>239</v>
      </c>
      <c r="P5492" t="s">
        <v>514</v>
      </c>
      <c r="U5492">
        <v>0</v>
      </c>
      <c r="Y5492">
        <v>1078</v>
      </c>
      <c r="Z5492" s="259" t="s">
        <v>637</v>
      </c>
      <c r="AB5492">
        <v>0</v>
      </c>
      <c r="AF5492">
        <v>42000</v>
      </c>
      <c r="AG5492">
        <v>0</v>
      </c>
      <c r="AI5492">
        <v>42000</v>
      </c>
      <c r="AJ5492">
        <v>0</v>
      </c>
      <c r="AK5492">
        <v>0</v>
      </c>
      <c r="AL5492">
        <v>0</v>
      </c>
      <c r="AM5492">
        <v>42000</v>
      </c>
      <c r="AN5492">
        <v>0</v>
      </c>
      <c r="AO5492">
        <v>42000</v>
      </c>
      <c r="AP5492">
        <v>0</v>
      </c>
      <c r="AQ5492">
        <v>0</v>
      </c>
      <c r="AR5492">
        <v>0</v>
      </c>
      <c r="AS5492" t="s">
        <v>239</v>
      </c>
      <c r="AT5492" t="s">
        <v>514</v>
      </c>
    </row>
    <row r="5493" spans="2:46" x14ac:dyDescent="0.35">
      <c r="B5493" t="s">
        <v>566</v>
      </c>
      <c r="C5493">
        <v>46006</v>
      </c>
      <c r="J5493">
        <v>0</v>
      </c>
      <c r="O5493" t="s">
        <v>239</v>
      </c>
      <c r="P5493" t="s">
        <v>514</v>
      </c>
      <c r="U5493">
        <v>0</v>
      </c>
      <c r="Y5493">
        <v>1079</v>
      </c>
      <c r="Z5493" s="259" t="s">
        <v>637</v>
      </c>
      <c r="AB5493">
        <v>0</v>
      </c>
      <c r="AF5493">
        <v>42000</v>
      </c>
      <c r="AG5493">
        <v>0</v>
      </c>
      <c r="AI5493">
        <v>42000</v>
      </c>
      <c r="AJ5493">
        <v>0</v>
      </c>
      <c r="AK5493">
        <v>0</v>
      </c>
      <c r="AL5493">
        <v>0</v>
      </c>
      <c r="AM5493">
        <v>42000</v>
      </c>
      <c r="AN5493">
        <v>0</v>
      </c>
      <c r="AO5493">
        <v>42000</v>
      </c>
      <c r="AP5493">
        <v>0</v>
      </c>
      <c r="AQ5493">
        <v>0</v>
      </c>
      <c r="AR5493">
        <v>0</v>
      </c>
      <c r="AS5493" t="s">
        <v>239</v>
      </c>
      <c r="AT5493" t="s">
        <v>514</v>
      </c>
    </row>
    <row r="5494" spans="2:46" x14ac:dyDescent="0.35">
      <c r="B5494" t="s">
        <v>566</v>
      </c>
      <c r="C5494">
        <v>46007</v>
      </c>
      <c r="J5494">
        <v>0</v>
      </c>
      <c r="O5494" t="s">
        <v>239</v>
      </c>
      <c r="P5494" t="s">
        <v>514</v>
      </c>
      <c r="U5494">
        <v>0</v>
      </c>
      <c r="Y5494">
        <v>1080</v>
      </c>
      <c r="Z5494" s="259" t="s">
        <v>637</v>
      </c>
      <c r="AB5494">
        <v>0</v>
      </c>
      <c r="AF5494">
        <v>42000</v>
      </c>
      <c r="AG5494">
        <v>0</v>
      </c>
      <c r="AI5494">
        <v>42000</v>
      </c>
      <c r="AJ5494">
        <v>0</v>
      </c>
      <c r="AK5494">
        <v>0</v>
      </c>
      <c r="AL5494">
        <v>0</v>
      </c>
      <c r="AM5494">
        <v>42000</v>
      </c>
      <c r="AN5494">
        <v>0</v>
      </c>
      <c r="AO5494">
        <v>42000</v>
      </c>
      <c r="AP5494">
        <v>0</v>
      </c>
      <c r="AQ5494">
        <v>0</v>
      </c>
      <c r="AR5494">
        <v>0</v>
      </c>
      <c r="AS5494" t="s">
        <v>239</v>
      </c>
      <c r="AT5494" t="s">
        <v>514</v>
      </c>
    </row>
    <row r="5495" spans="2:46" x14ac:dyDescent="0.35">
      <c r="B5495" t="s">
        <v>566</v>
      </c>
      <c r="C5495">
        <v>46008</v>
      </c>
      <c r="J5495">
        <v>0</v>
      </c>
      <c r="O5495" t="s">
        <v>239</v>
      </c>
      <c r="P5495" t="s">
        <v>514</v>
      </c>
      <c r="U5495">
        <v>0</v>
      </c>
      <c r="Y5495">
        <v>1081</v>
      </c>
      <c r="Z5495" s="259" t="s">
        <v>637</v>
      </c>
      <c r="AB5495">
        <v>0</v>
      </c>
      <c r="AF5495">
        <v>42000</v>
      </c>
      <c r="AG5495">
        <v>0</v>
      </c>
      <c r="AI5495">
        <v>42000</v>
      </c>
      <c r="AJ5495">
        <v>0</v>
      </c>
      <c r="AK5495">
        <v>0</v>
      </c>
      <c r="AL5495">
        <v>0</v>
      </c>
      <c r="AM5495">
        <v>42000</v>
      </c>
      <c r="AN5495">
        <v>0</v>
      </c>
      <c r="AO5495">
        <v>42000</v>
      </c>
      <c r="AP5495">
        <v>0</v>
      </c>
      <c r="AQ5495">
        <v>0</v>
      </c>
      <c r="AR5495">
        <v>0</v>
      </c>
      <c r="AS5495" t="s">
        <v>239</v>
      </c>
      <c r="AT5495" t="s">
        <v>514</v>
      </c>
    </row>
    <row r="5496" spans="2:46" x14ac:dyDescent="0.35">
      <c r="B5496" t="s">
        <v>566</v>
      </c>
      <c r="C5496">
        <v>46009</v>
      </c>
      <c r="J5496">
        <v>0</v>
      </c>
      <c r="O5496" t="s">
        <v>239</v>
      </c>
      <c r="P5496" t="s">
        <v>514</v>
      </c>
      <c r="U5496">
        <v>0</v>
      </c>
      <c r="Y5496">
        <v>1082</v>
      </c>
      <c r="Z5496" s="259" t="s">
        <v>637</v>
      </c>
      <c r="AB5496">
        <v>0</v>
      </c>
      <c r="AF5496">
        <v>41000</v>
      </c>
      <c r="AG5496">
        <v>0</v>
      </c>
      <c r="AI5496">
        <v>42000</v>
      </c>
      <c r="AJ5496">
        <v>0</v>
      </c>
      <c r="AK5496">
        <v>-1000</v>
      </c>
      <c r="AL5496">
        <v>-1000</v>
      </c>
      <c r="AM5496">
        <v>41000</v>
      </c>
      <c r="AN5496">
        <v>0</v>
      </c>
      <c r="AO5496">
        <v>41000</v>
      </c>
      <c r="AP5496">
        <v>0</v>
      </c>
      <c r="AQ5496">
        <v>0</v>
      </c>
      <c r="AR5496">
        <v>0</v>
      </c>
      <c r="AS5496" t="s">
        <v>239</v>
      </c>
      <c r="AT5496" t="s">
        <v>514</v>
      </c>
    </row>
    <row r="5497" spans="2:46" x14ac:dyDescent="0.35">
      <c r="B5497" t="s">
        <v>566</v>
      </c>
      <c r="C5497">
        <v>46010</v>
      </c>
      <c r="J5497">
        <v>0</v>
      </c>
      <c r="O5497" t="s">
        <v>239</v>
      </c>
      <c r="P5497" t="s">
        <v>514</v>
      </c>
      <c r="U5497">
        <v>0</v>
      </c>
      <c r="Y5497">
        <v>1083</v>
      </c>
      <c r="Z5497" s="259" t="s">
        <v>637</v>
      </c>
      <c r="AB5497">
        <v>0</v>
      </c>
      <c r="AF5497">
        <v>41000</v>
      </c>
      <c r="AG5497">
        <v>0</v>
      </c>
      <c r="AI5497">
        <v>41000</v>
      </c>
      <c r="AJ5497">
        <v>0</v>
      </c>
      <c r="AK5497">
        <v>0</v>
      </c>
      <c r="AL5497">
        <v>0</v>
      </c>
      <c r="AM5497">
        <v>41000</v>
      </c>
      <c r="AN5497">
        <v>0</v>
      </c>
      <c r="AO5497">
        <v>41000</v>
      </c>
      <c r="AP5497">
        <v>0</v>
      </c>
      <c r="AQ5497">
        <v>0</v>
      </c>
      <c r="AR5497">
        <v>0</v>
      </c>
      <c r="AS5497" t="s">
        <v>239</v>
      </c>
      <c r="AT5497" t="s">
        <v>514</v>
      </c>
    </row>
    <row r="5498" spans="2:46" x14ac:dyDescent="0.35">
      <c r="B5498" t="s">
        <v>566</v>
      </c>
      <c r="C5498">
        <v>46011</v>
      </c>
      <c r="J5498">
        <v>0</v>
      </c>
      <c r="O5498" t="s">
        <v>239</v>
      </c>
      <c r="P5498" t="s">
        <v>514</v>
      </c>
      <c r="U5498">
        <v>0</v>
      </c>
      <c r="Y5498">
        <v>1084</v>
      </c>
      <c r="Z5498" s="259" t="s">
        <v>637</v>
      </c>
      <c r="AB5498">
        <v>0</v>
      </c>
      <c r="AF5498">
        <v>41000</v>
      </c>
      <c r="AG5498">
        <v>0</v>
      </c>
      <c r="AI5498">
        <v>41000</v>
      </c>
      <c r="AJ5498">
        <v>0</v>
      </c>
      <c r="AK5498">
        <v>0</v>
      </c>
      <c r="AL5498">
        <v>0</v>
      </c>
      <c r="AM5498">
        <v>41000</v>
      </c>
      <c r="AN5498">
        <v>0</v>
      </c>
      <c r="AO5498">
        <v>41000</v>
      </c>
      <c r="AP5498">
        <v>0</v>
      </c>
      <c r="AQ5498">
        <v>0</v>
      </c>
      <c r="AR5498">
        <v>0</v>
      </c>
      <c r="AS5498" t="s">
        <v>239</v>
      </c>
      <c r="AT5498" t="s">
        <v>514</v>
      </c>
    </row>
    <row r="5499" spans="2:46" x14ac:dyDescent="0.35">
      <c r="B5499" t="s">
        <v>566</v>
      </c>
      <c r="C5499">
        <v>46012</v>
      </c>
      <c r="J5499">
        <v>0</v>
      </c>
      <c r="O5499" t="s">
        <v>239</v>
      </c>
      <c r="P5499" t="s">
        <v>514</v>
      </c>
      <c r="U5499">
        <v>0</v>
      </c>
      <c r="Y5499">
        <v>1085</v>
      </c>
      <c r="Z5499" s="259" t="s">
        <v>637</v>
      </c>
      <c r="AB5499">
        <v>0</v>
      </c>
      <c r="AF5499">
        <v>41000</v>
      </c>
      <c r="AG5499">
        <v>0</v>
      </c>
      <c r="AI5499">
        <v>41000</v>
      </c>
      <c r="AJ5499">
        <v>0</v>
      </c>
      <c r="AK5499">
        <v>0</v>
      </c>
      <c r="AL5499">
        <v>0</v>
      </c>
      <c r="AM5499">
        <v>41000</v>
      </c>
      <c r="AN5499">
        <v>0</v>
      </c>
      <c r="AO5499">
        <v>41000</v>
      </c>
      <c r="AP5499">
        <v>0</v>
      </c>
      <c r="AQ5499">
        <v>0</v>
      </c>
      <c r="AR5499">
        <v>0</v>
      </c>
      <c r="AS5499" t="s">
        <v>239</v>
      </c>
      <c r="AT5499" t="s">
        <v>514</v>
      </c>
    </row>
    <row r="5500" spans="2:46" x14ac:dyDescent="0.35">
      <c r="B5500" t="s">
        <v>566</v>
      </c>
      <c r="C5500">
        <v>46013</v>
      </c>
      <c r="J5500">
        <v>0</v>
      </c>
      <c r="O5500" t="s">
        <v>239</v>
      </c>
      <c r="P5500" t="s">
        <v>514</v>
      </c>
      <c r="U5500">
        <v>0</v>
      </c>
      <c r="Y5500">
        <v>1086</v>
      </c>
      <c r="Z5500" s="259" t="s">
        <v>637</v>
      </c>
      <c r="AB5500">
        <v>0</v>
      </c>
      <c r="AF5500">
        <v>41000</v>
      </c>
      <c r="AG5500">
        <v>0</v>
      </c>
      <c r="AI5500">
        <v>41000</v>
      </c>
      <c r="AJ5500">
        <v>0</v>
      </c>
      <c r="AK5500">
        <v>0</v>
      </c>
      <c r="AL5500">
        <v>0</v>
      </c>
      <c r="AM5500">
        <v>41000</v>
      </c>
      <c r="AN5500">
        <v>0</v>
      </c>
      <c r="AO5500">
        <v>41000</v>
      </c>
      <c r="AP5500">
        <v>0</v>
      </c>
      <c r="AQ5500">
        <v>0</v>
      </c>
      <c r="AR5500">
        <v>0</v>
      </c>
      <c r="AS5500" t="s">
        <v>239</v>
      </c>
      <c r="AT5500" t="s">
        <v>514</v>
      </c>
    </row>
    <row r="5501" spans="2:46" x14ac:dyDescent="0.35">
      <c r="B5501" t="s">
        <v>566</v>
      </c>
      <c r="C5501">
        <v>46014</v>
      </c>
      <c r="J5501">
        <v>0</v>
      </c>
      <c r="O5501" t="s">
        <v>239</v>
      </c>
      <c r="P5501" t="s">
        <v>514</v>
      </c>
      <c r="U5501">
        <v>0</v>
      </c>
      <c r="Y5501">
        <v>1087</v>
      </c>
      <c r="Z5501" s="259" t="s">
        <v>637</v>
      </c>
      <c r="AB5501">
        <v>0</v>
      </c>
      <c r="AF5501">
        <v>41000</v>
      </c>
      <c r="AG5501">
        <v>0</v>
      </c>
      <c r="AI5501">
        <v>41000</v>
      </c>
      <c r="AJ5501">
        <v>0</v>
      </c>
      <c r="AK5501">
        <v>0</v>
      </c>
      <c r="AL5501">
        <v>0</v>
      </c>
      <c r="AM5501">
        <v>41000</v>
      </c>
      <c r="AN5501">
        <v>0</v>
      </c>
      <c r="AO5501">
        <v>41000</v>
      </c>
      <c r="AP5501">
        <v>0</v>
      </c>
      <c r="AQ5501">
        <v>0</v>
      </c>
      <c r="AR5501">
        <v>0</v>
      </c>
      <c r="AS5501" t="s">
        <v>239</v>
      </c>
      <c r="AT5501" t="s">
        <v>514</v>
      </c>
    </row>
    <row r="5502" spans="2:46" x14ac:dyDescent="0.35">
      <c r="B5502" t="s">
        <v>566</v>
      </c>
      <c r="C5502">
        <v>46015</v>
      </c>
      <c r="J5502">
        <v>0</v>
      </c>
      <c r="O5502" t="s">
        <v>239</v>
      </c>
      <c r="P5502" t="s">
        <v>514</v>
      </c>
      <c r="U5502">
        <v>0</v>
      </c>
      <c r="Y5502">
        <v>1088</v>
      </c>
      <c r="Z5502" s="259" t="s">
        <v>637</v>
      </c>
      <c r="AB5502">
        <v>0</v>
      </c>
      <c r="AF5502">
        <v>41000</v>
      </c>
      <c r="AG5502">
        <v>0</v>
      </c>
      <c r="AI5502">
        <v>41000</v>
      </c>
      <c r="AJ5502">
        <v>0</v>
      </c>
      <c r="AK5502">
        <v>0</v>
      </c>
      <c r="AL5502">
        <v>0</v>
      </c>
      <c r="AM5502">
        <v>41000</v>
      </c>
      <c r="AN5502">
        <v>0</v>
      </c>
      <c r="AO5502">
        <v>41000</v>
      </c>
      <c r="AP5502">
        <v>0</v>
      </c>
      <c r="AQ5502">
        <v>0</v>
      </c>
      <c r="AR5502">
        <v>0</v>
      </c>
      <c r="AS5502" t="s">
        <v>239</v>
      </c>
      <c r="AT5502" t="s">
        <v>514</v>
      </c>
    </row>
    <row r="5503" spans="2:46" x14ac:dyDescent="0.35">
      <c r="B5503" t="s">
        <v>566</v>
      </c>
      <c r="C5503">
        <v>46016</v>
      </c>
      <c r="J5503">
        <v>0</v>
      </c>
      <c r="O5503" t="s">
        <v>239</v>
      </c>
      <c r="P5503" t="s">
        <v>514</v>
      </c>
      <c r="U5503">
        <v>0</v>
      </c>
      <c r="Y5503">
        <v>1089</v>
      </c>
      <c r="Z5503" s="259" t="s">
        <v>637</v>
      </c>
      <c r="AB5503">
        <v>0</v>
      </c>
      <c r="AF5503">
        <v>41000</v>
      </c>
      <c r="AG5503">
        <v>0</v>
      </c>
      <c r="AI5503">
        <v>41000</v>
      </c>
      <c r="AJ5503">
        <v>0</v>
      </c>
      <c r="AK5503">
        <v>0</v>
      </c>
      <c r="AL5503">
        <v>0</v>
      </c>
      <c r="AM5503">
        <v>41000</v>
      </c>
      <c r="AN5503">
        <v>0</v>
      </c>
      <c r="AO5503">
        <v>41000</v>
      </c>
      <c r="AP5503">
        <v>0</v>
      </c>
      <c r="AQ5503">
        <v>0</v>
      </c>
      <c r="AR5503">
        <v>0</v>
      </c>
      <c r="AS5503" t="s">
        <v>239</v>
      </c>
      <c r="AT5503" t="s">
        <v>514</v>
      </c>
    </row>
    <row r="5504" spans="2:46" x14ac:dyDescent="0.35">
      <c r="B5504" t="s">
        <v>566</v>
      </c>
      <c r="C5504">
        <v>46017</v>
      </c>
      <c r="J5504">
        <v>0</v>
      </c>
      <c r="O5504" t="s">
        <v>239</v>
      </c>
      <c r="P5504" t="s">
        <v>514</v>
      </c>
      <c r="U5504">
        <v>0</v>
      </c>
      <c r="Y5504">
        <v>1090</v>
      </c>
      <c r="Z5504" s="259" t="s">
        <v>637</v>
      </c>
      <c r="AB5504">
        <v>0</v>
      </c>
      <c r="AF5504">
        <v>41000</v>
      </c>
      <c r="AG5504">
        <v>0</v>
      </c>
      <c r="AI5504">
        <v>41000</v>
      </c>
      <c r="AJ5504">
        <v>0</v>
      </c>
      <c r="AK5504">
        <v>0</v>
      </c>
      <c r="AL5504">
        <v>0</v>
      </c>
      <c r="AM5504">
        <v>41000</v>
      </c>
      <c r="AN5504">
        <v>0</v>
      </c>
      <c r="AO5504">
        <v>41000</v>
      </c>
      <c r="AP5504">
        <v>0</v>
      </c>
      <c r="AQ5504">
        <v>0</v>
      </c>
      <c r="AR5504">
        <v>0</v>
      </c>
      <c r="AS5504" t="s">
        <v>239</v>
      </c>
      <c r="AT5504" t="s">
        <v>514</v>
      </c>
    </row>
    <row r="5505" spans="2:46" x14ac:dyDescent="0.35">
      <c r="B5505" t="s">
        <v>566</v>
      </c>
      <c r="C5505">
        <v>46018</v>
      </c>
      <c r="J5505">
        <v>0</v>
      </c>
      <c r="O5505" t="s">
        <v>239</v>
      </c>
      <c r="P5505" t="s">
        <v>514</v>
      </c>
      <c r="U5505">
        <v>0</v>
      </c>
      <c r="Y5505">
        <v>1091</v>
      </c>
      <c r="Z5505" s="259" t="s">
        <v>637</v>
      </c>
      <c r="AB5505">
        <v>0</v>
      </c>
      <c r="AF5505">
        <v>41000</v>
      </c>
      <c r="AG5505">
        <v>0</v>
      </c>
      <c r="AI5505">
        <v>41000</v>
      </c>
      <c r="AJ5505">
        <v>0</v>
      </c>
      <c r="AK5505">
        <v>0</v>
      </c>
      <c r="AL5505">
        <v>0</v>
      </c>
      <c r="AM5505">
        <v>41000</v>
      </c>
      <c r="AN5505">
        <v>0</v>
      </c>
      <c r="AO5505">
        <v>41000</v>
      </c>
      <c r="AP5505">
        <v>0</v>
      </c>
      <c r="AQ5505">
        <v>0</v>
      </c>
      <c r="AR5505">
        <v>0</v>
      </c>
      <c r="AS5505" t="s">
        <v>239</v>
      </c>
      <c r="AT5505" t="s">
        <v>514</v>
      </c>
    </row>
    <row r="5506" spans="2:46" x14ac:dyDescent="0.35">
      <c r="B5506" t="s">
        <v>566</v>
      </c>
      <c r="C5506">
        <v>46019</v>
      </c>
      <c r="J5506">
        <v>0</v>
      </c>
      <c r="O5506" t="s">
        <v>239</v>
      </c>
      <c r="P5506" t="s">
        <v>514</v>
      </c>
      <c r="U5506">
        <v>0</v>
      </c>
      <c r="Y5506">
        <v>1092</v>
      </c>
      <c r="Z5506" s="259" t="s">
        <v>637</v>
      </c>
      <c r="AB5506">
        <v>0</v>
      </c>
      <c r="AF5506">
        <v>41000</v>
      </c>
      <c r="AG5506">
        <v>0</v>
      </c>
      <c r="AI5506">
        <v>41000</v>
      </c>
      <c r="AJ5506">
        <v>0</v>
      </c>
      <c r="AK5506">
        <v>0</v>
      </c>
      <c r="AL5506">
        <v>0</v>
      </c>
      <c r="AM5506">
        <v>41000</v>
      </c>
      <c r="AN5506">
        <v>0</v>
      </c>
      <c r="AO5506">
        <v>41000</v>
      </c>
      <c r="AP5506">
        <v>0</v>
      </c>
      <c r="AQ5506">
        <v>0</v>
      </c>
      <c r="AR5506">
        <v>0</v>
      </c>
      <c r="AS5506" t="s">
        <v>239</v>
      </c>
      <c r="AT5506" t="s">
        <v>514</v>
      </c>
    </row>
    <row r="5507" spans="2:46" x14ac:dyDescent="0.35">
      <c r="B5507" t="s">
        <v>566</v>
      </c>
      <c r="C5507">
        <v>46020</v>
      </c>
      <c r="J5507">
        <v>0</v>
      </c>
      <c r="O5507" t="s">
        <v>239</v>
      </c>
      <c r="P5507" t="s">
        <v>514</v>
      </c>
      <c r="U5507">
        <v>0</v>
      </c>
      <c r="Y5507">
        <v>1093</v>
      </c>
      <c r="Z5507" s="259" t="s">
        <v>637</v>
      </c>
      <c r="AB5507">
        <v>0</v>
      </c>
      <c r="AF5507">
        <v>41000</v>
      </c>
      <c r="AG5507">
        <v>0</v>
      </c>
      <c r="AI5507">
        <v>41000</v>
      </c>
      <c r="AJ5507">
        <v>0</v>
      </c>
      <c r="AK5507">
        <v>0</v>
      </c>
      <c r="AL5507">
        <v>0</v>
      </c>
      <c r="AM5507">
        <v>41000</v>
      </c>
      <c r="AN5507">
        <v>0</v>
      </c>
      <c r="AO5507">
        <v>41000</v>
      </c>
      <c r="AP5507">
        <v>0</v>
      </c>
      <c r="AQ5507">
        <v>0</v>
      </c>
      <c r="AR5507">
        <v>0</v>
      </c>
      <c r="AS5507" t="s">
        <v>239</v>
      </c>
      <c r="AT5507" t="s">
        <v>514</v>
      </c>
    </row>
    <row r="5508" spans="2:46" x14ac:dyDescent="0.35">
      <c r="B5508" t="s">
        <v>566</v>
      </c>
      <c r="C5508">
        <v>46021</v>
      </c>
      <c r="J5508">
        <v>0</v>
      </c>
      <c r="O5508" t="s">
        <v>239</v>
      </c>
      <c r="P5508" t="s">
        <v>514</v>
      </c>
      <c r="U5508">
        <v>0</v>
      </c>
      <c r="Y5508">
        <v>1094</v>
      </c>
      <c r="Z5508" s="259" t="s">
        <v>637</v>
      </c>
      <c r="AB5508">
        <v>0</v>
      </c>
      <c r="AF5508">
        <v>41000</v>
      </c>
      <c r="AG5508">
        <v>0</v>
      </c>
      <c r="AI5508">
        <v>41000</v>
      </c>
      <c r="AJ5508">
        <v>0</v>
      </c>
      <c r="AK5508">
        <v>0</v>
      </c>
      <c r="AL5508">
        <v>0</v>
      </c>
      <c r="AM5508">
        <v>41000</v>
      </c>
      <c r="AN5508">
        <v>0</v>
      </c>
      <c r="AO5508">
        <v>41000</v>
      </c>
      <c r="AP5508">
        <v>0</v>
      </c>
      <c r="AQ5508">
        <v>0</v>
      </c>
      <c r="AR5508">
        <v>0</v>
      </c>
      <c r="AS5508" t="s">
        <v>239</v>
      </c>
      <c r="AT5508" t="s">
        <v>514</v>
      </c>
    </row>
    <row r="5509" spans="2:46" x14ac:dyDescent="0.35">
      <c r="B5509" t="s">
        <v>566</v>
      </c>
      <c r="C5509">
        <v>46022</v>
      </c>
      <c r="J5509">
        <v>10</v>
      </c>
      <c r="O5509" t="s">
        <v>239</v>
      </c>
      <c r="P5509" t="s">
        <v>514</v>
      </c>
      <c r="U5509">
        <v>0</v>
      </c>
      <c r="Y5509">
        <v>1095</v>
      </c>
      <c r="Z5509" s="259" t="s">
        <v>637</v>
      </c>
      <c r="AB5509">
        <v>0</v>
      </c>
      <c r="AF5509">
        <v>40990</v>
      </c>
      <c r="AG5509">
        <v>0</v>
      </c>
      <c r="AI5509">
        <v>41000</v>
      </c>
      <c r="AJ5509">
        <v>0</v>
      </c>
      <c r="AK5509">
        <v>0</v>
      </c>
      <c r="AL5509">
        <v>0</v>
      </c>
      <c r="AM5509">
        <v>40990</v>
      </c>
      <c r="AN5509">
        <v>0</v>
      </c>
      <c r="AO5509">
        <v>40990</v>
      </c>
      <c r="AP5509">
        <v>0</v>
      </c>
      <c r="AQ5509">
        <v>-10</v>
      </c>
      <c r="AR5509">
        <v>-2.4390243902439046E-4</v>
      </c>
      <c r="AS5509" t="s">
        <v>239</v>
      </c>
      <c r="AT5509" t="s">
        <v>514</v>
      </c>
    </row>
    <row r="5510" spans="2:46" x14ac:dyDescent="0.35">
      <c r="B5510" t="s">
        <v>747</v>
      </c>
      <c r="C5510">
        <v>45658</v>
      </c>
      <c r="J5510">
        <v>0</v>
      </c>
      <c r="O5510" t="s">
        <v>239</v>
      </c>
      <c r="P5510" t="s">
        <v>514</v>
      </c>
      <c r="U5510">
        <v>0</v>
      </c>
      <c r="Y5510">
        <v>1096</v>
      </c>
      <c r="Z5510" s="259" t="s">
        <v>637</v>
      </c>
      <c r="AB5510">
        <v>0</v>
      </c>
      <c r="AF5510">
        <v>60000</v>
      </c>
      <c r="AG5510">
        <v>0</v>
      </c>
      <c r="AI5510">
        <v>0</v>
      </c>
      <c r="AJ5510">
        <v>60000</v>
      </c>
      <c r="AK5510">
        <v>0</v>
      </c>
      <c r="AL5510">
        <v>60000</v>
      </c>
      <c r="AM5510">
        <v>60000</v>
      </c>
      <c r="AN5510">
        <v>0</v>
      </c>
      <c r="AO5510">
        <v>60000</v>
      </c>
      <c r="AP5510">
        <v>0</v>
      </c>
      <c r="AQ5510">
        <v>0</v>
      </c>
      <c r="AR5510">
        <v>0</v>
      </c>
      <c r="AS5510" t="s">
        <v>239</v>
      </c>
      <c r="AT5510" t="s">
        <v>514</v>
      </c>
    </row>
    <row r="5511" spans="2:46" x14ac:dyDescent="0.35">
      <c r="B5511" t="s">
        <v>747</v>
      </c>
      <c r="C5511">
        <v>45659</v>
      </c>
      <c r="J5511">
        <v>12</v>
      </c>
      <c r="O5511" t="s">
        <v>239</v>
      </c>
      <c r="P5511" t="s">
        <v>514</v>
      </c>
      <c r="U5511">
        <v>0</v>
      </c>
      <c r="Y5511">
        <v>1097</v>
      </c>
      <c r="Z5511" s="259" t="s">
        <v>637</v>
      </c>
      <c r="AB5511">
        <v>12012</v>
      </c>
      <c r="AF5511">
        <v>59997.8</v>
      </c>
      <c r="AG5511">
        <v>0</v>
      </c>
      <c r="AI5511">
        <v>60000</v>
      </c>
      <c r="AJ5511">
        <v>0</v>
      </c>
      <c r="AK5511">
        <v>0</v>
      </c>
      <c r="AL5511">
        <v>0</v>
      </c>
      <c r="AM5511">
        <v>47988</v>
      </c>
      <c r="AN5511">
        <v>12009.8</v>
      </c>
      <c r="AO5511">
        <v>59997.8</v>
      </c>
      <c r="AP5511">
        <v>0</v>
      </c>
      <c r="AQ5511">
        <v>-2.1999999999970896</v>
      </c>
      <c r="AR5511">
        <v>-3.6666666666573811E-5</v>
      </c>
      <c r="AS5511" t="s">
        <v>239</v>
      </c>
      <c r="AT5511" t="s">
        <v>514</v>
      </c>
    </row>
    <row r="5512" spans="2:46" x14ac:dyDescent="0.35">
      <c r="B5512" t="s">
        <v>747</v>
      </c>
      <c r="C5512">
        <v>45660</v>
      </c>
      <c r="J5512">
        <v>0</v>
      </c>
      <c r="O5512" t="s">
        <v>239</v>
      </c>
      <c r="P5512" t="s">
        <v>514</v>
      </c>
      <c r="U5512">
        <v>0</v>
      </c>
      <c r="Y5512">
        <v>1098</v>
      </c>
      <c r="Z5512" s="259" t="s">
        <v>637</v>
      </c>
      <c r="AB5512">
        <v>12012</v>
      </c>
      <c r="AF5512">
        <v>60006.2</v>
      </c>
      <c r="AG5512">
        <v>0</v>
      </c>
      <c r="AI5512">
        <v>59997.8</v>
      </c>
      <c r="AJ5512">
        <v>0</v>
      </c>
      <c r="AK5512">
        <v>0</v>
      </c>
      <c r="AL5512">
        <v>0</v>
      </c>
      <c r="AM5512">
        <v>47988</v>
      </c>
      <c r="AN5512">
        <v>12018.2</v>
      </c>
      <c r="AO5512">
        <v>60006.2</v>
      </c>
      <c r="AP5512">
        <v>0</v>
      </c>
      <c r="AQ5512">
        <v>8.3999999999941792</v>
      </c>
      <c r="AR5512">
        <v>1.4000513352141475E-4</v>
      </c>
      <c r="AS5512" t="s">
        <v>239</v>
      </c>
      <c r="AT5512" t="s">
        <v>514</v>
      </c>
    </row>
    <row r="5513" spans="2:46" x14ac:dyDescent="0.35">
      <c r="B5513" t="s">
        <v>747</v>
      </c>
      <c r="C5513">
        <v>45661</v>
      </c>
      <c r="J5513">
        <v>0</v>
      </c>
      <c r="O5513" t="s">
        <v>239</v>
      </c>
      <c r="P5513" t="s">
        <v>514</v>
      </c>
      <c r="U5513">
        <v>0</v>
      </c>
      <c r="Y5513">
        <v>1099</v>
      </c>
      <c r="Z5513" s="259" t="s">
        <v>637</v>
      </c>
      <c r="AB5513">
        <v>12012</v>
      </c>
      <c r="AF5513">
        <v>60006.2</v>
      </c>
      <c r="AG5513">
        <v>0</v>
      </c>
      <c r="AI5513">
        <v>60006.2</v>
      </c>
      <c r="AJ5513">
        <v>0</v>
      </c>
      <c r="AK5513">
        <v>0</v>
      </c>
      <c r="AL5513">
        <v>0</v>
      </c>
      <c r="AM5513">
        <v>47988</v>
      </c>
      <c r="AN5513">
        <v>12018.2</v>
      </c>
      <c r="AO5513">
        <v>60006.2</v>
      </c>
      <c r="AP5513">
        <v>0</v>
      </c>
      <c r="AQ5513">
        <v>0</v>
      </c>
      <c r="AR5513">
        <v>0</v>
      </c>
      <c r="AS5513" t="s">
        <v>239</v>
      </c>
      <c r="AT5513" t="s">
        <v>514</v>
      </c>
    </row>
    <row r="5514" spans="2:46" x14ac:dyDescent="0.35">
      <c r="B5514" t="s">
        <v>747</v>
      </c>
      <c r="C5514">
        <v>45662</v>
      </c>
      <c r="J5514">
        <v>0</v>
      </c>
      <c r="O5514" t="s">
        <v>239</v>
      </c>
      <c r="P5514" t="s">
        <v>514</v>
      </c>
      <c r="U5514">
        <v>0</v>
      </c>
      <c r="Y5514">
        <v>1100</v>
      </c>
      <c r="Z5514" s="259" t="s">
        <v>637</v>
      </c>
      <c r="AB5514">
        <v>12012</v>
      </c>
      <c r="AF5514">
        <v>60006.2</v>
      </c>
      <c r="AG5514">
        <v>0</v>
      </c>
      <c r="AI5514">
        <v>60006.2</v>
      </c>
      <c r="AJ5514">
        <v>0</v>
      </c>
      <c r="AK5514">
        <v>0</v>
      </c>
      <c r="AL5514">
        <v>0</v>
      </c>
      <c r="AM5514">
        <v>47988</v>
      </c>
      <c r="AN5514">
        <v>12018.2</v>
      </c>
      <c r="AO5514">
        <v>60006.2</v>
      </c>
      <c r="AP5514">
        <v>0</v>
      </c>
      <c r="AQ5514">
        <v>0</v>
      </c>
      <c r="AR5514">
        <v>0</v>
      </c>
      <c r="AS5514" t="s">
        <v>239</v>
      </c>
      <c r="AT5514" t="s">
        <v>514</v>
      </c>
    </row>
    <row r="5515" spans="2:46" x14ac:dyDescent="0.35">
      <c r="B5515" t="s">
        <v>747</v>
      </c>
      <c r="C5515">
        <v>45663</v>
      </c>
      <c r="J5515">
        <v>0</v>
      </c>
      <c r="O5515" t="s">
        <v>239</v>
      </c>
      <c r="P5515" t="s">
        <v>514</v>
      </c>
      <c r="U5515">
        <v>0</v>
      </c>
      <c r="Y5515">
        <v>1101</v>
      </c>
      <c r="Z5515" s="259" t="s">
        <v>637</v>
      </c>
      <c r="AB5515">
        <v>12012</v>
      </c>
      <c r="AF5515">
        <v>60034.2</v>
      </c>
      <c r="AG5515">
        <v>0</v>
      </c>
      <c r="AI5515">
        <v>60006.2</v>
      </c>
      <c r="AJ5515">
        <v>0</v>
      </c>
      <c r="AK5515">
        <v>0</v>
      </c>
      <c r="AL5515">
        <v>0</v>
      </c>
      <c r="AM5515">
        <v>47988</v>
      </c>
      <c r="AN5515">
        <v>12046.2</v>
      </c>
      <c r="AO5515">
        <v>60034.2</v>
      </c>
      <c r="AP5515">
        <v>0</v>
      </c>
      <c r="AQ5515">
        <v>28</v>
      </c>
      <c r="AR5515">
        <v>4.6661844942685882E-4</v>
      </c>
      <c r="AS5515" t="s">
        <v>239</v>
      </c>
      <c r="AT5515" t="s">
        <v>514</v>
      </c>
    </row>
    <row r="5516" spans="2:46" x14ac:dyDescent="0.35">
      <c r="B5516" t="s">
        <v>747</v>
      </c>
      <c r="C5516">
        <v>45664</v>
      </c>
      <c r="J5516">
        <v>0</v>
      </c>
      <c r="O5516" t="s">
        <v>239</v>
      </c>
      <c r="P5516" t="s">
        <v>514</v>
      </c>
      <c r="U5516">
        <v>0</v>
      </c>
      <c r="Y5516">
        <v>1102</v>
      </c>
      <c r="Z5516" s="259" t="s">
        <v>637</v>
      </c>
      <c r="AB5516">
        <v>12012</v>
      </c>
      <c r="AF5516">
        <v>60044</v>
      </c>
      <c r="AG5516">
        <v>0</v>
      </c>
      <c r="AI5516">
        <v>60034.2</v>
      </c>
      <c r="AJ5516">
        <v>0</v>
      </c>
      <c r="AK5516">
        <v>0</v>
      </c>
      <c r="AL5516">
        <v>0</v>
      </c>
      <c r="AM5516">
        <v>47988</v>
      </c>
      <c r="AN5516">
        <v>12056</v>
      </c>
      <c r="AO5516">
        <v>60044</v>
      </c>
      <c r="AP5516">
        <v>0</v>
      </c>
      <c r="AQ5516">
        <v>9.8000000000029104</v>
      </c>
      <c r="AR5516">
        <v>1.6324028637004773E-4</v>
      </c>
      <c r="AS5516" t="s">
        <v>239</v>
      </c>
      <c r="AT5516" t="s">
        <v>514</v>
      </c>
    </row>
    <row r="5517" spans="2:46" x14ac:dyDescent="0.35">
      <c r="B5517" t="s">
        <v>747</v>
      </c>
      <c r="C5517">
        <v>45665</v>
      </c>
      <c r="J5517">
        <v>0</v>
      </c>
      <c r="O5517" t="s">
        <v>239</v>
      </c>
      <c r="P5517" t="s">
        <v>514</v>
      </c>
      <c r="U5517">
        <v>0</v>
      </c>
      <c r="Y5517">
        <v>1103</v>
      </c>
      <c r="Z5517" s="259" t="s">
        <v>637</v>
      </c>
      <c r="AB5517">
        <v>12012</v>
      </c>
      <c r="AF5517">
        <v>60053.8</v>
      </c>
      <c r="AG5517">
        <v>0</v>
      </c>
      <c r="AI5517">
        <v>60044</v>
      </c>
      <c r="AJ5517">
        <v>0</v>
      </c>
      <c r="AK5517">
        <v>0</v>
      </c>
      <c r="AL5517">
        <v>0</v>
      </c>
      <c r="AM5517">
        <v>47988</v>
      </c>
      <c r="AN5517">
        <v>12065.8</v>
      </c>
      <c r="AO5517">
        <v>60053.8</v>
      </c>
      <c r="AP5517">
        <v>0</v>
      </c>
      <c r="AQ5517">
        <v>9.8000000000029104</v>
      </c>
      <c r="AR5517">
        <v>1.6321364332827493E-4</v>
      </c>
      <c r="AS5517" t="s">
        <v>239</v>
      </c>
      <c r="AT5517" t="s">
        <v>514</v>
      </c>
    </row>
    <row r="5518" spans="2:46" x14ac:dyDescent="0.35">
      <c r="B5518" t="s">
        <v>747</v>
      </c>
      <c r="C5518">
        <v>45666</v>
      </c>
      <c r="J5518">
        <v>0</v>
      </c>
      <c r="O5518" t="s">
        <v>239</v>
      </c>
      <c r="P5518" t="s">
        <v>514</v>
      </c>
      <c r="U5518">
        <v>0</v>
      </c>
      <c r="Y5518">
        <v>1104</v>
      </c>
      <c r="Z5518" s="259" t="s">
        <v>637</v>
      </c>
      <c r="AB5518">
        <v>12012</v>
      </c>
      <c r="AF5518">
        <v>60062.2</v>
      </c>
      <c r="AG5518">
        <v>0</v>
      </c>
      <c r="AI5518">
        <v>60053.8</v>
      </c>
      <c r="AJ5518">
        <v>0</v>
      </c>
      <c r="AK5518">
        <v>0</v>
      </c>
      <c r="AL5518">
        <v>0</v>
      </c>
      <c r="AM5518">
        <v>47988</v>
      </c>
      <c r="AN5518">
        <v>12074.2</v>
      </c>
      <c r="AO5518">
        <v>60062.2</v>
      </c>
      <c r="AP5518">
        <v>0</v>
      </c>
      <c r="AQ5518">
        <v>8.3999999999941792</v>
      </c>
      <c r="AR5518">
        <v>1.3987457912723045E-4</v>
      </c>
      <c r="AS5518" t="s">
        <v>239</v>
      </c>
      <c r="AT5518" t="s">
        <v>514</v>
      </c>
    </row>
    <row r="5519" spans="2:46" x14ac:dyDescent="0.35">
      <c r="B5519" t="s">
        <v>747</v>
      </c>
      <c r="C5519">
        <v>45667</v>
      </c>
      <c r="J5519">
        <v>0</v>
      </c>
      <c r="O5519" t="s">
        <v>239</v>
      </c>
      <c r="P5519" t="s">
        <v>514</v>
      </c>
      <c r="U5519">
        <v>0</v>
      </c>
      <c r="Y5519">
        <v>1105</v>
      </c>
      <c r="Z5519" s="259" t="s">
        <v>637</v>
      </c>
      <c r="AB5519">
        <v>12012</v>
      </c>
      <c r="AF5519">
        <v>60072</v>
      </c>
      <c r="AG5519">
        <v>0</v>
      </c>
      <c r="AI5519">
        <v>60062.2</v>
      </c>
      <c r="AJ5519">
        <v>0</v>
      </c>
      <c r="AK5519">
        <v>0</v>
      </c>
      <c r="AL5519">
        <v>0</v>
      </c>
      <c r="AM5519">
        <v>47988</v>
      </c>
      <c r="AN5519">
        <v>12084</v>
      </c>
      <c r="AO5519">
        <v>60072</v>
      </c>
      <c r="AP5519">
        <v>0</v>
      </c>
      <c r="AQ5519">
        <v>9.8000000000029104</v>
      </c>
      <c r="AR5519">
        <v>1.6316418646011854E-4</v>
      </c>
      <c r="AS5519" t="s">
        <v>239</v>
      </c>
      <c r="AT5519" t="s">
        <v>514</v>
      </c>
    </row>
    <row r="5520" spans="2:46" x14ac:dyDescent="0.35">
      <c r="B5520" t="s">
        <v>747</v>
      </c>
      <c r="C5520">
        <v>45668</v>
      </c>
      <c r="J5520">
        <v>0</v>
      </c>
      <c r="O5520" t="s">
        <v>239</v>
      </c>
      <c r="P5520" t="s">
        <v>514</v>
      </c>
      <c r="U5520">
        <v>0</v>
      </c>
      <c r="Y5520">
        <v>1106</v>
      </c>
      <c r="Z5520" s="259" t="s">
        <v>637</v>
      </c>
      <c r="AB5520">
        <v>12012</v>
      </c>
      <c r="AF5520">
        <v>60072</v>
      </c>
      <c r="AG5520">
        <v>0</v>
      </c>
      <c r="AI5520">
        <v>60072</v>
      </c>
      <c r="AJ5520">
        <v>0</v>
      </c>
      <c r="AK5520">
        <v>0</v>
      </c>
      <c r="AL5520">
        <v>0</v>
      </c>
      <c r="AM5520">
        <v>47988</v>
      </c>
      <c r="AN5520">
        <v>12084</v>
      </c>
      <c r="AO5520">
        <v>60072</v>
      </c>
      <c r="AP5520">
        <v>0</v>
      </c>
      <c r="AQ5520">
        <v>0</v>
      </c>
      <c r="AR5520">
        <v>0</v>
      </c>
      <c r="AS5520" t="s">
        <v>239</v>
      </c>
      <c r="AT5520" t="s">
        <v>514</v>
      </c>
    </row>
    <row r="5521" spans="2:46" x14ac:dyDescent="0.35">
      <c r="B5521" t="s">
        <v>747</v>
      </c>
      <c r="C5521">
        <v>45669</v>
      </c>
      <c r="J5521">
        <v>0</v>
      </c>
      <c r="O5521" t="s">
        <v>239</v>
      </c>
      <c r="P5521" t="s">
        <v>514</v>
      </c>
      <c r="U5521">
        <v>0</v>
      </c>
      <c r="Y5521">
        <v>1107</v>
      </c>
      <c r="Z5521" s="259" t="s">
        <v>637</v>
      </c>
      <c r="AB5521">
        <v>12012</v>
      </c>
      <c r="AF5521">
        <v>60072</v>
      </c>
      <c r="AG5521">
        <v>0</v>
      </c>
      <c r="AI5521">
        <v>60072</v>
      </c>
      <c r="AJ5521">
        <v>0</v>
      </c>
      <c r="AK5521">
        <v>0</v>
      </c>
      <c r="AL5521">
        <v>0</v>
      </c>
      <c r="AM5521">
        <v>47988</v>
      </c>
      <c r="AN5521">
        <v>12084</v>
      </c>
      <c r="AO5521">
        <v>60072</v>
      </c>
      <c r="AP5521">
        <v>0</v>
      </c>
      <c r="AQ5521">
        <v>0</v>
      </c>
      <c r="AR5521">
        <v>0</v>
      </c>
      <c r="AS5521" t="s">
        <v>239</v>
      </c>
      <c r="AT5521" t="s">
        <v>514</v>
      </c>
    </row>
    <row r="5522" spans="2:46" x14ac:dyDescent="0.35">
      <c r="B5522" t="s">
        <v>747</v>
      </c>
      <c r="C5522">
        <v>45670</v>
      </c>
      <c r="J5522">
        <v>0</v>
      </c>
      <c r="O5522" t="s">
        <v>239</v>
      </c>
      <c r="P5522" t="s">
        <v>514</v>
      </c>
      <c r="U5522">
        <v>0</v>
      </c>
      <c r="Y5522">
        <v>1108</v>
      </c>
      <c r="Z5522" s="259" t="s">
        <v>637</v>
      </c>
      <c r="AB5522">
        <v>12012</v>
      </c>
      <c r="AF5522">
        <v>60100</v>
      </c>
      <c r="AG5522">
        <v>0</v>
      </c>
      <c r="AI5522">
        <v>60072</v>
      </c>
      <c r="AJ5522">
        <v>0</v>
      </c>
      <c r="AK5522">
        <v>0</v>
      </c>
      <c r="AL5522">
        <v>0</v>
      </c>
      <c r="AM5522">
        <v>47988</v>
      </c>
      <c r="AN5522">
        <v>12112</v>
      </c>
      <c r="AO5522">
        <v>60100</v>
      </c>
      <c r="AP5522">
        <v>0</v>
      </c>
      <c r="AQ5522">
        <v>28</v>
      </c>
      <c r="AR5522">
        <v>4.661073378613434E-4</v>
      </c>
      <c r="AS5522" t="s">
        <v>239</v>
      </c>
      <c r="AT5522" t="s">
        <v>514</v>
      </c>
    </row>
    <row r="5523" spans="2:46" x14ac:dyDescent="0.35">
      <c r="B5523" t="s">
        <v>747</v>
      </c>
      <c r="C5523">
        <v>45671</v>
      </c>
      <c r="J5523">
        <v>0</v>
      </c>
      <c r="O5523" t="s">
        <v>239</v>
      </c>
      <c r="P5523" t="s">
        <v>514</v>
      </c>
      <c r="U5523">
        <v>0</v>
      </c>
      <c r="Y5523">
        <v>1109</v>
      </c>
      <c r="Z5523" s="259" t="s">
        <v>637</v>
      </c>
      <c r="AB5523">
        <v>12012</v>
      </c>
      <c r="AF5523">
        <v>60109.8</v>
      </c>
      <c r="AG5523">
        <v>0</v>
      </c>
      <c r="AI5523">
        <v>60100</v>
      </c>
      <c r="AJ5523">
        <v>0</v>
      </c>
      <c r="AK5523">
        <v>0</v>
      </c>
      <c r="AL5523">
        <v>0</v>
      </c>
      <c r="AM5523">
        <v>47988</v>
      </c>
      <c r="AN5523">
        <v>12121.8</v>
      </c>
      <c r="AO5523">
        <v>60109.8</v>
      </c>
      <c r="AP5523">
        <v>0</v>
      </c>
      <c r="AQ5523">
        <v>9.8000000000029104</v>
      </c>
      <c r="AR5523">
        <v>1.6306156405998529E-4</v>
      </c>
      <c r="AS5523" t="s">
        <v>239</v>
      </c>
      <c r="AT5523" t="s">
        <v>514</v>
      </c>
    </row>
    <row r="5524" spans="2:46" x14ac:dyDescent="0.35">
      <c r="B5524" t="s">
        <v>747</v>
      </c>
      <c r="C5524">
        <v>45672</v>
      </c>
      <c r="J5524">
        <v>0</v>
      </c>
      <c r="O5524" t="s">
        <v>239</v>
      </c>
      <c r="P5524" t="s">
        <v>514</v>
      </c>
      <c r="U5524">
        <v>0</v>
      </c>
      <c r="Y5524">
        <v>1110</v>
      </c>
      <c r="Z5524" s="259" t="s">
        <v>637</v>
      </c>
      <c r="AB5524">
        <v>12012</v>
      </c>
      <c r="AF5524">
        <v>60118.2</v>
      </c>
      <c r="AG5524">
        <v>0</v>
      </c>
      <c r="AI5524">
        <v>60109.8</v>
      </c>
      <c r="AJ5524">
        <v>0</v>
      </c>
      <c r="AK5524">
        <v>0</v>
      </c>
      <c r="AL5524">
        <v>0</v>
      </c>
      <c r="AM5524">
        <v>47988</v>
      </c>
      <c r="AN5524">
        <v>12130.2</v>
      </c>
      <c r="AO5524">
        <v>60118.2</v>
      </c>
      <c r="AP5524">
        <v>0</v>
      </c>
      <c r="AQ5524">
        <v>8.3999999999941792</v>
      </c>
      <c r="AR5524">
        <v>1.3974426798957218E-4</v>
      </c>
      <c r="AS5524" t="s">
        <v>239</v>
      </c>
      <c r="AT5524" t="s">
        <v>514</v>
      </c>
    </row>
    <row r="5525" spans="2:46" x14ac:dyDescent="0.35">
      <c r="B5525" t="s">
        <v>747</v>
      </c>
      <c r="C5525">
        <v>45673</v>
      </c>
      <c r="J5525">
        <v>0</v>
      </c>
      <c r="O5525" t="s">
        <v>239</v>
      </c>
      <c r="P5525" t="s">
        <v>514</v>
      </c>
      <c r="U5525">
        <v>0</v>
      </c>
      <c r="Y5525">
        <v>1111</v>
      </c>
      <c r="Z5525" s="259" t="s">
        <v>637</v>
      </c>
      <c r="AB5525">
        <v>12012</v>
      </c>
      <c r="AF5525">
        <v>60128</v>
      </c>
      <c r="AG5525">
        <v>0</v>
      </c>
      <c r="AI5525">
        <v>60118.2</v>
      </c>
      <c r="AJ5525">
        <v>0</v>
      </c>
      <c r="AK5525">
        <v>0</v>
      </c>
      <c r="AL5525">
        <v>0</v>
      </c>
      <c r="AM5525">
        <v>47988</v>
      </c>
      <c r="AN5525">
        <v>12140</v>
      </c>
      <c r="AO5525">
        <v>60128</v>
      </c>
      <c r="AP5525">
        <v>0</v>
      </c>
      <c r="AQ5525">
        <v>9.8000000000029104</v>
      </c>
      <c r="AR5525">
        <v>1.6301219930081601E-4</v>
      </c>
      <c r="AS5525" t="s">
        <v>239</v>
      </c>
      <c r="AT5525" t="s">
        <v>514</v>
      </c>
    </row>
    <row r="5526" spans="2:46" x14ac:dyDescent="0.35">
      <c r="B5526" t="s">
        <v>747</v>
      </c>
      <c r="C5526">
        <v>45674</v>
      </c>
      <c r="J5526">
        <v>0</v>
      </c>
      <c r="O5526" t="s">
        <v>239</v>
      </c>
      <c r="P5526" t="s">
        <v>514</v>
      </c>
      <c r="U5526">
        <v>0</v>
      </c>
      <c r="Y5526">
        <v>1112</v>
      </c>
      <c r="Z5526" s="259" t="s">
        <v>637</v>
      </c>
      <c r="AB5526">
        <v>12012</v>
      </c>
      <c r="AF5526">
        <v>60137.8</v>
      </c>
      <c r="AG5526">
        <v>0</v>
      </c>
      <c r="AI5526">
        <v>60128</v>
      </c>
      <c r="AJ5526">
        <v>0</v>
      </c>
      <c r="AK5526">
        <v>0</v>
      </c>
      <c r="AL5526">
        <v>0</v>
      </c>
      <c r="AM5526">
        <v>47988</v>
      </c>
      <c r="AN5526">
        <v>12149.8</v>
      </c>
      <c r="AO5526">
        <v>60137.8</v>
      </c>
      <c r="AP5526">
        <v>0</v>
      </c>
      <c r="AQ5526">
        <v>9.8000000000029104</v>
      </c>
      <c r="AR5526">
        <v>1.62985630654644E-4</v>
      </c>
      <c r="AS5526" t="s">
        <v>239</v>
      </c>
      <c r="AT5526" t="s">
        <v>514</v>
      </c>
    </row>
    <row r="5527" spans="2:46" x14ac:dyDescent="0.35">
      <c r="B5527" t="s">
        <v>747</v>
      </c>
      <c r="C5527">
        <v>45675</v>
      </c>
      <c r="J5527">
        <v>0</v>
      </c>
      <c r="O5527" t="s">
        <v>239</v>
      </c>
      <c r="P5527" t="s">
        <v>514</v>
      </c>
      <c r="U5527">
        <v>0</v>
      </c>
      <c r="Y5527">
        <v>1113</v>
      </c>
      <c r="Z5527" s="259" t="s">
        <v>637</v>
      </c>
      <c r="AB5527">
        <v>12012</v>
      </c>
      <c r="AF5527">
        <v>60137.8</v>
      </c>
      <c r="AG5527">
        <v>0</v>
      </c>
      <c r="AI5527">
        <v>60137.8</v>
      </c>
      <c r="AJ5527">
        <v>0</v>
      </c>
      <c r="AK5527">
        <v>0</v>
      </c>
      <c r="AL5527">
        <v>0</v>
      </c>
      <c r="AM5527">
        <v>47988</v>
      </c>
      <c r="AN5527">
        <v>12149.8</v>
      </c>
      <c r="AO5527">
        <v>60137.8</v>
      </c>
      <c r="AP5527">
        <v>0</v>
      </c>
      <c r="AQ5527">
        <v>0</v>
      </c>
      <c r="AR5527">
        <v>0</v>
      </c>
      <c r="AS5527" t="s">
        <v>239</v>
      </c>
      <c r="AT5527" t="s">
        <v>514</v>
      </c>
    </row>
    <row r="5528" spans="2:46" x14ac:dyDescent="0.35">
      <c r="B5528" t="s">
        <v>747</v>
      </c>
      <c r="C5528">
        <v>45676</v>
      </c>
      <c r="J5528">
        <v>0</v>
      </c>
      <c r="O5528" t="s">
        <v>239</v>
      </c>
      <c r="P5528" t="s">
        <v>514</v>
      </c>
      <c r="U5528">
        <v>0</v>
      </c>
      <c r="Y5528">
        <v>1114</v>
      </c>
      <c r="Z5528" s="259" t="s">
        <v>637</v>
      </c>
      <c r="AB5528">
        <v>12012</v>
      </c>
      <c r="AF5528">
        <v>60137.8</v>
      </c>
      <c r="AG5528">
        <v>0</v>
      </c>
      <c r="AI5528">
        <v>60137.8</v>
      </c>
      <c r="AJ5528">
        <v>0</v>
      </c>
      <c r="AK5528">
        <v>0</v>
      </c>
      <c r="AL5528">
        <v>0</v>
      </c>
      <c r="AM5528">
        <v>47988</v>
      </c>
      <c r="AN5528">
        <v>12149.8</v>
      </c>
      <c r="AO5528">
        <v>60137.8</v>
      </c>
      <c r="AP5528">
        <v>0</v>
      </c>
      <c r="AQ5528">
        <v>0</v>
      </c>
      <c r="AR5528">
        <v>0</v>
      </c>
      <c r="AS5528" t="s">
        <v>239</v>
      </c>
      <c r="AT5528" t="s">
        <v>514</v>
      </c>
    </row>
    <row r="5529" spans="2:46" x14ac:dyDescent="0.35">
      <c r="B5529" t="s">
        <v>747</v>
      </c>
      <c r="C5529">
        <v>45677</v>
      </c>
      <c r="J5529">
        <v>0</v>
      </c>
      <c r="O5529" t="s">
        <v>239</v>
      </c>
      <c r="P5529" t="s">
        <v>514</v>
      </c>
      <c r="U5529">
        <v>0</v>
      </c>
      <c r="Y5529">
        <v>1115</v>
      </c>
      <c r="Z5529" s="259" t="s">
        <v>637</v>
      </c>
      <c r="AB5529">
        <v>12012</v>
      </c>
      <c r="AF5529">
        <v>60165.8</v>
      </c>
      <c r="AG5529">
        <v>0</v>
      </c>
      <c r="AI5529">
        <v>60137.8</v>
      </c>
      <c r="AJ5529">
        <v>0</v>
      </c>
      <c r="AK5529">
        <v>0</v>
      </c>
      <c r="AL5529">
        <v>0</v>
      </c>
      <c r="AM5529">
        <v>47988</v>
      </c>
      <c r="AN5529">
        <v>12177.8</v>
      </c>
      <c r="AO5529">
        <v>60165.8</v>
      </c>
      <c r="AP5529">
        <v>0</v>
      </c>
      <c r="AQ5529">
        <v>28</v>
      </c>
      <c r="AR5529">
        <v>4.6559734476492309E-4</v>
      </c>
      <c r="AS5529" t="s">
        <v>239</v>
      </c>
      <c r="AT5529" t="s">
        <v>514</v>
      </c>
    </row>
    <row r="5530" spans="2:46" x14ac:dyDescent="0.35">
      <c r="B5530" t="s">
        <v>747</v>
      </c>
      <c r="C5530">
        <v>45678</v>
      </c>
      <c r="J5530">
        <v>0</v>
      </c>
      <c r="O5530" t="s">
        <v>239</v>
      </c>
      <c r="P5530" t="s">
        <v>514</v>
      </c>
      <c r="U5530">
        <v>0</v>
      </c>
      <c r="Y5530">
        <v>1116</v>
      </c>
      <c r="Z5530" s="259" t="s">
        <v>637</v>
      </c>
      <c r="AB5530">
        <v>12012</v>
      </c>
      <c r="AF5530">
        <v>60174.2</v>
      </c>
      <c r="AG5530">
        <v>0</v>
      </c>
      <c r="AI5530">
        <v>60165.8</v>
      </c>
      <c r="AJ5530">
        <v>0</v>
      </c>
      <c r="AK5530">
        <v>0</v>
      </c>
      <c r="AL5530">
        <v>0</v>
      </c>
      <c r="AM5530">
        <v>47988</v>
      </c>
      <c r="AN5530">
        <v>12186.2</v>
      </c>
      <c r="AO5530">
        <v>60174.2</v>
      </c>
      <c r="AP5530">
        <v>0</v>
      </c>
      <c r="AQ5530">
        <v>8.3999999999941792</v>
      </c>
      <c r="AR5530">
        <v>1.3961419942876141E-4</v>
      </c>
      <c r="AS5530" t="s">
        <v>239</v>
      </c>
      <c r="AT5530" t="s">
        <v>514</v>
      </c>
    </row>
    <row r="5531" spans="2:46" x14ac:dyDescent="0.35">
      <c r="B5531" t="s">
        <v>747</v>
      </c>
      <c r="C5531">
        <v>45679</v>
      </c>
      <c r="J5531">
        <v>0</v>
      </c>
      <c r="O5531" t="s">
        <v>239</v>
      </c>
      <c r="P5531" t="s">
        <v>514</v>
      </c>
      <c r="U5531">
        <v>0</v>
      </c>
      <c r="Y5531">
        <v>1117</v>
      </c>
      <c r="Z5531" s="259" t="s">
        <v>637</v>
      </c>
      <c r="AB5531">
        <v>12012</v>
      </c>
      <c r="AF5531">
        <v>60184</v>
      </c>
      <c r="AG5531">
        <v>0</v>
      </c>
      <c r="AI5531">
        <v>60174.2</v>
      </c>
      <c r="AJ5531">
        <v>0</v>
      </c>
      <c r="AK5531">
        <v>0</v>
      </c>
      <c r="AL5531">
        <v>0</v>
      </c>
      <c r="AM5531">
        <v>47988</v>
      </c>
      <c r="AN5531">
        <v>12196</v>
      </c>
      <c r="AO5531">
        <v>60184</v>
      </c>
      <c r="AP5531">
        <v>0</v>
      </c>
      <c r="AQ5531">
        <v>9.8000000000029104</v>
      </c>
      <c r="AR5531">
        <v>1.6286049502944877E-4</v>
      </c>
      <c r="AS5531" t="s">
        <v>239</v>
      </c>
      <c r="AT5531" t="s">
        <v>514</v>
      </c>
    </row>
    <row r="5532" spans="2:46" x14ac:dyDescent="0.35">
      <c r="B5532" t="s">
        <v>747</v>
      </c>
      <c r="C5532">
        <v>45680</v>
      </c>
      <c r="J5532">
        <v>0</v>
      </c>
      <c r="O5532" t="s">
        <v>239</v>
      </c>
      <c r="P5532" t="s">
        <v>514</v>
      </c>
      <c r="U5532">
        <v>0</v>
      </c>
      <c r="Y5532">
        <v>1118</v>
      </c>
      <c r="Z5532" s="259" t="s">
        <v>637</v>
      </c>
      <c r="AB5532">
        <v>12012</v>
      </c>
      <c r="AF5532">
        <v>60193.8</v>
      </c>
      <c r="AG5532">
        <v>0</v>
      </c>
      <c r="AI5532">
        <v>60184</v>
      </c>
      <c r="AJ5532">
        <v>0</v>
      </c>
      <c r="AK5532">
        <v>0</v>
      </c>
      <c r="AL5532">
        <v>0</v>
      </c>
      <c r="AM5532">
        <v>47988</v>
      </c>
      <c r="AN5532">
        <v>12205.8</v>
      </c>
      <c r="AO5532">
        <v>60193.8</v>
      </c>
      <c r="AP5532">
        <v>0</v>
      </c>
      <c r="AQ5532">
        <v>9.8000000000029104</v>
      </c>
      <c r="AR5532">
        <v>1.6283397580751924E-4</v>
      </c>
      <c r="AS5532" t="s">
        <v>239</v>
      </c>
      <c r="AT5532" t="s">
        <v>514</v>
      </c>
    </row>
    <row r="5533" spans="2:46" x14ac:dyDescent="0.35">
      <c r="B5533" t="s">
        <v>747</v>
      </c>
      <c r="C5533">
        <v>45681</v>
      </c>
      <c r="J5533">
        <v>0</v>
      </c>
      <c r="O5533" t="s">
        <v>239</v>
      </c>
      <c r="P5533" t="s">
        <v>514</v>
      </c>
      <c r="U5533">
        <v>0</v>
      </c>
      <c r="Y5533">
        <v>1119</v>
      </c>
      <c r="Z5533" s="259" t="s">
        <v>637</v>
      </c>
      <c r="AB5533">
        <v>12012</v>
      </c>
      <c r="AF5533">
        <v>60202.2</v>
      </c>
      <c r="AG5533">
        <v>0</v>
      </c>
      <c r="AI5533">
        <v>60193.8</v>
      </c>
      <c r="AJ5533">
        <v>0</v>
      </c>
      <c r="AK5533">
        <v>0</v>
      </c>
      <c r="AL5533">
        <v>0</v>
      </c>
      <c r="AM5533">
        <v>47988</v>
      </c>
      <c r="AN5533">
        <v>12214.2</v>
      </c>
      <c r="AO5533">
        <v>60202.2</v>
      </c>
      <c r="AP5533">
        <v>0</v>
      </c>
      <c r="AQ5533">
        <v>8.3999999999941792</v>
      </c>
      <c r="AR5533">
        <v>1.3954925590331513E-4</v>
      </c>
      <c r="AS5533" t="s">
        <v>239</v>
      </c>
      <c r="AT5533" t="s">
        <v>514</v>
      </c>
    </row>
    <row r="5534" spans="2:46" x14ac:dyDescent="0.35">
      <c r="B5534" t="s">
        <v>747</v>
      </c>
      <c r="C5534">
        <v>45682</v>
      </c>
      <c r="J5534">
        <v>0</v>
      </c>
      <c r="O5534" t="s">
        <v>239</v>
      </c>
      <c r="P5534" t="s">
        <v>514</v>
      </c>
      <c r="U5534">
        <v>0</v>
      </c>
      <c r="Y5534">
        <v>1120</v>
      </c>
      <c r="Z5534" s="259" t="s">
        <v>637</v>
      </c>
      <c r="AB5534">
        <v>12012</v>
      </c>
      <c r="AF5534">
        <v>60202.2</v>
      </c>
      <c r="AG5534">
        <v>0</v>
      </c>
      <c r="AI5534">
        <v>60202.2</v>
      </c>
      <c r="AJ5534">
        <v>0</v>
      </c>
      <c r="AK5534">
        <v>0</v>
      </c>
      <c r="AL5534">
        <v>0</v>
      </c>
      <c r="AM5534">
        <v>47988</v>
      </c>
      <c r="AN5534">
        <v>12214.2</v>
      </c>
      <c r="AO5534">
        <v>60202.2</v>
      </c>
      <c r="AP5534">
        <v>0</v>
      </c>
      <c r="AQ5534">
        <v>0</v>
      </c>
      <c r="AR5534">
        <v>0</v>
      </c>
      <c r="AS5534" t="s">
        <v>239</v>
      </c>
      <c r="AT5534" t="s">
        <v>514</v>
      </c>
    </row>
    <row r="5535" spans="2:46" x14ac:dyDescent="0.35">
      <c r="B5535" t="s">
        <v>747</v>
      </c>
      <c r="C5535">
        <v>45683</v>
      </c>
      <c r="J5535">
        <v>0</v>
      </c>
      <c r="O5535" t="s">
        <v>239</v>
      </c>
      <c r="P5535" t="s">
        <v>514</v>
      </c>
      <c r="U5535">
        <v>0</v>
      </c>
      <c r="Y5535">
        <v>1121</v>
      </c>
      <c r="Z5535" s="259" t="s">
        <v>637</v>
      </c>
      <c r="AB5535">
        <v>12012</v>
      </c>
      <c r="AF5535">
        <v>60202.2</v>
      </c>
      <c r="AG5535">
        <v>0</v>
      </c>
      <c r="AI5535">
        <v>60202.2</v>
      </c>
      <c r="AJ5535">
        <v>0</v>
      </c>
      <c r="AK5535">
        <v>0</v>
      </c>
      <c r="AL5535">
        <v>0</v>
      </c>
      <c r="AM5535">
        <v>47988</v>
      </c>
      <c r="AN5535">
        <v>12214.2</v>
      </c>
      <c r="AO5535">
        <v>60202.2</v>
      </c>
      <c r="AP5535">
        <v>0</v>
      </c>
      <c r="AQ5535">
        <v>0</v>
      </c>
      <c r="AR5535">
        <v>0</v>
      </c>
      <c r="AS5535" t="s">
        <v>239</v>
      </c>
      <c r="AT5535" t="s">
        <v>514</v>
      </c>
    </row>
    <row r="5536" spans="2:46" x14ac:dyDescent="0.35">
      <c r="B5536" t="s">
        <v>747</v>
      </c>
      <c r="C5536">
        <v>45684</v>
      </c>
      <c r="J5536">
        <v>0</v>
      </c>
      <c r="O5536" t="s">
        <v>239</v>
      </c>
      <c r="P5536" t="s">
        <v>514</v>
      </c>
      <c r="U5536">
        <v>0</v>
      </c>
      <c r="Y5536">
        <v>1122</v>
      </c>
      <c r="Z5536" s="259" t="s">
        <v>637</v>
      </c>
      <c r="AB5536">
        <v>12012</v>
      </c>
      <c r="AF5536">
        <v>60230.2</v>
      </c>
      <c r="AG5536">
        <v>0</v>
      </c>
      <c r="AI5536">
        <v>60202.2</v>
      </c>
      <c r="AJ5536">
        <v>0</v>
      </c>
      <c r="AK5536">
        <v>0</v>
      </c>
      <c r="AL5536">
        <v>0</v>
      </c>
      <c r="AM5536">
        <v>47988</v>
      </c>
      <c r="AN5536">
        <v>12242.2</v>
      </c>
      <c r="AO5536">
        <v>60230.2</v>
      </c>
      <c r="AP5536">
        <v>0</v>
      </c>
      <c r="AQ5536">
        <v>28</v>
      </c>
      <c r="AR5536">
        <v>4.6509928208604556E-4</v>
      </c>
      <c r="AS5536" t="s">
        <v>239</v>
      </c>
      <c r="AT5536" t="s">
        <v>514</v>
      </c>
    </row>
    <row r="5537" spans="2:46" x14ac:dyDescent="0.35">
      <c r="B5537" t="s">
        <v>747</v>
      </c>
      <c r="C5537">
        <v>45685</v>
      </c>
      <c r="J5537">
        <v>0</v>
      </c>
      <c r="O5537" t="s">
        <v>239</v>
      </c>
      <c r="P5537" t="s">
        <v>514</v>
      </c>
      <c r="U5537">
        <v>0</v>
      </c>
      <c r="Y5537">
        <v>1123</v>
      </c>
      <c r="Z5537" s="259" t="s">
        <v>637</v>
      </c>
      <c r="AB5537">
        <v>12012</v>
      </c>
      <c r="AF5537">
        <v>60240</v>
      </c>
      <c r="AG5537">
        <v>0</v>
      </c>
      <c r="AI5537">
        <v>60230.2</v>
      </c>
      <c r="AJ5537">
        <v>0</v>
      </c>
      <c r="AK5537">
        <v>0</v>
      </c>
      <c r="AL5537">
        <v>0</v>
      </c>
      <c r="AM5537">
        <v>47988</v>
      </c>
      <c r="AN5537">
        <v>12252</v>
      </c>
      <c r="AO5537">
        <v>60240</v>
      </c>
      <c r="AP5537">
        <v>0</v>
      </c>
      <c r="AQ5537">
        <v>9.8000000000029104</v>
      </c>
      <c r="AR5537">
        <v>1.6270907285709235E-4</v>
      </c>
      <c r="AS5537" t="s">
        <v>239</v>
      </c>
      <c r="AT5537" t="s">
        <v>514</v>
      </c>
    </row>
    <row r="5538" spans="2:46" x14ac:dyDescent="0.35">
      <c r="B5538" t="s">
        <v>747</v>
      </c>
      <c r="C5538">
        <v>45686</v>
      </c>
      <c r="J5538">
        <v>0</v>
      </c>
      <c r="O5538" t="s">
        <v>239</v>
      </c>
      <c r="P5538" t="s">
        <v>514</v>
      </c>
      <c r="U5538">
        <v>0</v>
      </c>
      <c r="Y5538">
        <v>1124</v>
      </c>
      <c r="Z5538" s="259" t="s">
        <v>637</v>
      </c>
      <c r="AB5538">
        <v>12012</v>
      </c>
      <c r="AF5538">
        <v>60249.8</v>
      </c>
      <c r="AG5538">
        <v>0</v>
      </c>
      <c r="AI5538">
        <v>60240</v>
      </c>
      <c r="AJ5538">
        <v>0</v>
      </c>
      <c r="AK5538">
        <v>0</v>
      </c>
      <c r="AL5538">
        <v>0</v>
      </c>
      <c r="AM5538">
        <v>47988</v>
      </c>
      <c r="AN5538">
        <v>12261.8</v>
      </c>
      <c r="AO5538">
        <v>60249.8</v>
      </c>
      <c r="AP5538">
        <v>0</v>
      </c>
      <c r="AQ5538">
        <v>9.8000000000029104</v>
      </c>
      <c r="AR5538">
        <v>1.6268260292173764E-4</v>
      </c>
      <c r="AS5538" t="s">
        <v>239</v>
      </c>
      <c r="AT5538" t="s">
        <v>514</v>
      </c>
    </row>
    <row r="5539" spans="2:46" x14ac:dyDescent="0.35">
      <c r="B5539" t="s">
        <v>747</v>
      </c>
      <c r="C5539">
        <v>45687</v>
      </c>
      <c r="J5539">
        <v>0</v>
      </c>
      <c r="O5539" t="s">
        <v>239</v>
      </c>
      <c r="P5539" t="s">
        <v>514</v>
      </c>
      <c r="U5539">
        <v>0</v>
      </c>
      <c r="Y5539">
        <v>1125</v>
      </c>
      <c r="Z5539" s="259" t="s">
        <v>637</v>
      </c>
      <c r="AB5539">
        <v>12012</v>
      </c>
      <c r="AF5539">
        <v>60258.2</v>
      </c>
      <c r="AG5539">
        <v>0</v>
      </c>
      <c r="AI5539">
        <v>60249.8</v>
      </c>
      <c r="AJ5539">
        <v>0</v>
      </c>
      <c r="AK5539">
        <v>0</v>
      </c>
      <c r="AL5539">
        <v>0</v>
      </c>
      <c r="AM5539">
        <v>47988</v>
      </c>
      <c r="AN5539">
        <v>12270.2</v>
      </c>
      <c r="AO5539">
        <v>60258.2</v>
      </c>
      <c r="AP5539">
        <v>0</v>
      </c>
      <c r="AQ5539">
        <v>8.3999999999941792</v>
      </c>
      <c r="AR5539">
        <v>1.3941954994023398E-4</v>
      </c>
      <c r="AS5539" t="s">
        <v>239</v>
      </c>
      <c r="AT5539" t="s">
        <v>514</v>
      </c>
    </row>
    <row r="5540" spans="2:46" x14ac:dyDescent="0.35">
      <c r="B5540" t="s">
        <v>747</v>
      </c>
      <c r="C5540">
        <v>45688</v>
      </c>
      <c r="J5540">
        <v>0</v>
      </c>
      <c r="O5540" t="s">
        <v>239</v>
      </c>
      <c r="P5540" t="s">
        <v>514</v>
      </c>
      <c r="U5540">
        <v>0</v>
      </c>
      <c r="Y5540">
        <v>1126</v>
      </c>
      <c r="Z5540" s="259" t="s">
        <v>637</v>
      </c>
      <c r="AB5540">
        <v>12012</v>
      </c>
      <c r="AF5540">
        <v>60268</v>
      </c>
      <c r="AG5540">
        <v>0</v>
      </c>
      <c r="AI5540">
        <v>60258.2</v>
      </c>
      <c r="AJ5540">
        <v>0</v>
      </c>
      <c r="AK5540">
        <v>0</v>
      </c>
      <c r="AL5540">
        <v>0</v>
      </c>
      <c r="AM5540">
        <v>47988</v>
      </c>
      <c r="AN5540">
        <v>12280</v>
      </c>
      <c r="AO5540">
        <v>60268</v>
      </c>
      <c r="AP5540">
        <v>0</v>
      </c>
      <c r="AQ5540">
        <v>9.8000000000029104</v>
      </c>
      <c r="AR5540">
        <v>1.626334673123786E-4</v>
      </c>
      <c r="AS5540" t="s">
        <v>239</v>
      </c>
      <c r="AT5540" t="s">
        <v>514</v>
      </c>
    </row>
    <row r="5541" spans="2:46" x14ac:dyDescent="0.35">
      <c r="B5541" t="s">
        <v>747</v>
      </c>
      <c r="C5541">
        <v>45689</v>
      </c>
      <c r="J5541">
        <v>0</v>
      </c>
      <c r="O5541" t="s">
        <v>239</v>
      </c>
      <c r="P5541" t="s">
        <v>514</v>
      </c>
      <c r="U5541">
        <v>0</v>
      </c>
      <c r="Y5541">
        <v>1127</v>
      </c>
      <c r="Z5541" s="259" t="s">
        <v>637</v>
      </c>
      <c r="AB5541">
        <v>12012</v>
      </c>
      <c r="AF5541">
        <v>60268</v>
      </c>
      <c r="AG5541">
        <v>0</v>
      </c>
      <c r="AI5541">
        <v>60268</v>
      </c>
      <c r="AJ5541">
        <v>0</v>
      </c>
      <c r="AK5541">
        <v>0</v>
      </c>
      <c r="AL5541">
        <v>0</v>
      </c>
      <c r="AM5541">
        <v>47988</v>
      </c>
      <c r="AN5541">
        <v>12280</v>
      </c>
      <c r="AO5541">
        <v>60268</v>
      </c>
      <c r="AP5541">
        <v>0</v>
      </c>
      <c r="AQ5541">
        <v>0</v>
      </c>
      <c r="AR5541">
        <v>0</v>
      </c>
      <c r="AS5541" t="s">
        <v>239</v>
      </c>
      <c r="AT5541" t="s">
        <v>514</v>
      </c>
    </row>
    <row r="5542" spans="2:46" x14ac:dyDescent="0.35">
      <c r="B5542" t="s">
        <v>747</v>
      </c>
      <c r="C5542">
        <v>45690</v>
      </c>
      <c r="J5542">
        <v>0</v>
      </c>
      <c r="O5542" t="s">
        <v>239</v>
      </c>
      <c r="P5542" t="s">
        <v>514</v>
      </c>
      <c r="U5542">
        <v>0</v>
      </c>
      <c r="Y5542">
        <v>1128</v>
      </c>
      <c r="Z5542" s="259" t="s">
        <v>637</v>
      </c>
      <c r="AB5542">
        <v>12012</v>
      </c>
      <c r="AF5542">
        <v>60268</v>
      </c>
      <c r="AG5542">
        <v>0</v>
      </c>
      <c r="AI5542">
        <v>60268</v>
      </c>
      <c r="AJ5542">
        <v>0</v>
      </c>
      <c r="AK5542">
        <v>0</v>
      </c>
      <c r="AL5542">
        <v>0</v>
      </c>
      <c r="AM5542">
        <v>47988</v>
      </c>
      <c r="AN5542">
        <v>12280</v>
      </c>
      <c r="AO5542">
        <v>60268</v>
      </c>
      <c r="AP5542">
        <v>0</v>
      </c>
      <c r="AQ5542">
        <v>0</v>
      </c>
      <c r="AR5542">
        <v>0</v>
      </c>
      <c r="AS5542" t="s">
        <v>239</v>
      </c>
      <c r="AT5542" t="s">
        <v>514</v>
      </c>
    </row>
    <row r="5543" spans="2:46" x14ac:dyDescent="0.35">
      <c r="B5543" t="s">
        <v>747</v>
      </c>
      <c r="C5543">
        <v>45691</v>
      </c>
      <c r="J5543">
        <v>0</v>
      </c>
      <c r="O5543" t="s">
        <v>239</v>
      </c>
      <c r="P5543" t="s">
        <v>514</v>
      </c>
      <c r="U5543">
        <v>0</v>
      </c>
      <c r="Y5543">
        <v>1129</v>
      </c>
      <c r="Z5543" s="259" t="s">
        <v>637</v>
      </c>
      <c r="AB5543">
        <v>12012</v>
      </c>
      <c r="AF5543">
        <v>60223.199999999997</v>
      </c>
      <c r="AG5543">
        <v>0</v>
      </c>
      <c r="AI5543">
        <v>60268</v>
      </c>
      <c r="AJ5543">
        <v>0</v>
      </c>
      <c r="AK5543">
        <v>0</v>
      </c>
      <c r="AL5543">
        <v>0</v>
      </c>
      <c r="AM5543">
        <v>47988</v>
      </c>
      <c r="AN5543">
        <v>12235.2</v>
      </c>
      <c r="AO5543">
        <v>60223.199999999997</v>
      </c>
      <c r="AP5543">
        <v>0</v>
      </c>
      <c r="AQ5543">
        <v>-44.80000000000291</v>
      </c>
      <c r="AR5543">
        <v>-7.4334638614192983E-4</v>
      </c>
      <c r="AS5543" t="s">
        <v>239</v>
      </c>
      <c r="AT5543" t="s">
        <v>514</v>
      </c>
    </row>
    <row r="5544" spans="2:46" x14ac:dyDescent="0.35">
      <c r="B5544" t="s">
        <v>747</v>
      </c>
      <c r="C5544">
        <v>45692</v>
      </c>
      <c r="J5544">
        <v>0</v>
      </c>
      <c r="O5544" t="s">
        <v>239</v>
      </c>
      <c r="P5544" t="s">
        <v>514</v>
      </c>
      <c r="U5544">
        <v>0</v>
      </c>
      <c r="Y5544">
        <v>1130</v>
      </c>
      <c r="Z5544" s="259" t="s">
        <v>637</v>
      </c>
      <c r="AB5544">
        <v>12012</v>
      </c>
      <c r="AF5544">
        <v>60201.599999999999</v>
      </c>
      <c r="AG5544">
        <v>0</v>
      </c>
      <c r="AI5544">
        <v>60223.199999999997</v>
      </c>
      <c r="AJ5544">
        <v>0</v>
      </c>
      <c r="AK5544">
        <v>0</v>
      </c>
      <c r="AL5544">
        <v>0</v>
      </c>
      <c r="AM5544">
        <v>47988</v>
      </c>
      <c r="AN5544">
        <v>12213.6</v>
      </c>
      <c r="AO5544">
        <v>60201.599999999999</v>
      </c>
      <c r="AP5544">
        <v>0</v>
      </c>
      <c r="AQ5544">
        <v>-21.599999999998545</v>
      </c>
      <c r="AR5544">
        <v>-3.5866576336029965E-4</v>
      </c>
      <c r="AS5544" t="s">
        <v>239</v>
      </c>
      <c r="AT5544" t="s">
        <v>514</v>
      </c>
    </row>
    <row r="5545" spans="2:46" x14ac:dyDescent="0.35">
      <c r="B5545" t="s">
        <v>747</v>
      </c>
      <c r="C5545">
        <v>45693</v>
      </c>
      <c r="J5545">
        <v>0</v>
      </c>
      <c r="O5545" t="s">
        <v>239</v>
      </c>
      <c r="P5545" t="s">
        <v>514</v>
      </c>
      <c r="U5545">
        <v>0</v>
      </c>
      <c r="Y5545">
        <v>1131</v>
      </c>
      <c r="Z5545" s="259" t="s">
        <v>637</v>
      </c>
      <c r="AB5545">
        <v>12012</v>
      </c>
      <c r="AF5545">
        <v>60179.4</v>
      </c>
      <c r="AG5545">
        <v>0</v>
      </c>
      <c r="AI5545">
        <v>60201.599999999999</v>
      </c>
      <c r="AJ5545">
        <v>0</v>
      </c>
      <c r="AK5545">
        <v>0</v>
      </c>
      <c r="AL5545">
        <v>0</v>
      </c>
      <c r="AM5545">
        <v>47988</v>
      </c>
      <c r="AN5545">
        <v>12191.4</v>
      </c>
      <c r="AO5545">
        <v>60179.4</v>
      </c>
      <c r="AP5545">
        <v>0</v>
      </c>
      <c r="AQ5545">
        <v>-22.19999999999709</v>
      </c>
      <c r="AR5545">
        <v>-3.6876096316373896E-4</v>
      </c>
      <c r="AS5545" t="s">
        <v>239</v>
      </c>
      <c r="AT5545" t="s">
        <v>514</v>
      </c>
    </row>
    <row r="5546" spans="2:46" x14ac:dyDescent="0.35">
      <c r="B5546" t="s">
        <v>747</v>
      </c>
      <c r="C5546">
        <v>45694</v>
      </c>
      <c r="J5546">
        <v>0</v>
      </c>
      <c r="O5546" t="s">
        <v>239</v>
      </c>
      <c r="P5546" t="s">
        <v>514</v>
      </c>
      <c r="U5546">
        <v>0</v>
      </c>
      <c r="Y5546">
        <v>1132</v>
      </c>
      <c r="Z5546" s="259" t="s">
        <v>637</v>
      </c>
      <c r="AB5546">
        <v>12012</v>
      </c>
      <c r="AF5546">
        <v>60156.800000000003</v>
      </c>
      <c r="AG5546">
        <v>0</v>
      </c>
      <c r="AI5546">
        <v>60179.4</v>
      </c>
      <c r="AJ5546">
        <v>0</v>
      </c>
      <c r="AK5546">
        <v>0</v>
      </c>
      <c r="AL5546">
        <v>0</v>
      </c>
      <c r="AM5546">
        <v>47988</v>
      </c>
      <c r="AN5546">
        <v>12168.800000000001</v>
      </c>
      <c r="AO5546">
        <v>60156.800000000003</v>
      </c>
      <c r="AP5546">
        <v>0</v>
      </c>
      <c r="AQ5546">
        <v>-22.599999999998545</v>
      </c>
      <c r="AR5546">
        <v>-3.7554379073234667E-4</v>
      </c>
      <c r="AS5546" t="s">
        <v>239</v>
      </c>
      <c r="AT5546" t="s">
        <v>514</v>
      </c>
    </row>
    <row r="5547" spans="2:46" x14ac:dyDescent="0.35">
      <c r="B5547" t="s">
        <v>747</v>
      </c>
      <c r="C5547">
        <v>45695</v>
      </c>
      <c r="J5547">
        <v>0</v>
      </c>
      <c r="O5547" t="s">
        <v>239</v>
      </c>
      <c r="P5547" t="s">
        <v>514</v>
      </c>
      <c r="U5547">
        <v>0</v>
      </c>
      <c r="Y5547">
        <v>1133</v>
      </c>
      <c r="Z5547" s="259" t="s">
        <v>637</v>
      </c>
      <c r="AB5547">
        <v>12012</v>
      </c>
      <c r="AF5547">
        <v>60134.6</v>
      </c>
      <c r="AG5547">
        <v>0</v>
      </c>
      <c r="AI5547">
        <v>60156.800000000003</v>
      </c>
      <c r="AJ5547">
        <v>0</v>
      </c>
      <c r="AK5547">
        <v>0</v>
      </c>
      <c r="AL5547">
        <v>0</v>
      </c>
      <c r="AM5547">
        <v>47988</v>
      </c>
      <c r="AN5547">
        <v>12146.6</v>
      </c>
      <c r="AO5547">
        <v>60134.6</v>
      </c>
      <c r="AP5547">
        <v>0</v>
      </c>
      <c r="AQ5547">
        <v>-22.200000000004366</v>
      </c>
      <c r="AR5547">
        <v>-3.6903558699941108E-4</v>
      </c>
      <c r="AS5547" t="s">
        <v>239</v>
      </c>
      <c r="AT5547" t="s">
        <v>514</v>
      </c>
    </row>
    <row r="5548" spans="2:46" x14ac:dyDescent="0.35">
      <c r="B5548" t="s">
        <v>747</v>
      </c>
      <c r="C5548">
        <v>45696</v>
      </c>
      <c r="J5548">
        <v>0</v>
      </c>
      <c r="O5548" t="s">
        <v>239</v>
      </c>
      <c r="P5548" t="s">
        <v>514</v>
      </c>
      <c r="U5548">
        <v>0</v>
      </c>
      <c r="Y5548">
        <v>1134</v>
      </c>
      <c r="Z5548" s="259" t="s">
        <v>637</v>
      </c>
      <c r="AB5548">
        <v>12012</v>
      </c>
      <c r="AF5548">
        <v>60134.6</v>
      </c>
      <c r="AG5548">
        <v>0</v>
      </c>
      <c r="AI5548">
        <v>60134.6</v>
      </c>
      <c r="AJ5548">
        <v>0</v>
      </c>
      <c r="AK5548">
        <v>0</v>
      </c>
      <c r="AL5548">
        <v>0</v>
      </c>
      <c r="AM5548">
        <v>47988</v>
      </c>
      <c r="AN5548">
        <v>12146.6</v>
      </c>
      <c r="AO5548">
        <v>60134.6</v>
      </c>
      <c r="AP5548">
        <v>0</v>
      </c>
      <c r="AQ5548">
        <v>0</v>
      </c>
      <c r="AR5548">
        <v>0</v>
      </c>
      <c r="AS5548" t="s">
        <v>239</v>
      </c>
      <c r="AT5548" t="s">
        <v>514</v>
      </c>
    </row>
    <row r="5549" spans="2:46" x14ac:dyDescent="0.35">
      <c r="B5549" t="s">
        <v>747</v>
      </c>
      <c r="C5549">
        <v>45697</v>
      </c>
      <c r="J5549">
        <v>0</v>
      </c>
      <c r="O5549" t="s">
        <v>239</v>
      </c>
      <c r="P5549" t="s">
        <v>514</v>
      </c>
      <c r="U5549">
        <v>0</v>
      </c>
      <c r="Y5549">
        <v>1135</v>
      </c>
      <c r="Z5549" s="259" t="s">
        <v>637</v>
      </c>
      <c r="AB5549">
        <v>12012</v>
      </c>
      <c r="AF5549">
        <v>60134.6</v>
      </c>
      <c r="AG5549">
        <v>0</v>
      </c>
      <c r="AI5549">
        <v>60134.6</v>
      </c>
      <c r="AJ5549">
        <v>0</v>
      </c>
      <c r="AK5549">
        <v>0</v>
      </c>
      <c r="AL5549">
        <v>0</v>
      </c>
      <c r="AM5549">
        <v>47988</v>
      </c>
      <c r="AN5549">
        <v>12146.6</v>
      </c>
      <c r="AO5549">
        <v>60134.6</v>
      </c>
      <c r="AP5549">
        <v>0</v>
      </c>
      <c r="AQ5549">
        <v>0</v>
      </c>
      <c r="AR5549">
        <v>0</v>
      </c>
      <c r="AS5549" t="s">
        <v>239</v>
      </c>
      <c r="AT5549" t="s">
        <v>514</v>
      </c>
    </row>
    <row r="5550" spans="2:46" x14ac:dyDescent="0.35">
      <c r="B5550" t="s">
        <v>747</v>
      </c>
      <c r="C5550">
        <v>45698</v>
      </c>
      <c r="J5550">
        <v>0</v>
      </c>
      <c r="O5550" t="s">
        <v>239</v>
      </c>
      <c r="P5550" t="s">
        <v>514</v>
      </c>
      <c r="U5550">
        <v>0</v>
      </c>
      <c r="Y5550">
        <v>1136</v>
      </c>
      <c r="Z5550" s="259" t="s">
        <v>637</v>
      </c>
      <c r="AB5550">
        <v>12012</v>
      </c>
      <c r="AF5550">
        <v>60068.2</v>
      </c>
      <c r="AG5550">
        <v>0</v>
      </c>
      <c r="AI5550">
        <v>60134.6</v>
      </c>
      <c r="AJ5550">
        <v>0</v>
      </c>
      <c r="AK5550">
        <v>0</v>
      </c>
      <c r="AL5550">
        <v>0</v>
      </c>
      <c r="AM5550">
        <v>47988</v>
      </c>
      <c r="AN5550">
        <v>12080.2</v>
      </c>
      <c r="AO5550">
        <v>60068.2</v>
      </c>
      <c r="AP5550">
        <v>0</v>
      </c>
      <c r="AQ5550">
        <v>-66.400000000001455</v>
      </c>
      <c r="AR5550">
        <v>-1.104189601327743E-3</v>
      </c>
      <c r="AS5550" t="s">
        <v>239</v>
      </c>
      <c r="AT5550" t="s">
        <v>514</v>
      </c>
    </row>
    <row r="5551" spans="2:46" x14ac:dyDescent="0.35">
      <c r="B5551" t="s">
        <v>747</v>
      </c>
      <c r="C5551">
        <v>45699</v>
      </c>
      <c r="J5551">
        <v>0</v>
      </c>
      <c r="O5551" t="s">
        <v>239</v>
      </c>
      <c r="P5551" t="s">
        <v>514</v>
      </c>
      <c r="U5551">
        <v>0</v>
      </c>
      <c r="Y5551">
        <v>1137</v>
      </c>
      <c r="Z5551" s="259" t="s">
        <v>637</v>
      </c>
      <c r="AB5551">
        <v>12012</v>
      </c>
      <c r="AF5551">
        <v>60046</v>
      </c>
      <c r="AG5551">
        <v>0</v>
      </c>
      <c r="AI5551">
        <v>60068.2</v>
      </c>
      <c r="AJ5551">
        <v>0</v>
      </c>
      <c r="AK5551">
        <v>0</v>
      </c>
      <c r="AL5551">
        <v>0</v>
      </c>
      <c r="AM5551">
        <v>47988</v>
      </c>
      <c r="AN5551">
        <v>12058</v>
      </c>
      <c r="AO5551">
        <v>60046</v>
      </c>
      <c r="AP5551">
        <v>0</v>
      </c>
      <c r="AQ5551">
        <v>-22.19999999999709</v>
      </c>
      <c r="AR5551">
        <v>-3.695799108346387E-4</v>
      </c>
      <c r="AS5551" t="s">
        <v>239</v>
      </c>
      <c r="AT5551" t="s">
        <v>514</v>
      </c>
    </row>
    <row r="5552" spans="2:46" x14ac:dyDescent="0.35">
      <c r="B5552" t="s">
        <v>747</v>
      </c>
      <c r="C5552">
        <v>45700</v>
      </c>
      <c r="J5552">
        <v>0</v>
      </c>
      <c r="O5552" t="s">
        <v>239</v>
      </c>
      <c r="P5552" t="s">
        <v>514</v>
      </c>
      <c r="U5552">
        <v>0</v>
      </c>
      <c r="Y5552">
        <v>1138</v>
      </c>
      <c r="Z5552" s="259" t="s">
        <v>637</v>
      </c>
      <c r="AB5552">
        <v>12012</v>
      </c>
      <c r="AF5552">
        <v>60023.4</v>
      </c>
      <c r="AG5552">
        <v>0</v>
      </c>
      <c r="AI5552">
        <v>60046</v>
      </c>
      <c r="AJ5552">
        <v>0</v>
      </c>
      <c r="AK5552">
        <v>0</v>
      </c>
      <c r="AL5552">
        <v>0</v>
      </c>
      <c r="AM5552">
        <v>47988</v>
      </c>
      <c r="AN5552">
        <v>12035.4</v>
      </c>
      <c r="AO5552">
        <v>60023.4</v>
      </c>
      <c r="AP5552">
        <v>0</v>
      </c>
      <c r="AQ5552">
        <v>-22.599999999998545</v>
      </c>
      <c r="AR5552">
        <v>-3.7637811011559386E-4</v>
      </c>
      <c r="AS5552" t="s">
        <v>239</v>
      </c>
      <c r="AT5552" t="s">
        <v>514</v>
      </c>
    </row>
    <row r="5553" spans="2:46" x14ac:dyDescent="0.35">
      <c r="B5553" t="s">
        <v>747</v>
      </c>
      <c r="C5553">
        <v>45701</v>
      </c>
      <c r="J5553">
        <v>0</v>
      </c>
      <c r="O5553" t="s">
        <v>239</v>
      </c>
      <c r="P5553" t="s">
        <v>514</v>
      </c>
      <c r="U5553">
        <v>0</v>
      </c>
      <c r="Y5553">
        <v>1139</v>
      </c>
      <c r="Z5553" s="259" t="s">
        <v>637</v>
      </c>
      <c r="AB5553">
        <v>12012</v>
      </c>
      <c r="AF5553">
        <v>60001.2</v>
      </c>
      <c r="AG5553">
        <v>0</v>
      </c>
      <c r="AI5553">
        <v>60023.4</v>
      </c>
      <c r="AJ5553">
        <v>0</v>
      </c>
      <c r="AK5553">
        <v>0</v>
      </c>
      <c r="AL5553">
        <v>0</v>
      </c>
      <c r="AM5553">
        <v>47988</v>
      </c>
      <c r="AN5553">
        <v>12013.2</v>
      </c>
      <c r="AO5553">
        <v>60001.2</v>
      </c>
      <c r="AP5553">
        <v>0</v>
      </c>
      <c r="AQ5553">
        <v>-22.200000000004366</v>
      </c>
      <c r="AR5553">
        <v>-3.6985575625514411E-4</v>
      </c>
      <c r="AS5553" t="s">
        <v>239</v>
      </c>
      <c r="AT5553" t="s">
        <v>514</v>
      </c>
    </row>
    <row r="5554" spans="2:46" x14ac:dyDescent="0.35">
      <c r="B5554" t="s">
        <v>747</v>
      </c>
      <c r="C5554">
        <v>45702</v>
      </c>
      <c r="J5554">
        <v>0</v>
      </c>
      <c r="O5554" t="s">
        <v>239</v>
      </c>
      <c r="P5554" t="s">
        <v>514</v>
      </c>
      <c r="U5554">
        <v>0</v>
      </c>
      <c r="Y5554">
        <v>1140</v>
      </c>
      <c r="Z5554" s="259" t="s">
        <v>637</v>
      </c>
      <c r="AB5554">
        <v>12012</v>
      </c>
      <c r="AF5554">
        <v>59978.6</v>
      </c>
      <c r="AG5554">
        <v>0</v>
      </c>
      <c r="AI5554">
        <v>60001.2</v>
      </c>
      <c r="AJ5554">
        <v>0</v>
      </c>
      <c r="AK5554">
        <v>0</v>
      </c>
      <c r="AL5554">
        <v>0</v>
      </c>
      <c r="AM5554">
        <v>47988</v>
      </c>
      <c r="AN5554">
        <v>11990.599999999999</v>
      </c>
      <c r="AO5554">
        <v>59978.6</v>
      </c>
      <c r="AP5554">
        <v>0</v>
      </c>
      <c r="AQ5554">
        <v>-22.599999999998545</v>
      </c>
      <c r="AR5554">
        <v>-3.7665913348394753E-4</v>
      </c>
      <c r="AS5554" t="s">
        <v>239</v>
      </c>
      <c r="AT5554" t="s">
        <v>514</v>
      </c>
    </row>
    <row r="5555" spans="2:46" x14ac:dyDescent="0.35">
      <c r="B5555" t="s">
        <v>747</v>
      </c>
      <c r="C5555">
        <v>45703</v>
      </c>
      <c r="J5555">
        <v>0</v>
      </c>
      <c r="O5555" t="s">
        <v>239</v>
      </c>
      <c r="P5555" t="s">
        <v>514</v>
      </c>
      <c r="U5555">
        <v>0</v>
      </c>
      <c r="Y5555">
        <v>1141</v>
      </c>
      <c r="Z5555" s="259" t="s">
        <v>637</v>
      </c>
      <c r="AB5555">
        <v>12012</v>
      </c>
      <c r="AF5555">
        <v>59978.6</v>
      </c>
      <c r="AG5555">
        <v>0</v>
      </c>
      <c r="AI5555">
        <v>59978.6</v>
      </c>
      <c r="AJ5555">
        <v>0</v>
      </c>
      <c r="AK5555">
        <v>0</v>
      </c>
      <c r="AL5555">
        <v>0</v>
      </c>
      <c r="AM5555">
        <v>47988</v>
      </c>
      <c r="AN5555">
        <v>11990.599999999999</v>
      </c>
      <c r="AO5555">
        <v>59978.6</v>
      </c>
      <c r="AP5555">
        <v>0</v>
      </c>
      <c r="AQ5555">
        <v>0</v>
      </c>
      <c r="AR5555">
        <v>0</v>
      </c>
      <c r="AS5555" t="s">
        <v>239</v>
      </c>
      <c r="AT5555" t="s">
        <v>514</v>
      </c>
    </row>
    <row r="5556" spans="2:46" x14ac:dyDescent="0.35">
      <c r="B5556" t="s">
        <v>747</v>
      </c>
      <c r="C5556">
        <v>45704</v>
      </c>
      <c r="J5556">
        <v>0</v>
      </c>
      <c r="O5556" t="s">
        <v>239</v>
      </c>
      <c r="P5556" t="s">
        <v>514</v>
      </c>
      <c r="U5556">
        <v>0</v>
      </c>
      <c r="Y5556">
        <v>1142</v>
      </c>
      <c r="Z5556" s="259" t="s">
        <v>637</v>
      </c>
      <c r="AB5556">
        <v>12012</v>
      </c>
      <c r="AF5556">
        <v>59978.6</v>
      </c>
      <c r="AG5556">
        <v>0</v>
      </c>
      <c r="AI5556">
        <v>59978.6</v>
      </c>
      <c r="AJ5556">
        <v>0</v>
      </c>
      <c r="AK5556">
        <v>0</v>
      </c>
      <c r="AL5556">
        <v>0</v>
      </c>
      <c r="AM5556">
        <v>47988</v>
      </c>
      <c r="AN5556">
        <v>11990.599999999999</v>
      </c>
      <c r="AO5556">
        <v>59978.6</v>
      </c>
      <c r="AP5556">
        <v>0</v>
      </c>
      <c r="AQ5556">
        <v>0</v>
      </c>
      <c r="AR5556">
        <v>0</v>
      </c>
      <c r="AS5556" t="s">
        <v>239</v>
      </c>
      <c r="AT5556" t="s">
        <v>514</v>
      </c>
    </row>
    <row r="5557" spans="2:46" x14ac:dyDescent="0.35">
      <c r="B5557" t="s">
        <v>747</v>
      </c>
      <c r="C5557">
        <v>45705</v>
      </c>
      <c r="J5557">
        <v>0</v>
      </c>
      <c r="O5557" t="s">
        <v>239</v>
      </c>
      <c r="P5557" t="s">
        <v>514</v>
      </c>
      <c r="U5557">
        <v>0</v>
      </c>
      <c r="Y5557">
        <v>1143</v>
      </c>
      <c r="Z5557" s="259" t="s">
        <v>637</v>
      </c>
      <c r="AB5557">
        <v>12012</v>
      </c>
      <c r="AF5557">
        <v>59912.6</v>
      </c>
      <c r="AG5557">
        <v>0</v>
      </c>
      <c r="AI5557">
        <v>59978.6</v>
      </c>
      <c r="AJ5557">
        <v>0</v>
      </c>
      <c r="AK5557">
        <v>0</v>
      </c>
      <c r="AL5557">
        <v>0</v>
      </c>
      <c r="AM5557">
        <v>47988</v>
      </c>
      <c r="AN5557">
        <v>11924.6</v>
      </c>
      <c r="AO5557">
        <v>59912.6</v>
      </c>
      <c r="AP5557">
        <v>0</v>
      </c>
      <c r="AQ5557">
        <v>-66</v>
      </c>
      <c r="AR5557">
        <v>-1.1003924733155035E-3</v>
      </c>
      <c r="AS5557" t="s">
        <v>239</v>
      </c>
      <c r="AT5557" t="s">
        <v>514</v>
      </c>
    </row>
    <row r="5558" spans="2:46" x14ac:dyDescent="0.35">
      <c r="B5558" t="s">
        <v>747</v>
      </c>
      <c r="C5558">
        <v>45706</v>
      </c>
      <c r="J5558">
        <v>0</v>
      </c>
      <c r="O5558" t="s">
        <v>239</v>
      </c>
      <c r="P5558" t="s">
        <v>514</v>
      </c>
      <c r="U5558">
        <v>0</v>
      </c>
      <c r="Y5558">
        <v>1144</v>
      </c>
      <c r="Z5558" s="259" t="s">
        <v>637</v>
      </c>
      <c r="AB5558">
        <v>12012</v>
      </c>
      <c r="AF5558">
        <v>59890</v>
      </c>
      <c r="AG5558">
        <v>0</v>
      </c>
      <c r="AI5558">
        <v>59912.6</v>
      </c>
      <c r="AJ5558">
        <v>0</v>
      </c>
      <c r="AK5558">
        <v>0</v>
      </c>
      <c r="AL5558">
        <v>0</v>
      </c>
      <c r="AM5558">
        <v>47988</v>
      </c>
      <c r="AN5558">
        <v>11902</v>
      </c>
      <c r="AO5558">
        <v>59890</v>
      </c>
      <c r="AP5558">
        <v>0</v>
      </c>
      <c r="AQ5558">
        <v>-22.599999999998545</v>
      </c>
      <c r="AR5558">
        <v>-3.772161448509781E-4</v>
      </c>
      <c r="AS5558" t="s">
        <v>239</v>
      </c>
      <c r="AT5558" t="s">
        <v>514</v>
      </c>
    </row>
    <row r="5559" spans="2:46" x14ac:dyDescent="0.35">
      <c r="B5559" t="s">
        <v>747</v>
      </c>
      <c r="C5559">
        <v>45707</v>
      </c>
      <c r="J5559">
        <v>0</v>
      </c>
      <c r="O5559" t="s">
        <v>239</v>
      </c>
      <c r="P5559" t="s">
        <v>514</v>
      </c>
      <c r="U5559">
        <v>0</v>
      </c>
      <c r="Y5559">
        <v>1145</v>
      </c>
      <c r="Z5559" s="259" t="s">
        <v>637</v>
      </c>
      <c r="AB5559">
        <v>12012</v>
      </c>
      <c r="AF5559">
        <v>59867.8</v>
      </c>
      <c r="AG5559">
        <v>0</v>
      </c>
      <c r="AI5559">
        <v>59890</v>
      </c>
      <c r="AJ5559">
        <v>0</v>
      </c>
      <c r="AK5559">
        <v>0</v>
      </c>
      <c r="AL5559">
        <v>0</v>
      </c>
      <c r="AM5559">
        <v>47988</v>
      </c>
      <c r="AN5559">
        <v>11879.8</v>
      </c>
      <c r="AO5559">
        <v>59867.8</v>
      </c>
      <c r="AP5559">
        <v>0</v>
      </c>
      <c r="AQ5559">
        <v>-22.19999999999709</v>
      </c>
      <c r="AR5559">
        <v>-3.7067957922853889E-4</v>
      </c>
      <c r="AS5559" t="s">
        <v>239</v>
      </c>
      <c r="AT5559" t="s">
        <v>514</v>
      </c>
    </row>
    <row r="5560" spans="2:46" x14ac:dyDescent="0.35">
      <c r="B5560" t="s">
        <v>747</v>
      </c>
      <c r="C5560">
        <v>45708</v>
      </c>
      <c r="J5560">
        <v>0</v>
      </c>
      <c r="O5560" t="s">
        <v>239</v>
      </c>
      <c r="P5560" t="s">
        <v>514</v>
      </c>
      <c r="U5560">
        <v>0</v>
      </c>
      <c r="Y5560">
        <v>1146</v>
      </c>
      <c r="Z5560" s="259" t="s">
        <v>637</v>
      </c>
      <c r="AB5560">
        <v>12012</v>
      </c>
      <c r="AF5560">
        <v>59846.2</v>
      </c>
      <c r="AG5560">
        <v>0</v>
      </c>
      <c r="AI5560">
        <v>59867.8</v>
      </c>
      <c r="AJ5560">
        <v>0</v>
      </c>
      <c r="AK5560">
        <v>0</v>
      </c>
      <c r="AL5560">
        <v>0</v>
      </c>
      <c r="AM5560">
        <v>47988</v>
      </c>
      <c r="AN5560">
        <v>11858.2</v>
      </c>
      <c r="AO5560">
        <v>59846.2</v>
      </c>
      <c r="AP5560">
        <v>0</v>
      </c>
      <c r="AQ5560">
        <v>-21.600000000005821</v>
      </c>
      <c r="AR5560">
        <v>-3.6079495154328622E-4</v>
      </c>
      <c r="AS5560" t="s">
        <v>239</v>
      </c>
      <c r="AT5560" t="s">
        <v>514</v>
      </c>
    </row>
    <row r="5561" spans="2:46" x14ac:dyDescent="0.35">
      <c r="B5561" t="s">
        <v>747</v>
      </c>
      <c r="C5561">
        <v>45709</v>
      </c>
      <c r="J5561">
        <v>0</v>
      </c>
      <c r="O5561" t="s">
        <v>239</v>
      </c>
      <c r="P5561" t="s">
        <v>514</v>
      </c>
      <c r="U5561">
        <v>0</v>
      </c>
      <c r="Y5561">
        <v>1147</v>
      </c>
      <c r="Z5561" s="259" t="s">
        <v>637</v>
      </c>
      <c r="AB5561">
        <v>12012</v>
      </c>
      <c r="AF5561">
        <v>59824</v>
      </c>
      <c r="AG5561">
        <v>0</v>
      </c>
      <c r="AI5561">
        <v>59846.2</v>
      </c>
      <c r="AJ5561">
        <v>0</v>
      </c>
      <c r="AK5561">
        <v>0</v>
      </c>
      <c r="AL5561">
        <v>0</v>
      </c>
      <c r="AM5561">
        <v>47988</v>
      </c>
      <c r="AN5561">
        <v>11836</v>
      </c>
      <c r="AO5561">
        <v>59824</v>
      </c>
      <c r="AP5561">
        <v>0</v>
      </c>
      <c r="AQ5561">
        <v>-22.19999999999709</v>
      </c>
      <c r="AR5561">
        <v>-3.7095087073191202E-4</v>
      </c>
      <c r="AS5561" t="s">
        <v>239</v>
      </c>
      <c r="AT5561" t="s">
        <v>514</v>
      </c>
    </row>
    <row r="5562" spans="2:46" x14ac:dyDescent="0.35">
      <c r="B5562" t="s">
        <v>747</v>
      </c>
      <c r="C5562">
        <v>45710</v>
      </c>
      <c r="J5562">
        <v>0</v>
      </c>
      <c r="O5562" t="s">
        <v>239</v>
      </c>
      <c r="P5562" t="s">
        <v>514</v>
      </c>
      <c r="U5562">
        <v>0</v>
      </c>
      <c r="Y5562">
        <v>1148</v>
      </c>
      <c r="Z5562" s="259" t="s">
        <v>637</v>
      </c>
      <c r="AB5562">
        <v>12012</v>
      </c>
      <c r="AF5562">
        <v>59824</v>
      </c>
      <c r="AG5562">
        <v>0</v>
      </c>
      <c r="AI5562">
        <v>59824</v>
      </c>
      <c r="AJ5562">
        <v>0</v>
      </c>
      <c r="AK5562">
        <v>0</v>
      </c>
      <c r="AL5562">
        <v>0</v>
      </c>
      <c r="AM5562">
        <v>47988</v>
      </c>
      <c r="AN5562">
        <v>11836</v>
      </c>
      <c r="AO5562">
        <v>59824</v>
      </c>
      <c r="AP5562">
        <v>0</v>
      </c>
      <c r="AQ5562">
        <v>0</v>
      </c>
      <c r="AR5562">
        <v>0</v>
      </c>
      <c r="AS5562" t="s">
        <v>239</v>
      </c>
      <c r="AT5562" t="s">
        <v>514</v>
      </c>
    </row>
    <row r="5563" spans="2:46" x14ac:dyDescent="0.35">
      <c r="B5563" t="s">
        <v>747</v>
      </c>
      <c r="C5563">
        <v>45711</v>
      </c>
      <c r="J5563">
        <v>0</v>
      </c>
      <c r="O5563" t="s">
        <v>239</v>
      </c>
      <c r="P5563" t="s">
        <v>514</v>
      </c>
      <c r="U5563">
        <v>0</v>
      </c>
      <c r="Y5563">
        <v>1149</v>
      </c>
      <c r="Z5563" s="259" t="s">
        <v>637</v>
      </c>
      <c r="AB5563">
        <v>12012</v>
      </c>
      <c r="AF5563">
        <v>59824</v>
      </c>
      <c r="AG5563">
        <v>0</v>
      </c>
      <c r="AI5563">
        <v>59824</v>
      </c>
      <c r="AJ5563">
        <v>0</v>
      </c>
      <c r="AK5563">
        <v>0</v>
      </c>
      <c r="AL5563">
        <v>0</v>
      </c>
      <c r="AM5563">
        <v>47988</v>
      </c>
      <c r="AN5563">
        <v>11836</v>
      </c>
      <c r="AO5563">
        <v>59824</v>
      </c>
      <c r="AP5563">
        <v>0</v>
      </c>
      <c r="AQ5563">
        <v>0</v>
      </c>
      <c r="AR5563">
        <v>0</v>
      </c>
      <c r="AS5563" t="s">
        <v>239</v>
      </c>
      <c r="AT5563" t="s">
        <v>514</v>
      </c>
    </row>
    <row r="5564" spans="2:46" x14ac:dyDescent="0.35">
      <c r="B5564" t="s">
        <v>747</v>
      </c>
      <c r="C5564">
        <v>45712</v>
      </c>
      <c r="J5564">
        <v>0</v>
      </c>
      <c r="O5564" t="s">
        <v>239</v>
      </c>
      <c r="P5564" t="s">
        <v>514</v>
      </c>
      <c r="U5564">
        <v>0</v>
      </c>
      <c r="Y5564">
        <v>1150</v>
      </c>
      <c r="Z5564" s="259" t="s">
        <v>637</v>
      </c>
      <c r="AB5564">
        <v>12012</v>
      </c>
      <c r="AF5564">
        <v>59756.6</v>
      </c>
      <c r="AG5564">
        <v>0</v>
      </c>
      <c r="AI5564">
        <v>59824</v>
      </c>
      <c r="AJ5564">
        <v>0</v>
      </c>
      <c r="AK5564">
        <v>0</v>
      </c>
      <c r="AL5564">
        <v>0</v>
      </c>
      <c r="AM5564">
        <v>47988</v>
      </c>
      <c r="AN5564">
        <v>11768.6</v>
      </c>
      <c r="AO5564">
        <v>59756.6</v>
      </c>
      <c r="AP5564">
        <v>0</v>
      </c>
      <c r="AQ5564">
        <v>-67.400000000001455</v>
      </c>
      <c r="AR5564">
        <v>-1.1266381385397484E-3</v>
      </c>
      <c r="AS5564" t="s">
        <v>239</v>
      </c>
      <c r="AT5564" t="s">
        <v>514</v>
      </c>
    </row>
    <row r="5565" spans="2:46" x14ac:dyDescent="0.35">
      <c r="B5565" t="s">
        <v>747</v>
      </c>
      <c r="C5565">
        <v>45713</v>
      </c>
      <c r="J5565">
        <v>0</v>
      </c>
      <c r="O5565" t="s">
        <v>239</v>
      </c>
      <c r="P5565" t="s">
        <v>514</v>
      </c>
      <c r="U5565">
        <v>0</v>
      </c>
      <c r="Y5565">
        <v>1151</v>
      </c>
      <c r="Z5565" s="259" t="s">
        <v>637</v>
      </c>
      <c r="AB5565">
        <v>12012</v>
      </c>
      <c r="AF5565">
        <v>59734.400000000001</v>
      </c>
      <c r="AG5565">
        <v>0</v>
      </c>
      <c r="AI5565">
        <v>59756.6</v>
      </c>
      <c r="AJ5565">
        <v>0</v>
      </c>
      <c r="AK5565">
        <v>0</v>
      </c>
      <c r="AL5565">
        <v>0</v>
      </c>
      <c r="AM5565">
        <v>47988</v>
      </c>
      <c r="AN5565">
        <v>11746.4</v>
      </c>
      <c r="AO5565">
        <v>59734.400000000001</v>
      </c>
      <c r="AP5565">
        <v>0</v>
      </c>
      <c r="AQ5565">
        <v>-22.19999999999709</v>
      </c>
      <c r="AR5565">
        <v>-3.7150708038935498E-4</v>
      </c>
      <c r="AS5565" t="s">
        <v>239</v>
      </c>
      <c r="AT5565" t="s">
        <v>514</v>
      </c>
    </row>
    <row r="5566" spans="2:46" x14ac:dyDescent="0.35">
      <c r="B5566" t="s">
        <v>747</v>
      </c>
      <c r="C5566">
        <v>45714</v>
      </c>
      <c r="J5566">
        <v>0</v>
      </c>
      <c r="O5566" t="s">
        <v>239</v>
      </c>
      <c r="P5566" t="s">
        <v>514</v>
      </c>
      <c r="U5566">
        <v>0</v>
      </c>
      <c r="Y5566">
        <v>1152</v>
      </c>
      <c r="Z5566" s="259" t="s">
        <v>637</v>
      </c>
      <c r="AB5566">
        <v>12012</v>
      </c>
      <c r="AF5566">
        <v>59712.800000000003</v>
      </c>
      <c r="AG5566">
        <v>0</v>
      </c>
      <c r="AI5566">
        <v>59734.400000000001</v>
      </c>
      <c r="AJ5566">
        <v>0</v>
      </c>
      <c r="AK5566">
        <v>0</v>
      </c>
      <c r="AL5566">
        <v>0</v>
      </c>
      <c r="AM5566">
        <v>47988</v>
      </c>
      <c r="AN5566">
        <v>11724.8</v>
      </c>
      <c r="AO5566">
        <v>59712.800000000003</v>
      </c>
      <c r="AP5566">
        <v>0</v>
      </c>
      <c r="AQ5566">
        <v>-21.599999999998545</v>
      </c>
      <c r="AR5566">
        <v>-3.6160068570201265E-4</v>
      </c>
      <c r="AS5566" t="s">
        <v>239</v>
      </c>
      <c r="AT5566" t="s">
        <v>514</v>
      </c>
    </row>
    <row r="5567" spans="2:46" x14ac:dyDescent="0.35">
      <c r="B5567" t="s">
        <v>747</v>
      </c>
      <c r="C5567">
        <v>45715</v>
      </c>
      <c r="J5567">
        <v>0</v>
      </c>
      <c r="O5567" t="s">
        <v>239</v>
      </c>
      <c r="P5567" t="s">
        <v>514</v>
      </c>
      <c r="U5567">
        <v>0</v>
      </c>
      <c r="Y5567">
        <v>1153</v>
      </c>
      <c r="Z5567" s="259" t="s">
        <v>637</v>
      </c>
      <c r="AB5567">
        <v>12012</v>
      </c>
      <c r="AF5567">
        <v>59690.6</v>
      </c>
      <c r="AG5567">
        <v>0</v>
      </c>
      <c r="AI5567">
        <v>59712.800000000003</v>
      </c>
      <c r="AJ5567">
        <v>0</v>
      </c>
      <c r="AK5567">
        <v>0</v>
      </c>
      <c r="AL5567">
        <v>0</v>
      </c>
      <c r="AM5567">
        <v>47988</v>
      </c>
      <c r="AN5567">
        <v>11702.6</v>
      </c>
      <c r="AO5567">
        <v>59690.6</v>
      </c>
      <c r="AP5567">
        <v>0</v>
      </c>
      <c r="AQ5567">
        <v>-22.200000000004366</v>
      </c>
      <c r="AR5567">
        <v>-3.717795849467187E-4</v>
      </c>
      <c r="AS5567" t="s">
        <v>239</v>
      </c>
      <c r="AT5567" t="s">
        <v>514</v>
      </c>
    </row>
    <row r="5568" spans="2:46" x14ac:dyDescent="0.35">
      <c r="B5568" t="s">
        <v>747</v>
      </c>
      <c r="C5568">
        <v>45716</v>
      </c>
      <c r="J5568">
        <v>0</v>
      </c>
      <c r="O5568" t="s">
        <v>239</v>
      </c>
      <c r="P5568" t="s">
        <v>514</v>
      </c>
      <c r="U5568">
        <v>0</v>
      </c>
      <c r="Y5568">
        <v>1154</v>
      </c>
      <c r="Z5568" s="259" t="s">
        <v>637</v>
      </c>
      <c r="AB5568">
        <v>12012</v>
      </c>
      <c r="AF5568">
        <v>59668</v>
      </c>
      <c r="AG5568">
        <v>0</v>
      </c>
      <c r="AI5568">
        <v>59690.6</v>
      </c>
      <c r="AJ5568">
        <v>0</v>
      </c>
      <c r="AK5568">
        <v>0</v>
      </c>
      <c r="AL5568">
        <v>0</v>
      </c>
      <c r="AM5568">
        <v>47988</v>
      </c>
      <c r="AN5568">
        <v>11680</v>
      </c>
      <c r="AO5568">
        <v>59668</v>
      </c>
      <c r="AP5568">
        <v>0</v>
      </c>
      <c r="AQ5568">
        <v>-22.599999999998545</v>
      </c>
      <c r="AR5568">
        <v>-3.7861907905090142E-4</v>
      </c>
      <c r="AS5568" t="s">
        <v>239</v>
      </c>
      <c r="AT5568" t="s">
        <v>514</v>
      </c>
    </row>
    <row r="5569" spans="2:46" x14ac:dyDescent="0.35">
      <c r="B5569" t="s">
        <v>747</v>
      </c>
      <c r="C5569">
        <v>45717</v>
      </c>
      <c r="J5569">
        <v>0</v>
      </c>
      <c r="O5569" t="s">
        <v>239</v>
      </c>
      <c r="P5569" t="s">
        <v>514</v>
      </c>
      <c r="U5569">
        <v>0</v>
      </c>
      <c r="Y5569">
        <v>1155</v>
      </c>
      <c r="Z5569" s="259" t="s">
        <v>637</v>
      </c>
      <c r="AB5569">
        <v>12012</v>
      </c>
      <c r="AF5569">
        <v>59668</v>
      </c>
      <c r="AG5569">
        <v>0</v>
      </c>
      <c r="AI5569">
        <v>59668</v>
      </c>
      <c r="AJ5569">
        <v>0</v>
      </c>
      <c r="AK5569">
        <v>0</v>
      </c>
      <c r="AL5569">
        <v>0</v>
      </c>
      <c r="AM5569">
        <v>47988</v>
      </c>
      <c r="AN5569">
        <v>11680</v>
      </c>
      <c r="AO5569">
        <v>59668</v>
      </c>
      <c r="AP5569">
        <v>0</v>
      </c>
      <c r="AQ5569">
        <v>0</v>
      </c>
      <c r="AR5569">
        <v>0</v>
      </c>
      <c r="AS5569" t="s">
        <v>239</v>
      </c>
      <c r="AT5569" t="s">
        <v>514</v>
      </c>
    </row>
    <row r="5570" spans="2:46" x14ac:dyDescent="0.35">
      <c r="B5570" t="s">
        <v>747</v>
      </c>
      <c r="C5570">
        <v>45718</v>
      </c>
      <c r="J5570">
        <v>0</v>
      </c>
      <c r="O5570" t="s">
        <v>239</v>
      </c>
      <c r="P5570" t="s">
        <v>514</v>
      </c>
      <c r="U5570">
        <v>0</v>
      </c>
      <c r="Y5570">
        <v>1156</v>
      </c>
      <c r="Z5570" s="259" t="s">
        <v>637</v>
      </c>
      <c r="AB5570">
        <v>12012</v>
      </c>
      <c r="AF5570">
        <v>59668</v>
      </c>
      <c r="AG5570">
        <v>0</v>
      </c>
      <c r="AI5570">
        <v>59668</v>
      </c>
      <c r="AJ5570">
        <v>0</v>
      </c>
      <c r="AK5570">
        <v>0</v>
      </c>
      <c r="AL5570">
        <v>0</v>
      </c>
      <c r="AM5570">
        <v>47988</v>
      </c>
      <c r="AN5570">
        <v>11680</v>
      </c>
      <c r="AO5570">
        <v>59668</v>
      </c>
      <c r="AP5570">
        <v>0</v>
      </c>
      <c r="AQ5570">
        <v>0</v>
      </c>
      <c r="AR5570">
        <v>0</v>
      </c>
      <c r="AS5570" t="s">
        <v>239</v>
      </c>
      <c r="AT5570" t="s">
        <v>514</v>
      </c>
    </row>
    <row r="5571" spans="2:46" x14ac:dyDescent="0.35">
      <c r="B5571" t="s">
        <v>747</v>
      </c>
      <c r="C5571">
        <v>45719</v>
      </c>
      <c r="J5571">
        <v>0</v>
      </c>
      <c r="O5571" t="s">
        <v>239</v>
      </c>
      <c r="P5571" t="s">
        <v>514</v>
      </c>
      <c r="U5571">
        <v>0</v>
      </c>
      <c r="Y5571">
        <v>1157</v>
      </c>
      <c r="Z5571" s="259" t="s">
        <v>637</v>
      </c>
      <c r="AB5571">
        <v>12012</v>
      </c>
      <c r="AF5571">
        <v>59672</v>
      </c>
      <c r="AG5571">
        <v>0</v>
      </c>
      <c r="AI5571">
        <v>59668</v>
      </c>
      <c r="AJ5571">
        <v>0</v>
      </c>
      <c r="AK5571">
        <v>0</v>
      </c>
      <c r="AL5571">
        <v>0</v>
      </c>
      <c r="AM5571">
        <v>47988</v>
      </c>
      <c r="AN5571">
        <v>11684</v>
      </c>
      <c r="AO5571">
        <v>59672</v>
      </c>
      <c r="AP5571">
        <v>0</v>
      </c>
      <c r="AQ5571">
        <v>4</v>
      </c>
      <c r="AR5571">
        <v>6.703760809823045E-5</v>
      </c>
      <c r="AS5571" t="s">
        <v>239</v>
      </c>
      <c r="AT5571" t="s">
        <v>514</v>
      </c>
    </row>
    <row r="5572" spans="2:46" x14ac:dyDescent="0.35">
      <c r="B5572" t="s">
        <v>747</v>
      </c>
      <c r="C5572">
        <v>45720</v>
      </c>
      <c r="J5572">
        <v>0</v>
      </c>
      <c r="O5572" t="s">
        <v>239</v>
      </c>
      <c r="P5572" t="s">
        <v>514</v>
      </c>
      <c r="U5572">
        <v>0</v>
      </c>
      <c r="Y5572">
        <v>1158</v>
      </c>
      <c r="Z5572" s="259" t="s">
        <v>637</v>
      </c>
      <c r="AB5572">
        <v>12012</v>
      </c>
      <c r="AF5572">
        <v>59674</v>
      </c>
      <c r="AG5572">
        <v>0</v>
      </c>
      <c r="AI5572">
        <v>59672</v>
      </c>
      <c r="AJ5572">
        <v>0</v>
      </c>
      <c r="AK5572">
        <v>0</v>
      </c>
      <c r="AL5572">
        <v>0</v>
      </c>
      <c r="AM5572">
        <v>47988</v>
      </c>
      <c r="AN5572">
        <v>11686</v>
      </c>
      <c r="AO5572">
        <v>59674</v>
      </c>
      <c r="AP5572">
        <v>0</v>
      </c>
      <c r="AQ5572">
        <v>2</v>
      </c>
      <c r="AR5572">
        <v>3.3516557179202877E-5</v>
      </c>
      <c r="AS5572" t="s">
        <v>239</v>
      </c>
      <c r="AT5572" t="s">
        <v>514</v>
      </c>
    </row>
    <row r="5573" spans="2:46" x14ac:dyDescent="0.35">
      <c r="B5573" t="s">
        <v>747</v>
      </c>
      <c r="C5573">
        <v>45721</v>
      </c>
      <c r="J5573">
        <v>0</v>
      </c>
      <c r="O5573" t="s">
        <v>239</v>
      </c>
      <c r="P5573" t="s">
        <v>514</v>
      </c>
      <c r="U5573">
        <v>0</v>
      </c>
      <c r="Y5573">
        <v>1159</v>
      </c>
      <c r="Z5573" s="259" t="s">
        <v>637</v>
      </c>
      <c r="AB5573">
        <v>12012</v>
      </c>
      <c r="AF5573">
        <v>59676</v>
      </c>
      <c r="AG5573">
        <v>0</v>
      </c>
      <c r="AI5573">
        <v>59674</v>
      </c>
      <c r="AJ5573">
        <v>0</v>
      </c>
      <c r="AK5573">
        <v>0</v>
      </c>
      <c r="AL5573">
        <v>0</v>
      </c>
      <c r="AM5573">
        <v>47988</v>
      </c>
      <c r="AN5573">
        <v>11688</v>
      </c>
      <c r="AO5573">
        <v>59676</v>
      </c>
      <c r="AP5573">
        <v>0</v>
      </c>
      <c r="AQ5573">
        <v>2</v>
      </c>
      <c r="AR5573">
        <v>3.3515433857322918E-5</v>
      </c>
      <c r="AS5573" t="s">
        <v>239</v>
      </c>
      <c r="AT5573" t="s">
        <v>514</v>
      </c>
    </row>
    <row r="5574" spans="2:46" x14ac:dyDescent="0.35">
      <c r="B5574" t="s">
        <v>747</v>
      </c>
      <c r="C5574">
        <v>45722</v>
      </c>
      <c r="J5574">
        <v>0</v>
      </c>
      <c r="O5574" t="s">
        <v>239</v>
      </c>
      <c r="P5574" t="s">
        <v>514</v>
      </c>
      <c r="U5574">
        <v>0</v>
      </c>
      <c r="Y5574">
        <v>1160</v>
      </c>
      <c r="Z5574" s="259" t="s">
        <v>637</v>
      </c>
      <c r="AB5574">
        <v>12012</v>
      </c>
      <c r="AF5574">
        <v>59678</v>
      </c>
      <c r="AG5574">
        <v>0</v>
      </c>
      <c r="AI5574">
        <v>59676</v>
      </c>
      <c r="AJ5574">
        <v>0</v>
      </c>
      <c r="AK5574">
        <v>0</v>
      </c>
      <c r="AL5574">
        <v>0</v>
      </c>
      <c r="AM5574">
        <v>47988</v>
      </c>
      <c r="AN5574">
        <v>11690</v>
      </c>
      <c r="AO5574">
        <v>59678</v>
      </c>
      <c r="AP5574">
        <v>0</v>
      </c>
      <c r="AQ5574">
        <v>2</v>
      </c>
      <c r="AR5574">
        <v>3.351431061071608E-5</v>
      </c>
      <c r="AS5574" t="s">
        <v>239</v>
      </c>
      <c r="AT5574" t="s">
        <v>514</v>
      </c>
    </row>
    <row r="5575" spans="2:46" x14ac:dyDescent="0.35">
      <c r="B5575" t="s">
        <v>747</v>
      </c>
      <c r="C5575">
        <v>45723</v>
      </c>
      <c r="J5575">
        <v>0</v>
      </c>
      <c r="O5575" t="s">
        <v>239</v>
      </c>
      <c r="P5575" t="s">
        <v>514</v>
      </c>
      <c r="U5575">
        <v>0</v>
      </c>
      <c r="Y5575">
        <v>1161</v>
      </c>
      <c r="Z5575" s="259" t="s">
        <v>637</v>
      </c>
      <c r="AB5575">
        <v>12012</v>
      </c>
      <c r="AF5575">
        <v>59680</v>
      </c>
      <c r="AG5575">
        <v>0</v>
      </c>
      <c r="AI5575">
        <v>59678</v>
      </c>
      <c r="AJ5575">
        <v>0</v>
      </c>
      <c r="AK5575">
        <v>0</v>
      </c>
      <c r="AL5575">
        <v>0</v>
      </c>
      <c r="AM5575">
        <v>47988</v>
      </c>
      <c r="AN5575">
        <v>11692</v>
      </c>
      <c r="AO5575">
        <v>59680</v>
      </c>
      <c r="AP5575">
        <v>0</v>
      </c>
      <c r="AQ5575">
        <v>2</v>
      </c>
      <c r="AR5575">
        <v>3.3513187439160319E-5</v>
      </c>
      <c r="AS5575" t="s">
        <v>239</v>
      </c>
      <c r="AT5575" t="s">
        <v>514</v>
      </c>
    </row>
    <row r="5576" spans="2:46" x14ac:dyDescent="0.35">
      <c r="B5576" t="s">
        <v>747</v>
      </c>
      <c r="C5576">
        <v>45724</v>
      </c>
      <c r="J5576">
        <v>0</v>
      </c>
      <c r="O5576" t="s">
        <v>239</v>
      </c>
      <c r="P5576" t="s">
        <v>514</v>
      </c>
      <c r="U5576">
        <v>0</v>
      </c>
      <c r="Y5576">
        <v>1162</v>
      </c>
      <c r="Z5576" s="259" t="s">
        <v>637</v>
      </c>
      <c r="AB5576">
        <v>12012</v>
      </c>
      <c r="AF5576">
        <v>59680</v>
      </c>
      <c r="AG5576">
        <v>0</v>
      </c>
      <c r="AI5576">
        <v>59680</v>
      </c>
      <c r="AJ5576">
        <v>0</v>
      </c>
      <c r="AK5576">
        <v>0</v>
      </c>
      <c r="AL5576">
        <v>0</v>
      </c>
      <c r="AM5576">
        <v>47988</v>
      </c>
      <c r="AN5576">
        <v>11692</v>
      </c>
      <c r="AO5576">
        <v>59680</v>
      </c>
      <c r="AP5576">
        <v>0</v>
      </c>
      <c r="AQ5576">
        <v>0</v>
      </c>
      <c r="AR5576">
        <v>0</v>
      </c>
      <c r="AS5576" t="s">
        <v>239</v>
      </c>
      <c r="AT5576" t="s">
        <v>514</v>
      </c>
    </row>
    <row r="5577" spans="2:46" x14ac:dyDescent="0.35">
      <c r="B5577" t="s">
        <v>747</v>
      </c>
      <c r="C5577">
        <v>45725</v>
      </c>
      <c r="J5577">
        <v>0</v>
      </c>
      <c r="O5577" t="s">
        <v>239</v>
      </c>
      <c r="P5577" t="s">
        <v>514</v>
      </c>
      <c r="U5577">
        <v>0</v>
      </c>
      <c r="Y5577">
        <v>1163</v>
      </c>
      <c r="Z5577" s="259" t="s">
        <v>637</v>
      </c>
      <c r="AB5577">
        <v>12012</v>
      </c>
      <c r="AF5577">
        <v>59680</v>
      </c>
      <c r="AG5577">
        <v>0</v>
      </c>
      <c r="AI5577">
        <v>59680</v>
      </c>
      <c r="AJ5577">
        <v>0</v>
      </c>
      <c r="AK5577">
        <v>0</v>
      </c>
      <c r="AL5577">
        <v>0</v>
      </c>
      <c r="AM5577">
        <v>47988</v>
      </c>
      <c r="AN5577">
        <v>11692</v>
      </c>
      <c r="AO5577">
        <v>59680</v>
      </c>
      <c r="AP5577">
        <v>0</v>
      </c>
      <c r="AQ5577">
        <v>0</v>
      </c>
      <c r="AR5577">
        <v>0</v>
      </c>
      <c r="AS5577" t="s">
        <v>239</v>
      </c>
      <c r="AT5577" t="s">
        <v>514</v>
      </c>
    </row>
    <row r="5578" spans="2:46" x14ac:dyDescent="0.35">
      <c r="B5578" t="s">
        <v>747</v>
      </c>
      <c r="C5578">
        <v>45726</v>
      </c>
      <c r="J5578">
        <v>0</v>
      </c>
      <c r="O5578" t="s">
        <v>239</v>
      </c>
      <c r="P5578" t="s">
        <v>514</v>
      </c>
      <c r="U5578">
        <v>0</v>
      </c>
      <c r="Y5578">
        <v>1164</v>
      </c>
      <c r="Z5578" s="259" t="s">
        <v>637</v>
      </c>
      <c r="AB5578">
        <v>12012</v>
      </c>
      <c r="AF5578">
        <v>59686</v>
      </c>
      <c r="AG5578">
        <v>0</v>
      </c>
      <c r="AI5578">
        <v>59680</v>
      </c>
      <c r="AJ5578">
        <v>0</v>
      </c>
      <c r="AK5578">
        <v>0</v>
      </c>
      <c r="AL5578">
        <v>0</v>
      </c>
      <c r="AM5578">
        <v>47988</v>
      </c>
      <c r="AN5578">
        <v>11698</v>
      </c>
      <c r="AO5578">
        <v>59686</v>
      </c>
      <c r="AP5578">
        <v>0</v>
      </c>
      <c r="AQ5578">
        <v>6</v>
      </c>
      <c r="AR5578">
        <v>1.0053619302952121E-4</v>
      </c>
      <c r="AS5578" t="s">
        <v>239</v>
      </c>
      <c r="AT5578" t="s">
        <v>514</v>
      </c>
    </row>
    <row r="5579" spans="2:46" x14ac:dyDescent="0.35">
      <c r="B5579" t="s">
        <v>747</v>
      </c>
      <c r="C5579">
        <v>45727</v>
      </c>
      <c r="J5579">
        <v>0</v>
      </c>
      <c r="O5579" t="s">
        <v>239</v>
      </c>
      <c r="P5579" t="s">
        <v>514</v>
      </c>
      <c r="U5579">
        <v>0</v>
      </c>
      <c r="Y5579">
        <v>1165</v>
      </c>
      <c r="Z5579" s="259" t="s">
        <v>637</v>
      </c>
      <c r="AB5579">
        <v>12012</v>
      </c>
      <c r="AF5579">
        <v>59688</v>
      </c>
      <c r="AG5579">
        <v>0</v>
      </c>
      <c r="AI5579">
        <v>59686</v>
      </c>
      <c r="AJ5579">
        <v>0</v>
      </c>
      <c r="AK5579">
        <v>0</v>
      </c>
      <c r="AL5579">
        <v>0</v>
      </c>
      <c r="AM5579">
        <v>47988</v>
      </c>
      <c r="AN5579">
        <v>11700</v>
      </c>
      <c r="AO5579">
        <v>59688</v>
      </c>
      <c r="AP5579">
        <v>0</v>
      </c>
      <c r="AQ5579">
        <v>2</v>
      </c>
      <c r="AR5579">
        <v>3.3508695506556663E-5</v>
      </c>
      <c r="AS5579" t="s">
        <v>239</v>
      </c>
      <c r="AT5579" t="s">
        <v>514</v>
      </c>
    </row>
    <row r="5580" spans="2:46" x14ac:dyDescent="0.35">
      <c r="B5580" t="s">
        <v>747</v>
      </c>
      <c r="C5580">
        <v>45728</v>
      </c>
      <c r="J5580">
        <v>0</v>
      </c>
      <c r="O5580" t="s">
        <v>239</v>
      </c>
      <c r="P5580" t="s">
        <v>514</v>
      </c>
      <c r="U5580">
        <v>0</v>
      </c>
      <c r="Y5580">
        <v>1166</v>
      </c>
      <c r="Z5580" s="259" t="s">
        <v>637</v>
      </c>
      <c r="AB5580">
        <v>12012</v>
      </c>
      <c r="AF5580">
        <v>59690</v>
      </c>
      <c r="AG5580">
        <v>0</v>
      </c>
      <c r="AI5580">
        <v>59688</v>
      </c>
      <c r="AJ5580">
        <v>0</v>
      </c>
      <c r="AK5580">
        <v>0</v>
      </c>
      <c r="AL5580">
        <v>0</v>
      </c>
      <c r="AM5580">
        <v>47988</v>
      </c>
      <c r="AN5580">
        <v>11702</v>
      </c>
      <c r="AO5580">
        <v>59690</v>
      </c>
      <c r="AP5580">
        <v>0</v>
      </c>
      <c r="AQ5580">
        <v>2</v>
      </c>
      <c r="AR5580">
        <v>3.3507572711366507E-5</v>
      </c>
      <c r="AS5580" t="s">
        <v>239</v>
      </c>
      <c r="AT5580" t="s">
        <v>514</v>
      </c>
    </row>
    <row r="5581" spans="2:46" x14ac:dyDescent="0.35">
      <c r="B5581" t="s">
        <v>747</v>
      </c>
      <c r="C5581">
        <v>45729</v>
      </c>
      <c r="J5581">
        <v>0</v>
      </c>
      <c r="O5581" t="s">
        <v>239</v>
      </c>
      <c r="P5581" t="s">
        <v>514</v>
      </c>
      <c r="U5581">
        <v>0</v>
      </c>
      <c r="Y5581">
        <v>1167</v>
      </c>
      <c r="Z5581" s="259" t="s">
        <v>637</v>
      </c>
      <c r="AB5581">
        <v>12012</v>
      </c>
      <c r="AF5581">
        <v>59692</v>
      </c>
      <c r="AG5581">
        <v>0</v>
      </c>
      <c r="AI5581">
        <v>59690</v>
      </c>
      <c r="AJ5581">
        <v>0</v>
      </c>
      <c r="AK5581">
        <v>0</v>
      </c>
      <c r="AL5581">
        <v>0</v>
      </c>
      <c r="AM5581">
        <v>47988</v>
      </c>
      <c r="AN5581">
        <v>11704</v>
      </c>
      <c r="AO5581">
        <v>59692</v>
      </c>
      <c r="AP5581">
        <v>0</v>
      </c>
      <c r="AQ5581">
        <v>2</v>
      </c>
      <c r="AR5581">
        <v>3.3506449991671516E-5</v>
      </c>
      <c r="AS5581" t="s">
        <v>239</v>
      </c>
      <c r="AT5581" t="s">
        <v>514</v>
      </c>
    </row>
    <row r="5582" spans="2:46" x14ac:dyDescent="0.35">
      <c r="B5582" t="s">
        <v>747</v>
      </c>
      <c r="C5582">
        <v>45730</v>
      </c>
      <c r="J5582">
        <v>0</v>
      </c>
      <c r="O5582" t="s">
        <v>239</v>
      </c>
      <c r="P5582" t="s">
        <v>514</v>
      </c>
      <c r="U5582">
        <v>0</v>
      </c>
      <c r="Y5582">
        <v>1168</v>
      </c>
      <c r="Z5582" s="259" t="s">
        <v>637</v>
      </c>
      <c r="AB5582">
        <v>12012</v>
      </c>
      <c r="AF5582">
        <v>59694</v>
      </c>
      <c r="AG5582">
        <v>0</v>
      </c>
      <c r="AI5582">
        <v>59692</v>
      </c>
      <c r="AJ5582">
        <v>0</v>
      </c>
      <c r="AK5582">
        <v>0</v>
      </c>
      <c r="AL5582">
        <v>0</v>
      </c>
      <c r="AM5582">
        <v>47988</v>
      </c>
      <c r="AN5582">
        <v>11706</v>
      </c>
      <c r="AO5582">
        <v>59694</v>
      </c>
      <c r="AP5582">
        <v>0</v>
      </c>
      <c r="AQ5582">
        <v>2</v>
      </c>
      <c r="AR5582">
        <v>3.3505327347027603E-5</v>
      </c>
      <c r="AS5582" t="s">
        <v>239</v>
      </c>
      <c r="AT5582" t="s">
        <v>514</v>
      </c>
    </row>
    <row r="5583" spans="2:46" x14ac:dyDescent="0.35">
      <c r="B5583" t="s">
        <v>747</v>
      </c>
      <c r="C5583">
        <v>45731</v>
      </c>
      <c r="J5583">
        <v>0</v>
      </c>
      <c r="O5583" t="s">
        <v>239</v>
      </c>
      <c r="P5583" t="s">
        <v>514</v>
      </c>
      <c r="U5583">
        <v>0</v>
      </c>
      <c r="Y5583">
        <v>1169</v>
      </c>
      <c r="Z5583" s="259" t="s">
        <v>637</v>
      </c>
      <c r="AB5583">
        <v>12012</v>
      </c>
      <c r="AF5583">
        <v>59694</v>
      </c>
      <c r="AG5583">
        <v>0</v>
      </c>
      <c r="AI5583">
        <v>59694</v>
      </c>
      <c r="AJ5583">
        <v>0</v>
      </c>
      <c r="AK5583">
        <v>0</v>
      </c>
      <c r="AL5583">
        <v>0</v>
      </c>
      <c r="AM5583">
        <v>47988</v>
      </c>
      <c r="AN5583">
        <v>11706</v>
      </c>
      <c r="AO5583">
        <v>59694</v>
      </c>
      <c r="AP5583">
        <v>0</v>
      </c>
      <c r="AQ5583">
        <v>0</v>
      </c>
      <c r="AR5583">
        <v>0</v>
      </c>
      <c r="AS5583" t="s">
        <v>239</v>
      </c>
      <c r="AT5583" t="s">
        <v>514</v>
      </c>
    </row>
    <row r="5584" spans="2:46" x14ac:dyDescent="0.35">
      <c r="B5584" t="s">
        <v>747</v>
      </c>
      <c r="C5584">
        <v>45732</v>
      </c>
      <c r="J5584">
        <v>0</v>
      </c>
      <c r="O5584" t="s">
        <v>239</v>
      </c>
      <c r="P5584" t="s">
        <v>514</v>
      </c>
      <c r="U5584">
        <v>0</v>
      </c>
      <c r="Y5584">
        <v>1170</v>
      </c>
      <c r="Z5584" s="259" t="s">
        <v>637</v>
      </c>
      <c r="AB5584">
        <v>12012</v>
      </c>
      <c r="AF5584">
        <v>59694</v>
      </c>
      <c r="AG5584">
        <v>0</v>
      </c>
      <c r="AI5584">
        <v>59694</v>
      </c>
      <c r="AJ5584">
        <v>0</v>
      </c>
      <c r="AK5584">
        <v>0</v>
      </c>
      <c r="AL5584">
        <v>0</v>
      </c>
      <c r="AM5584">
        <v>47988</v>
      </c>
      <c r="AN5584">
        <v>11706</v>
      </c>
      <c r="AO5584">
        <v>59694</v>
      </c>
      <c r="AP5584">
        <v>0</v>
      </c>
      <c r="AQ5584">
        <v>0</v>
      </c>
      <c r="AR5584">
        <v>0</v>
      </c>
      <c r="AS5584" t="s">
        <v>239</v>
      </c>
      <c r="AT5584" t="s">
        <v>514</v>
      </c>
    </row>
    <row r="5585" spans="2:46" x14ac:dyDescent="0.35">
      <c r="B5585" t="s">
        <v>747</v>
      </c>
      <c r="C5585">
        <v>45733</v>
      </c>
      <c r="J5585">
        <v>0</v>
      </c>
      <c r="O5585" t="s">
        <v>239</v>
      </c>
      <c r="P5585" t="s">
        <v>514</v>
      </c>
      <c r="U5585">
        <v>0</v>
      </c>
      <c r="Y5585">
        <v>1171</v>
      </c>
      <c r="Z5585" s="259" t="s">
        <v>637</v>
      </c>
      <c r="AB5585">
        <v>12012</v>
      </c>
      <c r="AF5585">
        <v>59700</v>
      </c>
      <c r="AG5585">
        <v>0</v>
      </c>
      <c r="AI5585">
        <v>59694</v>
      </c>
      <c r="AJ5585">
        <v>0</v>
      </c>
      <c r="AK5585">
        <v>0</v>
      </c>
      <c r="AL5585">
        <v>0</v>
      </c>
      <c r="AM5585">
        <v>47988</v>
      </c>
      <c r="AN5585">
        <v>11712</v>
      </c>
      <c r="AO5585">
        <v>59700</v>
      </c>
      <c r="AP5585">
        <v>0</v>
      </c>
      <c r="AQ5585">
        <v>6</v>
      </c>
      <c r="AR5585">
        <v>1.0051261433319247E-4</v>
      </c>
      <c r="AS5585" t="s">
        <v>239</v>
      </c>
      <c r="AT5585" t="s">
        <v>514</v>
      </c>
    </row>
    <row r="5586" spans="2:46" x14ac:dyDescent="0.35">
      <c r="B5586" t="s">
        <v>747</v>
      </c>
      <c r="C5586">
        <v>45734</v>
      </c>
      <c r="J5586">
        <v>0</v>
      </c>
      <c r="O5586" t="s">
        <v>239</v>
      </c>
      <c r="P5586" t="s">
        <v>514</v>
      </c>
      <c r="U5586">
        <v>0</v>
      </c>
      <c r="Y5586">
        <v>1172</v>
      </c>
      <c r="Z5586" s="259" t="s">
        <v>637</v>
      </c>
      <c r="AB5586">
        <v>12012</v>
      </c>
      <c r="AF5586">
        <v>59702</v>
      </c>
      <c r="AG5586">
        <v>0</v>
      </c>
      <c r="AI5586">
        <v>59700</v>
      </c>
      <c r="AJ5586">
        <v>0</v>
      </c>
      <c r="AK5586">
        <v>0</v>
      </c>
      <c r="AL5586">
        <v>0</v>
      </c>
      <c r="AM5586">
        <v>47988</v>
      </c>
      <c r="AN5586">
        <v>11714</v>
      </c>
      <c r="AO5586">
        <v>59702</v>
      </c>
      <c r="AP5586">
        <v>0</v>
      </c>
      <c r="AQ5586">
        <v>2</v>
      </c>
      <c r="AR5586">
        <v>3.3500837520961113E-5</v>
      </c>
      <c r="AS5586" t="s">
        <v>239</v>
      </c>
      <c r="AT5586" t="s">
        <v>514</v>
      </c>
    </row>
    <row r="5587" spans="2:46" x14ac:dyDescent="0.35">
      <c r="B5587" t="s">
        <v>747</v>
      </c>
      <c r="C5587">
        <v>45735</v>
      </c>
      <c r="J5587">
        <v>0</v>
      </c>
      <c r="O5587" t="s">
        <v>239</v>
      </c>
      <c r="P5587" t="s">
        <v>514</v>
      </c>
      <c r="U5587">
        <v>0</v>
      </c>
      <c r="Y5587">
        <v>1173</v>
      </c>
      <c r="Z5587" s="259" t="s">
        <v>637</v>
      </c>
      <c r="AB5587">
        <v>12012</v>
      </c>
      <c r="AF5587">
        <v>59704</v>
      </c>
      <c r="AG5587">
        <v>0</v>
      </c>
      <c r="AI5587">
        <v>59702</v>
      </c>
      <c r="AJ5587">
        <v>0</v>
      </c>
      <c r="AK5587">
        <v>0</v>
      </c>
      <c r="AL5587">
        <v>0</v>
      </c>
      <c r="AM5587">
        <v>47988</v>
      </c>
      <c r="AN5587">
        <v>11716</v>
      </c>
      <c r="AO5587">
        <v>59704</v>
      </c>
      <c r="AP5587">
        <v>0</v>
      </c>
      <c r="AQ5587">
        <v>2</v>
      </c>
      <c r="AR5587">
        <v>3.349971525246076E-5</v>
      </c>
      <c r="AS5587" t="s">
        <v>239</v>
      </c>
      <c r="AT5587" t="s">
        <v>514</v>
      </c>
    </row>
    <row r="5588" spans="2:46" x14ac:dyDescent="0.35">
      <c r="B5588" t="s">
        <v>747</v>
      </c>
      <c r="C5588">
        <v>45736</v>
      </c>
      <c r="J5588">
        <v>0</v>
      </c>
      <c r="O5588" t="s">
        <v>239</v>
      </c>
      <c r="P5588" t="s">
        <v>514</v>
      </c>
      <c r="U5588">
        <v>0</v>
      </c>
      <c r="Y5588">
        <v>1174</v>
      </c>
      <c r="Z5588" s="259" t="s">
        <v>637</v>
      </c>
      <c r="AB5588">
        <v>12012</v>
      </c>
      <c r="AF5588">
        <v>59706</v>
      </c>
      <c r="AG5588">
        <v>0</v>
      </c>
      <c r="AI5588">
        <v>59704</v>
      </c>
      <c r="AJ5588">
        <v>0</v>
      </c>
      <c r="AK5588">
        <v>0</v>
      </c>
      <c r="AL5588">
        <v>0</v>
      </c>
      <c r="AM5588">
        <v>47988</v>
      </c>
      <c r="AN5588">
        <v>11718</v>
      </c>
      <c r="AO5588">
        <v>59706</v>
      </c>
      <c r="AP5588">
        <v>0</v>
      </c>
      <c r="AQ5588">
        <v>2</v>
      </c>
      <c r="AR5588">
        <v>3.3498593059011483E-5</v>
      </c>
      <c r="AS5588" t="s">
        <v>239</v>
      </c>
      <c r="AT5588" t="s">
        <v>514</v>
      </c>
    </row>
    <row r="5589" spans="2:46" x14ac:dyDescent="0.35">
      <c r="B5589" t="s">
        <v>747</v>
      </c>
      <c r="C5589">
        <v>45737</v>
      </c>
      <c r="J5589">
        <v>0</v>
      </c>
      <c r="O5589" t="s">
        <v>239</v>
      </c>
      <c r="P5589" t="s">
        <v>514</v>
      </c>
      <c r="U5589">
        <v>0</v>
      </c>
      <c r="Y5589">
        <v>1175</v>
      </c>
      <c r="Z5589" s="259" t="s">
        <v>637</v>
      </c>
      <c r="AB5589">
        <v>12012</v>
      </c>
      <c r="AF5589">
        <v>59708</v>
      </c>
      <c r="AG5589">
        <v>0</v>
      </c>
      <c r="AI5589">
        <v>59706</v>
      </c>
      <c r="AJ5589">
        <v>0</v>
      </c>
      <c r="AK5589">
        <v>0</v>
      </c>
      <c r="AL5589">
        <v>0</v>
      </c>
      <c r="AM5589">
        <v>47988</v>
      </c>
      <c r="AN5589">
        <v>11720</v>
      </c>
      <c r="AO5589">
        <v>59708</v>
      </c>
      <c r="AP5589">
        <v>0</v>
      </c>
      <c r="AQ5589">
        <v>2</v>
      </c>
      <c r="AR5589">
        <v>3.3497470940835328E-5</v>
      </c>
      <c r="AS5589" t="s">
        <v>239</v>
      </c>
      <c r="AT5589" t="s">
        <v>514</v>
      </c>
    </row>
    <row r="5590" spans="2:46" x14ac:dyDescent="0.35">
      <c r="B5590" t="s">
        <v>747</v>
      </c>
      <c r="C5590">
        <v>45738</v>
      </c>
      <c r="J5590">
        <v>0</v>
      </c>
      <c r="O5590" t="s">
        <v>239</v>
      </c>
      <c r="P5590" t="s">
        <v>514</v>
      </c>
      <c r="U5590">
        <v>0</v>
      </c>
      <c r="Y5590">
        <v>1176</v>
      </c>
      <c r="Z5590" s="259" t="s">
        <v>637</v>
      </c>
      <c r="AB5590">
        <v>12012</v>
      </c>
      <c r="AF5590">
        <v>59708</v>
      </c>
      <c r="AG5590">
        <v>0</v>
      </c>
      <c r="AI5590">
        <v>59708</v>
      </c>
      <c r="AJ5590">
        <v>0</v>
      </c>
      <c r="AK5590">
        <v>0</v>
      </c>
      <c r="AL5590">
        <v>0</v>
      </c>
      <c r="AM5590">
        <v>47988</v>
      </c>
      <c r="AN5590">
        <v>11720</v>
      </c>
      <c r="AO5590">
        <v>59708</v>
      </c>
      <c r="AP5590">
        <v>0</v>
      </c>
      <c r="AQ5590">
        <v>0</v>
      </c>
      <c r="AR5590">
        <v>0</v>
      </c>
      <c r="AS5590" t="s">
        <v>239</v>
      </c>
      <c r="AT5590" t="s">
        <v>514</v>
      </c>
    </row>
    <row r="5591" spans="2:46" x14ac:dyDescent="0.35">
      <c r="B5591" t="s">
        <v>747</v>
      </c>
      <c r="C5591">
        <v>45739</v>
      </c>
      <c r="J5591">
        <v>0</v>
      </c>
      <c r="O5591" t="s">
        <v>239</v>
      </c>
      <c r="P5591" t="s">
        <v>514</v>
      </c>
      <c r="U5591">
        <v>0</v>
      </c>
      <c r="Y5591">
        <v>1177</v>
      </c>
      <c r="Z5591" s="259" t="s">
        <v>637</v>
      </c>
      <c r="AB5591">
        <v>12012</v>
      </c>
      <c r="AF5591">
        <v>59708</v>
      </c>
      <c r="AG5591">
        <v>0</v>
      </c>
      <c r="AI5591">
        <v>59708</v>
      </c>
      <c r="AJ5591">
        <v>0</v>
      </c>
      <c r="AK5591">
        <v>0</v>
      </c>
      <c r="AL5591">
        <v>0</v>
      </c>
      <c r="AM5591">
        <v>47988</v>
      </c>
      <c r="AN5591">
        <v>11720</v>
      </c>
      <c r="AO5591">
        <v>59708</v>
      </c>
      <c r="AP5591">
        <v>0</v>
      </c>
      <c r="AQ5591">
        <v>0</v>
      </c>
      <c r="AR5591">
        <v>0</v>
      </c>
      <c r="AS5591" t="s">
        <v>239</v>
      </c>
      <c r="AT5591" t="s">
        <v>514</v>
      </c>
    </row>
    <row r="5592" spans="2:46" x14ac:dyDescent="0.35">
      <c r="B5592" t="s">
        <v>747</v>
      </c>
      <c r="C5592">
        <v>45740</v>
      </c>
      <c r="J5592">
        <v>0</v>
      </c>
      <c r="O5592" t="s">
        <v>239</v>
      </c>
      <c r="P5592" t="s">
        <v>514</v>
      </c>
      <c r="U5592">
        <v>0</v>
      </c>
      <c r="Y5592">
        <v>1178</v>
      </c>
      <c r="Z5592" s="259" t="s">
        <v>637</v>
      </c>
      <c r="AB5592">
        <v>12012</v>
      </c>
      <c r="AF5592">
        <v>59714</v>
      </c>
      <c r="AG5592">
        <v>0</v>
      </c>
      <c r="AI5592">
        <v>59708</v>
      </c>
      <c r="AJ5592">
        <v>0</v>
      </c>
      <c r="AK5592">
        <v>0</v>
      </c>
      <c r="AL5592">
        <v>0</v>
      </c>
      <c r="AM5592">
        <v>47988</v>
      </c>
      <c r="AN5592">
        <v>11726</v>
      </c>
      <c r="AO5592">
        <v>59714</v>
      </c>
      <c r="AP5592">
        <v>0</v>
      </c>
      <c r="AQ5592">
        <v>6</v>
      </c>
      <c r="AR5592">
        <v>1.0048904669401892E-4</v>
      </c>
      <c r="AS5592" t="s">
        <v>239</v>
      </c>
      <c r="AT5592" t="s">
        <v>514</v>
      </c>
    </row>
    <row r="5593" spans="2:46" x14ac:dyDescent="0.35">
      <c r="B5593" t="s">
        <v>747</v>
      </c>
      <c r="C5593">
        <v>45741</v>
      </c>
      <c r="J5593">
        <v>0</v>
      </c>
      <c r="O5593" t="s">
        <v>239</v>
      </c>
      <c r="P5593" t="s">
        <v>514</v>
      </c>
      <c r="U5593">
        <v>0</v>
      </c>
      <c r="Y5593">
        <v>1179</v>
      </c>
      <c r="Z5593" s="259" t="s">
        <v>637</v>
      </c>
      <c r="AB5593">
        <v>12012</v>
      </c>
      <c r="AF5593">
        <v>59716</v>
      </c>
      <c r="AG5593">
        <v>0</v>
      </c>
      <c r="AI5593">
        <v>59714</v>
      </c>
      <c r="AJ5593">
        <v>0</v>
      </c>
      <c r="AK5593">
        <v>0</v>
      </c>
      <c r="AL5593">
        <v>0</v>
      </c>
      <c r="AM5593">
        <v>47988</v>
      </c>
      <c r="AN5593">
        <v>11728</v>
      </c>
      <c r="AO5593">
        <v>59716</v>
      </c>
      <c r="AP5593">
        <v>0</v>
      </c>
      <c r="AQ5593">
        <v>2</v>
      </c>
      <c r="AR5593">
        <v>3.3492983219973738E-5</v>
      </c>
      <c r="AS5593" t="s">
        <v>239</v>
      </c>
      <c r="AT5593" t="s">
        <v>514</v>
      </c>
    </row>
    <row r="5594" spans="2:46" x14ac:dyDescent="0.35">
      <c r="B5594" t="s">
        <v>747</v>
      </c>
      <c r="C5594">
        <v>45742</v>
      </c>
      <c r="J5594">
        <v>0</v>
      </c>
      <c r="O5594" t="s">
        <v>239</v>
      </c>
      <c r="P5594" t="s">
        <v>514</v>
      </c>
      <c r="U5594">
        <v>0</v>
      </c>
      <c r="Y5594">
        <v>1180</v>
      </c>
      <c r="Z5594" s="259" t="s">
        <v>637</v>
      </c>
      <c r="AB5594">
        <v>12012</v>
      </c>
      <c r="AF5594">
        <v>59718</v>
      </c>
      <c r="AG5594">
        <v>0</v>
      </c>
      <c r="AI5594">
        <v>59716</v>
      </c>
      <c r="AJ5594">
        <v>0</v>
      </c>
      <c r="AK5594">
        <v>0</v>
      </c>
      <c r="AL5594">
        <v>0</v>
      </c>
      <c r="AM5594">
        <v>47988</v>
      </c>
      <c r="AN5594">
        <v>11730</v>
      </c>
      <c r="AO5594">
        <v>59718</v>
      </c>
      <c r="AP5594">
        <v>0</v>
      </c>
      <c r="AQ5594">
        <v>2</v>
      </c>
      <c r="AR5594">
        <v>3.3491861477719098E-5</v>
      </c>
      <c r="AS5594" t="s">
        <v>239</v>
      </c>
      <c r="AT5594" t="s">
        <v>514</v>
      </c>
    </row>
    <row r="5595" spans="2:46" x14ac:dyDescent="0.35">
      <c r="B5595" t="s">
        <v>747</v>
      </c>
      <c r="C5595">
        <v>45743</v>
      </c>
      <c r="J5595">
        <v>0</v>
      </c>
      <c r="O5595" t="s">
        <v>239</v>
      </c>
      <c r="P5595" t="s">
        <v>514</v>
      </c>
      <c r="U5595">
        <v>0</v>
      </c>
      <c r="Y5595">
        <v>1181</v>
      </c>
      <c r="Z5595" s="259" t="s">
        <v>637</v>
      </c>
      <c r="AB5595">
        <v>12012</v>
      </c>
      <c r="AF5595">
        <v>59720</v>
      </c>
      <c r="AG5595">
        <v>0</v>
      </c>
      <c r="AI5595">
        <v>59718</v>
      </c>
      <c r="AJ5595">
        <v>0</v>
      </c>
      <c r="AK5595">
        <v>0</v>
      </c>
      <c r="AL5595">
        <v>0</v>
      </c>
      <c r="AM5595">
        <v>47988</v>
      </c>
      <c r="AN5595">
        <v>11732</v>
      </c>
      <c r="AO5595">
        <v>59720</v>
      </c>
      <c r="AP5595">
        <v>0</v>
      </c>
      <c r="AQ5595">
        <v>2</v>
      </c>
      <c r="AR5595">
        <v>3.3490739810515535E-5</v>
      </c>
      <c r="AS5595" t="s">
        <v>239</v>
      </c>
      <c r="AT5595" t="s">
        <v>514</v>
      </c>
    </row>
    <row r="5596" spans="2:46" x14ac:dyDescent="0.35">
      <c r="B5596" t="s">
        <v>747</v>
      </c>
      <c r="C5596">
        <v>45744</v>
      </c>
      <c r="J5596">
        <v>0</v>
      </c>
      <c r="O5596" t="s">
        <v>239</v>
      </c>
      <c r="P5596" t="s">
        <v>514</v>
      </c>
      <c r="U5596">
        <v>0</v>
      </c>
      <c r="Y5596">
        <v>1182</v>
      </c>
      <c r="Z5596" s="259" t="s">
        <v>637</v>
      </c>
      <c r="AB5596">
        <v>12012</v>
      </c>
      <c r="AF5596">
        <v>59722</v>
      </c>
      <c r="AG5596">
        <v>0</v>
      </c>
      <c r="AI5596">
        <v>59720</v>
      </c>
      <c r="AJ5596">
        <v>0</v>
      </c>
      <c r="AK5596">
        <v>0</v>
      </c>
      <c r="AL5596">
        <v>0</v>
      </c>
      <c r="AM5596">
        <v>47988</v>
      </c>
      <c r="AN5596">
        <v>11734</v>
      </c>
      <c r="AO5596">
        <v>59722</v>
      </c>
      <c r="AP5596">
        <v>0</v>
      </c>
      <c r="AQ5596">
        <v>2</v>
      </c>
      <c r="AR5596">
        <v>3.3489618218363049E-5</v>
      </c>
      <c r="AS5596" t="s">
        <v>239</v>
      </c>
      <c r="AT5596" t="s">
        <v>514</v>
      </c>
    </row>
    <row r="5597" spans="2:46" x14ac:dyDescent="0.35">
      <c r="B5597" t="s">
        <v>747</v>
      </c>
      <c r="C5597">
        <v>45745</v>
      </c>
      <c r="J5597">
        <v>0</v>
      </c>
      <c r="O5597" t="s">
        <v>239</v>
      </c>
      <c r="P5597" t="s">
        <v>514</v>
      </c>
      <c r="U5597">
        <v>0</v>
      </c>
      <c r="Y5597">
        <v>1183</v>
      </c>
      <c r="Z5597" s="259" t="s">
        <v>637</v>
      </c>
      <c r="AB5597">
        <v>12012</v>
      </c>
      <c r="AF5597">
        <v>59722</v>
      </c>
      <c r="AG5597">
        <v>0</v>
      </c>
      <c r="AI5597">
        <v>59722</v>
      </c>
      <c r="AJ5597">
        <v>0</v>
      </c>
      <c r="AK5597">
        <v>0</v>
      </c>
      <c r="AL5597">
        <v>0</v>
      </c>
      <c r="AM5597">
        <v>47988</v>
      </c>
      <c r="AN5597">
        <v>11734</v>
      </c>
      <c r="AO5597">
        <v>59722</v>
      </c>
      <c r="AP5597">
        <v>0</v>
      </c>
      <c r="AQ5597">
        <v>0</v>
      </c>
      <c r="AR5597">
        <v>0</v>
      </c>
      <c r="AS5597" t="s">
        <v>239</v>
      </c>
      <c r="AT5597" t="s">
        <v>514</v>
      </c>
    </row>
    <row r="5598" spans="2:46" x14ac:dyDescent="0.35">
      <c r="B5598" t="s">
        <v>747</v>
      </c>
      <c r="C5598">
        <v>45746</v>
      </c>
      <c r="J5598">
        <v>0</v>
      </c>
      <c r="O5598" t="s">
        <v>239</v>
      </c>
      <c r="P5598" t="s">
        <v>514</v>
      </c>
      <c r="U5598">
        <v>0</v>
      </c>
      <c r="Y5598">
        <v>1184</v>
      </c>
      <c r="Z5598" s="259" t="s">
        <v>637</v>
      </c>
      <c r="AB5598">
        <v>12012</v>
      </c>
      <c r="AF5598">
        <v>59722</v>
      </c>
      <c r="AG5598">
        <v>0</v>
      </c>
      <c r="AI5598">
        <v>59722</v>
      </c>
      <c r="AJ5598">
        <v>0</v>
      </c>
      <c r="AK5598">
        <v>0</v>
      </c>
      <c r="AL5598">
        <v>0</v>
      </c>
      <c r="AM5598">
        <v>47988</v>
      </c>
      <c r="AN5598">
        <v>11734</v>
      </c>
      <c r="AO5598">
        <v>59722</v>
      </c>
      <c r="AP5598">
        <v>0</v>
      </c>
      <c r="AQ5598">
        <v>0</v>
      </c>
      <c r="AR5598">
        <v>0</v>
      </c>
      <c r="AS5598" t="s">
        <v>239</v>
      </c>
      <c r="AT5598" t="s">
        <v>514</v>
      </c>
    </row>
    <row r="5599" spans="2:46" x14ac:dyDescent="0.35">
      <c r="B5599" t="s">
        <v>747</v>
      </c>
      <c r="C5599">
        <v>45747</v>
      </c>
      <c r="J5599">
        <v>0</v>
      </c>
      <c r="O5599" t="s">
        <v>239</v>
      </c>
      <c r="P5599" t="s">
        <v>514</v>
      </c>
      <c r="U5599">
        <v>0</v>
      </c>
      <c r="Y5599">
        <v>1185</v>
      </c>
      <c r="Z5599" s="259" t="s">
        <v>637</v>
      </c>
      <c r="AB5599">
        <v>12012</v>
      </c>
      <c r="AF5599">
        <v>59728</v>
      </c>
      <c r="AG5599">
        <v>0</v>
      </c>
      <c r="AI5599">
        <v>59722</v>
      </c>
      <c r="AJ5599">
        <v>0</v>
      </c>
      <c r="AK5599">
        <v>0</v>
      </c>
      <c r="AL5599">
        <v>0</v>
      </c>
      <c r="AM5599">
        <v>47988</v>
      </c>
      <c r="AN5599">
        <v>11740</v>
      </c>
      <c r="AO5599">
        <v>59728</v>
      </c>
      <c r="AP5599">
        <v>0</v>
      </c>
      <c r="AQ5599">
        <v>6</v>
      </c>
      <c r="AR5599">
        <v>1.00465490104229E-4</v>
      </c>
      <c r="AS5599" t="s">
        <v>239</v>
      </c>
      <c r="AT5599" t="s">
        <v>514</v>
      </c>
    </row>
    <row r="5600" spans="2:46" x14ac:dyDescent="0.35">
      <c r="B5600" t="s">
        <v>747</v>
      </c>
      <c r="C5600">
        <v>45748</v>
      </c>
      <c r="J5600">
        <v>0</v>
      </c>
      <c r="O5600" t="s">
        <v>239</v>
      </c>
      <c r="P5600" t="s">
        <v>514</v>
      </c>
      <c r="U5600">
        <v>0</v>
      </c>
      <c r="Y5600">
        <v>1186</v>
      </c>
      <c r="Z5600" s="259" t="s">
        <v>637</v>
      </c>
      <c r="AB5600">
        <v>12012</v>
      </c>
      <c r="AF5600">
        <v>59728</v>
      </c>
      <c r="AG5600">
        <v>0</v>
      </c>
      <c r="AI5600">
        <v>59728</v>
      </c>
      <c r="AJ5600">
        <v>0</v>
      </c>
      <c r="AK5600">
        <v>0</v>
      </c>
      <c r="AL5600">
        <v>0</v>
      </c>
      <c r="AM5600">
        <v>47988</v>
      </c>
      <c r="AN5600">
        <v>11740</v>
      </c>
      <c r="AO5600">
        <v>59728</v>
      </c>
      <c r="AP5600">
        <v>0</v>
      </c>
      <c r="AQ5600">
        <v>0</v>
      </c>
      <c r="AR5600">
        <v>0</v>
      </c>
      <c r="AS5600" t="s">
        <v>239</v>
      </c>
      <c r="AT5600" t="s">
        <v>514</v>
      </c>
    </row>
    <row r="5601" spans="2:46" x14ac:dyDescent="0.35">
      <c r="B5601" t="s">
        <v>747</v>
      </c>
      <c r="C5601">
        <v>45749</v>
      </c>
      <c r="J5601">
        <v>0</v>
      </c>
      <c r="O5601" t="s">
        <v>239</v>
      </c>
      <c r="P5601" t="s">
        <v>514</v>
      </c>
      <c r="U5601">
        <v>0</v>
      </c>
      <c r="Y5601">
        <v>1187</v>
      </c>
      <c r="Z5601" s="259" t="s">
        <v>637</v>
      </c>
      <c r="AB5601">
        <v>12012</v>
      </c>
      <c r="AF5601">
        <v>59735.199999999997</v>
      </c>
      <c r="AG5601">
        <v>0</v>
      </c>
      <c r="AI5601">
        <v>59728</v>
      </c>
      <c r="AJ5601">
        <v>0</v>
      </c>
      <c r="AK5601">
        <v>0</v>
      </c>
      <c r="AL5601">
        <v>0</v>
      </c>
      <c r="AM5601">
        <v>47988</v>
      </c>
      <c r="AN5601">
        <v>11747.2</v>
      </c>
      <c r="AO5601">
        <v>59735.199999999997</v>
      </c>
      <c r="AP5601">
        <v>0</v>
      </c>
      <c r="AQ5601">
        <v>7.1999999999970896</v>
      </c>
      <c r="AR5601">
        <v>1.2054647736392532E-4</v>
      </c>
      <c r="AS5601" t="s">
        <v>239</v>
      </c>
      <c r="AT5601" t="s">
        <v>514</v>
      </c>
    </row>
    <row r="5602" spans="2:46" x14ac:dyDescent="0.35">
      <c r="B5602" t="s">
        <v>747</v>
      </c>
      <c r="C5602">
        <v>45750</v>
      </c>
      <c r="J5602">
        <v>0</v>
      </c>
      <c r="O5602" t="s">
        <v>239</v>
      </c>
      <c r="P5602" t="s">
        <v>514</v>
      </c>
      <c r="U5602">
        <v>0</v>
      </c>
      <c r="Y5602">
        <v>1188</v>
      </c>
      <c r="Z5602" s="259" t="s">
        <v>637</v>
      </c>
      <c r="AB5602">
        <v>12012</v>
      </c>
      <c r="AF5602">
        <v>59742.400000000001</v>
      </c>
      <c r="AG5602">
        <v>0</v>
      </c>
      <c r="AI5602">
        <v>59735.199999999997</v>
      </c>
      <c r="AJ5602">
        <v>0</v>
      </c>
      <c r="AK5602">
        <v>0</v>
      </c>
      <c r="AL5602">
        <v>0</v>
      </c>
      <c r="AM5602">
        <v>47988</v>
      </c>
      <c r="AN5602">
        <v>11754.4</v>
      </c>
      <c r="AO5602">
        <v>59742.400000000001</v>
      </c>
      <c r="AP5602">
        <v>0</v>
      </c>
      <c r="AQ5602">
        <v>7.2000000000043656</v>
      </c>
      <c r="AR5602">
        <v>1.2053194766248332E-4</v>
      </c>
      <c r="AS5602" t="s">
        <v>239</v>
      </c>
      <c r="AT5602" t="s">
        <v>514</v>
      </c>
    </row>
    <row r="5603" spans="2:46" x14ac:dyDescent="0.35">
      <c r="B5603" t="s">
        <v>747</v>
      </c>
      <c r="C5603">
        <v>45751</v>
      </c>
      <c r="J5603">
        <v>0</v>
      </c>
      <c r="O5603" t="s">
        <v>239</v>
      </c>
      <c r="P5603" t="s">
        <v>514</v>
      </c>
      <c r="U5603">
        <v>0</v>
      </c>
      <c r="Y5603">
        <v>1189</v>
      </c>
      <c r="Z5603" s="259" t="s">
        <v>637</v>
      </c>
      <c r="AB5603">
        <v>12012</v>
      </c>
      <c r="AF5603">
        <v>59748.2</v>
      </c>
      <c r="AG5603">
        <v>0</v>
      </c>
      <c r="AI5603">
        <v>59742.400000000001</v>
      </c>
      <c r="AJ5603">
        <v>0</v>
      </c>
      <c r="AK5603">
        <v>0</v>
      </c>
      <c r="AL5603">
        <v>0</v>
      </c>
      <c r="AM5603">
        <v>47988</v>
      </c>
      <c r="AN5603">
        <v>11760.2</v>
      </c>
      <c r="AO5603">
        <v>59748.2</v>
      </c>
      <c r="AP5603">
        <v>0</v>
      </c>
      <c r="AQ5603">
        <v>5.7999999999956344</v>
      </c>
      <c r="AR5603">
        <v>9.7083478400428191E-5</v>
      </c>
      <c r="AS5603" t="s">
        <v>239</v>
      </c>
      <c r="AT5603" t="s">
        <v>514</v>
      </c>
    </row>
    <row r="5604" spans="2:46" x14ac:dyDescent="0.35">
      <c r="B5604" t="s">
        <v>747</v>
      </c>
      <c r="C5604">
        <v>45752</v>
      </c>
      <c r="J5604">
        <v>0</v>
      </c>
      <c r="O5604" t="s">
        <v>239</v>
      </c>
      <c r="P5604" t="s">
        <v>514</v>
      </c>
      <c r="U5604">
        <v>0</v>
      </c>
      <c r="Y5604">
        <v>1190</v>
      </c>
      <c r="Z5604" s="259" t="s">
        <v>637</v>
      </c>
      <c r="AB5604">
        <v>12012</v>
      </c>
      <c r="AF5604">
        <v>59748.2</v>
      </c>
      <c r="AG5604">
        <v>0</v>
      </c>
      <c r="AI5604">
        <v>59748.2</v>
      </c>
      <c r="AJ5604">
        <v>0</v>
      </c>
      <c r="AK5604">
        <v>0</v>
      </c>
      <c r="AL5604">
        <v>0</v>
      </c>
      <c r="AM5604">
        <v>47988</v>
      </c>
      <c r="AN5604">
        <v>11760.2</v>
      </c>
      <c r="AO5604">
        <v>59748.2</v>
      </c>
      <c r="AP5604">
        <v>0</v>
      </c>
      <c r="AQ5604">
        <v>0</v>
      </c>
      <c r="AR5604">
        <v>0</v>
      </c>
      <c r="AS5604" t="s">
        <v>239</v>
      </c>
      <c r="AT5604" t="s">
        <v>514</v>
      </c>
    </row>
    <row r="5605" spans="2:46" x14ac:dyDescent="0.35">
      <c r="B5605" t="s">
        <v>747</v>
      </c>
      <c r="C5605">
        <v>45753</v>
      </c>
      <c r="J5605">
        <v>0</v>
      </c>
      <c r="O5605" t="s">
        <v>239</v>
      </c>
      <c r="P5605" t="s">
        <v>514</v>
      </c>
      <c r="U5605">
        <v>0</v>
      </c>
      <c r="Y5605">
        <v>1191</v>
      </c>
      <c r="Z5605" s="259" t="s">
        <v>637</v>
      </c>
      <c r="AB5605">
        <v>12012</v>
      </c>
      <c r="AF5605">
        <v>59748.2</v>
      </c>
      <c r="AG5605">
        <v>0</v>
      </c>
      <c r="AI5605">
        <v>59748.2</v>
      </c>
      <c r="AJ5605">
        <v>0</v>
      </c>
      <c r="AK5605">
        <v>0</v>
      </c>
      <c r="AL5605">
        <v>0</v>
      </c>
      <c r="AM5605">
        <v>47988</v>
      </c>
      <c r="AN5605">
        <v>11760.2</v>
      </c>
      <c r="AO5605">
        <v>59748.2</v>
      </c>
      <c r="AP5605">
        <v>0</v>
      </c>
      <c r="AQ5605">
        <v>0</v>
      </c>
      <c r="AR5605">
        <v>0</v>
      </c>
      <c r="AS5605" t="s">
        <v>239</v>
      </c>
      <c r="AT5605" t="s">
        <v>514</v>
      </c>
    </row>
    <row r="5606" spans="2:46" x14ac:dyDescent="0.35">
      <c r="B5606" t="s">
        <v>747</v>
      </c>
      <c r="C5606">
        <v>45754</v>
      </c>
      <c r="J5606">
        <v>0</v>
      </c>
      <c r="O5606" t="s">
        <v>239</v>
      </c>
      <c r="P5606" t="s">
        <v>514</v>
      </c>
      <c r="U5606">
        <v>0</v>
      </c>
      <c r="Y5606">
        <v>1192</v>
      </c>
      <c r="Z5606" s="259" t="s">
        <v>637</v>
      </c>
      <c r="AB5606">
        <v>12012</v>
      </c>
      <c r="AF5606">
        <v>59769.8</v>
      </c>
      <c r="AG5606">
        <v>0</v>
      </c>
      <c r="AI5606">
        <v>59748.2</v>
      </c>
      <c r="AJ5606">
        <v>0</v>
      </c>
      <c r="AK5606">
        <v>0</v>
      </c>
      <c r="AL5606">
        <v>0</v>
      </c>
      <c r="AM5606">
        <v>47988</v>
      </c>
      <c r="AN5606">
        <v>11781.8</v>
      </c>
      <c r="AO5606">
        <v>59769.8</v>
      </c>
      <c r="AP5606">
        <v>0</v>
      </c>
      <c r="AQ5606">
        <v>21.600000000005821</v>
      </c>
      <c r="AR5606">
        <v>3.6151716704435621E-4</v>
      </c>
      <c r="AS5606" t="s">
        <v>239</v>
      </c>
      <c r="AT5606" t="s">
        <v>514</v>
      </c>
    </row>
    <row r="5607" spans="2:46" x14ac:dyDescent="0.35">
      <c r="B5607" t="s">
        <v>747</v>
      </c>
      <c r="C5607">
        <v>45755</v>
      </c>
      <c r="J5607">
        <v>0</v>
      </c>
      <c r="O5607" t="s">
        <v>239</v>
      </c>
      <c r="P5607" t="s">
        <v>514</v>
      </c>
      <c r="U5607">
        <v>0</v>
      </c>
      <c r="Y5607">
        <v>1193</v>
      </c>
      <c r="Z5607" s="259" t="s">
        <v>637</v>
      </c>
      <c r="AB5607">
        <v>12012</v>
      </c>
      <c r="AF5607">
        <v>59776.6</v>
      </c>
      <c r="AG5607">
        <v>0</v>
      </c>
      <c r="AI5607">
        <v>59769.8</v>
      </c>
      <c r="AJ5607">
        <v>0</v>
      </c>
      <c r="AK5607">
        <v>0</v>
      </c>
      <c r="AL5607">
        <v>0</v>
      </c>
      <c r="AM5607">
        <v>47988</v>
      </c>
      <c r="AN5607">
        <v>11788.6</v>
      </c>
      <c r="AO5607">
        <v>59776.6</v>
      </c>
      <c r="AP5607">
        <v>0</v>
      </c>
      <c r="AQ5607">
        <v>6.7999999999956344</v>
      </c>
      <c r="AR5607">
        <v>1.1376983024868892E-4</v>
      </c>
      <c r="AS5607" t="s">
        <v>239</v>
      </c>
      <c r="AT5607" t="s">
        <v>514</v>
      </c>
    </row>
    <row r="5608" spans="2:46" x14ac:dyDescent="0.35">
      <c r="B5608" t="s">
        <v>747</v>
      </c>
      <c r="C5608">
        <v>45756</v>
      </c>
      <c r="J5608">
        <v>0</v>
      </c>
      <c r="O5608" t="s">
        <v>239</v>
      </c>
      <c r="P5608" t="s">
        <v>514</v>
      </c>
      <c r="U5608">
        <v>0</v>
      </c>
      <c r="Y5608">
        <v>1194</v>
      </c>
      <c r="Z5608" s="259" t="s">
        <v>637</v>
      </c>
      <c r="AB5608">
        <v>12012</v>
      </c>
      <c r="AF5608">
        <v>59782.8</v>
      </c>
      <c r="AG5608">
        <v>0</v>
      </c>
      <c r="AI5608">
        <v>59776.6</v>
      </c>
      <c r="AJ5608">
        <v>0</v>
      </c>
      <c r="AK5608">
        <v>0</v>
      </c>
      <c r="AL5608">
        <v>0</v>
      </c>
      <c r="AM5608">
        <v>47988</v>
      </c>
      <c r="AN5608">
        <v>11794.8</v>
      </c>
      <c r="AO5608">
        <v>59782.8</v>
      </c>
      <c r="AP5608">
        <v>0</v>
      </c>
      <c r="AQ5608">
        <v>6.2000000000043656</v>
      </c>
      <c r="AR5608">
        <v>1.0371951566345849E-4</v>
      </c>
      <c r="AS5608" t="s">
        <v>239</v>
      </c>
      <c r="AT5608" t="s">
        <v>514</v>
      </c>
    </row>
    <row r="5609" spans="2:46" x14ac:dyDescent="0.35">
      <c r="B5609" t="s">
        <v>747</v>
      </c>
      <c r="C5609">
        <v>45757</v>
      </c>
      <c r="J5609">
        <v>0</v>
      </c>
      <c r="O5609" t="s">
        <v>239</v>
      </c>
      <c r="P5609" t="s">
        <v>514</v>
      </c>
      <c r="U5609">
        <v>0</v>
      </c>
      <c r="Y5609">
        <v>1195</v>
      </c>
      <c r="Z5609" s="259" t="s">
        <v>637</v>
      </c>
      <c r="AB5609">
        <v>12012</v>
      </c>
      <c r="AF5609">
        <v>59790</v>
      </c>
      <c r="AG5609">
        <v>0</v>
      </c>
      <c r="AI5609">
        <v>59782.8</v>
      </c>
      <c r="AJ5609">
        <v>0</v>
      </c>
      <c r="AK5609">
        <v>0</v>
      </c>
      <c r="AL5609">
        <v>0</v>
      </c>
      <c r="AM5609">
        <v>47988</v>
      </c>
      <c r="AN5609">
        <v>11802</v>
      </c>
      <c r="AO5609">
        <v>59790</v>
      </c>
      <c r="AP5609">
        <v>0</v>
      </c>
      <c r="AQ5609">
        <v>7.1999999999970896</v>
      </c>
      <c r="AR5609">
        <v>1.2043597824118457E-4</v>
      </c>
      <c r="AS5609" t="s">
        <v>239</v>
      </c>
      <c r="AT5609" t="s">
        <v>514</v>
      </c>
    </row>
    <row r="5610" spans="2:46" x14ac:dyDescent="0.35">
      <c r="B5610" t="s">
        <v>747</v>
      </c>
      <c r="C5610">
        <v>45758</v>
      </c>
      <c r="J5610">
        <v>0</v>
      </c>
      <c r="O5610" t="s">
        <v>239</v>
      </c>
      <c r="P5610" t="s">
        <v>514</v>
      </c>
      <c r="U5610">
        <v>0</v>
      </c>
      <c r="Y5610">
        <v>1196</v>
      </c>
      <c r="Z5610" s="259" t="s">
        <v>637</v>
      </c>
      <c r="AB5610">
        <v>12012</v>
      </c>
      <c r="AF5610">
        <v>59797.2</v>
      </c>
      <c r="AG5610">
        <v>0</v>
      </c>
      <c r="AI5610">
        <v>59790</v>
      </c>
      <c r="AJ5610">
        <v>0</v>
      </c>
      <c r="AK5610">
        <v>0</v>
      </c>
      <c r="AL5610">
        <v>0</v>
      </c>
      <c r="AM5610">
        <v>47988</v>
      </c>
      <c r="AN5610">
        <v>11809.2</v>
      </c>
      <c r="AO5610">
        <v>59797.2</v>
      </c>
      <c r="AP5610">
        <v>0</v>
      </c>
      <c r="AQ5610">
        <v>7.1999999999970896</v>
      </c>
      <c r="AR5610">
        <v>1.2042147516311275E-4</v>
      </c>
      <c r="AS5610" t="s">
        <v>239</v>
      </c>
      <c r="AT5610" t="s">
        <v>514</v>
      </c>
    </row>
    <row r="5611" spans="2:46" x14ac:dyDescent="0.35">
      <c r="B5611" t="s">
        <v>747</v>
      </c>
      <c r="C5611">
        <v>45759</v>
      </c>
      <c r="J5611">
        <v>0</v>
      </c>
      <c r="O5611" t="s">
        <v>239</v>
      </c>
      <c r="P5611" t="s">
        <v>514</v>
      </c>
      <c r="U5611">
        <v>0</v>
      </c>
      <c r="Y5611">
        <v>1197</v>
      </c>
      <c r="Z5611" s="259" t="s">
        <v>637</v>
      </c>
      <c r="AB5611">
        <v>12012</v>
      </c>
      <c r="AF5611">
        <v>59797.2</v>
      </c>
      <c r="AG5611">
        <v>0</v>
      </c>
      <c r="AI5611">
        <v>59797.2</v>
      </c>
      <c r="AJ5611">
        <v>0</v>
      </c>
      <c r="AK5611">
        <v>0</v>
      </c>
      <c r="AL5611">
        <v>0</v>
      </c>
      <c r="AM5611">
        <v>47988</v>
      </c>
      <c r="AN5611">
        <v>11809.2</v>
      </c>
      <c r="AO5611">
        <v>59797.2</v>
      </c>
      <c r="AP5611">
        <v>0</v>
      </c>
      <c r="AQ5611">
        <v>0</v>
      </c>
      <c r="AR5611">
        <v>0</v>
      </c>
      <c r="AS5611" t="s">
        <v>239</v>
      </c>
      <c r="AT5611" t="s">
        <v>514</v>
      </c>
    </row>
    <row r="5612" spans="2:46" x14ac:dyDescent="0.35">
      <c r="B5612" t="s">
        <v>747</v>
      </c>
      <c r="C5612">
        <v>45760</v>
      </c>
      <c r="J5612">
        <v>0</v>
      </c>
      <c r="O5612" t="s">
        <v>239</v>
      </c>
      <c r="P5612" t="s">
        <v>514</v>
      </c>
      <c r="U5612">
        <v>0</v>
      </c>
      <c r="Y5612">
        <v>1198</v>
      </c>
      <c r="Z5612" s="259" t="s">
        <v>637</v>
      </c>
      <c r="AB5612">
        <v>12012</v>
      </c>
      <c r="AF5612">
        <v>59797.2</v>
      </c>
      <c r="AG5612">
        <v>0</v>
      </c>
      <c r="AI5612">
        <v>59797.2</v>
      </c>
      <c r="AJ5612">
        <v>0</v>
      </c>
      <c r="AK5612">
        <v>0</v>
      </c>
      <c r="AL5612">
        <v>0</v>
      </c>
      <c r="AM5612">
        <v>47988</v>
      </c>
      <c r="AN5612">
        <v>11809.2</v>
      </c>
      <c r="AO5612">
        <v>59797.2</v>
      </c>
      <c r="AP5612">
        <v>0</v>
      </c>
      <c r="AQ5612">
        <v>0</v>
      </c>
      <c r="AR5612">
        <v>0</v>
      </c>
      <c r="AS5612" t="s">
        <v>239</v>
      </c>
      <c r="AT5612" t="s">
        <v>514</v>
      </c>
    </row>
    <row r="5613" spans="2:46" x14ac:dyDescent="0.35">
      <c r="B5613" t="s">
        <v>747</v>
      </c>
      <c r="C5613">
        <v>45761</v>
      </c>
      <c r="J5613">
        <v>0</v>
      </c>
      <c r="O5613" t="s">
        <v>239</v>
      </c>
      <c r="P5613" t="s">
        <v>514</v>
      </c>
      <c r="U5613">
        <v>0</v>
      </c>
      <c r="Y5613">
        <v>1199</v>
      </c>
      <c r="Z5613" s="259" t="s">
        <v>637</v>
      </c>
      <c r="AB5613">
        <v>12012</v>
      </c>
      <c r="AF5613">
        <v>59817.4</v>
      </c>
      <c r="AG5613">
        <v>0</v>
      </c>
      <c r="AI5613">
        <v>59797.2</v>
      </c>
      <c r="AJ5613">
        <v>0</v>
      </c>
      <c r="AK5613">
        <v>0</v>
      </c>
      <c r="AL5613">
        <v>0</v>
      </c>
      <c r="AM5613">
        <v>47988</v>
      </c>
      <c r="AN5613">
        <v>11829.400000000001</v>
      </c>
      <c r="AO5613">
        <v>59817.4</v>
      </c>
      <c r="AP5613">
        <v>0</v>
      </c>
      <c r="AQ5613">
        <v>20.200000000004366</v>
      </c>
      <c r="AR5613">
        <v>3.3780845925912573E-4</v>
      </c>
      <c r="AS5613" t="s">
        <v>239</v>
      </c>
      <c r="AT5613" t="s">
        <v>514</v>
      </c>
    </row>
    <row r="5614" spans="2:46" x14ac:dyDescent="0.35">
      <c r="B5614" t="s">
        <v>747</v>
      </c>
      <c r="C5614">
        <v>45762</v>
      </c>
      <c r="J5614">
        <v>0</v>
      </c>
      <c r="O5614" t="s">
        <v>239</v>
      </c>
      <c r="P5614" t="s">
        <v>514</v>
      </c>
      <c r="U5614">
        <v>0</v>
      </c>
      <c r="Y5614">
        <v>1200</v>
      </c>
      <c r="Z5614" s="259" t="s">
        <v>637</v>
      </c>
      <c r="AB5614">
        <v>12012</v>
      </c>
      <c r="AF5614">
        <v>59824.600000000006</v>
      </c>
      <c r="AG5614">
        <v>0</v>
      </c>
      <c r="AI5614">
        <v>59817.4</v>
      </c>
      <c r="AJ5614">
        <v>0</v>
      </c>
      <c r="AK5614">
        <v>0</v>
      </c>
      <c r="AL5614">
        <v>0</v>
      </c>
      <c r="AM5614">
        <v>47988</v>
      </c>
      <c r="AN5614">
        <v>11836.600000000002</v>
      </c>
      <c r="AO5614">
        <v>59824.600000000006</v>
      </c>
      <c r="AP5614">
        <v>0</v>
      </c>
      <c r="AQ5614">
        <v>7.2000000000043656</v>
      </c>
      <c r="AR5614">
        <v>1.2036631481815441E-4</v>
      </c>
      <c r="AS5614" t="s">
        <v>239</v>
      </c>
      <c r="AT5614" t="s">
        <v>514</v>
      </c>
    </row>
    <row r="5615" spans="2:46" x14ac:dyDescent="0.35">
      <c r="B5615" t="s">
        <v>747</v>
      </c>
      <c r="C5615">
        <v>45763</v>
      </c>
      <c r="J5615">
        <v>0</v>
      </c>
      <c r="O5615" t="s">
        <v>239</v>
      </c>
      <c r="P5615" t="s">
        <v>514</v>
      </c>
      <c r="U5615">
        <v>0</v>
      </c>
      <c r="Y5615">
        <v>1201</v>
      </c>
      <c r="Z5615" s="259" t="s">
        <v>637</v>
      </c>
      <c r="AB5615">
        <v>12012</v>
      </c>
      <c r="AF5615">
        <v>59831.399999999994</v>
      </c>
      <c r="AG5615">
        <v>0</v>
      </c>
      <c r="AI5615">
        <v>59824.600000000006</v>
      </c>
      <c r="AJ5615">
        <v>0</v>
      </c>
      <c r="AK5615">
        <v>0</v>
      </c>
      <c r="AL5615">
        <v>0</v>
      </c>
      <c r="AM5615">
        <v>47988</v>
      </c>
      <c r="AN5615">
        <v>11843.399999999998</v>
      </c>
      <c r="AO5615">
        <v>59831.399999999994</v>
      </c>
      <c r="AP5615">
        <v>0</v>
      </c>
      <c r="AQ5615">
        <v>6.7999999999883585</v>
      </c>
      <c r="AR5615">
        <v>1.1366561581671597E-4</v>
      </c>
      <c r="AS5615" t="s">
        <v>239</v>
      </c>
      <c r="AT5615" t="s">
        <v>514</v>
      </c>
    </row>
    <row r="5616" spans="2:46" x14ac:dyDescent="0.35">
      <c r="B5616" t="s">
        <v>747</v>
      </c>
      <c r="C5616">
        <v>45764</v>
      </c>
      <c r="J5616">
        <v>0</v>
      </c>
      <c r="O5616" t="s">
        <v>239</v>
      </c>
      <c r="P5616" t="s">
        <v>514</v>
      </c>
      <c r="U5616">
        <v>0</v>
      </c>
      <c r="Y5616">
        <v>1202</v>
      </c>
      <c r="Z5616" s="259" t="s">
        <v>637</v>
      </c>
      <c r="AB5616">
        <v>12012</v>
      </c>
      <c r="AF5616">
        <v>59838.6</v>
      </c>
      <c r="AG5616">
        <v>0</v>
      </c>
      <c r="AI5616">
        <v>59831.399999999994</v>
      </c>
      <c r="AJ5616">
        <v>0</v>
      </c>
      <c r="AK5616">
        <v>0</v>
      </c>
      <c r="AL5616">
        <v>0</v>
      </c>
      <c r="AM5616">
        <v>47988</v>
      </c>
      <c r="AN5616">
        <v>11850.599999999999</v>
      </c>
      <c r="AO5616">
        <v>59838.6</v>
      </c>
      <c r="AP5616">
        <v>0</v>
      </c>
      <c r="AQ5616">
        <v>7.2000000000043656</v>
      </c>
      <c r="AR5616">
        <v>1.2033815020218164E-4</v>
      </c>
      <c r="AS5616" t="s">
        <v>239</v>
      </c>
      <c r="AT5616" t="s">
        <v>514</v>
      </c>
    </row>
    <row r="5617" spans="2:46" x14ac:dyDescent="0.35">
      <c r="B5617" t="s">
        <v>747</v>
      </c>
      <c r="C5617">
        <v>45765</v>
      </c>
      <c r="J5617">
        <v>0</v>
      </c>
      <c r="O5617" t="s">
        <v>239</v>
      </c>
      <c r="P5617" t="s">
        <v>514</v>
      </c>
      <c r="U5617">
        <v>0</v>
      </c>
      <c r="Y5617">
        <v>1203</v>
      </c>
      <c r="Z5617" s="259" t="s">
        <v>637</v>
      </c>
      <c r="AB5617">
        <v>12012</v>
      </c>
      <c r="AF5617">
        <v>59844.800000000003</v>
      </c>
      <c r="AG5617">
        <v>0</v>
      </c>
      <c r="AI5617">
        <v>59838.6</v>
      </c>
      <c r="AJ5617">
        <v>0</v>
      </c>
      <c r="AK5617">
        <v>0</v>
      </c>
      <c r="AL5617">
        <v>0</v>
      </c>
      <c r="AM5617">
        <v>47988</v>
      </c>
      <c r="AN5617">
        <v>11856.8</v>
      </c>
      <c r="AO5617">
        <v>59844.800000000003</v>
      </c>
      <c r="AP5617">
        <v>0</v>
      </c>
      <c r="AQ5617">
        <v>6.2000000000043656</v>
      </c>
      <c r="AR5617">
        <v>1.0361204974729255E-4</v>
      </c>
      <c r="AS5617" t="s">
        <v>239</v>
      </c>
      <c r="AT5617" t="s">
        <v>514</v>
      </c>
    </row>
    <row r="5618" spans="2:46" x14ac:dyDescent="0.35">
      <c r="B5618" t="s">
        <v>747</v>
      </c>
      <c r="C5618">
        <v>45766</v>
      </c>
      <c r="J5618">
        <v>0</v>
      </c>
      <c r="O5618" t="s">
        <v>239</v>
      </c>
      <c r="P5618" t="s">
        <v>514</v>
      </c>
      <c r="U5618">
        <v>0</v>
      </c>
      <c r="Y5618">
        <v>1204</v>
      </c>
      <c r="Z5618" s="259" t="s">
        <v>637</v>
      </c>
      <c r="AB5618">
        <v>12012</v>
      </c>
      <c r="AF5618">
        <v>59844.800000000003</v>
      </c>
      <c r="AG5618">
        <v>0</v>
      </c>
      <c r="AI5618">
        <v>59844.800000000003</v>
      </c>
      <c r="AJ5618">
        <v>0</v>
      </c>
      <c r="AK5618">
        <v>0</v>
      </c>
      <c r="AL5618">
        <v>0</v>
      </c>
      <c r="AM5618">
        <v>47988</v>
      </c>
      <c r="AN5618">
        <v>11856.8</v>
      </c>
      <c r="AO5618">
        <v>59844.800000000003</v>
      </c>
      <c r="AP5618">
        <v>0</v>
      </c>
      <c r="AQ5618">
        <v>0</v>
      </c>
      <c r="AR5618">
        <v>0</v>
      </c>
      <c r="AS5618" t="s">
        <v>239</v>
      </c>
      <c r="AT5618" t="s">
        <v>514</v>
      </c>
    </row>
    <row r="5619" spans="2:46" x14ac:dyDescent="0.35">
      <c r="B5619" t="s">
        <v>747</v>
      </c>
      <c r="C5619">
        <v>45767</v>
      </c>
      <c r="J5619">
        <v>0</v>
      </c>
      <c r="O5619" t="s">
        <v>239</v>
      </c>
      <c r="P5619" t="s">
        <v>514</v>
      </c>
      <c r="U5619">
        <v>0</v>
      </c>
      <c r="Y5619">
        <v>1205</v>
      </c>
      <c r="Z5619" s="259" t="s">
        <v>637</v>
      </c>
      <c r="AB5619">
        <v>12012</v>
      </c>
      <c r="AF5619">
        <v>59844.800000000003</v>
      </c>
      <c r="AG5619">
        <v>0</v>
      </c>
      <c r="AI5619">
        <v>59844.800000000003</v>
      </c>
      <c r="AJ5619">
        <v>0</v>
      </c>
      <c r="AK5619">
        <v>0</v>
      </c>
      <c r="AL5619">
        <v>0</v>
      </c>
      <c r="AM5619">
        <v>47988</v>
      </c>
      <c r="AN5619">
        <v>11856.8</v>
      </c>
      <c r="AO5619">
        <v>59844.800000000003</v>
      </c>
      <c r="AP5619">
        <v>0</v>
      </c>
      <c r="AQ5619">
        <v>0</v>
      </c>
      <c r="AR5619">
        <v>0</v>
      </c>
      <c r="AS5619" t="s">
        <v>239</v>
      </c>
      <c r="AT5619" t="s">
        <v>514</v>
      </c>
    </row>
    <row r="5620" spans="2:46" x14ac:dyDescent="0.35">
      <c r="B5620" t="s">
        <v>747</v>
      </c>
      <c r="C5620">
        <v>45768</v>
      </c>
      <c r="J5620">
        <v>0</v>
      </c>
      <c r="O5620" t="s">
        <v>239</v>
      </c>
      <c r="P5620" t="s">
        <v>514</v>
      </c>
      <c r="U5620">
        <v>0</v>
      </c>
      <c r="Y5620">
        <v>1206</v>
      </c>
      <c r="Z5620" s="259" t="s">
        <v>637</v>
      </c>
      <c r="AB5620">
        <v>12012</v>
      </c>
      <c r="AF5620">
        <v>59866</v>
      </c>
      <c r="AG5620">
        <v>0</v>
      </c>
      <c r="AI5620">
        <v>59844.800000000003</v>
      </c>
      <c r="AJ5620">
        <v>0</v>
      </c>
      <c r="AK5620">
        <v>0</v>
      </c>
      <c r="AL5620">
        <v>0</v>
      </c>
      <c r="AM5620">
        <v>47988</v>
      </c>
      <c r="AN5620">
        <v>11878</v>
      </c>
      <c r="AO5620">
        <v>59866</v>
      </c>
      <c r="AP5620">
        <v>0</v>
      </c>
      <c r="AQ5620">
        <v>21.19999999999709</v>
      </c>
      <c r="AR5620">
        <v>3.5424965911823314E-4</v>
      </c>
      <c r="AS5620" t="s">
        <v>239</v>
      </c>
      <c r="AT5620" t="s">
        <v>514</v>
      </c>
    </row>
    <row r="5621" spans="2:46" x14ac:dyDescent="0.35">
      <c r="B5621" t="s">
        <v>747</v>
      </c>
      <c r="C5621">
        <v>45769</v>
      </c>
      <c r="J5621">
        <v>0</v>
      </c>
      <c r="O5621" t="s">
        <v>239</v>
      </c>
      <c r="P5621" t="s">
        <v>514</v>
      </c>
      <c r="U5621">
        <v>0</v>
      </c>
      <c r="Y5621">
        <v>1207</v>
      </c>
      <c r="Z5621" s="259" t="s">
        <v>637</v>
      </c>
      <c r="AB5621">
        <v>12012</v>
      </c>
      <c r="AF5621">
        <v>59873.2</v>
      </c>
      <c r="AG5621">
        <v>0</v>
      </c>
      <c r="AI5621">
        <v>59866</v>
      </c>
      <c r="AJ5621">
        <v>0</v>
      </c>
      <c r="AK5621">
        <v>0</v>
      </c>
      <c r="AL5621">
        <v>0</v>
      </c>
      <c r="AM5621">
        <v>47988</v>
      </c>
      <c r="AN5621">
        <v>11885.2</v>
      </c>
      <c r="AO5621">
        <v>59873.2</v>
      </c>
      <c r="AP5621">
        <v>0</v>
      </c>
      <c r="AQ5621">
        <v>7.1999999999970896</v>
      </c>
      <c r="AR5621">
        <v>1.2026859987290806E-4</v>
      </c>
      <c r="AS5621" t="s">
        <v>239</v>
      </c>
      <c r="AT5621" t="s">
        <v>514</v>
      </c>
    </row>
    <row r="5622" spans="2:46" x14ac:dyDescent="0.35">
      <c r="B5622" t="s">
        <v>747</v>
      </c>
      <c r="C5622">
        <v>45770</v>
      </c>
      <c r="J5622">
        <v>0</v>
      </c>
      <c r="O5622" t="s">
        <v>239</v>
      </c>
      <c r="P5622" t="s">
        <v>514</v>
      </c>
      <c r="U5622">
        <v>0</v>
      </c>
      <c r="Y5622">
        <v>1208</v>
      </c>
      <c r="Z5622" s="259" t="s">
        <v>637</v>
      </c>
      <c r="AB5622">
        <v>12012</v>
      </c>
      <c r="AF5622">
        <v>59879.4</v>
      </c>
      <c r="AG5622">
        <v>0</v>
      </c>
      <c r="AI5622">
        <v>59873.2</v>
      </c>
      <c r="AJ5622">
        <v>0</v>
      </c>
      <c r="AK5622">
        <v>0</v>
      </c>
      <c r="AL5622">
        <v>0</v>
      </c>
      <c r="AM5622">
        <v>47988</v>
      </c>
      <c r="AN5622">
        <v>11891.4</v>
      </c>
      <c r="AO5622">
        <v>59879.4</v>
      </c>
      <c r="AP5622">
        <v>0</v>
      </c>
      <c r="AQ5622">
        <v>6.2000000000043656</v>
      </c>
      <c r="AR5622">
        <v>1.0355217359370172E-4</v>
      </c>
      <c r="AS5622" t="s">
        <v>239</v>
      </c>
      <c r="AT5622" t="s">
        <v>514</v>
      </c>
    </row>
    <row r="5623" spans="2:46" x14ac:dyDescent="0.35">
      <c r="B5623" t="s">
        <v>747</v>
      </c>
      <c r="C5623">
        <v>45771</v>
      </c>
      <c r="J5623">
        <v>0</v>
      </c>
      <c r="O5623" t="s">
        <v>239</v>
      </c>
      <c r="P5623" t="s">
        <v>514</v>
      </c>
      <c r="U5623">
        <v>0</v>
      </c>
      <c r="Y5623">
        <v>1209</v>
      </c>
      <c r="Z5623" s="259" t="s">
        <v>637</v>
      </c>
      <c r="AB5623">
        <v>12012</v>
      </c>
      <c r="AF5623">
        <v>59886.2</v>
      </c>
      <c r="AG5623">
        <v>0</v>
      </c>
      <c r="AI5623">
        <v>59879.4</v>
      </c>
      <c r="AJ5623">
        <v>0</v>
      </c>
      <c r="AK5623">
        <v>0</v>
      </c>
      <c r="AL5623">
        <v>0</v>
      </c>
      <c r="AM5623">
        <v>47988</v>
      </c>
      <c r="AN5623">
        <v>11898.2</v>
      </c>
      <c r="AO5623">
        <v>59886.2</v>
      </c>
      <c r="AP5623">
        <v>0</v>
      </c>
      <c r="AQ5623">
        <v>6.7999999999956344</v>
      </c>
      <c r="AR5623">
        <v>1.1356159213349315E-4</v>
      </c>
      <c r="AS5623" t="s">
        <v>239</v>
      </c>
      <c r="AT5623" t="s">
        <v>514</v>
      </c>
    </row>
    <row r="5624" spans="2:46" x14ac:dyDescent="0.35">
      <c r="B5624" t="s">
        <v>747</v>
      </c>
      <c r="C5624">
        <v>45772</v>
      </c>
      <c r="J5624">
        <v>0</v>
      </c>
      <c r="O5624" t="s">
        <v>239</v>
      </c>
      <c r="P5624" t="s">
        <v>514</v>
      </c>
      <c r="U5624">
        <v>0</v>
      </c>
      <c r="Y5624">
        <v>1210</v>
      </c>
      <c r="Z5624" s="259" t="s">
        <v>637</v>
      </c>
      <c r="AB5624">
        <v>12012</v>
      </c>
      <c r="AF5624">
        <v>59893.4</v>
      </c>
      <c r="AG5624">
        <v>0</v>
      </c>
      <c r="AI5624">
        <v>59886.2</v>
      </c>
      <c r="AJ5624">
        <v>0</v>
      </c>
      <c r="AK5624">
        <v>0</v>
      </c>
      <c r="AL5624">
        <v>0</v>
      </c>
      <c r="AM5624">
        <v>47988</v>
      </c>
      <c r="AN5624">
        <v>11905.4</v>
      </c>
      <c r="AO5624">
        <v>59893.4</v>
      </c>
      <c r="AP5624">
        <v>0</v>
      </c>
      <c r="AQ5624">
        <v>7.2000000000043656</v>
      </c>
      <c r="AR5624">
        <v>1.2022803250166803E-4</v>
      </c>
      <c r="AS5624" t="s">
        <v>239</v>
      </c>
      <c r="AT5624" t="s">
        <v>514</v>
      </c>
    </row>
    <row r="5625" spans="2:46" x14ac:dyDescent="0.35">
      <c r="B5625" t="s">
        <v>747</v>
      </c>
      <c r="C5625">
        <v>45773</v>
      </c>
      <c r="J5625">
        <v>0</v>
      </c>
      <c r="O5625" t="s">
        <v>239</v>
      </c>
      <c r="P5625" t="s">
        <v>514</v>
      </c>
      <c r="U5625">
        <v>0</v>
      </c>
      <c r="Y5625">
        <v>1211</v>
      </c>
      <c r="Z5625" s="259" t="s">
        <v>637</v>
      </c>
      <c r="AB5625">
        <v>12012</v>
      </c>
      <c r="AF5625">
        <v>59893.4</v>
      </c>
      <c r="AG5625">
        <v>0</v>
      </c>
      <c r="AI5625">
        <v>59893.4</v>
      </c>
      <c r="AJ5625">
        <v>0</v>
      </c>
      <c r="AK5625">
        <v>0</v>
      </c>
      <c r="AL5625">
        <v>0</v>
      </c>
      <c r="AM5625">
        <v>47988</v>
      </c>
      <c r="AN5625">
        <v>11905.4</v>
      </c>
      <c r="AO5625">
        <v>59893.4</v>
      </c>
      <c r="AP5625">
        <v>0</v>
      </c>
      <c r="AQ5625">
        <v>0</v>
      </c>
      <c r="AR5625">
        <v>0</v>
      </c>
      <c r="AS5625" t="s">
        <v>239</v>
      </c>
      <c r="AT5625" t="s">
        <v>514</v>
      </c>
    </row>
    <row r="5626" spans="2:46" x14ac:dyDescent="0.35">
      <c r="B5626" t="s">
        <v>747</v>
      </c>
      <c r="C5626">
        <v>45774</v>
      </c>
      <c r="J5626">
        <v>0</v>
      </c>
      <c r="O5626" t="s">
        <v>239</v>
      </c>
      <c r="P5626" t="s">
        <v>514</v>
      </c>
      <c r="U5626">
        <v>0</v>
      </c>
      <c r="Y5626">
        <v>1212</v>
      </c>
      <c r="Z5626" s="259" t="s">
        <v>637</v>
      </c>
      <c r="AB5626">
        <v>12012</v>
      </c>
      <c r="AF5626">
        <v>59893.4</v>
      </c>
      <c r="AG5626">
        <v>0</v>
      </c>
      <c r="AI5626">
        <v>59893.4</v>
      </c>
      <c r="AJ5626">
        <v>0</v>
      </c>
      <c r="AK5626">
        <v>0</v>
      </c>
      <c r="AL5626">
        <v>0</v>
      </c>
      <c r="AM5626">
        <v>47988</v>
      </c>
      <c r="AN5626">
        <v>11905.4</v>
      </c>
      <c r="AO5626">
        <v>59893.4</v>
      </c>
      <c r="AP5626">
        <v>0</v>
      </c>
      <c r="AQ5626">
        <v>0</v>
      </c>
      <c r="AR5626">
        <v>0</v>
      </c>
      <c r="AS5626" t="s">
        <v>239</v>
      </c>
      <c r="AT5626" t="s">
        <v>514</v>
      </c>
    </row>
    <row r="5627" spans="2:46" x14ac:dyDescent="0.35">
      <c r="B5627" t="s">
        <v>747</v>
      </c>
      <c r="C5627">
        <v>45775</v>
      </c>
      <c r="J5627">
        <v>0</v>
      </c>
      <c r="O5627" t="s">
        <v>239</v>
      </c>
      <c r="P5627" t="s">
        <v>514</v>
      </c>
      <c r="U5627">
        <v>0</v>
      </c>
      <c r="Y5627">
        <v>1213</v>
      </c>
      <c r="Z5627" s="259" t="s">
        <v>637</v>
      </c>
      <c r="AB5627">
        <v>12012</v>
      </c>
      <c r="AF5627">
        <v>59913.599999999999</v>
      </c>
      <c r="AG5627">
        <v>0</v>
      </c>
      <c r="AI5627">
        <v>59893.4</v>
      </c>
      <c r="AJ5627">
        <v>0</v>
      </c>
      <c r="AK5627">
        <v>0</v>
      </c>
      <c r="AL5627">
        <v>0</v>
      </c>
      <c r="AM5627">
        <v>47988</v>
      </c>
      <c r="AN5627">
        <v>11925.6</v>
      </c>
      <c r="AO5627">
        <v>59913.599999999999</v>
      </c>
      <c r="AP5627">
        <v>0</v>
      </c>
      <c r="AQ5627">
        <v>20.19999999999709</v>
      </c>
      <c r="AR5627">
        <v>3.3726587570570565E-4</v>
      </c>
      <c r="AS5627" t="s">
        <v>239</v>
      </c>
      <c r="AT5627" t="s">
        <v>514</v>
      </c>
    </row>
    <row r="5628" spans="2:46" x14ac:dyDescent="0.35">
      <c r="B5628" t="s">
        <v>747</v>
      </c>
      <c r="C5628">
        <v>45776</v>
      </c>
      <c r="J5628">
        <v>0</v>
      </c>
      <c r="O5628" t="s">
        <v>239</v>
      </c>
      <c r="P5628" t="s">
        <v>514</v>
      </c>
      <c r="U5628">
        <v>0</v>
      </c>
      <c r="Y5628">
        <v>1214</v>
      </c>
      <c r="Z5628" s="259" t="s">
        <v>637</v>
      </c>
      <c r="AB5628">
        <v>12012</v>
      </c>
      <c r="AF5628">
        <v>59920.800000000003</v>
      </c>
      <c r="AG5628">
        <v>0</v>
      </c>
      <c r="AI5628">
        <v>59913.599999999999</v>
      </c>
      <c r="AJ5628">
        <v>0</v>
      </c>
      <c r="AK5628">
        <v>0</v>
      </c>
      <c r="AL5628">
        <v>0</v>
      </c>
      <c r="AM5628">
        <v>47988</v>
      </c>
      <c r="AN5628">
        <v>11932.8</v>
      </c>
      <c r="AO5628">
        <v>59920.800000000003</v>
      </c>
      <c r="AP5628">
        <v>0</v>
      </c>
      <c r="AQ5628">
        <v>7.2000000000043656</v>
      </c>
      <c r="AR5628">
        <v>1.2017304919087479E-4</v>
      </c>
      <c r="AS5628" t="s">
        <v>239</v>
      </c>
      <c r="AT5628" t="s">
        <v>514</v>
      </c>
    </row>
    <row r="5629" spans="2:46" x14ac:dyDescent="0.35">
      <c r="B5629" t="s">
        <v>747</v>
      </c>
      <c r="C5629">
        <v>45777</v>
      </c>
      <c r="J5629">
        <v>0</v>
      </c>
      <c r="O5629" t="s">
        <v>239</v>
      </c>
      <c r="P5629" t="s">
        <v>514</v>
      </c>
      <c r="U5629">
        <v>0</v>
      </c>
      <c r="Y5629">
        <v>1215</v>
      </c>
      <c r="Z5629" s="259" t="s">
        <v>637</v>
      </c>
      <c r="AB5629">
        <v>12012</v>
      </c>
      <c r="AF5629">
        <v>59928</v>
      </c>
      <c r="AG5629">
        <v>0</v>
      </c>
      <c r="AI5629">
        <v>59920.800000000003</v>
      </c>
      <c r="AJ5629">
        <v>0</v>
      </c>
      <c r="AK5629">
        <v>0</v>
      </c>
      <c r="AL5629">
        <v>0</v>
      </c>
      <c r="AM5629">
        <v>47988</v>
      </c>
      <c r="AN5629">
        <v>11940</v>
      </c>
      <c r="AO5629">
        <v>59928</v>
      </c>
      <c r="AP5629">
        <v>0</v>
      </c>
      <c r="AQ5629">
        <v>7.1999999999970896</v>
      </c>
      <c r="AR5629">
        <v>1.2015860936420708E-4</v>
      </c>
      <c r="AS5629" t="s">
        <v>239</v>
      </c>
      <c r="AT5629" t="s">
        <v>514</v>
      </c>
    </row>
    <row r="5630" spans="2:46" x14ac:dyDescent="0.35">
      <c r="B5630" t="s">
        <v>747</v>
      </c>
      <c r="C5630">
        <v>45778</v>
      </c>
      <c r="J5630">
        <v>0</v>
      </c>
      <c r="O5630" t="s">
        <v>239</v>
      </c>
      <c r="P5630" t="s">
        <v>514</v>
      </c>
      <c r="U5630">
        <v>0</v>
      </c>
      <c r="Y5630">
        <v>1216</v>
      </c>
      <c r="Z5630" s="259" t="s">
        <v>637</v>
      </c>
      <c r="AB5630">
        <v>12012</v>
      </c>
      <c r="AF5630">
        <v>59928</v>
      </c>
      <c r="AG5630">
        <v>0</v>
      </c>
      <c r="AI5630">
        <v>59928</v>
      </c>
      <c r="AJ5630">
        <v>0</v>
      </c>
      <c r="AK5630">
        <v>0</v>
      </c>
      <c r="AL5630">
        <v>0</v>
      </c>
      <c r="AM5630">
        <v>47988</v>
      </c>
      <c r="AN5630">
        <v>11940</v>
      </c>
      <c r="AO5630">
        <v>59928</v>
      </c>
      <c r="AP5630">
        <v>0</v>
      </c>
      <c r="AQ5630">
        <v>0</v>
      </c>
      <c r="AR5630">
        <v>0</v>
      </c>
      <c r="AS5630" t="s">
        <v>239</v>
      </c>
      <c r="AT5630" t="s">
        <v>514</v>
      </c>
    </row>
    <row r="5631" spans="2:46" x14ac:dyDescent="0.35">
      <c r="B5631" t="s">
        <v>747</v>
      </c>
      <c r="C5631">
        <v>45779</v>
      </c>
      <c r="J5631">
        <v>0</v>
      </c>
      <c r="O5631" t="s">
        <v>239</v>
      </c>
      <c r="P5631" t="s">
        <v>514</v>
      </c>
      <c r="U5631">
        <v>0</v>
      </c>
      <c r="Y5631">
        <v>1217</v>
      </c>
      <c r="Z5631" s="259" t="s">
        <v>637</v>
      </c>
      <c r="AB5631">
        <v>12012</v>
      </c>
      <c r="AF5631">
        <v>59945.2</v>
      </c>
      <c r="AG5631">
        <v>0</v>
      </c>
      <c r="AI5631">
        <v>59928</v>
      </c>
      <c r="AJ5631">
        <v>0</v>
      </c>
      <c r="AK5631">
        <v>0</v>
      </c>
      <c r="AL5631">
        <v>0</v>
      </c>
      <c r="AM5631">
        <v>47988</v>
      </c>
      <c r="AN5631">
        <v>11957.2</v>
      </c>
      <c r="AO5631">
        <v>59945.2</v>
      </c>
      <c r="AP5631">
        <v>0</v>
      </c>
      <c r="AQ5631">
        <v>17.19999999999709</v>
      </c>
      <c r="AR5631">
        <v>2.8701107996265129E-4</v>
      </c>
      <c r="AS5631" t="s">
        <v>239</v>
      </c>
      <c r="AT5631" t="s">
        <v>514</v>
      </c>
    </row>
    <row r="5632" spans="2:46" x14ac:dyDescent="0.35">
      <c r="B5632" t="s">
        <v>747</v>
      </c>
      <c r="C5632">
        <v>45780</v>
      </c>
      <c r="J5632">
        <v>0</v>
      </c>
      <c r="O5632" t="s">
        <v>239</v>
      </c>
      <c r="P5632" t="s">
        <v>514</v>
      </c>
      <c r="U5632">
        <v>0</v>
      </c>
      <c r="Y5632">
        <v>1218</v>
      </c>
      <c r="Z5632" s="259" t="s">
        <v>637</v>
      </c>
      <c r="AB5632">
        <v>12012</v>
      </c>
      <c r="AF5632">
        <v>59945.2</v>
      </c>
      <c r="AG5632">
        <v>0</v>
      </c>
      <c r="AI5632">
        <v>59945.2</v>
      </c>
      <c r="AJ5632">
        <v>0</v>
      </c>
      <c r="AK5632">
        <v>0</v>
      </c>
      <c r="AL5632">
        <v>0</v>
      </c>
      <c r="AM5632">
        <v>47988</v>
      </c>
      <c r="AN5632">
        <v>11957.2</v>
      </c>
      <c r="AO5632">
        <v>59945.2</v>
      </c>
      <c r="AP5632">
        <v>0</v>
      </c>
      <c r="AQ5632">
        <v>0</v>
      </c>
      <c r="AR5632">
        <v>0</v>
      </c>
      <c r="AS5632" t="s">
        <v>239</v>
      </c>
      <c r="AT5632" t="s">
        <v>514</v>
      </c>
    </row>
    <row r="5633" spans="2:46" x14ac:dyDescent="0.35">
      <c r="B5633" t="s">
        <v>747</v>
      </c>
      <c r="C5633">
        <v>45781</v>
      </c>
      <c r="J5633">
        <v>0</v>
      </c>
      <c r="O5633" t="s">
        <v>239</v>
      </c>
      <c r="P5633" t="s">
        <v>514</v>
      </c>
      <c r="U5633">
        <v>0</v>
      </c>
      <c r="Y5633">
        <v>1219</v>
      </c>
      <c r="Z5633" s="259" t="s">
        <v>637</v>
      </c>
      <c r="AB5633">
        <v>12012</v>
      </c>
      <c r="AF5633">
        <v>59945.2</v>
      </c>
      <c r="AG5633">
        <v>0</v>
      </c>
      <c r="AI5633">
        <v>59945.2</v>
      </c>
      <c r="AJ5633">
        <v>0</v>
      </c>
      <c r="AK5633">
        <v>0</v>
      </c>
      <c r="AL5633">
        <v>0</v>
      </c>
      <c r="AM5633">
        <v>47988</v>
      </c>
      <c r="AN5633">
        <v>11957.2</v>
      </c>
      <c r="AO5633">
        <v>59945.2</v>
      </c>
      <c r="AP5633">
        <v>0</v>
      </c>
      <c r="AQ5633">
        <v>0</v>
      </c>
      <c r="AR5633">
        <v>0</v>
      </c>
      <c r="AS5633" t="s">
        <v>239</v>
      </c>
      <c r="AT5633" t="s">
        <v>514</v>
      </c>
    </row>
    <row r="5634" spans="2:46" x14ac:dyDescent="0.35">
      <c r="B5634" t="s">
        <v>747</v>
      </c>
      <c r="C5634">
        <v>45782</v>
      </c>
      <c r="J5634">
        <v>0</v>
      </c>
      <c r="O5634" t="s">
        <v>239</v>
      </c>
      <c r="P5634" t="s">
        <v>514</v>
      </c>
      <c r="U5634">
        <v>0</v>
      </c>
      <c r="Y5634">
        <v>1220</v>
      </c>
      <c r="Z5634" s="259" t="s">
        <v>637</v>
      </c>
      <c r="AB5634">
        <v>12012</v>
      </c>
      <c r="AF5634">
        <v>59997.2</v>
      </c>
      <c r="AG5634">
        <v>0</v>
      </c>
      <c r="AI5634">
        <v>59945.2</v>
      </c>
      <c r="AJ5634">
        <v>0</v>
      </c>
      <c r="AK5634">
        <v>0</v>
      </c>
      <c r="AL5634">
        <v>0</v>
      </c>
      <c r="AM5634">
        <v>47988</v>
      </c>
      <c r="AN5634">
        <v>12009.2</v>
      </c>
      <c r="AO5634">
        <v>59997.2</v>
      </c>
      <c r="AP5634">
        <v>0</v>
      </c>
      <c r="AQ5634">
        <v>52</v>
      </c>
      <c r="AR5634">
        <v>8.67458945837285E-4</v>
      </c>
      <c r="AS5634" t="s">
        <v>239</v>
      </c>
      <c r="AT5634" t="s">
        <v>514</v>
      </c>
    </row>
    <row r="5635" spans="2:46" x14ac:dyDescent="0.35">
      <c r="B5635" t="s">
        <v>747</v>
      </c>
      <c r="C5635">
        <v>45783</v>
      </c>
      <c r="J5635">
        <v>0</v>
      </c>
      <c r="O5635" t="s">
        <v>239</v>
      </c>
      <c r="P5635" t="s">
        <v>514</v>
      </c>
      <c r="U5635">
        <v>0</v>
      </c>
      <c r="Y5635">
        <v>1221</v>
      </c>
      <c r="Z5635" s="259" t="s">
        <v>637</v>
      </c>
      <c r="AB5635">
        <v>12012</v>
      </c>
      <c r="AF5635">
        <v>60014.8</v>
      </c>
      <c r="AG5635">
        <v>0</v>
      </c>
      <c r="AI5635">
        <v>59997.2</v>
      </c>
      <c r="AJ5635">
        <v>0</v>
      </c>
      <c r="AK5635">
        <v>0</v>
      </c>
      <c r="AL5635">
        <v>0</v>
      </c>
      <c r="AM5635">
        <v>47988</v>
      </c>
      <c r="AN5635">
        <v>12026.8</v>
      </c>
      <c r="AO5635">
        <v>60014.8</v>
      </c>
      <c r="AP5635">
        <v>0</v>
      </c>
      <c r="AQ5635">
        <v>17.600000000005821</v>
      </c>
      <c r="AR5635">
        <v>2.9334702286121228E-4</v>
      </c>
      <c r="AS5635" t="s">
        <v>239</v>
      </c>
      <c r="AT5635" t="s">
        <v>514</v>
      </c>
    </row>
    <row r="5636" spans="2:46" x14ac:dyDescent="0.35">
      <c r="B5636" t="s">
        <v>747</v>
      </c>
      <c r="C5636">
        <v>45784</v>
      </c>
      <c r="J5636">
        <v>0</v>
      </c>
      <c r="O5636" t="s">
        <v>239</v>
      </c>
      <c r="P5636" t="s">
        <v>514</v>
      </c>
      <c r="U5636">
        <v>0</v>
      </c>
      <c r="Y5636">
        <v>1222</v>
      </c>
      <c r="Z5636" s="259" t="s">
        <v>637</v>
      </c>
      <c r="AB5636">
        <v>12012</v>
      </c>
      <c r="AF5636">
        <v>60032</v>
      </c>
      <c r="AG5636">
        <v>0</v>
      </c>
      <c r="AI5636">
        <v>60014.8</v>
      </c>
      <c r="AJ5636">
        <v>0</v>
      </c>
      <c r="AK5636">
        <v>0</v>
      </c>
      <c r="AL5636">
        <v>0</v>
      </c>
      <c r="AM5636">
        <v>47988</v>
      </c>
      <c r="AN5636">
        <v>12044</v>
      </c>
      <c r="AO5636">
        <v>60032</v>
      </c>
      <c r="AP5636">
        <v>0</v>
      </c>
      <c r="AQ5636">
        <v>17.19999999999709</v>
      </c>
      <c r="AR5636">
        <v>2.8659597299318662E-4</v>
      </c>
      <c r="AS5636" t="s">
        <v>239</v>
      </c>
      <c r="AT5636" t="s">
        <v>514</v>
      </c>
    </row>
    <row r="5637" spans="2:46" x14ac:dyDescent="0.35">
      <c r="B5637" t="s">
        <v>747</v>
      </c>
      <c r="C5637">
        <v>45785</v>
      </c>
      <c r="J5637">
        <v>0</v>
      </c>
      <c r="O5637" t="s">
        <v>239</v>
      </c>
      <c r="P5637" t="s">
        <v>514</v>
      </c>
      <c r="U5637">
        <v>0</v>
      </c>
      <c r="Y5637">
        <v>1223</v>
      </c>
      <c r="Z5637" s="259" t="s">
        <v>637</v>
      </c>
      <c r="AB5637">
        <v>12012</v>
      </c>
      <c r="AF5637">
        <v>60049.2</v>
      </c>
      <c r="AG5637">
        <v>0</v>
      </c>
      <c r="AI5637">
        <v>60032</v>
      </c>
      <c r="AJ5637">
        <v>0</v>
      </c>
      <c r="AK5637">
        <v>0</v>
      </c>
      <c r="AL5637">
        <v>0</v>
      </c>
      <c r="AM5637">
        <v>47988</v>
      </c>
      <c r="AN5637">
        <v>12061.2</v>
      </c>
      <c r="AO5637">
        <v>60049.2</v>
      </c>
      <c r="AP5637">
        <v>0</v>
      </c>
      <c r="AQ5637">
        <v>17.19999999999709</v>
      </c>
      <c r="AR5637">
        <v>2.8651385927491724E-4</v>
      </c>
      <c r="AS5637" t="s">
        <v>239</v>
      </c>
      <c r="AT5637" t="s">
        <v>514</v>
      </c>
    </row>
    <row r="5638" spans="2:46" x14ac:dyDescent="0.35">
      <c r="B5638" t="s">
        <v>747</v>
      </c>
      <c r="C5638">
        <v>45786</v>
      </c>
      <c r="J5638">
        <v>0</v>
      </c>
      <c r="O5638" t="s">
        <v>239</v>
      </c>
      <c r="P5638" t="s">
        <v>514</v>
      </c>
      <c r="U5638">
        <v>0</v>
      </c>
      <c r="Y5638">
        <v>1224</v>
      </c>
      <c r="Z5638" s="259" t="s">
        <v>637</v>
      </c>
      <c r="AB5638">
        <v>12012</v>
      </c>
      <c r="AF5638">
        <v>60066.8</v>
      </c>
      <c r="AG5638">
        <v>0</v>
      </c>
      <c r="AI5638">
        <v>60049.2</v>
      </c>
      <c r="AJ5638">
        <v>0</v>
      </c>
      <c r="AK5638">
        <v>0</v>
      </c>
      <c r="AL5638">
        <v>0</v>
      </c>
      <c r="AM5638">
        <v>47988</v>
      </c>
      <c r="AN5638">
        <v>12078.8</v>
      </c>
      <c r="AO5638">
        <v>60066.8</v>
      </c>
      <c r="AP5638">
        <v>0</v>
      </c>
      <c r="AQ5638">
        <v>17.600000000005821</v>
      </c>
      <c r="AR5638">
        <v>2.9309299707591663E-4</v>
      </c>
      <c r="AS5638" t="s">
        <v>239</v>
      </c>
      <c r="AT5638" t="s">
        <v>514</v>
      </c>
    </row>
    <row r="5639" spans="2:46" x14ac:dyDescent="0.35">
      <c r="B5639" t="s">
        <v>747</v>
      </c>
      <c r="C5639">
        <v>45787</v>
      </c>
      <c r="J5639">
        <v>0</v>
      </c>
      <c r="O5639" t="s">
        <v>239</v>
      </c>
      <c r="P5639" t="s">
        <v>514</v>
      </c>
      <c r="U5639">
        <v>0</v>
      </c>
      <c r="Y5639">
        <v>1225</v>
      </c>
      <c r="Z5639" s="259" t="s">
        <v>637</v>
      </c>
      <c r="AB5639">
        <v>12012</v>
      </c>
      <c r="AF5639">
        <v>60066.8</v>
      </c>
      <c r="AG5639">
        <v>0</v>
      </c>
      <c r="AI5639">
        <v>60066.8</v>
      </c>
      <c r="AJ5639">
        <v>0</v>
      </c>
      <c r="AK5639">
        <v>0</v>
      </c>
      <c r="AL5639">
        <v>0</v>
      </c>
      <c r="AM5639">
        <v>47988</v>
      </c>
      <c r="AN5639">
        <v>12078.8</v>
      </c>
      <c r="AO5639">
        <v>60066.8</v>
      </c>
      <c r="AP5639">
        <v>0</v>
      </c>
      <c r="AQ5639">
        <v>0</v>
      </c>
      <c r="AR5639">
        <v>0</v>
      </c>
      <c r="AS5639" t="s">
        <v>239</v>
      </c>
      <c r="AT5639" t="s">
        <v>514</v>
      </c>
    </row>
    <row r="5640" spans="2:46" x14ac:dyDescent="0.35">
      <c r="B5640" t="s">
        <v>747</v>
      </c>
      <c r="C5640">
        <v>45788</v>
      </c>
      <c r="J5640">
        <v>0</v>
      </c>
      <c r="O5640" t="s">
        <v>239</v>
      </c>
      <c r="P5640" t="s">
        <v>514</v>
      </c>
      <c r="U5640">
        <v>0</v>
      </c>
      <c r="Y5640">
        <v>1226</v>
      </c>
      <c r="Z5640" s="259" t="s">
        <v>637</v>
      </c>
      <c r="AB5640">
        <v>12012</v>
      </c>
      <c r="AF5640">
        <v>60066.8</v>
      </c>
      <c r="AG5640">
        <v>0</v>
      </c>
      <c r="AI5640">
        <v>60066.8</v>
      </c>
      <c r="AJ5640">
        <v>0</v>
      </c>
      <c r="AK5640">
        <v>0</v>
      </c>
      <c r="AL5640">
        <v>0</v>
      </c>
      <c r="AM5640">
        <v>47988</v>
      </c>
      <c r="AN5640">
        <v>12078.8</v>
      </c>
      <c r="AO5640">
        <v>60066.8</v>
      </c>
      <c r="AP5640">
        <v>0</v>
      </c>
      <c r="AQ5640">
        <v>0</v>
      </c>
      <c r="AR5640">
        <v>0</v>
      </c>
      <c r="AS5640" t="s">
        <v>239</v>
      </c>
      <c r="AT5640" t="s">
        <v>514</v>
      </c>
    </row>
    <row r="5641" spans="2:46" x14ac:dyDescent="0.35">
      <c r="B5641" t="s">
        <v>747</v>
      </c>
      <c r="C5641">
        <v>45789</v>
      </c>
      <c r="J5641">
        <v>0</v>
      </c>
      <c r="O5641" t="s">
        <v>239</v>
      </c>
      <c r="P5641" t="s">
        <v>514</v>
      </c>
      <c r="U5641">
        <v>0</v>
      </c>
      <c r="Y5641">
        <v>1227</v>
      </c>
      <c r="Z5641" s="259" t="s">
        <v>637</v>
      </c>
      <c r="AB5641">
        <v>12012</v>
      </c>
      <c r="AF5641">
        <v>60118.8</v>
      </c>
      <c r="AG5641">
        <v>0</v>
      </c>
      <c r="AI5641">
        <v>60066.8</v>
      </c>
      <c r="AJ5641">
        <v>0</v>
      </c>
      <c r="AK5641">
        <v>0</v>
      </c>
      <c r="AL5641">
        <v>0</v>
      </c>
      <c r="AM5641">
        <v>47988</v>
      </c>
      <c r="AN5641">
        <v>12130.8</v>
      </c>
      <c r="AO5641">
        <v>60118.8</v>
      </c>
      <c r="AP5641">
        <v>0</v>
      </c>
      <c r="AQ5641">
        <v>52</v>
      </c>
      <c r="AR5641">
        <v>8.6570285082609999E-4</v>
      </c>
      <c r="AS5641" t="s">
        <v>239</v>
      </c>
      <c r="AT5641" t="s">
        <v>514</v>
      </c>
    </row>
    <row r="5642" spans="2:46" x14ac:dyDescent="0.35">
      <c r="B5642" t="s">
        <v>747</v>
      </c>
      <c r="C5642">
        <v>45790</v>
      </c>
      <c r="J5642">
        <v>0</v>
      </c>
      <c r="O5642" t="s">
        <v>239</v>
      </c>
      <c r="P5642" t="s">
        <v>514</v>
      </c>
      <c r="U5642">
        <v>0</v>
      </c>
      <c r="Y5642">
        <v>1228</v>
      </c>
      <c r="Z5642" s="259" t="s">
        <v>637</v>
      </c>
      <c r="AB5642">
        <v>12012</v>
      </c>
      <c r="AF5642">
        <v>60136</v>
      </c>
      <c r="AG5642">
        <v>0</v>
      </c>
      <c r="AI5642">
        <v>60118.8</v>
      </c>
      <c r="AJ5642">
        <v>0</v>
      </c>
      <c r="AK5642">
        <v>0</v>
      </c>
      <c r="AL5642">
        <v>0</v>
      </c>
      <c r="AM5642">
        <v>47988</v>
      </c>
      <c r="AN5642">
        <v>12148</v>
      </c>
      <c r="AO5642">
        <v>60136</v>
      </c>
      <c r="AP5642">
        <v>0</v>
      </c>
      <c r="AQ5642">
        <v>17.19999999999709</v>
      </c>
      <c r="AR5642">
        <v>2.8610018829389183E-4</v>
      </c>
      <c r="AS5642" t="s">
        <v>239</v>
      </c>
      <c r="AT5642" t="s">
        <v>514</v>
      </c>
    </row>
    <row r="5643" spans="2:46" x14ac:dyDescent="0.35">
      <c r="B5643" t="s">
        <v>747</v>
      </c>
      <c r="C5643">
        <v>45791</v>
      </c>
      <c r="J5643">
        <v>0</v>
      </c>
      <c r="O5643" t="s">
        <v>239</v>
      </c>
      <c r="P5643" t="s">
        <v>514</v>
      </c>
      <c r="U5643">
        <v>0</v>
      </c>
      <c r="Y5643">
        <v>1229</v>
      </c>
      <c r="Z5643" s="259" t="s">
        <v>637</v>
      </c>
      <c r="AB5643">
        <v>12012</v>
      </c>
      <c r="AF5643">
        <v>60153.2</v>
      </c>
      <c r="AG5643">
        <v>0</v>
      </c>
      <c r="AI5643">
        <v>60136</v>
      </c>
      <c r="AJ5643">
        <v>0</v>
      </c>
      <c r="AK5643">
        <v>0</v>
      </c>
      <c r="AL5643">
        <v>0</v>
      </c>
      <c r="AM5643">
        <v>47988</v>
      </c>
      <c r="AN5643">
        <v>12165.199999999999</v>
      </c>
      <c r="AO5643">
        <v>60153.2</v>
      </c>
      <c r="AP5643">
        <v>0</v>
      </c>
      <c r="AQ5643">
        <v>17.19999999999709</v>
      </c>
      <c r="AR5643">
        <v>2.8601835838770739E-4</v>
      </c>
      <c r="AS5643" t="s">
        <v>239</v>
      </c>
      <c r="AT5643" t="s">
        <v>514</v>
      </c>
    </row>
    <row r="5644" spans="2:46" x14ac:dyDescent="0.35">
      <c r="B5644" t="s">
        <v>747</v>
      </c>
      <c r="C5644">
        <v>45792</v>
      </c>
      <c r="J5644">
        <v>0</v>
      </c>
      <c r="O5644" t="s">
        <v>239</v>
      </c>
      <c r="P5644" t="s">
        <v>514</v>
      </c>
      <c r="U5644">
        <v>0</v>
      </c>
      <c r="Y5644">
        <v>1230</v>
      </c>
      <c r="Z5644" s="259" t="s">
        <v>637</v>
      </c>
      <c r="AB5644">
        <v>12012</v>
      </c>
      <c r="AF5644">
        <v>60170.8</v>
      </c>
      <c r="AG5644">
        <v>0</v>
      </c>
      <c r="AI5644">
        <v>60153.2</v>
      </c>
      <c r="AJ5644">
        <v>0</v>
      </c>
      <c r="AK5644">
        <v>0</v>
      </c>
      <c r="AL5644">
        <v>0</v>
      </c>
      <c r="AM5644">
        <v>47988</v>
      </c>
      <c r="AN5644">
        <v>12182.8</v>
      </c>
      <c r="AO5644">
        <v>60170.8</v>
      </c>
      <c r="AP5644">
        <v>0</v>
      </c>
      <c r="AQ5644">
        <v>17.600000000005821</v>
      </c>
      <c r="AR5644">
        <v>2.9258626307515634E-4</v>
      </c>
      <c r="AS5644" t="s">
        <v>239</v>
      </c>
      <c r="AT5644" t="s">
        <v>514</v>
      </c>
    </row>
    <row r="5645" spans="2:46" x14ac:dyDescent="0.35">
      <c r="B5645" t="s">
        <v>747</v>
      </c>
      <c r="C5645">
        <v>45793</v>
      </c>
      <c r="J5645">
        <v>0</v>
      </c>
      <c r="O5645" t="s">
        <v>239</v>
      </c>
      <c r="P5645" t="s">
        <v>514</v>
      </c>
      <c r="U5645">
        <v>0</v>
      </c>
      <c r="Y5645">
        <v>1231</v>
      </c>
      <c r="Z5645" s="259" t="s">
        <v>637</v>
      </c>
      <c r="AB5645">
        <v>12012</v>
      </c>
      <c r="AF5645">
        <v>60188</v>
      </c>
      <c r="AG5645">
        <v>0</v>
      </c>
      <c r="AI5645">
        <v>60170.8</v>
      </c>
      <c r="AJ5645">
        <v>0</v>
      </c>
      <c r="AK5645">
        <v>0</v>
      </c>
      <c r="AL5645">
        <v>0</v>
      </c>
      <c r="AM5645">
        <v>47988</v>
      </c>
      <c r="AN5645">
        <v>12200</v>
      </c>
      <c r="AO5645">
        <v>60188</v>
      </c>
      <c r="AP5645">
        <v>0</v>
      </c>
      <c r="AQ5645">
        <v>17.19999999999709</v>
      </c>
      <c r="AR5645">
        <v>2.8585293863470085E-4</v>
      </c>
      <c r="AS5645" t="s">
        <v>239</v>
      </c>
      <c r="AT5645" t="s">
        <v>514</v>
      </c>
    </row>
    <row r="5646" spans="2:46" x14ac:dyDescent="0.35">
      <c r="B5646" t="s">
        <v>747</v>
      </c>
      <c r="C5646">
        <v>45794</v>
      </c>
      <c r="J5646">
        <v>0</v>
      </c>
      <c r="O5646" t="s">
        <v>239</v>
      </c>
      <c r="P5646" t="s">
        <v>514</v>
      </c>
      <c r="U5646">
        <v>0</v>
      </c>
      <c r="Y5646">
        <v>1232</v>
      </c>
      <c r="Z5646" s="259" t="s">
        <v>637</v>
      </c>
      <c r="AB5646">
        <v>12012</v>
      </c>
      <c r="AF5646">
        <v>60188</v>
      </c>
      <c r="AG5646">
        <v>0</v>
      </c>
      <c r="AI5646">
        <v>60188</v>
      </c>
      <c r="AJ5646">
        <v>0</v>
      </c>
      <c r="AK5646">
        <v>0</v>
      </c>
      <c r="AL5646">
        <v>0</v>
      </c>
      <c r="AM5646">
        <v>47988</v>
      </c>
      <c r="AN5646">
        <v>12200</v>
      </c>
      <c r="AO5646">
        <v>60188</v>
      </c>
      <c r="AP5646">
        <v>0</v>
      </c>
      <c r="AQ5646">
        <v>0</v>
      </c>
      <c r="AR5646">
        <v>0</v>
      </c>
      <c r="AS5646" t="s">
        <v>239</v>
      </c>
      <c r="AT5646" t="s">
        <v>514</v>
      </c>
    </row>
    <row r="5647" spans="2:46" x14ac:dyDescent="0.35">
      <c r="B5647" t="s">
        <v>747</v>
      </c>
      <c r="C5647">
        <v>45795</v>
      </c>
      <c r="J5647">
        <v>0</v>
      </c>
      <c r="O5647" t="s">
        <v>239</v>
      </c>
      <c r="P5647" t="s">
        <v>514</v>
      </c>
      <c r="U5647">
        <v>0</v>
      </c>
      <c r="Y5647">
        <v>1233</v>
      </c>
      <c r="Z5647" s="259" t="s">
        <v>637</v>
      </c>
      <c r="AB5647">
        <v>12012</v>
      </c>
      <c r="AF5647">
        <v>60188</v>
      </c>
      <c r="AG5647">
        <v>0</v>
      </c>
      <c r="AI5647">
        <v>60188</v>
      </c>
      <c r="AJ5647">
        <v>0</v>
      </c>
      <c r="AK5647">
        <v>0</v>
      </c>
      <c r="AL5647">
        <v>0</v>
      </c>
      <c r="AM5647">
        <v>47988</v>
      </c>
      <c r="AN5647">
        <v>12200</v>
      </c>
      <c r="AO5647">
        <v>60188</v>
      </c>
      <c r="AP5647">
        <v>0</v>
      </c>
      <c r="AQ5647">
        <v>0</v>
      </c>
      <c r="AR5647">
        <v>0</v>
      </c>
      <c r="AS5647" t="s">
        <v>239</v>
      </c>
      <c r="AT5647" t="s">
        <v>514</v>
      </c>
    </row>
    <row r="5648" spans="2:46" x14ac:dyDescent="0.35">
      <c r="B5648" t="s">
        <v>747</v>
      </c>
      <c r="C5648">
        <v>45796</v>
      </c>
      <c r="J5648">
        <v>0</v>
      </c>
      <c r="O5648" t="s">
        <v>239</v>
      </c>
      <c r="P5648" t="s">
        <v>514</v>
      </c>
      <c r="U5648">
        <v>0</v>
      </c>
      <c r="Y5648">
        <v>1234</v>
      </c>
      <c r="Z5648" s="259" t="s">
        <v>637</v>
      </c>
      <c r="AB5648">
        <v>12012</v>
      </c>
      <c r="AF5648">
        <v>60240</v>
      </c>
      <c r="AG5648">
        <v>0</v>
      </c>
      <c r="AI5648">
        <v>60188</v>
      </c>
      <c r="AJ5648">
        <v>0</v>
      </c>
      <c r="AK5648">
        <v>0</v>
      </c>
      <c r="AL5648">
        <v>0</v>
      </c>
      <c r="AM5648">
        <v>47988</v>
      </c>
      <c r="AN5648">
        <v>12252</v>
      </c>
      <c r="AO5648">
        <v>60240</v>
      </c>
      <c r="AP5648">
        <v>0</v>
      </c>
      <c r="AQ5648">
        <v>52</v>
      </c>
      <c r="AR5648">
        <v>8.6395959327445482E-4</v>
      </c>
      <c r="AS5648" t="s">
        <v>239</v>
      </c>
      <c r="AT5648" t="s">
        <v>514</v>
      </c>
    </row>
    <row r="5649" spans="2:46" x14ac:dyDescent="0.35">
      <c r="B5649" t="s">
        <v>747</v>
      </c>
      <c r="C5649">
        <v>45797</v>
      </c>
      <c r="J5649">
        <v>0</v>
      </c>
      <c r="O5649" t="s">
        <v>239</v>
      </c>
      <c r="P5649" t="s">
        <v>514</v>
      </c>
      <c r="U5649">
        <v>0</v>
      </c>
      <c r="Y5649">
        <v>1235</v>
      </c>
      <c r="Z5649" s="259" t="s">
        <v>637</v>
      </c>
      <c r="AB5649">
        <v>12012</v>
      </c>
      <c r="AF5649">
        <v>60257.2</v>
      </c>
      <c r="AG5649">
        <v>0</v>
      </c>
      <c r="AI5649">
        <v>60240</v>
      </c>
      <c r="AJ5649">
        <v>0</v>
      </c>
      <c r="AK5649">
        <v>0</v>
      </c>
      <c r="AL5649">
        <v>0</v>
      </c>
      <c r="AM5649">
        <v>47988</v>
      </c>
      <c r="AN5649">
        <v>12269.2</v>
      </c>
      <c r="AO5649">
        <v>60257.2</v>
      </c>
      <c r="AP5649">
        <v>0</v>
      </c>
      <c r="AQ5649">
        <v>17.19999999999709</v>
      </c>
      <c r="AR5649">
        <v>2.855245683930363E-4</v>
      </c>
      <c r="AS5649" t="s">
        <v>239</v>
      </c>
      <c r="AT5649" t="s">
        <v>514</v>
      </c>
    </row>
    <row r="5650" spans="2:46" x14ac:dyDescent="0.35">
      <c r="B5650" t="s">
        <v>747</v>
      </c>
      <c r="C5650">
        <v>45798</v>
      </c>
      <c r="J5650">
        <v>0</v>
      </c>
      <c r="O5650" t="s">
        <v>239</v>
      </c>
      <c r="P5650" t="s">
        <v>514</v>
      </c>
      <c r="U5650">
        <v>0</v>
      </c>
      <c r="Y5650">
        <v>1236</v>
      </c>
      <c r="Z5650" s="259" t="s">
        <v>637</v>
      </c>
      <c r="AB5650">
        <v>12012</v>
      </c>
      <c r="AF5650">
        <v>60274.8</v>
      </c>
      <c r="AG5650">
        <v>0</v>
      </c>
      <c r="AI5650">
        <v>60257.2</v>
      </c>
      <c r="AJ5650">
        <v>0</v>
      </c>
      <c r="AK5650">
        <v>0</v>
      </c>
      <c r="AL5650">
        <v>0</v>
      </c>
      <c r="AM5650">
        <v>47988</v>
      </c>
      <c r="AN5650">
        <v>12286.8</v>
      </c>
      <c r="AO5650">
        <v>60274.8</v>
      </c>
      <c r="AP5650">
        <v>0</v>
      </c>
      <c r="AQ5650">
        <v>17.600000000005821</v>
      </c>
      <c r="AR5650">
        <v>2.9208127825408603E-4</v>
      </c>
      <c r="AS5650" t="s">
        <v>239</v>
      </c>
      <c r="AT5650" t="s">
        <v>514</v>
      </c>
    </row>
    <row r="5651" spans="2:46" x14ac:dyDescent="0.35">
      <c r="B5651" t="s">
        <v>747</v>
      </c>
      <c r="C5651">
        <v>45799</v>
      </c>
      <c r="J5651">
        <v>0</v>
      </c>
      <c r="O5651" t="s">
        <v>239</v>
      </c>
      <c r="P5651" t="s">
        <v>514</v>
      </c>
      <c r="U5651">
        <v>0</v>
      </c>
      <c r="Y5651">
        <v>1237</v>
      </c>
      <c r="Z5651" s="259" t="s">
        <v>637</v>
      </c>
      <c r="AB5651">
        <v>12012</v>
      </c>
      <c r="AF5651">
        <v>60292</v>
      </c>
      <c r="AG5651">
        <v>0</v>
      </c>
      <c r="AI5651">
        <v>60274.8</v>
      </c>
      <c r="AJ5651">
        <v>0</v>
      </c>
      <c r="AK5651">
        <v>0</v>
      </c>
      <c r="AL5651">
        <v>0</v>
      </c>
      <c r="AM5651">
        <v>47988</v>
      </c>
      <c r="AN5651">
        <v>12304</v>
      </c>
      <c r="AO5651">
        <v>60292</v>
      </c>
      <c r="AP5651">
        <v>0</v>
      </c>
      <c r="AQ5651">
        <v>17.19999999999709</v>
      </c>
      <c r="AR5651">
        <v>2.8535971915299996E-4</v>
      </c>
      <c r="AS5651" t="s">
        <v>239</v>
      </c>
      <c r="AT5651" t="s">
        <v>514</v>
      </c>
    </row>
    <row r="5652" spans="2:46" x14ac:dyDescent="0.35">
      <c r="B5652" t="s">
        <v>747</v>
      </c>
      <c r="C5652">
        <v>45800</v>
      </c>
      <c r="J5652">
        <v>0</v>
      </c>
      <c r="O5652" t="s">
        <v>239</v>
      </c>
      <c r="P5652" t="s">
        <v>514</v>
      </c>
      <c r="U5652">
        <v>0</v>
      </c>
      <c r="Y5652">
        <v>1238</v>
      </c>
      <c r="Z5652" s="259" t="s">
        <v>637</v>
      </c>
      <c r="AB5652">
        <v>12012</v>
      </c>
      <c r="AF5652">
        <v>60309.2</v>
      </c>
      <c r="AG5652">
        <v>0</v>
      </c>
      <c r="AI5652">
        <v>60292</v>
      </c>
      <c r="AJ5652">
        <v>0</v>
      </c>
      <c r="AK5652">
        <v>0</v>
      </c>
      <c r="AL5652">
        <v>0</v>
      </c>
      <c r="AM5652">
        <v>47988</v>
      </c>
      <c r="AN5652">
        <v>12321.2</v>
      </c>
      <c r="AO5652">
        <v>60309.2</v>
      </c>
      <c r="AP5652">
        <v>0</v>
      </c>
      <c r="AQ5652">
        <v>17.19999999999709</v>
      </c>
      <c r="AR5652">
        <v>2.8527831221381028E-4</v>
      </c>
      <c r="AS5652" t="s">
        <v>239</v>
      </c>
      <c r="AT5652" t="s">
        <v>514</v>
      </c>
    </row>
    <row r="5653" spans="2:46" x14ac:dyDescent="0.35">
      <c r="B5653" t="s">
        <v>747</v>
      </c>
      <c r="C5653">
        <v>45801</v>
      </c>
      <c r="J5653">
        <v>0</v>
      </c>
      <c r="O5653" t="s">
        <v>239</v>
      </c>
      <c r="P5653" t="s">
        <v>514</v>
      </c>
      <c r="U5653">
        <v>0</v>
      </c>
      <c r="Y5653">
        <v>1239</v>
      </c>
      <c r="Z5653" s="259" t="s">
        <v>637</v>
      </c>
      <c r="AB5653">
        <v>12012</v>
      </c>
      <c r="AF5653">
        <v>60309.2</v>
      </c>
      <c r="AG5653">
        <v>0</v>
      </c>
      <c r="AI5653">
        <v>60309.2</v>
      </c>
      <c r="AJ5653">
        <v>0</v>
      </c>
      <c r="AK5653">
        <v>0</v>
      </c>
      <c r="AL5653">
        <v>0</v>
      </c>
      <c r="AM5653">
        <v>47988</v>
      </c>
      <c r="AN5653">
        <v>12321.2</v>
      </c>
      <c r="AO5653">
        <v>60309.2</v>
      </c>
      <c r="AP5653">
        <v>0</v>
      </c>
      <c r="AQ5653">
        <v>0</v>
      </c>
      <c r="AR5653">
        <v>0</v>
      </c>
      <c r="AS5653" t="s">
        <v>239</v>
      </c>
      <c r="AT5653" t="s">
        <v>514</v>
      </c>
    </row>
    <row r="5654" spans="2:46" x14ac:dyDescent="0.35">
      <c r="B5654" t="s">
        <v>747</v>
      </c>
      <c r="C5654">
        <v>45802</v>
      </c>
      <c r="J5654">
        <v>0</v>
      </c>
      <c r="O5654" t="s">
        <v>239</v>
      </c>
      <c r="P5654" t="s">
        <v>514</v>
      </c>
      <c r="U5654">
        <v>0</v>
      </c>
      <c r="Y5654">
        <v>1240</v>
      </c>
      <c r="Z5654" s="259" t="s">
        <v>637</v>
      </c>
      <c r="AB5654">
        <v>12012</v>
      </c>
      <c r="AF5654">
        <v>60309.2</v>
      </c>
      <c r="AG5654">
        <v>0</v>
      </c>
      <c r="AI5654">
        <v>60309.2</v>
      </c>
      <c r="AJ5654">
        <v>0</v>
      </c>
      <c r="AK5654">
        <v>0</v>
      </c>
      <c r="AL5654">
        <v>0</v>
      </c>
      <c r="AM5654">
        <v>47988</v>
      </c>
      <c r="AN5654">
        <v>12321.2</v>
      </c>
      <c r="AO5654">
        <v>60309.2</v>
      </c>
      <c r="AP5654">
        <v>0</v>
      </c>
      <c r="AQ5654">
        <v>0</v>
      </c>
      <c r="AR5654">
        <v>0</v>
      </c>
      <c r="AS5654" t="s">
        <v>239</v>
      </c>
      <c r="AT5654" t="s">
        <v>514</v>
      </c>
    </row>
    <row r="5655" spans="2:46" x14ac:dyDescent="0.35">
      <c r="B5655" t="s">
        <v>747</v>
      </c>
      <c r="C5655">
        <v>45803</v>
      </c>
      <c r="J5655">
        <v>0</v>
      </c>
      <c r="O5655" t="s">
        <v>239</v>
      </c>
      <c r="P5655" t="s">
        <v>514</v>
      </c>
      <c r="U5655">
        <v>0</v>
      </c>
      <c r="Y5655">
        <v>1241</v>
      </c>
      <c r="Z5655" s="259" t="s">
        <v>637</v>
      </c>
      <c r="AB5655">
        <v>12012</v>
      </c>
      <c r="AF5655">
        <v>60361.2</v>
      </c>
      <c r="AG5655">
        <v>0</v>
      </c>
      <c r="AI5655">
        <v>60309.2</v>
      </c>
      <c r="AJ5655">
        <v>0</v>
      </c>
      <c r="AK5655">
        <v>0</v>
      </c>
      <c r="AL5655">
        <v>0</v>
      </c>
      <c r="AM5655">
        <v>47988</v>
      </c>
      <c r="AN5655">
        <v>12373.2</v>
      </c>
      <c r="AO5655">
        <v>60361.2</v>
      </c>
      <c r="AP5655">
        <v>0</v>
      </c>
      <c r="AQ5655">
        <v>52</v>
      </c>
      <c r="AR5655">
        <v>8.6222334237562315E-4</v>
      </c>
      <c r="AS5655" t="s">
        <v>239</v>
      </c>
      <c r="AT5655" t="s">
        <v>514</v>
      </c>
    </row>
    <row r="5656" spans="2:46" x14ac:dyDescent="0.35">
      <c r="B5656" t="s">
        <v>747</v>
      </c>
      <c r="C5656">
        <v>45804</v>
      </c>
      <c r="J5656">
        <v>0</v>
      </c>
      <c r="O5656" t="s">
        <v>239</v>
      </c>
      <c r="P5656" t="s">
        <v>514</v>
      </c>
      <c r="U5656">
        <v>0</v>
      </c>
      <c r="Y5656">
        <v>1242</v>
      </c>
      <c r="Z5656" s="259" t="s">
        <v>637</v>
      </c>
      <c r="AB5656">
        <v>12012</v>
      </c>
      <c r="AF5656">
        <v>60378.8</v>
      </c>
      <c r="AG5656">
        <v>0</v>
      </c>
      <c r="AI5656">
        <v>60361.2</v>
      </c>
      <c r="AJ5656">
        <v>0</v>
      </c>
      <c r="AK5656">
        <v>0</v>
      </c>
      <c r="AL5656">
        <v>0</v>
      </c>
      <c r="AM5656">
        <v>47988</v>
      </c>
      <c r="AN5656">
        <v>12390.8</v>
      </c>
      <c r="AO5656">
        <v>60378.8</v>
      </c>
      <c r="AP5656">
        <v>0</v>
      </c>
      <c r="AQ5656">
        <v>17.600000000005821</v>
      </c>
      <c r="AR5656">
        <v>2.9157803357127143E-4</v>
      </c>
      <c r="AS5656" t="s">
        <v>239</v>
      </c>
      <c r="AT5656" t="s">
        <v>514</v>
      </c>
    </row>
    <row r="5657" spans="2:46" x14ac:dyDescent="0.35">
      <c r="B5657" t="s">
        <v>747</v>
      </c>
      <c r="C5657">
        <v>45805</v>
      </c>
      <c r="J5657">
        <v>0</v>
      </c>
      <c r="O5657" t="s">
        <v>239</v>
      </c>
      <c r="P5657" t="s">
        <v>514</v>
      </c>
      <c r="U5657">
        <v>0</v>
      </c>
      <c r="Y5657">
        <v>1243</v>
      </c>
      <c r="Z5657" s="259" t="s">
        <v>637</v>
      </c>
      <c r="AB5657">
        <v>12012</v>
      </c>
      <c r="AF5657">
        <v>60396</v>
      </c>
      <c r="AG5657">
        <v>0</v>
      </c>
      <c r="AI5657">
        <v>60378.8</v>
      </c>
      <c r="AJ5657">
        <v>0</v>
      </c>
      <c r="AK5657">
        <v>0</v>
      </c>
      <c r="AL5657">
        <v>0</v>
      </c>
      <c r="AM5657">
        <v>47988</v>
      </c>
      <c r="AN5657">
        <v>12408</v>
      </c>
      <c r="AO5657">
        <v>60396</v>
      </c>
      <c r="AP5657">
        <v>0</v>
      </c>
      <c r="AQ5657">
        <v>17.19999999999709</v>
      </c>
      <c r="AR5657">
        <v>2.8486819877171499E-4</v>
      </c>
      <c r="AS5657" t="s">
        <v>239</v>
      </c>
      <c r="AT5657" t="s">
        <v>514</v>
      </c>
    </row>
    <row r="5658" spans="2:46" x14ac:dyDescent="0.35">
      <c r="B5658" t="s">
        <v>747</v>
      </c>
      <c r="C5658">
        <v>45806</v>
      </c>
      <c r="J5658">
        <v>0</v>
      </c>
      <c r="O5658" t="s">
        <v>239</v>
      </c>
      <c r="P5658" t="s">
        <v>514</v>
      </c>
      <c r="U5658">
        <v>0</v>
      </c>
      <c r="Y5658">
        <v>1244</v>
      </c>
      <c r="Z5658" s="259" t="s">
        <v>637</v>
      </c>
      <c r="AB5658">
        <v>12012</v>
      </c>
      <c r="AF5658">
        <v>60413.2</v>
      </c>
      <c r="AG5658">
        <v>0</v>
      </c>
      <c r="AI5658">
        <v>60396</v>
      </c>
      <c r="AJ5658">
        <v>0</v>
      </c>
      <c r="AK5658">
        <v>0</v>
      </c>
      <c r="AL5658">
        <v>0</v>
      </c>
      <c r="AM5658">
        <v>47988</v>
      </c>
      <c r="AN5658">
        <v>12425.2</v>
      </c>
      <c r="AO5658">
        <v>60413.2</v>
      </c>
      <c r="AP5658">
        <v>0</v>
      </c>
      <c r="AQ5658">
        <v>17.19999999999709</v>
      </c>
      <c r="AR5658">
        <v>2.8478707199153241E-4</v>
      </c>
      <c r="AS5658" t="s">
        <v>239</v>
      </c>
      <c r="AT5658" t="s">
        <v>514</v>
      </c>
    </row>
    <row r="5659" spans="2:46" x14ac:dyDescent="0.35">
      <c r="B5659" t="s">
        <v>747</v>
      </c>
      <c r="C5659">
        <v>45807</v>
      </c>
      <c r="J5659">
        <v>0</v>
      </c>
      <c r="O5659" t="s">
        <v>239</v>
      </c>
      <c r="P5659" t="s">
        <v>514</v>
      </c>
      <c r="U5659">
        <v>0</v>
      </c>
      <c r="Y5659">
        <v>1245</v>
      </c>
      <c r="Z5659" s="259" t="s">
        <v>637</v>
      </c>
      <c r="AB5659">
        <v>12012</v>
      </c>
      <c r="AF5659">
        <v>60430.8</v>
      </c>
      <c r="AG5659">
        <v>0</v>
      </c>
      <c r="AI5659">
        <v>60413.2</v>
      </c>
      <c r="AJ5659">
        <v>0</v>
      </c>
      <c r="AK5659">
        <v>0</v>
      </c>
      <c r="AL5659">
        <v>0</v>
      </c>
      <c r="AM5659">
        <v>47988</v>
      </c>
      <c r="AN5659">
        <v>12442.8</v>
      </c>
      <c r="AO5659">
        <v>60430.8</v>
      </c>
      <c r="AP5659">
        <v>0</v>
      </c>
      <c r="AQ5659">
        <v>17.600000000005821</v>
      </c>
      <c r="AR5659">
        <v>2.913270609734564E-4</v>
      </c>
      <c r="AS5659" t="s">
        <v>239</v>
      </c>
      <c r="AT5659" t="s">
        <v>514</v>
      </c>
    </row>
    <row r="5660" spans="2:46" x14ac:dyDescent="0.35">
      <c r="B5660" t="s">
        <v>747</v>
      </c>
      <c r="C5660">
        <v>45808</v>
      </c>
      <c r="J5660">
        <v>0</v>
      </c>
      <c r="O5660" t="s">
        <v>239</v>
      </c>
      <c r="P5660" t="s">
        <v>514</v>
      </c>
      <c r="U5660">
        <v>0</v>
      </c>
      <c r="Y5660">
        <v>1246</v>
      </c>
      <c r="Z5660" s="259" t="s">
        <v>637</v>
      </c>
      <c r="AB5660">
        <v>12012</v>
      </c>
      <c r="AF5660">
        <v>60430.8</v>
      </c>
      <c r="AG5660">
        <v>0</v>
      </c>
      <c r="AI5660">
        <v>60430.8</v>
      </c>
      <c r="AJ5660">
        <v>0</v>
      </c>
      <c r="AK5660">
        <v>0</v>
      </c>
      <c r="AL5660">
        <v>0</v>
      </c>
      <c r="AM5660">
        <v>47988</v>
      </c>
      <c r="AN5660">
        <v>12442.8</v>
      </c>
      <c r="AO5660">
        <v>60430.8</v>
      </c>
      <c r="AP5660">
        <v>0</v>
      </c>
      <c r="AQ5660">
        <v>0</v>
      </c>
      <c r="AR5660">
        <v>0</v>
      </c>
      <c r="AS5660" t="s">
        <v>239</v>
      </c>
      <c r="AT5660" t="s">
        <v>514</v>
      </c>
    </row>
    <row r="5661" spans="2:46" x14ac:dyDescent="0.35">
      <c r="B5661" t="s">
        <v>747</v>
      </c>
      <c r="C5661">
        <v>45809</v>
      </c>
      <c r="J5661">
        <v>0</v>
      </c>
      <c r="O5661" t="s">
        <v>239</v>
      </c>
      <c r="P5661" t="s">
        <v>514</v>
      </c>
      <c r="U5661">
        <v>0</v>
      </c>
      <c r="Y5661">
        <v>1247</v>
      </c>
      <c r="Z5661" s="259" t="s">
        <v>637</v>
      </c>
      <c r="AB5661">
        <v>12012</v>
      </c>
      <c r="AF5661">
        <v>60430.8</v>
      </c>
      <c r="AG5661">
        <v>0</v>
      </c>
      <c r="AI5661">
        <v>60430.8</v>
      </c>
      <c r="AJ5661">
        <v>0</v>
      </c>
      <c r="AK5661">
        <v>0</v>
      </c>
      <c r="AL5661">
        <v>0</v>
      </c>
      <c r="AM5661">
        <v>47988</v>
      </c>
      <c r="AN5661">
        <v>12442.8</v>
      </c>
      <c r="AO5661">
        <v>60430.8</v>
      </c>
      <c r="AP5661">
        <v>0</v>
      </c>
      <c r="AQ5661">
        <v>0</v>
      </c>
      <c r="AR5661">
        <v>0</v>
      </c>
      <c r="AS5661" t="s">
        <v>239</v>
      </c>
      <c r="AT5661" t="s">
        <v>514</v>
      </c>
    </row>
    <row r="5662" spans="2:46" x14ac:dyDescent="0.35">
      <c r="B5662" t="s">
        <v>747</v>
      </c>
      <c r="C5662">
        <v>45810</v>
      </c>
      <c r="J5662">
        <v>0</v>
      </c>
      <c r="O5662" t="s">
        <v>239</v>
      </c>
      <c r="P5662" t="s">
        <v>514</v>
      </c>
      <c r="U5662">
        <v>0</v>
      </c>
      <c r="Y5662">
        <v>1248</v>
      </c>
      <c r="Z5662" s="259" t="s">
        <v>637</v>
      </c>
      <c r="AB5662">
        <v>12012</v>
      </c>
      <c r="AF5662">
        <v>63450.400000000001</v>
      </c>
      <c r="AG5662">
        <v>0</v>
      </c>
      <c r="AI5662">
        <v>60430.8</v>
      </c>
      <c r="AJ5662">
        <v>0</v>
      </c>
      <c r="AK5662">
        <v>3000</v>
      </c>
      <c r="AL5662">
        <v>3000</v>
      </c>
      <c r="AM5662">
        <v>50988</v>
      </c>
      <c r="AN5662">
        <v>12462.4</v>
      </c>
      <c r="AO5662">
        <v>63450.400000000001</v>
      </c>
      <c r="AP5662">
        <v>0</v>
      </c>
      <c r="AQ5662">
        <v>19.599999999998545</v>
      </c>
      <c r="AR5662">
        <v>3.2433792039809894E-4</v>
      </c>
      <c r="AS5662" t="s">
        <v>239</v>
      </c>
      <c r="AT5662" t="s">
        <v>514</v>
      </c>
    </row>
    <row r="5663" spans="2:46" x14ac:dyDescent="0.35">
      <c r="B5663" t="s">
        <v>747</v>
      </c>
      <c r="C5663">
        <v>45811</v>
      </c>
      <c r="J5663">
        <v>0</v>
      </c>
      <c r="O5663" t="s">
        <v>239</v>
      </c>
      <c r="P5663" t="s">
        <v>514</v>
      </c>
      <c r="U5663">
        <v>0</v>
      </c>
      <c r="Y5663">
        <v>1249</v>
      </c>
      <c r="Z5663" s="259" t="s">
        <v>637</v>
      </c>
      <c r="AB5663">
        <v>12012</v>
      </c>
      <c r="AF5663">
        <v>63453.2</v>
      </c>
      <c r="AG5663">
        <v>0</v>
      </c>
      <c r="AI5663">
        <v>63450.400000000001</v>
      </c>
      <c r="AJ5663">
        <v>0</v>
      </c>
      <c r="AK5663">
        <v>0</v>
      </c>
      <c r="AL5663">
        <v>0</v>
      </c>
      <c r="AM5663">
        <v>50988</v>
      </c>
      <c r="AN5663">
        <v>12465.2</v>
      </c>
      <c r="AO5663">
        <v>63453.2</v>
      </c>
      <c r="AP5663">
        <v>0</v>
      </c>
      <c r="AQ5663">
        <v>2.7999999999956344</v>
      </c>
      <c r="AR5663">
        <v>4.4128957421785131E-5</v>
      </c>
      <c r="AS5663" t="s">
        <v>239</v>
      </c>
      <c r="AT5663" t="s">
        <v>514</v>
      </c>
    </row>
    <row r="5664" spans="2:46" x14ac:dyDescent="0.35">
      <c r="B5664" t="s">
        <v>747</v>
      </c>
      <c r="C5664">
        <v>45812</v>
      </c>
      <c r="J5664">
        <v>0</v>
      </c>
      <c r="O5664" t="s">
        <v>239</v>
      </c>
      <c r="P5664" t="s">
        <v>514</v>
      </c>
      <c r="U5664">
        <v>0</v>
      </c>
      <c r="Y5664">
        <v>1250</v>
      </c>
      <c r="Z5664" s="259" t="s">
        <v>637</v>
      </c>
      <c r="AB5664">
        <v>12012</v>
      </c>
      <c r="AF5664">
        <v>63456.6</v>
      </c>
      <c r="AG5664">
        <v>0</v>
      </c>
      <c r="AI5664">
        <v>63453.2</v>
      </c>
      <c r="AJ5664">
        <v>0</v>
      </c>
      <c r="AK5664">
        <v>0</v>
      </c>
      <c r="AL5664">
        <v>0</v>
      </c>
      <c r="AM5664">
        <v>50988</v>
      </c>
      <c r="AN5664">
        <v>12468.6</v>
      </c>
      <c r="AO5664">
        <v>63456.6</v>
      </c>
      <c r="AP5664">
        <v>0</v>
      </c>
      <c r="AQ5664">
        <v>3.4000000000014552</v>
      </c>
      <c r="AR5664">
        <v>5.3582798030804568E-5</v>
      </c>
      <c r="AS5664" t="s">
        <v>239</v>
      </c>
      <c r="AT5664" t="s">
        <v>514</v>
      </c>
    </row>
    <row r="5665" spans="2:46" x14ac:dyDescent="0.35">
      <c r="B5665" t="s">
        <v>747</v>
      </c>
      <c r="C5665">
        <v>45813</v>
      </c>
      <c r="J5665">
        <v>0</v>
      </c>
      <c r="O5665" t="s">
        <v>239</v>
      </c>
      <c r="P5665" t="s">
        <v>514</v>
      </c>
      <c r="U5665">
        <v>0</v>
      </c>
      <c r="Y5665">
        <v>1251</v>
      </c>
      <c r="Z5665" s="259" t="s">
        <v>637</v>
      </c>
      <c r="AB5665">
        <v>12012</v>
      </c>
      <c r="AF5665">
        <v>63459.4</v>
      </c>
      <c r="AG5665">
        <v>0</v>
      </c>
      <c r="AI5665">
        <v>63456.6</v>
      </c>
      <c r="AJ5665">
        <v>0</v>
      </c>
      <c r="AK5665">
        <v>0</v>
      </c>
      <c r="AL5665">
        <v>0</v>
      </c>
      <c r="AM5665">
        <v>50988</v>
      </c>
      <c r="AN5665">
        <v>12471.4</v>
      </c>
      <c r="AO5665">
        <v>63459.4</v>
      </c>
      <c r="AP5665">
        <v>0</v>
      </c>
      <c r="AQ5665">
        <v>2.8000000000029104</v>
      </c>
      <c r="AR5665">
        <v>4.4124645820931008E-5</v>
      </c>
      <c r="AS5665" t="s">
        <v>239</v>
      </c>
      <c r="AT5665" t="s">
        <v>514</v>
      </c>
    </row>
    <row r="5666" spans="2:46" x14ac:dyDescent="0.35">
      <c r="B5666" t="s">
        <v>747</v>
      </c>
      <c r="C5666">
        <v>45814</v>
      </c>
      <c r="J5666">
        <v>0</v>
      </c>
      <c r="O5666" t="s">
        <v>239</v>
      </c>
      <c r="P5666" t="s">
        <v>514</v>
      </c>
      <c r="U5666">
        <v>0</v>
      </c>
      <c r="Y5666">
        <v>1252</v>
      </c>
      <c r="Z5666" s="259" t="s">
        <v>637</v>
      </c>
      <c r="AB5666">
        <v>12012</v>
      </c>
      <c r="AF5666">
        <v>63461.8</v>
      </c>
      <c r="AG5666">
        <v>0</v>
      </c>
      <c r="AI5666">
        <v>63459.4</v>
      </c>
      <c r="AJ5666">
        <v>0</v>
      </c>
      <c r="AK5666">
        <v>0</v>
      </c>
      <c r="AL5666">
        <v>0</v>
      </c>
      <c r="AM5666">
        <v>50988</v>
      </c>
      <c r="AN5666">
        <v>12473.8</v>
      </c>
      <c r="AO5666">
        <v>63461.8</v>
      </c>
      <c r="AP5666">
        <v>0</v>
      </c>
      <c r="AQ5666">
        <v>2.4000000000014552</v>
      </c>
      <c r="AR5666">
        <v>3.7819456219168046E-5</v>
      </c>
      <c r="AS5666" t="s">
        <v>239</v>
      </c>
      <c r="AT5666" t="s">
        <v>514</v>
      </c>
    </row>
    <row r="5667" spans="2:46" x14ac:dyDescent="0.35">
      <c r="B5667" t="s">
        <v>747</v>
      </c>
      <c r="C5667">
        <v>45815</v>
      </c>
      <c r="J5667">
        <v>0</v>
      </c>
      <c r="O5667" t="s">
        <v>239</v>
      </c>
      <c r="P5667" t="s">
        <v>514</v>
      </c>
      <c r="U5667">
        <v>0</v>
      </c>
      <c r="Y5667">
        <v>1253</v>
      </c>
      <c r="Z5667" s="259" t="s">
        <v>637</v>
      </c>
      <c r="AB5667">
        <v>12012</v>
      </c>
      <c r="AF5667">
        <v>63461.8</v>
      </c>
      <c r="AG5667">
        <v>0</v>
      </c>
      <c r="AI5667">
        <v>63461.8</v>
      </c>
      <c r="AJ5667">
        <v>0</v>
      </c>
      <c r="AK5667">
        <v>0</v>
      </c>
      <c r="AL5667">
        <v>0</v>
      </c>
      <c r="AM5667">
        <v>50988</v>
      </c>
      <c r="AN5667">
        <v>12473.8</v>
      </c>
      <c r="AO5667">
        <v>63461.8</v>
      </c>
      <c r="AP5667">
        <v>0</v>
      </c>
      <c r="AQ5667">
        <v>0</v>
      </c>
      <c r="AR5667">
        <v>0</v>
      </c>
      <c r="AS5667" t="s">
        <v>239</v>
      </c>
      <c r="AT5667" t="s">
        <v>514</v>
      </c>
    </row>
    <row r="5668" spans="2:46" x14ac:dyDescent="0.35">
      <c r="B5668" t="s">
        <v>747</v>
      </c>
      <c r="C5668">
        <v>45816</v>
      </c>
      <c r="J5668">
        <v>0</v>
      </c>
      <c r="O5668" t="s">
        <v>239</v>
      </c>
      <c r="P5668" t="s">
        <v>514</v>
      </c>
      <c r="U5668">
        <v>0</v>
      </c>
      <c r="Y5668">
        <v>1254</v>
      </c>
      <c r="Z5668" s="259" t="s">
        <v>637</v>
      </c>
      <c r="AB5668">
        <v>12012</v>
      </c>
      <c r="AF5668">
        <v>63461.8</v>
      </c>
      <c r="AG5668">
        <v>0</v>
      </c>
      <c r="AI5668">
        <v>63461.8</v>
      </c>
      <c r="AJ5668">
        <v>0</v>
      </c>
      <c r="AK5668">
        <v>0</v>
      </c>
      <c r="AL5668">
        <v>0</v>
      </c>
      <c r="AM5668">
        <v>50988</v>
      </c>
      <c r="AN5668">
        <v>12473.8</v>
      </c>
      <c r="AO5668">
        <v>63461.8</v>
      </c>
      <c r="AP5668">
        <v>0</v>
      </c>
      <c r="AQ5668">
        <v>0</v>
      </c>
      <c r="AR5668">
        <v>0</v>
      </c>
      <c r="AS5668" t="s">
        <v>239</v>
      </c>
      <c r="AT5668" t="s">
        <v>514</v>
      </c>
    </row>
    <row r="5669" spans="2:46" x14ac:dyDescent="0.35">
      <c r="B5669" t="s">
        <v>747</v>
      </c>
      <c r="C5669">
        <v>45817</v>
      </c>
      <c r="J5669">
        <v>0</v>
      </c>
      <c r="O5669" t="s">
        <v>239</v>
      </c>
      <c r="P5669" t="s">
        <v>514</v>
      </c>
      <c r="U5669">
        <v>0</v>
      </c>
      <c r="Y5669">
        <v>1255</v>
      </c>
      <c r="Z5669" s="259" t="s">
        <v>637</v>
      </c>
      <c r="AB5669">
        <v>12012</v>
      </c>
      <c r="AF5669">
        <v>63470.400000000001</v>
      </c>
      <c r="AG5669">
        <v>0</v>
      </c>
      <c r="AI5669">
        <v>63461.8</v>
      </c>
      <c r="AJ5669">
        <v>0</v>
      </c>
      <c r="AK5669">
        <v>0</v>
      </c>
      <c r="AL5669">
        <v>0</v>
      </c>
      <c r="AM5669">
        <v>50988</v>
      </c>
      <c r="AN5669">
        <v>12482.4</v>
      </c>
      <c r="AO5669">
        <v>63470.400000000001</v>
      </c>
      <c r="AP5669">
        <v>0</v>
      </c>
      <c r="AQ5669">
        <v>8.5999999999985448</v>
      </c>
      <c r="AR5669">
        <v>1.3551459303084989E-4</v>
      </c>
      <c r="AS5669" t="s">
        <v>239</v>
      </c>
      <c r="AT5669" t="s">
        <v>514</v>
      </c>
    </row>
    <row r="5670" spans="2:46" x14ac:dyDescent="0.35">
      <c r="B5670" t="s">
        <v>747</v>
      </c>
      <c r="C5670">
        <v>45818</v>
      </c>
      <c r="J5670">
        <v>0</v>
      </c>
      <c r="O5670" t="s">
        <v>239</v>
      </c>
      <c r="P5670" t="s">
        <v>514</v>
      </c>
      <c r="U5670">
        <v>0</v>
      </c>
      <c r="Y5670">
        <v>1256</v>
      </c>
      <c r="Z5670" s="259" t="s">
        <v>637</v>
      </c>
      <c r="AB5670">
        <v>12012</v>
      </c>
      <c r="AF5670">
        <v>63472.800000000003</v>
      </c>
      <c r="AG5670">
        <v>0</v>
      </c>
      <c r="AI5670">
        <v>63470.400000000001</v>
      </c>
      <c r="AJ5670">
        <v>0</v>
      </c>
      <c r="AK5670">
        <v>0</v>
      </c>
      <c r="AL5670">
        <v>0</v>
      </c>
      <c r="AM5670">
        <v>50988</v>
      </c>
      <c r="AN5670">
        <v>12484.8</v>
      </c>
      <c r="AO5670">
        <v>63472.800000000003</v>
      </c>
      <c r="AP5670">
        <v>0</v>
      </c>
      <c r="AQ5670">
        <v>2.4000000000014552</v>
      </c>
      <c r="AR5670">
        <v>3.7812901762190876E-5</v>
      </c>
      <c r="AS5670" t="s">
        <v>239</v>
      </c>
      <c r="AT5670" t="s">
        <v>514</v>
      </c>
    </row>
    <row r="5671" spans="2:46" x14ac:dyDescent="0.35">
      <c r="B5671" t="s">
        <v>747</v>
      </c>
      <c r="C5671">
        <v>45819</v>
      </c>
      <c r="J5671">
        <v>0</v>
      </c>
      <c r="O5671" t="s">
        <v>239</v>
      </c>
      <c r="P5671" t="s">
        <v>514</v>
      </c>
      <c r="U5671">
        <v>0</v>
      </c>
      <c r="Y5671">
        <v>1257</v>
      </c>
      <c r="Z5671" s="259" t="s">
        <v>637</v>
      </c>
      <c r="AB5671">
        <v>12012</v>
      </c>
      <c r="AF5671">
        <v>63475.6</v>
      </c>
      <c r="AG5671">
        <v>0</v>
      </c>
      <c r="AI5671">
        <v>63472.800000000003</v>
      </c>
      <c r="AJ5671">
        <v>0</v>
      </c>
      <c r="AK5671">
        <v>0</v>
      </c>
      <c r="AL5671">
        <v>0</v>
      </c>
      <c r="AM5671">
        <v>50988</v>
      </c>
      <c r="AN5671">
        <v>12487.6</v>
      </c>
      <c r="AO5671">
        <v>63475.6</v>
      </c>
      <c r="AP5671">
        <v>0</v>
      </c>
      <c r="AQ5671">
        <v>2.7999999999956344</v>
      </c>
      <c r="AR5671">
        <v>4.4113384000565858E-5</v>
      </c>
      <c r="AS5671" t="s">
        <v>239</v>
      </c>
      <c r="AT5671" t="s">
        <v>514</v>
      </c>
    </row>
    <row r="5672" spans="2:46" x14ac:dyDescent="0.35">
      <c r="B5672" t="s">
        <v>747</v>
      </c>
      <c r="C5672">
        <v>45820</v>
      </c>
      <c r="J5672">
        <v>0</v>
      </c>
      <c r="O5672" t="s">
        <v>239</v>
      </c>
      <c r="P5672" t="s">
        <v>514</v>
      </c>
      <c r="U5672">
        <v>0</v>
      </c>
      <c r="Y5672">
        <v>1258</v>
      </c>
      <c r="Z5672" s="259" t="s">
        <v>637</v>
      </c>
      <c r="AB5672">
        <v>12012</v>
      </c>
      <c r="AF5672">
        <v>63478</v>
      </c>
      <c r="AG5672">
        <v>0</v>
      </c>
      <c r="AI5672">
        <v>63475.6</v>
      </c>
      <c r="AJ5672">
        <v>0</v>
      </c>
      <c r="AK5672">
        <v>0</v>
      </c>
      <c r="AL5672">
        <v>0</v>
      </c>
      <c r="AM5672">
        <v>50988</v>
      </c>
      <c r="AN5672">
        <v>12490</v>
      </c>
      <c r="AO5672">
        <v>63478</v>
      </c>
      <c r="AP5672">
        <v>0</v>
      </c>
      <c r="AQ5672">
        <v>2.4000000000014552</v>
      </c>
      <c r="AR5672">
        <v>3.7809804082300502E-5</v>
      </c>
      <c r="AS5672" t="s">
        <v>239</v>
      </c>
      <c r="AT5672" t="s">
        <v>514</v>
      </c>
    </row>
    <row r="5673" spans="2:46" x14ac:dyDescent="0.35">
      <c r="B5673" t="s">
        <v>747</v>
      </c>
      <c r="C5673">
        <v>45821</v>
      </c>
      <c r="J5673">
        <v>0</v>
      </c>
      <c r="O5673" t="s">
        <v>239</v>
      </c>
      <c r="P5673" t="s">
        <v>514</v>
      </c>
      <c r="U5673">
        <v>0</v>
      </c>
      <c r="Y5673">
        <v>1259</v>
      </c>
      <c r="Z5673" s="259" t="s">
        <v>637</v>
      </c>
      <c r="AB5673">
        <v>12012</v>
      </c>
      <c r="AF5673">
        <v>63480.800000000003</v>
      </c>
      <c r="AG5673">
        <v>0</v>
      </c>
      <c r="AI5673">
        <v>63478</v>
      </c>
      <c r="AJ5673">
        <v>0</v>
      </c>
      <c r="AK5673">
        <v>0</v>
      </c>
      <c r="AL5673">
        <v>0</v>
      </c>
      <c r="AM5673">
        <v>50988</v>
      </c>
      <c r="AN5673">
        <v>12492.8</v>
      </c>
      <c r="AO5673">
        <v>63480.800000000003</v>
      </c>
      <c r="AP5673">
        <v>0</v>
      </c>
      <c r="AQ5673">
        <v>2.8000000000029104</v>
      </c>
      <c r="AR5673">
        <v>4.4109770314104679E-5</v>
      </c>
      <c r="AS5673" t="s">
        <v>239</v>
      </c>
      <c r="AT5673" t="s">
        <v>514</v>
      </c>
    </row>
    <row r="5674" spans="2:46" x14ac:dyDescent="0.35">
      <c r="B5674" t="s">
        <v>747</v>
      </c>
      <c r="C5674">
        <v>45822</v>
      </c>
      <c r="J5674">
        <v>0</v>
      </c>
      <c r="O5674" t="s">
        <v>239</v>
      </c>
      <c r="P5674" t="s">
        <v>514</v>
      </c>
      <c r="U5674">
        <v>0</v>
      </c>
      <c r="Y5674">
        <v>1260</v>
      </c>
      <c r="Z5674" s="259" t="s">
        <v>637</v>
      </c>
      <c r="AB5674">
        <v>12012</v>
      </c>
      <c r="AF5674">
        <v>63480.800000000003</v>
      </c>
      <c r="AG5674">
        <v>0</v>
      </c>
      <c r="AI5674">
        <v>63480.800000000003</v>
      </c>
      <c r="AJ5674">
        <v>0</v>
      </c>
      <c r="AK5674">
        <v>0</v>
      </c>
      <c r="AL5674">
        <v>0</v>
      </c>
      <c r="AM5674">
        <v>50988</v>
      </c>
      <c r="AN5674">
        <v>12492.8</v>
      </c>
      <c r="AO5674">
        <v>63480.800000000003</v>
      </c>
      <c r="AP5674">
        <v>0</v>
      </c>
      <c r="AQ5674">
        <v>0</v>
      </c>
      <c r="AR5674">
        <v>0</v>
      </c>
      <c r="AS5674" t="s">
        <v>239</v>
      </c>
      <c r="AT5674" t="s">
        <v>514</v>
      </c>
    </row>
    <row r="5675" spans="2:46" x14ac:dyDescent="0.35">
      <c r="B5675" t="s">
        <v>747</v>
      </c>
      <c r="C5675">
        <v>45823</v>
      </c>
      <c r="J5675">
        <v>0</v>
      </c>
      <c r="O5675" t="s">
        <v>239</v>
      </c>
      <c r="P5675" t="s">
        <v>514</v>
      </c>
      <c r="U5675">
        <v>0</v>
      </c>
      <c r="Y5675">
        <v>1261</v>
      </c>
      <c r="Z5675" s="259" t="s">
        <v>637</v>
      </c>
      <c r="AB5675">
        <v>12012</v>
      </c>
      <c r="AF5675">
        <v>63480.800000000003</v>
      </c>
      <c r="AG5675">
        <v>0</v>
      </c>
      <c r="AI5675">
        <v>63480.800000000003</v>
      </c>
      <c r="AJ5675">
        <v>0</v>
      </c>
      <c r="AK5675">
        <v>0</v>
      </c>
      <c r="AL5675">
        <v>0</v>
      </c>
      <c r="AM5675">
        <v>50988</v>
      </c>
      <c r="AN5675">
        <v>12492.8</v>
      </c>
      <c r="AO5675">
        <v>63480.800000000003</v>
      </c>
      <c r="AP5675">
        <v>0</v>
      </c>
      <c r="AQ5675">
        <v>0</v>
      </c>
      <c r="AR5675">
        <v>0</v>
      </c>
      <c r="AS5675" t="s">
        <v>239</v>
      </c>
      <c r="AT5675" t="s">
        <v>514</v>
      </c>
    </row>
    <row r="5676" spans="2:46" x14ac:dyDescent="0.35">
      <c r="B5676" t="s">
        <v>747</v>
      </c>
      <c r="C5676">
        <v>45824</v>
      </c>
      <c r="J5676">
        <v>0</v>
      </c>
      <c r="O5676" t="s">
        <v>239</v>
      </c>
      <c r="P5676" t="s">
        <v>514</v>
      </c>
      <c r="U5676">
        <v>0</v>
      </c>
      <c r="Y5676">
        <v>1262</v>
      </c>
      <c r="Z5676" s="259" t="s">
        <v>637</v>
      </c>
      <c r="AB5676">
        <v>12012</v>
      </c>
      <c r="AF5676">
        <v>63489</v>
      </c>
      <c r="AG5676">
        <v>0</v>
      </c>
      <c r="AI5676">
        <v>63480.800000000003</v>
      </c>
      <c r="AJ5676">
        <v>0</v>
      </c>
      <c r="AK5676">
        <v>0</v>
      </c>
      <c r="AL5676">
        <v>0</v>
      </c>
      <c r="AM5676">
        <v>50988</v>
      </c>
      <c r="AN5676">
        <v>12501</v>
      </c>
      <c r="AO5676">
        <v>63489</v>
      </c>
      <c r="AP5676">
        <v>0</v>
      </c>
      <c r="AQ5676">
        <v>8.1999999999970896</v>
      </c>
      <c r="AR5676">
        <v>1.2917291527503316E-4</v>
      </c>
      <c r="AS5676" t="s">
        <v>239</v>
      </c>
      <c r="AT5676" t="s">
        <v>514</v>
      </c>
    </row>
    <row r="5677" spans="2:46" x14ac:dyDescent="0.35">
      <c r="B5677" t="s">
        <v>747</v>
      </c>
      <c r="C5677">
        <v>45825</v>
      </c>
      <c r="J5677">
        <v>0</v>
      </c>
      <c r="O5677" t="s">
        <v>239</v>
      </c>
      <c r="P5677" t="s">
        <v>514</v>
      </c>
      <c r="U5677">
        <v>0</v>
      </c>
      <c r="Y5677">
        <v>1263</v>
      </c>
      <c r="Z5677" s="259" t="s">
        <v>637</v>
      </c>
      <c r="AB5677">
        <v>12012</v>
      </c>
      <c r="AF5677">
        <v>63491.8</v>
      </c>
      <c r="AG5677">
        <v>0</v>
      </c>
      <c r="AI5677">
        <v>63489</v>
      </c>
      <c r="AJ5677">
        <v>0</v>
      </c>
      <c r="AK5677">
        <v>0</v>
      </c>
      <c r="AL5677">
        <v>0</v>
      </c>
      <c r="AM5677">
        <v>50988</v>
      </c>
      <c r="AN5677">
        <v>12503.8</v>
      </c>
      <c r="AO5677">
        <v>63491.8</v>
      </c>
      <c r="AP5677">
        <v>0</v>
      </c>
      <c r="AQ5677">
        <v>2.8000000000029104</v>
      </c>
      <c r="AR5677">
        <v>4.4102127927825308E-5</v>
      </c>
      <c r="AS5677" t="s">
        <v>239</v>
      </c>
      <c r="AT5677" t="s">
        <v>514</v>
      </c>
    </row>
    <row r="5678" spans="2:46" x14ac:dyDescent="0.35">
      <c r="B5678" t="s">
        <v>747</v>
      </c>
      <c r="C5678">
        <v>45826</v>
      </c>
      <c r="J5678">
        <v>0</v>
      </c>
      <c r="O5678" t="s">
        <v>239</v>
      </c>
      <c r="P5678" t="s">
        <v>514</v>
      </c>
      <c r="U5678">
        <v>0</v>
      </c>
      <c r="Y5678">
        <v>1264</v>
      </c>
      <c r="Z5678" s="259" t="s">
        <v>637</v>
      </c>
      <c r="AB5678">
        <v>12012</v>
      </c>
      <c r="AF5678">
        <v>63495.6</v>
      </c>
      <c r="AG5678">
        <v>0</v>
      </c>
      <c r="AI5678">
        <v>63491.8</v>
      </c>
      <c r="AJ5678">
        <v>0</v>
      </c>
      <c r="AK5678">
        <v>0</v>
      </c>
      <c r="AL5678">
        <v>0</v>
      </c>
      <c r="AM5678">
        <v>50988</v>
      </c>
      <c r="AN5678">
        <v>12507.6</v>
      </c>
      <c r="AO5678">
        <v>63495.6</v>
      </c>
      <c r="AP5678">
        <v>0</v>
      </c>
      <c r="AQ5678">
        <v>3.7999999999956344</v>
      </c>
      <c r="AR5678">
        <v>5.9850248378401361E-5</v>
      </c>
      <c r="AS5678" t="s">
        <v>239</v>
      </c>
      <c r="AT5678" t="s">
        <v>514</v>
      </c>
    </row>
    <row r="5679" spans="2:46" x14ac:dyDescent="0.35">
      <c r="B5679" t="s">
        <v>747</v>
      </c>
      <c r="C5679">
        <v>45827</v>
      </c>
      <c r="J5679">
        <v>0</v>
      </c>
      <c r="O5679" t="s">
        <v>239</v>
      </c>
      <c r="P5679" t="s">
        <v>514</v>
      </c>
      <c r="U5679">
        <v>0</v>
      </c>
      <c r="Y5679">
        <v>1265</v>
      </c>
      <c r="Z5679" s="259" t="s">
        <v>637</v>
      </c>
      <c r="AB5679">
        <v>12012</v>
      </c>
      <c r="AF5679">
        <v>63497.599999999999</v>
      </c>
      <c r="AG5679">
        <v>0</v>
      </c>
      <c r="AI5679">
        <v>63495.6</v>
      </c>
      <c r="AJ5679">
        <v>0</v>
      </c>
      <c r="AK5679">
        <v>0</v>
      </c>
      <c r="AL5679">
        <v>0</v>
      </c>
      <c r="AM5679">
        <v>50988</v>
      </c>
      <c r="AN5679">
        <v>12509.6</v>
      </c>
      <c r="AO5679">
        <v>63497.599999999999</v>
      </c>
      <c r="AP5679">
        <v>0</v>
      </c>
      <c r="AQ5679">
        <v>2</v>
      </c>
      <c r="AR5679">
        <v>3.1498245547822989E-5</v>
      </c>
      <c r="AS5679" t="s">
        <v>239</v>
      </c>
      <c r="AT5679" t="s">
        <v>514</v>
      </c>
    </row>
    <row r="5680" spans="2:46" x14ac:dyDescent="0.35">
      <c r="B5680" t="s">
        <v>747</v>
      </c>
      <c r="C5680">
        <v>45828</v>
      </c>
      <c r="J5680">
        <v>0</v>
      </c>
      <c r="O5680" t="s">
        <v>239</v>
      </c>
      <c r="P5680" t="s">
        <v>514</v>
      </c>
      <c r="U5680">
        <v>0</v>
      </c>
      <c r="Y5680">
        <v>1266</v>
      </c>
      <c r="Z5680" s="259" t="s">
        <v>637</v>
      </c>
      <c r="AB5680">
        <v>12012</v>
      </c>
      <c r="AF5680">
        <v>63500.4</v>
      </c>
      <c r="AG5680">
        <v>0</v>
      </c>
      <c r="AI5680">
        <v>63497.599999999999</v>
      </c>
      <c r="AJ5680">
        <v>0</v>
      </c>
      <c r="AK5680">
        <v>0</v>
      </c>
      <c r="AL5680">
        <v>0</v>
      </c>
      <c r="AM5680">
        <v>50988</v>
      </c>
      <c r="AN5680">
        <v>12512.4</v>
      </c>
      <c r="AO5680">
        <v>63500.4</v>
      </c>
      <c r="AP5680">
        <v>0</v>
      </c>
      <c r="AQ5680">
        <v>2.8000000000029104</v>
      </c>
      <c r="AR5680">
        <v>4.409615481537621E-5</v>
      </c>
      <c r="AS5680" t="s">
        <v>239</v>
      </c>
      <c r="AT5680" t="s">
        <v>514</v>
      </c>
    </row>
    <row r="5681" spans="2:46" x14ac:dyDescent="0.35">
      <c r="B5681" t="s">
        <v>747</v>
      </c>
      <c r="C5681">
        <v>45829</v>
      </c>
      <c r="J5681">
        <v>0</v>
      </c>
      <c r="O5681" t="s">
        <v>239</v>
      </c>
      <c r="P5681" t="s">
        <v>514</v>
      </c>
      <c r="U5681">
        <v>0</v>
      </c>
      <c r="Y5681">
        <v>1267</v>
      </c>
      <c r="Z5681" s="259" t="s">
        <v>637</v>
      </c>
      <c r="AB5681">
        <v>12012</v>
      </c>
      <c r="AF5681">
        <v>63500.4</v>
      </c>
      <c r="AG5681">
        <v>0</v>
      </c>
      <c r="AI5681">
        <v>63500.4</v>
      </c>
      <c r="AJ5681">
        <v>0</v>
      </c>
      <c r="AK5681">
        <v>0</v>
      </c>
      <c r="AL5681">
        <v>0</v>
      </c>
      <c r="AM5681">
        <v>50988</v>
      </c>
      <c r="AN5681">
        <v>12512.4</v>
      </c>
      <c r="AO5681">
        <v>63500.4</v>
      </c>
      <c r="AP5681">
        <v>0</v>
      </c>
      <c r="AQ5681">
        <v>0</v>
      </c>
      <c r="AR5681">
        <v>0</v>
      </c>
      <c r="AS5681" t="s">
        <v>239</v>
      </c>
      <c r="AT5681" t="s">
        <v>514</v>
      </c>
    </row>
    <row r="5682" spans="2:46" x14ac:dyDescent="0.35">
      <c r="B5682" t="s">
        <v>747</v>
      </c>
      <c r="C5682">
        <v>45830</v>
      </c>
      <c r="J5682">
        <v>0</v>
      </c>
      <c r="O5682" t="s">
        <v>239</v>
      </c>
      <c r="P5682" t="s">
        <v>514</v>
      </c>
      <c r="U5682">
        <v>0</v>
      </c>
      <c r="Y5682">
        <v>1268</v>
      </c>
      <c r="Z5682" s="259" t="s">
        <v>637</v>
      </c>
      <c r="AB5682">
        <v>12012</v>
      </c>
      <c r="AF5682">
        <v>63500.4</v>
      </c>
      <c r="AG5682">
        <v>0</v>
      </c>
      <c r="AI5682">
        <v>63500.4</v>
      </c>
      <c r="AJ5682">
        <v>0</v>
      </c>
      <c r="AK5682">
        <v>0</v>
      </c>
      <c r="AL5682">
        <v>0</v>
      </c>
      <c r="AM5682">
        <v>50988</v>
      </c>
      <c r="AN5682">
        <v>12512.4</v>
      </c>
      <c r="AO5682">
        <v>63500.4</v>
      </c>
      <c r="AP5682">
        <v>0</v>
      </c>
      <c r="AQ5682">
        <v>0</v>
      </c>
      <c r="AR5682">
        <v>0</v>
      </c>
      <c r="AS5682" t="s">
        <v>239</v>
      </c>
      <c r="AT5682" t="s">
        <v>514</v>
      </c>
    </row>
    <row r="5683" spans="2:46" x14ac:dyDescent="0.35">
      <c r="B5683" t="s">
        <v>747</v>
      </c>
      <c r="C5683">
        <v>45831</v>
      </c>
      <c r="J5683">
        <v>0</v>
      </c>
      <c r="O5683" t="s">
        <v>239</v>
      </c>
      <c r="P5683" t="s">
        <v>514</v>
      </c>
      <c r="U5683">
        <v>0</v>
      </c>
      <c r="Y5683">
        <v>1269</v>
      </c>
      <c r="Z5683" s="259" t="s">
        <v>637</v>
      </c>
      <c r="AB5683">
        <v>12012</v>
      </c>
      <c r="AF5683">
        <v>63509</v>
      </c>
      <c r="AG5683">
        <v>0</v>
      </c>
      <c r="AI5683">
        <v>63500.4</v>
      </c>
      <c r="AJ5683">
        <v>0</v>
      </c>
      <c r="AK5683">
        <v>0</v>
      </c>
      <c r="AL5683">
        <v>0</v>
      </c>
      <c r="AM5683">
        <v>50988</v>
      </c>
      <c r="AN5683">
        <v>12521</v>
      </c>
      <c r="AO5683">
        <v>63509</v>
      </c>
      <c r="AP5683">
        <v>0</v>
      </c>
      <c r="AQ5683">
        <v>8.5999999999985448</v>
      </c>
      <c r="AR5683">
        <v>1.3543221774980907E-4</v>
      </c>
      <c r="AS5683" t="s">
        <v>239</v>
      </c>
      <c r="AT5683" t="s">
        <v>514</v>
      </c>
    </row>
    <row r="5684" spans="2:46" x14ac:dyDescent="0.35">
      <c r="B5684" t="s">
        <v>747</v>
      </c>
      <c r="C5684">
        <v>45832</v>
      </c>
      <c r="J5684">
        <v>0</v>
      </c>
      <c r="O5684" t="s">
        <v>239</v>
      </c>
      <c r="P5684" t="s">
        <v>514</v>
      </c>
      <c r="U5684">
        <v>0</v>
      </c>
      <c r="Y5684">
        <v>1270</v>
      </c>
      <c r="Z5684" s="259" t="s">
        <v>637</v>
      </c>
      <c r="AB5684">
        <v>12012</v>
      </c>
      <c r="AF5684">
        <v>63511.8</v>
      </c>
      <c r="AG5684">
        <v>0</v>
      </c>
      <c r="AI5684">
        <v>63509</v>
      </c>
      <c r="AJ5684">
        <v>0</v>
      </c>
      <c r="AK5684">
        <v>0</v>
      </c>
      <c r="AL5684">
        <v>0</v>
      </c>
      <c r="AM5684">
        <v>50988</v>
      </c>
      <c r="AN5684">
        <v>12523.8</v>
      </c>
      <c r="AO5684">
        <v>63511.8</v>
      </c>
      <c r="AP5684">
        <v>0</v>
      </c>
      <c r="AQ5684">
        <v>2.8000000000029104</v>
      </c>
      <c r="AR5684">
        <v>4.4088239462114487E-5</v>
      </c>
      <c r="AS5684" t="s">
        <v>239</v>
      </c>
      <c r="AT5684" t="s">
        <v>514</v>
      </c>
    </row>
    <row r="5685" spans="2:46" x14ac:dyDescent="0.35">
      <c r="B5685" t="s">
        <v>747</v>
      </c>
      <c r="C5685">
        <v>45833</v>
      </c>
      <c r="J5685">
        <v>0</v>
      </c>
      <c r="O5685" t="s">
        <v>239</v>
      </c>
      <c r="P5685" t="s">
        <v>514</v>
      </c>
      <c r="U5685">
        <v>0</v>
      </c>
      <c r="Y5685">
        <v>1271</v>
      </c>
      <c r="Z5685" s="259" t="s">
        <v>637</v>
      </c>
      <c r="AB5685">
        <v>12012</v>
      </c>
      <c r="AF5685">
        <v>63514.6</v>
      </c>
      <c r="AG5685">
        <v>0</v>
      </c>
      <c r="AI5685">
        <v>63511.8</v>
      </c>
      <c r="AJ5685">
        <v>0</v>
      </c>
      <c r="AK5685">
        <v>0</v>
      </c>
      <c r="AL5685">
        <v>0</v>
      </c>
      <c r="AM5685">
        <v>50988</v>
      </c>
      <c r="AN5685">
        <v>12526.6</v>
      </c>
      <c r="AO5685">
        <v>63514.6</v>
      </c>
      <c r="AP5685">
        <v>0</v>
      </c>
      <c r="AQ5685">
        <v>2.7999999999956344</v>
      </c>
      <c r="AR5685">
        <v>4.4086295774903306E-5</v>
      </c>
      <c r="AS5685" t="s">
        <v>239</v>
      </c>
      <c r="AT5685" t="s">
        <v>514</v>
      </c>
    </row>
    <row r="5686" spans="2:46" x14ac:dyDescent="0.35">
      <c r="B5686" t="s">
        <v>747</v>
      </c>
      <c r="C5686">
        <v>45834</v>
      </c>
      <c r="J5686">
        <v>0</v>
      </c>
      <c r="O5686" t="s">
        <v>239</v>
      </c>
      <c r="P5686" t="s">
        <v>514</v>
      </c>
      <c r="U5686">
        <v>0</v>
      </c>
      <c r="Y5686">
        <v>1272</v>
      </c>
      <c r="Z5686" s="259" t="s">
        <v>637</v>
      </c>
      <c r="AB5686">
        <v>12012</v>
      </c>
      <c r="AF5686">
        <v>63516.6</v>
      </c>
      <c r="AG5686">
        <v>0</v>
      </c>
      <c r="AI5686">
        <v>63514.6</v>
      </c>
      <c r="AJ5686">
        <v>0</v>
      </c>
      <c r="AK5686">
        <v>0</v>
      </c>
      <c r="AL5686">
        <v>0</v>
      </c>
      <c r="AM5686">
        <v>50988</v>
      </c>
      <c r="AN5686">
        <v>12528.6</v>
      </c>
      <c r="AO5686">
        <v>63516.6</v>
      </c>
      <c r="AP5686">
        <v>0</v>
      </c>
      <c r="AQ5686">
        <v>2</v>
      </c>
      <c r="AR5686">
        <v>3.1488823042158387E-5</v>
      </c>
      <c r="AS5686" t="s">
        <v>239</v>
      </c>
      <c r="AT5686" t="s">
        <v>514</v>
      </c>
    </row>
    <row r="5687" spans="2:46" x14ac:dyDescent="0.35">
      <c r="B5687" t="s">
        <v>747</v>
      </c>
      <c r="C5687">
        <v>45835</v>
      </c>
      <c r="J5687">
        <v>0</v>
      </c>
      <c r="O5687" t="s">
        <v>239</v>
      </c>
      <c r="P5687" t="s">
        <v>514</v>
      </c>
      <c r="U5687">
        <v>0</v>
      </c>
      <c r="Y5687">
        <v>1273</v>
      </c>
      <c r="Z5687" s="259" t="s">
        <v>637</v>
      </c>
      <c r="AB5687">
        <v>12012</v>
      </c>
      <c r="AF5687">
        <v>63519.4</v>
      </c>
      <c r="AG5687">
        <v>0</v>
      </c>
      <c r="AI5687">
        <v>63516.6</v>
      </c>
      <c r="AJ5687">
        <v>0</v>
      </c>
      <c r="AK5687">
        <v>0</v>
      </c>
      <c r="AL5687">
        <v>0</v>
      </c>
      <c r="AM5687">
        <v>50988</v>
      </c>
      <c r="AN5687">
        <v>12531.400000000001</v>
      </c>
      <c r="AO5687">
        <v>63519.4</v>
      </c>
      <c r="AP5687">
        <v>0</v>
      </c>
      <c r="AQ5687">
        <v>2.8000000000029104</v>
      </c>
      <c r="AR5687">
        <v>4.4082964138603131E-5</v>
      </c>
      <c r="AS5687" t="s">
        <v>239</v>
      </c>
      <c r="AT5687" t="s">
        <v>514</v>
      </c>
    </row>
    <row r="5688" spans="2:46" x14ac:dyDescent="0.35">
      <c r="B5688" t="s">
        <v>747</v>
      </c>
      <c r="C5688">
        <v>45836</v>
      </c>
      <c r="J5688">
        <v>0</v>
      </c>
      <c r="O5688" t="s">
        <v>239</v>
      </c>
      <c r="P5688" t="s">
        <v>514</v>
      </c>
      <c r="U5688">
        <v>0</v>
      </c>
      <c r="Y5688">
        <v>1274</v>
      </c>
      <c r="Z5688" s="259" t="s">
        <v>637</v>
      </c>
      <c r="AB5688">
        <v>12012</v>
      </c>
      <c r="AF5688">
        <v>63519.4</v>
      </c>
      <c r="AG5688">
        <v>0</v>
      </c>
      <c r="AI5688">
        <v>63519.4</v>
      </c>
      <c r="AJ5688">
        <v>0</v>
      </c>
      <c r="AK5688">
        <v>0</v>
      </c>
      <c r="AL5688">
        <v>0</v>
      </c>
      <c r="AM5688">
        <v>50988</v>
      </c>
      <c r="AN5688">
        <v>12531.400000000001</v>
      </c>
      <c r="AO5688">
        <v>63519.4</v>
      </c>
      <c r="AP5688">
        <v>0</v>
      </c>
      <c r="AQ5688">
        <v>0</v>
      </c>
      <c r="AR5688">
        <v>0</v>
      </c>
      <c r="AS5688" t="s">
        <v>239</v>
      </c>
      <c r="AT5688" t="s">
        <v>514</v>
      </c>
    </row>
    <row r="5689" spans="2:46" x14ac:dyDescent="0.35">
      <c r="B5689" t="s">
        <v>747</v>
      </c>
      <c r="C5689">
        <v>45837</v>
      </c>
      <c r="J5689">
        <v>0</v>
      </c>
      <c r="O5689" t="s">
        <v>239</v>
      </c>
      <c r="P5689" t="s">
        <v>514</v>
      </c>
      <c r="U5689">
        <v>0</v>
      </c>
      <c r="Y5689">
        <v>1275</v>
      </c>
      <c r="Z5689" s="259" t="s">
        <v>637</v>
      </c>
      <c r="AB5689">
        <v>12012</v>
      </c>
      <c r="AF5689">
        <v>63519.4</v>
      </c>
      <c r="AG5689">
        <v>0</v>
      </c>
      <c r="AI5689">
        <v>63519.4</v>
      </c>
      <c r="AJ5689">
        <v>0</v>
      </c>
      <c r="AK5689">
        <v>0</v>
      </c>
      <c r="AL5689">
        <v>0</v>
      </c>
      <c r="AM5689">
        <v>50988</v>
      </c>
      <c r="AN5689">
        <v>12531.400000000001</v>
      </c>
      <c r="AO5689">
        <v>63519.4</v>
      </c>
      <c r="AP5689">
        <v>0</v>
      </c>
      <c r="AQ5689">
        <v>0</v>
      </c>
      <c r="AR5689">
        <v>0</v>
      </c>
      <c r="AS5689" t="s">
        <v>239</v>
      </c>
      <c r="AT5689" t="s">
        <v>514</v>
      </c>
    </row>
    <row r="5690" spans="2:46" x14ac:dyDescent="0.35">
      <c r="B5690" t="s">
        <v>747</v>
      </c>
      <c r="C5690">
        <v>45838</v>
      </c>
      <c r="J5690">
        <v>0</v>
      </c>
      <c r="O5690" t="s">
        <v>239</v>
      </c>
      <c r="P5690" t="s">
        <v>514</v>
      </c>
      <c r="U5690">
        <v>0</v>
      </c>
      <c r="Y5690">
        <v>1276</v>
      </c>
      <c r="Z5690" s="259" t="s">
        <v>637</v>
      </c>
      <c r="AB5690">
        <v>12012</v>
      </c>
      <c r="AF5690">
        <v>63528</v>
      </c>
      <c r="AG5690">
        <v>0</v>
      </c>
      <c r="AI5690">
        <v>63519.4</v>
      </c>
      <c r="AJ5690">
        <v>0</v>
      </c>
      <c r="AK5690">
        <v>0</v>
      </c>
      <c r="AL5690">
        <v>0</v>
      </c>
      <c r="AM5690">
        <v>50988</v>
      </c>
      <c r="AN5690">
        <v>12540</v>
      </c>
      <c r="AO5690">
        <v>63528</v>
      </c>
      <c r="AP5690">
        <v>0</v>
      </c>
      <c r="AQ5690">
        <v>8.5999999999985448</v>
      </c>
      <c r="AR5690">
        <v>1.353917071005295E-4</v>
      </c>
      <c r="AS5690" t="s">
        <v>239</v>
      </c>
      <c r="AT5690" t="s">
        <v>514</v>
      </c>
    </row>
    <row r="5691" spans="2:46" x14ac:dyDescent="0.35">
      <c r="B5691" t="s">
        <v>747</v>
      </c>
      <c r="C5691">
        <v>45839</v>
      </c>
      <c r="J5691">
        <v>0</v>
      </c>
      <c r="O5691" t="s">
        <v>239</v>
      </c>
      <c r="P5691" t="s">
        <v>514</v>
      </c>
      <c r="U5691">
        <v>0</v>
      </c>
      <c r="Y5691">
        <v>1277</v>
      </c>
      <c r="Z5691" s="259" t="s">
        <v>637</v>
      </c>
      <c r="AB5691">
        <v>12012</v>
      </c>
      <c r="AF5691">
        <v>63528</v>
      </c>
      <c r="AG5691">
        <v>0</v>
      </c>
      <c r="AI5691">
        <v>63528</v>
      </c>
      <c r="AJ5691">
        <v>0</v>
      </c>
      <c r="AK5691">
        <v>0</v>
      </c>
      <c r="AL5691">
        <v>0</v>
      </c>
      <c r="AM5691">
        <v>50988</v>
      </c>
      <c r="AN5691">
        <v>12540</v>
      </c>
      <c r="AO5691">
        <v>63528</v>
      </c>
      <c r="AP5691">
        <v>0</v>
      </c>
      <c r="AQ5691">
        <v>0</v>
      </c>
      <c r="AR5691">
        <v>0</v>
      </c>
      <c r="AS5691" t="s">
        <v>239</v>
      </c>
      <c r="AT5691" t="s">
        <v>514</v>
      </c>
    </row>
    <row r="5692" spans="2:46" x14ac:dyDescent="0.35">
      <c r="B5692" t="s">
        <v>747</v>
      </c>
      <c r="C5692">
        <v>45840</v>
      </c>
      <c r="J5692">
        <v>0</v>
      </c>
      <c r="O5692" t="s">
        <v>239</v>
      </c>
      <c r="P5692" t="s">
        <v>514</v>
      </c>
      <c r="U5692">
        <v>0</v>
      </c>
      <c r="Y5692">
        <v>1278</v>
      </c>
      <c r="Z5692" s="259" t="s">
        <v>637</v>
      </c>
      <c r="AB5692">
        <v>12012</v>
      </c>
      <c r="AF5692">
        <v>63505.4</v>
      </c>
      <c r="AG5692">
        <v>0</v>
      </c>
      <c r="AI5692">
        <v>63528</v>
      </c>
      <c r="AJ5692">
        <v>0</v>
      </c>
      <c r="AK5692">
        <v>0</v>
      </c>
      <c r="AL5692">
        <v>0</v>
      </c>
      <c r="AM5692">
        <v>50988</v>
      </c>
      <c r="AN5692">
        <v>12517.400000000001</v>
      </c>
      <c r="AO5692">
        <v>63505.4</v>
      </c>
      <c r="AP5692">
        <v>0</v>
      </c>
      <c r="AQ5692">
        <v>-22.599999999998545</v>
      </c>
      <c r="AR5692">
        <v>-3.5574864626619629E-4</v>
      </c>
      <c r="AS5692" t="s">
        <v>239</v>
      </c>
      <c r="AT5692" t="s">
        <v>514</v>
      </c>
    </row>
    <row r="5693" spans="2:46" x14ac:dyDescent="0.35">
      <c r="B5693" t="s">
        <v>747</v>
      </c>
      <c r="C5693">
        <v>45841</v>
      </c>
      <c r="J5693">
        <v>0</v>
      </c>
      <c r="O5693" t="s">
        <v>239</v>
      </c>
      <c r="P5693" t="s">
        <v>514</v>
      </c>
      <c r="U5693">
        <v>0</v>
      </c>
      <c r="Y5693">
        <v>1279</v>
      </c>
      <c r="Z5693" s="259" t="s">
        <v>637</v>
      </c>
      <c r="AB5693">
        <v>12012</v>
      </c>
      <c r="AF5693">
        <v>63482.6</v>
      </c>
      <c r="AG5693">
        <v>0</v>
      </c>
      <c r="AI5693">
        <v>63505.4</v>
      </c>
      <c r="AJ5693">
        <v>0</v>
      </c>
      <c r="AK5693">
        <v>0</v>
      </c>
      <c r="AL5693">
        <v>0</v>
      </c>
      <c r="AM5693">
        <v>50988</v>
      </c>
      <c r="AN5693">
        <v>12494.6</v>
      </c>
      <c r="AO5693">
        <v>63482.6</v>
      </c>
      <c r="AP5693">
        <v>0</v>
      </c>
      <c r="AQ5693">
        <v>-22.80000000000291</v>
      </c>
      <c r="AR5693">
        <v>-3.5902458688552574E-4</v>
      </c>
      <c r="AS5693" t="s">
        <v>239</v>
      </c>
      <c r="AT5693" t="s">
        <v>514</v>
      </c>
    </row>
    <row r="5694" spans="2:46" x14ac:dyDescent="0.35">
      <c r="B5694" t="s">
        <v>747</v>
      </c>
      <c r="C5694">
        <v>45842</v>
      </c>
      <c r="J5694">
        <v>0</v>
      </c>
      <c r="O5694" t="s">
        <v>239</v>
      </c>
      <c r="P5694" t="s">
        <v>514</v>
      </c>
      <c r="U5694">
        <v>0</v>
      </c>
      <c r="Y5694">
        <v>1280</v>
      </c>
      <c r="Z5694" s="259" t="s">
        <v>637</v>
      </c>
      <c r="AB5694">
        <v>12012</v>
      </c>
      <c r="AF5694">
        <v>63460</v>
      </c>
      <c r="AG5694">
        <v>0</v>
      </c>
      <c r="AI5694">
        <v>63482.6</v>
      </c>
      <c r="AJ5694">
        <v>0</v>
      </c>
      <c r="AK5694">
        <v>0</v>
      </c>
      <c r="AL5694">
        <v>0</v>
      </c>
      <c r="AM5694">
        <v>50988</v>
      </c>
      <c r="AN5694">
        <v>12472</v>
      </c>
      <c r="AO5694">
        <v>63460</v>
      </c>
      <c r="AP5694">
        <v>0</v>
      </c>
      <c r="AQ5694">
        <v>-22.599999999998545</v>
      </c>
      <c r="AR5694">
        <v>-3.5600306225636036E-4</v>
      </c>
      <c r="AS5694" t="s">
        <v>239</v>
      </c>
      <c r="AT5694" t="s">
        <v>514</v>
      </c>
    </row>
    <row r="5695" spans="2:46" x14ac:dyDescent="0.35">
      <c r="B5695" t="s">
        <v>747</v>
      </c>
      <c r="C5695">
        <v>45843</v>
      </c>
      <c r="J5695">
        <v>0</v>
      </c>
      <c r="O5695" t="s">
        <v>239</v>
      </c>
      <c r="P5695" t="s">
        <v>514</v>
      </c>
      <c r="U5695">
        <v>0</v>
      </c>
      <c r="Y5695">
        <v>1281</v>
      </c>
      <c r="Z5695" s="259" t="s">
        <v>637</v>
      </c>
      <c r="AB5695">
        <v>12012</v>
      </c>
      <c r="AF5695">
        <v>63460</v>
      </c>
      <c r="AG5695">
        <v>0</v>
      </c>
      <c r="AI5695">
        <v>63460</v>
      </c>
      <c r="AJ5695">
        <v>0</v>
      </c>
      <c r="AK5695">
        <v>0</v>
      </c>
      <c r="AL5695">
        <v>0</v>
      </c>
      <c r="AM5695">
        <v>50988</v>
      </c>
      <c r="AN5695">
        <v>12472</v>
      </c>
      <c r="AO5695">
        <v>63460</v>
      </c>
      <c r="AP5695">
        <v>0</v>
      </c>
      <c r="AQ5695">
        <v>0</v>
      </c>
      <c r="AR5695">
        <v>0</v>
      </c>
      <c r="AS5695" t="s">
        <v>239</v>
      </c>
      <c r="AT5695" t="s">
        <v>514</v>
      </c>
    </row>
    <row r="5696" spans="2:46" x14ac:dyDescent="0.35">
      <c r="B5696" t="s">
        <v>747</v>
      </c>
      <c r="C5696">
        <v>45844</v>
      </c>
      <c r="J5696">
        <v>0</v>
      </c>
      <c r="O5696" t="s">
        <v>239</v>
      </c>
      <c r="P5696" t="s">
        <v>514</v>
      </c>
      <c r="U5696">
        <v>0</v>
      </c>
      <c r="Y5696">
        <v>1282</v>
      </c>
      <c r="Z5696" s="259" t="s">
        <v>637</v>
      </c>
      <c r="AB5696">
        <v>12012</v>
      </c>
      <c r="AF5696">
        <v>63460</v>
      </c>
      <c r="AG5696">
        <v>0</v>
      </c>
      <c r="AI5696">
        <v>63460</v>
      </c>
      <c r="AJ5696">
        <v>0</v>
      </c>
      <c r="AK5696">
        <v>0</v>
      </c>
      <c r="AL5696">
        <v>0</v>
      </c>
      <c r="AM5696">
        <v>50988</v>
      </c>
      <c r="AN5696">
        <v>12472</v>
      </c>
      <c r="AO5696">
        <v>63460</v>
      </c>
      <c r="AP5696">
        <v>0</v>
      </c>
      <c r="AQ5696">
        <v>0</v>
      </c>
      <c r="AR5696">
        <v>0</v>
      </c>
      <c r="AS5696" t="s">
        <v>239</v>
      </c>
      <c r="AT5696" t="s">
        <v>514</v>
      </c>
    </row>
    <row r="5697" spans="2:46" x14ac:dyDescent="0.35">
      <c r="B5697" t="s">
        <v>747</v>
      </c>
      <c r="C5697">
        <v>45845</v>
      </c>
      <c r="J5697">
        <v>0</v>
      </c>
      <c r="O5697" t="s">
        <v>239</v>
      </c>
      <c r="P5697" t="s">
        <v>514</v>
      </c>
      <c r="U5697">
        <v>0</v>
      </c>
      <c r="Y5697">
        <v>1283</v>
      </c>
      <c r="Z5697" s="259" t="s">
        <v>637</v>
      </c>
      <c r="AB5697">
        <v>12012</v>
      </c>
      <c r="AF5697">
        <v>63392</v>
      </c>
      <c r="AG5697">
        <v>0</v>
      </c>
      <c r="AI5697">
        <v>63460</v>
      </c>
      <c r="AJ5697">
        <v>0</v>
      </c>
      <c r="AK5697">
        <v>0</v>
      </c>
      <c r="AL5697">
        <v>0</v>
      </c>
      <c r="AM5697">
        <v>50988</v>
      </c>
      <c r="AN5697">
        <v>12404</v>
      </c>
      <c r="AO5697">
        <v>63392</v>
      </c>
      <c r="AP5697">
        <v>0</v>
      </c>
      <c r="AQ5697">
        <v>-68</v>
      </c>
      <c r="AR5697">
        <v>-1.0715411282697929E-3</v>
      </c>
      <c r="AS5697" t="s">
        <v>239</v>
      </c>
      <c r="AT5697" t="s">
        <v>514</v>
      </c>
    </row>
    <row r="5698" spans="2:46" x14ac:dyDescent="0.35">
      <c r="B5698" t="s">
        <v>747</v>
      </c>
      <c r="C5698">
        <v>45846</v>
      </c>
      <c r="J5698">
        <v>0</v>
      </c>
      <c r="O5698" t="s">
        <v>239</v>
      </c>
      <c r="P5698" t="s">
        <v>514</v>
      </c>
      <c r="U5698">
        <v>0</v>
      </c>
      <c r="Y5698">
        <v>1284</v>
      </c>
      <c r="Z5698" s="259" t="s">
        <v>637</v>
      </c>
      <c r="AB5698">
        <v>12012</v>
      </c>
      <c r="AF5698">
        <v>63369.399999999994</v>
      </c>
      <c r="AG5698">
        <v>0</v>
      </c>
      <c r="AI5698">
        <v>63392</v>
      </c>
      <c r="AJ5698">
        <v>0</v>
      </c>
      <c r="AK5698">
        <v>0</v>
      </c>
      <c r="AL5698">
        <v>0</v>
      </c>
      <c r="AM5698">
        <v>50988</v>
      </c>
      <c r="AN5698">
        <v>12381.399999999998</v>
      </c>
      <c r="AO5698">
        <v>63369.399999999994</v>
      </c>
      <c r="AP5698">
        <v>0</v>
      </c>
      <c r="AQ5698">
        <v>-22.600000000005821</v>
      </c>
      <c r="AR5698">
        <v>-3.5651186269569646E-4</v>
      </c>
      <c r="AS5698" t="s">
        <v>239</v>
      </c>
      <c r="AT5698" t="s">
        <v>514</v>
      </c>
    </row>
    <row r="5699" spans="2:46" x14ac:dyDescent="0.35">
      <c r="B5699" t="s">
        <v>747</v>
      </c>
      <c r="C5699">
        <v>45847</v>
      </c>
      <c r="J5699">
        <v>0</v>
      </c>
      <c r="O5699" t="s">
        <v>239</v>
      </c>
      <c r="P5699" t="s">
        <v>514</v>
      </c>
      <c r="U5699">
        <v>0</v>
      </c>
      <c r="Y5699">
        <v>1285</v>
      </c>
      <c r="Z5699" s="259" t="s">
        <v>637</v>
      </c>
      <c r="AB5699">
        <v>12012</v>
      </c>
      <c r="AF5699">
        <v>63346.600000000006</v>
      </c>
      <c r="AG5699">
        <v>0</v>
      </c>
      <c r="AI5699">
        <v>63369.399999999994</v>
      </c>
      <c r="AJ5699">
        <v>0</v>
      </c>
      <c r="AK5699">
        <v>0</v>
      </c>
      <c r="AL5699">
        <v>0</v>
      </c>
      <c r="AM5699">
        <v>50988</v>
      </c>
      <c r="AN5699">
        <v>12358.600000000002</v>
      </c>
      <c r="AO5699">
        <v>63346.600000000006</v>
      </c>
      <c r="AP5699">
        <v>0</v>
      </c>
      <c r="AQ5699">
        <v>-22.799999999988358</v>
      </c>
      <c r="AR5699">
        <v>-3.5979510615513632E-4</v>
      </c>
      <c r="AS5699" t="s">
        <v>239</v>
      </c>
      <c r="AT5699" t="s">
        <v>514</v>
      </c>
    </row>
    <row r="5700" spans="2:46" x14ac:dyDescent="0.35">
      <c r="B5700" t="s">
        <v>747</v>
      </c>
      <c r="C5700">
        <v>45848</v>
      </c>
      <c r="J5700">
        <v>0</v>
      </c>
      <c r="O5700" t="s">
        <v>239</v>
      </c>
      <c r="P5700" t="s">
        <v>514</v>
      </c>
      <c r="U5700">
        <v>0</v>
      </c>
      <c r="Y5700">
        <v>1286</v>
      </c>
      <c r="Z5700" s="259" t="s">
        <v>637</v>
      </c>
      <c r="AB5700">
        <v>12012</v>
      </c>
      <c r="AF5700">
        <v>63324</v>
      </c>
      <c r="AG5700">
        <v>0</v>
      </c>
      <c r="AI5700">
        <v>63346.600000000006</v>
      </c>
      <c r="AJ5700">
        <v>0</v>
      </c>
      <c r="AK5700">
        <v>0</v>
      </c>
      <c r="AL5700">
        <v>0</v>
      </c>
      <c r="AM5700">
        <v>50988</v>
      </c>
      <c r="AN5700">
        <v>12336</v>
      </c>
      <c r="AO5700">
        <v>63324</v>
      </c>
      <c r="AP5700">
        <v>0</v>
      </c>
      <c r="AQ5700">
        <v>-22.600000000005821</v>
      </c>
      <c r="AR5700">
        <v>-3.5676737188750085E-4</v>
      </c>
      <c r="AS5700" t="s">
        <v>239</v>
      </c>
      <c r="AT5700" t="s">
        <v>514</v>
      </c>
    </row>
    <row r="5701" spans="2:46" x14ac:dyDescent="0.35">
      <c r="B5701" t="s">
        <v>747</v>
      </c>
      <c r="C5701">
        <v>45849</v>
      </c>
      <c r="J5701">
        <v>0</v>
      </c>
      <c r="O5701" t="s">
        <v>239</v>
      </c>
      <c r="P5701" t="s">
        <v>514</v>
      </c>
      <c r="U5701">
        <v>0</v>
      </c>
      <c r="Y5701">
        <v>1287</v>
      </c>
      <c r="Z5701" s="259" t="s">
        <v>637</v>
      </c>
      <c r="AB5701">
        <v>12012</v>
      </c>
      <c r="AF5701">
        <v>63301.4</v>
      </c>
      <c r="AG5701">
        <v>0</v>
      </c>
      <c r="AI5701">
        <v>63324</v>
      </c>
      <c r="AJ5701">
        <v>0</v>
      </c>
      <c r="AK5701">
        <v>0</v>
      </c>
      <c r="AL5701">
        <v>0</v>
      </c>
      <c r="AM5701">
        <v>50988</v>
      </c>
      <c r="AN5701">
        <v>12313.4</v>
      </c>
      <c r="AO5701">
        <v>63301.4</v>
      </c>
      <c r="AP5701">
        <v>0</v>
      </c>
      <c r="AQ5701">
        <v>-22.599999999998545</v>
      </c>
      <c r="AR5701">
        <v>-3.5689470027155945E-4</v>
      </c>
      <c r="AS5701" t="s">
        <v>239</v>
      </c>
      <c r="AT5701" t="s">
        <v>514</v>
      </c>
    </row>
    <row r="5702" spans="2:46" x14ac:dyDescent="0.35">
      <c r="B5702" t="s">
        <v>747</v>
      </c>
      <c r="C5702">
        <v>45850</v>
      </c>
      <c r="J5702">
        <v>0</v>
      </c>
      <c r="O5702" t="s">
        <v>239</v>
      </c>
      <c r="P5702" t="s">
        <v>514</v>
      </c>
      <c r="U5702">
        <v>0</v>
      </c>
      <c r="Y5702">
        <v>1288</v>
      </c>
      <c r="Z5702" s="259" t="s">
        <v>637</v>
      </c>
      <c r="AB5702">
        <v>12012</v>
      </c>
      <c r="AF5702">
        <v>63301.4</v>
      </c>
      <c r="AG5702">
        <v>0</v>
      </c>
      <c r="AI5702">
        <v>63301.4</v>
      </c>
      <c r="AJ5702">
        <v>0</v>
      </c>
      <c r="AK5702">
        <v>0</v>
      </c>
      <c r="AL5702">
        <v>0</v>
      </c>
      <c r="AM5702">
        <v>50988</v>
      </c>
      <c r="AN5702">
        <v>12313.4</v>
      </c>
      <c r="AO5702">
        <v>63301.4</v>
      </c>
      <c r="AP5702">
        <v>0</v>
      </c>
      <c r="AQ5702">
        <v>0</v>
      </c>
      <c r="AR5702">
        <v>0</v>
      </c>
      <c r="AS5702" t="s">
        <v>239</v>
      </c>
      <c r="AT5702" t="s">
        <v>514</v>
      </c>
    </row>
    <row r="5703" spans="2:46" x14ac:dyDescent="0.35">
      <c r="B5703" t="s">
        <v>747</v>
      </c>
      <c r="C5703">
        <v>45851</v>
      </c>
      <c r="J5703">
        <v>0</v>
      </c>
      <c r="O5703" t="s">
        <v>239</v>
      </c>
      <c r="P5703" t="s">
        <v>514</v>
      </c>
      <c r="U5703">
        <v>0</v>
      </c>
      <c r="Y5703">
        <v>1289</v>
      </c>
      <c r="Z5703" s="259" t="s">
        <v>637</v>
      </c>
      <c r="AB5703">
        <v>12012</v>
      </c>
      <c r="AF5703">
        <v>63301.4</v>
      </c>
      <c r="AG5703">
        <v>0</v>
      </c>
      <c r="AI5703">
        <v>63301.4</v>
      </c>
      <c r="AJ5703">
        <v>0</v>
      </c>
      <c r="AK5703">
        <v>0</v>
      </c>
      <c r="AL5703">
        <v>0</v>
      </c>
      <c r="AM5703">
        <v>50988</v>
      </c>
      <c r="AN5703">
        <v>12313.4</v>
      </c>
      <c r="AO5703">
        <v>63301.4</v>
      </c>
      <c r="AP5703">
        <v>0</v>
      </c>
      <c r="AQ5703">
        <v>0</v>
      </c>
      <c r="AR5703">
        <v>0</v>
      </c>
      <c r="AS5703" t="s">
        <v>239</v>
      </c>
      <c r="AT5703" t="s">
        <v>514</v>
      </c>
    </row>
    <row r="5704" spans="2:46" x14ac:dyDescent="0.35">
      <c r="B5704" t="s">
        <v>747</v>
      </c>
      <c r="C5704">
        <v>45852</v>
      </c>
      <c r="J5704">
        <v>0</v>
      </c>
      <c r="O5704" t="s">
        <v>239</v>
      </c>
      <c r="P5704" t="s">
        <v>514</v>
      </c>
      <c r="U5704">
        <v>0</v>
      </c>
      <c r="Y5704">
        <v>1290</v>
      </c>
      <c r="Z5704" s="259" t="s">
        <v>637</v>
      </c>
      <c r="AB5704">
        <v>12012</v>
      </c>
      <c r="AF5704">
        <v>63233.4</v>
      </c>
      <c r="AG5704">
        <v>0</v>
      </c>
      <c r="AI5704">
        <v>63301.4</v>
      </c>
      <c r="AJ5704">
        <v>0</v>
      </c>
      <c r="AK5704">
        <v>0</v>
      </c>
      <c r="AL5704">
        <v>0</v>
      </c>
      <c r="AM5704">
        <v>50988</v>
      </c>
      <c r="AN5704">
        <v>12245.4</v>
      </c>
      <c r="AO5704">
        <v>63233.4</v>
      </c>
      <c r="AP5704">
        <v>0</v>
      </c>
      <c r="AQ5704">
        <v>-68</v>
      </c>
      <c r="AR5704">
        <v>-1.0742258465057386E-3</v>
      </c>
      <c r="AS5704" t="s">
        <v>239</v>
      </c>
      <c r="AT5704" t="s">
        <v>514</v>
      </c>
    </row>
    <row r="5705" spans="2:46" x14ac:dyDescent="0.35">
      <c r="B5705" t="s">
        <v>747</v>
      </c>
      <c r="C5705">
        <v>45853</v>
      </c>
      <c r="J5705">
        <v>0</v>
      </c>
      <c r="O5705" t="s">
        <v>239</v>
      </c>
      <c r="P5705" t="s">
        <v>514</v>
      </c>
      <c r="U5705">
        <v>0</v>
      </c>
      <c r="Y5705">
        <v>1291</v>
      </c>
      <c r="Z5705" s="259" t="s">
        <v>637</v>
      </c>
      <c r="AB5705">
        <v>12012</v>
      </c>
      <c r="AF5705">
        <v>63210.6</v>
      </c>
      <c r="AG5705">
        <v>0</v>
      </c>
      <c r="AI5705">
        <v>63233.4</v>
      </c>
      <c r="AJ5705">
        <v>0</v>
      </c>
      <c r="AK5705">
        <v>0</v>
      </c>
      <c r="AL5705">
        <v>0</v>
      </c>
      <c r="AM5705">
        <v>50988</v>
      </c>
      <c r="AN5705">
        <v>12222.599999999999</v>
      </c>
      <c r="AO5705">
        <v>63210.6</v>
      </c>
      <c r="AP5705">
        <v>0</v>
      </c>
      <c r="AQ5705">
        <v>-22.80000000000291</v>
      </c>
      <c r="AR5705">
        <v>-3.6056893983249516E-4</v>
      </c>
      <c r="AS5705" t="s">
        <v>239</v>
      </c>
      <c r="AT5705" t="s">
        <v>514</v>
      </c>
    </row>
    <row r="5706" spans="2:46" x14ac:dyDescent="0.35">
      <c r="B5706" t="s">
        <v>747</v>
      </c>
      <c r="C5706">
        <v>45854</v>
      </c>
      <c r="J5706">
        <v>0</v>
      </c>
      <c r="O5706" t="s">
        <v>239</v>
      </c>
      <c r="P5706" t="s">
        <v>514</v>
      </c>
      <c r="U5706">
        <v>0</v>
      </c>
      <c r="Y5706">
        <v>1292</v>
      </c>
      <c r="Z5706" s="259" t="s">
        <v>637</v>
      </c>
      <c r="AB5706">
        <v>12012</v>
      </c>
      <c r="AF5706">
        <v>63188</v>
      </c>
      <c r="AG5706">
        <v>0</v>
      </c>
      <c r="AI5706">
        <v>63210.6</v>
      </c>
      <c r="AJ5706">
        <v>0</v>
      </c>
      <c r="AK5706">
        <v>0</v>
      </c>
      <c r="AL5706">
        <v>0</v>
      </c>
      <c r="AM5706">
        <v>50988</v>
      </c>
      <c r="AN5706">
        <v>12200</v>
      </c>
      <c r="AO5706">
        <v>63188</v>
      </c>
      <c r="AP5706">
        <v>0</v>
      </c>
      <c r="AQ5706">
        <v>-22.599999999998545</v>
      </c>
      <c r="AR5706">
        <v>-3.5753497040047488E-4</v>
      </c>
      <c r="AS5706" t="s">
        <v>239</v>
      </c>
      <c r="AT5706" t="s">
        <v>514</v>
      </c>
    </row>
    <row r="5707" spans="2:46" x14ac:dyDescent="0.35">
      <c r="B5707" t="s">
        <v>747</v>
      </c>
      <c r="C5707">
        <v>45855</v>
      </c>
      <c r="J5707">
        <v>0</v>
      </c>
      <c r="O5707" t="s">
        <v>239</v>
      </c>
      <c r="P5707" t="s">
        <v>514</v>
      </c>
      <c r="U5707">
        <v>0</v>
      </c>
      <c r="Y5707">
        <v>1293</v>
      </c>
      <c r="Z5707" s="259" t="s">
        <v>637</v>
      </c>
      <c r="AB5707">
        <v>12012</v>
      </c>
      <c r="AF5707">
        <v>63165.4</v>
      </c>
      <c r="AG5707">
        <v>0</v>
      </c>
      <c r="AI5707">
        <v>63188</v>
      </c>
      <c r="AJ5707">
        <v>0</v>
      </c>
      <c r="AK5707">
        <v>0</v>
      </c>
      <c r="AL5707">
        <v>0</v>
      </c>
      <c r="AM5707">
        <v>50988</v>
      </c>
      <c r="AN5707">
        <v>12177.400000000001</v>
      </c>
      <c r="AO5707">
        <v>63165.4</v>
      </c>
      <c r="AP5707">
        <v>0</v>
      </c>
      <c r="AQ5707">
        <v>-22.599999999998545</v>
      </c>
      <c r="AR5707">
        <v>-3.5766284737603904E-4</v>
      </c>
      <c r="AS5707" t="s">
        <v>239</v>
      </c>
      <c r="AT5707" t="s">
        <v>514</v>
      </c>
    </row>
    <row r="5708" spans="2:46" x14ac:dyDescent="0.35">
      <c r="B5708" t="s">
        <v>747</v>
      </c>
      <c r="C5708">
        <v>45856</v>
      </c>
      <c r="J5708">
        <v>0</v>
      </c>
      <c r="O5708" t="s">
        <v>239</v>
      </c>
      <c r="P5708" t="s">
        <v>514</v>
      </c>
      <c r="U5708">
        <v>0</v>
      </c>
      <c r="Y5708">
        <v>1294</v>
      </c>
      <c r="Z5708" s="259" t="s">
        <v>637</v>
      </c>
      <c r="AB5708">
        <v>12012</v>
      </c>
      <c r="AF5708">
        <v>63142.6</v>
      </c>
      <c r="AG5708">
        <v>0</v>
      </c>
      <c r="AI5708">
        <v>63165.4</v>
      </c>
      <c r="AJ5708">
        <v>0</v>
      </c>
      <c r="AK5708">
        <v>0</v>
      </c>
      <c r="AL5708">
        <v>0</v>
      </c>
      <c r="AM5708">
        <v>50988</v>
      </c>
      <c r="AN5708">
        <v>12154.6</v>
      </c>
      <c r="AO5708">
        <v>63142.6</v>
      </c>
      <c r="AP5708">
        <v>0</v>
      </c>
      <c r="AQ5708">
        <v>-22.80000000000291</v>
      </c>
      <c r="AR5708">
        <v>-3.6095710626393718E-4</v>
      </c>
      <c r="AS5708" t="s">
        <v>239</v>
      </c>
      <c r="AT5708" t="s">
        <v>514</v>
      </c>
    </row>
    <row r="5709" spans="2:46" x14ac:dyDescent="0.35">
      <c r="B5709" t="s">
        <v>747</v>
      </c>
      <c r="C5709">
        <v>45857</v>
      </c>
      <c r="J5709">
        <v>0</v>
      </c>
      <c r="O5709" t="s">
        <v>239</v>
      </c>
      <c r="P5709" t="s">
        <v>514</v>
      </c>
      <c r="U5709">
        <v>0</v>
      </c>
      <c r="Y5709">
        <v>1295</v>
      </c>
      <c r="Z5709" s="259" t="s">
        <v>637</v>
      </c>
      <c r="AB5709">
        <v>12012</v>
      </c>
      <c r="AF5709">
        <v>63142.6</v>
      </c>
      <c r="AG5709">
        <v>0</v>
      </c>
      <c r="AI5709">
        <v>63142.6</v>
      </c>
      <c r="AJ5709">
        <v>0</v>
      </c>
      <c r="AK5709">
        <v>0</v>
      </c>
      <c r="AL5709">
        <v>0</v>
      </c>
      <c r="AM5709">
        <v>50988</v>
      </c>
      <c r="AN5709">
        <v>12154.6</v>
      </c>
      <c r="AO5709">
        <v>63142.6</v>
      </c>
      <c r="AP5709">
        <v>0</v>
      </c>
      <c r="AQ5709">
        <v>0</v>
      </c>
      <c r="AR5709">
        <v>0</v>
      </c>
      <c r="AS5709" t="s">
        <v>239</v>
      </c>
      <c r="AT5709" t="s">
        <v>514</v>
      </c>
    </row>
    <row r="5710" spans="2:46" x14ac:dyDescent="0.35">
      <c r="B5710" t="s">
        <v>747</v>
      </c>
      <c r="C5710">
        <v>45858</v>
      </c>
      <c r="J5710">
        <v>0</v>
      </c>
      <c r="O5710" t="s">
        <v>239</v>
      </c>
      <c r="P5710" t="s">
        <v>514</v>
      </c>
      <c r="U5710">
        <v>0</v>
      </c>
      <c r="Y5710">
        <v>1296</v>
      </c>
      <c r="Z5710" s="259" t="s">
        <v>637</v>
      </c>
      <c r="AB5710">
        <v>12012</v>
      </c>
      <c r="AF5710">
        <v>63142.6</v>
      </c>
      <c r="AG5710">
        <v>0</v>
      </c>
      <c r="AI5710">
        <v>63142.6</v>
      </c>
      <c r="AJ5710">
        <v>0</v>
      </c>
      <c r="AK5710">
        <v>0</v>
      </c>
      <c r="AL5710">
        <v>0</v>
      </c>
      <c r="AM5710">
        <v>50988</v>
      </c>
      <c r="AN5710">
        <v>12154.6</v>
      </c>
      <c r="AO5710">
        <v>63142.6</v>
      </c>
      <c r="AP5710">
        <v>0</v>
      </c>
      <c r="AQ5710">
        <v>0</v>
      </c>
      <c r="AR5710">
        <v>0</v>
      </c>
      <c r="AS5710" t="s">
        <v>239</v>
      </c>
      <c r="AT5710" t="s">
        <v>514</v>
      </c>
    </row>
    <row r="5711" spans="2:46" x14ac:dyDescent="0.35">
      <c r="B5711" t="s">
        <v>747</v>
      </c>
      <c r="C5711">
        <v>45859</v>
      </c>
      <c r="J5711">
        <v>0</v>
      </c>
      <c r="O5711" t="s">
        <v>239</v>
      </c>
      <c r="P5711" t="s">
        <v>514</v>
      </c>
      <c r="U5711">
        <v>0</v>
      </c>
      <c r="Y5711">
        <v>1297</v>
      </c>
      <c r="Z5711" s="259" t="s">
        <v>637</v>
      </c>
      <c r="AB5711">
        <v>12012</v>
      </c>
      <c r="AF5711">
        <v>63074.6</v>
      </c>
      <c r="AG5711">
        <v>0</v>
      </c>
      <c r="AI5711">
        <v>63142.6</v>
      </c>
      <c r="AJ5711">
        <v>0</v>
      </c>
      <c r="AK5711">
        <v>0</v>
      </c>
      <c r="AL5711">
        <v>0</v>
      </c>
      <c r="AM5711">
        <v>50988</v>
      </c>
      <c r="AN5711">
        <v>12086.6</v>
      </c>
      <c r="AO5711">
        <v>63074.6</v>
      </c>
      <c r="AP5711">
        <v>0</v>
      </c>
      <c r="AQ5711">
        <v>-68</v>
      </c>
      <c r="AR5711">
        <v>-1.0769274626005743E-3</v>
      </c>
      <c r="AS5711" t="s">
        <v>239</v>
      </c>
      <c r="AT5711" t="s">
        <v>514</v>
      </c>
    </row>
    <row r="5712" spans="2:46" x14ac:dyDescent="0.35">
      <c r="B5712" t="s">
        <v>747</v>
      </c>
      <c r="C5712">
        <v>45860</v>
      </c>
      <c r="J5712">
        <v>0</v>
      </c>
      <c r="O5712" t="s">
        <v>239</v>
      </c>
      <c r="P5712" t="s">
        <v>514</v>
      </c>
      <c r="U5712">
        <v>0</v>
      </c>
      <c r="Y5712">
        <v>1298</v>
      </c>
      <c r="Z5712" s="259" t="s">
        <v>637</v>
      </c>
      <c r="AB5712">
        <v>12012</v>
      </c>
      <c r="AF5712">
        <v>63052</v>
      </c>
      <c r="AG5712">
        <v>0</v>
      </c>
      <c r="AI5712">
        <v>63074.6</v>
      </c>
      <c r="AJ5712">
        <v>0</v>
      </c>
      <c r="AK5712">
        <v>0</v>
      </c>
      <c r="AL5712">
        <v>0</v>
      </c>
      <c r="AM5712">
        <v>50988</v>
      </c>
      <c r="AN5712">
        <v>12064</v>
      </c>
      <c r="AO5712">
        <v>63052</v>
      </c>
      <c r="AP5712">
        <v>0</v>
      </c>
      <c r="AQ5712">
        <v>-22.599999999998545</v>
      </c>
      <c r="AR5712">
        <v>-3.5830587907015321E-4</v>
      </c>
      <c r="AS5712" t="s">
        <v>239</v>
      </c>
      <c r="AT5712" t="s">
        <v>514</v>
      </c>
    </row>
    <row r="5713" spans="2:46" x14ac:dyDescent="0.35">
      <c r="B5713" t="s">
        <v>747</v>
      </c>
      <c r="C5713">
        <v>45861</v>
      </c>
      <c r="J5713">
        <v>0</v>
      </c>
      <c r="O5713" t="s">
        <v>239</v>
      </c>
      <c r="P5713" t="s">
        <v>514</v>
      </c>
      <c r="U5713">
        <v>0</v>
      </c>
      <c r="Y5713">
        <v>1299</v>
      </c>
      <c r="Z5713" s="259" t="s">
        <v>637</v>
      </c>
      <c r="AB5713">
        <v>12012</v>
      </c>
      <c r="AF5713">
        <v>63029.399999999994</v>
      </c>
      <c r="AG5713">
        <v>0</v>
      </c>
      <c r="AI5713">
        <v>63052</v>
      </c>
      <c r="AJ5713">
        <v>0</v>
      </c>
      <c r="AK5713">
        <v>0</v>
      </c>
      <c r="AL5713">
        <v>0</v>
      </c>
      <c r="AM5713">
        <v>50988</v>
      </c>
      <c r="AN5713">
        <v>12041.399999999998</v>
      </c>
      <c r="AO5713">
        <v>63029.399999999994</v>
      </c>
      <c r="AP5713">
        <v>0</v>
      </c>
      <c r="AQ5713">
        <v>-22.600000000005821</v>
      </c>
      <c r="AR5713">
        <v>-3.5843430819015865E-4</v>
      </c>
      <c r="AS5713" t="s">
        <v>239</v>
      </c>
      <c r="AT5713" t="s">
        <v>514</v>
      </c>
    </row>
    <row r="5714" spans="2:46" x14ac:dyDescent="0.35">
      <c r="B5714" t="s">
        <v>747</v>
      </c>
      <c r="C5714">
        <v>45862</v>
      </c>
      <c r="J5714">
        <v>0</v>
      </c>
      <c r="O5714" t="s">
        <v>239</v>
      </c>
      <c r="P5714" t="s">
        <v>514</v>
      </c>
      <c r="U5714">
        <v>0</v>
      </c>
      <c r="Y5714">
        <v>1300</v>
      </c>
      <c r="Z5714" s="259" t="s">
        <v>637</v>
      </c>
      <c r="AB5714">
        <v>12012</v>
      </c>
      <c r="AF5714">
        <v>63006.600000000006</v>
      </c>
      <c r="AG5714">
        <v>0</v>
      </c>
      <c r="AI5714">
        <v>63029.399999999994</v>
      </c>
      <c r="AJ5714">
        <v>0</v>
      </c>
      <c r="AK5714">
        <v>0</v>
      </c>
      <c r="AL5714">
        <v>0</v>
      </c>
      <c r="AM5714">
        <v>50988</v>
      </c>
      <c r="AN5714">
        <v>12018.600000000002</v>
      </c>
      <c r="AO5714">
        <v>63006.600000000006</v>
      </c>
      <c r="AP5714">
        <v>0</v>
      </c>
      <c r="AQ5714">
        <v>-22.799999999988358</v>
      </c>
      <c r="AR5714">
        <v>-3.6173595179378459E-4</v>
      </c>
      <c r="AS5714" t="s">
        <v>239</v>
      </c>
      <c r="AT5714" t="s">
        <v>514</v>
      </c>
    </row>
    <row r="5715" spans="2:46" x14ac:dyDescent="0.35">
      <c r="B5715" t="s">
        <v>747</v>
      </c>
      <c r="C5715">
        <v>45863</v>
      </c>
      <c r="J5715">
        <v>0</v>
      </c>
      <c r="O5715" t="s">
        <v>239</v>
      </c>
      <c r="P5715" t="s">
        <v>514</v>
      </c>
      <c r="U5715">
        <v>0</v>
      </c>
      <c r="Y5715">
        <v>1301</v>
      </c>
      <c r="Z5715" s="259" t="s">
        <v>637</v>
      </c>
      <c r="AB5715">
        <v>12012</v>
      </c>
      <c r="AF5715">
        <v>62984</v>
      </c>
      <c r="AG5715">
        <v>0</v>
      </c>
      <c r="AI5715">
        <v>63006.600000000006</v>
      </c>
      <c r="AJ5715">
        <v>0</v>
      </c>
      <c r="AK5715">
        <v>0</v>
      </c>
      <c r="AL5715">
        <v>0</v>
      </c>
      <c r="AM5715">
        <v>50988</v>
      </c>
      <c r="AN5715">
        <v>11996</v>
      </c>
      <c r="AO5715">
        <v>62984</v>
      </c>
      <c r="AP5715">
        <v>0</v>
      </c>
      <c r="AQ5715">
        <v>-22.600000000005821</v>
      </c>
      <c r="AR5715">
        <v>-3.5869258141218996E-4</v>
      </c>
      <c r="AS5715" t="s">
        <v>239</v>
      </c>
      <c r="AT5715" t="s">
        <v>514</v>
      </c>
    </row>
    <row r="5716" spans="2:46" x14ac:dyDescent="0.35">
      <c r="B5716" t="s">
        <v>747</v>
      </c>
      <c r="C5716">
        <v>45864</v>
      </c>
      <c r="J5716">
        <v>0</v>
      </c>
      <c r="O5716" t="s">
        <v>239</v>
      </c>
      <c r="P5716" t="s">
        <v>514</v>
      </c>
      <c r="U5716">
        <v>0</v>
      </c>
      <c r="Y5716">
        <v>1302</v>
      </c>
      <c r="Z5716" s="259" t="s">
        <v>637</v>
      </c>
      <c r="AB5716">
        <v>12012</v>
      </c>
      <c r="AF5716">
        <v>62984</v>
      </c>
      <c r="AG5716">
        <v>0</v>
      </c>
      <c r="AI5716">
        <v>62984</v>
      </c>
      <c r="AJ5716">
        <v>0</v>
      </c>
      <c r="AK5716">
        <v>0</v>
      </c>
      <c r="AL5716">
        <v>0</v>
      </c>
      <c r="AM5716">
        <v>50988</v>
      </c>
      <c r="AN5716">
        <v>11996</v>
      </c>
      <c r="AO5716">
        <v>62984</v>
      </c>
      <c r="AP5716">
        <v>0</v>
      </c>
      <c r="AQ5716">
        <v>0</v>
      </c>
      <c r="AR5716">
        <v>0</v>
      </c>
      <c r="AS5716" t="s">
        <v>239</v>
      </c>
      <c r="AT5716" t="s">
        <v>514</v>
      </c>
    </row>
    <row r="5717" spans="2:46" x14ac:dyDescent="0.35">
      <c r="B5717" t="s">
        <v>747</v>
      </c>
      <c r="C5717">
        <v>45865</v>
      </c>
      <c r="J5717">
        <v>0</v>
      </c>
      <c r="O5717" t="s">
        <v>239</v>
      </c>
      <c r="P5717" t="s">
        <v>514</v>
      </c>
      <c r="U5717">
        <v>0</v>
      </c>
      <c r="Y5717">
        <v>1303</v>
      </c>
      <c r="Z5717" s="259" t="s">
        <v>637</v>
      </c>
      <c r="AB5717">
        <v>12012</v>
      </c>
      <c r="AF5717">
        <v>62984</v>
      </c>
      <c r="AG5717">
        <v>0</v>
      </c>
      <c r="AI5717">
        <v>62984</v>
      </c>
      <c r="AJ5717">
        <v>0</v>
      </c>
      <c r="AK5717">
        <v>0</v>
      </c>
      <c r="AL5717">
        <v>0</v>
      </c>
      <c r="AM5717">
        <v>50988</v>
      </c>
      <c r="AN5717">
        <v>11996</v>
      </c>
      <c r="AO5717">
        <v>62984</v>
      </c>
      <c r="AP5717">
        <v>0</v>
      </c>
      <c r="AQ5717">
        <v>0</v>
      </c>
      <c r="AR5717">
        <v>0</v>
      </c>
      <c r="AS5717" t="s">
        <v>239</v>
      </c>
      <c r="AT5717" t="s">
        <v>514</v>
      </c>
    </row>
    <row r="5718" spans="2:46" x14ac:dyDescent="0.35">
      <c r="B5718" t="s">
        <v>747</v>
      </c>
      <c r="C5718">
        <v>45866</v>
      </c>
      <c r="J5718">
        <v>0</v>
      </c>
      <c r="O5718" t="s">
        <v>239</v>
      </c>
      <c r="P5718" t="s">
        <v>514</v>
      </c>
      <c r="U5718">
        <v>0</v>
      </c>
      <c r="Y5718">
        <v>1304</v>
      </c>
      <c r="Z5718" s="259" t="s">
        <v>637</v>
      </c>
      <c r="AB5718">
        <v>12012</v>
      </c>
      <c r="AF5718">
        <v>62916</v>
      </c>
      <c r="AG5718">
        <v>0</v>
      </c>
      <c r="AI5718">
        <v>62984</v>
      </c>
      <c r="AJ5718">
        <v>0</v>
      </c>
      <c r="AK5718">
        <v>0</v>
      </c>
      <c r="AL5718">
        <v>0</v>
      </c>
      <c r="AM5718">
        <v>50988</v>
      </c>
      <c r="AN5718">
        <v>11928</v>
      </c>
      <c r="AO5718">
        <v>62916</v>
      </c>
      <c r="AP5718">
        <v>0</v>
      </c>
      <c r="AQ5718">
        <v>-68</v>
      </c>
      <c r="AR5718">
        <v>-1.0796392734663263E-3</v>
      </c>
      <c r="AS5718" t="s">
        <v>239</v>
      </c>
      <c r="AT5718" t="s">
        <v>514</v>
      </c>
    </row>
    <row r="5719" spans="2:46" x14ac:dyDescent="0.35">
      <c r="B5719" t="s">
        <v>747</v>
      </c>
      <c r="C5719">
        <v>45867</v>
      </c>
      <c r="J5719">
        <v>0</v>
      </c>
      <c r="O5719" t="s">
        <v>239</v>
      </c>
      <c r="P5719" t="s">
        <v>514</v>
      </c>
      <c r="U5719">
        <v>0</v>
      </c>
      <c r="Y5719">
        <v>1305</v>
      </c>
      <c r="Z5719" s="259" t="s">
        <v>637</v>
      </c>
      <c r="AB5719">
        <v>12012</v>
      </c>
      <c r="AF5719">
        <v>62893.4</v>
      </c>
      <c r="AG5719">
        <v>0</v>
      </c>
      <c r="AI5719">
        <v>62916</v>
      </c>
      <c r="AJ5719">
        <v>0</v>
      </c>
      <c r="AK5719">
        <v>0</v>
      </c>
      <c r="AL5719">
        <v>0</v>
      </c>
      <c r="AM5719">
        <v>50988</v>
      </c>
      <c r="AN5719">
        <v>11905.4</v>
      </c>
      <c r="AO5719">
        <v>62893.4</v>
      </c>
      <c r="AP5719">
        <v>0</v>
      </c>
      <c r="AQ5719">
        <v>-22.599999999998545</v>
      </c>
      <c r="AR5719">
        <v>-3.5920910420239593E-4</v>
      </c>
      <c r="AS5719" t="s">
        <v>239</v>
      </c>
      <c r="AT5719" t="s">
        <v>514</v>
      </c>
    </row>
    <row r="5720" spans="2:46" x14ac:dyDescent="0.35">
      <c r="B5720" t="s">
        <v>747</v>
      </c>
      <c r="C5720">
        <v>45868</v>
      </c>
      <c r="J5720">
        <v>0</v>
      </c>
      <c r="O5720" t="s">
        <v>239</v>
      </c>
      <c r="P5720" t="s">
        <v>514</v>
      </c>
      <c r="U5720">
        <v>0</v>
      </c>
      <c r="Y5720">
        <v>1306</v>
      </c>
      <c r="Z5720" s="259" t="s">
        <v>637</v>
      </c>
      <c r="AB5720">
        <v>12012</v>
      </c>
      <c r="AF5720">
        <v>62870.6</v>
      </c>
      <c r="AG5720">
        <v>0</v>
      </c>
      <c r="AI5720">
        <v>62893.4</v>
      </c>
      <c r="AJ5720">
        <v>0</v>
      </c>
      <c r="AK5720">
        <v>0</v>
      </c>
      <c r="AL5720">
        <v>0</v>
      </c>
      <c r="AM5720">
        <v>50988</v>
      </c>
      <c r="AN5720">
        <v>11882.599999999999</v>
      </c>
      <c r="AO5720">
        <v>62870.6</v>
      </c>
      <c r="AP5720">
        <v>0</v>
      </c>
      <c r="AQ5720">
        <v>-22.80000000000291</v>
      </c>
      <c r="AR5720">
        <v>-3.6251816565813222E-4</v>
      </c>
      <c r="AS5720" t="s">
        <v>239</v>
      </c>
      <c r="AT5720" t="s">
        <v>514</v>
      </c>
    </row>
    <row r="5721" spans="2:46" x14ac:dyDescent="0.35">
      <c r="B5721" t="s">
        <v>747</v>
      </c>
      <c r="C5721">
        <v>45869</v>
      </c>
      <c r="J5721">
        <v>0</v>
      </c>
      <c r="O5721" t="s">
        <v>239</v>
      </c>
      <c r="P5721" t="s">
        <v>514</v>
      </c>
      <c r="U5721">
        <v>0</v>
      </c>
      <c r="Y5721">
        <v>1307</v>
      </c>
      <c r="Z5721" s="259" t="s">
        <v>637</v>
      </c>
      <c r="AB5721">
        <v>12012</v>
      </c>
      <c r="AF5721">
        <v>62848</v>
      </c>
      <c r="AG5721">
        <v>0</v>
      </c>
      <c r="AI5721">
        <v>62870.6</v>
      </c>
      <c r="AJ5721">
        <v>0</v>
      </c>
      <c r="AK5721">
        <v>0</v>
      </c>
      <c r="AL5721">
        <v>0</v>
      </c>
      <c r="AM5721">
        <v>50988</v>
      </c>
      <c r="AN5721">
        <v>11860</v>
      </c>
      <c r="AO5721">
        <v>62848</v>
      </c>
      <c r="AP5721">
        <v>0</v>
      </c>
      <c r="AQ5721">
        <v>-22.599999999998545</v>
      </c>
      <c r="AR5721">
        <v>-3.5946849560841709E-4</v>
      </c>
      <c r="AS5721" t="s">
        <v>239</v>
      </c>
      <c r="AT5721" t="s">
        <v>514</v>
      </c>
    </row>
    <row r="5722" spans="2:46" x14ac:dyDescent="0.35">
      <c r="B5722" t="s">
        <v>747</v>
      </c>
      <c r="C5722">
        <v>45870</v>
      </c>
      <c r="J5722">
        <v>3</v>
      </c>
      <c r="O5722" t="s">
        <v>239</v>
      </c>
      <c r="P5722" t="s">
        <v>514</v>
      </c>
      <c r="U5722">
        <v>0</v>
      </c>
      <c r="Y5722">
        <v>1308</v>
      </c>
      <c r="Z5722" s="259" t="s">
        <v>637</v>
      </c>
      <c r="AB5722">
        <v>17355</v>
      </c>
      <c r="AF5722">
        <v>62845</v>
      </c>
      <c r="AG5722">
        <v>0</v>
      </c>
      <c r="AI5722">
        <v>62848</v>
      </c>
      <c r="AJ5722">
        <v>0</v>
      </c>
      <c r="AK5722">
        <v>0</v>
      </c>
      <c r="AL5722">
        <v>0</v>
      </c>
      <c r="AM5722">
        <v>45645</v>
      </c>
      <c r="AN5722">
        <v>17200</v>
      </c>
      <c r="AO5722">
        <v>62845</v>
      </c>
      <c r="AP5722">
        <v>0</v>
      </c>
      <c r="AQ5722">
        <v>-3</v>
      </c>
      <c r="AR5722">
        <v>-4.7734215885997244E-5</v>
      </c>
      <c r="AS5722" t="s">
        <v>239</v>
      </c>
      <c r="AT5722" t="s">
        <v>514</v>
      </c>
    </row>
    <row r="5723" spans="2:46" x14ac:dyDescent="0.35">
      <c r="B5723" t="s">
        <v>747</v>
      </c>
      <c r="C5723">
        <v>45871</v>
      </c>
      <c r="J5723">
        <v>0</v>
      </c>
      <c r="O5723" t="s">
        <v>239</v>
      </c>
      <c r="P5723" t="s">
        <v>514</v>
      </c>
      <c r="U5723">
        <v>0</v>
      </c>
      <c r="Y5723">
        <v>1309</v>
      </c>
      <c r="Z5723" s="259" t="s">
        <v>637</v>
      </c>
      <c r="AB5723">
        <v>17355</v>
      </c>
      <c r="AF5723">
        <v>62845</v>
      </c>
      <c r="AG5723">
        <v>0</v>
      </c>
      <c r="AI5723">
        <v>62845</v>
      </c>
      <c r="AJ5723">
        <v>0</v>
      </c>
      <c r="AK5723">
        <v>0</v>
      </c>
      <c r="AL5723">
        <v>0</v>
      </c>
      <c r="AM5723">
        <v>45645</v>
      </c>
      <c r="AN5723">
        <v>17200</v>
      </c>
      <c r="AO5723">
        <v>62845</v>
      </c>
      <c r="AP5723">
        <v>0</v>
      </c>
      <c r="AQ5723">
        <v>0</v>
      </c>
      <c r="AR5723">
        <v>0</v>
      </c>
      <c r="AS5723" t="s">
        <v>239</v>
      </c>
      <c r="AT5723" t="s">
        <v>514</v>
      </c>
    </row>
    <row r="5724" spans="2:46" x14ac:dyDescent="0.35">
      <c r="B5724" t="s">
        <v>747</v>
      </c>
      <c r="C5724">
        <v>45872</v>
      </c>
      <c r="J5724">
        <v>0</v>
      </c>
      <c r="O5724" t="s">
        <v>239</v>
      </c>
      <c r="P5724" t="s">
        <v>514</v>
      </c>
      <c r="U5724">
        <v>0</v>
      </c>
      <c r="Y5724">
        <v>1310</v>
      </c>
      <c r="Z5724" s="259" t="s">
        <v>637</v>
      </c>
      <c r="AB5724">
        <v>17355</v>
      </c>
      <c r="AF5724">
        <v>62845</v>
      </c>
      <c r="AG5724">
        <v>0</v>
      </c>
      <c r="AI5724">
        <v>62845</v>
      </c>
      <c r="AJ5724">
        <v>0</v>
      </c>
      <c r="AK5724">
        <v>0</v>
      </c>
      <c r="AL5724">
        <v>0</v>
      </c>
      <c r="AM5724">
        <v>45645</v>
      </c>
      <c r="AN5724">
        <v>17200</v>
      </c>
      <c r="AO5724">
        <v>62845</v>
      </c>
      <c r="AP5724">
        <v>0</v>
      </c>
      <c r="AQ5724">
        <v>0</v>
      </c>
      <c r="AR5724">
        <v>0</v>
      </c>
      <c r="AS5724" t="s">
        <v>239</v>
      </c>
      <c r="AT5724" t="s">
        <v>514</v>
      </c>
    </row>
    <row r="5725" spans="2:46" x14ac:dyDescent="0.35">
      <c r="B5725" t="s">
        <v>747</v>
      </c>
      <c r="C5725">
        <v>45873</v>
      </c>
      <c r="J5725">
        <v>0</v>
      </c>
      <c r="O5725" t="s">
        <v>239</v>
      </c>
      <c r="P5725" t="s">
        <v>514</v>
      </c>
      <c r="U5725">
        <v>0</v>
      </c>
      <c r="Y5725">
        <v>1311</v>
      </c>
      <c r="Z5725" s="259" t="s">
        <v>637</v>
      </c>
      <c r="AB5725">
        <v>17355</v>
      </c>
      <c r="AF5725">
        <v>62944</v>
      </c>
      <c r="AG5725">
        <v>0</v>
      </c>
      <c r="AI5725">
        <v>62845</v>
      </c>
      <c r="AJ5725">
        <v>0</v>
      </c>
      <c r="AK5725">
        <v>0</v>
      </c>
      <c r="AL5725">
        <v>0</v>
      </c>
      <c r="AM5725">
        <v>45645</v>
      </c>
      <c r="AN5725">
        <v>17299</v>
      </c>
      <c r="AO5725">
        <v>62944</v>
      </c>
      <c r="AP5725">
        <v>0</v>
      </c>
      <c r="AQ5725">
        <v>99</v>
      </c>
      <c r="AR5725">
        <v>1.5753043201527372E-3</v>
      </c>
      <c r="AS5725" t="s">
        <v>239</v>
      </c>
      <c r="AT5725" t="s">
        <v>514</v>
      </c>
    </row>
    <row r="5726" spans="2:46" x14ac:dyDescent="0.35">
      <c r="B5726" t="s">
        <v>747</v>
      </c>
      <c r="C5726">
        <v>45874</v>
      </c>
      <c r="J5726">
        <v>0</v>
      </c>
      <c r="O5726" t="s">
        <v>239</v>
      </c>
      <c r="P5726" t="s">
        <v>514</v>
      </c>
      <c r="U5726">
        <v>0</v>
      </c>
      <c r="Y5726">
        <v>1312</v>
      </c>
      <c r="Z5726" s="259" t="s">
        <v>637</v>
      </c>
      <c r="AB5726">
        <v>17355</v>
      </c>
      <c r="AF5726">
        <v>62977.1</v>
      </c>
      <c r="AG5726">
        <v>0</v>
      </c>
      <c r="AI5726">
        <v>62944</v>
      </c>
      <c r="AJ5726">
        <v>0</v>
      </c>
      <c r="AK5726">
        <v>0</v>
      </c>
      <c r="AL5726">
        <v>0</v>
      </c>
      <c r="AM5726">
        <v>45645</v>
      </c>
      <c r="AN5726">
        <v>17332.099999999999</v>
      </c>
      <c r="AO5726">
        <v>62977.1</v>
      </c>
      <c r="AP5726">
        <v>0</v>
      </c>
      <c r="AQ5726">
        <v>33.099999999998545</v>
      </c>
      <c r="AR5726">
        <v>5.2586426029477273E-4</v>
      </c>
      <c r="AS5726" t="s">
        <v>239</v>
      </c>
      <c r="AT5726" t="s">
        <v>514</v>
      </c>
    </row>
    <row r="5727" spans="2:46" x14ac:dyDescent="0.35">
      <c r="B5727" t="s">
        <v>747</v>
      </c>
      <c r="C5727">
        <v>45875</v>
      </c>
      <c r="J5727">
        <v>0</v>
      </c>
      <c r="O5727" t="s">
        <v>239</v>
      </c>
      <c r="P5727" t="s">
        <v>514</v>
      </c>
      <c r="U5727">
        <v>0</v>
      </c>
      <c r="Y5727">
        <v>1313</v>
      </c>
      <c r="Z5727" s="259" t="s">
        <v>637</v>
      </c>
      <c r="AB5727">
        <v>17355</v>
      </c>
      <c r="AF5727">
        <v>63009.9</v>
      </c>
      <c r="AG5727">
        <v>0</v>
      </c>
      <c r="AI5727">
        <v>62977.1</v>
      </c>
      <c r="AJ5727">
        <v>0</v>
      </c>
      <c r="AK5727">
        <v>0</v>
      </c>
      <c r="AL5727">
        <v>0</v>
      </c>
      <c r="AM5727">
        <v>45645</v>
      </c>
      <c r="AN5727">
        <v>17364.900000000001</v>
      </c>
      <c r="AO5727">
        <v>63009.9</v>
      </c>
      <c r="AP5727">
        <v>0</v>
      </c>
      <c r="AQ5727">
        <v>32.80000000000291</v>
      </c>
      <c r="AR5727">
        <v>5.2082423611121698E-4</v>
      </c>
      <c r="AS5727" t="s">
        <v>239</v>
      </c>
      <c r="AT5727" t="s">
        <v>514</v>
      </c>
    </row>
    <row r="5728" spans="2:46" x14ac:dyDescent="0.35">
      <c r="B5728" t="s">
        <v>747</v>
      </c>
      <c r="C5728">
        <v>45876</v>
      </c>
      <c r="J5728">
        <v>0</v>
      </c>
      <c r="O5728" t="s">
        <v>239</v>
      </c>
      <c r="P5728" t="s">
        <v>514</v>
      </c>
      <c r="U5728">
        <v>0</v>
      </c>
      <c r="Y5728">
        <v>1314</v>
      </c>
      <c r="Z5728" s="259" t="s">
        <v>637</v>
      </c>
      <c r="AB5728">
        <v>17355</v>
      </c>
      <c r="AF5728">
        <v>63043</v>
      </c>
      <c r="AG5728">
        <v>0</v>
      </c>
      <c r="AI5728">
        <v>63009.9</v>
      </c>
      <c r="AJ5728">
        <v>0</v>
      </c>
      <c r="AK5728">
        <v>0</v>
      </c>
      <c r="AL5728">
        <v>0</v>
      </c>
      <c r="AM5728">
        <v>45645</v>
      </c>
      <c r="AN5728">
        <v>17398</v>
      </c>
      <c r="AO5728">
        <v>63043</v>
      </c>
      <c r="AP5728">
        <v>0</v>
      </c>
      <c r="AQ5728">
        <v>33.099999999998545</v>
      </c>
      <c r="AR5728">
        <v>5.2531427601065772E-4</v>
      </c>
      <c r="AS5728" t="s">
        <v>239</v>
      </c>
      <c r="AT5728" t="s">
        <v>514</v>
      </c>
    </row>
    <row r="5729" spans="2:46" x14ac:dyDescent="0.35">
      <c r="B5729" t="s">
        <v>747</v>
      </c>
      <c r="C5729">
        <v>45877</v>
      </c>
      <c r="J5729">
        <v>0</v>
      </c>
      <c r="O5729" t="s">
        <v>239</v>
      </c>
      <c r="P5729" t="s">
        <v>514</v>
      </c>
      <c r="U5729">
        <v>0</v>
      </c>
      <c r="Y5729">
        <v>1315</v>
      </c>
      <c r="Z5729" s="259" t="s">
        <v>637</v>
      </c>
      <c r="AB5729">
        <v>17355</v>
      </c>
      <c r="AF5729">
        <v>63076.1</v>
      </c>
      <c r="AG5729">
        <v>0</v>
      </c>
      <c r="AI5729">
        <v>63043</v>
      </c>
      <c r="AJ5729">
        <v>0</v>
      </c>
      <c r="AK5729">
        <v>0</v>
      </c>
      <c r="AL5729">
        <v>0</v>
      </c>
      <c r="AM5729">
        <v>45645</v>
      </c>
      <c r="AN5729">
        <v>17431.099999999999</v>
      </c>
      <c r="AO5729">
        <v>63076.1</v>
      </c>
      <c r="AP5729">
        <v>0</v>
      </c>
      <c r="AQ5729">
        <v>33.099999999998545</v>
      </c>
      <c r="AR5729">
        <v>5.2503846580909119E-4</v>
      </c>
      <c r="AS5729" t="s">
        <v>239</v>
      </c>
      <c r="AT5729" t="s">
        <v>514</v>
      </c>
    </row>
    <row r="5730" spans="2:46" x14ac:dyDescent="0.35">
      <c r="B5730" t="s">
        <v>747</v>
      </c>
      <c r="C5730">
        <v>45878</v>
      </c>
      <c r="J5730">
        <v>0</v>
      </c>
      <c r="O5730" t="s">
        <v>239</v>
      </c>
      <c r="P5730" t="s">
        <v>514</v>
      </c>
      <c r="U5730">
        <v>0</v>
      </c>
      <c r="Y5730">
        <v>1316</v>
      </c>
      <c r="Z5730" s="259" t="s">
        <v>637</v>
      </c>
      <c r="AB5730">
        <v>17355</v>
      </c>
      <c r="AF5730">
        <v>63076.1</v>
      </c>
      <c r="AG5730">
        <v>0</v>
      </c>
      <c r="AI5730">
        <v>63076.1</v>
      </c>
      <c r="AJ5730">
        <v>0</v>
      </c>
      <c r="AK5730">
        <v>0</v>
      </c>
      <c r="AL5730">
        <v>0</v>
      </c>
      <c r="AM5730">
        <v>45645</v>
      </c>
      <c r="AN5730">
        <v>17431.099999999999</v>
      </c>
      <c r="AO5730">
        <v>63076.1</v>
      </c>
      <c r="AP5730">
        <v>0</v>
      </c>
      <c r="AQ5730">
        <v>0</v>
      </c>
      <c r="AR5730">
        <v>0</v>
      </c>
      <c r="AS5730" t="s">
        <v>239</v>
      </c>
      <c r="AT5730" t="s">
        <v>514</v>
      </c>
    </row>
    <row r="5731" spans="2:46" x14ac:dyDescent="0.35">
      <c r="B5731" t="s">
        <v>747</v>
      </c>
      <c r="C5731">
        <v>45879</v>
      </c>
      <c r="J5731">
        <v>0</v>
      </c>
      <c r="O5731" t="s">
        <v>239</v>
      </c>
      <c r="P5731" t="s">
        <v>514</v>
      </c>
      <c r="U5731">
        <v>0</v>
      </c>
      <c r="Y5731">
        <v>1317</v>
      </c>
      <c r="Z5731" s="259" t="s">
        <v>637</v>
      </c>
      <c r="AB5731">
        <v>17355</v>
      </c>
      <c r="AF5731">
        <v>63076.1</v>
      </c>
      <c r="AG5731">
        <v>0</v>
      </c>
      <c r="AI5731">
        <v>63076.1</v>
      </c>
      <c r="AJ5731">
        <v>0</v>
      </c>
      <c r="AK5731">
        <v>0</v>
      </c>
      <c r="AL5731">
        <v>0</v>
      </c>
      <c r="AM5731">
        <v>45645</v>
      </c>
      <c r="AN5731">
        <v>17431.099999999999</v>
      </c>
      <c r="AO5731">
        <v>63076.1</v>
      </c>
      <c r="AP5731">
        <v>0</v>
      </c>
      <c r="AQ5731">
        <v>0</v>
      </c>
      <c r="AR5731">
        <v>0</v>
      </c>
      <c r="AS5731" t="s">
        <v>239</v>
      </c>
      <c r="AT5731" t="s">
        <v>514</v>
      </c>
    </row>
    <row r="5732" spans="2:46" x14ac:dyDescent="0.35">
      <c r="B5732" t="s">
        <v>747</v>
      </c>
      <c r="C5732">
        <v>45880</v>
      </c>
      <c r="J5732">
        <v>0</v>
      </c>
      <c r="O5732" t="s">
        <v>239</v>
      </c>
      <c r="P5732" t="s">
        <v>514</v>
      </c>
      <c r="U5732">
        <v>0</v>
      </c>
      <c r="Y5732">
        <v>1318</v>
      </c>
      <c r="Z5732" s="259" t="s">
        <v>637</v>
      </c>
      <c r="AB5732">
        <v>17355</v>
      </c>
      <c r="AF5732">
        <v>63175.1</v>
      </c>
      <c r="AG5732">
        <v>0</v>
      </c>
      <c r="AI5732">
        <v>63076.1</v>
      </c>
      <c r="AJ5732">
        <v>0</v>
      </c>
      <c r="AK5732">
        <v>0</v>
      </c>
      <c r="AL5732">
        <v>0</v>
      </c>
      <c r="AM5732">
        <v>45645</v>
      </c>
      <c r="AN5732">
        <v>17530.099999999999</v>
      </c>
      <c r="AO5732">
        <v>63175.1</v>
      </c>
      <c r="AP5732">
        <v>0</v>
      </c>
      <c r="AQ5732">
        <v>99</v>
      </c>
      <c r="AR5732">
        <v>1.5695326756093309E-3</v>
      </c>
      <c r="AS5732" t="s">
        <v>239</v>
      </c>
      <c r="AT5732" t="s">
        <v>514</v>
      </c>
    </row>
    <row r="5733" spans="2:46" x14ac:dyDescent="0.35">
      <c r="B5733" t="s">
        <v>747</v>
      </c>
      <c r="C5733">
        <v>45881</v>
      </c>
      <c r="J5733">
        <v>0</v>
      </c>
      <c r="O5733" t="s">
        <v>239</v>
      </c>
      <c r="P5733" t="s">
        <v>514</v>
      </c>
      <c r="U5733">
        <v>0</v>
      </c>
      <c r="Y5733">
        <v>1319</v>
      </c>
      <c r="Z5733" s="259" t="s">
        <v>637</v>
      </c>
      <c r="AB5733">
        <v>17355</v>
      </c>
      <c r="AF5733">
        <v>63207.9</v>
      </c>
      <c r="AG5733">
        <v>0</v>
      </c>
      <c r="AI5733">
        <v>63175.1</v>
      </c>
      <c r="AJ5733">
        <v>0</v>
      </c>
      <c r="AK5733">
        <v>0</v>
      </c>
      <c r="AL5733">
        <v>0</v>
      </c>
      <c r="AM5733">
        <v>45645</v>
      </c>
      <c r="AN5733">
        <v>17562.900000000001</v>
      </c>
      <c r="AO5733">
        <v>63207.9</v>
      </c>
      <c r="AP5733">
        <v>0</v>
      </c>
      <c r="AQ5733">
        <v>32.80000000000291</v>
      </c>
      <c r="AR5733">
        <v>5.1919189680749156E-4</v>
      </c>
      <c r="AS5733" t="s">
        <v>239</v>
      </c>
      <c r="AT5733" t="s">
        <v>514</v>
      </c>
    </row>
    <row r="5734" spans="2:46" x14ac:dyDescent="0.35">
      <c r="B5734" t="s">
        <v>747</v>
      </c>
      <c r="C5734">
        <v>45882</v>
      </c>
      <c r="J5734">
        <v>0</v>
      </c>
      <c r="O5734" t="s">
        <v>239</v>
      </c>
      <c r="P5734" t="s">
        <v>514</v>
      </c>
      <c r="U5734">
        <v>0</v>
      </c>
      <c r="Y5734">
        <v>1320</v>
      </c>
      <c r="Z5734" s="259" t="s">
        <v>637</v>
      </c>
      <c r="AB5734">
        <v>17355</v>
      </c>
      <c r="AF5734">
        <v>63241</v>
      </c>
      <c r="AG5734">
        <v>0</v>
      </c>
      <c r="AI5734">
        <v>63207.9</v>
      </c>
      <c r="AJ5734">
        <v>0</v>
      </c>
      <c r="AK5734">
        <v>0</v>
      </c>
      <c r="AL5734">
        <v>0</v>
      </c>
      <c r="AM5734">
        <v>45645</v>
      </c>
      <c r="AN5734">
        <v>17596</v>
      </c>
      <c r="AO5734">
        <v>63241</v>
      </c>
      <c r="AP5734">
        <v>0</v>
      </c>
      <c r="AQ5734">
        <v>33.099999999998545</v>
      </c>
      <c r="AR5734">
        <v>5.2366871862541409E-4</v>
      </c>
      <c r="AS5734" t="s">
        <v>239</v>
      </c>
      <c r="AT5734" t="s">
        <v>514</v>
      </c>
    </row>
    <row r="5735" spans="2:46" x14ac:dyDescent="0.35">
      <c r="B5735" t="s">
        <v>747</v>
      </c>
      <c r="C5735">
        <v>45883</v>
      </c>
      <c r="J5735">
        <v>0</v>
      </c>
      <c r="O5735" t="s">
        <v>239</v>
      </c>
      <c r="P5735" t="s">
        <v>514</v>
      </c>
      <c r="U5735">
        <v>0</v>
      </c>
      <c r="Y5735">
        <v>1321</v>
      </c>
      <c r="Z5735" s="259" t="s">
        <v>637</v>
      </c>
      <c r="AB5735">
        <v>17355</v>
      </c>
      <c r="AF5735">
        <v>63274.100000000006</v>
      </c>
      <c r="AG5735">
        <v>0</v>
      </c>
      <c r="AI5735">
        <v>63241</v>
      </c>
      <c r="AJ5735">
        <v>0</v>
      </c>
      <c r="AK5735">
        <v>0</v>
      </c>
      <c r="AL5735">
        <v>0</v>
      </c>
      <c r="AM5735">
        <v>45645</v>
      </c>
      <c r="AN5735">
        <v>17629.100000000002</v>
      </c>
      <c r="AO5735">
        <v>63274.100000000006</v>
      </c>
      <c r="AP5735">
        <v>0</v>
      </c>
      <c r="AQ5735">
        <v>33.100000000005821</v>
      </c>
      <c r="AR5735">
        <v>5.2339463322859103E-4</v>
      </c>
      <c r="AS5735" t="s">
        <v>239</v>
      </c>
      <c r="AT5735" t="s">
        <v>514</v>
      </c>
    </row>
    <row r="5736" spans="2:46" x14ac:dyDescent="0.35">
      <c r="B5736" t="s">
        <v>747</v>
      </c>
      <c r="C5736">
        <v>45884</v>
      </c>
      <c r="J5736">
        <v>0</v>
      </c>
      <c r="O5736" t="s">
        <v>239</v>
      </c>
      <c r="P5736" t="s">
        <v>514</v>
      </c>
      <c r="U5736">
        <v>0</v>
      </c>
      <c r="Y5736">
        <v>1322</v>
      </c>
      <c r="Z5736" s="259" t="s">
        <v>637</v>
      </c>
      <c r="AB5736">
        <v>17355</v>
      </c>
      <c r="AF5736">
        <v>63306.9</v>
      </c>
      <c r="AG5736">
        <v>0</v>
      </c>
      <c r="AI5736">
        <v>63274.100000000006</v>
      </c>
      <c r="AJ5736">
        <v>0</v>
      </c>
      <c r="AK5736">
        <v>0</v>
      </c>
      <c r="AL5736">
        <v>0</v>
      </c>
      <c r="AM5736">
        <v>45645</v>
      </c>
      <c r="AN5736">
        <v>17661.900000000001</v>
      </c>
      <c r="AO5736">
        <v>63306.9</v>
      </c>
      <c r="AP5736">
        <v>0</v>
      </c>
      <c r="AQ5736">
        <v>32.799999999995634</v>
      </c>
      <c r="AR5736">
        <v>5.1837955814448833E-4</v>
      </c>
      <c r="AS5736" t="s">
        <v>239</v>
      </c>
      <c r="AT5736" t="s">
        <v>514</v>
      </c>
    </row>
    <row r="5737" spans="2:46" x14ac:dyDescent="0.35">
      <c r="B5737" t="s">
        <v>747</v>
      </c>
      <c r="C5737">
        <v>45885</v>
      </c>
      <c r="J5737">
        <v>0</v>
      </c>
      <c r="O5737" t="s">
        <v>239</v>
      </c>
      <c r="P5737" t="s">
        <v>514</v>
      </c>
      <c r="U5737">
        <v>0</v>
      </c>
      <c r="Y5737">
        <v>1323</v>
      </c>
      <c r="Z5737" s="259" t="s">
        <v>637</v>
      </c>
      <c r="AB5737">
        <v>17355</v>
      </c>
      <c r="AF5737">
        <v>63306.9</v>
      </c>
      <c r="AG5737">
        <v>0</v>
      </c>
      <c r="AI5737">
        <v>63306.9</v>
      </c>
      <c r="AJ5737">
        <v>0</v>
      </c>
      <c r="AK5737">
        <v>0</v>
      </c>
      <c r="AL5737">
        <v>0</v>
      </c>
      <c r="AM5737">
        <v>45645</v>
      </c>
      <c r="AN5737">
        <v>17661.900000000001</v>
      </c>
      <c r="AO5737">
        <v>63306.9</v>
      </c>
      <c r="AP5737">
        <v>0</v>
      </c>
      <c r="AQ5737">
        <v>0</v>
      </c>
      <c r="AR5737">
        <v>0</v>
      </c>
      <c r="AS5737" t="s">
        <v>239</v>
      </c>
      <c r="AT5737" t="s">
        <v>514</v>
      </c>
    </row>
    <row r="5738" spans="2:46" x14ac:dyDescent="0.35">
      <c r="B5738" t="s">
        <v>747</v>
      </c>
      <c r="C5738">
        <v>45886</v>
      </c>
      <c r="J5738">
        <v>0</v>
      </c>
      <c r="O5738" t="s">
        <v>239</v>
      </c>
      <c r="P5738" t="s">
        <v>514</v>
      </c>
      <c r="U5738">
        <v>0</v>
      </c>
      <c r="Y5738">
        <v>1324</v>
      </c>
      <c r="Z5738" s="259" t="s">
        <v>637</v>
      </c>
      <c r="AB5738">
        <v>17355</v>
      </c>
      <c r="AF5738">
        <v>63306.9</v>
      </c>
      <c r="AG5738">
        <v>0</v>
      </c>
      <c r="AI5738">
        <v>63306.9</v>
      </c>
      <c r="AJ5738">
        <v>0</v>
      </c>
      <c r="AK5738">
        <v>0</v>
      </c>
      <c r="AL5738">
        <v>0</v>
      </c>
      <c r="AM5738">
        <v>45645</v>
      </c>
      <c r="AN5738">
        <v>17661.900000000001</v>
      </c>
      <c r="AO5738">
        <v>63306.9</v>
      </c>
      <c r="AP5738">
        <v>0</v>
      </c>
      <c r="AQ5738">
        <v>0</v>
      </c>
      <c r="AR5738">
        <v>0</v>
      </c>
      <c r="AS5738" t="s">
        <v>239</v>
      </c>
      <c r="AT5738" t="s">
        <v>514</v>
      </c>
    </row>
    <row r="5739" spans="2:46" x14ac:dyDescent="0.35">
      <c r="B5739" t="s">
        <v>747</v>
      </c>
      <c r="C5739">
        <v>45887</v>
      </c>
      <c r="J5739">
        <v>0</v>
      </c>
      <c r="O5739" t="s">
        <v>239</v>
      </c>
      <c r="P5739" t="s">
        <v>514</v>
      </c>
      <c r="U5739">
        <v>0</v>
      </c>
      <c r="Y5739">
        <v>1325</v>
      </c>
      <c r="Z5739" s="259" t="s">
        <v>637</v>
      </c>
      <c r="AB5739">
        <v>17355</v>
      </c>
      <c r="AF5739">
        <v>63405.9</v>
      </c>
      <c r="AG5739">
        <v>0</v>
      </c>
      <c r="AI5739">
        <v>63306.9</v>
      </c>
      <c r="AJ5739">
        <v>0</v>
      </c>
      <c r="AK5739">
        <v>0</v>
      </c>
      <c r="AL5739">
        <v>0</v>
      </c>
      <c r="AM5739">
        <v>45645</v>
      </c>
      <c r="AN5739">
        <v>17760.900000000001</v>
      </c>
      <c r="AO5739">
        <v>63405.9</v>
      </c>
      <c r="AP5739">
        <v>0</v>
      </c>
      <c r="AQ5739">
        <v>99</v>
      </c>
      <c r="AR5739">
        <v>1.5638105798894131E-3</v>
      </c>
      <c r="AS5739" t="s">
        <v>239</v>
      </c>
      <c r="AT5739" t="s">
        <v>514</v>
      </c>
    </row>
    <row r="5740" spans="2:46" x14ac:dyDescent="0.35">
      <c r="B5740" t="s">
        <v>747</v>
      </c>
      <c r="C5740">
        <v>45888</v>
      </c>
      <c r="J5740">
        <v>0</v>
      </c>
      <c r="O5740" t="s">
        <v>239</v>
      </c>
      <c r="P5740" t="s">
        <v>514</v>
      </c>
      <c r="U5740">
        <v>0</v>
      </c>
      <c r="Y5740">
        <v>1326</v>
      </c>
      <c r="Z5740" s="259" t="s">
        <v>637</v>
      </c>
      <c r="AB5740">
        <v>17355</v>
      </c>
      <c r="AF5740">
        <v>63439</v>
      </c>
      <c r="AG5740">
        <v>0</v>
      </c>
      <c r="AI5740">
        <v>63405.9</v>
      </c>
      <c r="AJ5740">
        <v>0</v>
      </c>
      <c r="AK5740">
        <v>0</v>
      </c>
      <c r="AL5740">
        <v>0</v>
      </c>
      <c r="AM5740">
        <v>45645</v>
      </c>
      <c r="AN5740">
        <v>17794</v>
      </c>
      <c r="AO5740">
        <v>63439</v>
      </c>
      <c r="AP5740">
        <v>0</v>
      </c>
      <c r="AQ5740">
        <v>33.099999999998545</v>
      </c>
      <c r="AR5740">
        <v>5.2203343852852413E-4</v>
      </c>
      <c r="AS5740" t="s">
        <v>239</v>
      </c>
      <c r="AT5740" t="s">
        <v>514</v>
      </c>
    </row>
    <row r="5741" spans="2:46" x14ac:dyDescent="0.35">
      <c r="B5741" t="s">
        <v>747</v>
      </c>
      <c r="C5741">
        <v>45889</v>
      </c>
      <c r="J5741">
        <v>0</v>
      </c>
      <c r="O5741" t="s">
        <v>239</v>
      </c>
      <c r="P5741" t="s">
        <v>514</v>
      </c>
      <c r="U5741">
        <v>0</v>
      </c>
      <c r="Y5741">
        <v>1327</v>
      </c>
      <c r="Z5741" s="259" t="s">
        <v>637</v>
      </c>
      <c r="AB5741">
        <v>17355</v>
      </c>
      <c r="AF5741">
        <v>63472.1</v>
      </c>
      <c r="AG5741">
        <v>0</v>
      </c>
      <c r="AI5741">
        <v>63439</v>
      </c>
      <c r="AJ5741">
        <v>0</v>
      </c>
      <c r="AK5741">
        <v>0</v>
      </c>
      <c r="AL5741">
        <v>0</v>
      </c>
      <c r="AM5741">
        <v>45645</v>
      </c>
      <c r="AN5741">
        <v>17827.099999999999</v>
      </c>
      <c r="AO5741">
        <v>63472.1</v>
      </c>
      <c r="AP5741">
        <v>0</v>
      </c>
      <c r="AQ5741">
        <v>33.099999999998545</v>
      </c>
      <c r="AR5741">
        <v>5.2176106180734649E-4</v>
      </c>
      <c r="AS5741" t="s">
        <v>239</v>
      </c>
      <c r="AT5741" t="s">
        <v>514</v>
      </c>
    </row>
    <row r="5742" spans="2:46" x14ac:dyDescent="0.35">
      <c r="B5742" t="s">
        <v>747</v>
      </c>
      <c r="C5742">
        <v>45890</v>
      </c>
      <c r="J5742">
        <v>0</v>
      </c>
      <c r="O5742" t="s">
        <v>239</v>
      </c>
      <c r="P5742" t="s">
        <v>514</v>
      </c>
      <c r="U5742">
        <v>0</v>
      </c>
      <c r="Y5742">
        <v>1328</v>
      </c>
      <c r="Z5742" s="259" t="s">
        <v>637</v>
      </c>
      <c r="AB5742">
        <v>17355</v>
      </c>
      <c r="AF5742">
        <v>63504.9</v>
      </c>
      <c r="AG5742">
        <v>0</v>
      </c>
      <c r="AI5742">
        <v>63472.1</v>
      </c>
      <c r="AJ5742">
        <v>0</v>
      </c>
      <c r="AK5742">
        <v>0</v>
      </c>
      <c r="AL5742">
        <v>0</v>
      </c>
      <c r="AM5742">
        <v>45645</v>
      </c>
      <c r="AN5742">
        <v>17859.900000000001</v>
      </c>
      <c r="AO5742">
        <v>63504.9</v>
      </c>
      <c r="AP5742">
        <v>0</v>
      </c>
      <c r="AQ5742">
        <v>32.80000000000291</v>
      </c>
      <c r="AR5742">
        <v>5.1676248304377559E-4</v>
      </c>
      <c r="AS5742" t="s">
        <v>239</v>
      </c>
      <c r="AT5742" t="s">
        <v>514</v>
      </c>
    </row>
    <row r="5743" spans="2:46" x14ac:dyDescent="0.35">
      <c r="B5743" t="s">
        <v>747</v>
      </c>
      <c r="C5743">
        <v>45891</v>
      </c>
      <c r="J5743">
        <v>0</v>
      </c>
      <c r="O5743" t="s">
        <v>239</v>
      </c>
      <c r="P5743" t="s">
        <v>514</v>
      </c>
      <c r="U5743">
        <v>0</v>
      </c>
      <c r="Y5743">
        <v>1329</v>
      </c>
      <c r="Z5743" s="259" t="s">
        <v>637</v>
      </c>
      <c r="AB5743">
        <v>17355</v>
      </c>
      <c r="AF5743">
        <v>63538</v>
      </c>
      <c r="AG5743">
        <v>0</v>
      </c>
      <c r="AI5743">
        <v>63504.9</v>
      </c>
      <c r="AJ5743">
        <v>0</v>
      </c>
      <c r="AK5743">
        <v>0</v>
      </c>
      <c r="AL5743">
        <v>0</v>
      </c>
      <c r="AM5743">
        <v>45645</v>
      </c>
      <c r="AN5743">
        <v>17893</v>
      </c>
      <c r="AO5743">
        <v>63538</v>
      </c>
      <c r="AP5743">
        <v>0</v>
      </c>
      <c r="AQ5743">
        <v>33.099999999998545</v>
      </c>
      <c r="AR5743">
        <v>5.212196224229082E-4</v>
      </c>
      <c r="AS5743" t="s">
        <v>239</v>
      </c>
      <c r="AT5743" t="s">
        <v>514</v>
      </c>
    </row>
    <row r="5744" spans="2:46" x14ac:dyDescent="0.35">
      <c r="B5744" t="s">
        <v>747</v>
      </c>
      <c r="C5744">
        <v>45892</v>
      </c>
      <c r="J5744">
        <v>0</v>
      </c>
      <c r="O5744" t="s">
        <v>239</v>
      </c>
      <c r="P5744" t="s">
        <v>514</v>
      </c>
      <c r="U5744">
        <v>0</v>
      </c>
      <c r="Y5744">
        <v>1330</v>
      </c>
      <c r="Z5744" s="259" t="s">
        <v>637</v>
      </c>
      <c r="AB5744">
        <v>17355</v>
      </c>
      <c r="AF5744">
        <v>63538</v>
      </c>
      <c r="AG5744">
        <v>0</v>
      </c>
      <c r="AI5744">
        <v>63538</v>
      </c>
      <c r="AJ5744">
        <v>0</v>
      </c>
      <c r="AK5744">
        <v>0</v>
      </c>
      <c r="AL5744">
        <v>0</v>
      </c>
      <c r="AM5744">
        <v>45645</v>
      </c>
      <c r="AN5744">
        <v>17893</v>
      </c>
      <c r="AO5744">
        <v>63538</v>
      </c>
      <c r="AP5744">
        <v>0</v>
      </c>
      <c r="AQ5744">
        <v>0</v>
      </c>
      <c r="AR5744">
        <v>0</v>
      </c>
      <c r="AS5744" t="s">
        <v>239</v>
      </c>
      <c r="AT5744" t="s">
        <v>514</v>
      </c>
    </row>
    <row r="5745" spans="2:46" x14ac:dyDescent="0.35">
      <c r="B5745" t="s">
        <v>747</v>
      </c>
      <c r="C5745">
        <v>45893</v>
      </c>
      <c r="J5745">
        <v>0</v>
      </c>
      <c r="O5745" t="s">
        <v>239</v>
      </c>
      <c r="P5745" t="s">
        <v>514</v>
      </c>
      <c r="U5745">
        <v>0</v>
      </c>
      <c r="Y5745">
        <v>1331</v>
      </c>
      <c r="Z5745" s="259" t="s">
        <v>637</v>
      </c>
      <c r="AB5745">
        <v>17355</v>
      </c>
      <c r="AF5745">
        <v>63538</v>
      </c>
      <c r="AG5745">
        <v>0</v>
      </c>
      <c r="AI5745">
        <v>63538</v>
      </c>
      <c r="AJ5745">
        <v>0</v>
      </c>
      <c r="AK5745">
        <v>0</v>
      </c>
      <c r="AL5745">
        <v>0</v>
      </c>
      <c r="AM5745">
        <v>45645</v>
      </c>
      <c r="AN5745">
        <v>17893</v>
      </c>
      <c r="AO5745">
        <v>63538</v>
      </c>
      <c r="AP5745">
        <v>0</v>
      </c>
      <c r="AQ5745">
        <v>0</v>
      </c>
      <c r="AR5745">
        <v>0</v>
      </c>
      <c r="AS5745" t="s">
        <v>239</v>
      </c>
      <c r="AT5745" t="s">
        <v>514</v>
      </c>
    </row>
    <row r="5746" spans="2:46" x14ac:dyDescent="0.35">
      <c r="B5746" t="s">
        <v>747</v>
      </c>
      <c r="C5746">
        <v>45894</v>
      </c>
      <c r="J5746">
        <v>0</v>
      </c>
      <c r="O5746" t="s">
        <v>239</v>
      </c>
      <c r="P5746" t="s">
        <v>514</v>
      </c>
      <c r="U5746">
        <v>0</v>
      </c>
      <c r="Y5746">
        <v>1332</v>
      </c>
      <c r="Z5746" s="259" t="s">
        <v>637</v>
      </c>
      <c r="AB5746">
        <v>17355</v>
      </c>
      <c r="AF5746">
        <v>63637</v>
      </c>
      <c r="AG5746">
        <v>0</v>
      </c>
      <c r="AI5746">
        <v>63538</v>
      </c>
      <c r="AJ5746">
        <v>0</v>
      </c>
      <c r="AK5746">
        <v>0</v>
      </c>
      <c r="AL5746">
        <v>0</v>
      </c>
      <c r="AM5746">
        <v>45645</v>
      </c>
      <c r="AN5746">
        <v>17992</v>
      </c>
      <c r="AO5746">
        <v>63637</v>
      </c>
      <c r="AP5746">
        <v>0</v>
      </c>
      <c r="AQ5746">
        <v>99</v>
      </c>
      <c r="AR5746">
        <v>1.5581226982277485E-3</v>
      </c>
      <c r="AS5746" t="s">
        <v>239</v>
      </c>
      <c r="AT5746" t="s">
        <v>514</v>
      </c>
    </row>
    <row r="5747" spans="2:46" x14ac:dyDescent="0.35">
      <c r="B5747" t="s">
        <v>747</v>
      </c>
      <c r="C5747">
        <v>45895</v>
      </c>
      <c r="J5747">
        <v>0</v>
      </c>
      <c r="O5747" t="s">
        <v>239</v>
      </c>
      <c r="P5747" t="s">
        <v>514</v>
      </c>
      <c r="U5747">
        <v>0</v>
      </c>
      <c r="Y5747">
        <v>1333</v>
      </c>
      <c r="Z5747" s="259" t="s">
        <v>637</v>
      </c>
      <c r="AB5747">
        <v>17355</v>
      </c>
      <c r="AF5747">
        <v>63670.1</v>
      </c>
      <c r="AG5747">
        <v>0</v>
      </c>
      <c r="AI5747">
        <v>63637</v>
      </c>
      <c r="AJ5747">
        <v>0</v>
      </c>
      <c r="AK5747">
        <v>0</v>
      </c>
      <c r="AL5747">
        <v>0</v>
      </c>
      <c r="AM5747">
        <v>45645</v>
      </c>
      <c r="AN5747">
        <v>18025.099999999999</v>
      </c>
      <c r="AO5747">
        <v>63670.1</v>
      </c>
      <c r="AP5747">
        <v>0</v>
      </c>
      <c r="AQ5747">
        <v>33.099999999998545</v>
      </c>
      <c r="AR5747">
        <v>5.2013765576619519E-4</v>
      </c>
      <c r="AS5747" t="s">
        <v>239</v>
      </c>
      <c r="AT5747" t="s">
        <v>514</v>
      </c>
    </row>
    <row r="5748" spans="2:46" x14ac:dyDescent="0.35">
      <c r="B5748" t="s">
        <v>747</v>
      </c>
      <c r="C5748">
        <v>45896</v>
      </c>
      <c r="J5748">
        <v>0</v>
      </c>
      <c r="O5748" t="s">
        <v>239</v>
      </c>
      <c r="P5748" t="s">
        <v>514</v>
      </c>
      <c r="U5748">
        <v>0</v>
      </c>
      <c r="Y5748">
        <v>1334</v>
      </c>
      <c r="Z5748" s="259" t="s">
        <v>637</v>
      </c>
      <c r="AB5748">
        <v>17355</v>
      </c>
      <c r="AF5748">
        <v>63702.9</v>
      </c>
      <c r="AG5748">
        <v>0</v>
      </c>
      <c r="AI5748">
        <v>63670.1</v>
      </c>
      <c r="AJ5748">
        <v>0</v>
      </c>
      <c r="AK5748">
        <v>0</v>
      </c>
      <c r="AL5748">
        <v>0</v>
      </c>
      <c r="AM5748">
        <v>45645</v>
      </c>
      <c r="AN5748">
        <v>18057.900000000001</v>
      </c>
      <c r="AO5748">
        <v>63702.9</v>
      </c>
      <c r="AP5748">
        <v>0</v>
      </c>
      <c r="AQ5748">
        <v>32.80000000000291</v>
      </c>
      <c r="AR5748">
        <v>5.151554654383439E-4</v>
      </c>
      <c r="AS5748" t="s">
        <v>239</v>
      </c>
      <c r="AT5748" t="s">
        <v>514</v>
      </c>
    </row>
    <row r="5749" spans="2:46" x14ac:dyDescent="0.35">
      <c r="B5749" t="s">
        <v>747</v>
      </c>
      <c r="C5749">
        <v>45897</v>
      </c>
      <c r="J5749">
        <v>0</v>
      </c>
      <c r="O5749" t="s">
        <v>239</v>
      </c>
      <c r="P5749" t="s">
        <v>514</v>
      </c>
      <c r="U5749">
        <v>0</v>
      </c>
      <c r="Y5749">
        <v>1335</v>
      </c>
      <c r="Z5749" s="259" t="s">
        <v>637</v>
      </c>
      <c r="AB5749">
        <v>17355</v>
      </c>
      <c r="AF5749">
        <v>63736</v>
      </c>
      <c r="AG5749">
        <v>0</v>
      </c>
      <c r="AI5749">
        <v>63702.9</v>
      </c>
      <c r="AJ5749">
        <v>0</v>
      </c>
      <c r="AK5749">
        <v>0</v>
      </c>
      <c r="AL5749">
        <v>0</v>
      </c>
      <c r="AM5749">
        <v>45645</v>
      </c>
      <c r="AN5749">
        <v>18091</v>
      </c>
      <c r="AO5749">
        <v>63736</v>
      </c>
      <c r="AP5749">
        <v>0</v>
      </c>
      <c r="AQ5749">
        <v>33.099999999998545</v>
      </c>
      <c r="AR5749">
        <v>5.1959957866909434E-4</v>
      </c>
      <c r="AS5749" t="s">
        <v>239</v>
      </c>
      <c r="AT5749" t="s">
        <v>514</v>
      </c>
    </row>
    <row r="5750" spans="2:46" x14ac:dyDescent="0.35">
      <c r="B5750" t="s">
        <v>747</v>
      </c>
      <c r="C5750">
        <v>45898</v>
      </c>
      <c r="J5750">
        <v>0</v>
      </c>
      <c r="O5750" t="s">
        <v>239</v>
      </c>
      <c r="P5750" t="s">
        <v>514</v>
      </c>
      <c r="U5750">
        <v>0</v>
      </c>
      <c r="Y5750">
        <v>1336</v>
      </c>
      <c r="Z5750" s="259" t="s">
        <v>637</v>
      </c>
      <c r="AB5750">
        <v>17355</v>
      </c>
      <c r="AF5750">
        <v>63769.1</v>
      </c>
      <c r="AG5750">
        <v>0</v>
      </c>
      <c r="AI5750">
        <v>63736</v>
      </c>
      <c r="AJ5750">
        <v>0</v>
      </c>
      <c r="AK5750">
        <v>0</v>
      </c>
      <c r="AL5750">
        <v>0</v>
      </c>
      <c r="AM5750">
        <v>45645</v>
      </c>
      <c r="AN5750">
        <v>18124.099999999999</v>
      </c>
      <c r="AO5750">
        <v>63769.1</v>
      </c>
      <c r="AP5750">
        <v>0</v>
      </c>
      <c r="AQ5750">
        <v>33.099999999998545</v>
      </c>
      <c r="AR5750">
        <v>5.1932973515755876E-4</v>
      </c>
      <c r="AS5750" t="s">
        <v>239</v>
      </c>
      <c r="AT5750" t="s">
        <v>514</v>
      </c>
    </row>
    <row r="5751" spans="2:46" x14ac:dyDescent="0.35">
      <c r="B5751" t="s">
        <v>747</v>
      </c>
      <c r="C5751">
        <v>45899</v>
      </c>
      <c r="J5751">
        <v>0</v>
      </c>
      <c r="O5751" t="s">
        <v>239</v>
      </c>
      <c r="P5751" t="s">
        <v>514</v>
      </c>
      <c r="U5751">
        <v>0</v>
      </c>
      <c r="Y5751">
        <v>1337</v>
      </c>
      <c r="Z5751" s="259" t="s">
        <v>637</v>
      </c>
      <c r="AB5751">
        <v>17355</v>
      </c>
      <c r="AF5751">
        <v>63769.1</v>
      </c>
      <c r="AG5751">
        <v>0</v>
      </c>
      <c r="AI5751">
        <v>63769.1</v>
      </c>
      <c r="AJ5751">
        <v>0</v>
      </c>
      <c r="AK5751">
        <v>0</v>
      </c>
      <c r="AL5751">
        <v>0</v>
      </c>
      <c r="AM5751">
        <v>45645</v>
      </c>
      <c r="AN5751">
        <v>18124.099999999999</v>
      </c>
      <c r="AO5751">
        <v>63769.1</v>
      </c>
      <c r="AP5751">
        <v>0</v>
      </c>
      <c r="AQ5751">
        <v>0</v>
      </c>
      <c r="AR5751">
        <v>0</v>
      </c>
      <c r="AS5751" t="s">
        <v>239</v>
      </c>
      <c r="AT5751" t="s">
        <v>514</v>
      </c>
    </row>
    <row r="5752" spans="2:46" x14ac:dyDescent="0.35">
      <c r="B5752" t="s">
        <v>747</v>
      </c>
      <c r="C5752">
        <v>45900</v>
      </c>
      <c r="J5752">
        <v>0</v>
      </c>
      <c r="O5752" t="s">
        <v>239</v>
      </c>
      <c r="P5752" t="s">
        <v>514</v>
      </c>
      <c r="U5752">
        <v>0</v>
      </c>
      <c r="Y5752">
        <v>1338</v>
      </c>
      <c r="Z5752" s="259" t="s">
        <v>637</v>
      </c>
      <c r="AB5752">
        <v>17355</v>
      </c>
      <c r="AF5752">
        <v>63769.1</v>
      </c>
      <c r="AG5752">
        <v>0</v>
      </c>
      <c r="AI5752">
        <v>63769.1</v>
      </c>
      <c r="AJ5752">
        <v>0</v>
      </c>
      <c r="AK5752">
        <v>0</v>
      </c>
      <c r="AL5752">
        <v>0</v>
      </c>
      <c r="AM5752">
        <v>45645</v>
      </c>
      <c r="AN5752">
        <v>18124.099999999999</v>
      </c>
      <c r="AO5752">
        <v>63769.1</v>
      </c>
      <c r="AP5752">
        <v>0</v>
      </c>
      <c r="AQ5752">
        <v>0</v>
      </c>
      <c r="AR5752">
        <v>0</v>
      </c>
      <c r="AS5752" t="s">
        <v>239</v>
      </c>
      <c r="AT5752" t="s">
        <v>514</v>
      </c>
    </row>
    <row r="5753" spans="2:46" x14ac:dyDescent="0.35">
      <c r="B5753" t="s">
        <v>747</v>
      </c>
      <c r="C5753">
        <v>45901</v>
      </c>
      <c r="J5753">
        <v>0</v>
      </c>
      <c r="O5753" t="s">
        <v>239</v>
      </c>
      <c r="P5753" t="s">
        <v>514</v>
      </c>
      <c r="U5753">
        <v>0</v>
      </c>
      <c r="Y5753">
        <v>1339</v>
      </c>
      <c r="Z5753" s="259" t="s">
        <v>637</v>
      </c>
      <c r="AB5753">
        <v>17355</v>
      </c>
      <c r="AF5753">
        <v>63835</v>
      </c>
      <c r="AG5753">
        <v>90</v>
      </c>
      <c r="AI5753">
        <v>63769.1</v>
      </c>
      <c r="AJ5753">
        <v>0</v>
      </c>
      <c r="AK5753">
        <v>0</v>
      </c>
      <c r="AL5753">
        <v>0</v>
      </c>
      <c r="AM5753">
        <v>45645</v>
      </c>
      <c r="AN5753">
        <v>18100</v>
      </c>
      <c r="AO5753">
        <v>63835</v>
      </c>
      <c r="AP5753">
        <v>90</v>
      </c>
      <c r="AQ5753">
        <v>65.900000000001455</v>
      </c>
      <c r="AR5753">
        <v>1.0334158706959418E-3</v>
      </c>
      <c r="AS5753" t="s">
        <v>239</v>
      </c>
      <c r="AT5753" t="s">
        <v>514</v>
      </c>
    </row>
    <row r="5754" spans="2:46" x14ac:dyDescent="0.35">
      <c r="B5754" t="s">
        <v>747</v>
      </c>
      <c r="C5754">
        <v>45902</v>
      </c>
      <c r="J5754">
        <v>0</v>
      </c>
      <c r="O5754" t="s">
        <v>239</v>
      </c>
      <c r="P5754" t="s">
        <v>514</v>
      </c>
      <c r="U5754">
        <v>0</v>
      </c>
      <c r="Y5754">
        <v>1340</v>
      </c>
      <c r="Z5754" s="259" t="s">
        <v>637</v>
      </c>
      <c r="AB5754">
        <v>17355</v>
      </c>
      <c r="AF5754">
        <v>63825.3</v>
      </c>
      <c r="AG5754">
        <v>90</v>
      </c>
      <c r="AI5754">
        <v>63835</v>
      </c>
      <c r="AJ5754">
        <v>0</v>
      </c>
      <c r="AK5754">
        <v>0</v>
      </c>
      <c r="AL5754">
        <v>0</v>
      </c>
      <c r="AM5754">
        <v>45645</v>
      </c>
      <c r="AN5754">
        <v>18090.3</v>
      </c>
      <c r="AO5754">
        <v>63825.3</v>
      </c>
      <c r="AP5754">
        <v>0</v>
      </c>
      <c r="AQ5754">
        <v>-9.6999999999970896</v>
      </c>
      <c r="AR5754">
        <v>-1.519542570689314E-4</v>
      </c>
      <c r="AS5754" t="s">
        <v>239</v>
      </c>
      <c r="AT5754" t="s">
        <v>514</v>
      </c>
    </row>
    <row r="5755" spans="2:46" x14ac:dyDescent="0.35">
      <c r="B5755" t="s">
        <v>747</v>
      </c>
      <c r="C5755">
        <v>45903</v>
      </c>
      <c r="J5755">
        <v>0</v>
      </c>
      <c r="O5755" t="s">
        <v>239</v>
      </c>
      <c r="P5755" t="s">
        <v>514</v>
      </c>
      <c r="U5755">
        <v>0</v>
      </c>
      <c r="Y5755">
        <v>1341</v>
      </c>
      <c r="Z5755" s="259" t="s">
        <v>637</v>
      </c>
      <c r="AB5755">
        <v>17355</v>
      </c>
      <c r="AF5755">
        <v>63815.6</v>
      </c>
      <c r="AG5755">
        <v>90</v>
      </c>
      <c r="AI5755">
        <v>63825.3</v>
      </c>
      <c r="AJ5755">
        <v>0</v>
      </c>
      <c r="AK5755">
        <v>0</v>
      </c>
      <c r="AL5755">
        <v>0</v>
      </c>
      <c r="AM5755">
        <v>45645</v>
      </c>
      <c r="AN5755">
        <v>18080.599999999999</v>
      </c>
      <c r="AO5755">
        <v>63815.6</v>
      </c>
      <c r="AP5755">
        <v>0</v>
      </c>
      <c r="AQ5755">
        <v>-9.7000000000043656</v>
      </c>
      <c r="AR5755">
        <v>-1.5197735067451479E-4</v>
      </c>
      <c r="AS5755" t="s">
        <v>239</v>
      </c>
      <c r="AT5755" t="s">
        <v>514</v>
      </c>
    </row>
    <row r="5756" spans="2:46" x14ac:dyDescent="0.35">
      <c r="B5756" t="s">
        <v>747</v>
      </c>
      <c r="C5756">
        <v>45904</v>
      </c>
      <c r="J5756">
        <v>0</v>
      </c>
      <c r="O5756" t="s">
        <v>239</v>
      </c>
      <c r="P5756" t="s">
        <v>514</v>
      </c>
      <c r="U5756">
        <v>0</v>
      </c>
      <c r="Y5756">
        <v>1342</v>
      </c>
      <c r="Z5756" s="259" t="s">
        <v>637</v>
      </c>
      <c r="AB5756">
        <v>17355</v>
      </c>
      <c r="AF5756">
        <v>63807.7</v>
      </c>
      <c r="AG5756">
        <v>90</v>
      </c>
      <c r="AI5756">
        <v>63815.6</v>
      </c>
      <c r="AJ5756">
        <v>0</v>
      </c>
      <c r="AK5756">
        <v>0</v>
      </c>
      <c r="AL5756">
        <v>0</v>
      </c>
      <c r="AM5756">
        <v>45645</v>
      </c>
      <c r="AN5756">
        <v>18072.7</v>
      </c>
      <c r="AO5756">
        <v>63807.7</v>
      </c>
      <c r="AP5756">
        <v>0</v>
      </c>
      <c r="AQ5756">
        <v>-7.9000000000014552</v>
      </c>
      <c r="AR5756">
        <v>-1.237941819868249E-4</v>
      </c>
      <c r="AS5756" t="s">
        <v>239</v>
      </c>
      <c r="AT5756" t="s">
        <v>514</v>
      </c>
    </row>
    <row r="5757" spans="2:46" x14ac:dyDescent="0.35">
      <c r="B5757" t="s">
        <v>747</v>
      </c>
      <c r="C5757">
        <v>45905</v>
      </c>
      <c r="J5757">
        <v>0</v>
      </c>
      <c r="O5757" t="s">
        <v>239</v>
      </c>
      <c r="P5757" t="s">
        <v>514</v>
      </c>
      <c r="U5757">
        <v>0</v>
      </c>
      <c r="Y5757">
        <v>1343</v>
      </c>
      <c r="Z5757" s="259" t="s">
        <v>637</v>
      </c>
      <c r="AB5757">
        <v>17355</v>
      </c>
      <c r="AF5757">
        <v>63798</v>
      </c>
      <c r="AG5757">
        <v>90</v>
      </c>
      <c r="AI5757">
        <v>63807.7</v>
      </c>
      <c r="AJ5757">
        <v>0</v>
      </c>
      <c r="AK5757">
        <v>0</v>
      </c>
      <c r="AL5757">
        <v>0</v>
      </c>
      <c r="AM5757">
        <v>45645</v>
      </c>
      <c r="AN5757">
        <v>18063</v>
      </c>
      <c r="AO5757">
        <v>63798</v>
      </c>
      <c r="AP5757">
        <v>0</v>
      </c>
      <c r="AQ5757">
        <v>-9.6999999999970896</v>
      </c>
      <c r="AR5757">
        <v>-1.5201927040153773E-4</v>
      </c>
      <c r="AS5757" t="s">
        <v>239</v>
      </c>
      <c r="AT5757" t="s">
        <v>514</v>
      </c>
    </row>
    <row r="5758" spans="2:46" x14ac:dyDescent="0.35">
      <c r="B5758" t="s">
        <v>747</v>
      </c>
      <c r="C5758">
        <v>45906</v>
      </c>
      <c r="J5758">
        <v>0</v>
      </c>
      <c r="O5758" t="s">
        <v>239</v>
      </c>
      <c r="P5758" t="s">
        <v>514</v>
      </c>
      <c r="U5758">
        <v>0</v>
      </c>
      <c r="Y5758">
        <v>1344</v>
      </c>
      <c r="Z5758" s="259" t="s">
        <v>637</v>
      </c>
      <c r="AB5758">
        <v>17355</v>
      </c>
      <c r="AF5758">
        <v>63798</v>
      </c>
      <c r="AG5758">
        <v>90</v>
      </c>
      <c r="AI5758">
        <v>63798</v>
      </c>
      <c r="AJ5758">
        <v>0</v>
      </c>
      <c r="AK5758">
        <v>0</v>
      </c>
      <c r="AL5758">
        <v>0</v>
      </c>
      <c r="AM5758">
        <v>45645</v>
      </c>
      <c r="AN5758">
        <v>18063</v>
      </c>
      <c r="AO5758">
        <v>63798</v>
      </c>
      <c r="AP5758">
        <v>0</v>
      </c>
      <c r="AQ5758">
        <v>0</v>
      </c>
      <c r="AR5758">
        <v>0</v>
      </c>
      <c r="AS5758" t="s">
        <v>239</v>
      </c>
      <c r="AT5758" t="s">
        <v>514</v>
      </c>
    </row>
    <row r="5759" spans="2:46" x14ac:dyDescent="0.35">
      <c r="B5759" t="s">
        <v>747</v>
      </c>
      <c r="C5759">
        <v>45907</v>
      </c>
      <c r="J5759">
        <v>0</v>
      </c>
      <c r="O5759" t="s">
        <v>239</v>
      </c>
      <c r="P5759" t="s">
        <v>514</v>
      </c>
      <c r="U5759">
        <v>0</v>
      </c>
      <c r="Y5759">
        <v>1345</v>
      </c>
      <c r="Z5759" s="259" t="s">
        <v>637</v>
      </c>
      <c r="AB5759">
        <v>17355</v>
      </c>
      <c r="AF5759">
        <v>63798</v>
      </c>
      <c r="AG5759">
        <v>90</v>
      </c>
      <c r="AI5759">
        <v>63798</v>
      </c>
      <c r="AJ5759">
        <v>0</v>
      </c>
      <c r="AK5759">
        <v>0</v>
      </c>
      <c r="AL5759">
        <v>0</v>
      </c>
      <c r="AM5759">
        <v>45645</v>
      </c>
      <c r="AN5759">
        <v>18063</v>
      </c>
      <c r="AO5759">
        <v>63798</v>
      </c>
      <c r="AP5759">
        <v>0</v>
      </c>
      <c r="AQ5759">
        <v>0</v>
      </c>
      <c r="AR5759">
        <v>0</v>
      </c>
      <c r="AS5759" t="s">
        <v>239</v>
      </c>
      <c r="AT5759" t="s">
        <v>514</v>
      </c>
    </row>
    <row r="5760" spans="2:46" x14ac:dyDescent="0.35">
      <c r="B5760" t="s">
        <v>747</v>
      </c>
      <c r="C5760">
        <v>45908</v>
      </c>
      <c r="J5760">
        <v>0</v>
      </c>
      <c r="O5760" t="s">
        <v>239</v>
      </c>
      <c r="P5760" t="s">
        <v>514</v>
      </c>
      <c r="U5760">
        <v>0</v>
      </c>
      <c r="Y5760">
        <v>1346</v>
      </c>
      <c r="Z5760" s="259" t="s">
        <v>637</v>
      </c>
      <c r="AB5760">
        <v>17355</v>
      </c>
      <c r="AF5760">
        <v>63769.7</v>
      </c>
      <c r="AG5760">
        <v>90</v>
      </c>
      <c r="AI5760">
        <v>63798</v>
      </c>
      <c r="AJ5760">
        <v>0</v>
      </c>
      <c r="AK5760">
        <v>0</v>
      </c>
      <c r="AL5760">
        <v>0</v>
      </c>
      <c r="AM5760">
        <v>45645</v>
      </c>
      <c r="AN5760">
        <v>18034.7</v>
      </c>
      <c r="AO5760">
        <v>63769.7</v>
      </c>
      <c r="AP5760">
        <v>0</v>
      </c>
      <c r="AQ5760">
        <v>-28.30000000000291</v>
      </c>
      <c r="AR5760">
        <v>-4.4358757327822573E-4</v>
      </c>
      <c r="AS5760" t="s">
        <v>239</v>
      </c>
      <c r="AT5760" t="s">
        <v>514</v>
      </c>
    </row>
    <row r="5761" spans="2:46" x14ac:dyDescent="0.35">
      <c r="B5761" t="s">
        <v>747</v>
      </c>
      <c r="C5761">
        <v>45909</v>
      </c>
      <c r="J5761">
        <v>0</v>
      </c>
      <c r="O5761" t="s">
        <v>239</v>
      </c>
      <c r="P5761" t="s">
        <v>514</v>
      </c>
      <c r="U5761">
        <v>0</v>
      </c>
      <c r="Y5761">
        <v>1347</v>
      </c>
      <c r="Z5761" s="259" t="s">
        <v>637</v>
      </c>
      <c r="AB5761">
        <v>17355</v>
      </c>
      <c r="AF5761">
        <v>63761</v>
      </c>
      <c r="AG5761">
        <v>90</v>
      </c>
      <c r="AI5761">
        <v>63769.7</v>
      </c>
      <c r="AJ5761">
        <v>0</v>
      </c>
      <c r="AK5761">
        <v>0</v>
      </c>
      <c r="AL5761">
        <v>0</v>
      </c>
      <c r="AM5761">
        <v>45645</v>
      </c>
      <c r="AN5761">
        <v>18026</v>
      </c>
      <c r="AO5761">
        <v>63761</v>
      </c>
      <c r="AP5761">
        <v>0</v>
      </c>
      <c r="AQ5761">
        <v>-8.6999999999970896</v>
      </c>
      <c r="AR5761">
        <v>-1.3642842917560571E-4</v>
      </c>
      <c r="AS5761" t="s">
        <v>239</v>
      </c>
      <c r="AT5761" t="s">
        <v>514</v>
      </c>
    </row>
    <row r="5762" spans="2:46" x14ac:dyDescent="0.35">
      <c r="B5762" t="s">
        <v>747</v>
      </c>
      <c r="C5762">
        <v>45910</v>
      </c>
      <c r="J5762">
        <v>0</v>
      </c>
      <c r="O5762" t="s">
        <v>239</v>
      </c>
      <c r="P5762" t="s">
        <v>514</v>
      </c>
      <c r="U5762">
        <v>0</v>
      </c>
      <c r="Y5762">
        <v>1348</v>
      </c>
      <c r="Z5762" s="259" t="s">
        <v>637</v>
      </c>
      <c r="AB5762">
        <v>17355</v>
      </c>
      <c r="AF5762">
        <v>63751.3</v>
      </c>
      <c r="AG5762">
        <v>90</v>
      </c>
      <c r="AI5762">
        <v>63761</v>
      </c>
      <c r="AJ5762">
        <v>0</v>
      </c>
      <c r="AK5762">
        <v>0</v>
      </c>
      <c r="AL5762">
        <v>0</v>
      </c>
      <c r="AM5762">
        <v>45645</v>
      </c>
      <c r="AN5762">
        <v>18016.3</v>
      </c>
      <c r="AO5762">
        <v>63751.3</v>
      </c>
      <c r="AP5762">
        <v>0</v>
      </c>
      <c r="AQ5762">
        <v>-9.6999999999970896</v>
      </c>
      <c r="AR5762">
        <v>-1.5213061275698436E-4</v>
      </c>
      <c r="AS5762" t="s">
        <v>239</v>
      </c>
      <c r="AT5762" t="s">
        <v>514</v>
      </c>
    </row>
    <row r="5763" spans="2:46" x14ac:dyDescent="0.35">
      <c r="B5763" t="s">
        <v>747</v>
      </c>
      <c r="C5763">
        <v>45911</v>
      </c>
      <c r="J5763">
        <v>0</v>
      </c>
      <c r="O5763" t="s">
        <v>239</v>
      </c>
      <c r="P5763" t="s">
        <v>514</v>
      </c>
      <c r="U5763">
        <v>0</v>
      </c>
      <c r="Y5763">
        <v>1349</v>
      </c>
      <c r="Z5763" s="259" t="s">
        <v>637</v>
      </c>
      <c r="AB5763">
        <v>17355</v>
      </c>
      <c r="AF5763">
        <v>63741.599999999999</v>
      </c>
      <c r="AG5763">
        <v>90</v>
      </c>
      <c r="AI5763">
        <v>63751.3</v>
      </c>
      <c r="AJ5763">
        <v>0</v>
      </c>
      <c r="AK5763">
        <v>0</v>
      </c>
      <c r="AL5763">
        <v>0</v>
      </c>
      <c r="AM5763">
        <v>45645</v>
      </c>
      <c r="AN5763">
        <v>18006.599999999999</v>
      </c>
      <c r="AO5763">
        <v>63741.599999999999</v>
      </c>
      <c r="AP5763">
        <v>0</v>
      </c>
      <c r="AQ5763">
        <v>-9.7000000000043656</v>
      </c>
      <c r="AR5763">
        <v>-1.5215376000177194E-4</v>
      </c>
      <c r="AS5763" t="s">
        <v>239</v>
      </c>
      <c r="AT5763" t="s">
        <v>514</v>
      </c>
    </row>
    <row r="5764" spans="2:46" x14ac:dyDescent="0.35">
      <c r="B5764" t="s">
        <v>747</v>
      </c>
      <c r="C5764">
        <v>45912</v>
      </c>
      <c r="J5764">
        <v>0</v>
      </c>
      <c r="O5764" t="s">
        <v>239</v>
      </c>
      <c r="P5764" t="s">
        <v>514</v>
      </c>
      <c r="U5764">
        <v>0</v>
      </c>
      <c r="Y5764">
        <v>1350</v>
      </c>
      <c r="Z5764" s="259" t="s">
        <v>637</v>
      </c>
      <c r="AB5764">
        <v>17355</v>
      </c>
      <c r="AF5764">
        <v>63732.7</v>
      </c>
      <c r="AG5764">
        <v>90</v>
      </c>
      <c r="AI5764">
        <v>63741.599999999999</v>
      </c>
      <c r="AJ5764">
        <v>0</v>
      </c>
      <c r="AK5764">
        <v>0</v>
      </c>
      <c r="AL5764">
        <v>0</v>
      </c>
      <c r="AM5764">
        <v>45645</v>
      </c>
      <c r="AN5764">
        <v>17997.7</v>
      </c>
      <c r="AO5764">
        <v>63732.7</v>
      </c>
      <c r="AP5764">
        <v>0</v>
      </c>
      <c r="AQ5764">
        <v>-8.9000000000014552</v>
      </c>
      <c r="AR5764">
        <v>-1.3962624094787657E-4</v>
      </c>
      <c r="AS5764" t="s">
        <v>239</v>
      </c>
      <c r="AT5764" t="s">
        <v>514</v>
      </c>
    </row>
    <row r="5765" spans="2:46" x14ac:dyDescent="0.35">
      <c r="B5765" t="s">
        <v>747</v>
      </c>
      <c r="C5765">
        <v>45913</v>
      </c>
      <c r="J5765">
        <v>0</v>
      </c>
      <c r="O5765" t="s">
        <v>239</v>
      </c>
      <c r="P5765" t="s">
        <v>514</v>
      </c>
      <c r="U5765">
        <v>0</v>
      </c>
      <c r="Y5765">
        <v>1351</v>
      </c>
      <c r="Z5765" s="259" t="s">
        <v>637</v>
      </c>
      <c r="AB5765">
        <v>17355</v>
      </c>
      <c r="AF5765">
        <v>63732.7</v>
      </c>
      <c r="AG5765">
        <v>90</v>
      </c>
      <c r="AI5765">
        <v>63732.7</v>
      </c>
      <c r="AJ5765">
        <v>0</v>
      </c>
      <c r="AK5765">
        <v>0</v>
      </c>
      <c r="AL5765">
        <v>0</v>
      </c>
      <c r="AM5765">
        <v>45645</v>
      </c>
      <c r="AN5765">
        <v>17997.7</v>
      </c>
      <c r="AO5765">
        <v>63732.7</v>
      </c>
      <c r="AP5765">
        <v>0</v>
      </c>
      <c r="AQ5765">
        <v>0</v>
      </c>
      <c r="AR5765">
        <v>0</v>
      </c>
      <c r="AS5765" t="s">
        <v>239</v>
      </c>
      <c r="AT5765" t="s">
        <v>514</v>
      </c>
    </row>
    <row r="5766" spans="2:46" x14ac:dyDescent="0.35">
      <c r="B5766" t="s">
        <v>747</v>
      </c>
      <c r="C5766">
        <v>45914</v>
      </c>
      <c r="J5766">
        <v>0</v>
      </c>
      <c r="O5766" t="s">
        <v>239</v>
      </c>
      <c r="P5766" t="s">
        <v>514</v>
      </c>
      <c r="U5766">
        <v>0</v>
      </c>
      <c r="Y5766">
        <v>1352</v>
      </c>
      <c r="Z5766" s="259" t="s">
        <v>637</v>
      </c>
      <c r="AB5766">
        <v>17355</v>
      </c>
      <c r="AF5766">
        <v>63732.7</v>
      </c>
      <c r="AG5766">
        <v>90</v>
      </c>
      <c r="AI5766">
        <v>63732.7</v>
      </c>
      <c r="AJ5766">
        <v>0</v>
      </c>
      <c r="AK5766">
        <v>0</v>
      </c>
      <c r="AL5766">
        <v>0</v>
      </c>
      <c r="AM5766">
        <v>45645</v>
      </c>
      <c r="AN5766">
        <v>17997.7</v>
      </c>
      <c r="AO5766">
        <v>63732.7</v>
      </c>
      <c r="AP5766">
        <v>0</v>
      </c>
      <c r="AQ5766">
        <v>0</v>
      </c>
      <c r="AR5766">
        <v>0</v>
      </c>
      <c r="AS5766" t="s">
        <v>239</v>
      </c>
      <c r="AT5766" t="s">
        <v>514</v>
      </c>
    </row>
    <row r="5767" spans="2:46" x14ac:dyDescent="0.35">
      <c r="B5767" t="s">
        <v>747</v>
      </c>
      <c r="C5767">
        <v>45915</v>
      </c>
      <c r="J5767">
        <v>0</v>
      </c>
      <c r="O5767" t="s">
        <v>239</v>
      </c>
      <c r="P5767" t="s">
        <v>514</v>
      </c>
      <c r="U5767">
        <v>0</v>
      </c>
      <c r="Y5767">
        <v>1353</v>
      </c>
      <c r="Z5767" s="259" t="s">
        <v>637</v>
      </c>
      <c r="AB5767">
        <v>17355</v>
      </c>
      <c r="AF5767">
        <v>63704.6</v>
      </c>
      <c r="AG5767">
        <v>0</v>
      </c>
      <c r="AI5767">
        <v>63732.7</v>
      </c>
      <c r="AJ5767">
        <v>0</v>
      </c>
      <c r="AK5767">
        <v>0</v>
      </c>
      <c r="AL5767">
        <v>0</v>
      </c>
      <c r="AM5767">
        <v>45735</v>
      </c>
      <c r="AN5767">
        <v>17969.599999999999</v>
      </c>
      <c r="AO5767">
        <v>63704.6</v>
      </c>
      <c r="AP5767">
        <v>0</v>
      </c>
      <c r="AQ5767">
        <v>-28.099999999998545</v>
      </c>
      <c r="AR5767">
        <v>-4.4090396295781709E-4</v>
      </c>
      <c r="AS5767" t="s">
        <v>239</v>
      </c>
      <c r="AT5767" t="s">
        <v>514</v>
      </c>
    </row>
    <row r="5768" spans="2:46" x14ac:dyDescent="0.35">
      <c r="B5768" t="s">
        <v>747</v>
      </c>
      <c r="C5768">
        <v>45916</v>
      </c>
      <c r="J5768">
        <v>0</v>
      </c>
      <c r="O5768" t="s">
        <v>239</v>
      </c>
      <c r="P5768" t="s">
        <v>514</v>
      </c>
      <c r="U5768">
        <v>0</v>
      </c>
      <c r="Y5768">
        <v>1354</v>
      </c>
      <c r="Z5768" s="259" t="s">
        <v>637</v>
      </c>
      <c r="AB5768">
        <v>17355</v>
      </c>
      <c r="AF5768">
        <v>63695.4</v>
      </c>
      <c r="AG5768">
        <v>0</v>
      </c>
      <c r="AI5768">
        <v>63704.6</v>
      </c>
      <c r="AJ5768">
        <v>0</v>
      </c>
      <c r="AK5768">
        <v>0</v>
      </c>
      <c r="AL5768">
        <v>0</v>
      </c>
      <c r="AM5768">
        <v>45735</v>
      </c>
      <c r="AN5768">
        <v>17960.400000000001</v>
      </c>
      <c r="AO5768">
        <v>63695.4</v>
      </c>
      <c r="AP5768">
        <v>0</v>
      </c>
      <c r="AQ5768">
        <v>-9.1999999999970896</v>
      </c>
      <c r="AR5768">
        <v>-1.4441657274355535E-4</v>
      </c>
      <c r="AS5768" t="s">
        <v>239</v>
      </c>
      <c r="AT5768" t="s">
        <v>514</v>
      </c>
    </row>
    <row r="5769" spans="2:46" x14ac:dyDescent="0.35">
      <c r="B5769" t="s">
        <v>747</v>
      </c>
      <c r="C5769">
        <v>45917</v>
      </c>
      <c r="J5769">
        <v>0</v>
      </c>
      <c r="O5769" t="s">
        <v>239</v>
      </c>
      <c r="P5769" t="s">
        <v>514</v>
      </c>
      <c r="U5769">
        <v>0</v>
      </c>
      <c r="Y5769">
        <v>1355</v>
      </c>
      <c r="Z5769" s="259" t="s">
        <v>637</v>
      </c>
      <c r="AB5769">
        <v>17355</v>
      </c>
      <c r="AF5769">
        <v>63685.7</v>
      </c>
      <c r="AG5769">
        <v>0</v>
      </c>
      <c r="AI5769">
        <v>63695.4</v>
      </c>
      <c r="AJ5769">
        <v>0</v>
      </c>
      <c r="AK5769">
        <v>0</v>
      </c>
      <c r="AL5769">
        <v>0</v>
      </c>
      <c r="AM5769">
        <v>45735</v>
      </c>
      <c r="AN5769">
        <v>17950.7</v>
      </c>
      <c r="AO5769">
        <v>63685.7</v>
      </c>
      <c r="AP5769">
        <v>0</v>
      </c>
      <c r="AQ5769">
        <v>-9.7000000000043656</v>
      </c>
      <c r="AR5769">
        <v>-1.5228729233196514E-4</v>
      </c>
      <c r="AS5769" t="s">
        <v>239</v>
      </c>
      <c r="AT5769" t="s">
        <v>514</v>
      </c>
    </row>
    <row r="5770" spans="2:46" x14ac:dyDescent="0.35">
      <c r="B5770" t="s">
        <v>747</v>
      </c>
      <c r="C5770">
        <v>45918</v>
      </c>
      <c r="J5770">
        <v>0</v>
      </c>
      <c r="O5770" t="s">
        <v>239</v>
      </c>
      <c r="P5770" t="s">
        <v>514</v>
      </c>
      <c r="U5770">
        <v>0</v>
      </c>
      <c r="Y5770">
        <v>1356</v>
      </c>
      <c r="Z5770" s="259" t="s">
        <v>637</v>
      </c>
      <c r="AB5770">
        <v>17355</v>
      </c>
      <c r="AF5770">
        <v>63677</v>
      </c>
      <c r="AG5770">
        <v>0</v>
      </c>
      <c r="AI5770">
        <v>63685.7</v>
      </c>
      <c r="AJ5770">
        <v>0</v>
      </c>
      <c r="AK5770">
        <v>0</v>
      </c>
      <c r="AL5770">
        <v>0</v>
      </c>
      <c r="AM5770">
        <v>45735</v>
      </c>
      <c r="AN5770">
        <v>17942</v>
      </c>
      <c r="AO5770">
        <v>63677</v>
      </c>
      <c r="AP5770">
        <v>0</v>
      </c>
      <c r="AQ5770">
        <v>-8.6999999999970896</v>
      </c>
      <c r="AR5770">
        <v>-1.3660837519247071E-4</v>
      </c>
      <c r="AS5770" t="s">
        <v>239</v>
      </c>
      <c r="AT5770" t="s">
        <v>514</v>
      </c>
    </row>
    <row r="5771" spans="2:46" x14ac:dyDescent="0.35">
      <c r="B5771" t="s">
        <v>747</v>
      </c>
      <c r="C5771">
        <v>45919</v>
      </c>
      <c r="J5771">
        <v>0</v>
      </c>
      <c r="O5771" t="s">
        <v>239</v>
      </c>
      <c r="P5771" t="s">
        <v>514</v>
      </c>
      <c r="U5771">
        <v>0</v>
      </c>
      <c r="Y5771">
        <v>1357</v>
      </c>
      <c r="Z5771" s="259" t="s">
        <v>637</v>
      </c>
      <c r="AB5771">
        <v>17355</v>
      </c>
      <c r="AF5771">
        <v>63667.3</v>
      </c>
      <c r="AG5771">
        <v>0</v>
      </c>
      <c r="AI5771">
        <v>63677</v>
      </c>
      <c r="AJ5771">
        <v>0</v>
      </c>
      <c r="AK5771">
        <v>0</v>
      </c>
      <c r="AL5771">
        <v>0</v>
      </c>
      <c r="AM5771">
        <v>45735</v>
      </c>
      <c r="AN5771">
        <v>17932.3</v>
      </c>
      <c r="AO5771">
        <v>63667.3</v>
      </c>
      <c r="AP5771">
        <v>0</v>
      </c>
      <c r="AQ5771">
        <v>-9.6999999999970896</v>
      </c>
      <c r="AR5771">
        <v>-1.5233129701452963E-4</v>
      </c>
      <c r="AS5771" t="s">
        <v>239</v>
      </c>
      <c r="AT5771" t="s">
        <v>514</v>
      </c>
    </row>
    <row r="5772" spans="2:46" x14ac:dyDescent="0.35">
      <c r="B5772" t="s">
        <v>747</v>
      </c>
      <c r="C5772">
        <v>45920</v>
      </c>
      <c r="J5772">
        <v>0</v>
      </c>
      <c r="O5772" t="s">
        <v>239</v>
      </c>
      <c r="P5772" t="s">
        <v>514</v>
      </c>
      <c r="U5772">
        <v>0</v>
      </c>
      <c r="Y5772">
        <v>1358</v>
      </c>
      <c r="Z5772" s="259" t="s">
        <v>637</v>
      </c>
      <c r="AB5772">
        <v>17355</v>
      </c>
      <c r="AF5772">
        <v>63667.3</v>
      </c>
      <c r="AG5772">
        <v>0</v>
      </c>
      <c r="AI5772">
        <v>63667.3</v>
      </c>
      <c r="AJ5772">
        <v>0</v>
      </c>
      <c r="AK5772">
        <v>0</v>
      </c>
      <c r="AL5772">
        <v>0</v>
      </c>
      <c r="AM5772">
        <v>45735</v>
      </c>
      <c r="AN5772">
        <v>17932.3</v>
      </c>
      <c r="AO5772">
        <v>63667.3</v>
      </c>
      <c r="AP5772">
        <v>0</v>
      </c>
      <c r="AQ5772">
        <v>0</v>
      </c>
      <c r="AR5772">
        <v>0</v>
      </c>
      <c r="AS5772" t="s">
        <v>239</v>
      </c>
      <c r="AT5772" t="s">
        <v>514</v>
      </c>
    </row>
    <row r="5773" spans="2:46" x14ac:dyDescent="0.35">
      <c r="B5773" t="s">
        <v>747</v>
      </c>
      <c r="C5773">
        <v>45921</v>
      </c>
      <c r="J5773">
        <v>0</v>
      </c>
      <c r="O5773" t="s">
        <v>239</v>
      </c>
      <c r="P5773" t="s">
        <v>514</v>
      </c>
      <c r="U5773">
        <v>0</v>
      </c>
      <c r="Y5773">
        <v>1359</v>
      </c>
      <c r="Z5773" s="259" t="s">
        <v>637</v>
      </c>
      <c r="AB5773">
        <v>17355</v>
      </c>
      <c r="AF5773">
        <v>63667.3</v>
      </c>
      <c r="AG5773">
        <v>0</v>
      </c>
      <c r="AI5773">
        <v>63667.3</v>
      </c>
      <c r="AJ5773">
        <v>0</v>
      </c>
      <c r="AK5773">
        <v>0</v>
      </c>
      <c r="AL5773">
        <v>0</v>
      </c>
      <c r="AM5773">
        <v>45735</v>
      </c>
      <c r="AN5773">
        <v>17932.3</v>
      </c>
      <c r="AO5773">
        <v>63667.3</v>
      </c>
      <c r="AP5773">
        <v>0</v>
      </c>
      <c r="AQ5773">
        <v>0</v>
      </c>
      <c r="AR5773">
        <v>0</v>
      </c>
      <c r="AS5773" t="s">
        <v>239</v>
      </c>
      <c r="AT5773" t="s">
        <v>514</v>
      </c>
    </row>
    <row r="5774" spans="2:46" x14ac:dyDescent="0.35">
      <c r="B5774" t="s">
        <v>747</v>
      </c>
      <c r="C5774">
        <v>45922</v>
      </c>
      <c r="J5774">
        <v>0</v>
      </c>
      <c r="O5774" t="s">
        <v>239</v>
      </c>
      <c r="P5774" t="s">
        <v>514</v>
      </c>
      <c r="U5774">
        <v>0</v>
      </c>
      <c r="Y5774">
        <v>1360</v>
      </c>
      <c r="Z5774" s="259" t="s">
        <v>637</v>
      </c>
      <c r="AB5774">
        <v>17355</v>
      </c>
      <c r="AF5774">
        <v>63639</v>
      </c>
      <c r="AG5774">
        <v>0</v>
      </c>
      <c r="AI5774">
        <v>63667.3</v>
      </c>
      <c r="AJ5774">
        <v>0</v>
      </c>
      <c r="AK5774">
        <v>0</v>
      </c>
      <c r="AL5774">
        <v>0</v>
      </c>
      <c r="AM5774">
        <v>45735</v>
      </c>
      <c r="AN5774">
        <v>17904</v>
      </c>
      <c r="AO5774">
        <v>63639</v>
      </c>
      <c r="AP5774">
        <v>0</v>
      </c>
      <c r="AQ5774">
        <v>-28.30000000000291</v>
      </c>
      <c r="AR5774">
        <v>-4.4449819609126973E-4</v>
      </c>
      <c r="AS5774" t="s">
        <v>239</v>
      </c>
      <c r="AT5774" t="s">
        <v>514</v>
      </c>
    </row>
    <row r="5775" spans="2:46" x14ac:dyDescent="0.35">
      <c r="B5775" t="s">
        <v>747</v>
      </c>
      <c r="C5775">
        <v>45923</v>
      </c>
      <c r="J5775">
        <v>0</v>
      </c>
      <c r="O5775" t="s">
        <v>239</v>
      </c>
      <c r="P5775" t="s">
        <v>514</v>
      </c>
      <c r="U5775">
        <v>0</v>
      </c>
      <c r="Y5775">
        <v>1361</v>
      </c>
      <c r="Z5775" s="259" t="s">
        <v>637</v>
      </c>
      <c r="AB5775">
        <v>17355</v>
      </c>
      <c r="AF5775">
        <v>63630.3</v>
      </c>
      <c r="AG5775">
        <v>0</v>
      </c>
      <c r="AI5775">
        <v>63639</v>
      </c>
      <c r="AJ5775">
        <v>0</v>
      </c>
      <c r="AK5775">
        <v>0</v>
      </c>
      <c r="AL5775">
        <v>0</v>
      </c>
      <c r="AM5775">
        <v>45735</v>
      </c>
      <c r="AN5775">
        <v>17895.3</v>
      </c>
      <c r="AO5775">
        <v>63630.3</v>
      </c>
      <c r="AP5775">
        <v>0</v>
      </c>
      <c r="AQ5775">
        <v>-8.6999999999970896</v>
      </c>
      <c r="AR5775">
        <v>-1.3670862207137979E-4</v>
      </c>
      <c r="AS5775" t="s">
        <v>239</v>
      </c>
      <c r="AT5775" t="s">
        <v>514</v>
      </c>
    </row>
    <row r="5776" spans="2:46" x14ac:dyDescent="0.35">
      <c r="B5776" t="s">
        <v>747</v>
      </c>
      <c r="C5776">
        <v>45924</v>
      </c>
      <c r="J5776">
        <v>0</v>
      </c>
      <c r="O5776" t="s">
        <v>239</v>
      </c>
      <c r="P5776" t="s">
        <v>514</v>
      </c>
      <c r="U5776">
        <v>0</v>
      </c>
      <c r="Y5776">
        <v>1362</v>
      </c>
      <c r="Z5776" s="259" t="s">
        <v>637</v>
      </c>
      <c r="AB5776">
        <v>17355</v>
      </c>
      <c r="AF5776">
        <v>63621.4</v>
      </c>
      <c r="AG5776">
        <v>0</v>
      </c>
      <c r="AI5776">
        <v>63630.3</v>
      </c>
      <c r="AJ5776">
        <v>0</v>
      </c>
      <c r="AK5776">
        <v>0</v>
      </c>
      <c r="AL5776">
        <v>0</v>
      </c>
      <c r="AM5776">
        <v>45735</v>
      </c>
      <c r="AN5776">
        <v>17886.400000000001</v>
      </c>
      <c r="AO5776">
        <v>63621.4</v>
      </c>
      <c r="AP5776">
        <v>0</v>
      </c>
      <c r="AQ5776">
        <v>-8.9000000000014552</v>
      </c>
      <c r="AR5776">
        <v>-1.3987047051489121E-4</v>
      </c>
      <c r="AS5776" t="s">
        <v>239</v>
      </c>
      <c r="AT5776" t="s">
        <v>514</v>
      </c>
    </row>
    <row r="5777" spans="2:46" x14ac:dyDescent="0.35">
      <c r="B5777" t="s">
        <v>747</v>
      </c>
      <c r="C5777">
        <v>45925</v>
      </c>
      <c r="J5777">
        <v>0</v>
      </c>
      <c r="O5777" t="s">
        <v>239</v>
      </c>
      <c r="P5777" t="s">
        <v>514</v>
      </c>
      <c r="U5777">
        <v>0</v>
      </c>
      <c r="Y5777">
        <v>1363</v>
      </c>
      <c r="Z5777" s="259" t="s">
        <v>637</v>
      </c>
      <c r="AB5777">
        <v>17355</v>
      </c>
      <c r="AF5777">
        <v>63611.7</v>
      </c>
      <c r="AG5777">
        <v>0</v>
      </c>
      <c r="AI5777">
        <v>63621.4</v>
      </c>
      <c r="AJ5777">
        <v>0</v>
      </c>
      <c r="AK5777">
        <v>0</v>
      </c>
      <c r="AL5777">
        <v>0</v>
      </c>
      <c r="AM5777">
        <v>45735</v>
      </c>
      <c r="AN5777">
        <v>17876.7</v>
      </c>
      <c r="AO5777">
        <v>63611.7</v>
      </c>
      <c r="AP5777">
        <v>0</v>
      </c>
      <c r="AQ5777">
        <v>-9.7000000000043656</v>
      </c>
      <c r="AR5777">
        <v>-1.5246442234850832E-4</v>
      </c>
      <c r="AS5777" t="s">
        <v>239</v>
      </c>
      <c r="AT5777" t="s">
        <v>514</v>
      </c>
    </row>
    <row r="5778" spans="2:46" x14ac:dyDescent="0.35">
      <c r="B5778" t="s">
        <v>747</v>
      </c>
      <c r="C5778">
        <v>45926</v>
      </c>
      <c r="J5778">
        <v>0</v>
      </c>
      <c r="O5778" t="s">
        <v>239</v>
      </c>
      <c r="P5778" t="s">
        <v>514</v>
      </c>
      <c r="U5778">
        <v>0</v>
      </c>
      <c r="Y5778">
        <v>1364</v>
      </c>
      <c r="Z5778" s="259" t="s">
        <v>637</v>
      </c>
      <c r="AB5778">
        <v>17355</v>
      </c>
      <c r="AF5778">
        <v>63602</v>
      </c>
      <c r="AG5778">
        <v>0</v>
      </c>
      <c r="AI5778">
        <v>63611.7</v>
      </c>
      <c r="AJ5778">
        <v>0</v>
      </c>
      <c r="AK5778">
        <v>0</v>
      </c>
      <c r="AL5778">
        <v>0</v>
      </c>
      <c r="AM5778">
        <v>45735</v>
      </c>
      <c r="AN5778">
        <v>17867</v>
      </c>
      <c r="AO5778">
        <v>63602</v>
      </c>
      <c r="AP5778">
        <v>0</v>
      </c>
      <c r="AQ5778">
        <v>-9.6999999999970896</v>
      </c>
      <c r="AR5778">
        <v>-1.5248767129316665E-4</v>
      </c>
      <c r="AS5778" t="s">
        <v>239</v>
      </c>
      <c r="AT5778" t="s">
        <v>514</v>
      </c>
    </row>
    <row r="5779" spans="2:46" x14ac:dyDescent="0.35">
      <c r="B5779" t="s">
        <v>747</v>
      </c>
      <c r="C5779">
        <v>45927</v>
      </c>
      <c r="J5779">
        <v>0</v>
      </c>
      <c r="O5779" t="s">
        <v>239</v>
      </c>
      <c r="P5779" t="s">
        <v>514</v>
      </c>
      <c r="U5779">
        <v>0</v>
      </c>
      <c r="Y5779">
        <v>1365</v>
      </c>
      <c r="Z5779" s="259" t="s">
        <v>637</v>
      </c>
      <c r="AB5779">
        <v>17355</v>
      </c>
      <c r="AF5779">
        <v>63602</v>
      </c>
      <c r="AG5779">
        <v>0</v>
      </c>
      <c r="AI5779">
        <v>63602</v>
      </c>
      <c r="AJ5779">
        <v>0</v>
      </c>
      <c r="AK5779">
        <v>0</v>
      </c>
      <c r="AL5779">
        <v>0</v>
      </c>
      <c r="AM5779">
        <v>45735</v>
      </c>
      <c r="AN5779">
        <v>17867</v>
      </c>
      <c r="AO5779">
        <v>63602</v>
      </c>
      <c r="AP5779">
        <v>0</v>
      </c>
      <c r="AQ5779">
        <v>0</v>
      </c>
      <c r="AR5779">
        <v>0</v>
      </c>
      <c r="AS5779" t="s">
        <v>239</v>
      </c>
      <c r="AT5779" t="s">
        <v>514</v>
      </c>
    </row>
    <row r="5780" spans="2:46" x14ac:dyDescent="0.35">
      <c r="B5780" t="s">
        <v>747</v>
      </c>
      <c r="C5780">
        <v>45928</v>
      </c>
      <c r="J5780">
        <v>0</v>
      </c>
      <c r="O5780" t="s">
        <v>239</v>
      </c>
      <c r="P5780" t="s">
        <v>514</v>
      </c>
      <c r="U5780">
        <v>0</v>
      </c>
      <c r="Y5780">
        <v>1366</v>
      </c>
      <c r="Z5780" s="259" t="s">
        <v>637</v>
      </c>
      <c r="AB5780">
        <v>17355</v>
      </c>
      <c r="AF5780">
        <v>63602</v>
      </c>
      <c r="AG5780">
        <v>0</v>
      </c>
      <c r="AI5780">
        <v>63602</v>
      </c>
      <c r="AJ5780">
        <v>0</v>
      </c>
      <c r="AK5780">
        <v>0</v>
      </c>
      <c r="AL5780">
        <v>0</v>
      </c>
      <c r="AM5780">
        <v>45735</v>
      </c>
      <c r="AN5780">
        <v>17867</v>
      </c>
      <c r="AO5780">
        <v>63602</v>
      </c>
      <c r="AP5780">
        <v>0</v>
      </c>
      <c r="AQ5780">
        <v>0</v>
      </c>
      <c r="AR5780">
        <v>0</v>
      </c>
      <c r="AS5780" t="s">
        <v>239</v>
      </c>
      <c r="AT5780" t="s">
        <v>514</v>
      </c>
    </row>
    <row r="5781" spans="2:46" x14ac:dyDescent="0.35">
      <c r="B5781" t="s">
        <v>747</v>
      </c>
      <c r="C5781">
        <v>45929</v>
      </c>
      <c r="J5781">
        <v>0</v>
      </c>
      <c r="O5781" t="s">
        <v>239</v>
      </c>
      <c r="P5781" t="s">
        <v>514</v>
      </c>
      <c r="U5781">
        <v>0</v>
      </c>
      <c r="Y5781">
        <v>1367</v>
      </c>
      <c r="Z5781" s="259" t="s">
        <v>637</v>
      </c>
      <c r="AB5781">
        <v>17355</v>
      </c>
      <c r="AF5781">
        <v>63574.7</v>
      </c>
      <c r="AG5781">
        <v>0</v>
      </c>
      <c r="AI5781">
        <v>63602</v>
      </c>
      <c r="AJ5781">
        <v>0</v>
      </c>
      <c r="AK5781">
        <v>0</v>
      </c>
      <c r="AL5781">
        <v>0</v>
      </c>
      <c r="AM5781">
        <v>45735</v>
      </c>
      <c r="AN5781">
        <v>17839.7</v>
      </c>
      <c r="AO5781">
        <v>63574.7</v>
      </c>
      <c r="AP5781">
        <v>0</v>
      </c>
      <c r="AQ5781">
        <v>-27.30000000000291</v>
      </c>
      <c r="AR5781">
        <v>-4.2923178516407479E-4</v>
      </c>
      <c r="AS5781" t="s">
        <v>239</v>
      </c>
      <c r="AT5781" t="s">
        <v>514</v>
      </c>
    </row>
    <row r="5782" spans="2:46" x14ac:dyDescent="0.35">
      <c r="B5782" t="s">
        <v>747</v>
      </c>
      <c r="C5782">
        <v>45930</v>
      </c>
      <c r="J5782">
        <v>0</v>
      </c>
      <c r="O5782" t="s">
        <v>239</v>
      </c>
      <c r="P5782" t="s">
        <v>514</v>
      </c>
      <c r="U5782">
        <v>0</v>
      </c>
      <c r="Y5782">
        <v>1368</v>
      </c>
      <c r="Z5782" s="259" t="s">
        <v>637</v>
      </c>
      <c r="AB5782">
        <v>17355</v>
      </c>
      <c r="AF5782">
        <v>63565</v>
      </c>
      <c r="AG5782">
        <v>0</v>
      </c>
      <c r="AI5782">
        <v>63574.7</v>
      </c>
      <c r="AJ5782">
        <v>0</v>
      </c>
      <c r="AK5782">
        <v>0</v>
      </c>
      <c r="AL5782">
        <v>0</v>
      </c>
      <c r="AM5782">
        <v>45735</v>
      </c>
      <c r="AN5782">
        <v>17830</v>
      </c>
      <c r="AO5782">
        <v>63565</v>
      </c>
      <c r="AP5782">
        <v>0</v>
      </c>
      <c r="AQ5782">
        <v>-9.6999999999970896</v>
      </c>
      <c r="AR5782">
        <v>-1.5257641797750132E-4</v>
      </c>
      <c r="AS5782" t="s">
        <v>239</v>
      </c>
      <c r="AT5782" t="s">
        <v>514</v>
      </c>
    </row>
    <row r="5783" spans="2:46" x14ac:dyDescent="0.35">
      <c r="B5783" t="s">
        <v>747</v>
      </c>
      <c r="C5783">
        <v>45931</v>
      </c>
      <c r="J5783">
        <v>0</v>
      </c>
      <c r="O5783" t="s">
        <v>239</v>
      </c>
      <c r="P5783" t="s">
        <v>514</v>
      </c>
      <c r="U5783">
        <v>0</v>
      </c>
      <c r="Y5783">
        <v>1369</v>
      </c>
      <c r="Z5783" s="259" t="s">
        <v>637</v>
      </c>
      <c r="AB5783">
        <v>17355</v>
      </c>
      <c r="AF5783">
        <v>63565</v>
      </c>
      <c r="AG5783">
        <v>0</v>
      </c>
      <c r="AI5783">
        <v>63565</v>
      </c>
      <c r="AJ5783">
        <v>0</v>
      </c>
      <c r="AK5783">
        <v>0</v>
      </c>
      <c r="AL5783">
        <v>0</v>
      </c>
      <c r="AM5783">
        <v>45735</v>
      </c>
      <c r="AN5783">
        <v>17830</v>
      </c>
      <c r="AO5783">
        <v>63565</v>
      </c>
      <c r="AP5783">
        <v>0</v>
      </c>
      <c r="AQ5783">
        <v>0</v>
      </c>
      <c r="AR5783">
        <v>0</v>
      </c>
      <c r="AS5783" t="s">
        <v>239</v>
      </c>
      <c r="AT5783" t="s">
        <v>514</v>
      </c>
    </row>
    <row r="5784" spans="2:46" x14ac:dyDescent="0.35">
      <c r="B5784" t="s">
        <v>747</v>
      </c>
      <c r="C5784">
        <v>45932</v>
      </c>
      <c r="J5784">
        <v>0</v>
      </c>
      <c r="O5784" t="s">
        <v>239</v>
      </c>
      <c r="P5784" t="s">
        <v>514</v>
      </c>
      <c r="U5784">
        <v>0</v>
      </c>
      <c r="Y5784">
        <v>1370</v>
      </c>
      <c r="Z5784" s="259" t="s">
        <v>637</v>
      </c>
      <c r="AB5784">
        <v>17355</v>
      </c>
      <c r="AF5784">
        <v>63543.9</v>
      </c>
      <c r="AG5784">
        <v>0</v>
      </c>
      <c r="AI5784">
        <v>63565</v>
      </c>
      <c r="AJ5784">
        <v>0</v>
      </c>
      <c r="AK5784">
        <v>0</v>
      </c>
      <c r="AL5784">
        <v>0</v>
      </c>
      <c r="AM5784">
        <v>45735</v>
      </c>
      <c r="AN5784">
        <v>17808.900000000001</v>
      </c>
      <c r="AO5784">
        <v>63543.9</v>
      </c>
      <c r="AP5784">
        <v>0</v>
      </c>
      <c r="AQ5784">
        <v>-21.099999999998545</v>
      </c>
      <c r="AR5784">
        <v>-3.3194367969791028E-4</v>
      </c>
      <c r="AS5784" t="s">
        <v>239</v>
      </c>
      <c r="AT5784" t="s">
        <v>514</v>
      </c>
    </row>
    <row r="5785" spans="2:46" x14ac:dyDescent="0.35">
      <c r="B5785" t="s">
        <v>747</v>
      </c>
      <c r="C5785">
        <v>45933</v>
      </c>
      <c r="J5785">
        <v>0</v>
      </c>
      <c r="O5785" t="s">
        <v>239</v>
      </c>
      <c r="P5785" t="s">
        <v>514</v>
      </c>
      <c r="U5785">
        <v>0</v>
      </c>
      <c r="Y5785">
        <v>1371</v>
      </c>
      <c r="Z5785" s="259" t="s">
        <v>637</v>
      </c>
      <c r="AB5785">
        <v>17355</v>
      </c>
      <c r="AF5785">
        <v>63524.1</v>
      </c>
      <c r="AG5785">
        <v>0</v>
      </c>
      <c r="AI5785">
        <v>63543.9</v>
      </c>
      <c r="AJ5785">
        <v>0</v>
      </c>
      <c r="AK5785">
        <v>0</v>
      </c>
      <c r="AL5785">
        <v>0</v>
      </c>
      <c r="AM5785">
        <v>45735</v>
      </c>
      <c r="AN5785">
        <v>17789.099999999999</v>
      </c>
      <c r="AO5785">
        <v>63524.1</v>
      </c>
      <c r="AP5785">
        <v>0</v>
      </c>
      <c r="AQ5785">
        <v>-19.80000000000291</v>
      </c>
      <c r="AR5785">
        <v>-3.1159560555782395E-4</v>
      </c>
      <c r="AS5785" t="s">
        <v>239</v>
      </c>
      <c r="AT5785" t="s">
        <v>514</v>
      </c>
    </row>
    <row r="5786" spans="2:46" x14ac:dyDescent="0.35">
      <c r="B5786" t="s">
        <v>747</v>
      </c>
      <c r="C5786">
        <v>45934</v>
      </c>
      <c r="J5786">
        <v>0</v>
      </c>
      <c r="O5786" t="s">
        <v>239</v>
      </c>
      <c r="P5786" t="s">
        <v>514</v>
      </c>
      <c r="U5786">
        <v>0</v>
      </c>
      <c r="Y5786">
        <v>1372</v>
      </c>
      <c r="Z5786" s="259" t="s">
        <v>637</v>
      </c>
      <c r="AB5786">
        <v>17355</v>
      </c>
      <c r="AF5786">
        <v>63524.1</v>
      </c>
      <c r="AG5786">
        <v>0</v>
      </c>
      <c r="AI5786">
        <v>63524.1</v>
      </c>
      <c r="AJ5786">
        <v>0</v>
      </c>
      <c r="AK5786">
        <v>0</v>
      </c>
      <c r="AL5786">
        <v>0</v>
      </c>
      <c r="AM5786">
        <v>45735</v>
      </c>
      <c r="AN5786">
        <v>17789.099999999999</v>
      </c>
      <c r="AO5786">
        <v>63524.1</v>
      </c>
      <c r="AP5786">
        <v>0</v>
      </c>
      <c r="AQ5786">
        <v>0</v>
      </c>
      <c r="AR5786">
        <v>0</v>
      </c>
      <c r="AS5786" t="s">
        <v>239</v>
      </c>
      <c r="AT5786" t="s">
        <v>514</v>
      </c>
    </row>
    <row r="5787" spans="2:46" x14ac:dyDescent="0.35">
      <c r="B5787" t="s">
        <v>747</v>
      </c>
      <c r="C5787">
        <v>45935</v>
      </c>
      <c r="J5787">
        <v>0</v>
      </c>
      <c r="O5787" t="s">
        <v>239</v>
      </c>
      <c r="P5787" t="s">
        <v>514</v>
      </c>
      <c r="U5787">
        <v>0</v>
      </c>
      <c r="Y5787">
        <v>1373</v>
      </c>
      <c r="Z5787" s="259" t="s">
        <v>637</v>
      </c>
      <c r="AB5787">
        <v>17355</v>
      </c>
      <c r="AF5787">
        <v>63524.1</v>
      </c>
      <c r="AG5787">
        <v>0</v>
      </c>
      <c r="AI5787">
        <v>63524.1</v>
      </c>
      <c r="AJ5787">
        <v>0</v>
      </c>
      <c r="AK5787">
        <v>0</v>
      </c>
      <c r="AL5787">
        <v>0</v>
      </c>
      <c r="AM5787">
        <v>45735</v>
      </c>
      <c r="AN5787">
        <v>17789.099999999999</v>
      </c>
      <c r="AO5787">
        <v>63524.1</v>
      </c>
      <c r="AP5787">
        <v>0</v>
      </c>
      <c r="AQ5787">
        <v>0</v>
      </c>
      <c r="AR5787">
        <v>0</v>
      </c>
      <c r="AS5787" t="s">
        <v>239</v>
      </c>
      <c r="AT5787" t="s">
        <v>514</v>
      </c>
    </row>
    <row r="5788" spans="2:46" x14ac:dyDescent="0.35">
      <c r="B5788" t="s">
        <v>747</v>
      </c>
      <c r="C5788">
        <v>45936</v>
      </c>
      <c r="J5788">
        <v>0</v>
      </c>
      <c r="O5788" t="s">
        <v>239</v>
      </c>
      <c r="P5788" t="s">
        <v>514</v>
      </c>
      <c r="U5788">
        <v>0</v>
      </c>
      <c r="Y5788">
        <v>1374</v>
      </c>
      <c r="Z5788" s="259" t="s">
        <v>637</v>
      </c>
      <c r="AB5788">
        <v>17355</v>
      </c>
      <c r="AF5788">
        <v>63462.1</v>
      </c>
      <c r="AG5788">
        <v>0</v>
      </c>
      <c r="AI5788">
        <v>63524.1</v>
      </c>
      <c r="AJ5788">
        <v>0</v>
      </c>
      <c r="AK5788">
        <v>0</v>
      </c>
      <c r="AL5788">
        <v>0</v>
      </c>
      <c r="AM5788">
        <v>45735</v>
      </c>
      <c r="AN5788">
        <v>17727.099999999999</v>
      </c>
      <c r="AO5788">
        <v>63462.1</v>
      </c>
      <c r="AP5788">
        <v>0</v>
      </c>
      <c r="AQ5788">
        <v>-62</v>
      </c>
      <c r="AR5788">
        <v>-9.7600753100002269E-4</v>
      </c>
      <c r="AS5788" t="s">
        <v>239</v>
      </c>
      <c r="AT5788" t="s">
        <v>514</v>
      </c>
    </row>
    <row r="5789" spans="2:46" x14ac:dyDescent="0.35">
      <c r="B5789" t="s">
        <v>747</v>
      </c>
      <c r="C5789">
        <v>45937</v>
      </c>
      <c r="J5789">
        <v>0</v>
      </c>
      <c r="O5789" t="s">
        <v>239</v>
      </c>
      <c r="P5789" t="s">
        <v>514</v>
      </c>
      <c r="U5789">
        <v>0</v>
      </c>
      <c r="Y5789">
        <v>1375</v>
      </c>
      <c r="Z5789" s="259" t="s">
        <v>637</v>
      </c>
      <c r="AB5789">
        <v>17355</v>
      </c>
      <c r="AF5789">
        <v>63441</v>
      </c>
      <c r="AG5789">
        <v>0</v>
      </c>
      <c r="AI5789">
        <v>63462.1</v>
      </c>
      <c r="AJ5789">
        <v>0</v>
      </c>
      <c r="AK5789">
        <v>0</v>
      </c>
      <c r="AL5789">
        <v>0</v>
      </c>
      <c r="AM5789">
        <v>45735</v>
      </c>
      <c r="AN5789">
        <v>17706</v>
      </c>
      <c r="AO5789">
        <v>63441</v>
      </c>
      <c r="AP5789">
        <v>0</v>
      </c>
      <c r="AQ5789">
        <v>-21.099999999998545</v>
      </c>
      <c r="AR5789">
        <v>-3.3248190652368503E-4</v>
      </c>
      <c r="AS5789" t="s">
        <v>239</v>
      </c>
      <c r="AT5789" t="s">
        <v>514</v>
      </c>
    </row>
    <row r="5790" spans="2:46" x14ac:dyDescent="0.35">
      <c r="B5790" t="s">
        <v>747</v>
      </c>
      <c r="C5790">
        <v>45938</v>
      </c>
      <c r="J5790">
        <v>0</v>
      </c>
      <c r="O5790" t="s">
        <v>239</v>
      </c>
      <c r="P5790" t="s">
        <v>514</v>
      </c>
      <c r="U5790">
        <v>0</v>
      </c>
      <c r="Y5790">
        <v>1376</v>
      </c>
      <c r="Z5790" s="259" t="s">
        <v>637</v>
      </c>
      <c r="AB5790">
        <v>17355</v>
      </c>
      <c r="AF5790">
        <v>63419.9</v>
      </c>
      <c r="AG5790">
        <v>0</v>
      </c>
      <c r="AI5790">
        <v>63441</v>
      </c>
      <c r="AJ5790">
        <v>0</v>
      </c>
      <c r="AK5790">
        <v>0</v>
      </c>
      <c r="AL5790">
        <v>0</v>
      </c>
      <c r="AM5790">
        <v>45735</v>
      </c>
      <c r="AN5790">
        <v>17684.900000000001</v>
      </c>
      <c r="AO5790">
        <v>63419.9</v>
      </c>
      <c r="AP5790">
        <v>0</v>
      </c>
      <c r="AQ5790">
        <v>-21.099999999998545</v>
      </c>
      <c r="AR5790">
        <v>-3.3259248750805437E-4</v>
      </c>
      <c r="AS5790" t="s">
        <v>239</v>
      </c>
      <c r="AT5790" t="s">
        <v>514</v>
      </c>
    </row>
    <row r="5791" spans="2:46" x14ac:dyDescent="0.35">
      <c r="B5791" t="s">
        <v>747</v>
      </c>
      <c r="C5791">
        <v>45939</v>
      </c>
      <c r="J5791">
        <v>0</v>
      </c>
      <c r="O5791" t="s">
        <v>239</v>
      </c>
      <c r="P5791" t="s">
        <v>514</v>
      </c>
      <c r="U5791">
        <v>0</v>
      </c>
      <c r="Y5791">
        <v>1377</v>
      </c>
      <c r="Z5791" s="259" t="s">
        <v>637</v>
      </c>
      <c r="AB5791">
        <v>17355</v>
      </c>
      <c r="AF5791">
        <v>63400.1</v>
      </c>
      <c r="AG5791">
        <v>0</v>
      </c>
      <c r="AI5791">
        <v>63419.9</v>
      </c>
      <c r="AJ5791">
        <v>0</v>
      </c>
      <c r="AK5791">
        <v>0</v>
      </c>
      <c r="AL5791">
        <v>0</v>
      </c>
      <c r="AM5791">
        <v>45735</v>
      </c>
      <c r="AN5791">
        <v>17665.099999999999</v>
      </c>
      <c r="AO5791">
        <v>63400.1</v>
      </c>
      <c r="AP5791">
        <v>0</v>
      </c>
      <c r="AQ5791">
        <v>-19.80000000000291</v>
      </c>
      <c r="AR5791">
        <v>-3.12204844220898E-4</v>
      </c>
      <c r="AS5791" t="s">
        <v>239</v>
      </c>
      <c r="AT5791" t="s">
        <v>514</v>
      </c>
    </row>
    <row r="5792" spans="2:46" x14ac:dyDescent="0.35">
      <c r="B5792" t="s">
        <v>747</v>
      </c>
      <c r="C5792">
        <v>45940</v>
      </c>
      <c r="J5792">
        <v>0</v>
      </c>
      <c r="O5792" t="s">
        <v>239</v>
      </c>
      <c r="P5792" t="s">
        <v>514</v>
      </c>
      <c r="U5792">
        <v>0</v>
      </c>
      <c r="Y5792">
        <v>1378</v>
      </c>
      <c r="Z5792" s="259" t="s">
        <v>637</v>
      </c>
      <c r="AB5792">
        <v>17355</v>
      </c>
      <c r="AF5792">
        <v>63379</v>
      </c>
      <c r="AG5792">
        <v>0</v>
      </c>
      <c r="AI5792">
        <v>63400.1</v>
      </c>
      <c r="AJ5792">
        <v>0</v>
      </c>
      <c r="AK5792">
        <v>0</v>
      </c>
      <c r="AL5792">
        <v>0</v>
      </c>
      <c r="AM5792">
        <v>45735</v>
      </c>
      <c r="AN5792">
        <v>17644</v>
      </c>
      <c r="AO5792">
        <v>63379</v>
      </c>
      <c r="AP5792">
        <v>0</v>
      </c>
      <c r="AQ5792">
        <v>-21.099999999998545</v>
      </c>
      <c r="AR5792">
        <v>-3.3280704604565781E-4</v>
      </c>
      <c r="AS5792" t="s">
        <v>239</v>
      </c>
      <c r="AT5792" t="s">
        <v>514</v>
      </c>
    </row>
    <row r="5793" spans="2:46" x14ac:dyDescent="0.35">
      <c r="B5793" t="s">
        <v>747</v>
      </c>
      <c r="C5793">
        <v>45941</v>
      </c>
      <c r="J5793">
        <v>0</v>
      </c>
      <c r="O5793" t="s">
        <v>239</v>
      </c>
      <c r="P5793" t="s">
        <v>514</v>
      </c>
      <c r="U5793">
        <v>0</v>
      </c>
      <c r="Y5793">
        <v>1379</v>
      </c>
      <c r="Z5793" s="259" t="s">
        <v>637</v>
      </c>
      <c r="AB5793">
        <v>17355</v>
      </c>
      <c r="AF5793">
        <v>63379</v>
      </c>
      <c r="AG5793">
        <v>0</v>
      </c>
      <c r="AI5793">
        <v>63379</v>
      </c>
      <c r="AJ5793">
        <v>0</v>
      </c>
      <c r="AK5793">
        <v>0</v>
      </c>
      <c r="AL5793">
        <v>0</v>
      </c>
      <c r="AM5793">
        <v>45735</v>
      </c>
      <c r="AN5793">
        <v>17644</v>
      </c>
      <c r="AO5793">
        <v>63379</v>
      </c>
      <c r="AP5793">
        <v>0</v>
      </c>
      <c r="AQ5793">
        <v>0</v>
      </c>
      <c r="AR5793">
        <v>0</v>
      </c>
      <c r="AS5793" t="s">
        <v>239</v>
      </c>
      <c r="AT5793" t="s">
        <v>514</v>
      </c>
    </row>
    <row r="5794" spans="2:46" x14ac:dyDescent="0.35">
      <c r="B5794" t="s">
        <v>747</v>
      </c>
      <c r="C5794">
        <v>45942</v>
      </c>
      <c r="J5794">
        <v>0</v>
      </c>
      <c r="O5794" t="s">
        <v>239</v>
      </c>
      <c r="P5794" t="s">
        <v>514</v>
      </c>
      <c r="U5794">
        <v>0</v>
      </c>
      <c r="Y5794">
        <v>1380</v>
      </c>
      <c r="Z5794" s="259" t="s">
        <v>637</v>
      </c>
      <c r="AB5794">
        <v>17355</v>
      </c>
      <c r="AF5794">
        <v>63379</v>
      </c>
      <c r="AG5794">
        <v>0</v>
      </c>
      <c r="AI5794">
        <v>63379</v>
      </c>
      <c r="AJ5794">
        <v>0</v>
      </c>
      <c r="AK5794">
        <v>0</v>
      </c>
      <c r="AL5794">
        <v>0</v>
      </c>
      <c r="AM5794">
        <v>45735</v>
      </c>
      <c r="AN5794">
        <v>17644</v>
      </c>
      <c r="AO5794">
        <v>63379</v>
      </c>
      <c r="AP5794">
        <v>0</v>
      </c>
      <c r="AQ5794">
        <v>0</v>
      </c>
      <c r="AR5794">
        <v>0</v>
      </c>
      <c r="AS5794" t="s">
        <v>239</v>
      </c>
      <c r="AT5794" t="s">
        <v>514</v>
      </c>
    </row>
    <row r="5795" spans="2:46" x14ac:dyDescent="0.35">
      <c r="B5795" t="s">
        <v>747</v>
      </c>
      <c r="C5795">
        <v>45943</v>
      </c>
      <c r="J5795">
        <v>0</v>
      </c>
      <c r="O5795" t="s">
        <v>239</v>
      </c>
      <c r="P5795" t="s">
        <v>514</v>
      </c>
      <c r="U5795">
        <v>0</v>
      </c>
      <c r="Y5795">
        <v>1381</v>
      </c>
      <c r="Z5795" s="259" t="s">
        <v>637</v>
      </c>
      <c r="AB5795">
        <v>17355</v>
      </c>
      <c r="AF5795">
        <v>63317</v>
      </c>
      <c r="AG5795">
        <v>0</v>
      </c>
      <c r="AI5795">
        <v>63379</v>
      </c>
      <c r="AJ5795">
        <v>0</v>
      </c>
      <c r="AK5795">
        <v>0</v>
      </c>
      <c r="AL5795">
        <v>0</v>
      </c>
      <c r="AM5795">
        <v>45735</v>
      </c>
      <c r="AN5795">
        <v>17582</v>
      </c>
      <c r="AO5795">
        <v>63317</v>
      </c>
      <c r="AP5795">
        <v>0</v>
      </c>
      <c r="AQ5795">
        <v>-62</v>
      </c>
      <c r="AR5795">
        <v>-9.7824200444940335E-4</v>
      </c>
      <c r="AS5795" t="s">
        <v>239</v>
      </c>
      <c r="AT5795" t="s">
        <v>514</v>
      </c>
    </row>
    <row r="5796" spans="2:46" x14ac:dyDescent="0.35">
      <c r="B5796" t="s">
        <v>747</v>
      </c>
      <c r="C5796">
        <v>45944</v>
      </c>
      <c r="J5796">
        <v>0</v>
      </c>
      <c r="O5796" t="s">
        <v>239</v>
      </c>
      <c r="P5796" t="s">
        <v>514</v>
      </c>
      <c r="U5796">
        <v>0</v>
      </c>
      <c r="Y5796">
        <v>1382</v>
      </c>
      <c r="Z5796" s="259" t="s">
        <v>637</v>
      </c>
      <c r="AB5796">
        <v>17355</v>
      </c>
      <c r="AF5796">
        <v>63295.9</v>
      </c>
      <c r="AG5796">
        <v>0</v>
      </c>
      <c r="AI5796">
        <v>63317</v>
      </c>
      <c r="AJ5796">
        <v>0</v>
      </c>
      <c r="AK5796">
        <v>0</v>
      </c>
      <c r="AL5796">
        <v>0</v>
      </c>
      <c r="AM5796">
        <v>45735</v>
      </c>
      <c r="AN5796">
        <v>17560.900000000001</v>
      </c>
      <c r="AO5796">
        <v>63295.9</v>
      </c>
      <c r="AP5796">
        <v>0</v>
      </c>
      <c r="AQ5796">
        <v>-21.099999999998545</v>
      </c>
      <c r="AR5796">
        <v>-3.3324383656840872E-4</v>
      </c>
      <c r="AS5796" t="s">
        <v>239</v>
      </c>
      <c r="AT5796" t="s">
        <v>514</v>
      </c>
    </row>
    <row r="5797" spans="2:46" x14ac:dyDescent="0.35">
      <c r="B5797" t="s">
        <v>747</v>
      </c>
      <c r="C5797">
        <v>45945</v>
      </c>
      <c r="J5797">
        <v>0</v>
      </c>
      <c r="O5797" t="s">
        <v>239</v>
      </c>
      <c r="P5797" t="s">
        <v>514</v>
      </c>
      <c r="U5797">
        <v>0</v>
      </c>
      <c r="Y5797">
        <v>1383</v>
      </c>
      <c r="Z5797" s="259" t="s">
        <v>637</v>
      </c>
      <c r="AB5797">
        <v>17355</v>
      </c>
      <c r="AF5797">
        <v>63276.1</v>
      </c>
      <c r="AG5797">
        <v>0</v>
      </c>
      <c r="AI5797">
        <v>63295.9</v>
      </c>
      <c r="AJ5797">
        <v>0</v>
      </c>
      <c r="AK5797">
        <v>0</v>
      </c>
      <c r="AL5797">
        <v>0</v>
      </c>
      <c r="AM5797">
        <v>45735</v>
      </c>
      <c r="AN5797">
        <v>17541.099999999999</v>
      </c>
      <c r="AO5797">
        <v>63276.1</v>
      </c>
      <c r="AP5797">
        <v>0</v>
      </c>
      <c r="AQ5797">
        <v>-19.80000000000291</v>
      </c>
      <c r="AR5797">
        <v>-3.1281646994518741E-4</v>
      </c>
      <c r="AS5797" t="s">
        <v>239</v>
      </c>
      <c r="AT5797" t="s">
        <v>514</v>
      </c>
    </row>
    <row r="5798" spans="2:46" x14ac:dyDescent="0.35">
      <c r="B5798" t="s">
        <v>747</v>
      </c>
      <c r="C5798">
        <v>45946</v>
      </c>
      <c r="J5798">
        <v>0</v>
      </c>
      <c r="O5798" t="s">
        <v>239</v>
      </c>
      <c r="P5798" t="s">
        <v>514</v>
      </c>
      <c r="U5798">
        <v>0</v>
      </c>
      <c r="Y5798">
        <v>1384</v>
      </c>
      <c r="Z5798" s="259" t="s">
        <v>637</v>
      </c>
      <c r="AB5798">
        <v>17355</v>
      </c>
      <c r="AF5798">
        <v>63255</v>
      </c>
      <c r="AG5798">
        <v>0</v>
      </c>
      <c r="AI5798">
        <v>63276.1</v>
      </c>
      <c r="AJ5798">
        <v>0</v>
      </c>
      <c r="AK5798">
        <v>0</v>
      </c>
      <c r="AL5798">
        <v>0</v>
      </c>
      <c r="AM5798">
        <v>45735</v>
      </c>
      <c r="AN5798">
        <v>17520</v>
      </c>
      <c r="AO5798">
        <v>63255</v>
      </c>
      <c r="AP5798">
        <v>0</v>
      </c>
      <c r="AQ5798">
        <v>-21.099999999998545</v>
      </c>
      <c r="AR5798">
        <v>-3.3345923658378851E-4</v>
      </c>
      <c r="AS5798" t="s">
        <v>239</v>
      </c>
      <c r="AT5798" t="s">
        <v>514</v>
      </c>
    </row>
    <row r="5799" spans="2:46" x14ac:dyDescent="0.35">
      <c r="B5799" t="s">
        <v>747</v>
      </c>
      <c r="C5799">
        <v>45947</v>
      </c>
      <c r="J5799">
        <v>0</v>
      </c>
      <c r="O5799" t="s">
        <v>239</v>
      </c>
      <c r="P5799" t="s">
        <v>514</v>
      </c>
      <c r="U5799">
        <v>0</v>
      </c>
      <c r="Y5799">
        <v>1385</v>
      </c>
      <c r="Z5799" s="259" t="s">
        <v>637</v>
      </c>
      <c r="AB5799">
        <v>17355</v>
      </c>
      <c r="AF5799">
        <v>63233.9</v>
      </c>
      <c r="AG5799">
        <v>0</v>
      </c>
      <c r="AI5799">
        <v>63255</v>
      </c>
      <c r="AJ5799">
        <v>0</v>
      </c>
      <c r="AK5799">
        <v>0</v>
      </c>
      <c r="AL5799">
        <v>0</v>
      </c>
      <c r="AM5799">
        <v>45735</v>
      </c>
      <c r="AN5799">
        <v>17498.900000000001</v>
      </c>
      <c r="AO5799">
        <v>63233.9</v>
      </c>
      <c r="AP5799">
        <v>0</v>
      </c>
      <c r="AQ5799">
        <v>-21.099999999998545</v>
      </c>
      <c r="AR5799">
        <v>-3.3357046873760954E-4</v>
      </c>
      <c r="AS5799" t="s">
        <v>239</v>
      </c>
      <c r="AT5799" t="s">
        <v>514</v>
      </c>
    </row>
    <row r="5800" spans="2:46" x14ac:dyDescent="0.35">
      <c r="B5800" t="s">
        <v>747</v>
      </c>
      <c r="C5800">
        <v>45948</v>
      </c>
      <c r="J5800">
        <v>0</v>
      </c>
      <c r="O5800" t="s">
        <v>239</v>
      </c>
      <c r="P5800" t="s">
        <v>514</v>
      </c>
      <c r="U5800">
        <v>0</v>
      </c>
      <c r="Y5800">
        <v>1386</v>
      </c>
      <c r="Z5800" s="259" t="s">
        <v>637</v>
      </c>
      <c r="AB5800">
        <v>17355</v>
      </c>
      <c r="AF5800">
        <v>63233.9</v>
      </c>
      <c r="AG5800">
        <v>0</v>
      </c>
      <c r="AI5800">
        <v>63233.9</v>
      </c>
      <c r="AJ5800">
        <v>0</v>
      </c>
      <c r="AK5800">
        <v>0</v>
      </c>
      <c r="AL5800">
        <v>0</v>
      </c>
      <c r="AM5800">
        <v>45735</v>
      </c>
      <c r="AN5800">
        <v>17498.900000000001</v>
      </c>
      <c r="AO5800">
        <v>63233.9</v>
      </c>
      <c r="AP5800">
        <v>0</v>
      </c>
      <c r="AQ5800">
        <v>0</v>
      </c>
      <c r="AR5800">
        <v>0</v>
      </c>
      <c r="AS5800" t="s">
        <v>239</v>
      </c>
      <c r="AT5800" t="s">
        <v>514</v>
      </c>
    </row>
    <row r="5801" spans="2:46" x14ac:dyDescent="0.35">
      <c r="B5801" t="s">
        <v>747</v>
      </c>
      <c r="C5801">
        <v>45949</v>
      </c>
      <c r="J5801">
        <v>0</v>
      </c>
      <c r="O5801" t="s">
        <v>239</v>
      </c>
      <c r="P5801" t="s">
        <v>514</v>
      </c>
      <c r="U5801">
        <v>0</v>
      </c>
      <c r="Y5801">
        <v>1387</v>
      </c>
      <c r="Z5801" s="259" t="s">
        <v>637</v>
      </c>
      <c r="AB5801">
        <v>17355</v>
      </c>
      <c r="AF5801">
        <v>63233.9</v>
      </c>
      <c r="AG5801">
        <v>0</v>
      </c>
      <c r="AI5801">
        <v>63233.9</v>
      </c>
      <c r="AJ5801">
        <v>0</v>
      </c>
      <c r="AK5801">
        <v>0</v>
      </c>
      <c r="AL5801">
        <v>0</v>
      </c>
      <c r="AM5801">
        <v>45735</v>
      </c>
      <c r="AN5801">
        <v>17498.900000000001</v>
      </c>
      <c r="AO5801">
        <v>63233.9</v>
      </c>
      <c r="AP5801">
        <v>0</v>
      </c>
      <c r="AQ5801">
        <v>0</v>
      </c>
      <c r="AR5801">
        <v>0</v>
      </c>
      <c r="AS5801" t="s">
        <v>239</v>
      </c>
      <c r="AT5801" t="s">
        <v>514</v>
      </c>
    </row>
    <row r="5802" spans="2:46" x14ac:dyDescent="0.35">
      <c r="B5802" t="s">
        <v>747</v>
      </c>
      <c r="C5802">
        <v>45950</v>
      </c>
      <c r="J5802">
        <v>0</v>
      </c>
      <c r="O5802" t="s">
        <v>239</v>
      </c>
      <c r="P5802" t="s">
        <v>514</v>
      </c>
      <c r="U5802">
        <v>0</v>
      </c>
      <c r="Y5802">
        <v>1388</v>
      </c>
      <c r="Z5802" s="259" t="s">
        <v>637</v>
      </c>
      <c r="AB5802">
        <v>17355</v>
      </c>
      <c r="AF5802">
        <v>63171.9</v>
      </c>
      <c r="AG5802">
        <v>0</v>
      </c>
      <c r="AI5802">
        <v>63233.9</v>
      </c>
      <c r="AJ5802">
        <v>0</v>
      </c>
      <c r="AK5802">
        <v>0</v>
      </c>
      <c r="AL5802">
        <v>0</v>
      </c>
      <c r="AM5802">
        <v>45735</v>
      </c>
      <c r="AN5802">
        <v>17436.900000000001</v>
      </c>
      <c r="AO5802">
        <v>63171.9</v>
      </c>
      <c r="AP5802">
        <v>0</v>
      </c>
      <c r="AQ5802">
        <v>-62</v>
      </c>
      <c r="AR5802">
        <v>-9.8048673259121255E-4</v>
      </c>
      <c r="AS5802" t="s">
        <v>239</v>
      </c>
      <c r="AT5802" t="s">
        <v>514</v>
      </c>
    </row>
    <row r="5803" spans="2:46" x14ac:dyDescent="0.35">
      <c r="B5803" t="s">
        <v>747</v>
      </c>
      <c r="C5803">
        <v>45951</v>
      </c>
      <c r="J5803">
        <v>0</v>
      </c>
      <c r="O5803" t="s">
        <v>239</v>
      </c>
      <c r="P5803" t="s">
        <v>514</v>
      </c>
      <c r="U5803">
        <v>0</v>
      </c>
      <c r="Y5803">
        <v>1389</v>
      </c>
      <c r="Z5803" s="259" t="s">
        <v>637</v>
      </c>
      <c r="AB5803">
        <v>17355</v>
      </c>
      <c r="AF5803">
        <v>63152.1</v>
      </c>
      <c r="AG5803">
        <v>0</v>
      </c>
      <c r="AI5803">
        <v>63171.9</v>
      </c>
      <c r="AJ5803">
        <v>0</v>
      </c>
      <c r="AK5803">
        <v>0</v>
      </c>
      <c r="AL5803">
        <v>0</v>
      </c>
      <c r="AM5803">
        <v>45735</v>
      </c>
      <c r="AN5803">
        <v>17417.099999999999</v>
      </c>
      <c r="AO5803">
        <v>63152.1</v>
      </c>
      <c r="AP5803">
        <v>0</v>
      </c>
      <c r="AQ5803">
        <v>-19.80000000000291</v>
      </c>
      <c r="AR5803">
        <v>-3.1343049678733692E-4</v>
      </c>
      <c r="AS5803" t="s">
        <v>239</v>
      </c>
      <c r="AT5803" t="s">
        <v>514</v>
      </c>
    </row>
    <row r="5804" spans="2:46" x14ac:dyDescent="0.35">
      <c r="B5804" t="s">
        <v>747</v>
      </c>
      <c r="C5804">
        <v>45952</v>
      </c>
      <c r="J5804">
        <v>0</v>
      </c>
      <c r="O5804" t="s">
        <v>239</v>
      </c>
      <c r="P5804" t="s">
        <v>514</v>
      </c>
      <c r="U5804">
        <v>0</v>
      </c>
      <c r="Y5804">
        <v>1390</v>
      </c>
      <c r="Z5804" s="259" t="s">
        <v>637</v>
      </c>
      <c r="AB5804">
        <v>17355</v>
      </c>
      <c r="AF5804">
        <v>63131</v>
      </c>
      <c r="AG5804">
        <v>0</v>
      </c>
      <c r="AI5804">
        <v>63152.1</v>
      </c>
      <c r="AJ5804">
        <v>0</v>
      </c>
      <c r="AK5804">
        <v>0</v>
      </c>
      <c r="AL5804">
        <v>0</v>
      </c>
      <c r="AM5804">
        <v>45735</v>
      </c>
      <c r="AN5804">
        <v>17396</v>
      </c>
      <c r="AO5804">
        <v>63131</v>
      </c>
      <c r="AP5804">
        <v>0</v>
      </c>
      <c r="AQ5804">
        <v>-21.099999999998545</v>
      </c>
      <c r="AR5804">
        <v>-3.3411398829175099E-4</v>
      </c>
      <c r="AS5804" t="s">
        <v>239</v>
      </c>
      <c r="AT5804" t="s">
        <v>514</v>
      </c>
    </row>
    <row r="5805" spans="2:46" x14ac:dyDescent="0.35">
      <c r="B5805" t="s">
        <v>747</v>
      </c>
      <c r="C5805">
        <v>45953</v>
      </c>
      <c r="J5805">
        <v>0</v>
      </c>
      <c r="O5805" t="s">
        <v>239</v>
      </c>
      <c r="P5805" t="s">
        <v>514</v>
      </c>
      <c r="U5805">
        <v>0</v>
      </c>
      <c r="Y5805">
        <v>1391</v>
      </c>
      <c r="Z5805" s="259" t="s">
        <v>637</v>
      </c>
      <c r="AB5805">
        <v>17355</v>
      </c>
      <c r="AF5805">
        <v>63109.9</v>
      </c>
      <c r="AG5805">
        <v>0</v>
      </c>
      <c r="AI5805">
        <v>63131</v>
      </c>
      <c r="AJ5805">
        <v>0</v>
      </c>
      <c r="AK5805">
        <v>0</v>
      </c>
      <c r="AL5805">
        <v>0</v>
      </c>
      <c r="AM5805">
        <v>45735</v>
      </c>
      <c r="AN5805">
        <v>17374.900000000001</v>
      </c>
      <c r="AO5805">
        <v>63109.9</v>
      </c>
      <c r="AP5805">
        <v>0</v>
      </c>
      <c r="AQ5805">
        <v>-21.099999999998545</v>
      </c>
      <c r="AR5805">
        <v>-3.3422565775920177E-4</v>
      </c>
      <c r="AS5805" t="s">
        <v>239</v>
      </c>
      <c r="AT5805" t="s">
        <v>514</v>
      </c>
    </row>
    <row r="5806" spans="2:46" x14ac:dyDescent="0.35">
      <c r="B5806" t="s">
        <v>747</v>
      </c>
      <c r="C5806">
        <v>45954</v>
      </c>
      <c r="J5806">
        <v>0</v>
      </c>
      <c r="O5806" t="s">
        <v>239</v>
      </c>
      <c r="P5806" t="s">
        <v>514</v>
      </c>
      <c r="U5806">
        <v>0</v>
      </c>
      <c r="Y5806">
        <v>1392</v>
      </c>
      <c r="Z5806" s="259" t="s">
        <v>637</v>
      </c>
      <c r="AB5806">
        <v>17355</v>
      </c>
      <c r="AF5806">
        <v>63090.1</v>
      </c>
      <c r="AG5806">
        <v>0</v>
      </c>
      <c r="AI5806">
        <v>63109.9</v>
      </c>
      <c r="AJ5806">
        <v>0</v>
      </c>
      <c r="AK5806">
        <v>0</v>
      </c>
      <c r="AL5806">
        <v>0</v>
      </c>
      <c r="AM5806">
        <v>45735</v>
      </c>
      <c r="AN5806">
        <v>17355.099999999999</v>
      </c>
      <c r="AO5806">
        <v>63090.1</v>
      </c>
      <c r="AP5806">
        <v>0</v>
      </c>
      <c r="AQ5806">
        <v>-19.80000000000291</v>
      </c>
      <c r="AR5806">
        <v>-3.1373841505066835E-4</v>
      </c>
      <c r="AS5806" t="s">
        <v>239</v>
      </c>
      <c r="AT5806" t="s">
        <v>514</v>
      </c>
    </row>
    <row r="5807" spans="2:46" x14ac:dyDescent="0.35">
      <c r="B5807" t="s">
        <v>747</v>
      </c>
      <c r="C5807">
        <v>45955</v>
      </c>
      <c r="J5807">
        <v>0</v>
      </c>
      <c r="O5807" t="s">
        <v>239</v>
      </c>
      <c r="P5807" t="s">
        <v>514</v>
      </c>
      <c r="U5807">
        <v>0</v>
      </c>
      <c r="Y5807">
        <v>1393</v>
      </c>
      <c r="Z5807" s="259" t="s">
        <v>637</v>
      </c>
      <c r="AB5807">
        <v>17355</v>
      </c>
      <c r="AF5807">
        <v>63090.1</v>
      </c>
      <c r="AG5807">
        <v>0</v>
      </c>
      <c r="AI5807">
        <v>63090.1</v>
      </c>
      <c r="AJ5807">
        <v>0</v>
      </c>
      <c r="AK5807">
        <v>0</v>
      </c>
      <c r="AL5807">
        <v>0</v>
      </c>
      <c r="AM5807">
        <v>45735</v>
      </c>
      <c r="AN5807">
        <v>17355.099999999999</v>
      </c>
      <c r="AO5807">
        <v>63090.1</v>
      </c>
      <c r="AP5807">
        <v>0</v>
      </c>
      <c r="AQ5807">
        <v>0</v>
      </c>
      <c r="AR5807">
        <v>0</v>
      </c>
      <c r="AS5807" t="s">
        <v>239</v>
      </c>
      <c r="AT5807" t="s">
        <v>514</v>
      </c>
    </row>
    <row r="5808" spans="2:46" x14ac:dyDescent="0.35">
      <c r="B5808" t="s">
        <v>747</v>
      </c>
      <c r="C5808">
        <v>45956</v>
      </c>
      <c r="J5808">
        <v>0</v>
      </c>
      <c r="O5808" t="s">
        <v>239</v>
      </c>
      <c r="P5808" t="s">
        <v>514</v>
      </c>
      <c r="U5808">
        <v>0</v>
      </c>
      <c r="Y5808">
        <v>1394</v>
      </c>
      <c r="Z5808" s="259" t="s">
        <v>637</v>
      </c>
      <c r="AB5808">
        <v>17355</v>
      </c>
      <c r="AF5808">
        <v>63090.1</v>
      </c>
      <c r="AG5808">
        <v>0</v>
      </c>
      <c r="AI5808">
        <v>63090.1</v>
      </c>
      <c r="AJ5808">
        <v>0</v>
      </c>
      <c r="AK5808">
        <v>0</v>
      </c>
      <c r="AL5808">
        <v>0</v>
      </c>
      <c r="AM5808">
        <v>45735</v>
      </c>
      <c r="AN5808">
        <v>17355.099999999999</v>
      </c>
      <c r="AO5808">
        <v>63090.1</v>
      </c>
      <c r="AP5808">
        <v>0</v>
      </c>
      <c r="AQ5808">
        <v>0</v>
      </c>
      <c r="AR5808">
        <v>0</v>
      </c>
      <c r="AS5808" t="s">
        <v>239</v>
      </c>
      <c r="AT5808" t="s">
        <v>514</v>
      </c>
    </row>
    <row r="5809" spans="2:46" x14ac:dyDescent="0.35">
      <c r="B5809" t="s">
        <v>747</v>
      </c>
      <c r="C5809">
        <v>45957</v>
      </c>
      <c r="J5809">
        <v>0</v>
      </c>
      <c r="O5809" t="s">
        <v>239</v>
      </c>
      <c r="P5809" t="s">
        <v>514</v>
      </c>
      <c r="U5809">
        <v>0</v>
      </c>
      <c r="Y5809">
        <v>1395</v>
      </c>
      <c r="Z5809" s="259" t="s">
        <v>637</v>
      </c>
      <c r="AB5809">
        <v>17355</v>
      </c>
      <c r="AF5809">
        <v>63028.1</v>
      </c>
      <c r="AG5809">
        <v>0</v>
      </c>
      <c r="AI5809">
        <v>63090.1</v>
      </c>
      <c r="AJ5809">
        <v>0</v>
      </c>
      <c r="AK5809">
        <v>0</v>
      </c>
      <c r="AL5809">
        <v>0</v>
      </c>
      <c r="AM5809">
        <v>45735</v>
      </c>
      <c r="AN5809">
        <v>17293.099999999999</v>
      </c>
      <c r="AO5809">
        <v>63028.1</v>
      </c>
      <c r="AP5809">
        <v>0</v>
      </c>
      <c r="AQ5809">
        <v>-62</v>
      </c>
      <c r="AR5809">
        <v>-9.8272153634249015E-4</v>
      </c>
      <c r="AS5809" t="s">
        <v>239</v>
      </c>
      <c r="AT5809" t="s">
        <v>514</v>
      </c>
    </row>
    <row r="5810" spans="2:46" x14ac:dyDescent="0.35">
      <c r="B5810" t="s">
        <v>747</v>
      </c>
      <c r="C5810">
        <v>45958</v>
      </c>
      <c r="J5810">
        <v>0</v>
      </c>
      <c r="O5810" t="s">
        <v>239</v>
      </c>
      <c r="P5810" t="s">
        <v>514</v>
      </c>
      <c r="U5810">
        <v>0</v>
      </c>
      <c r="Y5810">
        <v>1396</v>
      </c>
      <c r="Z5810" s="259" t="s">
        <v>637</v>
      </c>
      <c r="AB5810">
        <v>17355</v>
      </c>
      <c r="AF5810">
        <v>63007</v>
      </c>
      <c r="AG5810">
        <v>0</v>
      </c>
      <c r="AI5810">
        <v>63028.1</v>
      </c>
      <c r="AJ5810">
        <v>0</v>
      </c>
      <c r="AK5810">
        <v>0</v>
      </c>
      <c r="AL5810">
        <v>0</v>
      </c>
      <c r="AM5810">
        <v>45735</v>
      </c>
      <c r="AN5810">
        <v>17272</v>
      </c>
      <c r="AO5810">
        <v>63007</v>
      </c>
      <c r="AP5810">
        <v>0</v>
      </c>
      <c r="AQ5810">
        <v>-21.099999999998545</v>
      </c>
      <c r="AR5810">
        <v>-3.3477131628589785E-4</v>
      </c>
      <c r="AS5810" t="s">
        <v>239</v>
      </c>
      <c r="AT5810" t="s">
        <v>514</v>
      </c>
    </row>
    <row r="5811" spans="2:46" x14ac:dyDescent="0.35">
      <c r="B5811" t="s">
        <v>747</v>
      </c>
      <c r="C5811">
        <v>45959</v>
      </c>
      <c r="J5811">
        <v>0</v>
      </c>
      <c r="O5811" t="s">
        <v>239</v>
      </c>
      <c r="P5811" t="s">
        <v>514</v>
      </c>
      <c r="U5811">
        <v>0</v>
      </c>
      <c r="Y5811">
        <v>1397</v>
      </c>
      <c r="Z5811" s="259" t="s">
        <v>637</v>
      </c>
      <c r="AB5811">
        <v>17355</v>
      </c>
      <c r="AF5811">
        <v>62985.9</v>
      </c>
      <c r="AG5811">
        <v>0</v>
      </c>
      <c r="AI5811">
        <v>63007</v>
      </c>
      <c r="AJ5811">
        <v>0</v>
      </c>
      <c r="AK5811">
        <v>0</v>
      </c>
      <c r="AL5811">
        <v>0</v>
      </c>
      <c r="AM5811">
        <v>45735</v>
      </c>
      <c r="AN5811">
        <v>17250.900000000001</v>
      </c>
      <c r="AO5811">
        <v>62985.9</v>
      </c>
      <c r="AP5811">
        <v>0</v>
      </c>
      <c r="AQ5811">
        <v>-21.099999999998545</v>
      </c>
      <c r="AR5811">
        <v>-3.3488342565113349E-4</v>
      </c>
      <c r="AS5811" t="s">
        <v>239</v>
      </c>
      <c r="AT5811" t="s">
        <v>514</v>
      </c>
    </row>
    <row r="5812" spans="2:46" x14ac:dyDescent="0.35">
      <c r="B5812" t="s">
        <v>747</v>
      </c>
      <c r="C5812">
        <v>45960</v>
      </c>
      <c r="J5812">
        <v>0</v>
      </c>
      <c r="O5812" t="s">
        <v>239</v>
      </c>
      <c r="P5812" t="s">
        <v>514</v>
      </c>
      <c r="U5812">
        <v>0</v>
      </c>
      <c r="Y5812">
        <v>1398</v>
      </c>
      <c r="Z5812" s="259" t="s">
        <v>637</v>
      </c>
      <c r="AB5812">
        <v>17355</v>
      </c>
      <c r="AF5812">
        <v>62966.1</v>
      </c>
      <c r="AG5812">
        <v>0</v>
      </c>
      <c r="AI5812">
        <v>62985.9</v>
      </c>
      <c r="AJ5812">
        <v>0</v>
      </c>
      <c r="AK5812">
        <v>0</v>
      </c>
      <c r="AL5812">
        <v>0</v>
      </c>
      <c r="AM5812">
        <v>45735</v>
      </c>
      <c r="AN5812">
        <v>17231.099999999999</v>
      </c>
      <c r="AO5812">
        <v>62966.1</v>
      </c>
      <c r="AP5812">
        <v>0</v>
      </c>
      <c r="AQ5812">
        <v>-19.80000000000291</v>
      </c>
      <c r="AR5812">
        <v>-3.1435607016816469E-4</v>
      </c>
      <c r="AS5812" t="s">
        <v>239</v>
      </c>
      <c r="AT5812" t="s">
        <v>514</v>
      </c>
    </row>
    <row r="5813" spans="2:46" x14ac:dyDescent="0.35">
      <c r="B5813" t="s">
        <v>747</v>
      </c>
      <c r="C5813">
        <v>45961</v>
      </c>
      <c r="J5813">
        <v>0</v>
      </c>
      <c r="O5813" t="s">
        <v>239</v>
      </c>
      <c r="P5813" t="s">
        <v>514</v>
      </c>
      <c r="U5813">
        <v>0</v>
      </c>
      <c r="Y5813">
        <v>1399</v>
      </c>
      <c r="Z5813" s="259" t="s">
        <v>637</v>
      </c>
      <c r="AB5813">
        <v>17355</v>
      </c>
      <c r="AF5813">
        <v>62945</v>
      </c>
      <c r="AG5813">
        <v>0</v>
      </c>
      <c r="AI5813">
        <v>62966.1</v>
      </c>
      <c r="AJ5813">
        <v>0</v>
      </c>
      <c r="AK5813">
        <v>0</v>
      </c>
      <c r="AL5813">
        <v>0</v>
      </c>
      <c r="AM5813">
        <v>45735</v>
      </c>
      <c r="AN5813">
        <v>17210</v>
      </c>
      <c r="AO5813">
        <v>62945</v>
      </c>
      <c r="AP5813">
        <v>0</v>
      </c>
      <c r="AQ5813">
        <v>-21.099999999998545</v>
      </c>
      <c r="AR5813">
        <v>-3.3510095114674954E-4</v>
      </c>
      <c r="AS5813" t="s">
        <v>239</v>
      </c>
      <c r="AT5813" t="s">
        <v>514</v>
      </c>
    </row>
    <row r="5814" spans="2:46" x14ac:dyDescent="0.35">
      <c r="B5814" t="s">
        <v>747</v>
      </c>
      <c r="C5814">
        <v>45962</v>
      </c>
      <c r="J5814">
        <v>0</v>
      </c>
      <c r="O5814" t="s">
        <v>239</v>
      </c>
      <c r="P5814" t="s">
        <v>514</v>
      </c>
      <c r="U5814">
        <v>0</v>
      </c>
      <c r="Y5814">
        <v>1400</v>
      </c>
      <c r="Z5814" s="259" t="s">
        <v>637</v>
      </c>
      <c r="AB5814">
        <v>17355</v>
      </c>
      <c r="AF5814">
        <v>62945</v>
      </c>
      <c r="AG5814">
        <v>0</v>
      </c>
      <c r="AI5814">
        <v>62945</v>
      </c>
      <c r="AJ5814">
        <v>0</v>
      </c>
      <c r="AK5814">
        <v>0</v>
      </c>
      <c r="AL5814">
        <v>0</v>
      </c>
      <c r="AM5814">
        <v>45735</v>
      </c>
      <c r="AN5814">
        <v>17210</v>
      </c>
      <c r="AO5814">
        <v>62945</v>
      </c>
      <c r="AP5814">
        <v>0</v>
      </c>
      <c r="AQ5814">
        <v>0</v>
      </c>
      <c r="AR5814">
        <v>0</v>
      </c>
      <c r="AS5814" t="s">
        <v>239</v>
      </c>
      <c r="AT5814" t="s">
        <v>514</v>
      </c>
    </row>
    <row r="5815" spans="2:46" x14ac:dyDescent="0.35">
      <c r="B5815" t="s">
        <v>747</v>
      </c>
      <c r="C5815">
        <v>45963</v>
      </c>
      <c r="J5815">
        <v>0</v>
      </c>
      <c r="O5815" t="s">
        <v>239</v>
      </c>
      <c r="P5815" t="s">
        <v>514</v>
      </c>
      <c r="U5815">
        <v>0</v>
      </c>
      <c r="Y5815">
        <v>1401</v>
      </c>
      <c r="Z5815" s="259" t="s">
        <v>637</v>
      </c>
      <c r="AB5815">
        <v>17355</v>
      </c>
      <c r="AF5815">
        <v>62945</v>
      </c>
      <c r="AG5815">
        <v>0</v>
      </c>
      <c r="AI5815">
        <v>62945</v>
      </c>
      <c r="AJ5815">
        <v>0</v>
      </c>
      <c r="AK5815">
        <v>0</v>
      </c>
      <c r="AL5815">
        <v>0</v>
      </c>
      <c r="AM5815">
        <v>45735</v>
      </c>
      <c r="AN5815">
        <v>17210</v>
      </c>
      <c r="AO5815">
        <v>62945</v>
      </c>
      <c r="AP5815">
        <v>0</v>
      </c>
      <c r="AQ5815">
        <v>0</v>
      </c>
      <c r="AR5815">
        <v>0</v>
      </c>
      <c r="AS5815" t="s">
        <v>239</v>
      </c>
      <c r="AT5815" t="s">
        <v>514</v>
      </c>
    </row>
    <row r="5816" spans="2:46" x14ac:dyDescent="0.35">
      <c r="B5816" t="s">
        <v>747</v>
      </c>
      <c r="C5816">
        <v>45964</v>
      </c>
      <c r="J5816">
        <v>0</v>
      </c>
      <c r="O5816" t="s">
        <v>239</v>
      </c>
      <c r="P5816" t="s">
        <v>514</v>
      </c>
      <c r="U5816">
        <v>0</v>
      </c>
      <c r="Y5816">
        <v>1402</v>
      </c>
      <c r="Z5816" s="259" t="s">
        <v>637</v>
      </c>
      <c r="AB5816">
        <v>17355</v>
      </c>
      <c r="AF5816">
        <v>62926.400000000001</v>
      </c>
      <c r="AG5816">
        <v>120</v>
      </c>
      <c r="AI5816">
        <v>62945</v>
      </c>
      <c r="AJ5816">
        <v>0</v>
      </c>
      <c r="AK5816">
        <v>0</v>
      </c>
      <c r="AL5816">
        <v>0</v>
      </c>
      <c r="AM5816">
        <v>45735</v>
      </c>
      <c r="AN5816">
        <v>17071.400000000001</v>
      </c>
      <c r="AO5816">
        <v>62926.400000000001</v>
      </c>
      <c r="AP5816">
        <v>120</v>
      </c>
      <c r="AQ5816">
        <v>-18.599999999998545</v>
      </c>
      <c r="AR5816">
        <v>-2.9549606799583739E-4</v>
      </c>
      <c r="AS5816" t="s">
        <v>239</v>
      </c>
      <c r="AT5816" t="s">
        <v>514</v>
      </c>
    </row>
    <row r="5817" spans="2:46" x14ac:dyDescent="0.35">
      <c r="B5817" t="s">
        <v>747</v>
      </c>
      <c r="C5817">
        <v>45965</v>
      </c>
      <c r="J5817">
        <v>0</v>
      </c>
      <c r="O5817" t="s">
        <v>239</v>
      </c>
      <c r="P5817" t="s">
        <v>514</v>
      </c>
      <c r="U5817">
        <v>0</v>
      </c>
      <c r="Y5817">
        <v>1403</v>
      </c>
      <c r="Z5817" s="259" t="s">
        <v>637</v>
      </c>
      <c r="AB5817">
        <v>17355</v>
      </c>
      <c r="AF5817">
        <v>62917</v>
      </c>
      <c r="AG5817">
        <v>120</v>
      </c>
      <c r="AI5817">
        <v>62926.400000000001</v>
      </c>
      <c r="AJ5817">
        <v>0</v>
      </c>
      <c r="AK5817">
        <v>0</v>
      </c>
      <c r="AL5817">
        <v>0</v>
      </c>
      <c r="AM5817">
        <v>45735</v>
      </c>
      <c r="AN5817">
        <v>17062</v>
      </c>
      <c r="AO5817">
        <v>62917</v>
      </c>
      <c r="AP5817">
        <v>0</v>
      </c>
      <c r="AQ5817">
        <v>-9.4000000000014552</v>
      </c>
      <c r="AR5817">
        <v>-1.4938086399352013E-4</v>
      </c>
      <c r="AS5817" t="s">
        <v>239</v>
      </c>
      <c r="AT5817" t="s">
        <v>514</v>
      </c>
    </row>
    <row r="5818" spans="2:46" x14ac:dyDescent="0.35">
      <c r="B5818" t="s">
        <v>747</v>
      </c>
      <c r="C5818">
        <v>45966</v>
      </c>
      <c r="J5818">
        <v>0</v>
      </c>
      <c r="O5818" t="s">
        <v>239</v>
      </c>
      <c r="P5818" t="s">
        <v>514</v>
      </c>
      <c r="U5818">
        <v>0</v>
      </c>
      <c r="Y5818">
        <v>1404</v>
      </c>
      <c r="Z5818" s="259" t="s">
        <v>637</v>
      </c>
      <c r="AB5818">
        <v>17355</v>
      </c>
      <c r="AF5818">
        <v>62907.6</v>
      </c>
      <c r="AG5818">
        <v>120</v>
      </c>
      <c r="AI5818">
        <v>62917</v>
      </c>
      <c r="AJ5818">
        <v>0</v>
      </c>
      <c r="AK5818">
        <v>0</v>
      </c>
      <c r="AL5818">
        <v>0</v>
      </c>
      <c r="AM5818">
        <v>45735</v>
      </c>
      <c r="AN5818">
        <v>17052.599999999999</v>
      </c>
      <c r="AO5818">
        <v>62907.6</v>
      </c>
      <c r="AP5818">
        <v>0</v>
      </c>
      <c r="AQ5818">
        <v>-9.4000000000014552</v>
      </c>
      <c r="AR5818">
        <v>-1.4940318196987601E-4</v>
      </c>
      <c r="AS5818" t="s">
        <v>239</v>
      </c>
      <c r="AT5818" t="s">
        <v>514</v>
      </c>
    </row>
    <row r="5819" spans="2:46" x14ac:dyDescent="0.35">
      <c r="B5819" t="s">
        <v>747</v>
      </c>
      <c r="C5819">
        <v>45967</v>
      </c>
      <c r="J5819">
        <v>0</v>
      </c>
      <c r="O5819" t="s">
        <v>239</v>
      </c>
      <c r="P5819" t="s">
        <v>514</v>
      </c>
      <c r="U5819">
        <v>0</v>
      </c>
      <c r="Y5819">
        <v>1405</v>
      </c>
      <c r="Z5819" s="259" t="s">
        <v>637</v>
      </c>
      <c r="AB5819">
        <v>17355</v>
      </c>
      <c r="AF5819">
        <v>62898.399999999994</v>
      </c>
      <c r="AG5819">
        <v>120</v>
      </c>
      <c r="AI5819">
        <v>62907.6</v>
      </c>
      <c r="AJ5819">
        <v>0</v>
      </c>
      <c r="AK5819">
        <v>0</v>
      </c>
      <c r="AL5819">
        <v>0</v>
      </c>
      <c r="AM5819">
        <v>45735</v>
      </c>
      <c r="AN5819">
        <v>17043.399999999998</v>
      </c>
      <c r="AO5819">
        <v>62898.399999999994</v>
      </c>
      <c r="AP5819">
        <v>0</v>
      </c>
      <c r="AQ5819">
        <v>-9.2000000000043656</v>
      </c>
      <c r="AR5819">
        <v>-1.4624624051795543E-4</v>
      </c>
      <c r="AS5819" t="s">
        <v>239</v>
      </c>
      <c r="AT5819" t="s">
        <v>514</v>
      </c>
    </row>
    <row r="5820" spans="2:46" x14ac:dyDescent="0.35">
      <c r="B5820" t="s">
        <v>747</v>
      </c>
      <c r="C5820">
        <v>45968</v>
      </c>
      <c r="J5820">
        <v>0</v>
      </c>
      <c r="O5820" t="s">
        <v>239</v>
      </c>
      <c r="P5820" t="s">
        <v>514</v>
      </c>
      <c r="U5820">
        <v>0</v>
      </c>
      <c r="Y5820">
        <v>1406</v>
      </c>
      <c r="Z5820" s="259" t="s">
        <v>637</v>
      </c>
      <c r="AB5820">
        <v>17355</v>
      </c>
      <c r="AF5820">
        <v>62889</v>
      </c>
      <c r="AG5820">
        <v>120</v>
      </c>
      <c r="AI5820">
        <v>62898.399999999994</v>
      </c>
      <c r="AJ5820">
        <v>0</v>
      </c>
      <c r="AK5820">
        <v>0</v>
      </c>
      <c r="AL5820">
        <v>0</v>
      </c>
      <c r="AM5820">
        <v>45735</v>
      </c>
      <c r="AN5820">
        <v>17034</v>
      </c>
      <c r="AO5820">
        <v>62889</v>
      </c>
      <c r="AP5820">
        <v>0</v>
      </c>
      <c r="AQ5820">
        <v>-9.3999999999941792</v>
      </c>
      <c r="AR5820">
        <v>-1.4944736273092563E-4</v>
      </c>
      <c r="AS5820" t="s">
        <v>239</v>
      </c>
      <c r="AT5820" t="s">
        <v>514</v>
      </c>
    </row>
    <row r="5821" spans="2:46" x14ac:dyDescent="0.35">
      <c r="B5821" t="s">
        <v>747</v>
      </c>
      <c r="C5821">
        <v>45969</v>
      </c>
      <c r="J5821">
        <v>0</v>
      </c>
      <c r="O5821" t="s">
        <v>239</v>
      </c>
      <c r="P5821" t="s">
        <v>514</v>
      </c>
      <c r="U5821">
        <v>0</v>
      </c>
      <c r="Y5821">
        <v>1407</v>
      </c>
      <c r="Z5821" s="259" t="s">
        <v>637</v>
      </c>
      <c r="AB5821">
        <v>17355</v>
      </c>
      <c r="AF5821">
        <v>62889</v>
      </c>
      <c r="AG5821">
        <v>120</v>
      </c>
      <c r="AI5821">
        <v>62889</v>
      </c>
      <c r="AJ5821">
        <v>0</v>
      </c>
      <c r="AK5821">
        <v>0</v>
      </c>
      <c r="AL5821">
        <v>0</v>
      </c>
      <c r="AM5821">
        <v>45735</v>
      </c>
      <c r="AN5821">
        <v>17034</v>
      </c>
      <c r="AO5821">
        <v>62889</v>
      </c>
      <c r="AP5821">
        <v>0</v>
      </c>
      <c r="AQ5821">
        <v>0</v>
      </c>
      <c r="AR5821">
        <v>0</v>
      </c>
      <c r="AS5821" t="s">
        <v>239</v>
      </c>
      <c r="AT5821" t="s">
        <v>514</v>
      </c>
    </row>
    <row r="5822" spans="2:46" x14ac:dyDescent="0.35">
      <c r="B5822" t="s">
        <v>747</v>
      </c>
      <c r="C5822">
        <v>45970</v>
      </c>
      <c r="J5822">
        <v>0</v>
      </c>
      <c r="O5822" t="s">
        <v>239</v>
      </c>
      <c r="P5822" t="s">
        <v>514</v>
      </c>
      <c r="U5822">
        <v>0</v>
      </c>
      <c r="Y5822">
        <v>1408</v>
      </c>
      <c r="Z5822" s="259" t="s">
        <v>637</v>
      </c>
      <c r="AB5822">
        <v>17355</v>
      </c>
      <c r="AF5822">
        <v>62889</v>
      </c>
      <c r="AG5822">
        <v>120</v>
      </c>
      <c r="AI5822">
        <v>62889</v>
      </c>
      <c r="AJ5822">
        <v>0</v>
      </c>
      <c r="AK5822">
        <v>0</v>
      </c>
      <c r="AL5822">
        <v>0</v>
      </c>
      <c r="AM5822">
        <v>45735</v>
      </c>
      <c r="AN5822">
        <v>17034</v>
      </c>
      <c r="AO5822">
        <v>62889</v>
      </c>
      <c r="AP5822">
        <v>0</v>
      </c>
      <c r="AQ5822">
        <v>0</v>
      </c>
      <c r="AR5822">
        <v>0</v>
      </c>
      <c r="AS5822" t="s">
        <v>239</v>
      </c>
      <c r="AT5822" t="s">
        <v>514</v>
      </c>
    </row>
    <row r="5823" spans="2:46" x14ac:dyDescent="0.35">
      <c r="B5823" t="s">
        <v>747</v>
      </c>
      <c r="C5823">
        <v>45971</v>
      </c>
      <c r="J5823">
        <v>0</v>
      </c>
      <c r="O5823" t="s">
        <v>239</v>
      </c>
      <c r="P5823" t="s">
        <v>514</v>
      </c>
      <c r="U5823">
        <v>0</v>
      </c>
      <c r="Y5823">
        <v>1409</v>
      </c>
      <c r="Z5823" s="259" t="s">
        <v>637</v>
      </c>
      <c r="AB5823">
        <v>17355</v>
      </c>
      <c r="AF5823">
        <v>62861.3</v>
      </c>
      <c r="AG5823">
        <v>120</v>
      </c>
      <c r="AI5823">
        <v>62889</v>
      </c>
      <c r="AJ5823">
        <v>0</v>
      </c>
      <c r="AK5823">
        <v>0</v>
      </c>
      <c r="AL5823">
        <v>0</v>
      </c>
      <c r="AM5823">
        <v>45735</v>
      </c>
      <c r="AN5823">
        <v>17006.3</v>
      </c>
      <c r="AO5823">
        <v>62861.3</v>
      </c>
      <c r="AP5823">
        <v>0</v>
      </c>
      <c r="AQ5823">
        <v>-27.69999999999709</v>
      </c>
      <c r="AR5823">
        <v>-4.4045858576213792E-4</v>
      </c>
      <c r="AS5823" t="s">
        <v>239</v>
      </c>
      <c r="AT5823" t="s">
        <v>514</v>
      </c>
    </row>
    <row r="5824" spans="2:46" x14ac:dyDescent="0.35">
      <c r="B5824" t="s">
        <v>747</v>
      </c>
      <c r="C5824">
        <v>45972</v>
      </c>
      <c r="J5824">
        <v>0</v>
      </c>
      <c r="O5824" t="s">
        <v>239</v>
      </c>
      <c r="P5824" t="s">
        <v>514</v>
      </c>
      <c r="U5824">
        <v>0</v>
      </c>
      <c r="Y5824">
        <v>1410</v>
      </c>
      <c r="Z5824" s="259" t="s">
        <v>637</v>
      </c>
      <c r="AB5824">
        <v>17355</v>
      </c>
      <c r="AF5824">
        <v>62851.9</v>
      </c>
      <c r="AG5824">
        <v>120</v>
      </c>
      <c r="AI5824">
        <v>62861.3</v>
      </c>
      <c r="AJ5824">
        <v>0</v>
      </c>
      <c r="AK5824">
        <v>0</v>
      </c>
      <c r="AL5824">
        <v>0</v>
      </c>
      <c r="AM5824">
        <v>45735</v>
      </c>
      <c r="AN5824">
        <v>16996.900000000001</v>
      </c>
      <c r="AO5824">
        <v>62851.9</v>
      </c>
      <c r="AP5824">
        <v>0</v>
      </c>
      <c r="AQ5824">
        <v>-9.4000000000014552</v>
      </c>
      <c r="AR5824">
        <v>-1.4953556480701291E-4</v>
      </c>
      <c r="AS5824" t="s">
        <v>239</v>
      </c>
      <c r="AT5824" t="s">
        <v>514</v>
      </c>
    </row>
    <row r="5825" spans="2:46" x14ac:dyDescent="0.35">
      <c r="B5825" t="s">
        <v>747</v>
      </c>
      <c r="C5825">
        <v>45973</v>
      </c>
      <c r="J5825">
        <v>0</v>
      </c>
      <c r="O5825" t="s">
        <v>239</v>
      </c>
      <c r="P5825" t="s">
        <v>514</v>
      </c>
      <c r="U5825">
        <v>0</v>
      </c>
      <c r="Y5825">
        <v>1411</v>
      </c>
      <c r="Z5825" s="259" t="s">
        <v>637</v>
      </c>
      <c r="AB5825">
        <v>17355</v>
      </c>
      <c r="AF5825">
        <v>62842.7</v>
      </c>
      <c r="AG5825">
        <v>120</v>
      </c>
      <c r="AI5825">
        <v>62851.9</v>
      </c>
      <c r="AJ5825">
        <v>0</v>
      </c>
      <c r="AK5825">
        <v>0</v>
      </c>
      <c r="AL5825">
        <v>0</v>
      </c>
      <c r="AM5825">
        <v>45735</v>
      </c>
      <c r="AN5825">
        <v>16987.7</v>
      </c>
      <c r="AO5825">
        <v>62842.7</v>
      </c>
      <c r="AP5825">
        <v>0</v>
      </c>
      <c r="AQ5825">
        <v>-9.2000000000043656</v>
      </c>
      <c r="AR5825">
        <v>-1.4637584543986115E-4</v>
      </c>
      <c r="AS5825" t="s">
        <v>239</v>
      </c>
      <c r="AT5825" t="s">
        <v>514</v>
      </c>
    </row>
    <row r="5826" spans="2:46" x14ac:dyDescent="0.35">
      <c r="B5826" t="s">
        <v>747</v>
      </c>
      <c r="C5826">
        <v>45974</v>
      </c>
      <c r="J5826">
        <v>0</v>
      </c>
      <c r="O5826" t="s">
        <v>239</v>
      </c>
      <c r="P5826" t="s">
        <v>514</v>
      </c>
      <c r="U5826">
        <v>0</v>
      </c>
      <c r="Y5826">
        <v>1412</v>
      </c>
      <c r="Z5826" s="259" t="s">
        <v>637</v>
      </c>
      <c r="AB5826">
        <v>17355</v>
      </c>
      <c r="AF5826">
        <v>62833.3</v>
      </c>
      <c r="AG5826">
        <v>120</v>
      </c>
      <c r="AI5826">
        <v>62842.7</v>
      </c>
      <c r="AJ5826">
        <v>0</v>
      </c>
      <c r="AK5826">
        <v>0</v>
      </c>
      <c r="AL5826">
        <v>0</v>
      </c>
      <c r="AM5826">
        <v>45735</v>
      </c>
      <c r="AN5826">
        <v>16978.3</v>
      </c>
      <c r="AO5826">
        <v>62833.3</v>
      </c>
      <c r="AP5826">
        <v>0</v>
      </c>
      <c r="AQ5826">
        <v>-9.3999999999941792</v>
      </c>
      <c r="AR5826">
        <v>-1.4957982390939595E-4</v>
      </c>
      <c r="AS5826" t="s">
        <v>239</v>
      </c>
      <c r="AT5826" t="s">
        <v>514</v>
      </c>
    </row>
    <row r="5827" spans="2:46" x14ac:dyDescent="0.35">
      <c r="B5827" t="s">
        <v>747</v>
      </c>
      <c r="C5827">
        <v>45975</v>
      </c>
      <c r="J5827">
        <v>0</v>
      </c>
      <c r="O5827" t="s">
        <v>239</v>
      </c>
      <c r="P5827" t="s">
        <v>514</v>
      </c>
      <c r="U5827">
        <v>0</v>
      </c>
      <c r="Y5827">
        <v>1413</v>
      </c>
      <c r="Z5827" s="259" t="s">
        <v>637</v>
      </c>
      <c r="AB5827">
        <v>17355</v>
      </c>
      <c r="AF5827">
        <v>62823.9</v>
      </c>
      <c r="AG5827">
        <v>120</v>
      </c>
      <c r="AI5827">
        <v>62833.3</v>
      </c>
      <c r="AJ5827">
        <v>0</v>
      </c>
      <c r="AK5827">
        <v>0</v>
      </c>
      <c r="AL5827">
        <v>0</v>
      </c>
      <c r="AM5827">
        <v>45735</v>
      </c>
      <c r="AN5827">
        <v>16968.900000000001</v>
      </c>
      <c r="AO5827">
        <v>62823.9</v>
      </c>
      <c r="AP5827">
        <v>0</v>
      </c>
      <c r="AQ5827">
        <v>-9.4000000000014552</v>
      </c>
      <c r="AR5827">
        <v>-1.4960220138049429E-4</v>
      </c>
      <c r="AS5827" t="s">
        <v>239</v>
      </c>
      <c r="AT5827" t="s">
        <v>514</v>
      </c>
    </row>
    <row r="5828" spans="2:46" x14ac:dyDescent="0.35">
      <c r="B5828" t="s">
        <v>747</v>
      </c>
      <c r="C5828">
        <v>45976</v>
      </c>
      <c r="J5828">
        <v>0</v>
      </c>
      <c r="O5828" t="s">
        <v>239</v>
      </c>
      <c r="P5828" t="s">
        <v>514</v>
      </c>
      <c r="U5828">
        <v>0</v>
      </c>
      <c r="Y5828">
        <v>1414</v>
      </c>
      <c r="Z5828" s="259" t="s">
        <v>637</v>
      </c>
      <c r="AB5828">
        <v>17355</v>
      </c>
      <c r="AF5828">
        <v>62823.9</v>
      </c>
      <c r="AG5828">
        <v>120</v>
      </c>
      <c r="AI5828">
        <v>62823.9</v>
      </c>
      <c r="AJ5828">
        <v>0</v>
      </c>
      <c r="AK5828">
        <v>0</v>
      </c>
      <c r="AL5828">
        <v>0</v>
      </c>
      <c r="AM5828">
        <v>45735</v>
      </c>
      <c r="AN5828">
        <v>16968.900000000001</v>
      </c>
      <c r="AO5828">
        <v>62823.9</v>
      </c>
      <c r="AP5828">
        <v>0</v>
      </c>
      <c r="AQ5828">
        <v>0</v>
      </c>
      <c r="AR5828">
        <v>0</v>
      </c>
      <c r="AS5828" t="s">
        <v>239</v>
      </c>
      <c r="AT5828" t="s">
        <v>514</v>
      </c>
    </row>
    <row r="5829" spans="2:46" x14ac:dyDescent="0.35">
      <c r="B5829" t="s">
        <v>747</v>
      </c>
      <c r="C5829">
        <v>45977</v>
      </c>
      <c r="J5829">
        <v>0</v>
      </c>
      <c r="O5829" t="s">
        <v>239</v>
      </c>
      <c r="P5829" t="s">
        <v>514</v>
      </c>
      <c r="U5829">
        <v>0</v>
      </c>
      <c r="Y5829">
        <v>1415</v>
      </c>
      <c r="Z5829" s="259" t="s">
        <v>637</v>
      </c>
      <c r="AB5829">
        <v>17355</v>
      </c>
      <c r="AF5829">
        <v>62823.9</v>
      </c>
      <c r="AG5829">
        <v>120</v>
      </c>
      <c r="AI5829">
        <v>62823.9</v>
      </c>
      <c r="AJ5829">
        <v>0</v>
      </c>
      <c r="AK5829">
        <v>0</v>
      </c>
      <c r="AL5829">
        <v>0</v>
      </c>
      <c r="AM5829">
        <v>45735</v>
      </c>
      <c r="AN5829">
        <v>16968.900000000001</v>
      </c>
      <c r="AO5829">
        <v>62823.9</v>
      </c>
      <c r="AP5829">
        <v>0</v>
      </c>
      <c r="AQ5829">
        <v>0</v>
      </c>
      <c r="AR5829">
        <v>0</v>
      </c>
      <c r="AS5829" t="s">
        <v>239</v>
      </c>
      <c r="AT5829" t="s">
        <v>514</v>
      </c>
    </row>
    <row r="5830" spans="2:46" x14ac:dyDescent="0.35">
      <c r="B5830" t="s">
        <v>747</v>
      </c>
      <c r="C5830">
        <v>45978</v>
      </c>
      <c r="J5830">
        <v>0</v>
      </c>
      <c r="O5830" t="s">
        <v>239</v>
      </c>
      <c r="P5830" t="s">
        <v>514</v>
      </c>
      <c r="U5830">
        <v>0</v>
      </c>
      <c r="Y5830">
        <v>1416</v>
      </c>
      <c r="Z5830" s="259" t="s">
        <v>637</v>
      </c>
      <c r="AB5830">
        <v>17355</v>
      </c>
      <c r="AF5830">
        <v>62796.1</v>
      </c>
      <c r="AG5830">
        <v>120</v>
      </c>
      <c r="AI5830">
        <v>62823.9</v>
      </c>
      <c r="AJ5830">
        <v>0</v>
      </c>
      <c r="AK5830">
        <v>0</v>
      </c>
      <c r="AL5830">
        <v>0</v>
      </c>
      <c r="AM5830">
        <v>45735</v>
      </c>
      <c r="AN5830">
        <v>16941.099999999999</v>
      </c>
      <c r="AO5830">
        <v>62796.1</v>
      </c>
      <c r="AP5830">
        <v>0</v>
      </c>
      <c r="AQ5830">
        <v>-27.80000000000291</v>
      </c>
      <c r="AR5830">
        <v>-4.4250675300328002E-4</v>
      </c>
      <c r="AS5830" t="s">
        <v>239</v>
      </c>
      <c r="AT5830" t="s">
        <v>514</v>
      </c>
    </row>
    <row r="5831" spans="2:46" x14ac:dyDescent="0.35">
      <c r="B5831" t="s">
        <v>747</v>
      </c>
      <c r="C5831">
        <v>45979</v>
      </c>
      <c r="J5831">
        <v>0</v>
      </c>
      <c r="O5831" t="s">
        <v>239</v>
      </c>
      <c r="P5831" t="s">
        <v>514</v>
      </c>
      <c r="U5831">
        <v>0</v>
      </c>
      <c r="Y5831">
        <v>1417</v>
      </c>
      <c r="Z5831" s="259" t="s">
        <v>637</v>
      </c>
      <c r="AB5831">
        <v>17355</v>
      </c>
      <c r="AF5831">
        <v>62786.7</v>
      </c>
      <c r="AG5831">
        <v>120</v>
      </c>
      <c r="AI5831">
        <v>62796.1</v>
      </c>
      <c r="AJ5831">
        <v>0</v>
      </c>
      <c r="AK5831">
        <v>0</v>
      </c>
      <c r="AL5831">
        <v>0</v>
      </c>
      <c r="AM5831">
        <v>45735</v>
      </c>
      <c r="AN5831">
        <v>16931.7</v>
      </c>
      <c r="AO5831">
        <v>62786.7</v>
      </c>
      <c r="AP5831">
        <v>0</v>
      </c>
      <c r="AQ5831">
        <v>-9.4000000000014552</v>
      </c>
      <c r="AR5831">
        <v>-1.4969082474869388E-4</v>
      </c>
      <c r="AS5831" t="s">
        <v>239</v>
      </c>
      <c r="AT5831" t="s">
        <v>514</v>
      </c>
    </row>
    <row r="5832" spans="2:46" x14ac:dyDescent="0.35">
      <c r="B5832" t="s">
        <v>747</v>
      </c>
      <c r="C5832">
        <v>45980</v>
      </c>
      <c r="J5832">
        <v>0</v>
      </c>
      <c r="O5832" t="s">
        <v>239</v>
      </c>
      <c r="P5832" t="s">
        <v>514</v>
      </c>
      <c r="U5832">
        <v>0</v>
      </c>
      <c r="Y5832">
        <v>1418</v>
      </c>
      <c r="Z5832" s="259" t="s">
        <v>637</v>
      </c>
      <c r="AB5832">
        <v>17355</v>
      </c>
      <c r="AF5832">
        <v>62777.3</v>
      </c>
      <c r="AG5832">
        <v>120</v>
      </c>
      <c r="AI5832">
        <v>62786.7</v>
      </c>
      <c r="AJ5832">
        <v>0</v>
      </c>
      <c r="AK5832">
        <v>0</v>
      </c>
      <c r="AL5832">
        <v>0</v>
      </c>
      <c r="AM5832">
        <v>45735</v>
      </c>
      <c r="AN5832">
        <v>16922.3</v>
      </c>
      <c r="AO5832">
        <v>62777.3</v>
      </c>
      <c r="AP5832">
        <v>0</v>
      </c>
      <c r="AQ5832">
        <v>-9.3999999999941792</v>
      </c>
      <c r="AR5832">
        <v>-1.4971323544621384E-4</v>
      </c>
      <c r="AS5832" t="s">
        <v>239</v>
      </c>
      <c r="AT5832" t="s">
        <v>514</v>
      </c>
    </row>
    <row r="5833" spans="2:46" x14ac:dyDescent="0.35">
      <c r="B5833" t="s">
        <v>747</v>
      </c>
      <c r="C5833">
        <v>45981</v>
      </c>
      <c r="J5833">
        <v>0</v>
      </c>
      <c r="O5833" t="s">
        <v>239</v>
      </c>
      <c r="P5833" t="s">
        <v>514</v>
      </c>
      <c r="U5833">
        <v>0</v>
      </c>
      <c r="Y5833">
        <v>1419</v>
      </c>
      <c r="Z5833" s="259" t="s">
        <v>637</v>
      </c>
      <c r="AB5833">
        <v>17355</v>
      </c>
      <c r="AF5833">
        <v>62768.1</v>
      </c>
      <c r="AG5833">
        <v>120</v>
      </c>
      <c r="AI5833">
        <v>62777.3</v>
      </c>
      <c r="AJ5833">
        <v>0</v>
      </c>
      <c r="AK5833">
        <v>0</v>
      </c>
      <c r="AL5833">
        <v>0</v>
      </c>
      <c r="AM5833">
        <v>45735</v>
      </c>
      <c r="AN5833">
        <v>16913.099999999999</v>
      </c>
      <c r="AO5833">
        <v>62768.1</v>
      </c>
      <c r="AP5833">
        <v>0</v>
      </c>
      <c r="AQ5833">
        <v>-9.2000000000043656</v>
      </c>
      <c r="AR5833">
        <v>-1.4654978790107354E-4</v>
      </c>
      <c r="AS5833" t="s">
        <v>239</v>
      </c>
      <c r="AT5833" t="s">
        <v>514</v>
      </c>
    </row>
    <row r="5834" spans="2:46" x14ac:dyDescent="0.35">
      <c r="B5834" t="s">
        <v>747</v>
      </c>
      <c r="C5834">
        <v>45982</v>
      </c>
      <c r="J5834">
        <v>0</v>
      </c>
      <c r="O5834" t="s">
        <v>239</v>
      </c>
      <c r="P5834" t="s">
        <v>514</v>
      </c>
      <c r="U5834">
        <v>0</v>
      </c>
      <c r="Y5834">
        <v>1420</v>
      </c>
      <c r="Z5834" s="259" t="s">
        <v>637</v>
      </c>
      <c r="AB5834">
        <v>17355</v>
      </c>
      <c r="AF5834">
        <v>62758.7</v>
      </c>
      <c r="AG5834">
        <v>120</v>
      </c>
      <c r="AI5834">
        <v>62768.1</v>
      </c>
      <c r="AJ5834">
        <v>0</v>
      </c>
      <c r="AK5834">
        <v>0</v>
      </c>
      <c r="AL5834">
        <v>0</v>
      </c>
      <c r="AM5834">
        <v>45735</v>
      </c>
      <c r="AN5834">
        <v>16903.7</v>
      </c>
      <c r="AO5834">
        <v>62758.7</v>
      </c>
      <c r="AP5834">
        <v>0</v>
      </c>
      <c r="AQ5834">
        <v>-9.4000000000014552</v>
      </c>
      <c r="AR5834">
        <v>-1.4975759979996006E-4</v>
      </c>
      <c r="AS5834" t="s">
        <v>239</v>
      </c>
      <c r="AT5834" t="s">
        <v>514</v>
      </c>
    </row>
    <row r="5835" spans="2:46" x14ac:dyDescent="0.35">
      <c r="B5835" t="s">
        <v>747</v>
      </c>
      <c r="C5835">
        <v>45983</v>
      </c>
      <c r="J5835">
        <v>0</v>
      </c>
      <c r="O5835" t="s">
        <v>239</v>
      </c>
      <c r="P5835" t="s">
        <v>514</v>
      </c>
      <c r="U5835">
        <v>0</v>
      </c>
      <c r="Y5835">
        <v>1421</v>
      </c>
      <c r="Z5835" s="259" t="s">
        <v>637</v>
      </c>
      <c r="AB5835">
        <v>17355</v>
      </c>
      <c r="AF5835">
        <v>62758.7</v>
      </c>
      <c r="AG5835">
        <v>120</v>
      </c>
      <c r="AI5835">
        <v>62758.7</v>
      </c>
      <c r="AJ5835">
        <v>0</v>
      </c>
      <c r="AK5835">
        <v>0</v>
      </c>
      <c r="AL5835">
        <v>0</v>
      </c>
      <c r="AM5835">
        <v>45735</v>
      </c>
      <c r="AN5835">
        <v>16903.7</v>
      </c>
      <c r="AO5835">
        <v>62758.7</v>
      </c>
      <c r="AP5835">
        <v>0</v>
      </c>
      <c r="AQ5835">
        <v>0</v>
      </c>
      <c r="AR5835">
        <v>0</v>
      </c>
      <c r="AS5835" t="s">
        <v>239</v>
      </c>
      <c r="AT5835" t="s">
        <v>514</v>
      </c>
    </row>
    <row r="5836" spans="2:46" x14ac:dyDescent="0.35">
      <c r="B5836" t="s">
        <v>747</v>
      </c>
      <c r="C5836">
        <v>45984</v>
      </c>
      <c r="J5836">
        <v>0</v>
      </c>
      <c r="O5836" t="s">
        <v>239</v>
      </c>
      <c r="P5836" t="s">
        <v>514</v>
      </c>
      <c r="U5836">
        <v>0</v>
      </c>
      <c r="Y5836">
        <v>1422</v>
      </c>
      <c r="Z5836" s="259" t="s">
        <v>637</v>
      </c>
      <c r="AB5836">
        <v>17355</v>
      </c>
      <c r="AF5836">
        <v>62758.7</v>
      </c>
      <c r="AG5836">
        <v>120</v>
      </c>
      <c r="AI5836">
        <v>62758.7</v>
      </c>
      <c r="AJ5836">
        <v>0</v>
      </c>
      <c r="AK5836">
        <v>0</v>
      </c>
      <c r="AL5836">
        <v>0</v>
      </c>
      <c r="AM5836">
        <v>45735</v>
      </c>
      <c r="AN5836">
        <v>16903.7</v>
      </c>
      <c r="AO5836">
        <v>62758.7</v>
      </c>
      <c r="AP5836">
        <v>0</v>
      </c>
      <c r="AQ5836">
        <v>0</v>
      </c>
      <c r="AR5836">
        <v>0</v>
      </c>
      <c r="AS5836" t="s">
        <v>239</v>
      </c>
      <c r="AT5836" t="s">
        <v>514</v>
      </c>
    </row>
    <row r="5837" spans="2:46" x14ac:dyDescent="0.35">
      <c r="B5837" t="s">
        <v>747</v>
      </c>
      <c r="C5837">
        <v>45985</v>
      </c>
      <c r="J5837">
        <v>0</v>
      </c>
      <c r="O5837" t="s">
        <v>239</v>
      </c>
      <c r="P5837" t="s">
        <v>514</v>
      </c>
      <c r="U5837">
        <v>0</v>
      </c>
      <c r="Y5837">
        <v>1423</v>
      </c>
      <c r="Z5837" s="259" t="s">
        <v>637</v>
      </c>
      <c r="AB5837">
        <v>17355</v>
      </c>
      <c r="AF5837">
        <v>62731</v>
      </c>
      <c r="AG5837">
        <v>120</v>
      </c>
      <c r="AI5837">
        <v>62758.7</v>
      </c>
      <c r="AJ5837">
        <v>0</v>
      </c>
      <c r="AK5837">
        <v>0</v>
      </c>
      <c r="AL5837">
        <v>0</v>
      </c>
      <c r="AM5837">
        <v>45735</v>
      </c>
      <c r="AN5837">
        <v>16876</v>
      </c>
      <c r="AO5837">
        <v>62731</v>
      </c>
      <c r="AP5837">
        <v>0</v>
      </c>
      <c r="AQ5837">
        <v>-27.69999999999709</v>
      </c>
      <c r="AR5837">
        <v>-4.4137306859437508E-4</v>
      </c>
      <c r="AS5837" t="s">
        <v>239</v>
      </c>
      <c r="AT5837" t="s">
        <v>514</v>
      </c>
    </row>
    <row r="5838" spans="2:46" x14ac:dyDescent="0.35">
      <c r="B5838" t="s">
        <v>747</v>
      </c>
      <c r="C5838">
        <v>45986</v>
      </c>
      <c r="J5838">
        <v>0</v>
      </c>
      <c r="O5838" t="s">
        <v>239</v>
      </c>
      <c r="P5838" t="s">
        <v>514</v>
      </c>
      <c r="U5838">
        <v>0</v>
      </c>
      <c r="Y5838">
        <v>1424</v>
      </c>
      <c r="Z5838" s="259" t="s">
        <v>637</v>
      </c>
      <c r="AB5838">
        <v>17355</v>
      </c>
      <c r="AF5838">
        <v>62721.599999999999</v>
      </c>
      <c r="AG5838">
        <v>120</v>
      </c>
      <c r="AI5838">
        <v>62731</v>
      </c>
      <c r="AJ5838">
        <v>0</v>
      </c>
      <c r="AK5838">
        <v>0</v>
      </c>
      <c r="AL5838">
        <v>0</v>
      </c>
      <c r="AM5838">
        <v>45735</v>
      </c>
      <c r="AN5838">
        <v>16866.599999999999</v>
      </c>
      <c r="AO5838">
        <v>62721.599999999999</v>
      </c>
      <c r="AP5838">
        <v>0</v>
      </c>
      <c r="AQ5838">
        <v>-9.4000000000014552</v>
      </c>
      <c r="AR5838">
        <v>-1.4984616856106303E-4</v>
      </c>
      <c r="AS5838" t="s">
        <v>239</v>
      </c>
      <c r="AT5838" t="s">
        <v>514</v>
      </c>
    </row>
    <row r="5839" spans="2:46" x14ac:dyDescent="0.35">
      <c r="B5839" t="s">
        <v>747</v>
      </c>
      <c r="C5839">
        <v>45987</v>
      </c>
      <c r="J5839">
        <v>0</v>
      </c>
      <c r="O5839" t="s">
        <v>239</v>
      </c>
      <c r="P5839" t="s">
        <v>514</v>
      </c>
      <c r="U5839">
        <v>0</v>
      </c>
      <c r="Y5839">
        <v>1425</v>
      </c>
      <c r="Z5839" s="259" t="s">
        <v>637</v>
      </c>
      <c r="AB5839">
        <v>17355</v>
      </c>
      <c r="AF5839">
        <v>62712.4</v>
      </c>
      <c r="AG5839">
        <v>120</v>
      </c>
      <c r="AI5839">
        <v>62721.599999999999</v>
      </c>
      <c r="AJ5839">
        <v>0</v>
      </c>
      <c r="AK5839">
        <v>0</v>
      </c>
      <c r="AL5839">
        <v>0</v>
      </c>
      <c r="AM5839">
        <v>45735</v>
      </c>
      <c r="AN5839">
        <v>16857.400000000001</v>
      </c>
      <c r="AO5839">
        <v>62712.4</v>
      </c>
      <c r="AP5839">
        <v>0</v>
      </c>
      <c r="AQ5839">
        <v>-9.1999999999970896</v>
      </c>
      <c r="AR5839">
        <v>-1.4667993163430815E-4</v>
      </c>
      <c r="AS5839" t="s">
        <v>239</v>
      </c>
      <c r="AT5839" t="s">
        <v>514</v>
      </c>
    </row>
    <row r="5840" spans="2:46" x14ac:dyDescent="0.35">
      <c r="B5840" t="s">
        <v>747</v>
      </c>
      <c r="C5840">
        <v>45988</v>
      </c>
      <c r="J5840">
        <v>0</v>
      </c>
      <c r="O5840" t="s">
        <v>239</v>
      </c>
      <c r="P5840" t="s">
        <v>514</v>
      </c>
      <c r="U5840">
        <v>0</v>
      </c>
      <c r="Y5840">
        <v>1426</v>
      </c>
      <c r="Z5840" s="259" t="s">
        <v>637</v>
      </c>
      <c r="AB5840">
        <v>17355</v>
      </c>
      <c r="AF5840">
        <v>62703</v>
      </c>
      <c r="AG5840">
        <v>120</v>
      </c>
      <c r="AI5840">
        <v>62712.4</v>
      </c>
      <c r="AJ5840">
        <v>0</v>
      </c>
      <c r="AK5840">
        <v>0</v>
      </c>
      <c r="AL5840">
        <v>0</v>
      </c>
      <c r="AM5840">
        <v>45735</v>
      </c>
      <c r="AN5840">
        <v>16848</v>
      </c>
      <c r="AO5840">
        <v>62703</v>
      </c>
      <c r="AP5840">
        <v>0</v>
      </c>
      <c r="AQ5840">
        <v>-9.4000000000014552</v>
      </c>
      <c r="AR5840">
        <v>-1.4989061174508489E-4</v>
      </c>
      <c r="AS5840" t="s">
        <v>239</v>
      </c>
      <c r="AT5840" t="s">
        <v>514</v>
      </c>
    </row>
    <row r="5841" spans="2:46" x14ac:dyDescent="0.35">
      <c r="B5841" t="s">
        <v>747</v>
      </c>
      <c r="C5841">
        <v>45989</v>
      </c>
      <c r="J5841">
        <v>0</v>
      </c>
      <c r="O5841" t="s">
        <v>239</v>
      </c>
      <c r="P5841" t="s">
        <v>514</v>
      </c>
      <c r="U5841">
        <v>0</v>
      </c>
      <c r="Y5841">
        <v>1427</v>
      </c>
      <c r="Z5841" s="259" t="s">
        <v>637</v>
      </c>
      <c r="AB5841">
        <v>17355</v>
      </c>
      <c r="AF5841">
        <v>62693.599999999999</v>
      </c>
      <c r="AG5841">
        <v>120</v>
      </c>
      <c r="AI5841">
        <v>62703</v>
      </c>
      <c r="AJ5841">
        <v>0</v>
      </c>
      <c r="AK5841">
        <v>0</v>
      </c>
      <c r="AL5841">
        <v>0</v>
      </c>
      <c r="AM5841">
        <v>45735</v>
      </c>
      <c r="AN5841">
        <v>16838.599999999999</v>
      </c>
      <c r="AO5841">
        <v>62693.599999999999</v>
      </c>
      <c r="AP5841">
        <v>0</v>
      </c>
      <c r="AQ5841">
        <v>-9.4000000000014552</v>
      </c>
      <c r="AR5841">
        <v>-1.4991308230871692E-4</v>
      </c>
      <c r="AS5841" t="s">
        <v>239</v>
      </c>
      <c r="AT5841" t="s">
        <v>514</v>
      </c>
    </row>
    <row r="5842" spans="2:46" x14ac:dyDescent="0.35">
      <c r="B5842" t="s">
        <v>747</v>
      </c>
      <c r="C5842">
        <v>45990</v>
      </c>
      <c r="J5842">
        <v>0</v>
      </c>
      <c r="O5842" t="s">
        <v>239</v>
      </c>
      <c r="P5842" t="s">
        <v>514</v>
      </c>
      <c r="U5842">
        <v>0</v>
      </c>
      <c r="Y5842">
        <v>1428</v>
      </c>
      <c r="Z5842" s="259" t="s">
        <v>637</v>
      </c>
      <c r="AB5842">
        <v>17355</v>
      </c>
      <c r="AF5842">
        <v>62693.599999999999</v>
      </c>
      <c r="AG5842">
        <v>120</v>
      </c>
      <c r="AI5842">
        <v>62693.599999999999</v>
      </c>
      <c r="AJ5842">
        <v>0</v>
      </c>
      <c r="AK5842">
        <v>0</v>
      </c>
      <c r="AL5842">
        <v>0</v>
      </c>
      <c r="AM5842">
        <v>45735</v>
      </c>
      <c r="AN5842">
        <v>16838.599999999999</v>
      </c>
      <c r="AO5842">
        <v>62693.599999999999</v>
      </c>
      <c r="AP5842">
        <v>0</v>
      </c>
      <c r="AQ5842">
        <v>0</v>
      </c>
      <c r="AR5842">
        <v>0</v>
      </c>
      <c r="AS5842" t="s">
        <v>239</v>
      </c>
      <c r="AT5842" t="s">
        <v>514</v>
      </c>
    </row>
    <row r="5843" spans="2:46" x14ac:dyDescent="0.35">
      <c r="B5843" t="s">
        <v>747</v>
      </c>
      <c r="C5843">
        <v>45991</v>
      </c>
      <c r="J5843">
        <v>0</v>
      </c>
      <c r="O5843" t="s">
        <v>239</v>
      </c>
      <c r="P5843" t="s">
        <v>514</v>
      </c>
      <c r="U5843">
        <v>0</v>
      </c>
      <c r="Y5843">
        <v>1429</v>
      </c>
      <c r="Z5843" s="259" t="s">
        <v>637</v>
      </c>
      <c r="AB5843">
        <v>17355</v>
      </c>
      <c r="AF5843">
        <v>62693.599999999999</v>
      </c>
      <c r="AG5843">
        <v>120</v>
      </c>
      <c r="AI5843">
        <v>62693.599999999999</v>
      </c>
      <c r="AJ5843">
        <v>0</v>
      </c>
      <c r="AK5843">
        <v>0</v>
      </c>
      <c r="AL5843">
        <v>0</v>
      </c>
      <c r="AM5843">
        <v>45735</v>
      </c>
      <c r="AN5843">
        <v>16838.599999999999</v>
      </c>
      <c r="AO5843">
        <v>62693.599999999999</v>
      </c>
      <c r="AP5843">
        <v>0</v>
      </c>
      <c r="AQ5843">
        <v>0</v>
      </c>
      <c r="AR5843">
        <v>0</v>
      </c>
      <c r="AS5843" t="s">
        <v>239</v>
      </c>
      <c r="AT5843" t="s">
        <v>514</v>
      </c>
    </row>
    <row r="5844" spans="2:46" x14ac:dyDescent="0.35">
      <c r="B5844" t="s">
        <v>747</v>
      </c>
      <c r="C5844">
        <v>45992</v>
      </c>
      <c r="J5844">
        <v>0</v>
      </c>
      <c r="O5844" t="s">
        <v>239</v>
      </c>
      <c r="P5844" t="s">
        <v>514</v>
      </c>
      <c r="U5844">
        <v>0</v>
      </c>
      <c r="Y5844">
        <v>1430</v>
      </c>
      <c r="Z5844" s="259" t="s">
        <v>637</v>
      </c>
      <c r="AB5844">
        <v>17355</v>
      </c>
      <c r="AF5844">
        <v>62675</v>
      </c>
      <c r="AG5844">
        <v>120</v>
      </c>
      <c r="AI5844">
        <v>62693.599999999999</v>
      </c>
      <c r="AJ5844">
        <v>0</v>
      </c>
      <c r="AK5844">
        <v>0</v>
      </c>
      <c r="AL5844">
        <v>0</v>
      </c>
      <c r="AM5844">
        <v>45735</v>
      </c>
      <c r="AN5844">
        <v>16820</v>
      </c>
      <c r="AO5844">
        <v>62675</v>
      </c>
      <c r="AP5844">
        <v>0</v>
      </c>
      <c r="AQ5844">
        <v>-18.599999999998545</v>
      </c>
      <c r="AR5844">
        <v>-2.9668100093149796E-4</v>
      </c>
      <c r="AS5844" t="s">
        <v>239</v>
      </c>
      <c r="AT5844" t="s">
        <v>514</v>
      </c>
    </row>
    <row r="5845" spans="2:46" x14ac:dyDescent="0.35">
      <c r="B5845" t="s">
        <v>747</v>
      </c>
      <c r="C5845">
        <v>45993</v>
      </c>
      <c r="J5845">
        <v>0</v>
      </c>
      <c r="O5845" t="s">
        <v>239</v>
      </c>
      <c r="P5845" t="s">
        <v>514</v>
      </c>
      <c r="U5845">
        <v>0</v>
      </c>
      <c r="Y5845">
        <v>1431</v>
      </c>
      <c r="Z5845" s="259" t="s">
        <v>637</v>
      </c>
      <c r="AB5845">
        <v>17355</v>
      </c>
      <c r="AF5845">
        <v>62669.5</v>
      </c>
      <c r="AG5845">
        <v>120</v>
      </c>
      <c r="AI5845">
        <v>62675</v>
      </c>
      <c r="AJ5845">
        <v>0</v>
      </c>
      <c r="AK5845">
        <v>0</v>
      </c>
      <c r="AL5845">
        <v>0</v>
      </c>
      <c r="AM5845">
        <v>45735</v>
      </c>
      <c r="AN5845">
        <v>16814.5</v>
      </c>
      <c r="AO5845">
        <v>62669.5</v>
      </c>
      <c r="AP5845">
        <v>0</v>
      </c>
      <c r="AQ5845">
        <v>-5.5</v>
      </c>
      <c r="AR5845">
        <v>-8.775428799356888E-5</v>
      </c>
      <c r="AS5845" t="s">
        <v>239</v>
      </c>
      <c r="AT5845" t="s">
        <v>514</v>
      </c>
    </row>
    <row r="5846" spans="2:46" x14ac:dyDescent="0.35">
      <c r="B5846" t="s">
        <v>747</v>
      </c>
      <c r="C5846">
        <v>45994</v>
      </c>
      <c r="J5846">
        <v>0</v>
      </c>
      <c r="O5846" t="s">
        <v>239</v>
      </c>
      <c r="P5846" t="s">
        <v>514</v>
      </c>
      <c r="U5846">
        <v>0</v>
      </c>
      <c r="Y5846">
        <v>1432</v>
      </c>
      <c r="Z5846" s="259" t="s">
        <v>637</v>
      </c>
      <c r="AB5846">
        <v>17355</v>
      </c>
      <c r="AF5846">
        <v>62663.5</v>
      </c>
      <c r="AG5846">
        <v>120</v>
      </c>
      <c r="AI5846">
        <v>62669.5</v>
      </c>
      <c r="AJ5846">
        <v>0</v>
      </c>
      <c r="AK5846">
        <v>0</v>
      </c>
      <c r="AL5846">
        <v>0</v>
      </c>
      <c r="AM5846">
        <v>45735</v>
      </c>
      <c r="AN5846">
        <v>16808.5</v>
      </c>
      <c r="AO5846">
        <v>62663.5</v>
      </c>
      <c r="AP5846">
        <v>0</v>
      </c>
      <c r="AQ5846">
        <v>-6</v>
      </c>
      <c r="AR5846">
        <v>-9.5740352164974674E-5</v>
      </c>
      <c r="AS5846" t="s">
        <v>239</v>
      </c>
      <c r="AT5846" t="s">
        <v>514</v>
      </c>
    </row>
    <row r="5847" spans="2:46" x14ac:dyDescent="0.35">
      <c r="B5847" t="s">
        <v>747</v>
      </c>
      <c r="C5847">
        <v>45995</v>
      </c>
      <c r="J5847">
        <v>0</v>
      </c>
      <c r="O5847" t="s">
        <v>239</v>
      </c>
      <c r="P5847" t="s">
        <v>514</v>
      </c>
      <c r="U5847">
        <v>0</v>
      </c>
      <c r="Y5847">
        <v>1433</v>
      </c>
      <c r="Z5847" s="259" t="s">
        <v>637</v>
      </c>
      <c r="AB5847">
        <v>17355</v>
      </c>
      <c r="AF5847">
        <v>62658</v>
      </c>
      <c r="AG5847">
        <v>120</v>
      </c>
      <c r="AI5847">
        <v>62663.5</v>
      </c>
      <c r="AJ5847">
        <v>0</v>
      </c>
      <c r="AK5847">
        <v>0</v>
      </c>
      <c r="AL5847">
        <v>0</v>
      </c>
      <c r="AM5847">
        <v>45735</v>
      </c>
      <c r="AN5847">
        <v>16803</v>
      </c>
      <c r="AO5847">
        <v>62658</v>
      </c>
      <c r="AP5847">
        <v>0</v>
      </c>
      <c r="AQ5847">
        <v>-5.5</v>
      </c>
      <c r="AR5847">
        <v>-8.77703926528417E-5</v>
      </c>
      <c r="AS5847" t="s">
        <v>239</v>
      </c>
      <c r="AT5847" t="s">
        <v>514</v>
      </c>
    </row>
    <row r="5848" spans="2:46" x14ac:dyDescent="0.35">
      <c r="B5848" t="s">
        <v>747</v>
      </c>
      <c r="C5848">
        <v>45996</v>
      </c>
      <c r="J5848">
        <v>0</v>
      </c>
      <c r="O5848" t="s">
        <v>239</v>
      </c>
      <c r="P5848" t="s">
        <v>514</v>
      </c>
      <c r="U5848">
        <v>0</v>
      </c>
      <c r="Y5848">
        <v>1434</v>
      </c>
      <c r="Z5848" s="259" t="s">
        <v>637</v>
      </c>
      <c r="AB5848">
        <v>17355</v>
      </c>
      <c r="AF5848">
        <v>62652.5</v>
      </c>
      <c r="AG5848">
        <v>120</v>
      </c>
      <c r="AI5848">
        <v>62658</v>
      </c>
      <c r="AJ5848">
        <v>0</v>
      </c>
      <c r="AK5848">
        <v>0</v>
      </c>
      <c r="AL5848">
        <v>0</v>
      </c>
      <c r="AM5848">
        <v>45735</v>
      </c>
      <c r="AN5848">
        <v>16797.5</v>
      </c>
      <c r="AO5848">
        <v>62652.5</v>
      </c>
      <c r="AP5848">
        <v>0</v>
      </c>
      <c r="AQ5848">
        <v>-5.5</v>
      </c>
      <c r="AR5848">
        <v>-8.7778096970803077E-5</v>
      </c>
      <c r="AS5848" t="s">
        <v>239</v>
      </c>
      <c r="AT5848" t="s">
        <v>514</v>
      </c>
    </row>
    <row r="5849" spans="2:46" x14ac:dyDescent="0.35">
      <c r="B5849" t="s">
        <v>747</v>
      </c>
      <c r="C5849">
        <v>45997</v>
      </c>
      <c r="J5849">
        <v>0</v>
      </c>
      <c r="O5849" t="s">
        <v>239</v>
      </c>
      <c r="P5849" t="s">
        <v>514</v>
      </c>
      <c r="U5849">
        <v>0</v>
      </c>
      <c r="Y5849">
        <v>1435</v>
      </c>
      <c r="Z5849" s="259" t="s">
        <v>637</v>
      </c>
      <c r="AB5849">
        <v>17355</v>
      </c>
      <c r="AF5849">
        <v>62652.5</v>
      </c>
      <c r="AG5849">
        <v>120</v>
      </c>
      <c r="AI5849">
        <v>62652.5</v>
      </c>
      <c r="AJ5849">
        <v>0</v>
      </c>
      <c r="AK5849">
        <v>0</v>
      </c>
      <c r="AL5849">
        <v>0</v>
      </c>
      <c r="AM5849">
        <v>45735</v>
      </c>
      <c r="AN5849">
        <v>16797.5</v>
      </c>
      <c r="AO5849">
        <v>62652.5</v>
      </c>
      <c r="AP5849">
        <v>0</v>
      </c>
      <c r="AQ5849">
        <v>0</v>
      </c>
      <c r="AR5849">
        <v>0</v>
      </c>
      <c r="AS5849" t="s">
        <v>239</v>
      </c>
      <c r="AT5849" t="s">
        <v>514</v>
      </c>
    </row>
    <row r="5850" spans="2:46" x14ac:dyDescent="0.35">
      <c r="B5850" t="s">
        <v>747</v>
      </c>
      <c r="C5850">
        <v>45998</v>
      </c>
      <c r="J5850">
        <v>0</v>
      </c>
      <c r="O5850" t="s">
        <v>239</v>
      </c>
      <c r="P5850" t="s">
        <v>514</v>
      </c>
      <c r="U5850">
        <v>0</v>
      </c>
      <c r="Y5850">
        <v>1436</v>
      </c>
      <c r="Z5850" s="259" t="s">
        <v>637</v>
      </c>
      <c r="AB5850">
        <v>17355</v>
      </c>
      <c r="AF5850">
        <v>62652.5</v>
      </c>
      <c r="AG5850">
        <v>120</v>
      </c>
      <c r="AI5850">
        <v>62652.5</v>
      </c>
      <c r="AJ5850">
        <v>0</v>
      </c>
      <c r="AK5850">
        <v>0</v>
      </c>
      <c r="AL5850">
        <v>0</v>
      </c>
      <c r="AM5850">
        <v>45735</v>
      </c>
      <c r="AN5850">
        <v>16797.5</v>
      </c>
      <c r="AO5850">
        <v>62652.5</v>
      </c>
      <c r="AP5850">
        <v>0</v>
      </c>
      <c r="AQ5850">
        <v>0</v>
      </c>
      <c r="AR5850">
        <v>0</v>
      </c>
      <c r="AS5850" t="s">
        <v>239</v>
      </c>
      <c r="AT5850" t="s">
        <v>514</v>
      </c>
    </row>
    <row r="5851" spans="2:46" x14ac:dyDescent="0.35">
      <c r="B5851" t="s">
        <v>747</v>
      </c>
      <c r="C5851">
        <v>45999</v>
      </c>
      <c r="J5851">
        <v>0</v>
      </c>
      <c r="O5851" t="s">
        <v>239</v>
      </c>
      <c r="P5851" t="s">
        <v>514</v>
      </c>
      <c r="U5851">
        <v>0</v>
      </c>
      <c r="Y5851">
        <v>1437</v>
      </c>
      <c r="Z5851" s="259" t="s">
        <v>637</v>
      </c>
      <c r="AB5851">
        <v>17355</v>
      </c>
      <c r="AF5851">
        <v>62635.5</v>
      </c>
      <c r="AG5851">
        <v>120</v>
      </c>
      <c r="AI5851">
        <v>62652.5</v>
      </c>
      <c r="AJ5851">
        <v>0</v>
      </c>
      <c r="AK5851">
        <v>0</v>
      </c>
      <c r="AL5851">
        <v>0</v>
      </c>
      <c r="AM5851">
        <v>45735</v>
      </c>
      <c r="AN5851">
        <v>16780.5</v>
      </c>
      <c r="AO5851">
        <v>62635.5</v>
      </c>
      <c r="AP5851">
        <v>0</v>
      </c>
      <c r="AQ5851">
        <v>-17</v>
      </c>
      <c r="AR5851">
        <v>-2.7133793543754336E-4</v>
      </c>
      <c r="AS5851" t="s">
        <v>239</v>
      </c>
      <c r="AT5851" t="s">
        <v>514</v>
      </c>
    </row>
    <row r="5852" spans="2:46" x14ac:dyDescent="0.35">
      <c r="B5852" t="s">
        <v>747</v>
      </c>
      <c r="C5852">
        <v>46000</v>
      </c>
      <c r="J5852">
        <v>0</v>
      </c>
      <c r="O5852" t="s">
        <v>239</v>
      </c>
      <c r="P5852" t="s">
        <v>514</v>
      </c>
      <c r="U5852">
        <v>0</v>
      </c>
      <c r="Y5852">
        <v>1438</v>
      </c>
      <c r="Z5852" s="259" t="s">
        <v>637</v>
      </c>
      <c r="AB5852">
        <v>17355</v>
      </c>
      <c r="AF5852">
        <v>62629.5</v>
      </c>
      <c r="AG5852">
        <v>120</v>
      </c>
      <c r="AI5852">
        <v>62635.5</v>
      </c>
      <c r="AJ5852">
        <v>0</v>
      </c>
      <c r="AK5852">
        <v>0</v>
      </c>
      <c r="AL5852">
        <v>0</v>
      </c>
      <c r="AM5852">
        <v>45735</v>
      </c>
      <c r="AN5852">
        <v>16774.5</v>
      </c>
      <c r="AO5852">
        <v>62629.5</v>
      </c>
      <c r="AP5852">
        <v>0</v>
      </c>
      <c r="AQ5852">
        <v>-6</v>
      </c>
      <c r="AR5852">
        <v>-9.5792322245324968E-5</v>
      </c>
      <c r="AS5852" t="s">
        <v>239</v>
      </c>
      <c r="AT5852" t="s">
        <v>514</v>
      </c>
    </row>
    <row r="5853" spans="2:46" x14ac:dyDescent="0.35">
      <c r="B5853" t="s">
        <v>747</v>
      </c>
      <c r="C5853">
        <v>46001</v>
      </c>
      <c r="J5853">
        <v>0</v>
      </c>
      <c r="O5853" t="s">
        <v>239</v>
      </c>
      <c r="P5853" t="s">
        <v>514</v>
      </c>
      <c r="U5853">
        <v>0</v>
      </c>
      <c r="Y5853">
        <v>1439</v>
      </c>
      <c r="Z5853" s="259" t="s">
        <v>637</v>
      </c>
      <c r="AB5853">
        <v>17355</v>
      </c>
      <c r="AF5853">
        <v>62624</v>
      </c>
      <c r="AG5853">
        <v>120</v>
      </c>
      <c r="AI5853">
        <v>62629.5</v>
      </c>
      <c r="AJ5853">
        <v>0</v>
      </c>
      <c r="AK5853">
        <v>0</v>
      </c>
      <c r="AL5853">
        <v>0</v>
      </c>
      <c r="AM5853">
        <v>45735</v>
      </c>
      <c r="AN5853">
        <v>16769</v>
      </c>
      <c r="AO5853">
        <v>62624</v>
      </c>
      <c r="AP5853">
        <v>0</v>
      </c>
      <c r="AQ5853">
        <v>-5.5</v>
      </c>
      <c r="AR5853">
        <v>-8.7818041018983273E-5</v>
      </c>
      <c r="AS5853" t="s">
        <v>239</v>
      </c>
      <c r="AT5853" t="s">
        <v>514</v>
      </c>
    </row>
    <row r="5854" spans="2:46" x14ac:dyDescent="0.35">
      <c r="B5854" t="s">
        <v>747</v>
      </c>
      <c r="C5854">
        <v>46002</v>
      </c>
      <c r="J5854">
        <v>0</v>
      </c>
      <c r="O5854" t="s">
        <v>239</v>
      </c>
      <c r="P5854" t="s">
        <v>514</v>
      </c>
      <c r="U5854">
        <v>0</v>
      </c>
      <c r="Y5854">
        <v>1440</v>
      </c>
      <c r="Z5854" s="259" t="s">
        <v>637</v>
      </c>
      <c r="AB5854">
        <v>17355</v>
      </c>
      <c r="AF5854">
        <v>62618.5</v>
      </c>
      <c r="AG5854">
        <v>120</v>
      </c>
      <c r="AI5854">
        <v>62624</v>
      </c>
      <c r="AJ5854">
        <v>0</v>
      </c>
      <c r="AK5854">
        <v>0</v>
      </c>
      <c r="AL5854">
        <v>0</v>
      </c>
      <c r="AM5854">
        <v>45735</v>
      </c>
      <c r="AN5854">
        <v>16763.5</v>
      </c>
      <c r="AO5854">
        <v>62618.5</v>
      </c>
      <c r="AP5854">
        <v>0</v>
      </c>
      <c r="AQ5854">
        <v>-5.5</v>
      </c>
      <c r="AR5854">
        <v>-8.7825753704695586E-5</v>
      </c>
      <c r="AS5854" t="s">
        <v>239</v>
      </c>
      <c r="AT5854" t="s">
        <v>514</v>
      </c>
    </row>
    <row r="5855" spans="2:46" x14ac:dyDescent="0.35">
      <c r="B5855" t="s">
        <v>747</v>
      </c>
      <c r="C5855">
        <v>46003</v>
      </c>
      <c r="J5855">
        <v>0</v>
      </c>
      <c r="O5855" t="s">
        <v>239</v>
      </c>
      <c r="P5855" t="s">
        <v>514</v>
      </c>
      <c r="U5855">
        <v>0</v>
      </c>
      <c r="Y5855">
        <v>1441</v>
      </c>
      <c r="Z5855" s="259" t="s">
        <v>637</v>
      </c>
      <c r="AB5855">
        <v>17355</v>
      </c>
      <c r="AF5855">
        <v>62612.5</v>
      </c>
      <c r="AG5855">
        <v>120</v>
      </c>
      <c r="AI5855">
        <v>62618.5</v>
      </c>
      <c r="AJ5855">
        <v>0</v>
      </c>
      <c r="AK5855">
        <v>0</v>
      </c>
      <c r="AL5855">
        <v>0</v>
      </c>
      <c r="AM5855">
        <v>45735</v>
      </c>
      <c r="AN5855">
        <v>16757.5</v>
      </c>
      <c r="AO5855">
        <v>62612.5</v>
      </c>
      <c r="AP5855">
        <v>0</v>
      </c>
      <c r="AQ5855">
        <v>-6</v>
      </c>
      <c r="AR5855">
        <v>-9.5818328449293055E-5</v>
      </c>
      <c r="AS5855" t="s">
        <v>239</v>
      </c>
      <c r="AT5855" t="s">
        <v>514</v>
      </c>
    </row>
    <row r="5856" spans="2:46" x14ac:dyDescent="0.35">
      <c r="B5856" t="s">
        <v>747</v>
      </c>
      <c r="C5856">
        <v>46004</v>
      </c>
      <c r="J5856">
        <v>0</v>
      </c>
      <c r="O5856" t="s">
        <v>239</v>
      </c>
      <c r="P5856" t="s">
        <v>514</v>
      </c>
      <c r="U5856">
        <v>0</v>
      </c>
      <c r="Y5856">
        <v>1442</v>
      </c>
      <c r="Z5856" s="259" t="s">
        <v>637</v>
      </c>
      <c r="AB5856">
        <v>17355</v>
      </c>
      <c r="AF5856">
        <v>62612.5</v>
      </c>
      <c r="AG5856">
        <v>120</v>
      </c>
      <c r="AI5856">
        <v>62612.5</v>
      </c>
      <c r="AJ5856">
        <v>0</v>
      </c>
      <c r="AK5856">
        <v>0</v>
      </c>
      <c r="AL5856">
        <v>0</v>
      </c>
      <c r="AM5856">
        <v>45735</v>
      </c>
      <c r="AN5856">
        <v>16757.5</v>
      </c>
      <c r="AO5856">
        <v>62612.5</v>
      </c>
      <c r="AP5856">
        <v>0</v>
      </c>
      <c r="AQ5856">
        <v>0</v>
      </c>
      <c r="AR5856">
        <v>0</v>
      </c>
      <c r="AS5856" t="s">
        <v>239</v>
      </c>
      <c r="AT5856" t="s">
        <v>514</v>
      </c>
    </row>
    <row r="5857" spans="2:46" x14ac:dyDescent="0.35">
      <c r="B5857" t="s">
        <v>747</v>
      </c>
      <c r="C5857">
        <v>46005</v>
      </c>
      <c r="J5857">
        <v>0</v>
      </c>
      <c r="O5857" t="s">
        <v>239</v>
      </c>
      <c r="P5857" t="s">
        <v>514</v>
      </c>
      <c r="U5857">
        <v>0</v>
      </c>
      <c r="Y5857">
        <v>1443</v>
      </c>
      <c r="Z5857" s="259" t="s">
        <v>637</v>
      </c>
      <c r="AB5857">
        <v>17355</v>
      </c>
      <c r="AF5857">
        <v>62612.5</v>
      </c>
      <c r="AG5857">
        <v>120</v>
      </c>
      <c r="AI5857">
        <v>62612.5</v>
      </c>
      <c r="AJ5857">
        <v>0</v>
      </c>
      <c r="AK5857">
        <v>0</v>
      </c>
      <c r="AL5857">
        <v>0</v>
      </c>
      <c r="AM5857">
        <v>45735</v>
      </c>
      <c r="AN5857">
        <v>16757.5</v>
      </c>
      <c r="AO5857">
        <v>62612.5</v>
      </c>
      <c r="AP5857">
        <v>0</v>
      </c>
      <c r="AQ5857">
        <v>0</v>
      </c>
      <c r="AR5857">
        <v>0</v>
      </c>
      <c r="AS5857" t="s">
        <v>239</v>
      </c>
      <c r="AT5857" t="s">
        <v>514</v>
      </c>
    </row>
    <row r="5858" spans="2:46" x14ac:dyDescent="0.35">
      <c r="B5858" t="s">
        <v>747</v>
      </c>
      <c r="C5858">
        <v>46006</v>
      </c>
      <c r="J5858">
        <v>0</v>
      </c>
      <c r="O5858" t="s">
        <v>239</v>
      </c>
      <c r="P5858" t="s">
        <v>514</v>
      </c>
      <c r="U5858">
        <v>0</v>
      </c>
      <c r="Y5858">
        <v>1444</v>
      </c>
      <c r="Z5858" s="259" t="s">
        <v>637</v>
      </c>
      <c r="AB5858">
        <v>17355</v>
      </c>
      <c r="AF5858">
        <v>62595.5</v>
      </c>
      <c r="AG5858">
        <v>0</v>
      </c>
      <c r="AI5858">
        <v>62612.5</v>
      </c>
      <c r="AJ5858">
        <v>0</v>
      </c>
      <c r="AK5858">
        <v>0</v>
      </c>
      <c r="AL5858">
        <v>0</v>
      </c>
      <c r="AM5858">
        <v>45855</v>
      </c>
      <c r="AN5858">
        <v>16740.5</v>
      </c>
      <c r="AO5858">
        <v>62595.5</v>
      </c>
      <c r="AP5858">
        <v>0</v>
      </c>
      <c r="AQ5858">
        <v>-17</v>
      </c>
      <c r="AR5858">
        <v>-2.7151127969660127E-4</v>
      </c>
      <c r="AS5858" t="s">
        <v>239</v>
      </c>
      <c r="AT5858" t="s">
        <v>514</v>
      </c>
    </row>
    <row r="5859" spans="2:46" x14ac:dyDescent="0.35">
      <c r="B5859" t="s">
        <v>747</v>
      </c>
      <c r="C5859">
        <v>46007</v>
      </c>
      <c r="J5859">
        <v>0</v>
      </c>
      <c r="O5859" t="s">
        <v>239</v>
      </c>
      <c r="P5859" t="s">
        <v>514</v>
      </c>
      <c r="U5859">
        <v>0</v>
      </c>
      <c r="Y5859">
        <v>1445</v>
      </c>
      <c r="Z5859" s="259" t="s">
        <v>637</v>
      </c>
      <c r="AB5859">
        <v>17355</v>
      </c>
      <c r="AF5859">
        <v>62590</v>
      </c>
      <c r="AG5859">
        <v>0</v>
      </c>
      <c r="AI5859">
        <v>62595.5</v>
      </c>
      <c r="AJ5859">
        <v>0</v>
      </c>
      <c r="AK5859">
        <v>0</v>
      </c>
      <c r="AL5859">
        <v>0</v>
      </c>
      <c r="AM5859">
        <v>45855</v>
      </c>
      <c r="AN5859">
        <v>16735</v>
      </c>
      <c r="AO5859">
        <v>62590</v>
      </c>
      <c r="AP5859">
        <v>0</v>
      </c>
      <c r="AQ5859">
        <v>-5.5</v>
      </c>
      <c r="AR5859">
        <v>-8.7865741147497012E-5</v>
      </c>
      <c r="AS5859" t="s">
        <v>239</v>
      </c>
      <c r="AT5859" t="s">
        <v>514</v>
      </c>
    </row>
    <row r="5860" spans="2:46" x14ac:dyDescent="0.35">
      <c r="B5860" t="s">
        <v>747</v>
      </c>
      <c r="C5860">
        <v>46008</v>
      </c>
      <c r="J5860">
        <v>0</v>
      </c>
      <c r="O5860" t="s">
        <v>239</v>
      </c>
      <c r="P5860" t="s">
        <v>514</v>
      </c>
      <c r="U5860">
        <v>0</v>
      </c>
      <c r="Y5860">
        <v>1446</v>
      </c>
      <c r="Z5860" s="259" t="s">
        <v>637</v>
      </c>
      <c r="AB5860">
        <v>17355</v>
      </c>
      <c r="AF5860">
        <v>62584.5</v>
      </c>
      <c r="AG5860">
        <v>0</v>
      </c>
      <c r="AI5860">
        <v>62590</v>
      </c>
      <c r="AJ5860">
        <v>0</v>
      </c>
      <c r="AK5860">
        <v>0</v>
      </c>
      <c r="AL5860">
        <v>0</v>
      </c>
      <c r="AM5860">
        <v>45855</v>
      </c>
      <c r="AN5860">
        <v>16729.5</v>
      </c>
      <c r="AO5860">
        <v>62584.5</v>
      </c>
      <c r="AP5860">
        <v>0</v>
      </c>
      <c r="AQ5860">
        <v>-5.5</v>
      </c>
      <c r="AR5860">
        <v>-8.787346221439396E-5</v>
      </c>
      <c r="AS5860" t="s">
        <v>239</v>
      </c>
      <c r="AT5860" t="s">
        <v>514</v>
      </c>
    </row>
    <row r="5861" spans="2:46" x14ac:dyDescent="0.35">
      <c r="B5861" t="s">
        <v>747</v>
      </c>
      <c r="C5861">
        <v>46009</v>
      </c>
      <c r="J5861">
        <v>0</v>
      </c>
      <c r="O5861" t="s">
        <v>239</v>
      </c>
      <c r="P5861" t="s">
        <v>514</v>
      </c>
      <c r="U5861">
        <v>0</v>
      </c>
      <c r="Y5861">
        <v>1447</v>
      </c>
      <c r="Z5861" s="259" t="s">
        <v>637</v>
      </c>
      <c r="AB5861">
        <v>17355</v>
      </c>
      <c r="AF5861">
        <v>62578.5</v>
      </c>
      <c r="AG5861">
        <v>0</v>
      </c>
      <c r="AI5861">
        <v>62584.5</v>
      </c>
      <c r="AJ5861">
        <v>0</v>
      </c>
      <c r="AK5861">
        <v>0</v>
      </c>
      <c r="AL5861">
        <v>0</v>
      </c>
      <c r="AM5861">
        <v>45855</v>
      </c>
      <c r="AN5861">
        <v>16723.5</v>
      </c>
      <c r="AO5861">
        <v>62578.5</v>
      </c>
      <c r="AP5861">
        <v>0</v>
      </c>
      <c r="AQ5861">
        <v>-6</v>
      </c>
      <c r="AR5861">
        <v>-9.5870383241880575E-5</v>
      </c>
      <c r="AS5861" t="s">
        <v>239</v>
      </c>
      <c r="AT5861" t="s">
        <v>514</v>
      </c>
    </row>
    <row r="5862" spans="2:46" x14ac:dyDescent="0.35">
      <c r="B5862" t="s">
        <v>747</v>
      </c>
      <c r="C5862">
        <v>46010</v>
      </c>
      <c r="J5862">
        <v>0</v>
      </c>
      <c r="O5862" t="s">
        <v>239</v>
      </c>
      <c r="P5862" t="s">
        <v>514</v>
      </c>
      <c r="U5862">
        <v>0</v>
      </c>
      <c r="Y5862">
        <v>1448</v>
      </c>
      <c r="Z5862" s="259" t="s">
        <v>637</v>
      </c>
      <c r="AB5862">
        <v>17355</v>
      </c>
      <c r="AF5862">
        <v>62573</v>
      </c>
      <c r="AG5862">
        <v>0</v>
      </c>
      <c r="AI5862">
        <v>62578.5</v>
      </c>
      <c r="AJ5862">
        <v>0</v>
      </c>
      <c r="AK5862">
        <v>0</v>
      </c>
      <c r="AL5862">
        <v>0</v>
      </c>
      <c r="AM5862">
        <v>45855</v>
      </c>
      <c r="AN5862">
        <v>16718</v>
      </c>
      <c r="AO5862">
        <v>62573</v>
      </c>
      <c r="AP5862">
        <v>0</v>
      </c>
      <c r="AQ5862">
        <v>-5.5</v>
      </c>
      <c r="AR5862">
        <v>-8.7889610648983485E-5</v>
      </c>
      <c r="AS5862" t="s">
        <v>239</v>
      </c>
      <c r="AT5862" t="s">
        <v>514</v>
      </c>
    </row>
    <row r="5863" spans="2:46" x14ac:dyDescent="0.35">
      <c r="B5863" t="s">
        <v>747</v>
      </c>
      <c r="C5863">
        <v>46011</v>
      </c>
      <c r="J5863">
        <v>0</v>
      </c>
      <c r="O5863" t="s">
        <v>239</v>
      </c>
      <c r="P5863" t="s">
        <v>514</v>
      </c>
      <c r="U5863">
        <v>0</v>
      </c>
      <c r="Y5863">
        <v>1449</v>
      </c>
      <c r="Z5863" s="259" t="s">
        <v>637</v>
      </c>
      <c r="AB5863">
        <v>17355</v>
      </c>
      <c r="AF5863">
        <v>62573</v>
      </c>
      <c r="AG5863">
        <v>0</v>
      </c>
      <c r="AI5863">
        <v>62573</v>
      </c>
      <c r="AJ5863">
        <v>0</v>
      </c>
      <c r="AK5863">
        <v>0</v>
      </c>
      <c r="AL5863">
        <v>0</v>
      </c>
      <c r="AM5863">
        <v>45855</v>
      </c>
      <c r="AN5863">
        <v>16718</v>
      </c>
      <c r="AO5863">
        <v>62573</v>
      </c>
      <c r="AP5863">
        <v>0</v>
      </c>
      <c r="AQ5863">
        <v>0</v>
      </c>
      <c r="AR5863">
        <v>0</v>
      </c>
      <c r="AS5863" t="s">
        <v>239</v>
      </c>
      <c r="AT5863" t="s">
        <v>514</v>
      </c>
    </row>
    <row r="5864" spans="2:46" x14ac:dyDescent="0.35">
      <c r="B5864" t="s">
        <v>747</v>
      </c>
      <c r="C5864">
        <v>46012</v>
      </c>
      <c r="J5864">
        <v>0</v>
      </c>
      <c r="O5864" t="s">
        <v>239</v>
      </c>
      <c r="P5864" t="s">
        <v>514</v>
      </c>
      <c r="U5864">
        <v>0</v>
      </c>
      <c r="Y5864">
        <v>1450</v>
      </c>
      <c r="Z5864" s="259" t="s">
        <v>637</v>
      </c>
      <c r="AB5864">
        <v>17355</v>
      </c>
      <c r="AF5864">
        <v>62573</v>
      </c>
      <c r="AG5864">
        <v>0</v>
      </c>
      <c r="AI5864">
        <v>62573</v>
      </c>
      <c r="AJ5864">
        <v>0</v>
      </c>
      <c r="AK5864">
        <v>0</v>
      </c>
      <c r="AL5864">
        <v>0</v>
      </c>
      <c r="AM5864">
        <v>45855</v>
      </c>
      <c r="AN5864">
        <v>16718</v>
      </c>
      <c r="AO5864">
        <v>62573</v>
      </c>
      <c r="AP5864">
        <v>0</v>
      </c>
      <c r="AQ5864">
        <v>0</v>
      </c>
      <c r="AR5864">
        <v>0</v>
      </c>
      <c r="AS5864" t="s">
        <v>239</v>
      </c>
      <c r="AT5864" t="s">
        <v>514</v>
      </c>
    </row>
    <row r="5865" spans="2:46" x14ac:dyDescent="0.35">
      <c r="B5865" t="s">
        <v>747</v>
      </c>
      <c r="C5865">
        <v>46013</v>
      </c>
      <c r="J5865">
        <v>0</v>
      </c>
      <c r="O5865" t="s">
        <v>239</v>
      </c>
      <c r="P5865" t="s">
        <v>514</v>
      </c>
      <c r="U5865">
        <v>0</v>
      </c>
      <c r="Y5865">
        <v>1451</v>
      </c>
      <c r="Z5865" s="259" t="s">
        <v>637</v>
      </c>
      <c r="AB5865">
        <v>17355</v>
      </c>
      <c r="AF5865">
        <v>62556</v>
      </c>
      <c r="AG5865">
        <v>0</v>
      </c>
      <c r="AI5865">
        <v>62573</v>
      </c>
      <c r="AJ5865">
        <v>0</v>
      </c>
      <c r="AK5865">
        <v>0</v>
      </c>
      <c r="AL5865">
        <v>0</v>
      </c>
      <c r="AM5865">
        <v>45855</v>
      </c>
      <c r="AN5865">
        <v>16701</v>
      </c>
      <c r="AO5865">
        <v>62556</v>
      </c>
      <c r="AP5865">
        <v>0</v>
      </c>
      <c r="AQ5865">
        <v>-17</v>
      </c>
      <c r="AR5865">
        <v>-2.7168267463606455E-4</v>
      </c>
      <c r="AS5865" t="s">
        <v>239</v>
      </c>
      <c r="AT5865" t="s">
        <v>514</v>
      </c>
    </row>
    <row r="5866" spans="2:46" x14ac:dyDescent="0.35">
      <c r="B5866" t="s">
        <v>747</v>
      </c>
      <c r="C5866">
        <v>46014</v>
      </c>
      <c r="J5866">
        <v>0</v>
      </c>
      <c r="O5866" t="s">
        <v>239</v>
      </c>
      <c r="P5866" t="s">
        <v>514</v>
      </c>
      <c r="U5866">
        <v>0</v>
      </c>
      <c r="Y5866">
        <v>1452</v>
      </c>
      <c r="Z5866" s="259" t="s">
        <v>637</v>
      </c>
      <c r="AB5866">
        <v>17355</v>
      </c>
      <c r="AF5866">
        <v>62550.5</v>
      </c>
      <c r="AG5866">
        <v>0</v>
      </c>
      <c r="AI5866">
        <v>62556</v>
      </c>
      <c r="AJ5866">
        <v>0</v>
      </c>
      <c r="AK5866">
        <v>0</v>
      </c>
      <c r="AL5866">
        <v>0</v>
      </c>
      <c r="AM5866">
        <v>45855</v>
      </c>
      <c r="AN5866">
        <v>16695.5</v>
      </c>
      <c r="AO5866">
        <v>62550.5</v>
      </c>
      <c r="AP5866">
        <v>0</v>
      </c>
      <c r="AQ5866">
        <v>-5.5</v>
      </c>
      <c r="AR5866">
        <v>-8.7921222584608216E-5</v>
      </c>
      <c r="AS5866" t="s">
        <v>239</v>
      </c>
      <c r="AT5866" t="s">
        <v>514</v>
      </c>
    </row>
    <row r="5867" spans="2:46" x14ac:dyDescent="0.35">
      <c r="B5867" t="s">
        <v>747</v>
      </c>
      <c r="C5867">
        <v>46015</v>
      </c>
      <c r="J5867">
        <v>0</v>
      </c>
      <c r="O5867" t="s">
        <v>239</v>
      </c>
      <c r="P5867" t="s">
        <v>514</v>
      </c>
      <c r="U5867">
        <v>0</v>
      </c>
      <c r="Y5867">
        <v>1453</v>
      </c>
      <c r="Z5867" s="259" t="s">
        <v>637</v>
      </c>
      <c r="AB5867">
        <v>17355</v>
      </c>
      <c r="AF5867">
        <v>62544.5</v>
      </c>
      <c r="AG5867">
        <v>0</v>
      </c>
      <c r="AI5867">
        <v>62550.5</v>
      </c>
      <c r="AJ5867">
        <v>0</v>
      </c>
      <c r="AK5867">
        <v>0</v>
      </c>
      <c r="AL5867">
        <v>0</v>
      </c>
      <c r="AM5867">
        <v>45855</v>
      </c>
      <c r="AN5867">
        <v>16689.5</v>
      </c>
      <c r="AO5867">
        <v>62544.5</v>
      </c>
      <c r="AP5867">
        <v>0</v>
      </c>
      <c r="AQ5867">
        <v>-6</v>
      </c>
      <c r="AR5867">
        <v>-9.5922494624312016E-5</v>
      </c>
      <c r="AS5867" t="s">
        <v>239</v>
      </c>
      <c r="AT5867" t="s">
        <v>514</v>
      </c>
    </row>
    <row r="5868" spans="2:46" x14ac:dyDescent="0.35">
      <c r="B5868" t="s">
        <v>747</v>
      </c>
      <c r="C5868">
        <v>46016</v>
      </c>
      <c r="J5868">
        <v>0</v>
      </c>
      <c r="O5868" t="s">
        <v>239</v>
      </c>
      <c r="P5868" t="s">
        <v>514</v>
      </c>
      <c r="U5868">
        <v>0</v>
      </c>
      <c r="Y5868">
        <v>1454</v>
      </c>
      <c r="Z5868" s="259" t="s">
        <v>637</v>
      </c>
      <c r="AB5868">
        <v>17355</v>
      </c>
      <c r="AF5868">
        <v>62539</v>
      </c>
      <c r="AG5868">
        <v>0</v>
      </c>
      <c r="AI5868">
        <v>62544.5</v>
      </c>
      <c r="AJ5868">
        <v>0</v>
      </c>
      <c r="AK5868">
        <v>0</v>
      </c>
      <c r="AL5868">
        <v>0</v>
      </c>
      <c r="AM5868">
        <v>45855</v>
      </c>
      <c r="AN5868">
        <v>16684</v>
      </c>
      <c r="AO5868">
        <v>62539</v>
      </c>
      <c r="AP5868">
        <v>0</v>
      </c>
      <c r="AQ5868">
        <v>-5.5</v>
      </c>
      <c r="AR5868">
        <v>-8.7937388579373277E-5</v>
      </c>
      <c r="AS5868" t="s">
        <v>239</v>
      </c>
      <c r="AT5868" t="s">
        <v>514</v>
      </c>
    </row>
    <row r="5869" spans="2:46" x14ac:dyDescent="0.35">
      <c r="B5869" t="s">
        <v>747</v>
      </c>
      <c r="C5869">
        <v>46017</v>
      </c>
      <c r="J5869">
        <v>0</v>
      </c>
      <c r="O5869" t="s">
        <v>239</v>
      </c>
      <c r="P5869" t="s">
        <v>514</v>
      </c>
      <c r="U5869">
        <v>0</v>
      </c>
      <c r="Y5869">
        <v>1455</v>
      </c>
      <c r="Z5869" s="259" t="s">
        <v>637</v>
      </c>
      <c r="AB5869">
        <v>17355</v>
      </c>
      <c r="AF5869">
        <v>62533.5</v>
      </c>
      <c r="AG5869">
        <v>0</v>
      </c>
      <c r="AI5869">
        <v>62539</v>
      </c>
      <c r="AJ5869">
        <v>0</v>
      </c>
      <c r="AK5869">
        <v>0</v>
      </c>
      <c r="AL5869">
        <v>0</v>
      </c>
      <c r="AM5869">
        <v>45855</v>
      </c>
      <c r="AN5869">
        <v>16678.5</v>
      </c>
      <c r="AO5869">
        <v>62533.5</v>
      </c>
      <c r="AP5869">
        <v>0</v>
      </c>
      <c r="AQ5869">
        <v>-5.5</v>
      </c>
      <c r="AR5869">
        <v>-8.7945122243748841E-5</v>
      </c>
      <c r="AS5869" t="s">
        <v>239</v>
      </c>
      <c r="AT5869" t="s">
        <v>514</v>
      </c>
    </row>
    <row r="5870" spans="2:46" x14ac:dyDescent="0.35">
      <c r="B5870" t="s">
        <v>747</v>
      </c>
      <c r="C5870">
        <v>46018</v>
      </c>
      <c r="J5870">
        <v>0</v>
      </c>
      <c r="O5870" t="s">
        <v>239</v>
      </c>
      <c r="P5870" t="s">
        <v>514</v>
      </c>
      <c r="U5870">
        <v>0</v>
      </c>
      <c r="Y5870">
        <v>1456</v>
      </c>
      <c r="Z5870" s="259" t="s">
        <v>637</v>
      </c>
      <c r="AB5870">
        <v>17355</v>
      </c>
      <c r="AF5870">
        <v>62533.5</v>
      </c>
      <c r="AG5870">
        <v>0</v>
      </c>
      <c r="AI5870">
        <v>62533.5</v>
      </c>
      <c r="AJ5870">
        <v>0</v>
      </c>
      <c r="AK5870">
        <v>0</v>
      </c>
      <c r="AL5870">
        <v>0</v>
      </c>
      <c r="AM5870">
        <v>45855</v>
      </c>
      <c r="AN5870">
        <v>16678.5</v>
      </c>
      <c r="AO5870">
        <v>62533.5</v>
      </c>
      <c r="AP5870">
        <v>0</v>
      </c>
      <c r="AQ5870">
        <v>0</v>
      </c>
      <c r="AR5870">
        <v>0</v>
      </c>
      <c r="AS5870" t="s">
        <v>239</v>
      </c>
      <c r="AT5870" t="s">
        <v>514</v>
      </c>
    </row>
    <row r="5871" spans="2:46" x14ac:dyDescent="0.35">
      <c r="B5871" t="s">
        <v>747</v>
      </c>
      <c r="C5871">
        <v>46019</v>
      </c>
      <c r="J5871">
        <v>0</v>
      </c>
      <c r="O5871" t="s">
        <v>239</v>
      </c>
      <c r="P5871" t="s">
        <v>514</v>
      </c>
      <c r="U5871">
        <v>0</v>
      </c>
      <c r="Y5871">
        <v>1457</v>
      </c>
      <c r="Z5871" s="259" t="s">
        <v>637</v>
      </c>
      <c r="AB5871">
        <v>17355</v>
      </c>
      <c r="AF5871">
        <v>62533.5</v>
      </c>
      <c r="AG5871">
        <v>0</v>
      </c>
      <c r="AI5871">
        <v>62533.5</v>
      </c>
      <c r="AJ5871">
        <v>0</v>
      </c>
      <c r="AK5871">
        <v>0</v>
      </c>
      <c r="AL5871">
        <v>0</v>
      </c>
      <c r="AM5871">
        <v>45855</v>
      </c>
      <c r="AN5871">
        <v>16678.5</v>
      </c>
      <c r="AO5871">
        <v>62533.5</v>
      </c>
      <c r="AP5871">
        <v>0</v>
      </c>
      <c r="AQ5871">
        <v>0</v>
      </c>
      <c r="AR5871">
        <v>0</v>
      </c>
      <c r="AS5871" t="s">
        <v>239</v>
      </c>
      <c r="AT5871" t="s">
        <v>514</v>
      </c>
    </row>
    <row r="5872" spans="2:46" x14ac:dyDescent="0.35">
      <c r="B5872" t="s">
        <v>747</v>
      </c>
      <c r="C5872">
        <v>46020</v>
      </c>
      <c r="J5872">
        <v>0</v>
      </c>
      <c r="O5872" t="s">
        <v>239</v>
      </c>
      <c r="P5872" t="s">
        <v>514</v>
      </c>
      <c r="U5872">
        <v>0</v>
      </c>
      <c r="Y5872">
        <v>1458</v>
      </c>
      <c r="Z5872" s="259" t="s">
        <v>637</v>
      </c>
      <c r="AB5872">
        <v>17355</v>
      </c>
      <c r="AF5872">
        <v>62516.5</v>
      </c>
      <c r="AG5872">
        <v>0</v>
      </c>
      <c r="AI5872">
        <v>62533.5</v>
      </c>
      <c r="AJ5872">
        <v>0</v>
      </c>
      <c r="AK5872">
        <v>0</v>
      </c>
      <c r="AL5872">
        <v>0</v>
      </c>
      <c r="AM5872">
        <v>45855</v>
      </c>
      <c r="AN5872">
        <v>16661.5</v>
      </c>
      <c r="AO5872">
        <v>62516.5</v>
      </c>
      <c r="AP5872">
        <v>0</v>
      </c>
      <c r="AQ5872">
        <v>-17</v>
      </c>
      <c r="AR5872">
        <v>-2.7185428610265738E-4</v>
      </c>
      <c r="AS5872" t="s">
        <v>239</v>
      </c>
      <c r="AT5872" t="s">
        <v>514</v>
      </c>
    </row>
    <row r="5873" spans="2:46" x14ac:dyDescent="0.35">
      <c r="B5873" t="s">
        <v>747</v>
      </c>
      <c r="C5873">
        <v>46021</v>
      </c>
      <c r="J5873">
        <v>0</v>
      </c>
      <c r="O5873" t="s">
        <v>239</v>
      </c>
      <c r="P5873" t="s">
        <v>514</v>
      </c>
      <c r="U5873">
        <v>0</v>
      </c>
      <c r="Y5873">
        <v>1459</v>
      </c>
      <c r="Z5873" s="259" t="s">
        <v>637</v>
      </c>
      <c r="AB5873">
        <v>17355</v>
      </c>
      <c r="AF5873">
        <v>62510.5</v>
      </c>
      <c r="AG5873">
        <v>0</v>
      </c>
      <c r="AI5873">
        <v>62516.5</v>
      </c>
      <c r="AJ5873">
        <v>0</v>
      </c>
      <c r="AK5873">
        <v>0</v>
      </c>
      <c r="AL5873">
        <v>0</v>
      </c>
      <c r="AM5873">
        <v>45855</v>
      </c>
      <c r="AN5873">
        <v>16655.5</v>
      </c>
      <c r="AO5873">
        <v>62510.5</v>
      </c>
      <c r="AP5873">
        <v>0</v>
      </c>
      <c r="AQ5873">
        <v>-6</v>
      </c>
      <c r="AR5873">
        <v>-9.5974662689068957E-5</v>
      </c>
      <c r="AS5873" t="s">
        <v>239</v>
      </c>
      <c r="AT5873" t="s">
        <v>514</v>
      </c>
    </row>
    <row r="5874" spans="2:46" x14ac:dyDescent="0.35">
      <c r="B5874" t="s">
        <v>747</v>
      </c>
      <c r="C5874">
        <v>46022</v>
      </c>
      <c r="J5874">
        <v>15</v>
      </c>
      <c r="O5874" t="s">
        <v>239</v>
      </c>
      <c r="P5874" t="s">
        <v>514</v>
      </c>
      <c r="U5874">
        <v>0</v>
      </c>
      <c r="Y5874">
        <v>1460</v>
      </c>
      <c r="Z5874" s="259" t="s">
        <v>637</v>
      </c>
      <c r="AB5874">
        <v>17355</v>
      </c>
      <c r="AF5874">
        <v>62490</v>
      </c>
      <c r="AG5874">
        <v>0</v>
      </c>
      <c r="AI5874">
        <v>62510.5</v>
      </c>
      <c r="AJ5874">
        <v>0</v>
      </c>
      <c r="AK5874">
        <v>0</v>
      </c>
      <c r="AL5874">
        <v>0</v>
      </c>
      <c r="AM5874">
        <v>45840</v>
      </c>
      <c r="AN5874">
        <v>16650</v>
      </c>
      <c r="AO5874">
        <v>62490</v>
      </c>
      <c r="AP5874">
        <v>0</v>
      </c>
      <c r="AQ5874">
        <v>-20.5</v>
      </c>
      <c r="AR5874">
        <v>-3.279449052558947E-4</v>
      </c>
      <c r="AS5874" t="s">
        <v>239</v>
      </c>
      <c r="AT5874" t="s">
        <v>514</v>
      </c>
    </row>
    <row r="5875" spans="2:46" x14ac:dyDescent="0.35">
      <c r="B5875" t="s">
        <v>649</v>
      </c>
      <c r="C5875">
        <v>45658</v>
      </c>
      <c r="J5875">
        <v>0</v>
      </c>
      <c r="O5875" t="s">
        <v>239</v>
      </c>
      <c r="P5875" t="s">
        <v>514</v>
      </c>
      <c r="U5875">
        <v>0</v>
      </c>
      <c r="Y5875">
        <v>1461</v>
      </c>
      <c r="Z5875" s="259" t="s">
        <v>637</v>
      </c>
      <c r="AB5875">
        <v>0</v>
      </c>
      <c r="AF5875">
        <v>220000</v>
      </c>
      <c r="AG5875">
        <v>0</v>
      </c>
      <c r="AI5875">
        <v>0</v>
      </c>
      <c r="AJ5875">
        <v>220000</v>
      </c>
      <c r="AK5875">
        <v>0</v>
      </c>
      <c r="AL5875">
        <v>220000</v>
      </c>
      <c r="AM5875">
        <v>220000</v>
      </c>
      <c r="AN5875">
        <v>0</v>
      </c>
      <c r="AO5875">
        <v>220000</v>
      </c>
      <c r="AP5875">
        <v>0</v>
      </c>
      <c r="AQ5875">
        <v>0</v>
      </c>
      <c r="AR5875">
        <v>0</v>
      </c>
      <c r="AS5875" t="s">
        <v>239</v>
      </c>
      <c r="AT5875" t="s">
        <v>514</v>
      </c>
    </row>
    <row r="5876" spans="2:46" x14ac:dyDescent="0.35">
      <c r="B5876" t="s">
        <v>649</v>
      </c>
      <c r="C5876">
        <v>45659</v>
      </c>
      <c r="J5876">
        <v>56</v>
      </c>
      <c r="O5876" t="s">
        <v>239</v>
      </c>
      <c r="P5876" t="s">
        <v>514</v>
      </c>
      <c r="U5876">
        <v>0</v>
      </c>
      <c r="Y5876">
        <v>1462</v>
      </c>
      <c r="Z5876" s="259" t="s">
        <v>637</v>
      </c>
      <c r="AB5876">
        <v>56056</v>
      </c>
      <c r="AF5876">
        <v>219938.1</v>
      </c>
      <c r="AG5876">
        <v>0</v>
      </c>
      <c r="AI5876">
        <v>220000</v>
      </c>
      <c r="AJ5876">
        <v>0</v>
      </c>
      <c r="AK5876">
        <v>0</v>
      </c>
      <c r="AL5876">
        <v>0</v>
      </c>
      <c r="AM5876">
        <v>163944</v>
      </c>
      <c r="AN5876">
        <v>55994.1</v>
      </c>
      <c r="AO5876">
        <v>219938.1</v>
      </c>
      <c r="AP5876">
        <v>0</v>
      </c>
      <c r="AQ5876">
        <v>-61.899999999994179</v>
      </c>
      <c r="AR5876">
        <v>-2.8136363636366291E-4</v>
      </c>
      <c r="AS5876" t="s">
        <v>239</v>
      </c>
      <c r="AT5876" t="s">
        <v>514</v>
      </c>
    </row>
    <row r="5877" spans="2:46" x14ac:dyDescent="0.35">
      <c r="B5877" t="s">
        <v>649</v>
      </c>
      <c r="C5877">
        <v>45660</v>
      </c>
      <c r="J5877">
        <v>0</v>
      </c>
      <c r="O5877" t="s">
        <v>239</v>
      </c>
      <c r="P5877" t="s">
        <v>514</v>
      </c>
      <c r="U5877">
        <v>0</v>
      </c>
      <c r="Y5877">
        <v>1463</v>
      </c>
      <c r="Z5877" s="259" t="s">
        <v>637</v>
      </c>
      <c r="AB5877">
        <v>56056</v>
      </c>
      <c r="AF5877">
        <v>219930.9</v>
      </c>
      <c r="AG5877">
        <v>0</v>
      </c>
      <c r="AI5877">
        <v>219938.1</v>
      </c>
      <c r="AJ5877">
        <v>0</v>
      </c>
      <c r="AK5877">
        <v>0</v>
      </c>
      <c r="AL5877">
        <v>0</v>
      </c>
      <c r="AM5877">
        <v>163944</v>
      </c>
      <c r="AN5877">
        <v>55986.9</v>
      </c>
      <c r="AO5877">
        <v>219930.9</v>
      </c>
      <c r="AP5877">
        <v>0</v>
      </c>
      <c r="AQ5877">
        <v>-7.2000000000116415</v>
      </c>
      <c r="AR5877">
        <v>-3.2736483583373222E-5</v>
      </c>
      <c r="AS5877" t="s">
        <v>239</v>
      </c>
      <c r="AT5877" t="s">
        <v>514</v>
      </c>
    </row>
    <row r="5878" spans="2:46" x14ac:dyDescent="0.35">
      <c r="B5878" t="s">
        <v>649</v>
      </c>
      <c r="C5878">
        <v>45661</v>
      </c>
      <c r="J5878">
        <v>0</v>
      </c>
      <c r="O5878" t="s">
        <v>239</v>
      </c>
      <c r="P5878" t="s">
        <v>514</v>
      </c>
      <c r="U5878">
        <v>0</v>
      </c>
      <c r="Y5878">
        <v>1464</v>
      </c>
      <c r="Z5878" s="259" t="s">
        <v>637</v>
      </c>
      <c r="AB5878">
        <v>56056</v>
      </c>
      <c r="AF5878">
        <v>219930.9</v>
      </c>
      <c r="AG5878">
        <v>0</v>
      </c>
      <c r="AI5878">
        <v>219930.9</v>
      </c>
      <c r="AJ5878">
        <v>0</v>
      </c>
      <c r="AK5878">
        <v>0</v>
      </c>
      <c r="AL5878">
        <v>0</v>
      </c>
      <c r="AM5878">
        <v>163944</v>
      </c>
      <c r="AN5878">
        <v>55986.9</v>
      </c>
      <c r="AO5878">
        <v>219930.9</v>
      </c>
      <c r="AP5878">
        <v>0</v>
      </c>
      <c r="AQ5878">
        <v>0</v>
      </c>
      <c r="AR5878">
        <v>0</v>
      </c>
      <c r="AS5878" t="s">
        <v>239</v>
      </c>
      <c r="AT5878" t="s">
        <v>514</v>
      </c>
    </row>
    <row r="5879" spans="2:46" x14ac:dyDescent="0.35">
      <c r="B5879" t="s">
        <v>649</v>
      </c>
      <c r="C5879">
        <v>45662</v>
      </c>
      <c r="J5879">
        <v>0</v>
      </c>
      <c r="O5879" t="s">
        <v>239</v>
      </c>
      <c r="P5879" t="s">
        <v>514</v>
      </c>
      <c r="U5879">
        <v>0</v>
      </c>
      <c r="Y5879">
        <v>1465</v>
      </c>
      <c r="Z5879" s="259" t="s">
        <v>637</v>
      </c>
      <c r="AB5879">
        <v>56056</v>
      </c>
      <c r="AF5879">
        <v>219930.9</v>
      </c>
      <c r="AG5879">
        <v>0</v>
      </c>
      <c r="AI5879">
        <v>219930.9</v>
      </c>
      <c r="AJ5879">
        <v>0</v>
      </c>
      <c r="AK5879">
        <v>0</v>
      </c>
      <c r="AL5879">
        <v>0</v>
      </c>
      <c r="AM5879">
        <v>163944</v>
      </c>
      <c r="AN5879">
        <v>55986.9</v>
      </c>
      <c r="AO5879">
        <v>219930.9</v>
      </c>
      <c r="AP5879">
        <v>0</v>
      </c>
      <c r="AQ5879">
        <v>0</v>
      </c>
      <c r="AR5879">
        <v>0</v>
      </c>
      <c r="AS5879" t="s">
        <v>239</v>
      </c>
      <c r="AT5879" t="s">
        <v>514</v>
      </c>
    </row>
    <row r="5880" spans="2:46" x14ac:dyDescent="0.35">
      <c r="B5880" t="s">
        <v>649</v>
      </c>
      <c r="C5880">
        <v>45663</v>
      </c>
      <c r="J5880">
        <v>0</v>
      </c>
      <c r="O5880" t="s">
        <v>239</v>
      </c>
      <c r="P5880" t="s">
        <v>514</v>
      </c>
      <c r="U5880">
        <v>0</v>
      </c>
      <c r="Y5880">
        <v>1466</v>
      </c>
      <c r="Z5880" s="259" t="s">
        <v>637</v>
      </c>
      <c r="AB5880">
        <v>56056</v>
      </c>
      <c r="AF5880">
        <v>219911.9</v>
      </c>
      <c r="AG5880">
        <v>0</v>
      </c>
      <c r="AI5880">
        <v>219930.9</v>
      </c>
      <c r="AJ5880">
        <v>0</v>
      </c>
      <c r="AK5880">
        <v>0</v>
      </c>
      <c r="AL5880">
        <v>0</v>
      </c>
      <c r="AM5880">
        <v>163944</v>
      </c>
      <c r="AN5880">
        <v>55967.9</v>
      </c>
      <c r="AO5880">
        <v>219911.9</v>
      </c>
      <c r="AP5880">
        <v>0</v>
      </c>
      <c r="AQ5880">
        <v>-19</v>
      </c>
      <c r="AR5880">
        <v>-8.6390770919431148E-5</v>
      </c>
      <c r="AS5880" t="s">
        <v>239</v>
      </c>
      <c r="AT5880" t="s">
        <v>514</v>
      </c>
    </row>
    <row r="5881" spans="2:46" x14ac:dyDescent="0.35">
      <c r="B5881" t="s">
        <v>649</v>
      </c>
      <c r="C5881">
        <v>45664</v>
      </c>
      <c r="J5881">
        <v>0</v>
      </c>
      <c r="O5881" t="s">
        <v>239</v>
      </c>
      <c r="P5881" t="s">
        <v>514</v>
      </c>
      <c r="U5881">
        <v>0</v>
      </c>
      <c r="Y5881">
        <v>1467</v>
      </c>
      <c r="Z5881" s="259" t="s">
        <v>637</v>
      </c>
      <c r="AB5881">
        <v>56056</v>
      </c>
      <c r="AF5881">
        <v>219906</v>
      </c>
      <c r="AG5881">
        <v>0</v>
      </c>
      <c r="AI5881">
        <v>219911.9</v>
      </c>
      <c r="AJ5881">
        <v>0</v>
      </c>
      <c r="AK5881">
        <v>0</v>
      </c>
      <c r="AL5881">
        <v>0</v>
      </c>
      <c r="AM5881">
        <v>163944</v>
      </c>
      <c r="AN5881">
        <v>55962</v>
      </c>
      <c r="AO5881">
        <v>219906</v>
      </c>
      <c r="AP5881">
        <v>0</v>
      </c>
      <c r="AQ5881">
        <v>-5.8999999999941792</v>
      </c>
      <c r="AR5881">
        <v>-2.682892558336647E-5</v>
      </c>
      <c r="AS5881" t="s">
        <v>239</v>
      </c>
      <c r="AT5881" t="s">
        <v>514</v>
      </c>
    </row>
    <row r="5882" spans="2:46" x14ac:dyDescent="0.35">
      <c r="B5882" t="s">
        <v>649</v>
      </c>
      <c r="C5882">
        <v>45665</v>
      </c>
      <c r="J5882">
        <v>0</v>
      </c>
      <c r="O5882" t="s">
        <v>239</v>
      </c>
      <c r="P5882" t="s">
        <v>514</v>
      </c>
      <c r="U5882">
        <v>0</v>
      </c>
      <c r="Y5882">
        <v>1468</v>
      </c>
      <c r="Z5882" s="259" t="s">
        <v>637</v>
      </c>
      <c r="AB5882">
        <v>56056</v>
      </c>
      <c r="AF5882">
        <v>219900.1</v>
      </c>
      <c r="AG5882">
        <v>0</v>
      </c>
      <c r="AI5882">
        <v>219906</v>
      </c>
      <c r="AJ5882">
        <v>0</v>
      </c>
      <c r="AK5882">
        <v>0</v>
      </c>
      <c r="AL5882">
        <v>0</v>
      </c>
      <c r="AM5882">
        <v>163944</v>
      </c>
      <c r="AN5882">
        <v>55956.1</v>
      </c>
      <c r="AO5882">
        <v>219900.1</v>
      </c>
      <c r="AP5882">
        <v>0</v>
      </c>
      <c r="AQ5882">
        <v>-5.8999999999941792</v>
      </c>
      <c r="AR5882">
        <v>-2.6829645393910972E-5</v>
      </c>
      <c r="AS5882" t="s">
        <v>239</v>
      </c>
      <c r="AT5882" t="s">
        <v>514</v>
      </c>
    </row>
    <row r="5883" spans="2:46" x14ac:dyDescent="0.35">
      <c r="B5883" t="s">
        <v>649</v>
      </c>
      <c r="C5883">
        <v>45666</v>
      </c>
      <c r="J5883">
        <v>0</v>
      </c>
      <c r="O5883" t="s">
        <v>239</v>
      </c>
      <c r="P5883" t="s">
        <v>514</v>
      </c>
      <c r="U5883">
        <v>0</v>
      </c>
      <c r="Y5883">
        <v>1469</v>
      </c>
      <c r="Z5883" s="259" t="s">
        <v>637</v>
      </c>
      <c r="AB5883">
        <v>56056</v>
      </c>
      <c r="AF5883">
        <v>219892.9</v>
      </c>
      <c r="AG5883">
        <v>0</v>
      </c>
      <c r="AI5883">
        <v>219900.1</v>
      </c>
      <c r="AJ5883">
        <v>0</v>
      </c>
      <c r="AK5883">
        <v>0</v>
      </c>
      <c r="AL5883">
        <v>0</v>
      </c>
      <c r="AM5883">
        <v>163944</v>
      </c>
      <c r="AN5883">
        <v>55948.9</v>
      </c>
      <c r="AO5883">
        <v>219892.9</v>
      </c>
      <c r="AP5883">
        <v>0</v>
      </c>
      <c r="AQ5883">
        <v>-7.2000000000116415</v>
      </c>
      <c r="AR5883">
        <v>-3.2742140635755312E-5</v>
      </c>
      <c r="AS5883" t="s">
        <v>239</v>
      </c>
      <c r="AT5883" t="s">
        <v>514</v>
      </c>
    </row>
    <row r="5884" spans="2:46" x14ac:dyDescent="0.35">
      <c r="B5884" t="s">
        <v>649</v>
      </c>
      <c r="C5884">
        <v>45667</v>
      </c>
      <c r="J5884">
        <v>0</v>
      </c>
      <c r="O5884" t="s">
        <v>239</v>
      </c>
      <c r="P5884" t="s">
        <v>514</v>
      </c>
      <c r="U5884">
        <v>0</v>
      </c>
      <c r="Y5884">
        <v>1470</v>
      </c>
      <c r="Z5884" s="259" t="s">
        <v>637</v>
      </c>
      <c r="AB5884">
        <v>56056</v>
      </c>
      <c r="AF5884">
        <v>219887</v>
      </c>
      <c r="AG5884">
        <v>0</v>
      </c>
      <c r="AI5884">
        <v>219892.9</v>
      </c>
      <c r="AJ5884">
        <v>0</v>
      </c>
      <c r="AK5884">
        <v>0</v>
      </c>
      <c r="AL5884">
        <v>0</v>
      </c>
      <c r="AM5884">
        <v>163944</v>
      </c>
      <c r="AN5884">
        <v>55943</v>
      </c>
      <c r="AO5884">
        <v>219887</v>
      </c>
      <c r="AP5884">
        <v>0</v>
      </c>
      <c r="AQ5884">
        <v>-5.8999999999941792</v>
      </c>
      <c r="AR5884">
        <v>-2.6831243755465195E-5</v>
      </c>
      <c r="AS5884" t="s">
        <v>239</v>
      </c>
      <c r="AT5884" t="s">
        <v>514</v>
      </c>
    </row>
    <row r="5885" spans="2:46" x14ac:dyDescent="0.35">
      <c r="B5885" t="s">
        <v>649</v>
      </c>
      <c r="C5885">
        <v>45668</v>
      </c>
      <c r="J5885">
        <v>0</v>
      </c>
      <c r="O5885" t="s">
        <v>239</v>
      </c>
      <c r="P5885" t="s">
        <v>514</v>
      </c>
      <c r="U5885">
        <v>0</v>
      </c>
      <c r="Y5885">
        <v>1471</v>
      </c>
      <c r="Z5885" s="259" t="s">
        <v>637</v>
      </c>
      <c r="AB5885">
        <v>56056</v>
      </c>
      <c r="AF5885">
        <v>219887</v>
      </c>
      <c r="AG5885">
        <v>0</v>
      </c>
      <c r="AI5885">
        <v>219887</v>
      </c>
      <c r="AJ5885">
        <v>0</v>
      </c>
      <c r="AK5885">
        <v>0</v>
      </c>
      <c r="AL5885">
        <v>0</v>
      </c>
      <c r="AM5885">
        <v>163944</v>
      </c>
      <c r="AN5885">
        <v>55943</v>
      </c>
      <c r="AO5885">
        <v>219887</v>
      </c>
      <c r="AP5885">
        <v>0</v>
      </c>
      <c r="AQ5885">
        <v>0</v>
      </c>
      <c r="AR5885">
        <v>0</v>
      </c>
      <c r="AS5885" t="s">
        <v>239</v>
      </c>
      <c r="AT5885" t="s">
        <v>514</v>
      </c>
    </row>
    <row r="5886" spans="2:46" x14ac:dyDescent="0.35">
      <c r="B5886" t="s">
        <v>649</v>
      </c>
      <c r="C5886">
        <v>45669</v>
      </c>
      <c r="J5886">
        <v>0</v>
      </c>
      <c r="O5886" t="s">
        <v>239</v>
      </c>
      <c r="P5886" t="s">
        <v>514</v>
      </c>
      <c r="U5886">
        <v>0</v>
      </c>
      <c r="Y5886">
        <v>1472</v>
      </c>
      <c r="Z5886" s="259" t="s">
        <v>637</v>
      </c>
      <c r="AB5886">
        <v>56056</v>
      </c>
      <c r="AF5886">
        <v>219887</v>
      </c>
      <c r="AG5886">
        <v>0</v>
      </c>
      <c r="AI5886">
        <v>219887</v>
      </c>
      <c r="AJ5886">
        <v>0</v>
      </c>
      <c r="AK5886">
        <v>0</v>
      </c>
      <c r="AL5886">
        <v>0</v>
      </c>
      <c r="AM5886">
        <v>163944</v>
      </c>
      <c r="AN5886">
        <v>55943</v>
      </c>
      <c r="AO5886">
        <v>219887</v>
      </c>
      <c r="AP5886">
        <v>0</v>
      </c>
      <c r="AQ5886">
        <v>0</v>
      </c>
      <c r="AR5886">
        <v>0</v>
      </c>
      <c r="AS5886" t="s">
        <v>239</v>
      </c>
      <c r="AT5886" t="s">
        <v>514</v>
      </c>
    </row>
    <row r="5887" spans="2:46" x14ac:dyDescent="0.35">
      <c r="B5887" t="s">
        <v>649</v>
      </c>
      <c r="C5887">
        <v>45670</v>
      </c>
      <c r="J5887">
        <v>0</v>
      </c>
      <c r="O5887" t="s">
        <v>239</v>
      </c>
      <c r="P5887" t="s">
        <v>514</v>
      </c>
      <c r="U5887">
        <v>0</v>
      </c>
      <c r="Y5887">
        <v>1473</v>
      </c>
      <c r="Z5887" s="259" t="s">
        <v>637</v>
      </c>
      <c r="AB5887">
        <v>56056</v>
      </c>
      <c r="AF5887">
        <v>219868</v>
      </c>
      <c r="AG5887">
        <v>0</v>
      </c>
      <c r="AI5887">
        <v>219887</v>
      </c>
      <c r="AJ5887">
        <v>0</v>
      </c>
      <c r="AK5887">
        <v>0</v>
      </c>
      <c r="AL5887">
        <v>0</v>
      </c>
      <c r="AM5887">
        <v>163944</v>
      </c>
      <c r="AN5887">
        <v>55924</v>
      </c>
      <c r="AO5887">
        <v>219868</v>
      </c>
      <c r="AP5887">
        <v>0</v>
      </c>
      <c r="AQ5887">
        <v>-19</v>
      </c>
      <c r="AR5887">
        <v>-8.6408018664108077E-5</v>
      </c>
      <c r="AS5887" t="s">
        <v>239</v>
      </c>
      <c r="AT5887" t="s">
        <v>514</v>
      </c>
    </row>
    <row r="5888" spans="2:46" x14ac:dyDescent="0.35">
      <c r="B5888" t="s">
        <v>649</v>
      </c>
      <c r="C5888">
        <v>45671</v>
      </c>
      <c r="J5888">
        <v>0</v>
      </c>
      <c r="O5888" t="s">
        <v>239</v>
      </c>
      <c r="P5888" t="s">
        <v>514</v>
      </c>
      <c r="U5888">
        <v>0</v>
      </c>
      <c r="Y5888">
        <v>1474</v>
      </c>
      <c r="Z5888" s="259" t="s">
        <v>637</v>
      </c>
      <c r="AB5888">
        <v>56056</v>
      </c>
      <c r="AF5888">
        <v>219862.1</v>
      </c>
      <c r="AG5888">
        <v>0</v>
      </c>
      <c r="AI5888">
        <v>219868</v>
      </c>
      <c r="AJ5888">
        <v>0</v>
      </c>
      <c r="AK5888">
        <v>0</v>
      </c>
      <c r="AL5888">
        <v>0</v>
      </c>
      <c r="AM5888">
        <v>163944</v>
      </c>
      <c r="AN5888">
        <v>55918.1</v>
      </c>
      <c r="AO5888">
        <v>219862.1</v>
      </c>
      <c r="AP5888">
        <v>0</v>
      </c>
      <c r="AQ5888">
        <v>-5.8999999999941792</v>
      </c>
      <c r="AR5888">
        <v>-2.6834282387588893E-5</v>
      </c>
      <c r="AS5888" t="s">
        <v>239</v>
      </c>
      <c r="AT5888" t="s">
        <v>514</v>
      </c>
    </row>
    <row r="5889" spans="2:46" x14ac:dyDescent="0.35">
      <c r="B5889" t="s">
        <v>649</v>
      </c>
      <c r="C5889">
        <v>45672</v>
      </c>
      <c r="J5889">
        <v>0</v>
      </c>
      <c r="O5889" t="s">
        <v>239</v>
      </c>
      <c r="P5889" t="s">
        <v>514</v>
      </c>
      <c r="U5889">
        <v>0</v>
      </c>
      <c r="Y5889">
        <v>1475</v>
      </c>
      <c r="Z5889" s="259" t="s">
        <v>637</v>
      </c>
      <c r="AB5889">
        <v>56056</v>
      </c>
      <c r="AF5889">
        <v>219854.9</v>
      </c>
      <c r="AG5889">
        <v>0</v>
      </c>
      <c r="AI5889">
        <v>219862.1</v>
      </c>
      <c r="AJ5889">
        <v>0</v>
      </c>
      <c r="AK5889">
        <v>0</v>
      </c>
      <c r="AL5889">
        <v>0</v>
      </c>
      <c r="AM5889">
        <v>163944</v>
      </c>
      <c r="AN5889">
        <v>55910.9</v>
      </c>
      <c r="AO5889">
        <v>219854.9</v>
      </c>
      <c r="AP5889">
        <v>0</v>
      </c>
      <c r="AQ5889">
        <v>-7.2000000000116415</v>
      </c>
      <c r="AR5889">
        <v>-3.2747799643573217E-5</v>
      </c>
      <c r="AS5889" t="s">
        <v>239</v>
      </c>
      <c r="AT5889" t="s">
        <v>514</v>
      </c>
    </row>
    <row r="5890" spans="2:46" x14ac:dyDescent="0.35">
      <c r="B5890" t="s">
        <v>649</v>
      </c>
      <c r="C5890">
        <v>45673</v>
      </c>
      <c r="J5890">
        <v>0</v>
      </c>
      <c r="O5890" t="s">
        <v>239</v>
      </c>
      <c r="P5890" t="s">
        <v>514</v>
      </c>
      <c r="U5890">
        <v>0</v>
      </c>
      <c r="Y5890">
        <v>1476</v>
      </c>
      <c r="Z5890" s="259" t="s">
        <v>637</v>
      </c>
      <c r="AB5890">
        <v>56056</v>
      </c>
      <c r="AF5890">
        <v>219849</v>
      </c>
      <c r="AG5890">
        <v>0</v>
      </c>
      <c r="AI5890">
        <v>219854.9</v>
      </c>
      <c r="AJ5890">
        <v>0</v>
      </c>
      <c r="AK5890">
        <v>0</v>
      </c>
      <c r="AL5890">
        <v>0</v>
      </c>
      <c r="AM5890">
        <v>163944</v>
      </c>
      <c r="AN5890">
        <v>55905</v>
      </c>
      <c r="AO5890">
        <v>219849</v>
      </c>
      <c r="AP5890">
        <v>0</v>
      </c>
      <c r="AQ5890">
        <v>-5.8999999999941792</v>
      </c>
      <c r="AR5890">
        <v>-2.6835881301701114E-5</v>
      </c>
      <c r="AS5890" t="s">
        <v>239</v>
      </c>
      <c r="AT5890" t="s">
        <v>514</v>
      </c>
    </row>
    <row r="5891" spans="2:46" x14ac:dyDescent="0.35">
      <c r="B5891" t="s">
        <v>649</v>
      </c>
      <c r="C5891">
        <v>45674</v>
      </c>
      <c r="J5891">
        <v>0</v>
      </c>
      <c r="O5891" t="s">
        <v>239</v>
      </c>
      <c r="P5891" t="s">
        <v>514</v>
      </c>
      <c r="U5891">
        <v>0</v>
      </c>
      <c r="Y5891">
        <v>1477</v>
      </c>
      <c r="Z5891" s="259" t="s">
        <v>637</v>
      </c>
      <c r="AB5891">
        <v>56056</v>
      </c>
      <c r="AF5891">
        <v>219843.1</v>
      </c>
      <c r="AG5891">
        <v>0</v>
      </c>
      <c r="AI5891">
        <v>219849</v>
      </c>
      <c r="AJ5891">
        <v>0</v>
      </c>
      <c r="AK5891">
        <v>0</v>
      </c>
      <c r="AL5891">
        <v>0</v>
      </c>
      <c r="AM5891">
        <v>163944</v>
      </c>
      <c r="AN5891">
        <v>55899.1</v>
      </c>
      <c r="AO5891">
        <v>219843.1</v>
      </c>
      <c r="AP5891">
        <v>0</v>
      </c>
      <c r="AQ5891">
        <v>-5.8999999999941792</v>
      </c>
      <c r="AR5891">
        <v>-2.6836601485502598E-5</v>
      </c>
      <c r="AS5891" t="s">
        <v>239</v>
      </c>
      <c r="AT5891" t="s">
        <v>514</v>
      </c>
    </row>
    <row r="5892" spans="2:46" x14ac:dyDescent="0.35">
      <c r="B5892" t="s">
        <v>649</v>
      </c>
      <c r="C5892">
        <v>45675</v>
      </c>
      <c r="J5892">
        <v>0</v>
      </c>
      <c r="O5892" t="s">
        <v>239</v>
      </c>
      <c r="P5892" t="s">
        <v>514</v>
      </c>
      <c r="U5892">
        <v>0</v>
      </c>
      <c r="Y5892">
        <v>1478</v>
      </c>
      <c r="Z5892" s="259" t="s">
        <v>637</v>
      </c>
      <c r="AB5892">
        <v>56056</v>
      </c>
      <c r="AF5892">
        <v>219843.1</v>
      </c>
      <c r="AG5892">
        <v>0</v>
      </c>
      <c r="AI5892">
        <v>219843.1</v>
      </c>
      <c r="AJ5892">
        <v>0</v>
      </c>
      <c r="AK5892">
        <v>0</v>
      </c>
      <c r="AL5892">
        <v>0</v>
      </c>
      <c r="AM5892">
        <v>163944</v>
      </c>
      <c r="AN5892">
        <v>55899.1</v>
      </c>
      <c r="AO5892">
        <v>219843.1</v>
      </c>
      <c r="AP5892">
        <v>0</v>
      </c>
      <c r="AQ5892">
        <v>0</v>
      </c>
      <c r="AR5892">
        <v>0</v>
      </c>
      <c r="AS5892" t="s">
        <v>239</v>
      </c>
      <c r="AT5892" t="s">
        <v>514</v>
      </c>
    </row>
    <row r="5893" spans="2:46" x14ac:dyDescent="0.35">
      <c r="B5893" t="s">
        <v>649</v>
      </c>
      <c r="C5893">
        <v>45676</v>
      </c>
      <c r="J5893">
        <v>0</v>
      </c>
      <c r="O5893" t="s">
        <v>239</v>
      </c>
      <c r="P5893" t="s">
        <v>514</v>
      </c>
      <c r="U5893">
        <v>0</v>
      </c>
      <c r="Y5893">
        <v>1479</v>
      </c>
      <c r="Z5893" s="259" t="s">
        <v>637</v>
      </c>
      <c r="AB5893">
        <v>56056</v>
      </c>
      <c r="AF5893">
        <v>219843.1</v>
      </c>
      <c r="AG5893">
        <v>0</v>
      </c>
      <c r="AI5893">
        <v>219843.1</v>
      </c>
      <c r="AJ5893">
        <v>0</v>
      </c>
      <c r="AK5893">
        <v>0</v>
      </c>
      <c r="AL5893">
        <v>0</v>
      </c>
      <c r="AM5893">
        <v>163944</v>
      </c>
      <c r="AN5893">
        <v>55899.1</v>
      </c>
      <c r="AO5893">
        <v>219843.1</v>
      </c>
      <c r="AP5893">
        <v>0</v>
      </c>
      <c r="AQ5893">
        <v>0</v>
      </c>
      <c r="AR5893">
        <v>0</v>
      </c>
      <c r="AS5893" t="s">
        <v>239</v>
      </c>
      <c r="AT5893" t="s">
        <v>514</v>
      </c>
    </row>
    <row r="5894" spans="2:46" x14ac:dyDescent="0.35">
      <c r="B5894" t="s">
        <v>649</v>
      </c>
      <c r="C5894">
        <v>45677</v>
      </c>
      <c r="J5894">
        <v>0</v>
      </c>
      <c r="O5894" t="s">
        <v>239</v>
      </c>
      <c r="P5894" t="s">
        <v>514</v>
      </c>
      <c r="U5894">
        <v>0</v>
      </c>
      <c r="Y5894">
        <v>1480</v>
      </c>
      <c r="Z5894" s="259" t="s">
        <v>637</v>
      </c>
      <c r="AB5894">
        <v>56056</v>
      </c>
      <c r="AF5894">
        <v>219824.1</v>
      </c>
      <c r="AG5894">
        <v>0</v>
      </c>
      <c r="AI5894">
        <v>219843.1</v>
      </c>
      <c r="AJ5894">
        <v>0</v>
      </c>
      <c r="AK5894">
        <v>0</v>
      </c>
      <c r="AL5894">
        <v>0</v>
      </c>
      <c r="AM5894">
        <v>163944</v>
      </c>
      <c r="AN5894">
        <v>55880.1</v>
      </c>
      <c r="AO5894">
        <v>219824.1</v>
      </c>
      <c r="AP5894">
        <v>0</v>
      </c>
      <c r="AQ5894">
        <v>-19</v>
      </c>
      <c r="AR5894">
        <v>-8.6425273297163763E-5</v>
      </c>
      <c r="AS5894" t="s">
        <v>239</v>
      </c>
      <c r="AT5894" t="s">
        <v>514</v>
      </c>
    </row>
    <row r="5895" spans="2:46" x14ac:dyDescent="0.35">
      <c r="B5895" t="s">
        <v>649</v>
      </c>
      <c r="C5895">
        <v>45678</v>
      </c>
      <c r="J5895">
        <v>0</v>
      </c>
      <c r="O5895" t="s">
        <v>239</v>
      </c>
      <c r="P5895" t="s">
        <v>514</v>
      </c>
      <c r="U5895">
        <v>0</v>
      </c>
      <c r="Y5895">
        <v>1481</v>
      </c>
      <c r="Z5895" s="259" t="s">
        <v>637</v>
      </c>
      <c r="AB5895">
        <v>56056</v>
      </c>
      <c r="AF5895">
        <v>219816.9</v>
      </c>
      <c r="AG5895">
        <v>0</v>
      </c>
      <c r="AI5895">
        <v>219824.1</v>
      </c>
      <c r="AJ5895">
        <v>0</v>
      </c>
      <c r="AK5895">
        <v>0</v>
      </c>
      <c r="AL5895">
        <v>0</v>
      </c>
      <c r="AM5895">
        <v>163944</v>
      </c>
      <c r="AN5895">
        <v>55872.9</v>
      </c>
      <c r="AO5895">
        <v>219816.9</v>
      </c>
      <c r="AP5895">
        <v>0</v>
      </c>
      <c r="AQ5895">
        <v>-7.2000000000116415</v>
      </c>
      <c r="AR5895">
        <v>-3.2753460607826135E-5</v>
      </c>
      <c r="AS5895" t="s">
        <v>239</v>
      </c>
      <c r="AT5895" t="s">
        <v>514</v>
      </c>
    </row>
    <row r="5896" spans="2:46" x14ac:dyDescent="0.35">
      <c r="B5896" t="s">
        <v>649</v>
      </c>
      <c r="C5896">
        <v>45679</v>
      </c>
      <c r="J5896">
        <v>0</v>
      </c>
      <c r="O5896" t="s">
        <v>239</v>
      </c>
      <c r="P5896" t="s">
        <v>514</v>
      </c>
      <c r="U5896">
        <v>0</v>
      </c>
      <c r="Y5896">
        <v>1482</v>
      </c>
      <c r="Z5896" s="259" t="s">
        <v>637</v>
      </c>
      <c r="AB5896">
        <v>56056</v>
      </c>
      <c r="AF5896">
        <v>219811</v>
      </c>
      <c r="AG5896">
        <v>0</v>
      </c>
      <c r="AI5896">
        <v>219816.9</v>
      </c>
      <c r="AJ5896">
        <v>0</v>
      </c>
      <c r="AK5896">
        <v>0</v>
      </c>
      <c r="AL5896">
        <v>0</v>
      </c>
      <c r="AM5896">
        <v>163944</v>
      </c>
      <c r="AN5896">
        <v>55867</v>
      </c>
      <c r="AO5896">
        <v>219811</v>
      </c>
      <c r="AP5896">
        <v>0</v>
      </c>
      <c r="AQ5896">
        <v>-5.8999999999941792</v>
      </c>
      <c r="AR5896">
        <v>-2.6840520451321126E-5</v>
      </c>
      <c r="AS5896" t="s">
        <v>239</v>
      </c>
      <c r="AT5896" t="s">
        <v>514</v>
      </c>
    </row>
    <row r="5897" spans="2:46" x14ac:dyDescent="0.35">
      <c r="B5897" t="s">
        <v>649</v>
      </c>
      <c r="C5897">
        <v>45680</v>
      </c>
      <c r="J5897">
        <v>0</v>
      </c>
      <c r="O5897" t="s">
        <v>239</v>
      </c>
      <c r="P5897" t="s">
        <v>514</v>
      </c>
      <c r="U5897">
        <v>0</v>
      </c>
      <c r="Y5897">
        <v>1483</v>
      </c>
      <c r="Z5897" s="259" t="s">
        <v>637</v>
      </c>
      <c r="AB5897">
        <v>56056</v>
      </c>
      <c r="AF5897">
        <v>219805.1</v>
      </c>
      <c r="AG5897">
        <v>0</v>
      </c>
      <c r="AI5897">
        <v>219811</v>
      </c>
      <c r="AJ5897">
        <v>0</v>
      </c>
      <c r="AK5897">
        <v>0</v>
      </c>
      <c r="AL5897">
        <v>0</v>
      </c>
      <c r="AM5897">
        <v>163944</v>
      </c>
      <c r="AN5897">
        <v>55861.1</v>
      </c>
      <c r="AO5897">
        <v>219805.1</v>
      </c>
      <c r="AP5897">
        <v>0</v>
      </c>
      <c r="AQ5897">
        <v>-5.8999999999941792</v>
      </c>
      <c r="AR5897">
        <v>-2.6841240884145634E-5</v>
      </c>
      <c r="AS5897" t="s">
        <v>239</v>
      </c>
      <c r="AT5897" t="s">
        <v>514</v>
      </c>
    </row>
    <row r="5898" spans="2:46" x14ac:dyDescent="0.35">
      <c r="B5898" t="s">
        <v>649</v>
      </c>
      <c r="C5898">
        <v>45681</v>
      </c>
      <c r="J5898">
        <v>0</v>
      </c>
      <c r="O5898" t="s">
        <v>239</v>
      </c>
      <c r="P5898" t="s">
        <v>514</v>
      </c>
      <c r="U5898">
        <v>0</v>
      </c>
      <c r="Y5898">
        <v>1484</v>
      </c>
      <c r="Z5898" s="259" t="s">
        <v>637</v>
      </c>
      <c r="AB5898">
        <v>56056</v>
      </c>
      <c r="AF5898">
        <v>219797.9</v>
      </c>
      <c r="AG5898">
        <v>0</v>
      </c>
      <c r="AI5898">
        <v>219805.1</v>
      </c>
      <c r="AJ5898">
        <v>0</v>
      </c>
      <c r="AK5898">
        <v>0</v>
      </c>
      <c r="AL5898">
        <v>0</v>
      </c>
      <c r="AM5898">
        <v>163944</v>
      </c>
      <c r="AN5898">
        <v>55853.9</v>
      </c>
      <c r="AO5898">
        <v>219797.9</v>
      </c>
      <c r="AP5898">
        <v>0</v>
      </c>
      <c r="AQ5898">
        <v>-7.2000000000116415</v>
      </c>
      <c r="AR5898">
        <v>-3.2756291824087569E-5</v>
      </c>
      <c r="AS5898" t="s">
        <v>239</v>
      </c>
      <c r="AT5898" t="s">
        <v>514</v>
      </c>
    </row>
    <row r="5899" spans="2:46" x14ac:dyDescent="0.35">
      <c r="B5899" t="s">
        <v>649</v>
      </c>
      <c r="C5899">
        <v>45682</v>
      </c>
      <c r="J5899">
        <v>0</v>
      </c>
      <c r="O5899" t="s">
        <v>239</v>
      </c>
      <c r="P5899" t="s">
        <v>514</v>
      </c>
      <c r="U5899">
        <v>0</v>
      </c>
      <c r="Y5899">
        <v>1485</v>
      </c>
      <c r="Z5899" s="259" t="s">
        <v>637</v>
      </c>
      <c r="AB5899">
        <v>56056</v>
      </c>
      <c r="AF5899">
        <v>219797.9</v>
      </c>
      <c r="AG5899">
        <v>0</v>
      </c>
      <c r="AI5899">
        <v>219797.9</v>
      </c>
      <c r="AJ5899">
        <v>0</v>
      </c>
      <c r="AK5899">
        <v>0</v>
      </c>
      <c r="AL5899">
        <v>0</v>
      </c>
      <c r="AM5899">
        <v>163944</v>
      </c>
      <c r="AN5899">
        <v>55853.9</v>
      </c>
      <c r="AO5899">
        <v>219797.9</v>
      </c>
      <c r="AP5899">
        <v>0</v>
      </c>
      <c r="AQ5899">
        <v>0</v>
      </c>
      <c r="AR5899">
        <v>0</v>
      </c>
      <c r="AS5899" t="s">
        <v>239</v>
      </c>
      <c r="AT5899" t="s">
        <v>514</v>
      </c>
    </row>
    <row r="5900" spans="2:46" x14ac:dyDescent="0.35">
      <c r="B5900" t="s">
        <v>649</v>
      </c>
      <c r="C5900">
        <v>45683</v>
      </c>
      <c r="J5900">
        <v>0</v>
      </c>
      <c r="O5900" t="s">
        <v>239</v>
      </c>
      <c r="P5900" t="s">
        <v>514</v>
      </c>
      <c r="U5900">
        <v>0</v>
      </c>
      <c r="Y5900">
        <v>1486</v>
      </c>
      <c r="Z5900" s="259" t="s">
        <v>637</v>
      </c>
      <c r="AB5900">
        <v>56056</v>
      </c>
      <c r="AF5900">
        <v>219797.9</v>
      </c>
      <c r="AG5900">
        <v>0</v>
      </c>
      <c r="AI5900">
        <v>219797.9</v>
      </c>
      <c r="AJ5900">
        <v>0</v>
      </c>
      <c r="AK5900">
        <v>0</v>
      </c>
      <c r="AL5900">
        <v>0</v>
      </c>
      <c r="AM5900">
        <v>163944</v>
      </c>
      <c r="AN5900">
        <v>55853.9</v>
      </c>
      <c r="AO5900">
        <v>219797.9</v>
      </c>
      <c r="AP5900">
        <v>0</v>
      </c>
      <c r="AQ5900">
        <v>0</v>
      </c>
      <c r="AR5900">
        <v>0</v>
      </c>
      <c r="AS5900" t="s">
        <v>239</v>
      </c>
      <c r="AT5900" t="s">
        <v>514</v>
      </c>
    </row>
    <row r="5901" spans="2:46" x14ac:dyDescent="0.35">
      <c r="B5901" t="s">
        <v>649</v>
      </c>
      <c r="C5901">
        <v>45684</v>
      </c>
      <c r="J5901">
        <v>0</v>
      </c>
      <c r="O5901" t="s">
        <v>239</v>
      </c>
      <c r="P5901" t="s">
        <v>514</v>
      </c>
      <c r="U5901">
        <v>0</v>
      </c>
      <c r="Y5901">
        <v>1487</v>
      </c>
      <c r="Z5901" s="259" t="s">
        <v>637</v>
      </c>
      <c r="AB5901">
        <v>56056</v>
      </c>
      <c r="AF5901">
        <v>219778.9</v>
      </c>
      <c r="AG5901">
        <v>0</v>
      </c>
      <c r="AI5901">
        <v>219797.9</v>
      </c>
      <c r="AJ5901">
        <v>0</v>
      </c>
      <c r="AK5901">
        <v>0</v>
      </c>
      <c r="AL5901">
        <v>0</v>
      </c>
      <c r="AM5901">
        <v>163944</v>
      </c>
      <c r="AN5901">
        <v>55834.9</v>
      </c>
      <c r="AO5901">
        <v>219778.9</v>
      </c>
      <c r="AP5901">
        <v>0</v>
      </c>
      <c r="AQ5901">
        <v>-19</v>
      </c>
      <c r="AR5901">
        <v>-8.6443046089179632E-5</v>
      </c>
      <c r="AS5901" t="s">
        <v>239</v>
      </c>
      <c r="AT5901" t="s">
        <v>514</v>
      </c>
    </row>
    <row r="5902" spans="2:46" x14ac:dyDescent="0.35">
      <c r="B5902" t="s">
        <v>649</v>
      </c>
      <c r="C5902">
        <v>45685</v>
      </c>
      <c r="J5902">
        <v>0</v>
      </c>
      <c r="O5902" t="s">
        <v>239</v>
      </c>
      <c r="P5902" t="s">
        <v>514</v>
      </c>
      <c r="U5902">
        <v>0</v>
      </c>
      <c r="Y5902">
        <v>1488</v>
      </c>
      <c r="Z5902" s="259" t="s">
        <v>637</v>
      </c>
      <c r="AB5902">
        <v>56056</v>
      </c>
      <c r="AF5902">
        <v>219773</v>
      </c>
      <c r="AG5902">
        <v>0</v>
      </c>
      <c r="AI5902">
        <v>219778.9</v>
      </c>
      <c r="AJ5902">
        <v>0</v>
      </c>
      <c r="AK5902">
        <v>0</v>
      </c>
      <c r="AL5902">
        <v>0</v>
      </c>
      <c r="AM5902">
        <v>163944</v>
      </c>
      <c r="AN5902">
        <v>55829</v>
      </c>
      <c r="AO5902">
        <v>219773</v>
      </c>
      <c r="AP5902">
        <v>0</v>
      </c>
      <c r="AQ5902">
        <v>-5.8999999999941792</v>
      </c>
      <c r="AR5902">
        <v>-2.6845161205213408E-5</v>
      </c>
      <c r="AS5902" t="s">
        <v>239</v>
      </c>
      <c r="AT5902" t="s">
        <v>514</v>
      </c>
    </row>
    <row r="5903" spans="2:46" x14ac:dyDescent="0.35">
      <c r="B5903" t="s">
        <v>649</v>
      </c>
      <c r="C5903">
        <v>45686</v>
      </c>
      <c r="J5903">
        <v>0</v>
      </c>
      <c r="O5903" t="s">
        <v>239</v>
      </c>
      <c r="P5903" t="s">
        <v>514</v>
      </c>
      <c r="U5903">
        <v>0</v>
      </c>
      <c r="Y5903">
        <v>1489</v>
      </c>
      <c r="Z5903" s="259" t="s">
        <v>637</v>
      </c>
      <c r="AB5903">
        <v>56056</v>
      </c>
      <c r="AF5903">
        <v>219767.1</v>
      </c>
      <c r="AG5903">
        <v>0</v>
      </c>
      <c r="AI5903">
        <v>219773</v>
      </c>
      <c r="AJ5903">
        <v>0</v>
      </c>
      <c r="AK5903">
        <v>0</v>
      </c>
      <c r="AL5903">
        <v>0</v>
      </c>
      <c r="AM5903">
        <v>163944</v>
      </c>
      <c r="AN5903">
        <v>55823.1</v>
      </c>
      <c r="AO5903">
        <v>219767.1</v>
      </c>
      <c r="AP5903">
        <v>0</v>
      </c>
      <c r="AQ5903">
        <v>-5.8999999999941792</v>
      </c>
      <c r="AR5903">
        <v>-2.6845881887171963E-5</v>
      </c>
      <c r="AS5903" t="s">
        <v>239</v>
      </c>
      <c r="AT5903" t="s">
        <v>514</v>
      </c>
    </row>
    <row r="5904" spans="2:46" x14ac:dyDescent="0.35">
      <c r="B5904" t="s">
        <v>649</v>
      </c>
      <c r="C5904">
        <v>45687</v>
      </c>
      <c r="J5904">
        <v>0</v>
      </c>
      <c r="O5904" t="s">
        <v>239</v>
      </c>
      <c r="P5904" t="s">
        <v>514</v>
      </c>
      <c r="U5904">
        <v>0</v>
      </c>
      <c r="Y5904">
        <v>1490</v>
      </c>
      <c r="Z5904" s="259" t="s">
        <v>637</v>
      </c>
      <c r="AB5904">
        <v>56056</v>
      </c>
      <c r="AF5904">
        <v>219759.9</v>
      </c>
      <c r="AG5904">
        <v>0</v>
      </c>
      <c r="AI5904">
        <v>219767.1</v>
      </c>
      <c r="AJ5904">
        <v>0</v>
      </c>
      <c r="AK5904">
        <v>0</v>
      </c>
      <c r="AL5904">
        <v>0</v>
      </c>
      <c r="AM5904">
        <v>163944</v>
      </c>
      <c r="AN5904">
        <v>55815.9</v>
      </c>
      <c r="AO5904">
        <v>219759.9</v>
      </c>
      <c r="AP5904">
        <v>0</v>
      </c>
      <c r="AQ5904">
        <v>-7.2000000000116415</v>
      </c>
      <c r="AR5904">
        <v>-3.276195572499141E-5</v>
      </c>
      <c r="AS5904" t="s">
        <v>239</v>
      </c>
      <c r="AT5904" t="s">
        <v>514</v>
      </c>
    </row>
    <row r="5905" spans="2:46" x14ac:dyDescent="0.35">
      <c r="B5905" t="s">
        <v>649</v>
      </c>
      <c r="C5905">
        <v>45688</v>
      </c>
      <c r="J5905">
        <v>0</v>
      </c>
      <c r="O5905" t="s">
        <v>239</v>
      </c>
      <c r="P5905" t="s">
        <v>514</v>
      </c>
      <c r="U5905">
        <v>0</v>
      </c>
      <c r="Y5905">
        <v>1491</v>
      </c>
      <c r="Z5905" s="259" t="s">
        <v>637</v>
      </c>
      <c r="AB5905">
        <v>56056</v>
      </c>
      <c r="AF5905">
        <v>219754</v>
      </c>
      <c r="AG5905">
        <v>0</v>
      </c>
      <c r="AI5905">
        <v>219759.9</v>
      </c>
      <c r="AJ5905">
        <v>0</v>
      </c>
      <c r="AK5905">
        <v>0</v>
      </c>
      <c r="AL5905">
        <v>0</v>
      </c>
      <c r="AM5905">
        <v>163944</v>
      </c>
      <c r="AN5905">
        <v>55810</v>
      </c>
      <c r="AO5905">
        <v>219754</v>
      </c>
      <c r="AP5905">
        <v>0</v>
      </c>
      <c r="AQ5905">
        <v>-5.8999999999941792</v>
      </c>
      <c r="AR5905">
        <v>-2.684748218395594E-5</v>
      </c>
      <c r="AS5905" t="s">
        <v>239</v>
      </c>
      <c r="AT5905" t="s">
        <v>514</v>
      </c>
    </row>
    <row r="5906" spans="2:46" x14ac:dyDescent="0.35">
      <c r="B5906" t="s">
        <v>649</v>
      </c>
      <c r="C5906">
        <v>45689</v>
      </c>
      <c r="J5906">
        <v>0</v>
      </c>
      <c r="O5906" t="s">
        <v>239</v>
      </c>
      <c r="P5906" t="s">
        <v>514</v>
      </c>
      <c r="U5906">
        <v>0</v>
      </c>
      <c r="Y5906">
        <v>1492</v>
      </c>
      <c r="Z5906" s="259" t="s">
        <v>637</v>
      </c>
      <c r="AB5906">
        <v>56056</v>
      </c>
      <c r="AF5906">
        <v>219754</v>
      </c>
      <c r="AG5906">
        <v>0</v>
      </c>
      <c r="AI5906">
        <v>219754</v>
      </c>
      <c r="AJ5906">
        <v>0</v>
      </c>
      <c r="AK5906">
        <v>0</v>
      </c>
      <c r="AL5906">
        <v>0</v>
      </c>
      <c r="AM5906">
        <v>163944</v>
      </c>
      <c r="AN5906">
        <v>55810</v>
      </c>
      <c r="AO5906">
        <v>219754</v>
      </c>
      <c r="AP5906">
        <v>0</v>
      </c>
      <c r="AQ5906">
        <v>0</v>
      </c>
      <c r="AR5906">
        <v>0</v>
      </c>
      <c r="AS5906" t="s">
        <v>239</v>
      </c>
      <c r="AT5906" t="s">
        <v>514</v>
      </c>
    </row>
    <row r="5907" spans="2:46" x14ac:dyDescent="0.35">
      <c r="B5907" t="s">
        <v>649</v>
      </c>
      <c r="C5907">
        <v>45690</v>
      </c>
      <c r="J5907">
        <v>0</v>
      </c>
      <c r="O5907" t="s">
        <v>239</v>
      </c>
      <c r="P5907" t="s">
        <v>514</v>
      </c>
      <c r="U5907">
        <v>0</v>
      </c>
      <c r="Y5907">
        <v>1493</v>
      </c>
      <c r="Z5907" s="259" t="s">
        <v>637</v>
      </c>
      <c r="AB5907">
        <v>56056</v>
      </c>
      <c r="AF5907">
        <v>219754</v>
      </c>
      <c r="AG5907">
        <v>0</v>
      </c>
      <c r="AI5907">
        <v>219754</v>
      </c>
      <c r="AJ5907">
        <v>0</v>
      </c>
      <c r="AK5907">
        <v>0</v>
      </c>
      <c r="AL5907">
        <v>0</v>
      </c>
      <c r="AM5907">
        <v>163944</v>
      </c>
      <c r="AN5907">
        <v>55810</v>
      </c>
      <c r="AO5907">
        <v>219754</v>
      </c>
      <c r="AP5907">
        <v>0</v>
      </c>
      <c r="AQ5907">
        <v>0</v>
      </c>
      <c r="AR5907">
        <v>0</v>
      </c>
      <c r="AS5907" t="s">
        <v>239</v>
      </c>
      <c r="AT5907" t="s">
        <v>514</v>
      </c>
    </row>
    <row r="5908" spans="2:46" x14ac:dyDescent="0.35">
      <c r="B5908" t="s">
        <v>649</v>
      </c>
      <c r="C5908">
        <v>45691</v>
      </c>
      <c r="J5908">
        <v>4</v>
      </c>
      <c r="O5908" t="s">
        <v>239</v>
      </c>
      <c r="P5908" t="s">
        <v>514</v>
      </c>
      <c r="U5908">
        <v>0</v>
      </c>
      <c r="Y5908">
        <v>1494</v>
      </c>
      <c r="Z5908" s="259" t="s">
        <v>637</v>
      </c>
      <c r="AB5908">
        <v>60160</v>
      </c>
      <c r="AF5908">
        <v>219704.4</v>
      </c>
      <c r="AG5908">
        <v>0</v>
      </c>
      <c r="AI5908">
        <v>219754</v>
      </c>
      <c r="AJ5908">
        <v>0</v>
      </c>
      <c r="AK5908">
        <v>0</v>
      </c>
      <c r="AL5908">
        <v>0</v>
      </c>
      <c r="AM5908">
        <v>159840</v>
      </c>
      <c r="AN5908">
        <v>59864.4</v>
      </c>
      <c r="AO5908">
        <v>219704.4</v>
      </c>
      <c r="AP5908">
        <v>0</v>
      </c>
      <c r="AQ5908">
        <v>-49.600000000005821</v>
      </c>
      <c r="AR5908">
        <v>-2.2570692683643312E-4</v>
      </c>
      <c r="AS5908" t="s">
        <v>239</v>
      </c>
      <c r="AT5908" t="s">
        <v>514</v>
      </c>
    </row>
    <row r="5909" spans="2:46" x14ac:dyDescent="0.35">
      <c r="B5909" t="s">
        <v>649</v>
      </c>
      <c r="C5909">
        <v>45692</v>
      </c>
      <c r="J5909">
        <v>0</v>
      </c>
      <c r="O5909" t="s">
        <v>239</v>
      </c>
      <c r="P5909" t="s">
        <v>514</v>
      </c>
      <c r="U5909">
        <v>0</v>
      </c>
      <c r="Y5909">
        <v>1495</v>
      </c>
      <c r="Z5909" s="259" t="s">
        <v>637</v>
      </c>
      <c r="AB5909">
        <v>60160</v>
      </c>
      <c r="AF5909">
        <v>219683.7</v>
      </c>
      <c r="AG5909">
        <v>0</v>
      </c>
      <c r="AI5909">
        <v>219704.4</v>
      </c>
      <c r="AJ5909">
        <v>0</v>
      </c>
      <c r="AK5909">
        <v>0</v>
      </c>
      <c r="AL5909">
        <v>0</v>
      </c>
      <c r="AM5909">
        <v>159840</v>
      </c>
      <c r="AN5909">
        <v>59843.7</v>
      </c>
      <c r="AO5909">
        <v>219683.7</v>
      </c>
      <c r="AP5909">
        <v>0</v>
      </c>
      <c r="AQ5909">
        <v>-20.699999999982538</v>
      </c>
      <c r="AR5909">
        <v>-9.4217503154192528E-5</v>
      </c>
      <c r="AS5909" t="s">
        <v>239</v>
      </c>
      <c r="AT5909" t="s">
        <v>514</v>
      </c>
    </row>
    <row r="5910" spans="2:46" x14ac:dyDescent="0.35">
      <c r="B5910" t="s">
        <v>649</v>
      </c>
      <c r="C5910">
        <v>45693</v>
      </c>
      <c r="J5910">
        <v>0</v>
      </c>
      <c r="O5910" t="s">
        <v>239</v>
      </c>
      <c r="P5910" t="s">
        <v>514</v>
      </c>
      <c r="U5910">
        <v>0</v>
      </c>
      <c r="Y5910">
        <v>1496</v>
      </c>
      <c r="Z5910" s="259" t="s">
        <v>637</v>
      </c>
      <c r="AB5910">
        <v>60160</v>
      </c>
      <c r="AF5910">
        <v>219661.8</v>
      </c>
      <c r="AG5910">
        <v>0</v>
      </c>
      <c r="AI5910">
        <v>219683.7</v>
      </c>
      <c r="AJ5910">
        <v>0</v>
      </c>
      <c r="AK5910">
        <v>0</v>
      </c>
      <c r="AL5910">
        <v>0</v>
      </c>
      <c r="AM5910">
        <v>159840</v>
      </c>
      <c r="AN5910">
        <v>59821.8</v>
      </c>
      <c r="AO5910">
        <v>219661.8</v>
      </c>
      <c r="AP5910">
        <v>0</v>
      </c>
      <c r="AQ5910">
        <v>-21.900000000023283</v>
      </c>
      <c r="AR5910">
        <v>-9.9688779823137175E-5</v>
      </c>
      <c r="AS5910" t="s">
        <v>239</v>
      </c>
      <c r="AT5910" t="s">
        <v>514</v>
      </c>
    </row>
    <row r="5911" spans="2:46" x14ac:dyDescent="0.35">
      <c r="B5911" t="s">
        <v>649</v>
      </c>
      <c r="C5911">
        <v>45694</v>
      </c>
      <c r="J5911">
        <v>0</v>
      </c>
      <c r="O5911" t="s">
        <v>239</v>
      </c>
      <c r="P5911" t="s">
        <v>514</v>
      </c>
      <c r="U5911">
        <v>0</v>
      </c>
      <c r="Y5911">
        <v>1497</v>
      </c>
      <c r="Z5911" s="259" t="s">
        <v>637</v>
      </c>
      <c r="AB5911">
        <v>60160</v>
      </c>
      <c r="AF5911">
        <v>219638.1</v>
      </c>
      <c r="AG5911">
        <v>0</v>
      </c>
      <c r="AI5911">
        <v>219661.8</v>
      </c>
      <c r="AJ5911">
        <v>0</v>
      </c>
      <c r="AK5911">
        <v>0</v>
      </c>
      <c r="AL5911">
        <v>0</v>
      </c>
      <c r="AM5911">
        <v>159840</v>
      </c>
      <c r="AN5911">
        <v>59798.1</v>
      </c>
      <c r="AO5911">
        <v>219638.1</v>
      </c>
      <c r="AP5911">
        <v>0</v>
      </c>
      <c r="AQ5911">
        <v>-23.699999999982538</v>
      </c>
      <c r="AR5911">
        <v>-1.0789313389936162E-4</v>
      </c>
      <c r="AS5911" t="s">
        <v>239</v>
      </c>
      <c r="AT5911" t="s">
        <v>514</v>
      </c>
    </row>
    <row r="5912" spans="2:46" x14ac:dyDescent="0.35">
      <c r="B5912" t="s">
        <v>649</v>
      </c>
      <c r="C5912">
        <v>45695</v>
      </c>
      <c r="J5912">
        <v>0</v>
      </c>
      <c r="O5912" t="s">
        <v>239</v>
      </c>
      <c r="P5912" t="s">
        <v>514</v>
      </c>
      <c r="U5912">
        <v>0</v>
      </c>
      <c r="Y5912">
        <v>1498</v>
      </c>
      <c r="Z5912" s="259" t="s">
        <v>637</v>
      </c>
      <c r="AB5912">
        <v>60160</v>
      </c>
      <c r="AF5912">
        <v>219616.2</v>
      </c>
      <c r="AG5912">
        <v>0</v>
      </c>
      <c r="AI5912">
        <v>219638.1</v>
      </c>
      <c r="AJ5912">
        <v>0</v>
      </c>
      <c r="AK5912">
        <v>0</v>
      </c>
      <c r="AL5912">
        <v>0</v>
      </c>
      <c r="AM5912">
        <v>159840</v>
      </c>
      <c r="AN5912">
        <v>59776.2</v>
      </c>
      <c r="AO5912">
        <v>219616.2</v>
      </c>
      <c r="AP5912">
        <v>0</v>
      </c>
      <c r="AQ5912">
        <v>-21.899999999994179</v>
      </c>
      <c r="AR5912">
        <v>-9.9709476634513017E-5</v>
      </c>
      <c r="AS5912" t="s">
        <v>239</v>
      </c>
      <c r="AT5912" t="s">
        <v>514</v>
      </c>
    </row>
    <row r="5913" spans="2:46" x14ac:dyDescent="0.35">
      <c r="B5913" t="s">
        <v>649</v>
      </c>
      <c r="C5913">
        <v>45696</v>
      </c>
      <c r="J5913">
        <v>0</v>
      </c>
      <c r="O5913" t="s">
        <v>239</v>
      </c>
      <c r="P5913" t="s">
        <v>514</v>
      </c>
      <c r="U5913">
        <v>0</v>
      </c>
      <c r="Y5913">
        <v>1499</v>
      </c>
      <c r="Z5913" s="259" t="s">
        <v>637</v>
      </c>
      <c r="AB5913">
        <v>60160</v>
      </c>
      <c r="AF5913">
        <v>219616.2</v>
      </c>
      <c r="AG5913">
        <v>0</v>
      </c>
      <c r="AI5913">
        <v>219616.2</v>
      </c>
      <c r="AJ5913">
        <v>0</v>
      </c>
      <c r="AK5913">
        <v>0</v>
      </c>
      <c r="AL5913">
        <v>0</v>
      </c>
      <c r="AM5913">
        <v>159840</v>
      </c>
      <c r="AN5913">
        <v>59776.2</v>
      </c>
      <c r="AO5913">
        <v>219616.2</v>
      </c>
      <c r="AP5913">
        <v>0</v>
      </c>
      <c r="AQ5913">
        <v>0</v>
      </c>
      <c r="AR5913">
        <v>0</v>
      </c>
      <c r="AS5913" t="s">
        <v>239</v>
      </c>
      <c r="AT5913" t="s">
        <v>514</v>
      </c>
    </row>
    <row r="5914" spans="2:46" x14ac:dyDescent="0.35">
      <c r="B5914" t="s">
        <v>649</v>
      </c>
      <c r="C5914">
        <v>45697</v>
      </c>
      <c r="J5914">
        <v>0</v>
      </c>
      <c r="O5914" t="s">
        <v>239</v>
      </c>
      <c r="P5914" t="s">
        <v>514</v>
      </c>
      <c r="U5914">
        <v>0</v>
      </c>
      <c r="Y5914">
        <v>1500</v>
      </c>
      <c r="Z5914" s="259" t="s">
        <v>637</v>
      </c>
      <c r="AB5914">
        <v>60160</v>
      </c>
      <c r="AF5914">
        <v>219616.2</v>
      </c>
      <c r="AG5914">
        <v>0</v>
      </c>
      <c r="AI5914">
        <v>219616.2</v>
      </c>
      <c r="AJ5914">
        <v>0</v>
      </c>
      <c r="AK5914">
        <v>0</v>
      </c>
      <c r="AL5914">
        <v>0</v>
      </c>
      <c r="AM5914">
        <v>159840</v>
      </c>
      <c r="AN5914">
        <v>59776.2</v>
      </c>
      <c r="AO5914">
        <v>219616.2</v>
      </c>
      <c r="AP5914">
        <v>0</v>
      </c>
      <c r="AQ5914">
        <v>0</v>
      </c>
      <c r="AR5914">
        <v>0</v>
      </c>
      <c r="AS5914" t="s">
        <v>239</v>
      </c>
      <c r="AT5914" t="s">
        <v>514</v>
      </c>
    </row>
    <row r="5915" spans="2:46" x14ac:dyDescent="0.35">
      <c r="B5915" t="s">
        <v>649</v>
      </c>
      <c r="C5915">
        <v>45698</v>
      </c>
      <c r="J5915">
        <v>0</v>
      </c>
      <c r="O5915" t="s">
        <v>239</v>
      </c>
      <c r="P5915" t="s">
        <v>514</v>
      </c>
      <c r="U5915">
        <v>0</v>
      </c>
      <c r="Y5915">
        <v>1501</v>
      </c>
      <c r="Z5915" s="259" t="s">
        <v>637</v>
      </c>
      <c r="AB5915">
        <v>60160</v>
      </c>
      <c r="AF5915">
        <v>219549.9</v>
      </c>
      <c r="AG5915">
        <v>0</v>
      </c>
      <c r="AI5915">
        <v>219616.2</v>
      </c>
      <c r="AJ5915">
        <v>0</v>
      </c>
      <c r="AK5915">
        <v>0</v>
      </c>
      <c r="AL5915">
        <v>0</v>
      </c>
      <c r="AM5915">
        <v>159840</v>
      </c>
      <c r="AN5915">
        <v>59709.9</v>
      </c>
      <c r="AO5915">
        <v>219549.9</v>
      </c>
      <c r="AP5915">
        <v>0</v>
      </c>
      <c r="AQ5915">
        <v>-66.300000000017462</v>
      </c>
      <c r="AR5915">
        <v>-3.0189029771032772E-4</v>
      </c>
      <c r="AS5915" t="s">
        <v>239</v>
      </c>
      <c r="AT5915" t="s">
        <v>514</v>
      </c>
    </row>
    <row r="5916" spans="2:46" x14ac:dyDescent="0.35">
      <c r="B5916" t="s">
        <v>649</v>
      </c>
      <c r="C5916">
        <v>45699</v>
      </c>
      <c r="J5916">
        <v>0</v>
      </c>
      <c r="O5916" t="s">
        <v>239</v>
      </c>
      <c r="P5916" t="s">
        <v>514</v>
      </c>
      <c r="U5916">
        <v>0</v>
      </c>
      <c r="Y5916">
        <v>1502</v>
      </c>
      <c r="Z5916" s="259" t="s">
        <v>637</v>
      </c>
      <c r="AB5916">
        <v>60160</v>
      </c>
      <c r="AF5916">
        <v>219528</v>
      </c>
      <c r="AG5916">
        <v>0</v>
      </c>
      <c r="AI5916">
        <v>219549.9</v>
      </c>
      <c r="AJ5916">
        <v>0</v>
      </c>
      <c r="AK5916">
        <v>0</v>
      </c>
      <c r="AL5916">
        <v>0</v>
      </c>
      <c r="AM5916">
        <v>159840</v>
      </c>
      <c r="AN5916">
        <v>59688</v>
      </c>
      <c r="AO5916">
        <v>219528</v>
      </c>
      <c r="AP5916">
        <v>0</v>
      </c>
      <c r="AQ5916">
        <v>-21.899999999994179</v>
      </c>
      <c r="AR5916">
        <v>-9.9749533021831205E-5</v>
      </c>
      <c r="AS5916" t="s">
        <v>239</v>
      </c>
      <c r="AT5916" t="s">
        <v>514</v>
      </c>
    </row>
    <row r="5917" spans="2:46" x14ac:dyDescent="0.35">
      <c r="B5917" t="s">
        <v>649</v>
      </c>
      <c r="C5917">
        <v>45700</v>
      </c>
      <c r="J5917">
        <v>0</v>
      </c>
      <c r="O5917" t="s">
        <v>239</v>
      </c>
      <c r="P5917" t="s">
        <v>514</v>
      </c>
      <c r="U5917">
        <v>0</v>
      </c>
      <c r="Y5917">
        <v>1503</v>
      </c>
      <c r="Z5917" s="259" t="s">
        <v>637</v>
      </c>
      <c r="AB5917">
        <v>60160</v>
      </c>
      <c r="AF5917">
        <v>219504.3</v>
      </c>
      <c r="AG5917">
        <v>0</v>
      </c>
      <c r="AI5917">
        <v>219528</v>
      </c>
      <c r="AJ5917">
        <v>0</v>
      </c>
      <c r="AK5917">
        <v>0</v>
      </c>
      <c r="AL5917">
        <v>0</v>
      </c>
      <c r="AM5917">
        <v>159840</v>
      </c>
      <c r="AN5917">
        <v>59664.3</v>
      </c>
      <c r="AO5917">
        <v>219504.3</v>
      </c>
      <c r="AP5917">
        <v>0</v>
      </c>
      <c r="AQ5917">
        <v>-23.700000000011642</v>
      </c>
      <c r="AR5917">
        <v>-1.0795889362635869E-4</v>
      </c>
      <c r="AS5917" t="s">
        <v>239</v>
      </c>
      <c r="AT5917" t="s">
        <v>514</v>
      </c>
    </row>
    <row r="5918" spans="2:46" x14ac:dyDescent="0.35">
      <c r="B5918" t="s">
        <v>649</v>
      </c>
      <c r="C5918">
        <v>45701</v>
      </c>
      <c r="J5918">
        <v>0</v>
      </c>
      <c r="O5918" t="s">
        <v>239</v>
      </c>
      <c r="P5918" t="s">
        <v>514</v>
      </c>
      <c r="U5918">
        <v>0</v>
      </c>
      <c r="Y5918">
        <v>1504</v>
      </c>
      <c r="Z5918" s="259" t="s">
        <v>637</v>
      </c>
      <c r="AB5918">
        <v>60160</v>
      </c>
      <c r="AF5918">
        <v>219483.9</v>
      </c>
      <c r="AG5918">
        <v>0</v>
      </c>
      <c r="AI5918">
        <v>219504.3</v>
      </c>
      <c r="AJ5918">
        <v>0</v>
      </c>
      <c r="AK5918">
        <v>0</v>
      </c>
      <c r="AL5918">
        <v>0</v>
      </c>
      <c r="AM5918">
        <v>159840</v>
      </c>
      <c r="AN5918">
        <v>59643.9</v>
      </c>
      <c r="AO5918">
        <v>219483.9</v>
      </c>
      <c r="AP5918">
        <v>0</v>
      </c>
      <c r="AQ5918">
        <v>-20.399999999994179</v>
      </c>
      <c r="AR5918">
        <v>-9.2936675955779258E-5</v>
      </c>
      <c r="AS5918" t="s">
        <v>239</v>
      </c>
      <c r="AT5918" t="s">
        <v>514</v>
      </c>
    </row>
    <row r="5919" spans="2:46" x14ac:dyDescent="0.35">
      <c r="B5919" t="s">
        <v>649</v>
      </c>
      <c r="C5919">
        <v>45702</v>
      </c>
      <c r="J5919">
        <v>0</v>
      </c>
      <c r="O5919" t="s">
        <v>239</v>
      </c>
      <c r="P5919" t="s">
        <v>514</v>
      </c>
      <c r="U5919">
        <v>0</v>
      </c>
      <c r="Y5919">
        <v>1505</v>
      </c>
      <c r="Z5919" s="259" t="s">
        <v>637</v>
      </c>
      <c r="AB5919">
        <v>60160</v>
      </c>
      <c r="AF5919">
        <v>219460.2</v>
      </c>
      <c r="AG5919">
        <v>0</v>
      </c>
      <c r="AI5919">
        <v>219483.9</v>
      </c>
      <c r="AJ5919">
        <v>0</v>
      </c>
      <c r="AK5919">
        <v>0</v>
      </c>
      <c r="AL5919">
        <v>0</v>
      </c>
      <c r="AM5919">
        <v>159840</v>
      </c>
      <c r="AN5919">
        <v>59620.2</v>
      </c>
      <c r="AO5919">
        <v>219460.2</v>
      </c>
      <c r="AP5919">
        <v>0</v>
      </c>
      <c r="AQ5919">
        <v>-23.699999999982538</v>
      </c>
      <c r="AR5919">
        <v>-1.0798058536398703E-4</v>
      </c>
      <c r="AS5919" t="s">
        <v>239</v>
      </c>
      <c r="AT5919" t="s">
        <v>514</v>
      </c>
    </row>
    <row r="5920" spans="2:46" x14ac:dyDescent="0.35">
      <c r="B5920" t="s">
        <v>649</v>
      </c>
      <c r="C5920">
        <v>45703</v>
      </c>
      <c r="J5920">
        <v>0</v>
      </c>
      <c r="O5920" t="s">
        <v>239</v>
      </c>
      <c r="P5920" t="s">
        <v>514</v>
      </c>
      <c r="U5920">
        <v>0</v>
      </c>
      <c r="Y5920">
        <v>1506</v>
      </c>
      <c r="Z5920" s="259" t="s">
        <v>637</v>
      </c>
      <c r="AB5920">
        <v>60160</v>
      </c>
      <c r="AF5920">
        <v>219460.2</v>
      </c>
      <c r="AG5920">
        <v>0</v>
      </c>
      <c r="AI5920">
        <v>219460.2</v>
      </c>
      <c r="AJ5920">
        <v>0</v>
      </c>
      <c r="AK5920">
        <v>0</v>
      </c>
      <c r="AL5920">
        <v>0</v>
      </c>
      <c r="AM5920">
        <v>159840</v>
      </c>
      <c r="AN5920">
        <v>59620.2</v>
      </c>
      <c r="AO5920">
        <v>219460.2</v>
      </c>
      <c r="AP5920">
        <v>0</v>
      </c>
      <c r="AQ5920">
        <v>0</v>
      </c>
      <c r="AR5920">
        <v>0</v>
      </c>
      <c r="AS5920" t="s">
        <v>239</v>
      </c>
      <c r="AT5920" t="s">
        <v>514</v>
      </c>
    </row>
    <row r="5921" spans="2:46" x14ac:dyDescent="0.35">
      <c r="B5921" t="s">
        <v>649</v>
      </c>
      <c r="C5921">
        <v>45704</v>
      </c>
      <c r="J5921">
        <v>0</v>
      </c>
      <c r="O5921" t="s">
        <v>239</v>
      </c>
      <c r="P5921" t="s">
        <v>514</v>
      </c>
      <c r="U5921">
        <v>0</v>
      </c>
      <c r="Y5921">
        <v>1507</v>
      </c>
      <c r="Z5921" s="259" t="s">
        <v>637</v>
      </c>
      <c r="AB5921">
        <v>60160</v>
      </c>
      <c r="AF5921">
        <v>219460.2</v>
      </c>
      <c r="AG5921">
        <v>0</v>
      </c>
      <c r="AI5921">
        <v>219460.2</v>
      </c>
      <c r="AJ5921">
        <v>0</v>
      </c>
      <c r="AK5921">
        <v>0</v>
      </c>
      <c r="AL5921">
        <v>0</v>
      </c>
      <c r="AM5921">
        <v>159840</v>
      </c>
      <c r="AN5921">
        <v>59620.2</v>
      </c>
      <c r="AO5921">
        <v>219460.2</v>
      </c>
      <c r="AP5921">
        <v>0</v>
      </c>
      <c r="AQ5921">
        <v>0</v>
      </c>
      <c r="AR5921">
        <v>0</v>
      </c>
      <c r="AS5921" t="s">
        <v>239</v>
      </c>
      <c r="AT5921" t="s">
        <v>514</v>
      </c>
    </row>
    <row r="5922" spans="2:46" x14ac:dyDescent="0.35">
      <c r="B5922" t="s">
        <v>649</v>
      </c>
      <c r="C5922">
        <v>45705</v>
      </c>
      <c r="J5922">
        <v>0</v>
      </c>
      <c r="O5922" t="s">
        <v>239</v>
      </c>
      <c r="P5922" t="s">
        <v>514</v>
      </c>
      <c r="U5922">
        <v>0</v>
      </c>
      <c r="Y5922">
        <v>1508</v>
      </c>
      <c r="Z5922" s="259" t="s">
        <v>637</v>
      </c>
      <c r="AB5922">
        <v>60160</v>
      </c>
      <c r="AF5922">
        <v>219395.7</v>
      </c>
      <c r="AG5922">
        <v>0</v>
      </c>
      <c r="AI5922">
        <v>219460.2</v>
      </c>
      <c r="AJ5922">
        <v>0</v>
      </c>
      <c r="AK5922">
        <v>0</v>
      </c>
      <c r="AL5922">
        <v>0</v>
      </c>
      <c r="AM5922">
        <v>159840</v>
      </c>
      <c r="AN5922">
        <v>59555.7</v>
      </c>
      <c r="AO5922">
        <v>219395.7</v>
      </c>
      <c r="AP5922">
        <v>0</v>
      </c>
      <c r="AQ5922">
        <v>-64.5</v>
      </c>
      <c r="AR5922">
        <v>-2.9390294914521942E-4</v>
      </c>
      <c r="AS5922" t="s">
        <v>239</v>
      </c>
      <c r="AT5922" t="s">
        <v>514</v>
      </c>
    </row>
    <row r="5923" spans="2:46" x14ac:dyDescent="0.35">
      <c r="B5923" t="s">
        <v>649</v>
      </c>
      <c r="C5923">
        <v>45706</v>
      </c>
      <c r="J5923">
        <v>0</v>
      </c>
      <c r="O5923" t="s">
        <v>239</v>
      </c>
      <c r="P5923" t="s">
        <v>514</v>
      </c>
      <c r="U5923">
        <v>0</v>
      </c>
      <c r="Y5923">
        <v>1509</v>
      </c>
      <c r="Z5923" s="259" t="s">
        <v>637</v>
      </c>
      <c r="AB5923">
        <v>60160</v>
      </c>
      <c r="AF5923">
        <v>219372</v>
      </c>
      <c r="AG5923">
        <v>0</v>
      </c>
      <c r="AI5923">
        <v>219395.7</v>
      </c>
      <c r="AJ5923">
        <v>0</v>
      </c>
      <c r="AK5923">
        <v>0</v>
      </c>
      <c r="AL5923">
        <v>0</v>
      </c>
      <c r="AM5923">
        <v>159840</v>
      </c>
      <c r="AN5923">
        <v>59532</v>
      </c>
      <c r="AO5923">
        <v>219372</v>
      </c>
      <c r="AP5923">
        <v>0</v>
      </c>
      <c r="AQ5923">
        <v>-23.700000000011642</v>
      </c>
      <c r="AR5923">
        <v>-1.0802399500087212E-4</v>
      </c>
      <c r="AS5923" t="s">
        <v>239</v>
      </c>
      <c r="AT5923" t="s">
        <v>514</v>
      </c>
    </row>
    <row r="5924" spans="2:46" x14ac:dyDescent="0.35">
      <c r="B5924" t="s">
        <v>649</v>
      </c>
      <c r="C5924">
        <v>45707</v>
      </c>
      <c r="J5924">
        <v>0</v>
      </c>
      <c r="O5924" t="s">
        <v>239</v>
      </c>
      <c r="P5924" t="s">
        <v>514</v>
      </c>
      <c r="U5924">
        <v>0</v>
      </c>
      <c r="Y5924">
        <v>1510</v>
      </c>
      <c r="Z5924" s="259" t="s">
        <v>637</v>
      </c>
      <c r="AB5924">
        <v>60160</v>
      </c>
      <c r="AF5924">
        <v>219350.1</v>
      </c>
      <c r="AG5924">
        <v>0</v>
      </c>
      <c r="AI5924">
        <v>219372</v>
      </c>
      <c r="AJ5924">
        <v>0</v>
      </c>
      <c r="AK5924">
        <v>0</v>
      </c>
      <c r="AL5924">
        <v>0</v>
      </c>
      <c r="AM5924">
        <v>159840</v>
      </c>
      <c r="AN5924">
        <v>59510.1</v>
      </c>
      <c r="AO5924">
        <v>219350.1</v>
      </c>
      <c r="AP5924">
        <v>0</v>
      </c>
      <c r="AQ5924">
        <v>-21.899999999994179</v>
      </c>
      <c r="AR5924">
        <v>-9.9830425031477432E-5</v>
      </c>
      <c r="AS5924" t="s">
        <v>239</v>
      </c>
      <c r="AT5924" t="s">
        <v>514</v>
      </c>
    </row>
    <row r="5925" spans="2:46" x14ac:dyDescent="0.35">
      <c r="B5925" t="s">
        <v>649</v>
      </c>
      <c r="C5925">
        <v>45708</v>
      </c>
      <c r="J5925">
        <v>0</v>
      </c>
      <c r="O5925" t="s">
        <v>239</v>
      </c>
      <c r="P5925" t="s">
        <v>514</v>
      </c>
      <c r="U5925">
        <v>0</v>
      </c>
      <c r="Y5925">
        <v>1511</v>
      </c>
      <c r="Z5925" s="259" t="s">
        <v>637</v>
      </c>
      <c r="AB5925">
        <v>60160</v>
      </c>
      <c r="AF5925">
        <v>219327.9</v>
      </c>
      <c r="AG5925">
        <v>0</v>
      </c>
      <c r="AI5925">
        <v>219350.1</v>
      </c>
      <c r="AJ5925">
        <v>0</v>
      </c>
      <c r="AK5925">
        <v>0</v>
      </c>
      <c r="AL5925">
        <v>0</v>
      </c>
      <c r="AM5925">
        <v>159840</v>
      </c>
      <c r="AN5925">
        <v>59487.9</v>
      </c>
      <c r="AO5925">
        <v>219327.9</v>
      </c>
      <c r="AP5925">
        <v>0</v>
      </c>
      <c r="AQ5925">
        <v>-22.200000000011642</v>
      </c>
      <c r="AR5925">
        <v>-1.0120806874491795E-4</v>
      </c>
      <c r="AS5925" t="s">
        <v>239</v>
      </c>
      <c r="AT5925" t="s">
        <v>514</v>
      </c>
    </row>
    <row r="5926" spans="2:46" x14ac:dyDescent="0.35">
      <c r="B5926" t="s">
        <v>649</v>
      </c>
      <c r="C5926">
        <v>45709</v>
      </c>
      <c r="J5926">
        <v>0</v>
      </c>
      <c r="O5926" t="s">
        <v>239</v>
      </c>
      <c r="P5926" t="s">
        <v>514</v>
      </c>
      <c r="U5926">
        <v>0</v>
      </c>
      <c r="Y5926">
        <v>1512</v>
      </c>
      <c r="Z5926" s="259" t="s">
        <v>637</v>
      </c>
      <c r="AB5926">
        <v>60160</v>
      </c>
      <c r="AF5926">
        <v>219306</v>
      </c>
      <c r="AG5926">
        <v>0</v>
      </c>
      <c r="AI5926">
        <v>219327.9</v>
      </c>
      <c r="AJ5926">
        <v>0</v>
      </c>
      <c r="AK5926">
        <v>0</v>
      </c>
      <c r="AL5926">
        <v>0</v>
      </c>
      <c r="AM5926">
        <v>159840</v>
      </c>
      <c r="AN5926">
        <v>59466</v>
      </c>
      <c r="AO5926">
        <v>219306</v>
      </c>
      <c r="AP5926">
        <v>0</v>
      </c>
      <c r="AQ5926">
        <v>-21.899999999994179</v>
      </c>
      <c r="AR5926">
        <v>-9.985049781624511E-5</v>
      </c>
      <c r="AS5926" t="s">
        <v>239</v>
      </c>
      <c r="AT5926" t="s">
        <v>514</v>
      </c>
    </row>
    <row r="5927" spans="2:46" x14ac:dyDescent="0.35">
      <c r="B5927" t="s">
        <v>649</v>
      </c>
      <c r="C5927">
        <v>45710</v>
      </c>
      <c r="J5927">
        <v>0</v>
      </c>
      <c r="O5927" t="s">
        <v>239</v>
      </c>
      <c r="P5927" t="s">
        <v>514</v>
      </c>
      <c r="U5927">
        <v>0</v>
      </c>
      <c r="Y5927">
        <v>1513</v>
      </c>
      <c r="Z5927" s="259" t="s">
        <v>637</v>
      </c>
      <c r="AB5927">
        <v>60160</v>
      </c>
      <c r="AF5927">
        <v>219306</v>
      </c>
      <c r="AG5927">
        <v>0</v>
      </c>
      <c r="AI5927">
        <v>219306</v>
      </c>
      <c r="AJ5927">
        <v>0</v>
      </c>
      <c r="AK5927">
        <v>0</v>
      </c>
      <c r="AL5927">
        <v>0</v>
      </c>
      <c r="AM5927">
        <v>159840</v>
      </c>
      <c r="AN5927">
        <v>59466</v>
      </c>
      <c r="AO5927">
        <v>219306</v>
      </c>
      <c r="AP5927">
        <v>0</v>
      </c>
      <c r="AQ5927">
        <v>0</v>
      </c>
      <c r="AR5927">
        <v>0</v>
      </c>
      <c r="AS5927" t="s">
        <v>239</v>
      </c>
      <c r="AT5927" t="s">
        <v>514</v>
      </c>
    </row>
    <row r="5928" spans="2:46" x14ac:dyDescent="0.35">
      <c r="B5928" t="s">
        <v>649</v>
      </c>
      <c r="C5928">
        <v>45711</v>
      </c>
      <c r="J5928">
        <v>0</v>
      </c>
      <c r="O5928" t="s">
        <v>239</v>
      </c>
      <c r="P5928" t="s">
        <v>514</v>
      </c>
      <c r="U5928">
        <v>0</v>
      </c>
      <c r="Y5928">
        <v>1514</v>
      </c>
      <c r="Z5928" s="259" t="s">
        <v>637</v>
      </c>
      <c r="AB5928">
        <v>60160</v>
      </c>
      <c r="AF5928">
        <v>219306</v>
      </c>
      <c r="AG5928">
        <v>0</v>
      </c>
      <c r="AI5928">
        <v>219306</v>
      </c>
      <c r="AJ5928">
        <v>0</v>
      </c>
      <c r="AK5928">
        <v>0</v>
      </c>
      <c r="AL5928">
        <v>0</v>
      </c>
      <c r="AM5928">
        <v>159840</v>
      </c>
      <c r="AN5928">
        <v>59466</v>
      </c>
      <c r="AO5928">
        <v>219306</v>
      </c>
      <c r="AP5928">
        <v>0</v>
      </c>
      <c r="AQ5928">
        <v>0</v>
      </c>
      <c r="AR5928">
        <v>0</v>
      </c>
      <c r="AS5928" t="s">
        <v>239</v>
      </c>
      <c r="AT5928" t="s">
        <v>514</v>
      </c>
    </row>
    <row r="5929" spans="2:46" x14ac:dyDescent="0.35">
      <c r="B5929" t="s">
        <v>649</v>
      </c>
      <c r="C5929">
        <v>45712</v>
      </c>
      <c r="J5929">
        <v>0</v>
      </c>
      <c r="O5929" t="s">
        <v>239</v>
      </c>
      <c r="P5929" t="s">
        <v>514</v>
      </c>
      <c r="U5929">
        <v>0</v>
      </c>
      <c r="Y5929">
        <v>1515</v>
      </c>
      <c r="Z5929" s="259" t="s">
        <v>637</v>
      </c>
      <c r="AB5929">
        <v>60160</v>
      </c>
      <c r="AF5929">
        <v>219238.2</v>
      </c>
      <c r="AG5929">
        <v>0</v>
      </c>
      <c r="AI5929">
        <v>219306</v>
      </c>
      <c r="AJ5929">
        <v>0</v>
      </c>
      <c r="AK5929">
        <v>0</v>
      </c>
      <c r="AL5929">
        <v>0</v>
      </c>
      <c r="AM5929">
        <v>159840</v>
      </c>
      <c r="AN5929">
        <v>59398.2</v>
      </c>
      <c r="AO5929">
        <v>219238.2</v>
      </c>
      <c r="AP5929">
        <v>0</v>
      </c>
      <c r="AQ5929">
        <v>-67.799999999988358</v>
      </c>
      <c r="AR5929">
        <v>-3.0915706820600075E-4</v>
      </c>
      <c r="AS5929" t="s">
        <v>239</v>
      </c>
      <c r="AT5929" t="s">
        <v>514</v>
      </c>
    </row>
    <row r="5930" spans="2:46" x14ac:dyDescent="0.35">
      <c r="B5930" t="s">
        <v>649</v>
      </c>
      <c r="C5930">
        <v>45713</v>
      </c>
      <c r="J5930">
        <v>0</v>
      </c>
      <c r="O5930" t="s">
        <v>239</v>
      </c>
      <c r="P5930" t="s">
        <v>514</v>
      </c>
      <c r="U5930">
        <v>0</v>
      </c>
      <c r="Y5930">
        <v>1516</v>
      </c>
      <c r="Z5930" s="259" t="s">
        <v>637</v>
      </c>
      <c r="AB5930">
        <v>60160</v>
      </c>
      <c r="AF5930">
        <v>219216.3</v>
      </c>
      <c r="AG5930">
        <v>0</v>
      </c>
      <c r="AI5930">
        <v>219238.2</v>
      </c>
      <c r="AJ5930">
        <v>0</v>
      </c>
      <c r="AK5930">
        <v>0</v>
      </c>
      <c r="AL5930">
        <v>0</v>
      </c>
      <c r="AM5930">
        <v>159840</v>
      </c>
      <c r="AN5930">
        <v>59376.3</v>
      </c>
      <c r="AO5930">
        <v>219216.3</v>
      </c>
      <c r="AP5930">
        <v>0</v>
      </c>
      <c r="AQ5930">
        <v>-21.900000000023283</v>
      </c>
      <c r="AR5930">
        <v>-9.9891351051151211E-5</v>
      </c>
      <c r="AS5930" t="s">
        <v>239</v>
      </c>
      <c r="AT5930" t="s">
        <v>514</v>
      </c>
    </row>
    <row r="5931" spans="2:46" x14ac:dyDescent="0.35">
      <c r="B5931" t="s">
        <v>649</v>
      </c>
      <c r="C5931">
        <v>45714</v>
      </c>
      <c r="J5931">
        <v>0</v>
      </c>
      <c r="O5931" t="s">
        <v>239</v>
      </c>
      <c r="P5931" t="s">
        <v>514</v>
      </c>
      <c r="U5931">
        <v>0</v>
      </c>
      <c r="Y5931">
        <v>1517</v>
      </c>
      <c r="Z5931" s="259" t="s">
        <v>637</v>
      </c>
      <c r="AB5931">
        <v>60160</v>
      </c>
      <c r="AF5931">
        <v>219195.6</v>
      </c>
      <c r="AG5931">
        <v>0</v>
      </c>
      <c r="AI5931">
        <v>219216.3</v>
      </c>
      <c r="AJ5931">
        <v>0</v>
      </c>
      <c r="AK5931">
        <v>0</v>
      </c>
      <c r="AL5931">
        <v>0</v>
      </c>
      <c r="AM5931">
        <v>159840</v>
      </c>
      <c r="AN5931">
        <v>59355.6</v>
      </c>
      <c r="AO5931">
        <v>219195.6</v>
      </c>
      <c r="AP5931">
        <v>0</v>
      </c>
      <c r="AQ5931">
        <v>-20.699999999982538</v>
      </c>
      <c r="AR5931">
        <v>-9.4427284832332425E-5</v>
      </c>
      <c r="AS5931" t="s">
        <v>239</v>
      </c>
      <c r="AT5931" t="s">
        <v>514</v>
      </c>
    </row>
    <row r="5932" spans="2:46" x14ac:dyDescent="0.35">
      <c r="B5932" t="s">
        <v>649</v>
      </c>
      <c r="C5932">
        <v>45715</v>
      </c>
      <c r="J5932">
        <v>0</v>
      </c>
      <c r="O5932" t="s">
        <v>239</v>
      </c>
      <c r="P5932" t="s">
        <v>514</v>
      </c>
      <c r="U5932">
        <v>0</v>
      </c>
      <c r="Y5932">
        <v>1518</v>
      </c>
      <c r="Z5932" s="259" t="s">
        <v>637</v>
      </c>
      <c r="AB5932">
        <v>60160</v>
      </c>
      <c r="AF5932">
        <v>219173.7</v>
      </c>
      <c r="AG5932">
        <v>0</v>
      </c>
      <c r="AI5932">
        <v>219195.6</v>
      </c>
      <c r="AJ5932">
        <v>0</v>
      </c>
      <c r="AK5932">
        <v>0</v>
      </c>
      <c r="AL5932">
        <v>0</v>
      </c>
      <c r="AM5932">
        <v>159840</v>
      </c>
      <c r="AN5932">
        <v>59333.7</v>
      </c>
      <c r="AO5932">
        <v>219173.7</v>
      </c>
      <c r="AP5932">
        <v>0</v>
      </c>
      <c r="AQ5932">
        <v>-21.899999999994179</v>
      </c>
      <c r="AR5932">
        <v>-9.9910764632116233E-5</v>
      </c>
      <c r="AS5932" t="s">
        <v>239</v>
      </c>
      <c r="AT5932" t="s">
        <v>514</v>
      </c>
    </row>
    <row r="5933" spans="2:46" x14ac:dyDescent="0.35">
      <c r="B5933" t="s">
        <v>649</v>
      </c>
      <c r="C5933">
        <v>45716</v>
      </c>
      <c r="J5933">
        <v>0</v>
      </c>
      <c r="O5933" t="s">
        <v>239</v>
      </c>
      <c r="P5933" t="s">
        <v>514</v>
      </c>
      <c r="U5933">
        <v>0</v>
      </c>
      <c r="Y5933">
        <v>1519</v>
      </c>
      <c r="Z5933" s="259" t="s">
        <v>637</v>
      </c>
      <c r="AB5933">
        <v>60160</v>
      </c>
      <c r="AF5933">
        <v>219150</v>
      </c>
      <c r="AG5933">
        <v>0</v>
      </c>
      <c r="AI5933">
        <v>219173.7</v>
      </c>
      <c r="AJ5933">
        <v>0</v>
      </c>
      <c r="AK5933">
        <v>0</v>
      </c>
      <c r="AL5933">
        <v>0</v>
      </c>
      <c r="AM5933">
        <v>159840</v>
      </c>
      <c r="AN5933">
        <v>59310</v>
      </c>
      <c r="AO5933">
        <v>219150</v>
      </c>
      <c r="AP5933">
        <v>0</v>
      </c>
      <c r="AQ5933">
        <v>-23.700000000011642</v>
      </c>
      <c r="AR5933">
        <v>-1.0813341199245041E-4</v>
      </c>
      <c r="AS5933" t="s">
        <v>239</v>
      </c>
      <c r="AT5933" t="s">
        <v>514</v>
      </c>
    </row>
    <row r="5934" spans="2:46" x14ac:dyDescent="0.35">
      <c r="B5934" t="s">
        <v>649</v>
      </c>
      <c r="C5934">
        <v>45717</v>
      </c>
      <c r="J5934">
        <v>0</v>
      </c>
      <c r="O5934" t="s">
        <v>239</v>
      </c>
      <c r="P5934" t="s">
        <v>514</v>
      </c>
      <c r="U5934">
        <v>0</v>
      </c>
      <c r="Y5934">
        <v>1520</v>
      </c>
      <c r="Z5934" s="259" t="s">
        <v>637</v>
      </c>
      <c r="AB5934">
        <v>60160</v>
      </c>
      <c r="AF5934">
        <v>219150</v>
      </c>
      <c r="AG5934">
        <v>0</v>
      </c>
      <c r="AI5934">
        <v>219150</v>
      </c>
      <c r="AJ5934">
        <v>0</v>
      </c>
      <c r="AK5934">
        <v>0</v>
      </c>
      <c r="AL5934">
        <v>0</v>
      </c>
      <c r="AM5934">
        <v>159840</v>
      </c>
      <c r="AN5934">
        <v>59310</v>
      </c>
      <c r="AO5934">
        <v>219150</v>
      </c>
      <c r="AP5934">
        <v>0</v>
      </c>
      <c r="AQ5934">
        <v>0</v>
      </c>
      <c r="AR5934">
        <v>0</v>
      </c>
      <c r="AS5934" t="s">
        <v>239</v>
      </c>
      <c r="AT5934" t="s">
        <v>514</v>
      </c>
    </row>
    <row r="5935" spans="2:46" x14ac:dyDescent="0.35">
      <c r="B5935" t="s">
        <v>649</v>
      </c>
      <c r="C5935">
        <v>45718</v>
      </c>
      <c r="J5935">
        <v>0</v>
      </c>
      <c r="O5935" t="s">
        <v>239</v>
      </c>
      <c r="P5935" t="s">
        <v>514</v>
      </c>
      <c r="U5935">
        <v>0</v>
      </c>
      <c r="Y5935">
        <v>1521</v>
      </c>
      <c r="Z5935" s="259" t="s">
        <v>637</v>
      </c>
      <c r="AB5935">
        <v>60160</v>
      </c>
      <c r="AF5935">
        <v>219150</v>
      </c>
      <c r="AG5935">
        <v>0</v>
      </c>
      <c r="AI5935">
        <v>219150</v>
      </c>
      <c r="AJ5935">
        <v>0</v>
      </c>
      <c r="AK5935">
        <v>0</v>
      </c>
      <c r="AL5935">
        <v>0</v>
      </c>
      <c r="AM5935">
        <v>159840</v>
      </c>
      <c r="AN5935">
        <v>59310</v>
      </c>
      <c r="AO5935">
        <v>219150</v>
      </c>
      <c r="AP5935">
        <v>0</v>
      </c>
      <c r="AQ5935">
        <v>0</v>
      </c>
      <c r="AR5935">
        <v>0</v>
      </c>
      <c r="AS5935" t="s">
        <v>239</v>
      </c>
      <c r="AT5935" t="s">
        <v>514</v>
      </c>
    </row>
    <row r="5936" spans="2:46" x14ac:dyDescent="0.35">
      <c r="B5936" t="s">
        <v>649</v>
      </c>
      <c r="C5936">
        <v>45719</v>
      </c>
      <c r="J5936">
        <v>5</v>
      </c>
      <c r="O5936" t="s">
        <v>239</v>
      </c>
      <c r="P5936" t="s">
        <v>514</v>
      </c>
      <c r="U5936">
        <v>0</v>
      </c>
      <c r="Y5936">
        <v>1522</v>
      </c>
      <c r="Z5936" s="259" t="s">
        <v>637</v>
      </c>
      <c r="AB5936">
        <v>65065</v>
      </c>
      <c r="AF5936">
        <v>224173</v>
      </c>
      <c r="AG5936">
        <v>0</v>
      </c>
      <c r="AI5936">
        <v>219150</v>
      </c>
      <c r="AJ5936">
        <v>0</v>
      </c>
      <c r="AK5936">
        <v>5000</v>
      </c>
      <c r="AL5936">
        <v>5000</v>
      </c>
      <c r="AM5936">
        <v>159935</v>
      </c>
      <c r="AN5936">
        <v>64238</v>
      </c>
      <c r="AO5936">
        <v>224173</v>
      </c>
      <c r="AP5936">
        <v>0</v>
      </c>
      <c r="AQ5936">
        <v>23</v>
      </c>
      <c r="AR5936">
        <v>1.0495094684004336E-4</v>
      </c>
      <c r="AS5936" t="s">
        <v>239</v>
      </c>
      <c r="AT5936" t="s">
        <v>514</v>
      </c>
    </row>
    <row r="5937" spans="2:46" x14ac:dyDescent="0.35">
      <c r="B5937" t="s">
        <v>649</v>
      </c>
      <c r="C5937">
        <v>45720</v>
      </c>
      <c r="J5937">
        <v>0</v>
      </c>
      <c r="O5937" t="s">
        <v>239</v>
      </c>
      <c r="P5937" t="s">
        <v>514</v>
      </c>
      <c r="U5937">
        <v>0</v>
      </c>
      <c r="Y5937">
        <v>1523</v>
      </c>
      <c r="Z5937" s="259" t="s">
        <v>637</v>
      </c>
      <c r="AB5937">
        <v>65065</v>
      </c>
      <c r="AF5937">
        <v>224212</v>
      </c>
      <c r="AG5937">
        <v>0</v>
      </c>
      <c r="AI5937">
        <v>224173</v>
      </c>
      <c r="AJ5937">
        <v>0</v>
      </c>
      <c r="AK5937">
        <v>0</v>
      </c>
      <c r="AL5937">
        <v>0</v>
      </c>
      <c r="AM5937">
        <v>159935</v>
      </c>
      <c r="AN5937">
        <v>64277</v>
      </c>
      <c r="AO5937">
        <v>224212</v>
      </c>
      <c r="AP5937">
        <v>0</v>
      </c>
      <c r="AQ5937">
        <v>39</v>
      </c>
      <c r="AR5937">
        <v>1.7397277995123694E-4</v>
      </c>
      <c r="AS5937" t="s">
        <v>239</v>
      </c>
      <c r="AT5937" t="s">
        <v>514</v>
      </c>
    </row>
    <row r="5938" spans="2:46" x14ac:dyDescent="0.35">
      <c r="B5938" t="s">
        <v>649</v>
      </c>
      <c r="C5938">
        <v>45721</v>
      </c>
      <c r="J5938">
        <v>0</v>
      </c>
      <c r="O5938" t="s">
        <v>239</v>
      </c>
      <c r="P5938" t="s">
        <v>514</v>
      </c>
      <c r="U5938">
        <v>0</v>
      </c>
      <c r="Y5938">
        <v>1524</v>
      </c>
      <c r="Z5938" s="259" t="s">
        <v>637</v>
      </c>
      <c r="AB5938">
        <v>65065</v>
      </c>
      <c r="AF5938">
        <v>224251</v>
      </c>
      <c r="AG5938">
        <v>0</v>
      </c>
      <c r="AI5938">
        <v>224212</v>
      </c>
      <c r="AJ5938">
        <v>0</v>
      </c>
      <c r="AK5938">
        <v>0</v>
      </c>
      <c r="AL5938">
        <v>0</v>
      </c>
      <c r="AM5938">
        <v>159935</v>
      </c>
      <c r="AN5938">
        <v>64316</v>
      </c>
      <c r="AO5938">
        <v>224251</v>
      </c>
      <c r="AP5938">
        <v>0</v>
      </c>
      <c r="AQ5938">
        <v>39</v>
      </c>
      <c r="AR5938">
        <v>1.7394251868774191E-4</v>
      </c>
      <c r="AS5938" t="s">
        <v>239</v>
      </c>
      <c r="AT5938" t="s">
        <v>514</v>
      </c>
    </row>
    <row r="5939" spans="2:46" x14ac:dyDescent="0.35">
      <c r="B5939" t="s">
        <v>649</v>
      </c>
      <c r="C5939">
        <v>45722</v>
      </c>
      <c r="J5939">
        <v>0</v>
      </c>
      <c r="O5939" t="s">
        <v>239</v>
      </c>
      <c r="P5939" t="s">
        <v>514</v>
      </c>
      <c r="U5939">
        <v>0</v>
      </c>
      <c r="Y5939">
        <v>1525</v>
      </c>
      <c r="Z5939" s="259" t="s">
        <v>637</v>
      </c>
      <c r="AB5939">
        <v>65065</v>
      </c>
      <c r="AF5939">
        <v>224290</v>
      </c>
      <c r="AG5939">
        <v>0</v>
      </c>
      <c r="AI5939">
        <v>224251</v>
      </c>
      <c r="AJ5939">
        <v>0</v>
      </c>
      <c r="AK5939">
        <v>0</v>
      </c>
      <c r="AL5939">
        <v>0</v>
      </c>
      <c r="AM5939">
        <v>159935</v>
      </c>
      <c r="AN5939">
        <v>64355</v>
      </c>
      <c r="AO5939">
        <v>224290</v>
      </c>
      <c r="AP5939">
        <v>0</v>
      </c>
      <c r="AQ5939">
        <v>39</v>
      </c>
      <c r="AR5939">
        <v>1.7391226794982728E-4</v>
      </c>
      <c r="AS5939" t="s">
        <v>239</v>
      </c>
      <c r="AT5939" t="s">
        <v>514</v>
      </c>
    </row>
    <row r="5940" spans="2:46" x14ac:dyDescent="0.35">
      <c r="B5940" t="s">
        <v>649</v>
      </c>
      <c r="C5940">
        <v>45723</v>
      </c>
      <c r="J5940">
        <v>0</v>
      </c>
      <c r="O5940" t="s">
        <v>239</v>
      </c>
      <c r="P5940" t="s">
        <v>514</v>
      </c>
      <c r="U5940">
        <v>0</v>
      </c>
      <c r="Y5940">
        <v>1526</v>
      </c>
      <c r="Z5940" s="259" t="s">
        <v>637</v>
      </c>
      <c r="AB5940">
        <v>65065</v>
      </c>
      <c r="AF5940">
        <v>224329</v>
      </c>
      <c r="AG5940">
        <v>0</v>
      </c>
      <c r="AI5940">
        <v>224290</v>
      </c>
      <c r="AJ5940">
        <v>0</v>
      </c>
      <c r="AK5940">
        <v>0</v>
      </c>
      <c r="AL5940">
        <v>0</v>
      </c>
      <c r="AM5940">
        <v>159935</v>
      </c>
      <c r="AN5940">
        <v>64394</v>
      </c>
      <c r="AO5940">
        <v>224329</v>
      </c>
      <c r="AP5940">
        <v>0</v>
      </c>
      <c r="AQ5940">
        <v>39</v>
      </c>
      <c r="AR5940">
        <v>1.7388202773194195E-4</v>
      </c>
      <c r="AS5940" t="s">
        <v>239</v>
      </c>
      <c r="AT5940" t="s">
        <v>514</v>
      </c>
    </row>
    <row r="5941" spans="2:46" x14ac:dyDescent="0.35">
      <c r="B5941" t="s">
        <v>649</v>
      </c>
      <c r="C5941">
        <v>45724</v>
      </c>
      <c r="J5941">
        <v>0</v>
      </c>
      <c r="O5941" t="s">
        <v>239</v>
      </c>
      <c r="P5941" t="s">
        <v>514</v>
      </c>
      <c r="U5941">
        <v>0</v>
      </c>
      <c r="Y5941">
        <v>1527</v>
      </c>
      <c r="Z5941" s="259" t="s">
        <v>637</v>
      </c>
      <c r="AB5941">
        <v>65065</v>
      </c>
      <c r="AF5941">
        <v>224329</v>
      </c>
      <c r="AG5941">
        <v>0</v>
      </c>
      <c r="AI5941">
        <v>224329</v>
      </c>
      <c r="AJ5941">
        <v>0</v>
      </c>
      <c r="AK5941">
        <v>0</v>
      </c>
      <c r="AL5941">
        <v>0</v>
      </c>
      <c r="AM5941">
        <v>159935</v>
      </c>
      <c r="AN5941">
        <v>64394</v>
      </c>
      <c r="AO5941">
        <v>224329</v>
      </c>
      <c r="AP5941">
        <v>0</v>
      </c>
      <c r="AQ5941">
        <v>0</v>
      </c>
      <c r="AR5941">
        <v>0</v>
      </c>
      <c r="AS5941" t="s">
        <v>239</v>
      </c>
      <c r="AT5941" t="s">
        <v>514</v>
      </c>
    </row>
    <row r="5942" spans="2:46" x14ac:dyDescent="0.35">
      <c r="B5942" t="s">
        <v>649</v>
      </c>
      <c r="C5942">
        <v>45725</v>
      </c>
      <c r="J5942">
        <v>0</v>
      </c>
      <c r="O5942" t="s">
        <v>239</v>
      </c>
      <c r="P5942" t="s">
        <v>514</v>
      </c>
      <c r="U5942">
        <v>0</v>
      </c>
      <c r="Y5942">
        <v>1528</v>
      </c>
      <c r="Z5942" s="259" t="s">
        <v>637</v>
      </c>
      <c r="AB5942">
        <v>65065</v>
      </c>
      <c r="AF5942">
        <v>224329</v>
      </c>
      <c r="AG5942">
        <v>0</v>
      </c>
      <c r="AI5942">
        <v>224329</v>
      </c>
      <c r="AJ5942">
        <v>0</v>
      </c>
      <c r="AK5942">
        <v>0</v>
      </c>
      <c r="AL5942">
        <v>0</v>
      </c>
      <c r="AM5942">
        <v>159935</v>
      </c>
      <c r="AN5942">
        <v>64394</v>
      </c>
      <c r="AO5942">
        <v>224329</v>
      </c>
      <c r="AP5942">
        <v>0</v>
      </c>
      <c r="AQ5942">
        <v>0</v>
      </c>
      <c r="AR5942">
        <v>0</v>
      </c>
      <c r="AS5942" t="s">
        <v>239</v>
      </c>
      <c r="AT5942" t="s">
        <v>514</v>
      </c>
    </row>
    <row r="5943" spans="2:46" x14ac:dyDescent="0.35">
      <c r="B5943" t="s">
        <v>649</v>
      </c>
      <c r="C5943">
        <v>45726</v>
      </c>
      <c r="J5943">
        <v>0</v>
      </c>
      <c r="O5943" t="s">
        <v>239</v>
      </c>
      <c r="P5943" t="s">
        <v>514</v>
      </c>
      <c r="U5943">
        <v>0</v>
      </c>
      <c r="Y5943">
        <v>1529</v>
      </c>
      <c r="Z5943" s="259" t="s">
        <v>637</v>
      </c>
      <c r="AB5943">
        <v>65065</v>
      </c>
      <c r="AF5943">
        <v>224446</v>
      </c>
      <c r="AG5943">
        <v>0</v>
      </c>
      <c r="AI5943">
        <v>224329</v>
      </c>
      <c r="AJ5943">
        <v>0</v>
      </c>
      <c r="AK5943">
        <v>0</v>
      </c>
      <c r="AL5943">
        <v>0</v>
      </c>
      <c r="AM5943">
        <v>159935</v>
      </c>
      <c r="AN5943">
        <v>64511</v>
      </c>
      <c r="AO5943">
        <v>224446</v>
      </c>
      <c r="AP5943">
        <v>0</v>
      </c>
      <c r="AQ5943">
        <v>117</v>
      </c>
      <c r="AR5943">
        <v>5.215553940862705E-4</v>
      </c>
      <c r="AS5943" t="s">
        <v>239</v>
      </c>
      <c r="AT5943" t="s">
        <v>514</v>
      </c>
    </row>
    <row r="5944" spans="2:46" x14ac:dyDescent="0.35">
      <c r="B5944" t="s">
        <v>649</v>
      </c>
      <c r="C5944">
        <v>45727</v>
      </c>
      <c r="J5944">
        <v>0</v>
      </c>
      <c r="O5944" t="s">
        <v>239</v>
      </c>
      <c r="P5944" t="s">
        <v>514</v>
      </c>
      <c r="U5944">
        <v>0</v>
      </c>
      <c r="Y5944">
        <v>1530</v>
      </c>
      <c r="Z5944" s="259" t="s">
        <v>637</v>
      </c>
      <c r="AB5944">
        <v>65065</v>
      </c>
      <c r="AF5944">
        <v>224485</v>
      </c>
      <c r="AG5944">
        <v>0</v>
      </c>
      <c r="AI5944">
        <v>224446</v>
      </c>
      <c r="AJ5944">
        <v>0</v>
      </c>
      <c r="AK5944">
        <v>0</v>
      </c>
      <c r="AL5944">
        <v>0</v>
      </c>
      <c r="AM5944">
        <v>159935</v>
      </c>
      <c r="AN5944">
        <v>64550</v>
      </c>
      <c r="AO5944">
        <v>224485</v>
      </c>
      <c r="AP5944">
        <v>0</v>
      </c>
      <c r="AQ5944">
        <v>39</v>
      </c>
      <c r="AR5944">
        <v>1.7376117195233576E-4</v>
      </c>
      <c r="AS5944" t="s">
        <v>239</v>
      </c>
      <c r="AT5944" t="s">
        <v>514</v>
      </c>
    </row>
    <row r="5945" spans="2:46" x14ac:dyDescent="0.35">
      <c r="B5945" t="s">
        <v>649</v>
      </c>
      <c r="C5945">
        <v>45728</v>
      </c>
      <c r="J5945">
        <v>0</v>
      </c>
      <c r="O5945" t="s">
        <v>239</v>
      </c>
      <c r="P5945" t="s">
        <v>514</v>
      </c>
      <c r="U5945">
        <v>0</v>
      </c>
      <c r="Y5945">
        <v>1531</v>
      </c>
      <c r="Z5945" s="259" t="s">
        <v>637</v>
      </c>
      <c r="AB5945">
        <v>65065</v>
      </c>
      <c r="AF5945">
        <v>224524</v>
      </c>
      <c r="AG5945">
        <v>0</v>
      </c>
      <c r="AI5945">
        <v>224485</v>
      </c>
      <c r="AJ5945">
        <v>0</v>
      </c>
      <c r="AK5945">
        <v>0</v>
      </c>
      <c r="AL5945">
        <v>0</v>
      </c>
      <c r="AM5945">
        <v>159935</v>
      </c>
      <c r="AN5945">
        <v>64589</v>
      </c>
      <c r="AO5945">
        <v>224524</v>
      </c>
      <c r="AP5945">
        <v>0</v>
      </c>
      <c r="AQ5945">
        <v>39</v>
      </c>
      <c r="AR5945">
        <v>1.7373098425288447E-4</v>
      </c>
      <c r="AS5945" t="s">
        <v>239</v>
      </c>
      <c r="AT5945" t="s">
        <v>514</v>
      </c>
    </row>
    <row r="5946" spans="2:46" x14ac:dyDescent="0.35">
      <c r="B5946" t="s">
        <v>649</v>
      </c>
      <c r="C5946">
        <v>45729</v>
      </c>
      <c r="J5946">
        <v>0</v>
      </c>
      <c r="O5946" t="s">
        <v>239</v>
      </c>
      <c r="P5946" t="s">
        <v>514</v>
      </c>
      <c r="U5946">
        <v>0</v>
      </c>
      <c r="Y5946">
        <v>1532</v>
      </c>
      <c r="Z5946" s="259" t="s">
        <v>637</v>
      </c>
      <c r="AB5946">
        <v>65065</v>
      </c>
      <c r="AF5946">
        <v>224563</v>
      </c>
      <c r="AG5946">
        <v>0</v>
      </c>
      <c r="AI5946">
        <v>224524</v>
      </c>
      <c r="AJ5946">
        <v>0</v>
      </c>
      <c r="AK5946">
        <v>0</v>
      </c>
      <c r="AL5946">
        <v>0</v>
      </c>
      <c r="AM5946">
        <v>159935</v>
      </c>
      <c r="AN5946">
        <v>64628</v>
      </c>
      <c r="AO5946">
        <v>224563</v>
      </c>
      <c r="AP5946">
        <v>0</v>
      </c>
      <c r="AQ5946">
        <v>39</v>
      </c>
      <c r="AR5946">
        <v>1.7370080704059987E-4</v>
      </c>
      <c r="AS5946" t="s">
        <v>239</v>
      </c>
      <c r="AT5946" t="s">
        <v>514</v>
      </c>
    </row>
    <row r="5947" spans="2:46" x14ac:dyDescent="0.35">
      <c r="B5947" t="s">
        <v>649</v>
      </c>
      <c r="C5947">
        <v>45730</v>
      </c>
      <c r="J5947">
        <v>0</v>
      </c>
      <c r="O5947" t="s">
        <v>239</v>
      </c>
      <c r="P5947" t="s">
        <v>514</v>
      </c>
      <c r="U5947">
        <v>0</v>
      </c>
      <c r="Y5947">
        <v>1533</v>
      </c>
      <c r="Z5947" s="259" t="s">
        <v>637</v>
      </c>
      <c r="AB5947">
        <v>65065</v>
      </c>
      <c r="AF5947">
        <v>224602</v>
      </c>
      <c r="AG5947">
        <v>0</v>
      </c>
      <c r="AI5947">
        <v>224563</v>
      </c>
      <c r="AJ5947">
        <v>0</v>
      </c>
      <c r="AK5947">
        <v>0</v>
      </c>
      <c r="AL5947">
        <v>0</v>
      </c>
      <c r="AM5947">
        <v>159935</v>
      </c>
      <c r="AN5947">
        <v>64667</v>
      </c>
      <c r="AO5947">
        <v>224602</v>
      </c>
      <c r="AP5947">
        <v>0</v>
      </c>
      <c r="AQ5947">
        <v>39</v>
      </c>
      <c r="AR5947">
        <v>1.7367064031037494E-4</v>
      </c>
      <c r="AS5947" t="s">
        <v>239</v>
      </c>
      <c r="AT5947" t="s">
        <v>514</v>
      </c>
    </row>
    <row r="5948" spans="2:46" x14ac:dyDescent="0.35">
      <c r="B5948" t="s">
        <v>649</v>
      </c>
      <c r="C5948">
        <v>45731</v>
      </c>
      <c r="J5948">
        <v>0</v>
      </c>
      <c r="O5948" t="s">
        <v>239</v>
      </c>
      <c r="P5948" t="s">
        <v>514</v>
      </c>
      <c r="U5948">
        <v>0</v>
      </c>
      <c r="Y5948">
        <v>1534</v>
      </c>
      <c r="Z5948" s="259" t="s">
        <v>637</v>
      </c>
      <c r="AB5948">
        <v>65065</v>
      </c>
      <c r="AF5948">
        <v>224602</v>
      </c>
      <c r="AG5948">
        <v>0</v>
      </c>
      <c r="AI5948">
        <v>224602</v>
      </c>
      <c r="AJ5948">
        <v>0</v>
      </c>
      <c r="AK5948">
        <v>0</v>
      </c>
      <c r="AL5948">
        <v>0</v>
      </c>
      <c r="AM5948">
        <v>159935</v>
      </c>
      <c r="AN5948">
        <v>64667</v>
      </c>
      <c r="AO5948">
        <v>224602</v>
      </c>
      <c r="AP5948">
        <v>0</v>
      </c>
      <c r="AQ5948">
        <v>0</v>
      </c>
      <c r="AR5948">
        <v>0</v>
      </c>
      <c r="AS5948" t="s">
        <v>239</v>
      </c>
      <c r="AT5948" t="s">
        <v>514</v>
      </c>
    </row>
    <row r="5949" spans="2:46" x14ac:dyDescent="0.35">
      <c r="B5949" t="s">
        <v>649</v>
      </c>
      <c r="C5949">
        <v>45732</v>
      </c>
      <c r="J5949">
        <v>0</v>
      </c>
      <c r="O5949" t="s">
        <v>239</v>
      </c>
      <c r="P5949" t="s">
        <v>514</v>
      </c>
      <c r="U5949">
        <v>0</v>
      </c>
      <c r="Y5949">
        <v>1535</v>
      </c>
      <c r="Z5949" s="259" t="s">
        <v>637</v>
      </c>
      <c r="AB5949">
        <v>65065</v>
      </c>
      <c r="AF5949">
        <v>224602</v>
      </c>
      <c r="AG5949">
        <v>0</v>
      </c>
      <c r="AI5949">
        <v>224602</v>
      </c>
      <c r="AJ5949">
        <v>0</v>
      </c>
      <c r="AK5949">
        <v>0</v>
      </c>
      <c r="AL5949">
        <v>0</v>
      </c>
      <c r="AM5949">
        <v>159935</v>
      </c>
      <c r="AN5949">
        <v>64667</v>
      </c>
      <c r="AO5949">
        <v>224602</v>
      </c>
      <c r="AP5949">
        <v>0</v>
      </c>
      <c r="AQ5949">
        <v>0</v>
      </c>
      <c r="AR5949">
        <v>0</v>
      </c>
      <c r="AS5949" t="s">
        <v>239</v>
      </c>
      <c r="AT5949" t="s">
        <v>514</v>
      </c>
    </row>
    <row r="5950" spans="2:46" x14ac:dyDescent="0.35">
      <c r="B5950" t="s">
        <v>649</v>
      </c>
      <c r="C5950">
        <v>45733</v>
      </c>
      <c r="J5950">
        <v>0</v>
      </c>
      <c r="O5950" t="s">
        <v>239</v>
      </c>
      <c r="P5950" t="s">
        <v>514</v>
      </c>
      <c r="U5950">
        <v>0</v>
      </c>
      <c r="Y5950">
        <v>1536</v>
      </c>
      <c r="Z5950" s="259" t="s">
        <v>637</v>
      </c>
      <c r="AB5950">
        <v>65065</v>
      </c>
      <c r="AF5950">
        <v>224719</v>
      </c>
      <c r="AG5950">
        <v>0</v>
      </c>
      <c r="AI5950">
        <v>224602</v>
      </c>
      <c r="AJ5950">
        <v>0</v>
      </c>
      <c r="AK5950">
        <v>0</v>
      </c>
      <c r="AL5950">
        <v>0</v>
      </c>
      <c r="AM5950">
        <v>159935</v>
      </c>
      <c r="AN5950">
        <v>64784</v>
      </c>
      <c r="AO5950">
        <v>224719</v>
      </c>
      <c r="AP5950">
        <v>0</v>
      </c>
      <c r="AQ5950">
        <v>117</v>
      </c>
      <c r="AR5950">
        <v>5.2092145216864338E-4</v>
      </c>
      <c r="AS5950" t="s">
        <v>239</v>
      </c>
      <c r="AT5950" t="s">
        <v>514</v>
      </c>
    </row>
    <row r="5951" spans="2:46" x14ac:dyDescent="0.35">
      <c r="B5951" t="s">
        <v>649</v>
      </c>
      <c r="C5951">
        <v>45734</v>
      </c>
      <c r="J5951">
        <v>0</v>
      </c>
      <c r="O5951" t="s">
        <v>239</v>
      </c>
      <c r="P5951" t="s">
        <v>514</v>
      </c>
      <c r="U5951">
        <v>0</v>
      </c>
      <c r="Y5951">
        <v>1537</v>
      </c>
      <c r="Z5951" s="259" t="s">
        <v>637</v>
      </c>
      <c r="AB5951">
        <v>65065</v>
      </c>
      <c r="AF5951">
        <v>224758</v>
      </c>
      <c r="AG5951">
        <v>0</v>
      </c>
      <c r="AI5951">
        <v>224719</v>
      </c>
      <c r="AJ5951">
        <v>0</v>
      </c>
      <c r="AK5951">
        <v>0</v>
      </c>
      <c r="AL5951">
        <v>0</v>
      </c>
      <c r="AM5951">
        <v>159935</v>
      </c>
      <c r="AN5951">
        <v>64823</v>
      </c>
      <c r="AO5951">
        <v>224758</v>
      </c>
      <c r="AP5951">
        <v>0</v>
      </c>
      <c r="AQ5951">
        <v>39</v>
      </c>
      <c r="AR5951">
        <v>1.7355007809749523E-4</v>
      </c>
      <c r="AS5951" t="s">
        <v>239</v>
      </c>
      <c r="AT5951" t="s">
        <v>514</v>
      </c>
    </row>
    <row r="5952" spans="2:46" x14ac:dyDescent="0.35">
      <c r="B5952" t="s">
        <v>649</v>
      </c>
      <c r="C5952">
        <v>45735</v>
      </c>
      <c r="J5952">
        <v>0</v>
      </c>
      <c r="O5952" t="s">
        <v>239</v>
      </c>
      <c r="P5952" t="s">
        <v>514</v>
      </c>
      <c r="U5952">
        <v>0</v>
      </c>
      <c r="Y5952">
        <v>1538</v>
      </c>
      <c r="Z5952" s="259" t="s">
        <v>637</v>
      </c>
      <c r="AB5952">
        <v>65065</v>
      </c>
      <c r="AF5952">
        <v>224797</v>
      </c>
      <c r="AG5952">
        <v>0</v>
      </c>
      <c r="AI5952">
        <v>224758</v>
      </c>
      <c r="AJ5952">
        <v>0</v>
      </c>
      <c r="AK5952">
        <v>0</v>
      </c>
      <c r="AL5952">
        <v>0</v>
      </c>
      <c r="AM5952">
        <v>159935</v>
      </c>
      <c r="AN5952">
        <v>64862</v>
      </c>
      <c r="AO5952">
        <v>224797</v>
      </c>
      <c r="AP5952">
        <v>0</v>
      </c>
      <c r="AQ5952">
        <v>39</v>
      </c>
      <c r="AR5952">
        <v>1.7351996369430189E-4</v>
      </c>
      <c r="AS5952" t="s">
        <v>239</v>
      </c>
      <c r="AT5952" t="s">
        <v>514</v>
      </c>
    </row>
    <row r="5953" spans="2:46" x14ac:dyDescent="0.35">
      <c r="B5953" t="s">
        <v>649</v>
      </c>
      <c r="C5953">
        <v>45736</v>
      </c>
      <c r="J5953">
        <v>0</v>
      </c>
      <c r="O5953" t="s">
        <v>239</v>
      </c>
      <c r="P5953" t="s">
        <v>514</v>
      </c>
      <c r="U5953">
        <v>0</v>
      </c>
      <c r="Y5953">
        <v>1539</v>
      </c>
      <c r="Z5953" s="259" t="s">
        <v>637</v>
      </c>
      <c r="AB5953">
        <v>65065</v>
      </c>
      <c r="AF5953">
        <v>224836</v>
      </c>
      <c r="AG5953">
        <v>0</v>
      </c>
      <c r="AI5953">
        <v>224797</v>
      </c>
      <c r="AJ5953">
        <v>0</v>
      </c>
      <c r="AK5953">
        <v>0</v>
      </c>
      <c r="AL5953">
        <v>0</v>
      </c>
      <c r="AM5953">
        <v>159935</v>
      </c>
      <c r="AN5953">
        <v>64901</v>
      </c>
      <c r="AO5953">
        <v>224836</v>
      </c>
      <c r="AP5953">
        <v>0</v>
      </c>
      <c r="AQ5953">
        <v>39</v>
      </c>
      <c r="AR5953">
        <v>1.7348985974008357E-4</v>
      </c>
      <c r="AS5953" t="s">
        <v>239</v>
      </c>
      <c r="AT5953" t="s">
        <v>514</v>
      </c>
    </row>
    <row r="5954" spans="2:46" x14ac:dyDescent="0.35">
      <c r="B5954" t="s">
        <v>649</v>
      </c>
      <c r="C5954">
        <v>45737</v>
      </c>
      <c r="J5954">
        <v>0</v>
      </c>
      <c r="O5954" t="s">
        <v>239</v>
      </c>
      <c r="P5954" t="s">
        <v>514</v>
      </c>
      <c r="U5954">
        <v>0</v>
      </c>
      <c r="Y5954">
        <v>1540</v>
      </c>
      <c r="Z5954" s="259" t="s">
        <v>637</v>
      </c>
      <c r="AB5954">
        <v>65065</v>
      </c>
      <c r="AF5954">
        <v>224875</v>
      </c>
      <c r="AG5954">
        <v>0</v>
      </c>
      <c r="AI5954">
        <v>224836</v>
      </c>
      <c r="AJ5954">
        <v>0</v>
      </c>
      <c r="AK5954">
        <v>0</v>
      </c>
      <c r="AL5954">
        <v>0</v>
      </c>
      <c r="AM5954">
        <v>159935</v>
      </c>
      <c r="AN5954">
        <v>64940</v>
      </c>
      <c r="AO5954">
        <v>224875</v>
      </c>
      <c r="AP5954">
        <v>0</v>
      </c>
      <c r="AQ5954">
        <v>39</v>
      </c>
      <c r="AR5954">
        <v>1.734597662295112E-4</v>
      </c>
      <c r="AS5954" t="s">
        <v>239</v>
      </c>
      <c r="AT5954" t="s">
        <v>514</v>
      </c>
    </row>
    <row r="5955" spans="2:46" x14ac:dyDescent="0.35">
      <c r="B5955" t="s">
        <v>649</v>
      </c>
      <c r="C5955">
        <v>45738</v>
      </c>
      <c r="J5955">
        <v>0</v>
      </c>
      <c r="O5955" t="s">
        <v>239</v>
      </c>
      <c r="P5955" t="s">
        <v>514</v>
      </c>
      <c r="U5955">
        <v>0</v>
      </c>
      <c r="Y5955">
        <v>1541</v>
      </c>
      <c r="Z5955" s="259" t="s">
        <v>637</v>
      </c>
      <c r="AB5955">
        <v>65065</v>
      </c>
      <c r="AF5955">
        <v>224875</v>
      </c>
      <c r="AG5955">
        <v>0</v>
      </c>
      <c r="AI5955">
        <v>224875</v>
      </c>
      <c r="AJ5955">
        <v>0</v>
      </c>
      <c r="AK5955">
        <v>0</v>
      </c>
      <c r="AL5955">
        <v>0</v>
      </c>
      <c r="AM5955">
        <v>159935</v>
      </c>
      <c r="AN5955">
        <v>64940</v>
      </c>
      <c r="AO5955">
        <v>224875</v>
      </c>
      <c r="AP5955">
        <v>0</v>
      </c>
      <c r="AQ5955">
        <v>0</v>
      </c>
      <c r="AR5955">
        <v>0</v>
      </c>
      <c r="AS5955" t="s">
        <v>239</v>
      </c>
      <c r="AT5955" t="s">
        <v>514</v>
      </c>
    </row>
    <row r="5956" spans="2:46" x14ac:dyDescent="0.35">
      <c r="B5956" t="s">
        <v>649</v>
      </c>
      <c r="C5956">
        <v>45739</v>
      </c>
      <c r="J5956">
        <v>0</v>
      </c>
      <c r="O5956" t="s">
        <v>239</v>
      </c>
      <c r="P5956" t="s">
        <v>514</v>
      </c>
      <c r="U5956">
        <v>0</v>
      </c>
      <c r="Y5956">
        <v>1542</v>
      </c>
      <c r="Z5956" s="259" t="s">
        <v>637</v>
      </c>
      <c r="AB5956">
        <v>65065</v>
      </c>
      <c r="AF5956">
        <v>224875</v>
      </c>
      <c r="AG5956">
        <v>0</v>
      </c>
      <c r="AI5956">
        <v>224875</v>
      </c>
      <c r="AJ5956">
        <v>0</v>
      </c>
      <c r="AK5956">
        <v>0</v>
      </c>
      <c r="AL5956">
        <v>0</v>
      </c>
      <c r="AM5956">
        <v>159935</v>
      </c>
      <c r="AN5956">
        <v>64940</v>
      </c>
      <c r="AO5956">
        <v>224875</v>
      </c>
      <c r="AP5956">
        <v>0</v>
      </c>
      <c r="AQ5956">
        <v>0</v>
      </c>
      <c r="AR5956">
        <v>0</v>
      </c>
      <c r="AS5956" t="s">
        <v>239</v>
      </c>
      <c r="AT5956" t="s">
        <v>514</v>
      </c>
    </row>
    <row r="5957" spans="2:46" x14ac:dyDescent="0.35">
      <c r="B5957" t="s">
        <v>649</v>
      </c>
      <c r="C5957">
        <v>45740</v>
      </c>
      <c r="J5957">
        <v>0</v>
      </c>
      <c r="O5957" t="s">
        <v>239</v>
      </c>
      <c r="P5957" t="s">
        <v>514</v>
      </c>
      <c r="U5957">
        <v>0</v>
      </c>
      <c r="Y5957">
        <v>1543</v>
      </c>
      <c r="Z5957" s="259" t="s">
        <v>637</v>
      </c>
      <c r="AB5957">
        <v>65065</v>
      </c>
      <c r="AF5957">
        <v>224992</v>
      </c>
      <c r="AG5957">
        <v>0</v>
      </c>
      <c r="AI5957">
        <v>224875</v>
      </c>
      <c r="AJ5957">
        <v>0</v>
      </c>
      <c r="AK5957">
        <v>0</v>
      </c>
      <c r="AL5957">
        <v>0</v>
      </c>
      <c r="AM5957">
        <v>159935</v>
      </c>
      <c r="AN5957">
        <v>65057</v>
      </c>
      <c r="AO5957">
        <v>224992</v>
      </c>
      <c r="AP5957">
        <v>0</v>
      </c>
      <c r="AQ5957">
        <v>117</v>
      </c>
      <c r="AR5957">
        <v>5.2028904947198917E-4</v>
      </c>
      <c r="AS5957" t="s">
        <v>239</v>
      </c>
      <c r="AT5957" t="s">
        <v>514</v>
      </c>
    </row>
    <row r="5958" spans="2:46" x14ac:dyDescent="0.35">
      <c r="B5958" t="s">
        <v>649</v>
      </c>
      <c r="C5958">
        <v>45741</v>
      </c>
      <c r="J5958">
        <v>0</v>
      </c>
      <c r="O5958" t="s">
        <v>239</v>
      </c>
      <c r="P5958" t="s">
        <v>514</v>
      </c>
      <c r="U5958">
        <v>0</v>
      </c>
      <c r="Y5958">
        <v>1544</v>
      </c>
      <c r="Z5958" s="259" t="s">
        <v>637</v>
      </c>
      <c r="AB5958">
        <v>65065</v>
      </c>
      <c r="AF5958">
        <v>225031</v>
      </c>
      <c r="AG5958">
        <v>0</v>
      </c>
      <c r="AI5958">
        <v>224992</v>
      </c>
      <c r="AJ5958">
        <v>0</v>
      </c>
      <c r="AK5958">
        <v>0</v>
      </c>
      <c r="AL5958">
        <v>0</v>
      </c>
      <c r="AM5958">
        <v>159935</v>
      </c>
      <c r="AN5958">
        <v>65096</v>
      </c>
      <c r="AO5958">
        <v>225031</v>
      </c>
      <c r="AP5958">
        <v>0</v>
      </c>
      <c r="AQ5958">
        <v>39</v>
      </c>
      <c r="AR5958">
        <v>1.7333949651532343E-4</v>
      </c>
      <c r="AS5958" t="s">
        <v>239</v>
      </c>
      <c r="AT5958" t="s">
        <v>514</v>
      </c>
    </row>
    <row r="5959" spans="2:46" x14ac:dyDescent="0.35">
      <c r="B5959" t="s">
        <v>649</v>
      </c>
      <c r="C5959">
        <v>45742</v>
      </c>
      <c r="J5959">
        <v>0</v>
      </c>
      <c r="O5959" t="s">
        <v>239</v>
      </c>
      <c r="P5959" t="s">
        <v>514</v>
      </c>
      <c r="U5959">
        <v>0</v>
      </c>
      <c r="Y5959">
        <v>1545</v>
      </c>
      <c r="Z5959" s="259" t="s">
        <v>637</v>
      </c>
      <c r="AB5959">
        <v>65065</v>
      </c>
      <c r="AF5959">
        <v>225070</v>
      </c>
      <c r="AG5959">
        <v>0</v>
      </c>
      <c r="AI5959">
        <v>225031</v>
      </c>
      <c r="AJ5959">
        <v>0</v>
      </c>
      <c r="AK5959">
        <v>0</v>
      </c>
      <c r="AL5959">
        <v>0</v>
      </c>
      <c r="AM5959">
        <v>159935</v>
      </c>
      <c r="AN5959">
        <v>65135</v>
      </c>
      <c r="AO5959">
        <v>225070</v>
      </c>
      <c r="AP5959">
        <v>0</v>
      </c>
      <c r="AQ5959">
        <v>39</v>
      </c>
      <c r="AR5959">
        <v>1.7330945514171248E-4</v>
      </c>
      <c r="AS5959" t="s">
        <v>239</v>
      </c>
      <c r="AT5959" t="s">
        <v>514</v>
      </c>
    </row>
    <row r="5960" spans="2:46" x14ac:dyDescent="0.35">
      <c r="B5960" t="s">
        <v>649</v>
      </c>
      <c r="C5960">
        <v>45743</v>
      </c>
      <c r="J5960">
        <v>0</v>
      </c>
      <c r="O5960" t="s">
        <v>239</v>
      </c>
      <c r="P5960" t="s">
        <v>514</v>
      </c>
      <c r="U5960">
        <v>0</v>
      </c>
      <c r="Y5960">
        <v>1546</v>
      </c>
      <c r="Z5960" s="259" t="s">
        <v>637</v>
      </c>
      <c r="AB5960">
        <v>65065</v>
      </c>
      <c r="AF5960">
        <v>225109</v>
      </c>
      <c r="AG5960">
        <v>0</v>
      </c>
      <c r="AI5960">
        <v>225070</v>
      </c>
      <c r="AJ5960">
        <v>0</v>
      </c>
      <c r="AK5960">
        <v>0</v>
      </c>
      <c r="AL5960">
        <v>0</v>
      </c>
      <c r="AM5960">
        <v>159935</v>
      </c>
      <c r="AN5960">
        <v>65174</v>
      </c>
      <c r="AO5960">
        <v>225109</v>
      </c>
      <c r="AP5960">
        <v>0</v>
      </c>
      <c r="AQ5960">
        <v>39</v>
      </c>
      <c r="AR5960">
        <v>1.7327942417910691E-4</v>
      </c>
      <c r="AS5960" t="s">
        <v>239</v>
      </c>
      <c r="AT5960" t="s">
        <v>514</v>
      </c>
    </row>
    <row r="5961" spans="2:46" x14ac:dyDescent="0.35">
      <c r="B5961" t="s">
        <v>649</v>
      </c>
      <c r="C5961">
        <v>45744</v>
      </c>
      <c r="J5961">
        <v>0</v>
      </c>
      <c r="O5961" t="s">
        <v>239</v>
      </c>
      <c r="P5961" t="s">
        <v>514</v>
      </c>
      <c r="U5961">
        <v>0</v>
      </c>
      <c r="Y5961">
        <v>1547</v>
      </c>
      <c r="Z5961" s="259" t="s">
        <v>637</v>
      </c>
      <c r="AB5961">
        <v>65065</v>
      </c>
      <c r="AF5961">
        <v>225148</v>
      </c>
      <c r="AG5961">
        <v>0</v>
      </c>
      <c r="AI5961">
        <v>225109</v>
      </c>
      <c r="AJ5961">
        <v>0</v>
      </c>
      <c r="AK5961">
        <v>0</v>
      </c>
      <c r="AL5961">
        <v>0</v>
      </c>
      <c r="AM5961">
        <v>159935</v>
      </c>
      <c r="AN5961">
        <v>65213</v>
      </c>
      <c r="AO5961">
        <v>225148</v>
      </c>
      <c r="AP5961">
        <v>0</v>
      </c>
      <c r="AQ5961">
        <v>39</v>
      </c>
      <c r="AR5961">
        <v>1.7324940362217767E-4</v>
      </c>
      <c r="AS5961" t="s">
        <v>239</v>
      </c>
      <c r="AT5961" t="s">
        <v>514</v>
      </c>
    </row>
    <row r="5962" spans="2:46" x14ac:dyDescent="0.35">
      <c r="B5962" t="s">
        <v>649</v>
      </c>
      <c r="C5962">
        <v>45745</v>
      </c>
      <c r="J5962">
        <v>0</v>
      </c>
      <c r="O5962" t="s">
        <v>239</v>
      </c>
      <c r="P5962" t="s">
        <v>514</v>
      </c>
      <c r="U5962">
        <v>0</v>
      </c>
      <c r="Y5962">
        <v>1548</v>
      </c>
      <c r="Z5962" s="259" t="s">
        <v>637</v>
      </c>
      <c r="AB5962">
        <v>65065</v>
      </c>
      <c r="AF5962">
        <v>225148</v>
      </c>
      <c r="AG5962">
        <v>0</v>
      </c>
      <c r="AI5962">
        <v>225148</v>
      </c>
      <c r="AJ5962">
        <v>0</v>
      </c>
      <c r="AK5962">
        <v>0</v>
      </c>
      <c r="AL5962">
        <v>0</v>
      </c>
      <c r="AM5962">
        <v>159935</v>
      </c>
      <c r="AN5962">
        <v>65213</v>
      </c>
      <c r="AO5962">
        <v>225148</v>
      </c>
      <c r="AP5962">
        <v>0</v>
      </c>
      <c r="AQ5962">
        <v>0</v>
      </c>
      <c r="AR5962">
        <v>0</v>
      </c>
      <c r="AS5962" t="s">
        <v>239</v>
      </c>
      <c r="AT5962" t="s">
        <v>514</v>
      </c>
    </row>
    <row r="5963" spans="2:46" x14ac:dyDescent="0.35">
      <c r="B5963" t="s">
        <v>649</v>
      </c>
      <c r="C5963">
        <v>45746</v>
      </c>
      <c r="J5963">
        <v>0</v>
      </c>
      <c r="O5963" t="s">
        <v>239</v>
      </c>
      <c r="P5963" t="s">
        <v>514</v>
      </c>
      <c r="U5963">
        <v>0</v>
      </c>
      <c r="Y5963">
        <v>1549</v>
      </c>
      <c r="Z5963" s="259" t="s">
        <v>637</v>
      </c>
      <c r="AB5963">
        <v>65065</v>
      </c>
      <c r="AF5963">
        <v>225148</v>
      </c>
      <c r="AG5963">
        <v>0</v>
      </c>
      <c r="AI5963">
        <v>225148</v>
      </c>
      <c r="AJ5963">
        <v>0</v>
      </c>
      <c r="AK5963">
        <v>0</v>
      </c>
      <c r="AL5963">
        <v>0</v>
      </c>
      <c r="AM5963">
        <v>159935</v>
      </c>
      <c r="AN5963">
        <v>65213</v>
      </c>
      <c r="AO5963">
        <v>225148</v>
      </c>
      <c r="AP5963">
        <v>0</v>
      </c>
      <c r="AQ5963">
        <v>0</v>
      </c>
      <c r="AR5963">
        <v>0</v>
      </c>
      <c r="AS5963" t="s">
        <v>239</v>
      </c>
      <c r="AT5963" t="s">
        <v>514</v>
      </c>
    </row>
    <row r="5964" spans="2:46" x14ac:dyDescent="0.35">
      <c r="B5964" t="s">
        <v>649</v>
      </c>
      <c r="C5964">
        <v>45747</v>
      </c>
      <c r="J5964">
        <v>0</v>
      </c>
      <c r="O5964" t="s">
        <v>239</v>
      </c>
      <c r="P5964" t="s">
        <v>514</v>
      </c>
      <c r="U5964">
        <v>0</v>
      </c>
      <c r="Y5964">
        <v>1550</v>
      </c>
      <c r="Z5964" s="259" t="s">
        <v>637</v>
      </c>
      <c r="AB5964">
        <v>65065</v>
      </c>
      <c r="AF5964">
        <v>225265</v>
      </c>
      <c r="AG5964">
        <v>0</v>
      </c>
      <c r="AI5964">
        <v>225148</v>
      </c>
      <c r="AJ5964">
        <v>0</v>
      </c>
      <c r="AK5964">
        <v>0</v>
      </c>
      <c r="AL5964">
        <v>0</v>
      </c>
      <c r="AM5964">
        <v>159935</v>
      </c>
      <c r="AN5964">
        <v>65330</v>
      </c>
      <c r="AO5964">
        <v>225265</v>
      </c>
      <c r="AP5964">
        <v>0</v>
      </c>
      <c r="AQ5964">
        <v>117</v>
      </c>
      <c r="AR5964">
        <v>5.1965818039678702E-4</v>
      </c>
      <c r="AS5964" t="s">
        <v>239</v>
      </c>
      <c r="AT5964" t="s">
        <v>514</v>
      </c>
    </row>
    <row r="5965" spans="2:46" x14ac:dyDescent="0.35">
      <c r="B5965" t="s">
        <v>649</v>
      </c>
      <c r="C5965">
        <v>45748</v>
      </c>
      <c r="J5965">
        <v>0</v>
      </c>
      <c r="O5965" t="s">
        <v>239</v>
      </c>
      <c r="P5965" t="s">
        <v>514</v>
      </c>
      <c r="U5965">
        <v>0</v>
      </c>
      <c r="Y5965">
        <v>1551</v>
      </c>
      <c r="Z5965" s="259" t="s">
        <v>637</v>
      </c>
      <c r="AB5965">
        <v>65065</v>
      </c>
      <c r="AF5965">
        <v>227265</v>
      </c>
      <c r="AG5965">
        <v>0</v>
      </c>
      <c r="AI5965">
        <v>225265</v>
      </c>
      <c r="AJ5965">
        <v>0</v>
      </c>
      <c r="AK5965">
        <v>2000</v>
      </c>
      <c r="AL5965">
        <v>2000</v>
      </c>
      <c r="AM5965">
        <v>161935</v>
      </c>
      <c r="AN5965">
        <v>65330</v>
      </c>
      <c r="AO5965">
        <v>227265</v>
      </c>
      <c r="AP5965">
        <v>0</v>
      </c>
      <c r="AQ5965">
        <v>0</v>
      </c>
      <c r="AR5965">
        <v>0</v>
      </c>
      <c r="AS5965" t="s">
        <v>239</v>
      </c>
      <c r="AT5965" t="s">
        <v>514</v>
      </c>
    </row>
    <row r="5966" spans="2:46" x14ac:dyDescent="0.35">
      <c r="B5966" t="s">
        <v>649</v>
      </c>
      <c r="C5966">
        <v>45749</v>
      </c>
      <c r="J5966">
        <v>0</v>
      </c>
      <c r="O5966" t="s">
        <v>239</v>
      </c>
      <c r="P5966" t="s">
        <v>514</v>
      </c>
      <c r="U5966">
        <v>0</v>
      </c>
      <c r="Y5966">
        <v>1552</v>
      </c>
      <c r="Z5966" s="259" t="s">
        <v>637</v>
      </c>
      <c r="AB5966">
        <v>65065</v>
      </c>
      <c r="AF5966">
        <v>227189.9</v>
      </c>
      <c r="AG5966">
        <v>0</v>
      </c>
      <c r="AI5966">
        <v>227265</v>
      </c>
      <c r="AJ5966">
        <v>0</v>
      </c>
      <c r="AK5966">
        <v>0</v>
      </c>
      <c r="AL5966">
        <v>0</v>
      </c>
      <c r="AM5966">
        <v>161935</v>
      </c>
      <c r="AN5966">
        <v>65254.9</v>
      </c>
      <c r="AO5966">
        <v>227189.9</v>
      </c>
      <c r="AP5966">
        <v>0</v>
      </c>
      <c r="AQ5966">
        <v>-75.100000000005821</v>
      </c>
      <c r="AR5966">
        <v>-3.3045123534203302E-4</v>
      </c>
      <c r="AS5966" t="s">
        <v>239</v>
      </c>
      <c r="AT5966" t="s">
        <v>514</v>
      </c>
    </row>
    <row r="5967" spans="2:46" x14ac:dyDescent="0.35">
      <c r="B5967" t="s">
        <v>649</v>
      </c>
      <c r="C5967">
        <v>45750</v>
      </c>
      <c r="J5967">
        <v>0</v>
      </c>
      <c r="O5967" t="s">
        <v>239</v>
      </c>
      <c r="P5967" t="s">
        <v>514</v>
      </c>
      <c r="U5967">
        <v>0</v>
      </c>
      <c r="Y5967">
        <v>1553</v>
      </c>
      <c r="Z5967" s="259" t="s">
        <v>637</v>
      </c>
      <c r="AB5967">
        <v>65065</v>
      </c>
      <c r="AF5967">
        <v>227114.8</v>
      </c>
      <c r="AG5967">
        <v>0</v>
      </c>
      <c r="AI5967">
        <v>227189.9</v>
      </c>
      <c r="AJ5967">
        <v>0</v>
      </c>
      <c r="AK5967">
        <v>0</v>
      </c>
      <c r="AL5967">
        <v>0</v>
      </c>
      <c r="AM5967">
        <v>161935</v>
      </c>
      <c r="AN5967">
        <v>65179.8</v>
      </c>
      <c r="AO5967">
        <v>227114.8</v>
      </c>
      <c r="AP5967">
        <v>0</v>
      </c>
      <c r="AQ5967">
        <v>-75.100000000005821</v>
      </c>
      <c r="AR5967">
        <v>-3.3056046945756368E-4</v>
      </c>
      <c r="AS5967" t="s">
        <v>239</v>
      </c>
      <c r="AT5967" t="s">
        <v>514</v>
      </c>
    </row>
    <row r="5968" spans="2:46" x14ac:dyDescent="0.35">
      <c r="B5968" t="s">
        <v>649</v>
      </c>
      <c r="C5968">
        <v>45751</v>
      </c>
      <c r="J5968">
        <v>0</v>
      </c>
      <c r="O5968" t="s">
        <v>239</v>
      </c>
      <c r="P5968" t="s">
        <v>514</v>
      </c>
      <c r="U5968">
        <v>0</v>
      </c>
      <c r="Y5968">
        <v>1554</v>
      </c>
      <c r="Z5968" s="259" t="s">
        <v>637</v>
      </c>
      <c r="AB5968">
        <v>65065</v>
      </c>
      <c r="AF5968">
        <v>227035.9</v>
      </c>
      <c r="AG5968">
        <v>0</v>
      </c>
      <c r="AI5968">
        <v>227114.8</v>
      </c>
      <c r="AJ5968">
        <v>0</v>
      </c>
      <c r="AK5968">
        <v>0</v>
      </c>
      <c r="AL5968">
        <v>0</v>
      </c>
      <c r="AM5968">
        <v>161935</v>
      </c>
      <c r="AN5968">
        <v>65100.9</v>
      </c>
      <c r="AO5968">
        <v>227035.9</v>
      </c>
      <c r="AP5968">
        <v>0</v>
      </c>
      <c r="AQ5968">
        <v>-78.899999999994179</v>
      </c>
      <c r="AR5968">
        <v>-3.4740140228639582E-4</v>
      </c>
      <c r="AS5968" t="s">
        <v>239</v>
      </c>
      <c r="AT5968" t="s">
        <v>514</v>
      </c>
    </row>
    <row r="5969" spans="2:46" x14ac:dyDescent="0.35">
      <c r="B5969" t="s">
        <v>649</v>
      </c>
      <c r="C5969">
        <v>45752</v>
      </c>
      <c r="J5969">
        <v>0</v>
      </c>
      <c r="O5969" t="s">
        <v>239</v>
      </c>
      <c r="P5969" t="s">
        <v>514</v>
      </c>
      <c r="U5969">
        <v>0</v>
      </c>
      <c r="Y5969">
        <v>1555</v>
      </c>
      <c r="Z5969" s="259" t="s">
        <v>637</v>
      </c>
      <c r="AB5969">
        <v>65065</v>
      </c>
      <c r="AF5969">
        <v>227035.9</v>
      </c>
      <c r="AG5969">
        <v>0</v>
      </c>
      <c r="AI5969">
        <v>227035.9</v>
      </c>
      <c r="AJ5969">
        <v>0</v>
      </c>
      <c r="AK5969">
        <v>0</v>
      </c>
      <c r="AL5969">
        <v>0</v>
      </c>
      <c r="AM5969">
        <v>161935</v>
      </c>
      <c r="AN5969">
        <v>65100.9</v>
      </c>
      <c r="AO5969">
        <v>227035.9</v>
      </c>
      <c r="AP5969">
        <v>0</v>
      </c>
      <c r="AQ5969">
        <v>0</v>
      </c>
      <c r="AR5969">
        <v>0</v>
      </c>
      <c r="AS5969" t="s">
        <v>239</v>
      </c>
      <c r="AT5969" t="s">
        <v>514</v>
      </c>
    </row>
    <row r="5970" spans="2:46" x14ac:dyDescent="0.35">
      <c r="B5970" t="s">
        <v>649</v>
      </c>
      <c r="C5970">
        <v>45753</v>
      </c>
      <c r="J5970">
        <v>0</v>
      </c>
      <c r="O5970" t="s">
        <v>239</v>
      </c>
      <c r="P5970" t="s">
        <v>514</v>
      </c>
      <c r="U5970">
        <v>0</v>
      </c>
      <c r="Y5970">
        <v>1556</v>
      </c>
      <c r="Z5970" s="259" t="s">
        <v>637</v>
      </c>
      <c r="AB5970">
        <v>65065</v>
      </c>
      <c r="AF5970">
        <v>227035.9</v>
      </c>
      <c r="AG5970">
        <v>0</v>
      </c>
      <c r="AI5970">
        <v>227035.9</v>
      </c>
      <c r="AJ5970">
        <v>0</v>
      </c>
      <c r="AK5970">
        <v>0</v>
      </c>
      <c r="AL5970">
        <v>0</v>
      </c>
      <c r="AM5970">
        <v>161935</v>
      </c>
      <c r="AN5970">
        <v>65100.9</v>
      </c>
      <c r="AO5970">
        <v>227035.9</v>
      </c>
      <c r="AP5970">
        <v>0</v>
      </c>
      <c r="AQ5970">
        <v>0</v>
      </c>
      <c r="AR5970">
        <v>0</v>
      </c>
      <c r="AS5970" t="s">
        <v>239</v>
      </c>
      <c r="AT5970" t="s">
        <v>514</v>
      </c>
    </row>
    <row r="5971" spans="2:46" x14ac:dyDescent="0.35">
      <c r="B5971" t="s">
        <v>649</v>
      </c>
      <c r="C5971">
        <v>45754</v>
      </c>
      <c r="J5971">
        <v>0</v>
      </c>
      <c r="O5971" t="s">
        <v>239</v>
      </c>
      <c r="P5971" t="s">
        <v>514</v>
      </c>
      <c r="U5971">
        <v>0</v>
      </c>
      <c r="Y5971">
        <v>1557</v>
      </c>
      <c r="Z5971" s="259" t="s">
        <v>637</v>
      </c>
      <c r="AB5971">
        <v>65065</v>
      </c>
      <c r="AF5971">
        <v>226810.6</v>
      </c>
      <c r="AG5971">
        <v>0</v>
      </c>
      <c r="AI5971">
        <v>227035.9</v>
      </c>
      <c r="AJ5971">
        <v>0</v>
      </c>
      <c r="AK5971">
        <v>0</v>
      </c>
      <c r="AL5971">
        <v>0</v>
      </c>
      <c r="AM5971">
        <v>161935</v>
      </c>
      <c r="AN5971">
        <v>64875.6</v>
      </c>
      <c r="AO5971">
        <v>226810.6</v>
      </c>
      <c r="AP5971">
        <v>0</v>
      </c>
      <c r="AQ5971">
        <v>-225.29999999998836</v>
      </c>
      <c r="AR5971">
        <v>-9.9235407263775777E-4</v>
      </c>
      <c r="AS5971" t="s">
        <v>239</v>
      </c>
      <c r="AT5971" t="s">
        <v>514</v>
      </c>
    </row>
    <row r="5972" spans="2:46" x14ac:dyDescent="0.35">
      <c r="B5972" t="s">
        <v>649</v>
      </c>
      <c r="C5972">
        <v>45755</v>
      </c>
      <c r="J5972">
        <v>0</v>
      </c>
      <c r="O5972" t="s">
        <v>239</v>
      </c>
      <c r="P5972" t="s">
        <v>514</v>
      </c>
      <c r="U5972">
        <v>0</v>
      </c>
      <c r="Y5972">
        <v>1558</v>
      </c>
      <c r="Z5972" s="259" t="s">
        <v>637</v>
      </c>
      <c r="AB5972">
        <v>65065</v>
      </c>
      <c r="AF5972">
        <v>226733.2</v>
      </c>
      <c r="AG5972">
        <v>0</v>
      </c>
      <c r="AI5972">
        <v>226810.6</v>
      </c>
      <c r="AJ5972">
        <v>0</v>
      </c>
      <c r="AK5972">
        <v>0</v>
      </c>
      <c r="AL5972">
        <v>0</v>
      </c>
      <c r="AM5972">
        <v>161935</v>
      </c>
      <c r="AN5972">
        <v>64798.2</v>
      </c>
      <c r="AO5972">
        <v>226733.2</v>
      </c>
      <c r="AP5972">
        <v>0</v>
      </c>
      <c r="AQ5972">
        <v>-77.399999999994179</v>
      </c>
      <c r="AR5972">
        <v>-3.41253892013893E-4</v>
      </c>
      <c r="AS5972" t="s">
        <v>239</v>
      </c>
      <c r="AT5972" t="s">
        <v>514</v>
      </c>
    </row>
    <row r="5973" spans="2:46" x14ac:dyDescent="0.35">
      <c r="B5973" t="s">
        <v>649</v>
      </c>
      <c r="C5973">
        <v>45756</v>
      </c>
      <c r="J5973">
        <v>0</v>
      </c>
      <c r="O5973" t="s">
        <v>239</v>
      </c>
      <c r="P5973" t="s">
        <v>514</v>
      </c>
      <c r="U5973">
        <v>0</v>
      </c>
      <c r="Y5973">
        <v>1559</v>
      </c>
      <c r="Z5973" s="259" t="s">
        <v>637</v>
      </c>
      <c r="AB5973">
        <v>65065</v>
      </c>
      <c r="AF5973">
        <v>226658.1</v>
      </c>
      <c r="AG5973">
        <v>0</v>
      </c>
      <c r="AI5973">
        <v>226733.2</v>
      </c>
      <c r="AJ5973">
        <v>0</v>
      </c>
      <c r="AK5973">
        <v>0</v>
      </c>
      <c r="AL5973">
        <v>0</v>
      </c>
      <c r="AM5973">
        <v>161935</v>
      </c>
      <c r="AN5973">
        <v>64723.1</v>
      </c>
      <c r="AO5973">
        <v>226658.1</v>
      </c>
      <c r="AP5973">
        <v>0</v>
      </c>
      <c r="AQ5973">
        <v>-75.100000000005821</v>
      </c>
      <c r="AR5973">
        <v>-3.3122630474935466E-4</v>
      </c>
      <c r="AS5973" t="s">
        <v>239</v>
      </c>
      <c r="AT5973" t="s">
        <v>514</v>
      </c>
    </row>
    <row r="5974" spans="2:46" x14ac:dyDescent="0.35">
      <c r="B5974" t="s">
        <v>649</v>
      </c>
      <c r="C5974">
        <v>45757</v>
      </c>
      <c r="J5974">
        <v>0</v>
      </c>
      <c r="O5974" t="s">
        <v>239</v>
      </c>
      <c r="P5974" t="s">
        <v>514</v>
      </c>
      <c r="U5974">
        <v>0</v>
      </c>
      <c r="Y5974">
        <v>1560</v>
      </c>
      <c r="Z5974" s="259" t="s">
        <v>637</v>
      </c>
      <c r="AB5974">
        <v>65065</v>
      </c>
      <c r="AF5974">
        <v>226583</v>
      </c>
      <c r="AG5974">
        <v>0</v>
      </c>
      <c r="AI5974">
        <v>226658.1</v>
      </c>
      <c r="AJ5974">
        <v>0</v>
      </c>
      <c r="AK5974">
        <v>0</v>
      </c>
      <c r="AL5974">
        <v>0</v>
      </c>
      <c r="AM5974">
        <v>161935</v>
      </c>
      <c r="AN5974">
        <v>64648</v>
      </c>
      <c r="AO5974">
        <v>226583</v>
      </c>
      <c r="AP5974">
        <v>0</v>
      </c>
      <c r="AQ5974">
        <v>-75.100000000005821</v>
      </c>
      <c r="AR5974">
        <v>-3.3133605196555838E-4</v>
      </c>
      <c r="AS5974" t="s">
        <v>239</v>
      </c>
      <c r="AT5974" t="s">
        <v>514</v>
      </c>
    </row>
    <row r="5975" spans="2:46" x14ac:dyDescent="0.35">
      <c r="B5975" t="s">
        <v>649</v>
      </c>
      <c r="C5975">
        <v>45758</v>
      </c>
      <c r="J5975">
        <v>0</v>
      </c>
      <c r="O5975" t="s">
        <v>239</v>
      </c>
      <c r="P5975" t="s">
        <v>514</v>
      </c>
      <c r="U5975">
        <v>0</v>
      </c>
      <c r="Y5975">
        <v>1561</v>
      </c>
      <c r="Z5975" s="259" t="s">
        <v>637</v>
      </c>
      <c r="AB5975">
        <v>65065</v>
      </c>
      <c r="AF5975">
        <v>226507.9</v>
      </c>
      <c r="AG5975">
        <v>0</v>
      </c>
      <c r="AI5975">
        <v>226583</v>
      </c>
      <c r="AJ5975">
        <v>0</v>
      </c>
      <c r="AK5975">
        <v>0</v>
      </c>
      <c r="AL5975">
        <v>0</v>
      </c>
      <c r="AM5975">
        <v>161935</v>
      </c>
      <c r="AN5975">
        <v>64572.9</v>
      </c>
      <c r="AO5975">
        <v>226507.9</v>
      </c>
      <c r="AP5975">
        <v>0</v>
      </c>
      <c r="AQ5975">
        <v>-75.100000000005821</v>
      </c>
      <c r="AR5975">
        <v>-3.3144587193212338E-4</v>
      </c>
      <c r="AS5975" t="s">
        <v>239</v>
      </c>
      <c r="AT5975" t="s">
        <v>514</v>
      </c>
    </row>
    <row r="5976" spans="2:46" x14ac:dyDescent="0.35">
      <c r="B5976" t="s">
        <v>649</v>
      </c>
      <c r="C5976">
        <v>45759</v>
      </c>
      <c r="J5976">
        <v>0</v>
      </c>
      <c r="O5976" t="s">
        <v>239</v>
      </c>
      <c r="P5976" t="s">
        <v>514</v>
      </c>
      <c r="U5976">
        <v>0</v>
      </c>
      <c r="Y5976">
        <v>1562</v>
      </c>
      <c r="Z5976" s="259" t="s">
        <v>637</v>
      </c>
      <c r="AB5976">
        <v>65065</v>
      </c>
      <c r="AF5976">
        <v>226507.9</v>
      </c>
      <c r="AG5976">
        <v>0</v>
      </c>
      <c r="AI5976">
        <v>226507.9</v>
      </c>
      <c r="AJ5976">
        <v>0</v>
      </c>
      <c r="AK5976">
        <v>0</v>
      </c>
      <c r="AL5976">
        <v>0</v>
      </c>
      <c r="AM5976">
        <v>161935</v>
      </c>
      <c r="AN5976">
        <v>64572.9</v>
      </c>
      <c r="AO5976">
        <v>226507.9</v>
      </c>
      <c r="AP5976">
        <v>0</v>
      </c>
      <c r="AQ5976">
        <v>0</v>
      </c>
      <c r="AR5976">
        <v>0</v>
      </c>
      <c r="AS5976" t="s">
        <v>239</v>
      </c>
      <c r="AT5976" t="s">
        <v>514</v>
      </c>
    </row>
    <row r="5977" spans="2:46" x14ac:dyDescent="0.35">
      <c r="B5977" t="s">
        <v>649</v>
      </c>
      <c r="C5977">
        <v>45760</v>
      </c>
      <c r="J5977">
        <v>0</v>
      </c>
      <c r="O5977" t="s">
        <v>239</v>
      </c>
      <c r="P5977" t="s">
        <v>514</v>
      </c>
      <c r="U5977">
        <v>0</v>
      </c>
      <c r="Y5977">
        <v>1563</v>
      </c>
      <c r="Z5977" s="259" t="s">
        <v>637</v>
      </c>
      <c r="AB5977">
        <v>65065</v>
      </c>
      <c r="AF5977">
        <v>226507.9</v>
      </c>
      <c r="AG5977">
        <v>0</v>
      </c>
      <c r="AI5977">
        <v>226507.9</v>
      </c>
      <c r="AJ5977">
        <v>0</v>
      </c>
      <c r="AK5977">
        <v>0</v>
      </c>
      <c r="AL5977">
        <v>0</v>
      </c>
      <c r="AM5977">
        <v>161935</v>
      </c>
      <c r="AN5977">
        <v>64572.9</v>
      </c>
      <c r="AO5977">
        <v>226507.9</v>
      </c>
      <c r="AP5977">
        <v>0</v>
      </c>
      <c r="AQ5977">
        <v>0</v>
      </c>
      <c r="AR5977">
        <v>0</v>
      </c>
      <c r="AS5977" t="s">
        <v>239</v>
      </c>
      <c r="AT5977" t="s">
        <v>514</v>
      </c>
    </row>
    <row r="5978" spans="2:46" x14ac:dyDescent="0.35">
      <c r="B5978" t="s">
        <v>649</v>
      </c>
      <c r="C5978">
        <v>45761</v>
      </c>
      <c r="J5978">
        <v>0</v>
      </c>
      <c r="O5978" t="s">
        <v>239</v>
      </c>
      <c r="P5978" t="s">
        <v>514</v>
      </c>
      <c r="U5978">
        <v>0</v>
      </c>
      <c r="Y5978">
        <v>1564</v>
      </c>
      <c r="Z5978" s="259" t="s">
        <v>637</v>
      </c>
      <c r="AB5978">
        <v>65065</v>
      </c>
      <c r="AF5978">
        <v>226278.8</v>
      </c>
      <c r="AG5978">
        <v>0</v>
      </c>
      <c r="AI5978">
        <v>226507.9</v>
      </c>
      <c r="AJ5978">
        <v>0</v>
      </c>
      <c r="AK5978">
        <v>0</v>
      </c>
      <c r="AL5978">
        <v>0</v>
      </c>
      <c r="AM5978">
        <v>161935</v>
      </c>
      <c r="AN5978">
        <v>64343.8</v>
      </c>
      <c r="AO5978">
        <v>226278.8</v>
      </c>
      <c r="AP5978">
        <v>0</v>
      </c>
      <c r="AQ5978">
        <v>-229.10000000000582</v>
      </c>
      <c r="AR5978">
        <v>-1.0114437509685104E-3</v>
      </c>
      <c r="AS5978" t="s">
        <v>239</v>
      </c>
      <c r="AT5978" t="s">
        <v>514</v>
      </c>
    </row>
    <row r="5979" spans="2:46" x14ac:dyDescent="0.35">
      <c r="B5979" t="s">
        <v>649</v>
      </c>
      <c r="C5979">
        <v>45762</v>
      </c>
      <c r="J5979">
        <v>0</v>
      </c>
      <c r="O5979" t="s">
        <v>239</v>
      </c>
      <c r="P5979" t="s">
        <v>514</v>
      </c>
      <c r="U5979">
        <v>0</v>
      </c>
      <c r="Y5979">
        <v>1565</v>
      </c>
      <c r="Z5979" s="259" t="s">
        <v>637</v>
      </c>
      <c r="AB5979">
        <v>65065</v>
      </c>
      <c r="AF5979">
        <v>226203.7</v>
      </c>
      <c r="AG5979">
        <v>0</v>
      </c>
      <c r="AI5979">
        <v>226278.8</v>
      </c>
      <c r="AJ5979">
        <v>0</v>
      </c>
      <c r="AK5979">
        <v>0</v>
      </c>
      <c r="AL5979">
        <v>0</v>
      </c>
      <c r="AM5979">
        <v>161935</v>
      </c>
      <c r="AN5979">
        <v>64268.7</v>
      </c>
      <c r="AO5979">
        <v>226203.7</v>
      </c>
      <c r="AP5979">
        <v>0</v>
      </c>
      <c r="AQ5979">
        <v>-75.099999999976717</v>
      </c>
      <c r="AR5979">
        <v>-3.3189145425893685E-4</v>
      </c>
      <c r="AS5979" t="s">
        <v>239</v>
      </c>
      <c r="AT5979" t="s">
        <v>514</v>
      </c>
    </row>
    <row r="5980" spans="2:46" x14ac:dyDescent="0.35">
      <c r="B5980" t="s">
        <v>649</v>
      </c>
      <c r="C5980">
        <v>45763</v>
      </c>
      <c r="J5980">
        <v>0</v>
      </c>
      <c r="O5980" t="s">
        <v>239</v>
      </c>
      <c r="P5980" t="s">
        <v>514</v>
      </c>
      <c r="U5980">
        <v>0</v>
      </c>
      <c r="Y5980">
        <v>1566</v>
      </c>
      <c r="Z5980" s="259" t="s">
        <v>637</v>
      </c>
      <c r="AB5980">
        <v>65065</v>
      </c>
      <c r="AF5980">
        <v>226126.3</v>
      </c>
      <c r="AG5980">
        <v>0</v>
      </c>
      <c r="AI5980">
        <v>226203.7</v>
      </c>
      <c r="AJ5980">
        <v>0</v>
      </c>
      <c r="AK5980">
        <v>0</v>
      </c>
      <c r="AL5980">
        <v>0</v>
      </c>
      <c r="AM5980">
        <v>161935</v>
      </c>
      <c r="AN5980">
        <v>64191.3</v>
      </c>
      <c r="AO5980">
        <v>226126.3</v>
      </c>
      <c r="AP5980">
        <v>0</v>
      </c>
      <c r="AQ5980">
        <v>-77.400000000023283</v>
      </c>
      <c r="AR5980">
        <v>-3.4216946937659642E-4</v>
      </c>
      <c r="AS5980" t="s">
        <v>239</v>
      </c>
      <c r="AT5980" t="s">
        <v>514</v>
      </c>
    </row>
    <row r="5981" spans="2:46" x14ac:dyDescent="0.35">
      <c r="B5981" t="s">
        <v>649</v>
      </c>
      <c r="C5981">
        <v>45764</v>
      </c>
      <c r="J5981">
        <v>0</v>
      </c>
      <c r="O5981" t="s">
        <v>239</v>
      </c>
      <c r="P5981" t="s">
        <v>514</v>
      </c>
      <c r="U5981">
        <v>0</v>
      </c>
      <c r="Y5981">
        <v>1567</v>
      </c>
      <c r="Z5981" s="259" t="s">
        <v>637</v>
      </c>
      <c r="AB5981">
        <v>65065</v>
      </c>
      <c r="AF5981">
        <v>226051.20000000001</v>
      </c>
      <c r="AG5981">
        <v>0</v>
      </c>
      <c r="AI5981">
        <v>226126.3</v>
      </c>
      <c r="AJ5981">
        <v>0</v>
      </c>
      <c r="AK5981">
        <v>0</v>
      </c>
      <c r="AL5981">
        <v>0</v>
      </c>
      <c r="AM5981">
        <v>161935</v>
      </c>
      <c r="AN5981">
        <v>64116.2</v>
      </c>
      <c r="AO5981">
        <v>226051.20000000001</v>
      </c>
      <c r="AP5981">
        <v>0</v>
      </c>
      <c r="AQ5981">
        <v>-75.099999999976717</v>
      </c>
      <c r="AR5981">
        <v>-3.3211528247700794E-4</v>
      </c>
      <c r="AS5981" t="s">
        <v>239</v>
      </c>
      <c r="AT5981" t="s">
        <v>514</v>
      </c>
    </row>
    <row r="5982" spans="2:46" x14ac:dyDescent="0.35">
      <c r="B5982" t="s">
        <v>649</v>
      </c>
      <c r="C5982">
        <v>45765</v>
      </c>
      <c r="J5982">
        <v>0</v>
      </c>
      <c r="O5982" t="s">
        <v>239</v>
      </c>
      <c r="P5982" t="s">
        <v>514</v>
      </c>
      <c r="U5982">
        <v>0</v>
      </c>
      <c r="Y5982">
        <v>1568</v>
      </c>
      <c r="Z5982" s="259" t="s">
        <v>637</v>
      </c>
      <c r="AB5982">
        <v>65065</v>
      </c>
      <c r="AF5982">
        <v>225974.6</v>
      </c>
      <c r="AG5982">
        <v>0</v>
      </c>
      <c r="AI5982">
        <v>226051.20000000001</v>
      </c>
      <c r="AJ5982">
        <v>0</v>
      </c>
      <c r="AK5982">
        <v>0</v>
      </c>
      <c r="AL5982">
        <v>0</v>
      </c>
      <c r="AM5982">
        <v>161935</v>
      </c>
      <c r="AN5982">
        <v>64039.6</v>
      </c>
      <c r="AO5982">
        <v>225974.6</v>
      </c>
      <c r="AP5982">
        <v>0</v>
      </c>
      <c r="AQ5982">
        <v>-76.600000000005821</v>
      </c>
      <c r="AR5982">
        <v>-3.3886128452320641E-4</v>
      </c>
      <c r="AS5982" t="s">
        <v>239</v>
      </c>
      <c r="AT5982" t="s">
        <v>514</v>
      </c>
    </row>
    <row r="5983" spans="2:46" x14ac:dyDescent="0.35">
      <c r="B5983" t="s">
        <v>649</v>
      </c>
      <c r="C5983">
        <v>45766</v>
      </c>
      <c r="J5983">
        <v>0</v>
      </c>
      <c r="O5983" t="s">
        <v>239</v>
      </c>
      <c r="P5983" t="s">
        <v>514</v>
      </c>
      <c r="U5983">
        <v>0</v>
      </c>
      <c r="Y5983">
        <v>1569</v>
      </c>
      <c r="Z5983" s="259" t="s">
        <v>637</v>
      </c>
      <c r="AB5983">
        <v>65065</v>
      </c>
      <c r="AF5983">
        <v>225974.6</v>
      </c>
      <c r="AG5983">
        <v>0</v>
      </c>
      <c r="AI5983">
        <v>225974.6</v>
      </c>
      <c r="AJ5983">
        <v>0</v>
      </c>
      <c r="AK5983">
        <v>0</v>
      </c>
      <c r="AL5983">
        <v>0</v>
      </c>
      <c r="AM5983">
        <v>161935</v>
      </c>
      <c r="AN5983">
        <v>64039.6</v>
      </c>
      <c r="AO5983">
        <v>225974.6</v>
      </c>
      <c r="AP5983">
        <v>0</v>
      </c>
      <c r="AQ5983">
        <v>0</v>
      </c>
      <c r="AR5983">
        <v>0</v>
      </c>
      <c r="AS5983" t="s">
        <v>239</v>
      </c>
      <c r="AT5983" t="s">
        <v>514</v>
      </c>
    </row>
    <row r="5984" spans="2:46" x14ac:dyDescent="0.35">
      <c r="B5984" t="s">
        <v>649</v>
      </c>
      <c r="C5984">
        <v>45767</v>
      </c>
      <c r="J5984">
        <v>0</v>
      </c>
      <c r="O5984" t="s">
        <v>239</v>
      </c>
      <c r="P5984" t="s">
        <v>514</v>
      </c>
      <c r="U5984">
        <v>0</v>
      </c>
      <c r="Y5984">
        <v>1570</v>
      </c>
      <c r="Z5984" s="259" t="s">
        <v>637</v>
      </c>
      <c r="AB5984">
        <v>65065</v>
      </c>
      <c r="AF5984">
        <v>225974.6</v>
      </c>
      <c r="AG5984">
        <v>0</v>
      </c>
      <c r="AI5984">
        <v>225974.6</v>
      </c>
      <c r="AJ5984">
        <v>0</v>
      </c>
      <c r="AK5984">
        <v>0</v>
      </c>
      <c r="AL5984">
        <v>0</v>
      </c>
      <c r="AM5984">
        <v>161935</v>
      </c>
      <c r="AN5984">
        <v>64039.6</v>
      </c>
      <c r="AO5984">
        <v>225974.6</v>
      </c>
      <c r="AP5984">
        <v>0</v>
      </c>
      <c r="AQ5984">
        <v>0</v>
      </c>
      <c r="AR5984">
        <v>0</v>
      </c>
      <c r="AS5984" t="s">
        <v>239</v>
      </c>
      <c r="AT5984" t="s">
        <v>514</v>
      </c>
    </row>
    <row r="5985" spans="2:46" x14ac:dyDescent="0.35">
      <c r="B5985" t="s">
        <v>649</v>
      </c>
      <c r="C5985">
        <v>45768</v>
      </c>
      <c r="J5985">
        <v>0</v>
      </c>
      <c r="O5985" t="s">
        <v>239</v>
      </c>
      <c r="P5985" t="s">
        <v>514</v>
      </c>
      <c r="U5985">
        <v>0</v>
      </c>
      <c r="Y5985">
        <v>1571</v>
      </c>
      <c r="Z5985" s="259" t="s">
        <v>637</v>
      </c>
      <c r="AB5985">
        <v>65065</v>
      </c>
      <c r="AF5985">
        <v>225747</v>
      </c>
      <c r="AG5985">
        <v>0</v>
      </c>
      <c r="AI5985">
        <v>225974.6</v>
      </c>
      <c r="AJ5985">
        <v>0</v>
      </c>
      <c r="AK5985">
        <v>0</v>
      </c>
      <c r="AL5985">
        <v>0</v>
      </c>
      <c r="AM5985">
        <v>161935</v>
      </c>
      <c r="AN5985">
        <v>63812</v>
      </c>
      <c r="AO5985">
        <v>225747</v>
      </c>
      <c r="AP5985">
        <v>0</v>
      </c>
      <c r="AQ5985">
        <v>-227.60000000000582</v>
      </c>
      <c r="AR5985">
        <v>-1.0071928437974664E-3</v>
      </c>
      <c r="AS5985" t="s">
        <v>239</v>
      </c>
      <c r="AT5985" t="s">
        <v>514</v>
      </c>
    </row>
    <row r="5986" spans="2:46" x14ac:dyDescent="0.35">
      <c r="B5986" t="s">
        <v>649</v>
      </c>
      <c r="C5986">
        <v>45769</v>
      </c>
      <c r="J5986">
        <v>0</v>
      </c>
      <c r="O5986" t="s">
        <v>239</v>
      </c>
      <c r="P5986" t="s">
        <v>514</v>
      </c>
      <c r="U5986">
        <v>0</v>
      </c>
      <c r="Y5986">
        <v>1572</v>
      </c>
      <c r="Z5986" s="259" t="s">
        <v>637</v>
      </c>
      <c r="AB5986">
        <v>65065</v>
      </c>
      <c r="AF5986">
        <v>225671.9</v>
      </c>
      <c r="AG5986">
        <v>0</v>
      </c>
      <c r="AI5986">
        <v>225747</v>
      </c>
      <c r="AJ5986">
        <v>0</v>
      </c>
      <c r="AK5986">
        <v>0</v>
      </c>
      <c r="AL5986">
        <v>0</v>
      </c>
      <c r="AM5986">
        <v>161935</v>
      </c>
      <c r="AN5986">
        <v>63736.9</v>
      </c>
      <c r="AO5986">
        <v>225671.9</v>
      </c>
      <c r="AP5986">
        <v>0</v>
      </c>
      <c r="AQ5986">
        <v>-75.100000000005821</v>
      </c>
      <c r="AR5986">
        <v>-3.3267330241382176E-4</v>
      </c>
      <c r="AS5986" t="s">
        <v>239</v>
      </c>
      <c r="AT5986" t="s">
        <v>514</v>
      </c>
    </row>
    <row r="5987" spans="2:46" x14ac:dyDescent="0.35">
      <c r="B5987" t="s">
        <v>649</v>
      </c>
      <c r="C5987">
        <v>45770</v>
      </c>
      <c r="J5987">
        <v>0</v>
      </c>
      <c r="O5987" t="s">
        <v>239</v>
      </c>
      <c r="P5987" t="s">
        <v>514</v>
      </c>
      <c r="U5987">
        <v>0</v>
      </c>
      <c r="Y5987">
        <v>1573</v>
      </c>
      <c r="Z5987" s="259" t="s">
        <v>637</v>
      </c>
      <c r="AB5987">
        <v>65065</v>
      </c>
      <c r="AF5987">
        <v>225596.79999999999</v>
      </c>
      <c r="AG5987">
        <v>0</v>
      </c>
      <c r="AI5987">
        <v>225671.9</v>
      </c>
      <c r="AJ5987">
        <v>0</v>
      </c>
      <c r="AK5987">
        <v>0</v>
      </c>
      <c r="AL5987">
        <v>0</v>
      </c>
      <c r="AM5987">
        <v>161935</v>
      </c>
      <c r="AN5987">
        <v>63661.8</v>
      </c>
      <c r="AO5987">
        <v>225596.79999999999</v>
      </c>
      <c r="AP5987">
        <v>0</v>
      </c>
      <c r="AQ5987">
        <v>-75.100000000005821</v>
      </c>
      <c r="AR5987">
        <v>-3.3278401076963782E-4</v>
      </c>
      <c r="AS5987" t="s">
        <v>239</v>
      </c>
      <c r="AT5987" t="s">
        <v>514</v>
      </c>
    </row>
    <row r="5988" spans="2:46" x14ac:dyDescent="0.35">
      <c r="B5988" t="s">
        <v>649</v>
      </c>
      <c r="C5988">
        <v>45771</v>
      </c>
      <c r="J5988">
        <v>0</v>
      </c>
      <c r="O5988" t="s">
        <v>239</v>
      </c>
      <c r="P5988" t="s">
        <v>514</v>
      </c>
      <c r="U5988">
        <v>0</v>
      </c>
      <c r="Y5988">
        <v>1574</v>
      </c>
      <c r="Z5988" s="259" t="s">
        <v>637</v>
      </c>
      <c r="AB5988">
        <v>65065</v>
      </c>
      <c r="AF5988">
        <v>225519.4</v>
      </c>
      <c r="AG5988">
        <v>0</v>
      </c>
      <c r="AI5988">
        <v>225596.79999999999</v>
      </c>
      <c r="AJ5988">
        <v>0</v>
      </c>
      <c r="AK5988">
        <v>0</v>
      </c>
      <c r="AL5988">
        <v>0</v>
      </c>
      <c r="AM5988">
        <v>161935</v>
      </c>
      <c r="AN5988">
        <v>63584.4</v>
      </c>
      <c r="AO5988">
        <v>225519.4</v>
      </c>
      <c r="AP5988">
        <v>0</v>
      </c>
      <c r="AQ5988">
        <v>-77.399999999994179</v>
      </c>
      <c r="AR5988">
        <v>-3.4308997290743992E-4</v>
      </c>
      <c r="AS5988" t="s">
        <v>239</v>
      </c>
      <c r="AT5988" t="s">
        <v>514</v>
      </c>
    </row>
    <row r="5989" spans="2:46" x14ac:dyDescent="0.35">
      <c r="B5989" t="s">
        <v>649</v>
      </c>
      <c r="C5989">
        <v>45772</v>
      </c>
      <c r="J5989">
        <v>0</v>
      </c>
      <c r="O5989" t="s">
        <v>239</v>
      </c>
      <c r="P5989" t="s">
        <v>514</v>
      </c>
      <c r="U5989">
        <v>0</v>
      </c>
      <c r="Y5989">
        <v>1575</v>
      </c>
      <c r="Z5989" s="259" t="s">
        <v>637</v>
      </c>
      <c r="AB5989">
        <v>65065</v>
      </c>
      <c r="AF5989">
        <v>225444.3</v>
      </c>
      <c r="AG5989">
        <v>0</v>
      </c>
      <c r="AI5989">
        <v>225519.4</v>
      </c>
      <c r="AJ5989">
        <v>0</v>
      </c>
      <c r="AK5989">
        <v>0</v>
      </c>
      <c r="AL5989">
        <v>0</v>
      </c>
      <c r="AM5989">
        <v>161935</v>
      </c>
      <c r="AN5989">
        <v>63509.3</v>
      </c>
      <c r="AO5989">
        <v>225444.3</v>
      </c>
      <c r="AP5989">
        <v>0</v>
      </c>
      <c r="AQ5989">
        <v>-75.100000000005821</v>
      </c>
      <c r="AR5989">
        <v>-3.330090448981915E-4</v>
      </c>
      <c r="AS5989" t="s">
        <v>239</v>
      </c>
      <c r="AT5989" t="s">
        <v>514</v>
      </c>
    </row>
    <row r="5990" spans="2:46" x14ac:dyDescent="0.35">
      <c r="B5990" t="s">
        <v>649</v>
      </c>
      <c r="C5990">
        <v>45773</v>
      </c>
      <c r="J5990">
        <v>0</v>
      </c>
      <c r="O5990" t="s">
        <v>239</v>
      </c>
      <c r="P5990" t="s">
        <v>514</v>
      </c>
      <c r="U5990">
        <v>0</v>
      </c>
      <c r="Y5990">
        <v>1576</v>
      </c>
      <c r="Z5990" s="259" t="s">
        <v>637</v>
      </c>
      <c r="AB5990">
        <v>65065</v>
      </c>
      <c r="AF5990">
        <v>225444.3</v>
      </c>
      <c r="AG5990">
        <v>0</v>
      </c>
      <c r="AI5990">
        <v>225444.3</v>
      </c>
      <c r="AJ5990">
        <v>0</v>
      </c>
      <c r="AK5990">
        <v>0</v>
      </c>
      <c r="AL5990">
        <v>0</v>
      </c>
      <c r="AM5990">
        <v>161935</v>
      </c>
      <c r="AN5990">
        <v>63509.3</v>
      </c>
      <c r="AO5990">
        <v>225444.3</v>
      </c>
      <c r="AP5990">
        <v>0</v>
      </c>
      <c r="AQ5990">
        <v>0</v>
      </c>
      <c r="AR5990">
        <v>0</v>
      </c>
      <c r="AS5990" t="s">
        <v>239</v>
      </c>
      <c r="AT5990" t="s">
        <v>514</v>
      </c>
    </row>
    <row r="5991" spans="2:46" x14ac:dyDescent="0.35">
      <c r="B5991" t="s">
        <v>649</v>
      </c>
      <c r="C5991">
        <v>45774</v>
      </c>
      <c r="J5991">
        <v>0</v>
      </c>
      <c r="O5991" t="s">
        <v>239</v>
      </c>
      <c r="P5991" t="s">
        <v>514</v>
      </c>
      <c r="U5991">
        <v>0</v>
      </c>
      <c r="Y5991">
        <v>1577</v>
      </c>
      <c r="Z5991" s="259" t="s">
        <v>637</v>
      </c>
      <c r="AB5991">
        <v>65065</v>
      </c>
      <c r="AF5991">
        <v>225444.3</v>
      </c>
      <c r="AG5991">
        <v>0</v>
      </c>
      <c r="AI5991">
        <v>225444.3</v>
      </c>
      <c r="AJ5991">
        <v>0</v>
      </c>
      <c r="AK5991">
        <v>0</v>
      </c>
      <c r="AL5991">
        <v>0</v>
      </c>
      <c r="AM5991">
        <v>161935</v>
      </c>
      <c r="AN5991">
        <v>63509.3</v>
      </c>
      <c r="AO5991">
        <v>225444.3</v>
      </c>
      <c r="AP5991">
        <v>0</v>
      </c>
      <c r="AQ5991">
        <v>0</v>
      </c>
      <c r="AR5991">
        <v>0</v>
      </c>
      <c r="AS5991" t="s">
        <v>239</v>
      </c>
      <c r="AT5991" t="s">
        <v>514</v>
      </c>
    </row>
    <row r="5992" spans="2:46" x14ac:dyDescent="0.35">
      <c r="B5992" t="s">
        <v>649</v>
      </c>
      <c r="C5992">
        <v>45775</v>
      </c>
      <c r="J5992">
        <v>0</v>
      </c>
      <c r="O5992" t="s">
        <v>239</v>
      </c>
      <c r="P5992" t="s">
        <v>514</v>
      </c>
      <c r="U5992">
        <v>0</v>
      </c>
      <c r="Y5992">
        <v>1578</v>
      </c>
      <c r="Z5992" s="259" t="s">
        <v>637</v>
      </c>
      <c r="AB5992">
        <v>65065</v>
      </c>
      <c r="AF5992">
        <v>225215.2</v>
      </c>
      <c r="AG5992">
        <v>0</v>
      </c>
      <c r="AI5992">
        <v>225444.3</v>
      </c>
      <c r="AJ5992">
        <v>0</v>
      </c>
      <c r="AK5992">
        <v>0</v>
      </c>
      <c r="AL5992">
        <v>0</v>
      </c>
      <c r="AM5992">
        <v>161935</v>
      </c>
      <c r="AN5992">
        <v>63280.2</v>
      </c>
      <c r="AO5992">
        <v>225215.2</v>
      </c>
      <c r="AP5992">
        <v>0</v>
      </c>
      <c r="AQ5992">
        <v>-229.09999999997672</v>
      </c>
      <c r="AR5992">
        <v>-1.0162155352784197E-3</v>
      </c>
      <c r="AS5992" t="s">
        <v>239</v>
      </c>
      <c r="AT5992" t="s">
        <v>514</v>
      </c>
    </row>
    <row r="5993" spans="2:46" x14ac:dyDescent="0.35">
      <c r="B5993" t="s">
        <v>649</v>
      </c>
      <c r="C5993">
        <v>45776</v>
      </c>
      <c r="J5993">
        <v>0</v>
      </c>
      <c r="O5993" t="s">
        <v>239</v>
      </c>
      <c r="P5993" t="s">
        <v>514</v>
      </c>
      <c r="U5993">
        <v>0</v>
      </c>
      <c r="Y5993">
        <v>1579</v>
      </c>
      <c r="Z5993" s="259" t="s">
        <v>637</v>
      </c>
      <c r="AB5993">
        <v>65065</v>
      </c>
      <c r="AF5993">
        <v>225140.1</v>
      </c>
      <c r="AG5993">
        <v>0</v>
      </c>
      <c r="AI5993">
        <v>225215.2</v>
      </c>
      <c r="AJ5993">
        <v>0</v>
      </c>
      <c r="AK5993">
        <v>0</v>
      </c>
      <c r="AL5993">
        <v>0</v>
      </c>
      <c r="AM5993">
        <v>161935</v>
      </c>
      <c r="AN5993">
        <v>63205.1</v>
      </c>
      <c r="AO5993">
        <v>225140.1</v>
      </c>
      <c r="AP5993">
        <v>0</v>
      </c>
      <c r="AQ5993">
        <v>-75.100000000005821</v>
      </c>
      <c r="AR5993">
        <v>-3.3345884292002026E-4</v>
      </c>
      <c r="AS5993" t="s">
        <v>239</v>
      </c>
      <c r="AT5993" t="s">
        <v>514</v>
      </c>
    </row>
    <row r="5994" spans="2:46" x14ac:dyDescent="0.35">
      <c r="B5994" t="s">
        <v>649</v>
      </c>
      <c r="C5994">
        <v>45777</v>
      </c>
      <c r="J5994">
        <v>0</v>
      </c>
      <c r="O5994" t="s">
        <v>239</v>
      </c>
      <c r="P5994" t="s">
        <v>514</v>
      </c>
      <c r="U5994">
        <v>0</v>
      </c>
      <c r="Y5994">
        <v>1580</v>
      </c>
      <c r="Z5994" s="259" t="s">
        <v>637</v>
      </c>
      <c r="AB5994">
        <v>65065</v>
      </c>
      <c r="AF5994">
        <v>225065</v>
      </c>
      <c r="AG5994">
        <v>0</v>
      </c>
      <c r="AI5994">
        <v>225140.1</v>
      </c>
      <c r="AJ5994">
        <v>0</v>
      </c>
      <c r="AK5994">
        <v>0</v>
      </c>
      <c r="AL5994">
        <v>0</v>
      </c>
      <c r="AM5994">
        <v>161935</v>
      </c>
      <c r="AN5994">
        <v>63130</v>
      </c>
      <c r="AO5994">
        <v>225065</v>
      </c>
      <c r="AP5994">
        <v>0</v>
      </c>
      <c r="AQ5994">
        <v>-75.100000000005821</v>
      </c>
      <c r="AR5994">
        <v>-3.3357007481127354E-4</v>
      </c>
      <c r="AS5994" t="s">
        <v>239</v>
      </c>
      <c r="AT5994" t="s">
        <v>514</v>
      </c>
    </row>
    <row r="5995" spans="2:46" x14ac:dyDescent="0.35">
      <c r="B5995" t="s">
        <v>649</v>
      </c>
      <c r="C5995">
        <v>45778</v>
      </c>
      <c r="J5995">
        <v>0</v>
      </c>
      <c r="O5995" t="s">
        <v>239</v>
      </c>
      <c r="P5995" t="s">
        <v>514</v>
      </c>
      <c r="U5995">
        <v>0</v>
      </c>
      <c r="Y5995">
        <v>1581</v>
      </c>
      <c r="Z5995" s="259" t="s">
        <v>637</v>
      </c>
      <c r="AB5995">
        <v>65065</v>
      </c>
      <c r="AF5995">
        <v>235065</v>
      </c>
      <c r="AG5995">
        <v>0</v>
      </c>
      <c r="AI5995">
        <v>225065</v>
      </c>
      <c r="AJ5995">
        <v>0</v>
      </c>
      <c r="AK5995">
        <v>10000</v>
      </c>
      <c r="AL5995">
        <v>10000</v>
      </c>
      <c r="AM5995">
        <v>171935</v>
      </c>
      <c r="AN5995">
        <v>63130</v>
      </c>
      <c r="AO5995">
        <v>235065</v>
      </c>
      <c r="AP5995">
        <v>0</v>
      </c>
      <c r="AQ5995">
        <v>0</v>
      </c>
      <c r="AR5995">
        <v>0</v>
      </c>
      <c r="AS5995" t="s">
        <v>239</v>
      </c>
      <c r="AT5995" t="s">
        <v>514</v>
      </c>
    </row>
    <row r="5996" spans="2:46" x14ac:dyDescent="0.35">
      <c r="B5996" t="s">
        <v>649</v>
      </c>
      <c r="C5996">
        <v>45779</v>
      </c>
      <c r="J5996">
        <v>0</v>
      </c>
      <c r="O5996" t="s">
        <v>239</v>
      </c>
      <c r="P5996" t="s">
        <v>514</v>
      </c>
      <c r="U5996">
        <v>0</v>
      </c>
      <c r="Y5996">
        <v>1582</v>
      </c>
      <c r="Z5996" s="259" t="s">
        <v>637</v>
      </c>
      <c r="AB5996">
        <v>65065</v>
      </c>
      <c r="AF5996">
        <v>235108.9</v>
      </c>
      <c r="AG5996">
        <v>0</v>
      </c>
      <c r="AI5996">
        <v>235065</v>
      </c>
      <c r="AJ5996">
        <v>0</v>
      </c>
      <c r="AK5996">
        <v>0</v>
      </c>
      <c r="AL5996">
        <v>0</v>
      </c>
      <c r="AM5996">
        <v>171935</v>
      </c>
      <c r="AN5996">
        <v>63173.9</v>
      </c>
      <c r="AO5996">
        <v>235108.9</v>
      </c>
      <c r="AP5996">
        <v>0</v>
      </c>
      <c r="AQ5996">
        <v>43.899999999994179</v>
      </c>
      <c r="AR5996">
        <v>1.8675685448710233E-4</v>
      </c>
      <c r="AS5996" t="s">
        <v>239</v>
      </c>
      <c r="AT5996" t="s">
        <v>514</v>
      </c>
    </row>
    <row r="5997" spans="2:46" x14ac:dyDescent="0.35">
      <c r="B5997" t="s">
        <v>649</v>
      </c>
      <c r="C5997">
        <v>45780</v>
      </c>
      <c r="J5997">
        <v>0</v>
      </c>
      <c r="O5997" t="s">
        <v>239</v>
      </c>
      <c r="P5997" t="s">
        <v>514</v>
      </c>
      <c r="U5997">
        <v>0</v>
      </c>
      <c r="Y5997">
        <v>1583</v>
      </c>
      <c r="Z5997" s="259" t="s">
        <v>637</v>
      </c>
      <c r="AB5997">
        <v>65065</v>
      </c>
      <c r="AF5997">
        <v>235108.9</v>
      </c>
      <c r="AG5997">
        <v>0</v>
      </c>
      <c r="AI5997">
        <v>235108.9</v>
      </c>
      <c r="AJ5997">
        <v>0</v>
      </c>
      <c r="AK5997">
        <v>0</v>
      </c>
      <c r="AL5997">
        <v>0</v>
      </c>
      <c r="AM5997">
        <v>171935</v>
      </c>
      <c r="AN5997">
        <v>63173.9</v>
      </c>
      <c r="AO5997">
        <v>235108.9</v>
      </c>
      <c r="AP5997">
        <v>0</v>
      </c>
      <c r="AQ5997">
        <v>0</v>
      </c>
      <c r="AR5997">
        <v>0</v>
      </c>
      <c r="AS5997" t="s">
        <v>239</v>
      </c>
      <c r="AT5997" t="s">
        <v>514</v>
      </c>
    </row>
    <row r="5998" spans="2:46" x14ac:dyDescent="0.35">
      <c r="B5998" t="s">
        <v>649</v>
      </c>
      <c r="C5998">
        <v>45781</v>
      </c>
      <c r="J5998">
        <v>0</v>
      </c>
      <c r="O5998" t="s">
        <v>239</v>
      </c>
      <c r="P5998" t="s">
        <v>514</v>
      </c>
      <c r="U5998">
        <v>0</v>
      </c>
      <c r="Y5998">
        <v>1584</v>
      </c>
      <c r="Z5998" s="259" t="s">
        <v>637</v>
      </c>
      <c r="AB5998">
        <v>65065</v>
      </c>
      <c r="AF5998">
        <v>235108.9</v>
      </c>
      <c r="AG5998">
        <v>0</v>
      </c>
      <c r="AI5998">
        <v>235108.9</v>
      </c>
      <c r="AJ5998">
        <v>0</v>
      </c>
      <c r="AK5998">
        <v>0</v>
      </c>
      <c r="AL5998">
        <v>0</v>
      </c>
      <c r="AM5998">
        <v>171935</v>
      </c>
      <c r="AN5998">
        <v>63173.9</v>
      </c>
      <c r="AO5998">
        <v>235108.9</v>
      </c>
      <c r="AP5998">
        <v>0</v>
      </c>
      <c r="AQ5998">
        <v>0</v>
      </c>
      <c r="AR5998">
        <v>0</v>
      </c>
      <c r="AS5998" t="s">
        <v>239</v>
      </c>
      <c r="AT5998" t="s">
        <v>514</v>
      </c>
    </row>
    <row r="5999" spans="2:46" x14ac:dyDescent="0.35">
      <c r="B5999" t="s">
        <v>649</v>
      </c>
      <c r="C5999">
        <v>45782</v>
      </c>
      <c r="J5999">
        <v>0</v>
      </c>
      <c r="O5999" t="s">
        <v>239</v>
      </c>
      <c r="P5999" t="s">
        <v>514</v>
      </c>
      <c r="U5999">
        <v>0</v>
      </c>
      <c r="Y5999">
        <v>1585</v>
      </c>
      <c r="Z5999" s="259" t="s">
        <v>637</v>
      </c>
      <c r="AB5999">
        <v>65065</v>
      </c>
      <c r="AF5999">
        <v>235242.9</v>
      </c>
      <c r="AG5999">
        <v>0</v>
      </c>
      <c r="AI5999">
        <v>235108.9</v>
      </c>
      <c r="AJ5999">
        <v>0</v>
      </c>
      <c r="AK5999">
        <v>0</v>
      </c>
      <c r="AL5999">
        <v>0</v>
      </c>
      <c r="AM5999">
        <v>171935</v>
      </c>
      <c r="AN5999">
        <v>63307.9</v>
      </c>
      <c r="AO5999">
        <v>235242.9</v>
      </c>
      <c r="AP5999">
        <v>0</v>
      </c>
      <c r="AQ5999">
        <v>134</v>
      </c>
      <c r="AR5999">
        <v>5.6994864932802258E-4</v>
      </c>
      <c r="AS5999" t="s">
        <v>239</v>
      </c>
      <c r="AT5999" t="s">
        <v>514</v>
      </c>
    </row>
    <row r="6000" spans="2:46" x14ac:dyDescent="0.35">
      <c r="B6000" t="s">
        <v>649</v>
      </c>
      <c r="C6000">
        <v>45783</v>
      </c>
      <c r="J6000">
        <v>0</v>
      </c>
      <c r="O6000" t="s">
        <v>239</v>
      </c>
      <c r="P6000" t="s">
        <v>514</v>
      </c>
      <c r="U6000">
        <v>0</v>
      </c>
      <c r="Y6000">
        <v>1586</v>
      </c>
      <c r="Z6000" s="259" t="s">
        <v>637</v>
      </c>
      <c r="AB6000">
        <v>65065</v>
      </c>
      <c r="AF6000">
        <v>235289.1</v>
      </c>
      <c r="AG6000">
        <v>0</v>
      </c>
      <c r="AI6000">
        <v>235242.9</v>
      </c>
      <c r="AJ6000">
        <v>0</v>
      </c>
      <c r="AK6000">
        <v>0</v>
      </c>
      <c r="AL6000">
        <v>0</v>
      </c>
      <c r="AM6000">
        <v>171935</v>
      </c>
      <c r="AN6000">
        <v>63354.1</v>
      </c>
      <c r="AO6000">
        <v>235289.1</v>
      </c>
      <c r="AP6000">
        <v>0</v>
      </c>
      <c r="AQ6000">
        <v>46.200000000011642</v>
      </c>
      <c r="AR6000">
        <v>1.9639274979188492E-4</v>
      </c>
      <c r="AS6000" t="s">
        <v>239</v>
      </c>
      <c r="AT6000" t="s">
        <v>514</v>
      </c>
    </row>
    <row r="6001" spans="2:46" x14ac:dyDescent="0.35">
      <c r="B6001" t="s">
        <v>649</v>
      </c>
      <c r="C6001">
        <v>45784</v>
      </c>
      <c r="J6001">
        <v>0</v>
      </c>
      <c r="O6001" t="s">
        <v>239</v>
      </c>
      <c r="P6001" t="s">
        <v>514</v>
      </c>
      <c r="U6001">
        <v>0</v>
      </c>
      <c r="Y6001">
        <v>1587</v>
      </c>
      <c r="Z6001" s="259" t="s">
        <v>637</v>
      </c>
      <c r="AB6001">
        <v>65065</v>
      </c>
      <c r="AF6001">
        <v>235333</v>
      </c>
      <c r="AG6001">
        <v>0</v>
      </c>
      <c r="AI6001">
        <v>235289.1</v>
      </c>
      <c r="AJ6001">
        <v>0</v>
      </c>
      <c r="AK6001">
        <v>0</v>
      </c>
      <c r="AL6001">
        <v>0</v>
      </c>
      <c r="AM6001">
        <v>171935</v>
      </c>
      <c r="AN6001">
        <v>63398</v>
      </c>
      <c r="AO6001">
        <v>235333</v>
      </c>
      <c r="AP6001">
        <v>0</v>
      </c>
      <c r="AQ6001">
        <v>43.899999999994179</v>
      </c>
      <c r="AR6001">
        <v>1.8657897879670315E-4</v>
      </c>
      <c r="AS6001" t="s">
        <v>239</v>
      </c>
      <c r="AT6001" t="s">
        <v>514</v>
      </c>
    </row>
    <row r="6002" spans="2:46" x14ac:dyDescent="0.35">
      <c r="B6002" t="s">
        <v>649</v>
      </c>
      <c r="C6002">
        <v>45785</v>
      </c>
      <c r="J6002">
        <v>0</v>
      </c>
      <c r="O6002" t="s">
        <v>239</v>
      </c>
      <c r="P6002" t="s">
        <v>514</v>
      </c>
      <c r="U6002">
        <v>0</v>
      </c>
      <c r="Y6002">
        <v>1588</v>
      </c>
      <c r="Z6002" s="259" t="s">
        <v>637</v>
      </c>
      <c r="AB6002">
        <v>65065</v>
      </c>
      <c r="AF6002">
        <v>235376.9</v>
      </c>
      <c r="AG6002">
        <v>0</v>
      </c>
      <c r="AI6002">
        <v>235333</v>
      </c>
      <c r="AJ6002">
        <v>0</v>
      </c>
      <c r="AK6002">
        <v>0</v>
      </c>
      <c r="AL6002">
        <v>0</v>
      </c>
      <c r="AM6002">
        <v>171935</v>
      </c>
      <c r="AN6002">
        <v>63441.9</v>
      </c>
      <c r="AO6002">
        <v>235376.9</v>
      </c>
      <c r="AP6002">
        <v>0</v>
      </c>
      <c r="AQ6002">
        <v>43.899999999994179</v>
      </c>
      <c r="AR6002">
        <v>1.8654417357533148E-4</v>
      </c>
      <c r="AS6002" t="s">
        <v>239</v>
      </c>
      <c r="AT6002" t="s">
        <v>514</v>
      </c>
    </row>
    <row r="6003" spans="2:46" x14ac:dyDescent="0.35">
      <c r="B6003" t="s">
        <v>649</v>
      </c>
      <c r="C6003">
        <v>45786</v>
      </c>
      <c r="J6003">
        <v>0</v>
      </c>
      <c r="O6003" t="s">
        <v>239</v>
      </c>
      <c r="P6003" t="s">
        <v>514</v>
      </c>
      <c r="U6003">
        <v>0</v>
      </c>
      <c r="Y6003">
        <v>1589</v>
      </c>
      <c r="Z6003" s="259" t="s">
        <v>637</v>
      </c>
      <c r="AB6003">
        <v>65065</v>
      </c>
      <c r="AF6003">
        <v>235423.1</v>
      </c>
      <c r="AG6003">
        <v>0</v>
      </c>
      <c r="AI6003">
        <v>235376.9</v>
      </c>
      <c r="AJ6003">
        <v>0</v>
      </c>
      <c r="AK6003">
        <v>0</v>
      </c>
      <c r="AL6003">
        <v>0</v>
      </c>
      <c r="AM6003">
        <v>171935</v>
      </c>
      <c r="AN6003">
        <v>63488.1</v>
      </c>
      <c r="AO6003">
        <v>235423.1</v>
      </c>
      <c r="AP6003">
        <v>0</v>
      </c>
      <c r="AQ6003">
        <v>46.200000000011642</v>
      </c>
      <c r="AR6003">
        <v>1.9628094345702785E-4</v>
      </c>
      <c r="AS6003" t="s">
        <v>239</v>
      </c>
      <c r="AT6003" t="s">
        <v>514</v>
      </c>
    </row>
    <row r="6004" spans="2:46" x14ac:dyDescent="0.35">
      <c r="B6004" t="s">
        <v>649</v>
      </c>
      <c r="C6004">
        <v>45787</v>
      </c>
      <c r="J6004">
        <v>0</v>
      </c>
      <c r="O6004" t="s">
        <v>239</v>
      </c>
      <c r="P6004" t="s">
        <v>514</v>
      </c>
      <c r="U6004">
        <v>0</v>
      </c>
      <c r="Y6004">
        <v>1590</v>
      </c>
      <c r="Z6004" s="259" t="s">
        <v>637</v>
      </c>
      <c r="AB6004">
        <v>65065</v>
      </c>
      <c r="AF6004">
        <v>235423.1</v>
      </c>
      <c r="AG6004">
        <v>0</v>
      </c>
      <c r="AI6004">
        <v>235423.1</v>
      </c>
      <c r="AJ6004">
        <v>0</v>
      </c>
      <c r="AK6004">
        <v>0</v>
      </c>
      <c r="AL6004">
        <v>0</v>
      </c>
      <c r="AM6004">
        <v>171935</v>
      </c>
      <c r="AN6004">
        <v>63488.1</v>
      </c>
      <c r="AO6004">
        <v>235423.1</v>
      </c>
      <c r="AP6004">
        <v>0</v>
      </c>
      <c r="AQ6004">
        <v>0</v>
      </c>
      <c r="AR6004">
        <v>0</v>
      </c>
      <c r="AS6004" t="s">
        <v>239</v>
      </c>
      <c r="AT6004" t="s">
        <v>514</v>
      </c>
    </row>
    <row r="6005" spans="2:46" x14ac:dyDescent="0.35">
      <c r="B6005" t="s">
        <v>649</v>
      </c>
      <c r="C6005">
        <v>45788</v>
      </c>
      <c r="J6005">
        <v>0</v>
      </c>
      <c r="O6005" t="s">
        <v>239</v>
      </c>
      <c r="P6005" t="s">
        <v>514</v>
      </c>
      <c r="U6005">
        <v>0</v>
      </c>
      <c r="Y6005">
        <v>1591</v>
      </c>
      <c r="Z6005" s="259" t="s">
        <v>637</v>
      </c>
      <c r="AB6005">
        <v>65065</v>
      </c>
      <c r="AF6005">
        <v>235423.1</v>
      </c>
      <c r="AG6005">
        <v>0</v>
      </c>
      <c r="AI6005">
        <v>235423.1</v>
      </c>
      <c r="AJ6005">
        <v>0</v>
      </c>
      <c r="AK6005">
        <v>0</v>
      </c>
      <c r="AL6005">
        <v>0</v>
      </c>
      <c r="AM6005">
        <v>171935</v>
      </c>
      <c r="AN6005">
        <v>63488.1</v>
      </c>
      <c r="AO6005">
        <v>235423.1</v>
      </c>
      <c r="AP6005">
        <v>0</v>
      </c>
      <c r="AQ6005">
        <v>0</v>
      </c>
      <c r="AR6005">
        <v>0</v>
      </c>
      <c r="AS6005" t="s">
        <v>239</v>
      </c>
      <c r="AT6005" t="s">
        <v>514</v>
      </c>
    </row>
    <row r="6006" spans="2:46" x14ac:dyDescent="0.35">
      <c r="B6006" t="s">
        <v>649</v>
      </c>
      <c r="C6006">
        <v>45789</v>
      </c>
      <c r="J6006">
        <v>0</v>
      </c>
      <c r="O6006" t="s">
        <v>239</v>
      </c>
      <c r="P6006" t="s">
        <v>514</v>
      </c>
      <c r="U6006">
        <v>0</v>
      </c>
      <c r="Y6006">
        <v>1592</v>
      </c>
      <c r="Z6006" s="259" t="s">
        <v>637</v>
      </c>
      <c r="AB6006">
        <v>65065</v>
      </c>
      <c r="AF6006">
        <v>235557.1</v>
      </c>
      <c r="AG6006">
        <v>0</v>
      </c>
      <c r="AI6006">
        <v>235423.1</v>
      </c>
      <c r="AJ6006">
        <v>0</v>
      </c>
      <c r="AK6006">
        <v>0</v>
      </c>
      <c r="AL6006">
        <v>0</v>
      </c>
      <c r="AM6006">
        <v>171935</v>
      </c>
      <c r="AN6006">
        <v>63622.1</v>
      </c>
      <c r="AO6006">
        <v>235557.1</v>
      </c>
      <c r="AP6006">
        <v>0</v>
      </c>
      <c r="AQ6006">
        <v>134</v>
      </c>
      <c r="AR6006">
        <v>5.6918798537619608E-4</v>
      </c>
      <c r="AS6006" t="s">
        <v>239</v>
      </c>
      <c r="AT6006" t="s">
        <v>514</v>
      </c>
    </row>
    <row r="6007" spans="2:46" x14ac:dyDescent="0.35">
      <c r="B6007" t="s">
        <v>649</v>
      </c>
      <c r="C6007">
        <v>45790</v>
      </c>
      <c r="J6007">
        <v>0</v>
      </c>
      <c r="O6007" t="s">
        <v>239</v>
      </c>
      <c r="P6007" t="s">
        <v>514</v>
      </c>
      <c r="U6007">
        <v>0</v>
      </c>
      <c r="Y6007">
        <v>1593</v>
      </c>
      <c r="Z6007" s="259" t="s">
        <v>637</v>
      </c>
      <c r="AB6007">
        <v>65065</v>
      </c>
      <c r="AF6007">
        <v>235601</v>
      </c>
      <c r="AG6007">
        <v>0</v>
      </c>
      <c r="AI6007">
        <v>235557.1</v>
      </c>
      <c r="AJ6007">
        <v>0</v>
      </c>
      <c r="AK6007">
        <v>0</v>
      </c>
      <c r="AL6007">
        <v>0</v>
      </c>
      <c r="AM6007">
        <v>171935</v>
      </c>
      <c r="AN6007">
        <v>63666</v>
      </c>
      <c r="AO6007">
        <v>235601</v>
      </c>
      <c r="AP6007">
        <v>0</v>
      </c>
      <c r="AQ6007">
        <v>43.899999999994179</v>
      </c>
      <c r="AR6007">
        <v>1.863667025956417E-4</v>
      </c>
      <c r="AS6007" t="s">
        <v>239</v>
      </c>
      <c r="AT6007" t="s">
        <v>514</v>
      </c>
    </row>
    <row r="6008" spans="2:46" x14ac:dyDescent="0.35">
      <c r="B6008" t="s">
        <v>649</v>
      </c>
      <c r="C6008">
        <v>45791</v>
      </c>
      <c r="J6008">
        <v>0</v>
      </c>
      <c r="O6008" t="s">
        <v>239</v>
      </c>
      <c r="P6008" t="s">
        <v>514</v>
      </c>
      <c r="U6008">
        <v>0</v>
      </c>
      <c r="Y6008">
        <v>1594</v>
      </c>
      <c r="Z6008" s="259" t="s">
        <v>637</v>
      </c>
      <c r="AB6008">
        <v>65065</v>
      </c>
      <c r="AF6008">
        <v>235644.9</v>
      </c>
      <c r="AG6008">
        <v>0</v>
      </c>
      <c r="AI6008">
        <v>235601</v>
      </c>
      <c r="AJ6008">
        <v>0</v>
      </c>
      <c r="AK6008">
        <v>0</v>
      </c>
      <c r="AL6008">
        <v>0</v>
      </c>
      <c r="AM6008">
        <v>171935</v>
      </c>
      <c r="AN6008">
        <v>63709.9</v>
      </c>
      <c r="AO6008">
        <v>235644.9</v>
      </c>
      <c r="AP6008">
        <v>0</v>
      </c>
      <c r="AQ6008">
        <v>43.899999999994179</v>
      </c>
      <c r="AR6008">
        <v>1.8633197651962696E-4</v>
      </c>
      <c r="AS6008" t="s">
        <v>239</v>
      </c>
      <c r="AT6008" t="s">
        <v>514</v>
      </c>
    </row>
    <row r="6009" spans="2:46" x14ac:dyDescent="0.35">
      <c r="B6009" t="s">
        <v>649</v>
      </c>
      <c r="C6009">
        <v>45792</v>
      </c>
      <c r="J6009">
        <v>0</v>
      </c>
      <c r="O6009" t="s">
        <v>239</v>
      </c>
      <c r="P6009" t="s">
        <v>514</v>
      </c>
      <c r="U6009">
        <v>0</v>
      </c>
      <c r="Y6009">
        <v>1595</v>
      </c>
      <c r="Z6009" s="259" t="s">
        <v>637</v>
      </c>
      <c r="AB6009">
        <v>65065</v>
      </c>
      <c r="AF6009">
        <v>235691.1</v>
      </c>
      <c r="AG6009">
        <v>0</v>
      </c>
      <c r="AI6009">
        <v>235644.9</v>
      </c>
      <c r="AJ6009">
        <v>0</v>
      </c>
      <c r="AK6009">
        <v>0</v>
      </c>
      <c r="AL6009">
        <v>0</v>
      </c>
      <c r="AM6009">
        <v>171935</v>
      </c>
      <c r="AN6009">
        <v>63756.1</v>
      </c>
      <c r="AO6009">
        <v>235691.1</v>
      </c>
      <c r="AP6009">
        <v>0</v>
      </c>
      <c r="AQ6009">
        <v>46.200000000011642</v>
      </c>
      <c r="AR6009">
        <v>1.9605771226127722E-4</v>
      </c>
      <c r="AS6009" t="s">
        <v>239</v>
      </c>
      <c r="AT6009" t="s">
        <v>514</v>
      </c>
    </row>
    <row r="6010" spans="2:46" x14ac:dyDescent="0.35">
      <c r="B6010" t="s">
        <v>649</v>
      </c>
      <c r="C6010">
        <v>45793</v>
      </c>
      <c r="J6010">
        <v>0</v>
      </c>
      <c r="O6010" t="s">
        <v>239</v>
      </c>
      <c r="P6010" t="s">
        <v>514</v>
      </c>
      <c r="U6010">
        <v>0</v>
      </c>
      <c r="Y6010">
        <v>1596</v>
      </c>
      <c r="Z6010" s="259" t="s">
        <v>637</v>
      </c>
      <c r="AB6010">
        <v>65065</v>
      </c>
      <c r="AF6010">
        <v>235735</v>
      </c>
      <c r="AG6010">
        <v>0</v>
      </c>
      <c r="AI6010">
        <v>235691.1</v>
      </c>
      <c r="AJ6010">
        <v>0</v>
      </c>
      <c r="AK6010">
        <v>0</v>
      </c>
      <c r="AL6010">
        <v>0</v>
      </c>
      <c r="AM6010">
        <v>171935</v>
      </c>
      <c r="AN6010">
        <v>63800</v>
      </c>
      <c r="AO6010">
        <v>235735</v>
      </c>
      <c r="AP6010">
        <v>0</v>
      </c>
      <c r="AQ6010">
        <v>43.899999999994179</v>
      </c>
      <c r="AR6010">
        <v>1.862607455267451E-4</v>
      </c>
      <c r="AS6010" t="s">
        <v>239</v>
      </c>
      <c r="AT6010" t="s">
        <v>514</v>
      </c>
    </row>
    <row r="6011" spans="2:46" x14ac:dyDescent="0.35">
      <c r="B6011" t="s">
        <v>649</v>
      </c>
      <c r="C6011">
        <v>45794</v>
      </c>
      <c r="J6011">
        <v>0</v>
      </c>
      <c r="O6011" t="s">
        <v>239</v>
      </c>
      <c r="P6011" t="s">
        <v>514</v>
      </c>
      <c r="U6011">
        <v>0</v>
      </c>
      <c r="Y6011">
        <v>1597</v>
      </c>
      <c r="Z6011" s="259" t="s">
        <v>637</v>
      </c>
      <c r="AB6011">
        <v>65065</v>
      </c>
      <c r="AF6011">
        <v>235735</v>
      </c>
      <c r="AG6011">
        <v>0</v>
      </c>
      <c r="AI6011">
        <v>235735</v>
      </c>
      <c r="AJ6011">
        <v>0</v>
      </c>
      <c r="AK6011">
        <v>0</v>
      </c>
      <c r="AL6011">
        <v>0</v>
      </c>
      <c r="AM6011">
        <v>171935</v>
      </c>
      <c r="AN6011">
        <v>63800</v>
      </c>
      <c r="AO6011">
        <v>235735</v>
      </c>
      <c r="AP6011">
        <v>0</v>
      </c>
      <c r="AQ6011">
        <v>0</v>
      </c>
      <c r="AR6011">
        <v>0</v>
      </c>
      <c r="AS6011" t="s">
        <v>239</v>
      </c>
      <c r="AT6011" t="s">
        <v>514</v>
      </c>
    </row>
    <row r="6012" spans="2:46" x14ac:dyDescent="0.35">
      <c r="B6012" t="s">
        <v>649</v>
      </c>
      <c r="C6012">
        <v>45795</v>
      </c>
      <c r="J6012">
        <v>0</v>
      </c>
      <c r="O6012" t="s">
        <v>239</v>
      </c>
      <c r="P6012" t="s">
        <v>514</v>
      </c>
      <c r="U6012">
        <v>0</v>
      </c>
      <c r="Y6012">
        <v>1598</v>
      </c>
      <c r="Z6012" s="259" t="s">
        <v>637</v>
      </c>
      <c r="AB6012">
        <v>65065</v>
      </c>
      <c r="AF6012">
        <v>235735</v>
      </c>
      <c r="AG6012">
        <v>0</v>
      </c>
      <c r="AI6012">
        <v>235735</v>
      </c>
      <c r="AJ6012">
        <v>0</v>
      </c>
      <c r="AK6012">
        <v>0</v>
      </c>
      <c r="AL6012">
        <v>0</v>
      </c>
      <c r="AM6012">
        <v>171935</v>
      </c>
      <c r="AN6012">
        <v>63800</v>
      </c>
      <c r="AO6012">
        <v>235735</v>
      </c>
      <c r="AP6012">
        <v>0</v>
      </c>
      <c r="AQ6012">
        <v>0</v>
      </c>
      <c r="AR6012">
        <v>0</v>
      </c>
      <c r="AS6012" t="s">
        <v>239</v>
      </c>
      <c r="AT6012" t="s">
        <v>514</v>
      </c>
    </row>
    <row r="6013" spans="2:46" x14ac:dyDescent="0.35">
      <c r="B6013" t="s">
        <v>649</v>
      </c>
      <c r="C6013">
        <v>45796</v>
      </c>
      <c r="J6013">
        <v>0</v>
      </c>
      <c r="O6013" t="s">
        <v>239</v>
      </c>
      <c r="P6013" t="s">
        <v>514</v>
      </c>
      <c r="U6013">
        <v>0</v>
      </c>
      <c r="Y6013">
        <v>1599</v>
      </c>
      <c r="Z6013" s="259" t="s">
        <v>637</v>
      </c>
      <c r="AB6013">
        <v>65065</v>
      </c>
      <c r="AF6013">
        <v>235869</v>
      </c>
      <c r="AG6013">
        <v>0</v>
      </c>
      <c r="AI6013">
        <v>235735</v>
      </c>
      <c r="AJ6013">
        <v>0</v>
      </c>
      <c r="AK6013">
        <v>0</v>
      </c>
      <c r="AL6013">
        <v>0</v>
      </c>
      <c r="AM6013">
        <v>171935</v>
      </c>
      <c r="AN6013">
        <v>63934</v>
      </c>
      <c r="AO6013">
        <v>235869</v>
      </c>
      <c r="AP6013">
        <v>0</v>
      </c>
      <c r="AQ6013">
        <v>134</v>
      </c>
      <c r="AR6013">
        <v>5.6843489511537726E-4</v>
      </c>
      <c r="AS6013" t="s">
        <v>239</v>
      </c>
      <c r="AT6013" t="s">
        <v>514</v>
      </c>
    </row>
    <row r="6014" spans="2:46" x14ac:dyDescent="0.35">
      <c r="B6014" t="s">
        <v>649</v>
      </c>
      <c r="C6014">
        <v>45797</v>
      </c>
      <c r="J6014">
        <v>0</v>
      </c>
      <c r="O6014" t="s">
        <v>239</v>
      </c>
      <c r="P6014" t="s">
        <v>514</v>
      </c>
      <c r="U6014">
        <v>0</v>
      </c>
      <c r="Y6014">
        <v>1600</v>
      </c>
      <c r="Z6014" s="259" t="s">
        <v>637</v>
      </c>
      <c r="AB6014">
        <v>65065</v>
      </c>
      <c r="AF6014">
        <v>235912.9</v>
      </c>
      <c r="AG6014">
        <v>0</v>
      </c>
      <c r="AI6014">
        <v>235869</v>
      </c>
      <c r="AJ6014">
        <v>0</v>
      </c>
      <c r="AK6014">
        <v>0</v>
      </c>
      <c r="AL6014">
        <v>0</v>
      </c>
      <c r="AM6014">
        <v>171935</v>
      </c>
      <c r="AN6014">
        <v>63977.9</v>
      </c>
      <c r="AO6014">
        <v>235912.9</v>
      </c>
      <c r="AP6014">
        <v>0</v>
      </c>
      <c r="AQ6014">
        <v>43.899999999994179</v>
      </c>
      <c r="AR6014">
        <v>1.8612026167064144E-4</v>
      </c>
      <c r="AS6014" t="s">
        <v>239</v>
      </c>
      <c r="AT6014" t="s">
        <v>514</v>
      </c>
    </row>
    <row r="6015" spans="2:46" x14ac:dyDescent="0.35">
      <c r="B6015" t="s">
        <v>649</v>
      </c>
      <c r="C6015">
        <v>45798</v>
      </c>
      <c r="J6015">
        <v>0</v>
      </c>
      <c r="O6015" t="s">
        <v>239</v>
      </c>
      <c r="P6015" t="s">
        <v>514</v>
      </c>
      <c r="U6015">
        <v>0</v>
      </c>
      <c r="Y6015">
        <v>1601</v>
      </c>
      <c r="Z6015" s="259" t="s">
        <v>637</v>
      </c>
      <c r="AB6015">
        <v>65065</v>
      </c>
      <c r="AF6015">
        <v>235959.1</v>
      </c>
      <c r="AG6015">
        <v>0</v>
      </c>
      <c r="AI6015">
        <v>235912.9</v>
      </c>
      <c r="AJ6015">
        <v>0</v>
      </c>
      <c r="AK6015">
        <v>0</v>
      </c>
      <c r="AL6015">
        <v>0</v>
      </c>
      <c r="AM6015">
        <v>171935</v>
      </c>
      <c r="AN6015">
        <v>64024.1</v>
      </c>
      <c r="AO6015">
        <v>235959.1</v>
      </c>
      <c r="AP6015">
        <v>0</v>
      </c>
      <c r="AQ6015">
        <v>46.200000000011642</v>
      </c>
      <c r="AR6015">
        <v>1.958349882520416E-4</v>
      </c>
      <c r="AS6015" t="s">
        <v>239</v>
      </c>
      <c r="AT6015" t="s">
        <v>514</v>
      </c>
    </row>
    <row r="6016" spans="2:46" x14ac:dyDescent="0.35">
      <c r="B6016" t="s">
        <v>649</v>
      </c>
      <c r="C6016">
        <v>45799</v>
      </c>
      <c r="J6016">
        <v>0</v>
      </c>
      <c r="O6016" t="s">
        <v>239</v>
      </c>
      <c r="P6016" t="s">
        <v>514</v>
      </c>
      <c r="U6016">
        <v>0</v>
      </c>
      <c r="Y6016">
        <v>1602</v>
      </c>
      <c r="Z6016" s="259" t="s">
        <v>637</v>
      </c>
      <c r="AB6016">
        <v>65065</v>
      </c>
      <c r="AF6016">
        <v>236003</v>
      </c>
      <c r="AG6016">
        <v>0</v>
      </c>
      <c r="AI6016">
        <v>235959.1</v>
      </c>
      <c r="AJ6016">
        <v>0</v>
      </c>
      <c r="AK6016">
        <v>0</v>
      </c>
      <c r="AL6016">
        <v>0</v>
      </c>
      <c r="AM6016">
        <v>171935</v>
      </c>
      <c r="AN6016">
        <v>64068</v>
      </c>
      <c r="AO6016">
        <v>236003</v>
      </c>
      <c r="AP6016">
        <v>0</v>
      </c>
      <c r="AQ6016">
        <v>43.899999999994179</v>
      </c>
      <c r="AR6016">
        <v>1.860491924234875E-4</v>
      </c>
      <c r="AS6016" t="s">
        <v>239</v>
      </c>
      <c r="AT6016" t="s">
        <v>514</v>
      </c>
    </row>
    <row r="6017" spans="2:46" x14ac:dyDescent="0.35">
      <c r="B6017" t="s">
        <v>649</v>
      </c>
      <c r="C6017">
        <v>45800</v>
      </c>
      <c r="J6017">
        <v>0</v>
      </c>
      <c r="O6017" t="s">
        <v>239</v>
      </c>
      <c r="P6017" t="s">
        <v>514</v>
      </c>
      <c r="U6017">
        <v>0</v>
      </c>
      <c r="Y6017">
        <v>1603</v>
      </c>
      <c r="Z6017" s="259" t="s">
        <v>637</v>
      </c>
      <c r="AB6017">
        <v>65065</v>
      </c>
      <c r="AF6017">
        <v>236046.9</v>
      </c>
      <c r="AG6017">
        <v>0</v>
      </c>
      <c r="AI6017">
        <v>236003</v>
      </c>
      <c r="AJ6017">
        <v>0</v>
      </c>
      <c r="AK6017">
        <v>0</v>
      </c>
      <c r="AL6017">
        <v>0</v>
      </c>
      <c r="AM6017">
        <v>171935</v>
      </c>
      <c r="AN6017">
        <v>64111.9</v>
      </c>
      <c r="AO6017">
        <v>236046.9</v>
      </c>
      <c r="AP6017">
        <v>0</v>
      </c>
      <c r="AQ6017">
        <v>43.899999999994179</v>
      </c>
      <c r="AR6017">
        <v>1.8601458456024567E-4</v>
      </c>
      <c r="AS6017" t="s">
        <v>239</v>
      </c>
      <c r="AT6017" t="s">
        <v>514</v>
      </c>
    </row>
    <row r="6018" spans="2:46" x14ac:dyDescent="0.35">
      <c r="B6018" t="s">
        <v>649</v>
      </c>
      <c r="C6018">
        <v>45801</v>
      </c>
      <c r="J6018">
        <v>0</v>
      </c>
      <c r="O6018" t="s">
        <v>239</v>
      </c>
      <c r="P6018" t="s">
        <v>514</v>
      </c>
      <c r="U6018">
        <v>0</v>
      </c>
      <c r="Y6018">
        <v>1604</v>
      </c>
      <c r="Z6018" s="259" t="s">
        <v>637</v>
      </c>
      <c r="AB6018">
        <v>65065</v>
      </c>
      <c r="AF6018">
        <v>236046.9</v>
      </c>
      <c r="AG6018">
        <v>0</v>
      </c>
      <c r="AI6018">
        <v>236046.9</v>
      </c>
      <c r="AJ6018">
        <v>0</v>
      </c>
      <c r="AK6018">
        <v>0</v>
      </c>
      <c r="AL6018">
        <v>0</v>
      </c>
      <c r="AM6018">
        <v>171935</v>
      </c>
      <c r="AN6018">
        <v>64111.9</v>
      </c>
      <c r="AO6018">
        <v>236046.9</v>
      </c>
      <c r="AP6018">
        <v>0</v>
      </c>
      <c r="AQ6018">
        <v>0</v>
      </c>
      <c r="AR6018">
        <v>0</v>
      </c>
      <c r="AS6018" t="s">
        <v>239</v>
      </c>
      <c r="AT6018" t="s">
        <v>514</v>
      </c>
    </row>
    <row r="6019" spans="2:46" x14ac:dyDescent="0.35">
      <c r="B6019" t="s">
        <v>649</v>
      </c>
      <c r="C6019">
        <v>45802</v>
      </c>
      <c r="J6019">
        <v>0</v>
      </c>
      <c r="O6019" t="s">
        <v>239</v>
      </c>
      <c r="P6019" t="s">
        <v>514</v>
      </c>
      <c r="U6019">
        <v>0</v>
      </c>
      <c r="Y6019">
        <v>1605</v>
      </c>
      <c r="Z6019" s="259" t="s">
        <v>637</v>
      </c>
      <c r="AB6019">
        <v>65065</v>
      </c>
      <c r="AF6019">
        <v>236046.9</v>
      </c>
      <c r="AG6019">
        <v>0</v>
      </c>
      <c r="AI6019">
        <v>236046.9</v>
      </c>
      <c r="AJ6019">
        <v>0</v>
      </c>
      <c r="AK6019">
        <v>0</v>
      </c>
      <c r="AL6019">
        <v>0</v>
      </c>
      <c r="AM6019">
        <v>171935</v>
      </c>
      <c r="AN6019">
        <v>64111.9</v>
      </c>
      <c r="AO6019">
        <v>236046.9</v>
      </c>
      <c r="AP6019">
        <v>0</v>
      </c>
      <c r="AQ6019">
        <v>0</v>
      </c>
      <c r="AR6019">
        <v>0</v>
      </c>
      <c r="AS6019" t="s">
        <v>239</v>
      </c>
      <c r="AT6019" t="s">
        <v>514</v>
      </c>
    </row>
    <row r="6020" spans="2:46" x14ac:dyDescent="0.35">
      <c r="B6020" t="s">
        <v>649</v>
      </c>
      <c r="C6020">
        <v>45803</v>
      </c>
      <c r="J6020">
        <v>0</v>
      </c>
      <c r="O6020" t="s">
        <v>239</v>
      </c>
      <c r="P6020" t="s">
        <v>514</v>
      </c>
      <c r="U6020">
        <v>0</v>
      </c>
      <c r="Y6020">
        <v>1606</v>
      </c>
      <c r="Z6020" s="259" t="s">
        <v>637</v>
      </c>
      <c r="AB6020">
        <v>65065</v>
      </c>
      <c r="AF6020">
        <v>236180.9</v>
      </c>
      <c r="AG6020">
        <v>0</v>
      </c>
      <c r="AI6020">
        <v>236046.9</v>
      </c>
      <c r="AJ6020">
        <v>0</v>
      </c>
      <c r="AK6020">
        <v>0</v>
      </c>
      <c r="AL6020">
        <v>0</v>
      </c>
      <c r="AM6020">
        <v>171935</v>
      </c>
      <c r="AN6020">
        <v>64245.9</v>
      </c>
      <c r="AO6020">
        <v>236180.9</v>
      </c>
      <c r="AP6020">
        <v>0</v>
      </c>
      <c r="AQ6020">
        <v>134</v>
      </c>
      <c r="AR6020">
        <v>5.6768379504235078E-4</v>
      </c>
      <c r="AS6020" t="s">
        <v>239</v>
      </c>
      <c r="AT6020" t="s">
        <v>514</v>
      </c>
    </row>
    <row r="6021" spans="2:46" x14ac:dyDescent="0.35">
      <c r="B6021" t="s">
        <v>649</v>
      </c>
      <c r="C6021">
        <v>45804</v>
      </c>
      <c r="J6021">
        <v>0</v>
      </c>
      <c r="O6021" t="s">
        <v>239</v>
      </c>
      <c r="P6021" t="s">
        <v>514</v>
      </c>
      <c r="U6021">
        <v>0</v>
      </c>
      <c r="Y6021">
        <v>1607</v>
      </c>
      <c r="Z6021" s="259" t="s">
        <v>637</v>
      </c>
      <c r="AB6021">
        <v>65065</v>
      </c>
      <c r="AF6021">
        <v>236227.1</v>
      </c>
      <c r="AG6021">
        <v>0</v>
      </c>
      <c r="AI6021">
        <v>236180.9</v>
      </c>
      <c r="AJ6021">
        <v>0</v>
      </c>
      <c r="AK6021">
        <v>0</v>
      </c>
      <c r="AL6021">
        <v>0</v>
      </c>
      <c r="AM6021">
        <v>171935</v>
      </c>
      <c r="AN6021">
        <v>64292.1</v>
      </c>
      <c r="AO6021">
        <v>236227.1</v>
      </c>
      <c r="AP6021">
        <v>0</v>
      </c>
      <c r="AQ6021">
        <v>46.200000000011642</v>
      </c>
      <c r="AR6021">
        <v>1.9561276970336827E-4</v>
      </c>
      <c r="AS6021" t="s">
        <v>239</v>
      </c>
      <c r="AT6021" t="s">
        <v>514</v>
      </c>
    </row>
    <row r="6022" spans="2:46" x14ac:dyDescent="0.35">
      <c r="B6022" t="s">
        <v>649</v>
      </c>
      <c r="C6022">
        <v>45805</v>
      </c>
      <c r="J6022">
        <v>0</v>
      </c>
      <c r="O6022" t="s">
        <v>239</v>
      </c>
      <c r="P6022" t="s">
        <v>514</v>
      </c>
      <c r="U6022">
        <v>0</v>
      </c>
      <c r="Y6022">
        <v>1608</v>
      </c>
      <c r="Z6022" s="259" t="s">
        <v>637</v>
      </c>
      <c r="AB6022">
        <v>65065</v>
      </c>
      <c r="AF6022">
        <v>236271</v>
      </c>
      <c r="AG6022">
        <v>0</v>
      </c>
      <c r="AI6022">
        <v>236227.1</v>
      </c>
      <c r="AJ6022">
        <v>0</v>
      </c>
      <c r="AK6022">
        <v>0</v>
      </c>
      <c r="AL6022">
        <v>0</v>
      </c>
      <c r="AM6022">
        <v>171935</v>
      </c>
      <c r="AN6022">
        <v>64336</v>
      </c>
      <c r="AO6022">
        <v>236271</v>
      </c>
      <c r="AP6022">
        <v>0</v>
      </c>
      <c r="AQ6022">
        <v>43.899999999994179</v>
      </c>
      <c r="AR6022">
        <v>1.858381193351466E-4</v>
      </c>
      <c r="AS6022" t="s">
        <v>239</v>
      </c>
      <c r="AT6022" t="s">
        <v>514</v>
      </c>
    </row>
    <row r="6023" spans="2:46" x14ac:dyDescent="0.35">
      <c r="B6023" t="s">
        <v>649</v>
      </c>
      <c r="C6023">
        <v>45806</v>
      </c>
      <c r="J6023">
        <v>0</v>
      </c>
      <c r="O6023" t="s">
        <v>239</v>
      </c>
      <c r="P6023" t="s">
        <v>514</v>
      </c>
      <c r="U6023">
        <v>0</v>
      </c>
      <c r="Y6023">
        <v>1609</v>
      </c>
      <c r="Z6023" s="259" t="s">
        <v>637</v>
      </c>
      <c r="AB6023">
        <v>65065</v>
      </c>
      <c r="AF6023">
        <v>236314.9</v>
      </c>
      <c r="AG6023">
        <v>0</v>
      </c>
      <c r="AI6023">
        <v>236271</v>
      </c>
      <c r="AJ6023">
        <v>0</v>
      </c>
      <c r="AK6023">
        <v>0</v>
      </c>
      <c r="AL6023">
        <v>0</v>
      </c>
      <c r="AM6023">
        <v>171935</v>
      </c>
      <c r="AN6023">
        <v>64379.9</v>
      </c>
      <c r="AO6023">
        <v>236314.9</v>
      </c>
      <c r="AP6023">
        <v>0</v>
      </c>
      <c r="AQ6023">
        <v>43.899999999994179</v>
      </c>
      <c r="AR6023">
        <v>1.8580358994535473E-4</v>
      </c>
      <c r="AS6023" t="s">
        <v>239</v>
      </c>
      <c r="AT6023" t="s">
        <v>514</v>
      </c>
    </row>
    <row r="6024" spans="2:46" x14ac:dyDescent="0.35">
      <c r="B6024" t="s">
        <v>649</v>
      </c>
      <c r="C6024">
        <v>45807</v>
      </c>
      <c r="J6024">
        <v>0</v>
      </c>
      <c r="O6024" t="s">
        <v>239</v>
      </c>
      <c r="P6024" t="s">
        <v>514</v>
      </c>
      <c r="U6024">
        <v>0</v>
      </c>
      <c r="Y6024">
        <v>1610</v>
      </c>
      <c r="Z6024" s="259" t="s">
        <v>637</v>
      </c>
      <c r="AB6024">
        <v>65065</v>
      </c>
      <c r="AF6024">
        <v>236361.1</v>
      </c>
      <c r="AG6024">
        <v>0</v>
      </c>
      <c r="AI6024">
        <v>236314.9</v>
      </c>
      <c r="AJ6024">
        <v>0</v>
      </c>
      <c r="AK6024">
        <v>0</v>
      </c>
      <c r="AL6024">
        <v>0</v>
      </c>
      <c r="AM6024">
        <v>171935</v>
      </c>
      <c r="AN6024">
        <v>64426.1</v>
      </c>
      <c r="AO6024">
        <v>236361.1</v>
      </c>
      <c r="AP6024">
        <v>0</v>
      </c>
      <c r="AQ6024">
        <v>46.200000000011642</v>
      </c>
      <c r="AR6024">
        <v>1.9550184943906146E-4</v>
      </c>
      <c r="AS6024" t="s">
        <v>239</v>
      </c>
      <c r="AT6024" t="s">
        <v>514</v>
      </c>
    </row>
    <row r="6025" spans="2:46" x14ac:dyDescent="0.35">
      <c r="B6025" t="s">
        <v>649</v>
      </c>
      <c r="C6025">
        <v>45808</v>
      </c>
      <c r="J6025">
        <v>0</v>
      </c>
      <c r="O6025" t="s">
        <v>239</v>
      </c>
      <c r="P6025" t="s">
        <v>514</v>
      </c>
      <c r="U6025">
        <v>0</v>
      </c>
      <c r="Y6025">
        <v>1611</v>
      </c>
      <c r="Z6025" s="259" t="s">
        <v>637</v>
      </c>
      <c r="AB6025">
        <v>65065</v>
      </c>
      <c r="AF6025">
        <v>236361.1</v>
      </c>
      <c r="AG6025">
        <v>0</v>
      </c>
      <c r="AI6025">
        <v>236361.1</v>
      </c>
      <c r="AJ6025">
        <v>0</v>
      </c>
      <c r="AK6025">
        <v>0</v>
      </c>
      <c r="AL6025">
        <v>0</v>
      </c>
      <c r="AM6025">
        <v>171935</v>
      </c>
      <c r="AN6025">
        <v>64426.1</v>
      </c>
      <c r="AO6025">
        <v>236361.1</v>
      </c>
      <c r="AP6025">
        <v>0</v>
      </c>
      <c r="AQ6025">
        <v>0</v>
      </c>
      <c r="AR6025">
        <v>0</v>
      </c>
      <c r="AS6025" t="s">
        <v>239</v>
      </c>
      <c r="AT6025" t="s">
        <v>514</v>
      </c>
    </row>
    <row r="6026" spans="2:46" x14ac:dyDescent="0.35">
      <c r="B6026" t="s">
        <v>649</v>
      </c>
      <c r="C6026">
        <v>45809</v>
      </c>
      <c r="J6026">
        <v>0</v>
      </c>
      <c r="O6026" t="s">
        <v>239</v>
      </c>
      <c r="P6026" t="s">
        <v>514</v>
      </c>
      <c r="U6026">
        <v>0</v>
      </c>
      <c r="Y6026">
        <v>1612</v>
      </c>
      <c r="Z6026" s="259" t="s">
        <v>637</v>
      </c>
      <c r="AB6026">
        <v>65065</v>
      </c>
      <c r="AF6026">
        <v>236361.1</v>
      </c>
      <c r="AG6026">
        <v>0</v>
      </c>
      <c r="AI6026">
        <v>236361.1</v>
      </c>
      <c r="AJ6026">
        <v>0</v>
      </c>
      <c r="AK6026">
        <v>0</v>
      </c>
      <c r="AL6026">
        <v>0</v>
      </c>
      <c r="AM6026">
        <v>171935</v>
      </c>
      <c r="AN6026">
        <v>64426.1</v>
      </c>
      <c r="AO6026">
        <v>236361.1</v>
      </c>
      <c r="AP6026">
        <v>0</v>
      </c>
      <c r="AQ6026">
        <v>0</v>
      </c>
      <c r="AR6026">
        <v>0</v>
      </c>
      <c r="AS6026" t="s">
        <v>239</v>
      </c>
      <c r="AT6026" t="s">
        <v>514</v>
      </c>
    </row>
    <row r="6027" spans="2:46" x14ac:dyDescent="0.35">
      <c r="B6027" t="s">
        <v>649</v>
      </c>
      <c r="C6027">
        <v>45810</v>
      </c>
      <c r="J6027">
        <v>0</v>
      </c>
      <c r="O6027" t="s">
        <v>239</v>
      </c>
      <c r="P6027" t="s">
        <v>514</v>
      </c>
      <c r="U6027">
        <v>0</v>
      </c>
      <c r="Y6027">
        <v>1613</v>
      </c>
      <c r="Z6027" s="259" t="s">
        <v>637</v>
      </c>
      <c r="AB6027">
        <v>65065</v>
      </c>
      <c r="AF6027">
        <v>236421.3</v>
      </c>
      <c r="AG6027">
        <v>0</v>
      </c>
      <c r="AI6027">
        <v>236361.1</v>
      </c>
      <c r="AJ6027">
        <v>0</v>
      </c>
      <c r="AK6027">
        <v>0</v>
      </c>
      <c r="AL6027">
        <v>0</v>
      </c>
      <c r="AM6027">
        <v>171935</v>
      </c>
      <c r="AN6027">
        <v>64486.3</v>
      </c>
      <c r="AO6027">
        <v>236421.3</v>
      </c>
      <c r="AP6027">
        <v>0</v>
      </c>
      <c r="AQ6027">
        <v>60.199999999982538</v>
      </c>
      <c r="AR6027">
        <v>2.5469504076602867E-4</v>
      </c>
      <c r="AS6027" t="s">
        <v>239</v>
      </c>
      <c r="AT6027" t="s">
        <v>514</v>
      </c>
    </row>
    <row r="6028" spans="2:46" x14ac:dyDescent="0.35">
      <c r="B6028" t="s">
        <v>649</v>
      </c>
      <c r="C6028">
        <v>45811</v>
      </c>
      <c r="J6028">
        <v>0</v>
      </c>
      <c r="O6028" t="s">
        <v>239</v>
      </c>
      <c r="P6028" t="s">
        <v>514</v>
      </c>
      <c r="U6028">
        <v>0</v>
      </c>
      <c r="Y6028">
        <v>1614</v>
      </c>
      <c r="Z6028" s="259" t="s">
        <v>637</v>
      </c>
      <c r="AB6028">
        <v>65065</v>
      </c>
      <c r="AF6028">
        <v>236439.9</v>
      </c>
      <c r="AG6028">
        <v>0</v>
      </c>
      <c r="AI6028">
        <v>236421.3</v>
      </c>
      <c r="AJ6028">
        <v>0</v>
      </c>
      <c r="AK6028">
        <v>0</v>
      </c>
      <c r="AL6028">
        <v>0</v>
      </c>
      <c r="AM6028">
        <v>171935</v>
      </c>
      <c r="AN6028">
        <v>64504.9</v>
      </c>
      <c r="AO6028">
        <v>236439.9</v>
      </c>
      <c r="AP6028">
        <v>0</v>
      </c>
      <c r="AQ6028">
        <v>18.600000000005821</v>
      </c>
      <c r="AR6028">
        <v>7.8673114478178263E-5</v>
      </c>
      <c r="AS6028" t="s">
        <v>239</v>
      </c>
      <c r="AT6028" t="s">
        <v>514</v>
      </c>
    </row>
    <row r="6029" spans="2:46" x14ac:dyDescent="0.35">
      <c r="B6029" t="s">
        <v>649</v>
      </c>
      <c r="C6029">
        <v>45812</v>
      </c>
      <c r="J6029">
        <v>0</v>
      </c>
      <c r="O6029" t="s">
        <v>239</v>
      </c>
      <c r="P6029" t="s">
        <v>514</v>
      </c>
      <c r="U6029">
        <v>0</v>
      </c>
      <c r="Y6029">
        <v>1615</v>
      </c>
      <c r="Z6029" s="259" t="s">
        <v>637</v>
      </c>
      <c r="AB6029">
        <v>65065</v>
      </c>
      <c r="AF6029">
        <v>236457.7</v>
      </c>
      <c r="AG6029">
        <v>0</v>
      </c>
      <c r="AI6029">
        <v>236439.9</v>
      </c>
      <c r="AJ6029">
        <v>0</v>
      </c>
      <c r="AK6029">
        <v>0</v>
      </c>
      <c r="AL6029">
        <v>0</v>
      </c>
      <c r="AM6029">
        <v>171935</v>
      </c>
      <c r="AN6029">
        <v>64522.7</v>
      </c>
      <c r="AO6029">
        <v>236457.7</v>
      </c>
      <c r="AP6029">
        <v>0</v>
      </c>
      <c r="AQ6029">
        <v>17.800000000017462</v>
      </c>
      <c r="AR6029">
        <v>7.528340182871851E-5</v>
      </c>
      <c r="AS6029" t="s">
        <v>239</v>
      </c>
      <c r="AT6029" t="s">
        <v>514</v>
      </c>
    </row>
    <row r="6030" spans="2:46" x14ac:dyDescent="0.35">
      <c r="B6030" t="s">
        <v>649</v>
      </c>
      <c r="C6030">
        <v>45813</v>
      </c>
      <c r="J6030">
        <v>0</v>
      </c>
      <c r="O6030" t="s">
        <v>239</v>
      </c>
      <c r="P6030" t="s">
        <v>514</v>
      </c>
      <c r="U6030">
        <v>0</v>
      </c>
      <c r="Y6030">
        <v>1616</v>
      </c>
      <c r="Z6030" s="259" t="s">
        <v>637</v>
      </c>
      <c r="AB6030">
        <v>65065</v>
      </c>
      <c r="AF6030">
        <v>236476.3</v>
      </c>
      <c r="AG6030">
        <v>0</v>
      </c>
      <c r="AI6030">
        <v>236457.7</v>
      </c>
      <c r="AJ6030">
        <v>0</v>
      </c>
      <c r="AK6030">
        <v>0</v>
      </c>
      <c r="AL6030">
        <v>0</v>
      </c>
      <c r="AM6030">
        <v>171935</v>
      </c>
      <c r="AN6030">
        <v>64541.3</v>
      </c>
      <c r="AO6030">
        <v>236476.3</v>
      </c>
      <c r="AP6030">
        <v>0</v>
      </c>
      <c r="AQ6030">
        <v>18.599999999976717</v>
      </c>
      <c r="AR6030">
        <v>7.866100363829176E-5</v>
      </c>
      <c r="AS6030" t="s">
        <v>239</v>
      </c>
      <c r="AT6030" t="s">
        <v>514</v>
      </c>
    </row>
    <row r="6031" spans="2:46" x14ac:dyDescent="0.35">
      <c r="B6031" t="s">
        <v>649</v>
      </c>
      <c r="C6031">
        <v>45814</v>
      </c>
      <c r="J6031">
        <v>0</v>
      </c>
      <c r="O6031" t="s">
        <v>239</v>
      </c>
      <c r="P6031" t="s">
        <v>514</v>
      </c>
      <c r="U6031">
        <v>0</v>
      </c>
      <c r="Y6031">
        <v>1617</v>
      </c>
      <c r="Z6031" s="259" t="s">
        <v>637</v>
      </c>
      <c r="AB6031">
        <v>65065</v>
      </c>
      <c r="AF6031">
        <v>236492.6</v>
      </c>
      <c r="AG6031">
        <v>0</v>
      </c>
      <c r="AI6031">
        <v>236476.3</v>
      </c>
      <c r="AJ6031">
        <v>0</v>
      </c>
      <c r="AK6031">
        <v>0</v>
      </c>
      <c r="AL6031">
        <v>0</v>
      </c>
      <c r="AM6031">
        <v>171935</v>
      </c>
      <c r="AN6031">
        <v>64557.599999999999</v>
      </c>
      <c r="AO6031">
        <v>236492.6</v>
      </c>
      <c r="AP6031">
        <v>0</v>
      </c>
      <c r="AQ6031">
        <v>16.300000000017462</v>
      </c>
      <c r="AR6031">
        <v>6.8928683339519736E-5</v>
      </c>
      <c r="AS6031" t="s">
        <v>239</v>
      </c>
      <c r="AT6031" t="s">
        <v>514</v>
      </c>
    </row>
    <row r="6032" spans="2:46" x14ac:dyDescent="0.35">
      <c r="B6032" t="s">
        <v>649</v>
      </c>
      <c r="C6032">
        <v>45815</v>
      </c>
      <c r="J6032">
        <v>0</v>
      </c>
      <c r="O6032" t="s">
        <v>239</v>
      </c>
      <c r="P6032" t="s">
        <v>514</v>
      </c>
      <c r="U6032">
        <v>0</v>
      </c>
      <c r="Y6032">
        <v>1618</v>
      </c>
      <c r="Z6032" s="259" t="s">
        <v>637</v>
      </c>
      <c r="AB6032">
        <v>65065</v>
      </c>
      <c r="AF6032">
        <v>236492.6</v>
      </c>
      <c r="AG6032">
        <v>0</v>
      </c>
      <c r="AI6032">
        <v>236492.6</v>
      </c>
      <c r="AJ6032">
        <v>0</v>
      </c>
      <c r="AK6032">
        <v>0</v>
      </c>
      <c r="AL6032">
        <v>0</v>
      </c>
      <c r="AM6032">
        <v>171935</v>
      </c>
      <c r="AN6032">
        <v>64557.599999999999</v>
      </c>
      <c r="AO6032">
        <v>236492.6</v>
      </c>
      <c r="AP6032">
        <v>0</v>
      </c>
      <c r="AQ6032">
        <v>0</v>
      </c>
      <c r="AR6032">
        <v>0</v>
      </c>
      <c r="AS6032" t="s">
        <v>239</v>
      </c>
      <c r="AT6032" t="s">
        <v>514</v>
      </c>
    </row>
    <row r="6033" spans="2:46" x14ac:dyDescent="0.35">
      <c r="B6033" t="s">
        <v>649</v>
      </c>
      <c r="C6033">
        <v>45816</v>
      </c>
      <c r="J6033">
        <v>0</v>
      </c>
      <c r="O6033" t="s">
        <v>239</v>
      </c>
      <c r="P6033" t="s">
        <v>514</v>
      </c>
      <c r="U6033">
        <v>0</v>
      </c>
      <c r="Y6033">
        <v>1619</v>
      </c>
      <c r="Z6033" s="259" t="s">
        <v>637</v>
      </c>
      <c r="AB6033">
        <v>65065</v>
      </c>
      <c r="AF6033">
        <v>236492.6</v>
      </c>
      <c r="AG6033">
        <v>0</v>
      </c>
      <c r="AI6033">
        <v>236492.6</v>
      </c>
      <c r="AJ6033">
        <v>0</v>
      </c>
      <c r="AK6033">
        <v>0</v>
      </c>
      <c r="AL6033">
        <v>0</v>
      </c>
      <c r="AM6033">
        <v>171935</v>
      </c>
      <c r="AN6033">
        <v>64557.599999999999</v>
      </c>
      <c r="AO6033">
        <v>236492.6</v>
      </c>
      <c r="AP6033">
        <v>0</v>
      </c>
      <c r="AQ6033">
        <v>0</v>
      </c>
      <c r="AR6033">
        <v>0</v>
      </c>
      <c r="AS6033" t="s">
        <v>239</v>
      </c>
      <c r="AT6033" t="s">
        <v>514</v>
      </c>
    </row>
    <row r="6034" spans="2:46" x14ac:dyDescent="0.35">
      <c r="B6034" t="s">
        <v>649</v>
      </c>
      <c r="C6034">
        <v>45817</v>
      </c>
      <c r="J6034">
        <v>0</v>
      </c>
      <c r="O6034" t="s">
        <v>239</v>
      </c>
      <c r="P6034" t="s">
        <v>514</v>
      </c>
      <c r="U6034">
        <v>0</v>
      </c>
      <c r="Y6034">
        <v>1620</v>
      </c>
      <c r="Z6034" s="259" t="s">
        <v>637</v>
      </c>
      <c r="AB6034">
        <v>65065</v>
      </c>
      <c r="AF6034">
        <v>236546.8</v>
      </c>
      <c r="AG6034">
        <v>0</v>
      </c>
      <c r="AI6034">
        <v>236492.6</v>
      </c>
      <c r="AJ6034">
        <v>0</v>
      </c>
      <c r="AK6034">
        <v>0</v>
      </c>
      <c r="AL6034">
        <v>0</v>
      </c>
      <c r="AM6034">
        <v>171935</v>
      </c>
      <c r="AN6034">
        <v>64611.8</v>
      </c>
      <c r="AO6034">
        <v>236546.8</v>
      </c>
      <c r="AP6034">
        <v>0</v>
      </c>
      <c r="AQ6034">
        <v>54.199999999982538</v>
      </c>
      <c r="AR6034">
        <v>2.2918264672977529E-4</v>
      </c>
      <c r="AS6034" t="s">
        <v>239</v>
      </c>
      <c r="AT6034" t="s">
        <v>514</v>
      </c>
    </row>
    <row r="6035" spans="2:46" x14ac:dyDescent="0.35">
      <c r="B6035" t="s">
        <v>649</v>
      </c>
      <c r="C6035">
        <v>45818</v>
      </c>
      <c r="J6035">
        <v>0</v>
      </c>
      <c r="O6035" t="s">
        <v>239</v>
      </c>
      <c r="P6035" t="s">
        <v>514</v>
      </c>
      <c r="U6035">
        <v>0</v>
      </c>
      <c r="Y6035">
        <v>1621</v>
      </c>
      <c r="Z6035" s="259" t="s">
        <v>637</v>
      </c>
      <c r="AB6035">
        <v>65065</v>
      </c>
      <c r="AF6035">
        <v>236563.1</v>
      </c>
      <c r="AG6035">
        <v>0</v>
      </c>
      <c r="AI6035">
        <v>236546.8</v>
      </c>
      <c r="AJ6035">
        <v>0</v>
      </c>
      <c r="AK6035">
        <v>0</v>
      </c>
      <c r="AL6035">
        <v>0</v>
      </c>
      <c r="AM6035">
        <v>171935</v>
      </c>
      <c r="AN6035">
        <v>64628.1</v>
      </c>
      <c r="AO6035">
        <v>236563.1</v>
      </c>
      <c r="AP6035">
        <v>0</v>
      </c>
      <c r="AQ6035">
        <v>16.300000000017462</v>
      </c>
      <c r="AR6035">
        <v>6.890813995386047E-5</v>
      </c>
      <c r="AS6035" t="s">
        <v>239</v>
      </c>
      <c r="AT6035" t="s">
        <v>514</v>
      </c>
    </row>
    <row r="6036" spans="2:46" x14ac:dyDescent="0.35">
      <c r="B6036" t="s">
        <v>649</v>
      </c>
      <c r="C6036">
        <v>45819</v>
      </c>
      <c r="J6036">
        <v>0</v>
      </c>
      <c r="O6036" t="s">
        <v>239</v>
      </c>
      <c r="P6036" t="s">
        <v>514</v>
      </c>
      <c r="U6036">
        <v>0</v>
      </c>
      <c r="Y6036">
        <v>1622</v>
      </c>
      <c r="Z6036" s="259" t="s">
        <v>637</v>
      </c>
      <c r="AB6036">
        <v>65065</v>
      </c>
      <c r="AF6036">
        <v>236581.7</v>
      </c>
      <c r="AG6036">
        <v>0</v>
      </c>
      <c r="AI6036">
        <v>236563.1</v>
      </c>
      <c r="AJ6036">
        <v>0</v>
      </c>
      <c r="AK6036">
        <v>0</v>
      </c>
      <c r="AL6036">
        <v>0</v>
      </c>
      <c r="AM6036">
        <v>171935</v>
      </c>
      <c r="AN6036">
        <v>64646.7</v>
      </c>
      <c r="AO6036">
        <v>236581.7</v>
      </c>
      <c r="AP6036">
        <v>0</v>
      </c>
      <c r="AQ6036">
        <v>18.600000000005821</v>
      </c>
      <c r="AR6036">
        <v>7.8625956457356594E-5</v>
      </c>
      <c r="AS6036" t="s">
        <v>239</v>
      </c>
      <c r="AT6036" t="s">
        <v>514</v>
      </c>
    </row>
    <row r="6037" spans="2:46" x14ac:dyDescent="0.35">
      <c r="B6037" t="s">
        <v>649</v>
      </c>
      <c r="C6037">
        <v>45820</v>
      </c>
      <c r="J6037">
        <v>0</v>
      </c>
      <c r="O6037" t="s">
        <v>239</v>
      </c>
      <c r="P6037" t="s">
        <v>514</v>
      </c>
      <c r="U6037">
        <v>0</v>
      </c>
      <c r="Y6037">
        <v>1623</v>
      </c>
      <c r="Z6037" s="259" t="s">
        <v>637</v>
      </c>
      <c r="AB6037">
        <v>65065</v>
      </c>
      <c r="AF6037">
        <v>236598</v>
      </c>
      <c r="AG6037">
        <v>0</v>
      </c>
      <c r="AI6037">
        <v>236581.7</v>
      </c>
      <c r="AJ6037">
        <v>0</v>
      </c>
      <c r="AK6037">
        <v>0</v>
      </c>
      <c r="AL6037">
        <v>0</v>
      </c>
      <c r="AM6037">
        <v>171935</v>
      </c>
      <c r="AN6037">
        <v>64663</v>
      </c>
      <c r="AO6037">
        <v>236598</v>
      </c>
      <c r="AP6037">
        <v>0</v>
      </c>
      <c r="AQ6037">
        <v>16.299999999988358</v>
      </c>
      <c r="AR6037">
        <v>6.8897974779824622E-5</v>
      </c>
      <c r="AS6037" t="s">
        <v>239</v>
      </c>
      <c r="AT6037" t="s">
        <v>514</v>
      </c>
    </row>
    <row r="6038" spans="2:46" x14ac:dyDescent="0.35">
      <c r="B6038" t="s">
        <v>649</v>
      </c>
      <c r="C6038">
        <v>45821</v>
      </c>
      <c r="J6038">
        <v>0</v>
      </c>
      <c r="O6038" t="s">
        <v>239</v>
      </c>
      <c r="P6038" t="s">
        <v>514</v>
      </c>
      <c r="U6038">
        <v>0</v>
      </c>
      <c r="Y6038">
        <v>1624</v>
      </c>
      <c r="Z6038" s="259" t="s">
        <v>637</v>
      </c>
      <c r="AB6038">
        <v>65065</v>
      </c>
      <c r="AF6038">
        <v>236616.6</v>
      </c>
      <c r="AG6038">
        <v>0</v>
      </c>
      <c r="AI6038">
        <v>236598</v>
      </c>
      <c r="AJ6038">
        <v>0</v>
      </c>
      <c r="AK6038">
        <v>0</v>
      </c>
      <c r="AL6038">
        <v>0</v>
      </c>
      <c r="AM6038">
        <v>171935</v>
      </c>
      <c r="AN6038">
        <v>64681.599999999999</v>
      </c>
      <c r="AO6038">
        <v>236616.6</v>
      </c>
      <c r="AP6038">
        <v>0</v>
      </c>
      <c r="AQ6038">
        <v>18.600000000005821</v>
      </c>
      <c r="AR6038">
        <v>7.8614358532291817E-5</v>
      </c>
      <c r="AS6038" t="s">
        <v>239</v>
      </c>
      <c r="AT6038" t="s">
        <v>514</v>
      </c>
    </row>
    <row r="6039" spans="2:46" x14ac:dyDescent="0.35">
      <c r="B6039" t="s">
        <v>649</v>
      </c>
      <c r="C6039">
        <v>45822</v>
      </c>
      <c r="J6039">
        <v>0</v>
      </c>
      <c r="O6039" t="s">
        <v>239</v>
      </c>
      <c r="P6039" t="s">
        <v>514</v>
      </c>
      <c r="U6039">
        <v>0</v>
      </c>
      <c r="Y6039">
        <v>1625</v>
      </c>
      <c r="Z6039" s="259" t="s">
        <v>637</v>
      </c>
      <c r="AB6039">
        <v>65065</v>
      </c>
      <c r="AF6039">
        <v>236616.6</v>
      </c>
      <c r="AG6039">
        <v>0</v>
      </c>
      <c r="AI6039">
        <v>236616.6</v>
      </c>
      <c r="AJ6039">
        <v>0</v>
      </c>
      <c r="AK6039">
        <v>0</v>
      </c>
      <c r="AL6039">
        <v>0</v>
      </c>
      <c r="AM6039">
        <v>171935</v>
      </c>
      <c r="AN6039">
        <v>64681.599999999999</v>
      </c>
      <c r="AO6039">
        <v>236616.6</v>
      </c>
      <c r="AP6039">
        <v>0</v>
      </c>
      <c r="AQ6039">
        <v>0</v>
      </c>
      <c r="AR6039">
        <v>0</v>
      </c>
      <c r="AS6039" t="s">
        <v>239</v>
      </c>
      <c r="AT6039" t="s">
        <v>514</v>
      </c>
    </row>
    <row r="6040" spans="2:46" x14ac:dyDescent="0.35">
      <c r="B6040" t="s">
        <v>649</v>
      </c>
      <c r="C6040">
        <v>45823</v>
      </c>
      <c r="J6040">
        <v>0</v>
      </c>
      <c r="O6040" t="s">
        <v>239</v>
      </c>
      <c r="P6040" t="s">
        <v>514</v>
      </c>
      <c r="U6040">
        <v>0</v>
      </c>
      <c r="Y6040">
        <v>1626</v>
      </c>
      <c r="Z6040" s="259" t="s">
        <v>637</v>
      </c>
      <c r="AB6040">
        <v>65065</v>
      </c>
      <c r="AF6040">
        <v>236616.6</v>
      </c>
      <c r="AG6040">
        <v>0</v>
      </c>
      <c r="AI6040">
        <v>236616.6</v>
      </c>
      <c r="AJ6040">
        <v>0</v>
      </c>
      <c r="AK6040">
        <v>0</v>
      </c>
      <c r="AL6040">
        <v>0</v>
      </c>
      <c r="AM6040">
        <v>171935</v>
      </c>
      <c r="AN6040">
        <v>64681.599999999999</v>
      </c>
      <c r="AO6040">
        <v>236616.6</v>
      </c>
      <c r="AP6040">
        <v>0</v>
      </c>
      <c r="AQ6040">
        <v>0</v>
      </c>
      <c r="AR6040">
        <v>0</v>
      </c>
      <c r="AS6040" t="s">
        <v>239</v>
      </c>
      <c r="AT6040" t="s">
        <v>514</v>
      </c>
    </row>
    <row r="6041" spans="2:46" x14ac:dyDescent="0.35">
      <c r="B6041" t="s">
        <v>649</v>
      </c>
      <c r="C6041">
        <v>45824</v>
      </c>
      <c r="J6041">
        <v>0</v>
      </c>
      <c r="O6041" t="s">
        <v>239</v>
      </c>
      <c r="P6041" t="s">
        <v>514</v>
      </c>
      <c r="U6041">
        <v>0</v>
      </c>
      <c r="Y6041">
        <v>1627</v>
      </c>
      <c r="Z6041" s="259" t="s">
        <v>637</v>
      </c>
      <c r="AB6041">
        <v>65065</v>
      </c>
      <c r="AF6041">
        <v>236667</v>
      </c>
      <c r="AG6041">
        <v>0</v>
      </c>
      <c r="AI6041">
        <v>236616.6</v>
      </c>
      <c r="AJ6041">
        <v>0</v>
      </c>
      <c r="AK6041">
        <v>0</v>
      </c>
      <c r="AL6041">
        <v>0</v>
      </c>
      <c r="AM6041">
        <v>171935</v>
      </c>
      <c r="AN6041">
        <v>64732</v>
      </c>
      <c r="AO6041">
        <v>236667</v>
      </c>
      <c r="AP6041">
        <v>0</v>
      </c>
      <c r="AQ6041">
        <v>50.399999999994179</v>
      </c>
      <c r="AR6041">
        <v>2.1300280707259311E-4</v>
      </c>
      <c r="AS6041" t="s">
        <v>239</v>
      </c>
      <c r="AT6041" t="s">
        <v>514</v>
      </c>
    </row>
    <row r="6042" spans="2:46" x14ac:dyDescent="0.35">
      <c r="B6042" t="s">
        <v>649</v>
      </c>
      <c r="C6042">
        <v>45825</v>
      </c>
      <c r="J6042">
        <v>0</v>
      </c>
      <c r="O6042" t="s">
        <v>239</v>
      </c>
      <c r="P6042" t="s">
        <v>514</v>
      </c>
      <c r="U6042">
        <v>0</v>
      </c>
      <c r="Y6042">
        <v>1628</v>
      </c>
      <c r="Z6042" s="259" t="s">
        <v>637</v>
      </c>
      <c r="AB6042">
        <v>65065</v>
      </c>
      <c r="AF6042">
        <v>236685.6</v>
      </c>
      <c r="AG6042">
        <v>0</v>
      </c>
      <c r="AI6042">
        <v>236667</v>
      </c>
      <c r="AJ6042">
        <v>0</v>
      </c>
      <c r="AK6042">
        <v>0</v>
      </c>
      <c r="AL6042">
        <v>0</v>
      </c>
      <c r="AM6042">
        <v>171935</v>
      </c>
      <c r="AN6042">
        <v>64750.6</v>
      </c>
      <c r="AO6042">
        <v>236685.6</v>
      </c>
      <c r="AP6042">
        <v>0</v>
      </c>
      <c r="AQ6042">
        <v>18.600000000005821</v>
      </c>
      <c r="AR6042">
        <v>7.8591438603670127E-5</v>
      </c>
      <c r="AS6042" t="s">
        <v>239</v>
      </c>
      <c r="AT6042" t="s">
        <v>514</v>
      </c>
    </row>
    <row r="6043" spans="2:46" x14ac:dyDescent="0.35">
      <c r="B6043" t="s">
        <v>649</v>
      </c>
      <c r="C6043">
        <v>45826</v>
      </c>
      <c r="J6043">
        <v>0</v>
      </c>
      <c r="O6043" t="s">
        <v>239</v>
      </c>
      <c r="P6043" t="s">
        <v>514</v>
      </c>
      <c r="U6043">
        <v>0</v>
      </c>
      <c r="Y6043">
        <v>1629</v>
      </c>
      <c r="Z6043" s="259" t="s">
        <v>637</v>
      </c>
      <c r="AB6043">
        <v>65065</v>
      </c>
      <c r="AF6043">
        <v>236705.7</v>
      </c>
      <c r="AG6043">
        <v>0</v>
      </c>
      <c r="AI6043">
        <v>236685.6</v>
      </c>
      <c r="AJ6043">
        <v>0</v>
      </c>
      <c r="AK6043">
        <v>0</v>
      </c>
      <c r="AL6043">
        <v>0</v>
      </c>
      <c r="AM6043">
        <v>171935</v>
      </c>
      <c r="AN6043">
        <v>64770.7</v>
      </c>
      <c r="AO6043">
        <v>236705.7</v>
      </c>
      <c r="AP6043">
        <v>0</v>
      </c>
      <c r="AQ6043">
        <v>20.100000000005821</v>
      </c>
      <c r="AR6043">
        <v>8.4922783642138455E-5</v>
      </c>
      <c r="AS6043" t="s">
        <v>239</v>
      </c>
      <c r="AT6043" t="s">
        <v>514</v>
      </c>
    </row>
    <row r="6044" spans="2:46" x14ac:dyDescent="0.35">
      <c r="B6044" t="s">
        <v>649</v>
      </c>
      <c r="C6044">
        <v>45827</v>
      </c>
      <c r="J6044">
        <v>0</v>
      </c>
      <c r="O6044" t="s">
        <v>239</v>
      </c>
      <c r="P6044" t="s">
        <v>514</v>
      </c>
      <c r="U6044">
        <v>0</v>
      </c>
      <c r="Y6044">
        <v>1630</v>
      </c>
      <c r="Z6044" s="259" t="s">
        <v>637</v>
      </c>
      <c r="AB6044">
        <v>65065</v>
      </c>
      <c r="AF6044">
        <v>236719.7</v>
      </c>
      <c r="AG6044">
        <v>0</v>
      </c>
      <c r="AI6044">
        <v>236705.7</v>
      </c>
      <c r="AJ6044">
        <v>0</v>
      </c>
      <c r="AK6044">
        <v>0</v>
      </c>
      <c r="AL6044">
        <v>0</v>
      </c>
      <c r="AM6044">
        <v>171935</v>
      </c>
      <c r="AN6044">
        <v>64784.7</v>
      </c>
      <c r="AO6044">
        <v>236719.7</v>
      </c>
      <c r="AP6044">
        <v>0</v>
      </c>
      <c r="AQ6044">
        <v>14</v>
      </c>
      <c r="AR6044">
        <v>5.9145174788888255E-5</v>
      </c>
      <c r="AS6044" t="s">
        <v>239</v>
      </c>
      <c r="AT6044" t="s">
        <v>514</v>
      </c>
    </row>
    <row r="6045" spans="2:46" x14ac:dyDescent="0.35">
      <c r="B6045" t="s">
        <v>649</v>
      </c>
      <c r="C6045">
        <v>45828</v>
      </c>
      <c r="J6045">
        <v>0</v>
      </c>
      <c r="O6045" t="s">
        <v>239</v>
      </c>
      <c r="P6045" t="s">
        <v>514</v>
      </c>
      <c r="U6045">
        <v>0</v>
      </c>
      <c r="Y6045">
        <v>1631</v>
      </c>
      <c r="Z6045" s="259" t="s">
        <v>637</v>
      </c>
      <c r="AB6045">
        <v>65065</v>
      </c>
      <c r="AF6045">
        <v>236738.3</v>
      </c>
      <c r="AG6045">
        <v>0</v>
      </c>
      <c r="AI6045">
        <v>236719.7</v>
      </c>
      <c r="AJ6045">
        <v>0</v>
      </c>
      <c r="AK6045">
        <v>0</v>
      </c>
      <c r="AL6045">
        <v>0</v>
      </c>
      <c r="AM6045">
        <v>171935</v>
      </c>
      <c r="AN6045">
        <v>64803.3</v>
      </c>
      <c r="AO6045">
        <v>236738.3</v>
      </c>
      <c r="AP6045">
        <v>0</v>
      </c>
      <c r="AQ6045">
        <v>18.599999999976717</v>
      </c>
      <c r="AR6045">
        <v>7.8573942092541316E-5</v>
      </c>
      <c r="AS6045" t="s">
        <v>239</v>
      </c>
      <c r="AT6045" t="s">
        <v>514</v>
      </c>
    </row>
    <row r="6046" spans="2:46" x14ac:dyDescent="0.35">
      <c r="B6046" t="s">
        <v>649</v>
      </c>
      <c r="C6046">
        <v>45829</v>
      </c>
      <c r="J6046">
        <v>0</v>
      </c>
      <c r="O6046" t="s">
        <v>239</v>
      </c>
      <c r="P6046" t="s">
        <v>514</v>
      </c>
      <c r="U6046">
        <v>0</v>
      </c>
      <c r="Y6046">
        <v>1632</v>
      </c>
      <c r="Z6046" s="259" t="s">
        <v>637</v>
      </c>
      <c r="AB6046">
        <v>65065</v>
      </c>
      <c r="AF6046">
        <v>236738.3</v>
      </c>
      <c r="AG6046">
        <v>0</v>
      </c>
      <c r="AI6046">
        <v>236738.3</v>
      </c>
      <c r="AJ6046">
        <v>0</v>
      </c>
      <c r="AK6046">
        <v>0</v>
      </c>
      <c r="AL6046">
        <v>0</v>
      </c>
      <c r="AM6046">
        <v>171935</v>
      </c>
      <c r="AN6046">
        <v>64803.3</v>
      </c>
      <c r="AO6046">
        <v>236738.3</v>
      </c>
      <c r="AP6046">
        <v>0</v>
      </c>
      <c r="AQ6046">
        <v>0</v>
      </c>
      <c r="AR6046">
        <v>0</v>
      </c>
      <c r="AS6046" t="s">
        <v>239</v>
      </c>
      <c r="AT6046" t="s">
        <v>514</v>
      </c>
    </row>
    <row r="6047" spans="2:46" x14ac:dyDescent="0.35">
      <c r="B6047" t="s">
        <v>649</v>
      </c>
      <c r="C6047">
        <v>45830</v>
      </c>
      <c r="J6047">
        <v>0</v>
      </c>
      <c r="O6047" t="s">
        <v>239</v>
      </c>
      <c r="P6047" t="s">
        <v>514</v>
      </c>
      <c r="U6047">
        <v>0</v>
      </c>
      <c r="Y6047">
        <v>1633</v>
      </c>
      <c r="Z6047" s="259" t="s">
        <v>637</v>
      </c>
      <c r="AB6047">
        <v>65065</v>
      </c>
      <c r="AF6047">
        <v>236738.3</v>
      </c>
      <c r="AG6047">
        <v>0</v>
      </c>
      <c r="AI6047">
        <v>236738.3</v>
      </c>
      <c r="AJ6047">
        <v>0</v>
      </c>
      <c r="AK6047">
        <v>0</v>
      </c>
      <c r="AL6047">
        <v>0</v>
      </c>
      <c r="AM6047">
        <v>171935</v>
      </c>
      <c r="AN6047">
        <v>64803.3</v>
      </c>
      <c r="AO6047">
        <v>236738.3</v>
      </c>
      <c r="AP6047">
        <v>0</v>
      </c>
      <c r="AQ6047">
        <v>0</v>
      </c>
      <c r="AR6047">
        <v>0</v>
      </c>
      <c r="AS6047" t="s">
        <v>239</v>
      </c>
      <c r="AT6047" t="s">
        <v>514</v>
      </c>
    </row>
    <row r="6048" spans="2:46" x14ac:dyDescent="0.35">
      <c r="B6048" t="s">
        <v>649</v>
      </c>
      <c r="C6048">
        <v>45831</v>
      </c>
      <c r="J6048">
        <v>0</v>
      </c>
      <c r="O6048" t="s">
        <v>239</v>
      </c>
      <c r="P6048" t="s">
        <v>514</v>
      </c>
      <c r="U6048">
        <v>0</v>
      </c>
      <c r="Y6048">
        <v>1634</v>
      </c>
      <c r="Z6048" s="259" t="s">
        <v>637</v>
      </c>
      <c r="AB6048">
        <v>65065</v>
      </c>
      <c r="AF6048">
        <v>236792.5</v>
      </c>
      <c r="AG6048">
        <v>0</v>
      </c>
      <c r="AI6048">
        <v>236738.3</v>
      </c>
      <c r="AJ6048">
        <v>0</v>
      </c>
      <c r="AK6048">
        <v>0</v>
      </c>
      <c r="AL6048">
        <v>0</v>
      </c>
      <c r="AM6048">
        <v>171935</v>
      </c>
      <c r="AN6048">
        <v>64857.5</v>
      </c>
      <c r="AO6048">
        <v>236792.5</v>
      </c>
      <c r="AP6048">
        <v>0</v>
      </c>
      <c r="AQ6048">
        <v>54.200000000011642</v>
      </c>
      <c r="AR6048">
        <v>2.2894478840140842E-4</v>
      </c>
      <c r="AS6048" t="s">
        <v>239</v>
      </c>
      <c r="AT6048" t="s">
        <v>514</v>
      </c>
    </row>
    <row r="6049" spans="2:46" x14ac:dyDescent="0.35">
      <c r="B6049" t="s">
        <v>649</v>
      </c>
      <c r="C6049">
        <v>45832</v>
      </c>
      <c r="J6049">
        <v>0</v>
      </c>
      <c r="O6049" t="s">
        <v>239</v>
      </c>
      <c r="P6049" t="s">
        <v>514</v>
      </c>
      <c r="U6049">
        <v>0</v>
      </c>
      <c r="Y6049">
        <v>1635</v>
      </c>
      <c r="Z6049" s="259" t="s">
        <v>637</v>
      </c>
      <c r="AB6049">
        <v>65065</v>
      </c>
      <c r="AF6049">
        <v>236811.1</v>
      </c>
      <c r="AG6049">
        <v>0</v>
      </c>
      <c r="AI6049">
        <v>236792.5</v>
      </c>
      <c r="AJ6049">
        <v>0</v>
      </c>
      <c r="AK6049">
        <v>0</v>
      </c>
      <c r="AL6049">
        <v>0</v>
      </c>
      <c r="AM6049">
        <v>171935</v>
      </c>
      <c r="AN6049">
        <v>64876.1</v>
      </c>
      <c r="AO6049">
        <v>236811.1</v>
      </c>
      <c r="AP6049">
        <v>0</v>
      </c>
      <c r="AQ6049">
        <v>18.600000000005821</v>
      </c>
      <c r="AR6049">
        <v>7.8549785149428786E-5</v>
      </c>
      <c r="AS6049" t="s">
        <v>239</v>
      </c>
      <c r="AT6049" t="s">
        <v>514</v>
      </c>
    </row>
    <row r="6050" spans="2:46" x14ac:dyDescent="0.35">
      <c r="B6050" t="s">
        <v>649</v>
      </c>
      <c r="C6050">
        <v>45833</v>
      </c>
      <c r="J6050">
        <v>0</v>
      </c>
      <c r="O6050" t="s">
        <v>239</v>
      </c>
      <c r="P6050" t="s">
        <v>514</v>
      </c>
      <c r="U6050">
        <v>0</v>
      </c>
      <c r="Y6050">
        <v>1636</v>
      </c>
      <c r="Z6050" s="259" t="s">
        <v>637</v>
      </c>
      <c r="AB6050">
        <v>65065</v>
      </c>
      <c r="AF6050">
        <v>236829.7</v>
      </c>
      <c r="AG6050">
        <v>0</v>
      </c>
      <c r="AI6050">
        <v>236811.1</v>
      </c>
      <c r="AJ6050">
        <v>0</v>
      </c>
      <c r="AK6050">
        <v>0</v>
      </c>
      <c r="AL6050">
        <v>0</v>
      </c>
      <c r="AM6050">
        <v>171935</v>
      </c>
      <c r="AN6050">
        <v>64894.7</v>
      </c>
      <c r="AO6050">
        <v>236829.7</v>
      </c>
      <c r="AP6050">
        <v>0</v>
      </c>
      <c r="AQ6050">
        <v>18.600000000005821</v>
      </c>
      <c r="AR6050">
        <v>7.8543615565251912E-5</v>
      </c>
      <c r="AS6050" t="s">
        <v>239</v>
      </c>
      <c r="AT6050" t="s">
        <v>514</v>
      </c>
    </row>
    <row r="6051" spans="2:46" x14ac:dyDescent="0.35">
      <c r="B6051" t="s">
        <v>649</v>
      </c>
      <c r="C6051">
        <v>45834</v>
      </c>
      <c r="J6051">
        <v>0</v>
      </c>
      <c r="O6051" t="s">
        <v>239</v>
      </c>
      <c r="P6051" t="s">
        <v>514</v>
      </c>
      <c r="U6051">
        <v>0</v>
      </c>
      <c r="Y6051">
        <v>1637</v>
      </c>
      <c r="Z6051" s="259" t="s">
        <v>637</v>
      </c>
      <c r="AB6051">
        <v>65065</v>
      </c>
      <c r="AF6051">
        <v>236843.7</v>
      </c>
      <c r="AG6051">
        <v>0</v>
      </c>
      <c r="AI6051">
        <v>236829.7</v>
      </c>
      <c r="AJ6051">
        <v>0</v>
      </c>
      <c r="AK6051">
        <v>0</v>
      </c>
      <c r="AL6051">
        <v>0</v>
      </c>
      <c r="AM6051">
        <v>171935</v>
      </c>
      <c r="AN6051">
        <v>64908.7</v>
      </c>
      <c r="AO6051">
        <v>236843.7</v>
      </c>
      <c r="AP6051">
        <v>0</v>
      </c>
      <c r="AQ6051">
        <v>14</v>
      </c>
      <c r="AR6051">
        <v>5.9114207382027217E-5</v>
      </c>
      <c r="AS6051" t="s">
        <v>239</v>
      </c>
      <c r="AT6051" t="s">
        <v>514</v>
      </c>
    </row>
    <row r="6052" spans="2:46" x14ac:dyDescent="0.35">
      <c r="B6052" t="s">
        <v>649</v>
      </c>
      <c r="C6052">
        <v>45835</v>
      </c>
      <c r="J6052">
        <v>0</v>
      </c>
      <c r="O6052" t="s">
        <v>239</v>
      </c>
      <c r="P6052" t="s">
        <v>514</v>
      </c>
      <c r="U6052">
        <v>0</v>
      </c>
      <c r="Y6052">
        <v>1638</v>
      </c>
      <c r="Z6052" s="259" t="s">
        <v>637</v>
      </c>
      <c r="AB6052">
        <v>65065</v>
      </c>
      <c r="AF6052">
        <v>236862.3</v>
      </c>
      <c r="AG6052">
        <v>0</v>
      </c>
      <c r="AI6052">
        <v>236843.7</v>
      </c>
      <c r="AJ6052">
        <v>0</v>
      </c>
      <c r="AK6052">
        <v>0</v>
      </c>
      <c r="AL6052">
        <v>0</v>
      </c>
      <c r="AM6052">
        <v>171935</v>
      </c>
      <c r="AN6052">
        <v>64927.3</v>
      </c>
      <c r="AO6052">
        <v>236862.3</v>
      </c>
      <c r="AP6052">
        <v>0</v>
      </c>
      <c r="AQ6052">
        <v>18.599999999976717</v>
      </c>
      <c r="AR6052">
        <v>7.8532804545616841E-5</v>
      </c>
      <c r="AS6052" t="s">
        <v>239</v>
      </c>
      <c r="AT6052" t="s">
        <v>514</v>
      </c>
    </row>
    <row r="6053" spans="2:46" x14ac:dyDescent="0.35">
      <c r="B6053" t="s">
        <v>649</v>
      </c>
      <c r="C6053">
        <v>45836</v>
      </c>
      <c r="J6053">
        <v>0</v>
      </c>
      <c r="O6053" t="s">
        <v>239</v>
      </c>
      <c r="P6053" t="s">
        <v>514</v>
      </c>
      <c r="U6053">
        <v>0</v>
      </c>
      <c r="Y6053">
        <v>1639</v>
      </c>
      <c r="Z6053" s="259" t="s">
        <v>637</v>
      </c>
      <c r="AB6053">
        <v>65065</v>
      </c>
      <c r="AF6053">
        <v>236862.3</v>
      </c>
      <c r="AG6053">
        <v>0</v>
      </c>
      <c r="AI6053">
        <v>236862.3</v>
      </c>
      <c r="AJ6053">
        <v>0</v>
      </c>
      <c r="AK6053">
        <v>0</v>
      </c>
      <c r="AL6053">
        <v>0</v>
      </c>
      <c r="AM6053">
        <v>171935</v>
      </c>
      <c r="AN6053">
        <v>64927.3</v>
      </c>
      <c r="AO6053">
        <v>236862.3</v>
      </c>
      <c r="AP6053">
        <v>0</v>
      </c>
      <c r="AQ6053">
        <v>0</v>
      </c>
      <c r="AR6053">
        <v>0</v>
      </c>
      <c r="AS6053" t="s">
        <v>239</v>
      </c>
      <c r="AT6053" t="s">
        <v>514</v>
      </c>
    </row>
    <row r="6054" spans="2:46" x14ac:dyDescent="0.35">
      <c r="B6054" t="s">
        <v>649</v>
      </c>
      <c r="C6054">
        <v>45837</v>
      </c>
      <c r="J6054">
        <v>0</v>
      </c>
      <c r="O6054" t="s">
        <v>239</v>
      </c>
      <c r="P6054" t="s">
        <v>514</v>
      </c>
      <c r="U6054">
        <v>0</v>
      </c>
      <c r="Y6054">
        <v>1640</v>
      </c>
      <c r="Z6054" s="259" t="s">
        <v>637</v>
      </c>
      <c r="AB6054">
        <v>65065</v>
      </c>
      <c r="AF6054">
        <v>236862.3</v>
      </c>
      <c r="AG6054">
        <v>0</v>
      </c>
      <c r="AI6054">
        <v>236862.3</v>
      </c>
      <c r="AJ6054">
        <v>0</v>
      </c>
      <c r="AK6054">
        <v>0</v>
      </c>
      <c r="AL6054">
        <v>0</v>
      </c>
      <c r="AM6054">
        <v>171935</v>
      </c>
      <c r="AN6054">
        <v>64927.3</v>
      </c>
      <c r="AO6054">
        <v>236862.3</v>
      </c>
      <c r="AP6054">
        <v>0</v>
      </c>
      <c r="AQ6054">
        <v>0</v>
      </c>
      <c r="AR6054">
        <v>0</v>
      </c>
      <c r="AS6054" t="s">
        <v>239</v>
      </c>
      <c r="AT6054" t="s">
        <v>514</v>
      </c>
    </row>
    <row r="6055" spans="2:46" x14ac:dyDescent="0.35">
      <c r="B6055" t="s">
        <v>649</v>
      </c>
      <c r="C6055">
        <v>45838</v>
      </c>
      <c r="J6055">
        <v>0</v>
      </c>
      <c r="O6055" t="s">
        <v>239</v>
      </c>
      <c r="P6055" t="s">
        <v>514</v>
      </c>
      <c r="U6055">
        <v>0</v>
      </c>
      <c r="Y6055">
        <v>1641</v>
      </c>
      <c r="Z6055" s="259" t="s">
        <v>637</v>
      </c>
      <c r="AB6055">
        <v>65065</v>
      </c>
      <c r="AF6055">
        <v>236915</v>
      </c>
      <c r="AG6055">
        <v>0</v>
      </c>
      <c r="AI6055">
        <v>236862.3</v>
      </c>
      <c r="AJ6055">
        <v>0</v>
      </c>
      <c r="AK6055">
        <v>0</v>
      </c>
      <c r="AL6055">
        <v>0</v>
      </c>
      <c r="AM6055">
        <v>171935</v>
      </c>
      <c r="AN6055">
        <v>64980</v>
      </c>
      <c r="AO6055">
        <v>236915</v>
      </c>
      <c r="AP6055">
        <v>0</v>
      </c>
      <c r="AQ6055">
        <v>52.700000000011642</v>
      </c>
      <c r="AR6055">
        <v>2.2249213994807171E-4</v>
      </c>
      <c r="AS6055" t="s">
        <v>239</v>
      </c>
      <c r="AT6055" t="s">
        <v>514</v>
      </c>
    </row>
    <row r="6056" spans="2:46" x14ac:dyDescent="0.35">
      <c r="B6056" t="s">
        <v>649</v>
      </c>
      <c r="C6056">
        <v>45839</v>
      </c>
      <c r="J6056">
        <v>8</v>
      </c>
      <c r="O6056" t="s">
        <v>239</v>
      </c>
      <c r="P6056" t="s">
        <v>514</v>
      </c>
      <c r="U6056">
        <v>414.66666666666652</v>
      </c>
      <c r="Y6056">
        <v>1642</v>
      </c>
      <c r="Z6056" s="259" t="s">
        <v>637</v>
      </c>
      <c r="AB6056">
        <v>61087.666666666664</v>
      </c>
      <c r="AF6056">
        <v>236867</v>
      </c>
      <c r="AG6056">
        <v>0</v>
      </c>
      <c r="AI6056">
        <v>236915</v>
      </c>
      <c r="AJ6056">
        <v>0</v>
      </c>
      <c r="AK6056">
        <v>0</v>
      </c>
      <c r="AL6056">
        <v>0</v>
      </c>
      <c r="AM6056">
        <v>176327</v>
      </c>
      <c r="AN6056">
        <v>60540</v>
      </c>
      <c r="AO6056">
        <v>236867</v>
      </c>
      <c r="AP6056">
        <v>0</v>
      </c>
      <c r="AQ6056">
        <v>-48</v>
      </c>
      <c r="AR6056">
        <v>-2.0260430956253739E-4</v>
      </c>
      <c r="AS6056" t="s">
        <v>239</v>
      </c>
      <c r="AT6056" t="s">
        <v>514</v>
      </c>
    </row>
    <row r="6057" spans="2:46" x14ac:dyDescent="0.35">
      <c r="B6057" t="s">
        <v>649</v>
      </c>
      <c r="C6057">
        <v>45840</v>
      </c>
      <c r="J6057">
        <v>0</v>
      </c>
      <c r="O6057" t="s">
        <v>239</v>
      </c>
      <c r="P6057" t="s">
        <v>514</v>
      </c>
      <c r="U6057">
        <v>414.66666666666652</v>
      </c>
      <c r="Y6057">
        <v>1643</v>
      </c>
      <c r="Z6057" s="259" t="s">
        <v>637</v>
      </c>
      <c r="AB6057">
        <v>61087.666666666664</v>
      </c>
      <c r="AF6057">
        <v>236782.40000000002</v>
      </c>
      <c r="AG6057">
        <v>0</v>
      </c>
      <c r="AI6057">
        <v>236867</v>
      </c>
      <c r="AJ6057">
        <v>0</v>
      </c>
      <c r="AK6057">
        <v>0</v>
      </c>
      <c r="AL6057">
        <v>0</v>
      </c>
      <c r="AM6057">
        <v>176327</v>
      </c>
      <c r="AN6057">
        <v>60455.4</v>
      </c>
      <c r="AO6057">
        <v>236782.40000000002</v>
      </c>
      <c r="AP6057">
        <v>0</v>
      </c>
      <c r="AQ6057">
        <v>-84.599999999976717</v>
      </c>
      <c r="AR6057">
        <v>-3.571624582571209E-4</v>
      </c>
      <c r="AS6057" t="s">
        <v>239</v>
      </c>
      <c r="AT6057" t="s">
        <v>514</v>
      </c>
    </row>
    <row r="6058" spans="2:46" x14ac:dyDescent="0.35">
      <c r="B6058" t="s">
        <v>649</v>
      </c>
      <c r="C6058">
        <v>45841</v>
      </c>
      <c r="J6058">
        <v>0</v>
      </c>
      <c r="O6058" t="s">
        <v>239</v>
      </c>
      <c r="P6058" t="s">
        <v>514</v>
      </c>
      <c r="U6058">
        <v>414.66666666666652</v>
      </c>
      <c r="Y6058">
        <v>1644</v>
      </c>
      <c r="Z6058" s="259" t="s">
        <v>637</v>
      </c>
      <c r="AB6058">
        <v>61087.666666666664</v>
      </c>
      <c r="AF6058">
        <v>236698.59999999998</v>
      </c>
      <c r="AG6058">
        <v>0</v>
      </c>
      <c r="AI6058">
        <v>236782.40000000002</v>
      </c>
      <c r="AJ6058">
        <v>0</v>
      </c>
      <c r="AK6058">
        <v>0</v>
      </c>
      <c r="AL6058">
        <v>0</v>
      </c>
      <c r="AM6058">
        <v>176327</v>
      </c>
      <c r="AN6058">
        <v>60371.600000000006</v>
      </c>
      <c r="AO6058">
        <v>236698.59999999998</v>
      </c>
      <c r="AP6058">
        <v>0</v>
      </c>
      <c r="AQ6058">
        <v>-83.800000000046566</v>
      </c>
      <c r="AR6058">
        <v>-3.5391143936391867E-4</v>
      </c>
      <c r="AS6058" t="s">
        <v>239</v>
      </c>
      <c r="AT6058" t="s">
        <v>514</v>
      </c>
    </row>
    <row r="6059" spans="2:46" x14ac:dyDescent="0.35">
      <c r="B6059" t="s">
        <v>649</v>
      </c>
      <c r="C6059">
        <v>45842</v>
      </c>
      <c r="J6059">
        <v>0</v>
      </c>
      <c r="O6059" t="s">
        <v>239</v>
      </c>
      <c r="P6059" t="s">
        <v>514</v>
      </c>
      <c r="U6059">
        <v>414.66666666666652</v>
      </c>
      <c r="Y6059">
        <v>1645</v>
      </c>
      <c r="Z6059" s="259" t="s">
        <v>637</v>
      </c>
      <c r="AB6059">
        <v>61087.666666666664</v>
      </c>
      <c r="AF6059">
        <v>236614</v>
      </c>
      <c r="AG6059">
        <v>0</v>
      </c>
      <c r="AI6059">
        <v>236698.59999999998</v>
      </c>
      <c r="AJ6059">
        <v>0</v>
      </c>
      <c r="AK6059">
        <v>0</v>
      </c>
      <c r="AL6059">
        <v>0</v>
      </c>
      <c r="AM6059">
        <v>176327</v>
      </c>
      <c r="AN6059">
        <v>60287</v>
      </c>
      <c r="AO6059">
        <v>236614</v>
      </c>
      <c r="AP6059">
        <v>0</v>
      </c>
      <c r="AQ6059">
        <v>-84.599999999976717</v>
      </c>
      <c r="AR6059">
        <v>-3.5741656266652377E-4</v>
      </c>
      <c r="AS6059" t="s">
        <v>239</v>
      </c>
      <c r="AT6059" t="s">
        <v>514</v>
      </c>
    </row>
    <row r="6060" spans="2:46" x14ac:dyDescent="0.35">
      <c r="B6060" t="s">
        <v>649</v>
      </c>
      <c r="C6060">
        <v>45843</v>
      </c>
      <c r="J6060">
        <v>0</v>
      </c>
      <c r="O6060" t="s">
        <v>239</v>
      </c>
      <c r="P6060" t="s">
        <v>514</v>
      </c>
      <c r="U6060">
        <v>414.66666666666652</v>
      </c>
      <c r="Y6060">
        <v>1646</v>
      </c>
      <c r="Z6060" s="259" t="s">
        <v>637</v>
      </c>
      <c r="AB6060">
        <v>61087.666666666664</v>
      </c>
      <c r="AF6060">
        <v>236614</v>
      </c>
      <c r="AG6060">
        <v>0</v>
      </c>
      <c r="AI6060">
        <v>236614</v>
      </c>
      <c r="AJ6060">
        <v>0</v>
      </c>
      <c r="AK6060">
        <v>0</v>
      </c>
      <c r="AL6060">
        <v>0</v>
      </c>
      <c r="AM6060">
        <v>176327</v>
      </c>
      <c r="AN6060">
        <v>60287</v>
      </c>
      <c r="AO6060">
        <v>236614</v>
      </c>
      <c r="AP6060">
        <v>0</v>
      </c>
      <c r="AQ6060">
        <v>0</v>
      </c>
      <c r="AR6060">
        <v>0</v>
      </c>
      <c r="AS6060" t="s">
        <v>239</v>
      </c>
      <c r="AT6060" t="s">
        <v>514</v>
      </c>
    </row>
    <row r="6061" spans="2:46" x14ac:dyDescent="0.35">
      <c r="B6061" t="s">
        <v>649</v>
      </c>
      <c r="C6061">
        <v>45844</v>
      </c>
      <c r="J6061">
        <v>0</v>
      </c>
      <c r="O6061" t="s">
        <v>239</v>
      </c>
      <c r="P6061" t="s">
        <v>514</v>
      </c>
      <c r="U6061">
        <v>414.66666666666652</v>
      </c>
      <c r="Y6061">
        <v>1647</v>
      </c>
      <c r="Z6061" s="259" t="s">
        <v>637</v>
      </c>
      <c r="AB6061">
        <v>61087.666666666664</v>
      </c>
      <c r="AF6061">
        <v>236614</v>
      </c>
      <c r="AG6061">
        <v>0</v>
      </c>
      <c r="AI6061">
        <v>236614</v>
      </c>
      <c r="AJ6061">
        <v>0</v>
      </c>
      <c r="AK6061">
        <v>0</v>
      </c>
      <c r="AL6061">
        <v>0</v>
      </c>
      <c r="AM6061">
        <v>176327</v>
      </c>
      <c r="AN6061">
        <v>60287</v>
      </c>
      <c r="AO6061">
        <v>236614</v>
      </c>
      <c r="AP6061">
        <v>0</v>
      </c>
      <c r="AQ6061">
        <v>0</v>
      </c>
      <c r="AR6061">
        <v>0</v>
      </c>
      <c r="AS6061" t="s">
        <v>239</v>
      </c>
      <c r="AT6061" t="s">
        <v>514</v>
      </c>
    </row>
    <row r="6062" spans="2:46" x14ac:dyDescent="0.35">
      <c r="B6062" t="s">
        <v>649</v>
      </c>
      <c r="C6062">
        <v>45845</v>
      </c>
      <c r="J6062">
        <v>0</v>
      </c>
      <c r="O6062" t="s">
        <v>239</v>
      </c>
      <c r="P6062" t="s">
        <v>514</v>
      </c>
      <c r="U6062">
        <v>414.66666666666652</v>
      </c>
      <c r="Y6062">
        <v>1648</v>
      </c>
      <c r="Z6062" s="259" t="s">
        <v>637</v>
      </c>
      <c r="AB6062">
        <v>61087.666666666664</v>
      </c>
      <c r="AF6062">
        <v>236361</v>
      </c>
      <c r="AG6062">
        <v>0</v>
      </c>
      <c r="AI6062">
        <v>236614</v>
      </c>
      <c r="AJ6062">
        <v>0</v>
      </c>
      <c r="AK6062">
        <v>0</v>
      </c>
      <c r="AL6062">
        <v>0</v>
      </c>
      <c r="AM6062">
        <v>176327</v>
      </c>
      <c r="AN6062">
        <v>60034</v>
      </c>
      <c r="AO6062">
        <v>236361</v>
      </c>
      <c r="AP6062">
        <v>0</v>
      </c>
      <c r="AQ6062">
        <v>-253</v>
      </c>
      <c r="AR6062">
        <v>-1.0692520307336029E-3</v>
      </c>
      <c r="AS6062" t="s">
        <v>239</v>
      </c>
      <c r="AT6062" t="s">
        <v>514</v>
      </c>
    </row>
    <row r="6063" spans="2:46" x14ac:dyDescent="0.35">
      <c r="B6063" t="s">
        <v>649</v>
      </c>
      <c r="C6063">
        <v>45846</v>
      </c>
      <c r="J6063">
        <v>0</v>
      </c>
      <c r="O6063" t="s">
        <v>239</v>
      </c>
      <c r="P6063" t="s">
        <v>514</v>
      </c>
      <c r="U6063">
        <v>414.66666666666652</v>
      </c>
      <c r="Y6063">
        <v>1649</v>
      </c>
      <c r="Z6063" s="259" t="s">
        <v>637</v>
      </c>
      <c r="AB6063">
        <v>61087.666666666664</v>
      </c>
      <c r="AF6063">
        <v>236276.40000000002</v>
      </c>
      <c r="AG6063">
        <v>0</v>
      </c>
      <c r="AI6063">
        <v>236361</v>
      </c>
      <c r="AJ6063">
        <v>0</v>
      </c>
      <c r="AK6063">
        <v>0</v>
      </c>
      <c r="AL6063">
        <v>0</v>
      </c>
      <c r="AM6063">
        <v>176327</v>
      </c>
      <c r="AN6063">
        <v>59949.399999999994</v>
      </c>
      <c r="AO6063">
        <v>236276.40000000002</v>
      </c>
      <c r="AP6063">
        <v>0</v>
      </c>
      <c r="AQ6063">
        <v>-84.599999999976717</v>
      </c>
      <c r="AR6063">
        <v>-3.5792706918646999E-4</v>
      </c>
      <c r="AS6063" t="s">
        <v>239</v>
      </c>
      <c r="AT6063" t="s">
        <v>514</v>
      </c>
    </row>
    <row r="6064" spans="2:46" x14ac:dyDescent="0.35">
      <c r="B6064" t="s">
        <v>649</v>
      </c>
      <c r="C6064">
        <v>45847</v>
      </c>
      <c r="J6064">
        <v>0</v>
      </c>
      <c r="O6064" t="s">
        <v>239</v>
      </c>
      <c r="P6064" t="s">
        <v>514</v>
      </c>
      <c r="U6064">
        <v>414.66666666666652</v>
      </c>
      <c r="Y6064">
        <v>1650</v>
      </c>
      <c r="Z6064" s="259" t="s">
        <v>637</v>
      </c>
      <c r="AB6064">
        <v>61087.666666666664</v>
      </c>
      <c r="AF6064">
        <v>236192.59999999998</v>
      </c>
      <c r="AG6064">
        <v>0</v>
      </c>
      <c r="AI6064">
        <v>236276.40000000002</v>
      </c>
      <c r="AJ6064">
        <v>0</v>
      </c>
      <c r="AK6064">
        <v>0</v>
      </c>
      <c r="AL6064">
        <v>0</v>
      </c>
      <c r="AM6064">
        <v>176327</v>
      </c>
      <c r="AN6064">
        <v>59865.600000000006</v>
      </c>
      <c r="AO6064">
        <v>236192.59999999998</v>
      </c>
      <c r="AP6064">
        <v>0</v>
      </c>
      <c r="AQ6064">
        <v>-83.800000000046566</v>
      </c>
      <c r="AR6064">
        <v>-3.5466936181538511E-4</v>
      </c>
      <c r="AS6064" t="s">
        <v>239</v>
      </c>
      <c r="AT6064" t="s">
        <v>514</v>
      </c>
    </row>
    <row r="6065" spans="2:46" x14ac:dyDescent="0.35">
      <c r="B6065" t="s">
        <v>649</v>
      </c>
      <c r="C6065">
        <v>45848</v>
      </c>
      <c r="J6065">
        <v>0</v>
      </c>
      <c r="O6065" t="s">
        <v>239</v>
      </c>
      <c r="P6065" t="s">
        <v>514</v>
      </c>
      <c r="U6065">
        <v>414.66666666666652</v>
      </c>
      <c r="Y6065">
        <v>1651</v>
      </c>
      <c r="Z6065" s="259" t="s">
        <v>637</v>
      </c>
      <c r="AB6065">
        <v>61087.666666666664</v>
      </c>
      <c r="AF6065">
        <v>236108</v>
      </c>
      <c r="AG6065">
        <v>0</v>
      </c>
      <c r="AI6065">
        <v>236192.59999999998</v>
      </c>
      <c r="AJ6065">
        <v>0</v>
      </c>
      <c r="AK6065">
        <v>0</v>
      </c>
      <c r="AL6065">
        <v>0</v>
      </c>
      <c r="AM6065">
        <v>176327</v>
      </c>
      <c r="AN6065">
        <v>59781</v>
      </c>
      <c r="AO6065">
        <v>236108</v>
      </c>
      <c r="AP6065">
        <v>0</v>
      </c>
      <c r="AQ6065">
        <v>-84.599999999976717</v>
      </c>
      <c r="AR6065">
        <v>-3.5818226311912227E-4</v>
      </c>
      <c r="AS6065" t="s">
        <v>239</v>
      </c>
      <c r="AT6065" t="s">
        <v>514</v>
      </c>
    </row>
    <row r="6066" spans="2:46" x14ac:dyDescent="0.35">
      <c r="B6066" t="s">
        <v>649</v>
      </c>
      <c r="C6066">
        <v>45849</v>
      </c>
      <c r="J6066">
        <v>0</v>
      </c>
      <c r="O6066" t="s">
        <v>239</v>
      </c>
      <c r="P6066" t="s">
        <v>514</v>
      </c>
      <c r="U6066">
        <v>414.66666666666652</v>
      </c>
      <c r="Y6066">
        <v>1652</v>
      </c>
      <c r="Z6066" s="259" t="s">
        <v>637</v>
      </c>
      <c r="AB6066">
        <v>61087.666666666664</v>
      </c>
      <c r="AF6066">
        <v>236023.40000000002</v>
      </c>
      <c r="AG6066">
        <v>0</v>
      </c>
      <c r="AI6066">
        <v>236108</v>
      </c>
      <c r="AJ6066">
        <v>0</v>
      </c>
      <c r="AK6066">
        <v>0</v>
      </c>
      <c r="AL6066">
        <v>0</v>
      </c>
      <c r="AM6066">
        <v>176327</v>
      </c>
      <c r="AN6066">
        <v>59696.399999999994</v>
      </c>
      <c r="AO6066">
        <v>236023.40000000002</v>
      </c>
      <c r="AP6066">
        <v>0</v>
      </c>
      <c r="AQ6066">
        <v>-84.599999999976717</v>
      </c>
      <c r="AR6066">
        <v>-3.5831060362201406E-4</v>
      </c>
      <c r="AS6066" t="s">
        <v>239</v>
      </c>
      <c r="AT6066" t="s">
        <v>514</v>
      </c>
    </row>
    <row r="6067" spans="2:46" x14ac:dyDescent="0.35">
      <c r="B6067" t="s">
        <v>649</v>
      </c>
      <c r="C6067">
        <v>45850</v>
      </c>
      <c r="J6067">
        <v>0</v>
      </c>
      <c r="O6067" t="s">
        <v>239</v>
      </c>
      <c r="P6067" t="s">
        <v>514</v>
      </c>
      <c r="U6067">
        <v>414.66666666666652</v>
      </c>
      <c r="Y6067">
        <v>1653</v>
      </c>
      <c r="Z6067" s="259" t="s">
        <v>637</v>
      </c>
      <c r="AB6067">
        <v>61087.666666666664</v>
      </c>
      <c r="AF6067">
        <v>236023.40000000002</v>
      </c>
      <c r="AG6067">
        <v>0</v>
      </c>
      <c r="AI6067">
        <v>236023.40000000002</v>
      </c>
      <c r="AJ6067">
        <v>0</v>
      </c>
      <c r="AK6067">
        <v>0</v>
      </c>
      <c r="AL6067">
        <v>0</v>
      </c>
      <c r="AM6067">
        <v>176327</v>
      </c>
      <c r="AN6067">
        <v>59696.399999999994</v>
      </c>
      <c r="AO6067">
        <v>236023.40000000002</v>
      </c>
      <c r="AP6067">
        <v>0</v>
      </c>
      <c r="AQ6067">
        <v>0</v>
      </c>
      <c r="AR6067">
        <v>0</v>
      </c>
      <c r="AS6067" t="s">
        <v>239</v>
      </c>
      <c r="AT6067" t="s">
        <v>514</v>
      </c>
    </row>
    <row r="6068" spans="2:46" x14ac:dyDescent="0.35">
      <c r="B6068" t="s">
        <v>649</v>
      </c>
      <c r="C6068">
        <v>45851</v>
      </c>
      <c r="J6068">
        <v>0</v>
      </c>
      <c r="O6068" t="s">
        <v>239</v>
      </c>
      <c r="P6068" t="s">
        <v>514</v>
      </c>
      <c r="U6068">
        <v>414.66666666666652</v>
      </c>
      <c r="Y6068">
        <v>1654</v>
      </c>
      <c r="Z6068" s="259" t="s">
        <v>637</v>
      </c>
      <c r="AB6068">
        <v>61087.666666666664</v>
      </c>
      <c r="AF6068">
        <v>236023.40000000002</v>
      </c>
      <c r="AG6068">
        <v>0</v>
      </c>
      <c r="AI6068">
        <v>236023.40000000002</v>
      </c>
      <c r="AJ6068">
        <v>0</v>
      </c>
      <c r="AK6068">
        <v>0</v>
      </c>
      <c r="AL6068">
        <v>0</v>
      </c>
      <c r="AM6068">
        <v>176327</v>
      </c>
      <c r="AN6068">
        <v>59696.399999999994</v>
      </c>
      <c r="AO6068">
        <v>236023.40000000002</v>
      </c>
      <c r="AP6068">
        <v>0</v>
      </c>
      <c r="AQ6068">
        <v>0</v>
      </c>
      <c r="AR6068">
        <v>0</v>
      </c>
      <c r="AS6068" t="s">
        <v>239</v>
      </c>
      <c r="AT6068" t="s">
        <v>514</v>
      </c>
    </row>
    <row r="6069" spans="2:46" x14ac:dyDescent="0.35">
      <c r="B6069" t="s">
        <v>649</v>
      </c>
      <c r="C6069">
        <v>45852</v>
      </c>
      <c r="J6069">
        <v>0</v>
      </c>
      <c r="O6069" t="s">
        <v>239</v>
      </c>
      <c r="P6069" t="s">
        <v>514</v>
      </c>
      <c r="U6069">
        <v>414.66666666666652</v>
      </c>
      <c r="Y6069">
        <v>1655</v>
      </c>
      <c r="Z6069" s="259" t="s">
        <v>637</v>
      </c>
      <c r="AB6069">
        <v>61087.666666666664</v>
      </c>
      <c r="AF6069">
        <v>235770.40000000002</v>
      </c>
      <c r="AG6069">
        <v>0</v>
      </c>
      <c r="AI6069">
        <v>236023.40000000002</v>
      </c>
      <c r="AJ6069">
        <v>0</v>
      </c>
      <c r="AK6069">
        <v>0</v>
      </c>
      <c r="AL6069">
        <v>0</v>
      </c>
      <c r="AM6069">
        <v>176327</v>
      </c>
      <c r="AN6069">
        <v>59443.399999999994</v>
      </c>
      <c r="AO6069">
        <v>235770.40000000002</v>
      </c>
      <c r="AP6069">
        <v>0</v>
      </c>
      <c r="AQ6069">
        <v>-253</v>
      </c>
      <c r="AR6069">
        <v>-1.0719276139569134E-3</v>
      </c>
      <c r="AS6069" t="s">
        <v>239</v>
      </c>
      <c r="AT6069" t="s">
        <v>514</v>
      </c>
    </row>
    <row r="6070" spans="2:46" x14ac:dyDescent="0.35">
      <c r="B6070" t="s">
        <v>649</v>
      </c>
      <c r="C6070">
        <v>45853</v>
      </c>
      <c r="J6070">
        <v>0</v>
      </c>
      <c r="O6070" t="s">
        <v>239</v>
      </c>
      <c r="P6070" t="s">
        <v>514</v>
      </c>
      <c r="U6070">
        <v>414.66666666666652</v>
      </c>
      <c r="Y6070">
        <v>1656</v>
      </c>
      <c r="Z6070" s="259" t="s">
        <v>637</v>
      </c>
      <c r="AB6070">
        <v>61087.666666666664</v>
      </c>
      <c r="AF6070">
        <v>235686.59999999998</v>
      </c>
      <c r="AG6070">
        <v>0</v>
      </c>
      <c r="AI6070">
        <v>235770.40000000002</v>
      </c>
      <c r="AJ6070">
        <v>0</v>
      </c>
      <c r="AK6070">
        <v>0</v>
      </c>
      <c r="AL6070">
        <v>0</v>
      </c>
      <c r="AM6070">
        <v>176327</v>
      </c>
      <c r="AN6070">
        <v>59359.6</v>
      </c>
      <c r="AO6070">
        <v>235686.59999999998</v>
      </c>
      <c r="AP6070">
        <v>0</v>
      </c>
      <c r="AQ6070">
        <v>-83.800000000046566</v>
      </c>
      <c r="AR6070">
        <v>-3.5543053750619613E-4</v>
      </c>
      <c r="AS6070" t="s">
        <v>239</v>
      </c>
      <c r="AT6070" t="s">
        <v>514</v>
      </c>
    </row>
    <row r="6071" spans="2:46" x14ac:dyDescent="0.35">
      <c r="B6071" t="s">
        <v>649</v>
      </c>
      <c r="C6071">
        <v>45854</v>
      </c>
      <c r="J6071">
        <v>0</v>
      </c>
      <c r="O6071" t="s">
        <v>239</v>
      </c>
      <c r="P6071" t="s">
        <v>514</v>
      </c>
      <c r="U6071">
        <v>414.66666666666652</v>
      </c>
      <c r="Y6071">
        <v>1657</v>
      </c>
      <c r="Z6071" s="259" t="s">
        <v>637</v>
      </c>
      <c r="AB6071">
        <v>61087.666666666664</v>
      </c>
      <c r="AF6071">
        <v>235602</v>
      </c>
      <c r="AG6071">
        <v>0</v>
      </c>
      <c r="AI6071">
        <v>235686.59999999998</v>
      </c>
      <c r="AJ6071">
        <v>0</v>
      </c>
      <c r="AK6071">
        <v>0</v>
      </c>
      <c r="AL6071">
        <v>0</v>
      </c>
      <c r="AM6071">
        <v>176327</v>
      </c>
      <c r="AN6071">
        <v>59275</v>
      </c>
      <c r="AO6071">
        <v>235602</v>
      </c>
      <c r="AP6071">
        <v>0</v>
      </c>
      <c r="AQ6071">
        <v>-84.599999999976717</v>
      </c>
      <c r="AR6071">
        <v>-3.5895125136509165E-4</v>
      </c>
      <c r="AS6071" t="s">
        <v>239</v>
      </c>
      <c r="AT6071" t="s">
        <v>514</v>
      </c>
    </row>
    <row r="6072" spans="2:46" x14ac:dyDescent="0.35">
      <c r="B6072" t="s">
        <v>649</v>
      </c>
      <c r="C6072">
        <v>45855</v>
      </c>
      <c r="J6072">
        <v>0</v>
      </c>
      <c r="O6072" t="s">
        <v>239</v>
      </c>
      <c r="P6072" t="s">
        <v>514</v>
      </c>
      <c r="U6072">
        <v>414.66666666666652</v>
      </c>
      <c r="Y6072">
        <v>1658</v>
      </c>
      <c r="Z6072" s="259" t="s">
        <v>637</v>
      </c>
      <c r="AB6072">
        <v>61087.666666666664</v>
      </c>
      <c r="AF6072">
        <v>235517.40000000002</v>
      </c>
      <c r="AG6072">
        <v>0</v>
      </c>
      <c r="AI6072">
        <v>235602</v>
      </c>
      <c r="AJ6072">
        <v>0</v>
      </c>
      <c r="AK6072">
        <v>0</v>
      </c>
      <c r="AL6072">
        <v>0</v>
      </c>
      <c r="AM6072">
        <v>176327</v>
      </c>
      <c r="AN6072">
        <v>59190.400000000001</v>
      </c>
      <c r="AO6072">
        <v>235517.40000000002</v>
      </c>
      <c r="AP6072">
        <v>0</v>
      </c>
      <c r="AQ6072">
        <v>-84.599999999976717</v>
      </c>
      <c r="AR6072">
        <v>-3.5908014363195129E-4</v>
      </c>
      <c r="AS6072" t="s">
        <v>239</v>
      </c>
      <c r="AT6072" t="s">
        <v>514</v>
      </c>
    </row>
    <row r="6073" spans="2:46" x14ac:dyDescent="0.35">
      <c r="B6073" t="s">
        <v>649</v>
      </c>
      <c r="C6073">
        <v>45856</v>
      </c>
      <c r="J6073">
        <v>0</v>
      </c>
      <c r="O6073" t="s">
        <v>239</v>
      </c>
      <c r="P6073" t="s">
        <v>514</v>
      </c>
      <c r="U6073">
        <v>414.66666666666652</v>
      </c>
      <c r="Y6073">
        <v>1659</v>
      </c>
      <c r="Z6073" s="259" t="s">
        <v>637</v>
      </c>
      <c r="AB6073">
        <v>61087.666666666664</v>
      </c>
      <c r="AF6073">
        <v>235433.59999999998</v>
      </c>
      <c r="AG6073">
        <v>0</v>
      </c>
      <c r="AI6073">
        <v>235517.40000000002</v>
      </c>
      <c r="AJ6073">
        <v>0</v>
      </c>
      <c r="AK6073">
        <v>0</v>
      </c>
      <c r="AL6073">
        <v>0</v>
      </c>
      <c r="AM6073">
        <v>176327</v>
      </c>
      <c r="AN6073">
        <v>59106.600000000006</v>
      </c>
      <c r="AO6073">
        <v>235433.59999999998</v>
      </c>
      <c r="AP6073">
        <v>0</v>
      </c>
      <c r="AQ6073">
        <v>-83.800000000046566</v>
      </c>
      <c r="AR6073">
        <v>-3.5581235186887827E-4</v>
      </c>
      <c r="AS6073" t="s">
        <v>239</v>
      </c>
      <c r="AT6073" t="s">
        <v>514</v>
      </c>
    </row>
    <row r="6074" spans="2:46" x14ac:dyDescent="0.35">
      <c r="B6074" t="s">
        <v>649</v>
      </c>
      <c r="C6074">
        <v>45857</v>
      </c>
      <c r="J6074">
        <v>0</v>
      </c>
      <c r="O6074" t="s">
        <v>239</v>
      </c>
      <c r="P6074" t="s">
        <v>514</v>
      </c>
      <c r="U6074">
        <v>414.66666666666652</v>
      </c>
      <c r="Y6074">
        <v>1660</v>
      </c>
      <c r="Z6074" s="259" t="s">
        <v>637</v>
      </c>
      <c r="AB6074">
        <v>61087.666666666664</v>
      </c>
      <c r="AF6074">
        <v>235433.59999999998</v>
      </c>
      <c r="AG6074">
        <v>0</v>
      </c>
      <c r="AI6074">
        <v>235433.59999999998</v>
      </c>
      <c r="AJ6074">
        <v>0</v>
      </c>
      <c r="AK6074">
        <v>0</v>
      </c>
      <c r="AL6074">
        <v>0</v>
      </c>
      <c r="AM6074">
        <v>176327</v>
      </c>
      <c r="AN6074">
        <v>59106.600000000006</v>
      </c>
      <c r="AO6074">
        <v>235433.59999999998</v>
      </c>
      <c r="AP6074">
        <v>0</v>
      </c>
      <c r="AQ6074">
        <v>0</v>
      </c>
      <c r="AR6074">
        <v>0</v>
      </c>
      <c r="AS6074" t="s">
        <v>239</v>
      </c>
      <c r="AT6074" t="s">
        <v>514</v>
      </c>
    </row>
    <row r="6075" spans="2:46" x14ac:dyDescent="0.35">
      <c r="B6075" t="s">
        <v>649</v>
      </c>
      <c r="C6075">
        <v>45858</v>
      </c>
      <c r="J6075">
        <v>0</v>
      </c>
      <c r="O6075" t="s">
        <v>239</v>
      </c>
      <c r="P6075" t="s">
        <v>514</v>
      </c>
      <c r="U6075">
        <v>414.66666666666652</v>
      </c>
      <c r="Y6075">
        <v>1661</v>
      </c>
      <c r="Z6075" s="259" t="s">
        <v>637</v>
      </c>
      <c r="AB6075">
        <v>61087.666666666664</v>
      </c>
      <c r="AF6075">
        <v>235433.59999999998</v>
      </c>
      <c r="AG6075">
        <v>0</v>
      </c>
      <c r="AI6075">
        <v>235433.59999999998</v>
      </c>
      <c r="AJ6075">
        <v>0</v>
      </c>
      <c r="AK6075">
        <v>0</v>
      </c>
      <c r="AL6075">
        <v>0</v>
      </c>
      <c r="AM6075">
        <v>176327</v>
      </c>
      <c r="AN6075">
        <v>59106.600000000006</v>
      </c>
      <c r="AO6075">
        <v>235433.59999999998</v>
      </c>
      <c r="AP6075">
        <v>0</v>
      </c>
      <c r="AQ6075">
        <v>0</v>
      </c>
      <c r="AR6075">
        <v>0</v>
      </c>
      <c r="AS6075" t="s">
        <v>239</v>
      </c>
      <c r="AT6075" t="s">
        <v>514</v>
      </c>
    </row>
    <row r="6076" spans="2:46" x14ac:dyDescent="0.35">
      <c r="B6076" t="s">
        <v>649</v>
      </c>
      <c r="C6076">
        <v>45859</v>
      </c>
      <c r="J6076">
        <v>0</v>
      </c>
      <c r="O6076" t="s">
        <v>239</v>
      </c>
      <c r="P6076" t="s">
        <v>514</v>
      </c>
      <c r="U6076">
        <v>414.66666666666652</v>
      </c>
      <c r="Y6076">
        <v>1662</v>
      </c>
      <c r="Z6076" s="259" t="s">
        <v>637</v>
      </c>
      <c r="AB6076">
        <v>61087.666666666664</v>
      </c>
      <c r="AF6076">
        <v>235180.59999999998</v>
      </c>
      <c r="AG6076">
        <v>0</v>
      </c>
      <c r="AI6076">
        <v>235433.59999999998</v>
      </c>
      <c r="AJ6076">
        <v>0</v>
      </c>
      <c r="AK6076">
        <v>0</v>
      </c>
      <c r="AL6076">
        <v>0</v>
      </c>
      <c r="AM6076">
        <v>176327</v>
      </c>
      <c r="AN6076">
        <v>58853.600000000006</v>
      </c>
      <c r="AO6076">
        <v>235180.59999999998</v>
      </c>
      <c r="AP6076">
        <v>0</v>
      </c>
      <c r="AQ6076">
        <v>-253</v>
      </c>
      <c r="AR6076">
        <v>-1.0746129694316764E-3</v>
      </c>
      <c r="AS6076" t="s">
        <v>239</v>
      </c>
      <c r="AT6076" t="s">
        <v>514</v>
      </c>
    </row>
    <row r="6077" spans="2:46" x14ac:dyDescent="0.35">
      <c r="B6077" t="s">
        <v>649</v>
      </c>
      <c r="C6077">
        <v>45860</v>
      </c>
      <c r="J6077">
        <v>0</v>
      </c>
      <c r="O6077" t="s">
        <v>239</v>
      </c>
      <c r="P6077" t="s">
        <v>514</v>
      </c>
      <c r="U6077">
        <v>414.66666666666652</v>
      </c>
      <c r="Y6077">
        <v>1663</v>
      </c>
      <c r="Z6077" s="259" t="s">
        <v>637</v>
      </c>
      <c r="AB6077">
        <v>61087.666666666664</v>
      </c>
      <c r="AF6077">
        <v>235096</v>
      </c>
      <c r="AG6077">
        <v>0</v>
      </c>
      <c r="AI6077">
        <v>235180.59999999998</v>
      </c>
      <c r="AJ6077">
        <v>0</v>
      </c>
      <c r="AK6077">
        <v>0</v>
      </c>
      <c r="AL6077">
        <v>0</v>
      </c>
      <c r="AM6077">
        <v>176327</v>
      </c>
      <c r="AN6077">
        <v>58769</v>
      </c>
      <c r="AO6077">
        <v>235096</v>
      </c>
      <c r="AP6077">
        <v>0</v>
      </c>
      <c r="AQ6077">
        <v>-84.599999999976717</v>
      </c>
      <c r="AR6077">
        <v>-3.5972354862590095E-4</v>
      </c>
      <c r="AS6077" t="s">
        <v>239</v>
      </c>
      <c r="AT6077" t="s">
        <v>514</v>
      </c>
    </row>
    <row r="6078" spans="2:46" x14ac:dyDescent="0.35">
      <c r="B6078" t="s">
        <v>649</v>
      </c>
      <c r="C6078">
        <v>45861</v>
      </c>
      <c r="J6078">
        <v>0</v>
      </c>
      <c r="O6078" t="s">
        <v>239</v>
      </c>
      <c r="P6078" t="s">
        <v>514</v>
      </c>
      <c r="U6078">
        <v>414.66666666666652</v>
      </c>
      <c r="Y6078">
        <v>1664</v>
      </c>
      <c r="Z6078" s="259" t="s">
        <v>637</v>
      </c>
      <c r="AB6078">
        <v>61087.666666666664</v>
      </c>
      <c r="AF6078">
        <v>235011.40000000002</v>
      </c>
      <c r="AG6078">
        <v>0</v>
      </c>
      <c r="AI6078">
        <v>235096</v>
      </c>
      <c r="AJ6078">
        <v>0</v>
      </c>
      <c r="AK6078">
        <v>0</v>
      </c>
      <c r="AL6078">
        <v>0</v>
      </c>
      <c r="AM6078">
        <v>176327</v>
      </c>
      <c r="AN6078">
        <v>58684.399999999994</v>
      </c>
      <c r="AO6078">
        <v>235011.40000000002</v>
      </c>
      <c r="AP6078">
        <v>0</v>
      </c>
      <c r="AQ6078">
        <v>-84.599999999976717</v>
      </c>
      <c r="AR6078">
        <v>-3.5985299622276479E-4</v>
      </c>
      <c r="AS6078" t="s">
        <v>239</v>
      </c>
      <c r="AT6078" t="s">
        <v>514</v>
      </c>
    </row>
    <row r="6079" spans="2:46" x14ac:dyDescent="0.35">
      <c r="B6079" t="s">
        <v>649</v>
      </c>
      <c r="C6079">
        <v>45862</v>
      </c>
      <c r="J6079">
        <v>0</v>
      </c>
      <c r="O6079" t="s">
        <v>239</v>
      </c>
      <c r="P6079" t="s">
        <v>514</v>
      </c>
      <c r="U6079">
        <v>414.66666666666652</v>
      </c>
      <c r="Y6079">
        <v>1665</v>
      </c>
      <c r="Z6079" s="259" t="s">
        <v>637</v>
      </c>
      <c r="AB6079">
        <v>61087.666666666664</v>
      </c>
      <c r="AF6079">
        <v>234927.59999999998</v>
      </c>
      <c r="AG6079">
        <v>0</v>
      </c>
      <c r="AI6079">
        <v>235011.40000000002</v>
      </c>
      <c r="AJ6079">
        <v>0</v>
      </c>
      <c r="AK6079">
        <v>0</v>
      </c>
      <c r="AL6079">
        <v>0</v>
      </c>
      <c r="AM6079">
        <v>176327</v>
      </c>
      <c r="AN6079">
        <v>58600.600000000006</v>
      </c>
      <c r="AO6079">
        <v>234927.59999999998</v>
      </c>
      <c r="AP6079">
        <v>0</v>
      </c>
      <c r="AQ6079">
        <v>-83.800000000046566</v>
      </c>
      <c r="AR6079">
        <v>-3.5657844683301132E-4</v>
      </c>
      <c r="AS6079" t="s">
        <v>239</v>
      </c>
      <c r="AT6079" t="s">
        <v>514</v>
      </c>
    </row>
    <row r="6080" spans="2:46" x14ac:dyDescent="0.35">
      <c r="B6080" t="s">
        <v>649</v>
      </c>
      <c r="C6080">
        <v>45863</v>
      </c>
      <c r="J6080">
        <v>0</v>
      </c>
      <c r="O6080" t="s">
        <v>239</v>
      </c>
      <c r="P6080" t="s">
        <v>514</v>
      </c>
      <c r="U6080">
        <v>414.66666666666652</v>
      </c>
      <c r="Y6080">
        <v>1666</v>
      </c>
      <c r="Z6080" s="259" t="s">
        <v>637</v>
      </c>
      <c r="AB6080">
        <v>61087.666666666664</v>
      </c>
      <c r="AF6080">
        <v>234843</v>
      </c>
      <c r="AG6080">
        <v>0</v>
      </c>
      <c r="AI6080">
        <v>234927.59999999998</v>
      </c>
      <c r="AJ6080">
        <v>0</v>
      </c>
      <c r="AK6080">
        <v>0</v>
      </c>
      <c r="AL6080">
        <v>0</v>
      </c>
      <c r="AM6080">
        <v>176327</v>
      </c>
      <c r="AN6080">
        <v>58516</v>
      </c>
      <c r="AO6080">
        <v>234843</v>
      </c>
      <c r="AP6080">
        <v>0</v>
      </c>
      <c r="AQ6080">
        <v>-84.599999999976717</v>
      </c>
      <c r="AR6080">
        <v>-3.6011094481869232E-4</v>
      </c>
      <c r="AS6080" t="s">
        <v>239</v>
      </c>
      <c r="AT6080" t="s">
        <v>514</v>
      </c>
    </row>
    <row r="6081" spans="2:46" x14ac:dyDescent="0.35">
      <c r="B6081" t="s">
        <v>649</v>
      </c>
      <c r="C6081">
        <v>45864</v>
      </c>
      <c r="J6081">
        <v>0</v>
      </c>
      <c r="O6081" t="s">
        <v>239</v>
      </c>
      <c r="P6081" t="s">
        <v>514</v>
      </c>
      <c r="U6081">
        <v>414.66666666666652</v>
      </c>
      <c r="Y6081">
        <v>1667</v>
      </c>
      <c r="Z6081" s="259" t="s">
        <v>637</v>
      </c>
      <c r="AB6081">
        <v>61087.666666666664</v>
      </c>
      <c r="AF6081">
        <v>234843</v>
      </c>
      <c r="AG6081">
        <v>0</v>
      </c>
      <c r="AI6081">
        <v>234843</v>
      </c>
      <c r="AJ6081">
        <v>0</v>
      </c>
      <c r="AK6081">
        <v>0</v>
      </c>
      <c r="AL6081">
        <v>0</v>
      </c>
      <c r="AM6081">
        <v>176327</v>
      </c>
      <c r="AN6081">
        <v>58516</v>
      </c>
      <c r="AO6081">
        <v>234843</v>
      </c>
      <c r="AP6081">
        <v>0</v>
      </c>
      <c r="AQ6081">
        <v>0</v>
      </c>
      <c r="AR6081">
        <v>0</v>
      </c>
      <c r="AS6081" t="s">
        <v>239</v>
      </c>
      <c r="AT6081" t="s">
        <v>514</v>
      </c>
    </row>
    <row r="6082" spans="2:46" x14ac:dyDescent="0.35">
      <c r="B6082" t="s">
        <v>649</v>
      </c>
      <c r="C6082">
        <v>45865</v>
      </c>
      <c r="J6082">
        <v>0</v>
      </c>
      <c r="O6082" t="s">
        <v>239</v>
      </c>
      <c r="P6082" t="s">
        <v>514</v>
      </c>
      <c r="U6082">
        <v>414.66666666666652</v>
      </c>
      <c r="Y6082">
        <v>1668</v>
      </c>
      <c r="Z6082" s="259" t="s">
        <v>637</v>
      </c>
      <c r="AB6082">
        <v>61087.666666666664</v>
      </c>
      <c r="AF6082">
        <v>234843</v>
      </c>
      <c r="AG6082">
        <v>0</v>
      </c>
      <c r="AI6082">
        <v>234843</v>
      </c>
      <c r="AJ6082">
        <v>0</v>
      </c>
      <c r="AK6082">
        <v>0</v>
      </c>
      <c r="AL6082">
        <v>0</v>
      </c>
      <c r="AM6082">
        <v>176327</v>
      </c>
      <c r="AN6082">
        <v>58516</v>
      </c>
      <c r="AO6082">
        <v>234843</v>
      </c>
      <c r="AP6082">
        <v>0</v>
      </c>
      <c r="AQ6082">
        <v>0</v>
      </c>
      <c r="AR6082">
        <v>0</v>
      </c>
      <c r="AS6082" t="s">
        <v>239</v>
      </c>
      <c r="AT6082" t="s">
        <v>514</v>
      </c>
    </row>
    <row r="6083" spans="2:46" x14ac:dyDescent="0.35">
      <c r="B6083" t="s">
        <v>649</v>
      </c>
      <c r="C6083">
        <v>45866</v>
      </c>
      <c r="J6083">
        <v>0</v>
      </c>
      <c r="O6083" t="s">
        <v>239</v>
      </c>
      <c r="P6083" t="s">
        <v>514</v>
      </c>
      <c r="U6083">
        <v>414.66666666666652</v>
      </c>
      <c r="Y6083">
        <v>1669</v>
      </c>
      <c r="Z6083" s="259" t="s">
        <v>637</v>
      </c>
      <c r="AB6083">
        <v>61087.666666666664</v>
      </c>
      <c r="AF6083">
        <v>234590</v>
      </c>
      <c r="AG6083">
        <v>0</v>
      </c>
      <c r="AI6083">
        <v>234843</v>
      </c>
      <c r="AJ6083">
        <v>0</v>
      </c>
      <c r="AK6083">
        <v>0</v>
      </c>
      <c r="AL6083">
        <v>0</v>
      </c>
      <c r="AM6083">
        <v>176327</v>
      </c>
      <c r="AN6083">
        <v>58263</v>
      </c>
      <c r="AO6083">
        <v>234590</v>
      </c>
      <c r="AP6083">
        <v>0</v>
      </c>
      <c r="AQ6083">
        <v>-253</v>
      </c>
      <c r="AR6083">
        <v>-1.0773154831099641E-3</v>
      </c>
      <c r="AS6083" t="s">
        <v>239</v>
      </c>
      <c r="AT6083" t="s">
        <v>514</v>
      </c>
    </row>
    <row r="6084" spans="2:46" x14ac:dyDescent="0.35">
      <c r="B6084" t="s">
        <v>649</v>
      </c>
      <c r="C6084">
        <v>45867</v>
      </c>
      <c r="J6084">
        <v>0</v>
      </c>
      <c r="O6084" t="s">
        <v>239</v>
      </c>
      <c r="P6084" t="s">
        <v>514</v>
      </c>
      <c r="U6084">
        <v>414.66666666666652</v>
      </c>
      <c r="Y6084">
        <v>1670</v>
      </c>
      <c r="Z6084" s="259" t="s">
        <v>637</v>
      </c>
      <c r="AB6084">
        <v>61087.666666666664</v>
      </c>
      <c r="AF6084">
        <v>234505.40000000002</v>
      </c>
      <c r="AG6084">
        <v>0</v>
      </c>
      <c r="AI6084">
        <v>234590</v>
      </c>
      <c r="AJ6084">
        <v>0</v>
      </c>
      <c r="AK6084">
        <v>0</v>
      </c>
      <c r="AL6084">
        <v>0</v>
      </c>
      <c r="AM6084">
        <v>176327</v>
      </c>
      <c r="AN6084">
        <v>58178.399999999994</v>
      </c>
      <c r="AO6084">
        <v>234505.40000000002</v>
      </c>
      <c r="AP6084">
        <v>0</v>
      </c>
      <c r="AQ6084">
        <v>-84.599999999976717</v>
      </c>
      <c r="AR6084">
        <v>-3.6062918282953049E-4</v>
      </c>
      <c r="AS6084" t="s">
        <v>239</v>
      </c>
      <c r="AT6084" t="s">
        <v>514</v>
      </c>
    </row>
    <row r="6085" spans="2:46" x14ac:dyDescent="0.35">
      <c r="B6085" t="s">
        <v>649</v>
      </c>
      <c r="C6085">
        <v>45868</v>
      </c>
      <c r="J6085">
        <v>0</v>
      </c>
      <c r="O6085" t="s">
        <v>239</v>
      </c>
      <c r="P6085" t="s">
        <v>514</v>
      </c>
      <c r="U6085">
        <v>414.66666666666652</v>
      </c>
      <c r="Y6085">
        <v>1671</v>
      </c>
      <c r="Z6085" s="259" t="s">
        <v>637</v>
      </c>
      <c r="AB6085">
        <v>61087.666666666664</v>
      </c>
      <c r="AF6085">
        <v>234421.59999999998</v>
      </c>
      <c r="AG6085">
        <v>0</v>
      </c>
      <c r="AI6085">
        <v>234505.40000000002</v>
      </c>
      <c r="AJ6085">
        <v>0</v>
      </c>
      <c r="AK6085">
        <v>0</v>
      </c>
      <c r="AL6085">
        <v>0</v>
      </c>
      <c r="AM6085">
        <v>176327</v>
      </c>
      <c r="AN6085">
        <v>58094.6</v>
      </c>
      <c r="AO6085">
        <v>234421.59999999998</v>
      </c>
      <c r="AP6085">
        <v>0</v>
      </c>
      <c r="AQ6085">
        <v>-83.800000000046566</v>
      </c>
      <c r="AR6085">
        <v>-3.5734784785357299E-4</v>
      </c>
      <c r="AS6085" t="s">
        <v>239</v>
      </c>
      <c r="AT6085" t="s">
        <v>514</v>
      </c>
    </row>
    <row r="6086" spans="2:46" x14ac:dyDescent="0.35">
      <c r="B6086" t="s">
        <v>649</v>
      </c>
      <c r="C6086">
        <v>45869</v>
      </c>
      <c r="J6086">
        <v>0</v>
      </c>
      <c r="O6086" t="s">
        <v>239</v>
      </c>
      <c r="P6086" t="s">
        <v>514</v>
      </c>
      <c r="U6086">
        <v>414.66666666666652</v>
      </c>
      <c r="Y6086">
        <v>1672</v>
      </c>
      <c r="Z6086" s="259" t="s">
        <v>637</v>
      </c>
      <c r="AB6086">
        <v>61087.666666666664</v>
      </c>
      <c r="AF6086">
        <v>234337</v>
      </c>
      <c r="AG6086">
        <v>0</v>
      </c>
      <c r="AI6086">
        <v>234421.59999999998</v>
      </c>
      <c r="AJ6086">
        <v>0</v>
      </c>
      <c r="AK6086">
        <v>0</v>
      </c>
      <c r="AL6086">
        <v>0</v>
      </c>
      <c r="AM6086">
        <v>176327</v>
      </c>
      <c r="AN6086">
        <v>58010</v>
      </c>
      <c r="AO6086">
        <v>234337</v>
      </c>
      <c r="AP6086">
        <v>0</v>
      </c>
      <c r="AQ6086">
        <v>-84.599999999976717</v>
      </c>
      <c r="AR6086">
        <v>-3.6088824579294521E-4</v>
      </c>
      <c r="AS6086" t="s">
        <v>239</v>
      </c>
      <c r="AT6086" t="s">
        <v>514</v>
      </c>
    </row>
    <row r="6087" spans="2:46" x14ac:dyDescent="0.35">
      <c r="B6087" t="s">
        <v>649</v>
      </c>
      <c r="C6087">
        <v>45870</v>
      </c>
      <c r="J6087">
        <v>0</v>
      </c>
      <c r="O6087" t="s">
        <v>239</v>
      </c>
      <c r="P6087" t="s">
        <v>514</v>
      </c>
      <c r="U6087">
        <v>414.66666666666652</v>
      </c>
      <c r="Y6087">
        <v>1673</v>
      </c>
      <c r="Z6087" s="259" t="s">
        <v>637</v>
      </c>
      <c r="AB6087">
        <v>61087.666666666664</v>
      </c>
      <c r="AF6087">
        <v>234337</v>
      </c>
      <c r="AG6087">
        <v>0</v>
      </c>
      <c r="AI6087">
        <v>234337</v>
      </c>
      <c r="AJ6087">
        <v>0</v>
      </c>
      <c r="AK6087">
        <v>0</v>
      </c>
      <c r="AL6087">
        <v>0</v>
      </c>
      <c r="AM6087">
        <v>176327</v>
      </c>
      <c r="AN6087">
        <v>58010</v>
      </c>
      <c r="AO6087">
        <v>234337</v>
      </c>
      <c r="AP6087">
        <v>0</v>
      </c>
      <c r="AQ6087">
        <v>0</v>
      </c>
      <c r="AR6087">
        <v>0</v>
      </c>
      <c r="AS6087" t="s">
        <v>239</v>
      </c>
      <c r="AT6087" t="s">
        <v>514</v>
      </c>
    </row>
    <row r="6088" spans="2:46" x14ac:dyDescent="0.35">
      <c r="B6088" t="s">
        <v>649</v>
      </c>
      <c r="C6088">
        <v>45871</v>
      </c>
      <c r="J6088">
        <v>0</v>
      </c>
      <c r="O6088" t="s">
        <v>239</v>
      </c>
      <c r="P6088" t="s">
        <v>514</v>
      </c>
      <c r="U6088">
        <v>414.66666666666652</v>
      </c>
      <c r="Y6088">
        <v>1674</v>
      </c>
      <c r="Z6088" s="259" t="s">
        <v>637</v>
      </c>
      <c r="AB6088">
        <v>61087.666666666664</v>
      </c>
      <c r="AF6088">
        <v>234337</v>
      </c>
      <c r="AG6088">
        <v>0</v>
      </c>
      <c r="AI6088">
        <v>234337</v>
      </c>
      <c r="AJ6088">
        <v>0</v>
      </c>
      <c r="AK6088">
        <v>0</v>
      </c>
      <c r="AL6088">
        <v>0</v>
      </c>
      <c r="AM6088">
        <v>176327</v>
      </c>
      <c r="AN6088">
        <v>58010</v>
      </c>
      <c r="AO6088">
        <v>234337</v>
      </c>
      <c r="AP6088">
        <v>0</v>
      </c>
      <c r="AQ6088">
        <v>0</v>
      </c>
      <c r="AR6088">
        <v>0</v>
      </c>
      <c r="AS6088" t="s">
        <v>239</v>
      </c>
      <c r="AT6088" t="s">
        <v>514</v>
      </c>
    </row>
    <row r="6089" spans="2:46" x14ac:dyDescent="0.35">
      <c r="B6089" t="s">
        <v>649</v>
      </c>
      <c r="C6089">
        <v>45872</v>
      </c>
      <c r="J6089">
        <v>0</v>
      </c>
      <c r="O6089" t="s">
        <v>239</v>
      </c>
      <c r="P6089" t="s">
        <v>514</v>
      </c>
      <c r="U6089">
        <v>414.66666666666652</v>
      </c>
      <c r="Y6089">
        <v>1675</v>
      </c>
      <c r="Z6089" s="259" t="s">
        <v>637</v>
      </c>
      <c r="AB6089">
        <v>61087.666666666664</v>
      </c>
      <c r="AF6089">
        <v>234337</v>
      </c>
      <c r="AG6089">
        <v>0</v>
      </c>
      <c r="AI6089">
        <v>234337</v>
      </c>
      <c r="AJ6089">
        <v>0</v>
      </c>
      <c r="AK6089">
        <v>0</v>
      </c>
      <c r="AL6089">
        <v>0</v>
      </c>
      <c r="AM6089">
        <v>176327</v>
      </c>
      <c r="AN6089">
        <v>58010</v>
      </c>
      <c r="AO6089">
        <v>234337</v>
      </c>
      <c r="AP6089">
        <v>0</v>
      </c>
      <c r="AQ6089">
        <v>0</v>
      </c>
      <c r="AR6089">
        <v>0</v>
      </c>
      <c r="AS6089" t="s">
        <v>239</v>
      </c>
      <c r="AT6089" t="s">
        <v>514</v>
      </c>
    </row>
    <row r="6090" spans="2:46" x14ac:dyDescent="0.35">
      <c r="B6090" t="s">
        <v>649</v>
      </c>
      <c r="C6090">
        <v>45873</v>
      </c>
      <c r="J6090">
        <v>0</v>
      </c>
      <c r="O6090" t="s">
        <v>239</v>
      </c>
      <c r="P6090" t="s">
        <v>514</v>
      </c>
      <c r="U6090">
        <v>414.66666666666652</v>
      </c>
      <c r="Y6090">
        <v>1676</v>
      </c>
      <c r="Z6090" s="259" t="s">
        <v>637</v>
      </c>
      <c r="AB6090">
        <v>61087.666666666664</v>
      </c>
      <c r="AF6090">
        <v>234523</v>
      </c>
      <c r="AG6090">
        <v>0</v>
      </c>
      <c r="AI6090">
        <v>234337</v>
      </c>
      <c r="AJ6090">
        <v>0</v>
      </c>
      <c r="AK6090">
        <v>0</v>
      </c>
      <c r="AL6090">
        <v>0</v>
      </c>
      <c r="AM6090">
        <v>176327</v>
      </c>
      <c r="AN6090">
        <v>58196</v>
      </c>
      <c r="AO6090">
        <v>234523</v>
      </c>
      <c r="AP6090">
        <v>0</v>
      </c>
      <c r="AQ6090">
        <v>186</v>
      </c>
      <c r="AR6090">
        <v>7.9372868987825917E-4</v>
      </c>
      <c r="AS6090" t="s">
        <v>239</v>
      </c>
      <c r="AT6090" t="s">
        <v>514</v>
      </c>
    </row>
    <row r="6091" spans="2:46" x14ac:dyDescent="0.35">
      <c r="B6091" t="s">
        <v>649</v>
      </c>
      <c r="C6091">
        <v>45874</v>
      </c>
      <c r="J6091">
        <v>0</v>
      </c>
      <c r="O6091" t="s">
        <v>239</v>
      </c>
      <c r="P6091" t="s">
        <v>514</v>
      </c>
      <c r="U6091">
        <v>414.66666666666652</v>
      </c>
      <c r="Y6091">
        <v>1677</v>
      </c>
      <c r="Z6091" s="259" t="s">
        <v>637</v>
      </c>
      <c r="AB6091">
        <v>61087.666666666664</v>
      </c>
      <c r="AF6091">
        <v>234585.5</v>
      </c>
      <c r="AG6091">
        <v>0</v>
      </c>
      <c r="AI6091">
        <v>234523</v>
      </c>
      <c r="AJ6091">
        <v>0</v>
      </c>
      <c r="AK6091">
        <v>0</v>
      </c>
      <c r="AL6091">
        <v>0</v>
      </c>
      <c r="AM6091">
        <v>176327</v>
      </c>
      <c r="AN6091">
        <v>58258.5</v>
      </c>
      <c r="AO6091">
        <v>234585.5</v>
      </c>
      <c r="AP6091">
        <v>0</v>
      </c>
      <c r="AQ6091">
        <v>62.5</v>
      </c>
      <c r="AR6091">
        <v>2.6649838182191132E-4</v>
      </c>
      <c r="AS6091" t="s">
        <v>239</v>
      </c>
      <c r="AT6091" t="s">
        <v>514</v>
      </c>
    </row>
    <row r="6092" spans="2:46" x14ac:dyDescent="0.35">
      <c r="B6092" t="s">
        <v>649</v>
      </c>
      <c r="C6092">
        <v>45875</v>
      </c>
      <c r="J6092">
        <v>0</v>
      </c>
      <c r="O6092" t="s">
        <v>239</v>
      </c>
      <c r="P6092" t="s">
        <v>514</v>
      </c>
      <c r="U6092">
        <v>414.66666666666652</v>
      </c>
      <c r="Y6092">
        <v>1678</v>
      </c>
      <c r="Z6092" s="259" t="s">
        <v>637</v>
      </c>
      <c r="AB6092">
        <v>61087.666666666664</v>
      </c>
      <c r="AF6092">
        <v>234646.5</v>
      </c>
      <c r="AG6092">
        <v>0</v>
      </c>
      <c r="AI6092">
        <v>234585.5</v>
      </c>
      <c r="AJ6092">
        <v>0</v>
      </c>
      <c r="AK6092">
        <v>0</v>
      </c>
      <c r="AL6092">
        <v>0</v>
      </c>
      <c r="AM6092">
        <v>176327</v>
      </c>
      <c r="AN6092">
        <v>58319.5</v>
      </c>
      <c r="AO6092">
        <v>234646.5</v>
      </c>
      <c r="AP6092">
        <v>0</v>
      </c>
      <c r="AQ6092">
        <v>61</v>
      </c>
      <c r="AR6092">
        <v>2.6003312225175712E-4</v>
      </c>
      <c r="AS6092" t="s">
        <v>239</v>
      </c>
      <c r="AT6092" t="s">
        <v>514</v>
      </c>
    </row>
    <row r="6093" spans="2:46" x14ac:dyDescent="0.35">
      <c r="B6093" t="s">
        <v>649</v>
      </c>
      <c r="C6093">
        <v>45876</v>
      </c>
      <c r="J6093">
        <v>0</v>
      </c>
      <c r="O6093" t="s">
        <v>239</v>
      </c>
      <c r="P6093" t="s">
        <v>514</v>
      </c>
      <c r="U6093">
        <v>414.66666666666652</v>
      </c>
      <c r="Y6093">
        <v>1679</v>
      </c>
      <c r="Z6093" s="259" t="s">
        <v>637</v>
      </c>
      <c r="AB6093">
        <v>61087.666666666664</v>
      </c>
      <c r="AF6093">
        <v>234709</v>
      </c>
      <c r="AG6093">
        <v>0</v>
      </c>
      <c r="AI6093">
        <v>234646.5</v>
      </c>
      <c r="AJ6093">
        <v>0</v>
      </c>
      <c r="AK6093">
        <v>0</v>
      </c>
      <c r="AL6093">
        <v>0</v>
      </c>
      <c r="AM6093">
        <v>176327</v>
      </c>
      <c r="AN6093">
        <v>58382</v>
      </c>
      <c r="AO6093">
        <v>234709</v>
      </c>
      <c r="AP6093">
        <v>0</v>
      </c>
      <c r="AQ6093">
        <v>62.5</v>
      </c>
      <c r="AR6093">
        <v>2.663581174233709E-4</v>
      </c>
      <c r="AS6093" t="s">
        <v>239</v>
      </c>
      <c r="AT6093" t="s">
        <v>514</v>
      </c>
    </row>
    <row r="6094" spans="2:46" x14ac:dyDescent="0.35">
      <c r="B6094" t="s">
        <v>649</v>
      </c>
      <c r="C6094">
        <v>45877</v>
      </c>
      <c r="J6094">
        <v>0</v>
      </c>
      <c r="O6094" t="s">
        <v>239</v>
      </c>
      <c r="P6094" t="s">
        <v>514</v>
      </c>
      <c r="U6094">
        <v>414.66666666666652</v>
      </c>
      <c r="Y6094">
        <v>1680</v>
      </c>
      <c r="Z6094" s="259" t="s">
        <v>637</v>
      </c>
      <c r="AB6094">
        <v>61087.666666666664</v>
      </c>
      <c r="AF6094">
        <v>234771.5</v>
      </c>
      <c r="AG6094">
        <v>0</v>
      </c>
      <c r="AI6094">
        <v>234709</v>
      </c>
      <c r="AJ6094">
        <v>0</v>
      </c>
      <c r="AK6094">
        <v>0</v>
      </c>
      <c r="AL6094">
        <v>0</v>
      </c>
      <c r="AM6094">
        <v>176327</v>
      </c>
      <c r="AN6094">
        <v>58444.5</v>
      </c>
      <c r="AO6094">
        <v>234771.5</v>
      </c>
      <c r="AP6094">
        <v>0</v>
      </c>
      <c r="AQ6094">
        <v>62.5</v>
      </c>
      <c r="AR6094">
        <v>2.6628718966881237E-4</v>
      </c>
      <c r="AS6094" t="s">
        <v>239</v>
      </c>
      <c r="AT6094" t="s">
        <v>514</v>
      </c>
    </row>
    <row r="6095" spans="2:46" x14ac:dyDescent="0.35">
      <c r="B6095" t="s">
        <v>649</v>
      </c>
      <c r="C6095">
        <v>45878</v>
      </c>
      <c r="J6095">
        <v>0</v>
      </c>
      <c r="O6095" t="s">
        <v>239</v>
      </c>
      <c r="P6095" t="s">
        <v>514</v>
      </c>
      <c r="U6095">
        <v>414.66666666666652</v>
      </c>
      <c r="Y6095">
        <v>1681</v>
      </c>
      <c r="Z6095" s="259" t="s">
        <v>637</v>
      </c>
      <c r="AB6095">
        <v>61087.666666666664</v>
      </c>
      <c r="AF6095">
        <v>234771.5</v>
      </c>
      <c r="AG6095">
        <v>0</v>
      </c>
      <c r="AI6095">
        <v>234771.5</v>
      </c>
      <c r="AJ6095">
        <v>0</v>
      </c>
      <c r="AK6095">
        <v>0</v>
      </c>
      <c r="AL6095">
        <v>0</v>
      </c>
      <c r="AM6095">
        <v>176327</v>
      </c>
      <c r="AN6095">
        <v>58444.5</v>
      </c>
      <c r="AO6095">
        <v>234771.5</v>
      </c>
      <c r="AP6095">
        <v>0</v>
      </c>
      <c r="AQ6095">
        <v>0</v>
      </c>
      <c r="AR6095">
        <v>0</v>
      </c>
      <c r="AS6095" t="s">
        <v>239</v>
      </c>
      <c r="AT6095" t="s">
        <v>514</v>
      </c>
    </row>
    <row r="6096" spans="2:46" x14ac:dyDescent="0.35">
      <c r="B6096" t="s">
        <v>649</v>
      </c>
      <c r="C6096">
        <v>45879</v>
      </c>
      <c r="J6096">
        <v>0</v>
      </c>
      <c r="O6096" t="s">
        <v>239</v>
      </c>
      <c r="P6096" t="s">
        <v>514</v>
      </c>
      <c r="U6096">
        <v>414.66666666666652</v>
      </c>
      <c r="Y6096">
        <v>1682</v>
      </c>
      <c r="Z6096" s="259" t="s">
        <v>637</v>
      </c>
      <c r="AB6096">
        <v>61087.666666666664</v>
      </c>
      <c r="AF6096">
        <v>234771.5</v>
      </c>
      <c r="AG6096">
        <v>0</v>
      </c>
      <c r="AI6096">
        <v>234771.5</v>
      </c>
      <c r="AJ6096">
        <v>0</v>
      </c>
      <c r="AK6096">
        <v>0</v>
      </c>
      <c r="AL6096">
        <v>0</v>
      </c>
      <c r="AM6096">
        <v>176327</v>
      </c>
      <c r="AN6096">
        <v>58444.5</v>
      </c>
      <c r="AO6096">
        <v>234771.5</v>
      </c>
      <c r="AP6096">
        <v>0</v>
      </c>
      <c r="AQ6096">
        <v>0</v>
      </c>
      <c r="AR6096">
        <v>0</v>
      </c>
      <c r="AS6096" t="s">
        <v>239</v>
      </c>
      <c r="AT6096" t="s">
        <v>514</v>
      </c>
    </row>
    <row r="6097" spans="2:46" x14ac:dyDescent="0.35">
      <c r="B6097" t="s">
        <v>649</v>
      </c>
      <c r="C6097">
        <v>45880</v>
      </c>
      <c r="J6097">
        <v>0</v>
      </c>
      <c r="O6097" t="s">
        <v>239</v>
      </c>
      <c r="P6097" t="s">
        <v>514</v>
      </c>
      <c r="U6097">
        <v>414.66666666666652</v>
      </c>
      <c r="Y6097">
        <v>1683</v>
      </c>
      <c r="Z6097" s="259" t="s">
        <v>637</v>
      </c>
      <c r="AB6097">
        <v>61087.666666666664</v>
      </c>
      <c r="AF6097">
        <v>234957.5</v>
      </c>
      <c r="AG6097">
        <v>0</v>
      </c>
      <c r="AI6097">
        <v>234771.5</v>
      </c>
      <c r="AJ6097">
        <v>0</v>
      </c>
      <c r="AK6097">
        <v>0</v>
      </c>
      <c r="AL6097">
        <v>0</v>
      </c>
      <c r="AM6097">
        <v>176327</v>
      </c>
      <c r="AN6097">
        <v>58630.5</v>
      </c>
      <c r="AO6097">
        <v>234957.5</v>
      </c>
      <c r="AP6097">
        <v>0</v>
      </c>
      <c r="AQ6097">
        <v>186</v>
      </c>
      <c r="AR6097">
        <v>7.9225970784357891E-4</v>
      </c>
      <c r="AS6097" t="s">
        <v>239</v>
      </c>
      <c r="AT6097" t="s">
        <v>514</v>
      </c>
    </row>
    <row r="6098" spans="2:46" x14ac:dyDescent="0.35">
      <c r="B6098" t="s">
        <v>649</v>
      </c>
      <c r="C6098">
        <v>45881</v>
      </c>
      <c r="J6098">
        <v>0</v>
      </c>
      <c r="O6098" t="s">
        <v>239</v>
      </c>
      <c r="P6098" t="s">
        <v>514</v>
      </c>
      <c r="U6098">
        <v>414.66666666666652</v>
      </c>
      <c r="Y6098">
        <v>1684</v>
      </c>
      <c r="Z6098" s="259" t="s">
        <v>637</v>
      </c>
      <c r="AB6098">
        <v>61087.666666666664</v>
      </c>
      <c r="AF6098">
        <v>235018.5</v>
      </c>
      <c r="AG6098">
        <v>0</v>
      </c>
      <c r="AI6098">
        <v>234957.5</v>
      </c>
      <c r="AJ6098">
        <v>0</v>
      </c>
      <c r="AK6098">
        <v>0</v>
      </c>
      <c r="AL6098">
        <v>0</v>
      </c>
      <c r="AM6098">
        <v>176327</v>
      </c>
      <c r="AN6098">
        <v>58691.5</v>
      </c>
      <c r="AO6098">
        <v>235018.5</v>
      </c>
      <c r="AP6098">
        <v>0</v>
      </c>
      <c r="AQ6098">
        <v>61</v>
      </c>
      <c r="AR6098">
        <v>2.5962142089519524E-4</v>
      </c>
      <c r="AS6098" t="s">
        <v>239</v>
      </c>
      <c r="AT6098" t="s">
        <v>514</v>
      </c>
    </row>
    <row r="6099" spans="2:46" x14ac:dyDescent="0.35">
      <c r="B6099" t="s">
        <v>649</v>
      </c>
      <c r="C6099">
        <v>45882</v>
      </c>
      <c r="J6099">
        <v>0</v>
      </c>
      <c r="O6099" t="s">
        <v>239</v>
      </c>
      <c r="P6099" t="s">
        <v>514</v>
      </c>
      <c r="U6099">
        <v>414.66666666666652</v>
      </c>
      <c r="Y6099">
        <v>1685</v>
      </c>
      <c r="Z6099" s="259" t="s">
        <v>637</v>
      </c>
      <c r="AB6099">
        <v>61087.666666666664</v>
      </c>
      <c r="AF6099">
        <v>235081</v>
      </c>
      <c r="AG6099">
        <v>0</v>
      </c>
      <c r="AI6099">
        <v>235018.5</v>
      </c>
      <c r="AJ6099">
        <v>0</v>
      </c>
      <c r="AK6099">
        <v>0</v>
      </c>
      <c r="AL6099">
        <v>0</v>
      </c>
      <c r="AM6099">
        <v>176327</v>
      </c>
      <c r="AN6099">
        <v>58754</v>
      </c>
      <c r="AO6099">
        <v>235081</v>
      </c>
      <c r="AP6099">
        <v>0</v>
      </c>
      <c r="AQ6099">
        <v>62.5</v>
      </c>
      <c r="AR6099">
        <v>2.6593651138107077E-4</v>
      </c>
      <c r="AS6099" t="s">
        <v>239</v>
      </c>
      <c r="AT6099" t="s">
        <v>514</v>
      </c>
    </row>
    <row r="6100" spans="2:46" x14ac:dyDescent="0.35">
      <c r="B6100" t="s">
        <v>649</v>
      </c>
      <c r="C6100">
        <v>45883</v>
      </c>
      <c r="J6100">
        <v>0</v>
      </c>
      <c r="O6100" t="s">
        <v>239</v>
      </c>
      <c r="P6100" t="s">
        <v>514</v>
      </c>
      <c r="U6100">
        <v>414.66666666666652</v>
      </c>
      <c r="Y6100">
        <v>1686</v>
      </c>
      <c r="Z6100" s="259" t="s">
        <v>637</v>
      </c>
      <c r="AB6100">
        <v>61087.666666666664</v>
      </c>
      <c r="AF6100">
        <v>235143.5</v>
      </c>
      <c r="AG6100">
        <v>0</v>
      </c>
      <c r="AI6100">
        <v>235081</v>
      </c>
      <c r="AJ6100">
        <v>0</v>
      </c>
      <c r="AK6100">
        <v>0</v>
      </c>
      <c r="AL6100">
        <v>0</v>
      </c>
      <c r="AM6100">
        <v>176327</v>
      </c>
      <c r="AN6100">
        <v>58816.5</v>
      </c>
      <c r="AO6100">
        <v>235143.5</v>
      </c>
      <c r="AP6100">
        <v>0</v>
      </c>
      <c r="AQ6100">
        <v>62.5</v>
      </c>
      <c r="AR6100">
        <v>2.6586580795551207E-4</v>
      </c>
      <c r="AS6100" t="s">
        <v>239</v>
      </c>
      <c r="AT6100" t="s">
        <v>514</v>
      </c>
    </row>
    <row r="6101" spans="2:46" x14ac:dyDescent="0.35">
      <c r="B6101" t="s">
        <v>649</v>
      </c>
      <c r="C6101">
        <v>45884</v>
      </c>
      <c r="J6101">
        <v>0</v>
      </c>
      <c r="O6101" t="s">
        <v>239</v>
      </c>
      <c r="P6101" t="s">
        <v>514</v>
      </c>
      <c r="U6101">
        <v>414.66666666666652</v>
      </c>
      <c r="Y6101">
        <v>1687</v>
      </c>
      <c r="Z6101" s="259" t="s">
        <v>637</v>
      </c>
      <c r="AB6101">
        <v>61087.666666666664</v>
      </c>
      <c r="AF6101">
        <v>235204.5</v>
      </c>
      <c r="AG6101">
        <v>0</v>
      </c>
      <c r="AI6101">
        <v>235143.5</v>
      </c>
      <c r="AJ6101">
        <v>0</v>
      </c>
      <c r="AK6101">
        <v>0</v>
      </c>
      <c r="AL6101">
        <v>0</v>
      </c>
      <c r="AM6101">
        <v>176327</v>
      </c>
      <c r="AN6101">
        <v>58877.5</v>
      </c>
      <c r="AO6101">
        <v>235204.5</v>
      </c>
      <c r="AP6101">
        <v>0</v>
      </c>
      <c r="AQ6101">
        <v>61</v>
      </c>
      <c r="AR6101">
        <v>2.5941605870460904E-4</v>
      </c>
      <c r="AS6101" t="s">
        <v>239</v>
      </c>
      <c r="AT6101" t="s">
        <v>514</v>
      </c>
    </row>
    <row r="6102" spans="2:46" x14ac:dyDescent="0.35">
      <c r="B6102" t="s">
        <v>649</v>
      </c>
      <c r="C6102">
        <v>45885</v>
      </c>
      <c r="J6102">
        <v>0</v>
      </c>
      <c r="O6102" t="s">
        <v>239</v>
      </c>
      <c r="P6102" t="s">
        <v>514</v>
      </c>
      <c r="U6102">
        <v>414.66666666666652</v>
      </c>
      <c r="Y6102">
        <v>1688</v>
      </c>
      <c r="Z6102" s="259" t="s">
        <v>637</v>
      </c>
      <c r="AB6102">
        <v>61087.666666666664</v>
      </c>
      <c r="AF6102">
        <v>235204.5</v>
      </c>
      <c r="AG6102">
        <v>0</v>
      </c>
      <c r="AI6102">
        <v>235204.5</v>
      </c>
      <c r="AJ6102">
        <v>0</v>
      </c>
      <c r="AK6102">
        <v>0</v>
      </c>
      <c r="AL6102">
        <v>0</v>
      </c>
      <c r="AM6102">
        <v>176327</v>
      </c>
      <c r="AN6102">
        <v>58877.5</v>
      </c>
      <c r="AO6102">
        <v>235204.5</v>
      </c>
      <c r="AP6102">
        <v>0</v>
      </c>
      <c r="AQ6102">
        <v>0</v>
      </c>
      <c r="AR6102">
        <v>0</v>
      </c>
      <c r="AS6102" t="s">
        <v>239</v>
      </c>
      <c r="AT6102" t="s">
        <v>514</v>
      </c>
    </row>
    <row r="6103" spans="2:46" x14ac:dyDescent="0.35">
      <c r="B6103" t="s">
        <v>649</v>
      </c>
      <c r="C6103">
        <v>45886</v>
      </c>
      <c r="J6103">
        <v>0</v>
      </c>
      <c r="O6103" t="s">
        <v>239</v>
      </c>
      <c r="P6103" t="s">
        <v>514</v>
      </c>
      <c r="U6103">
        <v>414.66666666666652</v>
      </c>
      <c r="Y6103">
        <v>1689</v>
      </c>
      <c r="Z6103" s="259" t="s">
        <v>637</v>
      </c>
      <c r="AB6103">
        <v>61087.666666666664</v>
      </c>
      <c r="AF6103">
        <v>235204.5</v>
      </c>
      <c r="AG6103">
        <v>0</v>
      </c>
      <c r="AI6103">
        <v>235204.5</v>
      </c>
      <c r="AJ6103">
        <v>0</v>
      </c>
      <c r="AK6103">
        <v>0</v>
      </c>
      <c r="AL6103">
        <v>0</v>
      </c>
      <c r="AM6103">
        <v>176327</v>
      </c>
      <c r="AN6103">
        <v>58877.5</v>
      </c>
      <c r="AO6103">
        <v>235204.5</v>
      </c>
      <c r="AP6103">
        <v>0</v>
      </c>
      <c r="AQ6103">
        <v>0</v>
      </c>
      <c r="AR6103">
        <v>0</v>
      </c>
      <c r="AS6103" t="s">
        <v>239</v>
      </c>
      <c r="AT6103" t="s">
        <v>514</v>
      </c>
    </row>
    <row r="6104" spans="2:46" x14ac:dyDescent="0.35">
      <c r="B6104" t="s">
        <v>649</v>
      </c>
      <c r="C6104">
        <v>45887</v>
      </c>
      <c r="J6104">
        <v>0</v>
      </c>
      <c r="O6104" t="s">
        <v>239</v>
      </c>
      <c r="P6104" t="s">
        <v>514</v>
      </c>
      <c r="U6104">
        <v>414.66666666666652</v>
      </c>
      <c r="Y6104">
        <v>1690</v>
      </c>
      <c r="Z6104" s="259" t="s">
        <v>637</v>
      </c>
      <c r="AB6104">
        <v>61087.666666666664</v>
      </c>
      <c r="AF6104">
        <v>235390.5</v>
      </c>
      <c r="AG6104">
        <v>0</v>
      </c>
      <c r="AI6104">
        <v>235204.5</v>
      </c>
      <c r="AJ6104">
        <v>0</v>
      </c>
      <c r="AK6104">
        <v>0</v>
      </c>
      <c r="AL6104">
        <v>0</v>
      </c>
      <c r="AM6104">
        <v>176327</v>
      </c>
      <c r="AN6104">
        <v>59063.5</v>
      </c>
      <c r="AO6104">
        <v>235390.5</v>
      </c>
      <c r="AP6104">
        <v>0</v>
      </c>
      <c r="AQ6104">
        <v>186</v>
      </c>
      <c r="AR6104">
        <v>7.9080119640573265E-4</v>
      </c>
      <c r="AS6104" t="s">
        <v>239</v>
      </c>
      <c r="AT6104" t="s">
        <v>514</v>
      </c>
    </row>
    <row r="6105" spans="2:46" x14ac:dyDescent="0.35">
      <c r="B6105" t="s">
        <v>649</v>
      </c>
      <c r="C6105">
        <v>45888</v>
      </c>
      <c r="J6105">
        <v>0</v>
      </c>
      <c r="O6105" t="s">
        <v>239</v>
      </c>
      <c r="P6105" t="s">
        <v>514</v>
      </c>
      <c r="U6105">
        <v>414.66666666666652</v>
      </c>
      <c r="Y6105">
        <v>1691</v>
      </c>
      <c r="Z6105" s="259" t="s">
        <v>637</v>
      </c>
      <c r="AB6105">
        <v>61087.666666666664</v>
      </c>
      <c r="AF6105">
        <v>235453</v>
      </c>
      <c r="AG6105">
        <v>0</v>
      </c>
      <c r="AI6105">
        <v>235390.5</v>
      </c>
      <c r="AJ6105">
        <v>0</v>
      </c>
      <c r="AK6105">
        <v>0</v>
      </c>
      <c r="AL6105">
        <v>0</v>
      </c>
      <c r="AM6105">
        <v>176327</v>
      </c>
      <c r="AN6105">
        <v>59126</v>
      </c>
      <c r="AO6105">
        <v>235453</v>
      </c>
      <c r="AP6105">
        <v>0</v>
      </c>
      <c r="AQ6105">
        <v>62.5</v>
      </c>
      <c r="AR6105">
        <v>2.6551623791104539E-4</v>
      </c>
      <c r="AS6105" t="s">
        <v>239</v>
      </c>
      <c r="AT6105" t="s">
        <v>514</v>
      </c>
    </row>
    <row r="6106" spans="2:46" x14ac:dyDescent="0.35">
      <c r="B6106" t="s">
        <v>649</v>
      </c>
      <c r="C6106">
        <v>45889</v>
      </c>
      <c r="J6106">
        <v>0</v>
      </c>
      <c r="O6106" t="s">
        <v>239</v>
      </c>
      <c r="P6106" t="s">
        <v>514</v>
      </c>
      <c r="U6106">
        <v>414.66666666666652</v>
      </c>
      <c r="Y6106">
        <v>1692</v>
      </c>
      <c r="Z6106" s="259" t="s">
        <v>637</v>
      </c>
      <c r="AB6106">
        <v>61087.666666666664</v>
      </c>
      <c r="AF6106">
        <v>235515.5</v>
      </c>
      <c r="AG6106">
        <v>0</v>
      </c>
      <c r="AI6106">
        <v>235453</v>
      </c>
      <c r="AJ6106">
        <v>0</v>
      </c>
      <c r="AK6106">
        <v>0</v>
      </c>
      <c r="AL6106">
        <v>0</v>
      </c>
      <c r="AM6106">
        <v>176327</v>
      </c>
      <c r="AN6106">
        <v>59188.5</v>
      </c>
      <c r="AO6106">
        <v>235515.5</v>
      </c>
      <c r="AP6106">
        <v>0</v>
      </c>
      <c r="AQ6106">
        <v>62.5</v>
      </c>
      <c r="AR6106">
        <v>2.6544575775200308E-4</v>
      </c>
      <c r="AS6106" t="s">
        <v>239</v>
      </c>
      <c r="AT6106" t="s">
        <v>514</v>
      </c>
    </row>
    <row r="6107" spans="2:46" x14ac:dyDescent="0.35">
      <c r="B6107" t="s">
        <v>649</v>
      </c>
      <c r="C6107">
        <v>45890</v>
      </c>
      <c r="J6107">
        <v>0</v>
      </c>
      <c r="O6107" t="s">
        <v>239</v>
      </c>
      <c r="P6107" t="s">
        <v>514</v>
      </c>
      <c r="U6107">
        <v>414.66666666666652</v>
      </c>
      <c r="Y6107">
        <v>1693</v>
      </c>
      <c r="Z6107" s="259" t="s">
        <v>637</v>
      </c>
      <c r="AB6107">
        <v>61087.666666666664</v>
      </c>
      <c r="AF6107">
        <v>235576.5</v>
      </c>
      <c r="AG6107">
        <v>0</v>
      </c>
      <c r="AI6107">
        <v>235515.5</v>
      </c>
      <c r="AJ6107">
        <v>0</v>
      </c>
      <c r="AK6107">
        <v>0</v>
      </c>
      <c r="AL6107">
        <v>0</v>
      </c>
      <c r="AM6107">
        <v>176327</v>
      </c>
      <c r="AN6107">
        <v>59249.5</v>
      </c>
      <c r="AO6107">
        <v>235576.5</v>
      </c>
      <c r="AP6107">
        <v>0</v>
      </c>
      <c r="AQ6107">
        <v>61</v>
      </c>
      <c r="AR6107">
        <v>2.5900630744057906E-4</v>
      </c>
      <c r="AS6107" t="s">
        <v>239</v>
      </c>
      <c r="AT6107" t="s">
        <v>514</v>
      </c>
    </row>
    <row r="6108" spans="2:46" x14ac:dyDescent="0.35">
      <c r="B6108" t="s">
        <v>649</v>
      </c>
      <c r="C6108">
        <v>45891</v>
      </c>
      <c r="J6108">
        <v>0</v>
      </c>
      <c r="O6108" t="s">
        <v>239</v>
      </c>
      <c r="P6108" t="s">
        <v>514</v>
      </c>
      <c r="U6108">
        <v>414.66666666666652</v>
      </c>
      <c r="Y6108">
        <v>1694</v>
      </c>
      <c r="Z6108" s="259" t="s">
        <v>637</v>
      </c>
      <c r="AB6108">
        <v>61087.666666666664</v>
      </c>
      <c r="AF6108">
        <v>235639</v>
      </c>
      <c r="AG6108">
        <v>0</v>
      </c>
      <c r="AI6108">
        <v>235576.5</v>
      </c>
      <c r="AJ6108">
        <v>0</v>
      </c>
      <c r="AK6108">
        <v>0</v>
      </c>
      <c r="AL6108">
        <v>0</v>
      </c>
      <c r="AM6108">
        <v>176327</v>
      </c>
      <c r="AN6108">
        <v>59312</v>
      </c>
      <c r="AO6108">
        <v>235639</v>
      </c>
      <c r="AP6108">
        <v>0</v>
      </c>
      <c r="AQ6108">
        <v>62.5</v>
      </c>
      <c r="AR6108">
        <v>2.6530659891799147E-4</v>
      </c>
      <c r="AS6108" t="s">
        <v>239</v>
      </c>
      <c r="AT6108" t="s">
        <v>514</v>
      </c>
    </row>
    <row r="6109" spans="2:46" x14ac:dyDescent="0.35">
      <c r="B6109" t="s">
        <v>649</v>
      </c>
      <c r="C6109">
        <v>45892</v>
      </c>
      <c r="J6109">
        <v>0</v>
      </c>
      <c r="O6109" t="s">
        <v>239</v>
      </c>
      <c r="P6109" t="s">
        <v>514</v>
      </c>
      <c r="U6109">
        <v>414.66666666666652</v>
      </c>
      <c r="Y6109">
        <v>1695</v>
      </c>
      <c r="Z6109" s="259" t="s">
        <v>637</v>
      </c>
      <c r="AB6109">
        <v>61087.666666666664</v>
      </c>
      <c r="AF6109">
        <v>235639</v>
      </c>
      <c r="AG6109">
        <v>0</v>
      </c>
      <c r="AI6109">
        <v>235639</v>
      </c>
      <c r="AJ6109">
        <v>0</v>
      </c>
      <c r="AK6109">
        <v>0</v>
      </c>
      <c r="AL6109">
        <v>0</v>
      </c>
      <c r="AM6109">
        <v>176327</v>
      </c>
      <c r="AN6109">
        <v>59312</v>
      </c>
      <c r="AO6109">
        <v>235639</v>
      </c>
      <c r="AP6109">
        <v>0</v>
      </c>
      <c r="AQ6109">
        <v>0</v>
      </c>
      <c r="AR6109">
        <v>0</v>
      </c>
      <c r="AS6109" t="s">
        <v>239</v>
      </c>
      <c r="AT6109" t="s">
        <v>514</v>
      </c>
    </row>
    <row r="6110" spans="2:46" x14ac:dyDescent="0.35">
      <c r="B6110" t="s">
        <v>649</v>
      </c>
      <c r="C6110">
        <v>45893</v>
      </c>
      <c r="J6110">
        <v>0</v>
      </c>
      <c r="O6110" t="s">
        <v>239</v>
      </c>
      <c r="P6110" t="s">
        <v>514</v>
      </c>
      <c r="U6110">
        <v>414.66666666666652</v>
      </c>
      <c r="Y6110">
        <v>1696</v>
      </c>
      <c r="Z6110" s="259" t="s">
        <v>637</v>
      </c>
      <c r="AB6110">
        <v>61087.666666666664</v>
      </c>
      <c r="AF6110">
        <v>235639</v>
      </c>
      <c r="AG6110">
        <v>0</v>
      </c>
      <c r="AI6110">
        <v>235639</v>
      </c>
      <c r="AJ6110">
        <v>0</v>
      </c>
      <c r="AK6110">
        <v>0</v>
      </c>
      <c r="AL6110">
        <v>0</v>
      </c>
      <c r="AM6110">
        <v>176327</v>
      </c>
      <c r="AN6110">
        <v>59312</v>
      </c>
      <c r="AO6110">
        <v>235639</v>
      </c>
      <c r="AP6110">
        <v>0</v>
      </c>
      <c r="AQ6110">
        <v>0</v>
      </c>
      <c r="AR6110">
        <v>0</v>
      </c>
      <c r="AS6110" t="s">
        <v>239</v>
      </c>
      <c r="AT6110" t="s">
        <v>514</v>
      </c>
    </row>
    <row r="6111" spans="2:46" x14ac:dyDescent="0.35">
      <c r="B6111" t="s">
        <v>649</v>
      </c>
      <c r="C6111">
        <v>45894</v>
      </c>
      <c r="J6111">
        <v>0</v>
      </c>
      <c r="O6111" t="s">
        <v>239</v>
      </c>
      <c r="P6111" t="s">
        <v>514</v>
      </c>
      <c r="U6111">
        <v>414.66666666666652</v>
      </c>
      <c r="Y6111">
        <v>1697</v>
      </c>
      <c r="Z6111" s="259" t="s">
        <v>637</v>
      </c>
      <c r="AB6111">
        <v>61087.666666666664</v>
      </c>
      <c r="AF6111">
        <v>235825</v>
      </c>
      <c r="AG6111">
        <v>0</v>
      </c>
      <c r="AI6111">
        <v>235639</v>
      </c>
      <c r="AJ6111">
        <v>0</v>
      </c>
      <c r="AK6111">
        <v>0</v>
      </c>
      <c r="AL6111">
        <v>0</v>
      </c>
      <c r="AM6111">
        <v>176327</v>
      </c>
      <c r="AN6111">
        <v>59498</v>
      </c>
      <c r="AO6111">
        <v>235825</v>
      </c>
      <c r="AP6111">
        <v>0</v>
      </c>
      <c r="AQ6111">
        <v>186</v>
      </c>
      <c r="AR6111">
        <v>7.8934302046773652E-4</v>
      </c>
      <c r="AS6111" t="s">
        <v>239</v>
      </c>
      <c r="AT6111" t="s">
        <v>514</v>
      </c>
    </row>
    <row r="6112" spans="2:46" x14ac:dyDescent="0.35">
      <c r="B6112" t="s">
        <v>649</v>
      </c>
      <c r="C6112">
        <v>45895</v>
      </c>
      <c r="J6112">
        <v>0</v>
      </c>
      <c r="O6112" t="s">
        <v>239</v>
      </c>
      <c r="P6112" t="s">
        <v>514</v>
      </c>
      <c r="U6112">
        <v>414.66666666666652</v>
      </c>
      <c r="Y6112">
        <v>1698</v>
      </c>
      <c r="Z6112" s="259" t="s">
        <v>637</v>
      </c>
      <c r="AB6112">
        <v>61087.666666666664</v>
      </c>
      <c r="AF6112">
        <v>235887.5</v>
      </c>
      <c r="AG6112">
        <v>0</v>
      </c>
      <c r="AI6112">
        <v>235825</v>
      </c>
      <c r="AJ6112">
        <v>0</v>
      </c>
      <c r="AK6112">
        <v>0</v>
      </c>
      <c r="AL6112">
        <v>0</v>
      </c>
      <c r="AM6112">
        <v>176327</v>
      </c>
      <c r="AN6112">
        <v>59560.5</v>
      </c>
      <c r="AO6112">
        <v>235887.5</v>
      </c>
      <c r="AP6112">
        <v>0</v>
      </c>
      <c r="AQ6112">
        <v>62.5</v>
      </c>
      <c r="AR6112">
        <v>2.6502703275732564E-4</v>
      </c>
      <c r="AS6112" t="s">
        <v>239</v>
      </c>
      <c r="AT6112" t="s">
        <v>514</v>
      </c>
    </row>
    <row r="6113" spans="2:46" x14ac:dyDescent="0.35">
      <c r="B6113" t="s">
        <v>649</v>
      </c>
      <c r="C6113">
        <v>45896</v>
      </c>
      <c r="J6113">
        <v>0</v>
      </c>
      <c r="O6113" t="s">
        <v>239</v>
      </c>
      <c r="P6113" t="s">
        <v>514</v>
      </c>
      <c r="U6113">
        <v>414.66666666666652</v>
      </c>
      <c r="Y6113">
        <v>1699</v>
      </c>
      <c r="Z6113" s="259" t="s">
        <v>637</v>
      </c>
      <c r="AB6113">
        <v>61087.666666666664</v>
      </c>
      <c r="AF6113">
        <v>235948.5</v>
      </c>
      <c r="AG6113">
        <v>0</v>
      </c>
      <c r="AI6113">
        <v>235887.5</v>
      </c>
      <c r="AJ6113">
        <v>0</v>
      </c>
      <c r="AK6113">
        <v>0</v>
      </c>
      <c r="AL6113">
        <v>0</v>
      </c>
      <c r="AM6113">
        <v>176327</v>
      </c>
      <c r="AN6113">
        <v>59621.5</v>
      </c>
      <c r="AO6113">
        <v>235948.5</v>
      </c>
      <c r="AP6113">
        <v>0</v>
      </c>
      <c r="AQ6113">
        <v>61</v>
      </c>
      <c r="AR6113">
        <v>2.5859784855075674E-4</v>
      </c>
      <c r="AS6113" t="s">
        <v>239</v>
      </c>
      <c r="AT6113" t="s">
        <v>514</v>
      </c>
    </row>
    <row r="6114" spans="2:46" x14ac:dyDescent="0.35">
      <c r="B6114" t="s">
        <v>649</v>
      </c>
      <c r="C6114">
        <v>45897</v>
      </c>
      <c r="J6114">
        <v>0</v>
      </c>
      <c r="O6114" t="s">
        <v>239</v>
      </c>
      <c r="P6114" t="s">
        <v>514</v>
      </c>
      <c r="U6114">
        <v>414.66666666666652</v>
      </c>
      <c r="Y6114">
        <v>1700</v>
      </c>
      <c r="Z6114" s="259" t="s">
        <v>637</v>
      </c>
      <c r="AB6114">
        <v>61087.666666666664</v>
      </c>
      <c r="AF6114">
        <v>236011</v>
      </c>
      <c r="AG6114">
        <v>0</v>
      </c>
      <c r="AI6114">
        <v>235948.5</v>
      </c>
      <c r="AJ6114">
        <v>0</v>
      </c>
      <c r="AK6114">
        <v>0</v>
      </c>
      <c r="AL6114">
        <v>0</v>
      </c>
      <c r="AM6114">
        <v>176327</v>
      </c>
      <c r="AN6114">
        <v>59684</v>
      </c>
      <c r="AO6114">
        <v>236011</v>
      </c>
      <c r="AP6114">
        <v>0</v>
      </c>
      <c r="AQ6114">
        <v>62.5</v>
      </c>
      <c r="AR6114">
        <v>2.6488831249182887E-4</v>
      </c>
      <c r="AS6114" t="s">
        <v>239</v>
      </c>
      <c r="AT6114" t="s">
        <v>514</v>
      </c>
    </row>
    <row r="6115" spans="2:46" x14ac:dyDescent="0.35">
      <c r="B6115" t="s">
        <v>649</v>
      </c>
      <c r="C6115">
        <v>45898</v>
      </c>
      <c r="J6115">
        <v>0</v>
      </c>
      <c r="O6115" t="s">
        <v>239</v>
      </c>
      <c r="P6115" t="s">
        <v>514</v>
      </c>
      <c r="U6115">
        <v>414.66666666666652</v>
      </c>
      <c r="Y6115">
        <v>1701</v>
      </c>
      <c r="Z6115" s="259" t="s">
        <v>637</v>
      </c>
      <c r="AB6115">
        <v>61087.666666666664</v>
      </c>
      <c r="AF6115">
        <v>236073.5</v>
      </c>
      <c r="AG6115">
        <v>0</v>
      </c>
      <c r="AI6115">
        <v>236011</v>
      </c>
      <c r="AJ6115">
        <v>0</v>
      </c>
      <c r="AK6115">
        <v>0</v>
      </c>
      <c r="AL6115">
        <v>0</v>
      </c>
      <c r="AM6115">
        <v>176327</v>
      </c>
      <c r="AN6115">
        <v>59746.5</v>
      </c>
      <c r="AO6115">
        <v>236073.5</v>
      </c>
      <c r="AP6115">
        <v>0</v>
      </c>
      <c r="AQ6115">
        <v>62.5</v>
      </c>
      <c r="AR6115">
        <v>2.6481816525492086E-4</v>
      </c>
      <c r="AS6115" t="s">
        <v>239</v>
      </c>
      <c r="AT6115" t="s">
        <v>514</v>
      </c>
    </row>
    <row r="6116" spans="2:46" x14ac:dyDescent="0.35">
      <c r="B6116" t="s">
        <v>649</v>
      </c>
      <c r="C6116">
        <v>45899</v>
      </c>
      <c r="J6116">
        <v>0</v>
      </c>
      <c r="O6116" t="s">
        <v>239</v>
      </c>
      <c r="P6116" t="s">
        <v>514</v>
      </c>
      <c r="U6116">
        <v>414.66666666666652</v>
      </c>
      <c r="Y6116">
        <v>1702</v>
      </c>
      <c r="Z6116" s="259" t="s">
        <v>637</v>
      </c>
      <c r="AB6116">
        <v>61087.666666666664</v>
      </c>
      <c r="AF6116">
        <v>236073.5</v>
      </c>
      <c r="AG6116">
        <v>0</v>
      </c>
      <c r="AI6116">
        <v>236073.5</v>
      </c>
      <c r="AJ6116">
        <v>0</v>
      </c>
      <c r="AK6116">
        <v>0</v>
      </c>
      <c r="AL6116">
        <v>0</v>
      </c>
      <c r="AM6116">
        <v>176327</v>
      </c>
      <c r="AN6116">
        <v>59746.5</v>
      </c>
      <c r="AO6116">
        <v>236073.5</v>
      </c>
      <c r="AP6116">
        <v>0</v>
      </c>
      <c r="AQ6116">
        <v>0</v>
      </c>
      <c r="AR6116">
        <v>0</v>
      </c>
      <c r="AS6116" t="s">
        <v>239</v>
      </c>
      <c r="AT6116" t="s">
        <v>514</v>
      </c>
    </row>
    <row r="6117" spans="2:46" x14ac:dyDescent="0.35">
      <c r="B6117" t="s">
        <v>649</v>
      </c>
      <c r="C6117">
        <v>45900</v>
      </c>
      <c r="J6117">
        <v>0</v>
      </c>
      <c r="O6117" t="s">
        <v>239</v>
      </c>
      <c r="P6117" t="s">
        <v>514</v>
      </c>
      <c r="U6117">
        <v>414.66666666666652</v>
      </c>
      <c r="Y6117">
        <v>1703</v>
      </c>
      <c r="Z6117" s="259" t="s">
        <v>637</v>
      </c>
      <c r="AB6117">
        <v>61087.666666666664</v>
      </c>
      <c r="AF6117">
        <v>236073.5</v>
      </c>
      <c r="AG6117">
        <v>0</v>
      </c>
      <c r="AI6117">
        <v>236073.5</v>
      </c>
      <c r="AJ6117">
        <v>0</v>
      </c>
      <c r="AK6117">
        <v>0</v>
      </c>
      <c r="AL6117">
        <v>0</v>
      </c>
      <c r="AM6117">
        <v>176327</v>
      </c>
      <c r="AN6117">
        <v>59746.5</v>
      </c>
      <c r="AO6117">
        <v>236073.5</v>
      </c>
      <c r="AP6117">
        <v>0</v>
      </c>
      <c r="AQ6117">
        <v>0</v>
      </c>
      <c r="AR6117">
        <v>0</v>
      </c>
      <c r="AS6117" t="s">
        <v>239</v>
      </c>
      <c r="AT6117" t="s">
        <v>514</v>
      </c>
    </row>
    <row r="6118" spans="2:46" x14ac:dyDescent="0.35">
      <c r="B6118" t="s">
        <v>649</v>
      </c>
      <c r="C6118">
        <v>45901</v>
      </c>
      <c r="J6118">
        <v>6</v>
      </c>
      <c r="O6118" t="s">
        <v>239</v>
      </c>
      <c r="P6118" t="s">
        <v>514</v>
      </c>
      <c r="U6118">
        <v>345.66666666666652</v>
      </c>
      <c r="Y6118">
        <v>1704</v>
      </c>
      <c r="Z6118" s="259" t="s">
        <v>637</v>
      </c>
      <c r="AB6118">
        <v>58084.666666666664</v>
      </c>
      <c r="AF6118">
        <v>236191</v>
      </c>
      <c r="AG6118">
        <v>450</v>
      </c>
      <c r="AI6118">
        <v>236073.5</v>
      </c>
      <c r="AJ6118">
        <v>0</v>
      </c>
      <c r="AK6118">
        <v>0</v>
      </c>
      <c r="AL6118">
        <v>0</v>
      </c>
      <c r="AM6118">
        <v>179261</v>
      </c>
      <c r="AN6118">
        <v>56480</v>
      </c>
      <c r="AO6118">
        <v>236191</v>
      </c>
      <c r="AP6118">
        <v>450</v>
      </c>
      <c r="AQ6118">
        <v>117.5</v>
      </c>
      <c r="AR6118">
        <v>4.9772634370226498E-4</v>
      </c>
      <c r="AS6118" t="s">
        <v>239</v>
      </c>
      <c r="AT6118" t="s">
        <v>514</v>
      </c>
    </row>
    <row r="6119" spans="2:46" x14ac:dyDescent="0.35">
      <c r="B6119" t="s">
        <v>649</v>
      </c>
      <c r="C6119">
        <v>45902</v>
      </c>
      <c r="J6119">
        <v>0</v>
      </c>
      <c r="O6119" t="s">
        <v>239</v>
      </c>
      <c r="P6119" t="s">
        <v>514</v>
      </c>
      <c r="U6119">
        <v>345.66666666666652</v>
      </c>
      <c r="Y6119">
        <v>1705</v>
      </c>
      <c r="Z6119" s="259" t="s">
        <v>637</v>
      </c>
      <c r="AB6119">
        <v>58084.666666666664</v>
      </c>
      <c r="AF6119">
        <v>236177.9</v>
      </c>
      <c r="AG6119">
        <v>450</v>
      </c>
      <c r="AI6119">
        <v>236191</v>
      </c>
      <c r="AJ6119">
        <v>0</v>
      </c>
      <c r="AK6119">
        <v>0</v>
      </c>
      <c r="AL6119">
        <v>0</v>
      </c>
      <c r="AM6119">
        <v>179261</v>
      </c>
      <c r="AN6119">
        <v>56466.9</v>
      </c>
      <c r="AO6119">
        <v>236177.9</v>
      </c>
      <c r="AP6119">
        <v>0</v>
      </c>
      <c r="AQ6119">
        <v>-13.100000000005821</v>
      </c>
      <c r="AR6119">
        <v>-5.5463586673520915E-5</v>
      </c>
      <c r="AS6119" t="s">
        <v>239</v>
      </c>
      <c r="AT6119" t="s">
        <v>514</v>
      </c>
    </row>
    <row r="6120" spans="2:46" x14ac:dyDescent="0.35">
      <c r="B6120" t="s">
        <v>649</v>
      </c>
      <c r="C6120">
        <v>45903</v>
      </c>
      <c r="J6120">
        <v>0</v>
      </c>
      <c r="O6120" t="s">
        <v>239</v>
      </c>
      <c r="P6120" t="s">
        <v>514</v>
      </c>
      <c r="U6120">
        <v>345.66666666666652</v>
      </c>
      <c r="Y6120">
        <v>1706</v>
      </c>
      <c r="Z6120" s="259" t="s">
        <v>637</v>
      </c>
      <c r="AB6120">
        <v>58084.666666666664</v>
      </c>
      <c r="AF6120">
        <v>236164.8</v>
      </c>
      <c r="AG6120">
        <v>450</v>
      </c>
      <c r="AI6120">
        <v>236177.9</v>
      </c>
      <c r="AJ6120">
        <v>0</v>
      </c>
      <c r="AK6120">
        <v>0</v>
      </c>
      <c r="AL6120">
        <v>0</v>
      </c>
      <c r="AM6120">
        <v>179261</v>
      </c>
      <c r="AN6120">
        <v>56453.8</v>
      </c>
      <c r="AO6120">
        <v>236164.8</v>
      </c>
      <c r="AP6120">
        <v>0</v>
      </c>
      <c r="AQ6120">
        <v>-13.100000000005821</v>
      </c>
      <c r="AR6120">
        <v>-5.5466663053560517E-5</v>
      </c>
      <c r="AS6120" t="s">
        <v>239</v>
      </c>
      <c r="AT6120" t="s">
        <v>514</v>
      </c>
    </row>
    <row r="6121" spans="2:46" x14ac:dyDescent="0.35">
      <c r="B6121" t="s">
        <v>649</v>
      </c>
      <c r="C6121">
        <v>45904</v>
      </c>
      <c r="J6121">
        <v>0</v>
      </c>
      <c r="O6121" t="s">
        <v>239</v>
      </c>
      <c r="P6121" t="s">
        <v>514</v>
      </c>
      <c r="U6121">
        <v>345.66666666666652</v>
      </c>
      <c r="Y6121">
        <v>1707</v>
      </c>
      <c r="Z6121" s="259" t="s">
        <v>637</v>
      </c>
      <c r="AB6121">
        <v>58084.666666666664</v>
      </c>
      <c r="AF6121">
        <v>236156.4</v>
      </c>
      <c r="AG6121">
        <v>450</v>
      </c>
      <c r="AI6121">
        <v>236164.8</v>
      </c>
      <c r="AJ6121">
        <v>0</v>
      </c>
      <c r="AK6121">
        <v>0</v>
      </c>
      <c r="AL6121">
        <v>0</v>
      </c>
      <c r="AM6121">
        <v>179261</v>
      </c>
      <c r="AN6121">
        <v>56445.4</v>
      </c>
      <c r="AO6121">
        <v>236156.4</v>
      </c>
      <c r="AP6121">
        <v>0</v>
      </c>
      <c r="AQ6121">
        <v>-8.3999999999941792</v>
      </c>
      <c r="AR6121">
        <v>-3.5568382756423489E-5</v>
      </c>
      <c r="AS6121" t="s">
        <v>239</v>
      </c>
      <c r="AT6121" t="s">
        <v>514</v>
      </c>
    </row>
    <row r="6122" spans="2:46" x14ac:dyDescent="0.35">
      <c r="B6122" t="s">
        <v>649</v>
      </c>
      <c r="C6122">
        <v>45905</v>
      </c>
      <c r="J6122">
        <v>0</v>
      </c>
      <c r="O6122" t="s">
        <v>239</v>
      </c>
      <c r="P6122" t="s">
        <v>514</v>
      </c>
      <c r="U6122">
        <v>345.66666666666652</v>
      </c>
      <c r="Y6122">
        <v>1708</v>
      </c>
      <c r="Z6122" s="259" t="s">
        <v>637</v>
      </c>
      <c r="AB6122">
        <v>58084.666666666664</v>
      </c>
      <c r="AF6122">
        <v>236143.3</v>
      </c>
      <c r="AG6122">
        <v>450</v>
      </c>
      <c r="AI6122">
        <v>236156.4</v>
      </c>
      <c r="AJ6122">
        <v>0</v>
      </c>
      <c r="AK6122">
        <v>0</v>
      </c>
      <c r="AL6122">
        <v>0</v>
      </c>
      <c r="AM6122">
        <v>179261</v>
      </c>
      <c r="AN6122">
        <v>56432.3</v>
      </c>
      <c r="AO6122">
        <v>236143.3</v>
      </c>
      <c r="AP6122">
        <v>0</v>
      </c>
      <c r="AQ6122">
        <v>-13.100000000005821</v>
      </c>
      <c r="AR6122">
        <v>-5.547171281405916E-5</v>
      </c>
      <c r="AS6122" t="s">
        <v>239</v>
      </c>
      <c r="AT6122" t="s">
        <v>514</v>
      </c>
    </row>
    <row r="6123" spans="2:46" x14ac:dyDescent="0.35">
      <c r="B6123" t="s">
        <v>649</v>
      </c>
      <c r="C6123">
        <v>45906</v>
      </c>
      <c r="J6123">
        <v>0</v>
      </c>
      <c r="O6123" t="s">
        <v>239</v>
      </c>
      <c r="P6123" t="s">
        <v>514</v>
      </c>
      <c r="U6123">
        <v>345.66666666666652</v>
      </c>
      <c r="Y6123">
        <v>1709</v>
      </c>
      <c r="Z6123" s="259" t="s">
        <v>637</v>
      </c>
      <c r="AB6123">
        <v>58084.666666666664</v>
      </c>
      <c r="AF6123">
        <v>236143.3</v>
      </c>
      <c r="AG6123">
        <v>450</v>
      </c>
      <c r="AI6123">
        <v>236143.3</v>
      </c>
      <c r="AJ6123">
        <v>0</v>
      </c>
      <c r="AK6123">
        <v>0</v>
      </c>
      <c r="AL6123">
        <v>0</v>
      </c>
      <c r="AM6123">
        <v>179261</v>
      </c>
      <c r="AN6123">
        <v>56432.3</v>
      </c>
      <c r="AO6123">
        <v>236143.3</v>
      </c>
      <c r="AP6123">
        <v>0</v>
      </c>
      <c r="AQ6123">
        <v>0</v>
      </c>
      <c r="AR6123">
        <v>0</v>
      </c>
      <c r="AS6123" t="s">
        <v>239</v>
      </c>
      <c r="AT6123" t="s">
        <v>514</v>
      </c>
    </row>
    <row r="6124" spans="2:46" x14ac:dyDescent="0.35">
      <c r="B6124" t="s">
        <v>649</v>
      </c>
      <c r="C6124">
        <v>45907</v>
      </c>
      <c r="J6124">
        <v>0</v>
      </c>
      <c r="O6124" t="s">
        <v>239</v>
      </c>
      <c r="P6124" t="s">
        <v>514</v>
      </c>
      <c r="U6124">
        <v>345.66666666666652</v>
      </c>
      <c r="Y6124">
        <v>1710</v>
      </c>
      <c r="Z6124" s="259" t="s">
        <v>637</v>
      </c>
      <c r="AB6124">
        <v>58084.666666666664</v>
      </c>
      <c r="AF6124">
        <v>236143.3</v>
      </c>
      <c r="AG6124">
        <v>450</v>
      </c>
      <c r="AI6124">
        <v>236143.3</v>
      </c>
      <c r="AJ6124">
        <v>0</v>
      </c>
      <c r="AK6124">
        <v>0</v>
      </c>
      <c r="AL6124">
        <v>0</v>
      </c>
      <c r="AM6124">
        <v>179261</v>
      </c>
      <c r="AN6124">
        <v>56432.3</v>
      </c>
      <c r="AO6124">
        <v>236143.3</v>
      </c>
      <c r="AP6124">
        <v>0</v>
      </c>
      <c r="AQ6124">
        <v>0</v>
      </c>
      <c r="AR6124">
        <v>0</v>
      </c>
      <c r="AS6124" t="s">
        <v>239</v>
      </c>
      <c r="AT6124" t="s">
        <v>514</v>
      </c>
    </row>
    <row r="6125" spans="2:46" x14ac:dyDescent="0.35">
      <c r="B6125" t="s">
        <v>649</v>
      </c>
      <c r="C6125">
        <v>45908</v>
      </c>
      <c r="J6125">
        <v>0</v>
      </c>
      <c r="O6125" t="s">
        <v>239</v>
      </c>
      <c r="P6125" t="s">
        <v>514</v>
      </c>
      <c r="U6125">
        <v>345.66666666666652</v>
      </c>
      <c r="Y6125">
        <v>1711</v>
      </c>
      <c r="Z6125" s="259" t="s">
        <v>637</v>
      </c>
      <c r="AB6125">
        <v>58084.666666666664</v>
      </c>
      <c r="AF6125">
        <v>236107.2</v>
      </c>
      <c r="AG6125">
        <v>450</v>
      </c>
      <c r="AI6125">
        <v>236143.3</v>
      </c>
      <c r="AJ6125">
        <v>0</v>
      </c>
      <c r="AK6125">
        <v>0</v>
      </c>
      <c r="AL6125">
        <v>0</v>
      </c>
      <c r="AM6125">
        <v>179261</v>
      </c>
      <c r="AN6125">
        <v>56396.2</v>
      </c>
      <c r="AO6125">
        <v>236107.2</v>
      </c>
      <c r="AP6125">
        <v>0</v>
      </c>
      <c r="AQ6125">
        <v>-36.099999999976717</v>
      </c>
      <c r="AR6125">
        <v>-1.5287327652313554E-4</v>
      </c>
      <c r="AS6125" t="s">
        <v>239</v>
      </c>
      <c r="AT6125" t="s">
        <v>514</v>
      </c>
    </row>
    <row r="6126" spans="2:46" x14ac:dyDescent="0.35">
      <c r="B6126" t="s">
        <v>649</v>
      </c>
      <c r="C6126">
        <v>45909</v>
      </c>
      <c r="J6126">
        <v>0</v>
      </c>
      <c r="O6126" t="s">
        <v>239</v>
      </c>
      <c r="P6126" t="s">
        <v>514</v>
      </c>
      <c r="U6126">
        <v>345.66666666666652</v>
      </c>
      <c r="Y6126">
        <v>1712</v>
      </c>
      <c r="Z6126" s="259" t="s">
        <v>637</v>
      </c>
      <c r="AB6126">
        <v>58084.666666666664</v>
      </c>
      <c r="AF6126">
        <v>236095.6</v>
      </c>
      <c r="AG6126">
        <v>450</v>
      </c>
      <c r="AI6126">
        <v>236107.2</v>
      </c>
      <c r="AJ6126">
        <v>0</v>
      </c>
      <c r="AK6126">
        <v>0</v>
      </c>
      <c r="AL6126">
        <v>0</v>
      </c>
      <c r="AM6126">
        <v>179261</v>
      </c>
      <c r="AN6126">
        <v>56384.6</v>
      </c>
      <c r="AO6126">
        <v>236095.6</v>
      </c>
      <c r="AP6126">
        <v>0</v>
      </c>
      <c r="AQ6126">
        <v>-11.600000000005821</v>
      </c>
      <c r="AR6126">
        <v>-4.9130225592497467E-5</v>
      </c>
      <c r="AS6126" t="s">
        <v>239</v>
      </c>
      <c r="AT6126" t="s">
        <v>514</v>
      </c>
    </row>
    <row r="6127" spans="2:46" x14ac:dyDescent="0.35">
      <c r="B6127" t="s">
        <v>649</v>
      </c>
      <c r="C6127">
        <v>45910</v>
      </c>
      <c r="J6127">
        <v>5</v>
      </c>
      <c r="O6127" t="s">
        <v>239</v>
      </c>
      <c r="P6127" t="s">
        <v>514</v>
      </c>
      <c r="U6127">
        <v>36.666666666666515</v>
      </c>
      <c r="Y6127">
        <v>1713</v>
      </c>
      <c r="Z6127" s="259" t="s">
        <v>637</v>
      </c>
      <c r="AB6127">
        <v>54080.666666666664</v>
      </c>
      <c r="AF6127">
        <v>236113.3</v>
      </c>
      <c r="AG6127">
        <v>450</v>
      </c>
      <c r="AI6127">
        <v>236095.6</v>
      </c>
      <c r="AJ6127">
        <v>0</v>
      </c>
      <c r="AK6127">
        <v>0</v>
      </c>
      <c r="AL6127">
        <v>0</v>
      </c>
      <c r="AM6127">
        <v>182956</v>
      </c>
      <c r="AN6127">
        <v>52707.3</v>
      </c>
      <c r="AO6127">
        <v>236113.3</v>
      </c>
      <c r="AP6127">
        <v>0</v>
      </c>
      <c r="AQ6127">
        <v>17.699999999982538</v>
      </c>
      <c r="AR6127">
        <v>7.4969630946108978E-5</v>
      </c>
      <c r="AS6127" t="s">
        <v>239</v>
      </c>
      <c r="AT6127" t="s">
        <v>514</v>
      </c>
    </row>
    <row r="6128" spans="2:46" x14ac:dyDescent="0.35">
      <c r="B6128" t="s">
        <v>649</v>
      </c>
      <c r="C6128">
        <v>45911</v>
      </c>
      <c r="J6128">
        <v>0</v>
      </c>
      <c r="O6128" t="s">
        <v>239</v>
      </c>
      <c r="P6128" t="s">
        <v>514</v>
      </c>
      <c r="U6128">
        <v>36.666666666666515</v>
      </c>
      <c r="Y6128">
        <v>1714</v>
      </c>
      <c r="Z6128" s="259" t="s">
        <v>637</v>
      </c>
      <c r="AB6128">
        <v>54080.666666666664</v>
      </c>
      <c r="AF6128">
        <v>236106.4</v>
      </c>
      <c r="AG6128">
        <v>450</v>
      </c>
      <c r="AI6128">
        <v>236113.3</v>
      </c>
      <c r="AJ6128">
        <v>0</v>
      </c>
      <c r="AK6128">
        <v>0</v>
      </c>
      <c r="AL6128">
        <v>0</v>
      </c>
      <c r="AM6128">
        <v>182956</v>
      </c>
      <c r="AN6128">
        <v>52700.4</v>
      </c>
      <c r="AO6128">
        <v>236106.4</v>
      </c>
      <c r="AP6128">
        <v>0</v>
      </c>
      <c r="AQ6128">
        <v>-6.8999999999941792</v>
      </c>
      <c r="AR6128">
        <v>-2.9223258494970317E-5</v>
      </c>
      <c r="AS6128" t="s">
        <v>239</v>
      </c>
      <c r="AT6128" t="s">
        <v>514</v>
      </c>
    </row>
    <row r="6129" spans="2:46" x14ac:dyDescent="0.35">
      <c r="B6129" t="s">
        <v>649</v>
      </c>
      <c r="C6129">
        <v>45912</v>
      </c>
      <c r="J6129">
        <v>0</v>
      </c>
      <c r="O6129" t="s">
        <v>239</v>
      </c>
      <c r="P6129" t="s">
        <v>514</v>
      </c>
      <c r="U6129">
        <v>36.666666666666515</v>
      </c>
      <c r="Y6129">
        <v>1715</v>
      </c>
      <c r="Z6129" s="259" t="s">
        <v>637</v>
      </c>
      <c r="AB6129">
        <v>54080.666666666664</v>
      </c>
      <c r="AF6129">
        <v>236102.7</v>
      </c>
      <c r="AG6129">
        <v>450</v>
      </c>
      <c r="AI6129">
        <v>236106.4</v>
      </c>
      <c r="AJ6129">
        <v>0</v>
      </c>
      <c r="AK6129">
        <v>0</v>
      </c>
      <c r="AL6129">
        <v>0</v>
      </c>
      <c r="AM6129">
        <v>182956</v>
      </c>
      <c r="AN6129">
        <v>52696.7</v>
      </c>
      <c r="AO6129">
        <v>236102.7</v>
      </c>
      <c r="AP6129">
        <v>0</v>
      </c>
      <c r="AQ6129">
        <v>-3.6999999999825377</v>
      </c>
      <c r="AR6129">
        <v>-1.5670900915809582E-5</v>
      </c>
      <c r="AS6129" t="s">
        <v>239</v>
      </c>
      <c r="AT6129" t="s">
        <v>514</v>
      </c>
    </row>
    <row r="6130" spans="2:46" x14ac:dyDescent="0.35">
      <c r="B6130" t="s">
        <v>649</v>
      </c>
      <c r="C6130">
        <v>45913</v>
      </c>
      <c r="J6130">
        <v>0</v>
      </c>
      <c r="O6130" t="s">
        <v>239</v>
      </c>
      <c r="P6130" t="s">
        <v>514</v>
      </c>
      <c r="U6130">
        <v>36.666666666666515</v>
      </c>
      <c r="Y6130">
        <v>1716</v>
      </c>
      <c r="Z6130" s="259" t="s">
        <v>637</v>
      </c>
      <c r="AB6130">
        <v>54080.666666666664</v>
      </c>
      <c r="AF6130">
        <v>236102.7</v>
      </c>
      <c r="AG6130">
        <v>450</v>
      </c>
      <c r="AI6130">
        <v>236102.7</v>
      </c>
      <c r="AJ6130">
        <v>0</v>
      </c>
      <c r="AK6130">
        <v>0</v>
      </c>
      <c r="AL6130">
        <v>0</v>
      </c>
      <c r="AM6130">
        <v>182956</v>
      </c>
      <c r="AN6130">
        <v>52696.7</v>
      </c>
      <c r="AO6130">
        <v>236102.7</v>
      </c>
      <c r="AP6130">
        <v>0</v>
      </c>
      <c r="AQ6130">
        <v>0</v>
      </c>
      <c r="AR6130">
        <v>0</v>
      </c>
      <c r="AS6130" t="s">
        <v>239</v>
      </c>
      <c r="AT6130" t="s">
        <v>514</v>
      </c>
    </row>
    <row r="6131" spans="2:46" x14ac:dyDescent="0.35">
      <c r="B6131" t="s">
        <v>649</v>
      </c>
      <c r="C6131">
        <v>45914</v>
      </c>
      <c r="J6131">
        <v>0</v>
      </c>
      <c r="O6131" t="s">
        <v>239</v>
      </c>
      <c r="P6131" t="s">
        <v>514</v>
      </c>
      <c r="U6131">
        <v>36.666666666666515</v>
      </c>
      <c r="Y6131">
        <v>1717</v>
      </c>
      <c r="Z6131" s="259" t="s">
        <v>637</v>
      </c>
      <c r="AB6131">
        <v>54080.666666666664</v>
      </c>
      <c r="AF6131">
        <v>236102.7</v>
      </c>
      <c r="AG6131">
        <v>450</v>
      </c>
      <c r="AI6131">
        <v>236102.7</v>
      </c>
      <c r="AJ6131">
        <v>0</v>
      </c>
      <c r="AK6131">
        <v>0</v>
      </c>
      <c r="AL6131">
        <v>0</v>
      </c>
      <c r="AM6131">
        <v>182956</v>
      </c>
      <c r="AN6131">
        <v>52696.7</v>
      </c>
      <c r="AO6131">
        <v>236102.7</v>
      </c>
      <c r="AP6131">
        <v>0</v>
      </c>
      <c r="AQ6131">
        <v>0</v>
      </c>
      <c r="AR6131">
        <v>0</v>
      </c>
      <c r="AS6131" t="s">
        <v>239</v>
      </c>
      <c r="AT6131" t="s">
        <v>514</v>
      </c>
    </row>
    <row r="6132" spans="2:46" x14ac:dyDescent="0.35">
      <c r="B6132" t="s">
        <v>649</v>
      </c>
      <c r="C6132">
        <v>45915</v>
      </c>
      <c r="J6132">
        <v>0</v>
      </c>
      <c r="O6132" t="s">
        <v>239</v>
      </c>
      <c r="P6132" t="s">
        <v>514</v>
      </c>
      <c r="U6132">
        <v>36.666666666666515</v>
      </c>
      <c r="Y6132">
        <v>1718</v>
      </c>
      <c r="Z6132" s="259" t="s">
        <v>637</v>
      </c>
      <c r="AB6132">
        <v>54080.666666666664</v>
      </c>
      <c r="AF6132">
        <v>236083.5</v>
      </c>
      <c r="AG6132">
        <v>0</v>
      </c>
      <c r="AI6132">
        <v>236102.7</v>
      </c>
      <c r="AJ6132">
        <v>0</v>
      </c>
      <c r="AK6132">
        <v>0</v>
      </c>
      <c r="AL6132">
        <v>0</v>
      </c>
      <c r="AM6132">
        <v>183406</v>
      </c>
      <c r="AN6132">
        <v>52677.5</v>
      </c>
      <c r="AO6132">
        <v>236083.5</v>
      </c>
      <c r="AP6132">
        <v>0</v>
      </c>
      <c r="AQ6132">
        <v>-19.200000000011642</v>
      </c>
      <c r="AR6132">
        <v>-8.1320543983687266E-5</v>
      </c>
      <c r="AS6132" t="s">
        <v>239</v>
      </c>
      <c r="AT6132" t="s">
        <v>514</v>
      </c>
    </row>
    <row r="6133" spans="2:46" x14ac:dyDescent="0.35">
      <c r="B6133" t="s">
        <v>649</v>
      </c>
      <c r="C6133">
        <v>45916</v>
      </c>
      <c r="J6133">
        <v>0</v>
      </c>
      <c r="O6133" t="s">
        <v>239</v>
      </c>
      <c r="P6133" t="s">
        <v>514</v>
      </c>
      <c r="U6133">
        <v>36.666666666666515</v>
      </c>
      <c r="Y6133">
        <v>1719</v>
      </c>
      <c r="Z6133" s="259" t="s">
        <v>637</v>
      </c>
      <c r="AB6133">
        <v>54080.666666666664</v>
      </c>
      <c r="AF6133">
        <v>236078.5</v>
      </c>
      <c r="AG6133">
        <v>0</v>
      </c>
      <c r="AI6133">
        <v>236083.5</v>
      </c>
      <c r="AJ6133">
        <v>0</v>
      </c>
      <c r="AK6133">
        <v>0</v>
      </c>
      <c r="AL6133">
        <v>0</v>
      </c>
      <c r="AM6133">
        <v>183406</v>
      </c>
      <c r="AN6133">
        <v>52672.5</v>
      </c>
      <c r="AO6133">
        <v>236078.5</v>
      </c>
      <c r="AP6133">
        <v>0</v>
      </c>
      <c r="AQ6133">
        <v>-5</v>
      </c>
      <c r="AR6133">
        <v>-2.1178947279265614E-5</v>
      </c>
      <c r="AS6133" t="s">
        <v>239</v>
      </c>
      <c r="AT6133" t="s">
        <v>514</v>
      </c>
    </row>
    <row r="6134" spans="2:46" x14ac:dyDescent="0.35">
      <c r="B6134" t="s">
        <v>649</v>
      </c>
      <c r="C6134">
        <v>45917</v>
      </c>
      <c r="J6134">
        <v>0</v>
      </c>
      <c r="O6134" t="s">
        <v>239</v>
      </c>
      <c r="P6134" t="s">
        <v>514</v>
      </c>
      <c r="U6134">
        <v>36.666666666666515</v>
      </c>
      <c r="Y6134">
        <v>1720</v>
      </c>
      <c r="Z6134" s="259" t="s">
        <v>637</v>
      </c>
      <c r="AB6134">
        <v>54080.666666666664</v>
      </c>
      <c r="AF6134">
        <v>236071.6</v>
      </c>
      <c r="AG6134">
        <v>0</v>
      </c>
      <c r="AI6134">
        <v>236078.5</v>
      </c>
      <c r="AJ6134">
        <v>0</v>
      </c>
      <c r="AK6134">
        <v>0</v>
      </c>
      <c r="AL6134">
        <v>0</v>
      </c>
      <c r="AM6134">
        <v>183406</v>
      </c>
      <c r="AN6134">
        <v>52665.599999999999</v>
      </c>
      <c r="AO6134">
        <v>236071.6</v>
      </c>
      <c r="AP6134">
        <v>0</v>
      </c>
      <c r="AQ6134">
        <v>-6.8999999999941792</v>
      </c>
      <c r="AR6134">
        <v>-2.9227566254452775E-5</v>
      </c>
      <c r="AS6134" t="s">
        <v>239</v>
      </c>
      <c r="AT6134" t="s">
        <v>514</v>
      </c>
    </row>
    <row r="6135" spans="2:46" x14ac:dyDescent="0.35">
      <c r="B6135" t="s">
        <v>649</v>
      </c>
      <c r="C6135">
        <v>45918</v>
      </c>
      <c r="J6135">
        <v>0</v>
      </c>
      <c r="O6135" t="s">
        <v>239</v>
      </c>
      <c r="P6135" t="s">
        <v>514</v>
      </c>
      <c r="U6135">
        <v>36.666666666666515</v>
      </c>
      <c r="Y6135">
        <v>1721</v>
      </c>
      <c r="Z6135" s="259" t="s">
        <v>637</v>
      </c>
      <c r="AB6135">
        <v>54080.666666666664</v>
      </c>
      <c r="AF6135">
        <v>236066.2</v>
      </c>
      <c r="AG6135">
        <v>0</v>
      </c>
      <c r="AI6135">
        <v>236071.6</v>
      </c>
      <c r="AJ6135">
        <v>0</v>
      </c>
      <c r="AK6135">
        <v>0</v>
      </c>
      <c r="AL6135">
        <v>0</v>
      </c>
      <c r="AM6135">
        <v>183406</v>
      </c>
      <c r="AN6135">
        <v>52660.2</v>
      </c>
      <c r="AO6135">
        <v>236066.2</v>
      </c>
      <c r="AP6135">
        <v>0</v>
      </c>
      <c r="AQ6135">
        <v>-5.3999999999941792</v>
      </c>
      <c r="AR6135">
        <v>-2.287441606696472E-5</v>
      </c>
      <c r="AS6135" t="s">
        <v>239</v>
      </c>
      <c r="AT6135" t="s">
        <v>514</v>
      </c>
    </row>
    <row r="6136" spans="2:46" x14ac:dyDescent="0.35">
      <c r="B6136" t="s">
        <v>649</v>
      </c>
      <c r="C6136">
        <v>45919</v>
      </c>
      <c r="J6136">
        <v>0</v>
      </c>
      <c r="O6136" t="s">
        <v>239</v>
      </c>
      <c r="P6136" t="s">
        <v>514</v>
      </c>
      <c r="U6136">
        <v>36.666666666666515</v>
      </c>
      <c r="Y6136">
        <v>1722</v>
      </c>
      <c r="Z6136" s="259" t="s">
        <v>637</v>
      </c>
      <c r="AB6136">
        <v>54080.666666666664</v>
      </c>
      <c r="AF6136">
        <v>236059.3</v>
      </c>
      <c r="AG6136">
        <v>0</v>
      </c>
      <c r="AI6136">
        <v>236066.2</v>
      </c>
      <c r="AJ6136">
        <v>0</v>
      </c>
      <c r="AK6136">
        <v>0</v>
      </c>
      <c r="AL6136">
        <v>0</v>
      </c>
      <c r="AM6136">
        <v>183406</v>
      </c>
      <c r="AN6136">
        <v>52653.3</v>
      </c>
      <c r="AO6136">
        <v>236059.3</v>
      </c>
      <c r="AP6136">
        <v>0</v>
      </c>
      <c r="AQ6136">
        <v>-6.9000000000232831</v>
      </c>
      <c r="AR6136">
        <v>-2.9229089128501862E-5</v>
      </c>
      <c r="AS6136" t="s">
        <v>239</v>
      </c>
      <c r="AT6136" t="s">
        <v>514</v>
      </c>
    </row>
    <row r="6137" spans="2:46" x14ac:dyDescent="0.35">
      <c r="B6137" t="s">
        <v>649</v>
      </c>
      <c r="C6137">
        <v>45920</v>
      </c>
      <c r="J6137">
        <v>0</v>
      </c>
      <c r="O6137" t="s">
        <v>239</v>
      </c>
      <c r="P6137" t="s">
        <v>514</v>
      </c>
      <c r="U6137">
        <v>36.666666666666515</v>
      </c>
      <c r="Y6137">
        <v>1723</v>
      </c>
      <c r="Z6137" s="259" t="s">
        <v>637</v>
      </c>
      <c r="AB6137">
        <v>54080.666666666664</v>
      </c>
      <c r="AF6137">
        <v>236059.3</v>
      </c>
      <c r="AG6137">
        <v>0</v>
      </c>
      <c r="AI6137">
        <v>236059.3</v>
      </c>
      <c r="AJ6137">
        <v>0</v>
      </c>
      <c r="AK6137">
        <v>0</v>
      </c>
      <c r="AL6137">
        <v>0</v>
      </c>
      <c r="AM6137">
        <v>183406</v>
      </c>
      <c r="AN6137">
        <v>52653.3</v>
      </c>
      <c r="AO6137">
        <v>236059.3</v>
      </c>
      <c r="AP6137">
        <v>0</v>
      </c>
      <c r="AQ6137">
        <v>0</v>
      </c>
      <c r="AR6137">
        <v>0</v>
      </c>
      <c r="AS6137" t="s">
        <v>239</v>
      </c>
      <c r="AT6137" t="s">
        <v>514</v>
      </c>
    </row>
    <row r="6138" spans="2:46" x14ac:dyDescent="0.35">
      <c r="B6138" t="s">
        <v>649</v>
      </c>
      <c r="C6138">
        <v>45921</v>
      </c>
      <c r="J6138">
        <v>0</v>
      </c>
      <c r="O6138" t="s">
        <v>239</v>
      </c>
      <c r="P6138" t="s">
        <v>514</v>
      </c>
      <c r="U6138">
        <v>36.666666666666515</v>
      </c>
      <c r="Y6138">
        <v>1724</v>
      </c>
      <c r="Z6138" s="259" t="s">
        <v>637</v>
      </c>
      <c r="AB6138">
        <v>54080.666666666664</v>
      </c>
      <c r="AF6138">
        <v>236059.3</v>
      </c>
      <c r="AG6138">
        <v>0</v>
      </c>
      <c r="AI6138">
        <v>236059.3</v>
      </c>
      <c r="AJ6138">
        <v>0</v>
      </c>
      <c r="AK6138">
        <v>0</v>
      </c>
      <c r="AL6138">
        <v>0</v>
      </c>
      <c r="AM6138">
        <v>183406</v>
      </c>
      <c r="AN6138">
        <v>52653.3</v>
      </c>
      <c r="AO6138">
        <v>236059.3</v>
      </c>
      <c r="AP6138">
        <v>0</v>
      </c>
      <c r="AQ6138">
        <v>0</v>
      </c>
      <c r="AR6138">
        <v>0</v>
      </c>
      <c r="AS6138" t="s">
        <v>239</v>
      </c>
      <c r="AT6138" t="s">
        <v>514</v>
      </c>
    </row>
    <row r="6139" spans="2:46" x14ac:dyDescent="0.35">
      <c r="B6139" t="s">
        <v>649</v>
      </c>
      <c r="C6139">
        <v>45922</v>
      </c>
      <c r="J6139">
        <v>0</v>
      </c>
      <c r="O6139" t="s">
        <v>239</v>
      </c>
      <c r="P6139" t="s">
        <v>514</v>
      </c>
      <c r="U6139">
        <v>36.666666666666515</v>
      </c>
      <c r="Y6139">
        <v>1725</v>
      </c>
      <c r="Z6139" s="259" t="s">
        <v>637</v>
      </c>
      <c r="AB6139">
        <v>54080.666666666664</v>
      </c>
      <c r="AF6139">
        <v>236041.8</v>
      </c>
      <c r="AG6139">
        <v>0</v>
      </c>
      <c r="AI6139">
        <v>236059.3</v>
      </c>
      <c r="AJ6139">
        <v>0</v>
      </c>
      <c r="AK6139">
        <v>0</v>
      </c>
      <c r="AL6139">
        <v>0</v>
      </c>
      <c r="AM6139">
        <v>183406</v>
      </c>
      <c r="AN6139">
        <v>52635.8</v>
      </c>
      <c r="AO6139">
        <v>236041.8</v>
      </c>
      <c r="AP6139">
        <v>0</v>
      </c>
      <c r="AQ6139">
        <v>-17.5</v>
      </c>
      <c r="AR6139">
        <v>-7.4133914656160371E-5</v>
      </c>
      <c r="AS6139" t="s">
        <v>239</v>
      </c>
      <c r="AT6139" t="s">
        <v>514</v>
      </c>
    </row>
    <row r="6140" spans="2:46" x14ac:dyDescent="0.35">
      <c r="B6140" t="s">
        <v>649</v>
      </c>
      <c r="C6140">
        <v>45923</v>
      </c>
      <c r="J6140">
        <v>0</v>
      </c>
      <c r="O6140" t="s">
        <v>239</v>
      </c>
      <c r="P6140" t="s">
        <v>514</v>
      </c>
      <c r="U6140">
        <v>36.666666666666515</v>
      </c>
      <c r="Y6140">
        <v>1726</v>
      </c>
      <c r="Z6140" s="259" t="s">
        <v>637</v>
      </c>
      <c r="AB6140">
        <v>54080.666666666664</v>
      </c>
      <c r="AF6140">
        <v>236036.4</v>
      </c>
      <c r="AG6140">
        <v>0</v>
      </c>
      <c r="AI6140">
        <v>236041.8</v>
      </c>
      <c r="AJ6140">
        <v>0</v>
      </c>
      <c r="AK6140">
        <v>0</v>
      </c>
      <c r="AL6140">
        <v>0</v>
      </c>
      <c r="AM6140">
        <v>183406</v>
      </c>
      <c r="AN6140">
        <v>52630.399999999994</v>
      </c>
      <c r="AO6140">
        <v>236036.4</v>
      </c>
      <c r="AP6140">
        <v>0</v>
      </c>
      <c r="AQ6140">
        <v>-5.3999999999941792</v>
      </c>
      <c r="AR6140">
        <v>-2.2877303935131543E-5</v>
      </c>
      <c r="AS6140" t="s">
        <v>239</v>
      </c>
      <c r="AT6140" t="s">
        <v>514</v>
      </c>
    </row>
    <row r="6141" spans="2:46" x14ac:dyDescent="0.35">
      <c r="B6141" t="s">
        <v>649</v>
      </c>
      <c r="C6141">
        <v>45924</v>
      </c>
      <c r="J6141">
        <v>0</v>
      </c>
      <c r="O6141" t="s">
        <v>239</v>
      </c>
      <c r="P6141" t="s">
        <v>514</v>
      </c>
      <c r="U6141">
        <v>36.666666666666515</v>
      </c>
      <c r="Y6141">
        <v>1727</v>
      </c>
      <c r="Z6141" s="259" t="s">
        <v>637</v>
      </c>
      <c r="AB6141">
        <v>54080.666666666664</v>
      </c>
      <c r="AF6141">
        <v>236032.7</v>
      </c>
      <c r="AG6141">
        <v>0</v>
      </c>
      <c r="AI6141">
        <v>236036.4</v>
      </c>
      <c r="AJ6141">
        <v>0</v>
      </c>
      <c r="AK6141">
        <v>0</v>
      </c>
      <c r="AL6141">
        <v>0</v>
      </c>
      <c r="AM6141">
        <v>183406</v>
      </c>
      <c r="AN6141">
        <v>52626.7</v>
      </c>
      <c r="AO6141">
        <v>236032.7</v>
      </c>
      <c r="AP6141">
        <v>0</v>
      </c>
      <c r="AQ6141">
        <v>-3.6999999999825377</v>
      </c>
      <c r="AR6141">
        <v>-1.5675548347582335E-5</v>
      </c>
      <c r="AS6141" t="s">
        <v>239</v>
      </c>
      <c r="AT6141" t="s">
        <v>514</v>
      </c>
    </row>
    <row r="6142" spans="2:46" x14ac:dyDescent="0.35">
      <c r="B6142" t="s">
        <v>649</v>
      </c>
      <c r="C6142">
        <v>45925</v>
      </c>
      <c r="J6142">
        <v>0</v>
      </c>
      <c r="O6142" t="s">
        <v>239</v>
      </c>
      <c r="P6142" t="s">
        <v>514</v>
      </c>
      <c r="U6142">
        <v>36.666666666666515</v>
      </c>
      <c r="Y6142">
        <v>1728</v>
      </c>
      <c r="Z6142" s="259" t="s">
        <v>637</v>
      </c>
      <c r="AB6142">
        <v>54080.666666666664</v>
      </c>
      <c r="AF6142">
        <v>236025.8</v>
      </c>
      <c r="AG6142">
        <v>0</v>
      </c>
      <c r="AI6142">
        <v>236032.7</v>
      </c>
      <c r="AJ6142">
        <v>0</v>
      </c>
      <c r="AK6142">
        <v>0</v>
      </c>
      <c r="AL6142">
        <v>0</v>
      </c>
      <c r="AM6142">
        <v>183406</v>
      </c>
      <c r="AN6142">
        <v>52619.8</v>
      </c>
      <c r="AO6142">
        <v>236025.8</v>
      </c>
      <c r="AP6142">
        <v>0</v>
      </c>
      <c r="AQ6142">
        <v>-6.9000000000232831</v>
      </c>
      <c r="AR6142">
        <v>-2.9233237598069728E-5</v>
      </c>
      <c r="AS6142" t="s">
        <v>239</v>
      </c>
      <c r="AT6142" t="s">
        <v>514</v>
      </c>
    </row>
    <row r="6143" spans="2:46" x14ac:dyDescent="0.35">
      <c r="B6143" t="s">
        <v>649</v>
      </c>
      <c r="C6143">
        <v>45926</v>
      </c>
      <c r="J6143">
        <v>0</v>
      </c>
      <c r="O6143" t="s">
        <v>239</v>
      </c>
      <c r="P6143" t="s">
        <v>514</v>
      </c>
      <c r="U6143">
        <v>36.666666666666515</v>
      </c>
      <c r="Y6143">
        <v>1729</v>
      </c>
      <c r="Z6143" s="259" t="s">
        <v>637</v>
      </c>
      <c r="AB6143">
        <v>54080.666666666664</v>
      </c>
      <c r="AF6143">
        <v>236018.9</v>
      </c>
      <c r="AG6143">
        <v>0</v>
      </c>
      <c r="AI6143">
        <v>236025.8</v>
      </c>
      <c r="AJ6143">
        <v>0</v>
      </c>
      <c r="AK6143">
        <v>0</v>
      </c>
      <c r="AL6143">
        <v>0</v>
      </c>
      <c r="AM6143">
        <v>183406</v>
      </c>
      <c r="AN6143">
        <v>52612.9</v>
      </c>
      <c r="AO6143">
        <v>236018.9</v>
      </c>
      <c r="AP6143">
        <v>0</v>
      </c>
      <c r="AQ6143">
        <v>-6.8999999999941792</v>
      </c>
      <c r="AR6143">
        <v>-2.923409220512152E-5</v>
      </c>
      <c r="AS6143" t="s">
        <v>239</v>
      </c>
      <c r="AT6143" t="s">
        <v>514</v>
      </c>
    </row>
    <row r="6144" spans="2:46" x14ac:dyDescent="0.35">
      <c r="B6144" t="s">
        <v>649</v>
      </c>
      <c r="C6144">
        <v>45927</v>
      </c>
      <c r="J6144">
        <v>0</v>
      </c>
      <c r="O6144" t="s">
        <v>239</v>
      </c>
      <c r="P6144" t="s">
        <v>514</v>
      </c>
      <c r="U6144">
        <v>36.666666666666515</v>
      </c>
      <c r="Y6144">
        <v>1730</v>
      </c>
      <c r="Z6144" s="259" t="s">
        <v>637</v>
      </c>
      <c r="AB6144">
        <v>54080.666666666664</v>
      </c>
      <c r="AF6144">
        <v>236018.9</v>
      </c>
      <c r="AG6144">
        <v>0</v>
      </c>
      <c r="AI6144">
        <v>236018.9</v>
      </c>
      <c r="AJ6144">
        <v>0</v>
      </c>
      <c r="AK6144">
        <v>0</v>
      </c>
      <c r="AL6144">
        <v>0</v>
      </c>
      <c r="AM6144">
        <v>183406</v>
      </c>
      <c r="AN6144">
        <v>52612.9</v>
      </c>
      <c r="AO6144">
        <v>236018.9</v>
      </c>
      <c r="AP6144">
        <v>0</v>
      </c>
      <c r="AQ6144">
        <v>0</v>
      </c>
      <c r="AR6144">
        <v>0</v>
      </c>
      <c r="AS6144" t="s">
        <v>239</v>
      </c>
      <c r="AT6144" t="s">
        <v>514</v>
      </c>
    </row>
    <row r="6145" spans="2:46" x14ac:dyDescent="0.35">
      <c r="B6145" t="s">
        <v>649</v>
      </c>
      <c r="C6145">
        <v>45928</v>
      </c>
      <c r="J6145">
        <v>0</v>
      </c>
      <c r="O6145" t="s">
        <v>239</v>
      </c>
      <c r="P6145" t="s">
        <v>514</v>
      </c>
      <c r="U6145">
        <v>36.666666666666515</v>
      </c>
      <c r="Y6145">
        <v>1731</v>
      </c>
      <c r="Z6145" s="259" t="s">
        <v>637</v>
      </c>
      <c r="AB6145">
        <v>54080.666666666664</v>
      </c>
      <c r="AF6145">
        <v>236018.9</v>
      </c>
      <c r="AG6145">
        <v>0</v>
      </c>
      <c r="AI6145">
        <v>236018.9</v>
      </c>
      <c r="AJ6145">
        <v>0</v>
      </c>
      <c r="AK6145">
        <v>0</v>
      </c>
      <c r="AL6145">
        <v>0</v>
      </c>
      <c r="AM6145">
        <v>183406</v>
      </c>
      <c r="AN6145">
        <v>52612.9</v>
      </c>
      <c r="AO6145">
        <v>236018.9</v>
      </c>
      <c r="AP6145">
        <v>0</v>
      </c>
      <c r="AQ6145">
        <v>0</v>
      </c>
      <c r="AR6145">
        <v>0</v>
      </c>
      <c r="AS6145" t="s">
        <v>239</v>
      </c>
      <c r="AT6145" t="s">
        <v>514</v>
      </c>
    </row>
    <row r="6146" spans="2:46" x14ac:dyDescent="0.35">
      <c r="B6146" t="s">
        <v>649</v>
      </c>
      <c r="C6146">
        <v>45929</v>
      </c>
      <c r="J6146">
        <v>0</v>
      </c>
      <c r="O6146" t="s">
        <v>239</v>
      </c>
      <c r="P6146" t="s">
        <v>514</v>
      </c>
      <c r="U6146">
        <v>36.666666666666515</v>
      </c>
      <c r="Y6146">
        <v>1732</v>
      </c>
      <c r="Z6146" s="259" t="s">
        <v>637</v>
      </c>
      <c r="AB6146">
        <v>54080.666666666664</v>
      </c>
      <c r="AF6146">
        <v>236002.9</v>
      </c>
      <c r="AG6146">
        <v>0</v>
      </c>
      <c r="AI6146">
        <v>236018.9</v>
      </c>
      <c r="AJ6146">
        <v>0</v>
      </c>
      <c r="AK6146">
        <v>0</v>
      </c>
      <c r="AL6146">
        <v>0</v>
      </c>
      <c r="AM6146">
        <v>183406</v>
      </c>
      <c r="AN6146">
        <v>52596.9</v>
      </c>
      <c r="AO6146">
        <v>236002.9</v>
      </c>
      <c r="AP6146">
        <v>0</v>
      </c>
      <c r="AQ6146">
        <v>-16</v>
      </c>
      <c r="AR6146">
        <v>-6.7791181129983613E-5</v>
      </c>
      <c r="AS6146" t="s">
        <v>239</v>
      </c>
      <c r="AT6146" t="s">
        <v>514</v>
      </c>
    </row>
    <row r="6147" spans="2:46" x14ac:dyDescent="0.35">
      <c r="B6147" t="s">
        <v>649</v>
      </c>
      <c r="C6147">
        <v>45930</v>
      </c>
      <c r="J6147">
        <v>0</v>
      </c>
      <c r="O6147" t="s">
        <v>239</v>
      </c>
      <c r="P6147" t="s">
        <v>514</v>
      </c>
      <c r="U6147">
        <v>36.666666666666515</v>
      </c>
      <c r="Y6147">
        <v>1733</v>
      </c>
      <c r="Z6147" s="259" t="s">
        <v>637</v>
      </c>
      <c r="AB6147">
        <v>54080.666666666664</v>
      </c>
      <c r="AF6147">
        <v>235996</v>
      </c>
      <c r="AG6147">
        <v>0</v>
      </c>
      <c r="AI6147">
        <v>236002.9</v>
      </c>
      <c r="AJ6147">
        <v>0</v>
      </c>
      <c r="AK6147">
        <v>0</v>
      </c>
      <c r="AL6147">
        <v>0</v>
      </c>
      <c r="AM6147">
        <v>183406</v>
      </c>
      <c r="AN6147">
        <v>52590</v>
      </c>
      <c r="AO6147">
        <v>235996</v>
      </c>
      <c r="AP6147">
        <v>0</v>
      </c>
      <c r="AQ6147">
        <v>-6.8999999999941792</v>
      </c>
      <c r="AR6147">
        <v>-2.9236928868248135E-5</v>
      </c>
      <c r="AS6147" t="s">
        <v>239</v>
      </c>
      <c r="AT6147" t="s">
        <v>514</v>
      </c>
    </row>
    <row r="6148" spans="2:46" x14ac:dyDescent="0.35">
      <c r="B6148" t="s">
        <v>649</v>
      </c>
      <c r="C6148">
        <v>45931</v>
      </c>
      <c r="J6148">
        <v>0</v>
      </c>
      <c r="O6148" t="s">
        <v>239</v>
      </c>
      <c r="P6148" t="s">
        <v>514</v>
      </c>
      <c r="U6148">
        <v>36.666666666666515</v>
      </c>
      <c r="Y6148">
        <v>1734</v>
      </c>
      <c r="Z6148" s="259" t="s">
        <v>637</v>
      </c>
      <c r="AB6148">
        <v>54080.666666666664</v>
      </c>
      <c r="AF6148">
        <v>235996</v>
      </c>
      <c r="AG6148">
        <v>0</v>
      </c>
      <c r="AI6148">
        <v>235996</v>
      </c>
      <c r="AJ6148">
        <v>0</v>
      </c>
      <c r="AK6148">
        <v>0</v>
      </c>
      <c r="AL6148">
        <v>0</v>
      </c>
      <c r="AM6148">
        <v>183406</v>
      </c>
      <c r="AN6148">
        <v>52590</v>
      </c>
      <c r="AO6148">
        <v>235996</v>
      </c>
      <c r="AP6148">
        <v>0</v>
      </c>
      <c r="AQ6148">
        <v>0</v>
      </c>
      <c r="AR6148">
        <v>0</v>
      </c>
      <c r="AS6148" t="s">
        <v>239</v>
      </c>
      <c r="AT6148" t="s">
        <v>514</v>
      </c>
    </row>
    <row r="6149" spans="2:46" x14ac:dyDescent="0.35">
      <c r="B6149" t="s">
        <v>649</v>
      </c>
      <c r="C6149">
        <v>45932</v>
      </c>
      <c r="J6149">
        <v>0</v>
      </c>
      <c r="O6149" t="s">
        <v>239</v>
      </c>
      <c r="P6149" t="s">
        <v>514</v>
      </c>
      <c r="U6149">
        <v>36.666666666666515</v>
      </c>
      <c r="Y6149">
        <v>1735</v>
      </c>
      <c r="Z6149" s="259" t="s">
        <v>637</v>
      </c>
      <c r="AB6149">
        <v>54080.666666666664</v>
      </c>
      <c r="AF6149">
        <v>235955.4</v>
      </c>
      <c r="AG6149">
        <v>0</v>
      </c>
      <c r="AI6149">
        <v>235996</v>
      </c>
      <c r="AJ6149">
        <v>0</v>
      </c>
      <c r="AK6149">
        <v>0</v>
      </c>
      <c r="AL6149">
        <v>0</v>
      </c>
      <c r="AM6149">
        <v>183406</v>
      </c>
      <c r="AN6149">
        <v>52549.4</v>
      </c>
      <c r="AO6149">
        <v>235955.4</v>
      </c>
      <c r="AP6149">
        <v>0</v>
      </c>
      <c r="AQ6149">
        <v>-40.600000000005821</v>
      </c>
      <c r="AR6149">
        <v>-1.720368141833184E-4</v>
      </c>
      <c r="AS6149" t="s">
        <v>239</v>
      </c>
      <c r="AT6149" t="s">
        <v>514</v>
      </c>
    </row>
    <row r="6150" spans="2:46" x14ac:dyDescent="0.35">
      <c r="B6150" t="s">
        <v>649</v>
      </c>
      <c r="C6150">
        <v>45933</v>
      </c>
      <c r="J6150">
        <v>0</v>
      </c>
      <c r="O6150" t="s">
        <v>239</v>
      </c>
      <c r="P6150" t="s">
        <v>514</v>
      </c>
      <c r="U6150">
        <v>36.666666666666515</v>
      </c>
      <c r="Y6150">
        <v>1736</v>
      </c>
      <c r="Z6150" s="259" t="s">
        <v>637</v>
      </c>
      <c r="AB6150">
        <v>54080.666666666664</v>
      </c>
      <c r="AF6150">
        <v>235917.6</v>
      </c>
      <c r="AG6150">
        <v>0</v>
      </c>
      <c r="AI6150">
        <v>235955.4</v>
      </c>
      <c r="AJ6150">
        <v>0</v>
      </c>
      <c r="AK6150">
        <v>0</v>
      </c>
      <c r="AL6150">
        <v>0</v>
      </c>
      <c r="AM6150">
        <v>183406</v>
      </c>
      <c r="AN6150">
        <v>52511.6</v>
      </c>
      <c r="AO6150">
        <v>235917.6</v>
      </c>
      <c r="AP6150">
        <v>0</v>
      </c>
      <c r="AQ6150">
        <v>-37.799999999988358</v>
      </c>
      <c r="AR6150">
        <v>-1.6019976656600488E-4</v>
      </c>
      <c r="AS6150" t="s">
        <v>239</v>
      </c>
      <c r="AT6150" t="s">
        <v>514</v>
      </c>
    </row>
    <row r="6151" spans="2:46" x14ac:dyDescent="0.35">
      <c r="B6151" t="s">
        <v>649</v>
      </c>
      <c r="C6151">
        <v>45934</v>
      </c>
      <c r="J6151">
        <v>0</v>
      </c>
      <c r="O6151" t="s">
        <v>239</v>
      </c>
      <c r="P6151" t="s">
        <v>514</v>
      </c>
      <c r="U6151">
        <v>36.666666666666515</v>
      </c>
      <c r="Y6151">
        <v>1737</v>
      </c>
      <c r="Z6151" s="259" t="s">
        <v>637</v>
      </c>
      <c r="AB6151">
        <v>54080.666666666664</v>
      </c>
      <c r="AF6151">
        <v>235917.6</v>
      </c>
      <c r="AG6151">
        <v>0</v>
      </c>
      <c r="AI6151">
        <v>235917.6</v>
      </c>
      <c r="AJ6151">
        <v>0</v>
      </c>
      <c r="AK6151">
        <v>0</v>
      </c>
      <c r="AL6151">
        <v>0</v>
      </c>
      <c r="AM6151">
        <v>183406</v>
      </c>
      <c r="AN6151">
        <v>52511.6</v>
      </c>
      <c r="AO6151">
        <v>235917.6</v>
      </c>
      <c r="AP6151">
        <v>0</v>
      </c>
      <c r="AQ6151">
        <v>0</v>
      </c>
      <c r="AR6151">
        <v>0</v>
      </c>
      <c r="AS6151" t="s">
        <v>239</v>
      </c>
      <c r="AT6151" t="s">
        <v>514</v>
      </c>
    </row>
    <row r="6152" spans="2:46" x14ac:dyDescent="0.35">
      <c r="B6152" t="s">
        <v>649</v>
      </c>
      <c r="C6152">
        <v>45935</v>
      </c>
      <c r="J6152">
        <v>0</v>
      </c>
      <c r="O6152" t="s">
        <v>239</v>
      </c>
      <c r="P6152" t="s">
        <v>514</v>
      </c>
      <c r="U6152">
        <v>36.666666666666515</v>
      </c>
      <c r="Y6152">
        <v>1738</v>
      </c>
      <c r="Z6152" s="259" t="s">
        <v>637</v>
      </c>
      <c r="AB6152">
        <v>54080.666666666664</v>
      </c>
      <c r="AF6152">
        <v>235917.6</v>
      </c>
      <c r="AG6152">
        <v>0</v>
      </c>
      <c r="AI6152">
        <v>235917.6</v>
      </c>
      <c r="AJ6152">
        <v>0</v>
      </c>
      <c r="AK6152">
        <v>0</v>
      </c>
      <c r="AL6152">
        <v>0</v>
      </c>
      <c r="AM6152">
        <v>183406</v>
      </c>
      <c r="AN6152">
        <v>52511.6</v>
      </c>
      <c r="AO6152">
        <v>235917.6</v>
      </c>
      <c r="AP6152">
        <v>0</v>
      </c>
      <c r="AQ6152">
        <v>0</v>
      </c>
      <c r="AR6152">
        <v>0</v>
      </c>
      <c r="AS6152" t="s">
        <v>239</v>
      </c>
      <c r="AT6152" t="s">
        <v>514</v>
      </c>
    </row>
    <row r="6153" spans="2:46" x14ac:dyDescent="0.35">
      <c r="B6153" t="s">
        <v>649</v>
      </c>
      <c r="C6153">
        <v>45936</v>
      </c>
      <c r="J6153">
        <v>0</v>
      </c>
      <c r="O6153" t="s">
        <v>239</v>
      </c>
      <c r="P6153" t="s">
        <v>514</v>
      </c>
      <c r="U6153">
        <v>36.666666666666515</v>
      </c>
      <c r="Y6153">
        <v>1739</v>
      </c>
      <c r="Z6153" s="259" t="s">
        <v>637</v>
      </c>
      <c r="AB6153">
        <v>54080.666666666664</v>
      </c>
      <c r="AF6153">
        <v>235798.6</v>
      </c>
      <c r="AG6153">
        <v>0</v>
      </c>
      <c r="AI6153">
        <v>235917.6</v>
      </c>
      <c r="AJ6153">
        <v>0</v>
      </c>
      <c r="AK6153">
        <v>0</v>
      </c>
      <c r="AL6153">
        <v>0</v>
      </c>
      <c r="AM6153">
        <v>183406</v>
      </c>
      <c r="AN6153">
        <v>52392.6</v>
      </c>
      <c r="AO6153">
        <v>235798.6</v>
      </c>
      <c r="AP6153">
        <v>0</v>
      </c>
      <c r="AQ6153">
        <v>-119</v>
      </c>
      <c r="AR6153">
        <v>-5.0441340535845036E-4</v>
      </c>
      <c r="AS6153" t="s">
        <v>239</v>
      </c>
      <c r="AT6153" t="s">
        <v>514</v>
      </c>
    </row>
    <row r="6154" spans="2:46" x14ac:dyDescent="0.35">
      <c r="B6154" t="s">
        <v>649</v>
      </c>
      <c r="C6154">
        <v>45937</v>
      </c>
      <c r="J6154">
        <v>0</v>
      </c>
      <c r="O6154" t="s">
        <v>239</v>
      </c>
      <c r="P6154" t="s">
        <v>514</v>
      </c>
      <c r="U6154">
        <v>36.666666666666515</v>
      </c>
      <c r="Y6154">
        <v>1740</v>
      </c>
      <c r="Z6154" s="259" t="s">
        <v>637</v>
      </c>
      <c r="AB6154">
        <v>54080.666666666664</v>
      </c>
      <c r="AF6154">
        <v>235758</v>
      </c>
      <c r="AG6154">
        <v>0</v>
      </c>
      <c r="AI6154">
        <v>235798.6</v>
      </c>
      <c r="AJ6154">
        <v>0</v>
      </c>
      <c r="AK6154">
        <v>0</v>
      </c>
      <c r="AL6154">
        <v>0</v>
      </c>
      <c r="AM6154">
        <v>183406</v>
      </c>
      <c r="AN6154">
        <v>52352</v>
      </c>
      <c r="AO6154">
        <v>235758</v>
      </c>
      <c r="AP6154">
        <v>0</v>
      </c>
      <c r="AQ6154">
        <v>-40.600000000005821</v>
      </c>
      <c r="AR6154">
        <v>-1.7218083567926978E-4</v>
      </c>
      <c r="AS6154" t="s">
        <v>239</v>
      </c>
      <c r="AT6154" t="s">
        <v>514</v>
      </c>
    </row>
    <row r="6155" spans="2:46" x14ac:dyDescent="0.35">
      <c r="B6155" t="s">
        <v>649</v>
      </c>
      <c r="C6155">
        <v>45938</v>
      </c>
      <c r="J6155">
        <v>0</v>
      </c>
      <c r="O6155" t="s">
        <v>239</v>
      </c>
      <c r="P6155" t="s">
        <v>514</v>
      </c>
      <c r="U6155">
        <v>36.666666666666515</v>
      </c>
      <c r="Y6155">
        <v>1741</v>
      </c>
      <c r="Z6155" s="259" t="s">
        <v>637</v>
      </c>
      <c r="AB6155">
        <v>54080.666666666664</v>
      </c>
      <c r="AF6155">
        <v>235717.4</v>
      </c>
      <c r="AG6155">
        <v>0</v>
      </c>
      <c r="AI6155">
        <v>235758</v>
      </c>
      <c r="AJ6155">
        <v>0</v>
      </c>
      <c r="AK6155">
        <v>0</v>
      </c>
      <c r="AL6155">
        <v>0</v>
      </c>
      <c r="AM6155">
        <v>183406</v>
      </c>
      <c r="AN6155">
        <v>52311.4</v>
      </c>
      <c r="AO6155">
        <v>235717.4</v>
      </c>
      <c r="AP6155">
        <v>0</v>
      </c>
      <c r="AQ6155">
        <v>-40.600000000005821</v>
      </c>
      <c r="AR6155">
        <v>-1.7221048702487085E-4</v>
      </c>
      <c r="AS6155" t="s">
        <v>239</v>
      </c>
      <c r="AT6155" t="s">
        <v>514</v>
      </c>
    </row>
    <row r="6156" spans="2:46" x14ac:dyDescent="0.35">
      <c r="B6156" t="s">
        <v>649</v>
      </c>
      <c r="C6156">
        <v>45939</v>
      </c>
      <c r="J6156">
        <v>0</v>
      </c>
      <c r="O6156" t="s">
        <v>239</v>
      </c>
      <c r="P6156" t="s">
        <v>514</v>
      </c>
      <c r="U6156">
        <v>36.666666666666515</v>
      </c>
      <c r="Y6156">
        <v>1742</v>
      </c>
      <c r="Z6156" s="259" t="s">
        <v>637</v>
      </c>
      <c r="AB6156">
        <v>54080.666666666664</v>
      </c>
      <c r="AF6156">
        <v>235679.6</v>
      </c>
      <c r="AG6156">
        <v>0</v>
      </c>
      <c r="AI6156">
        <v>235717.4</v>
      </c>
      <c r="AJ6156">
        <v>0</v>
      </c>
      <c r="AK6156">
        <v>0</v>
      </c>
      <c r="AL6156">
        <v>0</v>
      </c>
      <c r="AM6156">
        <v>183406</v>
      </c>
      <c r="AN6156">
        <v>52273.599999999999</v>
      </c>
      <c r="AO6156">
        <v>235679.6</v>
      </c>
      <c r="AP6156">
        <v>0</v>
      </c>
      <c r="AQ6156">
        <v>-37.799999999988358</v>
      </c>
      <c r="AR6156">
        <v>-1.6036151764775575E-4</v>
      </c>
      <c r="AS6156" t="s">
        <v>239</v>
      </c>
      <c r="AT6156" t="s">
        <v>514</v>
      </c>
    </row>
    <row r="6157" spans="2:46" x14ac:dyDescent="0.35">
      <c r="B6157" t="s">
        <v>649</v>
      </c>
      <c r="C6157">
        <v>45940</v>
      </c>
      <c r="J6157">
        <v>0</v>
      </c>
      <c r="O6157" t="s">
        <v>239</v>
      </c>
      <c r="P6157" t="s">
        <v>514</v>
      </c>
      <c r="U6157">
        <v>36.666666666666515</v>
      </c>
      <c r="Y6157">
        <v>1743</v>
      </c>
      <c r="Z6157" s="259" t="s">
        <v>637</v>
      </c>
      <c r="AB6157">
        <v>54080.666666666664</v>
      </c>
      <c r="AF6157">
        <v>235639</v>
      </c>
      <c r="AG6157">
        <v>0</v>
      </c>
      <c r="AI6157">
        <v>235679.6</v>
      </c>
      <c r="AJ6157">
        <v>0</v>
      </c>
      <c r="AK6157">
        <v>0</v>
      </c>
      <c r="AL6157">
        <v>0</v>
      </c>
      <c r="AM6157">
        <v>183406</v>
      </c>
      <c r="AN6157">
        <v>52233</v>
      </c>
      <c r="AO6157">
        <v>235639</v>
      </c>
      <c r="AP6157">
        <v>0</v>
      </c>
      <c r="AQ6157">
        <v>-40.600000000005821</v>
      </c>
      <c r="AR6157">
        <v>-1.7226777370638047E-4</v>
      </c>
      <c r="AS6157" t="s">
        <v>239</v>
      </c>
      <c r="AT6157" t="s">
        <v>514</v>
      </c>
    </row>
    <row r="6158" spans="2:46" x14ac:dyDescent="0.35">
      <c r="B6158" t="s">
        <v>649</v>
      </c>
      <c r="C6158">
        <v>45941</v>
      </c>
      <c r="J6158">
        <v>0</v>
      </c>
      <c r="O6158" t="s">
        <v>239</v>
      </c>
      <c r="P6158" t="s">
        <v>514</v>
      </c>
      <c r="U6158">
        <v>36.666666666666515</v>
      </c>
      <c r="Y6158">
        <v>1744</v>
      </c>
      <c r="Z6158" s="259" t="s">
        <v>637</v>
      </c>
      <c r="AB6158">
        <v>54080.666666666664</v>
      </c>
      <c r="AF6158">
        <v>235639</v>
      </c>
      <c r="AG6158">
        <v>0</v>
      </c>
      <c r="AI6158">
        <v>235639</v>
      </c>
      <c r="AJ6158">
        <v>0</v>
      </c>
      <c r="AK6158">
        <v>0</v>
      </c>
      <c r="AL6158">
        <v>0</v>
      </c>
      <c r="AM6158">
        <v>183406</v>
      </c>
      <c r="AN6158">
        <v>52233</v>
      </c>
      <c r="AO6158">
        <v>235639</v>
      </c>
      <c r="AP6158">
        <v>0</v>
      </c>
      <c r="AQ6158">
        <v>0</v>
      </c>
      <c r="AR6158">
        <v>0</v>
      </c>
      <c r="AS6158" t="s">
        <v>239</v>
      </c>
      <c r="AT6158" t="s">
        <v>514</v>
      </c>
    </row>
    <row r="6159" spans="2:46" x14ac:dyDescent="0.35">
      <c r="B6159" t="s">
        <v>649</v>
      </c>
      <c r="C6159">
        <v>45942</v>
      </c>
      <c r="J6159">
        <v>0</v>
      </c>
      <c r="O6159" t="s">
        <v>239</v>
      </c>
      <c r="P6159" t="s">
        <v>514</v>
      </c>
      <c r="U6159">
        <v>36.666666666666515</v>
      </c>
      <c r="Y6159">
        <v>1745</v>
      </c>
      <c r="Z6159" s="259" t="s">
        <v>637</v>
      </c>
      <c r="AB6159">
        <v>54080.666666666664</v>
      </c>
      <c r="AF6159">
        <v>235639</v>
      </c>
      <c r="AG6159">
        <v>0</v>
      </c>
      <c r="AI6159">
        <v>235639</v>
      </c>
      <c r="AJ6159">
        <v>0</v>
      </c>
      <c r="AK6159">
        <v>0</v>
      </c>
      <c r="AL6159">
        <v>0</v>
      </c>
      <c r="AM6159">
        <v>183406</v>
      </c>
      <c r="AN6159">
        <v>52233</v>
      </c>
      <c r="AO6159">
        <v>235639</v>
      </c>
      <c r="AP6159">
        <v>0</v>
      </c>
      <c r="AQ6159">
        <v>0</v>
      </c>
      <c r="AR6159">
        <v>0</v>
      </c>
      <c r="AS6159" t="s">
        <v>239</v>
      </c>
      <c r="AT6159" t="s">
        <v>514</v>
      </c>
    </row>
    <row r="6160" spans="2:46" x14ac:dyDescent="0.35">
      <c r="B6160" t="s">
        <v>649</v>
      </c>
      <c r="C6160">
        <v>45943</v>
      </c>
      <c r="J6160">
        <v>0</v>
      </c>
      <c r="O6160" t="s">
        <v>239</v>
      </c>
      <c r="P6160" t="s">
        <v>514</v>
      </c>
      <c r="U6160">
        <v>36.666666666666515</v>
      </c>
      <c r="Y6160">
        <v>1746</v>
      </c>
      <c r="Z6160" s="259" t="s">
        <v>637</v>
      </c>
      <c r="AB6160">
        <v>54080.666666666664</v>
      </c>
      <c r="AF6160">
        <v>235520</v>
      </c>
      <c r="AG6160">
        <v>0</v>
      </c>
      <c r="AI6160">
        <v>235639</v>
      </c>
      <c r="AJ6160">
        <v>0</v>
      </c>
      <c r="AK6160">
        <v>0</v>
      </c>
      <c r="AL6160">
        <v>0</v>
      </c>
      <c r="AM6160">
        <v>183406</v>
      </c>
      <c r="AN6160">
        <v>52114</v>
      </c>
      <c r="AO6160">
        <v>235520</v>
      </c>
      <c r="AP6160">
        <v>0</v>
      </c>
      <c r="AQ6160">
        <v>-119</v>
      </c>
      <c r="AR6160">
        <v>-5.0500978191214685E-4</v>
      </c>
      <c r="AS6160" t="s">
        <v>239</v>
      </c>
      <c r="AT6160" t="s">
        <v>514</v>
      </c>
    </row>
    <row r="6161" spans="2:46" x14ac:dyDescent="0.35">
      <c r="B6161" t="s">
        <v>649</v>
      </c>
      <c r="C6161">
        <v>45944</v>
      </c>
      <c r="J6161">
        <v>0</v>
      </c>
      <c r="O6161" t="s">
        <v>239</v>
      </c>
      <c r="P6161" t="s">
        <v>514</v>
      </c>
      <c r="U6161">
        <v>36.666666666666515</v>
      </c>
      <c r="Y6161">
        <v>1747</v>
      </c>
      <c r="Z6161" s="259" t="s">
        <v>637</v>
      </c>
      <c r="AB6161">
        <v>54080.666666666664</v>
      </c>
      <c r="AF6161">
        <v>235479.4</v>
      </c>
      <c r="AG6161">
        <v>0</v>
      </c>
      <c r="AI6161">
        <v>235520</v>
      </c>
      <c r="AJ6161">
        <v>0</v>
      </c>
      <c r="AK6161">
        <v>0</v>
      </c>
      <c r="AL6161">
        <v>0</v>
      </c>
      <c r="AM6161">
        <v>183406</v>
      </c>
      <c r="AN6161">
        <v>52073.4</v>
      </c>
      <c r="AO6161">
        <v>235479.4</v>
      </c>
      <c r="AP6161">
        <v>0</v>
      </c>
      <c r="AQ6161">
        <v>-40.600000000005821</v>
      </c>
      <c r="AR6161">
        <v>-1.7238451086953877E-4</v>
      </c>
      <c r="AS6161" t="s">
        <v>239</v>
      </c>
      <c r="AT6161" t="s">
        <v>514</v>
      </c>
    </row>
    <row r="6162" spans="2:46" x14ac:dyDescent="0.35">
      <c r="B6162" t="s">
        <v>649</v>
      </c>
      <c r="C6162">
        <v>45945</v>
      </c>
      <c r="J6162">
        <v>0</v>
      </c>
      <c r="O6162" t="s">
        <v>239</v>
      </c>
      <c r="P6162" t="s">
        <v>514</v>
      </c>
      <c r="U6162">
        <v>36.666666666666515</v>
      </c>
      <c r="Y6162">
        <v>1748</v>
      </c>
      <c r="Z6162" s="259" t="s">
        <v>637</v>
      </c>
      <c r="AB6162">
        <v>54080.666666666664</v>
      </c>
      <c r="AF6162">
        <v>235441.6</v>
      </c>
      <c r="AG6162">
        <v>0</v>
      </c>
      <c r="AI6162">
        <v>235479.4</v>
      </c>
      <c r="AJ6162">
        <v>0</v>
      </c>
      <c r="AK6162">
        <v>0</v>
      </c>
      <c r="AL6162">
        <v>0</v>
      </c>
      <c r="AM6162">
        <v>183406</v>
      </c>
      <c r="AN6162">
        <v>52035.6</v>
      </c>
      <c r="AO6162">
        <v>235441.6</v>
      </c>
      <c r="AP6162">
        <v>0</v>
      </c>
      <c r="AQ6162">
        <v>-37.799999999988358</v>
      </c>
      <c r="AR6162">
        <v>-1.6052359569451724E-4</v>
      </c>
      <c r="AS6162" t="s">
        <v>239</v>
      </c>
      <c r="AT6162" t="s">
        <v>514</v>
      </c>
    </row>
    <row r="6163" spans="2:46" x14ac:dyDescent="0.35">
      <c r="B6163" t="s">
        <v>649</v>
      </c>
      <c r="C6163">
        <v>45946</v>
      </c>
      <c r="J6163">
        <v>0</v>
      </c>
      <c r="O6163" t="s">
        <v>239</v>
      </c>
      <c r="P6163" t="s">
        <v>514</v>
      </c>
      <c r="U6163">
        <v>36.666666666666515</v>
      </c>
      <c r="Y6163">
        <v>1749</v>
      </c>
      <c r="Z6163" s="259" t="s">
        <v>637</v>
      </c>
      <c r="AB6163">
        <v>54080.666666666664</v>
      </c>
      <c r="AF6163">
        <v>235401</v>
      </c>
      <c r="AG6163">
        <v>0</v>
      </c>
      <c r="AI6163">
        <v>235441.6</v>
      </c>
      <c r="AJ6163">
        <v>0</v>
      </c>
      <c r="AK6163">
        <v>0</v>
      </c>
      <c r="AL6163">
        <v>0</v>
      </c>
      <c r="AM6163">
        <v>183406</v>
      </c>
      <c r="AN6163">
        <v>51995</v>
      </c>
      <c r="AO6163">
        <v>235401</v>
      </c>
      <c r="AP6163">
        <v>0</v>
      </c>
      <c r="AQ6163">
        <v>-40.600000000005821</v>
      </c>
      <c r="AR6163">
        <v>-1.7244191340870518E-4</v>
      </c>
      <c r="AS6163" t="s">
        <v>239</v>
      </c>
      <c r="AT6163" t="s">
        <v>514</v>
      </c>
    </row>
    <row r="6164" spans="2:46" x14ac:dyDescent="0.35">
      <c r="B6164" t="s">
        <v>649</v>
      </c>
      <c r="C6164">
        <v>45947</v>
      </c>
      <c r="J6164">
        <v>0</v>
      </c>
      <c r="O6164" t="s">
        <v>239</v>
      </c>
      <c r="P6164" t="s">
        <v>514</v>
      </c>
      <c r="U6164">
        <v>36.666666666666515</v>
      </c>
      <c r="Y6164">
        <v>1750</v>
      </c>
      <c r="Z6164" s="259" t="s">
        <v>637</v>
      </c>
      <c r="AB6164">
        <v>54080.666666666664</v>
      </c>
      <c r="AF6164">
        <v>235360.4</v>
      </c>
      <c r="AG6164">
        <v>0</v>
      </c>
      <c r="AI6164">
        <v>235401</v>
      </c>
      <c r="AJ6164">
        <v>0</v>
      </c>
      <c r="AK6164">
        <v>0</v>
      </c>
      <c r="AL6164">
        <v>0</v>
      </c>
      <c r="AM6164">
        <v>183406</v>
      </c>
      <c r="AN6164">
        <v>51954.400000000001</v>
      </c>
      <c r="AO6164">
        <v>235360.4</v>
      </c>
      <c r="AP6164">
        <v>0</v>
      </c>
      <c r="AQ6164">
        <v>-40.600000000005821</v>
      </c>
      <c r="AR6164">
        <v>-1.7247165475087201E-4</v>
      </c>
      <c r="AS6164" t="s">
        <v>239</v>
      </c>
      <c r="AT6164" t="s">
        <v>514</v>
      </c>
    </row>
    <row r="6165" spans="2:46" x14ac:dyDescent="0.35">
      <c r="B6165" t="s">
        <v>649</v>
      </c>
      <c r="C6165">
        <v>45948</v>
      </c>
      <c r="J6165">
        <v>0</v>
      </c>
      <c r="O6165" t="s">
        <v>239</v>
      </c>
      <c r="P6165" t="s">
        <v>514</v>
      </c>
      <c r="U6165">
        <v>36.666666666666515</v>
      </c>
      <c r="Y6165">
        <v>1751</v>
      </c>
      <c r="Z6165" s="259" t="s">
        <v>637</v>
      </c>
      <c r="AB6165">
        <v>54080.666666666664</v>
      </c>
      <c r="AF6165">
        <v>235360.4</v>
      </c>
      <c r="AG6165">
        <v>0</v>
      </c>
      <c r="AI6165">
        <v>235360.4</v>
      </c>
      <c r="AJ6165">
        <v>0</v>
      </c>
      <c r="AK6165">
        <v>0</v>
      </c>
      <c r="AL6165">
        <v>0</v>
      </c>
      <c r="AM6165">
        <v>183406</v>
      </c>
      <c r="AN6165">
        <v>51954.400000000001</v>
      </c>
      <c r="AO6165">
        <v>235360.4</v>
      </c>
      <c r="AP6165">
        <v>0</v>
      </c>
      <c r="AQ6165">
        <v>0</v>
      </c>
      <c r="AR6165">
        <v>0</v>
      </c>
      <c r="AS6165" t="s">
        <v>239</v>
      </c>
      <c r="AT6165" t="s">
        <v>514</v>
      </c>
    </row>
    <row r="6166" spans="2:46" x14ac:dyDescent="0.35">
      <c r="B6166" t="s">
        <v>649</v>
      </c>
      <c r="C6166">
        <v>45949</v>
      </c>
      <c r="J6166">
        <v>0</v>
      </c>
      <c r="O6166" t="s">
        <v>239</v>
      </c>
      <c r="P6166" t="s">
        <v>514</v>
      </c>
      <c r="U6166">
        <v>36.666666666666515</v>
      </c>
      <c r="Y6166">
        <v>1752</v>
      </c>
      <c r="Z6166" s="259" t="s">
        <v>637</v>
      </c>
      <c r="AB6166">
        <v>54080.666666666664</v>
      </c>
      <c r="AF6166">
        <v>235360.4</v>
      </c>
      <c r="AG6166">
        <v>0</v>
      </c>
      <c r="AI6166">
        <v>235360.4</v>
      </c>
      <c r="AJ6166">
        <v>0</v>
      </c>
      <c r="AK6166">
        <v>0</v>
      </c>
      <c r="AL6166">
        <v>0</v>
      </c>
      <c r="AM6166">
        <v>183406</v>
      </c>
      <c r="AN6166">
        <v>51954.400000000001</v>
      </c>
      <c r="AO6166">
        <v>235360.4</v>
      </c>
      <c r="AP6166">
        <v>0</v>
      </c>
      <c r="AQ6166">
        <v>0</v>
      </c>
      <c r="AR6166">
        <v>0</v>
      </c>
      <c r="AS6166" t="s">
        <v>239</v>
      </c>
      <c r="AT6166" t="s">
        <v>514</v>
      </c>
    </row>
    <row r="6167" spans="2:46" x14ac:dyDescent="0.35">
      <c r="B6167" t="s">
        <v>649</v>
      </c>
      <c r="C6167">
        <v>45950</v>
      </c>
      <c r="J6167">
        <v>0</v>
      </c>
      <c r="O6167" t="s">
        <v>239</v>
      </c>
      <c r="P6167" t="s">
        <v>514</v>
      </c>
      <c r="U6167">
        <v>36.666666666666515</v>
      </c>
      <c r="Y6167">
        <v>1753</v>
      </c>
      <c r="Z6167" s="259" t="s">
        <v>637</v>
      </c>
      <c r="AB6167">
        <v>54080.666666666664</v>
      </c>
      <c r="AF6167">
        <v>235241.4</v>
      </c>
      <c r="AG6167">
        <v>0</v>
      </c>
      <c r="AI6167">
        <v>235360.4</v>
      </c>
      <c r="AJ6167">
        <v>0</v>
      </c>
      <c r="AK6167">
        <v>0</v>
      </c>
      <c r="AL6167">
        <v>0</v>
      </c>
      <c r="AM6167">
        <v>183406</v>
      </c>
      <c r="AN6167">
        <v>51835.4</v>
      </c>
      <c r="AO6167">
        <v>235241.4</v>
      </c>
      <c r="AP6167">
        <v>0</v>
      </c>
      <c r="AQ6167">
        <v>-119</v>
      </c>
      <c r="AR6167">
        <v>-5.0560757034745496E-4</v>
      </c>
      <c r="AS6167" t="s">
        <v>239</v>
      </c>
      <c r="AT6167" t="s">
        <v>514</v>
      </c>
    </row>
    <row r="6168" spans="2:46" x14ac:dyDescent="0.35">
      <c r="B6168" t="s">
        <v>649</v>
      </c>
      <c r="C6168">
        <v>45951</v>
      </c>
      <c r="J6168">
        <v>0</v>
      </c>
      <c r="O6168" t="s">
        <v>239</v>
      </c>
      <c r="P6168" t="s">
        <v>514</v>
      </c>
      <c r="U6168">
        <v>36.666666666666515</v>
      </c>
      <c r="Y6168">
        <v>1754</v>
      </c>
      <c r="Z6168" s="259" t="s">
        <v>637</v>
      </c>
      <c r="AB6168">
        <v>54080.666666666664</v>
      </c>
      <c r="AF6168">
        <v>235203.6</v>
      </c>
      <c r="AG6168">
        <v>0</v>
      </c>
      <c r="AI6168">
        <v>235241.4</v>
      </c>
      <c r="AJ6168">
        <v>0</v>
      </c>
      <c r="AK6168">
        <v>0</v>
      </c>
      <c r="AL6168">
        <v>0</v>
      </c>
      <c r="AM6168">
        <v>183406</v>
      </c>
      <c r="AN6168">
        <v>51797.599999999999</v>
      </c>
      <c r="AO6168">
        <v>235203.6</v>
      </c>
      <c r="AP6168">
        <v>0</v>
      </c>
      <c r="AQ6168">
        <v>-37.799999999988358</v>
      </c>
      <c r="AR6168">
        <v>-1.606860016986067E-4</v>
      </c>
      <c r="AS6168" t="s">
        <v>239</v>
      </c>
      <c r="AT6168" t="s">
        <v>514</v>
      </c>
    </row>
    <row r="6169" spans="2:46" x14ac:dyDescent="0.35">
      <c r="B6169" t="s">
        <v>649</v>
      </c>
      <c r="C6169">
        <v>45952</v>
      </c>
      <c r="J6169">
        <v>0</v>
      </c>
      <c r="O6169" t="s">
        <v>239</v>
      </c>
      <c r="P6169" t="s">
        <v>514</v>
      </c>
      <c r="U6169">
        <v>36.666666666666515</v>
      </c>
      <c r="Y6169">
        <v>1755</v>
      </c>
      <c r="Z6169" s="259" t="s">
        <v>637</v>
      </c>
      <c r="AB6169">
        <v>54080.666666666664</v>
      </c>
      <c r="AF6169">
        <v>235163</v>
      </c>
      <c r="AG6169">
        <v>0</v>
      </c>
      <c r="AI6169">
        <v>235203.6</v>
      </c>
      <c r="AJ6169">
        <v>0</v>
      </c>
      <c r="AK6169">
        <v>0</v>
      </c>
      <c r="AL6169">
        <v>0</v>
      </c>
      <c r="AM6169">
        <v>183406</v>
      </c>
      <c r="AN6169">
        <v>51757</v>
      </c>
      <c r="AO6169">
        <v>235163</v>
      </c>
      <c r="AP6169">
        <v>0</v>
      </c>
      <c r="AQ6169">
        <v>-40.600000000005821</v>
      </c>
      <c r="AR6169">
        <v>-1.7261640553123403E-4</v>
      </c>
      <c r="AS6169" t="s">
        <v>239</v>
      </c>
      <c r="AT6169" t="s">
        <v>514</v>
      </c>
    </row>
    <row r="6170" spans="2:46" x14ac:dyDescent="0.35">
      <c r="B6170" t="s">
        <v>649</v>
      </c>
      <c r="C6170">
        <v>45953</v>
      </c>
      <c r="J6170">
        <v>0</v>
      </c>
      <c r="O6170" t="s">
        <v>239</v>
      </c>
      <c r="P6170" t="s">
        <v>514</v>
      </c>
      <c r="U6170">
        <v>36.666666666666515</v>
      </c>
      <c r="Y6170">
        <v>1756</v>
      </c>
      <c r="Z6170" s="259" t="s">
        <v>637</v>
      </c>
      <c r="AB6170">
        <v>54080.666666666664</v>
      </c>
      <c r="AF6170">
        <v>235122.4</v>
      </c>
      <c r="AG6170">
        <v>0</v>
      </c>
      <c r="AI6170">
        <v>235163</v>
      </c>
      <c r="AJ6170">
        <v>0</v>
      </c>
      <c r="AK6170">
        <v>0</v>
      </c>
      <c r="AL6170">
        <v>0</v>
      </c>
      <c r="AM6170">
        <v>183406</v>
      </c>
      <c r="AN6170">
        <v>51716.4</v>
      </c>
      <c r="AO6170">
        <v>235122.4</v>
      </c>
      <c r="AP6170">
        <v>0</v>
      </c>
      <c r="AQ6170">
        <v>-40.600000000005821</v>
      </c>
      <c r="AR6170">
        <v>-1.7264620709889211E-4</v>
      </c>
      <c r="AS6170" t="s">
        <v>239</v>
      </c>
      <c r="AT6170" t="s">
        <v>514</v>
      </c>
    </row>
    <row r="6171" spans="2:46" x14ac:dyDescent="0.35">
      <c r="B6171" t="s">
        <v>649</v>
      </c>
      <c r="C6171">
        <v>45954</v>
      </c>
      <c r="J6171">
        <v>0</v>
      </c>
      <c r="O6171" t="s">
        <v>239</v>
      </c>
      <c r="P6171" t="s">
        <v>514</v>
      </c>
      <c r="U6171">
        <v>36.666666666666515</v>
      </c>
      <c r="Y6171">
        <v>1757</v>
      </c>
      <c r="Z6171" s="259" t="s">
        <v>637</v>
      </c>
      <c r="AB6171">
        <v>54080.666666666664</v>
      </c>
      <c r="AF6171">
        <v>235084.6</v>
      </c>
      <c r="AG6171">
        <v>0</v>
      </c>
      <c r="AI6171">
        <v>235122.4</v>
      </c>
      <c r="AJ6171">
        <v>0</v>
      </c>
      <c r="AK6171">
        <v>0</v>
      </c>
      <c r="AL6171">
        <v>0</v>
      </c>
      <c r="AM6171">
        <v>183406</v>
      </c>
      <c r="AN6171">
        <v>51678.6</v>
      </c>
      <c r="AO6171">
        <v>235084.6</v>
      </c>
      <c r="AP6171">
        <v>0</v>
      </c>
      <c r="AQ6171">
        <v>-37.799999999988358</v>
      </c>
      <c r="AR6171">
        <v>-1.6076732799596982E-4</v>
      </c>
      <c r="AS6171" t="s">
        <v>239</v>
      </c>
      <c r="AT6171" t="s">
        <v>514</v>
      </c>
    </row>
    <row r="6172" spans="2:46" x14ac:dyDescent="0.35">
      <c r="B6172" t="s">
        <v>649</v>
      </c>
      <c r="C6172">
        <v>45955</v>
      </c>
      <c r="J6172">
        <v>0</v>
      </c>
      <c r="O6172" t="s">
        <v>239</v>
      </c>
      <c r="P6172" t="s">
        <v>514</v>
      </c>
      <c r="U6172">
        <v>36.666666666666515</v>
      </c>
      <c r="Y6172">
        <v>1758</v>
      </c>
      <c r="Z6172" s="259" t="s">
        <v>637</v>
      </c>
      <c r="AB6172">
        <v>54080.666666666664</v>
      </c>
      <c r="AF6172">
        <v>235084.6</v>
      </c>
      <c r="AG6172">
        <v>0</v>
      </c>
      <c r="AI6172">
        <v>235084.6</v>
      </c>
      <c r="AJ6172">
        <v>0</v>
      </c>
      <c r="AK6172">
        <v>0</v>
      </c>
      <c r="AL6172">
        <v>0</v>
      </c>
      <c r="AM6172">
        <v>183406</v>
      </c>
      <c r="AN6172">
        <v>51678.6</v>
      </c>
      <c r="AO6172">
        <v>235084.6</v>
      </c>
      <c r="AP6172">
        <v>0</v>
      </c>
      <c r="AQ6172">
        <v>0</v>
      </c>
      <c r="AR6172">
        <v>0</v>
      </c>
      <c r="AS6172" t="s">
        <v>239</v>
      </c>
      <c r="AT6172" t="s">
        <v>514</v>
      </c>
    </row>
    <row r="6173" spans="2:46" x14ac:dyDescent="0.35">
      <c r="B6173" t="s">
        <v>649</v>
      </c>
      <c r="C6173">
        <v>45956</v>
      </c>
      <c r="J6173">
        <v>0</v>
      </c>
      <c r="O6173" t="s">
        <v>239</v>
      </c>
      <c r="P6173" t="s">
        <v>514</v>
      </c>
      <c r="U6173">
        <v>36.666666666666515</v>
      </c>
      <c r="Y6173">
        <v>1759</v>
      </c>
      <c r="Z6173" s="259" t="s">
        <v>637</v>
      </c>
      <c r="AB6173">
        <v>54080.666666666664</v>
      </c>
      <c r="AF6173">
        <v>235084.6</v>
      </c>
      <c r="AG6173">
        <v>0</v>
      </c>
      <c r="AI6173">
        <v>235084.6</v>
      </c>
      <c r="AJ6173">
        <v>0</v>
      </c>
      <c r="AK6173">
        <v>0</v>
      </c>
      <c r="AL6173">
        <v>0</v>
      </c>
      <c r="AM6173">
        <v>183406</v>
      </c>
      <c r="AN6173">
        <v>51678.6</v>
      </c>
      <c r="AO6173">
        <v>235084.6</v>
      </c>
      <c r="AP6173">
        <v>0</v>
      </c>
      <c r="AQ6173">
        <v>0</v>
      </c>
      <c r="AR6173">
        <v>0</v>
      </c>
      <c r="AS6173" t="s">
        <v>239</v>
      </c>
      <c r="AT6173" t="s">
        <v>514</v>
      </c>
    </row>
    <row r="6174" spans="2:46" x14ac:dyDescent="0.35">
      <c r="B6174" t="s">
        <v>649</v>
      </c>
      <c r="C6174">
        <v>45957</v>
      </c>
      <c r="J6174">
        <v>0</v>
      </c>
      <c r="O6174" t="s">
        <v>239</v>
      </c>
      <c r="P6174" t="s">
        <v>514</v>
      </c>
      <c r="U6174">
        <v>36.666666666666515</v>
      </c>
      <c r="Y6174">
        <v>1760</v>
      </c>
      <c r="Z6174" s="259" t="s">
        <v>637</v>
      </c>
      <c r="AB6174">
        <v>54080.666666666664</v>
      </c>
      <c r="AF6174">
        <v>234965.6</v>
      </c>
      <c r="AG6174">
        <v>0</v>
      </c>
      <c r="AI6174">
        <v>235084.6</v>
      </c>
      <c r="AJ6174">
        <v>0</v>
      </c>
      <c r="AK6174">
        <v>0</v>
      </c>
      <c r="AL6174">
        <v>0</v>
      </c>
      <c r="AM6174">
        <v>183406</v>
      </c>
      <c r="AN6174">
        <v>51559.6</v>
      </c>
      <c r="AO6174">
        <v>234965.6</v>
      </c>
      <c r="AP6174">
        <v>0</v>
      </c>
      <c r="AQ6174">
        <v>-119</v>
      </c>
      <c r="AR6174">
        <v>-5.0620074645468804E-4</v>
      </c>
      <c r="AS6174" t="s">
        <v>239</v>
      </c>
      <c r="AT6174" t="s">
        <v>514</v>
      </c>
    </row>
    <row r="6175" spans="2:46" x14ac:dyDescent="0.35">
      <c r="B6175" t="s">
        <v>649</v>
      </c>
      <c r="C6175">
        <v>45958</v>
      </c>
      <c r="J6175">
        <v>0</v>
      </c>
      <c r="O6175" t="s">
        <v>239</v>
      </c>
      <c r="P6175" t="s">
        <v>514</v>
      </c>
      <c r="U6175">
        <v>36.666666666666515</v>
      </c>
      <c r="Y6175">
        <v>1761</v>
      </c>
      <c r="Z6175" s="259" t="s">
        <v>637</v>
      </c>
      <c r="AB6175">
        <v>54080.666666666664</v>
      </c>
      <c r="AF6175">
        <v>234925</v>
      </c>
      <c r="AG6175">
        <v>0</v>
      </c>
      <c r="AI6175">
        <v>234965.6</v>
      </c>
      <c r="AJ6175">
        <v>0</v>
      </c>
      <c r="AK6175">
        <v>0</v>
      </c>
      <c r="AL6175">
        <v>0</v>
      </c>
      <c r="AM6175">
        <v>183406</v>
      </c>
      <c r="AN6175">
        <v>51519</v>
      </c>
      <c r="AO6175">
        <v>234925</v>
      </c>
      <c r="AP6175">
        <v>0</v>
      </c>
      <c r="AQ6175">
        <v>-40.600000000005821</v>
      </c>
      <c r="AR6175">
        <v>-1.7279125114488814E-4</v>
      </c>
      <c r="AS6175" t="s">
        <v>239</v>
      </c>
      <c r="AT6175" t="s">
        <v>514</v>
      </c>
    </row>
    <row r="6176" spans="2:46" x14ac:dyDescent="0.35">
      <c r="B6176" t="s">
        <v>649</v>
      </c>
      <c r="C6176">
        <v>45959</v>
      </c>
      <c r="J6176">
        <v>0</v>
      </c>
      <c r="O6176" t="s">
        <v>239</v>
      </c>
      <c r="P6176" t="s">
        <v>514</v>
      </c>
      <c r="U6176">
        <v>36.666666666666515</v>
      </c>
      <c r="Y6176">
        <v>1762</v>
      </c>
      <c r="Z6176" s="259" t="s">
        <v>637</v>
      </c>
      <c r="AB6176">
        <v>54080.666666666664</v>
      </c>
      <c r="AF6176">
        <v>234884.4</v>
      </c>
      <c r="AG6176">
        <v>0</v>
      </c>
      <c r="AI6176">
        <v>234925</v>
      </c>
      <c r="AJ6176">
        <v>0</v>
      </c>
      <c r="AK6176">
        <v>0</v>
      </c>
      <c r="AL6176">
        <v>0</v>
      </c>
      <c r="AM6176">
        <v>183406</v>
      </c>
      <c r="AN6176">
        <v>51478.400000000001</v>
      </c>
      <c r="AO6176">
        <v>234884.4</v>
      </c>
      <c r="AP6176">
        <v>0</v>
      </c>
      <c r="AQ6176">
        <v>-40.600000000005821</v>
      </c>
      <c r="AR6176">
        <v>-1.7282111312122428E-4</v>
      </c>
      <c r="AS6176" t="s">
        <v>239</v>
      </c>
      <c r="AT6176" t="s">
        <v>514</v>
      </c>
    </row>
    <row r="6177" spans="2:46" x14ac:dyDescent="0.35">
      <c r="B6177" t="s">
        <v>649</v>
      </c>
      <c r="C6177">
        <v>45960</v>
      </c>
      <c r="J6177">
        <v>0</v>
      </c>
      <c r="O6177" t="s">
        <v>239</v>
      </c>
      <c r="P6177" t="s">
        <v>514</v>
      </c>
      <c r="U6177">
        <v>36.666666666666515</v>
      </c>
      <c r="Y6177">
        <v>1763</v>
      </c>
      <c r="Z6177" s="259" t="s">
        <v>637</v>
      </c>
      <c r="AB6177">
        <v>54080.666666666664</v>
      </c>
      <c r="AF6177">
        <v>234846.6</v>
      </c>
      <c r="AG6177">
        <v>0</v>
      </c>
      <c r="AI6177">
        <v>234884.4</v>
      </c>
      <c r="AJ6177">
        <v>0</v>
      </c>
      <c r="AK6177">
        <v>0</v>
      </c>
      <c r="AL6177">
        <v>0</v>
      </c>
      <c r="AM6177">
        <v>183406</v>
      </c>
      <c r="AN6177">
        <v>51440.6</v>
      </c>
      <c r="AO6177">
        <v>234846.6</v>
      </c>
      <c r="AP6177">
        <v>0</v>
      </c>
      <c r="AQ6177">
        <v>-37.799999999988358</v>
      </c>
      <c r="AR6177">
        <v>-1.6093022780561128E-4</v>
      </c>
      <c r="AS6177" t="s">
        <v>239</v>
      </c>
      <c r="AT6177" t="s">
        <v>514</v>
      </c>
    </row>
    <row r="6178" spans="2:46" x14ac:dyDescent="0.35">
      <c r="B6178" t="s">
        <v>649</v>
      </c>
      <c r="C6178">
        <v>45961</v>
      </c>
      <c r="J6178">
        <v>0</v>
      </c>
      <c r="O6178" t="s">
        <v>239</v>
      </c>
      <c r="P6178" t="s">
        <v>514</v>
      </c>
      <c r="U6178">
        <v>36.666666666666515</v>
      </c>
      <c r="Y6178">
        <v>1764</v>
      </c>
      <c r="Z6178" s="259" t="s">
        <v>637</v>
      </c>
      <c r="AB6178">
        <v>54080.666666666664</v>
      </c>
      <c r="AF6178">
        <v>234806</v>
      </c>
      <c r="AG6178">
        <v>0</v>
      </c>
      <c r="AI6178">
        <v>234846.6</v>
      </c>
      <c r="AJ6178">
        <v>0</v>
      </c>
      <c r="AK6178">
        <v>0</v>
      </c>
      <c r="AL6178">
        <v>0</v>
      </c>
      <c r="AM6178">
        <v>183406</v>
      </c>
      <c r="AN6178">
        <v>51400</v>
      </c>
      <c r="AO6178">
        <v>234806</v>
      </c>
      <c r="AP6178">
        <v>0</v>
      </c>
      <c r="AQ6178">
        <v>-40.600000000005821</v>
      </c>
      <c r="AR6178">
        <v>-1.7287880684668799E-4</v>
      </c>
      <c r="AS6178" t="s">
        <v>239</v>
      </c>
      <c r="AT6178" t="s">
        <v>514</v>
      </c>
    </row>
    <row r="6179" spans="2:46" x14ac:dyDescent="0.35">
      <c r="B6179" t="s">
        <v>649</v>
      </c>
      <c r="C6179">
        <v>45962</v>
      </c>
      <c r="J6179">
        <v>0</v>
      </c>
      <c r="O6179" t="s">
        <v>239</v>
      </c>
      <c r="P6179" t="s">
        <v>514</v>
      </c>
      <c r="U6179">
        <v>36.666666666666515</v>
      </c>
      <c r="Y6179">
        <v>1765</v>
      </c>
      <c r="Z6179" s="259" t="s">
        <v>637</v>
      </c>
      <c r="AB6179">
        <v>54080.666666666664</v>
      </c>
      <c r="AF6179">
        <v>234806</v>
      </c>
      <c r="AG6179">
        <v>0</v>
      </c>
      <c r="AI6179">
        <v>234806</v>
      </c>
      <c r="AJ6179">
        <v>0</v>
      </c>
      <c r="AK6179">
        <v>0</v>
      </c>
      <c r="AL6179">
        <v>0</v>
      </c>
      <c r="AM6179">
        <v>183406</v>
      </c>
      <c r="AN6179">
        <v>51400</v>
      </c>
      <c r="AO6179">
        <v>234806</v>
      </c>
      <c r="AP6179">
        <v>0</v>
      </c>
      <c r="AQ6179">
        <v>0</v>
      </c>
      <c r="AR6179">
        <v>0</v>
      </c>
      <c r="AS6179" t="s">
        <v>239</v>
      </c>
      <c r="AT6179" t="s">
        <v>514</v>
      </c>
    </row>
    <row r="6180" spans="2:46" x14ac:dyDescent="0.35">
      <c r="B6180" t="s">
        <v>649</v>
      </c>
      <c r="C6180">
        <v>45963</v>
      </c>
      <c r="J6180">
        <v>0</v>
      </c>
      <c r="O6180" t="s">
        <v>239</v>
      </c>
      <c r="P6180" t="s">
        <v>514</v>
      </c>
      <c r="U6180">
        <v>36.666666666666515</v>
      </c>
      <c r="Y6180">
        <v>1766</v>
      </c>
      <c r="Z6180" s="259" t="s">
        <v>637</v>
      </c>
      <c r="AB6180">
        <v>54080.666666666664</v>
      </c>
      <c r="AF6180">
        <v>234806</v>
      </c>
      <c r="AG6180">
        <v>0</v>
      </c>
      <c r="AI6180">
        <v>234806</v>
      </c>
      <c r="AJ6180">
        <v>0</v>
      </c>
      <c r="AK6180">
        <v>0</v>
      </c>
      <c r="AL6180">
        <v>0</v>
      </c>
      <c r="AM6180">
        <v>183406</v>
      </c>
      <c r="AN6180">
        <v>51400</v>
      </c>
      <c r="AO6180">
        <v>234806</v>
      </c>
      <c r="AP6180">
        <v>0</v>
      </c>
      <c r="AQ6180">
        <v>0</v>
      </c>
      <c r="AR6180">
        <v>0</v>
      </c>
      <c r="AS6180" t="s">
        <v>239</v>
      </c>
      <c r="AT6180" t="s">
        <v>514</v>
      </c>
    </row>
    <row r="6181" spans="2:46" x14ac:dyDescent="0.35">
      <c r="B6181" t="s">
        <v>649</v>
      </c>
      <c r="C6181">
        <v>45964</v>
      </c>
      <c r="J6181">
        <v>0</v>
      </c>
      <c r="O6181" t="s">
        <v>239</v>
      </c>
      <c r="P6181" t="s">
        <v>514</v>
      </c>
      <c r="U6181">
        <v>36.666666666666515</v>
      </c>
      <c r="Y6181">
        <v>1767</v>
      </c>
      <c r="Z6181" s="259" t="s">
        <v>637</v>
      </c>
      <c r="AB6181">
        <v>54080.666666666664</v>
      </c>
      <c r="AF6181">
        <v>234671.5</v>
      </c>
      <c r="AG6181">
        <v>180</v>
      </c>
      <c r="AI6181">
        <v>234806</v>
      </c>
      <c r="AJ6181">
        <v>0</v>
      </c>
      <c r="AK6181">
        <v>0</v>
      </c>
      <c r="AL6181">
        <v>0</v>
      </c>
      <c r="AM6181">
        <v>183406</v>
      </c>
      <c r="AN6181">
        <v>51085.5</v>
      </c>
      <c r="AO6181">
        <v>234671.5</v>
      </c>
      <c r="AP6181">
        <v>180</v>
      </c>
      <c r="AQ6181">
        <v>-134.5</v>
      </c>
      <c r="AR6181">
        <v>-5.7281330119329787E-4</v>
      </c>
      <c r="AS6181" t="s">
        <v>239</v>
      </c>
      <c r="AT6181" t="s">
        <v>514</v>
      </c>
    </row>
    <row r="6182" spans="2:46" x14ac:dyDescent="0.35">
      <c r="B6182" t="s">
        <v>649</v>
      </c>
      <c r="C6182">
        <v>45965</v>
      </c>
      <c r="J6182">
        <v>0</v>
      </c>
      <c r="O6182" t="s">
        <v>239</v>
      </c>
      <c r="P6182" t="s">
        <v>514</v>
      </c>
      <c r="U6182">
        <v>36.666666666666515</v>
      </c>
      <c r="Y6182">
        <v>1768</v>
      </c>
      <c r="Z6182" s="259" t="s">
        <v>637</v>
      </c>
      <c r="AB6182">
        <v>54080.666666666664</v>
      </c>
      <c r="AF6182">
        <v>234605.1</v>
      </c>
      <c r="AG6182">
        <v>180</v>
      </c>
      <c r="AI6182">
        <v>234671.5</v>
      </c>
      <c r="AJ6182">
        <v>0</v>
      </c>
      <c r="AK6182">
        <v>0</v>
      </c>
      <c r="AL6182">
        <v>0</v>
      </c>
      <c r="AM6182">
        <v>183406</v>
      </c>
      <c r="AN6182">
        <v>51019.1</v>
      </c>
      <c r="AO6182">
        <v>234605.1</v>
      </c>
      <c r="AP6182">
        <v>0</v>
      </c>
      <c r="AQ6182">
        <v>-66.399999999994179</v>
      </c>
      <c r="AR6182">
        <v>-2.829487176755352E-4</v>
      </c>
      <c r="AS6182" t="s">
        <v>239</v>
      </c>
      <c r="AT6182" t="s">
        <v>514</v>
      </c>
    </row>
    <row r="6183" spans="2:46" x14ac:dyDescent="0.35">
      <c r="B6183" t="s">
        <v>649</v>
      </c>
      <c r="C6183">
        <v>45966</v>
      </c>
      <c r="J6183">
        <v>0</v>
      </c>
      <c r="O6183" t="s">
        <v>239</v>
      </c>
      <c r="P6183" t="s">
        <v>514</v>
      </c>
      <c r="U6183">
        <v>36.666666666666515</v>
      </c>
      <c r="Y6183">
        <v>1769</v>
      </c>
      <c r="Z6183" s="259" t="s">
        <v>637</v>
      </c>
      <c r="AB6183">
        <v>54080.666666666664</v>
      </c>
      <c r="AF6183">
        <v>234538.7</v>
      </c>
      <c r="AG6183">
        <v>180</v>
      </c>
      <c r="AI6183">
        <v>234605.1</v>
      </c>
      <c r="AJ6183">
        <v>0</v>
      </c>
      <c r="AK6183">
        <v>0</v>
      </c>
      <c r="AL6183">
        <v>0</v>
      </c>
      <c r="AM6183">
        <v>183406</v>
      </c>
      <c r="AN6183">
        <v>50952.7</v>
      </c>
      <c r="AO6183">
        <v>234538.7</v>
      </c>
      <c r="AP6183">
        <v>0</v>
      </c>
      <c r="AQ6183">
        <v>-66.399999999994179</v>
      </c>
      <c r="AR6183">
        <v>-2.8302880031161326E-4</v>
      </c>
      <c r="AS6183" t="s">
        <v>239</v>
      </c>
      <c r="AT6183" t="s">
        <v>514</v>
      </c>
    </row>
    <row r="6184" spans="2:46" x14ac:dyDescent="0.35">
      <c r="B6184" t="s">
        <v>649</v>
      </c>
      <c r="C6184">
        <v>45967</v>
      </c>
      <c r="J6184">
        <v>0</v>
      </c>
      <c r="O6184" t="s">
        <v>239</v>
      </c>
      <c r="P6184" t="s">
        <v>514</v>
      </c>
      <c r="U6184">
        <v>36.666666666666515</v>
      </c>
      <c r="Y6184">
        <v>1770</v>
      </c>
      <c r="Z6184" s="259" t="s">
        <v>637</v>
      </c>
      <c r="AB6184">
        <v>54080.666666666664</v>
      </c>
      <c r="AF6184">
        <v>234470.6</v>
      </c>
      <c r="AG6184">
        <v>180</v>
      </c>
      <c r="AI6184">
        <v>234538.7</v>
      </c>
      <c r="AJ6184">
        <v>0</v>
      </c>
      <c r="AK6184">
        <v>0</v>
      </c>
      <c r="AL6184">
        <v>0</v>
      </c>
      <c r="AM6184">
        <v>183406</v>
      </c>
      <c r="AN6184">
        <v>50884.6</v>
      </c>
      <c r="AO6184">
        <v>234470.6</v>
      </c>
      <c r="AP6184">
        <v>0</v>
      </c>
      <c r="AQ6184">
        <v>-68.100000000005821</v>
      </c>
      <c r="AR6184">
        <v>-2.9035719904646484E-4</v>
      </c>
      <c r="AS6184" t="s">
        <v>239</v>
      </c>
      <c r="AT6184" t="s">
        <v>514</v>
      </c>
    </row>
    <row r="6185" spans="2:46" x14ac:dyDescent="0.35">
      <c r="B6185" t="s">
        <v>649</v>
      </c>
      <c r="C6185">
        <v>45968</v>
      </c>
      <c r="J6185">
        <v>0</v>
      </c>
      <c r="O6185" t="s">
        <v>239</v>
      </c>
      <c r="P6185" t="s">
        <v>514</v>
      </c>
      <c r="U6185">
        <v>36.666666666666515</v>
      </c>
      <c r="Y6185">
        <v>1771</v>
      </c>
      <c r="Z6185" s="259" t="s">
        <v>637</v>
      </c>
      <c r="AB6185">
        <v>54080.666666666664</v>
      </c>
      <c r="AF6185">
        <v>234404.2</v>
      </c>
      <c r="AG6185">
        <v>180</v>
      </c>
      <c r="AI6185">
        <v>234470.6</v>
      </c>
      <c r="AJ6185">
        <v>0</v>
      </c>
      <c r="AK6185">
        <v>0</v>
      </c>
      <c r="AL6185">
        <v>0</v>
      </c>
      <c r="AM6185">
        <v>183406</v>
      </c>
      <c r="AN6185">
        <v>50818.2</v>
      </c>
      <c r="AO6185">
        <v>234404.2</v>
      </c>
      <c r="AP6185">
        <v>0</v>
      </c>
      <c r="AQ6185">
        <v>-66.399999999994179</v>
      </c>
      <c r="AR6185">
        <v>-2.8319115488251168E-4</v>
      </c>
      <c r="AS6185" t="s">
        <v>239</v>
      </c>
      <c r="AT6185" t="s">
        <v>514</v>
      </c>
    </row>
    <row r="6186" spans="2:46" x14ac:dyDescent="0.35">
      <c r="B6186" t="s">
        <v>649</v>
      </c>
      <c r="C6186">
        <v>45969</v>
      </c>
      <c r="J6186">
        <v>0</v>
      </c>
      <c r="O6186" t="s">
        <v>239</v>
      </c>
      <c r="P6186" t="s">
        <v>514</v>
      </c>
      <c r="U6186">
        <v>36.666666666666515</v>
      </c>
      <c r="Y6186">
        <v>1772</v>
      </c>
      <c r="Z6186" s="259" t="s">
        <v>637</v>
      </c>
      <c r="AB6186">
        <v>54080.666666666664</v>
      </c>
      <c r="AF6186">
        <v>234404.2</v>
      </c>
      <c r="AG6186">
        <v>180</v>
      </c>
      <c r="AI6186">
        <v>234404.2</v>
      </c>
      <c r="AJ6186">
        <v>0</v>
      </c>
      <c r="AK6186">
        <v>0</v>
      </c>
      <c r="AL6186">
        <v>0</v>
      </c>
      <c r="AM6186">
        <v>183406</v>
      </c>
      <c r="AN6186">
        <v>50818.2</v>
      </c>
      <c r="AO6186">
        <v>234404.2</v>
      </c>
      <c r="AP6186">
        <v>0</v>
      </c>
      <c r="AQ6186">
        <v>0</v>
      </c>
      <c r="AR6186">
        <v>0</v>
      </c>
      <c r="AS6186" t="s">
        <v>239</v>
      </c>
      <c r="AT6186" t="s">
        <v>514</v>
      </c>
    </row>
    <row r="6187" spans="2:46" x14ac:dyDescent="0.35">
      <c r="B6187" t="s">
        <v>649</v>
      </c>
      <c r="C6187">
        <v>45970</v>
      </c>
      <c r="J6187">
        <v>0</v>
      </c>
      <c r="O6187" t="s">
        <v>239</v>
      </c>
      <c r="P6187" t="s">
        <v>514</v>
      </c>
      <c r="U6187">
        <v>36.666666666666515</v>
      </c>
      <c r="Y6187">
        <v>1773</v>
      </c>
      <c r="Z6187" s="259" t="s">
        <v>637</v>
      </c>
      <c r="AB6187">
        <v>54080.666666666664</v>
      </c>
      <c r="AF6187">
        <v>234404.2</v>
      </c>
      <c r="AG6187">
        <v>180</v>
      </c>
      <c r="AI6187">
        <v>234404.2</v>
      </c>
      <c r="AJ6187">
        <v>0</v>
      </c>
      <c r="AK6187">
        <v>0</v>
      </c>
      <c r="AL6187">
        <v>0</v>
      </c>
      <c r="AM6187">
        <v>183406</v>
      </c>
      <c r="AN6187">
        <v>50818.2</v>
      </c>
      <c r="AO6187">
        <v>234404.2</v>
      </c>
      <c r="AP6187">
        <v>0</v>
      </c>
      <c r="AQ6187">
        <v>0</v>
      </c>
      <c r="AR6187">
        <v>0</v>
      </c>
      <c r="AS6187" t="s">
        <v>239</v>
      </c>
      <c r="AT6187" t="s">
        <v>514</v>
      </c>
    </row>
    <row r="6188" spans="2:46" x14ac:dyDescent="0.35">
      <c r="B6188" t="s">
        <v>649</v>
      </c>
      <c r="C6188">
        <v>45971</v>
      </c>
      <c r="J6188">
        <v>8</v>
      </c>
      <c r="O6188" t="s">
        <v>239</v>
      </c>
      <c r="P6188" t="s">
        <v>514</v>
      </c>
      <c r="U6188">
        <v>-279.33333333333348</v>
      </c>
      <c r="Y6188">
        <v>1774</v>
      </c>
      <c r="Z6188" s="259" t="s">
        <v>637</v>
      </c>
      <c r="AB6188">
        <v>46072.666666666664</v>
      </c>
      <c r="AF6188">
        <v>234223.6</v>
      </c>
      <c r="AG6188">
        <v>180</v>
      </c>
      <c r="AI6188">
        <v>234404.2</v>
      </c>
      <c r="AJ6188">
        <v>0</v>
      </c>
      <c r="AK6188">
        <v>0</v>
      </c>
      <c r="AL6188">
        <v>0</v>
      </c>
      <c r="AM6188">
        <v>191098</v>
      </c>
      <c r="AN6188">
        <v>42945.599999999999</v>
      </c>
      <c r="AO6188">
        <v>234223.6</v>
      </c>
      <c r="AP6188">
        <v>0</v>
      </c>
      <c r="AQ6188">
        <v>-180.60000000000582</v>
      </c>
      <c r="AR6188">
        <v>-7.7046401045721691E-4</v>
      </c>
      <c r="AS6188" t="s">
        <v>239</v>
      </c>
      <c r="AT6188" t="s">
        <v>514</v>
      </c>
    </row>
    <row r="6189" spans="2:46" x14ac:dyDescent="0.35">
      <c r="B6189" t="s">
        <v>649</v>
      </c>
      <c r="C6189">
        <v>45972</v>
      </c>
      <c r="J6189">
        <v>0</v>
      </c>
      <c r="O6189" t="s">
        <v>239</v>
      </c>
      <c r="P6189" t="s">
        <v>514</v>
      </c>
      <c r="U6189">
        <v>-279.33333333333348</v>
      </c>
      <c r="Y6189">
        <v>1775</v>
      </c>
      <c r="Z6189" s="259" t="s">
        <v>637</v>
      </c>
      <c r="AB6189">
        <v>46072.666666666664</v>
      </c>
      <c r="AF6189">
        <v>234147.20000000001</v>
      </c>
      <c r="AG6189">
        <v>180</v>
      </c>
      <c r="AI6189">
        <v>234223.6</v>
      </c>
      <c r="AJ6189">
        <v>0</v>
      </c>
      <c r="AK6189">
        <v>0</v>
      </c>
      <c r="AL6189">
        <v>0</v>
      </c>
      <c r="AM6189">
        <v>191098</v>
      </c>
      <c r="AN6189">
        <v>42869.2</v>
      </c>
      <c r="AO6189">
        <v>234147.20000000001</v>
      </c>
      <c r="AP6189">
        <v>0</v>
      </c>
      <c r="AQ6189">
        <v>-76.399999999994179</v>
      </c>
      <c r="AR6189">
        <v>-3.2618403952455743E-4</v>
      </c>
      <c r="AS6189" t="s">
        <v>239</v>
      </c>
      <c r="AT6189" t="s">
        <v>514</v>
      </c>
    </row>
    <row r="6190" spans="2:46" x14ac:dyDescent="0.35">
      <c r="B6190" t="s">
        <v>649</v>
      </c>
      <c r="C6190">
        <v>45973</v>
      </c>
      <c r="J6190">
        <v>0</v>
      </c>
      <c r="O6190" t="s">
        <v>239</v>
      </c>
      <c r="P6190" t="s">
        <v>514</v>
      </c>
      <c r="U6190">
        <v>-279.33333333333348</v>
      </c>
      <c r="Y6190">
        <v>1776</v>
      </c>
      <c r="Z6190" s="259" t="s">
        <v>637</v>
      </c>
      <c r="AB6190">
        <v>46072.666666666664</v>
      </c>
      <c r="AF6190">
        <v>234068.1</v>
      </c>
      <c r="AG6190">
        <v>180</v>
      </c>
      <c r="AI6190">
        <v>234147.20000000001</v>
      </c>
      <c r="AJ6190">
        <v>0</v>
      </c>
      <c r="AK6190">
        <v>0</v>
      </c>
      <c r="AL6190">
        <v>0</v>
      </c>
      <c r="AM6190">
        <v>191098</v>
      </c>
      <c r="AN6190">
        <v>42790.100000000006</v>
      </c>
      <c r="AO6190">
        <v>234068.1</v>
      </c>
      <c r="AP6190">
        <v>0</v>
      </c>
      <c r="AQ6190">
        <v>-79.100000000005821</v>
      </c>
      <c r="AR6190">
        <v>-3.3782167798723783E-4</v>
      </c>
      <c r="AS6190" t="s">
        <v>239</v>
      </c>
      <c r="AT6190" t="s">
        <v>514</v>
      </c>
    </row>
    <row r="6191" spans="2:46" x14ac:dyDescent="0.35">
      <c r="B6191" t="s">
        <v>649</v>
      </c>
      <c r="C6191">
        <v>45974</v>
      </c>
      <c r="J6191">
        <v>0</v>
      </c>
      <c r="O6191" t="s">
        <v>239</v>
      </c>
      <c r="P6191" t="s">
        <v>514</v>
      </c>
      <c r="U6191">
        <v>-279.33333333333348</v>
      </c>
      <c r="Y6191">
        <v>1777</v>
      </c>
      <c r="Z6191" s="259" t="s">
        <v>637</v>
      </c>
      <c r="AB6191">
        <v>46072.666666666664</v>
      </c>
      <c r="AF6191">
        <v>233991.7</v>
      </c>
      <c r="AG6191">
        <v>180</v>
      </c>
      <c r="AI6191">
        <v>234068.1</v>
      </c>
      <c r="AJ6191">
        <v>0</v>
      </c>
      <c r="AK6191">
        <v>0</v>
      </c>
      <c r="AL6191">
        <v>0</v>
      </c>
      <c r="AM6191">
        <v>191098</v>
      </c>
      <c r="AN6191">
        <v>42713.7</v>
      </c>
      <c r="AO6191">
        <v>233991.7</v>
      </c>
      <c r="AP6191">
        <v>0</v>
      </c>
      <c r="AQ6191">
        <v>-76.399999999994179</v>
      </c>
      <c r="AR6191">
        <v>-3.2640073551237769E-4</v>
      </c>
      <c r="AS6191" t="s">
        <v>239</v>
      </c>
      <c r="AT6191" t="s">
        <v>514</v>
      </c>
    </row>
    <row r="6192" spans="2:46" x14ac:dyDescent="0.35">
      <c r="B6192" t="s">
        <v>649</v>
      </c>
      <c r="C6192">
        <v>45975</v>
      </c>
      <c r="J6192">
        <v>0</v>
      </c>
      <c r="O6192" t="s">
        <v>239</v>
      </c>
      <c r="P6192" t="s">
        <v>514</v>
      </c>
      <c r="U6192">
        <v>-279.33333333333348</v>
      </c>
      <c r="Y6192">
        <v>1778</v>
      </c>
      <c r="Z6192" s="259" t="s">
        <v>637</v>
      </c>
      <c r="AB6192">
        <v>46072.666666666664</v>
      </c>
      <c r="AF6192">
        <v>233915.3</v>
      </c>
      <c r="AG6192">
        <v>180</v>
      </c>
      <c r="AI6192">
        <v>233991.7</v>
      </c>
      <c r="AJ6192">
        <v>0</v>
      </c>
      <c r="AK6192">
        <v>0</v>
      </c>
      <c r="AL6192">
        <v>0</v>
      </c>
      <c r="AM6192">
        <v>191098</v>
      </c>
      <c r="AN6192">
        <v>42637.3</v>
      </c>
      <c r="AO6192">
        <v>233915.3</v>
      </c>
      <c r="AP6192">
        <v>0</v>
      </c>
      <c r="AQ6192">
        <v>-76.400000000023283</v>
      </c>
      <c r="AR6192">
        <v>-3.2650730773797765E-4</v>
      </c>
      <c r="AS6192" t="s">
        <v>239</v>
      </c>
      <c r="AT6192" t="s">
        <v>514</v>
      </c>
    </row>
    <row r="6193" spans="2:46" x14ac:dyDescent="0.35">
      <c r="B6193" t="s">
        <v>649</v>
      </c>
      <c r="C6193">
        <v>45976</v>
      </c>
      <c r="J6193">
        <v>0</v>
      </c>
      <c r="O6193" t="s">
        <v>239</v>
      </c>
      <c r="P6193" t="s">
        <v>514</v>
      </c>
      <c r="U6193">
        <v>-279.33333333333348</v>
      </c>
      <c r="Y6193">
        <v>1779</v>
      </c>
      <c r="Z6193" s="259" t="s">
        <v>637</v>
      </c>
      <c r="AB6193">
        <v>46072.666666666664</v>
      </c>
      <c r="AF6193">
        <v>233915.3</v>
      </c>
      <c r="AG6193">
        <v>180</v>
      </c>
      <c r="AI6193">
        <v>233915.3</v>
      </c>
      <c r="AJ6193">
        <v>0</v>
      </c>
      <c r="AK6193">
        <v>0</v>
      </c>
      <c r="AL6193">
        <v>0</v>
      </c>
      <c r="AM6193">
        <v>191098</v>
      </c>
      <c r="AN6193">
        <v>42637.3</v>
      </c>
      <c r="AO6193">
        <v>233915.3</v>
      </c>
      <c r="AP6193">
        <v>0</v>
      </c>
      <c r="AQ6193">
        <v>0</v>
      </c>
      <c r="AR6193">
        <v>0</v>
      </c>
      <c r="AS6193" t="s">
        <v>239</v>
      </c>
      <c r="AT6193" t="s">
        <v>514</v>
      </c>
    </row>
    <row r="6194" spans="2:46" x14ac:dyDescent="0.35">
      <c r="B6194" t="s">
        <v>649</v>
      </c>
      <c r="C6194">
        <v>45977</v>
      </c>
      <c r="J6194">
        <v>0</v>
      </c>
      <c r="O6194" t="s">
        <v>239</v>
      </c>
      <c r="P6194" t="s">
        <v>514</v>
      </c>
      <c r="U6194">
        <v>-279.33333333333348</v>
      </c>
      <c r="Y6194">
        <v>1780</v>
      </c>
      <c r="Z6194" s="259" t="s">
        <v>637</v>
      </c>
      <c r="AB6194">
        <v>46072.666666666664</v>
      </c>
      <c r="AF6194">
        <v>233915.3</v>
      </c>
      <c r="AG6194">
        <v>180</v>
      </c>
      <c r="AI6194">
        <v>233915.3</v>
      </c>
      <c r="AJ6194">
        <v>0</v>
      </c>
      <c r="AK6194">
        <v>0</v>
      </c>
      <c r="AL6194">
        <v>0</v>
      </c>
      <c r="AM6194">
        <v>191098</v>
      </c>
      <c r="AN6194">
        <v>42637.3</v>
      </c>
      <c r="AO6194">
        <v>233915.3</v>
      </c>
      <c r="AP6194">
        <v>0</v>
      </c>
      <c r="AQ6194">
        <v>0</v>
      </c>
      <c r="AR6194">
        <v>0</v>
      </c>
      <c r="AS6194" t="s">
        <v>239</v>
      </c>
      <c r="AT6194" t="s">
        <v>514</v>
      </c>
    </row>
    <row r="6195" spans="2:46" x14ac:dyDescent="0.35">
      <c r="B6195" t="s">
        <v>649</v>
      </c>
      <c r="C6195">
        <v>45978</v>
      </c>
      <c r="J6195">
        <v>0</v>
      </c>
      <c r="O6195" t="s">
        <v>239</v>
      </c>
      <c r="P6195" t="s">
        <v>514</v>
      </c>
      <c r="U6195">
        <v>-279.33333333333348</v>
      </c>
      <c r="Y6195">
        <v>1781</v>
      </c>
      <c r="Z6195" s="259" t="s">
        <v>637</v>
      </c>
      <c r="AB6195">
        <v>46072.666666666664</v>
      </c>
      <c r="AF6195">
        <v>233680.7</v>
      </c>
      <c r="AG6195">
        <v>180</v>
      </c>
      <c r="AI6195">
        <v>233915.3</v>
      </c>
      <c r="AJ6195">
        <v>0</v>
      </c>
      <c r="AK6195">
        <v>0</v>
      </c>
      <c r="AL6195">
        <v>0</v>
      </c>
      <c r="AM6195">
        <v>191098</v>
      </c>
      <c r="AN6195">
        <v>42402.7</v>
      </c>
      <c r="AO6195">
        <v>233680.7</v>
      </c>
      <c r="AP6195">
        <v>0</v>
      </c>
      <c r="AQ6195">
        <v>-234.59999999997672</v>
      </c>
      <c r="AR6195">
        <v>-1.0029271278961804E-3</v>
      </c>
      <c r="AS6195" t="s">
        <v>239</v>
      </c>
      <c r="AT6195" t="s">
        <v>514</v>
      </c>
    </row>
    <row r="6196" spans="2:46" x14ac:dyDescent="0.35">
      <c r="B6196" t="s">
        <v>649</v>
      </c>
      <c r="C6196">
        <v>45979</v>
      </c>
      <c r="J6196">
        <v>0</v>
      </c>
      <c r="O6196" t="s">
        <v>239</v>
      </c>
      <c r="P6196" t="s">
        <v>514</v>
      </c>
      <c r="U6196">
        <v>-279.33333333333348</v>
      </c>
      <c r="Y6196">
        <v>1782</v>
      </c>
      <c r="Z6196" s="259" t="s">
        <v>637</v>
      </c>
      <c r="AB6196">
        <v>46072.666666666664</v>
      </c>
      <c r="AF6196">
        <v>233604.3</v>
      </c>
      <c r="AG6196">
        <v>180</v>
      </c>
      <c r="AI6196">
        <v>233680.7</v>
      </c>
      <c r="AJ6196">
        <v>0</v>
      </c>
      <c r="AK6196">
        <v>0</v>
      </c>
      <c r="AL6196">
        <v>0</v>
      </c>
      <c r="AM6196">
        <v>191098</v>
      </c>
      <c r="AN6196">
        <v>42326.3</v>
      </c>
      <c r="AO6196">
        <v>233604.3</v>
      </c>
      <c r="AP6196">
        <v>0</v>
      </c>
      <c r="AQ6196">
        <v>-76.400000000023283</v>
      </c>
      <c r="AR6196">
        <v>-3.269418484282971E-4</v>
      </c>
      <c r="AS6196" t="s">
        <v>239</v>
      </c>
      <c r="AT6196" t="s">
        <v>514</v>
      </c>
    </row>
    <row r="6197" spans="2:46" x14ac:dyDescent="0.35">
      <c r="B6197" t="s">
        <v>649</v>
      </c>
      <c r="C6197">
        <v>45980</v>
      </c>
      <c r="J6197">
        <v>0</v>
      </c>
      <c r="O6197" t="s">
        <v>239</v>
      </c>
      <c r="P6197" t="s">
        <v>514</v>
      </c>
      <c r="U6197">
        <v>-279.33333333333348</v>
      </c>
      <c r="Y6197">
        <v>1783</v>
      </c>
      <c r="Z6197" s="259" t="s">
        <v>637</v>
      </c>
      <c r="AB6197">
        <v>46072.666666666664</v>
      </c>
      <c r="AF6197">
        <v>233527.9</v>
      </c>
      <c r="AG6197">
        <v>180</v>
      </c>
      <c r="AI6197">
        <v>233604.3</v>
      </c>
      <c r="AJ6197">
        <v>0</v>
      </c>
      <c r="AK6197">
        <v>0</v>
      </c>
      <c r="AL6197">
        <v>0</v>
      </c>
      <c r="AM6197">
        <v>191098</v>
      </c>
      <c r="AN6197">
        <v>42249.899999999994</v>
      </c>
      <c r="AO6197">
        <v>233527.9</v>
      </c>
      <c r="AP6197">
        <v>0</v>
      </c>
      <c r="AQ6197">
        <v>-76.399999999994179</v>
      </c>
      <c r="AR6197">
        <v>-3.2704877435896229E-4</v>
      </c>
      <c r="AS6197" t="s">
        <v>239</v>
      </c>
      <c r="AT6197" t="s">
        <v>514</v>
      </c>
    </row>
    <row r="6198" spans="2:46" x14ac:dyDescent="0.35">
      <c r="B6198" t="s">
        <v>649</v>
      </c>
      <c r="C6198">
        <v>45981</v>
      </c>
      <c r="J6198">
        <v>0</v>
      </c>
      <c r="O6198" t="s">
        <v>239</v>
      </c>
      <c r="P6198" t="s">
        <v>514</v>
      </c>
      <c r="U6198">
        <v>-279.33333333333348</v>
      </c>
      <c r="Y6198">
        <v>1784</v>
      </c>
      <c r="Z6198" s="259" t="s">
        <v>637</v>
      </c>
      <c r="AB6198">
        <v>46072.666666666664</v>
      </c>
      <c r="AF6198">
        <v>233448.8</v>
      </c>
      <c r="AG6198">
        <v>180</v>
      </c>
      <c r="AI6198">
        <v>233527.9</v>
      </c>
      <c r="AJ6198">
        <v>0</v>
      </c>
      <c r="AK6198">
        <v>0</v>
      </c>
      <c r="AL6198">
        <v>0</v>
      </c>
      <c r="AM6198">
        <v>191098</v>
      </c>
      <c r="AN6198">
        <v>42170.8</v>
      </c>
      <c r="AO6198">
        <v>233448.8</v>
      </c>
      <c r="AP6198">
        <v>0</v>
      </c>
      <c r="AQ6198">
        <v>-79.100000000005821</v>
      </c>
      <c r="AR6198">
        <v>-3.3871755794490088E-4</v>
      </c>
      <c r="AS6198" t="s">
        <v>239</v>
      </c>
      <c r="AT6198" t="s">
        <v>514</v>
      </c>
    </row>
    <row r="6199" spans="2:46" x14ac:dyDescent="0.35">
      <c r="B6199" t="s">
        <v>649</v>
      </c>
      <c r="C6199">
        <v>45982</v>
      </c>
      <c r="J6199">
        <v>0</v>
      </c>
      <c r="O6199" t="s">
        <v>239</v>
      </c>
      <c r="P6199" t="s">
        <v>514</v>
      </c>
      <c r="U6199">
        <v>-279.33333333333348</v>
      </c>
      <c r="Y6199">
        <v>1785</v>
      </c>
      <c r="Z6199" s="259" t="s">
        <v>637</v>
      </c>
      <c r="AB6199">
        <v>46072.666666666664</v>
      </c>
      <c r="AF6199">
        <v>233372.4</v>
      </c>
      <c r="AG6199">
        <v>180</v>
      </c>
      <c r="AI6199">
        <v>233448.8</v>
      </c>
      <c r="AJ6199">
        <v>0</v>
      </c>
      <c r="AK6199">
        <v>0</v>
      </c>
      <c r="AL6199">
        <v>0</v>
      </c>
      <c r="AM6199">
        <v>191098</v>
      </c>
      <c r="AN6199">
        <v>42094.400000000001</v>
      </c>
      <c r="AO6199">
        <v>233372.4</v>
      </c>
      <c r="AP6199">
        <v>0</v>
      </c>
      <c r="AQ6199">
        <v>-76.399999999994179</v>
      </c>
      <c r="AR6199">
        <v>-3.2726662120341476E-4</v>
      </c>
      <c r="AS6199" t="s">
        <v>239</v>
      </c>
      <c r="AT6199" t="s">
        <v>514</v>
      </c>
    </row>
    <row r="6200" spans="2:46" x14ac:dyDescent="0.35">
      <c r="B6200" t="s">
        <v>649</v>
      </c>
      <c r="C6200">
        <v>45983</v>
      </c>
      <c r="J6200">
        <v>0</v>
      </c>
      <c r="O6200" t="s">
        <v>239</v>
      </c>
      <c r="P6200" t="s">
        <v>514</v>
      </c>
      <c r="U6200">
        <v>-279.33333333333348</v>
      </c>
      <c r="Y6200">
        <v>1786</v>
      </c>
      <c r="Z6200" s="259" t="s">
        <v>637</v>
      </c>
      <c r="AB6200">
        <v>46072.666666666664</v>
      </c>
      <c r="AF6200">
        <v>233372.4</v>
      </c>
      <c r="AG6200">
        <v>180</v>
      </c>
      <c r="AI6200">
        <v>233372.4</v>
      </c>
      <c r="AJ6200">
        <v>0</v>
      </c>
      <c r="AK6200">
        <v>0</v>
      </c>
      <c r="AL6200">
        <v>0</v>
      </c>
      <c r="AM6200">
        <v>191098</v>
      </c>
      <c r="AN6200">
        <v>42094.400000000001</v>
      </c>
      <c r="AO6200">
        <v>233372.4</v>
      </c>
      <c r="AP6200">
        <v>0</v>
      </c>
      <c r="AQ6200">
        <v>0</v>
      </c>
      <c r="AR6200">
        <v>0</v>
      </c>
      <c r="AS6200" t="s">
        <v>239</v>
      </c>
      <c r="AT6200" t="s">
        <v>514</v>
      </c>
    </row>
    <row r="6201" spans="2:46" x14ac:dyDescent="0.35">
      <c r="B6201" t="s">
        <v>649</v>
      </c>
      <c r="C6201">
        <v>45984</v>
      </c>
      <c r="J6201">
        <v>0</v>
      </c>
      <c r="O6201" t="s">
        <v>239</v>
      </c>
      <c r="P6201" t="s">
        <v>514</v>
      </c>
      <c r="U6201">
        <v>-279.33333333333348</v>
      </c>
      <c r="Y6201">
        <v>1787</v>
      </c>
      <c r="Z6201" s="259" t="s">
        <v>637</v>
      </c>
      <c r="AB6201">
        <v>46072.666666666664</v>
      </c>
      <c r="AF6201">
        <v>233372.4</v>
      </c>
      <c r="AG6201">
        <v>180</v>
      </c>
      <c r="AI6201">
        <v>233372.4</v>
      </c>
      <c r="AJ6201">
        <v>0</v>
      </c>
      <c r="AK6201">
        <v>0</v>
      </c>
      <c r="AL6201">
        <v>0</v>
      </c>
      <c r="AM6201">
        <v>191098</v>
      </c>
      <c r="AN6201">
        <v>42094.400000000001</v>
      </c>
      <c r="AO6201">
        <v>233372.4</v>
      </c>
      <c r="AP6201">
        <v>0</v>
      </c>
      <c r="AQ6201">
        <v>0</v>
      </c>
      <c r="AR6201">
        <v>0</v>
      </c>
      <c r="AS6201" t="s">
        <v>239</v>
      </c>
      <c r="AT6201" t="s">
        <v>514</v>
      </c>
    </row>
    <row r="6202" spans="2:46" x14ac:dyDescent="0.35">
      <c r="B6202" t="s">
        <v>649</v>
      </c>
      <c r="C6202">
        <v>45985</v>
      </c>
      <c r="J6202">
        <v>0</v>
      </c>
      <c r="O6202" t="s">
        <v>239</v>
      </c>
      <c r="P6202" t="s">
        <v>514</v>
      </c>
      <c r="U6202">
        <v>-279.33333333333348</v>
      </c>
      <c r="Y6202">
        <v>1788</v>
      </c>
      <c r="Z6202" s="259" t="s">
        <v>637</v>
      </c>
      <c r="AB6202">
        <v>46072.666666666664</v>
      </c>
      <c r="AF6202">
        <v>233141.8</v>
      </c>
      <c r="AG6202">
        <v>180</v>
      </c>
      <c r="AI6202">
        <v>233372.4</v>
      </c>
      <c r="AJ6202">
        <v>0</v>
      </c>
      <c r="AK6202">
        <v>0</v>
      </c>
      <c r="AL6202">
        <v>0</v>
      </c>
      <c r="AM6202">
        <v>191098</v>
      </c>
      <c r="AN6202">
        <v>41863.800000000003</v>
      </c>
      <c r="AO6202">
        <v>233141.8</v>
      </c>
      <c r="AP6202">
        <v>0</v>
      </c>
      <c r="AQ6202">
        <v>-230.60000000000582</v>
      </c>
      <c r="AR6202">
        <v>-9.8812027471972819E-4</v>
      </c>
      <c r="AS6202" t="s">
        <v>239</v>
      </c>
      <c r="AT6202" t="s">
        <v>514</v>
      </c>
    </row>
    <row r="6203" spans="2:46" x14ac:dyDescent="0.35">
      <c r="B6203" t="s">
        <v>649</v>
      </c>
      <c r="C6203">
        <v>45986</v>
      </c>
      <c r="J6203">
        <v>0</v>
      </c>
      <c r="O6203" t="s">
        <v>239</v>
      </c>
      <c r="P6203" t="s">
        <v>514</v>
      </c>
      <c r="U6203">
        <v>-279.33333333333348</v>
      </c>
      <c r="Y6203">
        <v>1789</v>
      </c>
      <c r="Z6203" s="259" t="s">
        <v>637</v>
      </c>
      <c r="AB6203">
        <v>46072.666666666664</v>
      </c>
      <c r="AF6203">
        <v>233065.4</v>
      </c>
      <c r="AG6203">
        <v>180</v>
      </c>
      <c r="AI6203">
        <v>233141.8</v>
      </c>
      <c r="AJ6203">
        <v>0</v>
      </c>
      <c r="AK6203">
        <v>0</v>
      </c>
      <c r="AL6203">
        <v>0</v>
      </c>
      <c r="AM6203">
        <v>191098</v>
      </c>
      <c r="AN6203">
        <v>41787.4</v>
      </c>
      <c r="AO6203">
        <v>233065.4</v>
      </c>
      <c r="AP6203">
        <v>0</v>
      </c>
      <c r="AQ6203">
        <v>-76.399999999994179</v>
      </c>
      <c r="AR6203">
        <v>-3.2769756431494379E-4</v>
      </c>
      <c r="AS6203" t="s">
        <v>239</v>
      </c>
      <c r="AT6203" t="s">
        <v>514</v>
      </c>
    </row>
    <row r="6204" spans="2:46" x14ac:dyDescent="0.35">
      <c r="B6204" t="s">
        <v>649</v>
      </c>
      <c r="C6204">
        <v>45987</v>
      </c>
      <c r="J6204">
        <v>0</v>
      </c>
      <c r="O6204" t="s">
        <v>239</v>
      </c>
      <c r="P6204" t="s">
        <v>514</v>
      </c>
      <c r="U6204">
        <v>-279.33333333333348</v>
      </c>
      <c r="Y6204">
        <v>1790</v>
      </c>
      <c r="Z6204" s="259" t="s">
        <v>637</v>
      </c>
      <c r="AB6204">
        <v>46072.666666666664</v>
      </c>
      <c r="AF6204">
        <v>232986.3</v>
      </c>
      <c r="AG6204">
        <v>180</v>
      </c>
      <c r="AI6204">
        <v>233065.4</v>
      </c>
      <c r="AJ6204">
        <v>0</v>
      </c>
      <c r="AK6204">
        <v>0</v>
      </c>
      <c r="AL6204">
        <v>0</v>
      </c>
      <c r="AM6204">
        <v>191098</v>
      </c>
      <c r="AN6204">
        <v>41708.300000000003</v>
      </c>
      <c r="AO6204">
        <v>232986.3</v>
      </c>
      <c r="AP6204">
        <v>0</v>
      </c>
      <c r="AQ6204">
        <v>-79.100000000005821</v>
      </c>
      <c r="AR6204">
        <v>-3.3938971636293669E-4</v>
      </c>
      <c r="AS6204" t="s">
        <v>239</v>
      </c>
      <c r="AT6204" t="s">
        <v>514</v>
      </c>
    </row>
    <row r="6205" spans="2:46" x14ac:dyDescent="0.35">
      <c r="B6205" t="s">
        <v>649</v>
      </c>
      <c r="C6205">
        <v>45988</v>
      </c>
      <c r="J6205">
        <v>0</v>
      </c>
      <c r="O6205" t="s">
        <v>239</v>
      </c>
      <c r="P6205" t="s">
        <v>514</v>
      </c>
      <c r="U6205">
        <v>-279.33333333333348</v>
      </c>
      <c r="Y6205">
        <v>1791</v>
      </c>
      <c r="Z6205" s="259" t="s">
        <v>637</v>
      </c>
      <c r="AB6205">
        <v>46072.666666666664</v>
      </c>
      <c r="AF6205">
        <v>232909.9</v>
      </c>
      <c r="AG6205">
        <v>180</v>
      </c>
      <c r="AI6205">
        <v>232986.3</v>
      </c>
      <c r="AJ6205">
        <v>0</v>
      </c>
      <c r="AK6205">
        <v>0</v>
      </c>
      <c r="AL6205">
        <v>0</v>
      </c>
      <c r="AM6205">
        <v>191098</v>
      </c>
      <c r="AN6205">
        <v>41631.9</v>
      </c>
      <c r="AO6205">
        <v>232909.9</v>
      </c>
      <c r="AP6205">
        <v>0</v>
      </c>
      <c r="AQ6205">
        <v>-76.399999999994179</v>
      </c>
      <c r="AR6205">
        <v>-3.2791627662220879E-4</v>
      </c>
      <c r="AS6205" t="s">
        <v>239</v>
      </c>
      <c r="AT6205" t="s">
        <v>514</v>
      </c>
    </row>
    <row r="6206" spans="2:46" x14ac:dyDescent="0.35">
      <c r="B6206" t="s">
        <v>649</v>
      </c>
      <c r="C6206">
        <v>45989</v>
      </c>
      <c r="J6206">
        <v>0</v>
      </c>
      <c r="O6206" t="s">
        <v>239</v>
      </c>
      <c r="P6206" t="s">
        <v>514</v>
      </c>
      <c r="U6206">
        <v>-279.33333333333348</v>
      </c>
      <c r="Y6206">
        <v>1792</v>
      </c>
      <c r="Z6206" s="259" t="s">
        <v>637</v>
      </c>
      <c r="AB6206">
        <v>46072.666666666664</v>
      </c>
      <c r="AF6206">
        <v>232833.5</v>
      </c>
      <c r="AG6206">
        <v>180</v>
      </c>
      <c r="AI6206">
        <v>232909.9</v>
      </c>
      <c r="AJ6206">
        <v>0</v>
      </c>
      <c r="AK6206">
        <v>0</v>
      </c>
      <c r="AL6206">
        <v>0</v>
      </c>
      <c r="AM6206">
        <v>191098</v>
      </c>
      <c r="AN6206">
        <v>41555.5</v>
      </c>
      <c r="AO6206">
        <v>232833.5</v>
      </c>
      <c r="AP6206">
        <v>0</v>
      </c>
      <c r="AQ6206">
        <v>-76.399999999994179</v>
      </c>
      <c r="AR6206">
        <v>-3.2802384097885273E-4</v>
      </c>
      <c r="AS6206" t="s">
        <v>239</v>
      </c>
      <c r="AT6206" t="s">
        <v>514</v>
      </c>
    </row>
    <row r="6207" spans="2:46" x14ac:dyDescent="0.35">
      <c r="B6207" t="s">
        <v>649</v>
      </c>
      <c r="C6207">
        <v>45990</v>
      </c>
      <c r="J6207">
        <v>0</v>
      </c>
      <c r="O6207" t="s">
        <v>239</v>
      </c>
      <c r="P6207" t="s">
        <v>514</v>
      </c>
      <c r="U6207">
        <v>-279.33333333333348</v>
      </c>
      <c r="Y6207">
        <v>1793</v>
      </c>
      <c r="Z6207" s="259" t="s">
        <v>637</v>
      </c>
      <c r="AB6207">
        <v>46072.666666666664</v>
      </c>
      <c r="AF6207">
        <v>232833.5</v>
      </c>
      <c r="AG6207">
        <v>180</v>
      </c>
      <c r="AI6207">
        <v>232833.5</v>
      </c>
      <c r="AJ6207">
        <v>0</v>
      </c>
      <c r="AK6207">
        <v>0</v>
      </c>
      <c r="AL6207">
        <v>0</v>
      </c>
      <c r="AM6207">
        <v>191098</v>
      </c>
      <c r="AN6207">
        <v>41555.5</v>
      </c>
      <c r="AO6207">
        <v>232833.5</v>
      </c>
      <c r="AP6207">
        <v>0</v>
      </c>
      <c r="AQ6207">
        <v>0</v>
      </c>
      <c r="AR6207">
        <v>0</v>
      </c>
      <c r="AS6207" t="s">
        <v>239</v>
      </c>
      <c r="AT6207" t="s">
        <v>514</v>
      </c>
    </row>
    <row r="6208" spans="2:46" x14ac:dyDescent="0.35">
      <c r="B6208" t="s">
        <v>649</v>
      </c>
      <c r="C6208">
        <v>45991</v>
      </c>
      <c r="J6208">
        <v>0</v>
      </c>
      <c r="O6208" t="s">
        <v>239</v>
      </c>
      <c r="P6208" t="s">
        <v>514</v>
      </c>
      <c r="U6208">
        <v>-279.33333333333348</v>
      </c>
      <c r="Y6208">
        <v>1794</v>
      </c>
      <c r="Z6208" s="259" t="s">
        <v>637</v>
      </c>
      <c r="AB6208">
        <v>46072.666666666664</v>
      </c>
      <c r="AF6208">
        <v>232833.5</v>
      </c>
      <c r="AG6208">
        <v>180</v>
      </c>
      <c r="AI6208">
        <v>232833.5</v>
      </c>
      <c r="AJ6208">
        <v>0</v>
      </c>
      <c r="AK6208">
        <v>0</v>
      </c>
      <c r="AL6208">
        <v>0</v>
      </c>
      <c r="AM6208">
        <v>191098</v>
      </c>
      <c r="AN6208">
        <v>41555.5</v>
      </c>
      <c r="AO6208">
        <v>232833.5</v>
      </c>
      <c r="AP6208">
        <v>0</v>
      </c>
      <c r="AQ6208">
        <v>0</v>
      </c>
      <c r="AR6208">
        <v>0</v>
      </c>
      <c r="AS6208" t="s">
        <v>239</v>
      </c>
      <c r="AT6208" t="s">
        <v>514</v>
      </c>
    </row>
    <row r="6209" spans="2:46" x14ac:dyDescent="0.35">
      <c r="B6209" t="s">
        <v>649</v>
      </c>
      <c r="C6209">
        <v>45992</v>
      </c>
      <c r="J6209">
        <v>0</v>
      </c>
      <c r="O6209" t="s">
        <v>239</v>
      </c>
      <c r="P6209" t="s">
        <v>514</v>
      </c>
      <c r="U6209">
        <v>-279.33333333333348</v>
      </c>
      <c r="Y6209">
        <v>1795</v>
      </c>
      <c r="Z6209" s="259" t="s">
        <v>637</v>
      </c>
      <c r="AB6209">
        <v>46072.666666666664</v>
      </c>
      <c r="AF6209">
        <v>232678</v>
      </c>
      <c r="AG6209">
        <v>180</v>
      </c>
      <c r="AI6209">
        <v>232833.5</v>
      </c>
      <c r="AJ6209">
        <v>0</v>
      </c>
      <c r="AK6209">
        <v>0</v>
      </c>
      <c r="AL6209">
        <v>0</v>
      </c>
      <c r="AM6209">
        <v>191098</v>
      </c>
      <c r="AN6209">
        <v>41400</v>
      </c>
      <c r="AO6209">
        <v>232678</v>
      </c>
      <c r="AP6209">
        <v>0</v>
      </c>
      <c r="AQ6209">
        <v>-155.5</v>
      </c>
      <c r="AR6209">
        <v>-6.6785922128898001E-4</v>
      </c>
      <c r="AS6209" t="s">
        <v>239</v>
      </c>
      <c r="AT6209" t="s">
        <v>514</v>
      </c>
    </row>
    <row r="6210" spans="2:46" x14ac:dyDescent="0.35">
      <c r="B6210" t="s">
        <v>649</v>
      </c>
      <c r="C6210">
        <v>45993</v>
      </c>
      <c r="J6210">
        <v>0</v>
      </c>
      <c r="O6210" t="s">
        <v>239</v>
      </c>
      <c r="P6210" t="s">
        <v>514</v>
      </c>
      <c r="U6210">
        <v>-279.33333333333348</v>
      </c>
      <c r="Y6210">
        <v>1796</v>
      </c>
      <c r="Z6210" s="259" t="s">
        <v>637</v>
      </c>
      <c r="AB6210">
        <v>46072.666666666664</v>
      </c>
      <c r="AF6210">
        <v>232666.2</v>
      </c>
      <c r="AG6210">
        <v>180</v>
      </c>
      <c r="AI6210">
        <v>232678</v>
      </c>
      <c r="AJ6210">
        <v>0</v>
      </c>
      <c r="AK6210">
        <v>0</v>
      </c>
      <c r="AL6210">
        <v>0</v>
      </c>
      <c r="AM6210">
        <v>191098</v>
      </c>
      <c r="AN6210">
        <v>41388.199999999997</v>
      </c>
      <c r="AO6210">
        <v>232666.2</v>
      </c>
      <c r="AP6210">
        <v>0</v>
      </c>
      <c r="AQ6210">
        <v>-11.799999999988358</v>
      </c>
      <c r="AR6210">
        <v>-5.0713862075446592E-5</v>
      </c>
      <c r="AS6210" t="s">
        <v>239</v>
      </c>
      <c r="AT6210" t="s">
        <v>514</v>
      </c>
    </row>
    <row r="6211" spans="2:46" x14ac:dyDescent="0.35">
      <c r="B6211" t="s">
        <v>649</v>
      </c>
      <c r="C6211">
        <v>45994</v>
      </c>
      <c r="J6211">
        <v>0</v>
      </c>
      <c r="O6211" t="s">
        <v>239</v>
      </c>
      <c r="P6211" t="s">
        <v>514</v>
      </c>
      <c r="U6211">
        <v>-279.33333333333348</v>
      </c>
      <c r="Y6211">
        <v>1797</v>
      </c>
      <c r="Z6211" s="259" t="s">
        <v>637</v>
      </c>
      <c r="AB6211">
        <v>46072.666666666664</v>
      </c>
      <c r="AF6211">
        <v>232655.8</v>
      </c>
      <c r="AG6211">
        <v>180</v>
      </c>
      <c r="AI6211">
        <v>232666.2</v>
      </c>
      <c r="AJ6211">
        <v>0</v>
      </c>
      <c r="AK6211">
        <v>0</v>
      </c>
      <c r="AL6211">
        <v>0</v>
      </c>
      <c r="AM6211">
        <v>191098</v>
      </c>
      <c r="AN6211">
        <v>41377.800000000003</v>
      </c>
      <c r="AO6211">
        <v>232655.8</v>
      </c>
      <c r="AP6211">
        <v>0</v>
      </c>
      <c r="AQ6211">
        <v>-10.400000000023283</v>
      </c>
      <c r="AR6211">
        <v>-4.4699230055900152E-5</v>
      </c>
      <c r="AS6211" t="s">
        <v>239</v>
      </c>
      <c r="AT6211" t="s">
        <v>514</v>
      </c>
    </row>
    <row r="6212" spans="2:46" x14ac:dyDescent="0.35">
      <c r="B6212" t="s">
        <v>649</v>
      </c>
      <c r="C6212">
        <v>45995</v>
      </c>
      <c r="J6212">
        <v>0</v>
      </c>
      <c r="O6212" t="s">
        <v>239</v>
      </c>
      <c r="P6212" t="s">
        <v>514</v>
      </c>
      <c r="U6212">
        <v>-279.33333333333348</v>
      </c>
      <c r="Y6212">
        <v>1798</v>
      </c>
      <c r="Z6212" s="259" t="s">
        <v>637</v>
      </c>
      <c r="AB6212">
        <v>46072.666666666664</v>
      </c>
      <c r="AF6212">
        <v>232644</v>
      </c>
      <c r="AG6212">
        <v>180</v>
      </c>
      <c r="AI6212">
        <v>232655.8</v>
      </c>
      <c r="AJ6212">
        <v>0</v>
      </c>
      <c r="AK6212">
        <v>0</v>
      </c>
      <c r="AL6212">
        <v>0</v>
      </c>
      <c r="AM6212">
        <v>191098</v>
      </c>
      <c r="AN6212">
        <v>41366</v>
      </c>
      <c r="AO6212">
        <v>232644</v>
      </c>
      <c r="AP6212">
        <v>0</v>
      </c>
      <c r="AQ6212">
        <v>-11.799999999988358</v>
      </c>
      <c r="AR6212">
        <v>-5.0718701188556814E-5</v>
      </c>
      <c r="AS6212" t="s">
        <v>239</v>
      </c>
      <c r="AT6212" t="s">
        <v>514</v>
      </c>
    </row>
    <row r="6213" spans="2:46" x14ac:dyDescent="0.35">
      <c r="B6213" t="s">
        <v>649</v>
      </c>
      <c r="C6213">
        <v>45996</v>
      </c>
      <c r="J6213">
        <v>0</v>
      </c>
      <c r="O6213" t="s">
        <v>239</v>
      </c>
      <c r="P6213" t="s">
        <v>514</v>
      </c>
      <c r="U6213">
        <v>-279.33333333333348</v>
      </c>
      <c r="Y6213">
        <v>1799</v>
      </c>
      <c r="Z6213" s="259" t="s">
        <v>637</v>
      </c>
      <c r="AB6213">
        <v>46072.666666666664</v>
      </c>
      <c r="AF6213">
        <v>232632.2</v>
      </c>
      <c r="AG6213">
        <v>180</v>
      </c>
      <c r="AI6213">
        <v>232644</v>
      </c>
      <c r="AJ6213">
        <v>0</v>
      </c>
      <c r="AK6213">
        <v>0</v>
      </c>
      <c r="AL6213">
        <v>0</v>
      </c>
      <c r="AM6213">
        <v>191098</v>
      </c>
      <c r="AN6213">
        <v>41354.199999999997</v>
      </c>
      <c r="AO6213">
        <v>232632.2</v>
      </c>
      <c r="AP6213">
        <v>0</v>
      </c>
      <c r="AQ6213">
        <v>-11.799999999988358</v>
      </c>
      <c r="AR6213">
        <v>-5.0721273705645054E-5</v>
      </c>
      <c r="AS6213" t="s">
        <v>239</v>
      </c>
      <c r="AT6213" t="s">
        <v>514</v>
      </c>
    </row>
    <row r="6214" spans="2:46" x14ac:dyDescent="0.35">
      <c r="B6214" t="s">
        <v>649</v>
      </c>
      <c r="C6214">
        <v>45997</v>
      </c>
      <c r="J6214">
        <v>0</v>
      </c>
      <c r="O6214" t="s">
        <v>239</v>
      </c>
      <c r="P6214" t="s">
        <v>514</v>
      </c>
      <c r="U6214">
        <v>-279.33333333333348</v>
      </c>
      <c r="Y6214">
        <v>1800</v>
      </c>
      <c r="Z6214" s="259" t="s">
        <v>637</v>
      </c>
      <c r="AB6214">
        <v>46072.666666666664</v>
      </c>
      <c r="AF6214">
        <v>232632.2</v>
      </c>
      <c r="AG6214">
        <v>180</v>
      </c>
      <c r="AI6214">
        <v>232632.2</v>
      </c>
      <c r="AJ6214">
        <v>0</v>
      </c>
      <c r="AK6214">
        <v>0</v>
      </c>
      <c r="AL6214">
        <v>0</v>
      </c>
      <c r="AM6214">
        <v>191098</v>
      </c>
      <c r="AN6214">
        <v>41354.199999999997</v>
      </c>
      <c r="AO6214">
        <v>232632.2</v>
      </c>
      <c r="AP6214">
        <v>0</v>
      </c>
      <c r="AQ6214">
        <v>0</v>
      </c>
      <c r="AR6214">
        <v>0</v>
      </c>
      <c r="AS6214" t="s">
        <v>239</v>
      </c>
      <c r="AT6214" t="s">
        <v>514</v>
      </c>
    </row>
    <row r="6215" spans="2:46" x14ac:dyDescent="0.35">
      <c r="B6215" t="s">
        <v>649</v>
      </c>
      <c r="C6215">
        <v>45998</v>
      </c>
      <c r="J6215">
        <v>0</v>
      </c>
      <c r="O6215" t="s">
        <v>239</v>
      </c>
      <c r="P6215" t="s">
        <v>514</v>
      </c>
      <c r="U6215">
        <v>-279.33333333333348</v>
      </c>
      <c r="Y6215">
        <v>1801</v>
      </c>
      <c r="Z6215" s="259" t="s">
        <v>637</v>
      </c>
      <c r="AB6215">
        <v>46072.666666666664</v>
      </c>
      <c r="AF6215">
        <v>232632.2</v>
      </c>
      <c r="AG6215">
        <v>180</v>
      </c>
      <c r="AI6215">
        <v>232632.2</v>
      </c>
      <c r="AJ6215">
        <v>0</v>
      </c>
      <c r="AK6215">
        <v>0</v>
      </c>
      <c r="AL6215">
        <v>0</v>
      </c>
      <c r="AM6215">
        <v>191098</v>
      </c>
      <c r="AN6215">
        <v>41354.199999999997</v>
      </c>
      <c r="AO6215">
        <v>232632.2</v>
      </c>
      <c r="AP6215">
        <v>0</v>
      </c>
      <c r="AQ6215">
        <v>0</v>
      </c>
      <c r="AR6215">
        <v>0</v>
      </c>
      <c r="AS6215" t="s">
        <v>239</v>
      </c>
      <c r="AT6215" t="s">
        <v>514</v>
      </c>
    </row>
    <row r="6216" spans="2:46" x14ac:dyDescent="0.35">
      <c r="B6216" t="s">
        <v>649</v>
      </c>
      <c r="C6216">
        <v>45999</v>
      </c>
      <c r="J6216">
        <v>0</v>
      </c>
      <c r="O6216" t="s">
        <v>239</v>
      </c>
      <c r="P6216" t="s">
        <v>514</v>
      </c>
      <c r="U6216">
        <v>-279.33333333333348</v>
      </c>
      <c r="Y6216">
        <v>1802</v>
      </c>
      <c r="Z6216" s="259" t="s">
        <v>637</v>
      </c>
      <c r="AB6216">
        <v>46072.666666666664</v>
      </c>
      <c r="AF6216">
        <v>232598.2</v>
      </c>
      <c r="AG6216">
        <v>180</v>
      </c>
      <c r="AI6216">
        <v>232632.2</v>
      </c>
      <c r="AJ6216">
        <v>0</v>
      </c>
      <c r="AK6216">
        <v>0</v>
      </c>
      <c r="AL6216">
        <v>0</v>
      </c>
      <c r="AM6216">
        <v>191098</v>
      </c>
      <c r="AN6216">
        <v>41320.199999999997</v>
      </c>
      <c r="AO6216">
        <v>232598.2</v>
      </c>
      <c r="AP6216">
        <v>0</v>
      </c>
      <c r="AQ6216">
        <v>-34</v>
      </c>
      <c r="AR6216">
        <v>-1.4615345597046581E-4</v>
      </c>
      <c r="AS6216" t="s">
        <v>239</v>
      </c>
      <c r="AT6216" t="s">
        <v>514</v>
      </c>
    </row>
    <row r="6217" spans="2:46" x14ac:dyDescent="0.35">
      <c r="B6217" t="s">
        <v>649</v>
      </c>
      <c r="C6217">
        <v>46000</v>
      </c>
      <c r="J6217">
        <v>0</v>
      </c>
      <c r="O6217" t="s">
        <v>239</v>
      </c>
      <c r="P6217" t="s">
        <v>514</v>
      </c>
      <c r="U6217">
        <v>-279.33333333333348</v>
      </c>
      <c r="Y6217">
        <v>1803</v>
      </c>
      <c r="Z6217" s="259" t="s">
        <v>637</v>
      </c>
      <c r="AB6217">
        <v>46072.666666666664</v>
      </c>
      <c r="AF6217">
        <v>232587.8</v>
      </c>
      <c r="AG6217">
        <v>180</v>
      </c>
      <c r="AI6217">
        <v>232598.2</v>
      </c>
      <c r="AJ6217">
        <v>0</v>
      </c>
      <c r="AK6217">
        <v>0</v>
      </c>
      <c r="AL6217">
        <v>0</v>
      </c>
      <c r="AM6217">
        <v>191098</v>
      </c>
      <c r="AN6217">
        <v>41309.800000000003</v>
      </c>
      <c r="AO6217">
        <v>232587.8</v>
      </c>
      <c r="AP6217">
        <v>0</v>
      </c>
      <c r="AQ6217">
        <v>-10.400000000023283</v>
      </c>
      <c r="AR6217">
        <v>-4.4712297859628158E-5</v>
      </c>
      <c r="AS6217" t="s">
        <v>239</v>
      </c>
      <c r="AT6217" t="s">
        <v>514</v>
      </c>
    </row>
    <row r="6218" spans="2:46" x14ac:dyDescent="0.35">
      <c r="B6218" t="s">
        <v>649</v>
      </c>
      <c r="C6218">
        <v>46001</v>
      </c>
      <c r="J6218">
        <v>0</v>
      </c>
      <c r="O6218" t="s">
        <v>239</v>
      </c>
      <c r="P6218" t="s">
        <v>514</v>
      </c>
      <c r="U6218">
        <v>-279.33333333333348</v>
      </c>
      <c r="Y6218">
        <v>1804</v>
      </c>
      <c r="Z6218" s="259" t="s">
        <v>637</v>
      </c>
      <c r="AB6218">
        <v>46072.666666666664</v>
      </c>
      <c r="AF6218">
        <v>232576</v>
      </c>
      <c r="AG6218">
        <v>180</v>
      </c>
      <c r="AI6218">
        <v>232587.8</v>
      </c>
      <c r="AJ6218">
        <v>0</v>
      </c>
      <c r="AK6218">
        <v>0</v>
      </c>
      <c r="AL6218">
        <v>0</v>
      </c>
      <c r="AM6218">
        <v>191098</v>
      </c>
      <c r="AN6218">
        <v>41298</v>
      </c>
      <c r="AO6218">
        <v>232576</v>
      </c>
      <c r="AP6218">
        <v>0</v>
      </c>
      <c r="AQ6218">
        <v>-11.799999999988358</v>
      </c>
      <c r="AR6218">
        <v>-5.0733529445623482E-5</v>
      </c>
      <c r="AS6218" t="s">
        <v>239</v>
      </c>
      <c r="AT6218" t="s">
        <v>514</v>
      </c>
    </row>
    <row r="6219" spans="2:46" x14ac:dyDescent="0.35">
      <c r="B6219" t="s">
        <v>649</v>
      </c>
      <c r="C6219">
        <v>46002</v>
      </c>
      <c r="J6219">
        <v>0</v>
      </c>
      <c r="O6219" t="s">
        <v>239</v>
      </c>
      <c r="P6219" t="s">
        <v>514</v>
      </c>
      <c r="U6219">
        <v>-279.33333333333348</v>
      </c>
      <c r="Y6219">
        <v>1805</v>
      </c>
      <c r="Z6219" s="259" t="s">
        <v>637</v>
      </c>
      <c r="AB6219">
        <v>46072.666666666664</v>
      </c>
      <c r="AF6219">
        <v>232564.2</v>
      </c>
      <c r="AG6219">
        <v>180</v>
      </c>
      <c r="AI6219">
        <v>232576</v>
      </c>
      <c r="AJ6219">
        <v>0</v>
      </c>
      <c r="AK6219">
        <v>0</v>
      </c>
      <c r="AL6219">
        <v>0</v>
      </c>
      <c r="AM6219">
        <v>191098</v>
      </c>
      <c r="AN6219">
        <v>41286.199999999997</v>
      </c>
      <c r="AO6219">
        <v>232564.2</v>
      </c>
      <c r="AP6219">
        <v>0</v>
      </c>
      <c r="AQ6219">
        <v>-11.799999999988358</v>
      </c>
      <c r="AR6219">
        <v>-5.0736103467174942E-5</v>
      </c>
      <c r="AS6219" t="s">
        <v>239</v>
      </c>
      <c r="AT6219" t="s">
        <v>514</v>
      </c>
    </row>
    <row r="6220" spans="2:46" x14ac:dyDescent="0.35">
      <c r="B6220" t="s">
        <v>649</v>
      </c>
      <c r="C6220">
        <v>46003</v>
      </c>
      <c r="J6220">
        <v>0</v>
      </c>
      <c r="O6220" t="s">
        <v>239</v>
      </c>
      <c r="P6220" t="s">
        <v>514</v>
      </c>
      <c r="U6220">
        <v>-279.33333333333348</v>
      </c>
      <c r="Y6220">
        <v>1806</v>
      </c>
      <c r="Z6220" s="259" t="s">
        <v>637</v>
      </c>
      <c r="AB6220">
        <v>46072.666666666664</v>
      </c>
      <c r="AF6220">
        <v>232553.8</v>
      </c>
      <c r="AG6220">
        <v>180</v>
      </c>
      <c r="AI6220">
        <v>232564.2</v>
      </c>
      <c r="AJ6220">
        <v>0</v>
      </c>
      <c r="AK6220">
        <v>0</v>
      </c>
      <c r="AL6220">
        <v>0</v>
      </c>
      <c r="AM6220">
        <v>191098</v>
      </c>
      <c r="AN6220">
        <v>41275.800000000003</v>
      </c>
      <c r="AO6220">
        <v>232553.8</v>
      </c>
      <c r="AP6220">
        <v>0</v>
      </c>
      <c r="AQ6220">
        <v>-10.400000000023283</v>
      </c>
      <c r="AR6220">
        <v>-4.4718834627310855E-5</v>
      </c>
      <c r="AS6220" t="s">
        <v>239</v>
      </c>
      <c r="AT6220" t="s">
        <v>514</v>
      </c>
    </row>
    <row r="6221" spans="2:46" x14ac:dyDescent="0.35">
      <c r="B6221" t="s">
        <v>649</v>
      </c>
      <c r="C6221">
        <v>46004</v>
      </c>
      <c r="J6221">
        <v>0</v>
      </c>
      <c r="O6221" t="s">
        <v>239</v>
      </c>
      <c r="P6221" t="s">
        <v>514</v>
      </c>
      <c r="U6221">
        <v>-279.33333333333348</v>
      </c>
      <c r="Y6221">
        <v>1807</v>
      </c>
      <c r="Z6221" s="259" t="s">
        <v>637</v>
      </c>
      <c r="AB6221">
        <v>46072.666666666664</v>
      </c>
      <c r="AF6221">
        <v>232553.8</v>
      </c>
      <c r="AG6221">
        <v>180</v>
      </c>
      <c r="AI6221">
        <v>232553.8</v>
      </c>
      <c r="AJ6221">
        <v>0</v>
      </c>
      <c r="AK6221">
        <v>0</v>
      </c>
      <c r="AL6221">
        <v>0</v>
      </c>
      <c r="AM6221">
        <v>191098</v>
      </c>
      <c r="AN6221">
        <v>41275.800000000003</v>
      </c>
      <c r="AO6221">
        <v>232553.8</v>
      </c>
      <c r="AP6221">
        <v>0</v>
      </c>
      <c r="AQ6221">
        <v>0</v>
      </c>
      <c r="AR6221">
        <v>0</v>
      </c>
      <c r="AS6221" t="s">
        <v>239</v>
      </c>
      <c r="AT6221" t="s">
        <v>514</v>
      </c>
    </row>
    <row r="6222" spans="2:46" x14ac:dyDescent="0.35">
      <c r="B6222" t="s">
        <v>649</v>
      </c>
      <c r="C6222">
        <v>46005</v>
      </c>
      <c r="J6222">
        <v>0</v>
      </c>
      <c r="O6222" t="s">
        <v>239</v>
      </c>
      <c r="P6222" t="s">
        <v>514</v>
      </c>
      <c r="U6222">
        <v>-279.33333333333348</v>
      </c>
      <c r="Y6222">
        <v>1808</v>
      </c>
      <c r="Z6222" s="259" t="s">
        <v>637</v>
      </c>
      <c r="AB6222">
        <v>46072.666666666664</v>
      </c>
      <c r="AF6222">
        <v>232553.8</v>
      </c>
      <c r="AG6222">
        <v>180</v>
      </c>
      <c r="AI6222">
        <v>232553.8</v>
      </c>
      <c r="AJ6222">
        <v>0</v>
      </c>
      <c r="AK6222">
        <v>0</v>
      </c>
      <c r="AL6222">
        <v>0</v>
      </c>
      <c r="AM6222">
        <v>191098</v>
      </c>
      <c r="AN6222">
        <v>41275.800000000003</v>
      </c>
      <c r="AO6222">
        <v>232553.8</v>
      </c>
      <c r="AP6222">
        <v>0</v>
      </c>
      <c r="AQ6222">
        <v>0</v>
      </c>
      <c r="AR6222">
        <v>0</v>
      </c>
      <c r="AS6222" t="s">
        <v>239</v>
      </c>
      <c r="AT6222" t="s">
        <v>514</v>
      </c>
    </row>
    <row r="6223" spans="2:46" x14ac:dyDescent="0.35">
      <c r="B6223" t="s">
        <v>649</v>
      </c>
      <c r="C6223">
        <v>46006</v>
      </c>
      <c r="J6223">
        <v>0</v>
      </c>
      <c r="O6223" t="s">
        <v>239</v>
      </c>
      <c r="P6223" t="s">
        <v>514</v>
      </c>
      <c r="U6223">
        <v>-279.33333333333348</v>
      </c>
      <c r="Y6223">
        <v>1809</v>
      </c>
      <c r="Z6223" s="259" t="s">
        <v>637</v>
      </c>
      <c r="AB6223">
        <v>46072.666666666664</v>
      </c>
      <c r="AF6223">
        <v>232519.8</v>
      </c>
      <c r="AG6223">
        <v>0</v>
      </c>
      <c r="AI6223">
        <v>232553.8</v>
      </c>
      <c r="AJ6223">
        <v>0</v>
      </c>
      <c r="AK6223">
        <v>0</v>
      </c>
      <c r="AL6223">
        <v>0</v>
      </c>
      <c r="AM6223">
        <v>191278</v>
      </c>
      <c r="AN6223">
        <v>41241.800000000003</v>
      </c>
      <c r="AO6223">
        <v>232519.8</v>
      </c>
      <c r="AP6223">
        <v>0</v>
      </c>
      <c r="AQ6223">
        <v>-34</v>
      </c>
      <c r="AR6223">
        <v>-1.4620272814291901E-4</v>
      </c>
      <c r="AS6223" t="s">
        <v>239</v>
      </c>
      <c r="AT6223" t="s">
        <v>514</v>
      </c>
    </row>
    <row r="6224" spans="2:46" x14ac:dyDescent="0.35">
      <c r="B6224" t="s">
        <v>649</v>
      </c>
      <c r="C6224">
        <v>46007</v>
      </c>
      <c r="J6224">
        <v>0</v>
      </c>
      <c r="O6224" t="s">
        <v>239</v>
      </c>
      <c r="P6224" t="s">
        <v>514</v>
      </c>
      <c r="U6224">
        <v>-279.33333333333348</v>
      </c>
      <c r="Y6224">
        <v>1810</v>
      </c>
      <c r="Z6224" s="259" t="s">
        <v>637</v>
      </c>
      <c r="AB6224">
        <v>46072.666666666664</v>
      </c>
      <c r="AF6224">
        <v>232508</v>
      </c>
      <c r="AG6224">
        <v>0</v>
      </c>
      <c r="AI6224">
        <v>232519.8</v>
      </c>
      <c r="AJ6224">
        <v>0</v>
      </c>
      <c r="AK6224">
        <v>0</v>
      </c>
      <c r="AL6224">
        <v>0</v>
      </c>
      <c r="AM6224">
        <v>191278</v>
      </c>
      <c r="AN6224">
        <v>41230</v>
      </c>
      <c r="AO6224">
        <v>232508</v>
      </c>
      <c r="AP6224">
        <v>0</v>
      </c>
      <c r="AQ6224">
        <v>-11.799999999988358</v>
      </c>
      <c r="AR6224">
        <v>-5.0748366375641396E-5</v>
      </c>
      <c r="AS6224" t="s">
        <v>239</v>
      </c>
      <c r="AT6224" t="s">
        <v>514</v>
      </c>
    </row>
    <row r="6225" spans="1:51" x14ac:dyDescent="0.35">
      <c r="B6225" t="s">
        <v>649</v>
      </c>
      <c r="C6225">
        <v>46008</v>
      </c>
      <c r="J6225">
        <v>0</v>
      </c>
      <c r="O6225" t="s">
        <v>239</v>
      </c>
      <c r="P6225" t="s">
        <v>514</v>
      </c>
      <c r="U6225">
        <v>-279.33333333333348</v>
      </c>
      <c r="Y6225">
        <v>1811</v>
      </c>
      <c r="Z6225" s="259" t="s">
        <v>637</v>
      </c>
      <c r="AB6225">
        <v>46072.666666666664</v>
      </c>
      <c r="AF6225">
        <v>232496.2</v>
      </c>
      <c r="AG6225">
        <v>0</v>
      </c>
      <c r="AI6225">
        <v>232508</v>
      </c>
      <c r="AJ6225">
        <v>0</v>
      </c>
      <c r="AK6225">
        <v>0</v>
      </c>
      <c r="AL6225">
        <v>0</v>
      </c>
      <c r="AM6225">
        <v>191278</v>
      </c>
      <c r="AN6225">
        <v>41218.199999999997</v>
      </c>
      <c r="AO6225">
        <v>232496.2</v>
      </c>
      <c r="AP6225">
        <v>0</v>
      </c>
      <c r="AQ6225">
        <v>-11.799999999988358</v>
      </c>
      <c r="AR6225">
        <v>-5.0750941902988345E-5</v>
      </c>
      <c r="AS6225" t="s">
        <v>239</v>
      </c>
      <c r="AT6225" t="s">
        <v>514</v>
      </c>
    </row>
    <row r="6226" spans="1:51" x14ac:dyDescent="0.35">
      <c r="B6226" t="s">
        <v>649</v>
      </c>
      <c r="C6226">
        <v>46009</v>
      </c>
      <c r="J6226">
        <v>0</v>
      </c>
      <c r="O6226" t="s">
        <v>239</v>
      </c>
      <c r="P6226" t="s">
        <v>514</v>
      </c>
      <c r="U6226">
        <v>-279.33333333333348</v>
      </c>
      <c r="Y6226">
        <v>1812</v>
      </c>
      <c r="Z6226" s="259" t="s">
        <v>637</v>
      </c>
      <c r="AB6226">
        <v>46072.666666666664</v>
      </c>
      <c r="AF6226">
        <v>223485.8</v>
      </c>
      <c r="AG6226">
        <v>0</v>
      </c>
      <c r="AI6226">
        <v>232496.2</v>
      </c>
      <c r="AJ6226">
        <v>0</v>
      </c>
      <c r="AK6226">
        <v>-9000</v>
      </c>
      <c r="AL6226">
        <v>-9000</v>
      </c>
      <c r="AM6226">
        <v>182278</v>
      </c>
      <c r="AN6226">
        <v>41207.800000000003</v>
      </c>
      <c r="AO6226">
        <v>223485.8</v>
      </c>
      <c r="AP6226">
        <v>0</v>
      </c>
      <c r="AQ6226">
        <v>-10.400000000023283</v>
      </c>
      <c r="AR6226">
        <v>-4.4731913898088393E-5</v>
      </c>
      <c r="AS6226" t="s">
        <v>239</v>
      </c>
      <c r="AT6226" t="s">
        <v>514</v>
      </c>
    </row>
    <row r="6227" spans="1:51" x14ac:dyDescent="0.35">
      <c r="B6227" t="s">
        <v>649</v>
      </c>
      <c r="C6227">
        <v>46010</v>
      </c>
      <c r="J6227">
        <v>0</v>
      </c>
      <c r="O6227" t="s">
        <v>239</v>
      </c>
      <c r="P6227" t="s">
        <v>514</v>
      </c>
      <c r="U6227">
        <v>-279.33333333333348</v>
      </c>
      <c r="Y6227">
        <v>1813</v>
      </c>
      <c r="Z6227" s="259" t="s">
        <v>637</v>
      </c>
      <c r="AB6227">
        <v>46072.666666666664</v>
      </c>
      <c r="AF6227">
        <v>223474</v>
      </c>
      <c r="AG6227">
        <v>0</v>
      </c>
      <c r="AI6227">
        <v>223485.8</v>
      </c>
      <c r="AJ6227">
        <v>0</v>
      </c>
      <c r="AK6227">
        <v>0</v>
      </c>
      <c r="AL6227">
        <v>0</v>
      </c>
      <c r="AM6227">
        <v>182278</v>
      </c>
      <c r="AN6227">
        <v>41196</v>
      </c>
      <c r="AO6227">
        <v>223474</v>
      </c>
      <c r="AP6227">
        <v>0</v>
      </c>
      <c r="AQ6227">
        <v>-11.799999999988358</v>
      </c>
      <c r="AR6227">
        <v>-5.2799775198231202E-5</v>
      </c>
      <c r="AS6227" t="s">
        <v>239</v>
      </c>
      <c r="AT6227" t="s">
        <v>514</v>
      </c>
    </row>
    <row r="6228" spans="1:51" x14ac:dyDescent="0.35">
      <c r="B6228" t="s">
        <v>649</v>
      </c>
      <c r="C6228">
        <v>46011</v>
      </c>
      <c r="J6228">
        <v>0</v>
      </c>
      <c r="O6228" t="s">
        <v>239</v>
      </c>
      <c r="P6228" t="s">
        <v>514</v>
      </c>
      <c r="U6228">
        <v>-279.33333333333348</v>
      </c>
      <c r="Y6228">
        <v>1814</v>
      </c>
      <c r="Z6228" s="259" t="s">
        <v>637</v>
      </c>
      <c r="AB6228">
        <v>46072.666666666664</v>
      </c>
      <c r="AF6228">
        <v>223474</v>
      </c>
      <c r="AG6228">
        <v>0</v>
      </c>
      <c r="AI6228">
        <v>223474</v>
      </c>
      <c r="AJ6228">
        <v>0</v>
      </c>
      <c r="AK6228">
        <v>0</v>
      </c>
      <c r="AL6228">
        <v>0</v>
      </c>
      <c r="AM6228">
        <v>182278</v>
      </c>
      <c r="AN6228">
        <v>41196</v>
      </c>
      <c r="AO6228">
        <v>223474</v>
      </c>
      <c r="AP6228">
        <v>0</v>
      </c>
      <c r="AQ6228">
        <v>0</v>
      </c>
      <c r="AR6228">
        <v>0</v>
      </c>
      <c r="AS6228" t="s">
        <v>239</v>
      </c>
      <c r="AT6228" t="s">
        <v>514</v>
      </c>
    </row>
    <row r="6229" spans="1:51" x14ac:dyDescent="0.35">
      <c r="B6229" t="s">
        <v>649</v>
      </c>
      <c r="C6229">
        <v>46012</v>
      </c>
      <c r="J6229">
        <v>0</v>
      </c>
      <c r="O6229" t="s">
        <v>239</v>
      </c>
      <c r="P6229" t="s">
        <v>514</v>
      </c>
      <c r="U6229">
        <v>-279.33333333333348</v>
      </c>
      <c r="Y6229">
        <v>1815</v>
      </c>
      <c r="Z6229" s="259" t="s">
        <v>637</v>
      </c>
      <c r="AB6229">
        <v>46072.666666666664</v>
      </c>
      <c r="AF6229">
        <v>223474</v>
      </c>
      <c r="AG6229">
        <v>0</v>
      </c>
      <c r="AI6229">
        <v>223474</v>
      </c>
      <c r="AJ6229">
        <v>0</v>
      </c>
      <c r="AK6229">
        <v>0</v>
      </c>
      <c r="AL6229">
        <v>0</v>
      </c>
      <c r="AM6229">
        <v>182278</v>
      </c>
      <c r="AN6229">
        <v>41196</v>
      </c>
      <c r="AO6229">
        <v>223474</v>
      </c>
      <c r="AP6229">
        <v>0</v>
      </c>
      <c r="AQ6229">
        <v>0</v>
      </c>
      <c r="AR6229">
        <v>0</v>
      </c>
      <c r="AS6229" t="s">
        <v>239</v>
      </c>
      <c r="AT6229" t="s">
        <v>514</v>
      </c>
    </row>
    <row r="6230" spans="1:51" x14ac:dyDescent="0.35">
      <c r="B6230" t="s">
        <v>649</v>
      </c>
      <c r="C6230">
        <v>46013</v>
      </c>
      <c r="J6230">
        <v>0</v>
      </c>
      <c r="O6230" t="s">
        <v>239</v>
      </c>
      <c r="P6230" t="s">
        <v>514</v>
      </c>
      <c r="U6230">
        <v>-279.33333333333348</v>
      </c>
      <c r="Y6230">
        <v>1816</v>
      </c>
      <c r="Z6230" s="259" t="s">
        <v>637</v>
      </c>
      <c r="AB6230">
        <v>46072.666666666664</v>
      </c>
      <c r="AF6230">
        <v>223440</v>
      </c>
      <c r="AG6230">
        <v>0</v>
      </c>
      <c r="AI6230">
        <v>223474</v>
      </c>
      <c r="AJ6230">
        <v>0</v>
      </c>
      <c r="AK6230">
        <v>0</v>
      </c>
      <c r="AL6230">
        <v>0</v>
      </c>
      <c r="AM6230">
        <v>182278</v>
      </c>
      <c r="AN6230">
        <v>41162</v>
      </c>
      <c r="AO6230">
        <v>223440</v>
      </c>
      <c r="AP6230">
        <v>0</v>
      </c>
      <c r="AQ6230">
        <v>-34</v>
      </c>
      <c r="AR6230">
        <v>-1.521429786015549E-4</v>
      </c>
      <c r="AS6230" t="s">
        <v>239</v>
      </c>
      <c r="AT6230" t="s">
        <v>514</v>
      </c>
    </row>
    <row r="6231" spans="1:51" x14ac:dyDescent="0.35">
      <c r="B6231" t="s">
        <v>649</v>
      </c>
      <c r="C6231">
        <v>46014</v>
      </c>
      <c r="J6231">
        <v>0</v>
      </c>
      <c r="O6231" t="s">
        <v>239</v>
      </c>
      <c r="P6231" t="s">
        <v>514</v>
      </c>
      <c r="U6231">
        <v>-279.33333333333348</v>
      </c>
      <c r="Y6231">
        <v>1817</v>
      </c>
      <c r="Z6231" s="259" t="s">
        <v>637</v>
      </c>
      <c r="AB6231">
        <v>46072.666666666664</v>
      </c>
      <c r="AF6231">
        <v>223428.2</v>
      </c>
      <c r="AG6231">
        <v>0</v>
      </c>
      <c r="AI6231">
        <v>223440</v>
      </c>
      <c r="AJ6231">
        <v>0</v>
      </c>
      <c r="AK6231">
        <v>0</v>
      </c>
      <c r="AL6231">
        <v>0</v>
      </c>
      <c r="AM6231">
        <v>182278</v>
      </c>
      <c r="AN6231">
        <v>41150.199999999997</v>
      </c>
      <c r="AO6231">
        <v>223428.2</v>
      </c>
      <c r="AP6231">
        <v>0</v>
      </c>
      <c r="AQ6231">
        <v>-11.799999999988358</v>
      </c>
      <c r="AR6231">
        <v>-5.2810597923280689E-5</v>
      </c>
      <c r="AS6231" t="s">
        <v>239</v>
      </c>
      <c r="AT6231" t="s">
        <v>514</v>
      </c>
    </row>
    <row r="6232" spans="1:51" x14ac:dyDescent="0.35">
      <c r="B6232" t="s">
        <v>649</v>
      </c>
      <c r="C6232">
        <v>46015</v>
      </c>
      <c r="J6232">
        <v>0</v>
      </c>
      <c r="O6232" t="s">
        <v>239</v>
      </c>
      <c r="P6232" t="s">
        <v>514</v>
      </c>
      <c r="U6232">
        <v>-279.33333333333348</v>
      </c>
      <c r="Y6232">
        <v>1818</v>
      </c>
      <c r="Z6232" s="259" t="s">
        <v>637</v>
      </c>
      <c r="AB6232">
        <v>46072.666666666664</v>
      </c>
      <c r="AF6232">
        <v>223417.8</v>
      </c>
      <c r="AG6232">
        <v>0</v>
      </c>
      <c r="AI6232">
        <v>223428.2</v>
      </c>
      <c r="AJ6232">
        <v>0</v>
      </c>
      <c r="AK6232">
        <v>0</v>
      </c>
      <c r="AL6232">
        <v>0</v>
      </c>
      <c r="AM6232">
        <v>182278</v>
      </c>
      <c r="AN6232">
        <v>41139.800000000003</v>
      </c>
      <c r="AO6232">
        <v>223417.8</v>
      </c>
      <c r="AP6232">
        <v>0</v>
      </c>
      <c r="AQ6232">
        <v>-10.400000000023283</v>
      </c>
      <c r="AR6232">
        <v>-4.6547391958640105E-5</v>
      </c>
      <c r="AS6232" t="s">
        <v>239</v>
      </c>
      <c r="AT6232" t="s">
        <v>514</v>
      </c>
    </row>
    <row r="6233" spans="1:51" x14ac:dyDescent="0.35">
      <c r="B6233" t="s">
        <v>649</v>
      </c>
      <c r="C6233">
        <v>46016</v>
      </c>
      <c r="J6233">
        <v>0</v>
      </c>
      <c r="O6233" t="s">
        <v>239</v>
      </c>
      <c r="P6233" t="s">
        <v>514</v>
      </c>
      <c r="U6233">
        <v>-279.33333333333348</v>
      </c>
      <c r="Y6233">
        <v>1819</v>
      </c>
      <c r="Z6233" s="259" t="s">
        <v>637</v>
      </c>
      <c r="AB6233">
        <v>46072.666666666664</v>
      </c>
      <c r="AF6233">
        <v>223406</v>
      </c>
      <c r="AG6233">
        <v>0</v>
      </c>
      <c r="AI6233">
        <v>223417.8</v>
      </c>
      <c r="AJ6233">
        <v>0</v>
      </c>
      <c r="AK6233">
        <v>0</v>
      </c>
      <c r="AL6233">
        <v>0</v>
      </c>
      <c r="AM6233">
        <v>182278</v>
      </c>
      <c r="AN6233">
        <v>41128</v>
      </c>
      <c r="AO6233">
        <v>223406</v>
      </c>
      <c r="AP6233">
        <v>0</v>
      </c>
      <c r="AQ6233">
        <v>-11.799999999988358</v>
      </c>
      <c r="AR6233">
        <v>-5.2815845469789124E-5</v>
      </c>
      <c r="AS6233" t="s">
        <v>239</v>
      </c>
      <c r="AT6233" t="s">
        <v>514</v>
      </c>
    </row>
    <row r="6234" spans="1:51" x14ac:dyDescent="0.35">
      <c r="B6234" t="s">
        <v>649</v>
      </c>
      <c r="C6234">
        <v>46017</v>
      </c>
      <c r="J6234">
        <v>0</v>
      </c>
      <c r="O6234" t="s">
        <v>239</v>
      </c>
      <c r="P6234" t="s">
        <v>514</v>
      </c>
      <c r="U6234">
        <v>-279.33333333333348</v>
      </c>
      <c r="Y6234">
        <v>1820</v>
      </c>
      <c r="Z6234" s="259" t="s">
        <v>637</v>
      </c>
      <c r="AB6234">
        <v>46072.666666666664</v>
      </c>
      <c r="AF6234">
        <v>223394.2</v>
      </c>
      <c r="AG6234">
        <v>0</v>
      </c>
      <c r="AI6234">
        <v>223406</v>
      </c>
      <c r="AJ6234">
        <v>0</v>
      </c>
      <c r="AK6234">
        <v>0</v>
      </c>
      <c r="AL6234">
        <v>0</v>
      </c>
      <c r="AM6234">
        <v>182278</v>
      </c>
      <c r="AN6234">
        <v>41116.199999999997</v>
      </c>
      <c r="AO6234">
        <v>223394.2</v>
      </c>
      <c r="AP6234">
        <v>0</v>
      </c>
      <c r="AQ6234">
        <v>-11.799999999988358</v>
      </c>
      <c r="AR6234">
        <v>-5.2818635130624791E-5</v>
      </c>
      <c r="AS6234" t="s">
        <v>239</v>
      </c>
      <c r="AT6234" t="s">
        <v>514</v>
      </c>
    </row>
    <row r="6235" spans="1:51" x14ac:dyDescent="0.35">
      <c r="B6235" t="s">
        <v>649</v>
      </c>
      <c r="C6235">
        <v>46018</v>
      </c>
      <c r="J6235">
        <v>0</v>
      </c>
      <c r="O6235" t="s">
        <v>239</v>
      </c>
      <c r="P6235" t="s">
        <v>514</v>
      </c>
      <c r="U6235">
        <v>-279.33333333333348</v>
      </c>
      <c r="Y6235">
        <v>1821</v>
      </c>
      <c r="Z6235" s="259" t="s">
        <v>637</v>
      </c>
      <c r="AB6235">
        <v>46072.666666666664</v>
      </c>
      <c r="AF6235">
        <v>223394.2</v>
      </c>
      <c r="AG6235">
        <v>0</v>
      </c>
      <c r="AI6235">
        <v>223394.2</v>
      </c>
      <c r="AJ6235">
        <v>0</v>
      </c>
      <c r="AK6235">
        <v>0</v>
      </c>
      <c r="AL6235">
        <v>0</v>
      </c>
      <c r="AM6235">
        <v>182278</v>
      </c>
      <c r="AN6235">
        <v>41116.199999999997</v>
      </c>
      <c r="AO6235">
        <v>223394.2</v>
      </c>
      <c r="AP6235">
        <v>0</v>
      </c>
      <c r="AQ6235">
        <v>0</v>
      </c>
      <c r="AR6235">
        <v>0</v>
      </c>
      <c r="AS6235" t="s">
        <v>239</v>
      </c>
      <c r="AT6235" t="s">
        <v>514</v>
      </c>
    </row>
    <row r="6236" spans="1:51" x14ac:dyDescent="0.35">
      <c r="B6236" t="s">
        <v>649</v>
      </c>
      <c r="C6236">
        <v>46019</v>
      </c>
      <c r="J6236">
        <v>0</v>
      </c>
      <c r="O6236" t="s">
        <v>239</v>
      </c>
      <c r="P6236" t="s">
        <v>514</v>
      </c>
      <c r="U6236">
        <v>-279.33333333333348</v>
      </c>
      <c r="Y6236">
        <v>1822</v>
      </c>
      <c r="Z6236" s="259" t="s">
        <v>637</v>
      </c>
      <c r="AB6236">
        <v>46072.666666666664</v>
      </c>
      <c r="AF6236">
        <v>223394.2</v>
      </c>
      <c r="AG6236">
        <v>0</v>
      </c>
      <c r="AI6236">
        <v>223394.2</v>
      </c>
      <c r="AJ6236">
        <v>0</v>
      </c>
      <c r="AK6236">
        <v>0</v>
      </c>
      <c r="AL6236">
        <v>0</v>
      </c>
      <c r="AM6236">
        <v>182278</v>
      </c>
      <c r="AN6236">
        <v>41116.199999999997</v>
      </c>
      <c r="AO6236">
        <v>223394.2</v>
      </c>
      <c r="AP6236">
        <v>0</v>
      </c>
      <c r="AQ6236">
        <v>0</v>
      </c>
      <c r="AR6236">
        <v>0</v>
      </c>
      <c r="AS6236" t="s">
        <v>239</v>
      </c>
      <c r="AT6236" t="s">
        <v>514</v>
      </c>
    </row>
    <row r="6237" spans="1:51" x14ac:dyDescent="0.35">
      <c r="B6237" t="s">
        <v>649</v>
      </c>
      <c r="C6237">
        <v>46020</v>
      </c>
      <c r="J6237">
        <v>0</v>
      </c>
      <c r="O6237" t="s">
        <v>239</v>
      </c>
      <c r="P6237" t="s">
        <v>514</v>
      </c>
      <c r="U6237">
        <v>-279.33333333333348</v>
      </c>
      <c r="Y6237">
        <v>1823</v>
      </c>
      <c r="Z6237" s="259" t="s">
        <v>637</v>
      </c>
      <c r="AB6237">
        <v>46072.666666666664</v>
      </c>
      <c r="AF6237">
        <v>223360.2</v>
      </c>
      <c r="AG6237">
        <v>0</v>
      </c>
      <c r="AI6237">
        <v>223394.2</v>
      </c>
      <c r="AJ6237">
        <v>0</v>
      </c>
      <c r="AK6237">
        <v>0</v>
      </c>
      <c r="AL6237">
        <v>0</v>
      </c>
      <c r="AM6237">
        <v>182278</v>
      </c>
      <c r="AN6237">
        <v>41082.199999999997</v>
      </c>
      <c r="AO6237">
        <v>223360.2</v>
      </c>
      <c r="AP6237">
        <v>0</v>
      </c>
      <c r="AQ6237">
        <v>-34</v>
      </c>
      <c r="AR6237">
        <v>-1.5219732651972073E-4</v>
      </c>
      <c r="AS6237" t="s">
        <v>239</v>
      </c>
      <c r="AT6237" t="s">
        <v>514</v>
      </c>
    </row>
    <row r="6238" spans="1:51" x14ac:dyDescent="0.35">
      <c r="B6238" t="s">
        <v>649</v>
      </c>
      <c r="C6238">
        <v>46021</v>
      </c>
      <c r="J6238">
        <v>0</v>
      </c>
      <c r="O6238" t="s">
        <v>239</v>
      </c>
      <c r="P6238" t="s">
        <v>514</v>
      </c>
      <c r="U6238">
        <v>-279.33333333333348</v>
      </c>
      <c r="Y6238">
        <v>1824</v>
      </c>
      <c r="Z6238" s="259" t="s">
        <v>637</v>
      </c>
      <c r="AB6238">
        <v>46072.666666666664</v>
      </c>
      <c r="AF6238">
        <v>223349.8</v>
      </c>
      <c r="AG6238">
        <v>0</v>
      </c>
      <c r="AI6238">
        <v>223360.2</v>
      </c>
      <c r="AJ6238">
        <v>0</v>
      </c>
      <c r="AK6238">
        <v>0</v>
      </c>
      <c r="AL6238">
        <v>0</v>
      </c>
      <c r="AM6238">
        <v>182278</v>
      </c>
      <c r="AN6238">
        <v>41071.800000000003</v>
      </c>
      <c r="AO6238">
        <v>223349.8</v>
      </c>
      <c r="AP6238">
        <v>0</v>
      </c>
      <c r="AQ6238">
        <v>-10.400000000023283</v>
      </c>
      <c r="AR6238">
        <v>-4.6561562892732944E-5</v>
      </c>
      <c r="AS6238" t="s">
        <v>239</v>
      </c>
      <c r="AT6238" t="s">
        <v>514</v>
      </c>
    </row>
    <row r="6239" spans="1:51" x14ac:dyDescent="0.35">
      <c r="B6239" t="s">
        <v>649</v>
      </c>
      <c r="C6239">
        <v>46022</v>
      </c>
      <c r="J6239">
        <v>55</v>
      </c>
      <c r="O6239" t="s">
        <v>239</v>
      </c>
      <c r="P6239" t="s">
        <v>514</v>
      </c>
      <c r="U6239">
        <v>-279.33333333333348</v>
      </c>
      <c r="Y6239">
        <v>1825</v>
      </c>
      <c r="Z6239" s="259" t="s">
        <v>637</v>
      </c>
      <c r="AB6239">
        <v>46072.666666666664</v>
      </c>
      <c r="AF6239">
        <v>223283</v>
      </c>
      <c r="AG6239">
        <v>0</v>
      </c>
      <c r="AI6239">
        <v>223349.8</v>
      </c>
      <c r="AJ6239">
        <v>0</v>
      </c>
      <c r="AK6239">
        <v>0</v>
      </c>
      <c r="AL6239">
        <v>0</v>
      </c>
      <c r="AM6239">
        <v>182223</v>
      </c>
      <c r="AN6239">
        <v>41060</v>
      </c>
      <c r="AO6239">
        <v>223283</v>
      </c>
      <c r="AP6239">
        <v>0</v>
      </c>
      <c r="AQ6239">
        <v>-66.799999999988358</v>
      </c>
      <c r="AR6239">
        <v>-2.9908242586285105E-4</v>
      </c>
      <c r="AS6239" t="s">
        <v>239</v>
      </c>
      <c r="AT6239" t="s">
        <v>514</v>
      </c>
    </row>
    <row r="6240" spans="1:51" x14ac:dyDescent="0.35">
      <c r="A6240" t="s">
        <v>756</v>
      </c>
      <c r="B6240" t="s">
        <v>563</v>
      </c>
      <c r="C6240">
        <v>45658</v>
      </c>
      <c r="E6240" t="s">
        <v>90</v>
      </c>
      <c r="L6240" t="s">
        <v>628</v>
      </c>
      <c r="S6240">
        <v>100000</v>
      </c>
      <c r="Y6240">
        <v>1</v>
      </c>
      <c r="Z6240" s="259" t="s">
        <v>655</v>
      </c>
      <c r="AY6240">
        <v>-100000</v>
      </c>
    </row>
    <row r="6241" spans="1:51" x14ac:dyDescent="0.35">
      <c r="A6241" t="s">
        <v>771</v>
      </c>
      <c r="B6241" t="s">
        <v>563</v>
      </c>
      <c r="C6241">
        <v>45778</v>
      </c>
      <c r="E6241" t="s">
        <v>90</v>
      </c>
      <c r="L6241" t="s">
        <v>629</v>
      </c>
      <c r="S6241">
        <v>10000</v>
      </c>
      <c r="Y6241">
        <v>2</v>
      </c>
      <c r="Z6241" s="259" t="s">
        <v>655</v>
      </c>
      <c r="AY6241">
        <v>-10000</v>
      </c>
    </row>
    <row r="6242" spans="1:51" x14ac:dyDescent="0.35">
      <c r="A6242" t="s">
        <v>775</v>
      </c>
      <c r="B6242" t="s">
        <v>563</v>
      </c>
      <c r="C6242">
        <v>45887</v>
      </c>
      <c r="E6242" t="s">
        <v>581</v>
      </c>
      <c r="K6242" t="s">
        <v>776</v>
      </c>
      <c r="L6242" t="s">
        <v>629</v>
      </c>
      <c r="S6242">
        <v>5000</v>
      </c>
      <c r="Y6242">
        <v>3</v>
      </c>
      <c r="Z6242" s="259" t="s">
        <v>655</v>
      </c>
      <c r="AY6242">
        <v>-5000</v>
      </c>
    </row>
    <row r="6243" spans="1:51" x14ac:dyDescent="0.35">
      <c r="A6243" t="s">
        <v>785</v>
      </c>
      <c r="B6243" t="s">
        <v>563</v>
      </c>
      <c r="C6243">
        <v>46009</v>
      </c>
      <c r="E6243" t="s">
        <v>128</v>
      </c>
      <c r="L6243" t="s">
        <v>629</v>
      </c>
      <c r="S6243">
        <v>-5000</v>
      </c>
      <c r="Y6243">
        <v>4</v>
      </c>
      <c r="Z6243" s="259" t="s">
        <v>655</v>
      </c>
      <c r="AY6243">
        <v>5000</v>
      </c>
    </row>
    <row r="6244" spans="1:51" x14ac:dyDescent="0.35">
      <c r="A6244" t="s">
        <v>757</v>
      </c>
      <c r="B6244" t="s">
        <v>565</v>
      </c>
      <c r="C6244">
        <v>45658</v>
      </c>
      <c r="E6244" t="s">
        <v>90</v>
      </c>
      <c r="L6244" t="s">
        <v>628</v>
      </c>
      <c r="S6244">
        <v>80000</v>
      </c>
      <c r="Y6244">
        <v>5</v>
      </c>
      <c r="Z6244" s="259" t="s">
        <v>655</v>
      </c>
      <c r="AY6244">
        <v>-80000</v>
      </c>
    </row>
    <row r="6245" spans="1:51" x14ac:dyDescent="0.35">
      <c r="A6245" t="s">
        <v>769</v>
      </c>
      <c r="B6245" t="s">
        <v>565</v>
      </c>
      <c r="C6245">
        <v>45719</v>
      </c>
      <c r="E6245" t="s">
        <v>90</v>
      </c>
      <c r="L6245" t="s">
        <v>629</v>
      </c>
      <c r="S6245">
        <v>5000</v>
      </c>
      <c r="Y6245">
        <v>6</v>
      </c>
      <c r="Z6245" s="259" t="s">
        <v>655</v>
      </c>
      <c r="AY6245">
        <v>-5000</v>
      </c>
    </row>
    <row r="6246" spans="1:51" x14ac:dyDescent="0.35">
      <c r="A6246" t="s">
        <v>777</v>
      </c>
      <c r="B6246" t="s">
        <v>565</v>
      </c>
      <c r="C6246">
        <v>45887</v>
      </c>
      <c r="E6246" t="s">
        <v>580</v>
      </c>
      <c r="K6246" t="s">
        <v>776</v>
      </c>
      <c r="L6246" t="s">
        <v>629</v>
      </c>
      <c r="S6246">
        <v>-5000</v>
      </c>
      <c r="Y6246">
        <v>7</v>
      </c>
      <c r="Z6246" s="259" t="s">
        <v>655</v>
      </c>
      <c r="AY6246">
        <v>5000</v>
      </c>
    </row>
    <row r="6247" spans="1:51" x14ac:dyDescent="0.35">
      <c r="A6247" t="s">
        <v>786</v>
      </c>
      <c r="B6247" t="s">
        <v>565</v>
      </c>
      <c r="C6247">
        <v>46009</v>
      </c>
      <c r="E6247" t="s">
        <v>128</v>
      </c>
      <c r="L6247" t="s">
        <v>629</v>
      </c>
      <c r="S6247">
        <v>-3000</v>
      </c>
      <c r="Y6247">
        <v>8</v>
      </c>
      <c r="Z6247" s="259" t="s">
        <v>655</v>
      </c>
      <c r="AY6247">
        <v>3000</v>
      </c>
    </row>
    <row r="6248" spans="1:51" x14ac:dyDescent="0.35">
      <c r="A6248" t="s">
        <v>758</v>
      </c>
      <c r="B6248" t="s">
        <v>566</v>
      </c>
      <c r="C6248">
        <v>45658</v>
      </c>
      <c r="E6248" t="s">
        <v>90</v>
      </c>
      <c r="L6248" t="s">
        <v>628</v>
      </c>
      <c r="S6248">
        <v>40000</v>
      </c>
      <c r="Y6248">
        <v>9</v>
      </c>
      <c r="Z6248" s="259" t="s">
        <v>655</v>
      </c>
      <c r="AY6248">
        <v>-40000</v>
      </c>
    </row>
    <row r="6249" spans="1:51" x14ac:dyDescent="0.35">
      <c r="A6249" t="s">
        <v>770</v>
      </c>
      <c r="B6249" t="s">
        <v>566</v>
      </c>
      <c r="C6249">
        <v>45748</v>
      </c>
      <c r="E6249" t="s">
        <v>90</v>
      </c>
      <c r="L6249" t="s">
        <v>629</v>
      </c>
      <c r="S6249">
        <v>2000</v>
      </c>
      <c r="Y6249">
        <v>10</v>
      </c>
      <c r="Z6249" s="259" t="s">
        <v>655</v>
      </c>
      <c r="AY6249">
        <v>-2000</v>
      </c>
    </row>
    <row r="6250" spans="1:51" x14ac:dyDescent="0.35">
      <c r="A6250" t="s">
        <v>787</v>
      </c>
      <c r="B6250" t="s">
        <v>566</v>
      </c>
      <c r="C6250">
        <v>46009</v>
      </c>
      <c r="E6250" t="s">
        <v>128</v>
      </c>
      <c r="L6250" t="s">
        <v>629</v>
      </c>
      <c r="S6250">
        <v>-1000</v>
      </c>
      <c r="Y6250">
        <v>11</v>
      </c>
      <c r="Z6250" s="259" t="s">
        <v>655</v>
      </c>
      <c r="AY6250">
        <v>1000</v>
      </c>
    </row>
    <row r="6251" spans="1:51" x14ac:dyDescent="0.35">
      <c r="A6251" t="s">
        <v>759</v>
      </c>
      <c r="B6251" t="s">
        <v>747</v>
      </c>
      <c r="C6251">
        <v>45658</v>
      </c>
      <c r="E6251" t="s">
        <v>90</v>
      </c>
      <c r="L6251" t="s">
        <v>628</v>
      </c>
      <c r="S6251">
        <v>60000</v>
      </c>
      <c r="Y6251">
        <v>12</v>
      </c>
      <c r="Z6251" s="259" t="s">
        <v>655</v>
      </c>
      <c r="AY6251">
        <v>-60000</v>
      </c>
    </row>
    <row r="6252" spans="1:51" x14ac:dyDescent="0.35">
      <c r="A6252" t="s">
        <v>772</v>
      </c>
      <c r="B6252" t="s">
        <v>747</v>
      </c>
      <c r="C6252">
        <v>45810</v>
      </c>
      <c r="E6252" t="s">
        <v>90</v>
      </c>
      <c r="L6252" t="s">
        <v>629</v>
      </c>
      <c r="S6252">
        <v>3000</v>
      </c>
      <c r="Y6252">
        <v>13</v>
      </c>
      <c r="Z6252" s="259" t="s">
        <v>655</v>
      </c>
      <c r="AY6252">
        <v>-3000</v>
      </c>
    </row>
    <row r="6253" spans="1:51" x14ac:dyDescent="0.35">
      <c r="A6253" t="s">
        <v>657</v>
      </c>
      <c r="B6253" t="s">
        <v>649</v>
      </c>
      <c r="C6253">
        <v>45658</v>
      </c>
      <c r="E6253" t="s">
        <v>658</v>
      </c>
      <c r="L6253" t="s">
        <v>628</v>
      </c>
      <c r="S6253">
        <v>220000</v>
      </c>
      <c r="Y6253">
        <v>14</v>
      </c>
      <c r="Z6253" s="259" t="s">
        <v>655</v>
      </c>
      <c r="AY6253">
        <v>-220000</v>
      </c>
    </row>
    <row r="6254" spans="1:51" x14ac:dyDescent="0.35">
      <c r="A6254" t="s">
        <v>1596</v>
      </c>
      <c r="B6254" t="s">
        <v>649</v>
      </c>
      <c r="C6254">
        <v>45719</v>
      </c>
      <c r="E6254" t="s">
        <v>658</v>
      </c>
      <c r="L6254" t="s">
        <v>629</v>
      </c>
      <c r="S6254">
        <v>5000</v>
      </c>
      <c r="Y6254">
        <v>15</v>
      </c>
      <c r="Z6254" s="259" t="s">
        <v>655</v>
      </c>
      <c r="AY6254">
        <v>-5000</v>
      </c>
    </row>
    <row r="6255" spans="1:51" x14ac:dyDescent="0.35">
      <c r="A6255" t="s">
        <v>1597</v>
      </c>
      <c r="B6255" t="s">
        <v>649</v>
      </c>
      <c r="C6255">
        <v>45748</v>
      </c>
      <c r="E6255" t="s">
        <v>658</v>
      </c>
      <c r="L6255" t="s">
        <v>629</v>
      </c>
      <c r="S6255">
        <v>2000</v>
      </c>
      <c r="Y6255">
        <v>16</v>
      </c>
      <c r="Z6255" s="259" t="s">
        <v>655</v>
      </c>
      <c r="AY6255">
        <v>-2000</v>
      </c>
    </row>
    <row r="6256" spans="1:51" x14ac:dyDescent="0.35">
      <c r="A6256" t="s">
        <v>1598</v>
      </c>
      <c r="B6256" t="s">
        <v>649</v>
      </c>
      <c r="C6256">
        <v>45778</v>
      </c>
      <c r="E6256" t="s">
        <v>658</v>
      </c>
      <c r="L6256" t="s">
        <v>629</v>
      </c>
      <c r="S6256">
        <v>10000</v>
      </c>
      <c r="Y6256">
        <v>17</v>
      </c>
      <c r="Z6256" s="259" t="s">
        <v>655</v>
      </c>
      <c r="AY6256">
        <v>-10000</v>
      </c>
    </row>
    <row r="6257" spans="1:59" x14ac:dyDescent="0.35">
      <c r="A6257" t="s">
        <v>1599</v>
      </c>
      <c r="B6257" t="s">
        <v>649</v>
      </c>
      <c r="C6257">
        <v>46009</v>
      </c>
      <c r="E6257" t="s">
        <v>658</v>
      </c>
      <c r="L6257" t="s">
        <v>629</v>
      </c>
      <c r="S6257">
        <v>-9000</v>
      </c>
      <c r="Y6257">
        <v>18</v>
      </c>
      <c r="Z6257" s="259" t="s">
        <v>655</v>
      </c>
      <c r="AY6257">
        <v>9000</v>
      </c>
    </row>
    <row r="6258" spans="1:59" x14ac:dyDescent="0.35">
      <c r="C6258">
        <v>45657</v>
      </c>
      <c r="F6258" t="s">
        <v>749</v>
      </c>
      <c r="N6258">
        <v>1</v>
      </c>
      <c r="O6258" t="s">
        <v>239</v>
      </c>
      <c r="P6258" t="s">
        <v>514</v>
      </c>
      <c r="Y6258">
        <v>1</v>
      </c>
      <c r="Z6258" s="259" t="s">
        <v>659</v>
      </c>
      <c r="AZ6258" t="s">
        <v>792</v>
      </c>
      <c r="BA6258">
        <v>100</v>
      </c>
      <c r="BB6258" t="s">
        <v>564</v>
      </c>
      <c r="BC6258" t="s">
        <v>793</v>
      </c>
      <c r="BD6258">
        <v>0</v>
      </c>
      <c r="BE6258">
        <v>46302</v>
      </c>
      <c r="BF6258" t="s">
        <v>588</v>
      </c>
      <c r="BG6258">
        <v>0</v>
      </c>
    </row>
    <row r="6259" spans="1:59" x14ac:dyDescent="0.35">
      <c r="C6259">
        <v>45658</v>
      </c>
      <c r="F6259" t="s">
        <v>749</v>
      </c>
      <c r="N6259">
        <v>1</v>
      </c>
      <c r="O6259" t="s">
        <v>239</v>
      </c>
      <c r="P6259" t="s">
        <v>514</v>
      </c>
      <c r="Y6259">
        <v>2</v>
      </c>
      <c r="Z6259" s="259" t="s">
        <v>659</v>
      </c>
      <c r="AZ6259" t="s">
        <v>794</v>
      </c>
      <c r="BA6259">
        <v>100</v>
      </c>
      <c r="BB6259" t="s">
        <v>564</v>
      </c>
      <c r="BC6259" t="s">
        <v>793</v>
      </c>
      <c r="BD6259">
        <v>0</v>
      </c>
      <c r="BE6259">
        <v>46302</v>
      </c>
      <c r="BF6259" t="s">
        <v>588</v>
      </c>
      <c r="BG6259">
        <v>0</v>
      </c>
    </row>
    <row r="6260" spans="1:59" x14ac:dyDescent="0.35">
      <c r="C6260">
        <v>45659</v>
      </c>
      <c r="F6260" t="s">
        <v>749</v>
      </c>
      <c r="N6260">
        <v>1</v>
      </c>
      <c r="O6260" t="s">
        <v>239</v>
      </c>
      <c r="P6260" t="s">
        <v>514</v>
      </c>
      <c r="Y6260">
        <v>3</v>
      </c>
      <c r="Z6260" s="259" t="s">
        <v>659</v>
      </c>
      <c r="AZ6260" t="s">
        <v>795</v>
      </c>
      <c r="BA6260">
        <v>100.07</v>
      </c>
      <c r="BB6260" t="s">
        <v>564</v>
      </c>
      <c r="BC6260" t="s">
        <v>793</v>
      </c>
      <c r="BD6260">
        <v>0</v>
      </c>
      <c r="BE6260">
        <v>46302</v>
      </c>
      <c r="BF6260" t="s">
        <v>588</v>
      </c>
      <c r="BG6260">
        <v>0</v>
      </c>
    </row>
    <row r="6261" spans="1:59" x14ac:dyDescent="0.35">
      <c r="C6261">
        <v>45660</v>
      </c>
      <c r="F6261" t="s">
        <v>749</v>
      </c>
      <c r="N6261">
        <v>1</v>
      </c>
      <c r="O6261" t="s">
        <v>239</v>
      </c>
      <c r="P6261" t="s">
        <v>514</v>
      </c>
      <c r="Y6261">
        <v>4</v>
      </c>
      <c r="Z6261" s="259" t="s">
        <v>659</v>
      </c>
      <c r="AZ6261" t="s">
        <v>796</v>
      </c>
      <c r="BA6261">
        <v>100.13</v>
      </c>
      <c r="BB6261" t="s">
        <v>564</v>
      </c>
      <c r="BC6261" t="s">
        <v>793</v>
      </c>
      <c r="BD6261">
        <v>0</v>
      </c>
      <c r="BE6261">
        <v>46302</v>
      </c>
      <c r="BF6261" t="s">
        <v>588</v>
      </c>
      <c r="BG6261">
        <v>0</v>
      </c>
    </row>
    <row r="6262" spans="1:59" x14ac:dyDescent="0.35">
      <c r="C6262">
        <v>45663</v>
      </c>
      <c r="F6262" t="s">
        <v>749</v>
      </c>
      <c r="N6262">
        <v>1</v>
      </c>
      <c r="O6262" t="s">
        <v>239</v>
      </c>
      <c r="P6262" t="s">
        <v>514</v>
      </c>
      <c r="Y6262">
        <v>5</v>
      </c>
      <c r="Z6262" s="259" t="s">
        <v>659</v>
      </c>
      <c r="AZ6262" t="s">
        <v>797</v>
      </c>
      <c r="BA6262">
        <v>100.33</v>
      </c>
      <c r="BB6262" t="s">
        <v>564</v>
      </c>
      <c r="BC6262" t="s">
        <v>793</v>
      </c>
      <c r="BD6262">
        <v>0</v>
      </c>
      <c r="BE6262">
        <v>46302</v>
      </c>
      <c r="BF6262" t="s">
        <v>588</v>
      </c>
      <c r="BG6262">
        <v>0</v>
      </c>
    </row>
    <row r="6263" spans="1:59" x14ac:dyDescent="0.35">
      <c r="C6263">
        <v>45664</v>
      </c>
      <c r="F6263" t="s">
        <v>749</v>
      </c>
      <c r="N6263">
        <v>1</v>
      </c>
      <c r="O6263" t="s">
        <v>239</v>
      </c>
      <c r="P6263" t="s">
        <v>514</v>
      </c>
      <c r="Y6263">
        <v>6</v>
      </c>
      <c r="Z6263" s="259" t="s">
        <v>659</v>
      </c>
      <c r="AZ6263" t="s">
        <v>798</v>
      </c>
      <c r="BA6263">
        <v>100.4</v>
      </c>
      <c r="BB6263" t="s">
        <v>564</v>
      </c>
      <c r="BC6263" t="s">
        <v>793</v>
      </c>
      <c r="BD6263">
        <v>0</v>
      </c>
      <c r="BE6263">
        <v>46302</v>
      </c>
      <c r="BF6263" t="s">
        <v>588</v>
      </c>
      <c r="BG6263">
        <v>0</v>
      </c>
    </row>
    <row r="6264" spans="1:59" x14ac:dyDescent="0.35">
      <c r="C6264">
        <v>45665</v>
      </c>
      <c r="F6264" t="s">
        <v>749</v>
      </c>
      <c r="N6264">
        <v>1</v>
      </c>
      <c r="O6264" t="s">
        <v>239</v>
      </c>
      <c r="P6264" t="s">
        <v>514</v>
      </c>
      <c r="Y6264">
        <v>7</v>
      </c>
      <c r="Z6264" s="259" t="s">
        <v>659</v>
      </c>
      <c r="AZ6264" t="s">
        <v>799</v>
      </c>
      <c r="BA6264">
        <v>100.47</v>
      </c>
      <c r="BB6264" t="s">
        <v>564</v>
      </c>
      <c r="BC6264" t="s">
        <v>793</v>
      </c>
      <c r="BD6264">
        <v>0</v>
      </c>
      <c r="BE6264">
        <v>46302</v>
      </c>
      <c r="BF6264" t="s">
        <v>588</v>
      </c>
      <c r="BG6264">
        <v>0</v>
      </c>
    </row>
    <row r="6265" spans="1:59" x14ac:dyDescent="0.35">
      <c r="C6265">
        <v>45666</v>
      </c>
      <c r="F6265" t="s">
        <v>749</v>
      </c>
      <c r="N6265">
        <v>1</v>
      </c>
      <c r="O6265" t="s">
        <v>239</v>
      </c>
      <c r="P6265" t="s">
        <v>514</v>
      </c>
      <c r="Y6265">
        <v>8</v>
      </c>
      <c r="Z6265" s="259" t="s">
        <v>659</v>
      </c>
      <c r="AZ6265" t="s">
        <v>800</v>
      </c>
      <c r="BA6265">
        <v>100.53</v>
      </c>
      <c r="BB6265" t="s">
        <v>564</v>
      </c>
      <c r="BC6265" t="s">
        <v>793</v>
      </c>
      <c r="BD6265">
        <v>0</v>
      </c>
      <c r="BE6265">
        <v>46302</v>
      </c>
      <c r="BF6265" t="s">
        <v>588</v>
      </c>
      <c r="BG6265">
        <v>0</v>
      </c>
    </row>
    <row r="6266" spans="1:59" x14ac:dyDescent="0.35">
      <c r="C6266">
        <v>45667</v>
      </c>
      <c r="F6266" t="s">
        <v>749</v>
      </c>
      <c r="N6266">
        <v>1</v>
      </c>
      <c r="O6266" t="s">
        <v>239</v>
      </c>
      <c r="P6266" t="s">
        <v>514</v>
      </c>
      <c r="Y6266">
        <v>9</v>
      </c>
      <c r="Z6266" s="259" t="s">
        <v>659</v>
      </c>
      <c r="AZ6266" t="s">
        <v>801</v>
      </c>
      <c r="BA6266">
        <v>100.6</v>
      </c>
      <c r="BB6266" t="s">
        <v>564</v>
      </c>
      <c r="BC6266" t="s">
        <v>793</v>
      </c>
      <c r="BD6266">
        <v>0</v>
      </c>
      <c r="BE6266">
        <v>46302</v>
      </c>
      <c r="BF6266" t="s">
        <v>588</v>
      </c>
      <c r="BG6266">
        <v>0</v>
      </c>
    </row>
    <row r="6267" spans="1:59" x14ac:dyDescent="0.35">
      <c r="C6267">
        <v>45670</v>
      </c>
      <c r="F6267" t="s">
        <v>749</v>
      </c>
      <c r="N6267">
        <v>1</v>
      </c>
      <c r="O6267" t="s">
        <v>239</v>
      </c>
      <c r="P6267" t="s">
        <v>514</v>
      </c>
      <c r="Y6267">
        <v>10</v>
      </c>
      <c r="Z6267" s="259" t="s">
        <v>659</v>
      </c>
      <c r="AZ6267" t="s">
        <v>802</v>
      </c>
      <c r="BA6267">
        <v>100.8</v>
      </c>
      <c r="BB6267" t="s">
        <v>564</v>
      </c>
      <c r="BC6267" t="s">
        <v>793</v>
      </c>
      <c r="BD6267">
        <v>0</v>
      </c>
      <c r="BE6267">
        <v>46302</v>
      </c>
      <c r="BF6267" t="s">
        <v>588</v>
      </c>
      <c r="BG6267">
        <v>0</v>
      </c>
    </row>
    <row r="6268" spans="1:59" x14ac:dyDescent="0.35">
      <c r="C6268">
        <v>45671</v>
      </c>
      <c r="F6268" t="s">
        <v>749</v>
      </c>
      <c r="N6268">
        <v>1</v>
      </c>
      <c r="O6268" t="s">
        <v>239</v>
      </c>
      <c r="P6268" t="s">
        <v>514</v>
      </c>
      <c r="Y6268">
        <v>11</v>
      </c>
      <c r="Z6268" s="259" t="s">
        <v>659</v>
      </c>
      <c r="AZ6268" t="s">
        <v>803</v>
      </c>
      <c r="BA6268">
        <v>100.87</v>
      </c>
      <c r="BB6268" t="s">
        <v>564</v>
      </c>
      <c r="BC6268" t="s">
        <v>793</v>
      </c>
      <c r="BD6268">
        <v>0</v>
      </c>
      <c r="BE6268">
        <v>46302</v>
      </c>
      <c r="BF6268" t="s">
        <v>588</v>
      </c>
      <c r="BG6268">
        <v>0</v>
      </c>
    </row>
    <row r="6269" spans="1:59" x14ac:dyDescent="0.35">
      <c r="C6269">
        <v>45672</v>
      </c>
      <c r="F6269" t="s">
        <v>749</v>
      </c>
      <c r="N6269">
        <v>1</v>
      </c>
      <c r="O6269" t="s">
        <v>239</v>
      </c>
      <c r="P6269" t="s">
        <v>514</v>
      </c>
      <c r="Y6269">
        <v>12</v>
      </c>
      <c r="Z6269" s="259" t="s">
        <v>659</v>
      </c>
      <c r="AZ6269" t="s">
        <v>804</v>
      </c>
      <c r="BA6269">
        <v>100.93</v>
      </c>
      <c r="BB6269" t="s">
        <v>564</v>
      </c>
      <c r="BC6269" t="s">
        <v>793</v>
      </c>
      <c r="BD6269">
        <v>0</v>
      </c>
      <c r="BE6269">
        <v>46302</v>
      </c>
      <c r="BF6269" t="s">
        <v>588</v>
      </c>
      <c r="BG6269">
        <v>0</v>
      </c>
    </row>
    <row r="6270" spans="1:59" x14ac:dyDescent="0.35">
      <c r="C6270">
        <v>45673</v>
      </c>
      <c r="F6270" t="s">
        <v>749</v>
      </c>
      <c r="N6270">
        <v>1</v>
      </c>
      <c r="O6270" t="s">
        <v>239</v>
      </c>
      <c r="P6270" t="s">
        <v>514</v>
      </c>
      <c r="Y6270">
        <v>13</v>
      </c>
      <c r="Z6270" s="259" t="s">
        <v>659</v>
      </c>
      <c r="AZ6270" t="s">
        <v>805</v>
      </c>
      <c r="BA6270">
        <v>101</v>
      </c>
      <c r="BB6270" t="s">
        <v>564</v>
      </c>
      <c r="BC6270" t="s">
        <v>793</v>
      </c>
      <c r="BD6270">
        <v>0</v>
      </c>
      <c r="BE6270">
        <v>46302</v>
      </c>
      <c r="BF6270" t="s">
        <v>588</v>
      </c>
      <c r="BG6270">
        <v>0</v>
      </c>
    </row>
    <row r="6271" spans="1:59" x14ac:dyDescent="0.35">
      <c r="C6271">
        <v>45674</v>
      </c>
      <c r="F6271" t="s">
        <v>749</v>
      </c>
      <c r="N6271">
        <v>1</v>
      </c>
      <c r="O6271" t="s">
        <v>239</v>
      </c>
      <c r="P6271" t="s">
        <v>514</v>
      </c>
      <c r="Y6271">
        <v>14</v>
      </c>
      <c r="Z6271" s="259" t="s">
        <v>659</v>
      </c>
      <c r="AZ6271" t="s">
        <v>806</v>
      </c>
      <c r="BA6271">
        <v>101.07</v>
      </c>
      <c r="BB6271" t="s">
        <v>564</v>
      </c>
      <c r="BC6271" t="s">
        <v>793</v>
      </c>
      <c r="BD6271">
        <v>0</v>
      </c>
      <c r="BE6271">
        <v>46302</v>
      </c>
      <c r="BF6271" t="s">
        <v>588</v>
      </c>
      <c r="BG6271">
        <v>0</v>
      </c>
    </row>
    <row r="6272" spans="1:59" x14ac:dyDescent="0.35">
      <c r="C6272">
        <v>45677</v>
      </c>
      <c r="F6272" t="s">
        <v>749</v>
      </c>
      <c r="N6272">
        <v>1</v>
      </c>
      <c r="O6272" t="s">
        <v>239</v>
      </c>
      <c r="P6272" t="s">
        <v>514</v>
      </c>
      <c r="Y6272">
        <v>15</v>
      </c>
      <c r="Z6272" s="259" t="s">
        <v>659</v>
      </c>
      <c r="AZ6272" t="s">
        <v>807</v>
      </c>
      <c r="BA6272">
        <v>101.27</v>
      </c>
      <c r="BB6272" t="s">
        <v>564</v>
      </c>
      <c r="BC6272" t="s">
        <v>793</v>
      </c>
      <c r="BD6272">
        <v>0</v>
      </c>
      <c r="BE6272">
        <v>46302</v>
      </c>
      <c r="BF6272" t="s">
        <v>588</v>
      </c>
      <c r="BG6272">
        <v>0</v>
      </c>
    </row>
    <row r="6273" spans="3:59" x14ac:dyDescent="0.35">
      <c r="C6273">
        <v>45678</v>
      </c>
      <c r="F6273" t="s">
        <v>749</v>
      </c>
      <c r="N6273">
        <v>1</v>
      </c>
      <c r="O6273" t="s">
        <v>239</v>
      </c>
      <c r="P6273" t="s">
        <v>514</v>
      </c>
      <c r="Y6273">
        <v>16</v>
      </c>
      <c r="Z6273" s="259" t="s">
        <v>659</v>
      </c>
      <c r="AZ6273" t="s">
        <v>808</v>
      </c>
      <c r="BA6273">
        <v>101.33</v>
      </c>
      <c r="BB6273" t="s">
        <v>564</v>
      </c>
      <c r="BC6273" t="s">
        <v>793</v>
      </c>
      <c r="BD6273">
        <v>0</v>
      </c>
      <c r="BE6273">
        <v>46302</v>
      </c>
      <c r="BF6273" t="s">
        <v>588</v>
      </c>
      <c r="BG6273">
        <v>0</v>
      </c>
    </row>
    <row r="6274" spans="3:59" x14ac:dyDescent="0.35">
      <c r="C6274">
        <v>45679</v>
      </c>
      <c r="F6274" t="s">
        <v>749</v>
      </c>
      <c r="N6274">
        <v>1</v>
      </c>
      <c r="O6274" t="s">
        <v>239</v>
      </c>
      <c r="P6274" t="s">
        <v>514</v>
      </c>
      <c r="Y6274">
        <v>17</v>
      </c>
      <c r="Z6274" s="259" t="s">
        <v>659</v>
      </c>
      <c r="AZ6274" t="s">
        <v>809</v>
      </c>
      <c r="BA6274">
        <v>101.4</v>
      </c>
      <c r="BB6274" t="s">
        <v>564</v>
      </c>
      <c r="BC6274" t="s">
        <v>793</v>
      </c>
      <c r="BD6274">
        <v>0</v>
      </c>
      <c r="BE6274">
        <v>46302</v>
      </c>
      <c r="BF6274" t="s">
        <v>588</v>
      </c>
      <c r="BG6274">
        <v>0</v>
      </c>
    </row>
    <row r="6275" spans="3:59" x14ac:dyDescent="0.35">
      <c r="C6275">
        <v>45680</v>
      </c>
      <c r="F6275" t="s">
        <v>749</v>
      </c>
      <c r="N6275">
        <v>1</v>
      </c>
      <c r="O6275" t="s">
        <v>239</v>
      </c>
      <c r="P6275" t="s">
        <v>514</v>
      </c>
      <c r="Y6275">
        <v>18</v>
      </c>
      <c r="Z6275" s="259" t="s">
        <v>659</v>
      </c>
      <c r="AZ6275" t="s">
        <v>810</v>
      </c>
      <c r="BA6275">
        <v>101.47</v>
      </c>
      <c r="BB6275" t="s">
        <v>564</v>
      </c>
      <c r="BC6275" t="s">
        <v>793</v>
      </c>
      <c r="BD6275">
        <v>0</v>
      </c>
      <c r="BE6275">
        <v>46302</v>
      </c>
      <c r="BF6275" t="s">
        <v>588</v>
      </c>
      <c r="BG6275">
        <v>0</v>
      </c>
    </row>
    <row r="6276" spans="3:59" x14ac:dyDescent="0.35">
      <c r="C6276">
        <v>45681</v>
      </c>
      <c r="F6276" t="s">
        <v>749</v>
      </c>
      <c r="N6276">
        <v>1</v>
      </c>
      <c r="O6276" t="s">
        <v>239</v>
      </c>
      <c r="P6276" t="s">
        <v>514</v>
      </c>
      <c r="Y6276">
        <v>19</v>
      </c>
      <c r="Z6276" s="259" t="s">
        <v>659</v>
      </c>
      <c r="AZ6276" t="s">
        <v>811</v>
      </c>
      <c r="BA6276">
        <v>101.53</v>
      </c>
      <c r="BB6276" t="s">
        <v>564</v>
      </c>
      <c r="BC6276" t="s">
        <v>793</v>
      </c>
      <c r="BD6276">
        <v>0</v>
      </c>
      <c r="BE6276">
        <v>46302</v>
      </c>
      <c r="BF6276" t="s">
        <v>588</v>
      </c>
      <c r="BG6276">
        <v>0</v>
      </c>
    </row>
    <row r="6277" spans="3:59" x14ac:dyDescent="0.35">
      <c r="C6277">
        <v>45684</v>
      </c>
      <c r="F6277" t="s">
        <v>749</v>
      </c>
      <c r="N6277">
        <v>1</v>
      </c>
      <c r="O6277" t="s">
        <v>239</v>
      </c>
      <c r="P6277" t="s">
        <v>514</v>
      </c>
      <c r="Y6277">
        <v>20</v>
      </c>
      <c r="Z6277" s="259" t="s">
        <v>659</v>
      </c>
      <c r="AZ6277" t="s">
        <v>812</v>
      </c>
      <c r="BA6277">
        <v>101.73</v>
      </c>
      <c r="BB6277" t="s">
        <v>564</v>
      </c>
      <c r="BC6277" t="s">
        <v>793</v>
      </c>
      <c r="BD6277">
        <v>0</v>
      </c>
      <c r="BE6277">
        <v>46302</v>
      </c>
      <c r="BF6277" t="s">
        <v>588</v>
      </c>
      <c r="BG6277">
        <v>0</v>
      </c>
    </row>
    <row r="6278" spans="3:59" x14ac:dyDescent="0.35">
      <c r="C6278">
        <v>45685</v>
      </c>
      <c r="F6278" t="s">
        <v>749</v>
      </c>
      <c r="N6278">
        <v>1</v>
      </c>
      <c r="O6278" t="s">
        <v>239</v>
      </c>
      <c r="P6278" t="s">
        <v>514</v>
      </c>
      <c r="Y6278">
        <v>21</v>
      </c>
      <c r="Z6278" s="259" t="s">
        <v>659</v>
      </c>
      <c r="AZ6278" t="s">
        <v>813</v>
      </c>
      <c r="BA6278">
        <v>101.8</v>
      </c>
      <c r="BB6278" t="s">
        <v>564</v>
      </c>
      <c r="BC6278" t="s">
        <v>793</v>
      </c>
      <c r="BD6278">
        <v>0</v>
      </c>
      <c r="BE6278">
        <v>46302</v>
      </c>
      <c r="BF6278" t="s">
        <v>588</v>
      </c>
      <c r="BG6278">
        <v>0</v>
      </c>
    </row>
    <row r="6279" spans="3:59" x14ac:dyDescent="0.35">
      <c r="C6279">
        <v>45686</v>
      </c>
      <c r="F6279" t="s">
        <v>749</v>
      </c>
      <c r="N6279">
        <v>1</v>
      </c>
      <c r="O6279" t="s">
        <v>239</v>
      </c>
      <c r="P6279" t="s">
        <v>514</v>
      </c>
      <c r="Y6279">
        <v>22</v>
      </c>
      <c r="Z6279" s="259" t="s">
        <v>659</v>
      </c>
      <c r="AZ6279" t="s">
        <v>814</v>
      </c>
      <c r="BA6279">
        <v>101.87</v>
      </c>
      <c r="BB6279" t="s">
        <v>564</v>
      </c>
      <c r="BC6279" t="s">
        <v>793</v>
      </c>
      <c r="BD6279">
        <v>0</v>
      </c>
      <c r="BE6279">
        <v>46302</v>
      </c>
      <c r="BF6279" t="s">
        <v>588</v>
      </c>
      <c r="BG6279">
        <v>0</v>
      </c>
    </row>
    <row r="6280" spans="3:59" x14ac:dyDescent="0.35">
      <c r="C6280">
        <v>45687</v>
      </c>
      <c r="F6280" t="s">
        <v>749</v>
      </c>
      <c r="N6280">
        <v>1</v>
      </c>
      <c r="O6280" t="s">
        <v>239</v>
      </c>
      <c r="P6280" t="s">
        <v>514</v>
      </c>
      <c r="Y6280">
        <v>23</v>
      </c>
      <c r="Z6280" s="259" t="s">
        <v>659</v>
      </c>
      <c r="AZ6280" t="s">
        <v>815</v>
      </c>
      <c r="BA6280">
        <v>101.93</v>
      </c>
      <c r="BB6280" t="s">
        <v>564</v>
      </c>
      <c r="BC6280" t="s">
        <v>793</v>
      </c>
      <c r="BD6280">
        <v>0</v>
      </c>
      <c r="BE6280">
        <v>46302</v>
      </c>
      <c r="BF6280" t="s">
        <v>588</v>
      </c>
      <c r="BG6280">
        <v>0</v>
      </c>
    </row>
    <row r="6281" spans="3:59" x14ac:dyDescent="0.35">
      <c r="C6281">
        <v>45688</v>
      </c>
      <c r="F6281" t="s">
        <v>749</v>
      </c>
      <c r="N6281">
        <v>1</v>
      </c>
      <c r="O6281" t="s">
        <v>239</v>
      </c>
      <c r="P6281" t="s">
        <v>514</v>
      </c>
      <c r="Y6281">
        <v>24</v>
      </c>
      <c r="Z6281" s="259" t="s">
        <v>659</v>
      </c>
      <c r="AZ6281" t="s">
        <v>816</v>
      </c>
      <c r="BA6281">
        <v>102</v>
      </c>
      <c r="BB6281" t="s">
        <v>564</v>
      </c>
      <c r="BC6281" t="s">
        <v>793</v>
      </c>
      <c r="BD6281">
        <v>0</v>
      </c>
      <c r="BE6281">
        <v>46302</v>
      </c>
      <c r="BF6281" t="s">
        <v>588</v>
      </c>
      <c r="BG6281">
        <v>0</v>
      </c>
    </row>
    <row r="6282" spans="3:59" x14ac:dyDescent="0.35">
      <c r="C6282">
        <v>45691</v>
      </c>
      <c r="F6282" t="s">
        <v>749</v>
      </c>
      <c r="N6282">
        <v>1</v>
      </c>
      <c r="O6282" t="s">
        <v>239</v>
      </c>
      <c r="P6282" t="s">
        <v>514</v>
      </c>
      <c r="Y6282">
        <v>25</v>
      </c>
      <c r="Z6282" s="259" t="s">
        <v>659</v>
      </c>
      <c r="AZ6282" t="s">
        <v>817</v>
      </c>
      <c r="BA6282">
        <v>101.63</v>
      </c>
      <c r="BB6282" t="s">
        <v>564</v>
      </c>
      <c r="BC6282" t="s">
        <v>793</v>
      </c>
      <c r="BD6282">
        <v>0</v>
      </c>
      <c r="BE6282">
        <v>46302</v>
      </c>
      <c r="BF6282" t="s">
        <v>588</v>
      </c>
      <c r="BG6282">
        <v>0</v>
      </c>
    </row>
    <row r="6283" spans="3:59" x14ac:dyDescent="0.35">
      <c r="C6283">
        <v>45692</v>
      </c>
      <c r="F6283" t="s">
        <v>749</v>
      </c>
      <c r="N6283">
        <v>1</v>
      </c>
      <c r="O6283" t="s">
        <v>239</v>
      </c>
      <c r="P6283" t="s">
        <v>514</v>
      </c>
      <c r="Y6283">
        <v>26</v>
      </c>
      <c r="Z6283" s="259" t="s">
        <v>659</v>
      </c>
      <c r="AZ6283" t="s">
        <v>818</v>
      </c>
      <c r="BA6283">
        <v>101.44</v>
      </c>
      <c r="BB6283" t="s">
        <v>564</v>
      </c>
      <c r="BC6283" t="s">
        <v>793</v>
      </c>
      <c r="BD6283">
        <v>0</v>
      </c>
      <c r="BE6283">
        <v>46302</v>
      </c>
      <c r="BF6283" t="s">
        <v>588</v>
      </c>
      <c r="BG6283">
        <v>0</v>
      </c>
    </row>
    <row r="6284" spans="3:59" x14ac:dyDescent="0.35">
      <c r="C6284">
        <v>45693</v>
      </c>
      <c r="F6284" t="s">
        <v>749</v>
      </c>
      <c r="N6284">
        <v>1</v>
      </c>
      <c r="O6284" t="s">
        <v>239</v>
      </c>
      <c r="P6284" t="s">
        <v>514</v>
      </c>
      <c r="Y6284">
        <v>27</v>
      </c>
      <c r="Z6284" s="259" t="s">
        <v>659</v>
      </c>
      <c r="AZ6284" t="s">
        <v>819</v>
      </c>
      <c r="BA6284">
        <v>101.26</v>
      </c>
      <c r="BB6284" t="s">
        <v>564</v>
      </c>
      <c r="BC6284" t="s">
        <v>793</v>
      </c>
      <c r="BD6284">
        <v>0</v>
      </c>
      <c r="BE6284">
        <v>46302</v>
      </c>
      <c r="BF6284" t="s">
        <v>588</v>
      </c>
      <c r="BG6284">
        <v>0</v>
      </c>
    </row>
    <row r="6285" spans="3:59" x14ac:dyDescent="0.35">
      <c r="C6285">
        <v>45694</v>
      </c>
      <c r="F6285" t="s">
        <v>749</v>
      </c>
      <c r="N6285">
        <v>1</v>
      </c>
      <c r="O6285" t="s">
        <v>239</v>
      </c>
      <c r="P6285" t="s">
        <v>514</v>
      </c>
      <c r="Y6285">
        <v>28</v>
      </c>
      <c r="Z6285" s="259" t="s">
        <v>659</v>
      </c>
      <c r="AZ6285" t="s">
        <v>820</v>
      </c>
      <c r="BA6285">
        <v>101.07</v>
      </c>
      <c r="BB6285" t="s">
        <v>564</v>
      </c>
      <c r="BC6285" t="s">
        <v>793</v>
      </c>
      <c r="BD6285">
        <v>0</v>
      </c>
      <c r="BE6285">
        <v>46302</v>
      </c>
      <c r="BF6285" t="s">
        <v>588</v>
      </c>
      <c r="BG6285">
        <v>0</v>
      </c>
    </row>
    <row r="6286" spans="3:59" x14ac:dyDescent="0.35">
      <c r="C6286">
        <v>45695</v>
      </c>
      <c r="F6286" t="s">
        <v>749</v>
      </c>
      <c r="N6286">
        <v>1</v>
      </c>
      <c r="O6286" t="s">
        <v>239</v>
      </c>
      <c r="P6286" t="s">
        <v>514</v>
      </c>
      <c r="Y6286">
        <v>29</v>
      </c>
      <c r="Z6286" s="259" t="s">
        <v>659</v>
      </c>
      <c r="AZ6286" t="s">
        <v>821</v>
      </c>
      <c r="BA6286">
        <v>100.89</v>
      </c>
      <c r="BB6286" t="s">
        <v>564</v>
      </c>
      <c r="BC6286" t="s">
        <v>793</v>
      </c>
      <c r="BD6286">
        <v>0</v>
      </c>
      <c r="BE6286">
        <v>46302</v>
      </c>
      <c r="BF6286" t="s">
        <v>588</v>
      </c>
      <c r="BG6286">
        <v>0</v>
      </c>
    </row>
    <row r="6287" spans="3:59" x14ac:dyDescent="0.35">
      <c r="C6287">
        <v>45698</v>
      </c>
      <c r="F6287" t="s">
        <v>749</v>
      </c>
      <c r="N6287">
        <v>1</v>
      </c>
      <c r="O6287" t="s">
        <v>239</v>
      </c>
      <c r="P6287" t="s">
        <v>514</v>
      </c>
      <c r="Y6287">
        <v>30</v>
      </c>
      <c r="Z6287" s="259" t="s">
        <v>659</v>
      </c>
      <c r="AZ6287" t="s">
        <v>822</v>
      </c>
      <c r="BA6287">
        <v>100.33</v>
      </c>
      <c r="BB6287" t="s">
        <v>564</v>
      </c>
      <c r="BC6287" t="s">
        <v>793</v>
      </c>
      <c r="BD6287">
        <v>0</v>
      </c>
      <c r="BE6287">
        <v>46302</v>
      </c>
      <c r="BF6287" t="s">
        <v>588</v>
      </c>
      <c r="BG6287">
        <v>0</v>
      </c>
    </row>
    <row r="6288" spans="3:59" x14ac:dyDescent="0.35">
      <c r="C6288">
        <v>45699</v>
      </c>
      <c r="F6288" t="s">
        <v>749</v>
      </c>
      <c r="N6288">
        <v>1</v>
      </c>
      <c r="O6288" t="s">
        <v>239</v>
      </c>
      <c r="P6288" t="s">
        <v>514</v>
      </c>
      <c r="Y6288">
        <v>31</v>
      </c>
      <c r="Z6288" s="259" t="s">
        <v>659</v>
      </c>
      <c r="AZ6288" t="s">
        <v>823</v>
      </c>
      <c r="BA6288">
        <v>100.15</v>
      </c>
      <c r="BB6288" t="s">
        <v>564</v>
      </c>
      <c r="BC6288" t="s">
        <v>793</v>
      </c>
      <c r="BD6288">
        <v>0</v>
      </c>
      <c r="BE6288">
        <v>46302</v>
      </c>
      <c r="BF6288" t="s">
        <v>588</v>
      </c>
      <c r="BG6288">
        <v>0</v>
      </c>
    </row>
    <row r="6289" spans="3:59" x14ac:dyDescent="0.35">
      <c r="C6289">
        <v>45700</v>
      </c>
      <c r="F6289" t="s">
        <v>749</v>
      </c>
      <c r="N6289">
        <v>1</v>
      </c>
      <c r="O6289" t="s">
        <v>239</v>
      </c>
      <c r="P6289" t="s">
        <v>514</v>
      </c>
      <c r="Y6289">
        <v>32</v>
      </c>
      <c r="Z6289" s="259" t="s">
        <v>659</v>
      </c>
      <c r="AZ6289" t="s">
        <v>824</v>
      </c>
      <c r="BA6289">
        <v>99.96</v>
      </c>
      <c r="BB6289" t="s">
        <v>564</v>
      </c>
      <c r="BC6289" t="s">
        <v>793</v>
      </c>
      <c r="BD6289">
        <v>0</v>
      </c>
      <c r="BE6289">
        <v>46302</v>
      </c>
      <c r="BF6289" t="s">
        <v>588</v>
      </c>
      <c r="BG6289">
        <v>0</v>
      </c>
    </row>
    <row r="6290" spans="3:59" x14ac:dyDescent="0.35">
      <c r="C6290">
        <v>45701</v>
      </c>
      <c r="F6290" t="s">
        <v>749</v>
      </c>
      <c r="N6290">
        <v>1</v>
      </c>
      <c r="O6290" t="s">
        <v>239</v>
      </c>
      <c r="P6290" t="s">
        <v>514</v>
      </c>
      <c r="Y6290">
        <v>33</v>
      </c>
      <c r="Z6290" s="259" t="s">
        <v>659</v>
      </c>
      <c r="AZ6290" t="s">
        <v>825</v>
      </c>
      <c r="BA6290">
        <v>99.78</v>
      </c>
      <c r="BB6290" t="s">
        <v>564</v>
      </c>
      <c r="BC6290" t="s">
        <v>793</v>
      </c>
      <c r="BD6290">
        <v>0</v>
      </c>
      <c r="BE6290">
        <v>46302</v>
      </c>
      <c r="BF6290" t="s">
        <v>588</v>
      </c>
      <c r="BG6290">
        <v>0</v>
      </c>
    </row>
    <row r="6291" spans="3:59" x14ac:dyDescent="0.35">
      <c r="C6291">
        <v>45702</v>
      </c>
      <c r="F6291" t="s">
        <v>749</v>
      </c>
      <c r="N6291">
        <v>1</v>
      </c>
      <c r="O6291" t="s">
        <v>239</v>
      </c>
      <c r="P6291" t="s">
        <v>514</v>
      </c>
      <c r="Y6291">
        <v>34</v>
      </c>
      <c r="Z6291" s="259" t="s">
        <v>659</v>
      </c>
      <c r="AZ6291" t="s">
        <v>826</v>
      </c>
      <c r="BA6291">
        <v>99.59</v>
      </c>
      <c r="BB6291" t="s">
        <v>564</v>
      </c>
      <c r="BC6291" t="s">
        <v>793</v>
      </c>
      <c r="BD6291">
        <v>0</v>
      </c>
      <c r="BE6291">
        <v>46302</v>
      </c>
      <c r="BF6291" t="s">
        <v>588</v>
      </c>
      <c r="BG6291">
        <v>0</v>
      </c>
    </row>
    <row r="6292" spans="3:59" x14ac:dyDescent="0.35">
      <c r="C6292">
        <v>45705</v>
      </c>
      <c r="F6292" t="s">
        <v>749</v>
      </c>
      <c r="N6292">
        <v>1</v>
      </c>
      <c r="O6292" t="s">
        <v>239</v>
      </c>
      <c r="P6292" t="s">
        <v>514</v>
      </c>
      <c r="Y6292">
        <v>35</v>
      </c>
      <c r="Z6292" s="259" t="s">
        <v>659</v>
      </c>
      <c r="AZ6292" t="s">
        <v>827</v>
      </c>
      <c r="BA6292">
        <v>99.04</v>
      </c>
      <c r="BB6292" t="s">
        <v>564</v>
      </c>
      <c r="BC6292" t="s">
        <v>793</v>
      </c>
      <c r="BD6292">
        <v>0</v>
      </c>
      <c r="BE6292">
        <v>46302</v>
      </c>
      <c r="BF6292" t="s">
        <v>588</v>
      </c>
      <c r="BG6292">
        <v>0</v>
      </c>
    </row>
    <row r="6293" spans="3:59" x14ac:dyDescent="0.35">
      <c r="C6293">
        <v>45706</v>
      </c>
      <c r="F6293" t="s">
        <v>749</v>
      </c>
      <c r="N6293">
        <v>1</v>
      </c>
      <c r="O6293" t="s">
        <v>239</v>
      </c>
      <c r="P6293" t="s">
        <v>514</v>
      </c>
      <c r="Y6293">
        <v>36</v>
      </c>
      <c r="Z6293" s="259" t="s">
        <v>659</v>
      </c>
      <c r="AZ6293" t="s">
        <v>828</v>
      </c>
      <c r="BA6293">
        <v>98.85</v>
      </c>
      <c r="BB6293" t="s">
        <v>564</v>
      </c>
      <c r="BC6293" t="s">
        <v>793</v>
      </c>
      <c r="BD6293">
        <v>0</v>
      </c>
      <c r="BE6293">
        <v>46302</v>
      </c>
      <c r="BF6293" t="s">
        <v>588</v>
      </c>
      <c r="BG6293">
        <v>0</v>
      </c>
    </row>
    <row r="6294" spans="3:59" x14ac:dyDescent="0.35">
      <c r="C6294">
        <v>45707</v>
      </c>
      <c r="F6294" t="s">
        <v>749</v>
      </c>
      <c r="N6294">
        <v>1</v>
      </c>
      <c r="O6294" t="s">
        <v>239</v>
      </c>
      <c r="P6294" t="s">
        <v>514</v>
      </c>
      <c r="Y6294">
        <v>37</v>
      </c>
      <c r="Z6294" s="259" t="s">
        <v>659</v>
      </c>
      <c r="AZ6294" t="s">
        <v>829</v>
      </c>
      <c r="BA6294">
        <v>98.67</v>
      </c>
      <c r="BB6294" t="s">
        <v>564</v>
      </c>
      <c r="BC6294" t="s">
        <v>793</v>
      </c>
      <c r="BD6294">
        <v>0</v>
      </c>
      <c r="BE6294">
        <v>46302</v>
      </c>
      <c r="BF6294" t="s">
        <v>588</v>
      </c>
      <c r="BG6294">
        <v>0</v>
      </c>
    </row>
    <row r="6295" spans="3:59" x14ac:dyDescent="0.35">
      <c r="C6295">
        <v>45708</v>
      </c>
      <c r="F6295" t="s">
        <v>749</v>
      </c>
      <c r="N6295">
        <v>1</v>
      </c>
      <c r="O6295" t="s">
        <v>239</v>
      </c>
      <c r="P6295" t="s">
        <v>514</v>
      </c>
      <c r="Y6295">
        <v>38</v>
      </c>
      <c r="Z6295" s="259" t="s">
        <v>659</v>
      </c>
      <c r="AZ6295" t="s">
        <v>830</v>
      </c>
      <c r="BA6295">
        <v>98.48</v>
      </c>
      <c r="BB6295" t="s">
        <v>564</v>
      </c>
      <c r="BC6295" t="s">
        <v>793</v>
      </c>
      <c r="BD6295">
        <v>0</v>
      </c>
      <c r="BE6295">
        <v>46302</v>
      </c>
      <c r="BF6295" t="s">
        <v>588</v>
      </c>
      <c r="BG6295">
        <v>0</v>
      </c>
    </row>
    <row r="6296" spans="3:59" x14ac:dyDescent="0.35">
      <c r="C6296">
        <v>45709</v>
      </c>
      <c r="F6296" t="s">
        <v>749</v>
      </c>
      <c r="N6296">
        <v>1</v>
      </c>
      <c r="O6296" t="s">
        <v>239</v>
      </c>
      <c r="P6296" t="s">
        <v>514</v>
      </c>
      <c r="Y6296">
        <v>39</v>
      </c>
      <c r="Z6296" s="259" t="s">
        <v>659</v>
      </c>
      <c r="AZ6296" t="s">
        <v>831</v>
      </c>
      <c r="BA6296">
        <v>98.3</v>
      </c>
      <c r="BB6296" t="s">
        <v>564</v>
      </c>
      <c r="BC6296" t="s">
        <v>793</v>
      </c>
      <c r="BD6296">
        <v>0</v>
      </c>
      <c r="BE6296">
        <v>46302</v>
      </c>
      <c r="BF6296" t="s">
        <v>588</v>
      </c>
      <c r="BG6296">
        <v>0</v>
      </c>
    </row>
    <row r="6297" spans="3:59" x14ac:dyDescent="0.35">
      <c r="C6297">
        <v>45712</v>
      </c>
      <c r="F6297" t="s">
        <v>749</v>
      </c>
      <c r="N6297">
        <v>1</v>
      </c>
      <c r="O6297" t="s">
        <v>239</v>
      </c>
      <c r="P6297" t="s">
        <v>514</v>
      </c>
      <c r="Y6297">
        <v>40</v>
      </c>
      <c r="Z6297" s="259" t="s">
        <v>659</v>
      </c>
      <c r="AZ6297" t="s">
        <v>832</v>
      </c>
      <c r="BA6297">
        <v>97.74</v>
      </c>
      <c r="BB6297" t="s">
        <v>564</v>
      </c>
      <c r="BC6297" t="s">
        <v>793</v>
      </c>
      <c r="BD6297">
        <v>0</v>
      </c>
      <c r="BE6297">
        <v>46302</v>
      </c>
      <c r="BF6297" t="s">
        <v>588</v>
      </c>
      <c r="BG6297">
        <v>0</v>
      </c>
    </row>
    <row r="6298" spans="3:59" x14ac:dyDescent="0.35">
      <c r="C6298">
        <v>45713</v>
      </c>
      <c r="F6298" t="s">
        <v>749</v>
      </c>
      <c r="N6298">
        <v>1</v>
      </c>
      <c r="O6298" t="s">
        <v>239</v>
      </c>
      <c r="P6298" t="s">
        <v>514</v>
      </c>
      <c r="Y6298">
        <v>41</v>
      </c>
      <c r="Z6298" s="259" t="s">
        <v>659</v>
      </c>
      <c r="AZ6298" t="s">
        <v>833</v>
      </c>
      <c r="BA6298">
        <v>97.56</v>
      </c>
      <c r="BB6298" t="s">
        <v>564</v>
      </c>
      <c r="BC6298" t="s">
        <v>793</v>
      </c>
      <c r="BD6298">
        <v>0</v>
      </c>
      <c r="BE6298">
        <v>46302</v>
      </c>
      <c r="BF6298" t="s">
        <v>588</v>
      </c>
      <c r="BG6298">
        <v>0</v>
      </c>
    </row>
    <row r="6299" spans="3:59" x14ac:dyDescent="0.35">
      <c r="C6299">
        <v>45714</v>
      </c>
      <c r="F6299" t="s">
        <v>749</v>
      </c>
      <c r="N6299">
        <v>1</v>
      </c>
      <c r="O6299" t="s">
        <v>239</v>
      </c>
      <c r="P6299" t="s">
        <v>514</v>
      </c>
      <c r="Y6299">
        <v>42</v>
      </c>
      <c r="Z6299" s="259" t="s">
        <v>659</v>
      </c>
      <c r="AZ6299" t="s">
        <v>834</v>
      </c>
      <c r="BA6299">
        <v>97.37</v>
      </c>
      <c r="BB6299" t="s">
        <v>564</v>
      </c>
      <c r="BC6299" t="s">
        <v>793</v>
      </c>
      <c r="BD6299">
        <v>0</v>
      </c>
      <c r="BE6299">
        <v>46302</v>
      </c>
      <c r="BF6299" t="s">
        <v>588</v>
      </c>
      <c r="BG6299">
        <v>0</v>
      </c>
    </row>
    <row r="6300" spans="3:59" x14ac:dyDescent="0.35">
      <c r="C6300">
        <v>45715</v>
      </c>
      <c r="F6300" t="s">
        <v>749</v>
      </c>
      <c r="N6300">
        <v>1</v>
      </c>
      <c r="O6300" t="s">
        <v>239</v>
      </c>
      <c r="P6300" t="s">
        <v>514</v>
      </c>
      <c r="Y6300">
        <v>43</v>
      </c>
      <c r="Z6300" s="259" t="s">
        <v>659</v>
      </c>
      <c r="AZ6300" t="s">
        <v>835</v>
      </c>
      <c r="BA6300">
        <v>97.19</v>
      </c>
      <c r="BB6300" t="s">
        <v>564</v>
      </c>
      <c r="BC6300" t="s">
        <v>793</v>
      </c>
      <c r="BD6300">
        <v>0</v>
      </c>
      <c r="BE6300">
        <v>46302</v>
      </c>
      <c r="BF6300" t="s">
        <v>588</v>
      </c>
      <c r="BG6300">
        <v>0</v>
      </c>
    </row>
    <row r="6301" spans="3:59" x14ac:dyDescent="0.35">
      <c r="C6301">
        <v>45716</v>
      </c>
      <c r="F6301" t="s">
        <v>749</v>
      </c>
      <c r="N6301">
        <v>1</v>
      </c>
      <c r="O6301" t="s">
        <v>239</v>
      </c>
      <c r="P6301" t="s">
        <v>514</v>
      </c>
      <c r="Y6301">
        <v>44</v>
      </c>
      <c r="Z6301" s="259" t="s">
        <v>659</v>
      </c>
      <c r="AZ6301" t="s">
        <v>836</v>
      </c>
      <c r="BA6301">
        <v>97</v>
      </c>
      <c r="BB6301" t="s">
        <v>564</v>
      </c>
      <c r="BC6301" t="s">
        <v>793</v>
      </c>
      <c r="BD6301">
        <v>0</v>
      </c>
      <c r="BE6301">
        <v>46302</v>
      </c>
      <c r="BF6301" t="s">
        <v>588</v>
      </c>
      <c r="BG6301">
        <v>0</v>
      </c>
    </row>
    <row r="6302" spans="3:59" x14ac:dyDescent="0.35">
      <c r="C6302">
        <v>45719</v>
      </c>
      <c r="F6302" t="s">
        <v>749</v>
      </c>
      <c r="N6302">
        <v>1</v>
      </c>
      <c r="O6302" t="s">
        <v>239</v>
      </c>
      <c r="P6302" t="s">
        <v>514</v>
      </c>
      <c r="Y6302">
        <v>45</v>
      </c>
      <c r="Z6302" s="259" t="s">
        <v>659</v>
      </c>
      <c r="AZ6302" t="s">
        <v>837</v>
      </c>
      <c r="BA6302">
        <v>97.6</v>
      </c>
      <c r="BB6302" t="s">
        <v>564</v>
      </c>
      <c r="BC6302" t="s">
        <v>793</v>
      </c>
      <c r="BD6302">
        <v>0</v>
      </c>
      <c r="BE6302">
        <v>46302</v>
      </c>
      <c r="BF6302" t="s">
        <v>588</v>
      </c>
      <c r="BG6302">
        <v>0</v>
      </c>
    </row>
    <row r="6303" spans="3:59" x14ac:dyDescent="0.35">
      <c r="C6303">
        <v>45720</v>
      </c>
      <c r="F6303" t="s">
        <v>749</v>
      </c>
      <c r="N6303">
        <v>1</v>
      </c>
      <c r="O6303" t="s">
        <v>239</v>
      </c>
      <c r="P6303" t="s">
        <v>514</v>
      </c>
      <c r="Y6303">
        <v>46</v>
      </c>
      <c r="Z6303" s="259" t="s">
        <v>659</v>
      </c>
      <c r="AZ6303" t="s">
        <v>838</v>
      </c>
      <c r="BA6303">
        <v>97.9</v>
      </c>
      <c r="BB6303" t="s">
        <v>564</v>
      </c>
      <c r="BC6303" t="s">
        <v>793</v>
      </c>
      <c r="BD6303">
        <v>0</v>
      </c>
      <c r="BE6303">
        <v>46302</v>
      </c>
      <c r="BF6303" t="s">
        <v>588</v>
      </c>
      <c r="BG6303">
        <v>0</v>
      </c>
    </row>
    <row r="6304" spans="3:59" x14ac:dyDescent="0.35">
      <c r="C6304">
        <v>45721</v>
      </c>
      <c r="F6304" t="s">
        <v>749</v>
      </c>
      <c r="N6304">
        <v>1</v>
      </c>
      <c r="O6304" t="s">
        <v>239</v>
      </c>
      <c r="P6304" t="s">
        <v>514</v>
      </c>
      <c r="Y6304">
        <v>47</v>
      </c>
      <c r="Z6304" s="259" t="s">
        <v>659</v>
      </c>
      <c r="AZ6304" t="s">
        <v>839</v>
      </c>
      <c r="BA6304">
        <v>98.2</v>
      </c>
      <c r="BB6304" t="s">
        <v>564</v>
      </c>
      <c r="BC6304" t="s">
        <v>793</v>
      </c>
      <c r="BD6304">
        <v>0</v>
      </c>
      <c r="BE6304">
        <v>46302</v>
      </c>
      <c r="BF6304" t="s">
        <v>588</v>
      </c>
      <c r="BG6304">
        <v>0</v>
      </c>
    </row>
    <row r="6305" spans="3:59" x14ac:dyDescent="0.35">
      <c r="C6305">
        <v>45722</v>
      </c>
      <c r="F6305" t="s">
        <v>749</v>
      </c>
      <c r="N6305">
        <v>1</v>
      </c>
      <c r="O6305" t="s">
        <v>239</v>
      </c>
      <c r="P6305" t="s">
        <v>514</v>
      </c>
      <c r="Y6305">
        <v>48</v>
      </c>
      <c r="Z6305" s="259" t="s">
        <v>659</v>
      </c>
      <c r="AZ6305" t="s">
        <v>840</v>
      </c>
      <c r="BA6305">
        <v>98.5</v>
      </c>
      <c r="BB6305" t="s">
        <v>564</v>
      </c>
      <c r="BC6305" t="s">
        <v>793</v>
      </c>
      <c r="BD6305">
        <v>0</v>
      </c>
      <c r="BE6305">
        <v>46302</v>
      </c>
      <c r="BF6305" t="s">
        <v>588</v>
      </c>
      <c r="BG6305">
        <v>0</v>
      </c>
    </row>
    <row r="6306" spans="3:59" x14ac:dyDescent="0.35">
      <c r="C6306">
        <v>45723</v>
      </c>
      <c r="F6306" t="s">
        <v>749</v>
      </c>
      <c r="N6306">
        <v>1</v>
      </c>
      <c r="O6306" t="s">
        <v>239</v>
      </c>
      <c r="P6306" t="s">
        <v>514</v>
      </c>
      <c r="Y6306">
        <v>49</v>
      </c>
      <c r="Z6306" s="259" t="s">
        <v>659</v>
      </c>
      <c r="AZ6306" t="s">
        <v>841</v>
      </c>
      <c r="BA6306">
        <v>98.8</v>
      </c>
      <c r="BB6306" t="s">
        <v>564</v>
      </c>
      <c r="BC6306" t="s">
        <v>793</v>
      </c>
      <c r="BD6306">
        <v>0</v>
      </c>
      <c r="BE6306">
        <v>46302</v>
      </c>
      <c r="BF6306" t="s">
        <v>588</v>
      </c>
      <c r="BG6306">
        <v>0</v>
      </c>
    </row>
    <row r="6307" spans="3:59" x14ac:dyDescent="0.35">
      <c r="C6307">
        <v>45726</v>
      </c>
      <c r="F6307" t="s">
        <v>749</v>
      </c>
      <c r="N6307">
        <v>1</v>
      </c>
      <c r="O6307" t="s">
        <v>239</v>
      </c>
      <c r="P6307" t="s">
        <v>514</v>
      </c>
      <c r="Y6307">
        <v>50</v>
      </c>
      <c r="Z6307" s="259" t="s">
        <v>659</v>
      </c>
      <c r="AZ6307" t="s">
        <v>842</v>
      </c>
      <c r="BA6307">
        <v>99.7</v>
      </c>
      <c r="BB6307" t="s">
        <v>564</v>
      </c>
      <c r="BC6307" t="s">
        <v>793</v>
      </c>
      <c r="BD6307">
        <v>0</v>
      </c>
      <c r="BE6307">
        <v>46302</v>
      </c>
      <c r="BF6307" t="s">
        <v>588</v>
      </c>
      <c r="BG6307">
        <v>0</v>
      </c>
    </row>
    <row r="6308" spans="3:59" x14ac:dyDescent="0.35">
      <c r="C6308">
        <v>45727</v>
      </c>
      <c r="F6308" t="s">
        <v>749</v>
      </c>
      <c r="N6308">
        <v>1</v>
      </c>
      <c r="O6308" t="s">
        <v>239</v>
      </c>
      <c r="P6308" t="s">
        <v>514</v>
      </c>
      <c r="Y6308">
        <v>51</v>
      </c>
      <c r="Z6308" s="259" t="s">
        <v>659</v>
      </c>
      <c r="AZ6308" t="s">
        <v>843</v>
      </c>
      <c r="BA6308">
        <v>100</v>
      </c>
      <c r="BB6308" t="s">
        <v>564</v>
      </c>
      <c r="BC6308" t="s">
        <v>793</v>
      </c>
      <c r="BD6308">
        <v>0</v>
      </c>
      <c r="BE6308">
        <v>46302</v>
      </c>
      <c r="BF6308" t="s">
        <v>588</v>
      </c>
      <c r="BG6308">
        <v>0</v>
      </c>
    </row>
    <row r="6309" spans="3:59" x14ac:dyDescent="0.35">
      <c r="C6309">
        <v>45728</v>
      </c>
      <c r="F6309" t="s">
        <v>749</v>
      </c>
      <c r="N6309">
        <v>1</v>
      </c>
      <c r="O6309" t="s">
        <v>239</v>
      </c>
      <c r="P6309" t="s">
        <v>514</v>
      </c>
      <c r="Y6309">
        <v>52</v>
      </c>
      <c r="Z6309" s="259" t="s">
        <v>659</v>
      </c>
      <c r="AZ6309" t="s">
        <v>844</v>
      </c>
      <c r="BA6309">
        <v>100.3</v>
      </c>
      <c r="BB6309" t="s">
        <v>564</v>
      </c>
      <c r="BC6309" t="s">
        <v>793</v>
      </c>
      <c r="BD6309">
        <v>0</v>
      </c>
      <c r="BE6309">
        <v>46302</v>
      </c>
      <c r="BF6309" t="s">
        <v>588</v>
      </c>
      <c r="BG6309">
        <v>0</v>
      </c>
    </row>
    <row r="6310" spans="3:59" x14ac:dyDescent="0.35">
      <c r="C6310">
        <v>45729</v>
      </c>
      <c r="F6310" t="s">
        <v>749</v>
      </c>
      <c r="N6310">
        <v>1</v>
      </c>
      <c r="O6310" t="s">
        <v>239</v>
      </c>
      <c r="P6310" t="s">
        <v>514</v>
      </c>
      <c r="Y6310">
        <v>53</v>
      </c>
      <c r="Z6310" s="259" t="s">
        <v>659</v>
      </c>
      <c r="AZ6310" t="s">
        <v>845</v>
      </c>
      <c r="BA6310">
        <v>100.6</v>
      </c>
      <c r="BB6310" t="s">
        <v>564</v>
      </c>
      <c r="BC6310" t="s">
        <v>793</v>
      </c>
      <c r="BD6310">
        <v>0</v>
      </c>
      <c r="BE6310">
        <v>46302</v>
      </c>
      <c r="BF6310" t="s">
        <v>588</v>
      </c>
      <c r="BG6310">
        <v>0</v>
      </c>
    </row>
    <row r="6311" spans="3:59" x14ac:dyDescent="0.35">
      <c r="C6311">
        <v>45730</v>
      </c>
      <c r="F6311" t="s">
        <v>749</v>
      </c>
      <c r="N6311">
        <v>1</v>
      </c>
      <c r="O6311" t="s">
        <v>239</v>
      </c>
      <c r="P6311" t="s">
        <v>514</v>
      </c>
      <c r="Y6311">
        <v>54</v>
      </c>
      <c r="Z6311" s="259" t="s">
        <v>659</v>
      </c>
      <c r="AZ6311" t="s">
        <v>846</v>
      </c>
      <c r="BA6311">
        <v>100.9</v>
      </c>
      <c r="BB6311" t="s">
        <v>564</v>
      </c>
      <c r="BC6311" t="s">
        <v>793</v>
      </c>
      <c r="BD6311">
        <v>0</v>
      </c>
      <c r="BE6311">
        <v>46302</v>
      </c>
      <c r="BF6311" t="s">
        <v>588</v>
      </c>
      <c r="BG6311">
        <v>0</v>
      </c>
    </row>
    <row r="6312" spans="3:59" x14ac:dyDescent="0.35">
      <c r="C6312">
        <v>45733</v>
      </c>
      <c r="F6312" t="s">
        <v>749</v>
      </c>
      <c r="N6312">
        <v>1</v>
      </c>
      <c r="O6312" t="s">
        <v>239</v>
      </c>
      <c r="P6312" t="s">
        <v>514</v>
      </c>
      <c r="Y6312">
        <v>55</v>
      </c>
      <c r="Z6312" s="259" t="s">
        <v>659</v>
      </c>
      <c r="AZ6312" t="s">
        <v>847</v>
      </c>
      <c r="BA6312">
        <v>101.8</v>
      </c>
      <c r="BB6312" t="s">
        <v>564</v>
      </c>
      <c r="BC6312" t="s">
        <v>793</v>
      </c>
      <c r="BD6312">
        <v>0</v>
      </c>
      <c r="BE6312">
        <v>46302</v>
      </c>
      <c r="BF6312" t="s">
        <v>588</v>
      </c>
      <c r="BG6312">
        <v>0</v>
      </c>
    </row>
    <row r="6313" spans="3:59" x14ac:dyDescent="0.35">
      <c r="C6313">
        <v>45734</v>
      </c>
      <c r="F6313" t="s">
        <v>749</v>
      </c>
      <c r="N6313">
        <v>1</v>
      </c>
      <c r="O6313" t="s">
        <v>239</v>
      </c>
      <c r="P6313" t="s">
        <v>514</v>
      </c>
      <c r="Y6313">
        <v>56</v>
      </c>
      <c r="Z6313" s="259" t="s">
        <v>659</v>
      </c>
      <c r="AZ6313" t="s">
        <v>848</v>
      </c>
      <c r="BA6313">
        <v>102.1</v>
      </c>
      <c r="BB6313" t="s">
        <v>564</v>
      </c>
      <c r="BC6313" t="s">
        <v>793</v>
      </c>
      <c r="BD6313">
        <v>0</v>
      </c>
      <c r="BE6313">
        <v>46302</v>
      </c>
      <c r="BF6313" t="s">
        <v>588</v>
      </c>
      <c r="BG6313">
        <v>0</v>
      </c>
    </row>
    <row r="6314" spans="3:59" x14ac:dyDescent="0.35">
      <c r="C6314">
        <v>45735</v>
      </c>
      <c r="F6314" t="s">
        <v>749</v>
      </c>
      <c r="N6314">
        <v>1</v>
      </c>
      <c r="O6314" t="s">
        <v>239</v>
      </c>
      <c r="P6314" t="s">
        <v>514</v>
      </c>
      <c r="Y6314">
        <v>57</v>
      </c>
      <c r="Z6314" s="259" t="s">
        <v>659</v>
      </c>
      <c r="AZ6314" t="s">
        <v>849</v>
      </c>
      <c r="BA6314">
        <v>102.4</v>
      </c>
      <c r="BB6314" t="s">
        <v>564</v>
      </c>
      <c r="BC6314" t="s">
        <v>793</v>
      </c>
      <c r="BD6314">
        <v>0</v>
      </c>
      <c r="BE6314">
        <v>46302</v>
      </c>
      <c r="BF6314" t="s">
        <v>588</v>
      </c>
      <c r="BG6314">
        <v>0</v>
      </c>
    </row>
    <row r="6315" spans="3:59" x14ac:dyDescent="0.35">
      <c r="C6315">
        <v>45736</v>
      </c>
      <c r="F6315" t="s">
        <v>749</v>
      </c>
      <c r="N6315">
        <v>1</v>
      </c>
      <c r="O6315" t="s">
        <v>239</v>
      </c>
      <c r="P6315" t="s">
        <v>514</v>
      </c>
      <c r="Y6315">
        <v>58</v>
      </c>
      <c r="Z6315" s="259" t="s">
        <v>659</v>
      </c>
      <c r="AZ6315" t="s">
        <v>850</v>
      </c>
      <c r="BA6315">
        <v>102.7</v>
      </c>
      <c r="BB6315" t="s">
        <v>564</v>
      </c>
      <c r="BC6315" t="s">
        <v>793</v>
      </c>
      <c r="BD6315">
        <v>0</v>
      </c>
      <c r="BE6315">
        <v>46302</v>
      </c>
      <c r="BF6315" t="s">
        <v>588</v>
      </c>
      <c r="BG6315">
        <v>0</v>
      </c>
    </row>
    <row r="6316" spans="3:59" x14ac:dyDescent="0.35">
      <c r="C6316">
        <v>45737</v>
      </c>
      <c r="F6316" t="s">
        <v>749</v>
      </c>
      <c r="N6316">
        <v>1</v>
      </c>
      <c r="O6316" t="s">
        <v>239</v>
      </c>
      <c r="P6316" t="s">
        <v>514</v>
      </c>
      <c r="Y6316">
        <v>59</v>
      </c>
      <c r="Z6316" s="259" t="s">
        <v>659</v>
      </c>
      <c r="AZ6316" t="s">
        <v>851</v>
      </c>
      <c r="BA6316">
        <v>103</v>
      </c>
      <c r="BB6316" t="s">
        <v>564</v>
      </c>
      <c r="BC6316" t="s">
        <v>793</v>
      </c>
      <c r="BD6316">
        <v>0</v>
      </c>
      <c r="BE6316">
        <v>46302</v>
      </c>
      <c r="BF6316" t="s">
        <v>588</v>
      </c>
      <c r="BG6316">
        <v>0</v>
      </c>
    </row>
    <row r="6317" spans="3:59" x14ac:dyDescent="0.35">
      <c r="C6317">
        <v>45740</v>
      </c>
      <c r="F6317" t="s">
        <v>749</v>
      </c>
      <c r="N6317">
        <v>1</v>
      </c>
      <c r="O6317" t="s">
        <v>239</v>
      </c>
      <c r="P6317" t="s">
        <v>514</v>
      </c>
      <c r="Y6317">
        <v>60</v>
      </c>
      <c r="Z6317" s="259" t="s">
        <v>659</v>
      </c>
      <c r="AZ6317" t="s">
        <v>852</v>
      </c>
      <c r="BA6317">
        <v>103.9</v>
      </c>
      <c r="BB6317" t="s">
        <v>564</v>
      </c>
      <c r="BC6317" t="s">
        <v>793</v>
      </c>
      <c r="BD6317">
        <v>0</v>
      </c>
      <c r="BE6317">
        <v>46302</v>
      </c>
      <c r="BF6317" t="s">
        <v>588</v>
      </c>
      <c r="BG6317">
        <v>0</v>
      </c>
    </row>
    <row r="6318" spans="3:59" x14ac:dyDescent="0.35">
      <c r="C6318">
        <v>45741</v>
      </c>
      <c r="F6318" t="s">
        <v>749</v>
      </c>
      <c r="N6318">
        <v>1</v>
      </c>
      <c r="O6318" t="s">
        <v>239</v>
      </c>
      <c r="P6318" t="s">
        <v>514</v>
      </c>
      <c r="Y6318">
        <v>61</v>
      </c>
      <c r="Z6318" s="259" t="s">
        <v>659</v>
      </c>
      <c r="AZ6318" t="s">
        <v>853</v>
      </c>
      <c r="BA6318">
        <v>104.2</v>
      </c>
      <c r="BB6318" t="s">
        <v>564</v>
      </c>
      <c r="BC6318" t="s">
        <v>793</v>
      </c>
      <c r="BD6318">
        <v>0</v>
      </c>
      <c r="BE6318">
        <v>46302</v>
      </c>
      <c r="BF6318" t="s">
        <v>588</v>
      </c>
      <c r="BG6318">
        <v>0</v>
      </c>
    </row>
    <row r="6319" spans="3:59" x14ac:dyDescent="0.35">
      <c r="C6319">
        <v>45742</v>
      </c>
      <c r="F6319" t="s">
        <v>749</v>
      </c>
      <c r="N6319">
        <v>1</v>
      </c>
      <c r="O6319" t="s">
        <v>239</v>
      </c>
      <c r="P6319" t="s">
        <v>514</v>
      </c>
      <c r="Y6319">
        <v>62</v>
      </c>
      <c r="Z6319" s="259" t="s">
        <v>659</v>
      </c>
      <c r="AZ6319" t="s">
        <v>854</v>
      </c>
      <c r="BA6319">
        <v>104.5</v>
      </c>
      <c r="BB6319" t="s">
        <v>564</v>
      </c>
      <c r="BC6319" t="s">
        <v>793</v>
      </c>
      <c r="BD6319">
        <v>0</v>
      </c>
      <c r="BE6319">
        <v>46302</v>
      </c>
      <c r="BF6319" t="s">
        <v>588</v>
      </c>
      <c r="BG6319">
        <v>0</v>
      </c>
    </row>
    <row r="6320" spans="3:59" x14ac:dyDescent="0.35">
      <c r="C6320">
        <v>45743</v>
      </c>
      <c r="F6320" t="s">
        <v>749</v>
      </c>
      <c r="N6320">
        <v>1</v>
      </c>
      <c r="O6320" t="s">
        <v>239</v>
      </c>
      <c r="P6320" t="s">
        <v>514</v>
      </c>
      <c r="Y6320">
        <v>63</v>
      </c>
      <c r="Z6320" s="259" t="s">
        <v>659</v>
      </c>
      <c r="AZ6320" t="s">
        <v>855</v>
      </c>
      <c r="BA6320">
        <v>104.8</v>
      </c>
      <c r="BB6320" t="s">
        <v>564</v>
      </c>
      <c r="BC6320" t="s">
        <v>793</v>
      </c>
      <c r="BD6320">
        <v>0</v>
      </c>
      <c r="BE6320">
        <v>46302</v>
      </c>
      <c r="BF6320" t="s">
        <v>588</v>
      </c>
      <c r="BG6320">
        <v>0</v>
      </c>
    </row>
    <row r="6321" spans="3:59" x14ac:dyDescent="0.35">
      <c r="C6321">
        <v>45744</v>
      </c>
      <c r="F6321" t="s">
        <v>749</v>
      </c>
      <c r="N6321">
        <v>1</v>
      </c>
      <c r="O6321" t="s">
        <v>239</v>
      </c>
      <c r="P6321" t="s">
        <v>514</v>
      </c>
      <c r="Y6321">
        <v>64</v>
      </c>
      <c r="Z6321" s="259" t="s">
        <v>659</v>
      </c>
      <c r="AZ6321" t="s">
        <v>856</v>
      </c>
      <c r="BA6321">
        <v>105.1</v>
      </c>
      <c r="BB6321" t="s">
        <v>564</v>
      </c>
      <c r="BC6321" t="s">
        <v>793</v>
      </c>
      <c r="BD6321">
        <v>0</v>
      </c>
      <c r="BE6321">
        <v>46302</v>
      </c>
      <c r="BF6321" t="s">
        <v>588</v>
      </c>
      <c r="BG6321">
        <v>0</v>
      </c>
    </row>
    <row r="6322" spans="3:59" x14ac:dyDescent="0.35">
      <c r="C6322">
        <v>45747</v>
      </c>
      <c r="F6322" t="s">
        <v>749</v>
      </c>
      <c r="N6322">
        <v>1</v>
      </c>
      <c r="O6322" t="s">
        <v>239</v>
      </c>
      <c r="P6322" t="s">
        <v>514</v>
      </c>
      <c r="Y6322">
        <v>65</v>
      </c>
      <c r="Z6322" s="259" t="s">
        <v>659</v>
      </c>
      <c r="AZ6322" t="s">
        <v>857</v>
      </c>
      <c r="BA6322">
        <v>106</v>
      </c>
      <c r="BB6322" t="s">
        <v>564</v>
      </c>
      <c r="BC6322" t="s">
        <v>793</v>
      </c>
      <c r="BD6322">
        <v>0</v>
      </c>
      <c r="BE6322">
        <v>46302</v>
      </c>
      <c r="BF6322" t="s">
        <v>588</v>
      </c>
      <c r="BG6322">
        <v>0</v>
      </c>
    </row>
    <row r="6323" spans="3:59" x14ac:dyDescent="0.35">
      <c r="C6323">
        <v>45748</v>
      </c>
      <c r="F6323" t="s">
        <v>749</v>
      </c>
      <c r="N6323">
        <v>1</v>
      </c>
      <c r="O6323" t="s">
        <v>239</v>
      </c>
      <c r="P6323" t="s">
        <v>514</v>
      </c>
      <c r="Y6323">
        <v>66</v>
      </c>
      <c r="Z6323" s="259" t="s">
        <v>659</v>
      </c>
      <c r="AZ6323" t="s">
        <v>858</v>
      </c>
      <c r="BA6323">
        <v>106</v>
      </c>
      <c r="BB6323" t="s">
        <v>564</v>
      </c>
      <c r="BC6323" t="s">
        <v>793</v>
      </c>
      <c r="BD6323">
        <v>0</v>
      </c>
      <c r="BE6323">
        <v>46302</v>
      </c>
      <c r="BF6323" t="s">
        <v>588</v>
      </c>
      <c r="BG6323">
        <v>0</v>
      </c>
    </row>
    <row r="6324" spans="3:59" x14ac:dyDescent="0.35">
      <c r="C6324">
        <v>45749</v>
      </c>
      <c r="F6324" t="s">
        <v>749</v>
      </c>
      <c r="N6324">
        <v>1</v>
      </c>
      <c r="O6324" t="s">
        <v>239</v>
      </c>
      <c r="P6324" t="s">
        <v>514</v>
      </c>
      <c r="Y6324">
        <v>67</v>
      </c>
      <c r="Z6324" s="259" t="s">
        <v>659</v>
      </c>
      <c r="AZ6324" t="s">
        <v>859</v>
      </c>
      <c r="BA6324">
        <v>105.83</v>
      </c>
      <c r="BB6324" t="s">
        <v>564</v>
      </c>
      <c r="BC6324" t="s">
        <v>793</v>
      </c>
      <c r="BD6324">
        <v>0</v>
      </c>
      <c r="BE6324">
        <v>46302</v>
      </c>
      <c r="BF6324" t="s">
        <v>588</v>
      </c>
      <c r="BG6324">
        <v>0</v>
      </c>
    </row>
    <row r="6325" spans="3:59" x14ac:dyDescent="0.35">
      <c r="C6325">
        <v>45750</v>
      </c>
      <c r="F6325" t="s">
        <v>749</v>
      </c>
      <c r="N6325">
        <v>1</v>
      </c>
      <c r="O6325" t="s">
        <v>239</v>
      </c>
      <c r="P6325" t="s">
        <v>514</v>
      </c>
      <c r="Y6325">
        <v>68</v>
      </c>
      <c r="Z6325" s="259" t="s">
        <v>659</v>
      </c>
      <c r="AZ6325" t="s">
        <v>860</v>
      </c>
      <c r="BA6325">
        <v>105.66</v>
      </c>
      <c r="BB6325" t="s">
        <v>564</v>
      </c>
      <c r="BC6325" t="s">
        <v>793</v>
      </c>
      <c r="BD6325">
        <v>0</v>
      </c>
      <c r="BE6325">
        <v>46302</v>
      </c>
      <c r="BF6325" t="s">
        <v>588</v>
      </c>
      <c r="BG6325">
        <v>0</v>
      </c>
    </row>
    <row r="6326" spans="3:59" x14ac:dyDescent="0.35">
      <c r="C6326">
        <v>45751</v>
      </c>
      <c r="F6326" t="s">
        <v>749</v>
      </c>
      <c r="N6326">
        <v>1</v>
      </c>
      <c r="O6326" t="s">
        <v>239</v>
      </c>
      <c r="P6326" t="s">
        <v>514</v>
      </c>
      <c r="Y6326">
        <v>69</v>
      </c>
      <c r="Z6326" s="259" t="s">
        <v>659</v>
      </c>
      <c r="AZ6326" t="s">
        <v>861</v>
      </c>
      <c r="BA6326">
        <v>105.48</v>
      </c>
      <c r="BB6326" t="s">
        <v>564</v>
      </c>
      <c r="BC6326" t="s">
        <v>793</v>
      </c>
      <c r="BD6326">
        <v>0</v>
      </c>
      <c r="BE6326">
        <v>46302</v>
      </c>
      <c r="BF6326" t="s">
        <v>588</v>
      </c>
      <c r="BG6326">
        <v>0</v>
      </c>
    </row>
    <row r="6327" spans="3:59" x14ac:dyDescent="0.35">
      <c r="C6327">
        <v>45754</v>
      </c>
      <c r="F6327" t="s">
        <v>749</v>
      </c>
      <c r="N6327">
        <v>1</v>
      </c>
      <c r="O6327" t="s">
        <v>239</v>
      </c>
      <c r="P6327" t="s">
        <v>514</v>
      </c>
      <c r="Y6327">
        <v>70</v>
      </c>
      <c r="Z6327" s="259" t="s">
        <v>659</v>
      </c>
      <c r="AZ6327" t="s">
        <v>862</v>
      </c>
      <c r="BA6327">
        <v>104.97</v>
      </c>
      <c r="BB6327" t="s">
        <v>564</v>
      </c>
      <c r="BC6327" t="s">
        <v>793</v>
      </c>
      <c r="BD6327">
        <v>0</v>
      </c>
      <c r="BE6327">
        <v>46302</v>
      </c>
      <c r="BF6327" t="s">
        <v>588</v>
      </c>
      <c r="BG6327">
        <v>0</v>
      </c>
    </row>
    <row r="6328" spans="3:59" x14ac:dyDescent="0.35">
      <c r="C6328">
        <v>45755</v>
      </c>
      <c r="F6328" t="s">
        <v>749</v>
      </c>
      <c r="N6328">
        <v>1</v>
      </c>
      <c r="O6328" t="s">
        <v>239</v>
      </c>
      <c r="P6328" t="s">
        <v>514</v>
      </c>
      <c r="Y6328">
        <v>71</v>
      </c>
      <c r="Z6328" s="259" t="s">
        <v>659</v>
      </c>
      <c r="AZ6328" t="s">
        <v>863</v>
      </c>
      <c r="BA6328">
        <v>104.79</v>
      </c>
      <c r="BB6328" t="s">
        <v>564</v>
      </c>
      <c r="BC6328" t="s">
        <v>793</v>
      </c>
      <c r="BD6328">
        <v>0</v>
      </c>
      <c r="BE6328">
        <v>46302</v>
      </c>
      <c r="BF6328" t="s">
        <v>588</v>
      </c>
      <c r="BG6328">
        <v>0</v>
      </c>
    </row>
    <row r="6329" spans="3:59" x14ac:dyDescent="0.35">
      <c r="C6329">
        <v>45756</v>
      </c>
      <c r="F6329" t="s">
        <v>749</v>
      </c>
      <c r="N6329">
        <v>1</v>
      </c>
      <c r="O6329" t="s">
        <v>239</v>
      </c>
      <c r="P6329" t="s">
        <v>514</v>
      </c>
      <c r="Y6329">
        <v>72</v>
      </c>
      <c r="Z6329" s="259" t="s">
        <v>659</v>
      </c>
      <c r="AZ6329" t="s">
        <v>864</v>
      </c>
      <c r="BA6329">
        <v>104.62</v>
      </c>
      <c r="BB6329" t="s">
        <v>564</v>
      </c>
      <c r="BC6329" t="s">
        <v>793</v>
      </c>
      <c r="BD6329">
        <v>0</v>
      </c>
      <c r="BE6329">
        <v>46302</v>
      </c>
      <c r="BF6329" t="s">
        <v>588</v>
      </c>
      <c r="BG6329">
        <v>0</v>
      </c>
    </row>
    <row r="6330" spans="3:59" x14ac:dyDescent="0.35">
      <c r="C6330">
        <v>45757</v>
      </c>
      <c r="F6330" t="s">
        <v>749</v>
      </c>
      <c r="N6330">
        <v>1</v>
      </c>
      <c r="O6330" t="s">
        <v>239</v>
      </c>
      <c r="P6330" t="s">
        <v>514</v>
      </c>
      <c r="Y6330">
        <v>73</v>
      </c>
      <c r="Z6330" s="259" t="s">
        <v>659</v>
      </c>
      <c r="AZ6330" t="s">
        <v>865</v>
      </c>
      <c r="BA6330">
        <v>104.45</v>
      </c>
      <c r="BB6330" t="s">
        <v>564</v>
      </c>
      <c r="BC6330" t="s">
        <v>793</v>
      </c>
      <c r="BD6330">
        <v>0</v>
      </c>
      <c r="BE6330">
        <v>46302</v>
      </c>
      <c r="BF6330" t="s">
        <v>588</v>
      </c>
      <c r="BG6330">
        <v>0</v>
      </c>
    </row>
    <row r="6331" spans="3:59" x14ac:dyDescent="0.35">
      <c r="C6331">
        <v>45758</v>
      </c>
      <c r="F6331" t="s">
        <v>749</v>
      </c>
      <c r="N6331">
        <v>1</v>
      </c>
      <c r="O6331" t="s">
        <v>239</v>
      </c>
      <c r="P6331" t="s">
        <v>514</v>
      </c>
      <c r="Y6331">
        <v>74</v>
      </c>
      <c r="Z6331" s="259" t="s">
        <v>659</v>
      </c>
      <c r="AZ6331" t="s">
        <v>866</v>
      </c>
      <c r="BA6331">
        <v>104.28</v>
      </c>
      <c r="BB6331" t="s">
        <v>564</v>
      </c>
      <c r="BC6331" t="s">
        <v>793</v>
      </c>
      <c r="BD6331">
        <v>0</v>
      </c>
      <c r="BE6331">
        <v>46302</v>
      </c>
      <c r="BF6331" t="s">
        <v>588</v>
      </c>
      <c r="BG6331">
        <v>0</v>
      </c>
    </row>
    <row r="6332" spans="3:59" x14ac:dyDescent="0.35">
      <c r="C6332">
        <v>45761</v>
      </c>
      <c r="F6332" t="s">
        <v>749</v>
      </c>
      <c r="N6332">
        <v>1</v>
      </c>
      <c r="O6332" t="s">
        <v>239</v>
      </c>
      <c r="P6332" t="s">
        <v>514</v>
      </c>
      <c r="Y6332">
        <v>75</v>
      </c>
      <c r="Z6332" s="259" t="s">
        <v>659</v>
      </c>
      <c r="AZ6332" t="s">
        <v>867</v>
      </c>
      <c r="BA6332">
        <v>103.76</v>
      </c>
      <c r="BB6332" t="s">
        <v>564</v>
      </c>
      <c r="BC6332" t="s">
        <v>793</v>
      </c>
      <c r="BD6332">
        <v>0</v>
      </c>
      <c r="BE6332">
        <v>46302</v>
      </c>
      <c r="BF6332" t="s">
        <v>588</v>
      </c>
      <c r="BG6332">
        <v>0</v>
      </c>
    </row>
    <row r="6333" spans="3:59" x14ac:dyDescent="0.35">
      <c r="C6333">
        <v>45762</v>
      </c>
      <c r="F6333" t="s">
        <v>749</v>
      </c>
      <c r="N6333">
        <v>1</v>
      </c>
      <c r="O6333" t="s">
        <v>239</v>
      </c>
      <c r="P6333" t="s">
        <v>514</v>
      </c>
      <c r="Y6333">
        <v>76</v>
      </c>
      <c r="Z6333" s="259" t="s">
        <v>659</v>
      </c>
      <c r="AZ6333" t="s">
        <v>868</v>
      </c>
      <c r="BA6333">
        <v>103.59</v>
      </c>
      <c r="BB6333" t="s">
        <v>564</v>
      </c>
      <c r="BC6333" t="s">
        <v>793</v>
      </c>
      <c r="BD6333">
        <v>0</v>
      </c>
      <c r="BE6333">
        <v>46302</v>
      </c>
      <c r="BF6333" t="s">
        <v>588</v>
      </c>
      <c r="BG6333">
        <v>0</v>
      </c>
    </row>
    <row r="6334" spans="3:59" x14ac:dyDescent="0.35">
      <c r="C6334">
        <v>45763</v>
      </c>
      <c r="F6334" t="s">
        <v>749</v>
      </c>
      <c r="N6334">
        <v>1</v>
      </c>
      <c r="O6334" t="s">
        <v>239</v>
      </c>
      <c r="P6334" t="s">
        <v>514</v>
      </c>
      <c r="Y6334">
        <v>77</v>
      </c>
      <c r="Z6334" s="259" t="s">
        <v>659</v>
      </c>
      <c r="AZ6334" t="s">
        <v>869</v>
      </c>
      <c r="BA6334">
        <v>103.41</v>
      </c>
      <c r="BB6334" t="s">
        <v>564</v>
      </c>
      <c r="BC6334" t="s">
        <v>793</v>
      </c>
      <c r="BD6334">
        <v>0</v>
      </c>
      <c r="BE6334">
        <v>46302</v>
      </c>
      <c r="BF6334" t="s">
        <v>588</v>
      </c>
      <c r="BG6334">
        <v>0</v>
      </c>
    </row>
    <row r="6335" spans="3:59" x14ac:dyDescent="0.35">
      <c r="C6335">
        <v>45764</v>
      </c>
      <c r="F6335" t="s">
        <v>749</v>
      </c>
      <c r="N6335">
        <v>1</v>
      </c>
      <c r="O6335" t="s">
        <v>239</v>
      </c>
      <c r="P6335" t="s">
        <v>514</v>
      </c>
      <c r="Y6335">
        <v>78</v>
      </c>
      <c r="Z6335" s="259" t="s">
        <v>659</v>
      </c>
      <c r="AZ6335" t="s">
        <v>870</v>
      </c>
      <c r="BA6335">
        <v>103.24</v>
      </c>
      <c r="BB6335" t="s">
        <v>564</v>
      </c>
      <c r="BC6335" t="s">
        <v>793</v>
      </c>
      <c r="BD6335">
        <v>0</v>
      </c>
      <c r="BE6335">
        <v>46302</v>
      </c>
      <c r="BF6335" t="s">
        <v>588</v>
      </c>
      <c r="BG6335">
        <v>0</v>
      </c>
    </row>
    <row r="6336" spans="3:59" x14ac:dyDescent="0.35">
      <c r="C6336">
        <v>45765</v>
      </c>
      <c r="F6336" t="s">
        <v>749</v>
      </c>
      <c r="N6336">
        <v>1</v>
      </c>
      <c r="O6336" t="s">
        <v>239</v>
      </c>
      <c r="P6336" t="s">
        <v>514</v>
      </c>
      <c r="Y6336">
        <v>79</v>
      </c>
      <c r="Z6336" s="259" t="s">
        <v>659</v>
      </c>
      <c r="AZ6336" t="s">
        <v>871</v>
      </c>
      <c r="BA6336">
        <v>103.07</v>
      </c>
      <c r="BB6336" t="s">
        <v>564</v>
      </c>
      <c r="BC6336" t="s">
        <v>793</v>
      </c>
      <c r="BD6336">
        <v>0</v>
      </c>
      <c r="BE6336">
        <v>46302</v>
      </c>
      <c r="BF6336" t="s">
        <v>588</v>
      </c>
      <c r="BG6336">
        <v>0</v>
      </c>
    </row>
    <row r="6337" spans="3:59" x14ac:dyDescent="0.35">
      <c r="C6337">
        <v>45768</v>
      </c>
      <c r="F6337" t="s">
        <v>749</v>
      </c>
      <c r="N6337">
        <v>1</v>
      </c>
      <c r="O6337" t="s">
        <v>239</v>
      </c>
      <c r="P6337" t="s">
        <v>514</v>
      </c>
      <c r="Y6337">
        <v>80</v>
      </c>
      <c r="Z6337" s="259" t="s">
        <v>659</v>
      </c>
      <c r="AZ6337" t="s">
        <v>872</v>
      </c>
      <c r="BA6337">
        <v>102.55</v>
      </c>
      <c r="BB6337" t="s">
        <v>564</v>
      </c>
      <c r="BC6337" t="s">
        <v>793</v>
      </c>
      <c r="BD6337">
        <v>0</v>
      </c>
      <c r="BE6337">
        <v>46302</v>
      </c>
      <c r="BF6337" t="s">
        <v>588</v>
      </c>
      <c r="BG6337">
        <v>0</v>
      </c>
    </row>
    <row r="6338" spans="3:59" x14ac:dyDescent="0.35">
      <c r="C6338">
        <v>45769</v>
      </c>
      <c r="F6338" t="s">
        <v>749</v>
      </c>
      <c r="N6338">
        <v>1</v>
      </c>
      <c r="O6338" t="s">
        <v>239</v>
      </c>
      <c r="P6338" t="s">
        <v>514</v>
      </c>
      <c r="Y6338">
        <v>81</v>
      </c>
      <c r="Z6338" s="259" t="s">
        <v>659</v>
      </c>
      <c r="AZ6338" t="s">
        <v>873</v>
      </c>
      <c r="BA6338">
        <v>102.38</v>
      </c>
      <c r="BB6338" t="s">
        <v>564</v>
      </c>
      <c r="BC6338" t="s">
        <v>793</v>
      </c>
      <c r="BD6338">
        <v>0</v>
      </c>
      <c r="BE6338">
        <v>46302</v>
      </c>
      <c r="BF6338" t="s">
        <v>588</v>
      </c>
      <c r="BG6338">
        <v>0</v>
      </c>
    </row>
    <row r="6339" spans="3:59" x14ac:dyDescent="0.35">
      <c r="C6339">
        <v>45770</v>
      </c>
      <c r="F6339" t="s">
        <v>749</v>
      </c>
      <c r="N6339">
        <v>1</v>
      </c>
      <c r="O6339" t="s">
        <v>239</v>
      </c>
      <c r="P6339" t="s">
        <v>514</v>
      </c>
      <c r="Y6339">
        <v>82</v>
      </c>
      <c r="Z6339" s="259" t="s">
        <v>659</v>
      </c>
      <c r="AZ6339" t="s">
        <v>874</v>
      </c>
      <c r="BA6339">
        <v>102.21</v>
      </c>
      <c r="BB6339" t="s">
        <v>564</v>
      </c>
      <c r="BC6339" t="s">
        <v>793</v>
      </c>
      <c r="BD6339">
        <v>0</v>
      </c>
      <c r="BE6339">
        <v>46302</v>
      </c>
      <c r="BF6339" t="s">
        <v>588</v>
      </c>
      <c r="BG6339">
        <v>0</v>
      </c>
    </row>
    <row r="6340" spans="3:59" x14ac:dyDescent="0.35">
      <c r="C6340">
        <v>45771</v>
      </c>
      <c r="F6340" t="s">
        <v>749</v>
      </c>
      <c r="N6340">
        <v>1</v>
      </c>
      <c r="O6340" t="s">
        <v>239</v>
      </c>
      <c r="P6340" t="s">
        <v>514</v>
      </c>
      <c r="Y6340">
        <v>83</v>
      </c>
      <c r="Z6340" s="259" t="s">
        <v>659</v>
      </c>
      <c r="AZ6340" t="s">
        <v>875</v>
      </c>
      <c r="BA6340">
        <v>102.03</v>
      </c>
      <c r="BB6340" t="s">
        <v>564</v>
      </c>
      <c r="BC6340" t="s">
        <v>793</v>
      </c>
      <c r="BD6340">
        <v>0</v>
      </c>
      <c r="BE6340">
        <v>46302</v>
      </c>
      <c r="BF6340" t="s">
        <v>588</v>
      </c>
      <c r="BG6340">
        <v>0</v>
      </c>
    </row>
    <row r="6341" spans="3:59" x14ac:dyDescent="0.35">
      <c r="C6341">
        <v>45772</v>
      </c>
      <c r="F6341" t="s">
        <v>749</v>
      </c>
      <c r="N6341">
        <v>1</v>
      </c>
      <c r="O6341" t="s">
        <v>239</v>
      </c>
      <c r="P6341" t="s">
        <v>514</v>
      </c>
      <c r="Y6341">
        <v>84</v>
      </c>
      <c r="Z6341" s="259" t="s">
        <v>659</v>
      </c>
      <c r="AZ6341" t="s">
        <v>876</v>
      </c>
      <c r="BA6341">
        <v>101.86</v>
      </c>
      <c r="BB6341" t="s">
        <v>564</v>
      </c>
      <c r="BC6341" t="s">
        <v>793</v>
      </c>
      <c r="BD6341">
        <v>0</v>
      </c>
      <c r="BE6341">
        <v>46302</v>
      </c>
      <c r="BF6341" t="s">
        <v>588</v>
      </c>
      <c r="BG6341">
        <v>0</v>
      </c>
    </row>
    <row r="6342" spans="3:59" x14ac:dyDescent="0.35">
      <c r="C6342">
        <v>45775</v>
      </c>
      <c r="F6342" t="s">
        <v>749</v>
      </c>
      <c r="N6342">
        <v>1</v>
      </c>
      <c r="O6342" t="s">
        <v>239</v>
      </c>
      <c r="P6342" t="s">
        <v>514</v>
      </c>
      <c r="Y6342">
        <v>85</v>
      </c>
      <c r="Z6342" s="259" t="s">
        <v>659</v>
      </c>
      <c r="AZ6342" t="s">
        <v>877</v>
      </c>
      <c r="BA6342">
        <v>101.34</v>
      </c>
      <c r="BB6342" t="s">
        <v>564</v>
      </c>
      <c r="BC6342" t="s">
        <v>793</v>
      </c>
      <c r="BD6342">
        <v>0</v>
      </c>
      <c r="BE6342">
        <v>46302</v>
      </c>
      <c r="BF6342" t="s">
        <v>588</v>
      </c>
      <c r="BG6342">
        <v>0</v>
      </c>
    </row>
    <row r="6343" spans="3:59" x14ac:dyDescent="0.35">
      <c r="C6343">
        <v>45776</v>
      </c>
      <c r="F6343" t="s">
        <v>749</v>
      </c>
      <c r="N6343">
        <v>1</v>
      </c>
      <c r="O6343" t="s">
        <v>239</v>
      </c>
      <c r="P6343" t="s">
        <v>514</v>
      </c>
      <c r="Y6343">
        <v>86</v>
      </c>
      <c r="Z6343" s="259" t="s">
        <v>659</v>
      </c>
      <c r="AZ6343" t="s">
        <v>878</v>
      </c>
      <c r="BA6343">
        <v>101.17</v>
      </c>
      <c r="BB6343" t="s">
        <v>564</v>
      </c>
      <c r="BC6343" t="s">
        <v>793</v>
      </c>
      <c r="BD6343">
        <v>0</v>
      </c>
      <c r="BE6343">
        <v>46302</v>
      </c>
      <c r="BF6343" t="s">
        <v>588</v>
      </c>
      <c r="BG6343">
        <v>0</v>
      </c>
    </row>
    <row r="6344" spans="3:59" x14ac:dyDescent="0.35">
      <c r="C6344">
        <v>45777</v>
      </c>
      <c r="F6344" t="s">
        <v>749</v>
      </c>
      <c r="N6344">
        <v>1</v>
      </c>
      <c r="O6344" t="s">
        <v>239</v>
      </c>
      <c r="P6344" t="s">
        <v>514</v>
      </c>
      <c r="Y6344">
        <v>87</v>
      </c>
      <c r="Z6344" s="259" t="s">
        <v>659</v>
      </c>
      <c r="AZ6344" t="s">
        <v>879</v>
      </c>
      <c r="BA6344">
        <v>101</v>
      </c>
      <c r="BB6344" t="s">
        <v>564</v>
      </c>
      <c r="BC6344" t="s">
        <v>793</v>
      </c>
      <c r="BD6344">
        <v>0</v>
      </c>
      <c r="BE6344">
        <v>46302</v>
      </c>
      <c r="BF6344" t="s">
        <v>588</v>
      </c>
      <c r="BG6344">
        <v>0</v>
      </c>
    </row>
    <row r="6345" spans="3:59" x14ac:dyDescent="0.35">
      <c r="C6345">
        <v>45778</v>
      </c>
      <c r="F6345" t="s">
        <v>749</v>
      </c>
      <c r="N6345">
        <v>1</v>
      </c>
      <c r="O6345" t="s">
        <v>239</v>
      </c>
      <c r="P6345" t="s">
        <v>514</v>
      </c>
      <c r="Y6345">
        <v>88</v>
      </c>
      <c r="Z6345" s="259" t="s">
        <v>659</v>
      </c>
      <c r="AZ6345" t="s">
        <v>880</v>
      </c>
      <c r="BA6345">
        <v>101</v>
      </c>
      <c r="BB6345" t="s">
        <v>564</v>
      </c>
      <c r="BC6345" t="s">
        <v>793</v>
      </c>
      <c r="BD6345">
        <v>0</v>
      </c>
      <c r="BE6345">
        <v>46302</v>
      </c>
      <c r="BF6345" t="s">
        <v>588</v>
      </c>
      <c r="BG6345">
        <v>0</v>
      </c>
    </row>
    <row r="6346" spans="3:59" x14ac:dyDescent="0.35">
      <c r="C6346">
        <v>45779</v>
      </c>
      <c r="F6346" t="s">
        <v>749</v>
      </c>
      <c r="N6346">
        <v>1</v>
      </c>
      <c r="O6346" t="s">
        <v>239</v>
      </c>
      <c r="P6346" t="s">
        <v>514</v>
      </c>
      <c r="Y6346">
        <v>89</v>
      </c>
      <c r="Z6346" s="259" t="s">
        <v>659</v>
      </c>
      <c r="AZ6346" t="s">
        <v>881</v>
      </c>
      <c r="BA6346">
        <v>100.93</v>
      </c>
      <c r="BB6346" t="s">
        <v>564</v>
      </c>
      <c r="BC6346" t="s">
        <v>793</v>
      </c>
      <c r="BD6346">
        <v>0</v>
      </c>
      <c r="BE6346">
        <v>46302</v>
      </c>
      <c r="BF6346" t="s">
        <v>588</v>
      </c>
      <c r="BG6346">
        <v>0</v>
      </c>
    </row>
    <row r="6347" spans="3:59" x14ac:dyDescent="0.35">
      <c r="C6347">
        <v>45782</v>
      </c>
      <c r="F6347" t="s">
        <v>749</v>
      </c>
      <c r="N6347">
        <v>1</v>
      </c>
      <c r="O6347" t="s">
        <v>239</v>
      </c>
      <c r="P6347" t="s">
        <v>514</v>
      </c>
      <c r="Y6347">
        <v>90</v>
      </c>
      <c r="Z6347" s="259" t="s">
        <v>659</v>
      </c>
      <c r="AZ6347" t="s">
        <v>882</v>
      </c>
      <c r="BA6347">
        <v>100.73</v>
      </c>
      <c r="BB6347" t="s">
        <v>564</v>
      </c>
      <c r="BC6347" t="s">
        <v>793</v>
      </c>
      <c r="BD6347">
        <v>0</v>
      </c>
      <c r="BE6347">
        <v>46302</v>
      </c>
      <c r="BF6347" t="s">
        <v>588</v>
      </c>
      <c r="BG6347">
        <v>0</v>
      </c>
    </row>
    <row r="6348" spans="3:59" x14ac:dyDescent="0.35">
      <c r="C6348">
        <v>45783</v>
      </c>
      <c r="F6348" t="s">
        <v>749</v>
      </c>
      <c r="N6348">
        <v>1</v>
      </c>
      <c r="O6348" t="s">
        <v>239</v>
      </c>
      <c r="P6348" t="s">
        <v>514</v>
      </c>
      <c r="Y6348">
        <v>91</v>
      </c>
      <c r="Z6348" s="259" t="s">
        <v>659</v>
      </c>
      <c r="AZ6348" t="s">
        <v>883</v>
      </c>
      <c r="BA6348">
        <v>100.67</v>
      </c>
      <c r="BB6348" t="s">
        <v>564</v>
      </c>
      <c r="BC6348" t="s">
        <v>793</v>
      </c>
      <c r="BD6348">
        <v>0</v>
      </c>
      <c r="BE6348">
        <v>46302</v>
      </c>
      <c r="BF6348" t="s">
        <v>588</v>
      </c>
      <c r="BG6348">
        <v>0</v>
      </c>
    </row>
    <row r="6349" spans="3:59" x14ac:dyDescent="0.35">
      <c r="C6349">
        <v>45784</v>
      </c>
      <c r="F6349" t="s">
        <v>749</v>
      </c>
      <c r="N6349">
        <v>1</v>
      </c>
      <c r="O6349" t="s">
        <v>239</v>
      </c>
      <c r="P6349" t="s">
        <v>514</v>
      </c>
      <c r="Y6349">
        <v>92</v>
      </c>
      <c r="Z6349" s="259" t="s">
        <v>659</v>
      </c>
      <c r="AZ6349" t="s">
        <v>884</v>
      </c>
      <c r="BA6349">
        <v>100.6</v>
      </c>
      <c r="BB6349" t="s">
        <v>564</v>
      </c>
      <c r="BC6349" t="s">
        <v>793</v>
      </c>
      <c r="BD6349">
        <v>0</v>
      </c>
      <c r="BE6349">
        <v>46302</v>
      </c>
      <c r="BF6349" t="s">
        <v>588</v>
      </c>
      <c r="BG6349">
        <v>0</v>
      </c>
    </row>
    <row r="6350" spans="3:59" x14ac:dyDescent="0.35">
      <c r="C6350">
        <v>45785</v>
      </c>
      <c r="F6350" t="s">
        <v>749</v>
      </c>
      <c r="N6350">
        <v>1</v>
      </c>
      <c r="O6350" t="s">
        <v>239</v>
      </c>
      <c r="P6350" t="s">
        <v>514</v>
      </c>
      <c r="Y6350">
        <v>93</v>
      </c>
      <c r="Z6350" s="259" t="s">
        <v>659</v>
      </c>
      <c r="AZ6350" t="s">
        <v>885</v>
      </c>
      <c r="BA6350">
        <v>100.53</v>
      </c>
      <c r="BB6350" t="s">
        <v>564</v>
      </c>
      <c r="BC6350" t="s">
        <v>793</v>
      </c>
      <c r="BD6350">
        <v>0</v>
      </c>
      <c r="BE6350">
        <v>46302</v>
      </c>
      <c r="BF6350" t="s">
        <v>588</v>
      </c>
      <c r="BG6350">
        <v>0</v>
      </c>
    </row>
    <row r="6351" spans="3:59" x14ac:dyDescent="0.35">
      <c r="C6351">
        <v>45786</v>
      </c>
      <c r="F6351" t="s">
        <v>749</v>
      </c>
      <c r="N6351">
        <v>1</v>
      </c>
      <c r="O6351" t="s">
        <v>239</v>
      </c>
      <c r="P6351" t="s">
        <v>514</v>
      </c>
      <c r="Y6351">
        <v>94</v>
      </c>
      <c r="Z6351" s="259" t="s">
        <v>659</v>
      </c>
      <c r="AZ6351" t="s">
        <v>886</v>
      </c>
      <c r="BA6351">
        <v>100.47</v>
      </c>
      <c r="BB6351" t="s">
        <v>564</v>
      </c>
      <c r="BC6351" t="s">
        <v>793</v>
      </c>
      <c r="BD6351">
        <v>0</v>
      </c>
      <c r="BE6351">
        <v>46302</v>
      </c>
      <c r="BF6351" t="s">
        <v>588</v>
      </c>
      <c r="BG6351">
        <v>0</v>
      </c>
    </row>
    <row r="6352" spans="3:59" x14ac:dyDescent="0.35">
      <c r="C6352">
        <v>45789</v>
      </c>
      <c r="F6352" t="s">
        <v>749</v>
      </c>
      <c r="N6352">
        <v>1</v>
      </c>
      <c r="O6352" t="s">
        <v>239</v>
      </c>
      <c r="P6352" t="s">
        <v>514</v>
      </c>
      <c r="Y6352">
        <v>95</v>
      </c>
      <c r="Z6352" s="259" t="s">
        <v>659</v>
      </c>
      <c r="AZ6352" t="s">
        <v>887</v>
      </c>
      <c r="BA6352">
        <v>100.27</v>
      </c>
      <c r="BB6352" t="s">
        <v>564</v>
      </c>
      <c r="BC6352" t="s">
        <v>793</v>
      </c>
      <c r="BD6352">
        <v>0</v>
      </c>
      <c r="BE6352">
        <v>46302</v>
      </c>
      <c r="BF6352" t="s">
        <v>588</v>
      </c>
      <c r="BG6352">
        <v>0</v>
      </c>
    </row>
    <row r="6353" spans="3:59" x14ac:dyDescent="0.35">
      <c r="C6353">
        <v>45790</v>
      </c>
      <c r="F6353" t="s">
        <v>749</v>
      </c>
      <c r="N6353">
        <v>1</v>
      </c>
      <c r="O6353" t="s">
        <v>239</v>
      </c>
      <c r="P6353" t="s">
        <v>514</v>
      </c>
      <c r="Y6353">
        <v>96</v>
      </c>
      <c r="Z6353" s="259" t="s">
        <v>659</v>
      </c>
      <c r="AZ6353" t="s">
        <v>888</v>
      </c>
      <c r="BA6353">
        <v>100.2</v>
      </c>
      <c r="BB6353" t="s">
        <v>564</v>
      </c>
      <c r="BC6353" t="s">
        <v>793</v>
      </c>
      <c r="BD6353">
        <v>0</v>
      </c>
      <c r="BE6353">
        <v>46302</v>
      </c>
      <c r="BF6353" t="s">
        <v>588</v>
      </c>
      <c r="BG6353">
        <v>0</v>
      </c>
    </row>
    <row r="6354" spans="3:59" x14ac:dyDescent="0.35">
      <c r="C6354">
        <v>45791</v>
      </c>
      <c r="F6354" t="s">
        <v>749</v>
      </c>
      <c r="N6354">
        <v>1</v>
      </c>
      <c r="O6354" t="s">
        <v>239</v>
      </c>
      <c r="P6354" t="s">
        <v>514</v>
      </c>
      <c r="Y6354">
        <v>97</v>
      </c>
      <c r="Z6354" s="259" t="s">
        <v>659</v>
      </c>
      <c r="AZ6354" t="s">
        <v>889</v>
      </c>
      <c r="BA6354">
        <v>100.13</v>
      </c>
      <c r="BB6354" t="s">
        <v>564</v>
      </c>
      <c r="BC6354" t="s">
        <v>793</v>
      </c>
      <c r="BD6354">
        <v>0</v>
      </c>
      <c r="BE6354">
        <v>46302</v>
      </c>
      <c r="BF6354" t="s">
        <v>588</v>
      </c>
      <c r="BG6354">
        <v>0</v>
      </c>
    </row>
    <row r="6355" spans="3:59" x14ac:dyDescent="0.35">
      <c r="C6355">
        <v>45792</v>
      </c>
      <c r="F6355" t="s">
        <v>749</v>
      </c>
      <c r="N6355">
        <v>1</v>
      </c>
      <c r="O6355" t="s">
        <v>239</v>
      </c>
      <c r="P6355" t="s">
        <v>514</v>
      </c>
      <c r="Y6355">
        <v>98</v>
      </c>
      <c r="Z6355" s="259" t="s">
        <v>659</v>
      </c>
      <c r="AZ6355" t="s">
        <v>890</v>
      </c>
      <c r="BA6355">
        <v>100.07</v>
      </c>
      <c r="BB6355" t="s">
        <v>564</v>
      </c>
      <c r="BC6355" t="s">
        <v>793</v>
      </c>
      <c r="BD6355">
        <v>0</v>
      </c>
      <c r="BE6355">
        <v>46302</v>
      </c>
      <c r="BF6355" t="s">
        <v>588</v>
      </c>
      <c r="BG6355">
        <v>0</v>
      </c>
    </row>
    <row r="6356" spans="3:59" x14ac:dyDescent="0.35">
      <c r="C6356">
        <v>45793</v>
      </c>
      <c r="F6356" t="s">
        <v>749</v>
      </c>
      <c r="N6356">
        <v>1</v>
      </c>
      <c r="O6356" t="s">
        <v>239</v>
      </c>
      <c r="P6356" t="s">
        <v>514</v>
      </c>
      <c r="Y6356">
        <v>99</v>
      </c>
      <c r="Z6356" s="259" t="s">
        <v>659</v>
      </c>
      <c r="AZ6356" t="s">
        <v>891</v>
      </c>
      <c r="BA6356">
        <v>100</v>
      </c>
      <c r="BB6356" t="s">
        <v>564</v>
      </c>
      <c r="BC6356" t="s">
        <v>793</v>
      </c>
      <c r="BD6356">
        <v>0</v>
      </c>
      <c r="BE6356">
        <v>46302</v>
      </c>
      <c r="BF6356" t="s">
        <v>588</v>
      </c>
      <c r="BG6356">
        <v>0</v>
      </c>
    </row>
    <row r="6357" spans="3:59" x14ac:dyDescent="0.35">
      <c r="C6357">
        <v>45796</v>
      </c>
      <c r="F6357" t="s">
        <v>749</v>
      </c>
      <c r="N6357">
        <v>1</v>
      </c>
      <c r="O6357" t="s">
        <v>239</v>
      </c>
      <c r="P6357" t="s">
        <v>514</v>
      </c>
      <c r="Y6357">
        <v>100</v>
      </c>
      <c r="Z6357" s="259" t="s">
        <v>659</v>
      </c>
      <c r="AZ6357" t="s">
        <v>892</v>
      </c>
      <c r="BA6357">
        <v>99.8</v>
      </c>
      <c r="BB6357" t="s">
        <v>564</v>
      </c>
      <c r="BC6357" t="s">
        <v>793</v>
      </c>
      <c r="BD6357">
        <v>0</v>
      </c>
      <c r="BE6357">
        <v>46302</v>
      </c>
      <c r="BF6357" t="s">
        <v>588</v>
      </c>
      <c r="BG6357">
        <v>0</v>
      </c>
    </row>
    <row r="6358" spans="3:59" x14ac:dyDescent="0.35">
      <c r="C6358">
        <v>45797</v>
      </c>
      <c r="F6358" t="s">
        <v>749</v>
      </c>
      <c r="N6358">
        <v>1</v>
      </c>
      <c r="O6358" t="s">
        <v>239</v>
      </c>
      <c r="P6358" t="s">
        <v>514</v>
      </c>
      <c r="Y6358">
        <v>101</v>
      </c>
      <c r="Z6358" s="259" t="s">
        <v>659</v>
      </c>
      <c r="AZ6358" t="s">
        <v>893</v>
      </c>
      <c r="BA6358">
        <v>99.73</v>
      </c>
      <c r="BB6358" t="s">
        <v>564</v>
      </c>
      <c r="BC6358" t="s">
        <v>793</v>
      </c>
      <c r="BD6358">
        <v>0</v>
      </c>
      <c r="BE6358">
        <v>46302</v>
      </c>
      <c r="BF6358" t="s">
        <v>588</v>
      </c>
      <c r="BG6358">
        <v>0</v>
      </c>
    </row>
    <row r="6359" spans="3:59" x14ac:dyDescent="0.35">
      <c r="C6359">
        <v>45798</v>
      </c>
      <c r="F6359" t="s">
        <v>749</v>
      </c>
      <c r="N6359">
        <v>1</v>
      </c>
      <c r="O6359" t="s">
        <v>239</v>
      </c>
      <c r="P6359" t="s">
        <v>514</v>
      </c>
      <c r="Y6359">
        <v>102</v>
      </c>
      <c r="Z6359" s="259" t="s">
        <v>659</v>
      </c>
      <c r="AZ6359" t="s">
        <v>894</v>
      </c>
      <c r="BA6359">
        <v>99.67</v>
      </c>
      <c r="BB6359" t="s">
        <v>564</v>
      </c>
      <c r="BC6359" t="s">
        <v>793</v>
      </c>
      <c r="BD6359">
        <v>0</v>
      </c>
      <c r="BE6359">
        <v>46302</v>
      </c>
      <c r="BF6359" t="s">
        <v>588</v>
      </c>
      <c r="BG6359">
        <v>0</v>
      </c>
    </row>
    <row r="6360" spans="3:59" x14ac:dyDescent="0.35">
      <c r="C6360">
        <v>45799</v>
      </c>
      <c r="F6360" t="s">
        <v>749</v>
      </c>
      <c r="N6360">
        <v>1</v>
      </c>
      <c r="O6360" t="s">
        <v>239</v>
      </c>
      <c r="P6360" t="s">
        <v>514</v>
      </c>
      <c r="Y6360">
        <v>103</v>
      </c>
      <c r="Z6360" s="259" t="s">
        <v>659</v>
      </c>
      <c r="AZ6360" t="s">
        <v>895</v>
      </c>
      <c r="BA6360">
        <v>99.6</v>
      </c>
      <c r="BB6360" t="s">
        <v>564</v>
      </c>
      <c r="BC6360" t="s">
        <v>793</v>
      </c>
      <c r="BD6360">
        <v>0</v>
      </c>
      <c r="BE6360">
        <v>46302</v>
      </c>
      <c r="BF6360" t="s">
        <v>588</v>
      </c>
      <c r="BG6360">
        <v>0</v>
      </c>
    </row>
    <row r="6361" spans="3:59" x14ac:dyDescent="0.35">
      <c r="C6361">
        <v>45800</v>
      </c>
      <c r="F6361" t="s">
        <v>749</v>
      </c>
      <c r="N6361">
        <v>1</v>
      </c>
      <c r="O6361" t="s">
        <v>239</v>
      </c>
      <c r="P6361" t="s">
        <v>514</v>
      </c>
      <c r="Y6361">
        <v>104</v>
      </c>
      <c r="Z6361" s="259" t="s">
        <v>659</v>
      </c>
      <c r="AZ6361" t="s">
        <v>896</v>
      </c>
      <c r="BA6361">
        <v>99.53</v>
      </c>
      <c r="BB6361" t="s">
        <v>564</v>
      </c>
      <c r="BC6361" t="s">
        <v>793</v>
      </c>
      <c r="BD6361">
        <v>0</v>
      </c>
      <c r="BE6361">
        <v>46302</v>
      </c>
      <c r="BF6361" t="s">
        <v>588</v>
      </c>
      <c r="BG6361">
        <v>0</v>
      </c>
    </row>
    <row r="6362" spans="3:59" x14ac:dyDescent="0.35">
      <c r="C6362">
        <v>45803</v>
      </c>
      <c r="F6362" t="s">
        <v>749</v>
      </c>
      <c r="N6362">
        <v>1</v>
      </c>
      <c r="O6362" t="s">
        <v>239</v>
      </c>
      <c r="P6362" t="s">
        <v>514</v>
      </c>
      <c r="Y6362">
        <v>105</v>
      </c>
      <c r="Z6362" s="259" t="s">
        <v>659</v>
      </c>
      <c r="AZ6362" t="s">
        <v>897</v>
      </c>
      <c r="BA6362">
        <v>99.33</v>
      </c>
      <c r="BB6362" t="s">
        <v>564</v>
      </c>
      <c r="BC6362" t="s">
        <v>793</v>
      </c>
      <c r="BD6362">
        <v>0</v>
      </c>
      <c r="BE6362">
        <v>46302</v>
      </c>
      <c r="BF6362" t="s">
        <v>588</v>
      </c>
      <c r="BG6362">
        <v>0</v>
      </c>
    </row>
    <row r="6363" spans="3:59" x14ac:dyDescent="0.35">
      <c r="C6363">
        <v>45804</v>
      </c>
      <c r="F6363" t="s">
        <v>749</v>
      </c>
      <c r="N6363">
        <v>1</v>
      </c>
      <c r="O6363" t="s">
        <v>239</v>
      </c>
      <c r="P6363" t="s">
        <v>514</v>
      </c>
      <c r="Y6363">
        <v>106</v>
      </c>
      <c r="Z6363" s="259" t="s">
        <v>659</v>
      </c>
      <c r="AZ6363" t="s">
        <v>898</v>
      </c>
      <c r="BA6363">
        <v>99.27</v>
      </c>
      <c r="BB6363" t="s">
        <v>564</v>
      </c>
      <c r="BC6363" t="s">
        <v>793</v>
      </c>
      <c r="BD6363">
        <v>0</v>
      </c>
      <c r="BE6363">
        <v>46302</v>
      </c>
      <c r="BF6363" t="s">
        <v>588</v>
      </c>
      <c r="BG6363">
        <v>0</v>
      </c>
    </row>
    <row r="6364" spans="3:59" x14ac:dyDescent="0.35">
      <c r="C6364">
        <v>45805</v>
      </c>
      <c r="F6364" t="s">
        <v>749</v>
      </c>
      <c r="N6364">
        <v>1</v>
      </c>
      <c r="O6364" t="s">
        <v>239</v>
      </c>
      <c r="P6364" t="s">
        <v>514</v>
      </c>
      <c r="Y6364">
        <v>107</v>
      </c>
      <c r="Z6364" s="259" t="s">
        <v>659</v>
      </c>
      <c r="AZ6364" t="s">
        <v>899</v>
      </c>
      <c r="BA6364">
        <v>99.2</v>
      </c>
      <c r="BB6364" t="s">
        <v>564</v>
      </c>
      <c r="BC6364" t="s">
        <v>793</v>
      </c>
      <c r="BD6364">
        <v>0</v>
      </c>
      <c r="BE6364">
        <v>46302</v>
      </c>
      <c r="BF6364" t="s">
        <v>588</v>
      </c>
      <c r="BG6364">
        <v>0</v>
      </c>
    </row>
    <row r="6365" spans="3:59" x14ac:dyDescent="0.35">
      <c r="C6365">
        <v>45806</v>
      </c>
      <c r="F6365" t="s">
        <v>749</v>
      </c>
      <c r="N6365">
        <v>1</v>
      </c>
      <c r="O6365" t="s">
        <v>239</v>
      </c>
      <c r="P6365" t="s">
        <v>514</v>
      </c>
      <c r="Y6365">
        <v>108</v>
      </c>
      <c r="Z6365" s="259" t="s">
        <v>659</v>
      </c>
      <c r="AZ6365" t="s">
        <v>900</v>
      </c>
      <c r="BA6365">
        <v>99.13</v>
      </c>
      <c r="BB6365" t="s">
        <v>564</v>
      </c>
      <c r="BC6365" t="s">
        <v>793</v>
      </c>
      <c r="BD6365">
        <v>0</v>
      </c>
      <c r="BE6365">
        <v>46302</v>
      </c>
      <c r="BF6365" t="s">
        <v>588</v>
      </c>
      <c r="BG6365">
        <v>0</v>
      </c>
    </row>
    <row r="6366" spans="3:59" x14ac:dyDescent="0.35">
      <c r="C6366">
        <v>45807</v>
      </c>
      <c r="F6366" t="s">
        <v>749</v>
      </c>
      <c r="N6366">
        <v>1</v>
      </c>
      <c r="O6366" t="s">
        <v>239</v>
      </c>
      <c r="P6366" t="s">
        <v>514</v>
      </c>
      <c r="Y6366">
        <v>109</v>
      </c>
      <c r="Z6366" s="259" t="s">
        <v>659</v>
      </c>
      <c r="AZ6366" t="s">
        <v>901</v>
      </c>
      <c r="BA6366">
        <v>99.07</v>
      </c>
      <c r="BB6366" t="s">
        <v>564</v>
      </c>
      <c r="BC6366" t="s">
        <v>793</v>
      </c>
      <c r="BD6366">
        <v>0</v>
      </c>
      <c r="BE6366">
        <v>46302</v>
      </c>
      <c r="BF6366" t="s">
        <v>588</v>
      </c>
      <c r="BG6366">
        <v>0</v>
      </c>
    </row>
    <row r="6367" spans="3:59" x14ac:dyDescent="0.35">
      <c r="C6367">
        <v>45810</v>
      </c>
      <c r="F6367" t="s">
        <v>749</v>
      </c>
      <c r="N6367">
        <v>1</v>
      </c>
      <c r="O6367" t="s">
        <v>239</v>
      </c>
      <c r="P6367" t="s">
        <v>514</v>
      </c>
      <c r="Y6367">
        <v>110</v>
      </c>
      <c r="Z6367" s="259" t="s">
        <v>659</v>
      </c>
      <c r="AZ6367" t="s">
        <v>902</v>
      </c>
      <c r="BA6367">
        <v>99.41</v>
      </c>
      <c r="BB6367" t="s">
        <v>564</v>
      </c>
      <c r="BC6367" t="s">
        <v>793</v>
      </c>
      <c r="BD6367">
        <v>0</v>
      </c>
      <c r="BE6367">
        <v>46302</v>
      </c>
      <c r="BF6367" t="s">
        <v>588</v>
      </c>
      <c r="BG6367">
        <v>0</v>
      </c>
    </row>
    <row r="6368" spans="3:59" x14ac:dyDescent="0.35">
      <c r="C6368">
        <v>45811</v>
      </c>
      <c r="F6368" t="s">
        <v>749</v>
      </c>
      <c r="N6368">
        <v>1</v>
      </c>
      <c r="O6368" t="s">
        <v>239</v>
      </c>
      <c r="P6368" t="s">
        <v>514</v>
      </c>
      <c r="Y6368">
        <v>111</v>
      </c>
      <c r="Z6368" s="259" t="s">
        <v>659</v>
      </c>
      <c r="AZ6368" t="s">
        <v>903</v>
      </c>
      <c r="BA6368">
        <v>99.83</v>
      </c>
      <c r="BB6368" t="s">
        <v>564</v>
      </c>
      <c r="BC6368" t="s">
        <v>793</v>
      </c>
      <c r="BD6368">
        <v>0</v>
      </c>
      <c r="BE6368">
        <v>46302</v>
      </c>
      <c r="BF6368" t="s">
        <v>588</v>
      </c>
      <c r="BG6368">
        <v>0</v>
      </c>
    </row>
    <row r="6369" spans="3:59" x14ac:dyDescent="0.35">
      <c r="C6369">
        <v>45812</v>
      </c>
      <c r="F6369" t="s">
        <v>749</v>
      </c>
      <c r="N6369">
        <v>1</v>
      </c>
      <c r="O6369" t="s">
        <v>239</v>
      </c>
      <c r="P6369" t="s">
        <v>514</v>
      </c>
      <c r="Y6369">
        <v>112</v>
      </c>
      <c r="Z6369" s="259" t="s">
        <v>659</v>
      </c>
      <c r="AZ6369" t="s">
        <v>904</v>
      </c>
      <c r="BA6369">
        <v>100.24</v>
      </c>
      <c r="BB6369" t="s">
        <v>564</v>
      </c>
      <c r="BC6369" t="s">
        <v>793</v>
      </c>
      <c r="BD6369">
        <v>0</v>
      </c>
      <c r="BE6369">
        <v>46302</v>
      </c>
      <c r="BF6369" t="s">
        <v>588</v>
      </c>
      <c r="BG6369">
        <v>0</v>
      </c>
    </row>
    <row r="6370" spans="3:59" x14ac:dyDescent="0.35">
      <c r="C6370">
        <v>45813</v>
      </c>
      <c r="F6370" t="s">
        <v>749</v>
      </c>
      <c r="N6370">
        <v>1</v>
      </c>
      <c r="O6370" t="s">
        <v>239</v>
      </c>
      <c r="P6370" t="s">
        <v>514</v>
      </c>
      <c r="Y6370">
        <v>113</v>
      </c>
      <c r="Z6370" s="259" t="s">
        <v>659</v>
      </c>
      <c r="AZ6370" t="s">
        <v>905</v>
      </c>
      <c r="BA6370">
        <v>100.66</v>
      </c>
      <c r="BB6370" t="s">
        <v>564</v>
      </c>
      <c r="BC6370" t="s">
        <v>793</v>
      </c>
      <c r="BD6370">
        <v>0</v>
      </c>
      <c r="BE6370">
        <v>46302</v>
      </c>
      <c r="BF6370" t="s">
        <v>588</v>
      </c>
      <c r="BG6370">
        <v>0</v>
      </c>
    </row>
    <row r="6371" spans="3:59" x14ac:dyDescent="0.35">
      <c r="C6371">
        <v>45814</v>
      </c>
      <c r="F6371" t="s">
        <v>749</v>
      </c>
      <c r="N6371">
        <v>1</v>
      </c>
      <c r="O6371" t="s">
        <v>239</v>
      </c>
      <c r="P6371" t="s">
        <v>514</v>
      </c>
      <c r="Y6371">
        <v>114</v>
      </c>
      <c r="Z6371" s="259" t="s">
        <v>659</v>
      </c>
      <c r="AZ6371" t="s">
        <v>906</v>
      </c>
      <c r="BA6371">
        <v>101.07</v>
      </c>
      <c r="BB6371" t="s">
        <v>564</v>
      </c>
      <c r="BC6371" t="s">
        <v>793</v>
      </c>
      <c r="BD6371">
        <v>0</v>
      </c>
      <c r="BE6371">
        <v>46302</v>
      </c>
      <c r="BF6371" t="s">
        <v>588</v>
      </c>
      <c r="BG6371">
        <v>0</v>
      </c>
    </row>
    <row r="6372" spans="3:59" x14ac:dyDescent="0.35">
      <c r="C6372">
        <v>45817</v>
      </c>
      <c r="F6372" t="s">
        <v>749</v>
      </c>
      <c r="N6372">
        <v>1</v>
      </c>
      <c r="O6372" t="s">
        <v>239</v>
      </c>
      <c r="P6372" t="s">
        <v>514</v>
      </c>
      <c r="Y6372">
        <v>115</v>
      </c>
      <c r="Z6372" s="259" t="s">
        <v>659</v>
      </c>
      <c r="AZ6372" t="s">
        <v>907</v>
      </c>
      <c r="BA6372">
        <v>102.31</v>
      </c>
      <c r="BB6372" t="s">
        <v>564</v>
      </c>
      <c r="BC6372" t="s">
        <v>793</v>
      </c>
      <c r="BD6372">
        <v>0</v>
      </c>
      <c r="BE6372">
        <v>46302</v>
      </c>
      <c r="BF6372" t="s">
        <v>588</v>
      </c>
      <c r="BG6372">
        <v>0</v>
      </c>
    </row>
    <row r="6373" spans="3:59" x14ac:dyDescent="0.35">
      <c r="C6373">
        <v>45818</v>
      </c>
      <c r="F6373" t="s">
        <v>749</v>
      </c>
      <c r="N6373">
        <v>1</v>
      </c>
      <c r="O6373" t="s">
        <v>239</v>
      </c>
      <c r="P6373" t="s">
        <v>514</v>
      </c>
      <c r="Y6373">
        <v>116</v>
      </c>
      <c r="Z6373" s="259" t="s">
        <v>659</v>
      </c>
      <c r="AZ6373" t="s">
        <v>908</v>
      </c>
      <c r="BA6373">
        <v>102.72</v>
      </c>
      <c r="BB6373" t="s">
        <v>564</v>
      </c>
      <c r="BC6373" t="s">
        <v>793</v>
      </c>
      <c r="BD6373">
        <v>0</v>
      </c>
      <c r="BE6373">
        <v>46302</v>
      </c>
      <c r="BF6373" t="s">
        <v>588</v>
      </c>
      <c r="BG6373">
        <v>0</v>
      </c>
    </row>
    <row r="6374" spans="3:59" x14ac:dyDescent="0.35">
      <c r="C6374">
        <v>45819</v>
      </c>
      <c r="F6374" t="s">
        <v>749</v>
      </c>
      <c r="N6374">
        <v>1</v>
      </c>
      <c r="O6374" t="s">
        <v>239</v>
      </c>
      <c r="P6374" t="s">
        <v>514</v>
      </c>
      <c r="Y6374">
        <v>117</v>
      </c>
      <c r="Z6374" s="259" t="s">
        <v>659</v>
      </c>
      <c r="AZ6374" t="s">
        <v>909</v>
      </c>
      <c r="BA6374">
        <v>103.14</v>
      </c>
      <c r="BB6374" t="s">
        <v>564</v>
      </c>
      <c r="BC6374" t="s">
        <v>793</v>
      </c>
      <c r="BD6374">
        <v>0</v>
      </c>
      <c r="BE6374">
        <v>46302</v>
      </c>
      <c r="BF6374" t="s">
        <v>588</v>
      </c>
      <c r="BG6374">
        <v>0</v>
      </c>
    </row>
    <row r="6375" spans="3:59" x14ac:dyDescent="0.35">
      <c r="C6375">
        <v>45820</v>
      </c>
      <c r="F6375" t="s">
        <v>749</v>
      </c>
      <c r="N6375">
        <v>1</v>
      </c>
      <c r="O6375" t="s">
        <v>239</v>
      </c>
      <c r="P6375" t="s">
        <v>514</v>
      </c>
      <c r="Y6375">
        <v>118</v>
      </c>
      <c r="Z6375" s="259" t="s">
        <v>659</v>
      </c>
      <c r="AZ6375" t="s">
        <v>910</v>
      </c>
      <c r="BA6375">
        <v>103.55</v>
      </c>
      <c r="BB6375" t="s">
        <v>564</v>
      </c>
      <c r="BC6375" t="s">
        <v>793</v>
      </c>
      <c r="BD6375">
        <v>0</v>
      </c>
      <c r="BE6375">
        <v>46302</v>
      </c>
      <c r="BF6375" t="s">
        <v>588</v>
      </c>
      <c r="BG6375">
        <v>0</v>
      </c>
    </row>
    <row r="6376" spans="3:59" x14ac:dyDescent="0.35">
      <c r="C6376">
        <v>45821</v>
      </c>
      <c r="F6376" t="s">
        <v>749</v>
      </c>
      <c r="N6376">
        <v>1</v>
      </c>
      <c r="O6376" t="s">
        <v>239</v>
      </c>
      <c r="P6376" t="s">
        <v>514</v>
      </c>
      <c r="Y6376">
        <v>119</v>
      </c>
      <c r="Z6376" s="259" t="s">
        <v>659</v>
      </c>
      <c r="AZ6376" t="s">
        <v>911</v>
      </c>
      <c r="BA6376">
        <v>103.97</v>
      </c>
      <c r="BB6376" t="s">
        <v>564</v>
      </c>
      <c r="BC6376" t="s">
        <v>793</v>
      </c>
      <c r="BD6376">
        <v>0</v>
      </c>
      <c r="BE6376">
        <v>46302</v>
      </c>
      <c r="BF6376" t="s">
        <v>588</v>
      </c>
      <c r="BG6376">
        <v>0</v>
      </c>
    </row>
    <row r="6377" spans="3:59" x14ac:dyDescent="0.35">
      <c r="C6377">
        <v>45824</v>
      </c>
      <c r="F6377" t="s">
        <v>749</v>
      </c>
      <c r="N6377">
        <v>1</v>
      </c>
      <c r="O6377" t="s">
        <v>239</v>
      </c>
      <c r="P6377" t="s">
        <v>514</v>
      </c>
      <c r="Y6377">
        <v>120</v>
      </c>
      <c r="Z6377" s="259" t="s">
        <v>659</v>
      </c>
      <c r="AZ6377" t="s">
        <v>912</v>
      </c>
      <c r="BA6377">
        <v>52.6</v>
      </c>
      <c r="BB6377" t="s">
        <v>564</v>
      </c>
      <c r="BC6377" t="s">
        <v>793</v>
      </c>
      <c r="BD6377">
        <v>0</v>
      </c>
      <c r="BE6377">
        <v>46302</v>
      </c>
      <c r="BF6377" t="s">
        <v>588</v>
      </c>
      <c r="BG6377">
        <v>0</v>
      </c>
    </row>
    <row r="6378" spans="3:59" x14ac:dyDescent="0.35">
      <c r="C6378">
        <v>45825</v>
      </c>
      <c r="F6378" t="s">
        <v>749</v>
      </c>
      <c r="N6378">
        <v>1</v>
      </c>
      <c r="O6378" t="s">
        <v>239</v>
      </c>
      <c r="P6378" t="s">
        <v>514</v>
      </c>
      <c r="Y6378">
        <v>121</v>
      </c>
      <c r="Z6378" s="259" t="s">
        <v>659</v>
      </c>
      <c r="AZ6378" t="s">
        <v>913</v>
      </c>
      <c r="BA6378">
        <v>52.81</v>
      </c>
      <c r="BB6378" t="s">
        <v>564</v>
      </c>
      <c r="BC6378" t="s">
        <v>793</v>
      </c>
      <c r="BD6378">
        <v>0</v>
      </c>
      <c r="BE6378">
        <v>46302</v>
      </c>
      <c r="BF6378" t="s">
        <v>588</v>
      </c>
      <c r="BG6378">
        <v>0</v>
      </c>
    </row>
    <row r="6379" spans="3:59" x14ac:dyDescent="0.35">
      <c r="C6379">
        <v>45826</v>
      </c>
      <c r="F6379" t="s">
        <v>749</v>
      </c>
      <c r="N6379">
        <v>1</v>
      </c>
      <c r="O6379" t="s">
        <v>239</v>
      </c>
      <c r="P6379" t="s">
        <v>514</v>
      </c>
      <c r="Y6379">
        <v>122</v>
      </c>
      <c r="Z6379" s="259" t="s">
        <v>659</v>
      </c>
      <c r="AZ6379" t="s">
        <v>914</v>
      </c>
      <c r="BA6379">
        <v>53.02</v>
      </c>
      <c r="BB6379" t="s">
        <v>564</v>
      </c>
      <c r="BC6379" t="s">
        <v>793</v>
      </c>
      <c r="BD6379">
        <v>0</v>
      </c>
      <c r="BE6379">
        <v>46302</v>
      </c>
      <c r="BF6379" t="s">
        <v>588</v>
      </c>
      <c r="BG6379">
        <v>0</v>
      </c>
    </row>
    <row r="6380" spans="3:59" x14ac:dyDescent="0.35">
      <c r="C6380">
        <v>45827</v>
      </c>
      <c r="F6380" t="s">
        <v>749</v>
      </c>
      <c r="N6380">
        <v>1</v>
      </c>
      <c r="O6380" t="s">
        <v>239</v>
      </c>
      <c r="P6380" t="s">
        <v>514</v>
      </c>
      <c r="Y6380">
        <v>123</v>
      </c>
      <c r="Z6380" s="259" t="s">
        <v>659</v>
      </c>
      <c r="AZ6380" t="s">
        <v>915</v>
      </c>
      <c r="BA6380">
        <v>53.22</v>
      </c>
      <c r="BB6380" t="s">
        <v>564</v>
      </c>
      <c r="BC6380" t="s">
        <v>793</v>
      </c>
      <c r="BD6380">
        <v>0</v>
      </c>
      <c r="BE6380">
        <v>46302</v>
      </c>
      <c r="BF6380" t="s">
        <v>588</v>
      </c>
      <c r="BG6380">
        <v>0</v>
      </c>
    </row>
    <row r="6381" spans="3:59" x14ac:dyDescent="0.35">
      <c r="C6381">
        <v>45828</v>
      </c>
      <c r="F6381" t="s">
        <v>749</v>
      </c>
      <c r="N6381">
        <v>1</v>
      </c>
      <c r="O6381" t="s">
        <v>239</v>
      </c>
      <c r="P6381" t="s">
        <v>514</v>
      </c>
      <c r="Y6381">
        <v>124</v>
      </c>
      <c r="Z6381" s="259" t="s">
        <v>659</v>
      </c>
      <c r="AZ6381" t="s">
        <v>916</v>
      </c>
      <c r="BA6381">
        <v>53.43</v>
      </c>
      <c r="BB6381" t="s">
        <v>564</v>
      </c>
      <c r="BC6381" t="s">
        <v>793</v>
      </c>
      <c r="BD6381">
        <v>0</v>
      </c>
      <c r="BE6381">
        <v>46302</v>
      </c>
      <c r="BF6381" t="s">
        <v>588</v>
      </c>
      <c r="BG6381">
        <v>0</v>
      </c>
    </row>
    <row r="6382" spans="3:59" x14ac:dyDescent="0.35">
      <c r="C6382">
        <v>45831</v>
      </c>
      <c r="F6382" t="s">
        <v>749</v>
      </c>
      <c r="N6382">
        <v>1</v>
      </c>
      <c r="O6382" t="s">
        <v>239</v>
      </c>
      <c r="P6382" t="s">
        <v>514</v>
      </c>
      <c r="Y6382">
        <v>125</v>
      </c>
      <c r="Z6382" s="259" t="s">
        <v>659</v>
      </c>
      <c r="AZ6382" t="s">
        <v>917</v>
      </c>
      <c r="BA6382">
        <v>54.05</v>
      </c>
      <c r="BB6382" t="s">
        <v>564</v>
      </c>
      <c r="BC6382" t="s">
        <v>793</v>
      </c>
      <c r="BD6382">
        <v>0</v>
      </c>
      <c r="BE6382">
        <v>46302</v>
      </c>
      <c r="BF6382" t="s">
        <v>588</v>
      </c>
      <c r="BG6382">
        <v>0</v>
      </c>
    </row>
    <row r="6383" spans="3:59" x14ac:dyDescent="0.35">
      <c r="C6383">
        <v>45832</v>
      </c>
      <c r="F6383" t="s">
        <v>749</v>
      </c>
      <c r="N6383">
        <v>1</v>
      </c>
      <c r="O6383" t="s">
        <v>239</v>
      </c>
      <c r="P6383" t="s">
        <v>514</v>
      </c>
      <c r="Y6383">
        <v>126</v>
      </c>
      <c r="Z6383" s="259" t="s">
        <v>659</v>
      </c>
      <c r="AZ6383" t="s">
        <v>918</v>
      </c>
      <c r="BA6383">
        <v>54.26</v>
      </c>
      <c r="BB6383" t="s">
        <v>564</v>
      </c>
      <c r="BC6383" t="s">
        <v>793</v>
      </c>
      <c r="BD6383">
        <v>0</v>
      </c>
      <c r="BE6383">
        <v>46302</v>
      </c>
      <c r="BF6383" t="s">
        <v>588</v>
      </c>
      <c r="BG6383">
        <v>0</v>
      </c>
    </row>
    <row r="6384" spans="3:59" x14ac:dyDescent="0.35">
      <c r="C6384">
        <v>45833</v>
      </c>
      <c r="F6384" t="s">
        <v>749</v>
      </c>
      <c r="N6384">
        <v>1</v>
      </c>
      <c r="O6384" t="s">
        <v>239</v>
      </c>
      <c r="P6384" t="s">
        <v>514</v>
      </c>
      <c r="Y6384">
        <v>127</v>
      </c>
      <c r="Z6384" s="259" t="s">
        <v>659</v>
      </c>
      <c r="AZ6384" t="s">
        <v>919</v>
      </c>
      <c r="BA6384">
        <v>54.47</v>
      </c>
      <c r="BB6384" t="s">
        <v>564</v>
      </c>
      <c r="BC6384" t="s">
        <v>793</v>
      </c>
      <c r="BD6384">
        <v>0</v>
      </c>
      <c r="BE6384">
        <v>46302</v>
      </c>
      <c r="BF6384" t="s">
        <v>588</v>
      </c>
      <c r="BG6384">
        <v>0</v>
      </c>
    </row>
    <row r="6385" spans="3:59" x14ac:dyDescent="0.35">
      <c r="C6385">
        <v>45834</v>
      </c>
      <c r="F6385" t="s">
        <v>749</v>
      </c>
      <c r="N6385">
        <v>1</v>
      </c>
      <c r="O6385" t="s">
        <v>239</v>
      </c>
      <c r="P6385" t="s">
        <v>514</v>
      </c>
      <c r="Y6385">
        <v>128</v>
      </c>
      <c r="Z6385" s="259" t="s">
        <v>659</v>
      </c>
      <c r="AZ6385" t="s">
        <v>920</v>
      </c>
      <c r="BA6385">
        <v>54.67</v>
      </c>
      <c r="BB6385" t="s">
        <v>564</v>
      </c>
      <c r="BC6385" t="s">
        <v>793</v>
      </c>
      <c r="BD6385">
        <v>0</v>
      </c>
      <c r="BE6385">
        <v>46302</v>
      </c>
      <c r="BF6385" t="s">
        <v>588</v>
      </c>
      <c r="BG6385">
        <v>0</v>
      </c>
    </row>
    <row r="6386" spans="3:59" x14ac:dyDescent="0.35">
      <c r="C6386">
        <v>45835</v>
      </c>
      <c r="F6386" t="s">
        <v>749</v>
      </c>
      <c r="N6386">
        <v>1</v>
      </c>
      <c r="O6386" t="s">
        <v>239</v>
      </c>
      <c r="P6386" t="s">
        <v>514</v>
      </c>
      <c r="Y6386">
        <v>129</v>
      </c>
      <c r="Z6386" s="259" t="s">
        <v>659</v>
      </c>
      <c r="AZ6386" t="s">
        <v>921</v>
      </c>
      <c r="BA6386">
        <v>54.88</v>
      </c>
      <c r="BB6386" t="s">
        <v>564</v>
      </c>
      <c r="BC6386" t="s">
        <v>793</v>
      </c>
      <c r="BD6386">
        <v>0</v>
      </c>
      <c r="BE6386">
        <v>46302</v>
      </c>
      <c r="BF6386" t="s">
        <v>588</v>
      </c>
      <c r="BG6386">
        <v>0</v>
      </c>
    </row>
    <row r="6387" spans="3:59" x14ac:dyDescent="0.35">
      <c r="C6387">
        <v>45838</v>
      </c>
      <c r="F6387" t="s">
        <v>749</v>
      </c>
      <c r="N6387">
        <v>1</v>
      </c>
      <c r="O6387" t="s">
        <v>239</v>
      </c>
      <c r="P6387" t="s">
        <v>514</v>
      </c>
      <c r="Y6387">
        <v>130</v>
      </c>
      <c r="Z6387" s="259" t="s">
        <v>659</v>
      </c>
      <c r="AZ6387" t="s">
        <v>922</v>
      </c>
      <c r="BA6387">
        <v>55.5</v>
      </c>
      <c r="BB6387" t="s">
        <v>564</v>
      </c>
      <c r="BC6387" t="s">
        <v>793</v>
      </c>
      <c r="BD6387">
        <v>0</v>
      </c>
      <c r="BE6387">
        <v>46302</v>
      </c>
      <c r="BF6387" t="s">
        <v>588</v>
      </c>
      <c r="BG6387">
        <v>0</v>
      </c>
    </row>
    <row r="6388" spans="3:59" x14ac:dyDescent="0.35">
      <c r="C6388">
        <v>45839</v>
      </c>
      <c r="F6388" t="s">
        <v>749</v>
      </c>
      <c r="N6388">
        <v>1</v>
      </c>
      <c r="O6388" t="s">
        <v>239</v>
      </c>
      <c r="P6388" t="s">
        <v>514</v>
      </c>
      <c r="Y6388">
        <v>131</v>
      </c>
      <c r="Z6388" s="259" t="s">
        <v>659</v>
      </c>
      <c r="AZ6388" t="s">
        <v>923</v>
      </c>
      <c r="BA6388">
        <v>55.5</v>
      </c>
      <c r="BB6388" t="s">
        <v>564</v>
      </c>
      <c r="BC6388" t="s">
        <v>793</v>
      </c>
      <c r="BD6388">
        <v>0</v>
      </c>
      <c r="BE6388">
        <v>46302</v>
      </c>
      <c r="BF6388" t="s">
        <v>588</v>
      </c>
      <c r="BG6388">
        <v>0</v>
      </c>
    </row>
    <row r="6389" spans="3:59" x14ac:dyDescent="0.35">
      <c r="C6389">
        <v>45840</v>
      </c>
      <c r="F6389" t="s">
        <v>749</v>
      </c>
      <c r="N6389">
        <v>1</v>
      </c>
      <c r="O6389" t="s">
        <v>239</v>
      </c>
      <c r="P6389" t="s">
        <v>514</v>
      </c>
      <c r="Y6389">
        <v>132</v>
      </c>
      <c r="Z6389" s="259" t="s">
        <v>659</v>
      </c>
      <c r="AZ6389" t="s">
        <v>924</v>
      </c>
      <c r="BA6389">
        <v>55.38</v>
      </c>
      <c r="BB6389" t="s">
        <v>564</v>
      </c>
      <c r="BC6389" t="s">
        <v>793</v>
      </c>
      <c r="BD6389">
        <v>0</v>
      </c>
      <c r="BE6389">
        <v>46302</v>
      </c>
      <c r="BF6389" t="s">
        <v>588</v>
      </c>
      <c r="BG6389">
        <v>0</v>
      </c>
    </row>
    <row r="6390" spans="3:59" x14ac:dyDescent="0.35">
      <c r="C6390">
        <v>45841</v>
      </c>
      <c r="F6390" t="s">
        <v>749</v>
      </c>
      <c r="N6390">
        <v>1</v>
      </c>
      <c r="O6390" t="s">
        <v>239</v>
      </c>
      <c r="P6390" t="s">
        <v>514</v>
      </c>
      <c r="Y6390">
        <v>133</v>
      </c>
      <c r="Z6390" s="259" t="s">
        <v>659</v>
      </c>
      <c r="AZ6390" t="s">
        <v>925</v>
      </c>
      <c r="BA6390">
        <v>55.27</v>
      </c>
      <c r="BB6390" t="s">
        <v>564</v>
      </c>
      <c r="BC6390" t="s">
        <v>793</v>
      </c>
      <c r="BD6390">
        <v>0</v>
      </c>
      <c r="BE6390">
        <v>46302</v>
      </c>
      <c r="BF6390" t="s">
        <v>588</v>
      </c>
      <c r="BG6390">
        <v>0</v>
      </c>
    </row>
    <row r="6391" spans="3:59" x14ac:dyDescent="0.35">
      <c r="C6391">
        <v>45842</v>
      </c>
      <c r="F6391" t="s">
        <v>749</v>
      </c>
      <c r="N6391">
        <v>1</v>
      </c>
      <c r="O6391" t="s">
        <v>239</v>
      </c>
      <c r="P6391" t="s">
        <v>514</v>
      </c>
      <c r="Y6391">
        <v>134</v>
      </c>
      <c r="Z6391" s="259" t="s">
        <v>659</v>
      </c>
      <c r="AZ6391" t="s">
        <v>926</v>
      </c>
      <c r="BA6391">
        <v>55.15</v>
      </c>
      <c r="BB6391" t="s">
        <v>564</v>
      </c>
      <c r="BC6391" t="s">
        <v>793</v>
      </c>
      <c r="BD6391">
        <v>0</v>
      </c>
      <c r="BE6391">
        <v>46302</v>
      </c>
      <c r="BF6391" t="s">
        <v>588</v>
      </c>
      <c r="BG6391">
        <v>0</v>
      </c>
    </row>
    <row r="6392" spans="3:59" x14ac:dyDescent="0.35">
      <c r="C6392">
        <v>45845</v>
      </c>
      <c r="F6392" t="s">
        <v>749</v>
      </c>
      <c r="N6392">
        <v>1</v>
      </c>
      <c r="O6392" t="s">
        <v>239</v>
      </c>
      <c r="P6392" t="s">
        <v>514</v>
      </c>
      <c r="Y6392">
        <v>135</v>
      </c>
      <c r="Z6392" s="259" t="s">
        <v>659</v>
      </c>
      <c r="AZ6392" t="s">
        <v>927</v>
      </c>
      <c r="BA6392">
        <v>54.8</v>
      </c>
      <c r="BB6392" t="s">
        <v>564</v>
      </c>
      <c r="BC6392" t="s">
        <v>793</v>
      </c>
      <c r="BD6392">
        <v>0</v>
      </c>
      <c r="BE6392">
        <v>46302</v>
      </c>
      <c r="BF6392" t="s">
        <v>588</v>
      </c>
      <c r="BG6392">
        <v>0</v>
      </c>
    </row>
    <row r="6393" spans="3:59" x14ac:dyDescent="0.35">
      <c r="C6393">
        <v>45846</v>
      </c>
      <c r="F6393" t="s">
        <v>749</v>
      </c>
      <c r="N6393">
        <v>1</v>
      </c>
      <c r="O6393" t="s">
        <v>239</v>
      </c>
      <c r="P6393" t="s">
        <v>514</v>
      </c>
      <c r="Y6393">
        <v>136</v>
      </c>
      <c r="Z6393" s="259" t="s">
        <v>659</v>
      </c>
      <c r="AZ6393" t="s">
        <v>928</v>
      </c>
      <c r="BA6393">
        <v>54.68</v>
      </c>
      <c r="BB6393" t="s">
        <v>564</v>
      </c>
      <c r="BC6393" t="s">
        <v>793</v>
      </c>
      <c r="BD6393">
        <v>0</v>
      </c>
      <c r="BE6393">
        <v>46302</v>
      </c>
      <c r="BF6393" t="s">
        <v>588</v>
      </c>
      <c r="BG6393">
        <v>0</v>
      </c>
    </row>
    <row r="6394" spans="3:59" x14ac:dyDescent="0.35">
      <c r="C6394">
        <v>45847</v>
      </c>
      <c r="F6394" t="s">
        <v>749</v>
      </c>
      <c r="N6394">
        <v>1</v>
      </c>
      <c r="O6394" t="s">
        <v>239</v>
      </c>
      <c r="P6394" t="s">
        <v>514</v>
      </c>
      <c r="Y6394">
        <v>137</v>
      </c>
      <c r="Z6394" s="259" t="s">
        <v>659</v>
      </c>
      <c r="AZ6394" t="s">
        <v>929</v>
      </c>
      <c r="BA6394">
        <v>54.57</v>
      </c>
      <c r="BB6394" t="s">
        <v>564</v>
      </c>
      <c r="BC6394" t="s">
        <v>793</v>
      </c>
      <c r="BD6394">
        <v>0</v>
      </c>
      <c r="BE6394">
        <v>46302</v>
      </c>
      <c r="BF6394" t="s">
        <v>588</v>
      </c>
      <c r="BG6394">
        <v>0</v>
      </c>
    </row>
    <row r="6395" spans="3:59" x14ac:dyDescent="0.35">
      <c r="C6395">
        <v>45848</v>
      </c>
      <c r="F6395" t="s">
        <v>749</v>
      </c>
      <c r="N6395">
        <v>1</v>
      </c>
      <c r="O6395" t="s">
        <v>239</v>
      </c>
      <c r="P6395" t="s">
        <v>514</v>
      </c>
      <c r="Y6395">
        <v>138</v>
      </c>
      <c r="Z6395" s="259" t="s">
        <v>659</v>
      </c>
      <c r="AZ6395" t="s">
        <v>930</v>
      </c>
      <c r="BA6395">
        <v>54.45</v>
      </c>
      <c r="BB6395" t="s">
        <v>564</v>
      </c>
      <c r="BC6395" t="s">
        <v>793</v>
      </c>
      <c r="BD6395">
        <v>0</v>
      </c>
      <c r="BE6395">
        <v>46302</v>
      </c>
      <c r="BF6395" t="s">
        <v>588</v>
      </c>
      <c r="BG6395">
        <v>0</v>
      </c>
    </row>
    <row r="6396" spans="3:59" x14ac:dyDescent="0.35">
      <c r="C6396">
        <v>45849</v>
      </c>
      <c r="F6396" t="s">
        <v>749</v>
      </c>
      <c r="N6396">
        <v>1</v>
      </c>
      <c r="O6396" t="s">
        <v>239</v>
      </c>
      <c r="P6396" t="s">
        <v>514</v>
      </c>
      <c r="Y6396">
        <v>139</v>
      </c>
      <c r="Z6396" s="259" t="s">
        <v>659</v>
      </c>
      <c r="AZ6396" t="s">
        <v>931</v>
      </c>
      <c r="BA6396">
        <v>54.33</v>
      </c>
      <c r="BB6396" t="s">
        <v>564</v>
      </c>
      <c r="BC6396" t="s">
        <v>793</v>
      </c>
      <c r="BD6396">
        <v>0</v>
      </c>
      <c r="BE6396">
        <v>46302</v>
      </c>
      <c r="BF6396" t="s">
        <v>588</v>
      </c>
      <c r="BG6396">
        <v>0</v>
      </c>
    </row>
    <row r="6397" spans="3:59" x14ac:dyDescent="0.35">
      <c r="C6397">
        <v>45852</v>
      </c>
      <c r="F6397" t="s">
        <v>749</v>
      </c>
      <c r="N6397">
        <v>1</v>
      </c>
      <c r="O6397" t="s">
        <v>239</v>
      </c>
      <c r="P6397" t="s">
        <v>514</v>
      </c>
      <c r="Y6397">
        <v>140</v>
      </c>
      <c r="Z6397" s="259" t="s">
        <v>659</v>
      </c>
      <c r="AZ6397" t="s">
        <v>932</v>
      </c>
      <c r="BA6397">
        <v>53.98</v>
      </c>
      <c r="BB6397" t="s">
        <v>564</v>
      </c>
      <c r="BC6397" t="s">
        <v>793</v>
      </c>
      <c r="BD6397">
        <v>0</v>
      </c>
      <c r="BE6397">
        <v>46302</v>
      </c>
      <c r="BF6397" t="s">
        <v>588</v>
      </c>
      <c r="BG6397">
        <v>0</v>
      </c>
    </row>
    <row r="6398" spans="3:59" x14ac:dyDescent="0.35">
      <c r="C6398">
        <v>45853</v>
      </c>
      <c r="F6398" t="s">
        <v>749</v>
      </c>
      <c r="N6398">
        <v>1</v>
      </c>
      <c r="O6398" t="s">
        <v>239</v>
      </c>
      <c r="P6398" t="s">
        <v>514</v>
      </c>
      <c r="Y6398">
        <v>141</v>
      </c>
      <c r="Z6398" s="259" t="s">
        <v>659</v>
      </c>
      <c r="AZ6398" t="s">
        <v>933</v>
      </c>
      <c r="BA6398">
        <v>53.87</v>
      </c>
      <c r="BB6398" t="s">
        <v>564</v>
      </c>
      <c r="BC6398" t="s">
        <v>793</v>
      </c>
      <c r="BD6398">
        <v>0</v>
      </c>
      <c r="BE6398">
        <v>46302</v>
      </c>
      <c r="BF6398" t="s">
        <v>588</v>
      </c>
      <c r="BG6398">
        <v>0</v>
      </c>
    </row>
    <row r="6399" spans="3:59" x14ac:dyDescent="0.35">
      <c r="C6399">
        <v>45854</v>
      </c>
      <c r="F6399" t="s">
        <v>749</v>
      </c>
      <c r="N6399">
        <v>1</v>
      </c>
      <c r="O6399" t="s">
        <v>239</v>
      </c>
      <c r="P6399" t="s">
        <v>514</v>
      </c>
      <c r="Y6399">
        <v>142</v>
      </c>
      <c r="Z6399" s="259" t="s">
        <v>659</v>
      </c>
      <c r="AZ6399" t="s">
        <v>934</v>
      </c>
      <c r="BA6399">
        <v>53.75</v>
      </c>
      <c r="BB6399" t="s">
        <v>564</v>
      </c>
      <c r="BC6399" t="s">
        <v>793</v>
      </c>
      <c r="BD6399">
        <v>0</v>
      </c>
      <c r="BE6399">
        <v>46302</v>
      </c>
      <c r="BF6399" t="s">
        <v>588</v>
      </c>
      <c r="BG6399">
        <v>0</v>
      </c>
    </row>
    <row r="6400" spans="3:59" x14ac:dyDescent="0.35">
      <c r="C6400">
        <v>45855</v>
      </c>
      <c r="F6400" t="s">
        <v>749</v>
      </c>
      <c r="N6400">
        <v>1</v>
      </c>
      <c r="O6400" t="s">
        <v>239</v>
      </c>
      <c r="P6400" t="s">
        <v>514</v>
      </c>
      <c r="Y6400">
        <v>143</v>
      </c>
      <c r="Z6400" s="259" t="s">
        <v>659</v>
      </c>
      <c r="AZ6400" t="s">
        <v>935</v>
      </c>
      <c r="BA6400">
        <v>53.63</v>
      </c>
      <c r="BB6400" t="s">
        <v>564</v>
      </c>
      <c r="BC6400" t="s">
        <v>793</v>
      </c>
      <c r="BD6400">
        <v>0</v>
      </c>
      <c r="BE6400">
        <v>46302</v>
      </c>
      <c r="BF6400" t="s">
        <v>588</v>
      </c>
      <c r="BG6400">
        <v>0</v>
      </c>
    </row>
    <row r="6401" spans="3:59" x14ac:dyDescent="0.35">
      <c r="C6401">
        <v>45856</v>
      </c>
      <c r="F6401" t="s">
        <v>749</v>
      </c>
      <c r="N6401">
        <v>1</v>
      </c>
      <c r="O6401" t="s">
        <v>239</v>
      </c>
      <c r="P6401" t="s">
        <v>514</v>
      </c>
      <c r="Y6401">
        <v>144</v>
      </c>
      <c r="Z6401" s="259" t="s">
        <v>659</v>
      </c>
      <c r="AZ6401" t="s">
        <v>936</v>
      </c>
      <c r="BA6401">
        <v>53.52</v>
      </c>
      <c r="BB6401" t="s">
        <v>564</v>
      </c>
      <c r="BC6401" t="s">
        <v>793</v>
      </c>
      <c r="BD6401">
        <v>0</v>
      </c>
      <c r="BE6401">
        <v>46302</v>
      </c>
      <c r="BF6401" t="s">
        <v>588</v>
      </c>
      <c r="BG6401">
        <v>0</v>
      </c>
    </row>
    <row r="6402" spans="3:59" x14ac:dyDescent="0.35">
      <c r="C6402">
        <v>45859</v>
      </c>
      <c r="F6402" t="s">
        <v>749</v>
      </c>
      <c r="N6402">
        <v>1</v>
      </c>
      <c r="O6402" t="s">
        <v>239</v>
      </c>
      <c r="P6402" t="s">
        <v>514</v>
      </c>
      <c r="Y6402">
        <v>145</v>
      </c>
      <c r="Z6402" s="259" t="s">
        <v>659</v>
      </c>
      <c r="AZ6402" t="s">
        <v>937</v>
      </c>
      <c r="BA6402">
        <v>53.17</v>
      </c>
      <c r="BB6402" t="s">
        <v>564</v>
      </c>
      <c r="BC6402" t="s">
        <v>793</v>
      </c>
      <c r="BD6402">
        <v>0</v>
      </c>
      <c r="BE6402">
        <v>46302</v>
      </c>
      <c r="BF6402" t="s">
        <v>588</v>
      </c>
      <c r="BG6402">
        <v>0</v>
      </c>
    </row>
    <row r="6403" spans="3:59" x14ac:dyDescent="0.35">
      <c r="C6403">
        <v>45860</v>
      </c>
      <c r="F6403" t="s">
        <v>749</v>
      </c>
      <c r="N6403">
        <v>1</v>
      </c>
      <c r="O6403" t="s">
        <v>239</v>
      </c>
      <c r="P6403" t="s">
        <v>514</v>
      </c>
      <c r="Y6403">
        <v>146</v>
      </c>
      <c r="Z6403" s="259" t="s">
        <v>659</v>
      </c>
      <c r="AZ6403" t="s">
        <v>938</v>
      </c>
      <c r="BA6403">
        <v>53.05</v>
      </c>
      <c r="BB6403" t="s">
        <v>564</v>
      </c>
      <c r="BC6403" t="s">
        <v>793</v>
      </c>
      <c r="BD6403">
        <v>0</v>
      </c>
      <c r="BE6403">
        <v>46302</v>
      </c>
      <c r="BF6403" t="s">
        <v>588</v>
      </c>
      <c r="BG6403">
        <v>0</v>
      </c>
    </row>
    <row r="6404" spans="3:59" x14ac:dyDescent="0.35">
      <c r="C6404">
        <v>45861</v>
      </c>
      <c r="F6404" t="s">
        <v>749</v>
      </c>
      <c r="N6404">
        <v>1</v>
      </c>
      <c r="O6404" t="s">
        <v>239</v>
      </c>
      <c r="P6404" t="s">
        <v>514</v>
      </c>
      <c r="Y6404">
        <v>147</v>
      </c>
      <c r="Z6404" s="259" t="s">
        <v>659</v>
      </c>
      <c r="AZ6404" t="s">
        <v>939</v>
      </c>
      <c r="BA6404">
        <v>52.93</v>
      </c>
      <c r="BB6404" t="s">
        <v>564</v>
      </c>
      <c r="BC6404" t="s">
        <v>793</v>
      </c>
      <c r="BD6404">
        <v>0</v>
      </c>
      <c r="BE6404">
        <v>46302</v>
      </c>
      <c r="BF6404" t="s">
        <v>588</v>
      </c>
      <c r="BG6404">
        <v>0</v>
      </c>
    </row>
    <row r="6405" spans="3:59" x14ac:dyDescent="0.35">
      <c r="C6405">
        <v>45862</v>
      </c>
      <c r="F6405" t="s">
        <v>749</v>
      </c>
      <c r="N6405">
        <v>1</v>
      </c>
      <c r="O6405" t="s">
        <v>239</v>
      </c>
      <c r="P6405" t="s">
        <v>514</v>
      </c>
      <c r="Y6405">
        <v>148</v>
      </c>
      <c r="Z6405" s="259" t="s">
        <v>659</v>
      </c>
      <c r="AZ6405" t="s">
        <v>940</v>
      </c>
      <c r="BA6405">
        <v>52.82</v>
      </c>
      <c r="BB6405" t="s">
        <v>564</v>
      </c>
      <c r="BC6405" t="s">
        <v>793</v>
      </c>
      <c r="BD6405">
        <v>0</v>
      </c>
      <c r="BE6405">
        <v>46302</v>
      </c>
      <c r="BF6405" t="s">
        <v>588</v>
      </c>
      <c r="BG6405">
        <v>0</v>
      </c>
    </row>
    <row r="6406" spans="3:59" x14ac:dyDescent="0.35">
      <c r="C6406">
        <v>45863</v>
      </c>
      <c r="F6406" t="s">
        <v>749</v>
      </c>
      <c r="N6406">
        <v>1</v>
      </c>
      <c r="O6406" t="s">
        <v>239</v>
      </c>
      <c r="P6406" t="s">
        <v>514</v>
      </c>
      <c r="Y6406">
        <v>149</v>
      </c>
      <c r="Z6406" s="259" t="s">
        <v>659</v>
      </c>
      <c r="AZ6406" t="s">
        <v>941</v>
      </c>
      <c r="BA6406">
        <v>52.7</v>
      </c>
      <c r="BB6406" t="s">
        <v>564</v>
      </c>
      <c r="BC6406" t="s">
        <v>793</v>
      </c>
      <c r="BD6406">
        <v>0</v>
      </c>
      <c r="BE6406">
        <v>46302</v>
      </c>
      <c r="BF6406" t="s">
        <v>588</v>
      </c>
      <c r="BG6406">
        <v>0</v>
      </c>
    </row>
    <row r="6407" spans="3:59" x14ac:dyDescent="0.35">
      <c r="C6407">
        <v>45866</v>
      </c>
      <c r="F6407" t="s">
        <v>749</v>
      </c>
      <c r="N6407">
        <v>1</v>
      </c>
      <c r="O6407" t="s">
        <v>239</v>
      </c>
      <c r="P6407" t="s">
        <v>514</v>
      </c>
      <c r="Y6407">
        <v>150</v>
      </c>
      <c r="Z6407" s="259" t="s">
        <v>659</v>
      </c>
      <c r="AZ6407" t="s">
        <v>942</v>
      </c>
      <c r="BA6407">
        <v>52.35</v>
      </c>
      <c r="BB6407" t="s">
        <v>564</v>
      </c>
      <c r="BC6407" t="s">
        <v>793</v>
      </c>
      <c r="BD6407">
        <v>0</v>
      </c>
      <c r="BE6407">
        <v>46302</v>
      </c>
      <c r="BF6407" t="s">
        <v>588</v>
      </c>
      <c r="BG6407">
        <v>0</v>
      </c>
    </row>
    <row r="6408" spans="3:59" x14ac:dyDescent="0.35">
      <c r="C6408">
        <v>45867</v>
      </c>
      <c r="F6408" t="s">
        <v>749</v>
      </c>
      <c r="N6408">
        <v>1</v>
      </c>
      <c r="O6408" t="s">
        <v>239</v>
      </c>
      <c r="P6408" t="s">
        <v>514</v>
      </c>
      <c r="Y6408">
        <v>151</v>
      </c>
      <c r="Z6408" s="259" t="s">
        <v>659</v>
      </c>
      <c r="AZ6408" t="s">
        <v>943</v>
      </c>
      <c r="BA6408">
        <v>52.23</v>
      </c>
      <c r="BB6408" t="s">
        <v>564</v>
      </c>
      <c r="BC6408" t="s">
        <v>793</v>
      </c>
      <c r="BD6408">
        <v>0</v>
      </c>
      <c r="BE6408">
        <v>46302</v>
      </c>
      <c r="BF6408" t="s">
        <v>588</v>
      </c>
      <c r="BG6408">
        <v>0</v>
      </c>
    </row>
    <row r="6409" spans="3:59" x14ac:dyDescent="0.35">
      <c r="C6409">
        <v>45868</v>
      </c>
      <c r="F6409" t="s">
        <v>749</v>
      </c>
      <c r="N6409">
        <v>1</v>
      </c>
      <c r="O6409" t="s">
        <v>239</v>
      </c>
      <c r="P6409" t="s">
        <v>514</v>
      </c>
      <c r="Y6409">
        <v>152</v>
      </c>
      <c r="Z6409" s="259" t="s">
        <v>659</v>
      </c>
      <c r="AZ6409" t="s">
        <v>944</v>
      </c>
      <c r="BA6409">
        <v>52.12</v>
      </c>
      <c r="BB6409" t="s">
        <v>564</v>
      </c>
      <c r="BC6409" t="s">
        <v>793</v>
      </c>
      <c r="BD6409">
        <v>0</v>
      </c>
      <c r="BE6409">
        <v>46302</v>
      </c>
      <c r="BF6409" t="s">
        <v>588</v>
      </c>
      <c r="BG6409">
        <v>0</v>
      </c>
    </row>
    <row r="6410" spans="3:59" x14ac:dyDescent="0.35">
      <c r="C6410">
        <v>45869</v>
      </c>
      <c r="F6410" t="s">
        <v>749</v>
      </c>
      <c r="N6410">
        <v>1</v>
      </c>
      <c r="O6410" t="s">
        <v>239</v>
      </c>
      <c r="P6410" t="s">
        <v>514</v>
      </c>
      <c r="Y6410">
        <v>153</v>
      </c>
      <c r="Z6410" s="259" t="s">
        <v>659</v>
      </c>
      <c r="AZ6410" t="s">
        <v>945</v>
      </c>
      <c r="BA6410">
        <v>52</v>
      </c>
      <c r="BB6410" t="s">
        <v>564</v>
      </c>
      <c r="BC6410" t="s">
        <v>793</v>
      </c>
      <c r="BD6410">
        <v>0</v>
      </c>
      <c r="BE6410">
        <v>46302</v>
      </c>
      <c r="BF6410" t="s">
        <v>588</v>
      </c>
      <c r="BG6410">
        <v>0</v>
      </c>
    </row>
    <row r="6411" spans="3:59" x14ac:dyDescent="0.35">
      <c r="C6411">
        <v>45870</v>
      </c>
      <c r="F6411" t="s">
        <v>749</v>
      </c>
      <c r="N6411">
        <v>1</v>
      </c>
      <c r="O6411" t="s">
        <v>239</v>
      </c>
      <c r="P6411" t="s">
        <v>514</v>
      </c>
      <c r="Y6411">
        <v>154</v>
      </c>
      <c r="Z6411" s="259" t="s">
        <v>659</v>
      </c>
      <c r="AZ6411" t="s">
        <v>946</v>
      </c>
      <c r="BA6411">
        <v>52</v>
      </c>
      <c r="BB6411" t="s">
        <v>564</v>
      </c>
      <c r="BC6411" t="s">
        <v>793</v>
      </c>
      <c r="BD6411">
        <v>0</v>
      </c>
      <c r="BE6411">
        <v>46302</v>
      </c>
      <c r="BF6411" t="s">
        <v>588</v>
      </c>
      <c r="BG6411">
        <v>0</v>
      </c>
    </row>
    <row r="6412" spans="3:59" x14ac:dyDescent="0.35">
      <c r="C6412">
        <v>45873</v>
      </c>
      <c r="F6412" t="s">
        <v>749</v>
      </c>
      <c r="N6412">
        <v>1</v>
      </c>
      <c r="O6412" t="s">
        <v>239</v>
      </c>
      <c r="P6412" t="s">
        <v>514</v>
      </c>
      <c r="Y6412">
        <v>155</v>
      </c>
      <c r="Z6412" s="259" t="s">
        <v>659</v>
      </c>
      <c r="AZ6412" t="s">
        <v>947</v>
      </c>
      <c r="BA6412">
        <v>51.7</v>
      </c>
      <c r="BB6412" t="s">
        <v>564</v>
      </c>
      <c r="BC6412" t="s">
        <v>793</v>
      </c>
      <c r="BD6412">
        <v>0</v>
      </c>
      <c r="BE6412">
        <v>46302</v>
      </c>
      <c r="BF6412" t="s">
        <v>588</v>
      </c>
      <c r="BG6412">
        <v>0</v>
      </c>
    </row>
    <row r="6413" spans="3:59" x14ac:dyDescent="0.35">
      <c r="C6413">
        <v>45874</v>
      </c>
      <c r="F6413" t="s">
        <v>749</v>
      </c>
      <c r="N6413">
        <v>1</v>
      </c>
      <c r="O6413" t="s">
        <v>239</v>
      </c>
      <c r="P6413" t="s">
        <v>514</v>
      </c>
      <c r="Y6413">
        <v>156</v>
      </c>
      <c r="Z6413" s="259" t="s">
        <v>659</v>
      </c>
      <c r="AZ6413" t="s">
        <v>948</v>
      </c>
      <c r="BA6413">
        <v>51.6</v>
      </c>
      <c r="BB6413" t="s">
        <v>564</v>
      </c>
      <c r="BC6413" t="s">
        <v>793</v>
      </c>
      <c r="BD6413">
        <v>0</v>
      </c>
      <c r="BE6413">
        <v>46302</v>
      </c>
      <c r="BF6413" t="s">
        <v>588</v>
      </c>
      <c r="BG6413">
        <v>0</v>
      </c>
    </row>
    <row r="6414" spans="3:59" x14ac:dyDescent="0.35">
      <c r="C6414">
        <v>45875</v>
      </c>
      <c r="F6414" t="s">
        <v>749</v>
      </c>
      <c r="N6414">
        <v>1</v>
      </c>
      <c r="O6414" t="s">
        <v>239</v>
      </c>
      <c r="P6414" t="s">
        <v>514</v>
      </c>
      <c r="Y6414">
        <v>157</v>
      </c>
      <c r="Z6414" s="259" t="s">
        <v>659</v>
      </c>
      <c r="AZ6414" t="s">
        <v>949</v>
      </c>
      <c r="BA6414">
        <v>51.5</v>
      </c>
      <c r="BB6414" t="s">
        <v>564</v>
      </c>
      <c r="BC6414" t="s">
        <v>793</v>
      </c>
      <c r="BD6414">
        <v>0</v>
      </c>
      <c r="BE6414">
        <v>46302</v>
      </c>
      <c r="BF6414" t="s">
        <v>588</v>
      </c>
      <c r="BG6414">
        <v>0</v>
      </c>
    </row>
    <row r="6415" spans="3:59" x14ac:dyDescent="0.35">
      <c r="C6415">
        <v>45876</v>
      </c>
      <c r="F6415" t="s">
        <v>749</v>
      </c>
      <c r="N6415">
        <v>1</v>
      </c>
      <c r="O6415" t="s">
        <v>239</v>
      </c>
      <c r="P6415" t="s">
        <v>514</v>
      </c>
      <c r="Y6415">
        <v>158</v>
      </c>
      <c r="Z6415" s="259" t="s">
        <v>659</v>
      </c>
      <c r="AZ6415" t="s">
        <v>950</v>
      </c>
      <c r="BA6415">
        <v>51.4</v>
      </c>
      <c r="BB6415" t="s">
        <v>564</v>
      </c>
      <c r="BC6415" t="s">
        <v>793</v>
      </c>
      <c r="BD6415">
        <v>0</v>
      </c>
      <c r="BE6415">
        <v>46302</v>
      </c>
      <c r="BF6415" t="s">
        <v>588</v>
      </c>
      <c r="BG6415">
        <v>0</v>
      </c>
    </row>
    <row r="6416" spans="3:59" x14ac:dyDescent="0.35">
      <c r="C6416">
        <v>45877</v>
      </c>
      <c r="F6416" t="s">
        <v>749</v>
      </c>
      <c r="N6416">
        <v>1</v>
      </c>
      <c r="O6416" t="s">
        <v>239</v>
      </c>
      <c r="P6416" t="s">
        <v>514</v>
      </c>
      <c r="Y6416">
        <v>159</v>
      </c>
      <c r="Z6416" s="259" t="s">
        <v>659</v>
      </c>
      <c r="AZ6416" t="s">
        <v>951</v>
      </c>
      <c r="BA6416">
        <v>51.3</v>
      </c>
      <c r="BB6416" t="s">
        <v>564</v>
      </c>
      <c r="BC6416" t="s">
        <v>793</v>
      </c>
      <c r="BD6416">
        <v>0</v>
      </c>
      <c r="BE6416">
        <v>46302</v>
      </c>
      <c r="BF6416" t="s">
        <v>588</v>
      </c>
      <c r="BG6416">
        <v>0</v>
      </c>
    </row>
    <row r="6417" spans="3:59" x14ac:dyDescent="0.35">
      <c r="C6417">
        <v>45880</v>
      </c>
      <c r="F6417" t="s">
        <v>749</v>
      </c>
      <c r="N6417">
        <v>1</v>
      </c>
      <c r="O6417" t="s">
        <v>239</v>
      </c>
      <c r="P6417" t="s">
        <v>514</v>
      </c>
      <c r="Y6417">
        <v>160</v>
      </c>
      <c r="Z6417" s="259" t="s">
        <v>659</v>
      </c>
      <c r="AZ6417" t="s">
        <v>952</v>
      </c>
      <c r="BA6417">
        <v>51</v>
      </c>
      <c r="BB6417" t="s">
        <v>564</v>
      </c>
      <c r="BC6417" t="s">
        <v>793</v>
      </c>
      <c r="BD6417">
        <v>0</v>
      </c>
      <c r="BE6417">
        <v>46302</v>
      </c>
      <c r="BF6417" t="s">
        <v>588</v>
      </c>
      <c r="BG6417">
        <v>0</v>
      </c>
    </row>
    <row r="6418" spans="3:59" x14ac:dyDescent="0.35">
      <c r="C6418">
        <v>45881</v>
      </c>
      <c r="F6418" t="s">
        <v>749</v>
      </c>
      <c r="N6418">
        <v>1</v>
      </c>
      <c r="O6418" t="s">
        <v>239</v>
      </c>
      <c r="P6418" t="s">
        <v>514</v>
      </c>
      <c r="Y6418">
        <v>161</v>
      </c>
      <c r="Z6418" s="259" t="s">
        <v>659</v>
      </c>
      <c r="AZ6418" t="s">
        <v>953</v>
      </c>
      <c r="BA6418">
        <v>50.9</v>
      </c>
      <c r="BB6418" t="s">
        <v>564</v>
      </c>
      <c r="BC6418" t="s">
        <v>793</v>
      </c>
      <c r="BD6418">
        <v>0</v>
      </c>
      <c r="BE6418">
        <v>46302</v>
      </c>
      <c r="BF6418" t="s">
        <v>588</v>
      </c>
      <c r="BG6418">
        <v>0</v>
      </c>
    </row>
    <row r="6419" spans="3:59" x14ac:dyDescent="0.35">
      <c r="C6419">
        <v>45882</v>
      </c>
      <c r="F6419" t="s">
        <v>749</v>
      </c>
      <c r="N6419">
        <v>1</v>
      </c>
      <c r="O6419" t="s">
        <v>239</v>
      </c>
      <c r="P6419" t="s">
        <v>514</v>
      </c>
      <c r="Y6419">
        <v>162</v>
      </c>
      <c r="Z6419" s="259" t="s">
        <v>659</v>
      </c>
      <c r="AZ6419" t="s">
        <v>954</v>
      </c>
      <c r="BA6419">
        <v>50.8</v>
      </c>
      <c r="BB6419" t="s">
        <v>564</v>
      </c>
      <c r="BC6419" t="s">
        <v>793</v>
      </c>
      <c r="BD6419">
        <v>0</v>
      </c>
      <c r="BE6419">
        <v>46302</v>
      </c>
      <c r="BF6419" t="s">
        <v>588</v>
      </c>
      <c r="BG6419">
        <v>0</v>
      </c>
    </row>
    <row r="6420" spans="3:59" x14ac:dyDescent="0.35">
      <c r="C6420">
        <v>45883</v>
      </c>
      <c r="F6420" t="s">
        <v>749</v>
      </c>
      <c r="N6420">
        <v>1</v>
      </c>
      <c r="O6420" t="s">
        <v>239</v>
      </c>
      <c r="P6420" t="s">
        <v>514</v>
      </c>
      <c r="Y6420">
        <v>163</v>
      </c>
      <c r="Z6420" s="259" t="s">
        <v>659</v>
      </c>
      <c r="AZ6420" t="s">
        <v>955</v>
      </c>
      <c r="BA6420">
        <v>50.7</v>
      </c>
      <c r="BB6420" t="s">
        <v>564</v>
      </c>
      <c r="BC6420" t="s">
        <v>793</v>
      </c>
      <c r="BD6420">
        <v>0</v>
      </c>
      <c r="BE6420">
        <v>46302</v>
      </c>
      <c r="BF6420" t="s">
        <v>588</v>
      </c>
      <c r="BG6420">
        <v>0</v>
      </c>
    </row>
    <row r="6421" spans="3:59" x14ac:dyDescent="0.35">
      <c r="C6421">
        <v>45884</v>
      </c>
      <c r="F6421" t="s">
        <v>749</v>
      </c>
      <c r="N6421">
        <v>1</v>
      </c>
      <c r="O6421" t="s">
        <v>239</v>
      </c>
      <c r="P6421" t="s">
        <v>514</v>
      </c>
      <c r="Y6421">
        <v>164</v>
      </c>
      <c r="Z6421" s="259" t="s">
        <v>659</v>
      </c>
      <c r="AZ6421" t="s">
        <v>956</v>
      </c>
      <c r="BA6421">
        <v>50.6</v>
      </c>
      <c r="BB6421" t="s">
        <v>564</v>
      </c>
      <c r="BC6421" t="s">
        <v>793</v>
      </c>
      <c r="BD6421">
        <v>0</v>
      </c>
      <c r="BE6421">
        <v>46302</v>
      </c>
      <c r="BF6421" t="s">
        <v>588</v>
      </c>
      <c r="BG6421">
        <v>0</v>
      </c>
    </row>
    <row r="6422" spans="3:59" x14ac:dyDescent="0.35">
      <c r="C6422">
        <v>45887</v>
      </c>
      <c r="F6422" t="s">
        <v>749</v>
      </c>
      <c r="N6422">
        <v>1</v>
      </c>
      <c r="O6422" t="s">
        <v>239</v>
      </c>
      <c r="P6422" t="s">
        <v>514</v>
      </c>
      <c r="Y6422">
        <v>165</v>
      </c>
      <c r="Z6422" s="259" t="s">
        <v>659</v>
      </c>
      <c r="AZ6422" t="s">
        <v>957</v>
      </c>
      <c r="BA6422">
        <v>50.3</v>
      </c>
      <c r="BB6422" t="s">
        <v>564</v>
      </c>
      <c r="BC6422" t="s">
        <v>793</v>
      </c>
      <c r="BD6422">
        <v>0</v>
      </c>
      <c r="BE6422">
        <v>46302</v>
      </c>
      <c r="BF6422" t="s">
        <v>588</v>
      </c>
      <c r="BG6422">
        <v>0</v>
      </c>
    </row>
    <row r="6423" spans="3:59" x14ac:dyDescent="0.35">
      <c r="C6423">
        <v>45888</v>
      </c>
      <c r="F6423" t="s">
        <v>749</v>
      </c>
      <c r="N6423">
        <v>1</v>
      </c>
      <c r="O6423" t="s">
        <v>239</v>
      </c>
      <c r="P6423" t="s">
        <v>514</v>
      </c>
      <c r="Y6423">
        <v>166</v>
      </c>
      <c r="Z6423" s="259" t="s">
        <v>659</v>
      </c>
      <c r="AZ6423" t="s">
        <v>958</v>
      </c>
      <c r="BA6423">
        <v>50.2</v>
      </c>
      <c r="BB6423" t="s">
        <v>564</v>
      </c>
      <c r="BC6423" t="s">
        <v>793</v>
      </c>
      <c r="BD6423">
        <v>0</v>
      </c>
      <c r="BE6423">
        <v>46302</v>
      </c>
      <c r="BF6423" t="s">
        <v>588</v>
      </c>
      <c r="BG6423">
        <v>0</v>
      </c>
    </row>
    <row r="6424" spans="3:59" x14ac:dyDescent="0.35">
      <c r="C6424">
        <v>45889</v>
      </c>
      <c r="F6424" t="s">
        <v>749</v>
      </c>
      <c r="N6424">
        <v>1</v>
      </c>
      <c r="O6424" t="s">
        <v>239</v>
      </c>
      <c r="P6424" t="s">
        <v>514</v>
      </c>
      <c r="Y6424">
        <v>167</v>
      </c>
      <c r="Z6424" s="259" t="s">
        <v>659</v>
      </c>
      <c r="AZ6424" t="s">
        <v>959</v>
      </c>
      <c r="BA6424">
        <v>50.1</v>
      </c>
      <c r="BB6424" t="s">
        <v>564</v>
      </c>
      <c r="BC6424" t="s">
        <v>793</v>
      </c>
      <c r="BD6424">
        <v>0</v>
      </c>
      <c r="BE6424">
        <v>46302</v>
      </c>
      <c r="BF6424" t="s">
        <v>588</v>
      </c>
      <c r="BG6424">
        <v>0</v>
      </c>
    </row>
    <row r="6425" spans="3:59" x14ac:dyDescent="0.35">
      <c r="C6425">
        <v>45890</v>
      </c>
      <c r="F6425" t="s">
        <v>749</v>
      </c>
      <c r="N6425">
        <v>1</v>
      </c>
      <c r="O6425" t="s">
        <v>239</v>
      </c>
      <c r="P6425" t="s">
        <v>514</v>
      </c>
      <c r="Y6425">
        <v>168</v>
      </c>
      <c r="Z6425" s="259" t="s">
        <v>659</v>
      </c>
      <c r="AZ6425" t="s">
        <v>960</v>
      </c>
      <c r="BA6425">
        <v>50</v>
      </c>
      <c r="BB6425" t="s">
        <v>564</v>
      </c>
      <c r="BC6425" t="s">
        <v>793</v>
      </c>
      <c r="BD6425">
        <v>0</v>
      </c>
      <c r="BE6425">
        <v>46302</v>
      </c>
      <c r="BF6425" t="s">
        <v>588</v>
      </c>
      <c r="BG6425">
        <v>0</v>
      </c>
    </row>
    <row r="6426" spans="3:59" x14ac:dyDescent="0.35">
      <c r="C6426">
        <v>45891</v>
      </c>
      <c r="F6426" t="s">
        <v>749</v>
      </c>
      <c r="N6426">
        <v>1</v>
      </c>
      <c r="O6426" t="s">
        <v>239</v>
      </c>
      <c r="P6426" t="s">
        <v>514</v>
      </c>
      <c r="Y6426">
        <v>169</v>
      </c>
      <c r="Z6426" s="259" t="s">
        <v>659</v>
      </c>
      <c r="AZ6426" t="s">
        <v>961</v>
      </c>
      <c r="BA6426">
        <v>49.9</v>
      </c>
      <c r="BB6426" t="s">
        <v>564</v>
      </c>
      <c r="BC6426" t="s">
        <v>793</v>
      </c>
      <c r="BD6426">
        <v>0</v>
      </c>
      <c r="BE6426">
        <v>46302</v>
      </c>
      <c r="BF6426" t="s">
        <v>588</v>
      </c>
      <c r="BG6426">
        <v>0</v>
      </c>
    </row>
    <row r="6427" spans="3:59" x14ac:dyDescent="0.35">
      <c r="C6427">
        <v>45894</v>
      </c>
      <c r="F6427" t="s">
        <v>749</v>
      </c>
      <c r="N6427">
        <v>1</v>
      </c>
      <c r="O6427" t="s">
        <v>239</v>
      </c>
      <c r="P6427" t="s">
        <v>514</v>
      </c>
      <c r="Y6427">
        <v>170</v>
      </c>
      <c r="Z6427" s="259" t="s">
        <v>659</v>
      </c>
      <c r="AZ6427" t="s">
        <v>962</v>
      </c>
      <c r="BA6427">
        <v>49.6</v>
      </c>
      <c r="BB6427" t="s">
        <v>564</v>
      </c>
      <c r="BC6427" t="s">
        <v>793</v>
      </c>
      <c r="BD6427">
        <v>0</v>
      </c>
      <c r="BE6427">
        <v>46302</v>
      </c>
      <c r="BF6427" t="s">
        <v>588</v>
      </c>
      <c r="BG6427">
        <v>0</v>
      </c>
    </row>
    <row r="6428" spans="3:59" x14ac:dyDescent="0.35">
      <c r="C6428">
        <v>45895</v>
      </c>
      <c r="F6428" t="s">
        <v>749</v>
      </c>
      <c r="N6428">
        <v>1</v>
      </c>
      <c r="O6428" t="s">
        <v>239</v>
      </c>
      <c r="P6428" t="s">
        <v>514</v>
      </c>
      <c r="Y6428">
        <v>171</v>
      </c>
      <c r="Z6428" s="259" t="s">
        <v>659</v>
      </c>
      <c r="AZ6428" t="s">
        <v>963</v>
      </c>
      <c r="BA6428">
        <v>49.5</v>
      </c>
      <c r="BB6428" t="s">
        <v>564</v>
      </c>
      <c r="BC6428" t="s">
        <v>793</v>
      </c>
      <c r="BD6428">
        <v>0</v>
      </c>
      <c r="BE6428">
        <v>46302</v>
      </c>
      <c r="BF6428" t="s">
        <v>588</v>
      </c>
      <c r="BG6428">
        <v>0</v>
      </c>
    </row>
    <row r="6429" spans="3:59" x14ac:dyDescent="0.35">
      <c r="C6429">
        <v>45896</v>
      </c>
      <c r="F6429" t="s">
        <v>749</v>
      </c>
      <c r="N6429">
        <v>1</v>
      </c>
      <c r="O6429" t="s">
        <v>239</v>
      </c>
      <c r="P6429" t="s">
        <v>514</v>
      </c>
      <c r="Y6429">
        <v>172</v>
      </c>
      <c r="Z6429" s="259" t="s">
        <v>659</v>
      </c>
      <c r="AZ6429" t="s">
        <v>964</v>
      </c>
      <c r="BA6429">
        <v>49.4</v>
      </c>
      <c r="BB6429" t="s">
        <v>564</v>
      </c>
      <c r="BC6429" t="s">
        <v>793</v>
      </c>
      <c r="BD6429">
        <v>0</v>
      </c>
      <c r="BE6429">
        <v>46302</v>
      </c>
      <c r="BF6429" t="s">
        <v>588</v>
      </c>
      <c r="BG6429">
        <v>0</v>
      </c>
    </row>
    <row r="6430" spans="3:59" x14ac:dyDescent="0.35">
      <c r="C6430">
        <v>45897</v>
      </c>
      <c r="F6430" t="s">
        <v>749</v>
      </c>
      <c r="N6430">
        <v>1</v>
      </c>
      <c r="O6430" t="s">
        <v>239</v>
      </c>
      <c r="P6430" t="s">
        <v>514</v>
      </c>
      <c r="Y6430">
        <v>173</v>
      </c>
      <c r="Z6430" s="259" t="s">
        <v>659</v>
      </c>
      <c r="AZ6430" t="s">
        <v>965</v>
      </c>
      <c r="BA6430">
        <v>49.3</v>
      </c>
      <c r="BB6430" t="s">
        <v>564</v>
      </c>
      <c r="BC6430" t="s">
        <v>793</v>
      </c>
      <c r="BD6430">
        <v>0</v>
      </c>
      <c r="BE6430">
        <v>46302</v>
      </c>
      <c r="BF6430" t="s">
        <v>588</v>
      </c>
      <c r="BG6430">
        <v>0</v>
      </c>
    </row>
    <row r="6431" spans="3:59" x14ac:dyDescent="0.35">
      <c r="C6431">
        <v>45898</v>
      </c>
      <c r="F6431" t="s">
        <v>749</v>
      </c>
      <c r="N6431">
        <v>1</v>
      </c>
      <c r="O6431" t="s">
        <v>239</v>
      </c>
      <c r="P6431" t="s">
        <v>514</v>
      </c>
      <c r="Y6431">
        <v>174</v>
      </c>
      <c r="Z6431" s="259" t="s">
        <v>659</v>
      </c>
      <c r="AZ6431" t="s">
        <v>966</v>
      </c>
      <c r="BA6431">
        <v>49.2</v>
      </c>
      <c r="BB6431" t="s">
        <v>564</v>
      </c>
      <c r="BC6431" t="s">
        <v>793</v>
      </c>
      <c r="BD6431">
        <v>0</v>
      </c>
      <c r="BE6431">
        <v>46302</v>
      </c>
      <c r="BF6431" t="s">
        <v>588</v>
      </c>
      <c r="BG6431">
        <v>0</v>
      </c>
    </row>
    <row r="6432" spans="3:59" x14ac:dyDescent="0.35">
      <c r="C6432">
        <v>45901</v>
      </c>
      <c r="F6432" t="s">
        <v>749</v>
      </c>
      <c r="N6432">
        <v>1</v>
      </c>
      <c r="O6432" t="s">
        <v>239</v>
      </c>
      <c r="P6432" t="s">
        <v>514</v>
      </c>
      <c r="Y6432">
        <v>175</v>
      </c>
      <c r="Z6432" s="259" t="s">
        <v>659</v>
      </c>
      <c r="AZ6432" t="s">
        <v>967</v>
      </c>
      <c r="BA6432">
        <v>49</v>
      </c>
      <c r="BB6432" t="s">
        <v>564</v>
      </c>
      <c r="BC6432" t="s">
        <v>793</v>
      </c>
      <c r="BD6432">
        <v>0</v>
      </c>
      <c r="BE6432">
        <v>46302</v>
      </c>
      <c r="BF6432" t="s">
        <v>588</v>
      </c>
      <c r="BG6432">
        <v>0</v>
      </c>
    </row>
    <row r="6433" spans="3:59" x14ac:dyDescent="0.35">
      <c r="C6433">
        <v>45902</v>
      </c>
      <c r="F6433" t="s">
        <v>749</v>
      </c>
      <c r="N6433">
        <v>1</v>
      </c>
      <c r="O6433" t="s">
        <v>239</v>
      </c>
      <c r="P6433" t="s">
        <v>514</v>
      </c>
      <c r="Y6433">
        <v>176</v>
      </c>
      <c r="Z6433" s="259" t="s">
        <v>659</v>
      </c>
      <c r="AZ6433" t="s">
        <v>968</v>
      </c>
      <c r="BA6433">
        <v>49.17</v>
      </c>
      <c r="BB6433" t="s">
        <v>564</v>
      </c>
      <c r="BC6433" t="s">
        <v>793</v>
      </c>
      <c r="BD6433">
        <v>0</v>
      </c>
      <c r="BE6433">
        <v>46302</v>
      </c>
      <c r="BF6433" t="s">
        <v>588</v>
      </c>
      <c r="BG6433">
        <v>0</v>
      </c>
    </row>
    <row r="6434" spans="3:59" x14ac:dyDescent="0.35">
      <c r="C6434">
        <v>45903</v>
      </c>
      <c r="F6434" t="s">
        <v>749</v>
      </c>
      <c r="N6434">
        <v>1</v>
      </c>
      <c r="O6434" t="s">
        <v>239</v>
      </c>
      <c r="P6434" t="s">
        <v>514</v>
      </c>
      <c r="Y6434">
        <v>177</v>
      </c>
      <c r="Z6434" s="259" t="s">
        <v>659</v>
      </c>
      <c r="AZ6434" t="s">
        <v>969</v>
      </c>
      <c r="BA6434">
        <v>49.34</v>
      </c>
      <c r="BB6434" t="s">
        <v>564</v>
      </c>
      <c r="BC6434" t="s">
        <v>793</v>
      </c>
      <c r="BD6434">
        <v>0</v>
      </c>
      <c r="BE6434">
        <v>46302</v>
      </c>
      <c r="BF6434" t="s">
        <v>588</v>
      </c>
      <c r="BG6434">
        <v>0</v>
      </c>
    </row>
    <row r="6435" spans="3:59" x14ac:dyDescent="0.35">
      <c r="C6435">
        <v>45904</v>
      </c>
      <c r="F6435" t="s">
        <v>749</v>
      </c>
      <c r="N6435">
        <v>1</v>
      </c>
      <c r="O6435" t="s">
        <v>239</v>
      </c>
      <c r="P6435" t="s">
        <v>514</v>
      </c>
      <c r="Y6435">
        <v>178</v>
      </c>
      <c r="Z6435" s="259" t="s">
        <v>659</v>
      </c>
      <c r="AZ6435" t="s">
        <v>970</v>
      </c>
      <c r="BA6435">
        <v>49.52</v>
      </c>
      <c r="BB6435" t="s">
        <v>564</v>
      </c>
      <c r="BC6435" t="s">
        <v>793</v>
      </c>
      <c r="BD6435">
        <v>0</v>
      </c>
      <c r="BE6435">
        <v>46302</v>
      </c>
      <c r="BF6435" t="s">
        <v>588</v>
      </c>
      <c r="BG6435">
        <v>0</v>
      </c>
    </row>
    <row r="6436" spans="3:59" x14ac:dyDescent="0.35">
      <c r="C6436">
        <v>45905</v>
      </c>
      <c r="F6436" t="s">
        <v>749</v>
      </c>
      <c r="N6436">
        <v>1</v>
      </c>
      <c r="O6436" t="s">
        <v>239</v>
      </c>
      <c r="P6436" t="s">
        <v>514</v>
      </c>
      <c r="Y6436">
        <v>179</v>
      </c>
      <c r="Z6436" s="259" t="s">
        <v>659</v>
      </c>
      <c r="AZ6436" t="s">
        <v>971</v>
      </c>
      <c r="BA6436">
        <v>49.69</v>
      </c>
      <c r="BB6436" t="s">
        <v>564</v>
      </c>
      <c r="BC6436" t="s">
        <v>793</v>
      </c>
      <c r="BD6436">
        <v>0</v>
      </c>
      <c r="BE6436">
        <v>46302</v>
      </c>
      <c r="BF6436" t="s">
        <v>588</v>
      </c>
      <c r="BG6436">
        <v>0</v>
      </c>
    </row>
    <row r="6437" spans="3:59" x14ac:dyDescent="0.35">
      <c r="C6437">
        <v>45908</v>
      </c>
      <c r="F6437" t="s">
        <v>749</v>
      </c>
      <c r="N6437">
        <v>1</v>
      </c>
      <c r="O6437" t="s">
        <v>239</v>
      </c>
      <c r="P6437" t="s">
        <v>514</v>
      </c>
      <c r="Y6437">
        <v>180</v>
      </c>
      <c r="Z6437" s="259" t="s">
        <v>659</v>
      </c>
      <c r="AZ6437" t="s">
        <v>972</v>
      </c>
      <c r="BA6437">
        <v>50.21</v>
      </c>
      <c r="BB6437" t="s">
        <v>564</v>
      </c>
      <c r="BC6437" t="s">
        <v>793</v>
      </c>
      <c r="BD6437">
        <v>0</v>
      </c>
      <c r="BE6437">
        <v>46302</v>
      </c>
      <c r="BF6437" t="s">
        <v>588</v>
      </c>
      <c r="BG6437">
        <v>0</v>
      </c>
    </row>
    <row r="6438" spans="3:59" x14ac:dyDescent="0.35">
      <c r="C6438">
        <v>45909</v>
      </c>
      <c r="F6438" t="s">
        <v>749</v>
      </c>
      <c r="N6438">
        <v>1</v>
      </c>
      <c r="O6438" t="s">
        <v>239</v>
      </c>
      <c r="P6438" t="s">
        <v>514</v>
      </c>
      <c r="Y6438">
        <v>181</v>
      </c>
      <c r="Z6438" s="259" t="s">
        <v>659</v>
      </c>
      <c r="AZ6438" t="s">
        <v>973</v>
      </c>
      <c r="BA6438">
        <v>50.38</v>
      </c>
      <c r="BB6438" t="s">
        <v>564</v>
      </c>
      <c r="BC6438" t="s">
        <v>793</v>
      </c>
      <c r="BD6438">
        <v>0</v>
      </c>
      <c r="BE6438">
        <v>46302</v>
      </c>
      <c r="BF6438" t="s">
        <v>588</v>
      </c>
      <c r="BG6438">
        <v>0</v>
      </c>
    </row>
    <row r="6439" spans="3:59" x14ac:dyDescent="0.35">
      <c r="C6439">
        <v>45910</v>
      </c>
      <c r="F6439" t="s">
        <v>749</v>
      </c>
      <c r="N6439">
        <v>1</v>
      </c>
      <c r="O6439" t="s">
        <v>239</v>
      </c>
      <c r="P6439" t="s">
        <v>514</v>
      </c>
      <c r="Y6439">
        <v>182</v>
      </c>
      <c r="Z6439" s="259" t="s">
        <v>659</v>
      </c>
      <c r="AZ6439" t="s">
        <v>974</v>
      </c>
      <c r="BA6439">
        <v>50.55</v>
      </c>
      <c r="BB6439" t="s">
        <v>564</v>
      </c>
      <c r="BC6439" t="s">
        <v>793</v>
      </c>
      <c r="BD6439">
        <v>0</v>
      </c>
      <c r="BE6439">
        <v>46302</v>
      </c>
      <c r="BF6439" t="s">
        <v>588</v>
      </c>
      <c r="BG6439">
        <v>0</v>
      </c>
    </row>
    <row r="6440" spans="3:59" x14ac:dyDescent="0.35">
      <c r="C6440">
        <v>45911</v>
      </c>
      <c r="F6440" t="s">
        <v>749</v>
      </c>
      <c r="N6440">
        <v>1</v>
      </c>
      <c r="O6440" t="s">
        <v>239</v>
      </c>
      <c r="P6440" t="s">
        <v>514</v>
      </c>
      <c r="Y6440">
        <v>183</v>
      </c>
      <c r="Z6440" s="259" t="s">
        <v>659</v>
      </c>
      <c r="AZ6440" t="s">
        <v>975</v>
      </c>
      <c r="BA6440">
        <v>50.72</v>
      </c>
      <c r="BB6440" t="s">
        <v>564</v>
      </c>
      <c r="BC6440" t="s">
        <v>793</v>
      </c>
      <c r="BD6440">
        <v>0</v>
      </c>
      <c r="BE6440">
        <v>46302</v>
      </c>
      <c r="BF6440" t="s">
        <v>588</v>
      </c>
      <c r="BG6440">
        <v>0</v>
      </c>
    </row>
    <row r="6441" spans="3:59" x14ac:dyDescent="0.35">
      <c r="C6441">
        <v>45912</v>
      </c>
      <c r="F6441" t="s">
        <v>749</v>
      </c>
      <c r="N6441">
        <v>1</v>
      </c>
      <c r="O6441" t="s">
        <v>239</v>
      </c>
      <c r="P6441" t="s">
        <v>514</v>
      </c>
      <c r="Y6441">
        <v>184</v>
      </c>
      <c r="Z6441" s="259" t="s">
        <v>659</v>
      </c>
      <c r="AZ6441" t="s">
        <v>976</v>
      </c>
      <c r="BA6441">
        <v>50.9</v>
      </c>
      <c r="BB6441" t="s">
        <v>564</v>
      </c>
      <c r="BC6441" t="s">
        <v>793</v>
      </c>
      <c r="BD6441">
        <v>0</v>
      </c>
      <c r="BE6441">
        <v>46302</v>
      </c>
      <c r="BF6441" t="s">
        <v>588</v>
      </c>
      <c r="BG6441">
        <v>0</v>
      </c>
    </row>
    <row r="6442" spans="3:59" x14ac:dyDescent="0.35">
      <c r="C6442">
        <v>45915</v>
      </c>
      <c r="F6442" t="s">
        <v>749</v>
      </c>
      <c r="N6442">
        <v>1</v>
      </c>
      <c r="O6442" t="s">
        <v>239</v>
      </c>
      <c r="P6442" t="s">
        <v>514</v>
      </c>
      <c r="Y6442">
        <v>185</v>
      </c>
      <c r="Z6442" s="259" t="s">
        <v>659</v>
      </c>
      <c r="AZ6442" t="s">
        <v>977</v>
      </c>
      <c r="BA6442">
        <v>51.41</v>
      </c>
      <c r="BB6442" t="s">
        <v>564</v>
      </c>
      <c r="BC6442" t="s">
        <v>793</v>
      </c>
      <c r="BD6442">
        <v>0</v>
      </c>
      <c r="BE6442">
        <v>46302</v>
      </c>
      <c r="BF6442" t="s">
        <v>588</v>
      </c>
      <c r="BG6442">
        <v>0</v>
      </c>
    </row>
    <row r="6443" spans="3:59" x14ac:dyDescent="0.35">
      <c r="C6443">
        <v>45916</v>
      </c>
      <c r="F6443" t="s">
        <v>749</v>
      </c>
      <c r="N6443">
        <v>1</v>
      </c>
      <c r="O6443" t="s">
        <v>239</v>
      </c>
      <c r="P6443" t="s">
        <v>514</v>
      </c>
      <c r="Y6443">
        <v>186</v>
      </c>
      <c r="Z6443" s="259" t="s">
        <v>659</v>
      </c>
      <c r="AZ6443" t="s">
        <v>978</v>
      </c>
      <c r="BA6443">
        <v>51.59</v>
      </c>
      <c r="BB6443" t="s">
        <v>564</v>
      </c>
      <c r="BC6443" t="s">
        <v>793</v>
      </c>
      <c r="BD6443">
        <v>0</v>
      </c>
      <c r="BE6443">
        <v>46302</v>
      </c>
      <c r="BF6443" t="s">
        <v>588</v>
      </c>
      <c r="BG6443">
        <v>0</v>
      </c>
    </row>
    <row r="6444" spans="3:59" x14ac:dyDescent="0.35">
      <c r="C6444">
        <v>45917</v>
      </c>
      <c r="F6444" t="s">
        <v>749</v>
      </c>
      <c r="N6444">
        <v>1</v>
      </c>
      <c r="O6444" t="s">
        <v>239</v>
      </c>
      <c r="P6444" t="s">
        <v>514</v>
      </c>
      <c r="Y6444">
        <v>187</v>
      </c>
      <c r="Z6444" s="259" t="s">
        <v>659</v>
      </c>
      <c r="AZ6444" t="s">
        <v>979</v>
      </c>
      <c r="BA6444">
        <v>51.76</v>
      </c>
      <c r="BB6444" t="s">
        <v>564</v>
      </c>
      <c r="BC6444" t="s">
        <v>793</v>
      </c>
      <c r="BD6444">
        <v>0</v>
      </c>
      <c r="BE6444">
        <v>46302</v>
      </c>
      <c r="BF6444" t="s">
        <v>588</v>
      </c>
      <c r="BG6444">
        <v>0</v>
      </c>
    </row>
    <row r="6445" spans="3:59" x14ac:dyDescent="0.35">
      <c r="C6445">
        <v>45918</v>
      </c>
      <c r="F6445" t="s">
        <v>749</v>
      </c>
      <c r="N6445">
        <v>1</v>
      </c>
      <c r="O6445" t="s">
        <v>239</v>
      </c>
      <c r="P6445" t="s">
        <v>514</v>
      </c>
      <c r="Y6445">
        <v>188</v>
      </c>
      <c r="Z6445" s="259" t="s">
        <v>659</v>
      </c>
      <c r="AZ6445" t="s">
        <v>980</v>
      </c>
      <c r="BA6445">
        <v>51.93</v>
      </c>
      <c r="BB6445" t="s">
        <v>564</v>
      </c>
      <c r="BC6445" t="s">
        <v>793</v>
      </c>
      <c r="BD6445">
        <v>0</v>
      </c>
      <c r="BE6445">
        <v>46302</v>
      </c>
      <c r="BF6445" t="s">
        <v>588</v>
      </c>
      <c r="BG6445">
        <v>0</v>
      </c>
    </row>
    <row r="6446" spans="3:59" x14ac:dyDescent="0.35">
      <c r="C6446">
        <v>45919</v>
      </c>
      <c r="F6446" t="s">
        <v>749</v>
      </c>
      <c r="N6446">
        <v>1</v>
      </c>
      <c r="O6446" t="s">
        <v>239</v>
      </c>
      <c r="P6446" t="s">
        <v>514</v>
      </c>
      <c r="Y6446">
        <v>189</v>
      </c>
      <c r="Z6446" s="259" t="s">
        <v>659</v>
      </c>
      <c r="AZ6446" t="s">
        <v>981</v>
      </c>
      <c r="BA6446">
        <v>52.1</v>
      </c>
      <c r="BB6446" t="s">
        <v>564</v>
      </c>
      <c r="BC6446" t="s">
        <v>793</v>
      </c>
      <c r="BD6446">
        <v>0</v>
      </c>
      <c r="BE6446">
        <v>46302</v>
      </c>
      <c r="BF6446" t="s">
        <v>588</v>
      </c>
      <c r="BG6446">
        <v>0</v>
      </c>
    </row>
    <row r="6447" spans="3:59" x14ac:dyDescent="0.35">
      <c r="C6447">
        <v>45922</v>
      </c>
      <c r="F6447" t="s">
        <v>749</v>
      </c>
      <c r="N6447">
        <v>1</v>
      </c>
      <c r="O6447" t="s">
        <v>239</v>
      </c>
      <c r="P6447" t="s">
        <v>514</v>
      </c>
      <c r="Y6447">
        <v>190</v>
      </c>
      <c r="Z6447" s="259" t="s">
        <v>659</v>
      </c>
      <c r="AZ6447" t="s">
        <v>982</v>
      </c>
      <c r="BA6447">
        <v>52.62</v>
      </c>
      <c r="BB6447" t="s">
        <v>564</v>
      </c>
      <c r="BC6447" t="s">
        <v>793</v>
      </c>
      <c r="BD6447">
        <v>0</v>
      </c>
      <c r="BE6447">
        <v>46302</v>
      </c>
      <c r="BF6447" t="s">
        <v>588</v>
      </c>
      <c r="BG6447">
        <v>0</v>
      </c>
    </row>
    <row r="6448" spans="3:59" x14ac:dyDescent="0.35">
      <c r="C6448">
        <v>45923</v>
      </c>
      <c r="F6448" t="s">
        <v>749</v>
      </c>
      <c r="N6448">
        <v>1</v>
      </c>
      <c r="O6448" t="s">
        <v>239</v>
      </c>
      <c r="P6448" t="s">
        <v>514</v>
      </c>
      <c r="Y6448">
        <v>191</v>
      </c>
      <c r="Z6448" s="259" t="s">
        <v>659</v>
      </c>
      <c r="AZ6448" t="s">
        <v>983</v>
      </c>
      <c r="BA6448">
        <v>52.79</v>
      </c>
      <c r="BB6448" t="s">
        <v>564</v>
      </c>
      <c r="BC6448" t="s">
        <v>793</v>
      </c>
      <c r="BD6448">
        <v>0</v>
      </c>
      <c r="BE6448">
        <v>46302</v>
      </c>
      <c r="BF6448" t="s">
        <v>588</v>
      </c>
      <c r="BG6448">
        <v>0</v>
      </c>
    </row>
    <row r="6449" spans="3:59" x14ac:dyDescent="0.35">
      <c r="C6449">
        <v>45924</v>
      </c>
      <c r="F6449" t="s">
        <v>749</v>
      </c>
      <c r="N6449">
        <v>1</v>
      </c>
      <c r="O6449" t="s">
        <v>239</v>
      </c>
      <c r="P6449" t="s">
        <v>514</v>
      </c>
      <c r="Y6449">
        <v>192</v>
      </c>
      <c r="Z6449" s="259" t="s">
        <v>659</v>
      </c>
      <c r="AZ6449" t="s">
        <v>984</v>
      </c>
      <c r="BA6449">
        <v>52.97</v>
      </c>
      <c r="BB6449" t="s">
        <v>564</v>
      </c>
      <c r="BC6449" t="s">
        <v>793</v>
      </c>
      <c r="BD6449">
        <v>0</v>
      </c>
      <c r="BE6449">
        <v>46302</v>
      </c>
      <c r="BF6449" t="s">
        <v>588</v>
      </c>
      <c r="BG6449">
        <v>0</v>
      </c>
    </row>
    <row r="6450" spans="3:59" x14ac:dyDescent="0.35">
      <c r="C6450">
        <v>45925</v>
      </c>
      <c r="F6450" t="s">
        <v>749</v>
      </c>
      <c r="N6450">
        <v>1</v>
      </c>
      <c r="O6450" t="s">
        <v>239</v>
      </c>
      <c r="P6450" t="s">
        <v>514</v>
      </c>
      <c r="Y6450">
        <v>193</v>
      </c>
      <c r="Z6450" s="259" t="s">
        <v>659</v>
      </c>
      <c r="AZ6450" t="s">
        <v>985</v>
      </c>
      <c r="BA6450">
        <v>53.14</v>
      </c>
      <c r="BB6450" t="s">
        <v>564</v>
      </c>
      <c r="BC6450" t="s">
        <v>793</v>
      </c>
      <c r="BD6450">
        <v>0</v>
      </c>
      <c r="BE6450">
        <v>46302</v>
      </c>
      <c r="BF6450" t="s">
        <v>588</v>
      </c>
      <c r="BG6450">
        <v>0</v>
      </c>
    </row>
    <row r="6451" spans="3:59" x14ac:dyDescent="0.35">
      <c r="C6451">
        <v>45926</v>
      </c>
      <c r="F6451" t="s">
        <v>749</v>
      </c>
      <c r="N6451">
        <v>1</v>
      </c>
      <c r="O6451" t="s">
        <v>239</v>
      </c>
      <c r="P6451" t="s">
        <v>514</v>
      </c>
      <c r="Y6451">
        <v>194</v>
      </c>
      <c r="Z6451" s="259" t="s">
        <v>659</v>
      </c>
      <c r="AZ6451" t="s">
        <v>986</v>
      </c>
      <c r="BA6451">
        <v>53.31</v>
      </c>
      <c r="BB6451" t="s">
        <v>564</v>
      </c>
      <c r="BC6451" t="s">
        <v>793</v>
      </c>
      <c r="BD6451">
        <v>0</v>
      </c>
      <c r="BE6451">
        <v>46302</v>
      </c>
      <c r="BF6451" t="s">
        <v>588</v>
      </c>
      <c r="BG6451">
        <v>0</v>
      </c>
    </row>
    <row r="6452" spans="3:59" x14ac:dyDescent="0.35">
      <c r="C6452">
        <v>45929</v>
      </c>
      <c r="F6452" t="s">
        <v>749</v>
      </c>
      <c r="N6452">
        <v>1</v>
      </c>
      <c r="O6452" t="s">
        <v>239</v>
      </c>
      <c r="P6452" t="s">
        <v>514</v>
      </c>
      <c r="Y6452">
        <v>195</v>
      </c>
      <c r="Z6452" s="259" t="s">
        <v>659</v>
      </c>
      <c r="AZ6452" t="s">
        <v>987</v>
      </c>
      <c r="BA6452">
        <v>53.83</v>
      </c>
      <c r="BB6452" t="s">
        <v>564</v>
      </c>
      <c r="BC6452" t="s">
        <v>793</v>
      </c>
      <c r="BD6452">
        <v>0</v>
      </c>
      <c r="BE6452">
        <v>46302</v>
      </c>
      <c r="BF6452" t="s">
        <v>588</v>
      </c>
      <c r="BG6452">
        <v>0</v>
      </c>
    </row>
    <row r="6453" spans="3:59" x14ac:dyDescent="0.35">
      <c r="C6453">
        <v>45930</v>
      </c>
      <c r="F6453" t="s">
        <v>749</v>
      </c>
      <c r="N6453">
        <v>1</v>
      </c>
      <c r="O6453" t="s">
        <v>239</v>
      </c>
      <c r="P6453" t="s">
        <v>514</v>
      </c>
      <c r="Y6453">
        <v>196</v>
      </c>
      <c r="Z6453" s="259" t="s">
        <v>659</v>
      </c>
      <c r="AZ6453" t="s">
        <v>988</v>
      </c>
      <c r="BA6453">
        <v>54</v>
      </c>
      <c r="BB6453" t="s">
        <v>564</v>
      </c>
      <c r="BC6453" t="s">
        <v>793</v>
      </c>
      <c r="BD6453">
        <v>0</v>
      </c>
      <c r="BE6453">
        <v>46302</v>
      </c>
      <c r="BF6453" t="s">
        <v>588</v>
      </c>
      <c r="BG6453">
        <v>0</v>
      </c>
    </row>
    <row r="6454" spans="3:59" x14ac:dyDescent="0.35">
      <c r="C6454">
        <v>45931</v>
      </c>
      <c r="F6454" t="s">
        <v>749</v>
      </c>
      <c r="N6454">
        <v>1</v>
      </c>
      <c r="O6454" t="s">
        <v>239</v>
      </c>
      <c r="P6454" t="s">
        <v>514</v>
      </c>
      <c r="Y6454">
        <v>197</v>
      </c>
      <c r="Z6454" s="259" t="s">
        <v>659</v>
      </c>
      <c r="AZ6454" t="s">
        <v>989</v>
      </c>
      <c r="BA6454">
        <v>54</v>
      </c>
      <c r="BB6454" t="s">
        <v>564</v>
      </c>
      <c r="BC6454" t="s">
        <v>793</v>
      </c>
      <c r="BD6454">
        <v>0</v>
      </c>
      <c r="BE6454">
        <v>46302</v>
      </c>
      <c r="BF6454" t="s">
        <v>588</v>
      </c>
      <c r="BG6454">
        <v>0</v>
      </c>
    </row>
    <row r="6455" spans="3:59" x14ac:dyDescent="0.35">
      <c r="C6455">
        <v>45932</v>
      </c>
      <c r="F6455" t="s">
        <v>749</v>
      </c>
      <c r="N6455">
        <v>1</v>
      </c>
      <c r="O6455" t="s">
        <v>239</v>
      </c>
      <c r="P6455" t="s">
        <v>514</v>
      </c>
      <c r="Y6455">
        <v>198</v>
      </c>
      <c r="Z6455" s="259" t="s">
        <v>659</v>
      </c>
      <c r="AZ6455" t="s">
        <v>990</v>
      </c>
      <c r="BA6455">
        <v>53.9</v>
      </c>
      <c r="BB6455" t="s">
        <v>564</v>
      </c>
      <c r="BC6455" t="s">
        <v>793</v>
      </c>
      <c r="BD6455">
        <v>0</v>
      </c>
      <c r="BE6455">
        <v>46302</v>
      </c>
      <c r="BF6455" t="s">
        <v>588</v>
      </c>
      <c r="BG6455">
        <v>0</v>
      </c>
    </row>
    <row r="6456" spans="3:59" x14ac:dyDescent="0.35">
      <c r="C6456">
        <v>45933</v>
      </c>
      <c r="F6456" t="s">
        <v>749</v>
      </c>
      <c r="N6456">
        <v>1</v>
      </c>
      <c r="O6456" t="s">
        <v>239</v>
      </c>
      <c r="P6456" t="s">
        <v>514</v>
      </c>
      <c r="Y6456">
        <v>199</v>
      </c>
      <c r="Z6456" s="259" t="s">
        <v>659</v>
      </c>
      <c r="AZ6456" t="s">
        <v>991</v>
      </c>
      <c r="BA6456">
        <v>53.8</v>
      </c>
      <c r="BB6456" t="s">
        <v>564</v>
      </c>
      <c r="BC6456" t="s">
        <v>793</v>
      </c>
      <c r="BD6456">
        <v>0</v>
      </c>
      <c r="BE6456">
        <v>46302</v>
      </c>
      <c r="BF6456" t="s">
        <v>588</v>
      </c>
      <c r="BG6456">
        <v>0</v>
      </c>
    </row>
    <row r="6457" spans="3:59" x14ac:dyDescent="0.35">
      <c r="C6457">
        <v>45936</v>
      </c>
      <c r="F6457" t="s">
        <v>749</v>
      </c>
      <c r="N6457">
        <v>1</v>
      </c>
      <c r="O6457" t="s">
        <v>239</v>
      </c>
      <c r="P6457" t="s">
        <v>514</v>
      </c>
      <c r="Y6457">
        <v>200</v>
      </c>
      <c r="Z6457" s="259" t="s">
        <v>659</v>
      </c>
      <c r="AZ6457" t="s">
        <v>992</v>
      </c>
      <c r="BA6457">
        <v>53.5</v>
      </c>
      <c r="BB6457" t="s">
        <v>564</v>
      </c>
      <c r="BC6457" t="s">
        <v>793</v>
      </c>
      <c r="BD6457">
        <v>0</v>
      </c>
      <c r="BE6457">
        <v>46302</v>
      </c>
      <c r="BF6457" t="s">
        <v>588</v>
      </c>
      <c r="BG6457">
        <v>0</v>
      </c>
    </row>
    <row r="6458" spans="3:59" x14ac:dyDescent="0.35">
      <c r="C6458">
        <v>45937</v>
      </c>
      <c r="F6458" t="s">
        <v>749</v>
      </c>
      <c r="N6458">
        <v>1</v>
      </c>
      <c r="O6458" t="s">
        <v>239</v>
      </c>
      <c r="P6458" t="s">
        <v>514</v>
      </c>
      <c r="Y6458">
        <v>201</v>
      </c>
      <c r="Z6458" s="259" t="s">
        <v>659</v>
      </c>
      <c r="AZ6458" t="s">
        <v>993</v>
      </c>
      <c r="BA6458">
        <v>53.4</v>
      </c>
      <c r="BB6458" t="s">
        <v>564</v>
      </c>
      <c r="BC6458" t="s">
        <v>793</v>
      </c>
      <c r="BD6458">
        <v>0</v>
      </c>
      <c r="BE6458">
        <v>46302</v>
      </c>
      <c r="BF6458" t="s">
        <v>588</v>
      </c>
      <c r="BG6458">
        <v>0</v>
      </c>
    </row>
    <row r="6459" spans="3:59" x14ac:dyDescent="0.35">
      <c r="C6459">
        <v>45938</v>
      </c>
      <c r="F6459" t="s">
        <v>749</v>
      </c>
      <c r="N6459">
        <v>1</v>
      </c>
      <c r="O6459" t="s">
        <v>239</v>
      </c>
      <c r="P6459" t="s">
        <v>514</v>
      </c>
      <c r="Y6459">
        <v>202</v>
      </c>
      <c r="Z6459" s="259" t="s">
        <v>659</v>
      </c>
      <c r="AZ6459" t="s">
        <v>994</v>
      </c>
      <c r="BA6459">
        <v>53.3</v>
      </c>
      <c r="BB6459" t="s">
        <v>564</v>
      </c>
      <c r="BC6459" t="s">
        <v>793</v>
      </c>
      <c r="BD6459">
        <v>0</v>
      </c>
      <c r="BE6459">
        <v>46302</v>
      </c>
      <c r="BF6459" t="s">
        <v>588</v>
      </c>
      <c r="BG6459">
        <v>0</v>
      </c>
    </row>
    <row r="6460" spans="3:59" x14ac:dyDescent="0.35">
      <c r="C6460">
        <v>45939</v>
      </c>
      <c r="F6460" t="s">
        <v>749</v>
      </c>
      <c r="N6460">
        <v>1</v>
      </c>
      <c r="O6460" t="s">
        <v>239</v>
      </c>
      <c r="P6460" t="s">
        <v>514</v>
      </c>
      <c r="Y6460">
        <v>203</v>
      </c>
      <c r="Z6460" s="259" t="s">
        <v>659</v>
      </c>
      <c r="AZ6460" t="s">
        <v>995</v>
      </c>
      <c r="BA6460">
        <v>53.2</v>
      </c>
      <c r="BB6460" t="s">
        <v>564</v>
      </c>
      <c r="BC6460" t="s">
        <v>793</v>
      </c>
      <c r="BD6460">
        <v>0</v>
      </c>
      <c r="BE6460">
        <v>46302</v>
      </c>
      <c r="BF6460" t="s">
        <v>588</v>
      </c>
      <c r="BG6460">
        <v>0</v>
      </c>
    </row>
    <row r="6461" spans="3:59" x14ac:dyDescent="0.35">
      <c r="C6461">
        <v>45940</v>
      </c>
      <c r="F6461" t="s">
        <v>749</v>
      </c>
      <c r="N6461">
        <v>1</v>
      </c>
      <c r="O6461" t="s">
        <v>239</v>
      </c>
      <c r="P6461" t="s">
        <v>514</v>
      </c>
      <c r="Y6461">
        <v>204</v>
      </c>
      <c r="Z6461" s="259" t="s">
        <v>659</v>
      </c>
      <c r="AZ6461" t="s">
        <v>996</v>
      </c>
      <c r="BA6461">
        <v>53.1</v>
      </c>
      <c r="BB6461" t="s">
        <v>564</v>
      </c>
      <c r="BC6461" t="s">
        <v>793</v>
      </c>
      <c r="BD6461">
        <v>0</v>
      </c>
      <c r="BE6461">
        <v>46302</v>
      </c>
      <c r="BF6461" t="s">
        <v>588</v>
      </c>
      <c r="BG6461">
        <v>0</v>
      </c>
    </row>
    <row r="6462" spans="3:59" x14ac:dyDescent="0.35">
      <c r="C6462">
        <v>45943</v>
      </c>
      <c r="F6462" t="s">
        <v>749</v>
      </c>
      <c r="N6462">
        <v>1</v>
      </c>
      <c r="O6462" t="s">
        <v>239</v>
      </c>
      <c r="P6462" t="s">
        <v>514</v>
      </c>
      <c r="Y6462">
        <v>205</v>
      </c>
      <c r="Z6462" s="259" t="s">
        <v>659</v>
      </c>
      <c r="AZ6462" t="s">
        <v>997</v>
      </c>
      <c r="BA6462">
        <v>52.8</v>
      </c>
      <c r="BB6462" t="s">
        <v>564</v>
      </c>
      <c r="BC6462" t="s">
        <v>793</v>
      </c>
      <c r="BD6462">
        <v>0</v>
      </c>
      <c r="BE6462">
        <v>46302</v>
      </c>
      <c r="BF6462" t="s">
        <v>588</v>
      </c>
      <c r="BG6462">
        <v>0</v>
      </c>
    </row>
    <row r="6463" spans="3:59" x14ac:dyDescent="0.35">
      <c r="C6463">
        <v>45944</v>
      </c>
      <c r="F6463" t="s">
        <v>749</v>
      </c>
      <c r="N6463">
        <v>1</v>
      </c>
      <c r="O6463" t="s">
        <v>239</v>
      </c>
      <c r="P6463" t="s">
        <v>514</v>
      </c>
      <c r="Y6463">
        <v>206</v>
      </c>
      <c r="Z6463" s="259" t="s">
        <v>659</v>
      </c>
      <c r="AZ6463" t="s">
        <v>998</v>
      </c>
      <c r="BA6463">
        <v>52.7</v>
      </c>
      <c r="BB6463" t="s">
        <v>564</v>
      </c>
      <c r="BC6463" t="s">
        <v>793</v>
      </c>
      <c r="BD6463">
        <v>0</v>
      </c>
      <c r="BE6463">
        <v>46302</v>
      </c>
      <c r="BF6463" t="s">
        <v>588</v>
      </c>
      <c r="BG6463">
        <v>0</v>
      </c>
    </row>
    <row r="6464" spans="3:59" x14ac:dyDescent="0.35">
      <c r="C6464">
        <v>45945</v>
      </c>
      <c r="F6464" t="s">
        <v>749</v>
      </c>
      <c r="N6464">
        <v>1</v>
      </c>
      <c r="O6464" t="s">
        <v>239</v>
      </c>
      <c r="P6464" t="s">
        <v>514</v>
      </c>
      <c r="Y6464">
        <v>207</v>
      </c>
      <c r="Z6464" s="259" t="s">
        <v>659</v>
      </c>
      <c r="AZ6464" t="s">
        <v>999</v>
      </c>
      <c r="BA6464">
        <v>52.6</v>
      </c>
      <c r="BB6464" t="s">
        <v>564</v>
      </c>
      <c r="BC6464" t="s">
        <v>793</v>
      </c>
      <c r="BD6464">
        <v>0</v>
      </c>
      <c r="BE6464">
        <v>46302</v>
      </c>
      <c r="BF6464" t="s">
        <v>588</v>
      </c>
      <c r="BG6464">
        <v>0</v>
      </c>
    </row>
    <row r="6465" spans="3:59" x14ac:dyDescent="0.35">
      <c r="C6465">
        <v>45946</v>
      </c>
      <c r="F6465" t="s">
        <v>749</v>
      </c>
      <c r="N6465">
        <v>1</v>
      </c>
      <c r="O6465" t="s">
        <v>239</v>
      </c>
      <c r="P6465" t="s">
        <v>514</v>
      </c>
      <c r="Y6465">
        <v>208</v>
      </c>
      <c r="Z6465" s="259" t="s">
        <v>659</v>
      </c>
      <c r="AZ6465" t="s">
        <v>1000</v>
      </c>
      <c r="BA6465">
        <v>52.5</v>
      </c>
      <c r="BB6465" t="s">
        <v>564</v>
      </c>
      <c r="BC6465" t="s">
        <v>793</v>
      </c>
      <c r="BD6465">
        <v>0</v>
      </c>
      <c r="BE6465">
        <v>46302</v>
      </c>
      <c r="BF6465" t="s">
        <v>588</v>
      </c>
      <c r="BG6465">
        <v>0</v>
      </c>
    </row>
    <row r="6466" spans="3:59" x14ac:dyDescent="0.35">
      <c r="C6466">
        <v>45947</v>
      </c>
      <c r="F6466" t="s">
        <v>749</v>
      </c>
      <c r="N6466">
        <v>1</v>
      </c>
      <c r="O6466" t="s">
        <v>239</v>
      </c>
      <c r="P6466" t="s">
        <v>514</v>
      </c>
      <c r="Y6466">
        <v>209</v>
      </c>
      <c r="Z6466" s="259" t="s">
        <v>659</v>
      </c>
      <c r="AZ6466" t="s">
        <v>1001</v>
      </c>
      <c r="BA6466">
        <v>52.4</v>
      </c>
      <c r="BB6466" t="s">
        <v>564</v>
      </c>
      <c r="BC6466" t="s">
        <v>793</v>
      </c>
      <c r="BD6466">
        <v>0</v>
      </c>
      <c r="BE6466">
        <v>46302</v>
      </c>
      <c r="BF6466" t="s">
        <v>588</v>
      </c>
      <c r="BG6466">
        <v>0</v>
      </c>
    </row>
    <row r="6467" spans="3:59" x14ac:dyDescent="0.35">
      <c r="C6467">
        <v>45950</v>
      </c>
      <c r="F6467" t="s">
        <v>749</v>
      </c>
      <c r="N6467">
        <v>1</v>
      </c>
      <c r="O6467" t="s">
        <v>239</v>
      </c>
      <c r="P6467" t="s">
        <v>514</v>
      </c>
      <c r="Y6467">
        <v>210</v>
      </c>
      <c r="Z6467" s="259" t="s">
        <v>659</v>
      </c>
      <c r="AZ6467" t="s">
        <v>1002</v>
      </c>
      <c r="BA6467">
        <v>52.1</v>
      </c>
      <c r="BB6467" t="s">
        <v>564</v>
      </c>
      <c r="BC6467" t="s">
        <v>793</v>
      </c>
      <c r="BD6467">
        <v>0</v>
      </c>
      <c r="BE6467">
        <v>46302</v>
      </c>
      <c r="BF6467" t="s">
        <v>588</v>
      </c>
      <c r="BG6467">
        <v>0</v>
      </c>
    </row>
    <row r="6468" spans="3:59" x14ac:dyDescent="0.35">
      <c r="C6468">
        <v>45951</v>
      </c>
      <c r="F6468" t="s">
        <v>749</v>
      </c>
      <c r="N6468">
        <v>1</v>
      </c>
      <c r="O6468" t="s">
        <v>239</v>
      </c>
      <c r="P6468" t="s">
        <v>514</v>
      </c>
      <c r="Y6468">
        <v>211</v>
      </c>
      <c r="Z6468" s="259" t="s">
        <v>659</v>
      </c>
      <c r="AZ6468" t="s">
        <v>1003</v>
      </c>
      <c r="BA6468">
        <v>52</v>
      </c>
      <c r="BB6468" t="s">
        <v>564</v>
      </c>
      <c r="BC6468" t="s">
        <v>793</v>
      </c>
      <c r="BD6468">
        <v>0</v>
      </c>
      <c r="BE6468">
        <v>46302</v>
      </c>
      <c r="BF6468" t="s">
        <v>588</v>
      </c>
      <c r="BG6468">
        <v>0</v>
      </c>
    </row>
    <row r="6469" spans="3:59" x14ac:dyDescent="0.35">
      <c r="C6469">
        <v>45952</v>
      </c>
      <c r="F6469" t="s">
        <v>749</v>
      </c>
      <c r="N6469">
        <v>1</v>
      </c>
      <c r="O6469" t="s">
        <v>239</v>
      </c>
      <c r="P6469" t="s">
        <v>514</v>
      </c>
      <c r="Y6469">
        <v>212</v>
      </c>
      <c r="Z6469" s="259" t="s">
        <v>659</v>
      </c>
      <c r="AZ6469" t="s">
        <v>1004</v>
      </c>
      <c r="BA6469">
        <v>51.9</v>
      </c>
      <c r="BB6469" t="s">
        <v>564</v>
      </c>
      <c r="BC6469" t="s">
        <v>793</v>
      </c>
      <c r="BD6469">
        <v>0</v>
      </c>
      <c r="BE6469">
        <v>46302</v>
      </c>
      <c r="BF6469" t="s">
        <v>588</v>
      </c>
      <c r="BG6469">
        <v>0</v>
      </c>
    </row>
    <row r="6470" spans="3:59" x14ac:dyDescent="0.35">
      <c r="C6470">
        <v>45953</v>
      </c>
      <c r="F6470" t="s">
        <v>749</v>
      </c>
      <c r="N6470">
        <v>1</v>
      </c>
      <c r="O6470" t="s">
        <v>239</v>
      </c>
      <c r="P6470" t="s">
        <v>514</v>
      </c>
      <c r="Y6470">
        <v>213</v>
      </c>
      <c r="Z6470" s="259" t="s">
        <v>659</v>
      </c>
      <c r="AZ6470" t="s">
        <v>1005</v>
      </c>
      <c r="BA6470">
        <v>51.8</v>
      </c>
      <c r="BB6470" t="s">
        <v>564</v>
      </c>
      <c r="BC6470" t="s">
        <v>793</v>
      </c>
      <c r="BD6470">
        <v>0</v>
      </c>
      <c r="BE6470">
        <v>46302</v>
      </c>
      <c r="BF6470" t="s">
        <v>588</v>
      </c>
      <c r="BG6470">
        <v>0</v>
      </c>
    </row>
    <row r="6471" spans="3:59" x14ac:dyDescent="0.35">
      <c r="C6471">
        <v>45954</v>
      </c>
      <c r="F6471" t="s">
        <v>749</v>
      </c>
      <c r="N6471">
        <v>1</v>
      </c>
      <c r="O6471" t="s">
        <v>239</v>
      </c>
      <c r="P6471" t="s">
        <v>514</v>
      </c>
      <c r="Y6471">
        <v>214</v>
      </c>
      <c r="Z6471" s="259" t="s">
        <v>659</v>
      </c>
      <c r="AZ6471" t="s">
        <v>1006</v>
      </c>
      <c r="BA6471">
        <v>51.7</v>
      </c>
      <c r="BB6471" t="s">
        <v>564</v>
      </c>
      <c r="BC6471" t="s">
        <v>793</v>
      </c>
      <c r="BD6471">
        <v>0</v>
      </c>
      <c r="BE6471">
        <v>46302</v>
      </c>
      <c r="BF6471" t="s">
        <v>588</v>
      </c>
      <c r="BG6471">
        <v>0</v>
      </c>
    </row>
    <row r="6472" spans="3:59" x14ac:dyDescent="0.35">
      <c r="C6472">
        <v>45957</v>
      </c>
      <c r="F6472" t="s">
        <v>749</v>
      </c>
      <c r="N6472">
        <v>1</v>
      </c>
      <c r="O6472" t="s">
        <v>239</v>
      </c>
      <c r="P6472" t="s">
        <v>514</v>
      </c>
      <c r="Y6472">
        <v>215</v>
      </c>
      <c r="Z6472" s="259" t="s">
        <v>659</v>
      </c>
      <c r="AZ6472" t="s">
        <v>1007</v>
      </c>
      <c r="BA6472">
        <v>51.4</v>
      </c>
      <c r="BB6472" t="s">
        <v>564</v>
      </c>
      <c r="BC6472" t="s">
        <v>793</v>
      </c>
      <c r="BD6472">
        <v>0</v>
      </c>
      <c r="BE6472">
        <v>46302</v>
      </c>
      <c r="BF6472" t="s">
        <v>588</v>
      </c>
      <c r="BG6472">
        <v>0</v>
      </c>
    </row>
    <row r="6473" spans="3:59" x14ac:dyDescent="0.35">
      <c r="C6473">
        <v>45958</v>
      </c>
      <c r="F6473" t="s">
        <v>749</v>
      </c>
      <c r="N6473">
        <v>1</v>
      </c>
      <c r="O6473" t="s">
        <v>239</v>
      </c>
      <c r="P6473" t="s">
        <v>514</v>
      </c>
      <c r="Y6473">
        <v>216</v>
      </c>
      <c r="Z6473" s="259" t="s">
        <v>659</v>
      </c>
      <c r="AZ6473" t="s">
        <v>1008</v>
      </c>
      <c r="BA6473">
        <v>51.3</v>
      </c>
      <c r="BB6473" t="s">
        <v>564</v>
      </c>
      <c r="BC6473" t="s">
        <v>793</v>
      </c>
      <c r="BD6473">
        <v>0</v>
      </c>
      <c r="BE6473">
        <v>46302</v>
      </c>
      <c r="BF6473" t="s">
        <v>588</v>
      </c>
      <c r="BG6473">
        <v>0</v>
      </c>
    </row>
    <row r="6474" spans="3:59" x14ac:dyDescent="0.35">
      <c r="C6474">
        <v>45959</v>
      </c>
      <c r="F6474" t="s">
        <v>749</v>
      </c>
      <c r="N6474">
        <v>1</v>
      </c>
      <c r="O6474" t="s">
        <v>239</v>
      </c>
      <c r="P6474" t="s">
        <v>514</v>
      </c>
      <c r="Y6474">
        <v>217</v>
      </c>
      <c r="Z6474" s="259" t="s">
        <v>659</v>
      </c>
      <c r="AZ6474" t="s">
        <v>1009</v>
      </c>
      <c r="BA6474">
        <v>51.2</v>
      </c>
      <c r="BB6474" t="s">
        <v>564</v>
      </c>
      <c r="BC6474" t="s">
        <v>793</v>
      </c>
      <c r="BD6474">
        <v>0</v>
      </c>
      <c r="BE6474">
        <v>46302</v>
      </c>
      <c r="BF6474" t="s">
        <v>588</v>
      </c>
      <c r="BG6474">
        <v>0</v>
      </c>
    </row>
    <row r="6475" spans="3:59" x14ac:dyDescent="0.35">
      <c r="C6475">
        <v>45960</v>
      </c>
      <c r="F6475" t="s">
        <v>749</v>
      </c>
      <c r="N6475">
        <v>1</v>
      </c>
      <c r="O6475" t="s">
        <v>239</v>
      </c>
      <c r="P6475" t="s">
        <v>514</v>
      </c>
      <c r="Y6475">
        <v>218</v>
      </c>
      <c r="Z6475" s="259" t="s">
        <v>659</v>
      </c>
      <c r="AZ6475" t="s">
        <v>1010</v>
      </c>
      <c r="BA6475">
        <v>51.1</v>
      </c>
      <c r="BB6475" t="s">
        <v>564</v>
      </c>
      <c r="BC6475" t="s">
        <v>793</v>
      </c>
      <c r="BD6475">
        <v>0</v>
      </c>
      <c r="BE6475">
        <v>46302</v>
      </c>
      <c r="BF6475" t="s">
        <v>588</v>
      </c>
      <c r="BG6475">
        <v>0</v>
      </c>
    </row>
    <row r="6476" spans="3:59" x14ac:dyDescent="0.35">
      <c r="C6476">
        <v>45961</v>
      </c>
      <c r="F6476" t="s">
        <v>749</v>
      </c>
      <c r="N6476">
        <v>1</v>
      </c>
      <c r="O6476" t="s">
        <v>239</v>
      </c>
      <c r="P6476" t="s">
        <v>514</v>
      </c>
      <c r="Y6476">
        <v>219</v>
      </c>
      <c r="Z6476" s="259" t="s">
        <v>659</v>
      </c>
      <c r="AZ6476" t="s">
        <v>1011</v>
      </c>
      <c r="BA6476">
        <v>51</v>
      </c>
      <c r="BB6476" t="s">
        <v>564</v>
      </c>
      <c r="BC6476" t="s">
        <v>793</v>
      </c>
      <c r="BD6476">
        <v>0</v>
      </c>
      <c r="BE6476">
        <v>46302</v>
      </c>
      <c r="BF6476" t="s">
        <v>588</v>
      </c>
      <c r="BG6476">
        <v>0</v>
      </c>
    </row>
    <row r="6477" spans="3:59" x14ac:dyDescent="0.35">
      <c r="C6477">
        <v>45964</v>
      </c>
      <c r="F6477" t="s">
        <v>749</v>
      </c>
      <c r="N6477">
        <v>1</v>
      </c>
      <c r="O6477" t="s">
        <v>239</v>
      </c>
      <c r="P6477" t="s">
        <v>514</v>
      </c>
      <c r="Y6477">
        <v>220</v>
      </c>
      <c r="Z6477" s="259" t="s">
        <v>659</v>
      </c>
      <c r="AZ6477" t="s">
        <v>1012</v>
      </c>
      <c r="BA6477">
        <v>50.79</v>
      </c>
      <c r="BB6477" t="s">
        <v>564</v>
      </c>
      <c r="BC6477" t="s">
        <v>793</v>
      </c>
      <c r="BD6477">
        <v>0</v>
      </c>
      <c r="BE6477">
        <v>46302</v>
      </c>
      <c r="BF6477" t="s">
        <v>588</v>
      </c>
      <c r="BG6477">
        <v>0</v>
      </c>
    </row>
    <row r="6478" spans="3:59" x14ac:dyDescent="0.35">
      <c r="C6478">
        <v>45965</v>
      </c>
      <c r="F6478" t="s">
        <v>749</v>
      </c>
      <c r="N6478">
        <v>1</v>
      </c>
      <c r="O6478" t="s">
        <v>239</v>
      </c>
      <c r="P6478" t="s">
        <v>514</v>
      </c>
      <c r="Y6478">
        <v>221</v>
      </c>
      <c r="Z6478" s="259" t="s">
        <v>659</v>
      </c>
      <c r="AZ6478" t="s">
        <v>1013</v>
      </c>
      <c r="BA6478">
        <v>50.69</v>
      </c>
      <c r="BB6478" t="s">
        <v>564</v>
      </c>
      <c r="BC6478" t="s">
        <v>793</v>
      </c>
      <c r="BD6478">
        <v>0</v>
      </c>
      <c r="BE6478">
        <v>46302</v>
      </c>
      <c r="BF6478" t="s">
        <v>588</v>
      </c>
      <c r="BG6478">
        <v>0</v>
      </c>
    </row>
    <row r="6479" spans="3:59" x14ac:dyDescent="0.35">
      <c r="C6479">
        <v>45966</v>
      </c>
      <c r="F6479" t="s">
        <v>749</v>
      </c>
      <c r="N6479">
        <v>1</v>
      </c>
      <c r="O6479" t="s">
        <v>239</v>
      </c>
      <c r="P6479" t="s">
        <v>514</v>
      </c>
      <c r="Y6479">
        <v>222</v>
      </c>
      <c r="Z6479" s="259" t="s">
        <v>659</v>
      </c>
      <c r="AZ6479" t="s">
        <v>1014</v>
      </c>
      <c r="BA6479">
        <v>50.59</v>
      </c>
      <c r="BB6479" t="s">
        <v>564</v>
      </c>
      <c r="BC6479" t="s">
        <v>793</v>
      </c>
      <c r="BD6479">
        <v>0</v>
      </c>
      <c r="BE6479">
        <v>46302</v>
      </c>
      <c r="BF6479" t="s">
        <v>588</v>
      </c>
      <c r="BG6479">
        <v>0</v>
      </c>
    </row>
    <row r="6480" spans="3:59" x14ac:dyDescent="0.35">
      <c r="C6480">
        <v>45967</v>
      </c>
      <c r="F6480" t="s">
        <v>749</v>
      </c>
      <c r="N6480">
        <v>1</v>
      </c>
      <c r="O6480" t="s">
        <v>239</v>
      </c>
      <c r="P6480" t="s">
        <v>514</v>
      </c>
      <c r="Y6480">
        <v>223</v>
      </c>
      <c r="Z6480" s="259" t="s">
        <v>659</v>
      </c>
      <c r="AZ6480" t="s">
        <v>1015</v>
      </c>
      <c r="BA6480">
        <v>50.48</v>
      </c>
      <c r="BB6480" t="s">
        <v>564</v>
      </c>
      <c r="BC6480" t="s">
        <v>793</v>
      </c>
      <c r="BD6480">
        <v>0</v>
      </c>
      <c r="BE6480">
        <v>46302</v>
      </c>
      <c r="BF6480" t="s">
        <v>588</v>
      </c>
      <c r="BG6480">
        <v>0</v>
      </c>
    </row>
    <row r="6481" spans="3:59" x14ac:dyDescent="0.35">
      <c r="C6481">
        <v>45968</v>
      </c>
      <c r="F6481" t="s">
        <v>749</v>
      </c>
      <c r="N6481">
        <v>1</v>
      </c>
      <c r="O6481" t="s">
        <v>239</v>
      </c>
      <c r="P6481" t="s">
        <v>514</v>
      </c>
      <c r="Y6481">
        <v>224</v>
      </c>
      <c r="Z6481" s="259" t="s">
        <v>659</v>
      </c>
      <c r="AZ6481" t="s">
        <v>1016</v>
      </c>
      <c r="BA6481">
        <v>50.38</v>
      </c>
      <c r="BB6481" t="s">
        <v>564</v>
      </c>
      <c r="BC6481" t="s">
        <v>793</v>
      </c>
      <c r="BD6481">
        <v>0</v>
      </c>
      <c r="BE6481">
        <v>46302</v>
      </c>
      <c r="BF6481" t="s">
        <v>588</v>
      </c>
      <c r="BG6481">
        <v>0</v>
      </c>
    </row>
    <row r="6482" spans="3:59" x14ac:dyDescent="0.35">
      <c r="C6482">
        <v>45971</v>
      </c>
      <c r="F6482" t="s">
        <v>749</v>
      </c>
      <c r="N6482">
        <v>1</v>
      </c>
      <c r="O6482" t="s">
        <v>239</v>
      </c>
      <c r="P6482" t="s">
        <v>514</v>
      </c>
      <c r="Y6482">
        <v>225</v>
      </c>
      <c r="Z6482" s="259" t="s">
        <v>659</v>
      </c>
      <c r="AZ6482" t="s">
        <v>1017</v>
      </c>
      <c r="BA6482">
        <v>50.07</v>
      </c>
      <c r="BB6482" t="s">
        <v>564</v>
      </c>
      <c r="BC6482" t="s">
        <v>793</v>
      </c>
      <c r="BD6482">
        <v>0</v>
      </c>
      <c r="BE6482">
        <v>46302</v>
      </c>
      <c r="BF6482" t="s">
        <v>588</v>
      </c>
      <c r="BG6482">
        <v>0</v>
      </c>
    </row>
    <row r="6483" spans="3:59" x14ac:dyDescent="0.35">
      <c r="C6483">
        <v>45972</v>
      </c>
      <c r="F6483" t="s">
        <v>749</v>
      </c>
      <c r="N6483">
        <v>1</v>
      </c>
      <c r="O6483" t="s">
        <v>239</v>
      </c>
      <c r="P6483" t="s">
        <v>514</v>
      </c>
      <c r="Y6483">
        <v>226</v>
      </c>
      <c r="Z6483" s="259" t="s">
        <v>659</v>
      </c>
      <c r="AZ6483" t="s">
        <v>1018</v>
      </c>
      <c r="BA6483">
        <v>49.97</v>
      </c>
      <c r="BB6483" t="s">
        <v>564</v>
      </c>
      <c r="BC6483" t="s">
        <v>793</v>
      </c>
      <c r="BD6483">
        <v>0</v>
      </c>
      <c r="BE6483">
        <v>46302</v>
      </c>
      <c r="BF6483" t="s">
        <v>588</v>
      </c>
      <c r="BG6483">
        <v>0</v>
      </c>
    </row>
    <row r="6484" spans="3:59" x14ac:dyDescent="0.35">
      <c r="C6484">
        <v>45973</v>
      </c>
      <c r="F6484" t="s">
        <v>749</v>
      </c>
      <c r="N6484">
        <v>1</v>
      </c>
      <c r="O6484" t="s">
        <v>239</v>
      </c>
      <c r="P6484" t="s">
        <v>514</v>
      </c>
      <c r="Y6484">
        <v>227</v>
      </c>
      <c r="Z6484" s="259" t="s">
        <v>659</v>
      </c>
      <c r="AZ6484" t="s">
        <v>1019</v>
      </c>
      <c r="BA6484">
        <v>49.86</v>
      </c>
      <c r="BB6484" t="s">
        <v>564</v>
      </c>
      <c r="BC6484" t="s">
        <v>793</v>
      </c>
      <c r="BD6484">
        <v>0</v>
      </c>
      <c r="BE6484">
        <v>46302</v>
      </c>
      <c r="BF6484" t="s">
        <v>588</v>
      </c>
      <c r="BG6484">
        <v>0</v>
      </c>
    </row>
    <row r="6485" spans="3:59" x14ac:dyDescent="0.35">
      <c r="C6485">
        <v>45974</v>
      </c>
      <c r="F6485" t="s">
        <v>749</v>
      </c>
      <c r="N6485">
        <v>1</v>
      </c>
      <c r="O6485" t="s">
        <v>239</v>
      </c>
      <c r="P6485" t="s">
        <v>514</v>
      </c>
      <c r="Y6485">
        <v>228</v>
      </c>
      <c r="Z6485" s="259" t="s">
        <v>659</v>
      </c>
      <c r="AZ6485" t="s">
        <v>1020</v>
      </c>
      <c r="BA6485">
        <v>49.76</v>
      </c>
      <c r="BB6485" t="s">
        <v>564</v>
      </c>
      <c r="BC6485" t="s">
        <v>793</v>
      </c>
      <c r="BD6485">
        <v>0</v>
      </c>
      <c r="BE6485">
        <v>46302</v>
      </c>
      <c r="BF6485" t="s">
        <v>588</v>
      </c>
      <c r="BG6485">
        <v>0</v>
      </c>
    </row>
    <row r="6486" spans="3:59" x14ac:dyDescent="0.35">
      <c r="C6486">
        <v>45975</v>
      </c>
      <c r="F6486" t="s">
        <v>749</v>
      </c>
      <c r="N6486">
        <v>1</v>
      </c>
      <c r="O6486" t="s">
        <v>239</v>
      </c>
      <c r="P6486" t="s">
        <v>514</v>
      </c>
      <c r="Y6486">
        <v>229</v>
      </c>
      <c r="Z6486" s="259" t="s">
        <v>659</v>
      </c>
      <c r="AZ6486" t="s">
        <v>1021</v>
      </c>
      <c r="BA6486">
        <v>49.66</v>
      </c>
      <c r="BB6486" t="s">
        <v>564</v>
      </c>
      <c r="BC6486" t="s">
        <v>793</v>
      </c>
      <c r="BD6486">
        <v>0</v>
      </c>
      <c r="BE6486">
        <v>46302</v>
      </c>
      <c r="BF6486" t="s">
        <v>588</v>
      </c>
      <c r="BG6486">
        <v>0</v>
      </c>
    </row>
    <row r="6487" spans="3:59" x14ac:dyDescent="0.35">
      <c r="C6487">
        <v>45978</v>
      </c>
      <c r="F6487" t="s">
        <v>749</v>
      </c>
      <c r="N6487">
        <v>1</v>
      </c>
      <c r="O6487" t="s">
        <v>239</v>
      </c>
      <c r="P6487" t="s">
        <v>514</v>
      </c>
      <c r="Y6487">
        <v>230</v>
      </c>
      <c r="Z6487" s="259" t="s">
        <v>659</v>
      </c>
      <c r="AZ6487" t="s">
        <v>1022</v>
      </c>
      <c r="BA6487">
        <v>49.34</v>
      </c>
      <c r="BB6487" t="s">
        <v>564</v>
      </c>
      <c r="BC6487" t="s">
        <v>793</v>
      </c>
      <c r="BD6487">
        <v>0</v>
      </c>
      <c r="BE6487">
        <v>46302</v>
      </c>
      <c r="BF6487" t="s">
        <v>588</v>
      </c>
      <c r="BG6487">
        <v>0</v>
      </c>
    </row>
    <row r="6488" spans="3:59" x14ac:dyDescent="0.35">
      <c r="C6488">
        <v>45979</v>
      </c>
      <c r="F6488" t="s">
        <v>749</v>
      </c>
      <c r="N6488">
        <v>1</v>
      </c>
      <c r="O6488" t="s">
        <v>239</v>
      </c>
      <c r="P6488" t="s">
        <v>514</v>
      </c>
      <c r="Y6488">
        <v>231</v>
      </c>
      <c r="Z6488" s="259" t="s">
        <v>659</v>
      </c>
      <c r="AZ6488" t="s">
        <v>1023</v>
      </c>
      <c r="BA6488">
        <v>49.24</v>
      </c>
      <c r="BB6488" t="s">
        <v>564</v>
      </c>
      <c r="BC6488" t="s">
        <v>793</v>
      </c>
      <c r="BD6488">
        <v>0</v>
      </c>
      <c r="BE6488">
        <v>46302</v>
      </c>
      <c r="BF6488" t="s">
        <v>588</v>
      </c>
      <c r="BG6488">
        <v>0</v>
      </c>
    </row>
    <row r="6489" spans="3:59" x14ac:dyDescent="0.35">
      <c r="C6489">
        <v>45980</v>
      </c>
      <c r="F6489" t="s">
        <v>749</v>
      </c>
      <c r="N6489">
        <v>1</v>
      </c>
      <c r="O6489" t="s">
        <v>239</v>
      </c>
      <c r="P6489" t="s">
        <v>514</v>
      </c>
      <c r="Y6489">
        <v>232</v>
      </c>
      <c r="Z6489" s="259" t="s">
        <v>659</v>
      </c>
      <c r="AZ6489" t="s">
        <v>1024</v>
      </c>
      <c r="BA6489">
        <v>49.14</v>
      </c>
      <c r="BB6489" t="s">
        <v>564</v>
      </c>
      <c r="BC6489" t="s">
        <v>793</v>
      </c>
      <c r="BD6489">
        <v>0</v>
      </c>
      <c r="BE6489">
        <v>46302</v>
      </c>
      <c r="BF6489" t="s">
        <v>588</v>
      </c>
      <c r="BG6489">
        <v>0</v>
      </c>
    </row>
    <row r="6490" spans="3:59" x14ac:dyDescent="0.35">
      <c r="C6490">
        <v>45981</v>
      </c>
      <c r="F6490" t="s">
        <v>749</v>
      </c>
      <c r="N6490">
        <v>1</v>
      </c>
      <c r="O6490" t="s">
        <v>239</v>
      </c>
      <c r="P6490" t="s">
        <v>514</v>
      </c>
      <c r="Y6490">
        <v>233</v>
      </c>
      <c r="Z6490" s="259" t="s">
        <v>659</v>
      </c>
      <c r="AZ6490" t="s">
        <v>1025</v>
      </c>
      <c r="BA6490">
        <v>49.03</v>
      </c>
      <c r="BB6490" t="s">
        <v>564</v>
      </c>
      <c r="BC6490" t="s">
        <v>793</v>
      </c>
      <c r="BD6490">
        <v>0</v>
      </c>
      <c r="BE6490">
        <v>46302</v>
      </c>
      <c r="BF6490" t="s">
        <v>588</v>
      </c>
      <c r="BG6490">
        <v>0</v>
      </c>
    </row>
    <row r="6491" spans="3:59" x14ac:dyDescent="0.35">
      <c r="C6491">
        <v>45982</v>
      </c>
      <c r="F6491" t="s">
        <v>749</v>
      </c>
      <c r="N6491">
        <v>1</v>
      </c>
      <c r="O6491" t="s">
        <v>239</v>
      </c>
      <c r="P6491" t="s">
        <v>514</v>
      </c>
      <c r="Y6491">
        <v>234</v>
      </c>
      <c r="Z6491" s="259" t="s">
        <v>659</v>
      </c>
      <c r="AZ6491" t="s">
        <v>1026</v>
      </c>
      <c r="BA6491">
        <v>48.93</v>
      </c>
      <c r="BB6491" t="s">
        <v>564</v>
      </c>
      <c r="BC6491" t="s">
        <v>793</v>
      </c>
      <c r="BD6491">
        <v>0</v>
      </c>
      <c r="BE6491">
        <v>46302</v>
      </c>
      <c r="BF6491" t="s">
        <v>588</v>
      </c>
      <c r="BG6491">
        <v>0</v>
      </c>
    </row>
    <row r="6492" spans="3:59" x14ac:dyDescent="0.35">
      <c r="C6492">
        <v>45985</v>
      </c>
      <c r="F6492" t="s">
        <v>749</v>
      </c>
      <c r="N6492">
        <v>1</v>
      </c>
      <c r="O6492" t="s">
        <v>239</v>
      </c>
      <c r="P6492" t="s">
        <v>514</v>
      </c>
      <c r="Y6492">
        <v>235</v>
      </c>
      <c r="Z6492" s="259" t="s">
        <v>659</v>
      </c>
      <c r="AZ6492" t="s">
        <v>1027</v>
      </c>
      <c r="BA6492">
        <v>48.62</v>
      </c>
      <c r="BB6492" t="s">
        <v>564</v>
      </c>
      <c r="BC6492" t="s">
        <v>793</v>
      </c>
      <c r="BD6492">
        <v>0</v>
      </c>
      <c r="BE6492">
        <v>46302</v>
      </c>
      <c r="BF6492" t="s">
        <v>588</v>
      </c>
      <c r="BG6492">
        <v>0</v>
      </c>
    </row>
    <row r="6493" spans="3:59" x14ac:dyDescent="0.35">
      <c r="C6493">
        <v>45986</v>
      </c>
      <c r="F6493" t="s">
        <v>749</v>
      </c>
      <c r="N6493">
        <v>1</v>
      </c>
      <c r="O6493" t="s">
        <v>239</v>
      </c>
      <c r="P6493" t="s">
        <v>514</v>
      </c>
      <c r="Y6493">
        <v>236</v>
      </c>
      <c r="Z6493" s="259" t="s">
        <v>659</v>
      </c>
      <c r="AZ6493" t="s">
        <v>1028</v>
      </c>
      <c r="BA6493">
        <v>48.52</v>
      </c>
      <c r="BB6493" t="s">
        <v>564</v>
      </c>
      <c r="BC6493" t="s">
        <v>793</v>
      </c>
      <c r="BD6493">
        <v>0</v>
      </c>
      <c r="BE6493">
        <v>46302</v>
      </c>
      <c r="BF6493" t="s">
        <v>588</v>
      </c>
      <c r="BG6493">
        <v>0</v>
      </c>
    </row>
    <row r="6494" spans="3:59" x14ac:dyDescent="0.35">
      <c r="C6494">
        <v>45987</v>
      </c>
      <c r="F6494" t="s">
        <v>749</v>
      </c>
      <c r="N6494">
        <v>1</v>
      </c>
      <c r="O6494" t="s">
        <v>239</v>
      </c>
      <c r="P6494" t="s">
        <v>514</v>
      </c>
      <c r="Y6494">
        <v>237</v>
      </c>
      <c r="Z6494" s="259" t="s">
        <v>659</v>
      </c>
      <c r="AZ6494" t="s">
        <v>1029</v>
      </c>
      <c r="BA6494">
        <v>48.41</v>
      </c>
      <c r="BB6494" t="s">
        <v>564</v>
      </c>
      <c r="BC6494" t="s">
        <v>793</v>
      </c>
      <c r="BD6494">
        <v>0</v>
      </c>
      <c r="BE6494">
        <v>46302</v>
      </c>
      <c r="BF6494" t="s">
        <v>588</v>
      </c>
      <c r="BG6494">
        <v>0</v>
      </c>
    </row>
    <row r="6495" spans="3:59" x14ac:dyDescent="0.35">
      <c r="C6495">
        <v>45988</v>
      </c>
      <c r="F6495" t="s">
        <v>749</v>
      </c>
      <c r="N6495">
        <v>1</v>
      </c>
      <c r="O6495" t="s">
        <v>239</v>
      </c>
      <c r="P6495" t="s">
        <v>514</v>
      </c>
      <c r="Y6495">
        <v>238</v>
      </c>
      <c r="Z6495" s="259" t="s">
        <v>659</v>
      </c>
      <c r="AZ6495" t="s">
        <v>1030</v>
      </c>
      <c r="BA6495">
        <v>48.31</v>
      </c>
      <c r="BB6495" t="s">
        <v>564</v>
      </c>
      <c r="BC6495" t="s">
        <v>793</v>
      </c>
      <c r="BD6495">
        <v>0</v>
      </c>
      <c r="BE6495">
        <v>46302</v>
      </c>
      <c r="BF6495" t="s">
        <v>588</v>
      </c>
      <c r="BG6495">
        <v>0</v>
      </c>
    </row>
    <row r="6496" spans="3:59" x14ac:dyDescent="0.35">
      <c r="C6496">
        <v>45989</v>
      </c>
      <c r="F6496" t="s">
        <v>749</v>
      </c>
      <c r="N6496">
        <v>1</v>
      </c>
      <c r="O6496" t="s">
        <v>239</v>
      </c>
      <c r="P6496" t="s">
        <v>514</v>
      </c>
      <c r="Y6496">
        <v>239</v>
      </c>
      <c r="Z6496" s="259" t="s">
        <v>659</v>
      </c>
      <c r="AZ6496" t="s">
        <v>1031</v>
      </c>
      <c r="BA6496">
        <v>48.21</v>
      </c>
      <c r="BB6496" t="s">
        <v>564</v>
      </c>
      <c r="BC6496" t="s">
        <v>793</v>
      </c>
      <c r="BD6496">
        <v>0</v>
      </c>
      <c r="BE6496">
        <v>46302</v>
      </c>
      <c r="BF6496" t="s">
        <v>588</v>
      </c>
      <c r="BG6496">
        <v>0</v>
      </c>
    </row>
    <row r="6497" spans="3:59" x14ac:dyDescent="0.35">
      <c r="C6497">
        <v>45992</v>
      </c>
      <c r="F6497" t="s">
        <v>749</v>
      </c>
      <c r="N6497">
        <v>1</v>
      </c>
      <c r="O6497" t="s">
        <v>239</v>
      </c>
      <c r="P6497" t="s">
        <v>514</v>
      </c>
      <c r="Y6497">
        <v>240</v>
      </c>
      <c r="Z6497" s="259" t="s">
        <v>659</v>
      </c>
      <c r="AZ6497" t="s">
        <v>1032</v>
      </c>
      <c r="BA6497">
        <v>48</v>
      </c>
      <c r="BB6497" t="s">
        <v>564</v>
      </c>
      <c r="BC6497" t="s">
        <v>793</v>
      </c>
      <c r="BD6497">
        <v>0</v>
      </c>
      <c r="BE6497">
        <v>46302</v>
      </c>
      <c r="BF6497" t="s">
        <v>588</v>
      </c>
      <c r="BG6497">
        <v>0</v>
      </c>
    </row>
    <row r="6498" spans="3:59" x14ac:dyDescent="0.35">
      <c r="C6498">
        <v>45993</v>
      </c>
      <c r="F6498" t="s">
        <v>749</v>
      </c>
      <c r="N6498">
        <v>1</v>
      </c>
      <c r="O6498" t="s">
        <v>239</v>
      </c>
      <c r="P6498" t="s">
        <v>514</v>
      </c>
      <c r="Y6498">
        <v>241</v>
      </c>
      <c r="Z6498" s="259" t="s">
        <v>659</v>
      </c>
      <c r="AZ6498" t="s">
        <v>1033</v>
      </c>
      <c r="BA6498">
        <v>47.98</v>
      </c>
      <c r="BB6498" t="s">
        <v>564</v>
      </c>
      <c r="BC6498" t="s">
        <v>793</v>
      </c>
      <c r="BD6498">
        <v>0</v>
      </c>
      <c r="BE6498">
        <v>46302</v>
      </c>
      <c r="BF6498" t="s">
        <v>588</v>
      </c>
      <c r="BG6498">
        <v>0</v>
      </c>
    </row>
    <row r="6499" spans="3:59" x14ac:dyDescent="0.35">
      <c r="C6499">
        <v>45994</v>
      </c>
      <c r="F6499" t="s">
        <v>749</v>
      </c>
      <c r="N6499">
        <v>1</v>
      </c>
      <c r="O6499" t="s">
        <v>239</v>
      </c>
      <c r="P6499" t="s">
        <v>514</v>
      </c>
      <c r="Y6499">
        <v>242</v>
      </c>
      <c r="Z6499" s="259" t="s">
        <v>659</v>
      </c>
      <c r="AZ6499" t="s">
        <v>1034</v>
      </c>
      <c r="BA6499">
        <v>47.97</v>
      </c>
      <c r="BB6499" t="s">
        <v>564</v>
      </c>
      <c r="BC6499" t="s">
        <v>793</v>
      </c>
      <c r="BD6499">
        <v>0</v>
      </c>
      <c r="BE6499">
        <v>46302</v>
      </c>
      <c r="BF6499" t="s">
        <v>588</v>
      </c>
      <c r="BG6499">
        <v>0</v>
      </c>
    </row>
    <row r="6500" spans="3:59" x14ac:dyDescent="0.35">
      <c r="C6500">
        <v>45995</v>
      </c>
      <c r="F6500" t="s">
        <v>749</v>
      </c>
      <c r="N6500">
        <v>1</v>
      </c>
      <c r="O6500" t="s">
        <v>239</v>
      </c>
      <c r="P6500" t="s">
        <v>514</v>
      </c>
      <c r="Y6500">
        <v>243</v>
      </c>
      <c r="Z6500" s="259" t="s">
        <v>659</v>
      </c>
      <c r="AZ6500" t="s">
        <v>1035</v>
      </c>
      <c r="BA6500">
        <v>47.95</v>
      </c>
      <c r="BB6500" t="s">
        <v>564</v>
      </c>
      <c r="BC6500" t="s">
        <v>793</v>
      </c>
      <c r="BD6500">
        <v>0</v>
      </c>
      <c r="BE6500">
        <v>46302</v>
      </c>
      <c r="BF6500" t="s">
        <v>588</v>
      </c>
      <c r="BG6500">
        <v>0</v>
      </c>
    </row>
    <row r="6501" spans="3:59" x14ac:dyDescent="0.35">
      <c r="C6501">
        <v>45996</v>
      </c>
      <c r="F6501" t="s">
        <v>749</v>
      </c>
      <c r="N6501">
        <v>1</v>
      </c>
      <c r="O6501" t="s">
        <v>239</v>
      </c>
      <c r="P6501" t="s">
        <v>514</v>
      </c>
      <c r="Y6501">
        <v>244</v>
      </c>
      <c r="Z6501" s="259" t="s">
        <v>659</v>
      </c>
      <c r="AZ6501" t="s">
        <v>1036</v>
      </c>
      <c r="BA6501">
        <v>47.93</v>
      </c>
      <c r="BB6501" t="s">
        <v>564</v>
      </c>
      <c r="BC6501" t="s">
        <v>793</v>
      </c>
      <c r="BD6501">
        <v>0</v>
      </c>
      <c r="BE6501">
        <v>46302</v>
      </c>
      <c r="BF6501" t="s">
        <v>588</v>
      </c>
      <c r="BG6501">
        <v>0</v>
      </c>
    </row>
    <row r="6502" spans="3:59" x14ac:dyDescent="0.35">
      <c r="C6502">
        <v>45999</v>
      </c>
      <c r="F6502" t="s">
        <v>749</v>
      </c>
      <c r="N6502">
        <v>1</v>
      </c>
      <c r="O6502" t="s">
        <v>239</v>
      </c>
      <c r="P6502" t="s">
        <v>514</v>
      </c>
      <c r="Y6502">
        <v>245</v>
      </c>
      <c r="Z6502" s="259" t="s">
        <v>659</v>
      </c>
      <c r="AZ6502" t="s">
        <v>1037</v>
      </c>
      <c r="BA6502">
        <v>47.88</v>
      </c>
      <c r="BB6502" t="s">
        <v>564</v>
      </c>
      <c r="BC6502" t="s">
        <v>793</v>
      </c>
      <c r="BD6502">
        <v>0</v>
      </c>
      <c r="BE6502">
        <v>46302</v>
      </c>
      <c r="BF6502" t="s">
        <v>588</v>
      </c>
      <c r="BG6502">
        <v>0</v>
      </c>
    </row>
    <row r="6503" spans="3:59" x14ac:dyDescent="0.35">
      <c r="C6503">
        <v>46000</v>
      </c>
      <c r="F6503" t="s">
        <v>749</v>
      </c>
      <c r="N6503">
        <v>1</v>
      </c>
      <c r="O6503" t="s">
        <v>239</v>
      </c>
      <c r="P6503" t="s">
        <v>514</v>
      </c>
      <c r="Y6503">
        <v>246</v>
      </c>
      <c r="Z6503" s="259" t="s">
        <v>659</v>
      </c>
      <c r="AZ6503" t="s">
        <v>1038</v>
      </c>
      <c r="BA6503">
        <v>47.87</v>
      </c>
      <c r="BB6503" t="s">
        <v>564</v>
      </c>
      <c r="BC6503" t="s">
        <v>793</v>
      </c>
      <c r="BD6503">
        <v>0</v>
      </c>
      <c r="BE6503">
        <v>46302</v>
      </c>
      <c r="BF6503" t="s">
        <v>588</v>
      </c>
      <c r="BG6503">
        <v>0</v>
      </c>
    </row>
    <row r="6504" spans="3:59" x14ac:dyDescent="0.35">
      <c r="C6504">
        <v>46001</v>
      </c>
      <c r="F6504" t="s">
        <v>749</v>
      </c>
      <c r="N6504">
        <v>1</v>
      </c>
      <c r="O6504" t="s">
        <v>239</v>
      </c>
      <c r="P6504" t="s">
        <v>514</v>
      </c>
      <c r="Y6504">
        <v>247</v>
      </c>
      <c r="Z6504" s="259" t="s">
        <v>659</v>
      </c>
      <c r="AZ6504" t="s">
        <v>1039</v>
      </c>
      <c r="BA6504">
        <v>47.85</v>
      </c>
      <c r="BB6504" t="s">
        <v>564</v>
      </c>
      <c r="BC6504" t="s">
        <v>793</v>
      </c>
      <c r="BD6504">
        <v>0</v>
      </c>
      <c r="BE6504">
        <v>46302</v>
      </c>
      <c r="BF6504" t="s">
        <v>588</v>
      </c>
      <c r="BG6504">
        <v>0</v>
      </c>
    </row>
    <row r="6505" spans="3:59" x14ac:dyDescent="0.35">
      <c r="C6505">
        <v>46002</v>
      </c>
      <c r="F6505" t="s">
        <v>749</v>
      </c>
      <c r="N6505">
        <v>1</v>
      </c>
      <c r="O6505" t="s">
        <v>239</v>
      </c>
      <c r="P6505" t="s">
        <v>514</v>
      </c>
      <c r="Y6505">
        <v>248</v>
      </c>
      <c r="Z6505" s="259" t="s">
        <v>659</v>
      </c>
      <c r="AZ6505" t="s">
        <v>1040</v>
      </c>
      <c r="BA6505">
        <v>47.83</v>
      </c>
      <c r="BB6505" t="s">
        <v>564</v>
      </c>
      <c r="BC6505" t="s">
        <v>793</v>
      </c>
      <c r="BD6505">
        <v>0</v>
      </c>
      <c r="BE6505">
        <v>46302</v>
      </c>
      <c r="BF6505" t="s">
        <v>588</v>
      </c>
      <c r="BG6505">
        <v>0</v>
      </c>
    </row>
    <row r="6506" spans="3:59" x14ac:dyDescent="0.35">
      <c r="C6506">
        <v>46003</v>
      </c>
      <c r="F6506" t="s">
        <v>749</v>
      </c>
      <c r="N6506">
        <v>1</v>
      </c>
      <c r="O6506" t="s">
        <v>239</v>
      </c>
      <c r="P6506" t="s">
        <v>514</v>
      </c>
      <c r="Y6506">
        <v>249</v>
      </c>
      <c r="Z6506" s="259" t="s">
        <v>659</v>
      </c>
      <c r="AZ6506" t="s">
        <v>1041</v>
      </c>
      <c r="BA6506">
        <v>47.82</v>
      </c>
      <c r="BB6506" t="s">
        <v>564</v>
      </c>
      <c r="BC6506" t="s">
        <v>793</v>
      </c>
      <c r="BD6506">
        <v>0</v>
      </c>
      <c r="BE6506">
        <v>46302</v>
      </c>
      <c r="BF6506" t="s">
        <v>588</v>
      </c>
      <c r="BG6506">
        <v>0</v>
      </c>
    </row>
    <row r="6507" spans="3:59" x14ac:dyDescent="0.35">
      <c r="C6507">
        <v>46006</v>
      </c>
      <c r="F6507" t="s">
        <v>749</v>
      </c>
      <c r="N6507">
        <v>1</v>
      </c>
      <c r="O6507" t="s">
        <v>239</v>
      </c>
      <c r="P6507" t="s">
        <v>514</v>
      </c>
      <c r="Y6507">
        <v>250</v>
      </c>
      <c r="Z6507" s="259" t="s">
        <v>659</v>
      </c>
      <c r="AZ6507" t="s">
        <v>1042</v>
      </c>
      <c r="BA6507">
        <v>47.77</v>
      </c>
      <c r="BB6507" t="s">
        <v>564</v>
      </c>
      <c r="BC6507" t="s">
        <v>793</v>
      </c>
      <c r="BD6507">
        <v>0</v>
      </c>
      <c r="BE6507">
        <v>46302</v>
      </c>
      <c r="BF6507" t="s">
        <v>588</v>
      </c>
      <c r="BG6507">
        <v>0</v>
      </c>
    </row>
    <row r="6508" spans="3:59" x14ac:dyDescent="0.35">
      <c r="C6508">
        <v>46007</v>
      </c>
      <c r="F6508" t="s">
        <v>749</v>
      </c>
      <c r="N6508">
        <v>1</v>
      </c>
      <c r="O6508" t="s">
        <v>239</v>
      </c>
      <c r="P6508" t="s">
        <v>514</v>
      </c>
      <c r="Y6508">
        <v>251</v>
      </c>
      <c r="Z6508" s="259" t="s">
        <v>659</v>
      </c>
      <c r="AZ6508" t="s">
        <v>1043</v>
      </c>
      <c r="BA6508">
        <v>47.75</v>
      </c>
      <c r="BB6508" t="s">
        <v>564</v>
      </c>
      <c r="BC6508" t="s">
        <v>793</v>
      </c>
      <c r="BD6508">
        <v>0</v>
      </c>
      <c r="BE6508">
        <v>46302</v>
      </c>
      <c r="BF6508" t="s">
        <v>588</v>
      </c>
      <c r="BG6508">
        <v>0</v>
      </c>
    </row>
    <row r="6509" spans="3:59" x14ac:dyDescent="0.35">
      <c r="C6509">
        <v>46008</v>
      </c>
      <c r="F6509" t="s">
        <v>749</v>
      </c>
      <c r="N6509">
        <v>1</v>
      </c>
      <c r="O6509" t="s">
        <v>239</v>
      </c>
      <c r="P6509" t="s">
        <v>514</v>
      </c>
      <c r="Y6509">
        <v>252</v>
      </c>
      <c r="Z6509" s="259" t="s">
        <v>659</v>
      </c>
      <c r="AZ6509" t="s">
        <v>1044</v>
      </c>
      <c r="BA6509">
        <v>47.73</v>
      </c>
      <c r="BB6509" t="s">
        <v>564</v>
      </c>
      <c r="BC6509" t="s">
        <v>793</v>
      </c>
      <c r="BD6509">
        <v>0</v>
      </c>
      <c r="BE6509">
        <v>46302</v>
      </c>
      <c r="BF6509" t="s">
        <v>588</v>
      </c>
      <c r="BG6509">
        <v>0</v>
      </c>
    </row>
    <row r="6510" spans="3:59" x14ac:dyDescent="0.35">
      <c r="C6510">
        <v>46009</v>
      </c>
      <c r="F6510" t="s">
        <v>749</v>
      </c>
      <c r="N6510">
        <v>1</v>
      </c>
      <c r="O6510" t="s">
        <v>239</v>
      </c>
      <c r="P6510" t="s">
        <v>514</v>
      </c>
      <c r="Y6510">
        <v>253</v>
      </c>
      <c r="Z6510" s="259" t="s">
        <v>659</v>
      </c>
      <c r="AZ6510" t="s">
        <v>1045</v>
      </c>
      <c r="BA6510">
        <v>47.72</v>
      </c>
      <c r="BB6510" t="s">
        <v>564</v>
      </c>
      <c r="BC6510" t="s">
        <v>793</v>
      </c>
      <c r="BD6510">
        <v>0</v>
      </c>
      <c r="BE6510">
        <v>46302</v>
      </c>
      <c r="BF6510" t="s">
        <v>588</v>
      </c>
      <c r="BG6510">
        <v>0</v>
      </c>
    </row>
    <row r="6511" spans="3:59" x14ac:dyDescent="0.35">
      <c r="C6511">
        <v>46010</v>
      </c>
      <c r="F6511" t="s">
        <v>749</v>
      </c>
      <c r="N6511">
        <v>1</v>
      </c>
      <c r="O6511" t="s">
        <v>239</v>
      </c>
      <c r="P6511" t="s">
        <v>514</v>
      </c>
      <c r="Y6511">
        <v>254</v>
      </c>
      <c r="Z6511" s="259" t="s">
        <v>659</v>
      </c>
      <c r="AZ6511" t="s">
        <v>1046</v>
      </c>
      <c r="BA6511">
        <v>47.7</v>
      </c>
      <c r="BB6511" t="s">
        <v>564</v>
      </c>
      <c r="BC6511" t="s">
        <v>793</v>
      </c>
      <c r="BD6511">
        <v>0</v>
      </c>
      <c r="BE6511">
        <v>46302</v>
      </c>
      <c r="BF6511" t="s">
        <v>588</v>
      </c>
      <c r="BG6511">
        <v>0</v>
      </c>
    </row>
    <row r="6512" spans="3:59" x14ac:dyDescent="0.35">
      <c r="C6512">
        <v>46013</v>
      </c>
      <c r="F6512" t="s">
        <v>749</v>
      </c>
      <c r="N6512">
        <v>1</v>
      </c>
      <c r="O6512" t="s">
        <v>239</v>
      </c>
      <c r="P6512" t="s">
        <v>514</v>
      </c>
      <c r="Y6512">
        <v>255</v>
      </c>
      <c r="Z6512" s="259" t="s">
        <v>659</v>
      </c>
      <c r="AZ6512" t="s">
        <v>1047</v>
      </c>
      <c r="BA6512">
        <v>47.65</v>
      </c>
      <c r="BB6512" t="s">
        <v>564</v>
      </c>
      <c r="BC6512" t="s">
        <v>793</v>
      </c>
      <c r="BD6512">
        <v>0</v>
      </c>
      <c r="BE6512">
        <v>46302</v>
      </c>
      <c r="BF6512" t="s">
        <v>588</v>
      </c>
      <c r="BG6512">
        <v>0</v>
      </c>
    </row>
    <row r="6513" spans="3:59" x14ac:dyDescent="0.35">
      <c r="C6513">
        <v>46014</v>
      </c>
      <c r="F6513" t="s">
        <v>749</v>
      </c>
      <c r="N6513">
        <v>1</v>
      </c>
      <c r="O6513" t="s">
        <v>239</v>
      </c>
      <c r="P6513" t="s">
        <v>514</v>
      </c>
      <c r="Y6513">
        <v>256</v>
      </c>
      <c r="Z6513" s="259" t="s">
        <v>659</v>
      </c>
      <c r="AZ6513" t="s">
        <v>1048</v>
      </c>
      <c r="BA6513">
        <v>47.63</v>
      </c>
      <c r="BB6513" t="s">
        <v>564</v>
      </c>
      <c r="BC6513" t="s">
        <v>793</v>
      </c>
      <c r="BD6513">
        <v>0</v>
      </c>
      <c r="BE6513">
        <v>46302</v>
      </c>
      <c r="BF6513" t="s">
        <v>588</v>
      </c>
      <c r="BG6513">
        <v>0</v>
      </c>
    </row>
    <row r="6514" spans="3:59" x14ac:dyDescent="0.35">
      <c r="C6514">
        <v>46015</v>
      </c>
      <c r="F6514" t="s">
        <v>749</v>
      </c>
      <c r="N6514">
        <v>1</v>
      </c>
      <c r="O6514" t="s">
        <v>239</v>
      </c>
      <c r="P6514" t="s">
        <v>514</v>
      </c>
      <c r="Y6514">
        <v>257</v>
      </c>
      <c r="Z6514" s="259" t="s">
        <v>659</v>
      </c>
      <c r="AZ6514" t="s">
        <v>1049</v>
      </c>
      <c r="BA6514">
        <v>47.62</v>
      </c>
      <c r="BB6514" t="s">
        <v>564</v>
      </c>
      <c r="BC6514" t="s">
        <v>793</v>
      </c>
      <c r="BD6514">
        <v>0</v>
      </c>
      <c r="BE6514">
        <v>46302</v>
      </c>
      <c r="BF6514" t="s">
        <v>588</v>
      </c>
      <c r="BG6514">
        <v>0</v>
      </c>
    </row>
    <row r="6515" spans="3:59" x14ac:dyDescent="0.35">
      <c r="C6515">
        <v>46016</v>
      </c>
      <c r="F6515" t="s">
        <v>749</v>
      </c>
      <c r="N6515">
        <v>1</v>
      </c>
      <c r="O6515" t="s">
        <v>239</v>
      </c>
      <c r="P6515" t="s">
        <v>514</v>
      </c>
      <c r="Y6515">
        <v>258</v>
      </c>
      <c r="Z6515" s="259" t="s">
        <v>659</v>
      </c>
      <c r="AZ6515" t="s">
        <v>1050</v>
      </c>
      <c r="BA6515">
        <v>47.6</v>
      </c>
      <c r="BB6515" t="s">
        <v>564</v>
      </c>
      <c r="BC6515" t="s">
        <v>793</v>
      </c>
      <c r="BD6515">
        <v>0</v>
      </c>
      <c r="BE6515">
        <v>46302</v>
      </c>
      <c r="BF6515" t="s">
        <v>588</v>
      </c>
      <c r="BG6515">
        <v>0</v>
      </c>
    </row>
    <row r="6516" spans="3:59" x14ac:dyDescent="0.35">
      <c r="C6516">
        <v>46017</v>
      </c>
      <c r="F6516" t="s">
        <v>749</v>
      </c>
      <c r="N6516">
        <v>1</v>
      </c>
      <c r="O6516" t="s">
        <v>239</v>
      </c>
      <c r="P6516" t="s">
        <v>514</v>
      </c>
      <c r="Y6516">
        <v>259</v>
      </c>
      <c r="Z6516" s="259" t="s">
        <v>659</v>
      </c>
      <c r="AZ6516" t="s">
        <v>1051</v>
      </c>
      <c r="BA6516">
        <v>47.58</v>
      </c>
      <c r="BB6516" t="s">
        <v>564</v>
      </c>
      <c r="BC6516" t="s">
        <v>793</v>
      </c>
      <c r="BD6516">
        <v>0</v>
      </c>
      <c r="BE6516">
        <v>46302</v>
      </c>
      <c r="BF6516" t="s">
        <v>588</v>
      </c>
      <c r="BG6516">
        <v>0</v>
      </c>
    </row>
    <row r="6517" spans="3:59" x14ac:dyDescent="0.35">
      <c r="C6517">
        <v>46020</v>
      </c>
      <c r="F6517" t="s">
        <v>749</v>
      </c>
      <c r="N6517">
        <v>1</v>
      </c>
      <c r="O6517" t="s">
        <v>239</v>
      </c>
      <c r="P6517" t="s">
        <v>514</v>
      </c>
      <c r="Y6517">
        <v>260</v>
      </c>
      <c r="Z6517" s="259" t="s">
        <v>659</v>
      </c>
      <c r="AZ6517" t="s">
        <v>1052</v>
      </c>
      <c r="BA6517">
        <v>47.53</v>
      </c>
      <c r="BB6517" t="s">
        <v>564</v>
      </c>
      <c r="BC6517" t="s">
        <v>793</v>
      </c>
      <c r="BD6517">
        <v>0</v>
      </c>
      <c r="BE6517">
        <v>46302</v>
      </c>
      <c r="BF6517" t="s">
        <v>588</v>
      </c>
      <c r="BG6517">
        <v>0</v>
      </c>
    </row>
    <row r="6518" spans="3:59" x14ac:dyDescent="0.35">
      <c r="C6518">
        <v>46021</v>
      </c>
      <c r="F6518" t="s">
        <v>749</v>
      </c>
      <c r="N6518">
        <v>1</v>
      </c>
      <c r="O6518" t="s">
        <v>239</v>
      </c>
      <c r="P6518" t="s">
        <v>514</v>
      </c>
      <c r="Y6518">
        <v>261</v>
      </c>
      <c r="Z6518" s="259" t="s">
        <v>659</v>
      </c>
      <c r="AZ6518" t="s">
        <v>1053</v>
      </c>
      <c r="BA6518">
        <v>47.52</v>
      </c>
      <c r="BB6518" t="s">
        <v>564</v>
      </c>
      <c r="BC6518" t="s">
        <v>793</v>
      </c>
      <c r="BD6518">
        <v>0</v>
      </c>
      <c r="BE6518">
        <v>46302</v>
      </c>
      <c r="BF6518" t="s">
        <v>588</v>
      </c>
      <c r="BG6518">
        <v>0</v>
      </c>
    </row>
    <row r="6519" spans="3:59" x14ac:dyDescent="0.35">
      <c r="C6519">
        <v>46022</v>
      </c>
      <c r="F6519" t="s">
        <v>749</v>
      </c>
      <c r="N6519">
        <v>1</v>
      </c>
      <c r="O6519" t="s">
        <v>239</v>
      </c>
      <c r="P6519" t="s">
        <v>514</v>
      </c>
      <c r="Y6519">
        <v>262</v>
      </c>
      <c r="Z6519" s="259" t="s">
        <v>659</v>
      </c>
      <c r="AZ6519" t="s">
        <v>1054</v>
      </c>
      <c r="BA6519">
        <v>47.5</v>
      </c>
      <c r="BB6519" t="s">
        <v>564</v>
      </c>
      <c r="BC6519" t="s">
        <v>793</v>
      </c>
      <c r="BD6519">
        <v>0</v>
      </c>
      <c r="BE6519">
        <v>46302</v>
      </c>
      <c r="BF6519" t="s">
        <v>588</v>
      </c>
      <c r="BG6519">
        <v>0</v>
      </c>
    </row>
    <row r="6520" spans="3:59" x14ac:dyDescent="0.35">
      <c r="C6520">
        <v>45657</v>
      </c>
      <c r="F6520" t="s">
        <v>752</v>
      </c>
      <c r="N6520">
        <v>1</v>
      </c>
      <c r="O6520" t="s">
        <v>239</v>
      </c>
      <c r="P6520" t="s">
        <v>514</v>
      </c>
      <c r="Y6520">
        <v>263</v>
      </c>
      <c r="Z6520" s="259" t="s">
        <v>659</v>
      </c>
      <c r="AZ6520" t="s">
        <v>1055</v>
      </c>
      <c r="BA6520">
        <v>200</v>
      </c>
      <c r="BB6520" t="s">
        <v>564</v>
      </c>
      <c r="BC6520" t="s">
        <v>793</v>
      </c>
      <c r="BD6520">
        <v>0</v>
      </c>
      <c r="BE6520">
        <v>46302</v>
      </c>
      <c r="BF6520" t="s">
        <v>588</v>
      </c>
      <c r="BG6520">
        <v>0</v>
      </c>
    </row>
    <row r="6521" spans="3:59" x14ac:dyDescent="0.35">
      <c r="C6521">
        <v>45658</v>
      </c>
      <c r="F6521" t="s">
        <v>752</v>
      </c>
      <c r="N6521">
        <v>1</v>
      </c>
      <c r="O6521" t="s">
        <v>239</v>
      </c>
      <c r="P6521" t="s">
        <v>514</v>
      </c>
      <c r="Y6521">
        <v>264</v>
      </c>
      <c r="Z6521" s="259" t="s">
        <v>659</v>
      </c>
      <c r="AZ6521" t="s">
        <v>1056</v>
      </c>
      <c r="BA6521">
        <v>200</v>
      </c>
      <c r="BB6521" t="s">
        <v>564</v>
      </c>
      <c r="BC6521" t="s">
        <v>793</v>
      </c>
      <c r="BD6521">
        <v>0</v>
      </c>
      <c r="BE6521">
        <v>46302</v>
      </c>
      <c r="BF6521" t="s">
        <v>588</v>
      </c>
      <c r="BG6521">
        <v>0</v>
      </c>
    </row>
    <row r="6522" spans="3:59" x14ac:dyDescent="0.35">
      <c r="C6522">
        <v>45659</v>
      </c>
      <c r="F6522" t="s">
        <v>752</v>
      </c>
      <c r="N6522">
        <v>1</v>
      </c>
      <c r="O6522" t="s">
        <v>239</v>
      </c>
      <c r="P6522" t="s">
        <v>514</v>
      </c>
      <c r="Y6522">
        <v>265</v>
      </c>
      <c r="Z6522" s="259" t="s">
        <v>659</v>
      </c>
      <c r="AZ6522" t="s">
        <v>1057</v>
      </c>
      <c r="BA6522">
        <v>199.83</v>
      </c>
      <c r="BB6522" t="s">
        <v>564</v>
      </c>
      <c r="BC6522" t="s">
        <v>793</v>
      </c>
      <c r="BD6522">
        <v>0</v>
      </c>
      <c r="BE6522">
        <v>46302</v>
      </c>
      <c r="BF6522" t="s">
        <v>588</v>
      </c>
      <c r="BG6522">
        <v>0</v>
      </c>
    </row>
    <row r="6523" spans="3:59" x14ac:dyDescent="0.35">
      <c r="C6523">
        <v>45660</v>
      </c>
      <c r="F6523" t="s">
        <v>752</v>
      </c>
      <c r="N6523">
        <v>1</v>
      </c>
      <c r="O6523" t="s">
        <v>239</v>
      </c>
      <c r="P6523" t="s">
        <v>514</v>
      </c>
      <c r="Y6523">
        <v>266</v>
      </c>
      <c r="Z6523" s="259" t="s">
        <v>659</v>
      </c>
      <c r="AZ6523" t="s">
        <v>1058</v>
      </c>
      <c r="BA6523">
        <v>199.67</v>
      </c>
      <c r="BB6523" t="s">
        <v>564</v>
      </c>
      <c r="BC6523" t="s">
        <v>793</v>
      </c>
      <c r="BD6523">
        <v>0</v>
      </c>
      <c r="BE6523">
        <v>46302</v>
      </c>
      <c r="BF6523" t="s">
        <v>588</v>
      </c>
      <c r="BG6523">
        <v>0</v>
      </c>
    </row>
    <row r="6524" spans="3:59" x14ac:dyDescent="0.35">
      <c r="C6524">
        <v>45663</v>
      </c>
      <c r="F6524" t="s">
        <v>752</v>
      </c>
      <c r="N6524">
        <v>1</v>
      </c>
      <c r="O6524" t="s">
        <v>239</v>
      </c>
      <c r="P6524" t="s">
        <v>514</v>
      </c>
      <c r="Y6524">
        <v>267</v>
      </c>
      <c r="Z6524" s="259" t="s">
        <v>659</v>
      </c>
      <c r="AZ6524" t="s">
        <v>1059</v>
      </c>
      <c r="BA6524">
        <v>199.17</v>
      </c>
      <c r="BB6524" t="s">
        <v>564</v>
      </c>
      <c r="BC6524" t="s">
        <v>793</v>
      </c>
      <c r="BD6524">
        <v>0</v>
      </c>
      <c r="BE6524">
        <v>46302</v>
      </c>
      <c r="BF6524" t="s">
        <v>588</v>
      </c>
      <c r="BG6524">
        <v>0</v>
      </c>
    </row>
    <row r="6525" spans="3:59" x14ac:dyDescent="0.35">
      <c r="C6525">
        <v>45664</v>
      </c>
      <c r="F6525" t="s">
        <v>752</v>
      </c>
      <c r="N6525">
        <v>1</v>
      </c>
      <c r="O6525" t="s">
        <v>239</v>
      </c>
      <c r="P6525" t="s">
        <v>514</v>
      </c>
      <c r="Y6525">
        <v>268</v>
      </c>
      <c r="Z6525" s="259" t="s">
        <v>659</v>
      </c>
      <c r="AZ6525" t="s">
        <v>1060</v>
      </c>
      <c r="BA6525">
        <v>199</v>
      </c>
      <c r="BB6525" t="s">
        <v>564</v>
      </c>
      <c r="BC6525" t="s">
        <v>793</v>
      </c>
      <c r="BD6525">
        <v>0</v>
      </c>
      <c r="BE6525">
        <v>46302</v>
      </c>
      <c r="BF6525" t="s">
        <v>588</v>
      </c>
      <c r="BG6525">
        <v>0</v>
      </c>
    </row>
    <row r="6526" spans="3:59" x14ac:dyDescent="0.35">
      <c r="C6526">
        <v>45665</v>
      </c>
      <c r="F6526" t="s">
        <v>752</v>
      </c>
      <c r="N6526">
        <v>1</v>
      </c>
      <c r="O6526" t="s">
        <v>239</v>
      </c>
      <c r="P6526" t="s">
        <v>514</v>
      </c>
      <c r="Y6526">
        <v>269</v>
      </c>
      <c r="Z6526" s="259" t="s">
        <v>659</v>
      </c>
      <c r="AZ6526" t="s">
        <v>1061</v>
      </c>
      <c r="BA6526">
        <v>198.83</v>
      </c>
      <c r="BB6526" t="s">
        <v>564</v>
      </c>
      <c r="BC6526" t="s">
        <v>793</v>
      </c>
      <c r="BD6526">
        <v>0</v>
      </c>
      <c r="BE6526">
        <v>46302</v>
      </c>
      <c r="BF6526" t="s">
        <v>588</v>
      </c>
      <c r="BG6526">
        <v>0</v>
      </c>
    </row>
    <row r="6527" spans="3:59" x14ac:dyDescent="0.35">
      <c r="C6527">
        <v>45666</v>
      </c>
      <c r="F6527" t="s">
        <v>752</v>
      </c>
      <c r="N6527">
        <v>1</v>
      </c>
      <c r="O6527" t="s">
        <v>239</v>
      </c>
      <c r="P6527" t="s">
        <v>514</v>
      </c>
      <c r="Y6527">
        <v>270</v>
      </c>
      <c r="Z6527" s="259" t="s">
        <v>659</v>
      </c>
      <c r="AZ6527" t="s">
        <v>1062</v>
      </c>
      <c r="BA6527">
        <v>198.67</v>
      </c>
      <c r="BB6527" t="s">
        <v>564</v>
      </c>
      <c r="BC6527" t="s">
        <v>793</v>
      </c>
      <c r="BD6527">
        <v>0</v>
      </c>
      <c r="BE6527">
        <v>46302</v>
      </c>
      <c r="BF6527" t="s">
        <v>588</v>
      </c>
      <c r="BG6527">
        <v>0</v>
      </c>
    </row>
    <row r="6528" spans="3:59" x14ac:dyDescent="0.35">
      <c r="C6528">
        <v>45667</v>
      </c>
      <c r="F6528" t="s">
        <v>752</v>
      </c>
      <c r="N6528">
        <v>1</v>
      </c>
      <c r="O6528" t="s">
        <v>239</v>
      </c>
      <c r="P6528" t="s">
        <v>514</v>
      </c>
      <c r="Y6528">
        <v>271</v>
      </c>
      <c r="Z6528" s="259" t="s">
        <v>659</v>
      </c>
      <c r="AZ6528" t="s">
        <v>1063</v>
      </c>
      <c r="BA6528">
        <v>198.5</v>
      </c>
      <c r="BB6528" t="s">
        <v>564</v>
      </c>
      <c r="BC6528" t="s">
        <v>793</v>
      </c>
      <c r="BD6528">
        <v>0</v>
      </c>
      <c r="BE6528">
        <v>46302</v>
      </c>
      <c r="BF6528" t="s">
        <v>588</v>
      </c>
      <c r="BG6528">
        <v>0</v>
      </c>
    </row>
    <row r="6529" spans="3:59" x14ac:dyDescent="0.35">
      <c r="C6529">
        <v>45670</v>
      </c>
      <c r="F6529" t="s">
        <v>752</v>
      </c>
      <c r="N6529">
        <v>1</v>
      </c>
      <c r="O6529" t="s">
        <v>239</v>
      </c>
      <c r="P6529" t="s">
        <v>514</v>
      </c>
      <c r="Y6529">
        <v>272</v>
      </c>
      <c r="Z6529" s="259" t="s">
        <v>659</v>
      </c>
      <c r="AZ6529" t="s">
        <v>1064</v>
      </c>
      <c r="BA6529">
        <v>198</v>
      </c>
      <c r="BB6529" t="s">
        <v>564</v>
      </c>
      <c r="BC6529" t="s">
        <v>793</v>
      </c>
      <c r="BD6529">
        <v>0</v>
      </c>
      <c r="BE6529">
        <v>46302</v>
      </c>
      <c r="BF6529" t="s">
        <v>588</v>
      </c>
      <c r="BG6529">
        <v>0</v>
      </c>
    </row>
    <row r="6530" spans="3:59" x14ac:dyDescent="0.35">
      <c r="C6530">
        <v>45671</v>
      </c>
      <c r="F6530" t="s">
        <v>752</v>
      </c>
      <c r="N6530">
        <v>1</v>
      </c>
      <c r="O6530" t="s">
        <v>239</v>
      </c>
      <c r="P6530" t="s">
        <v>514</v>
      </c>
      <c r="Y6530">
        <v>273</v>
      </c>
      <c r="Z6530" s="259" t="s">
        <v>659</v>
      </c>
      <c r="AZ6530" t="s">
        <v>1065</v>
      </c>
      <c r="BA6530">
        <v>197.83</v>
      </c>
      <c r="BB6530" t="s">
        <v>564</v>
      </c>
      <c r="BC6530" t="s">
        <v>793</v>
      </c>
      <c r="BD6530">
        <v>0</v>
      </c>
      <c r="BE6530">
        <v>46302</v>
      </c>
      <c r="BF6530" t="s">
        <v>588</v>
      </c>
      <c r="BG6530">
        <v>0</v>
      </c>
    </row>
    <row r="6531" spans="3:59" x14ac:dyDescent="0.35">
      <c r="C6531">
        <v>45672</v>
      </c>
      <c r="F6531" t="s">
        <v>752</v>
      </c>
      <c r="N6531">
        <v>1</v>
      </c>
      <c r="O6531" t="s">
        <v>239</v>
      </c>
      <c r="P6531" t="s">
        <v>514</v>
      </c>
      <c r="Y6531">
        <v>274</v>
      </c>
      <c r="Z6531" s="259" t="s">
        <v>659</v>
      </c>
      <c r="AZ6531" t="s">
        <v>1066</v>
      </c>
      <c r="BA6531">
        <v>197.67</v>
      </c>
      <c r="BB6531" t="s">
        <v>564</v>
      </c>
      <c r="BC6531" t="s">
        <v>793</v>
      </c>
      <c r="BD6531">
        <v>0</v>
      </c>
      <c r="BE6531">
        <v>46302</v>
      </c>
      <c r="BF6531" t="s">
        <v>588</v>
      </c>
      <c r="BG6531">
        <v>0</v>
      </c>
    </row>
    <row r="6532" spans="3:59" x14ac:dyDescent="0.35">
      <c r="C6532">
        <v>45673</v>
      </c>
      <c r="F6532" t="s">
        <v>752</v>
      </c>
      <c r="N6532">
        <v>1</v>
      </c>
      <c r="O6532" t="s">
        <v>239</v>
      </c>
      <c r="P6532" t="s">
        <v>514</v>
      </c>
      <c r="Y6532">
        <v>275</v>
      </c>
      <c r="Z6532" s="259" t="s">
        <v>659</v>
      </c>
      <c r="AZ6532" t="s">
        <v>1067</v>
      </c>
      <c r="BA6532">
        <v>197.5</v>
      </c>
      <c r="BB6532" t="s">
        <v>564</v>
      </c>
      <c r="BC6532" t="s">
        <v>793</v>
      </c>
      <c r="BD6532">
        <v>0</v>
      </c>
      <c r="BE6532">
        <v>46302</v>
      </c>
      <c r="BF6532" t="s">
        <v>588</v>
      </c>
      <c r="BG6532">
        <v>0</v>
      </c>
    </row>
    <row r="6533" spans="3:59" x14ac:dyDescent="0.35">
      <c r="C6533">
        <v>45674</v>
      </c>
      <c r="F6533" t="s">
        <v>752</v>
      </c>
      <c r="N6533">
        <v>1</v>
      </c>
      <c r="O6533" t="s">
        <v>239</v>
      </c>
      <c r="P6533" t="s">
        <v>514</v>
      </c>
      <c r="Y6533">
        <v>276</v>
      </c>
      <c r="Z6533" s="259" t="s">
        <v>659</v>
      </c>
      <c r="AZ6533" t="s">
        <v>1068</v>
      </c>
      <c r="BA6533">
        <v>197.33</v>
      </c>
      <c r="BB6533" t="s">
        <v>564</v>
      </c>
      <c r="BC6533" t="s">
        <v>793</v>
      </c>
      <c r="BD6533">
        <v>0</v>
      </c>
      <c r="BE6533">
        <v>46302</v>
      </c>
      <c r="BF6533" t="s">
        <v>588</v>
      </c>
      <c r="BG6533">
        <v>0</v>
      </c>
    </row>
    <row r="6534" spans="3:59" x14ac:dyDescent="0.35">
      <c r="C6534">
        <v>45677</v>
      </c>
      <c r="F6534" t="s">
        <v>752</v>
      </c>
      <c r="N6534">
        <v>1</v>
      </c>
      <c r="O6534" t="s">
        <v>239</v>
      </c>
      <c r="P6534" t="s">
        <v>514</v>
      </c>
      <c r="Y6534">
        <v>277</v>
      </c>
      <c r="Z6534" s="259" t="s">
        <v>659</v>
      </c>
      <c r="AZ6534" t="s">
        <v>1069</v>
      </c>
      <c r="BA6534">
        <v>196.83</v>
      </c>
      <c r="BB6534" t="s">
        <v>564</v>
      </c>
      <c r="BC6534" t="s">
        <v>793</v>
      </c>
      <c r="BD6534">
        <v>0</v>
      </c>
      <c r="BE6534">
        <v>46302</v>
      </c>
      <c r="BF6534" t="s">
        <v>588</v>
      </c>
      <c r="BG6534">
        <v>0</v>
      </c>
    </row>
    <row r="6535" spans="3:59" x14ac:dyDescent="0.35">
      <c r="C6535">
        <v>45678</v>
      </c>
      <c r="F6535" t="s">
        <v>752</v>
      </c>
      <c r="N6535">
        <v>1</v>
      </c>
      <c r="O6535" t="s">
        <v>239</v>
      </c>
      <c r="P6535" t="s">
        <v>514</v>
      </c>
      <c r="Y6535">
        <v>278</v>
      </c>
      <c r="Z6535" s="259" t="s">
        <v>659</v>
      </c>
      <c r="AZ6535" t="s">
        <v>1070</v>
      </c>
      <c r="BA6535">
        <v>196.67</v>
      </c>
      <c r="BB6535" t="s">
        <v>564</v>
      </c>
      <c r="BC6535" t="s">
        <v>793</v>
      </c>
      <c r="BD6535">
        <v>0</v>
      </c>
      <c r="BE6535">
        <v>46302</v>
      </c>
      <c r="BF6535" t="s">
        <v>588</v>
      </c>
      <c r="BG6535">
        <v>0</v>
      </c>
    </row>
    <row r="6536" spans="3:59" x14ac:dyDescent="0.35">
      <c r="C6536">
        <v>45679</v>
      </c>
      <c r="F6536" t="s">
        <v>752</v>
      </c>
      <c r="N6536">
        <v>1</v>
      </c>
      <c r="O6536" t="s">
        <v>239</v>
      </c>
      <c r="P6536" t="s">
        <v>514</v>
      </c>
      <c r="Y6536">
        <v>279</v>
      </c>
      <c r="Z6536" s="259" t="s">
        <v>659</v>
      </c>
      <c r="AZ6536" t="s">
        <v>1071</v>
      </c>
      <c r="BA6536">
        <v>196.5</v>
      </c>
      <c r="BB6536" t="s">
        <v>564</v>
      </c>
      <c r="BC6536" t="s">
        <v>793</v>
      </c>
      <c r="BD6536">
        <v>0</v>
      </c>
      <c r="BE6536">
        <v>46302</v>
      </c>
      <c r="BF6536" t="s">
        <v>588</v>
      </c>
      <c r="BG6536">
        <v>0</v>
      </c>
    </row>
    <row r="6537" spans="3:59" x14ac:dyDescent="0.35">
      <c r="C6537">
        <v>45680</v>
      </c>
      <c r="F6537" t="s">
        <v>752</v>
      </c>
      <c r="N6537">
        <v>1</v>
      </c>
      <c r="O6537" t="s">
        <v>239</v>
      </c>
      <c r="P6537" t="s">
        <v>514</v>
      </c>
      <c r="Y6537">
        <v>280</v>
      </c>
      <c r="Z6537" s="259" t="s">
        <v>659</v>
      </c>
      <c r="AZ6537" t="s">
        <v>1072</v>
      </c>
      <c r="BA6537">
        <v>196.33</v>
      </c>
      <c r="BB6537" t="s">
        <v>564</v>
      </c>
      <c r="BC6537" t="s">
        <v>793</v>
      </c>
      <c r="BD6537">
        <v>0</v>
      </c>
      <c r="BE6537">
        <v>46302</v>
      </c>
      <c r="BF6537" t="s">
        <v>588</v>
      </c>
      <c r="BG6537">
        <v>0</v>
      </c>
    </row>
    <row r="6538" spans="3:59" x14ac:dyDescent="0.35">
      <c r="C6538">
        <v>45681</v>
      </c>
      <c r="F6538" t="s">
        <v>752</v>
      </c>
      <c r="N6538">
        <v>1</v>
      </c>
      <c r="O6538" t="s">
        <v>239</v>
      </c>
      <c r="P6538" t="s">
        <v>514</v>
      </c>
      <c r="Y6538">
        <v>281</v>
      </c>
      <c r="Z6538" s="259" t="s">
        <v>659</v>
      </c>
      <c r="AZ6538" t="s">
        <v>1073</v>
      </c>
      <c r="BA6538">
        <v>196.17</v>
      </c>
      <c r="BB6538" t="s">
        <v>564</v>
      </c>
      <c r="BC6538" t="s">
        <v>793</v>
      </c>
      <c r="BD6538">
        <v>0</v>
      </c>
      <c r="BE6538">
        <v>46302</v>
      </c>
      <c r="BF6538" t="s">
        <v>588</v>
      </c>
      <c r="BG6538">
        <v>0</v>
      </c>
    </row>
    <row r="6539" spans="3:59" x14ac:dyDescent="0.35">
      <c r="C6539">
        <v>45684</v>
      </c>
      <c r="F6539" t="s">
        <v>752</v>
      </c>
      <c r="N6539">
        <v>1</v>
      </c>
      <c r="O6539" t="s">
        <v>239</v>
      </c>
      <c r="P6539" t="s">
        <v>514</v>
      </c>
      <c r="Y6539">
        <v>282</v>
      </c>
      <c r="Z6539" s="259" t="s">
        <v>659</v>
      </c>
      <c r="AZ6539" t="s">
        <v>1074</v>
      </c>
      <c r="BA6539">
        <v>195.67</v>
      </c>
      <c r="BB6539" t="s">
        <v>564</v>
      </c>
      <c r="BC6539" t="s">
        <v>793</v>
      </c>
      <c r="BD6539">
        <v>0</v>
      </c>
      <c r="BE6539">
        <v>46302</v>
      </c>
      <c r="BF6539" t="s">
        <v>588</v>
      </c>
      <c r="BG6539">
        <v>0</v>
      </c>
    </row>
    <row r="6540" spans="3:59" x14ac:dyDescent="0.35">
      <c r="C6540">
        <v>45685</v>
      </c>
      <c r="F6540" t="s">
        <v>752</v>
      </c>
      <c r="N6540">
        <v>1</v>
      </c>
      <c r="O6540" t="s">
        <v>239</v>
      </c>
      <c r="P6540" t="s">
        <v>514</v>
      </c>
      <c r="Y6540">
        <v>283</v>
      </c>
      <c r="Z6540" s="259" t="s">
        <v>659</v>
      </c>
      <c r="AZ6540" t="s">
        <v>1075</v>
      </c>
      <c r="BA6540">
        <v>195.5</v>
      </c>
      <c r="BB6540" t="s">
        <v>564</v>
      </c>
      <c r="BC6540" t="s">
        <v>793</v>
      </c>
      <c r="BD6540">
        <v>0</v>
      </c>
      <c r="BE6540">
        <v>46302</v>
      </c>
      <c r="BF6540" t="s">
        <v>588</v>
      </c>
      <c r="BG6540">
        <v>0</v>
      </c>
    </row>
    <row r="6541" spans="3:59" x14ac:dyDescent="0.35">
      <c r="C6541">
        <v>45686</v>
      </c>
      <c r="F6541" t="s">
        <v>752</v>
      </c>
      <c r="N6541">
        <v>1</v>
      </c>
      <c r="O6541" t="s">
        <v>239</v>
      </c>
      <c r="P6541" t="s">
        <v>514</v>
      </c>
      <c r="Y6541">
        <v>284</v>
      </c>
      <c r="Z6541" s="259" t="s">
        <v>659</v>
      </c>
      <c r="AZ6541" t="s">
        <v>1076</v>
      </c>
      <c r="BA6541">
        <v>195.33</v>
      </c>
      <c r="BB6541" t="s">
        <v>564</v>
      </c>
      <c r="BC6541" t="s">
        <v>793</v>
      </c>
      <c r="BD6541">
        <v>0</v>
      </c>
      <c r="BE6541">
        <v>46302</v>
      </c>
      <c r="BF6541" t="s">
        <v>588</v>
      </c>
      <c r="BG6541">
        <v>0</v>
      </c>
    </row>
    <row r="6542" spans="3:59" x14ac:dyDescent="0.35">
      <c r="C6542">
        <v>45687</v>
      </c>
      <c r="F6542" t="s">
        <v>752</v>
      </c>
      <c r="N6542">
        <v>1</v>
      </c>
      <c r="O6542" t="s">
        <v>239</v>
      </c>
      <c r="P6542" t="s">
        <v>514</v>
      </c>
      <c r="Y6542">
        <v>285</v>
      </c>
      <c r="Z6542" s="259" t="s">
        <v>659</v>
      </c>
      <c r="AZ6542" t="s">
        <v>1077</v>
      </c>
      <c r="BA6542">
        <v>195.17</v>
      </c>
      <c r="BB6542" t="s">
        <v>564</v>
      </c>
      <c r="BC6542" t="s">
        <v>793</v>
      </c>
      <c r="BD6542">
        <v>0</v>
      </c>
      <c r="BE6542">
        <v>46302</v>
      </c>
      <c r="BF6542" t="s">
        <v>588</v>
      </c>
      <c r="BG6542">
        <v>0</v>
      </c>
    </row>
    <row r="6543" spans="3:59" x14ac:dyDescent="0.35">
      <c r="C6543">
        <v>45688</v>
      </c>
      <c r="F6543" t="s">
        <v>752</v>
      </c>
      <c r="N6543">
        <v>1</v>
      </c>
      <c r="O6543" t="s">
        <v>239</v>
      </c>
      <c r="P6543" t="s">
        <v>514</v>
      </c>
      <c r="Y6543">
        <v>286</v>
      </c>
      <c r="Z6543" s="259" t="s">
        <v>659</v>
      </c>
      <c r="AZ6543" t="s">
        <v>1078</v>
      </c>
      <c r="BA6543">
        <v>195</v>
      </c>
      <c r="BB6543" t="s">
        <v>564</v>
      </c>
      <c r="BC6543" t="s">
        <v>793</v>
      </c>
      <c r="BD6543">
        <v>0</v>
      </c>
      <c r="BE6543">
        <v>46302</v>
      </c>
      <c r="BF6543" t="s">
        <v>588</v>
      </c>
      <c r="BG6543">
        <v>0</v>
      </c>
    </row>
    <row r="6544" spans="3:59" x14ac:dyDescent="0.35">
      <c r="C6544">
        <v>45691</v>
      </c>
      <c r="F6544" t="s">
        <v>752</v>
      </c>
      <c r="N6544">
        <v>1</v>
      </c>
      <c r="O6544" t="s">
        <v>239</v>
      </c>
      <c r="P6544" t="s">
        <v>514</v>
      </c>
      <c r="Y6544">
        <v>287</v>
      </c>
      <c r="Z6544" s="259" t="s">
        <v>659</v>
      </c>
      <c r="AZ6544" t="s">
        <v>1079</v>
      </c>
      <c r="BA6544">
        <v>195.44</v>
      </c>
      <c r="BB6544" t="s">
        <v>564</v>
      </c>
      <c r="BC6544" t="s">
        <v>793</v>
      </c>
      <c r="BD6544">
        <v>0</v>
      </c>
      <c r="BE6544">
        <v>46302</v>
      </c>
      <c r="BF6544" t="s">
        <v>588</v>
      </c>
      <c r="BG6544">
        <v>0</v>
      </c>
    </row>
    <row r="6545" spans="3:59" x14ac:dyDescent="0.35">
      <c r="C6545">
        <v>45692</v>
      </c>
      <c r="F6545" t="s">
        <v>752</v>
      </c>
      <c r="N6545">
        <v>1</v>
      </c>
      <c r="O6545" t="s">
        <v>239</v>
      </c>
      <c r="P6545" t="s">
        <v>514</v>
      </c>
      <c r="Y6545">
        <v>288</v>
      </c>
      <c r="Z6545" s="259" t="s">
        <v>659</v>
      </c>
      <c r="AZ6545" t="s">
        <v>1080</v>
      </c>
      <c r="BA6545">
        <v>195.67</v>
      </c>
      <c r="BB6545" t="s">
        <v>564</v>
      </c>
      <c r="BC6545" t="s">
        <v>793</v>
      </c>
      <c r="BD6545">
        <v>0</v>
      </c>
      <c r="BE6545">
        <v>46302</v>
      </c>
      <c r="BF6545" t="s">
        <v>588</v>
      </c>
      <c r="BG6545">
        <v>0</v>
      </c>
    </row>
    <row r="6546" spans="3:59" x14ac:dyDescent="0.35">
      <c r="C6546">
        <v>45693</v>
      </c>
      <c r="F6546" t="s">
        <v>752</v>
      </c>
      <c r="N6546">
        <v>1</v>
      </c>
      <c r="O6546" t="s">
        <v>239</v>
      </c>
      <c r="P6546" t="s">
        <v>514</v>
      </c>
      <c r="Y6546">
        <v>289</v>
      </c>
      <c r="Z6546" s="259" t="s">
        <v>659</v>
      </c>
      <c r="AZ6546" t="s">
        <v>1081</v>
      </c>
      <c r="BA6546">
        <v>195.89</v>
      </c>
      <c r="BB6546" t="s">
        <v>564</v>
      </c>
      <c r="BC6546" t="s">
        <v>793</v>
      </c>
      <c r="BD6546">
        <v>0</v>
      </c>
      <c r="BE6546">
        <v>46302</v>
      </c>
      <c r="BF6546" t="s">
        <v>588</v>
      </c>
      <c r="BG6546">
        <v>0</v>
      </c>
    </row>
    <row r="6547" spans="3:59" x14ac:dyDescent="0.35">
      <c r="C6547">
        <v>45694</v>
      </c>
      <c r="F6547" t="s">
        <v>752</v>
      </c>
      <c r="N6547">
        <v>1</v>
      </c>
      <c r="O6547" t="s">
        <v>239</v>
      </c>
      <c r="P6547" t="s">
        <v>514</v>
      </c>
      <c r="Y6547">
        <v>290</v>
      </c>
      <c r="Z6547" s="259" t="s">
        <v>659</v>
      </c>
      <c r="AZ6547" t="s">
        <v>1082</v>
      </c>
      <c r="BA6547">
        <v>196.11</v>
      </c>
      <c r="BB6547" t="s">
        <v>564</v>
      </c>
      <c r="BC6547" t="s">
        <v>793</v>
      </c>
      <c r="BD6547">
        <v>0</v>
      </c>
      <c r="BE6547">
        <v>46302</v>
      </c>
      <c r="BF6547" t="s">
        <v>588</v>
      </c>
      <c r="BG6547">
        <v>0</v>
      </c>
    </row>
    <row r="6548" spans="3:59" x14ac:dyDescent="0.35">
      <c r="C6548">
        <v>45695</v>
      </c>
      <c r="F6548" t="s">
        <v>752</v>
      </c>
      <c r="N6548">
        <v>1</v>
      </c>
      <c r="O6548" t="s">
        <v>239</v>
      </c>
      <c r="P6548" t="s">
        <v>514</v>
      </c>
      <c r="Y6548">
        <v>291</v>
      </c>
      <c r="Z6548" s="259" t="s">
        <v>659</v>
      </c>
      <c r="AZ6548" t="s">
        <v>1083</v>
      </c>
      <c r="BA6548">
        <v>196.33</v>
      </c>
      <c r="BB6548" t="s">
        <v>564</v>
      </c>
      <c r="BC6548" t="s">
        <v>793</v>
      </c>
      <c r="BD6548">
        <v>0</v>
      </c>
      <c r="BE6548">
        <v>46302</v>
      </c>
      <c r="BF6548" t="s">
        <v>588</v>
      </c>
      <c r="BG6548">
        <v>0</v>
      </c>
    </row>
    <row r="6549" spans="3:59" x14ac:dyDescent="0.35">
      <c r="C6549">
        <v>45698</v>
      </c>
      <c r="F6549" t="s">
        <v>752</v>
      </c>
      <c r="N6549">
        <v>1</v>
      </c>
      <c r="O6549" t="s">
        <v>239</v>
      </c>
      <c r="P6549" t="s">
        <v>514</v>
      </c>
      <c r="Y6549">
        <v>292</v>
      </c>
      <c r="Z6549" s="259" t="s">
        <v>659</v>
      </c>
      <c r="AZ6549" t="s">
        <v>1084</v>
      </c>
      <c r="BA6549">
        <v>197</v>
      </c>
      <c r="BB6549" t="s">
        <v>564</v>
      </c>
      <c r="BC6549" t="s">
        <v>793</v>
      </c>
      <c r="BD6549">
        <v>0</v>
      </c>
      <c r="BE6549">
        <v>46302</v>
      </c>
      <c r="BF6549" t="s">
        <v>588</v>
      </c>
      <c r="BG6549">
        <v>0</v>
      </c>
    </row>
    <row r="6550" spans="3:59" x14ac:dyDescent="0.35">
      <c r="C6550">
        <v>45699</v>
      </c>
      <c r="F6550" t="s">
        <v>752</v>
      </c>
      <c r="N6550">
        <v>1</v>
      </c>
      <c r="O6550" t="s">
        <v>239</v>
      </c>
      <c r="P6550" t="s">
        <v>514</v>
      </c>
      <c r="Y6550">
        <v>293</v>
      </c>
      <c r="Z6550" s="259" t="s">
        <v>659</v>
      </c>
      <c r="AZ6550" t="s">
        <v>1085</v>
      </c>
      <c r="BA6550">
        <v>197.22</v>
      </c>
      <c r="BB6550" t="s">
        <v>564</v>
      </c>
      <c r="BC6550" t="s">
        <v>793</v>
      </c>
      <c r="BD6550">
        <v>0</v>
      </c>
      <c r="BE6550">
        <v>46302</v>
      </c>
      <c r="BF6550" t="s">
        <v>588</v>
      </c>
      <c r="BG6550">
        <v>0</v>
      </c>
    </row>
    <row r="6551" spans="3:59" x14ac:dyDescent="0.35">
      <c r="C6551">
        <v>45700</v>
      </c>
      <c r="F6551" t="s">
        <v>752</v>
      </c>
      <c r="N6551">
        <v>1</v>
      </c>
      <c r="O6551" t="s">
        <v>239</v>
      </c>
      <c r="P6551" t="s">
        <v>514</v>
      </c>
      <c r="Y6551">
        <v>294</v>
      </c>
      <c r="Z6551" s="259" t="s">
        <v>659</v>
      </c>
      <c r="AZ6551" t="s">
        <v>1086</v>
      </c>
      <c r="BA6551">
        <v>197.44</v>
      </c>
      <c r="BB6551" t="s">
        <v>564</v>
      </c>
      <c r="BC6551" t="s">
        <v>793</v>
      </c>
      <c r="BD6551">
        <v>0</v>
      </c>
      <c r="BE6551">
        <v>46302</v>
      </c>
      <c r="BF6551" t="s">
        <v>588</v>
      </c>
      <c r="BG6551">
        <v>0</v>
      </c>
    </row>
    <row r="6552" spans="3:59" x14ac:dyDescent="0.35">
      <c r="C6552">
        <v>45701</v>
      </c>
      <c r="F6552" t="s">
        <v>752</v>
      </c>
      <c r="N6552">
        <v>1</v>
      </c>
      <c r="O6552" t="s">
        <v>239</v>
      </c>
      <c r="P6552" t="s">
        <v>514</v>
      </c>
      <c r="Y6552">
        <v>295</v>
      </c>
      <c r="Z6552" s="259" t="s">
        <v>659</v>
      </c>
      <c r="AZ6552" t="s">
        <v>1087</v>
      </c>
      <c r="BA6552">
        <v>197.67</v>
      </c>
      <c r="BB6552" t="s">
        <v>564</v>
      </c>
      <c r="BC6552" t="s">
        <v>793</v>
      </c>
      <c r="BD6552">
        <v>0</v>
      </c>
      <c r="BE6552">
        <v>46302</v>
      </c>
      <c r="BF6552" t="s">
        <v>588</v>
      </c>
      <c r="BG6552">
        <v>0</v>
      </c>
    </row>
    <row r="6553" spans="3:59" x14ac:dyDescent="0.35">
      <c r="C6553">
        <v>45702</v>
      </c>
      <c r="F6553" t="s">
        <v>752</v>
      </c>
      <c r="N6553">
        <v>1</v>
      </c>
      <c r="O6553" t="s">
        <v>239</v>
      </c>
      <c r="P6553" t="s">
        <v>514</v>
      </c>
      <c r="Y6553">
        <v>296</v>
      </c>
      <c r="Z6553" s="259" t="s">
        <v>659</v>
      </c>
      <c r="AZ6553" t="s">
        <v>1088</v>
      </c>
      <c r="BA6553">
        <v>197.89</v>
      </c>
      <c r="BB6553" t="s">
        <v>564</v>
      </c>
      <c r="BC6553" t="s">
        <v>793</v>
      </c>
      <c r="BD6553">
        <v>0</v>
      </c>
      <c r="BE6553">
        <v>46302</v>
      </c>
      <c r="BF6553" t="s">
        <v>588</v>
      </c>
      <c r="BG6553">
        <v>0</v>
      </c>
    </row>
    <row r="6554" spans="3:59" x14ac:dyDescent="0.35">
      <c r="C6554">
        <v>45705</v>
      </c>
      <c r="F6554" t="s">
        <v>752</v>
      </c>
      <c r="N6554">
        <v>1</v>
      </c>
      <c r="O6554" t="s">
        <v>239</v>
      </c>
      <c r="P6554" t="s">
        <v>514</v>
      </c>
      <c r="Y6554">
        <v>297</v>
      </c>
      <c r="Z6554" s="259" t="s">
        <v>659</v>
      </c>
      <c r="AZ6554" t="s">
        <v>1089</v>
      </c>
      <c r="BA6554">
        <v>198.56</v>
      </c>
      <c r="BB6554" t="s">
        <v>564</v>
      </c>
      <c r="BC6554" t="s">
        <v>793</v>
      </c>
      <c r="BD6554">
        <v>0</v>
      </c>
      <c r="BE6554">
        <v>46302</v>
      </c>
      <c r="BF6554" t="s">
        <v>588</v>
      </c>
      <c r="BG6554">
        <v>0</v>
      </c>
    </row>
    <row r="6555" spans="3:59" x14ac:dyDescent="0.35">
      <c r="C6555">
        <v>45706</v>
      </c>
      <c r="F6555" t="s">
        <v>752</v>
      </c>
      <c r="N6555">
        <v>1</v>
      </c>
      <c r="O6555" t="s">
        <v>239</v>
      </c>
      <c r="P6555" t="s">
        <v>514</v>
      </c>
      <c r="Y6555">
        <v>298</v>
      </c>
      <c r="Z6555" s="259" t="s">
        <v>659</v>
      </c>
      <c r="AZ6555" t="s">
        <v>1090</v>
      </c>
      <c r="BA6555">
        <v>198.78</v>
      </c>
      <c r="BB6555" t="s">
        <v>564</v>
      </c>
      <c r="BC6555" t="s">
        <v>793</v>
      </c>
      <c r="BD6555">
        <v>0</v>
      </c>
      <c r="BE6555">
        <v>46302</v>
      </c>
      <c r="BF6555" t="s">
        <v>588</v>
      </c>
      <c r="BG6555">
        <v>0</v>
      </c>
    </row>
    <row r="6556" spans="3:59" x14ac:dyDescent="0.35">
      <c r="C6556">
        <v>45707</v>
      </c>
      <c r="F6556" t="s">
        <v>752</v>
      </c>
      <c r="N6556">
        <v>1</v>
      </c>
      <c r="O6556" t="s">
        <v>239</v>
      </c>
      <c r="P6556" t="s">
        <v>514</v>
      </c>
      <c r="Y6556">
        <v>299</v>
      </c>
      <c r="Z6556" s="259" t="s">
        <v>659</v>
      </c>
      <c r="AZ6556" t="s">
        <v>1091</v>
      </c>
      <c r="BA6556">
        <v>199</v>
      </c>
      <c r="BB6556" t="s">
        <v>564</v>
      </c>
      <c r="BC6556" t="s">
        <v>793</v>
      </c>
      <c r="BD6556">
        <v>0</v>
      </c>
      <c r="BE6556">
        <v>46302</v>
      </c>
      <c r="BF6556" t="s">
        <v>588</v>
      </c>
      <c r="BG6556">
        <v>0</v>
      </c>
    </row>
    <row r="6557" spans="3:59" x14ac:dyDescent="0.35">
      <c r="C6557">
        <v>45708</v>
      </c>
      <c r="F6557" t="s">
        <v>752</v>
      </c>
      <c r="N6557">
        <v>1</v>
      </c>
      <c r="O6557" t="s">
        <v>239</v>
      </c>
      <c r="P6557" t="s">
        <v>514</v>
      </c>
      <c r="Y6557">
        <v>300</v>
      </c>
      <c r="Z6557" s="259" t="s">
        <v>659</v>
      </c>
      <c r="AZ6557" t="s">
        <v>1092</v>
      </c>
      <c r="BA6557">
        <v>199.22</v>
      </c>
      <c r="BB6557" t="s">
        <v>564</v>
      </c>
      <c r="BC6557" t="s">
        <v>793</v>
      </c>
      <c r="BD6557">
        <v>0</v>
      </c>
      <c r="BE6557">
        <v>46302</v>
      </c>
      <c r="BF6557" t="s">
        <v>588</v>
      </c>
      <c r="BG6557">
        <v>0</v>
      </c>
    </row>
    <row r="6558" spans="3:59" x14ac:dyDescent="0.35">
      <c r="C6558">
        <v>45709</v>
      </c>
      <c r="F6558" t="s">
        <v>752</v>
      </c>
      <c r="N6558">
        <v>1</v>
      </c>
      <c r="O6558" t="s">
        <v>239</v>
      </c>
      <c r="P6558" t="s">
        <v>514</v>
      </c>
      <c r="Y6558">
        <v>301</v>
      </c>
      <c r="Z6558" s="259" t="s">
        <v>659</v>
      </c>
      <c r="AZ6558" t="s">
        <v>1093</v>
      </c>
      <c r="BA6558">
        <v>199.44</v>
      </c>
      <c r="BB6558" t="s">
        <v>564</v>
      </c>
      <c r="BC6558" t="s">
        <v>793</v>
      </c>
      <c r="BD6558">
        <v>0</v>
      </c>
      <c r="BE6558">
        <v>46302</v>
      </c>
      <c r="BF6558" t="s">
        <v>588</v>
      </c>
      <c r="BG6558">
        <v>0</v>
      </c>
    </row>
    <row r="6559" spans="3:59" x14ac:dyDescent="0.35">
      <c r="C6559">
        <v>45712</v>
      </c>
      <c r="F6559" t="s">
        <v>752</v>
      </c>
      <c r="N6559">
        <v>1</v>
      </c>
      <c r="O6559" t="s">
        <v>239</v>
      </c>
      <c r="P6559" t="s">
        <v>514</v>
      </c>
      <c r="Y6559">
        <v>302</v>
      </c>
      <c r="Z6559" s="259" t="s">
        <v>659</v>
      </c>
      <c r="AZ6559" t="s">
        <v>1094</v>
      </c>
      <c r="BA6559">
        <v>200.11</v>
      </c>
      <c r="BB6559" t="s">
        <v>564</v>
      </c>
      <c r="BC6559" t="s">
        <v>793</v>
      </c>
      <c r="BD6559">
        <v>0</v>
      </c>
      <c r="BE6559">
        <v>46302</v>
      </c>
      <c r="BF6559" t="s">
        <v>588</v>
      </c>
      <c r="BG6559">
        <v>0</v>
      </c>
    </row>
    <row r="6560" spans="3:59" x14ac:dyDescent="0.35">
      <c r="C6560">
        <v>45713</v>
      </c>
      <c r="F6560" t="s">
        <v>752</v>
      </c>
      <c r="N6560">
        <v>1</v>
      </c>
      <c r="O6560" t="s">
        <v>239</v>
      </c>
      <c r="P6560" t="s">
        <v>514</v>
      </c>
      <c r="Y6560">
        <v>303</v>
      </c>
      <c r="Z6560" s="259" t="s">
        <v>659</v>
      </c>
      <c r="AZ6560" t="s">
        <v>1095</v>
      </c>
      <c r="BA6560">
        <v>200.33</v>
      </c>
      <c r="BB6560" t="s">
        <v>564</v>
      </c>
      <c r="BC6560" t="s">
        <v>793</v>
      </c>
      <c r="BD6560">
        <v>0</v>
      </c>
      <c r="BE6560">
        <v>46302</v>
      </c>
      <c r="BF6560" t="s">
        <v>588</v>
      </c>
      <c r="BG6560">
        <v>0</v>
      </c>
    </row>
    <row r="6561" spans="3:59" x14ac:dyDescent="0.35">
      <c r="C6561">
        <v>45714</v>
      </c>
      <c r="F6561" t="s">
        <v>752</v>
      </c>
      <c r="N6561">
        <v>1</v>
      </c>
      <c r="O6561" t="s">
        <v>239</v>
      </c>
      <c r="P6561" t="s">
        <v>514</v>
      </c>
      <c r="Y6561">
        <v>304</v>
      </c>
      <c r="Z6561" s="259" t="s">
        <v>659</v>
      </c>
      <c r="AZ6561" t="s">
        <v>1096</v>
      </c>
      <c r="BA6561">
        <v>200.56</v>
      </c>
      <c r="BB6561" t="s">
        <v>564</v>
      </c>
      <c r="BC6561" t="s">
        <v>793</v>
      </c>
      <c r="BD6561">
        <v>0</v>
      </c>
      <c r="BE6561">
        <v>46302</v>
      </c>
      <c r="BF6561" t="s">
        <v>588</v>
      </c>
      <c r="BG6561">
        <v>0</v>
      </c>
    </row>
    <row r="6562" spans="3:59" x14ac:dyDescent="0.35">
      <c r="C6562">
        <v>45715</v>
      </c>
      <c r="F6562" t="s">
        <v>752</v>
      </c>
      <c r="N6562">
        <v>1</v>
      </c>
      <c r="O6562" t="s">
        <v>239</v>
      </c>
      <c r="P6562" t="s">
        <v>514</v>
      </c>
      <c r="Y6562">
        <v>305</v>
      </c>
      <c r="Z6562" s="259" t="s">
        <v>659</v>
      </c>
      <c r="AZ6562" t="s">
        <v>1097</v>
      </c>
      <c r="BA6562">
        <v>200.78</v>
      </c>
      <c r="BB6562" t="s">
        <v>564</v>
      </c>
      <c r="BC6562" t="s">
        <v>793</v>
      </c>
      <c r="BD6562">
        <v>0</v>
      </c>
      <c r="BE6562">
        <v>46302</v>
      </c>
      <c r="BF6562" t="s">
        <v>588</v>
      </c>
      <c r="BG6562">
        <v>0</v>
      </c>
    </row>
    <row r="6563" spans="3:59" x14ac:dyDescent="0.35">
      <c r="C6563">
        <v>45716</v>
      </c>
      <c r="F6563" t="s">
        <v>752</v>
      </c>
      <c r="N6563">
        <v>1</v>
      </c>
      <c r="O6563" t="s">
        <v>239</v>
      </c>
      <c r="P6563" t="s">
        <v>514</v>
      </c>
      <c r="Y6563">
        <v>306</v>
      </c>
      <c r="Z6563" s="259" t="s">
        <v>659</v>
      </c>
      <c r="AZ6563" t="s">
        <v>1098</v>
      </c>
      <c r="BA6563">
        <v>201</v>
      </c>
      <c r="BB6563" t="s">
        <v>564</v>
      </c>
      <c r="BC6563" t="s">
        <v>793</v>
      </c>
      <c r="BD6563">
        <v>0</v>
      </c>
      <c r="BE6563">
        <v>46302</v>
      </c>
      <c r="BF6563" t="s">
        <v>588</v>
      </c>
      <c r="BG6563">
        <v>0</v>
      </c>
    </row>
    <row r="6564" spans="3:59" x14ac:dyDescent="0.35">
      <c r="C6564">
        <v>45719</v>
      </c>
      <c r="F6564" t="s">
        <v>752</v>
      </c>
      <c r="N6564">
        <v>1</v>
      </c>
      <c r="O6564" t="s">
        <v>239</v>
      </c>
      <c r="P6564" t="s">
        <v>514</v>
      </c>
      <c r="Y6564">
        <v>307</v>
      </c>
      <c r="Z6564" s="259" t="s">
        <v>659</v>
      </c>
      <c r="AZ6564" t="s">
        <v>1099</v>
      </c>
      <c r="BA6564">
        <v>200.8</v>
      </c>
      <c r="BB6564" t="s">
        <v>564</v>
      </c>
      <c r="BC6564" t="s">
        <v>793</v>
      </c>
      <c r="BD6564">
        <v>0</v>
      </c>
      <c r="BE6564">
        <v>46302</v>
      </c>
      <c r="BF6564" t="s">
        <v>588</v>
      </c>
      <c r="BG6564">
        <v>0</v>
      </c>
    </row>
    <row r="6565" spans="3:59" x14ac:dyDescent="0.35">
      <c r="C6565">
        <v>45720</v>
      </c>
      <c r="F6565" t="s">
        <v>752</v>
      </c>
      <c r="N6565">
        <v>1</v>
      </c>
      <c r="O6565" t="s">
        <v>239</v>
      </c>
      <c r="P6565" t="s">
        <v>514</v>
      </c>
      <c r="Y6565">
        <v>308</v>
      </c>
      <c r="Z6565" s="259" t="s">
        <v>659</v>
      </c>
      <c r="AZ6565" t="s">
        <v>1100</v>
      </c>
      <c r="BA6565">
        <v>200.7</v>
      </c>
      <c r="BB6565" t="s">
        <v>564</v>
      </c>
      <c r="BC6565" t="s">
        <v>793</v>
      </c>
      <c r="BD6565">
        <v>0</v>
      </c>
      <c r="BE6565">
        <v>46302</v>
      </c>
      <c r="BF6565" t="s">
        <v>588</v>
      </c>
      <c r="BG6565">
        <v>0</v>
      </c>
    </row>
    <row r="6566" spans="3:59" x14ac:dyDescent="0.35">
      <c r="C6566">
        <v>45721</v>
      </c>
      <c r="F6566" t="s">
        <v>752</v>
      </c>
      <c r="N6566">
        <v>1</v>
      </c>
      <c r="O6566" t="s">
        <v>239</v>
      </c>
      <c r="P6566" t="s">
        <v>514</v>
      </c>
      <c r="Y6566">
        <v>309</v>
      </c>
      <c r="Z6566" s="259" t="s">
        <v>659</v>
      </c>
      <c r="AZ6566" t="s">
        <v>1101</v>
      </c>
      <c r="BA6566">
        <v>200.6</v>
      </c>
      <c r="BB6566" t="s">
        <v>564</v>
      </c>
      <c r="BC6566" t="s">
        <v>793</v>
      </c>
      <c r="BD6566">
        <v>0</v>
      </c>
      <c r="BE6566">
        <v>46302</v>
      </c>
      <c r="BF6566" t="s">
        <v>588</v>
      </c>
      <c r="BG6566">
        <v>0</v>
      </c>
    </row>
    <row r="6567" spans="3:59" x14ac:dyDescent="0.35">
      <c r="C6567">
        <v>45722</v>
      </c>
      <c r="F6567" t="s">
        <v>752</v>
      </c>
      <c r="N6567">
        <v>1</v>
      </c>
      <c r="O6567" t="s">
        <v>239</v>
      </c>
      <c r="P6567" t="s">
        <v>514</v>
      </c>
      <c r="Y6567">
        <v>310</v>
      </c>
      <c r="Z6567" s="259" t="s">
        <v>659</v>
      </c>
      <c r="AZ6567" t="s">
        <v>1102</v>
      </c>
      <c r="BA6567">
        <v>200.5</v>
      </c>
      <c r="BB6567" t="s">
        <v>564</v>
      </c>
      <c r="BC6567" t="s">
        <v>793</v>
      </c>
      <c r="BD6567">
        <v>0</v>
      </c>
      <c r="BE6567">
        <v>46302</v>
      </c>
      <c r="BF6567" t="s">
        <v>588</v>
      </c>
      <c r="BG6567">
        <v>0</v>
      </c>
    </row>
    <row r="6568" spans="3:59" x14ac:dyDescent="0.35">
      <c r="C6568">
        <v>45723</v>
      </c>
      <c r="F6568" t="s">
        <v>752</v>
      </c>
      <c r="N6568">
        <v>1</v>
      </c>
      <c r="O6568" t="s">
        <v>239</v>
      </c>
      <c r="P6568" t="s">
        <v>514</v>
      </c>
      <c r="Y6568">
        <v>311</v>
      </c>
      <c r="Z6568" s="259" t="s">
        <v>659</v>
      </c>
      <c r="AZ6568" t="s">
        <v>1103</v>
      </c>
      <c r="BA6568">
        <v>200.4</v>
      </c>
      <c r="BB6568" t="s">
        <v>564</v>
      </c>
      <c r="BC6568" t="s">
        <v>793</v>
      </c>
      <c r="BD6568">
        <v>0</v>
      </c>
      <c r="BE6568">
        <v>46302</v>
      </c>
      <c r="BF6568" t="s">
        <v>588</v>
      </c>
      <c r="BG6568">
        <v>0</v>
      </c>
    </row>
    <row r="6569" spans="3:59" x14ac:dyDescent="0.35">
      <c r="C6569">
        <v>45726</v>
      </c>
      <c r="F6569" t="s">
        <v>752</v>
      </c>
      <c r="N6569">
        <v>1</v>
      </c>
      <c r="O6569" t="s">
        <v>239</v>
      </c>
      <c r="P6569" t="s">
        <v>514</v>
      </c>
      <c r="Y6569">
        <v>312</v>
      </c>
      <c r="Z6569" s="259" t="s">
        <v>659</v>
      </c>
      <c r="AZ6569" t="s">
        <v>1104</v>
      </c>
      <c r="BA6569">
        <v>200.1</v>
      </c>
      <c r="BB6569" t="s">
        <v>564</v>
      </c>
      <c r="BC6569" t="s">
        <v>793</v>
      </c>
      <c r="BD6569">
        <v>0</v>
      </c>
      <c r="BE6569">
        <v>46302</v>
      </c>
      <c r="BF6569" t="s">
        <v>588</v>
      </c>
      <c r="BG6569">
        <v>0</v>
      </c>
    </row>
    <row r="6570" spans="3:59" x14ac:dyDescent="0.35">
      <c r="C6570">
        <v>45727</v>
      </c>
      <c r="F6570" t="s">
        <v>752</v>
      </c>
      <c r="N6570">
        <v>1</v>
      </c>
      <c r="O6570" t="s">
        <v>239</v>
      </c>
      <c r="P6570" t="s">
        <v>514</v>
      </c>
      <c r="Y6570">
        <v>313</v>
      </c>
      <c r="Z6570" s="259" t="s">
        <v>659</v>
      </c>
      <c r="AZ6570" t="s">
        <v>1105</v>
      </c>
      <c r="BA6570">
        <v>200</v>
      </c>
      <c r="BB6570" t="s">
        <v>564</v>
      </c>
      <c r="BC6570" t="s">
        <v>793</v>
      </c>
      <c r="BD6570">
        <v>0</v>
      </c>
      <c r="BE6570">
        <v>46302</v>
      </c>
      <c r="BF6570" t="s">
        <v>588</v>
      </c>
      <c r="BG6570">
        <v>0</v>
      </c>
    </row>
    <row r="6571" spans="3:59" x14ac:dyDescent="0.35">
      <c r="C6571">
        <v>45728</v>
      </c>
      <c r="F6571" t="s">
        <v>752</v>
      </c>
      <c r="N6571">
        <v>1</v>
      </c>
      <c r="O6571" t="s">
        <v>239</v>
      </c>
      <c r="P6571" t="s">
        <v>514</v>
      </c>
      <c r="Y6571">
        <v>314</v>
      </c>
      <c r="Z6571" s="259" t="s">
        <v>659</v>
      </c>
      <c r="AZ6571" t="s">
        <v>1106</v>
      </c>
      <c r="BA6571">
        <v>199.9</v>
      </c>
      <c r="BB6571" t="s">
        <v>564</v>
      </c>
      <c r="BC6571" t="s">
        <v>793</v>
      </c>
      <c r="BD6571">
        <v>0</v>
      </c>
      <c r="BE6571">
        <v>46302</v>
      </c>
      <c r="BF6571" t="s">
        <v>588</v>
      </c>
      <c r="BG6571">
        <v>0</v>
      </c>
    </row>
    <row r="6572" spans="3:59" x14ac:dyDescent="0.35">
      <c r="C6572">
        <v>45729</v>
      </c>
      <c r="F6572" t="s">
        <v>752</v>
      </c>
      <c r="N6572">
        <v>1</v>
      </c>
      <c r="O6572" t="s">
        <v>239</v>
      </c>
      <c r="P6572" t="s">
        <v>514</v>
      </c>
      <c r="Y6572">
        <v>315</v>
      </c>
      <c r="Z6572" s="259" t="s">
        <v>659</v>
      </c>
      <c r="AZ6572" t="s">
        <v>1107</v>
      </c>
      <c r="BA6572">
        <v>199.8</v>
      </c>
      <c r="BB6572" t="s">
        <v>564</v>
      </c>
      <c r="BC6572" t="s">
        <v>793</v>
      </c>
      <c r="BD6572">
        <v>0</v>
      </c>
      <c r="BE6572">
        <v>46302</v>
      </c>
      <c r="BF6572" t="s">
        <v>588</v>
      </c>
      <c r="BG6572">
        <v>0</v>
      </c>
    </row>
    <row r="6573" spans="3:59" x14ac:dyDescent="0.35">
      <c r="C6573">
        <v>45730</v>
      </c>
      <c r="F6573" t="s">
        <v>752</v>
      </c>
      <c r="N6573">
        <v>1</v>
      </c>
      <c r="O6573" t="s">
        <v>239</v>
      </c>
      <c r="P6573" t="s">
        <v>514</v>
      </c>
      <c r="Y6573">
        <v>316</v>
      </c>
      <c r="Z6573" s="259" t="s">
        <v>659</v>
      </c>
      <c r="AZ6573" t="s">
        <v>1108</v>
      </c>
      <c r="BA6573">
        <v>199.7</v>
      </c>
      <c r="BB6573" t="s">
        <v>564</v>
      </c>
      <c r="BC6573" t="s">
        <v>793</v>
      </c>
      <c r="BD6573">
        <v>0</v>
      </c>
      <c r="BE6573">
        <v>46302</v>
      </c>
      <c r="BF6573" t="s">
        <v>588</v>
      </c>
      <c r="BG6573">
        <v>0</v>
      </c>
    </row>
    <row r="6574" spans="3:59" x14ac:dyDescent="0.35">
      <c r="C6574">
        <v>45733</v>
      </c>
      <c r="F6574" t="s">
        <v>752</v>
      </c>
      <c r="N6574">
        <v>1</v>
      </c>
      <c r="O6574" t="s">
        <v>239</v>
      </c>
      <c r="P6574" t="s">
        <v>514</v>
      </c>
      <c r="Y6574">
        <v>317</v>
      </c>
      <c r="Z6574" s="259" t="s">
        <v>659</v>
      </c>
      <c r="AZ6574" t="s">
        <v>1109</v>
      </c>
      <c r="BA6574">
        <v>199.4</v>
      </c>
      <c r="BB6574" t="s">
        <v>564</v>
      </c>
      <c r="BC6574" t="s">
        <v>793</v>
      </c>
      <c r="BD6574">
        <v>0</v>
      </c>
      <c r="BE6574">
        <v>46302</v>
      </c>
      <c r="BF6574" t="s">
        <v>588</v>
      </c>
      <c r="BG6574">
        <v>0</v>
      </c>
    </row>
    <row r="6575" spans="3:59" x14ac:dyDescent="0.35">
      <c r="C6575">
        <v>45734</v>
      </c>
      <c r="F6575" t="s">
        <v>752</v>
      </c>
      <c r="N6575">
        <v>1</v>
      </c>
      <c r="O6575" t="s">
        <v>239</v>
      </c>
      <c r="P6575" t="s">
        <v>514</v>
      </c>
      <c r="Y6575">
        <v>318</v>
      </c>
      <c r="Z6575" s="259" t="s">
        <v>659</v>
      </c>
      <c r="AZ6575" t="s">
        <v>1110</v>
      </c>
      <c r="BA6575">
        <v>199.3</v>
      </c>
      <c r="BB6575" t="s">
        <v>564</v>
      </c>
      <c r="BC6575" t="s">
        <v>793</v>
      </c>
      <c r="BD6575">
        <v>0</v>
      </c>
      <c r="BE6575">
        <v>46302</v>
      </c>
      <c r="BF6575" t="s">
        <v>588</v>
      </c>
      <c r="BG6575">
        <v>0</v>
      </c>
    </row>
    <row r="6576" spans="3:59" x14ac:dyDescent="0.35">
      <c r="C6576">
        <v>45735</v>
      </c>
      <c r="F6576" t="s">
        <v>752</v>
      </c>
      <c r="N6576">
        <v>1</v>
      </c>
      <c r="O6576" t="s">
        <v>239</v>
      </c>
      <c r="P6576" t="s">
        <v>514</v>
      </c>
      <c r="Y6576">
        <v>319</v>
      </c>
      <c r="Z6576" s="259" t="s">
        <v>659</v>
      </c>
      <c r="AZ6576" t="s">
        <v>1111</v>
      </c>
      <c r="BA6576">
        <v>199.2</v>
      </c>
      <c r="BB6576" t="s">
        <v>564</v>
      </c>
      <c r="BC6576" t="s">
        <v>793</v>
      </c>
      <c r="BD6576">
        <v>0</v>
      </c>
      <c r="BE6576">
        <v>46302</v>
      </c>
      <c r="BF6576" t="s">
        <v>588</v>
      </c>
      <c r="BG6576">
        <v>0</v>
      </c>
    </row>
    <row r="6577" spans="3:59" x14ac:dyDescent="0.35">
      <c r="C6577">
        <v>45736</v>
      </c>
      <c r="F6577" t="s">
        <v>752</v>
      </c>
      <c r="N6577">
        <v>1</v>
      </c>
      <c r="O6577" t="s">
        <v>239</v>
      </c>
      <c r="P6577" t="s">
        <v>514</v>
      </c>
      <c r="Y6577">
        <v>320</v>
      </c>
      <c r="Z6577" s="259" t="s">
        <v>659</v>
      </c>
      <c r="AZ6577" t="s">
        <v>1112</v>
      </c>
      <c r="BA6577">
        <v>199.1</v>
      </c>
      <c r="BB6577" t="s">
        <v>564</v>
      </c>
      <c r="BC6577" t="s">
        <v>793</v>
      </c>
      <c r="BD6577">
        <v>0</v>
      </c>
      <c r="BE6577">
        <v>46302</v>
      </c>
      <c r="BF6577" t="s">
        <v>588</v>
      </c>
      <c r="BG6577">
        <v>0</v>
      </c>
    </row>
    <row r="6578" spans="3:59" x14ac:dyDescent="0.35">
      <c r="C6578">
        <v>45737</v>
      </c>
      <c r="F6578" t="s">
        <v>752</v>
      </c>
      <c r="N6578">
        <v>1</v>
      </c>
      <c r="O6578" t="s">
        <v>239</v>
      </c>
      <c r="P6578" t="s">
        <v>514</v>
      </c>
      <c r="Y6578">
        <v>321</v>
      </c>
      <c r="Z6578" s="259" t="s">
        <v>659</v>
      </c>
      <c r="AZ6578" t="s">
        <v>1113</v>
      </c>
      <c r="BA6578">
        <v>199</v>
      </c>
      <c r="BB6578" t="s">
        <v>564</v>
      </c>
      <c r="BC6578" t="s">
        <v>793</v>
      </c>
      <c r="BD6578">
        <v>0</v>
      </c>
      <c r="BE6578">
        <v>46302</v>
      </c>
      <c r="BF6578" t="s">
        <v>588</v>
      </c>
      <c r="BG6578">
        <v>0</v>
      </c>
    </row>
    <row r="6579" spans="3:59" x14ac:dyDescent="0.35">
      <c r="C6579">
        <v>45740</v>
      </c>
      <c r="F6579" t="s">
        <v>752</v>
      </c>
      <c r="N6579">
        <v>1</v>
      </c>
      <c r="O6579" t="s">
        <v>239</v>
      </c>
      <c r="P6579" t="s">
        <v>514</v>
      </c>
      <c r="Y6579">
        <v>322</v>
      </c>
      <c r="Z6579" s="259" t="s">
        <v>659</v>
      </c>
      <c r="AZ6579" t="s">
        <v>1114</v>
      </c>
      <c r="BA6579">
        <v>198.7</v>
      </c>
      <c r="BB6579" t="s">
        <v>564</v>
      </c>
      <c r="BC6579" t="s">
        <v>793</v>
      </c>
      <c r="BD6579">
        <v>0</v>
      </c>
      <c r="BE6579">
        <v>46302</v>
      </c>
      <c r="BF6579" t="s">
        <v>588</v>
      </c>
      <c r="BG6579">
        <v>0</v>
      </c>
    </row>
    <row r="6580" spans="3:59" x14ac:dyDescent="0.35">
      <c r="C6580">
        <v>45741</v>
      </c>
      <c r="F6580" t="s">
        <v>752</v>
      </c>
      <c r="N6580">
        <v>1</v>
      </c>
      <c r="O6580" t="s">
        <v>239</v>
      </c>
      <c r="P6580" t="s">
        <v>514</v>
      </c>
      <c r="Y6580">
        <v>323</v>
      </c>
      <c r="Z6580" s="259" t="s">
        <v>659</v>
      </c>
      <c r="AZ6580" t="s">
        <v>1115</v>
      </c>
      <c r="BA6580">
        <v>198.6</v>
      </c>
      <c r="BB6580" t="s">
        <v>564</v>
      </c>
      <c r="BC6580" t="s">
        <v>793</v>
      </c>
      <c r="BD6580">
        <v>0</v>
      </c>
      <c r="BE6580">
        <v>46302</v>
      </c>
      <c r="BF6580" t="s">
        <v>588</v>
      </c>
      <c r="BG6580">
        <v>0</v>
      </c>
    </row>
    <row r="6581" spans="3:59" x14ac:dyDescent="0.35">
      <c r="C6581">
        <v>45742</v>
      </c>
      <c r="F6581" t="s">
        <v>752</v>
      </c>
      <c r="N6581">
        <v>1</v>
      </c>
      <c r="O6581" t="s">
        <v>239</v>
      </c>
      <c r="P6581" t="s">
        <v>514</v>
      </c>
      <c r="Y6581">
        <v>324</v>
      </c>
      <c r="Z6581" s="259" t="s">
        <v>659</v>
      </c>
      <c r="AZ6581" t="s">
        <v>1116</v>
      </c>
      <c r="BA6581">
        <v>198.5</v>
      </c>
      <c r="BB6581" t="s">
        <v>564</v>
      </c>
      <c r="BC6581" t="s">
        <v>793</v>
      </c>
      <c r="BD6581">
        <v>0</v>
      </c>
      <c r="BE6581">
        <v>46302</v>
      </c>
      <c r="BF6581" t="s">
        <v>588</v>
      </c>
      <c r="BG6581">
        <v>0</v>
      </c>
    </row>
    <row r="6582" spans="3:59" x14ac:dyDescent="0.35">
      <c r="C6582">
        <v>45743</v>
      </c>
      <c r="F6582" t="s">
        <v>752</v>
      </c>
      <c r="N6582">
        <v>1</v>
      </c>
      <c r="O6582" t="s">
        <v>239</v>
      </c>
      <c r="P6582" t="s">
        <v>514</v>
      </c>
      <c r="Y6582">
        <v>325</v>
      </c>
      <c r="Z6582" s="259" t="s">
        <v>659</v>
      </c>
      <c r="AZ6582" t="s">
        <v>1117</v>
      </c>
      <c r="BA6582">
        <v>198.4</v>
      </c>
      <c r="BB6582" t="s">
        <v>564</v>
      </c>
      <c r="BC6582" t="s">
        <v>793</v>
      </c>
      <c r="BD6582">
        <v>0</v>
      </c>
      <c r="BE6582">
        <v>46302</v>
      </c>
      <c r="BF6582" t="s">
        <v>588</v>
      </c>
      <c r="BG6582">
        <v>0</v>
      </c>
    </row>
    <row r="6583" spans="3:59" x14ac:dyDescent="0.35">
      <c r="C6583">
        <v>45744</v>
      </c>
      <c r="F6583" t="s">
        <v>752</v>
      </c>
      <c r="N6583">
        <v>1</v>
      </c>
      <c r="O6583" t="s">
        <v>239</v>
      </c>
      <c r="P6583" t="s">
        <v>514</v>
      </c>
      <c r="Y6583">
        <v>326</v>
      </c>
      <c r="Z6583" s="259" t="s">
        <v>659</v>
      </c>
      <c r="AZ6583" t="s">
        <v>1118</v>
      </c>
      <c r="BA6583">
        <v>198.3</v>
      </c>
      <c r="BB6583" t="s">
        <v>564</v>
      </c>
      <c r="BC6583" t="s">
        <v>793</v>
      </c>
      <c r="BD6583">
        <v>0</v>
      </c>
      <c r="BE6583">
        <v>46302</v>
      </c>
      <c r="BF6583" t="s">
        <v>588</v>
      </c>
      <c r="BG6583">
        <v>0</v>
      </c>
    </row>
    <row r="6584" spans="3:59" x14ac:dyDescent="0.35">
      <c r="C6584">
        <v>45747</v>
      </c>
      <c r="F6584" t="s">
        <v>752</v>
      </c>
      <c r="N6584">
        <v>1</v>
      </c>
      <c r="O6584" t="s">
        <v>239</v>
      </c>
      <c r="P6584" t="s">
        <v>514</v>
      </c>
      <c r="Y6584">
        <v>327</v>
      </c>
      <c r="Z6584" s="259" t="s">
        <v>659</v>
      </c>
      <c r="AZ6584" t="s">
        <v>1119</v>
      </c>
      <c r="BA6584">
        <v>198</v>
      </c>
      <c r="BB6584" t="s">
        <v>564</v>
      </c>
      <c r="BC6584" t="s">
        <v>793</v>
      </c>
      <c r="BD6584">
        <v>0</v>
      </c>
      <c r="BE6584">
        <v>46302</v>
      </c>
      <c r="BF6584" t="s">
        <v>588</v>
      </c>
      <c r="BG6584">
        <v>0</v>
      </c>
    </row>
    <row r="6585" spans="3:59" x14ac:dyDescent="0.35">
      <c r="C6585">
        <v>45748</v>
      </c>
      <c r="F6585" t="s">
        <v>752</v>
      </c>
      <c r="N6585">
        <v>1</v>
      </c>
      <c r="O6585" t="s">
        <v>239</v>
      </c>
      <c r="P6585" t="s">
        <v>514</v>
      </c>
      <c r="Y6585">
        <v>328</v>
      </c>
      <c r="Z6585" s="259" t="s">
        <v>659</v>
      </c>
      <c r="AZ6585" t="s">
        <v>1120</v>
      </c>
      <c r="BA6585">
        <v>198</v>
      </c>
      <c r="BB6585" t="s">
        <v>564</v>
      </c>
      <c r="BC6585" t="s">
        <v>793</v>
      </c>
      <c r="BD6585">
        <v>0</v>
      </c>
      <c r="BE6585">
        <v>46302</v>
      </c>
      <c r="BF6585" t="s">
        <v>588</v>
      </c>
      <c r="BG6585">
        <v>0</v>
      </c>
    </row>
    <row r="6586" spans="3:59" x14ac:dyDescent="0.35">
      <c r="C6586">
        <v>45749</v>
      </c>
      <c r="F6586" t="s">
        <v>752</v>
      </c>
      <c r="N6586">
        <v>1</v>
      </c>
      <c r="O6586" t="s">
        <v>239</v>
      </c>
      <c r="P6586" t="s">
        <v>514</v>
      </c>
      <c r="Y6586">
        <v>329</v>
      </c>
      <c r="Z6586" s="259" t="s">
        <v>659</v>
      </c>
      <c r="AZ6586" t="s">
        <v>1121</v>
      </c>
      <c r="BA6586">
        <v>197.62</v>
      </c>
      <c r="BB6586" t="s">
        <v>564</v>
      </c>
      <c r="BC6586" t="s">
        <v>793</v>
      </c>
      <c r="BD6586">
        <v>0</v>
      </c>
      <c r="BE6586">
        <v>46302</v>
      </c>
      <c r="BF6586" t="s">
        <v>588</v>
      </c>
      <c r="BG6586">
        <v>0</v>
      </c>
    </row>
    <row r="6587" spans="3:59" x14ac:dyDescent="0.35">
      <c r="C6587">
        <v>45750</v>
      </c>
      <c r="F6587" t="s">
        <v>752</v>
      </c>
      <c r="N6587">
        <v>1</v>
      </c>
      <c r="O6587" t="s">
        <v>239</v>
      </c>
      <c r="P6587" t="s">
        <v>514</v>
      </c>
      <c r="Y6587">
        <v>330</v>
      </c>
      <c r="Z6587" s="259" t="s">
        <v>659</v>
      </c>
      <c r="AZ6587" t="s">
        <v>1122</v>
      </c>
      <c r="BA6587">
        <v>197.24</v>
      </c>
      <c r="BB6587" t="s">
        <v>564</v>
      </c>
      <c r="BC6587" t="s">
        <v>793</v>
      </c>
      <c r="BD6587">
        <v>0</v>
      </c>
      <c r="BE6587">
        <v>46302</v>
      </c>
      <c r="BF6587" t="s">
        <v>588</v>
      </c>
      <c r="BG6587">
        <v>0</v>
      </c>
    </row>
    <row r="6588" spans="3:59" x14ac:dyDescent="0.35">
      <c r="C6588">
        <v>45751</v>
      </c>
      <c r="F6588" t="s">
        <v>752</v>
      </c>
      <c r="N6588">
        <v>1</v>
      </c>
      <c r="O6588" t="s">
        <v>239</v>
      </c>
      <c r="P6588" t="s">
        <v>514</v>
      </c>
      <c r="Y6588">
        <v>331</v>
      </c>
      <c r="Z6588" s="259" t="s">
        <v>659</v>
      </c>
      <c r="AZ6588" t="s">
        <v>1123</v>
      </c>
      <c r="BA6588">
        <v>196.86</v>
      </c>
      <c r="BB6588" t="s">
        <v>564</v>
      </c>
      <c r="BC6588" t="s">
        <v>793</v>
      </c>
      <c r="BD6588">
        <v>0</v>
      </c>
      <c r="BE6588">
        <v>46302</v>
      </c>
      <c r="BF6588" t="s">
        <v>588</v>
      </c>
      <c r="BG6588">
        <v>0</v>
      </c>
    </row>
    <row r="6589" spans="3:59" x14ac:dyDescent="0.35">
      <c r="C6589">
        <v>45754</v>
      </c>
      <c r="F6589" t="s">
        <v>752</v>
      </c>
      <c r="N6589">
        <v>1</v>
      </c>
      <c r="O6589" t="s">
        <v>239</v>
      </c>
      <c r="P6589" t="s">
        <v>514</v>
      </c>
      <c r="Y6589">
        <v>332</v>
      </c>
      <c r="Z6589" s="259" t="s">
        <v>659</v>
      </c>
      <c r="AZ6589" t="s">
        <v>1124</v>
      </c>
      <c r="BA6589">
        <v>195.72</v>
      </c>
      <c r="BB6589" t="s">
        <v>564</v>
      </c>
      <c r="BC6589" t="s">
        <v>793</v>
      </c>
      <c r="BD6589">
        <v>0</v>
      </c>
      <c r="BE6589">
        <v>46302</v>
      </c>
      <c r="BF6589" t="s">
        <v>588</v>
      </c>
      <c r="BG6589">
        <v>0</v>
      </c>
    </row>
    <row r="6590" spans="3:59" x14ac:dyDescent="0.35">
      <c r="C6590">
        <v>45755</v>
      </c>
      <c r="F6590" t="s">
        <v>752</v>
      </c>
      <c r="N6590">
        <v>1</v>
      </c>
      <c r="O6590" t="s">
        <v>239</v>
      </c>
      <c r="P6590" t="s">
        <v>514</v>
      </c>
      <c r="Y6590">
        <v>333</v>
      </c>
      <c r="Z6590" s="259" t="s">
        <v>659</v>
      </c>
      <c r="AZ6590" t="s">
        <v>1125</v>
      </c>
      <c r="BA6590">
        <v>195.34</v>
      </c>
      <c r="BB6590" t="s">
        <v>564</v>
      </c>
      <c r="BC6590" t="s">
        <v>793</v>
      </c>
      <c r="BD6590">
        <v>0</v>
      </c>
      <c r="BE6590">
        <v>46302</v>
      </c>
      <c r="BF6590" t="s">
        <v>588</v>
      </c>
      <c r="BG6590">
        <v>0</v>
      </c>
    </row>
    <row r="6591" spans="3:59" x14ac:dyDescent="0.35">
      <c r="C6591">
        <v>45756</v>
      </c>
      <c r="F6591" t="s">
        <v>752</v>
      </c>
      <c r="N6591">
        <v>1</v>
      </c>
      <c r="O6591" t="s">
        <v>239</v>
      </c>
      <c r="P6591" t="s">
        <v>514</v>
      </c>
      <c r="Y6591">
        <v>334</v>
      </c>
      <c r="Z6591" s="259" t="s">
        <v>659</v>
      </c>
      <c r="AZ6591" t="s">
        <v>1126</v>
      </c>
      <c r="BA6591">
        <v>194.97</v>
      </c>
      <c r="BB6591" t="s">
        <v>564</v>
      </c>
      <c r="BC6591" t="s">
        <v>793</v>
      </c>
      <c r="BD6591">
        <v>0</v>
      </c>
      <c r="BE6591">
        <v>46302</v>
      </c>
      <c r="BF6591" t="s">
        <v>588</v>
      </c>
      <c r="BG6591">
        <v>0</v>
      </c>
    </row>
    <row r="6592" spans="3:59" x14ac:dyDescent="0.35">
      <c r="C6592">
        <v>45757</v>
      </c>
      <c r="F6592" t="s">
        <v>752</v>
      </c>
      <c r="N6592">
        <v>1</v>
      </c>
      <c r="O6592" t="s">
        <v>239</v>
      </c>
      <c r="P6592" t="s">
        <v>514</v>
      </c>
      <c r="Y6592">
        <v>335</v>
      </c>
      <c r="Z6592" s="259" t="s">
        <v>659</v>
      </c>
      <c r="AZ6592" t="s">
        <v>1127</v>
      </c>
      <c r="BA6592">
        <v>194.59</v>
      </c>
      <c r="BB6592" t="s">
        <v>564</v>
      </c>
      <c r="BC6592" t="s">
        <v>793</v>
      </c>
      <c r="BD6592">
        <v>0</v>
      </c>
      <c r="BE6592">
        <v>46302</v>
      </c>
      <c r="BF6592" t="s">
        <v>588</v>
      </c>
      <c r="BG6592">
        <v>0</v>
      </c>
    </row>
    <row r="6593" spans="3:59" x14ac:dyDescent="0.35">
      <c r="C6593">
        <v>45758</v>
      </c>
      <c r="F6593" t="s">
        <v>752</v>
      </c>
      <c r="N6593">
        <v>1</v>
      </c>
      <c r="O6593" t="s">
        <v>239</v>
      </c>
      <c r="P6593" t="s">
        <v>514</v>
      </c>
      <c r="Y6593">
        <v>336</v>
      </c>
      <c r="Z6593" s="259" t="s">
        <v>659</v>
      </c>
      <c r="AZ6593" t="s">
        <v>1128</v>
      </c>
      <c r="BA6593">
        <v>194.21</v>
      </c>
      <c r="BB6593" t="s">
        <v>564</v>
      </c>
      <c r="BC6593" t="s">
        <v>793</v>
      </c>
      <c r="BD6593">
        <v>0</v>
      </c>
      <c r="BE6593">
        <v>46302</v>
      </c>
      <c r="BF6593" t="s">
        <v>588</v>
      </c>
      <c r="BG6593">
        <v>0</v>
      </c>
    </row>
    <row r="6594" spans="3:59" x14ac:dyDescent="0.35">
      <c r="C6594">
        <v>45761</v>
      </c>
      <c r="F6594" t="s">
        <v>752</v>
      </c>
      <c r="N6594">
        <v>1</v>
      </c>
      <c r="O6594" t="s">
        <v>239</v>
      </c>
      <c r="P6594" t="s">
        <v>514</v>
      </c>
      <c r="Y6594">
        <v>337</v>
      </c>
      <c r="Z6594" s="259" t="s">
        <v>659</v>
      </c>
      <c r="AZ6594" t="s">
        <v>1129</v>
      </c>
      <c r="BA6594">
        <v>193.07</v>
      </c>
      <c r="BB6594" t="s">
        <v>564</v>
      </c>
      <c r="BC6594" t="s">
        <v>793</v>
      </c>
      <c r="BD6594">
        <v>0</v>
      </c>
      <c r="BE6594">
        <v>46302</v>
      </c>
      <c r="BF6594" t="s">
        <v>588</v>
      </c>
      <c r="BG6594">
        <v>0</v>
      </c>
    </row>
    <row r="6595" spans="3:59" x14ac:dyDescent="0.35">
      <c r="C6595">
        <v>45762</v>
      </c>
      <c r="F6595" t="s">
        <v>752</v>
      </c>
      <c r="N6595">
        <v>1</v>
      </c>
      <c r="O6595" t="s">
        <v>239</v>
      </c>
      <c r="P6595" t="s">
        <v>514</v>
      </c>
      <c r="Y6595">
        <v>338</v>
      </c>
      <c r="Z6595" s="259" t="s">
        <v>659</v>
      </c>
      <c r="AZ6595" t="s">
        <v>1130</v>
      </c>
      <c r="BA6595">
        <v>192.69</v>
      </c>
      <c r="BB6595" t="s">
        <v>564</v>
      </c>
      <c r="BC6595" t="s">
        <v>793</v>
      </c>
      <c r="BD6595">
        <v>0</v>
      </c>
      <c r="BE6595">
        <v>46302</v>
      </c>
      <c r="BF6595" t="s">
        <v>588</v>
      </c>
      <c r="BG6595">
        <v>0</v>
      </c>
    </row>
    <row r="6596" spans="3:59" x14ac:dyDescent="0.35">
      <c r="C6596">
        <v>45763</v>
      </c>
      <c r="F6596" t="s">
        <v>752</v>
      </c>
      <c r="N6596">
        <v>1</v>
      </c>
      <c r="O6596" t="s">
        <v>239</v>
      </c>
      <c r="P6596" t="s">
        <v>514</v>
      </c>
      <c r="Y6596">
        <v>339</v>
      </c>
      <c r="Z6596" s="259" t="s">
        <v>659</v>
      </c>
      <c r="AZ6596" t="s">
        <v>1131</v>
      </c>
      <c r="BA6596">
        <v>192.31</v>
      </c>
      <c r="BB6596" t="s">
        <v>564</v>
      </c>
      <c r="BC6596" t="s">
        <v>793</v>
      </c>
      <c r="BD6596">
        <v>0</v>
      </c>
      <c r="BE6596">
        <v>46302</v>
      </c>
      <c r="BF6596" t="s">
        <v>588</v>
      </c>
      <c r="BG6596">
        <v>0</v>
      </c>
    </row>
    <row r="6597" spans="3:59" x14ac:dyDescent="0.35">
      <c r="C6597">
        <v>45764</v>
      </c>
      <c r="F6597" t="s">
        <v>752</v>
      </c>
      <c r="N6597">
        <v>1</v>
      </c>
      <c r="O6597" t="s">
        <v>239</v>
      </c>
      <c r="P6597" t="s">
        <v>514</v>
      </c>
      <c r="Y6597">
        <v>340</v>
      </c>
      <c r="Z6597" s="259" t="s">
        <v>659</v>
      </c>
      <c r="AZ6597" t="s">
        <v>1132</v>
      </c>
      <c r="BA6597">
        <v>191.93</v>
      </c>
      <c r="BB6597" t="s">
        <v>564</v>
      </c>
      <c r="BC6597" t="s">
        <v>793</v>
      </c>
      <c r="BD6597">
        <v>0</v>
      </c>
      <c r="BE6597">
        <v>46302</v>
      </c>
      <c r="BF6597" t="s">
        <v>588</v>
      </c>
      <c r="BG6597">
        <v>0</v>
      </c>
    </row>
    <row r="6598" spans="3:59" x14ac:dyDescent="0.35">
      <c r="C6598">
        <v>45765</v>
      </c>
      <c r="F6598" t="s">
        <v>752</v>
      </c>
      <c r="N6598">
        <v>1</v>
      </c>
      <c r="O6598" t="s">
        <v>239</v>
      </c>
      <c r="P6598" t="s">
        <v>514</v>
      </c>
      <c r="Y6598">
        <v>341</v>
      </c>
      <c r="Z6598" s="259" t="s">
        <v>659</v>
      </c>
      <c r="AZ6598" t="s">
        <v>1133</v>
      </c>
      <c r="BA6598">
        <v>191.55</v>
      </c>
      <c r="BB6598" t="s">
        <v>564</v>
      </c>
      <c r="BC6598" t="s">
        <v>793</v>
      </c>
      <c r="BD6598">
        <v>0</v>
      </c>
      <c r="BE6598">
        <v>46302</v>
      </c>
      <c r="BF6598" t="s">
        <v>588</v>
      </c>
      <c r="BG6598">
        <v>0</v>
      </c>
    </row>
    <row r="6599" spans="3:59" x14ac:dyDescent="0.35">
      <c r="C6599">
        <v>45768</v>
      </c>
      <c r="F6599" t="s">
        <v>752</v>
      </c>
      <c r="N6599">
        <v>1</v>
      </c>
      <c r="O6599" t="s">
        <v>239</v>
      </c>
      <c r="P6599" t="s">
        <v>514</v>
      </c>
      <c r="Y6599">
        <v>342</v>
      </c>
      <c r="Z6599" s="259" t="s">
        <v>659</v>
      </c>
      <c r="AZ6599" t="s">
        <v>1134</v>
      </c>
      <c r="BA6599">
        <v>190.41</v>
      </c>
      <c r="BB6599" t="s">
        <v>564</v>
      </c>
      <c r="BC6599" t="s">
        <v>793</v>
      </c>
      <c r="BD6599">
        <v>0</v>
      </c>
      <c r="BE6599">
        <v>46302</v>
      </c>
      <c r="BF6599" t="s">
        <v>588</v>
      </c>
      <c r="BG6599">
        <v>0</v>
      </c>
    </row>
    <row r="6600" spans="3:59" x14ac:dyDescent="0.35">
      <c r="C6600">
        <v>45769</v>
      </c>
      <c r="F6600" t="s">
        <v>752</v>
      </c>
      <c r="N6600">
        <v>1</v>
      </c>
      <c r="O6600" t="s">
        <v>239</v>
      </c>
      <c r="P6600" t="s">
        <v>514</v>
      </c>
      <c r="Y6600">
        <v>343</v>
      </c>
      <c r="Z6600" s="259" t="s">
        <v>659</v>
      </c>
      <c r="AZ6600" t="s">
        <v>1135</v>
      </c>
      <c r="BA6600">
        <v>190.03</v>
      </c>
      <c r="BB6600" t="s">
        <v>564</v>
      </c>
      <c r="BC6600" t="s">
        <v>793</v>
      </c>
      <c r="BD6600">
        <v>0</v>
      </c>
      <c r="BE6600">
        <v>46302</v>
      </c>
      <c r="BF6600" t="s">
        <v>588</v>
      </c>
      <c r="BG6600">
        <v>0</v>
      </c>
    </row>
    <row r="6601" spans="3:59" x14ac:dyDescent="0.35">
      <c r="C6601">
        <v>45770</v>
      </c>
      <c r="F6601" t="s">
        <v>752</v>
      </c>
      <c r="N6601">
        <v>1</v>
      </c>
      <c r="O6601" t="s">
        <v>239</v>
      </c>
      <c r="P6601" t="s">
        <v>514</v>
      </c>
      <c r="Y6601">
        <v>344</v>
      </c>
      <c r="Z6601" s="259" t="s">
        <v>659</v>
      </c>
      <c r="AZ6601" t="s">
        <v>1136</v>
      </c>
      <c r="BA6601">
        <v>189.66</v>
      </c>
      <c r="BB6601" t="s">
        <v>564</v>
      </c>
      <c r="BC6601" t="s">
        <v>793</v>
      </c>
      <c r="BD6601">
        <v>0</v>
      </c>
      <c r="BE6601">
        <v>46302</v>
      </c>
      <c r="BF6601" t="s">
        <v>588</v>
      </c>
      <c r="BG6601">
        <v>0</v>
      </c>
    </row>
    <row r="6602" spans="3:59" x14ac:dyDescent="0.35">
      <c r="C6602">
        <v>45771</v>
      </c>
      <c r="F6602" t="s">
        <v>752</v>
      </c>
      <c r="N6602">
        <v>1</v>
      </c>
      <c r="O6602" t="s">
        <v>239</v>
      </c>
      <c r="P6602" t="s">
        <v>514</v>
      </c>
      <c r="Y6602">
        <v>345</v>
      </c>
      <c r="Z6602" s="259" t="s">
        <v>659</v>
      </c>
      <c r="AZ6602" t="s">
        <v>1137</v>
      </c>
      <c r="BA6602">
        <v>189.28</v>
      </c>
      <c r="BB6602" t="s">
        <v>564</v>
      </c>
      <c r="BC6602" t="s">
        <v>793</v>
      </c>
      <c r="BD6602">
        <v>0</v>
      </c>
      <c r="BE6602">
        <v>46302</v>
      </c>
      <c r="BF6602" t="s">
        <v>588</v>
      </c>
      <c r="BG6602">
        <v>0</v>
      </c>
    </row>
    <row r="6603" spans="3:59" x14ac:dyDescent="0.35">
      <c r="C6603">
        <v>45772</v>
      </c>
      <c r="F6603" t="s">
        <v>752</v>
      </c>
      <c r="N6603">
        <v>1</v>
      </c>
      <c r="O6603" t="s">
        <v>239</v>
      </c>
      <c r="P6603" t="s">
        <v>514</v>
      </c>
      <c r="Y6603">
        <v>346</v>
      </c>
      <c r="Z6603" s="259" t="s">
        <v>659</v>
      </c>
      <c r="AZ6603" t="s">
        <v>1138</v>
      </c>
      <c r="BA6603">
        <v>188.9</v>
      </c>
      <c r="BB6603" t="s">
        <v>564</v>
      </c>
      <c r="BC6603" t="s">
        <v>793</v>
      </c>
      <c r="BD6603">
        <v>0</v>
      </c>
      <c r="BE6603">
        <v>46302</v>
      </c>
      <c r="BF6603" t="s">
        <v>588</v>
      </c>
      <c r="BG6603">
        <v>0</v>
      </c>
    </row>
    <row r="6604" spans="3:59" x14ac:dyDescent="0.35">
      <c r="C6604">
        <v>45775</v>
      </c>
      <c r="F6604" t="s">
        <v>752</v>
      </c>
      <c r="N6604">
        <v>1</v>
      </c>
      <c r="O6604" t="s">
        <v>239</v>
      </c>
      <c r="P6604" t="s">
        <v>514</v>
      </c>
      <c r="Y6604">
        <v>347</v>
      </c>
      <c r="Z6604" s="259" t="s">
        <v>659</v>
      </c>
      <c r="AZ6604" t="s">
        <v>1139</v>
      </c>
      <c r="BA6604">
        <v>187.76</v>
      </c>
      <c r="BB6604" t="s">
        <v>564</v>
      </c>
      <c r="BC6604" t="s">
        <v>793</v>
      </c>
      <c r="BD6604">
        <v>0</v>
      </c>
      <c r="BE6604">
        <v>46302</v>
      </c>
      <c r="BF6604" t="s">
        <v>588</v>
      </c>
      <c r="BG6604">
        <v>0</v>
      </c>
    </row>
    <row r="6605" spans="3:59" x14ac:dyDescent="0.35">
      <c r="C6605">
        <v>45776</v>
      </c>
      <c r="F6605" t="s">
        <v>752</v>
      </c>
      <c r="N6605">
        <v>1</v>
      </c>
      <c r="O6605" t="s">
        <v>239</v>
      </c>
      <c r="P6605" t="s">
        <v>514</v>
      </c>
      <c r="Y6605">
        <v>348</v>
      </c>
      <c r="Z6605" s="259" t="s">
        <v>659</v>
      </c>
      <c r="AZ6605" t="s">
        <v>1140</v>
      </c>
      <c r="BA6605">
        <v>187.38</v>
      </c>
      <c r="BB6605" t="s">
        <v>564</v>
      </c>
      <c r="BC6605" t="s">
        <v>793</v>
      </c>
      <c r="BD6605">
        <v>0</v>
      </c>
      <c r="BE6605">
        <v>46302</v>
      </c>
      <c r="BF6605" t="s">
        <v>588</v>
      </c>
      <c r="BG6605">
        <v>0</v>
      </c>
    </row>
    <row r="6606" spans="3:59" x14ac:dyDescent="0.35">
      <c r="C6606">
        <v>45777</v>
      </c>
      <c r="F6606" t="s">
        <v>752</v>
      </c>
      <c r="N6606">
        <v>1</v>
      </c>
      <c r="O6606" t="s">
        <v>239</v>
      </c>
      <c r="P6606" t="s">
        <v>514</v>
      </c>
      <c r="Y6606">
        <v>349</v>
      </c>
      <c r="Z6606" s="259" t="s">
        <v>659</v>
      </c>
      <c r="AZ6606" t="s">
        <v>1141</v>
      </c>
      <c r="BA6606">
        <v>187</v>
      </c>
      <c r="BB6606" t="s">
        <v>564</v>
      </c>
      <c r="BC6606" t="s">
        <v>793</v>
      </c>
      <c r="BD6606">
        <v>0</v>
      </c>
      <c r="BE6606">
        <v>46302</v>
      </c>
      <c r="BF6606" t="s">
        <v>588</v>
      </c>
      <c r="BG6606">
        <v>0</v>
      </c>
    </row>
    <row r="6607" spans="3:59" x14ac:dyDescent="0.35">
      <c r="C6607">
        <v>45778</v>
      </c>
      <c r="F6607" t="s">
        <v>752</v>
      </c>
      <c r="N6607">
        <v>1</v>
      </c>
      <c r="O6607" t="s">
        <v>239</v>
      </c>
      <c r="P6607" t="s">
        <v>514</v>
      </c>
      <c r="Y6607">
        <v>350</v>
      </c>
      <c r="Z6607" s="259" t="s">
        <v>659</v>
      </c>
      <c r="AZ6607" t="s">
        <v>1142</v>
      </c>
      <c r="BA6607">
        <v>187</v>
      </c>
      <c r="BB6607" t="s">
        <v>564</v>
      </c>
      <c r="BC6607" t="s">
        <v>793</v>
      </c>
      <c r="BD6607">
        <v>0</v>
      </c>
      <c r="BE6607">
        <v>46302</v>
      </c>
      <c r="BF6607" t="s">
        <v>588</v>
      </c>
      <c r="BG6607">
        <v>0</v>
      </c>
    </row>
    <row r="6608" spans="3:59" x14ac:dyDescent="0.35">
      <c r="C6608">
        <v>45779</v>
      </c>
      <c r="F6608" t="s">
        <v>752</v>
      </c>
      <c r="N6608">
        <v>1</v>
      </c>
      <c r="O6608" t="s">
        <v>239</v>
      </c>
      <c r="P6608" t="s">
        <v>514</v>
      </c>
      <c r="Y6608">
        <v>351</v>
      </c>
      <c r="Z6608" s="259" t="s">
        <v>659</v>
      </c>
      <c r="AZ6608" t="s">
        <v>1143</v>
      </c>
      <c r="BA6608">
        <v>187.2</v>
      </c>
      <c r="BB6608" t="s">
        <v>564</v>
      </c>
      <c r="BC6608" t="s">
        <v>793</v>
      </c>
      <c r="BD6608">
        <v>0</v>
      </c>
      <c r="BE6608">
        <v>46302</v>
      </c>
      <c r="BF6608" t="s">
        <v>588</v>
      </c>
      <c r="BG6608">
        <v>0</v>
      </c>
    </row>
    <row r="6609" spans="3:59" x14ac:dyDescent="0.35">
      <c r="C6609">
        <v>45782</v>
      </c>
      <c r="F6609" t="s">
        <v>752</v>
      </c>
      <c r="N6609">
        <v>1</v>
      </c>
      <c r="O6609" t="s">
        <v>239</v>
      </c>
      <c r="P6609" t="s">
        <v>514</v>
      </c>
      <c r="Y6609">
        <v>352</v>
      </c>
      <c r="Z6609" s="259" t="s">
        <v>659</v>
      </c>
      <c r="AZ6609" t="s">
        <v>1144</v>
      </c>
      <c r="BA6609">
        <v>187.8</v>
      </c>
      <c r="BB6609" t="s">
        <v>564</v>
      </c>
      <c r="BC6609" t="s">
        <v>793</v>
      </c>
      <c r="BD6609">
        <v>0</v>
      </c>
      <c r="BE6609">
        <v>46302</v>
      </c>
      <c r="BF6609" t="s">
        <v>588</v>
      </c>
      <c r="BG6609">
        <v>0</v>
      </c>
    </row>
    <row r="6610" spans="3:59" x14ac:dyDescent="0.35">
      <c r="C6610">
        <v>45783</v>
      </c>
      <c r="F6610" t="s">
        <v>752</v>
      </c>
      <c r="N6610">
        <v>1</v>
      </c>
      <c r="O6610" t="s">
        <v>239</v>
      </c>
      <c r="P6610" t="s">
        <v>514</v>
      </c>
      <c r="Y6610">
        <v>353</v>
      </c>
      <c r="Z6610" s="259" t="s">
        <v>659</v>
      </c>
      <c r="AZ6610" t="s">
        <v>1145</v>
      </c>
      <c r="BA6610">
        <v>188</v>
      </c>
      <c r="BB6610" t="s">
        <v>564</v>
      </c>
      <c r="BC6610" t="s">
        <v>793</v>
      </c>
      <c r="BD6610">
        <v>0</v>
      </c>
      <c r="BE6610">
        <v>46302</v>
      </c>
      <c r="BF6610" t="s">
        <v>588</v>
      </c>
      <c r="BG6610">
        <v>0</v>
      </c>
    </row>
    <row r="6611" spans="3:59" x14ac:dyDescent="0.35">
      <c r="C6611">
        <v>45784</v>
      </c>
      <c r="F6611" t="s">
        <v>752</v>
      </c>
      <c r="N6611">
        <v>1</v>
      </c>
      <c r="O6611" t="s">
        <v>239</v>
      </c>
      <c r="P6611" t="s">
        <v>514</v>
      </c>
      <c r="Y6611">
        <v>354</v>
      </c>
      <c r="Z6611" s="259" t="s">
        <v>659</v>
      </c>
      <c r="AZ6611" t="s">
        <v>1146</v>
      </c>
      <c r="BA6611">
        <v>188.2</v>
      </c>
      <c r="BB6611" t="s">
        <v>564</v>
      </c>
      <c r="BC6611" t="s">
        <v>793</v>
      </c>
      <c r="BD6611">
        <v>0</v>
      </c>
      <c r="BE6611">
        <v>46302</v>
      </c>
      <c r="BF6611" t="s">
        <v>588</v>
      </c>
      <c r="BG6611">
        <v>0</v>
      </c>
    </row>
    <row r="6612" spans="3:59" x14ac:dyDescent="0.35">
      <c r="C6612">
        <v>45785</v>
      </c>
      <c r="F6612" t="s">
        <v>752</v>
      </c>
      <c r="N6612">
        <v>1</v>
      </c>
      <c r="O6612" t="s">
        <v>239</v>
      </c>
      <c r="P6612" t="s">
        <v>514</v>
      </c>
      <c r="Y6612">
        <v>355</v>
      </c>
      <c r="Z6612" s="259" t="s">
        <v>659</v>
      </c>
      <c r="AZ6612" t="s">
        <v>1147</v>
      </c>
      <c r="BA6612">
        <v>188.4</v>
      </c>
      <c r="BB6612" t="s">
        <v>564</v>
      </c>
      <c r="BC6612" t="s">
        <v>793</v>
      </c>
      <c r="BD6612">
        <v>0</v>
      </c>
      <c r="BE6612">
        <v>46302</v>
      </c>
      <c r="BF6612" t="s">
        <v>588</v>
      </c>
      <c r="BG6612">
        <v>0</v>
      </c>
    </row>
    <row r="6613" spans="3:59" x14ac:dyDescent="0.35">
      <c r="C6613">
        <v>45786</v>
      </c>
      <c r="F6613" t="s">
        <v>752</v>
      </c>
      <c r="N6613">
        <v>1</v>
      </c>
      <c r="O6613" t="s">
        <v>239</v>
      </c>
      <c r="P6613" t="s">
        <v>514</v>
      </c>
      <c r="Y6613">
        <v>356</v>
      </c>
      <c r="Z6613" s="259" t="s">
        <v>659</v>
      </c>
      <c r="AZ6613" t="s">
        <v>1148</v>
      </c>
      <c r="BA6613">
        <v>188.6</v>
      </c>
      <c r="BB6613" t="s">
        <v>564</v>
      </c>
      <c r="BC6613" t="s">
        <v>793</v>
      </c>
      <c r="BD6613">
        <v>0</v>
      </c>
      <c r="BE6613">
        <v>46302</v>
      </c>
      <c r="BF6613" t="s">
        <v>588</v>
      </c>
      <c r="BG6613">
        <v>0</v>
      </c>
    </row>
    <row r="6614" spans="3:59" x14ac:dyDescent="0.35">
      <c r="C6614">
        <v>45789</v>
      </c>
      <c r="F6614" t="s">
        <v>752</v>
      </c>
      <c r="N6614">
        <v>1</v>
      </c>
      <c r="O6614" t="s">
        <v>239</v>
      </c>
      <c r="P6614" t="s">
        <v>514</v>
      </c>
      <c r="Y6614">
        <v>357</v>
      </c>
      <c r="Z6614" s="259" t="s">
        <v>659</v>
      </c>
      <c r="AZ6614" t="s">
        <v>1149</v>
      </c>
      <c r="BA6614">
        <v>189.2</v>
      </c>
      <c r="BB6614" t="s">
        <v>564</v>
      </c>
      <c r="BC6614" t="s">
        <v>793</v>
      </c>
      <c r="BD6614">
        <v>0</v>
      </c>
      <c r="BE6614">
        <v>46302</v>
      </c>
      <c r="BF6614" t="s">
        <v>588</v>
      </c>
      <c r="BG6614">
        <v>0</v>
      </c>
    </row>
    <row r="6615" spans="3:59" x14ac:dyDescent="0.35">
      <c r="C6615">
        <v>45790</v>
      </c>
      <c r="F6615" t="s">
        <v>752</v>
      </c>
      <c r="N6615">
        <v>1</v>
      </c>
      <c r="O6615" t="s">
        <v>239</v>
      </c>
      <c r="P6615" t="s">
        <v>514</v>
      </c>
      <c r="Y6615">
        <v>358</v>
      </c>
      <c r="Z6615" s="259" t="s">
        <v>659</v>
      </c>
      <c r="AZ6615" t="s">
        <v>1150</v>
      </c>
      <c r="BA6615">
        <v>189.4</v>
      </c>
      <c r="BB6615" t="s">
        <v>564</v>
      </c>
      <c r="BC6615" t="s">
        <v>793</v>
      </c>
      <c r="BD6615">
        <v>0</v>
      </c>
      <c r="BE6615">
        <v>46302</v>
      </c>
      <c r="BF6615" t="s">
        <v>588</v>
      </c>
      <c r="BG6615">
        <v>0</v>
      </c>
    </row>
    <row r="6616" spans="3:59" x14ac:dyDescent="0.35">
      <c r="C6616">
        <v>45791</v>
      </c>
      <c r="F6616" t="s">
        <v>752</v>
      </c>
      <c r="N6616">
        <v>1</v>
      </c>
      <c r="O6616" t="s">
        <v>239</v>
      </c>
      <c r="P6616" t="s">
        <v>514</v>
      </c>
      <c r="Y6616">
        <v>359</v>
      </c>
      <c r="Z6616" s="259" t="s">
        <v>659</v>
      </c>
      <c r="AZ6616" t="s">
        <v>1151</v>
      </c>
      <c r="BA6616">
        <v>189.6</v>
      </c>
      <c r="BB6616" t="s">
        <v>564</v>
      </c>
      <c r="BC6616" t="s">
        <v>793</v>
      </c>
      <c r="BD6616">
        <v>0</v>
      </c>
      <c r="BE6616">
        <v>46302</v>
      </c>
      <c r="BF6616" t="s">
        <v>588</v>
      </c>
      <c r="BG6616">
        <v>0</v>
      </c>
    </row>
    <row r="6617" spans="3:59" x14ac:dyDescent="0.35">
      <c r="C6617">
        <v>45792</v>
      </c>
      <c r="F6617" t="s">
        <v>752</v>
      </c>
      <c r="N6617">
        <v>1</v>
      </c>
      <c r="O6617" t="s">
        <v>239</v>
      </c>
      <c r="P6617" t="s">
        <v>514</v>
      </c>
      <c r="Y6617">
        <v>360</v>
      </c>
      <c r="Z6617" s="259" t="s">
        <v>659</v>
      </c>
      <c r="AZ6617" t="s">
        <v>1152</v>
      </c>
      <c r="BA6617">
        <v>189.8</v>
      </c>
      <c r="BB6617" t="s">
        <v>564</v>
      </c>
      <c r="BC6617" t="s">
        <v>793</v>
      </c>
      <c r="BD6617">
        <v>0</v>
      </c>
      <c r="BE6617">
        <v>46302</v>
      </c>
      <c r="BF6617" t="s">
        <v>588</v>
      </c>
      <c r="BG6617">
        <v>0</v>
      </c>
    </row>
    <row r="6618" spans="3:59" x14ac:dyDescent="0.35">
      <c r="C6618">
        <v>45793</v>
      </c>
      <c r="F6618" t="s">
        <v>752</v>
      </c>
      <c r="N6618">
        <v>1</v>
      </c>
      <c r="O6618" t="s">
        <v>239</v>
      </c>
      <c r="P6618" t="s">
        <v>514</v>
      </c>
      <c r="Y6618">
        <v>361</v>
      </c>
      <c r="Z6618" s="259" t="s">
        <v>659</v>
      </c>
      <c r="AZ6618" t="s">
        <v>1153</v>
      </c>
      <c r="BA6618">
        <v>190</v>
      </c>
      <c r="BB6618" t="s">
        <v>564</v>
      </c>
      <c r="BC6618" t="s">
        <v>793</v>
      </c>
      <c r="BD6618">
        <v>0</v>
      </c>
      <c r="BE6618">
        <v>46302</v>
      </c>
      <c r="BF6618" t="s">
        <v>588</v>
      </c>
      <c r="BG6618">
        <v>0</v>
      </c>
    </row>
    <row r="6619" spans="3:59" x14ac:dyDescent="0.35">
      <c r="C6619">
        <v>45796</v>
      </c>
      <c r="F6619" t="s">
        <v>752</v>
      </c>
      <c r="N6619">
        <v>1</v>
      </c>
      <c r="O6619" t="s">
        <v>239</v>
      </c>
      <c r="P6619" t="s">
        <v>514</v>
      </c>
      <c r="Y6619">
        <v>362</v>
      </c>
      <c r="Z6619" s="259" t="s">
        <v>659</v>
      </c>
      <c r="AZ6619" t="s">
        <v>1154</v>
      </c>
      <c r="BA6619">
        <v>190.6</v>
      </c>
      <c r="BB6619" t="s">
        <v>564</v>
      </c>
      <c r="BC6619" t="s">
        <v>793</v>
      </c>
      <c r="BD6619">
        <v>0</v>
      </c>
      <c r="BE6619">
        <v>46302</v>
      </c>
      <c r="BF6619" t="s">
        <v>588</v>
      </c>
      <c r="BG6619">
        <v>0</v>
      </c>
    </row>
    <row r="6620" spans="3:59" x14ac:dyDescent="0.35">
      <c r="C6620">
        <v>45797</v>
      </c>
      <c r="F6620" t="s">
        <v>752</v>
      </c>
      <c r="N6620">
        <v>1</v>
      </c>
      <c r="O6620" t="s">
        <v>239</v>
      </c>
      <c r="P6620" t="s">
        <v>514</v>
      </c>
      <c r="Y6620">
        <v>363</v>
      </c>
      <c r="Z6620" s="259" t="s">
        <v>659</v>
      </c>
      <c r="AZ6620" t="s">
        <v>1155</v>
      </c>
      <c r="BA6620">
        <v>190.8</v>
      </c>
      <c r="BB6620" t="s">
        <v>564</v>
      </c>
      <c r="BC6620" t="s">
        <v>793</v>
      </c>
      <c r="BD6620">
        <v>0</v>
      </c>
      <c r="BE6620">
        <v>46302</v>
      </c>
      <c r="BF6620" t="s">
        <v>588</v>
      </c>
      <c r="BG6620">
        <v>0</v>
      </c>
    </row>
    <row r="6621" spans="3:59" x14ac:dyDescent="0.35">
      <c r="C6621">
        <v>45798</v>
      </c>
      <c r="F6621" t="s">
        <v>752</v>
      </c>
      <c r="N6621">
        <v>1</v>
      </c>
      <c r="O6621" t="s">
        <v>239</v>
      </c>
      <c r="P6621" t="s">
        <v>514</v>
      </c>
      <c r="Y6621">
        <v>364</v>
      </c>
      <c r="Z6621" s="259" t="s">
        <v>659</v>
      </c>
      <c r="AZ6621" t="s">
        <v>1156</v>
      </c>
      <c r="BA6621">
        <v>191</v>
      </c>
      <c r="BB6621" t="s">
        <v>564</v>
      </c>
      <c r="BC6621" t="s">
        <v>793</v>
      </c>
      <c r="BD6621">
        <v>0</v>
      </c>
      <c r="BE6621">
        <v>46302</v>
      </c>
      <c r="BF6621" t="s">
        <v>588</v>
      </c>
      <c r="BG6621">
        <v>0</v>
      </c>
    </row>
    <row r="6622" spans="3:59" x14ac:dyDescent="0.35">
      <c r="C6622">
        <v>45799</v>
      </c>
      <c r="F6622" t="s">
        <v>752</v>
      </c>
      <c r="N6622">
        <v>1</v>
      </c>
      <c r="O6622" t="s">
        <v>239</v>
      </c>
      <c r="P6622" t="s">
        <v>514</v>
      </c>
      <c r="Y6622">
        <v>365</v>
      </c>
      <c r="Z6622" s="259" t="s">
        <v>659</v>
      </c>
      <c r="AZ6622" t="s">
        <v>1157</v>
      </c>
      <c r="BA6622">
        <v>191.2</v>
      </c>
      <c r="BB6622" t="s">
        <v>564</v>
      </c>
      <c r="BC6622" t="s">
        <v>793</v>
      </c>
      <c r="BD6622">
        <v>0</v>
      </c>
      <c r="BE6622">
        <v>46302</v>
      </c>
      <c r="BF6622" t="s">
        <v>588</v>
      </c>
      <c r="BG6622">
        <v>0</v>
      </c>
    </row>
    <row r="6623" spans="3:59" x14ac:dyDescent="0.35">
      <c r="C6623">
        <v>45800</v>
      </c>
      <c r="F6623" t="s">
        <v>752</v>
      </c>
      <c r="N6623">
        <v>1</v>
      </c>
      <c r="O6623" t="s">
        <v>239</v>
      </c>
      <c r="P6623" t="s">
        <v>514</v>
      </c>
      <c r="Y6623">
        <v>366</v>
      </c>
      <c r="Z6623" s="259" t="s">
        <v>659</v>
      </c>
      <c r="AZ6623" t="s">
        <v>1158</v>
      </c>
      <c r="BA6623">
        <v>191.4</v>
      </c>
      <c r="BB6623" t="s">
        <v>564</v>
      </c>
      <c r="BC6623" t="s">
        <v>793</v>
      </c>
      <c r="BD6623">
        <v>0</v>
      </c>
      <c r="BE6623">
        <v>46302</v>
      </c>
      <c r="BF6623" t="s">
        <v>588</v>
      </c>
      <c r="BG6623">
        <v>0</v>
      </c>
    </row>
    <row r="6624" spans="3:59" x14ac:dyDescent="0.35">
      <c r="C6624">
        <v>45803</v>
      </c>
      <c r="F6624" t="s">
        <v>752</v>
      </c>
      <c r="N6624">
        <v>1</v>
      </c>
      <c r="O6624" t="s">
        <v>239</v>
      </c>
      <c r="P6624" t="s">
        <v>514</v>
      </c>
      <c r="Y6624">
        <v>367</v>
      </c>
      <c r="Z6624" s="259" t="s">
        <v>659</v>
      </c>
      <c r="AZ6624" t="s">
        <v>1159</v>
      </c>
      <c r="BA6624">
        <v>192</v>
      </c>
      <c r="BB6624" t="s">
        <v>564</v>
      </c>
      <c r="BC6624" t="s">
        <v>793</v>
      </c>
      <c r="BD6624">
        <v>0</v>
      </c>
      <c r="BE6624">
        <v>46302</v>
      </c>
      <c r="BF6624" t="s">
        <v>588</v>
      </c>
      <c r="BG6624">
        <v>0</v>
      </c>
    </row>
    <row r="6625" spans="3:59" x14ac:dyDescent="0.35">
      <c r="C6625">
        <v>45804</v>
      </c>
      <c r="F6625" t="s">
        <v>752</v>
      </c>
      <c r="N6625">
        <v>1</v>
      </c>
      <c r="O6625" t="s">
        <v>239</v>
      </c>
      <c r="P6625" t="s">
        <v>514</v>
      </c>
      <c r="Y6625">
        <v>368</v>
      </c>
      <c r="Z6625" s="259" t="s">
        <v>659</v>
      </c>
      <c r="AZ6625" t="s">
        <v>1160</v>
      </c>
      <c r="BA6625">
        <v>192.2</v>
      </c>
      <c r="BB6625" t="s">
        <v>564</v>
      </c>
      <c r="BC6625" t="s">
        <v>793</v>
      </c>
      <c r="BD6625">
        <v>0</v>
      </c>
      <c r="BE6625">
        <v>46302</v>
      </c>
      <c r="BF6625" t="s">
        <v>588</v>
      </c>
      <c r="BG6625">
        <v>0</v>
      </c>
    </row>
    <row r="6626" spans="3:59" x14ac:dyDescent="0.35">
      <c r="C6626">
        <v>45805</v>
      </c>
      <c r="F6626" t="s">
        <v>752</v>
      </c>
      <c r="N6626">
        <v>1</v>
      </c>
      <c r="O6626" t="s">
        <v>239</v>
      </c>
      <c r="P6626" t="s">
        <v>514</v>
      </c>
      <c r="Y6626">
        <v>369</v>
      </c>
      <c r="Z6626" s="259" t="s">
        <v>659</v>
      </c>
      <c r="AZ6626" t="s">
        <v>1161</v>
      </c>
      <c r="BA6626">
        <v>192.4</v>
      </c>
      <c r="BB6626" t="s">
        <v>564</v>
      </c>
      <c r="BC6626" t="s">
        <v>793</v>
      </c>
      <c r="BD6626">
        <v>0</v>
      </c>
      <c r="BE6626">
        <v>46302</v>
      </c>
      <c r="BF6626" t="s">
        <v>588</v>
      </c>
      <c r="BG6626">
        <v>0</v>
      </c>
    </row>
    <row r="6627" spans="3:59" x14ac:dyDescent="0.35">
      <c r="C6627">
        <v>45806</v>
      </c>
      <c r="F6627" t="s">
        <v>752</v>
      </c>
      <c r="N6627">
        <v>1</v>
      </c>
      <c r="O6627" t="s">
        <v>239</v>
      </c>
      <c r="P6627" t="s">
        <v>514</v>
      </c>
      <c r="Y6627">
        <v>370</v>
      </c>
      <c r="Z6627" s="259" t="s">
        <v>659</v>
      </c>
      <c r="AZ6627" t="s">
        <v>1162</v>
      </c>
      <c r="BA6627">
        <v>192.6</v>
      </c>
      <c r="BB6627" t="s">
        <v>564</v>
      </c>
      <c r="BC6627" t="s">
        <v>793</v>
      </c>
      <c r="BD6627">
        <v>0</v>
      </c>
      <c r="BE6627">
        <v>46302</v>
      </c>
      <c r="BF6627" t="s">
        <v>588</v>
      </c>
      <c r="BG6627">
        <v>0</v>
      </c>
    </row>
    <row r="6628" spans="3:59" x14ac:dyDescent="0.35">
      <c r="C6628">
        <v>45807</v>
      </c>
      <c r="F6628" t="s">
        <v>752</v>
      </c>
      <c r="N6628">
        <v>1</v>
      </c>
      <c r="O6628" t="s">
        <v>239</v>
      </c>
      <c r="P6628" t="s">
        <v>514</v>
      </c>
      <c r="Y6628">
        <v>371</v>
      </c>
      <c r="Z6628" s="259" t="s">
        <v>659</v>
      </c>
      <c r="AZ6628" t="s">
        <v>1163</v>
      </c>
      <c r="BA6628">
        <v>192.8</v>
      </c>
      <c r="BB6628" t="s">
        <v>564</v>
      </c>
      <c r="BC6628" t="s">
        <v>793</v>
      </c>
      <c r="BD6628">
        <v>0</v>
      </c>
      <c r="BE6628">
        <v>46302</v>
      </c>
      <c r="BF6628" t="s">
        <v>588</v>
      </c>
      <c r="BG6628">
        <v>0</v>
      </c>
    </row>
    <row r="6629" spans="3:59" x14ac:dyDescent="0.35">
      <c r="C6629">
        <v>45810</v>
      </c>
      <c r="F6629" t="s">
        <v>752</v>
      </c>
      <c r="N6629">
        <v>1</v>
      </c>
      <c r="O6629" t="s">
        <v>239</v>
      </c>
      <c r="P6629" t="s">
        <v>514</v>
      </c>
      <c r="Y6629">
        <v>372</v>
      </c>
      <c r="Z6629" s="259" t="s">
        <v>659</v>
      </c>
      <c r="AZ6629" t="s">
        <v>1164</v>
      </c>
      <c r="BA6629">
        <v>192.62</v>
      </c>
      <c r="BB6629" t="s">
        <v>564</v>
      </c>
      <c r="BC6629" t="s">
        <v>793</v>
      </c>
      <c r="BD6629">
        <v>0</v>
      </c>
      <c r="BE6629">
        <v>46302</v>
      </c>
      <c r="BF6629" t="s">
        <v>588</v>
      </c>
      <c r="BG6629">
        <v>0</v>
      </c>
    </row>
    <row r="6630" spans="3:59" x14ac:dyDescent="0.35">
      <c r="C6630">
        <v>45811</v>
      </c>
      <c r="F6630" t="s">
        <v>752</v>
      </c>
      <c r="N6630">
        <v>1</v>
      </c>
      <c r="O6630" t="s">
        <v>239</v>
      </c>
      <c r="P6630" t="s">
        <v>514</v>
      </c>
      <c r="Y6630">
        <v>373</v>
      </c>
      <c r="Z6630" s="259" t="s">
        <v>659</v>
      </c>
      <c r="AZ6630" t="s">
        <v>1165</v>
      </c>
      <c r="BA6630">
        <v>192.24</v>
      </c>
      <c r="BB6630" t="s">
        <v>564</v>
      </c>
      <c r="BC6630" t="s">
        <v>793</v>
      </c>
      <c r="BD6630">
        <v>0</v>
      </c>
      <c r="BE6630">
        <v>46302</v>
      </c>
      <c r="BF6630" t="s">
        <v>588</v>
      </c>
      <c r="BG6630">
        <v>0</v>
      </c>
    </row>
    <row r="6631" spans="3:59" x14ac:dyDescent="0.35">
      <c r="C6631">
        <v>45812</v>
      </c>
      <c r="F6631" t="s">
        <v>752</v>
      </c>
      <c r="N6631">
        <v>1</v>
      </c>
      <c r="O6631" t="s">
        <v>239</v>
      </c>
      <c r="P6631" t="s">
        <v>514</v>
      </c>
      <c r="Y6631">
        <v>374</v>
      </c>
      <c r="Z6631" s="259" t="s">
        <v>659</v>
      </c>
      <c r="AZ6631" t="s">
        <v>1166</v>
      </c>
      <c r="BA6631">
        <v>191.86</v>
      </c>
      <c r="BB6631" t="s">
        <v>564</v>
      </c>
      <c r="BC6631" t="s">
        <v>793</v>
      </c>
      <c r="BD6631">
        <v>0</v>
      </c>
      <c r="BE6631">
        <v>46302</v>
      </c>
      <c r="BF6631" t="s">
        <v>588</v>
      </c>
      <c r="BG6631">
        <v>0</v>
      </c>
    </row>
    <row r="6632" spans="3:59" x14ac:dyDescent="0.35">
      <c r="C6632">
        <v>45813</v>
      </c>
      <c r="F6632" t="s">
        <v>752</v>
      </c>
      <c r="N6632">
        <v>1</v>
      </c>
      <c r="O6632" t="s">
        <v>239</v>
      </c>
      <c r="P6632" t="s">
        <v>514</v>
      </c>
      <c r="Y6632">
        <v>375</v>
      </c>
      <c r="Z6632" s="259" t="s">
        <v>659</v>
      </c>
      <c r="AZ6632" t="s">
        <v>1167</v>
      </c>
      <c r="BA6632">
        <v>191.48</v>
      </c>
      <c r="BB6632" t="s">
        <v>564</v>
      </c>
      <c r="BC6632" t="s">
        <v>793</v>
      </c>
      <c r="BD6632">
        <v>0</v>
      </c>
      <c r="BE6632">
        <v>46302</v>
      </c>
      <c r="BF6632" t="s">
        <v>588</v>
      </c>
      <c r="BG6632">
        <v>0</v>
      </c>
    </row>
    <row r="6633" spans="3:59" x14ac:dyDescent="0.35">
      <c r="C6633">
        <v>45814</v>
      </c>
      <c r="F6633" t="s">
        <v>752</v>
      </c>
      <c r="N6633">
        <v>1</v>
      </c>
      <c r="O6633" t="s">
        <v>239</v>
      </c>
      <c r="P6633" t="s">
        <v>514</v>
      </c>
      <c r="Y6633">
        <v>376</v>
      </c>
      <c r="Z6633" s="259" t="s">
        <v>659</v>
      </c>
      <c r="AZ6633" t="s">
        <v>1168</v>
      </c>
      <c r="BA6633">
        <v>191.1</v>
      </c>
      <c r="BB6633" t="s">
        <v>564</v>
      </c>
      <c r="BC6633" t="s">
        <v>793</v>
      </c>
      <c r="BD6633">
        <v>0</v>
      </c>
      <c r="BE6633">
        <v>46302</v>
      </c>
      <c r="BF6633" t="s">
        <v>588</v>
      </c>
      <c r="BG6633">
        <v>0</v>
      </c>
    </row>
    <row r="6634" spans="3:59" x14ac:dyDescent="0.35">
      <c r="C6634">
        <v>45817</v>
      </c>
      <c r="F6634" t="s">
        <v>752</v>
      </c>
      <c r="N6634">
        <v>1</v>
      </c>
      <c r="O6634" t="s">
        <v>239</v>
      </c>
      <c r="P6634" t="s">
        <v>514</v>
      </c>
      <c r="Y6634">
        <v>377</v>
      </c>
      <c r="Z6634" s="259" t="s">
        <v>659</v>
      </c>
      <c r="AZ6634" t="s">
        <v>1169</v>
      </c>
      <c r="BA6634">
        <v>189.97</v>
      </c>
      <c r="BB6634" t="s">
        <v>564</v>
      </c>
      <c r="BC6634" t="s">
        <v>793</v>
      </c>
      <c r="BD6634">
        <v>0</v>
      </c>
      <c r="BE6634">
        <v>46302</v>
      </c>
      <c r="BF6634" t="s">
        <v>588</v>
      </c>
      <c r="BG6634">
        <v>0</v>
      </c>
    </row>
    <row r="6635" spans="3:59" x14ac:dyDescent="0.35">
      <c r="C6635">
        <v>45818</v>
      </c>
      <c r="F6635" t="s">
        <v>752</v>
      </c>
      <c r="N6635">
        <v>1</v>
      </c>
      <c r="O6635" t="s">
        <v>239</v>
      </c>
      <c r="P6635" t="s">
        <v>514</v>
      </c>
      <c r="Y6635">
        <v>378</v>
      </c>
      <c r="Z6635" s="259" t="s">
        <v>659</v>
      </c>
      <c r="AZ6635" t="s">
        <v>1170</v>
      </c>
      <c r="BA6635">
        <v>189.59</v>
      </c>
      <c r="BB6635" t="s">
        <v>564</v>
      </c>
      <c r="BC6635" t="s">
        <v>793</v>
      </c>
      <c r="BD6635">
        <v>0</v>
      </c>
      <c r="BE6635">
        <v>46302</v>
      </c>
      <c r="BF6635" t="s">
        <v>588</v>
      </c>
      <c r="BG6635">
        <v>0</v>
      </c>
    </row>
    <row r="6636" spans="3:59" x14ac:dyDescent="0.35">
      <c r="C6636">
        <v>45819</v>
      </c>
      <c r="F6636" t="s">
        <v>752</v>
      </c>
      <c r="N6636">
        <v>1</v>
      </c>
      <c r="O6636" t="s">
        <v>239</v>
      </c>
      <c r="P6636" t="s">
        <v>514</v>
      </c>
      <c r="Y6636">
        <v>379</v>
      </c>
      <c r="Z6636" s="259" t="s">
        <v>659</v>
      </c>
      <c r="AZ6636" t="s">
        <v>1171</v>
      </c>
      <c r="BA6636">
        <v>189.21</v>
      </c>
      <c r="BB6636" t="s">
        <v>564</v>
      </c>
      <c r="BC6636" t="s">
        <v>793</v>
      </c>
      <c r="BD6636">
        <v>0</v>
      </c>
      <c r="BE6636">
        <v>46302</v>
      </c>
      <c r="BF6636" t="s">
        <v>588</v>
      </c>
      <c r="BG6636">
        <v>0</v>
      </c>
    </row>
    <row r="6637" spans="3:59" x14ac:dyDescent="0.35">
      <c r="C6637">
        <v>45820</v>
      </c>
      <c r="F6637" t="s">
        <v>752</v>
      </c>
      <c r="N6637">
        <v>1</v>
      </c>
      <c r="O6637" t="s">
        <v>239</v>
      </c>
      <c r="P6637" t="s">
        <v>514</v>
      </c>
      <c r="Y6637">
        <v>380</v>
      </c>
      <c r="Z6637" s="259" t="s">
        <v>659</v>
      </c>
      <c r="AZ6637" t="s">
        <v>1172</v>
      </c>
      <c r="BA6637">
        <v>188.83</v>
      </c>
      <c r="BB6637" t="s">
        <v>564</v>
      </c>
      <c r="BC6637" t="s">
        <v>793</v>
      </c>
      <c r="BD6637">
        <v>0</v>
      </c>
      <c r="BE6637">
        <v>46302</v>
      </c>
      <c r="BF6637" t="s">
        <v>588</v>
      </c>
      <c r="BG6637">
        <v>0</v>
      </c>
    </row>
    <row r="6638" spans="3:59" x14ac:dyDescent="0.35">
      <c r="C6638">
        <v>45821</v>
      </c>
      <c r="F6638" t="s">
        <v>752</v>
      </c>
      <c r="N6638">
        <v>1</v>
      </c>
      <c r="O6638" t="s">
        <v>239</v>
      </c>
      <c r="P6638" t="s">
        <v>514</v>
      </c>
      <c r="Y6638">
        <v>381</v>
      </c>
      <c r="Z6638" s="259" t="s">
        <v>659</v>
      </c>
      <c r="AZ6638" t="s">
        <v>1173</v>
      </c>
      <c r="BA6638">
        <v>188.45</v>
      </c>
      <c r="BB6638" t="s">
        <v>564</v>
      </c>
      <c r="BC6638" t="s">
        <v>793</v>
      </c>
      <c r="BD6638">
        <v>0</v>
      </c>
      <c r="BE6638">
        <v>46302</v>
      </c>
      <c r="BF6638" t="s">
        <v>588</v>
      </c>
      <c r="BG6638">
        <v>0</v>
      </c>
    </row>
    <row r="6639" spans="3:59" x14ac:dyDescent="0.35">
      <c r="C6639">
        <v>45824</v>
      </c>
      <c r="F6639" t="s">
        <v>752</v>
      </c>
      <c r="N6639">
        <v>1</v>
      </c>
      <c r="O6639" t="s">
        <v>239</v>
      </c>
      <c r="P6639" t="s">
        <v>514</v>
      </c>
      <c r="Y6639">
        <v>382</v>
      </c>
      <c r="Z6639" s="259" t="s">
        <v>659</v>
      </c>
      <c r="AZ6639" t="s">
        <v>1174</v>
      </c>
      <c r="BA6639">
        <v>187.31</v>
      </c>
      <c r="BB6639" t="s">
        <v>564</v>
      </c>
      <c r="BC6639" t="s">
        <v>793</v>
      </c>
      <c r="BD6639">
        <v>0</v>
      </c>
      <c r="BE6639">
        <v>46302</v>
      </c>
      <c r="BF6639" t="s">
        <v>588</v>
      </c>
      <c r="BG6639">
        <v>0</v>
      </c>
    </row>
    <row r="6640" spans="3:59" x14ac:dyDescent="0.35">
      <c r="C6640">
        <v>45825</v>
      </c>
      <c r="F6640" t="s">
        <v>752</v>
      </c>
      <c r="N6640">
        <v>1</v>
      </c>
      <c r="O6640" t="s">
        <v>239</v>
      </c>
      <c r="P6640" t="s">
        <v>514</v>
      </c>
      <c r="Y6640">
        <v>383</v>
      </c>
      <c r="Z6640" s="259" t="s">
        <v>659</v>
      </c>
      <c r="AZ6640" t="s">
        <v>1175</v>
      </c>
      <c r="BA6640">
        <v>186.93</v>
      </c>
      <c r="BB6640" t="s">
        <v>564</v>
      </c>
      <c r="BC6640" t="s">
        <v>793</v>
      </c>
      <c r="BD6640">
        <v>0</v>
      </c>
      <c r="BE6640">
        <v>46302</v>
      </c>
      <c r="BF6640" t="s">
        <v>588</v>
      </c>
      <c r="BG6640">
        <v>0</v>
      </c>
    </row>
    <row r="6641" spans="3:59" x14ac:dyDescent="0.35">
      <c r="C6641">
        <v>45826</v>
      </c>
      <c r="F6641" t="s">
        <v>752</v>
      </c>
      <c r="N6641">
        <v>1</v>
      </c>
      <c r="O6641" t="s">
        <v>239</v>
      </c>
      <c r="P6641" t="s">
        <v>514</v>
      </c>
      <c r="Y6641">
        <v>384</v>
      </c>
      <c r="Z6641" s="259" t="s">
        <v>659</v>
      </c>
      <c r="AZ6641" t="s">
        <v>1176</v>
      </c>
      <c r="BA6641">
        <v>186.55</v>
      </c>
      <c r="BB6641" t="s">
        <v>564</v>
      </c>
      <c r="BC6641" t="s">
        <v>793</v>
      </c>
      <c r="BD6641">
        <v>0</v>
      </c>
      <c r="BE6641">
        <v>46302</v>
      </c>
      <c r="BF6641" t="s">
        <v>588</v>
      </c>
      <c r="BG6641">
        <v>0</v>
      </c>
    </row>
    <row r="6642" spans="3:59" x14ac:dyDescent="0.35">
      <c r="C6642">
        <v>45827</v>
      </c>
      <c r="F6642" t="s">
        <v>752</v>
      </c>
      <c r="N6642">
        <v>1</v>
      </c>
      <c r="O6642" t="s">
        <v>239</v>
      </c>
      <c r="P6642" t="s">
        <v>514</v>
      </c>
      <c r="Y6642">
        <v>385</v>
      </c>
      <c r="Z6642" s="259" t="s">
        <v>659</v>
      </c>
      <c r="AZ6642" t="s">
        <v>1177</v>
      </c>
      <c r="BA6642">
        <v>186.17</v>
      </c>
      <c r="BB6642" t="s">
        <v>564</v>
      </c>
      <c r="BC6642" t="s">
        <v>793</v>
      </c>
      <c r="BD6642">
        <v>0</v>
      </c>
      <c r="BE6642">
        <v>46302</v>
      </c>
      <c r="BF6642" t="s">
        <v>588</v>
      </c>
      <c r="BG6642">
        <v>0</v>
      </c>
    </row>
    <row r="6643" spans="3:59" x14ac:dyDescent="0.35">
      <c r="C6643">
        <v>45828</v>
      </c>
      <c r="F6643" t="s">
        <v>752</v>
      </c>
      <c r="N6643">
        <v>1</v>
      </c>
      <c r="O6643" t="s">
        <v>239</v>
      </c>
      <c r="P6643" t="s">
        <v>514</v>
      </c>
      <c r="Y6643">
        <v>386</v>
      </c>
      <c r="Z6643" s="259" t="s">
        <v>659</v>
      </c>
      <c r="AZ6643" t="s">
        <v>1178</v>
      </c>
      <c r="BA6643">
        <v>185.79</v>
      </c>
      <c r="BB6643" t="s">
        <v>564</v>
      </c>
      <c r="BC6643" t="s">
        <v>793</v>
      </c>
      <c r="BD6643">
        <v>0</v>
      </c>
      <c r="BE6643">
        <v>46302</v>
      </c>
      <c r="BF6643" t="s">
        <v>588</v>
      </c>
      <c r="BG6643">
        <v>0</v>
      </c>
    </row>
    <row r="6644" spans="3:59" x14ac:dyDescent="0.35">
      <c r="C6644">
        <v>45831</v>
      </c>
      <c r="F6644" t="s">
        <v>752</v>
      </c>
      <c r="N6644">
        <v>1</v>
      </c>
      <c r="O6644" t="s">
        <v>239</v>
      </c>
      <c r="P6644" t="s">
        <v>514</v>
      </c>
      <c r="Y6644">
        <v>387</v>
      </c>
      <c r="Z6644" s="259" t="s">
        <v>659</v>
      </c>
      <c r="AZ6644" t="s">
        <v>1179</v>
      </c>
      <c r="BA6644">
        <v>184.66</v>
      </c>
      <c r="BB6644" t="s">
        <v>564</v>
      </c>
      <c r="BC6644" t="s">
        <v>793</v>
      </c>
      <c r="BD6644">
        <v>0</v>
      </c>
      <c r="BE6644">
        <v>46302</v>
      </c>
      <c r="BF6644" t="s">
        <v>588</v>
      </c>
      <c r="BG6644">
        <v>0</v>
      </c>
    </row>
    <row r="6645" spans="3:59" x14ac:dyDescent="0.35">
      <c r="C6645">
        <v>45832</v>
      </c>
      <c r="F6645" t="s">
        <v>752</v>
      </c>
      <c r="N6645">
        <v>1</v>
      </c>
      <c r="O6645" t="s">
        <v>239</v>
      </c>
      <c r="P6645" t="s">
        <v>514</v>
      </c>
      <c r="Y6645">
        <v>388</v>
      </c>
      <c r="Z6645" s="259" t="s">
        <v>659</v>
      </c>
      <c r="AZ6645" t="s">
        <v>1180</v>
      </c>
      <c r="BA6645">
        <v>184.28</v>
      </c>
      <c r="BB6645" t="s">
        <v>564</v>
      </c>
      <c r="BC6645" t="s">
        <v>793</v>
      </c>
      <c r="BD6645">
        <v>0</v>
      </c>
      <c r="BE6645">
        <v>46302</v>
      </c>
      <c r="BF6645" t="s">
        <v>588</v>
      </c>
      <c r="BG6645">
        <v>0</v>
      </c>
    </row>
    <row r="6646" spans="3:59" x14ac:dyDescent="0.35">
      <c r="C6646">
        <v>45833</v>
      </c>
      <c r="F6646" t="s">
        <v>752</v>
      </c>
      <c r="N6646">
        <v>1</v>
      </c>
      <c r="O6646" t="s">
        <v>239</v>
      </c>
      <c r="P6646" t="s">
        <v>514</v>
      </c>
      <c r="Y6646">
        <v>389</v>
      </c>
      <c r="Z6646" s="259" t="s">
        <v>659</v>
      </c>
      <c r="AZ6646" t="s">
        <v>1181</v>
      </c>
      <c r="BA6646">
        <v>183.9</v>
      </c>
      <c r="BB6646" t="s">
        <v>564</v>
      </c>
      <c r="BC6646" t="s">
        <v>793</v>
      </c>
      <c r="BD6646">
        <v>0</v>
      </c>
      <c r="BE6646">
        <v>46302</v>
      </c>
      <c r="BF6646" t="s">
        <v>588</v>
      </c>
      <c r="BG6646">
        <v>0</v>
      </c>
    </row>
    <row r="6647" spans="3:59" x14ac:dyDescent="0.35">
      <c r="C6647">
        <v>45834</v>
      </c>
      <c r="F6647" t="s">
        <v>752</v>
      </c>
      <c r="N6647">
        <v>1</v>
      </c>
      <c r="O6647" t="s">
        <v>239</v>
      </c>
      <c r="P6647" t="s">
        <v>514</v>
      </c>
      <c r="Y6647">
        <v>390</v>
      </c>
      <c r="Z6647" s="259" t="s">
        <v>659</v>
      </c>
      <c r="AZ6647" t="s">
        <v>1182</v>
      </c>
      <c r="BA6647">
        <v>183.52</v>
      </c>
      <c r="BB6647" t="s">
        <v>564</v>
      </c>
      <c r="BC6647" t="s">
        <v>793</v>
      </c>
      <c r="BD6647">
        <v>0</v>
      </c>
      <c r="BE6647">
        <v>46302</v>
      </c>
      <c r="BF6647" t="s">
        <v>588</v>
      </c>
      <c r="BG6647">
        <v>0</v>
      </c>
    </row>
    <row r="6648" spans="3:59" x14ac:dyDescent="0.35">
      <c r="C6648">
        <v>45835</v>
      </c>
      <c r="F6648" t="s">
        <v>752</v>
      </c>
      <c r="N6648">
        <v>1</v>
      </c>
      <c r="O6648" t="s">
        <v>239</v>
      </c>
      <c r="P6648" t="s">
        <v>514</v>
      </c>
      <c r="Y6648">
        <v>391</v>
      </c>
      <c r="Z6648" s="259" t="s">
        <v>659</v>
      </c>
      <c r="AZ6648" t="s">
        <v>1183</v>
      </c>
      <c r="BA6648">
        <v>183.14</v>
      </c>
      <c r="BB6648" t="s">
        <v>564</v>
      </c>
      <c r="BC6648" t="s">
        <v>793</v>
      </c>
      <c r="BD6648">
        <v>0</v>
      </c>
      <c r="BE6648">
        <v>46302</v>
      </c>
      <c r="BF6648" t="s">
        <v>588</v>
      </c>
      <c r="BG6648">
        <v>0</v>
      </c>
    </row>
    <row r="6649" spans="3:59" x14ac:dyDescent="0.35">
      <c r="C6649">
        <v>45838</v>
      </c>
      <c r="F6649" t="s">
        <v>752</v>
      </c>
      <c r="N6649">
        <v>1</v>
      </c>
      <c r="O6649" t="s">
        <v>239</v>
      </c>
      <c r="P6649" t="s">
        <v>514</v>
      </c>
      <c r="Y6649">
        <v>392</v>
      </c>
      <c r="Z6649" s="259" t="s">
        <v>659</v>
      </c>
      <c r="AZ6649" t="s">
        <v>1184</v>
      </c>
      <c r="BA6649">
        <v>182</v>
      </c>
      <c r="BB6649" t="s">
        <v>564</v>
      </c>
      <c r="BC6649" t="s">
        <v>793</v>
      </c>
      <c r="BD6649">
        <v>0</v>
      </c>
      <c r="BE6649">
        <v>46302</v>
      </c>
      <c r="BF6649" t="s">
        <v>588</v>
      </c>
      <c r="BG6649">
        <v>0</v>
      </c>
    </row>
    <row r="6650" spans="3:59" x14ac:dyDescent="0.35">
      <c r="C6650">
        <v>45839</v>
      </c>
      <c r="F6650" t="s">
        <v>752</v>
      </c>
      <c r="N6650">
        <v>1</v>
      </c>
      <c r="O6650" t="s">
        <v>239</v>
      </c>
      <c r="P6650" t="s">
        <v>514</v>
      </c>
      <c r="Y6650">
        <v>393</v>
      </c>
      <c r="Z6650" s="259" t="s">
        <v>659</v>
      </c>
      <c r="AZ6650" t="s">
        <v>1185</v>
      </c>
      <c r="BA6650">
        <v>182</v>
      </c>
      <c r="BB6650" t="s">
        <v>564</v>
      </c>
      <c r="BC6650" t="s">
        <v>793</v>
      </c>
      <c r="BD6650">
        <v>0</v>
      </c>
      <c r="BE6650">
        <v>46302</v>
      </c>
      <c r="BF6650" t="s">
        <v>588</v>
      </c>
      <c r="BG6650">
        <v>0</v>
      </c>
    </row>
    <row r="6651" spans="3:59" x14ac:dyDescent="0.35">
      <c r="C6651">
        <v>45840</v>
      </c>
      <c r="F6651" t="s">
        <v>752</v>
      </c>
      <c r="N6651">
        <v>1</v>
      </c>
      <c r="O6651" t="s">
        <v>239</v>
      </c>
      <c r="P6651" t="s">
        <v>514</v>
      </c>
      <c r="Y6651">
        <v>394</v>
      </c>
      <c r="Z6651" s="259" t="s">
        <v>659</v>
      </c>
      <c r="AZ6651" t="s">
        <v>1186</v>
      </c>
      <c r="BA6651">
        <v>181.87</v>
      </c>
      <c r="BB6651" t="s">
        <v>564</v>
      </c>
      <c r="BC6651" t="s">
        <v>793</v>
      </c>
      <c r="BD6651">
        <v>0</v>
      </c>
      <c r="BE6651">
        <v>46302</v>
      </c>
      <c r="BF6651" t="s">
        <v>588</v>
      </c>
      <c r="BG6651">
        <v>0</v>
      </c>
    </row>
    <row r="6652" spans="3:59" x14ac:dyDescent="0.35">
      <c r="C6652">
        <v>45841</v>
      </c>
      <c r="F6652" t="s">
        <v>752</v>
      </c>
      <c r="N6652">
        <v>1</v>
      </c>
      <c r="O6652" t="s">
        <v>239</v>
      </c>
      <c r="P6652" t="s">
        <v>514</v>
      </c>
      <c r="Y6652">
        <v>395</v>
      </c>
      <c r="Z6652" s="259" t="s">
        <v>659</v>
      </c>
      <c r="AZ6652" t="s">
        <v>1187</v>
      </c>
      <c r="BA6652">
        <v>181.73</v>
      </c>
      <c r="BB6652" t="s">
        <v>564</v>
      </c>
      <c r="BC6652" t="s">
        <v>793</v>
      </c>
      <c r="BD6652">
        <v>0</v>
      </c>
      <c r="BE6652">
        <v>46302</v>
      </c>
      <c r="BF6652" t="s">
        <v>588</v>
      </c>
      <c r="BG6652">
        <v>0</v>
      </c>
    </row>
    <row r="6653" spans="3:59" x14ac:dyDescent="0.35">
      <c r="C6653">
        <v>45842</v>
      </c>
      <c r="F6653" t="s">
        <v>752</v>
      </c>
      <c r="N6653">
        <v>1</v>
      </c>
      <c r="O6653" t="s">
        <v>239</v>
      </c>
      <c r="P6653" t="s">
        <v>514</v>
      </c>
      <c r="Y6653">
        <v>396</v>
      </c>
      <c r="Z6653" s="259" t="s">
        <v>659</v>
      </c>
      <c r="AZ6653" t="s">
        <v>1188</v>
      </c>
      <c r="BA6653">
        <v>181.6</v>
      </c>
      <c r="BB6653" t="s">
        <v>564</v>
      </c>
      <c r="BC6653" t="s">
        <v>793</v>
      </c>
      <c r="BD6653">
        <v>0</v>
      </c>
      <c r="BE6653">
        <v>46302</v>
      </c>
      <c r="BF6653" t="s">
        <v>588</v>
      </c>
      <c r="BG6653">
        <v>0</v>
      </c>
    </row>
    <row r="6654" spans="3:59" x14ac:dyDescent="0.35">
      <c r="C6654">
        <v>45845</v>
      </c>
      <c r="F6654" t="s">
        <v>752</v>
      </c>
      <c r="N6654">
        <v>1</v>
      </c>
      <c r="O6654" t="s">
        <v>239</v>
      </c>
      <c r="P6654" t="s">
        <v>514</v>
      </c>
      <c r="Y6654">
        <v>397</v>
      </c>
      <c r="Z6654" s="259" t="s">
        <v>659</v>
      </c>
      <c r="AZ6654" t="s">
        <v>1189</v>
      </c>
      <c r="BA6654">
        <v>181.2</v>
      </c>
      <c r="BB6654" t="s">
        <v>564</v>
      </c>
      <c r="BC6654" t="s">
        <v>793</v>
      </c>
      <c r="BD6654">
        <v>0</v>
      </c>
      <c r="BE6654">
        <v>46302</v>
      </c>
      <c r="BF6654" t="s">
        <v>588</v>
      </c>
      <c r="BG6654">
        <v>0</v>
      </c>
    </row>
    <row r="6655" spans="3:59" x14ac:dyDescent="0.35">
      <c r="C6655">
        <v>45846</v>
      </c>
      <c r="F6655" t="s">
        <v>752</v>
      </c>
      <c r="N6655">
        <v>1</v>
      </c>
      <c r="O6655" t="s">
        <v>239</v>
      </c>
      <c r="P6655" t="s">
        <v>514</v>
      </c>
      <c r="Y6655">
        <v>398</v>
      </c>
      <c r="Z6655" s="259" t="s">
        <v>659</v>
      </c>
      <c r="AZ6655" t="s">
        <v>1190</v>
      </c>
      <c r="BA6655">
        <v>181.07</v>
      </c>
      <c r="BB6655" t="s">
        <v>564</v>
      </c>
      <c r="BC6655" t="s">
        <v>793</v>
      </c>
      <c r="BD6655">
        <v>0</v>
      </c>
      <c r="BE6655">
        <v>46302</v>
      </c>
      <c r="BF6655" t="s">
        <v>588</v>
      </c>
      <c r="BG6655">
        <v>0</v>
      </c>
    </row>
    <row r="6656" spans="3:59" x14ac:dyDescent="0.35">
      <c r="C6656">
        <v>45847</v>
      </c>
      <c r="F6656" t="s">
        <v>752</v>
      </c>
      <c r="N6656">
        <v>1</v>
      </c>
      <c r="O6656" t="s">
        <v>239</v>
      </c>
      <c r="P6656" t="s">
        <v>514</v>
      </c>
      <c r="Y6656">
        <v>399</v>
      </c>
      <c r="Z6656" s="259" t="s">
        <v>659</v>
      </c>
      <c r="AZ6656" t="s">
        <v>1191</v>
      </c>
      <c r="BA6656">
        <v>180.93</v>
      </c>
      <c r="BB6656" t="s">
        <v>564</v>
      </c>
      <c r="BC6656" t="s">
        <v>793</v>
      </c>
      <c r="BD6656">
        <v>0</v>
      </c>
      <c r="BE6656">
        <v>46302</v>
      </c>
      <c r="BF6656" t="s">
        <v>588</v>
      </c>
      <c r="BG6656">
        <v>0</v>
      </c>
    </row>
    <row r="6657" spans="3:59" x14ac:dyDescent="0.35">
      <c r="C6657">
        <v>45848</v>
      </c>
      <c r="F6657" t="s">
        <v>752</v>
      </c>
      <c r="N6657">
        <v>1</v>
      </c>
      <c r="O6657" t="s">
        <v>239</v>
      </c>
      <c r="P6657" t="s">
        <v>514</v>
      </c>
      <c r="Y6657">
        <v>400</v>
      </c>
      <c r="Z6657" s="259" t="s">
        <v>659</v>
      </c>
      <c r="AZ6657" t="s">
        <v>1192</v>
      </c>
      <c r="BA6657">
        <v>180.8</v>
      </c>
      <c r="BB6657" t="s">
        <v>564</v>
      </c>
      <c r="BC6657" t="s">
        <v>793</v>
      </c>
      <c r="BD6657">
        <v>0</v>
      </c>
      <c r="BE6657">
        <v>46302</v>
      </c>
      <c r="BF6657" t="s">
        <v>588</v>
      </c>
      <c r="BG6657">
        <v>0</v>
      </c>
    </row>
    <row r="6658" spans="3:59" x14ac:dyDescent="0.35">
      <c r="C6658">
        <v>45849</v>
      </c>
      <c r="F6658" t="s">
        <v>752</v>
      </c>
      <c r="N6658">
        <v>1</v>
      </c>
      <c r="O6658" t="s">
        <v>239</v>
      </c>
      <c r="P6658" t="s">
        <v>514</v>
      </c>
      <c r="Y6658">
        <v>401</v>
      </c>
      <c r="Z6658" s="259" t="s">
        <v>659</v>
      </c>
      <c r="AZ6658" t="s">
        <v>1193</v>
      </c>
      <c r="BA6658">
        <v>180.67</v>
      </c>
      <c r="BB6658" t="s">
        <v>564</v>
      </c>
      <c r="BC6658" t="s">
        <v>793</v>
      </c>
      <c r="BD6658">
        <v>0</v>
      </c>
      <c r="BE6658">
        <v>46302</v>
      </c>
      <c r="BF6658" t="s">
        <v>588</v>
      </c>
      <c r="BG6658">
        <v>0</v>
      </c>
    </row>
    <row r="6659" spans="3:59" x14ac:dyDescent="0.35">
      <c r="C6659">
        <v>45852</v>
      </c>
      <c r="F6659" t="s">
        <v>752</v>
      </c>
      <c r="N6659">
        <v>1</v>
      </c>
      <c r="O6659" t="s">
        <v>239</v>
      </c>
      <c r="P6659" t="s">
        <v>514</v>
      </c>
      <c r="Y6659">
        <v>402</v>
      </c>
      <c r="Z6659" s="259" t="s">
        <v>659</v>
      </c>
      <c r="AZ6659" t="s">
        <v>1194</v>
      </c>
      <c r="BA6659">
        <v>180.27</v>
      </c>
      <c r="BB6659" t="s">
        <v>564</v>
      </c>
      <c r="BC6659" t="s">
        <v>793</v>
      </c>
      <c r="BD6659">
        <v>0</v>
      </c>
      <c r="BE6659">
        <v>46302</v>
      </c>
      <c r="BF6659" t="s">
        <v>588</v>
      </c>
      <c r="BG6659">
        <v>0</v>
      </c>
    </row>
    <row r="6660" spans="3:59" x14ac:dyDescent="0.35">
      <c r="C6660">
        <v>45853</v>
      </c>
      <c r="F6660" t="s">
        <v>752</v>
      </c>
      <c r="N6660">
        <v>1</v>
      </c>
      <c r="O6660" t="s">
        <v>239</v>
      </c>
      <c r="P6660" t="s">
        <v>514</v>
      </c>
      <c r="Y6660">
        <v>403</v>
      </c>
      <c r="Z6660" s="259" t="s">
        <v>659</v>
      </c>
      <c r="AZ6660" t="s">
        <v>1195</v>
      </c>
      <c r="BA6660">
        <v>180.13</v>
      </c>
      <c r="BB6660" t="s">
        <v>564</v>
      </c>
      <c r="BC6660" t="s">
        <v>793</v>
      </c>
      <c r="BD6660">
        <v>0</v>
      </c>
      <c r="BE6660">
        <v>46302</v>
      </c>
      <c r="BF6660" t="s">
        <v>588</v>
      </c>
      <c r="BG6660">
        <v>0</v>
      </c>
    </row>
    <row r="6661" spans="3:59" x14ac:dyDescent="0.35">
      <c r="C6661">
        <v>45854</v>
      </c>
      <c r="F6661" t="s">
        <v>752</v>
      </c>
      <c r="N6661">
        <v>1</v>
      </c>
      <c r="O6661" t="s">
        <v>239</v>
      </c>
      <c r="P6661" t="s">
        <v>514</v>
      </c>
      <c r="Y6661">
        <v>404</v>
      </c>
      <c r="Z6661" s="259" t="s">
        <v>659</v>
      </c>
      <c r="AZ6661" t="s">
        <v>1196</v>
      </c>
      <c r="BA6661">
        <v>180</v>
      </c>
      <c r="BB6661" t="s">
        <v>564</v>
      </c>
      <c r="BC6661" t="s">
        <v>793</v>
      </c>
      <c r="BD6661">
        <v>0</v>
      </c>
      <c r="BE6661">
        <v>46302</v>
      </c>
      <c r="BF6661" t="s">
        <v>588</v>
      </c>
      <c r="BG6661">
        <v>0</v>
      </c>
    </row>
    <row r="6662" spans="3:59" x14ac:dyDescent="0.35">
      <c r="C6662">
        <v>45855</v>
      </c>
      <c r="F6662" t="s">
        <v>752</v>
      </c>
      <c r="N6662">
        <v>1</v>
      </c>
      <c r="O6662" t="s">
        <v>239</v>
      </c>
      <c r="P6662" t="s">
        <v>514</v>
      </c>
      <c r="Y6662">
        <v>405</v>
      </c>
      <c r="Z6662" s="259" t="s">
        <v>659</v>
      </c>
      <c r="AZ6662" t="s">
        <v>1197</v>
      </c>
      <c r="BA6662">
        <v>179.87</v>
      </c>
      <c r="BB6662" t="s">
        <v>564</v>
      </c>
      <c r="BC6662" t="s">
        <v>793</v>
      </c>
      <c r="BD6662">
        <v>0</v>
      </c>
      <c r="BE6662">
        <v>46302</v>
      </c>
      <c r="BF6662" t="s">
        <v>588</v>
      </c>
      <c r="BG6662">
        <v>0</v>
      </c>
    </row>
    <row r="6663" spans="3:59" x14ac:dyDescent="0.35">
      <c r="C6663">
        <v>45856</v>
      </c>
      <c r="F6663" t="s">
        <v>752</v>
      </c>
      <c r="N6663">
        <v>1</v>
      </c>
      <c r="O6663" t="s">
        <v>239</v>
      </c>
      <c r="P6663" t="s">
        <v>514</v>
      </c>
      <c r="Y6663">
        <v>406</v>
      </c>
      <c r="Z6663" s="259" t="s">
        <v>659</v>
      </c>
      <c r="AZ6663" t="s">
        <v>1198</v>
      </c>
      <c r="BA6663">
        <v>179.73</v>
      </c>
      <c r="BB6663" t="s">
        <v>564</v>
      </c>
      <c r="BC6663" t="s">
        <v>793</v>
      </c>
      <c r="BD6663">
        <v>0</v>
      </c>
      <c r="BE6663">
        <v>46302</v>
      </c>
      <c r="BF6663" t="s">
        <v>588</v>
      </c>
      <c r="BG6663">
        <v>0</v>
      </c>
    </row>
    <row r="6664" spans="3:59" x14ac:dyDescent="0.35">
      <c r="C6664">
        <v>45859</v>
      </c>
      <c r="F6664" t="s">
        <v>752</v>
      </c>
      <c r="N6664">
        <v>1</v>
      </c>
      <c r="O6664" t="s">
        <v>239</v>
      </c>
      <c r="P6664" t="s">
        <v>514</v>
      </c>
      <c r="Y6664">
        <v>407</v>
      </c>
      <c r="Z6664" s="259" t="s">
        <v>659</v>
      </c>
      <c r="AZ6664" t="s">
        <v>1199</v>
      </c>
      <c r="BA6664">
        <v>179.33</v>
      </c>
      <c r="BB6664" t="s">
        <v>564</v>
      </c>
      <c r="BC6664" t="s">
        <v>793</v>
      </c>
      <c r="BD6664">
        <v>0</v>
      </c>
      <c r="BE6664">
        <v>46302</v>
      </c>
      <c r="BF6664" t="s">
        <v>588</v>
      </c>
      <c r="BG6664">
        <v>0</v>
      </c>
    </row>
    <row r="6665" spans="3:59" x14ac:dyDescent="0.35">
      <c r="C6665">
        <v>45860</v>
      </c>
      <c r="F6665" t="s">
        <v>752</v>
      </c>
      <c r="N6665">
        <v>1</v>
      </c>
      <c r="O6665" t="s">
        <v>239</v>
      </c>
      <c r="P6665" t="s">
        <v>514</v>
      </c>
      <c r="Y6665">
        <v>408</v>
      </c>
      <c r="Z6665" s="259" t="s">
        <v>659</v>
      </c>
      <c r="AZ6665" t="s">
        <v>1200</v>
      </c>
      <c r="BA6665">
        <v>179.2</v>
      </c>
      <c r="BB6665" t="s">
        <v>564</v>
      </c>
      <c r="BC6665" t="s">
        <v>793</v>
      </c>
      <c r="BD6665">
        <v>0</v>
      </c>
      <c r="BE6665">
        <v>46302</v>
      </c>
      <c r="BF6665" t="s">
        <v>588</v>
      </c>
      <c r="BG6665">
        <v>0</v>
      </c>
    </row>
    <row r="6666" spans="3:59" x14ac:dyDescent="0.35">
      <c r="C6666">
        <v>45861</v>
      </c>
      <c r="F6666" t="s">
        <v>752</v>
      </c>
      <c r="N6666">
        <v>1</v>
      </c>
      <c r="O6666" t="s">
        <v>239</v>
      </c>
      <c r="P6666" t="s">
        <v>514</v>
      </c>
      <c r="Y6666">
        <v>409</v>
      </c>
      <c r="Z6666" s="259" t="s">
        <v>659</v>
      </c>
      <c r="AZ6666" t="s">
        <v>1201</v>
      </c>
      <c r="BA6666">
        <v>179.07</v>
      </c>
      <c r="BB6666" t="s">
        <v>564</v>
      </c>
      <c r="BC6666" t="s">
        <v>793</v>
      </c>
      <c r="BD6666">
        <v>0</v>
      </c>
      <c r="BE6666">
        <v>46302</v>
      </c>
      <c r="BF6666" t="s">
        <v>588</v>
      </c>
      <c r="BG6666">
        <v>0</v>
      </c>
    </row>
    <row r="6667" spans="3:59" x14ac:dyDescent="0.35">
      <c r="C6667">
        <v>45862</v>
      </c>
      <c r="F6667" t="s">
        <v>752</v>
      </c>
      <c r="N6667">
        <v>1</v>
      </c>
      <c r="O6667" t="s">
        <v>239</v>
      </c>
      <c r="P6667" t="s">
        <v>514</v>
      </c>
      <c r="Y6667">
        <v>410</v>
      </c>
      <c r="Z6667" s="259" t="s">
        <v>659</v>
      </c>
      <c r="AZ6667" t="s">
        <v>1202</v>
      </c>
      <c r="BA6667">
        <v>178.93</v>
      </c>
      <c r="BB6667" t="s">
        <v>564</v>
      </c>
      <c r="BC6667" t="s">
        <v>793</v>
      </c>
      <c r="BD6667">
        <v>0</v>
      </c>
      <c r="BE6667">
        <v>46302</v>
      </c>
      <c r="BF6667" t="s">
        <v>588</v>
      </c>
      <c r="BG6667">
        <v>0</v>
      </c>
    </row>
    <row r="6668" spans="3:59" x14ac:dyDescent="0.35">
      <c r="C6668">
        <v>45863</v>
      </c>
      <c r="F6668" t="s">
        <v>752</v>
      </c>
      <c r="N6668">
        <v>1</v>
      </c>
      <c r="O6668" t="s">
        <v>239</v>
      </c>
      <c r="P6668" t="s">
        <v>514</v>
      </c>
      <c r="Y6668">
        <v>411</v>
      </c>
      <c r="Z6668" s="259" t="s">
        <v>659</v>
      </c>
      <c r="AZ6668" t="s">
        <v>1203</v>
      </c>
      <c r="BA6668">
        <v>178.8</v>
      </c>
      <c r="BB6668" t="s">
        <v>564</v>
      </c>
      <c r="BC6668" t="s">
        <v>793</v>
      </c>
      <c r="BD6668">
        <v>0</v>
      </c>
      <c r="BE6668">
        <v>46302</v>
      </c>
      <c r="BF6668" t="s">
        <v>588</v>
      </c>
      <c r="BG6668">
        <v>0</v>
      </c>
    </row>
    <row r="6669" spans="3:59" x14ac:dyDescent="0.35">
      <c r="C6669">
        <v>45866</v>
      </c>
      <c r="F6669" t="s">
        <v>752</v>
      </c>
      <c r="N6669">
        <v>1</v>
      </c>
      <c r="O6669" t="s">
        <v>239</v>
      </c>
      <c r="P6669" t="s">
        <v>514</v>
      </c>
      <c r="Y6669">
        <v>412</v>
      </c>
      <c r="Z6669" s="259" t="s">
        <v>659</v>
      </c>
      <c r="AZ6669" t="s">
        <v>1204</v>
      </c>
      <c r="BA6669">
        <v>178.4</v>
      </c>
      <c r="BB6669" t="s">
        <v>564</v>
      </c>
      <c r="BC6669" t="s">
        <v>793</v>
      </c>
      <c r="BD6669">
        <v>0</v>
      </c>
      <c r="BE6669">
        <v>46302</v>
      </c>
      <c r="BF6669" t="s">
        <v>588</v>
      </c>
      <c r="BG6669">
        <v>0</v>
      </c>
    </row>
    <row r="6670" spans="3:59" x14ac:dyDescent="0.35">
      <c r="C6670">
        <v>45867</v>
      </c>
      <c r="F6670" t="s">
        <v>752</v>
      </c>
      <c r="N6670">
        <v>1</v>
      </c>
      <c r="O6670" t="s">
        <v>239</v>
      </c>
      <c r="P6670" t="s">
        <v>514</v>
      </c>
      <c r="Y6670">
        <v>413</v>
      </c>
      <c r="Z6670" s="259" t="s">
        <v>659</v>
      </c>
      <c r="AZ6670" t="s">
        <v>1205</v>
      </c>
      <c r="BA6670">
        <v>178.27</v>
      </c>
      <c r="BB6670" t="s">
        <v>564</v>
      </c>
      <c r="BC6670" t="s">
        <v>793</v>
      </c>
      <c r="BD6670">
        <v>0</v>
      </c>
      <c r="BE6670">
        <v>46302</v>
      </c>
      <c r="BF6670" t="s">
        <v>588</v>
      </c>
      <c r="BG6670">
        <v>0</v>
      </c>
    </row>
    <row r="6671" spans="3:59" x14ac:dyDescent="0.35">
      <c r="C6671">
        <v>45868</v>
      </c>
      <c r="F6671" t="s">
        <v>752</v>
      </c>
      <c r="N6671">
        <v>1</v>
      </c>
      <c r="O6671" t="s">
        <v>239</v>
      </c>
      <c r="P6671" t="s">
        <v>514</v>
      </c>
      <c r="Y6671">
        <v>414</v>
      </c>
      <c r="Z6671" s="259" t="s">
        <v>659</v>
      </c>
      <c r="AZ6671" t="s">
        <v>1206</v>
      </c>
      <c r="BA6671">
        <v>178.13</v>
      </c>
      <c r="BB6671" t="s">
        <v>564</v>
      </c>
      <c r="BC6671" t="s">
        <v>793</v>
      </c>
      <c r="BD6671">
        <v>0</v>
      </c>
      <c r="BE6671">
        <v>46302</v>
      </c>
      <c r="BF6671" t="s">
        <v>588</v>
      </c>
      <c r="BG6671">
        <v>0</v>
      </c>
    </row>
    <row r="6672" spans="3:59" x14ac:dyDescent="0.35">
      <c r="C6672">
        <v>45869</v>
      </c>
      <c r="F6672" t="s">
        <v>752</v>
      </c>
      <c r="N6672">
        <v>1</v>
      </c>
      <c r="O6672" t="s">
        <v>239</v>
      </c>
      <c r="P6672" t="s">
        <v>514</v>
      </c>
      <c r="Y6672">
        <v>415</v>
      </c>
      <c r="Z6672" s="259" t="s">
        <v>659</v>
      </c>
      <c r="AZ6672" t="s">
        <v>1207</v>
      </c>
      <c r="BA6672">
        <v>178</v>
      </c>
      <c r="BB6672" t="s">
        <v>564</v>
      </c>
      <c r="BC6672" t="s">
        <v>793</v>
      </c>
      <c r="BD6672">
        <v>0</v>
      </c>
      <c r="BE6672">
        <v>46302</v>
      </c>
      <c r="BF6672" t="s">
        <v>588</v>
      </c>
      <c r="BG6672">
        <v>0</v>
      </c>
    </row>
    <row r="6673" spans="3:59" x14ac:dyDescent="0.35">
      <c r="C6673">
        <v>45870</v>
      </c>
      <c r="F6673" t="s">
        <v>752</v>
      </c>
      <c r="N6673">
        <v>1</v>
      </c>
      <c r="O6673" t="s">
        <v>239</v>
      </c>
      <c r="P6673" t="s">
        <v>514</v>
      </c>
      <c r="Y6673">
        <v>416</v>
      </c>
      <c r="Z6673" s="259" t="s">
        <v>659</v>
      </c>
      <c r="AZ6673" t="s">
        <v>1208</v>
      </c>
      <c r="BA6673">
        <v>178</v>
      </c>
      <c r="BB6673" t="s">
        <v>564</v>
      </c>
      <c r="BC6673" t="s">
        <v>793</v>
      </c>
      <c r="BD6673">
        <v>0</v>
      </c>
      <c r="BE6673">
        <v>46302</v>
      </c>
      <c r="BF6673" t="s">
        <v>588</v>
      </c>
      <c r="BG6673">
        <v>0</v>
      </c>
    </row>
    <row r="6674" spans="3:59" x14ac:dyDescent="0.35">
      <c r="C6674">
        <v>45873</v>
      </c>
      <c r="F6674" t="s">
        <v>752</v>
      </c>
      <c r="N6674">
        <v>1</v>
      </c>
      <c r="O6674" t="s">
        <v>239</v>
      </c>
      <c r="P6674" t="s">
        <v>514</v>
      </c>
      <c r="Y6674">
        <v>417</v>
      </c>
      <c r="Z6674" s="259" t="s">
        <v>659</v>
      </c>
      <c r="AZ6674" t="s">
        <v>1209</v>
      </c>
      <c r="BA6674">
        <v>179.1</v>
      </c>
      <c r="BB6674" t="s">
        <v>564</v>
      </c>
      <c r="BC6674" t="s">
        <v>793</v>
      </c>
      <c r="BD6674">
        <v>0</v>
      </c>
      <c r="BE6674">
        <v>46302</v>
      </c>
      <c r="BF6674" t="s">
        <v>588</v>
      </c>
      <c r="BG6674">
        <v>0</v>
      </c>
    </row>
    <row r="6675" spans="3:59" x14ac:dyDescent="0.35">
      <c r="C6675">
        <v>45874</v>
      </c>
      <c r="F6675" t="s">
        <v>752</v>
      </c>
      <c r="N6675">
        <v>1</v>
      </c>
      <c r="O6675" t="s">
        <v>239</v>
      </c>
      <c r="P6675" t="s">
        <v>514</v>
      </c>
      <c r="Y6675">
        <v>418</v>
      </c>
      <c r="Z6675" s="259" t="s">
        <v>659</v>
      </c>
      <c r="AZ6675" t="s">
        <v>1210</v>
      </c>
      <c r="BA6675">
        <v>179.47</v>
      </c>
      <c r="BB6675" t="s">
        <v>564</v>
      </c>
      <c r="BC6675" t="s">
        <v>793</v>
      </c>
      <c r="BD6675">
        <v>0</v>
      </c>
      <c r="BE6675">
        <v>46302</v>
      </c>
      <c r="BF6675" t="s">
        <v>588</v>
      </c>
      <c r="BG6675">
        <v>0</v>
      </c>
    </row>
    <row r="6676" spans="3:59" x14ac:dyDescent="0.35">
      <c r="C6676">
        <v>45875</v>
      </c>
      <c r="F6676" t="s">
        <v>752</v>
      </c>
      <c r="N6676">
        <v>1</v>
      </c>
      <c r="O6676" t="s">
        <v>239</v>
      </c>
      <c r="P6676" t="s">
        <v>514</v>
      </c>
      <c r="Y6676">
        <v>419</v>
      </c>
      <c r="Z6676" s="259" t="s">
        <v>659</v>
      </c>
      <c r="AZ6676" t="s">
        <v>1211</v>
      </c>
      <c r="BA6676">
        <v>179.83</v>
      </c>
      <c r="BB6676" t="s">
        <v>564</v>
      </c>
      <c r="BC6676" t="s">
        <v>793</v>
      </c>
      <c r="BD6676">
        <v>0</v>
      </c>
      <c r="BE6676">
        <v>46302</v>
      </c>
      <c r="BF6676" t="s">
        <v>588</v>
      </c>
      <c r="BG6676">
        <v>0</v>
      </c>
    </row>
    <row r="6677" spans="3:59" x14ac:dyDescent="0.35">
      <c r="C6677">
        <v>45876</v>
      </c>
      <c r="F6677" t="s">
        <v>752</v>
      </c>
      <c r="N6677">
        <v>1</v>
      </c>
      <c r="O6677" t="s">
        <v>239</v>
      </c>
      <c r="P6677" t="s">
        <v>514</v>
      </c>
      <c r="Y6677">
        <v>420</v>
      </c>
      <c r="Z6677" s="259" t="s">
        <v>659</v>
      </c>
      <c r="AZ6677" t="s">
        <v>1212</v>
      </c>
      <c r="BA6677">
        <v>180.2</v>
      </c>
      <c r="BB6677" t="s">
        <v>564</v>
      </c>
      <c r="BC6677" t="s">
        <v>793</v>
      </c>
      <c r="BD6677">
        <v>0</v>
      </c>
      <c r="BE6677">
        <v>46302</v>
      </c>
      <c r="BF6677" t="s">
        <v>588</v>
      </c>
      <c r="BG6677">
        <v>0</v>
      </c>
    </row>
    <row r="6678" spans="3:59" x14ac:dyDescent="0.35">
      <c r="C6678">
        <v>45877</v>
      </c>
      <c r="F6678" t="s">
        <v>752</v>
      </c>
      <c r="N6678">
        <v>1</v>
      </c>
      <c r="O6678" t="s">
        <v>239</v>
      </c>
      <c r="P6678" t="s">
        <v>514</v>
      </c>
      <c r="Y6678">
        <v>421</v>
      </c>
      <c r="Z6678" s="259" t="s">
        <v>659</v>
      </c>
      <c r="AZ6678" t="s">
        <v>1213</v>
      </c>
      <c r="BA6678">
        <v>180.57</v>
      </c>
      <c r="BB6678" t="s">
        <v>564</v>
      </c>
      <c r="BC6678" t="s">
        <v>793</v>
      </c>
      <c r="BD6678">
        <v>0</v>
      </c>
      <c r="BE6678">
        <v>46302</v>
      </c>
      <c r="BF6678" t="s">
        <v>588</v>
      </c>
      <c r="BG6678">
        <v>0</v>
      </c>
    </row>
    <row r="6679" spans="3:59" x14ac:dyDescent="0.35">
      <c r="C6679">
        <v>45880</v>
      </c>
      <c r="F6679" t="s">
        <v>752</v>
      </c>
      <c r="N6679">
        <v>1</v>
      </c>
      <c r="O6679" t="s">
        <v>239</v>
      </c>
      <c r="P6679" t="s">
        <v>514</v>
      </c>
      <c r="Y6679">
        <v>422</v>
      </c>
      <c r="Z6679" s="259" t="s">
        <v>659</v>
      </c>
      <c r="AZ6679" t="s">
        <v>1214</v>
      </c>
      <c r="BA6679">
        <v>181.67</v>
      </c>
      <c r="BB6679" t="s">
        <v>564</v>
      </c>
      <c r="BC6679" t="s">
        <v>793</v>
      </c>
      <c r="BD6679">
        <v>0</v>
      </c>
      <c r="BE6679">
        <v>46302</v>
      </c>
      <c r="BF6679" t="s">
        <v>588</v>
      </c>
      <c r="BG6679">
        <v>0</v>
      </c>
    </row>
    <row r="6680" spans="3:59" x14ac:dyDescent="0.35">
      <c r="C6680">
        <v>45881</v>
      </c>
      <c r="F6680" t="s">
        <v>752</v>
      </c>
      <c r="N6680">
        <v>1</v>
      </c>
      <c r="O6680" t="s">
        <v>239</v>
      </c>
      <c r="P6680" t="s">
        <v>514</v>
      </c>
      <c r="Y6680">
        <v>423</v>
      </c>
      <c r="Z6680" s="259" t="s">
        <v>659</v>
      </c>
      <c r="AZ6680" t="s">
        <v>1215</v>
      </c>
      <c r="BA6680">
        <v>182.03</v>
      </c>
      <c r="BB6680" t="s">
        <v>564</v>
      </c>
      <c r="BC6680" t="s">
        <v>793</v>
      </c>
      <c r="BD6680">
        <v>0</v>
      </c>
      <c r="BE6680">
        <v>46302</v>
      </c>
      <c r="BF6680" t="s">
        <v>588</v>
      </c>
      <c r="BG6680">
        <v>0</v>
      </c>
    </row>
    <row r="6681" spans="3:59" x14ac:dyDescent="0.35">
      <c r="C6681">
        <v>45882</v>
      </c>
      <c r="F6681" t="s">
        <v>752</v>
      </c>
      <c r="N6681">
        <v>1</v>
      </c>
      <c r="O6681" t="s">
        <v>239</v>
      </c>
      <c r="P6681" t="s">
        <v>514</v>
      </c>
      <c r="Y6681">
        <v>424</v>
      </c>
      <c r="Z6681" s="259" t="s">
        <v>659</v>
      </c>
      <c r="AZ6681" t="s">
        <v>1216</v>
      </c>
      <c r="BA6681">
        <v>182.4</v>
      </c>
      <c r="BB6681" t="s">
        <v>564</v>
      </c>
      <c r="BC6681" t="s">
        <v>793</v>
      </c>
      <c r="BD6681">
        <v>0</v>
      </c>
      <c r="BE6681">
        <v>46302</v>
      </c>
      <c r="BF6681" t="s">
        <v>588</v>
      </c>
      <c r="BG6681">
        <v>0</v>
      </c>
    </row>
    <row r="6682" spans="3:59" x14ac:dyDescent="0.35">
      <c r="C6682">
        <v>45883</v>
      </c>
      <c r="F6682" t="s">
        <v>752</v>
      </c>
      <c r="N6682">
        <v>1</v>
      </c>
      <c r="O6682" t="s">
        <v>239</v>
      </c>
      <c r="P6682" t="s">
        <v>514</v>
      </c>
      <c r="Y6682">
        <v>425</v>
      </c>
      <c r="Z6682" s="259" t="s">
        <v>659</v>
      </c>
      <c r="AZ6682" t="s">
        <v>1217</v>
      </c>
      <c r="BA6682">
        <v>182.77</v>
      </c>
      <c r="BB6682" t="s">
        <v>564</v>
      </c>
      <c r="BC6682" t="s">
        <v>793</v>
      </c>
      <c r="BD6682">
        <v>0</v>
      </c>
      <c r="BE6682">
        <v>46302</v>
      </c>
      <c r="BF6682" t="s">
        <v>588</v>
      </c>
      <c r="BG6682">
        <v>0</v>
      </c>
    </row>
    <row r="6683" spans="3:59" x14ac:dyDescent="0.35">
      <c r="C6683">
        <v>45884</v>
      </c>
      <c r="F6683" t="s">
        <v>752</v>
      </c>
      <c r="N6683">
        <v>1</v>
      </c>
      <c r="O6683" t="s">
        <v>239</v>
      </c>
      <c r="P6683" t="s">
        <v>514</v>
      </c>
      <c r="Y6683">
        <v>426</v>
      </c>
      <c r="Z6683" s="259" t="s">
        <v>659</v>
      </c>
      <c r="AZ6683" t="s">
        <v>1218</v>
      </c>
      <c r="BA6683">
        <v>183.13</v>
      </c>
      <c r="BB6683" t="s">
        <v>564</v>
      </c>
      <c r="BC6683" t="s">
        <v>793</v>
      </c>
      <c r="BD6683">
        <v>0</v>
      </c>
      <c r="BE6683">
        <v>46302</v>
      </c>
      <c r="BF6683" t="s">
        <v>588</v>
      </c>
      <c r="BG6683">
        <v>0</v>
      </c>
    </row>
    <row r="6684" spans="3:59" x14ac:dyDescent="0.35">
      <c r="C6684">
        <v>45887</v>
      </c>
      <c r="F6684" t="s">
        <v>752</v>
      </c>
      <c r="N6684">
        <v>1</v>
      </c>
      <c r="O6684" t="s">
        <v>239</v>
      </c>
      <c r="P6684" t="s">
        <v>514</v>
      </c>
      <c r="Y6684">
        <v>427</v>
      </c>
      <c r="Z6684" s="259" t="s">
        <v>659</v>
      </c>
      <c r="AZ6684" t="s">
        <v>1219</v>
      </c>
      <c r="BA6684">
        <v>184.23</v>
      </c>
      <c r="BB6684" t="s">
        <v>564</v>
      </c>
      <c r="BC6684" t="s">
        <v>793</v>
      </c>
      <c r="BD6684">
        <v>0</v>
      </c>
      <c r="BE6684">
        <v>46302</v>
      </c>
      <c r="BF6684" t="s">
        <v>588</v>
      </c>
      <c r="BG6684">
        <v>0</v>
      </c>
    </row>
    <row r="6685" spans="3:59" x14ac:dyDescent="0.35">
      <c r="C6685">
        <v>45888</v>
      </c>
      <c r="F6685" t="s">
        <v>752</v>
      </c>
      <c r="N6685">
        <v>1</v>
      </c>
      <c r="O6685" t="s">
        <v>239</v>
      </c>
      <c r="P6685" t="s">
        <v>514</v>
      </c>
      <c r="Y6685">
        <v>428</v>
      </c>
      <c r="Z6685" s="259" t="s">
        <v>659</v>
      </c>
      <c r="AZ6685" t="s">
        <v>1220</v>
      </c>
      <c r="BA6685">
        <v>184.6</v>
      </c>
      <c r="BB6685" t="s">
        <v>564</v>
      </c>
      <c r="BC6685" t="s">
        <v>793</v>
      </c>
      <c r="BD6685">
        <v>0</v>
      </c>
      <c r="BE6685">
        <v>46302</v>
      </c>
      <c r="BF6685" t="s">
        <v>588</v>
      </c>
      <c r="BG6685">
        <v>0</v>
      </c>
    </row>
    <row r="6686" spans="3:59" x14ac:dyDescent="0.35">
      <c r="C6686">
        <v>45889</v>
      </c>
      <c r="F6686" t="s">
        <v>752</v>
      </c>
      <c r="N6686">
        <v>1</v>
      </c>
      <c r="O6686" t="s">
        <v>239</v>
      </c>
      <c r="P6686" t="s">
        <v>514</v>
      </c>
      <c r="Y6686">
        <v>429</v>
      </c>
      <c r="Z6686" s="259" t="s">
        <v>659</v>
      </c>
      <c r="AZ6686" t="s">
        <v>1221</v>
      </c>
      <c r="BA6686">
        <v>184.97</v>
      </c>
      <c r="BB6686" t="s">
        <v>564</v>
      </c>
      <c r="BC6686" t="s">
        <v>793</v>
      </c>
      <c r="BD6686">
        <v>0</v>
      </c>
      <c r="BE6686">
        <v>46302</v>
      </c>
      <c r="BF6686" t="s">
        <v>588</v>
      </c>
      <c r="BG6686">
        <v>0</v>
      </c>
    </row>
    <row r="6687" spans="3:59" x14ac:dyDescent="0.35">
      <c r="C6687">
        <v>45890</v>
      </c>
      <c r="F6687" t="s">
        <v>752</v>
      </c>
      <c r="N6687">
        <v>1</v>
      </c>
      <c r="O6687" t="s">
        <v>239</v>
      </c>
      <c r="P6687" t="s">
        <v>514</v>
      </c>
      <c r="Y6687">
        <v>430</v>
      </c>
      <c r="Z6687" s="259" t="s">
        <v>659</v>
      </c>
      <c r="AZ6687" t="s">
        <v>1222</v>
      </c>
      <c r="BA6687">
        <v>185.33</v>
      </c>
      <c r="BB6687" t="s">
        <v>564</v>
      </c>
      <c r="BC6687" t="s">
        <v>793</v>
      </c>
      <c r="BD6687">
        <v>0</v>
      </c>
      <c r="BE6687">
        <v>46302</v>
      </c>
      <c r="BF6687" t="s">
        <v>588</v>
      </c>
      <c r="BG6687">
        <v>0</v>
      </c>
    </row>
    <row r="6688" spans="3:59" x14ac:dyDescent="0.35">
      <c r="C6688">
        <v>45891</v>
      </c>
      <c r="F6688" t="s">
        <v>752</v>
      </c>
      <c r="N6688">
        <v>1</v>
      </c>
      <c r="O6688" t="s">
        <v>239</v>
      </c>
      <c r="P6688" t="s">
        <v>514</v>
      </c>
      <c r="Y6688">
        <v>431</v>
      </c>
      <c r="Z6688" s="259" t="s">
        <v>659</v>
      </c>
      <c r="AZ6688" t="s">
        <v>1223</v>
      </c>
      <c r="BA6688">
        <v>185.7</v>
      </c>
      <c r="BB6688" t="s">
        <v>564</v>
      </c>
      <c r="BC6688" t="s">
        <v>793</v>
      </c>
      <c r="BD6688">
        <v>0</v>
      </c>
      <c r="BE6688">
        <v>46302</v>
      </c>
      <c r="BF6688" t="s">
        <v>588</v>
      </c>
      <c r="BG6688">
        <v>0</v>
      </c>
    </row>
    <row r="6689" spans="3:59" x14ac:dyDescent="0.35">
      <c r="C6689">
        <v>45894</v>
      </c>
      <c r="F6689" t="s">
        <v>752</v>
      </c>
      <c r="N6689">
        <v>1</v>
      </c>
      <c r="O6689" t="s">
        <v>239</v>
      </c>
      <c r="P6689" t="s">
        <v>514</v>
      </c>
      <c r="Y6689">
        <v>432</v>
      </c>
      <c r="Z6689" s="259" t="s">
        <v>659</v>
      </c>
      <c r="AZ6689" t="s">
        <v>1224</v>
      </c>
      <c r="BA6689">
        <v>186.8</v>
      </c>
      <c r="BB6689" t="s">
        <v>564</v>
      </c>
      <c r="BC6689" t="s">
        <v>793</v>
      </c>
      <c r="BD6689">
        <v>0</v>
      </c>
      <c r="BE6689">
        <v>46302</v>
      </c>
      <c r="BF6689" t="s">
        <v>588</v>
      </c>
      <c r="BG6689">
        <v>0</v>
      </c>
    </row>
    <row r="6690" spans="3:59" x14ac:dyDescent="0.35">
      <c r="C6690">
        <v>45895</v>
      </c>
      <c r="F6690" t="s">
        <v>752</v>
      </c>
      <c r="N6690">
        <v>1</v>
      </c>
      <c r="O6690" t="s">
        <v>239</v>
      </c>
      <c r="P6690" t="s">
        <v>514</v>
      </c>
      <c r="Y6690">
        <v>433</v>
      </c>
      <c r="Z6690" s="259" t="s">
        <v>659</v>
      </c>
      <c r="AZ6690" t="s">
        <v>1225</v>
      </c>
      <c r="BA6690">
        <v>187.17</v>
      </c>
      <c r="BB6690" t="s">
        <v>564</v>
      </c>
      <c r="BC6690" t="s">
        <v>793</v>
      </c>
      <c r="BD6690">
        <v>0</v>
      </c>
      <c r="BE6690">
        <v>46302</v>
      </c>
      <c r="BF6690" t="s">
        <v>588</v>
      </c>
      <c r="BG6690">
        <v>0</v>
      </c>
    </row>
    <row r="6691" spans="3:59" x14ac:dyDescent="0.35">
      <c r="C6691">
        <v>45896</v>
      </c>
      <c r="F6691" t="s">
        <v>752</v>
      </c>
      <c r="N6691">
        <v>1</v>
      </c>
      <c r="O6691" t="s">
        <v>239</v>
      </c>
      <c r="P6691" t="s">
        <v>514</v>
      </c>
      <c r="Y6691">
        <v>434</v>
      </c>
      <c r="Z6691" s="259" t="s">
        <v>659</v>
      </c>
      <c r="AZ6691" t="s">
        <v>1226</v>
      </c>
      <c r="BA6691">
        <v>187.53</v>
      </c>
      <c r="BB6691" t="s">
        <v>564</v>
      </c>
      <c r="BC6691" t="s">
        <v>793</v>
      </c>
      <c r="BD6691">
        <v>0</v>
      </c>
      <c r="BE6691">
        <v>46302</v>
      </c>
      <c r="BF6691" t="s">
        <v>588</v>
      </c>
      <c r="BG6691">
        <v>0</v>
      </c>
    </row>
    <row r="6692" spans="3:59" x14ac:dyDescent="0.35">
      <c r="C6692">
        <v>45897</v>
      </c>
      <c r="F6692" t="s">
        <v>752</v>
      </c>
      <c r="N6692">
        <v>1</v>
      </c>
      <c r="O6692" t="s">
        <v>239</v>
      </c>
      <c r="P6692" t="s">
        <v>514</v>
      </c>
      <c r="Y6692">
        <v>435</v>
      </c>
      <c r="Z6692" s="259" t="s">
        <v>659</v>
      </c>
      <c r="AZ6692" t="s">
        <v>1227</v>
      </c>
      <c r="BA6692">
        <v>187.9</v>
      </c>
      <c r="BB6692" t="s">
        <v>564</v>
      </c>
      <c r="BC6692" t="s">
        <v>793</v>
      </c>
      <c r="BD6692">
        <v>0</v>
      </c>
      <c r="BE6692">
        <v>46302</v>
      </c>
      <c r="BF6692" t="s">
        <v>588</v>
      </c>
      <c r="BG6692">
        <v>0</v>
      </c>
    </row>
    <row r="6693" spans="3:59" x14ac:dyDescent="0.35">
      <c r="C6693">
        <v>45898</v>
      </c>
      <c r="F6693" t="s">
        <v>752</v>
      </c>
      <c r="N6693">
        <v>1</v>
      </c>
      <c r="O6693" t="s">
        <v>239</v>
      </c>
      <c r="P6693" t="s">
        <v>514</v>
      </c>
      <c r="Y6693">
        <v>436</v>
      </c>
      <c r="Z6693" s="259" t="s">
        <v>659</v>
      </c>
      <c r="AZ6693" t="s">
        <v>1228</v>
      </c>
      <c r="BA6693">
        <v>188.27</v>
      </c>
      <c r="BB6693" t="s">
        <v>564</v>
      </c>
      <c r="BC6693" t="s">
        <v>793</v>
      </c>
      <c r="BD6693">
        <v>0</v>
      </c>
      <c r="BE6693">
        <v>46302</v>
      </c>
      <c r="BF6693" t="s">
        <v>588</v>
      </c>
      <c r="BG6693">
        <v>0</v>
      </c>
    </row>
    <row r="6694" spans="3:59" x14ac:dyDescent="0.35">
      <c r="C6694">
        <v>45901</v>
      </c>
      <c r="F6694" t="s">
        <v>752</v>
      </c>
      <c r="N6694">
        <v>1</v>
      </c>
      <c r="O6694" t="s">
        <v>239</v>
      </c>
      <c r="P6694" t="s">
        <v>514</v>
      </c>
      <c r="Y6694">
        <v>437</v>
      </c>
      <c r="Z6694" s="259" t="s">
        <v>659</v>
      </c>
      <c r="AZ6694" t="s">
        <v>1229</v>
      </c>
      <c r="BA6694">
        <v>186</v>
      </c>
      <c r="BB6694" t="s">
        <v>564</v>
      </c>
      <c r="BC6694" t="s">
        <v>793</v>
      </c>
      <c r="BD6694">
        <v>0</v>
      </c>
      <c r="BE6694">
        <v>46302</v>
      </c>
      <c r="BF6694" t="s">
        <v>588</v>
      </c>
      <c r="BG6694">
        <v>0</v>
      </c>
    </row>
    <row r="6695" spans="3:59" x14ac:dyDescent="0.35">
      <c r="C6695">
        <v>45902</v>
      </c>
      <c r="F6695" t="s">
        <v>752</v>
      </c>
      <c r="N6695">
        <v>1</v>
      </c>
      <c r="O6695" t="s">
        <v>239</v>
      </c>
      <c r="P6695" t="s">
        <v>514</v>
      </c>
      <c r="Y6695">
        <v>438</v>
      </c>
      <c r="Z6695" s="259" t="s">
        <v>659</v>
      </c>
      <c r="AZ6695" t="s">
        <v>1230</v>
      </c>
      <c r="BA6695">
        <v>185.69</v>
      </c>
      <c r="BB6695" t="s">
        <v>564</v>
      </c>
      <c r="BC6695" t="s">
        <v>793</v>
      </c>
      <c r="BD6695">
        <v>0</v>
      </c>
      <c r="BE6695">
        <v>46302</v>
      </c>
      <c r="BF6695" t="s">
        <v>588</v>
      </c>
      <c r="BG6695">
        <v>0</v>
      </c>
    </row>
    <row r="6696" spans="3:59" x14ac:dyDescent="0.35">
      <c r="C6696">
        <v>45903</v>
      </c>
      <c r="F6696" t="s">
        <v>752</v>
      </c>
      <c r="N6696">
        <v>1</v>
      </c>
      <c r="O6696" t="s">
        <v>239</v>
      </c>
      <c r="P6696" t="s">
        <v>514</v>
      </c>
      <c r="Y6696">
        <v>439</v>
      </c>
      <c r="Z6696" s="259" t="s">
        <v>659</v>
      </c>
      <c r="AZ6696" t="s">
        <v>1231</v>
      </c>
      <c r="BA6696">
        <v>185.38</v>
      </c>
      <c r="BB6696" t="s">
        <v>564</v>
      </c>
      <c r="BC6696" t="s">
        <v>793</v>
      </c>
      <c r="BD6696">
        <v>0</v>
      </c>
      <c r="BE6696">
        <v>46302</v>
      </c>
      <c r="BF6696" t="s">
        <v>588</v>
      </c>
      <c r="BG6696">
        <v>0</v>
      </c>
    </row>
    <row r="6697" spans="3:59" x14ac:dyDescent="0.35">
      <c r="C6697">
        <v>45904</v>
      </c>
      <c r="F6697" t="s">
        <v>752</v>
      </c>
      <c r="N6697">
        <v>1</v>
      </c>
      <c r="O6697" t="s">
        <v>239</v>
      </c>
      <c r="P6697" t="s">
        <v>514</v>
      </c>
      <c r="Y6697">
        <v>440</v>
      </c>
      <c r="Z6697" s="259" t="s">
        <v>659</v>
      </c>
      <c r="AZ6697" t="s">
        <v>1232</v>
      </c>
      <c r="BA6697">
        <v>185.07</v>
      </c>
      <c r="BB6697" t="s">
        <v>564</v>
      </c>
      <c r="BC6697" t="s">
        <v>793</v>
      </c>
      <c r="BD6697">
        <v>0</v>
      </c>
      <c r="BE6697">
        <v>46302</v>
      </c>
      <c r="BF6697" t="s">
        <v>588</v>
      </c>
      <c r="BG6697">
        <v>0</v>
      </c>
    </row>
    <row r="6698" spans="3:59" x14ac:dyDescent="0.35">
      <c r="C6698">
        <v>45905</v>
      </c>
      <c r="F6698" t="s">
        <v>752</v>
      </c>
      <c r="N6698">
        <v>1</v>
      </c>
      <c r="O6698" t="s">
        <v>239</v>
      </c>
      <c r="P6698" t="s">
        <v>514</v>
      </c>
      <c r="Y6698">
        <v>441</v>
      </c>
      <c r="Z6698" s="259" t="s">
        <v>659</v>
      </c>
      <c r="AZ6698" t="s">
        <v>1233</v>
      </c>
      <c r="BA6698">
        <v>184.76</v>
      </c>
      <c r="BB6698" t="s">
        <v>564</v>
      </c>
      <c r="BC6698" t="s">
        <v>793</v>
      </c>
      <c r="BD6698">
        <v>0</v>
      </c>
      <c r="BE6698">
        <v>46302</v>
      </c>
      <c r="BF6698" t="s">
        <v>588</v>
      </c>
      <c r="BG6698">
        <v>0</v>
      </c>
    </row>
    <row r="6699" spans="3:59" x14ac:dyDescent="0.35">
      <c r="C6699">
        <v>45908</v>
      </c>
      <c r="F6699" t="s">
        <v>752</v>
      </c>
      <c r="N6699">
        <v>1</v>
      </c>
      <c r="O6699" t="s">
        <v>239</v>
      </c>
      <c r="P6699" t="s">
        <v>514</v>
      </c>
      <c r="Y6699">
        <v>442</v>
      </c>
      <c r="Z6699" s="259" t="s">
        <v>659</v>
      </c>
      <c r="AZ6699" t="s">
        <v>1234</v>
      </c>
      <c r="BA6699">
        <v>183.83</v>
      </c>
      <c r="BB6699" t="s">
        <v>564</v>
      </c>
      <c r="BC6699" t="s">
        <v>793</v>
      </c>
      <c r="BD6699">
        <v>0</v>
      </c>
      <c r="BE6699">
        <v>46302</v>
      </c>
      <c r="BF6699" t="s">
        <v>588</v>
      </c>
      <c r="BG6699">
        <v>0</v>
      </c>
    </row>
    <row r="6700" spans="3:59" x14ac:dyDescent="0.35">
      <c r="C6700">
        <v>45909</v>
      </c>
      <c r="F6700" t="s">
        <v>752</v>
      </c>
      <c r="N6700">
        <v>1</v>
      </c>
      <c r="O6700" t="s">
        <v>239</v>
      </c>
      <c r="P6700" t="s">
        <v>514</v>
      </c>
      <c r="Y6700">
        <v>443</v>
      </c>
      <c r="Z6700" s="259" t="s">
        <v>659</v>
      </c>
      <c r="AZ6700" t="s">
        <v>1235</v>
      </c>
      <c r="BA6700">
        <v>183.52</v>
      </c>
      <c r="BB6700" t="s">
        <v>564</v>
      </c>
      <c r="BC6700" t="s">
        <v>793</v>
      </c>
      <c r="BD6700">
        <v>0</v>
      </c>
      <c r="BE6700">
        <v>46302</v>
      </c>
      <c r="BF6700" t="s">
        <v>588</v>
      </c>
      <c r="BG6700">
        <v>0</v>
      </c>
    </row>
    <row r="6701" spans="3:59" x14ac:dyDescent="0.35">
      <c r="C6701">
        <v>45910</v>
      </c>
      <c r="F6701" t="s">
        <v>752</v>
      </c>
      <c r="N6701">
        <v>1</v>
      </c>
      <c r="O6701" t="s">
        <v>239</v>
      </c>
      <c r="P6701" t="s">
        <v>514</v>
      </c>
      <c r="Y6701">
        <v>444</v>
      </c>
      <c r="Z6701" s="259" t="s">
        <v>659</v>
      </c>
      <c r="AZ6701" t="s">
        <v>1236</v>
      </c>
      <c r="BA6701">
        <v>183.21</v>
      </c>
      <c r="BB6701" t="s">
        <v>564</v>
      </c>
      <c r="BC6701" t="s">
        <v>793</v>
      </c>
      <c r="BD6701">
        <v>0</v>
      </c>
      <c r="BE6701">
        <v>46302</v>
      </c>
      <c r="BF6701" t="s">
        <v>588</v>
      </c>
      <c r="BG6701">
        <v>0</v>
      </c>
    </row>
    <row r="6702" spans="3:59" x14ac:dyDescent="0.35">
      <c r="C6702">
        <v>45911</v>
      </c>
      <c r="F6702" t="s">
        <v>752</v>
      </c>
      <c r="N6702">
        <v>1</v>
      </c>
      <c r="O6702" t="s">
        <v>239</v>
      </c>
      <c r="P6702" t="s">
        <v>514</v>
      </c>
      <c r="Y6702">
        <v>445</v>
      </c>
      <c r="Z6702" s="259" t="s">
        <v>659</v>
      </c>
      <c r="AZ6702" t="s">
        <v>1237</v>
      </c>
      <c r="BA6702">
        <v>182.9</v>
      </c>
      <c r="BB6702" t="s">
        <v>564</v>
      </c>
      <c r="BC6702" t="s">
        <v>793</v>
      </c>
      <c r="BD6702">
        <v>0</v>
      </c>
      <c r="BE6702">
        <v>46302</v>
      </c>
      <c r="BF6702" t="s">
        <v>588</v>
      </c>
      <c r="BG6702">
        <v>0</v>
      </c>
    </row>
    <row r="6703" spans="3:59" x14ac:dyDescent="0.35">
      <c r="C6703">
        <v>45912</v>
      </c>
      <c r="F6703" t="s">
        <v>752</v>
      </c>
      <c r="N6703">
        <v>1</v>
      </c>
      <c r="O6703" t="s">
        <v>239</v>
      </c>
      <c r="P6703" t="s">
        <v>514</v>
      </c>
      <c r="Y6703">
        <v>446</v>
      </c>
      <c r="Z6703" s="259" t="s">
        <v>659</v>
      </c>
      <c r="AZ6703" t="s">
        <v>1238</v>
      </c>
      <c r="BA6703">
        <v>182.59</v>
      </c>
      <c r="BB6703" t="s">
        <v>564</v>
      </c>
      <c r="BC6703" t="s">
        <v>793</v>
      </c>
      <c r="BD6703">
        <v>0</v>
      </c>
      <c r="BE6703">
        <v>46302</v>
      </c>
      <c r="BF6703" t="s">
        <v>588</v>
      </c>
      <c r="BG6703">
        <v>0</v>
      </c>
    </row>
    <row r="6704" spans="3:59" x14ac:dyDescent="0.35">
      <c r="C6704">
        <v>45915</v>
      </c>
      <c r="F6704" t="s">
        <v>752</v>
      </c>
      <c r="N6704">
        <v>1</v>
      </c>
      <c r="O6704" t="s">
        <v>239</v>
      </c>
      <c r="P6704" t="s">
        <v>514</v>
      </c>
      <c r="Y6704">
        <v>447</v>
      </c>
      <c r="Z6704" s="259" t="s">
        <v>659</v>
      </c>
      <c r="AZ6704" t="s">
        <v>1239</v>
      </c>
      <c r="BA6704">
        <v>181.66</v>
      </c>
      <c r="BB6704" t="s">
        <v>564</v>
      </c>
      <c r="BC6704" t="s">
        <v>793</v>
      </c>
      <c r="BD6704">
        <v>0</v>
      </c>
      <c r="BE6704">
        <v>46302</v>
      </c>
      <c r="BF6704" t="s">
        <v>588</v>
      </c>
      <c r="BG6704">
        <v>0</v>
      </c>
    </row>
    <row r="6705" spans="3:59" x14ac:dyDescent="0.35">
      <c r="C6705">
        <v>45916</v>
      </c>
      <c r="F6705" t="s">
        <v>752</v>
      </c>
      <c r="N6705">
        <v>1</v>
      </c>
      <c r="O6705" t="s">
        <v>239</v>
      </c>
      <c r="P6705" t="s">
        <v>514</v>
      </c>
      <c r="Y6705">
        <v>448</v>
      </c>
      <c r="Z6705" s="259" t="s">
        <v>659</v>
      </c>
      <c r="AZ6705" t="s">
        <v>1240</v>
      </c>
      <c r="BA6705">
        <v>181.34</v>
      </c>
      <c r="BB6705" t="s">
        <v>564</v>
      </c>
      <c r="BC6705" t="s">
        <v>793</v>
      </c>
      <c r="BD6705">
        <v>0</v>
      </c>
      <c r="BE6705">
        <v>46302</v>
      </c>
      <c r="BF6705" t="s">
        <v>588</v>
      </c>
      <c r="BG6705">
        <v>0</v>
      </c>
    </row>
    <row r="6706" spans="3:59" x14ac:dyDescent="0.35">
      <c r="C6706">
        <v>45917</v>
      </c>
      <c r="F6706" t="s">
        <v>752</v>
      </c>
      <c r="N6706">
        <v>1</v>
      </c>
      <c r="O6706" t="s">
        <v>239</v>
      </c>
      <c r="P6706" t="s">
        <v>514</v>
      </c>
      <c r="Y6706">
        <v>449</v>
      </c>
      <c r="Z6706" s="259" t="s">
        <v>659</v>
      </c>
      <c r="AZ6706" t="s">
        <v>1241</v>
      </c>
      <c r="BA6706">
        <v>181.03</v>
      </c>
      <c r="BB6706" t="s">
        <v>564</v>
      </c>
      <c r="BC6706" t="s">
        <v>793</v>
      </c>
      <c r="BD6706">
        <v>0</v>
      </c>
      <c r="BE6706">
        <v>46302</v>
      </c>
      <c r="BF6706" t="s">
        <v>588</v>
      </c>
      <c r="BG6706">
        <v>0</v>
      </c>
    </row>
    <row r="6707" spans="3:59" x14ac:dyDescent="0.35">
      <c r="C6707">
        <v>45918</v>
      </c>
      <c r="F6707" t="s">
        <v>752</v>
      </c>
      <c r="N6707">
        <v>1</v>
      </c>
      <c r="O6707" t="s">
        <v>239</v>
      </c>
      <c r="P6707" t="s">
        <v>514</v>
      </c>
      <c r="Y6707">
        <v>450</v>
      </c>
      <c r="Z6707" s="259" t="s">
        <v>659</v>
      </c>
      <c r="AZ6707" t="s">
        <v>1242</v>
      </c>
      <c r="BA6707">
        <v>180.72</v>
      </c>
      <c r="BB6707" t="s">
        <v>564</v>
      </c>
      <c r="BC6707" t="s">
        <v>793</v>
      </c>
      <c r="BD6707">
        <v>0</v>
      </c>
      <c r="BE6707">
        <v>46302</v>
      </c>
      <c r="BF6707" t="s">
        <v>588</v>
      </c>
      <c r="BG6707">
        <v>0</v>
      </c>
    </row>
    <row r="6708" spans="3:59" x14ac:dyDescent="0.35">
      <c r="C6708">
        <v>45919</v>
      </c>
      <c r="F6708" t="s">
        <v>752</v>
      </c>
      <c r="N6708">
        <v>1</v>
      </c>
      <c r="O6708" t="s">
        <v>239</v>
      </c>
      <c r="P6708" t="s">
        <v>514</v>
      </c>
      <c r="Y6708">
        <v>451</v>
      </c>
      <c r="Z6708" s="259" t="s">
        <v>659</v>
      </c>
      <c r="AZ6708" t="s">
        <v>1243</v>
      </c>
      <c r="BA6708">
        <v>180.41</v>
      </c>
      <c r="BB6708" t="s">
        <v>564</v>
      </c>
      <c r="BC6708" t="s">
        <v>793</v>
      </c>
      <c r="BD6708">
        <v>0</v>
      </c>
      <c r="BE6708">
        <v>46302</v>
      </c>
      <c r="BF6708" t="s">
        <v>588</v>
      </c>
      <c r="BG6708">
        <v>0</v>
      </c>
    </row>
    <row r="6709" spans="3:59" x14ac:dyDescent="0.35">
      <c r="C6709">
        <v>45922</v>
      </c>
      <c r="F6709" t="s">
        <v>752</v>
      </c>
      <c r="N6709">
        <v>1</v>
      </c>
      <c r="O6709" t="s">
        <v>239</v>
      </c>
      <c r="P6709" t="s">
        <v>514</v>
      </c>
      <c r="Y6709">
        <v>452</v>
      </c>
      <c r="Z6709" s="259" t="s">
        <v>659</v>
      </c>
      <c r="AZ6709" t="s">
        <v>1244</v>
      </c>
      <c r="BA6709">
        <v>179.48</v>
      </c>
      <c r="BB6709" t="s">
        <v>564</v>
      </c>
      <c r="BC6709" t="s">
        <v>793</v>
      </c>
      <c r="BD6709">
        <v>0</v>
      </c>
      <c r="BE6709">
        <v>46302</v>
      </c>
      <c r="BF6709" t="s">
        <v>588</v>
      </c>
      <c r="BG6709">
        <v>0</v>
      </c>
    </row>
    <row r="6710" spans="3:59" x14ac:dyDescent="0.35">
      <c r="C6710">
        <v>45923</v>
      </c>
      <c r="F6710" t="s">
        <v>752</v>
      </c>
      <c r="N6710">
        <v>1</v>
      </c>
      <c r="O6710" t="s">
        <v>239</v>
      </c>
      <c r="P6710" t="s">
        <v>514</v>
      </c>
      <c r="Y6710">
        <v>453</v>
      </c>
      <c r="Z6710" s="259" t="s">
        <v>659</v>
      </c>
      <c r="AZ6710" t="s">
        <v>1245</v>
      </c>
      <c r="BA6710">
        <v>179.17</v>
      </c>
      <c r="BB6710" t="s">
        <v>564</v>
      </c>
      <c r="BC6710" t="s">
        <v>793</v>
      </c>
      <c r="BD6710">
        <v>0</v>
      </c>
      <c r="BE6710">
        <v>46302</v>
      </c>
      <c r="BF6710" t="s">
        <v>588</v>
      </c>
      <c r="BG6710">
        <v>0</v>
      </c>
    </row>
    <row r="6711" spans="3:59" x14ac:dyDescent="0.35">
      <c r="C6711">
        <v>45924</v>
      </c>
      <c r="F6711" t="s">
        <v>752</v>
      </c>
      <c r="N6711">
        <v>1</v>
      </c>
      <c r="O6711" t="s">
        <v>239</v>
      </c>
      <c r="P6711" t="s">
        <v>514</v>
      </c>
      <c r="Y6711">
        <v>454</v>
      </c>
      <c r="Z6711" s="259" t="s">
        <v>659</v>
      </c>
      <c r="AZ6711" t="s">
        <v>1246</v>
      </c>
      <c r="BA6711">
        <v>178.86</v>
      </c>
      <c r="BB6711" t="s">
        <v>564</v>
      </c>
      <c r="BC6711" t="s">
        <v>793</v>
      </c>
      <c r="BD6711">
        <v>0</v>
      </c>
      <c r="BE6711">
        <v>46302</v>
      </c>
      <c r="BF6711" t="s">
        <v>588</v>
      </c>
      <c r="BG6711">
        <v>0</v>
      </c>
    </row>
    <row r="6712" spans="3:59" x14ac:dyDescent="0.35">
      <c r="C6712">
        <v>45925</v>
      </c>
      <c r="F6712" t="s">
        <v>752</v>
      </c>
      <c r="N6712">
        <v>1</v>
      </c>
      <c r="O6712" t="s">
        <v>239</v>
      </c>
      <c r="P6712" t="s">
        <v>514</v>
      </c>
      <c r="Y6712">
        <v>455</v>
      </c>
      <c r="Z6712" s="259" t="s">
        <v>659</v>
      </c>
      <c r="AZ6712" t="s">
        <v>1247</v>
      </c>
      <c r="BA6712">
        <v>178.55</v>
      </c>
      <c r="BB6712" t="s">
        <v>564</v>
      </c>
      <c r="BC6712" t="s">
        <v>793</v>
      </c>
      <c r="BD6712">
        <v>0</v>
      </c>
      <c r="BE6712">
        <v>46302</v>
      </c>
      <c r="BF6712" t="s">
        <v>588</v>
      </c>
      <c r="BG6712">
        <v>0</v>
      </c>
    </row>
    <row r="6713" spans="3:59" x14ac:dyDescent="0.35">
      <c r="C6713">
        <v>45926</v>
      </c>
      <c r="F6713" t="s">
        <v>752</v>
      </c>
      <c r="N6713">
        <v>1</v>
      </c>
      <c r="O6713" t="s">
        <v>239</v>
      </c>
      <c r="P6713" t="s">
        <v>514</v>
      </c>
      <c r="Y6713">
        <v>456</v>
      </c>
      <c r="Z6713" s="259" t="s">
        <v>659</v>
      </c>
      <c r="AZ6713" t="s">
        <v>1248</v>
      </c>
      <c r="BA6713">
        <v>178.24</v>
      </c>
      <c r="BB6713" t="s">
        <v>564</v>
      </c>
      <c r="BC6713" t="s">
        <v>793</v>
      </c>
      <c r="BD6713">
        <v>0</v>
      </c>
      <c r="BE6713">
        <v>46302</v>
      </c>
      <c r="BF6713" t="s">
        <v>588</v>
      </c>
      <c r="BG6713">
        <v>0</v>
      </c>
    </row>
    <row r="6714" spans="3:59" x14ac:dyDescent="0.35">
      <c r="C6714">
        <v>45929</v>
      </c>
      <c r="F6714" t="s">
        <v>752</v>
      </c>
      <c r="N6714">
        <v>1</v>
      </c>
      <c r="O6714" t="s">
        <v>239</v>
      </c>
      <c r="P6714" t="s">
        <v>514</v>
      </c>
      <c r="Y6714">
        <v>457</v>
      </c>
      <c r="Z6714" s="259" t="s">
        <v>659</v>
      </c>
      <c r="AZ6714" t="s">
        <v>1249</v>
      </c>
      <c r="BA6714">
        <v>177.31</v>
      </c>
      <c r="BB6714" t="s">
        <v>564</v>
      </c>
      <c r="BC6714" t="s">
        <v>793</v>
      </c>
      <c r="BD6714">
        <v>0</v>
      </c>
      <c r="BE6714">
        <v>46302</v>
      </c>
      <c r="BF6714" t="s">
        <v>588</v>
      </c>
      <c r="BG6714">
        <v>0</v>
      </c>
    </row>
    <row r="6715" spans="3:59" x14ac:dyDescent="0.35">
      <c r="C6715">
        <v>45930</v>
      </c>
      <c r="F6715" t="s">
        <v>752</v>
      </c>
      <c r="N6715">
        <v>1</v>
      </c>
      <c r="O6715" t="s">
        <v>239</v>
      </c>
      <c r="P6715" t="s">
        <v>514</v>
      </c>
      <c r="Y6715">
        <v>458</v>
      </c>
      <c r="Z6715" s="259" t="s">
        <v>659</v>
      </c>
      <c r="AZ6715" t="s">
        <v>1250</v>
      </c>
      <c r="BA6715">
        <v>177</v>
      </c>
      <c r="BB6715" t="s">
        <v>564</v>
      </c>
      <c r="BC6715" t="s">
        <v>793</v>
      </c>
      <c r="BD6715">
        <v>0</v>
      </c>
      <c r="BE6715">
        <v>46302</v>
      </c>
      <c r="BF6715" t="s">
        <v>588</v>
      </c>
      <c r="BG6715">
        <v>0</v>
      </c>
    </row>
    <row r="6716" spans="3:59" x14ac:dyDescent="0.35">
      <c r="C6716">
        <v>45931</v>
      </c>
      <c r="F6716" t="s">
        <v>752</v>
      </c>
      <c r="N6716">
        <v>1</v>
      </c>
      <c r="O6716" t="s">
        <v>239</v>
      </c>
      <c r="P6716" t="s">
        <v>514</v>
      </c>
      <c r="Y6716">
        <v>459</v>
      </c>
      <c r="Z6716" s="259" t="s">
        <v>659</v>
      </c>
      <c r="AZ6716" t="s">
        <v>1251</v>
      </c>
      <c r="BA6716">
        <v>177</v>
      </c>
      <c r="BB6716" t="s">
        <v>564</v>
      </c>
      <c r="BC6716" t="s">
        <v>793</v>
      </c>
      <c r="BD6716">
        <v>0</v>
      </c>
      <c r="BE6716">
        <v>46302</v>
      </c>
      <c r="BF6716" t="s">
        <v>588</v>
      </c>
      <c r="BG6716">
        <v>0</v>
      </c>
    </row>
    <row r="6717" spans="3:59" x14ac:dyDescent="0.35">
      <c r="C6717">
        <v>45932</v>
      </c>
      <c r="F6717" t="s">
        <v>752</v>
      </c>
      <c r="N6717">
        <v>1</v>
      </c>
      <c r="O6717" t="s">
        <v>239</v>
      </c>
      <c r="P6717" t="s">
        <v>514</v>
      </c>
      <c r="Y6717">
        <v>460</v>
      </c>
      <c r="Z6717" s="259" t="s">
        <v>659</v>
      </c>
      <c r="AZ6717" t="s">
        <v>1252</v>
      </c>
      <c r="BA6717">
        <v>177.13</v>
      </c>
      <c r="BB6717" t="s">
        <v>564</v>
      </c>
      <c r="BC6717" t="s">
        <v>793</v>
      </c>
      <c r="BD6717">
        <v>0</v>
      </c>
      <c r="BE6717">
        <v>46302</v>
      </c>
      <c r="BF6717" t="s">
        <v>588</v>
      </c>
      <c r="BG6717">
        <v>0</v>
      </c>
    </row>
    <row r="6718" spans="3:59" x14ac:dyDescent="0.35">
      <c r="C6718">
        <v>45933</v>
      </c>
      <c r="F6718" t="s">
        <v>752</v>
      </c>
      <c r="N6718">
        <v>1</v>
      </c>
      <c r="O6718" t="s">
        <v>239</v>
      </c>
      <c r="P6718" t="s">
        <v>514</v>
      </c>
      <c r="Y6718">
        <v>461</v>
      </c>
      <c r="Z6718" s="259" t="s">
        <v>659</v>
      </c>
      <c r="AZ6718" t="s">
        <v>1253</v>
      </c>
      <c r="BA6718">
        <v>177.27</v>
      </c>
      <c r="BB6718" t="s">
        <v>564</v>
      </c>
      <c r="BC6718" t="s">
        <v>793</v>
      </c>
      <c r="BD6718">
        <v>0</v>
      </c>
      <c r="BE6718">
        <v>46302</v>
      </c>
      <c r="BF6718" t="s">
        <v>588</v>
      </c>
      <c r="BG6718">
        <v>0</v>
      </c>
    </row>
    <row r="6719" spans="3:59" x14ac:dyDescent="0.35">
      <c r="C6719">
        <v>45936</v>
      </c>
      <c r="F6719" t="s">
        <v>752</v>
      </c>
      <c r="N6719">
        <v>1</v>
      </c>
      <c r="O6719" t="s">
        <v>239</v>
      </c>
      <c r="P6719" t="s">
        <v>514</v>
      </c>
      <c r="Y6719">
        <v>462</v>
      </c>
      <c r="Z6719" s="259" t="s">
        <v>659</v>
      </c>
      <c r="AZ6719" t="s">
        <v>1254</v>
      </c>
      <c r="BA6719">
        <v>177.67</v>
      </c>
      <c r="BB6719" t="s">
        <v>564</v>
      </c>
      <c r="BC6719" t="s">
        <v>793</v>
      </c>
      <c r="BD6719">
        <v>0</v>
      </c>
      <c r="BE6719">
        <v>46302</v>
      </c>
      <c r="BF6719" t="s">
        <v>588</v>
      </c>
      <c r="BG6719">
        <v>0</v>
      </c>
    </row>
    <row r="6720" spans="3:59" x14ac:dyDescent="0.35">
      <c r="C6720">
        <v>45937</v>
      </c>
      <c r="F6720" t="s">
        <v>752</v>
      </c>
      <c r="N6720">
        <v>1</v>
      </c>
      <c r="O6720" t="s">
        <v>239</v>
      </c>
      <c r="P6720" t="s">
        <v>514</v>
      </c>
      <c r="Y6720">
        <v>463</v>
      </c>
      <c r="Z6720" s="259" t="s">
        <v>659</v>
      </c>
      <c r="AZ6720" t="s">
        <v>1255</v>
      </c>
      <c r="BA6720">
        <v>177.8</v>
      </c>
      <c r="BB6720" t="s">
        <v>564</v>
      </c>
      <c r="BC6720" t="s">
        <v>793</v>
      </c>
      <c r="BD6720">
        <v>0</v>
      </c>
      <c r="BE6720">
        <v>46302</v>
      </c>
      <c r="BF6720" t="s">
        <v>588</v>
      </c>
      <c r="BG6720">
        <v>0</v>
      </c>
    </row>
    <row r="6721" spans="3:59" x14ac:dyDescent="0.35">
      <c r="C6721">
        <v>45938</v>
      </c>
      <c r="F6721" t="s">
        <v>752</v>
      </c>
      <c r="N6721">
        <v>1</v>
      </c>
      <c r="O6721" t="s">
        <v>239</v>
      </c>
      <c r="P6721" t="s">
        <v>514</v>
      </c>
      <c r="Y6721">
        <v>464</v>
      </c>
      <c r="Z6721" s="259" t="s">
        <v>659</v>
      </c>
      <c r="AZ6721" t="s">
        <v>1256</v>
      </c>
      <c r="BA6721">
        <v>177.93</v>
      </c>
      <c r="BB6721" t="s">
        <v>564</v>
      </c>
      <c r="BC6721" t="s">
        <v>793</v>
      </c>
      <c r="BD6721">
        <v>0</v>
      </c>
      <c r="BE6721">
        <v>46302</v>
      </c>
      <c r="BF6721" t="s">
        <v>588</v>
      </c>
      <c r="BG6721">
        <v>0</v>
      </c>
    </row>
    <row r="6722" spans="3:59" x14ac:dyDescent="0.35">
      <c r="C6722">
        <v>45939</v>
      </c>
      <c r="F6722" t="s">
        <v>752</v>
      </c>
      <c r="N6722">
        <v>1</v>
      </c>
      <c r="O6722" t="s">
        <v>239</v>
      </c>
      <c r="P6722" t="s">
        <v>514</v>
      </c>
      <c r="Y6722">
        <v>465</v>
      </c>
      <c r="Z6722" s="259" t="s">
        <v>659</v>
      </c>
      <c r="AZ6722" t="s">
        <v>1257</v>
      </c>
      <c r="BA6722">
        <v>178.07</v>
      </c>
      <c r="BB6722" t="s">
        <v>564</v>
      </c>
      <c r="BC6722" t="s">
        <v>793</v>
      </c>
      <c r="BD6722">
        <v>0</v>
      </c>
      <c r="BE6722">
        <v>46302</v>
      </c>
      <c r="BF6722" t="s">
        <v>588</v>
      </c>
      <c r="BG6722">
        <v>0</v>
      </c>
    </row>
    <row r="6723" spans="3:59" x14ac:dyDescent="0.35">
      <c r="C6723">
        <v>45940</v>
      </c>
      <c r="F6723" t="s">
        <v>752</v>
      </c>
      <c r="N6723">
        <v>1</v>
      </c>
      <c r="O6723" t="s">
        <v>239</v>
      </c>
      <c r="P6723" t="s">
        <v>514</v>
      </c>
      <c r="Y6723">
        <v>466</v>
      </c>
      <c r="Z6723" s="259" t="s">
        <v>659</v>
      </c>
      <c r="AZ6723" t="s">
        <v>1258</v>
      </c>
      <c r="BA6723">
        <v>178.2</v>
      </c>
      <c r="BB6723" t="s">
        <v>564</v>
      </c>
      <c r="BC6723" t="s">
        <v>793</v>
      </c>
      <c r="BD6723">
        <v>0</v>
      </c>
      <c r="BE6723">
        <v>46302</v>
      </c>
      <c r="BF6723" t="s">
        <v>588</v>
      </c>
      <c r="BG6723">
        <v>0</v>
      </c>
    </row>
    <row r="6724" spans="3:59" x14ac:dyDescent="0.35">
      <c r="C6724">
        <v>45943</v>
      </c>
      <c r="F6724" t="s">
        <v>752</v>
      </c>
      <c r="N6724">
        <v>1</v>
      </c>
      <c r="O6724" t="s">
        <v>239</v>
      </c>
      <c r="P6724" t="s">
        <v>514</v>
      </c>
      <c r="Y6724">
        <v>467</v>
      </c>
      <c r="Z6724" s="259" t="s">
        <v>659</v>
      </c>
      <c r="AZ6724" t="s">
        <v>1259</v>
      </c>
      <c r="BA6724">
        <v>178.6</v>
      </c>
      <c r="BB6724" t="s">
        <v>564</v>
      </c>
      <c r="BC6724" t="s">
        <v>793</v>
      </c>
      <c r="BD6724">
        <v>0</v>
      </c>
      <c r="BE6724">
        <v>46302</v>
      </c>
      <c r="BF6724" t="s">
        <v>588</v>
      </c>
      <c r="BG6724">
        <v>0</v>
      </c>
    </row>
    <row r="6725" spans="3:59" x14ac:dyDescent="0.35">
      <c r="C6725">
        <v>45944</v>
      </c>
      <c r="F6725" t="s">
        <v>752</v>
      </c>
      <c r="N6725">
        <v>1</v>
      </c>
      <c r="O6725" t="s">
        <v>239</v>
      </c>
      <c r="P6725" t="s">
        <v>514</v>
      </c>
      <c r="Y6725">
        <v>468</v>
      </c>
      <c r="Z6725" s="259" t="s">
        <v>659</v>
      </c>
      <c r="AZ6725" t="s">
        <v>1260</v>
      </c>
      <c r="BA6725">
        <v>178.73</v>
      </c>
      <c r="BB6725" t="s">
        <v>564</v>
      </c>
      <c r="BC6725" t="s">
        <v>793</v>
      </c>
      <c r="BD6725">
        <v>0</v>
      </c>
      <c r="BE6725">
        <v>46302</v>
      </c>
      <c r="BF6725" t="s">
        <v>588</v>
      </c>
      <c r="BG6725">
        <v>0</v>
      </c>
    </row>
    <row r="6726" spans="3:59" x14ac:dyDescent="0.35">
      <c r="C6726">
        <v>45945</v>
      </c>
      <c r="F6726" t="s">
        <v>752</v>
      </c>
      <c r="N6726">
        <v>1</v>
      </c>
      <c r="O6726" t="s">
        <v>239</v>
      </c>
      <c r="P6726" t="s">
        <v>514</v>
      </c>
      <c r="Y6726">
        <v>469</v>
      </c>
      <c r="Z6726" s="259" t="s">
        <v>659</v>
      </c>
      <c r="AZ6726" t="s">
        <v>1261</v>
      </c>
      <c r="BA6726">
        <v>178.87</v>
      </c>
      <c r="BB6726" t="s">
        <v>564</v>
      </c>
      <c r="BC6726" t="s">
        <v>793</v>
      </c>
      <c r="BD6726">
        <v>0</v>
      </c>
      <c r="BE6726">
        <v>46302</v>
      </c>
      <c r="BF6726" t="s">
        <v>588</v>
      </c>
      <c r="BG6726">
        <v>0</v>
      </c>
    </row>
    <row r="6727" spans="3:59" x14ac:dyDescent="0.35">
      <c r="C6727">
        <v>45946</v>
      </c>
      <c r="F6727" t="s">
        <v>752</v>
      </c>
      <c r="N6727">
        <v>1</v>
      </c>
      <c r="O6727" t="s">
        <v>239</v>
      </c>
      <c r="P6727" t="s">
        <v>514</v>
      </c>
      <c r="Y6727">
        <v>470</v>
      </c>
      <c r="Z6727" s="259" t="s">
        <v>659</v>
      </c>
      <c r="AZ6727" t="s">
        <v>1262</v>
      </c>
      <c r="BA6727">
        <v>179</v>
      </c>
      <c r="BB6727" t="s">
        <v>564</v>
      </c>
      <c r="BC6727" t="s">
        <v>793</v>
      </c>
      <c r="BD6727">
        <v>0</v>
      </c>
      <c r="BE6727">
        <v>46302</v>
      </c>
      <c r="BF6727" t="s">
        <v>588</v>
      </c>
      <c r="BG6727">
        <v>0</v>
      </c>
    </row>
    <row r="6728" spans="3:59" x14ac:dyDescent="0.35">
      <c r="C6728">
        <v>45947</v>
      </c>
      <c r="F6728" t="s">
        <v>752</v>
      </c>
      <c r="N6728">
        <v>1</v>
      </c>
      <c r="O6728" t="s">
        <v>239</v>
      </c>
      <c r="P6728" t="s">
        <v>514</v>
      </c>
      <c r="Y6728">
        <v>471</v>
      </c>
      <c r="Z6728" s="259" t="s">
        <v>659</v>
      </c>
      <c r="AZ6728" t="s">
        <v>1263</v>
      </c>
      <c r="BA6728">
        <v>179.13</v>
      </c>
      <c r="BB6728" t="s">
        <v>564</v>
      </c>
      <c r="BC6728" t="s">
        <v>793</v>
      </c>
      <c r="BD6728">
        <v>0</v>
      </c>
      <c r="BE6728">
        <v>46302</v>
      </c>
      <c r="BF6728" t="s">
        <v>588</v>
      </c>
      <c r="BG6728">
        <v>0</v>
      </c>
    </row>
    <row r="6729" spans="3:59" x14ac:dyDescent="0.35">
      <c r="C6729">
        <v>45950</v>
      </c>
      <c r="F6729" t="s">
        <v>752</v>
      </c>
      <c r="N6729">
        <v>1</v>
      </c>
      <c r="O6729" t="s">
        <v>239</v>
      </c>
      <c r="P6729" t="s">
        <v>514</v>
      </c>
      <c r="Y6729">
        <v>472</v>
      </c>
      <c r="Z6729" s="259" t="s">
        <v>659</v>
      </c>
      <c r="AZ6729" t="s">
        <v>1264</v>
      </c>
      <c r="BA6729">
        <v>179.53</v>
      </c>
      <c r="BB6729" t="s">
        <v>564</v>
      </c>
      <c r="BC6729" t="s">
        <v>793</v>
      </c>
      <c r="BD6729">
        <v>0</v>
      </c>
      <c r="BE6729">
        <v>46302</v>
      </c>
      <c r="BF6729" t="s">
        <v>588</v>
      </c>
      <c r="BG6729">
        <v>0</v>
      </c>
    </row>
    <row r="6730" spans="3:59" x14ac:dyDescent="0.35">
      <c r="C6730">
        <v>45951</v>
      </c>
      <c r="F6730" t="s">
        <v>752</v>
      </c>
      <c r="N6730">
        <v>1</v>
      </c>
      <c r="O6730" t="s">
        <v>239</v>
      </c>
      <c r="P6730" t="s">
        <v>514</v>
      </c>
      <c r="Y6730">
        <v>473</v>
      </c>
      <c r="Z6730" s="259" t="s">
        <v>659</v>
      </c>
      <c r="AZ6730" t="s">
        <v>1265</v>
      </c>
      <c r="BA6730">
        <v>179.67</v>
      </c>
      <c r="BB6730" t="s">
        <v>564</v>
      </c>
      <c r="BC6730" t="s">
        <v>793</v>
      </c>
      <c r="BD6730">
        <v>0</v>
      </c>
      <c r="BE6730">
        <v>46302</v>
      </c>
      <c r="BF6730" t="s">
        <v>588</v>
      </c>
      <c r="BG6730">
        <v>0</v>
      </c>
    </row>
    <row r="6731" spans="3:59" x14ac:dyDescent="0.35">
      <c r="C6731">
        <v>45952</v>
      </c>
      <c r="F6731" t="s">
        <v>752</v>
      </c>
      <c r="N6731">
        <v>1</v>
      </c>
      <c r="O6731" t="s">
        <v>239</v>
      </c>
      <c r="P6731" t="s">
        <v>514</v>
      </c>
      <c r="Y6731">
        <v>474</v>
      </c>
      <c r="Z6731" s="259" t="s">
        <v>659</v>
      </c>
      <c r="AZ6731" t="s">
        <v>1266</v>
      </c>
      <c r="BA6731">
        <v>179.8</v>
      </c>
      <c r="BB6731" t="s">
        <v>564</v>
      </c>
      <c r="BC6731" t="s">
        <v>793</v>
      </c>
      <c r="BD6731">
        <v>0</v>
      </c>
      <c r="BE6731">
        <v>46302</v>
      </c>
      <c r="BF6731" t="s">
        <v>588</v>
      </c>
      <c r="BG6731">
        <v>0</v>
      </c>
    </row>
    <row r="6732" spans="3:59" x14ac:dyDescent="0.35">
      <c r="C6732">
        <v>45953</v>
      </c>
      <c r="F6732" t="s">
        <v>752</v>
      </c>
      <c r="N6732">
        <v>1</v>
      </c>
      <c r="O6732" t="s">
        <v>239</v>
      </c>
      <c r="P6732" t="s">
        <v>514</v>
      </c>
      <c r="Y6732">
        <v>475</v>
      </c>
      <c r="Z6732" s="259" t="s">
        <v>659</v>
      </c>
      <c r="AZ6732" t="s">
        <v>1267</v>
      </c>
      <c r="BA6732">
        <v>179.93</v>
      </c>
      <c r="BB6732" t="s">
        <v>564</v>
      </c>
      <c r="BC6732" t="s">
        <v>793</v>
      </c>
      <c r="BD6732">
        <v>0</v>
      </c>
      <c r="BE6732">
        <v>46302</v>
      </c>
      <c r="BF6732" t="s">
        <v>588</v>
      </c>
      <c r="BG6732">
        <v>0</v>
      </c>
    </row>
    <row r="6733" spans="3:59" x14ac:dyDescent="0.35">
      <c r="C6733">
        <v>45954</v>
      </c>
      <c r="F6733" t="s">
        <v>752</v>
      </c>
      <c r="N6733">
        <v>1</v>
      </c>
      <c r="O6733" t="s">
        <v>239</v>
      </c>
      <c r="P6733" t="s">
        <v>514</v>
      </c>
      <c r="Y6733">
        <v>476</v>
      </c>
      <c r="Z6733" s="259" t="s">
        <v>659</v>
      </c>
      <c r="AZ6733" t="s">
        <v>1268</v>
      </c>
      <c r="BA6733">
        <v>180.07</v>
      </c>
      <c r="BB6733" t="s">
        <v>564</v>
      </c>
      <c r="BC6733" t="s">
        <v>793</v>
      </c>
      <c r="BD6733">
        <v>0</v>
      </c>
      <c r="BE6733">
        <v>46302</v>
      </c>
      <c r="BF6733" t="s">
        <v>588</v>
      </c>
      <c r="BG6733">
        <v>0</v>
      </c>
    </row>
    <row r="6734" spans="3:59" x14ac:dyDescent="0.35">
      <c r="C6734">
        <v>45957</v>
      </c>
      <c r="F6734" t="s">
        <v>752</v>
      </c>
      <c r="N6734">
        <v>1</v>
      </c>
      <c r="O6734" t="s">
        <v>239</v>
      </c>
      <c r="P6734" t="s">
        <v>514</v>
      </c>
      <c r="Y6734">
        <v>477</v>
      </c>
      <c r="Z6734" s="259" t="s">
        <v>659</v>
      </c>
      <c r="AZ6734" t="s">
        <v>1269</v>
      </c>
      <c r="BA6734">
        <v>180.47</v>
      </c>
      <c r="BB6734" t="s">
        <v>564</v>
      </c>
      <c r="BC6734" t="s">
        <v>793</v>
      </c>
      <c r="BD6734">
        <v>0</v>
      </c>
      <c r="BE6734">
        <v>46302</v>
      </c>
      <c r="BF6734" t="s">
        <v>588</v>
      </c>
      <c r="BG6734">
        <v>0</v>
      </c>
    </row>
    <row r="6735" spans="3:59" x14ac:dyDescent="0.35">
      <c r="C6735">
        <v>45958</v>
      </c>
      <c r="F6735" t="s">
        <v>752</v>
      </c>
      <c r="N6735">
        <v>1</v>
      </c>
      <c r="O6735" t="s">
        <v>239</v>
      </c>
      <c r="P6735" t="s">
        <v>514</v>
      </c>
      <c r="Y6735">
        <v>478</v>
      </c>
      <c r="Z6735" s="259" t="s">
        <v>659</v>
      </c>
      <c r="AZ6735" t="s">
        <v>1270</v>
      </c>
      <c r="BA6735">
        <v>180.6</v>
      </c>
      <c r="BB6735" t="s">
        <v>564</v>
      </c>
      <c r="BC6735" t="s">
        <v>793</v>
      </c>
      <c r="BD6735">
        <v>0</v>
      </c>
      <c r="BE6735">
        <v>46302</v>
      </c>
      <c r="BF6735" t="s">
        <v>588</v>
      </c>
      <c r="BG6735">
        <v>0</v>
      </c>
    </row>
    <row r="6736" spans="3:59" x14ac:dyDescent="0.35">
      <c r="C6736">
        <v>45959</v>
      </c>
      <c r="F6736" t="s">
        <v>752</v>
      </c>
      <c r="N6736">
        <v>1</v>
      </c>
      <c r="O6736" t="s">
        <v>239</v>
      </c>
      <c r="P6736" t="s">
        <v>514</v>
      </c>
      <c r="Y6736">
        <v>479</v>
      </c>
      <c r="Z6736" s="259" t="s">
        <v>659</v>
      </c>
      <c r="AZ6736" t="s">
        <v>1271</v>
      </c>
      <c r="BA6736">
        <v>180.73</v>
      </c>
      <c r="BB6736" t="s">
        <v>564</v>
      </c>
      <c r="BC6736" t="s">
        <v>793</v>
      </c>
      <c r="BD6736">
        <v>0</v>
      </c>
      <c r="BE6736">
        <v>46302</v>
      </c>
      <c r="BF6736" t="s">
        <v>588</v>
      </c>
      <c r="BG6736">
        <v>0</v>
      </c>
    </row>
    <row r="6737" spans="3:59" x14ac:dyDescent="0.35">
      <c r="C6737">
        <v>45960</v>
      </c>
      <c r="F6737" t="s">
        <v>752</v>
      </c>
      <c r="N6737">
        <v>1</v>
      </c>
      <c r="O6737" t="s">
        <v>239</v>
      </c>
      <c r="P6737" t="s">
        <v>514</v>
      </c>
      <c r="Y6737">
        <v>480</v>
      </c>
      <c r="Z6737" s="259" t="s">
        <v>659</v>
      </c>
      <c r="AZ6737" t="s">
        <v>1272</v>
      </c>
      <c r="BA6737">
        <v>180.87</v>
      </c>
      <c r="BB6737" t="s">
        <v>564</v>
      </c>
      <c r="BC6737" t="s">
        <v>793</v>
      </c>
      <c r="BD6737">
        <v>0</v>
      </c>
      <c r="BE6737">
        <v>46302</v>
      </c>
      <c r="BF6737" t="s">
        <v>588</v>
      </c>
      <c r="BG6737">
        <v>0</v>
      </c>
    </row>
    <row r="6738" spans="3:59" x14ac:dyDescent="0.35">
      <c r="C6738">
        <v>45961</v>
      </c>
      <c r="F6738" t="s">
        <v>752</v>
      </c>
      <c r="N6738">
        <v>1</v>
      </c>
      <c r="O6738" t="s">
        <v>239</v>
      </c>
      <c r="P6738" t="s">
        <v>514</v>
      </c>
      <c r="Y6738">
        <v>481</v>
      </c>
      <c r="Z6738" s="259" t="s">
        <v>659</v>
      </c>
      <c r="AZ6738" t="s">
        <v>1273</v>
      </c>
      <c r="BA6738">
        <v>181</v>
      </c>
      <c r="BB6738" t="s">
        <v>564</v>
      </c>
      <c r="BC6738" t="s">
        <v>793</v>
      </c>
      <c r="BD6738">
        <v>0</v>
      </c>
      <c r="BE6738">
        <v>46302</v>
      </c>
      <c r="BF6738" t="s">
        <v>588</v>
      </c>
      <c r="BG6738">
        <v>0</v>
      </c>
    </row>
    <row r="6739" spans="3:59" x14ac:dyDescent="0.35">
      <c r="C6739">
        <v>45964</v>
      </c>
      <c r="F6739" t="s">
        <v>752</v>
      </c>
      <c r="N6739">
        <v>1</v>
      </c>
      <c r="O6739" t="s">
        <v>239</v>
      </c>
      <c r="P6739" t="s">
        <v>514</v>
      </c>
      <c r="Y6739">
        <v>482</v>
      </c>
      <c r="Z6739" s="259" t="s">
        <v>659</v>
      </c>
      <c r="AZ6739" t="s">
        <v>1274</v>
      </c>
      <c r="BA6739">
        <v>180.24</v>
      </c>
      <c r="BB6739" t="s">
        <v>564</v>
      </c>
      <c r="BC6739" t="s">
        <v>793</v>
      </c>
      <c r="BD6739">
        <v>0</v>
      </c>
      <c r="BE6739">
        <v>46302</v>
      </c>
      <c r="BF6739" t="s">
        <v>588</v>
      </c>
      <c r="BG6739">
        <v>0</v>
      </c>
    </row>
    <row r="6740" spans="3:59" x14ac:dyDescent="0.35">
      <c r="C6740">
        <v>45965</v>
      </c>
      <c r="F6740" t="s">
        <v>752</v>
      </c>
      <c r="N6740">
        <v>1</v>
      </c>
      <c r="O6740" t="s">
        <v>239</v>
      </c>
      <c r="P6740" t="s">
        <v>514</v>
      </c>
      <c r="Y6740">
        <v>483</v>
      </c>
      <c r="Z6740" s="259" t="s">
        <v>659</v>
      </c>
      <c r="AZ6740" t="s">
        <v>1275</v>
      </c>
      <c r="BA6740">
        <v>179.86</v>
      </c>
      <c r="BB6740" t="s">
        <v>564</v>
      </c>
      <c r="BC6740" t="s">
        <v>793</v>
      </c>
      <c r="BD6740">
        <v>0</v>
      </c>
      <c r="BE6740">
        <v>46302</v>
      </c>
      <c r="BF6740" t="s">
        <v>588</v>
      </c>
      <c r="BG6740">
        <v>0</v>
      </c>
    </row>
    <row r="6741" spans="3:59" x14ac:dyDescent="0.35">
      <c r="C6741">
        <v>45966</v>
      </c>
      <c r="F6741" t="s">
        <v>752</v>
      </c>
      <c r="N6741">
        <v>1</v>
      </c>
      <c r="O6741" t="s">
        <v>239</v>
      </c>
      <c r="P6741" t="s">
        <v>514</v>
      </c>
      <c r="Y6741">
        <v>484</v>
      </c>
      <c r="Z6741" s="259" t="s">
        <v>659</v>
      </c>
      <c r="AZ6741" t="s">
        <v>1276</v>
      </c>
      <c r="BA6741">
        <v>179.48</v>
      </c>
      <c r="BB6741" t="s">
        <v>564</v>
      </c>
      <c r="BC6741" t="s">
        <v>793</v>
      </c>
      <c r="BD6741">
        <v>0</v>
      </c>
      <c r="BE6741">
        <v>46302</v>
      </c>
      <c r="BF6741" t="s">
        <v>588</v>
      </c>
      <c r="BG6741">
        <v>0</v>
      </c>
    </row>
    <row r="6742" spans="3:59" x14ac:dyDescent="0.35">
      <c r="C6742">
        <v>45967</v>
      </c>
      <c r="F6742" t="s">
        <v>752</v>
      </c>
      <c r="N6742">
        <v>1</v>
      </c>
      <c r="O6742" t="s">
        <v>239</v>
      </c>
      <c r="P6742" t="s">
        <v>514</v>
      </c>
      <c r="Y6742">
        <v>485</v>
      </c>
      <c r="Z6742" s="259" t="s">
        <v>659</v>
      </c>
      <c r="AZ6742" t="s">
        <v>1277</v>
      </c>
      <c r="BA6742">
        <v>179.1</v>
      </c>
      <c r="BB6742" t="s">
        <v>564</v>
      </c>
      <c r="BC6742" t="s">
        <v>793</v>
      </c>
      <c r="BD6742">
        <v>0</v>
      </c>
      <c r="BE6742">
        <v>46302</v>
      </c>
      <c r="BF6742" t="s">
        <v>588</v>
      </c>
      <c r="BG6742">
        <v>0</v>
      </c>
    </row>
    <row r="6743" spans="3:59" x14ac:dyDescent="0.35">
      <c r="C6743">
        <v>45968</v>
      </c>
      <c r="F6743" t="s">
        <v>752</v>
      </c>
      <c r="N6743">
        <v>1</v>
      </c>
      <c r="O6743" t="s">
        <v>239</v>
      </c>
      <c r="P6743" t="s">
        <v>514</v>
      </c>
      <c r="Y6743">
        <v>486</v>
      </c>
      <c r="Z6743" s="259" t="s">
        <v>659</v>
      </c>
      <c r="AZ6743" t="s">
        <v>1278</v>
      </c>
      <c r="BA6743">
        <v>178.72</v>
      </c>
      <c r="BB6743" t="s">
        <v>564</v>
      </c>
      <c r="BC6743" t="s">
        <v>793</v>
      </c>
      <c r="BD6743">
        <v>0</v>
      </c>
      <c r="BE6743">
        <v>46302</v>
      </c>
      <c r="BF6743" t="s">
        <v>588</v>
      </c>
      <c r="BG6743">
        <v>0</v>
      </c>
    </row>
    <row r="6744" spans="3:59" x14ac:dyDescent="0.35">
      <c r="C6744">
        <v>45971</v>
      </c>
      <c r="F6744" t="s">
        <v>752</v>
      </c>
      <c r="N6744">
        <v>1</v>
      </c>
      <c r="O6744" t="s">
        <v>239</v>
      </c>
      <c r="P6744" t="s">
        <v>514</v>
      </c>
      <c r="Y6744">
        <v>487</v>
      </c>
      <c r="Z6744" s="259" t="s">
        <v>659</v>
      </c>
      <c r="AZ6744" t="s">
        <v>1279</v>
      </c>
      <c r="BA6744">
        <v>177.59</v>
      </c>
      <c r="BB6744" t="s">
        <v>564</v>
      </c>
      <c r="BC6744" t="s">
        <v>793</v>
      </c>
      <c r="BD6744">
        <v>0</v>
      </c>
      <c r="BE6744">
        <v>46302</v>
      </c>
      <c r="BF6744" t="s">
        <v>588</v>
      </c>
      <c r="BG6744">
        <v>0</v>
      </c>
    </row>
    <row r="6745" spans="3:59" x14ac:dyDescent="0.35">
      <c r="C6745">
        <v>45972</v>
      </c>
      <c r="F6745" t="s">
        <v>752</v>
      </c>
      <c r="N6745">
        <v>1</v>
      </c>
      <c r="O6745" t="s">
        <v>239</v>
      </c>
      <c r="P6745" t="s">
        <v>514</v>
      </c>
      <c r="Y6745">
        <v>488</v>
      </c>
      <c r="Z6745" s="259" t="s">
        <v>659</v>
      </c>
      <c r="AZ6745" t="s">
        <v>1280</v>
      </c>
      <c r="BA6745">
        <v>177.21</v>
      </c>
      <c r="BB6745" t="s">
        <v>564</v>
      </c>
      <c r="BC6745" t="s">
        <v>793</v>
      </c>
      <c r="BD6745">
        <v>0</v>
      </c>
      <c r="BE6745">
        <v>46302</v>
      </c>
      <c r="BF6745" t="s">
        <v>588</v>
      </c>
      <c r="BG6745">
        <v>0</v>
      </c>
    </row>
    <row r="6746" spans="3:59" x14ac:dyDescent="0.35">
      <c r="C6746">
        <v>45973</v>
      </c>
      <c r="F6746" t="s">
        <v>752</v>
      </c>
      <c r="N6746">
        <v>1</v>
      </c>
      <c r="O6746" t="s">
        <v>239</v>
      </c>
      <c r="P6746" t="s">
        <v>514</v>
      </c>
      <c r="Y6746">
        <v>489</v>
      </c>
      <c r="Z6746" s="259" t="s">
        <v>659</v>
      </c>
      <c r="AZ6746" t="s">
        <v>1281</v>
      </c>
      <c r="BA6746">
        <v>176.83</v>
      </c>
      <c r="BB6746" t="s">
        <v>564</v>
      </c>
      <c r="BC6746" t="s">
        <v>793</v>
      </c>
      <c r="BD6746">
        <v>0</v>
      </c>
      <c r="BE6746">
        <v>46302</v>
      </c>
      <c r="BF6746" t="s">
        <v>588</v>
      </c>
      <c r="BG6746">
        <v>0</v>
      </c>
    </row>
    <row r="6747" spans="3:59" x14ac:dyDescent="0.35">
      <c r="C6747">
        <v>45974</v>
      </c>
      <c r="F6747" t="s">
        <v>752</v>
      </c>
      <c r="N6747">
        <v>1</v>
      </c>
      <c r="O6747" t="s">
        <v>239</v>
      </c>
      <c r="P6747" t="s">
        <v>514</v>
      </c>
      <c r="Y6747">
        <v>490</v>
      </c>
      <c r="Z6747" s="259" t="s">
        <v>659</v>
      </c>
      <c r="AZ6747" t="s">
        <v>1282</v>
      </c>
      <c r="BA6747">
        <v>176.45</v>
      </c>
      <c r="BB6747" t="s">
        <v>564</v>
      </c>
      <c r="BC6747" t="s">
        <v>793</v>
      </c>
      <c r="BD6747">
        <v>0</v>
      </c>
      <c r="BE6747">
        <v>46302</v>
      </c>
      <c r="BF6747" t="s">
        <v>588</v>
      </c>
      <c r="BG6747">
        <v>0</v>
      </c>
    </row>
    <row r="6748" spans="3:59" x14ac:dyDescent="0.35">
      <c r="C6748">
        <v>45975</v>
      </c>
      <c r="F6748" t="s">
        <v>752</v>
      </c>
      <c r="N6748">
        <v>1</v>
      </c>
      <c r="O6748" t="s">
        <v>239</v>
      </c>
      <c r="P6748" t="s">
        <v>514</v>
      </c>
      <c r="Y6748">
        <v>491</v>
      </c>
      <c r="Z6748" s="259" t="s">
        <v>659</v>
      </c>
      <c r="AZ6748" t="s">
        <v>1283</v>
      </c>
      <c r="BA6748">
        <v>176.07</v>
      </c>
      <c r="BB6748" t="s">
        <v>564</v>
      </c>
      <c r="BC6748" t="s">
        <v>793</v>
      </c>
      <c r="BD6748">
        <v>0</v>
      </c>
      <c r="BE6748">
        <v>46302</v>
      </c>
      <c r="BF6748" t="s">
        <v>588</v>
      </c>
      <c r="BG6748">
        <v>0</v>
      </c>
    </row>
    <row r="6749" spans="3:59" x14ac:dyDescent="0.35">
      <c r="C6749">
        <v>45978</v>
      </c>
      <c r="F6749" t="s">
        <v>752</v>
      </c>
      <c r="N6749">
        <v>1</v>
      </c>
      <c r="O6749" t="s">
        <v>239</v>
      </c>
      <c r="P6749" t="s">
        <v>514</v>
      </c>
      <c r="Y6749">
        <v>492</v>
      </c>
      <c r="Z6749" s="259" t="s">
        <v>659</v>
      </c>
      <c r="AZ6749" t="s">
        <v>1284</v>
      </c>
      <c r="BA6749">
        <v>174.93</v>
      </c>
      <c r="BB6749" t="s">
        <v>564</v>
      </c>
      <c r="BC6749" t="s">
        <v>793</v>
      </c>
      <c r="BD6749">
        <v>0</v>
      </c>
      <c r="BE6749">
        <v>46302</v>
      </c>
      <c r="BF6749" t="s">
        <v>588</v>
      </c>
      <c r="BG6749">
        <v>0</v>
      </c>
    </row>
    <row r="6750" spans="3:59" x14ac:dyDescent="0.35">
      <c r="C6750">
        <v>45979</v>
      </c>
      <c r="F6750" t="s">
        <v>752</v>
      </c>
      <c r="N6750">
        <v>1</v>
      </c>
      <c r="O6750" t="s">
        <v>239</v>
      </c>
      <c r="P6750" t="s">
        <v>514</v>
      </c>
      <c r="Y6750">
        <v>493</v>
      </c>
      <c r="Z6750" s="259" t="s">
        <v>659</v>
      </c>
      <c r="AZ6750" t="s">
        <v>1285</v>
      </c>
      <c r="BA6750">
        <v>174.55</v>
      </c>
      <c r="BB6750" t="s">
        <v>564</v>
      </c>
      <c r="BC6750" t="s">
        <v>793</v>
      </c>
      <c r="BD6750">
        <v>0</v>
      </c>
      <c r="BE6750">
        <v>46302</v>
      </c>
      <c r="BF6750" t="s">
        <v>588</v>
      </c>
      <c r="BG6750">
        <v>0</v>
      </c>
    </row>
    <row r="6751" spans="3:59" x14ac:dyDescent="0.35">
      <c r="C6751">
        <v>45980</v>
      </c>
      <c r="F6751" t="s">
        <v>752</v>
      </c>
      <c r="N6751">
        <v>1</v>
      </c>
      <c r="O6751" t="s">
        <v>239</v>
      </c>
      <c r="P6751" t="s">
        <v>514</v>
      </c>
      <c r="Y6751">
        <v>494</v>
      </c>
      <c r="Z6751" s="259" t="s">
        <v>659</v>
      </c>
      <c r="AZ6751" t="s">
        <v>1286</v>
      </c>
      <c r="BA6751">
        <v>174.17</v>
      </c>
      <c r="BB6751" t="s">
        <v>564</v>
      </c>
      <c r="BC6751" t="s">
        <v>793</v>
      </c>
      <c r="BD6751">
        <v>0</v>
      </c>
      <c r="BE6751">
        <v>46302</v>
      </c>
      <c r="BF6751" t="s">
        <v>588</v>
      </c>
      <c r="BG6751">
        <v>0</v>
      </c>
    </row>
    <row r="6752" spans="3:59" x14ac:dyDescent="0.35">
      <c r="C6752">
        <v>45981</v>
      </c>
      <c r="F6752" t="s">
        <v>752</v>
      </c>
      <c r="N6752">
        <v>1</v>
      </c>
      <c r="O6752" t="s">
        <v>239</v>
      </c>
      <c r="P6752" t="s">
        <v>514</v>
      </c>
      <c r="Y6752">
        <v>495</v>
      </c>
      <c r="Z6752" s="259" t="s">
        <v>659</v>
      </c>
      <c r="AZ6752" t="s">
        <v>1287</v>
      </c>
      <c r="BA6752">
        <v>173.79</v>
      </c>
      <c r="BB6752" t="s">
        <v>564</v>
      </c>
      <c r="BC6752" t="s">
        <v>793</v>
      </c>
      <c r="BD6752">
        <v>0</v>
      </c>
      <c r="BE6752">
        <v>46302</v>
      </c>
      <c r="BF6752" t="s">
        <v>588</v>
      </c>
      <c r="BG6752">
        <v>0</v>
      </c>
    </row>
    <row r="6753" spans="3:59" x14ac:dyDescent="0.35">
      <c r="C6753">
        <v>45982</v>
      </c>
      <c r="F6753" t="s">
        <v>752</v>
      </c>
      <c r="N6753">
        <v>1</v>
      </c>
      <c r="O6753" t="s">
        <v>239</v>
      </c>
      <c r="P6753" t="s">
        <v>514</v>
      </c>
      <c r="Y6753">
        <v>496</v>
      </c>
      <c r="Z6753" s="259" t="s">
        <v>659</v>
      </c>
      <c r="AZ6753" t="s">
        <v>1288</v>
      </c>
      <c r="BA6753">
        <v>173.41</v>
      </c>
      <c r="BB6753" t="s">
        <v>564</v>
      </c>
      <c r="BC6753" t="s">
        <v>793</v>
      </c>
      <c r="BD6753">
        <v>0</v>
      </c>
      <c r="BE6753">
        <v>46302</v>
      </c>
      <c r="BF6753" t="s">
        <v>588</v>
      </c>
      <c r="BG6753">
        <v>0</v>
      </c>
    </row>
    <row r="6754" spans="3:59" x14ac:dyDescent="0.35">
      <c r="C6754">
        <v>45985</v>
      </c>
      <c r="F6754" t="s">
        <v>752</v>
      </c>
      <c r="N6754">
        <v>1</v>
      </c>
      <c r="O6754" t="s">
        <v>239</v>
      </c>
      <c r="P6754" t="s">
        <v>514</v>
      </c>
      <c r="Y6754">
        <v>497</v>
      </c>
      <c r="Z6754" s="259" t="s">
        <v>659</v>
      </c>
      <c r="AZ6754" t="s">
        <v>1289</v>
      </c>
      <c r="BA6754">
        <v>172.28</v>
      </c>
      <c r="BB6754" t="s">
        <v>564</v>
      </c>
      <c r="BC6754" t="s">
        <v>793</v>
      </c>
      <c r="BD6754">
        <v>0</v>
      </c>
      <c r="BE6754">
        <v>46302</v>
      </c>
      <c r="BF6754" t="s">
        <v>588</v>
      </c>
      <c r="BG6754">
        <v>0</v>
      </c>
    </row>
    <row r="6755" spans="3:59" x14ac:dyDescent="0.35">
      <c r="C6755">
        <v>45986</v>
      </c>
      <c r="F6755" t="s">
        <v>752</v>
      </c>
      <c r="N6755">
        <v>1</v>
      </c>
      <c r="O6755" t="s">
        <v>239</v>
      </c>
      <c r="P6755" t="s">
        <v>514</v>
      </c>
      <c r="Y6755">
        <v>498</v>
      </c>
      <c r="Z6755" s="259" t="s">
        <v>659</v>
      </c>
      <c r="AZ6755" t="s">
        <v>1290</v>
      </c>
      <c r="BA6755">
        <v>171.9</v>
      </c>
      <c r="BB6755" t="s">
        <v>564</v>
      </c>
      <c r="BC6755" t="s">
        <v>793</v>
      </c>
      <c r="BD6755">
        <v>0</v>
      </c>
      <c r="BE6755">
        <v>46302</v>
      </c>
      <c r="BF6755" t="s">
        <v>588</v>
      </c>
      <c r="BG6755">
        <v>0</v>
      </c>
    </row>
    <row r="6756" spans="3:59" x14ac:dyDescent="0.35">
      <c r="C6756">
        <v>45987</v>
      </c>
      <c r="F6756" t="s">
        <v>752</v>
      </c>
      <c r="N6756">
        <v>1</v>
      </c>
      <c r="O6756" t="s">
        <v>239</v>
      </c>
      <c r="P6756" t="s">
        <v>514</v>
      </c>
      <c r="Y6756">
        <v>499</v>
      </c>
      <c r="Z6756" s="259" t="s">
        <v>659</v>
      </c>
      <c r="AZ6756" t="s">
        <v>1291</v>
      </c>
      <c r="BA6756">
        <v>171.52</v>
      </c>
      <c r="BB6756" t="s">
        <v>564</v>
      </c>
      <c r="BC6756" t="s">
        <v>793</v>
      </c>
      <c r="BD6756">
        <v>0</v>
      </c>
      <c r="BE6756">
        <v>46302</v>
      </c>
      <c r="BF6756" t="s">
        <v>588</v>
      </c>
      <c r="BG6756">
        <v>0</v>
      </c>
    </row>
    <row r="6757" spans="3:59" x14ac:dyDescent="0.35">
      <c r="C6757">
        <v>45988</v>
      </c>
      <c r="F6757" t="s">
        <v>752</v>
      </c>
      <c r="N6757">
        <v>1</v>
      </c>
      <c r="O6757" t="s">
        <v>239</v>
      </c>
      <c r="P6757" t="s">
        <v>514</v>
      </c>
      <c r="Y6757">
        <v>500</v>
      </c>
      <c r="Z6757" s="259" t="s">
        <v>659</v>
      </c>
      <c r="AZ6757" t="s">
        <v>1292</v>
      </c>
      <c r="BA6757">
        <v>171.14</v>
      </c>
      <c r="BB6757" t="s">
        <v>564</v>
      </c>
      <c r="BC6757" t="s">
        <v>793</v>
      </c>
      <c r="BD6757">
        <v>0</v>
      </c>
      <c r="BE6757">
        <v>46302</v>
      </c>
      <c r="BF6757" t="s">
        <v>588</v>
      </c>
      <c r="BG6757">
        <v>0</v>
      </c>
    </row>
    <row r="6758" spans="3:59" x14ac:dyDescent="0.35">
      <c r="C6758">
        <v>45989</v>
      </c>
      <c r="F6758" t="s">
        <v>752</v>
      </c>
      <c r="N6758">
        <v>1</v>
      </c>
      <c r="O6758" t="s">
        <v>239</v>
      </c>
      <c r="P6758" t="s">
        <v>514</v>
      </c>
      <c r="Y6758">
        <v>501</v>
      </c>
      <c r="Z6758" s="259" t="s">
        <v>659</v>
      </c>
      <c r="AZ6758" t="s">
        <v>1293</v>
      </c>
      <c r="BA6758">
        <v>170.76</v>
      </c>
      <c r="BB6758" t="s">
        <v>564</v>
      </c>
      <c r="BC6758" t="s">
        <v>793</v>
      </c>
      <c r="BD6758">
        <v>0</v>
      </c>
      <c r="BE6758">
        <v>46302</v>
      </c>
      <c r="BF6758" t="s">
        <v>588</v>
      </c>
      <c r="BG6758">
        <v>0</v>
      </c>
    </row>
    <row r="6759" spans="3:59" x14ac:dyDescent="0.35">
      <c r="C6759">
        <v>45992</v>
      </c>
      <c r="F6759" t="s">
        <v>752</v>
      </c>
      <c r="N6759">
        <v>1</v>
      </c>
      <c r="O6759" t="s">
        <v>239</v>
      </c>
      <c r="P6759" t="s">
        <v>514</v>
      </c>
      <c r="Y6759">
        <v>502</v>
      </c>
      <c r="Z6759" s="259" t="s">
        <v>659</v>
      </c>
      <c r="AZ6759" t="s">
        <v>1294</v>
      </c>
      <c r="BA6759">
        <v>170</v>
      </c>
      <c r="BB6759" t="s">
        <v>564</v>
      </c>
      <c r="BC6759" t="s">
        <v>793</v>
      </c>
      <c r="BD6759">
        <v>0</v>
      </c>
      <c r="BE6759">
        <v>46302</v>
      </c>
      <c r="BF6759" t="s">
        <v>588</v>
      </c>
      <c r="BG6759">
        <v>0</v>
      </c>
    </row>
    <row r="6760" spans="3:59" x14ac:dyDescent="0.35">
      <c r="C6760">
        <v>45993</v>
      </c>
      <c r="F6760" t="s">
        <v>752</v>
      </c>
      <c r="N6760">
        <v>1</v>
      </c>
      <c r="O6760" t="s">
        <v>239</v>
      </c>
      <c r="P6760" t="s">
        <v>514</v>
      </c>
      <c r="Y6760">
        <v>503</v>
      </c>
      <c r="Z6760" s="259" t="s">
        <v>659</v>
      </c>
      <c r="AZ6760" t="s">
        <v>1295</v>
      </c>
      <c r="BA6760">
        <v>169.97</v>
      </c>
      <c r="BB6760" t="s">
        <v>564</v>
      </c>
      <c r="BC6760" t="s">
        <v>793</v>
      </c>
      <c r="BD6760">
        <v>0</v>
      </c>
      <c r="BE6760">
        <v>46302</v>
      </c>
      <c r="BF6760" t="s">
        <v>588</v>
      </c>
      <c r="BG6760">
        <v>0</v>
      </c>
    </row>
    <row r="6761" spans="3:59" x14ac:dyDescent="0.35">
      <c r="C6761">
        <v>45994</v>
      </c>
      <c r="F6761" t="s">
        <v>752</v>
      </c>
      <c r="N6761">
        <v>1</v>
      </c>
      <c r="O6761" t="s">
        <v>239</v>
      </c>
      <c r="P6761" t="s">
        <v>514</v>
      </c>
      <c r="Y6761">
        <v>504</v>
      </c>
      <c r="Z6761" s="259" t="s">
        <v>659</v>
      </c>
      <c r="AZ6761" t="s">
        <v>1296</v>
      </c>
      <c r="BA6761">
        <v>169.93</v>
      </c>
      <c r="BB6761" t="s">
        <v>564</v>
      </c>
      <c r="BC6761" t="s">
        <v>793</v>
      </c>
      <c r="BD6761">
        <v>0</v>
      </c>
      <c r="BE6761">
        <v>46302</v>
      </c>
      <c r="BF6761" t="s">
        <v>588</v>
      </c>
      <c r="BG6761">
        <v>0</v>
      </c>
    </row>
    <row r="6762" spans="3:59" x14ac:dyDescent="0.35">
      <c r="C6762">
        <v>45995</v>
      </c>
      <c r="F6762" t="s">
        <v>752</v>
      </c>
      <c r="N6762">
        <v>1</v>
      </c>
      <c r="O6762" t="s">
        <v>239</v>
      </c>
      <c r="P6762" t="s">
        <v>514</v>
      </c>
      <c r="Y6762">
        <v>505</v>
      </c>
      <c r="Z6762" s="259" t="s">
        <v>659</v>
      </c>
      <c r="AZ6762" t="s">
        <v>1297</v>
      </c>
      <c r="BA6762">
        <v>169.9</v>
      </c>
      <c r="BB6762" t="s">
        <v>564</v>
      </c>
      <c r="BC6762" t="s">
        <v>793</v>
      </c>
      <c r="BD6762">
        <v>0</v>
      </c>
      <c r="BE6762">
        <v>46302</v>
      </c>
      <c r="BF6762" t="s">
        <v>588</v>
      </c>
      <c r="BG6762">
        <v>0</v>
      </c>
    </row>
    <row r="6763" spans="3:59" x14ac:dyDescent="0.35">
      <c r="C6763">
        <v>45996</v>
      </c>
      <c r="F6763" t="s">
        <v>752</v>
      </c>
      <c r="N6763">
        <v>1</v>
      </c>
      <c r="O6763" t="s">
        <v>239</v>
      </c>
      <c r="P6763" t="s">
        <v>514</v>
      </c>
      <c r="Y6763">
        <v>506</v>
      </c>
      <c r="Z6763" s="259" t="s">
        <v>659</v>
      </c>
      <c r="AZ6763" t="s">
        <v>1298</v>
      </c>
      <c r="BA6763">
        <v>169.87</v>
      </c>
      <c r="BB6763" t="s">
        <v>564</v>
      </c>
      <c r="BC6763" t="s">
        <v>793</v>
      </c>
      <c r="BD6763">
        <v>0</v>
      </c>
      <c r="BE6763">
        <v>46302</v>
      </c>
      <c r="BF6763" t="s">
        <v>588</v>
      </c>
      <c r="BG6763">
        <v>0</v>
      </c>
    </row>
    <row r="6764" spans="3:59" x14ac:dyDescent="0.35">
      <c r="C6764">
        <v>45999</v>
      </c>
      <c r="F6764" t="s">
        <v>752</v>
      </c>
      <c r="N6764">
        <v>1</v>
      </c>
      <c r="O6764" t="s">
        <v>239</v>
      </c>
      <c r="P6764" t="s">
        <v>514</v>
      </c>
      <c r="Y6764">
        <v>507</v>
      </c>
      <c r="Z6764" s="259" t="s">
        <v>659</v>
      </c>
      <c r="AZ6764" t="s">
        <v>1299</v>
      </c>
      <c r="BA6764">
        <v>169.77</v>
      </c>
      <c r="BB6764" t="s">
        <v>564</v>
      </c>
      <c r="BC6764" t="s">
        <v>793</v>
      </c>
      <c r="BD6764">
        <v>0</v>
      </c>
      <c r="BE6764">
        <v>46302</v>
      </c>
      <c r="BF6764" t="s">
        <v>588</v>
      </c>
      <c r="BG6764">
        <v>0</v>
      </c>
    </row>
    <row r="6765" spans="3:59" x14ac:dyDescent="0.35">
      <c r="C6765">
        <v>46000</v>
      </c>
      <c r="F6765" t="s">
        <v>752</v>
      </c>
      <c r="N6765">
        <v>1</v>
      </c>
      <c r="O6765" t="s">
        <v>239</v>
      </c>
      <c r="P6765" t="s">
        <v>514</v>
      </c>
      <c r="Y6765">
        <v>508</v>
      </c>
      <c r="Z6765" s="259" t="s">
        <v>659</v>
      </c>
      <c r="AZ6765" t="s">
        <v>1300</v>
      </c>
      <c r="BA6765">
        <v>169.73</v>
      </c>
      <c r="BB6765" t="s">
        <v>564</v>
      </c>
      <c r="BC6765" t="s">
        <v>793</v>
      </c>
      <c r="BD6765">
        <v>0</v>
      </c>
      <c r="BE6765">
        <v>46302</v>
      </c>
      <c r="BF6765" t="s">
        <v>588</v>
      </c>
      <c r="BG6765">
        <v>0</v>
      </c>
    </row>
    <row r="6766" spans="3:59" x14ac:dyDescent="0.35">
      <c r="C6766">
        <v>46001</v>
      </c>
      <c r="F6766" t="s">
        <v>752</v>
      </c>
      <c r="N6766">
        <v>1</v>
      </c>
      <c r="O6766" t="s">
        <v>239</v>
      </c>
      <c r="P6766" t="s">
        <v>514</v>
      </c>
      <c r="Y6766">
        <v>509</v>
      </c>
      <c r="Z6766" s="259" t="s">
        <v>659</v>
      </c>
      <c r="AZ6766" t="s">
        <v>1301</v>
      </c>
      <c r="BA6766">
        <v>169.7</v>
      </c>
      <c r="BB6766" t="s">
        <v>564</v>
      </c>
      <c r="BC6766" t="s">
        <v>793</v>
      </c>
      <c r="BD6766">
        <v>0</v>
      </c>
      <c r="BE6766">
        <v>46302</v>
      </c>
      <c r="BF6766" t="s">
        <v>588</v>
      </c>
      <c r="BG6766">
        <v>0</v>
      </c>
    </row>
    <row r="6767" spans="3:59" x14ac:dyDescent="0.35">
      <c r="C6767">
        <v>46002</v>
      </c>
      <c r="F6767" t="s">
        <v>752</v>
      </c>
      <c r="N6767">
        <v>1</v>
      </c>
      <c r="O6767" t="s">
        <v>239</v>
      </c>
      <c r="P6767" t="s">
        <v>514</v>
      </c>
      <c r="Y6767">
        <v>510</v>
      </c>
      <c r="Z6767" s="259" t="s">
        <v>659</v>
      </c>
      <c r="AZ6767" t="s">
        <v>1302</v>
      </c>
      <c r="BA6767">
        <v>169.67</v>
      </c>
      <c r="BB6767" t="s">
        <v>564</v>
      </c>
      <c r="BC6767" t="s">
        <v>793</v>
      </c>
      <c r="BD6767">
        <v>0</v>
      </c>
      <c r="BE6767">
        <v>46302</v>
      </c>
      <c r="BF6767" t="s">
        <v>588</v>
      </c>
      <c r="BG6767">
        <v>0</v>
      </c>
    </row>
    <row r="6768" spans="3:59" x14ac:dyDescent="0.35">
      <c r="C6768">
        <v>46003</v>
      </c>
      <c r="F6768" t="s">
        <v>752</v>
      </c>
      <c r="N6768">
        <v>1</v>
      </c>
      <c r="O6768" t="s">
        <v>239</v>
      </c>
      <c r="P6768" t="s">
        <v>514</v>
      </c>
      <c r="Y6768">
        <v>511</v>
      </c>
      <c r="Z6768" s="259" t="s">
        <v>659</v>
      </c>
      <c r="AZ6768" t="s">
        <v>1303</v>
      </c>
      <c r="BA6768">
        <v>169.63</v>
      </c>
      <c r="BB6768" t="s">
        <v>564</v>
      </c>
      <c r="BC6768" t="s">
        <v>793</v>
      </c>
      <c r="BD6768">
        <v>0</v>
      </c>
      <c r="BE6768">
        <v>46302</v>
      </c>
      <c r="BF6768" t="s">
        <v>588</v>
      </c>
      <c r="BG6768">
        <v>0</v>
      </c>
    </row>
    <row r="6769" spans="3:59" x14ac:dyDescent="0.35">
      <c r="C6769">
        <v>46006</v>
      </c>
      <c r="F6769" t="s">
        <v>752</v>
      </c>
      <c r="N6769">
        <v>1</v>
      </c>
      <c r="O6769" t="s">
        <v>239</v>
      </c>
      <c r="P6769" t="s">
        <v>514</v>
      </c>
      <c r="Y6769">
        <v>512</v>
      </c>
      <c r="Z6769" s="259" t="s">
        <v>659</v>
      </c>
      <c r="AZ6769" t="s">
        <v>1304</v>
      </c>
      <c r="BA6769">
        <v>169.53</v>
      </c>
      <c r="BB6769" t="s">
        <v>564</v>
      </c>
      <c r="BC6769" t="s">
        <v>793</v>
      </c>
      <c r="BD6769">
        <v>0</v>
      </c>
      <c r="BE6769">
        <v>46302</v>
      </c>
      <c r="BF6769" t="s">
        <v>588</v>
      </c>
      <c r="BG6769">
        <v>0</v>
      </c>
    </row>
    <row r="6770" spans="3:59" x14ac:dyDescent="0.35">
      <c r="C6770">
        <v>46007</v>
      </c>
      <c r="F6770" t="s">
        <v>752</v>
      </c>
      <c r="N6770">
        <v>1</v>
      </c>
      <c r="O6770" t="s">
        <v>239</v>
      </c>
      <c r="P6770" t="s">
        <v>514</v>
      </c>
      <c r="Y6770">
        <v>513</v>
      </c>
      <c r="Z6770" s="259" t="s">
        <v>659</v>
      </c>
      <c r="AZ6770" t="s">
        <v>1305</v>
      </c>
      <c r="BA6770">
        <v>169.5</v>
      </c>
      <c r="BB6770" t="s">
        <v>564</v>
      </c>
      <c r="BC6770" t="s">
        <v>793</v>
      </c>
      <c r="BD6770">
        <v>0</v>
      </c>
      <c r="BE6770">
        <v>46302</v>
      </c>
      <c r="BF6770" t="s">
        <v>588</v>
      </c>
      <c r="BG6770">
        <v>0</v>
      </c>
    </row>
    <row r="6771" spans="3:59" x14ac:dyDescent="0.35">
      <c r="C6771">
        <v>46008</v>
      </c>
      <c r="F6771" t="s">
        <v>752</v>
      </c>
      <c r="N6771">
        <v>1</v>
      </c>
      <c r="O6771" t="s">
        <v>239</v>
      </c>
      <c r="P6771" t="s">
        <v>514</v>
      </c>
      <c r="Y6771">
        <v>514</v>
      </c>
      <c r="Z6771" s="259" t="s">
        <v>659</v>
      </c>
      <c r="AZ6771" t="s">
        <v>1306</v>
      </c>
      <c r="BA6771">
        <v>169.47</v>
      </c>
      <c r="BB6771" t="s">
        <v>564</v>
      </c>
      <c r="BC6771" t="s">
        <v>793</v>
      </c>
      <c r="BD6771">
        <v>0</v>
      </c>
      <c r="BE6771">
        <v>46302</v>
      </c>
      <c r="BF6771" t="s">
        <v>588</v>
      </c>
      <c r="BG6771">
        <v>0</v>
      </c>
    </row>
    <row r="6772" spans="3:59" x14ac:dyDescent="0.35">
      <c r="C6772">
        <v>46009</v>
      </c>
      <c r="F6772" t="s">
        <v>752</v>
      </c>
      <c r="N6772">
        <v>1</v>
      </c>
      <c r="O6772" t="s">
        <v>239</v>
      </c>
      <c r="P6772" t="s">
        <v>514</v>
      </c>
      <c r="Y6772">
        <v>515</v>
      </c>
      <c r="Z6772" s="259" t="s">
        <v>659</v>
      </c>
      <c r="AZ6772" t="s">
        <v>1307</v>
      </c>
      <c r="BA6772">
        <v>169.43</v>
      </c>
      <c r="BB6772" t="s">
        <v>564</v>
      </c>
      <c r="BC6772" t="s">
        <v>793</v>
      </c>
      <c r="BD6772">
        <v>0</v>
      </c>
      <c r="BE6772">
        <v>46302</v>
      </c>
      <c r="BF6772" t="s">
        <v>588</v>
      </c>
      <c r="BG6772">
        <v>0</v>
      </c>
    </row>
    <row r="6773" spans="3:59" x14ac:dyDescent="0.35">
      <c r="C6773">
        <v>46010</v>
      </c>
      <c r="F6773" t="s">
        <v>752</v>
      </c>
      <c r="N6773">
        <v>1</v>
      </c>
      <c r="O6773" t="s">
        <v>239</v>
      </c>
      <c r="P6773" t="s">
        <v>514</v>
      </c>
      <c r="Y6773">
        <v>516</v>
      </c>
      <c r="Z6773" s="259" t="s">
        <v>659</v>
      </c>
      <c r="AZ6773" t="s">
        <v>1308</v>
      </c>
      <c r="BA6773">
        <v>169.4</v>
      </c>
      <c r="BB6773" t="s">
        <v>564</v>
      </c>
      <c r="BC6773" t="s">
        <v>793</v>
      </c>
      <c r="BD6773">
        <v>0</v>
      </c>
      <c r="BE6773">
        <v>46302</v>
      </c>
      <c r="BF6773" t="s">
        <v>588</v>
      </c>
      <c r="BG6773">
        <v>0</v>
      </c>
    </row>
    <row r="6774" spans="3:59" x14ac:dyDescent="0.35">
      <c r="C6774">
        <v>46013</v>
      </c>
      <c r="F6774" t="s">
        <v>752</v>
      </c>
      <c r="N6774">
        <v>1</v>
      </c>
      <c r="O6774" t="s">
        <v>239</v>
      </c>
      <c r="P6774" t="s">
        <v>514</v>
      </c>
      <c r="Y6774">
        <v>517</v>
      </c>
      <c r="Z6774" s="259" t="s">
        <v>659</v>
      </c>
      <c r="AZ6774" t="s">
        <v>1309</v>
      </c>
      <c r="BA6774">
        <v>169.3</v>
      </c>
      <c r="BB6774" t="s">
        <v>564</v>
      </c>
      <c r="BC6774" t="s">
        <v>793</v>
      </c>
      <c r="BD6774">
        <v>0</v>
      </c>
      <c r="BE6774">
        <v>46302</v>
      </c>
      <c r="BF6774" t="s">
        <v>588</v>
      </c>
      <c r="BG6774">
        <v>0</v>
      </c>
    </row>
    <row r="6775" spans="3:59" x14ac:dyDescent="0.35">
      <c r="C6775">
        <v>46014</v>
      </c>
      <c r="F6775" t="s">
        <v>752</v>
      </c>
      <c r="N6775">
        <v>1</v>
      </c>
      <c r="O6775" t="s">
        <v>239</v>
      </c>
      <c r="P6775" t="s">
        <v>514</v>
      </c>
      <c r="Y6775">
        <v>518</v>
      </c>
      <c r="Z6775" s="259" t="s">
        <v>659</v>
      </c>
      <c r="AZ6775" t="s">
        <v>1310</v>
      </c>
      <c r="BA6775">
        <v>169.27</v>
      </c>
      <c r="BB6775" t="s">
        <v>564</v>
      </c>
      <c r="BC6775" t="s">
        <v>793</v>
      </c>
      <c r="BD6775">
        <v>0</v>
      </c>
      <c r="BE6775">
        <v>46302</v>
      </c>
      <c r="BF6775" t="s">
        <v>588</v>
      </c>
      <c r="BG6775">
        <v>0</v>
      </c>
    </row>
    <row r="6776" spans="3:59" x14ac:dyDescent="0.35">
      <c r="C6776">
        <v>46015</v>
      </c>
      <c r="F6776" t="s">
        <v>752</v>
      </c>
      <c r="N6776">
        <v>1</v>
      </c>
      <c r="O6776" t="s">
        <v>239</v>
      </c>
      <c r="P6776" t="s">
        <v>514</v>
      </c>
      <c r="Y6776">
        <v>519</v>
      </c>
      <c r="Z6776" s="259" t="s">
        <v>659</v>
      </c>
      <c r="AZ6776" t="s">
        <v>1311</v>
      </c>
      <c r="BA6776">
        <v>169.23</v>
      </c>
      <c r="BB6776" t="s">
        <v>564</v>
      </c>
      <c r="BC6776" t="s">
        <v>793</v>
      </c>
      <c r="BD6776">
        <v>0</v>
      </c>
      <c r="BE6776">
        <v>46302</v>
      </c>
      <c r="BF6776" t="s">
        <v>588</v>
      </c>
      <c r="BG6776">
        <v>0</v>
      </c>
    </row>
    <row r="6777" spans="3:59" x14ac:dyDescent="0.35">
      <c r="C6777">
        <v>46016</v>
      </c>
      <c r="F6777" t="s">
        <v>752</v>
      </c>
      <c r="N6777">
        <v>1</v>
      </c>
      <c r="O6777" t="s">
        <v>239</v>
      </c>
      <c r="P6777" t="s">
        <v>514</v>
      </c>
      <c r="Y6777">
        <v>520</v>
      </c>
      <c r="Z6777" s="259" t="s">
        <v>659</v>
      </c>
      <c r="AZ6777" t="s">
        <v>1312</v>
      </c>
      <c r="BA6777">
        <v>169.2</v>
      </c>
      <c r="BB6777" t="s">
        <v>564</v>
      </c>
      <c r="BC6777" t="s">
        <v>793</v>
      </c>
      <c r="BD6777">
        <v>0</v>
      </c>
      <c r="BE6777">
        <v>46302</v>
      </c>
      <c r="BF6777" t="s">
        <v>588</v>
      </c>
      <c r="BG6777">
        <v>0</v>
      </c>
    </row>
    <row r="6778" spans="3:59" x14ac:dyDescent="0.35">
      <c r="C6778">
        <v>46017</v>
      </c>
      <c r="F6778" t="s">
        <v>752</v>
      </c>
      <c r="N6778">
        <v>1</v>
      </c>
      <c r="O6778" t="s">
        <v>239</v>
      </c>
      <c r="P6778" t="s">
        <v>514</v>
      </c>
      <c r="Y6778">
        <v>521</v>
      </c>
      <c r="Z6778" s="259" t="s">
        <v>659</v>
      </c>
      <c r="AZ6778" t="s">
        <v>1313</v>
      </c>
      <c r="BA6778">
        <v>169.17</v>
      </c>
      <c r="BB6778" t="s">
        <v>564</v>
      </c>
      <c r="BC6778" t="s">
        <v>793</v>
      </c>
      <c r="BD6778">
        <v>0</v>
      </c>
      <c r="BE6778">
        <v>46302</v>
      </c>
      <c r="BF6778" t="s">
        <v>588</v>
      </c>
      <c r="BG6778">
        <v>0</v>
      </c>
    </row>
    <row r="6779" spans="3:59" x14ac:dyDescent="0.35">
      <c r="C6779">
        <v>46020</v>
      </c>
      <c r="F6779" t="s">
        <v>752</v>
      </c>
      <c r="N6779">
        <v>1</v>
      </c>
      <c r="O6779" t="s">
        <v>239</v>
      </c>
      <c r="P6779" t="s">
        <v>514</v>
      </c>
      <c r="Y6779">
        <v>522</v>
      </c>
      <c r="Z6779" s="259" t="s">
        <v>659</v>
      </c>
      <c r="AZ6779" t="s">
        <v>1314</v>
      </c>
      <c r="BA6779">
        <v>169.07</v>
      </c>
      <c r="BB6779" t="s">
        <v>564</v>
      </c>
      <c r="BC6779" t="s">
        <v>793</v>
      </c>
      <c r="BD6779">
        <v>0</v>
      </c>
      <c r="BE6779">
        <v>46302</v>
      </c>
      <c r="BF6779" t="s">
        <v>588</v>
      </c>
      <c r="BG6779">
        <v>0</v>
      </c>
    </row>
    <row r="6780" spans="3:59" x14ac:dyDescent="0.35">
      <c r="C6780">
        <v>46021</v>
      </c>
      <c r="F6780" t="s">
        <v>752</v>
      </c>
      <c r="N6780">
        <v>1</v>
      </c>
      <c r="O6780" t="s">
        <v>239</v>
      </c>
      <c r="P6780" t="s">
        <v>514</v>
      </c>
      <c r="Y6780">
        <v>523</v>
      </c>
      <c r="Z6780" s="259" t="s">
        <v>659</v>
      </c>
      <c r="AZ6780" t="s">
        <v>1315</v>
      </c>
      <c r="BA6780">
        <v>169.03</v>
      </c>
      <c r="BB6780" t="s">
        <v>564</v>
      </c>
      <c r="BC6780" t="s">
        <v>793</v>
      </c>
      <c r="BD6780">
        <v>0</v>
      </c>
      <c r="BE6780">
        <v>46302</v>
      </c>
      <c r="BF6780" t="s">
        <v>588</v>
      </c>
      <c r="BG6780">
        <v>0</v>
      </c>
    </row>
    <row r="6781" spans="3:59" x14ac:dyDescent="0.35">
      <c r="C6781">
        <v>46022</v>
      </c>
      <c r="F6781" t="s">
        <v>752</v>
      </c>
      <c r="N6781">
        <v>1</v>
      </c>
      <c r="O6781" t="s">
        <v>239</v>
      </c>
      <c r="P6781" t="s">
        <v>514</v>
      </c>
      <c r="Y6781">
        <v>524</v>
      </c>
      <c r="Z6781" s="259" t="s">
        <v>659</v>
      </c>
      <c r="AZ6781" t="s">
        <v>1316</v>
      </c>
      <c r="BA6781">
        <v>169</v>
      </c>
      <c r="BB6781" t="s">
        <v>564</v>
      </c>
      <c r="BC6781" t="s">
        <v>793</v>
      </c>
      <c r="BD6781">
        <v>0</v>
      </c>
      <c r="BE6781">
        <v>46302</v>
      </c>
      <c r="BF6781" t="s">
        <v>588</v>
      </c>
      <c r="BG6781">
        <v>0</v>
      </c>
    </row>
    <row r="6782" spans="3:59" x14ac:dyDescent="0.35">
      <c r="C6782">
        <v>45657</v>
      </c>
      <c r="F6782" t="s">
        <v>754</v>
      </c>
      <c r="N6782">
        <v>1</v>
      </c>
      <c r="O6782" t="s">
        <v>239</v>
      </c>
      <c r="P6782" t="s">
        <v>514</v>
      </c>
      <c r="Y6782">
        <v>525</v>
      </c>
      <c r="Z6782" s="259" t="s">
        <v>659</v>
      </c>
      <c r="AZ6782" t="s">
        <v>1317</v>
      </c>
      <c r="BA6782">
        <v>80</v>
      </c>
      <c r="BB6782" t="s">
        <v>564</v>
      </c>
      <c r="BC6782" t="s">
        <v>793</v>
      </c>
      <c r="BD6782">
        <v>0</v>
      </c>
      <c r="BE6782">
        <v>46302</v>
      </c>
      <c r="BF6782" t="s">
        <v>588</v>
      </c>
      <c r="BG6782">
        <v>0</v>
      </c>
    </row>
    <row r="6783" spans="3:59" x14ac:dyDescent="0.35">
      <c r="C6783">
        <v>45658</v>
      </c>
      <c r="F6783" t="s">
        <v>754</v>
      </c>
      <c r="N6783">
        <v>1</v>
      </c>
      <c r="O6783" t="s">
        <v>239</v>
      </c>
      <c r="P6783" t="s">
        <v>514</v>
      </c>
      <c r="Y6783">
        <v>526</v>
      </c>
      <c r="Z6783" s="259" t="s">
        <v>659</v>
      </c>
      <c r="AZ6783" t="s">
        <v>1318</v>
      </c>
      <c r="BA6783">
        <v>80</v>
      </c>
      <c r="BB6783" t="s">
        <v>564</v>
      </c>
      <c r="BC6783" t="s">
        <v>793</v>
      </c>
      <c r="BD6783">
        <v>0</v>
      </c>
      <c r="BE6783">
        <v>46302</v>
      </c>
      <c r="BF6783" t="s">
        <v>588</v>
      </c>
      <c r="BG6783">
        <v>0</v>
      </c>
    </row>
    <row r="6784" spans="3:59" x14ac:dyDescent="0.35">
      <c r="C6784">
        <v>45659</v>
      </c>
      <c r="F6784" t="s">
        <v>754</v>
      </c>
      <c r="N6784">
        <v>1</v>
      </c>
      <c r="O6784" t="s">
        <v>239</v>
      </c>
      <c r="P6784" t="s">
        <v>514</v>
      </c>
      <c r="Y6784">
        <v>527</v>
      </c>
      <c r="Z6784" s="259" t="s">
        <v>659</v>
      </c>
      <c r="AZ6784" t="s">
        <v>1319</v>
      </c>
      <c r="BA6784">
        <v>80.069999999999993</v>
      </c>
      <c r="BB6784" t="s">
        <v>564</v>
      </c>
      <c r="BC6784" t="s">
        <v>793</v>
      </c>
      <c r="BD6784">
        <v>0</v>
      </c>
      <c r="BE6784">
        <v>46302</v>
      </c>
      <c r="BF6784" t="s">
        <v>588</v>
      </c>
      <c r="BG6784">
        <v>0</v>
      </c>
    </row>
    <row r="6785" spans="3:59" x14ac:dyDescent="0.35">
      <c r="C6785">
        <v>45660</v>
      </c>
      <c r="F6785" t="s">
        <v>754</v>
      </c>
      <c r="N6785">
        <v>1</v>
      </c>
      <c r="O6785" t="s">
        <v>239</v>
      </c>
      <c r="P6785" t="s">
        <v>514</v>
      </c>
      <c r="Y6785">
        <v>528</v>
      </c>
      <c r="Z6785" s="259" t="s">
        <v>659</v>
      </c>
      <c r="AZ6785" t="s">
        <v>1320</v>
      </c>
      <c r="BA6785">
        <v>80.13</v>
      </c>
      <c r="BB6785" t="s">
        <v>564</v>
      </c>
      <c r="BC6785" t="s">
        <v>793</v>
      </c>
      <c r="BD6785">
        <v>0</v>
      </c>
      <c r="BE6785">
        <v>46302</v>
      </c>
      <c r="BF6785" t="s">
        <v>588</v>
      </c>
      <c r="BG6785">
        <v>0</v>
      </c>
    </row>
    <row r="6786" spans="3:59" x14ac:dyDescent="0.35">
      <c r="C6786">
        <v>45663</v>
      </c>
      <c r="F6786" t="s">
        <v>754</v>
      </c>
      <c r="N6786">
        <v>1</v>
      </c>
      <c r="O6786" t="s">
        <v>239</v>
      </c>
      <c r="P6786" t="s">
        <v>514</v>
      </c>
      <c r="Y6786">
        <v>529</v>
      </c>
      <c r="Z6786" s="259" t="s">
        <v>659</v>
      </c>
      <c r="AZ6786" t="s">
        <v>1321</v>
      </c>
      <c r="BA6786">
        <v>80.33</v>
      </c>
      <c r="BB6786" t="s">
        <v>564</v>
      </c>
      <c r="BC6786" t="s">
        <v>793</v>
      </c>
      <c r="BD6786">
        <v>0</v>
      </c>
      <c r="BE6786">
        <v>46302</v>
      </c>
      <c r="BF6786" t="s">
        <v>588</v>
      </c>
      <c r="BG6786">
        <v>0</v>
      </c>
    </row>
    <row r="6787" spans="3:59" x14ac:dyDescent="0.35">
      <c r="C6787">
        <v>45664</v>
      </c>
      <c r="F6787" t="s">
        <v>754</v>
      </c>
      <c r="N6787">
        <v>1</v>
      </c>
      <c r="O6787" t="s">
        <v>239</v>
      </c>
      <c r="P6787" t="s">
        <v>514</v>
      </c>
      <c r="Y6787">
        <v>530</v>
      </c>
      <c r="Z6787" s="259" t="s">
        <v>659</v>
      </c>
      <c r="AZ6787" t="s">
        <v>1322</v>
      </c>
      <c r="BA6787">
        <v>80.400000000000006</v>
      </c>
      <c r="BB6787" t="s">
        <v>564</v>
      </c>
      <c r="BC6787" t="s">
        <v>793</v>
      </c>
      <c r="BD6787">
        <v>0</v>
      </c>
      <c r="BE6787">
        <v>46302</v>
      </c>
      <c r="BF6787" t="s">
        <v>588</v>
      </c>
      <c r="BG6787">
        <v>0</v>
      </c>
    </row>
    <row r="6788" spans="3:59" x14ac:dyDescent="0.35">
      <c r="C6788">
        <v>45665</v>
      </c>
      <c r="F6788" t="s">
        <v>754</v>
      </c>
      <c r="N6788">
        <v>1</v>
      </c>
      <c r="O6788" t="s">
        <v>239</v>
      </c>
      <c r="P6788" t="s">
        <v>514</v>
      </c>
      <c r="Y6788">
        <v>531</v>
      </c>
      <c r="Z6788" s="259" t="s">
        <v>659</v>
      </c>
      <c r="AZ6788" t="s">
        <v>1323</v>
      </c>
      <c r="BA6788">
        <v>80.47</v>
      </c>
      <c r="BB6788" t="s">
        <v>564</v>
      </c>
      <c r="BC6788" t="s">
        <v>793</v>
      </c>
      <c r="BD6788">
        <v>0</v>
      </c>
      <c r="BE6788">
        <v>46302</v>
      </c>
      <c r="BF6788" t="s">
        <v>588</v>
      </c>
      <c r="BG6788">
        <v>0</v>
      </c>
    </row>
    <row r="6789" spans="3:59" x14ac:dyDescent="0.35">
      <c r="C6789">
        <v>45666</v>
      </c>
      <c r="F6789" t="s">
        <v>754</v>
      </c>
      <c r="N6789">
        <v>1</v>
      </c>
      <c r="O6789" t="s">
        <v>239</v>
      </c>
      <c r="P6789" t="s">
        <v>514</v>
      </c>
      <c r="Y6789">
        <v>532</v>
      </c>
      <c r="Z6789" s="259" t="s">
        <v>659</v>
      </c>
      <c r="AZ6789" t="s">
        <v>1324</v>
      </c>
      <c r="BA6789">
        <v>80.53</v>
      </c>
      <c r="BB6789" t="s">
        <v>564</v>
      </c>
      <c r="BC6789" t="s">
        <v>793</v>
      </c>
      <c r="BD6789">
        <v>0</v>
      </c>
      <c r="BE6789">
        <v>46302</v>
      </c>
      <c r="BF6789" t="s">
        <v>588</v>
      </c>
      <c r="BG6789">
        <v>0</v>
      </c>
    </row>
    <row r="6790" spans="3:59" x14ac:dyDescent="0.35">
      <c r="C6790">
        <v>45667</v>
      </c>
      <c r="F6790" t="s">
        <v>754</v>
      </c>
      <c r="N6790">
        <v>1</v>
      </c>
      <c r="O6790" t="s">
        <v>239</v>
      </c>
      <c r="P6790" t="s">
        <v>514</v>
      </c>
      <c r="Y6790">
        <v>533</v>
      </c>
      <c r="Z6790" s="259" t="s">
        <v>659</v>
      </c>
      <c r="AZ6790" t="s">
        <v>1325</v>
      </c>
      <c r="BA6790">
        <v>80.599999999999994</v>
      </c>
      <c r="BB6790" t="s">
        <v>564</v>
      </c>
      <c r="BC6790" t="s">
        <v>793</v>
      </c>
      <c r="BD6790">
        <v>0</v>
      </c>
      <c r="BE6790">
        <v>46302</v>
      </c>
      <c r="BF6790" t="s">
        <v>588</v>
      </c>
      <c r="BG6790">
        <v>0</v>
      </c>
    </row>
    <row r="6791" spans="3:59" x14ac:dyDescent="0.35">
      <c r="C6791">
        <v>45670</v>
      </c>
      <c r="F6791" t="s">
        <v>754</v>
      </c>
      <c r="N6791">
        <v>1</v>
      </c>
      <c r="O6791" t="s">
        <v>239</v>
      </c>
      <c r="P6791" t="s">
        <v>514</v>
      </c>
      <c r="Y6791">
        <v>534</v>
      </c>
      <c r="Z6791" s="259" t="s">
        <v>659</v>
      </c>
      <c r="AZ6791" t="s">
        <v>1326</v>
      </c>
      <c r="BA6791">
        <v>80.8</v>
      </c>
      <c r="BB6791" t="s">
        <v>564</v>
      </c>
      <c r="BC6791" t="s">
        <v>793</v>
      </c>
      <c r="BD6791">
        <v>0</v>
      </c>
      <c r="BE6791">
        <v>46302</v>
      </c>
      <c r="BF6791" t="s">
        <v>588</v>
      </c>
      <c r="BG6791">
        <v>0</v>
      </c>
    </row>
    <row r="6792" spans="3:59" x14ac:dyDescent="0.35">
      <c r="C6792">
        <v>45671</v>
      </c>
      <c r="F6792" t="s">
        <v>754</v>
      </c>
      <c r="N6792">
        <v>1</v>
      </c>
      <c r="O6792" t="s">
        <v>239</v>
      </c>
      <c r="P6792" t="s">
        <v>514</v>
      </c>
      <c r="Y6792">
        <v>535</v>
      </c>
      <c r="Z6792" s="259" t="s">
        <v>659</v>
      </c>
      <c r="AZ6792" t="s">
        <v>1327</v>
      </c>
      <c r="BA6792">
        <v>80.87</v>
      </c>
      <c r="BB6792" t="s">
        <v>564</v>
      </c>
      <c r="BC6792" t="s">
        <v>793</v>
      </c>
      <c r="BD6792">
        <v>0</v>
      </c>
      <c r="BE6792">
        <v>46302</v>
      </c>
      <c r="BF6792" t="s">
        <v>588</v>
      </c>
      <c r="BG6792">
        <v>0</v>
      </c>
    </row>
    <row r="6793" spans="3:59" x14ac:dyDescent="0.35">
      <c r="C6793">
        <v>45672</v>
      </c>
      <c r="F6793" t="s">
        <v>754</v>
      </c>
      <c r="N6793">
        <v>1</v>
      </c>
      <c r="O6793" t="s">
        <v>239</v>
      </c>
      <c r="P6793" t="s">
        <v>514</v>
      </c>
      <c r="Y6793">
        <v>536</v>
      </c>
      <c r="Z6793" s="259" t="s">
        <v>659</v>
      </c>
      <c r="AZ6793" t="s">
        <v>1328</v>
      </c>
      <c r="BA6793">
        <v>80.930000000000007</v>
      </c>
      <c r="BB6793" t="s">
        <v>564</v>
      </c>
      <c r="BC6793" t="s">
        <v>793</v>
      </c>
      <c r="BD6793">
        <v>0</v>
      </c>
      <c r="BE6793">
        <v>46302</v>
      </c>
      <c r="BF6793" t="s">
        <v>588</v>
      </c>
      <c r="BG6793">
        <v>0</v>
      </c>
    </row>
    <row r="6794" spans="3:59" x14ac:dyDescent="0.35">
      <c r="C6794">
        <v>45673</v>
      </c>
      <c r="F6794" t="s">
        <v>754</v>
      </c>
      <c r="N6794">
        <v>1</v>
      </c>
      <c r="O6794" t="s">
        <v>239</v>
      </c>
      <c r="P6794" t="s">
        <v>514</v>
      </c>
      <c r="Y6794">
        <v>537</v>
      </c>
      <c r="Z6794" s="259" t="s">
        <v>659</v>
      </c>
      <c r="AZ6794" t="s">
        <v>1329</v>
      </c>
      <c r="BA6794">
        <v>81</v>
      </c>
      <c r="BB6794" t="s">
        <v>564</v>
      </c>
      <c r="BC6794" t="s">
        <v>793</v>
      </c>
      <c r="BD6794">
        <v>0</v>
      </c>
      <c r="BE6794">
        <v>46302</v>
      </c>
      <c r="BF6794" t="s">
        <v>588</v>
      </c>
      <c r="BG6794">
        <v>0</v>
      </c>
    </row>
    <row r="6795" spans="3:59" x14ac:dyDescent="0.35">
      <c r="C6795">
        <v>45674</v>
      </c>
      <c r="F6795" t="s">
        <v>754</v>
      </c>
      <c r="N6795">
        <v>1</v>
      </c>
      <c r="O6795" t="s">
        <v>239</v>
      </c>
      <c r="P6795" t="s">
        <v>514</v>
      </c>
      <c r="Y6795">
        <v>538</v>
      </c>
      <c r="Z6795" s="259" t="s">
        <v>659</v>
      </c>
      <c r="AZ6795" t="s">
        <v>1330</v>
      </c>
      <c r="BA6795">
        <v>81.069999999999993</v>
      </c>
      <c r="BB6795" t="s">
        <v>564</v>
      </c>
      <c r="BC6795" t="s">
        <v>793</v>
      </c>
      <c r="BD6795">
        <v>0</v>
      </c>
      <c r="BE6795">
        <v>46302</v>
      </c>
      <c r="BF6795" t="s">
        <v>588</v>
      </c>
      <c r="BG6795">
        <v>0</v>
      </c>
    </row>
    <row r="6796" spans="3:59" x14ac:dyDescent="0.35">
      <c r="C6796">
        <v>45677</v>
      </c>
      <c r="F6796" t="s">
        <v>754</v>
      </c>
      <c r="N6796">
        <v>1</v>
      </c>
      <c r="O6796" t="s">
        <v>239</v>
      </c>
      <c r="P6796" t="s">
        <v>514</v>
      </c>
      <c r="Y6796">
        <v>539</v>
      </c>
      <c r="Z6796" s="259" t="s">
        <v>659</v>
      </c>
      <c r="AZ6796" t="s">
        <v>1331</v>
      </c>
      <c r="BA6796">
        <v>81.27</v>
      </c>
      <c r="BB6796" t="s">
        <v>564</v>
      </c>
      <c r="BC6796" t="s">
        <v>793</v>
      </c>
      <c r="BD6796">
        <v>0</v>
      </c>
      <c r="BE6796">
        <v>46302</v>
      </c>
      <c r="BF6796" t="s">
        <v>588</v>
      </c>
      <c r="BG6796">
        <v>0</v>
      </c>
    </row>
    <row r="6797" spans="3:59" x14ac:dyDescent="0.35">
      <c r="C6797">
        <v>45678</v>
      </c>
      <c r="F6797" t="s">
        <v>754</v>
      </c>
      <c r="N6797">
        <v>1</v>
      </c>
      <c r="O6797" t="s">
        <v>239</v>
      </c>
      <c r="P6797" t="s">
        <v>514</v>
      </c>
      <c r="Y6797">
        <v>540</v>
      </c>
      <c r="Z6797" s="259" t="s">
        <v>659</v>
      </c>
      <c r="AZ6797" t="s">
        <v>1332</v>
      </c>
      <c r="BA6797">
        <v>81.33</v>
      </c>
      <c r="BB6797" t="s">
        <v>564</v>
      </c>
      <c r="BC6797" t="s">
        <v>793</v>
      </c>
      <c r="BD6797">
        <v>0</v>
      </c>
      <c r="BE6797">
        <v>46302</v>
      </c>
      <c r="BF6797" t="s">
        <v>588</v>
      </c>
      <c r="BG6797">
        <v>0</v>
      </c>
    </row>
    <row r="6798" spans="3:59" x14ac:dyDescent="0.35">
      <c r="C6798">
        <v>45679</v>
      </c>
      <c r="F6798" t="s">
        <v>754</v>
      </c>
      <c r="N6798">
        <v>1</v>
      </c>
      <c r="O6798" t="s">
        <v>239</v>
      </c>
      <c r="P6798" t="s">
        <v>514</v>
      </c>
      <c r="Y6798">
        <v>541</v>
      </c>
      <c r="Z6798" s="259" t="s">
        <v>659</v>
      </c>
      <c r="AZ6798" t="s">
        <v>1333</v>
      </c>
      <c r="BA6798">
        <v>81.400000000000006</v>
      </c>
      <c r="BB6798" t="s">
        <v>564</v>
      </c>
      <c r="BC6798" t="s">
        <v>793</v>
      </c>
      <c r="BD6798">
        <v>0</v>
      </c>
      <c r="BE6798">
        <v>46302</v>
      </c>
      <c r="BF6798" t="s">
        <v>588</v>
      </c>
      <c r="BG6798">
        <v>0</v>
      </c>
    </row>
    <row r="6799" spans="3:59" x14ac:dyDescent="0.35">
      <c r="C6799">
        <v>45680</v>
      </c>
      <c r="F6799" t="s">
        <v>754</v>
      </c>
      <c r="N6799">
        <v>1</v>
      </c>
      <c r="O6799" t="s">
        <v>239</v>
      </c>
      <c r="P6799" t="s">
        <v>514</v>
      </c>
      <c r="Y6799">
        <v>542</v>
      </c>
      <c r="Z6799" s="259" t="s">
        <v>659</v>
      </c>
      <c r="AZ6799" t="s">
        <v>1334</v>
      </c>
      <c r="BA6799">
        <v>81.47</v>
      </c>
      <c r="BB6799" t="s">
        <v>564</v>
      </c>
      <c r="BC6799" t="s">
        <v>793</v>
      </c>
      <c r="BD6799">
        <v>0</v>
      </c>
      <c r="BE6799">
        <v>46302</v>
      </c>
      <c r="BF6799" t="s">
        <v>588</v>
      </c>
      <c r="BG6799">
        <v>0</v>
      </c>
    </row>
    <row r="6800" spans="3:59" x14ac:dyDescent="0.35">
      <c r="C6800">
        <v>45681</v>
      </c>
      <c r="F6800" t="s">
        <v>754</v>
      </c>
      <c r="N6800">
        <v>1</v>
      </c>
      <c r="O6800" t="s">
        <v>239</v>
      </c>
      <c r="P6800" t="s">
        <v>514</v>
      </c>
      <c r="Y6800">
        <v>543</v>
      </c>
      <c r="Z6800" s="259" t="s">
        <v>659</v>
      </c>
      <c r="AZ6800" t="s">
        <v>1335</v>
      </c>
      <c r="BA6800">
        <v>81.53</v>
      </c>
      <c r="BB6800" t="s">
        <v>564</v>
      </c>
      <c r="BC6800" t="s">
        <v>793</v>
      </c>
      <c r="BD6800">
        <v>0</v>
      </c>
      <c r="BE6800">
        <v>46302</v>
      </c>
      <c r="BF6800" t="s">
        <v>588</v>
      </c>
      <c r="BG6800">
        <v>0</v>
      </c>
    </row>
    <row r="6801" spans="3:59" x14ac:dyDescent="0.35">
      <c r="C6801">
        <v>45684</v>
      </c>
      <c r="F6801" t="s">
        <v>754</v>
      </c>
      <c r="N6801">
        <v>1</v>
      </c>
      <c r="O6801" t="s">
        <v>239</v>
      </c>
      <c r="P6801" t="s">
        <v>514</v>
      </c>
      <c r="Y6801">
        <v>544</v>
      </c>
      <c r="Z6801" s="259" t="s">
        <v>659</v>
      </c>
      <c r="AZ6801" t="s">
        <v>1336</v>
      </c>
      <c r="BA6801">
        <v>81.73</v>
      </c>
      <c r="BB6801" t="s">
        <v>564</v>
      </c>
      <c r="BC6801" t="s">
        <v>793</v>
      </c>
      <c r="BD6801">
        <v>0</v>
      </c>
      <c r="BE6801">
        <v>46302</v>
      </c>
      <c r="BF6801" t="s">
        <v>588</v>
      </c>
      <c r="BG6801">
        <v>0</v>
      </c>
    </row>
    <row r="6802" spans="3:59" x14ac:dyDescent="0.35">
      <c r="C6802">
        <v>45685</v>
      </c>
      <c r="F6802" t="s">
        <v>754</v>
      </c>
      <c r="N6802">
        <v>1</v>
      </c>
      <c r="O6802" t="s">
        <v>239</v>
      </c>
      <c r="P6802" t="s">
        <v>514</v>
      </c>
      <c r="Y6802">
        <v>545</v>
      </c>
      <c r="Z6802" s="259" t="s">
        <v>659</v>
      </c>
      <c r="AZ6802" t="s">
        <v>1337</v>
      </c>
      <c r="BA6802">
        <v>81.8</v>
      </c>
      <c r="BB6802" t="s">
        <v>564</v>
      </c>
      <c r="BC6802" t="s">
        <v>793</v>
      </c>
      <c r="BD6802">
        <v>0</v>
      </c>
      <c r="BE6802">
        <v>46302</v>
      </c>
      <c r="BF6802" t="s">
        <v>588</v>
      </c>
      <c r="BG6802">
        <v>0</v>
      </c>
    </row>
    <row r="6803" spans="3:59" x14ac:dyDescent="0.35">
      <c r="C6803">
        <v>45686</v>
      </c>
      <c r="F6803" t="s">
        <v>754</v>
      </c>
      <c r="N6803">
        <v>1</v>
      </c>
      <c r="O6803" t="s">
        <v>239</v>
      </c>
      <c r="P6803" t="s">
        <v>514</v>
      </c>
      <c r="Y6803">
        <v>546</v>
      </c>
      <c r="Z6803" s="259" t="s">
        <v>659</v>
      </c>
      <c r="AZ6803" t="s">
        <v>1338</v>
      </c>
      <c r="BA6803">
        <v>81.87</v>
      </c>
      <c r="BB6803" t="s">
        <v>564</v>
      </c>
      <c r="BC6803" t="s">
        <v>793</v>
      </c>
      <c r="BD6803">
        <v>0</v>
      </c>
      <c r="BE6803">
        <v>46302</v>
      </c>
      <c r="BF6803" t="s">
        <v>588</v>
      </c>
      <c r="BG6803">
        <v>0</v>
      </c>
    </row>
    <row r="6804" spans="3:59" x14ac:dyDescent="0.35">
      <c r="C6804">
        <v>45687</v>
      </c>
      <c r="F6804" t="s">
        <v>754</v>
      </c>
      <c r="N6804">
        <v>1</v>
      </c>
      <c r="O6804" t="s">
        <v>239</v>
      </c>
      <c r="P6804" t="s">
        <v>514</v>
      </c>
      <c r="Y6804">
        <v>547</v>
      </c>
      <c r="Z6804" s="259" t="s">
        <v>659</v>
      </c>
      <c r="AZ6804" t="s">
        <v>1339</v>
      </c>
      <c r="BA6804">
        <v>81.93</v>
      </c>
      <c r="BB6804" t="s">
        <v>564</v>
      </c>
      <c r="BC6804" t="s">
        <v>793</v>
      </c>
      <c r="BD6804">
        <v>0</v>
      </c>
      <c r="BE6804">
        <v>46302</v>
      </c>
      <c r="BF6804" t="s">
        <v>588</v>
      </c>
      <c r="BG6804">
        <v>0</v>
      </c>
    </row>
    <row r="6805" spans="3:59" x14ac:dyDescent="0.35">
      <c r="C6805">
        <v>45688</v>
      </c>
      <c r="F6805" t="s">
        <v>754</v>
      </c>
      <c r="N6805">
        <v>1</v>
      </c>
      <c r="O6805" t="s">
        <v>239</v>
      </c>
      <c r="P6805" t="s">
        <v>514</v>
      </c>
      <c r="Y6805">
        <v>548</v>
      </c>
      <c r="Z6805" s="259" t="s">
        <v>659</v>
      </c>
      <c r="AZ6805" t="s">
        <v>1340</v>
      </c>
      <c r="BA6805">
        <v>82</v>
      </c>
      <c r="BB6805" t="s">
        <v>564</v>
      </c>
      <c r="BC6805" t="s">
        <v>793</v>
      </c>
      <c r="BD6805">
        <v>0</v>
      </c>
      <c r="BE6805">
        <v>46302</v>
      </c>
      <c r="BF6805" t="s">
        <v>588</v>
      </c>
      <c r="BG6805">
        <v>0</v>
      </c>
    </row>
    <row r="6806" spans="3:59" x14ac:dyDescent="0.35">
      <c r="C6806">
        <v>45691</v>
      </c>
      <c r="F6806" t="s">
        <v>754</v>
      </c>
      <c r="N6806">
        <v>1</v>
      </c>
      <c r="O6806" t="s">
        <v>239</v>
      </c>
      <c r="P6806" t="s">
        <v>514</v>
      </c>
      <c r="Y6806">
        <v>549</v>
      </c>
      <c r="Z6806" s="259" t="s">
        <v>659</v>
      </c>
      <c r="AZ6806" t="s">
        <v>1341</v>
      </c>
      <c r="BA6806">
        <v>81.7</v>
      </c>
      <c r="BB6806" t="s">
        <v>564</v>
      </c>
      <c r="BC6806" t="s">
        <v>793</v>
      </c>
      <c r="BD6806">
        <v>0</v>
      </c>
      <c r="BE6806">
        <v>46302</v>
      </c>
      <c r="BF6806" t="s">
        <v>588</v>
      </c>
      <c r="BG6806">
        <v>0</v>
      </c>
    </row>
    <row r="6807" spans="3:59" x14ac:dyDescent="0.35">
      <c r="C6807">
        <v>45692</v>
      </c>
      <c r="F6807" t="s">
        <v>754</v>
      </c>
      <c r="N6807">
        <v>1</v>
      </c>
      <c r="O6807" t="s">
        <v>239</v>
      </c>
      <c r="P6807" t="s">
        <v>514</v>
      </c>
      <c r="Y6807">
        <v>550</v>
      </c>
      <c r="Z6807" s="259" t="s">
        <v>659</v>
      </c>
      <c r="AZ6807" t="s">
        <v>1342</v>
      </c>
      <c r="BA6807">
        <v>81.56</v>
      </c>
      <c r="BB6807" t="s">
        <v>564</v>
      </c>
      <c r="BC6807" t="s">
        <v>793</v>
      </c>
      <c r="BD6807">
        <v>0</v>
      </c>
      <c r="BE6807">
        <v>46302</v>
      </c>
      <c r="BF6807" t="s">
        <v>588</v>
      </c>
      <c r="BG6807">
        <v>0</v>
      </c>
    </row>
    <row r="6808" spans="3:59" x14ac:dyDescent="0.35">
      <c r="C6808">
        <v>45693</v>
      </c>
      <c r="F6808" t="s">
        <v>754</v>
      </c>
      <c r="N6808">
        <v>1</v>
      </c>
      <c r="O6808" t="s">
        <v>239</v>
      </c>
      <c r="P6808" t="s">
        <v>514</v>
      </c>
      <c r="Y6808">
        <v>551</v>
      </c>
      <c r="Z6808" s="259" t="s">
        <v>659</v>
      </c>
      <c r="AZ6808" t="s">
        <v>1343</v>
      </c>
      <c r="BA6808">
        <v>81.41</v>
      </c>
      <c r="BB6808" t="s">
        <v>564</v>
      </c>
      <c r="BC6808" t="s">
        <v>793</v>
      </c>
      <c r="BD6808">
        <v>0</v>
      </c>
      <c r="BE6808">
        <v>46302</v>
      </c>
      <c r="BF6808" t="s">
        <v>588</v>
      </c>
      <c r="BG6808">
        <v>0</v>
      </c>
    </row>
    <row r="6809" spans="3:59" x14ac:dyDescent="0.35">
      <c r="C6809">
        <v>45694</v>
      </c>
      <c r="F6809" t="s">
        <v>754</v>
      </c>
      <c r="N6809">
        <v>1</v>
      </c>
      <c r="O6809" t="s">
        <v>239</v>
      </c>
      <c r="P6809" t="s">
        <v>514</v>
      </c>
      <c r="Y6809">
        <v>552</v>
      </c>
      <c r="Z6809" s="259" t="s">
        <v>659</v>
      </c>
      <c r="AZ6809" t="s">
        <v>1344</v>
      </c>
      <c r="BA6809">
        <v>81.260000000000005</v>
      </c>
      <c r="BB6809" t="s">
        <v>564</v>
      </c>
      <c r="BC6809" t="s">
        <v>793</v>
      </c>
      <c r="BD6809">
        <v>0</v>
      </c>
      <c r="BE6809">
        <v>46302</v>
      </c>
      <c r="BF6809" t="s">
        <v>588</v>
      </c>
      <c r="BG6809">
        <v>0</v>
      </c>
    </row>
    <row r="6810" spans="3:59" x14ac:dyDescent="0.35">
      <c r="C6810">
        <v>45695</v>
      </c>
      <c r="F6810" t="s">
        <v>754</v>
      </c>
      <c r="N6810">
        <v>1</v>
      </c>
      <c r="O6810" t="s">
        <v>239</v>
      </c>
      <c r="P6810" t="s">
        <v>514</v>
      </c>
      <c r="Y6810">
        <v>553</v>
      </c>
      <c r="Z6810" s="259" t="s">
        <v>659</v>
      </c>
      <c r="AZ6810" t="s">
        <v>1345</v>
      </c>
      <c r="BA6810">
        <v>81.11</v>
      </c>
      <c r="BB6810" t="s">
        <v>564</v>
      </c>
      <c r="BC6810" t="s">
        <v>793</v>
      </c>
      <c r="BD6810">
        <v>0</v>
      </c>
      <c r="BE6810">
        <v>46302</v>
      </c>
      <c r="BF6810" t="s">
        <v>588</v>
      </c>
      <c r="BG6810">
        <v>0</v>
      </c>
    </row>
    <row r="6811" spans="3:59" x14ac:dyDescent="0.35">
      <c r="C6811">
        <v>45698</v>
      </c>
      <c r="F6811" t="s">
        <v>754</v>
      </c>
      <c r="N6811">
        <v>1</v>
      </c>
      <c r="O6811" t="s">
        <v>239</v>
      </c>
      <c r="P6811" t="s">
        <v>514</v>
      </c>
      <c r="Y6811">
        <v>554</v>
      </c>
      <c r="Z6811" s="259" t="s">
        <v>659</v>
      </c>
      <c r="AZ6811" t="s">
        <v>1346</v>
      </c>
      <c r="BA6811">
        <v>80.67</v>
      </c>
      <c r="BB6811" t="s">
        <v>564</v>
      </c>
      <c r="BC6811" t="s">
        <v>793</v>
      </c>
      <c r="BD6811">
        <v>0</v>
      </c>
      <c r="BE6811">
        <v>46302</v>
      </c>
      <c r="BF6811" t="s">
        <v>588</v>
      </c>
      <c r="BG6811">
        <v>0</v>
      </c>
    </row>
    <row r="6812" spans="3:59" x14ac:dyDescent="0.35">
      <c r="C6812">
        <v>45699</v>
      </c>
      <c r="F6812" t="s">
        <v>754</v>
      </c>
      <c r="N6812">
        <v>1</v>
      </c>
      <c r="O6812" t="s">
        <v>239</v>
      </c>
      <c r="P6812" t="s">
        <v>514</v>
      </c>
      <c r="Y6812">
        <v>555</v>
      </c>
      <c r="Z6812" s="259" t="s">
        <v>659</v>
      </c>
      <c r="AZ6812" t="s">
        <v>1347</v>
      </c>
      <c r="BA6812">
        <v>80.52</v>
      </c>
      <c r="BB6812" t="s">
        <v>564</v>
      </c>
      <c r="BC6812" t="s">
        <v>793</v>
      </c>
      <c r="BD6812">
        <v>0</v>
      </c>
      <c r="BE6812">
        <v>46302</v>
      </c>
      <c r="BF6812" t="s">
        <v>588</v>
      </c>
      <c r="BG6812">
        <v>0</v>
      </c>
    </row>
    <row r="6813" spans="3:59" x14ac:dyDescent="0.35">
      <c r="C6813">
        <v>45700</v>
      </c>
      <c r="F6813" t="s">
        <v>754</v>
      </c>
      <c r="N6813">
        <v>1</v>
      </c>
      <c r="O6813" t="s">
        <v>239</v>
      </c>
      <c r="P6813" t="s">
        <v>514</v>
      </c>
      <c r="Y6813">
        <v>556</v>
      </c>
      <c r="Z6813" s="259" t="s">
        <v>659</v>
      </c>
      <c r="AZ6813" t="s">
        <v>1348</v>
      </c>
      <c r="BA6813">
        <v>80.37</v>
      </c>
      <c r="BB6813" t="s">
        <v>564</v>
      </c>
      <c r="BC6813" t="s">
        <v>793</v>
      </c>
      <c r="BD6813">
        <v>0</v>
      </c>
      <c r="BE6813">
        <v>46302</v>
      </c>
      <c r="BF6813" t="s">
        <v>588</v>
      </c>
      <c r="BG6813">
        <v>0</v>
      </c>
    </row>
    <row r="6814" spans="3:59" x14ac:dyDescent="0.35">
      <c r="C6814">
        <v>45701</v>
      </c>
      <c r="F6814" t="s">
        <v>754</v>
      </c>
      <c r="N6814">
        <v>1</v>
      </c>
      <c r="O6814" t="s">
        <v>239</v>
      </c>
      <c r="P6814" t="s">
        <v>514</v>
      </c>
      <c r="Y6814">
        <v>557</v>
      </c>
      <c r="Z6814" s="259" t="s">
        <v>659</v>
      </c>
      <c r="AZ6814" t="s">
        <v>1349</v>
      </c>
      <c r="BA6814">
        <v>80.22</v>
      </c>
      <c r="BB6814" t="s">
        <v>564</v>
      </c>
      <c r="BC6814" t="s">
        <v>793</v>
      </c>
      <c r="BD6814">
        <v>0</v>
      </c>
      <c r="BE6814">
        <v>46302</v>
      </c>
      <c r="BF6814" t="s">
        <v>588</v>
      </c>
      <c r="BG6814">
        <v>0</v>
      </c>
    </row>
    <row r="6815" spans="3:59" x14ac:dyDescent="0.35">
      <c r="C6815">
        <v>45702</v>
      </c>
      <c r="F6815" t="s">
        <v>754</v>
      </c>
      <c r="N6815">
        <v>1</v>
      </c>
      <c r="O6815" t="s">
        <v>239</v>
      </c>
      <c r="P6815" t="s">
        <v>514</v>
      </c>
      <c r="Y6815">
        <v>558</v>
      </c>
      <c r="Z6815" s="259" t="s">
        <v>659</v>
      </c>
      <c r="AZ6815" t="s">
        <v>1350</v>
      </c>
      <c r="BA6815">
        <v>80.069999999999993</v>
      </c>
      <c r="BB6815" t="s">
        <v>564</v>
      </c>
      <c r="BC6815" t="s">
        <v>793</v>
      </c>
      <c r="BD6815">
        <v>0</v>
      </c>
      <c r="BE6815">
        <v>46302</v>
      </c>
      <c r="BF6815" t="s">
        <v>588</v>
      </c>
      <c r="BG6815">
        <v>0</v>
      </c>
    </row>
    <row r="6816" spans="3:59" x14ac:dyDescent="0.35">
      <c r="C6816">
        <v>45705</v>
      </c>
      <c r="F6816" t="s">
        <v>754</v>
      </c>
      <c r="N6816">
        <v>1</v>
      </c>
      <c r="O6816" t="s">
        <v>239</v>
      </c>
      <c r="P6816" t="s">
        <v>514</v>
      </c>
      <c r="Y6816">
        <v>559</v>
      </c>
      <c r="Z6816" s="259" t="s">
        <v>659</v>
      </c>
      <c r="AZ6816" t="s">
        <v>1351</v>
      </c>
      <c r="BA6816">
        <v>79.63</v>
      </c>
      <c r="BB6816" t="s">
        <v>564</v>
      </c>
      <c r="BC6816" t="s">
        <v>793</v>
      </c>
      <c r="BD6816">
        <v>0</v>
      </c>
      <c r="BE6816">
        <v>46302</v>
      </c>
      <c r="BF6816" t="s">
        <v>588</v>
      </c>
      <c r="BG6816">
        <v>0</v>
      </c>
    </row>
    <row r="6817" spans="3:59" x14ac:dyDescent="0.35">
      <c r="C6817">
        <v>45706</v>
      </c>
      <c r="F6817" t="s">
        <v>754</v>
      </c>
      <c r="N6817">
        <v>1</v>
      </c>
      <c r="O6817" t="s">
        <v>239</v>
      </c>
      <c r="P6817" t="s">
        <v>514</v>
      </c>
      <c r="Y6817">
        <v>560</v>
      </c>
      <c r="Z6817" s="259" t="s">
        <v>659</v>
      </c>
      <c r="AZ6817" t="s">
        <v>1352</v>
      </c>
      <c r="BA6817">
        <v>79.48</v>
      </c>
      <c r="BB6817" t="s">
        <v>564</v>
      </c>
      <c r="BC6817" t="s">
        <v>793</v>
      </c>
      <c r="BD6817">
        <v>0</v>
      </c>
      <c r="BE6817">
        <v>46302</v>
      </c>
      <c r="BF6817" t="s">
        <v>588</v>
      </c>
      <c r="BG6817">
        <v>0</v>
      </c>
    </row>
    <row r="6818" spans="3:59" x14ac:dyDescent="0.35">
      <c r="C6818">
        <v>45707</v>
      </c>
      <c r="F6818" t="s">
        <v>754</v>
      </c>
      <c r="N6818">
        <v>1</v>
      </c>
      <c r="O6818" t="s">
        <v>239</v>
      </c>
      <c r="P6818" t="s">
        <v>514</v>
      </c>
      <c r="Y6818">
        <v>561</v>
      </c>
      <c r="Z6818" s="259" t="s">
        <v>659</v>
      </c>
      <c r="AZ6818" t="s">
        <v>1353</v>
      </c>
      <c r="BA6818">
        <v>79.33</v>
      </c>
      <c r="BB6818" t="s">
        <v>564</v>
      </c>
      <c r="BC6818" t="s">
        <v>793</v>
      </c>
      <c r="BD6818">
        <v>0</v>
      </c>
      <c r="BE6818">
        <v>46302</v>
      </c>
      <c r="BF6818" t="s">
        <v>588</v>
      </c>
      <c r="BG6818">
        <v>0</v>
      </c>
    </row>
    <row r="6819" spans="3:59" x14ac:dyDescent="0.35">
      <c r="C6819">
        <v>45708</v>
      </c>
      <c r="F6819" t="s">
        <v>754</v>
      </c>
      <c r="N6819">
        <v>1</v>
      </c>
      <c r="O6819" t="s">
        <v>239</v>
      </c>
      <c r="P6819" t="s">
        <v>514</v>
      </c>
      <c r="Y6819">
        <v>562</v>
      </c>
      <c r="Z6819" s="259" t="s">
        <v>659</v>
      </c>
      <c r="AZ6819" t="s">
        <v>1354</v>
      </c>
      <c r="BA6819">
        <v>79.19</v>
      </c>
      <c r="BB6819" t="s">
        <v>564</v>
      </c>
      <c r="BC6819" t="s">
        <v>793</v>
      </c>
      <c r="BD6819">
        <v>0</v>
      </c>
      <c r="BE6819">
        <v>46302</v>
      </c>
      <c r="BF6819" t="s">
        <v>588</v>
      </c>
      <c r="BG6819">
        <v>0</v>
      </c>
    </row>
    <row r="6820" spans="3:59" x14ac:dyDescent="0.35">
      <c r="C6820">
        <v>45709</v>
      </c>
      <c r="F6820" t="s">
        <v>754</v>
      </c>
      <c r="N6820">
        <v>1</v>
      </c>
      <c r="O6820" t="s">
        <v>239</v>
      </c>
      <c r="P6820" t="s">
        <v>514</v>
      </c>
      <c r="Y6820">
        <v>563</v>
      </c>
      <c r="Z6820" s="259" t="s">
        <v>659</v>
      </c>
      <c r="AZ6820" t="s">
        <v>1355</v>
      </c>
      <c r="BA6820">
        <v>79.040000000000006</v>
      </c>
      <c r="BB6820" t="s">
        <v>564</v>
      </c>
      <c r="BC6820" t="s">
        <v>793</v>
      </c>
      <c r="BD6820">
        <v>0</v>
      </c>
      <c r="BE6820">
        <v>46302</v>
      </c>
      <c r="BF6820" t="s">
        <v>588</v>
      </c>
      <c r="BG6820">
        <v>0</v>
      </c>
    </row>
    <row r="6821" spans="3:59" x14ac:dyDescent="0.35">
      <c r="C6821">
        <v>45712</v>
      </c>
      <c r="F6821" t="s">
        <v>754</v>
      </c>
      <c r="N6821">
        <v>1</v>
      </c>
      <c r="O6821" t="s">
        <v>239</v>
      </c>
      <c r="P6821" t="s">
        <v>514</v>
      </c>
      <c r="Y6821">
        <v>564</v>
      </c>
      <c r="Z6821" s="259" t="s">
        <v>659</v>
      </c>
      <c r="AZ6821" t="s">
        <v>1356</v>
      </c>
      <c r="BA6821">
        <v>78.59</v>
      </c>
      <c r="BB6821" t="s">
        <v>564</v>
      </c>
      <c r="BC6821" t="s">
        <v>793</v>
      </c>
      <c r="BD6821">
        <v>0</v>
      </c>
      <c r="BE6821">
        <v>46302</v>
      </c>
      <c r="BF6821" t="s">
        <v>588</v>
      </c>
      <c r="BG6821">
        <v>0</v>
      </c>
    </row>
    <row r="6822" spans="3:59" x14ac:dyDescent="0.35">
      <c r="C6822">
        <v>45713</v>
      </c>
      <c r="F6822" t="s">
        <v>754</v>
      </c>
      <c r="N6822">
        <v>1</v>
      </c>
      <c r="O6822" t="s">
        <v>239</v>
      </c>
      <c r="P6822" t="s">
        <v>514</v>
      </c>
      <c r="Y6822">
        <v>565</v>
      </c>
      <c r="Z6822" s="259" t="s">
        <v>659</v>
      </c>
      <c r="AZ6822" t="s">
        <v>1357</v>
      </c>
      <c r="BA6822">
        <v>78.44</v>
      </c>
      <c r="BB6822" t="s">
        <v>564</v>
      </c>
      <c r="BC6822" t="s">
        <v>793</v>
      </c>
      <c r="BD6822">
        <v>0</v>
      </c>
      <c r="BE6822">
        <v>46302</v>
      </c>
      <c r="BF6822" t="s">
        <v>588</v>
      </c>
      <c r="BG6822">
        <v>0</v>
      </c>
    </row>
    <row r="6823" spans="3:59" x14ac:dyDescent="0.35">
      <c r="C6823">
        <v>45714</v>
      </c>
      <c r="F6823" t="s">
        <v>754</v>
      </c>
      <c r="N6823">
        <v>1</v>
      </c>
      <c r="O6823" t="s">
        <v>239</v>
      </c>
      <c r="P6823" t="s">
        <v>514</v>
      </c>
      <c r="Y6823">
        <v>566</v>
      </c>
      <c r="Z6823" s="259" t="s">
        <v>659</v>
      </c>
      <c r="AZ6823" t="s">
        <v>1358</v>
      </c>
      <c r="BA6823">
        <v>78.3</v>
      </c>
      <c r="BB6823" t="s">
        <v>564</v>
      </c>
      <c r="BC6823" t="s">
        <v>793</v>
      </c>
      <c r="BD6823">
        <v>0</v>
      </c>
      <c r="BE6823">
        <v>46302</v>
      </c>
      <c r="BF6823" t="s">
        <v>588</v>
      </c>
      <c r="BG6823">
        <v>0</v>
      </c>
    </row>
    <row r="6824" spans="3:59" x14ac:dyDescent="0.35">
      <c r="C6824">
        <v>45715</v>
      </c>
      <c r="F6824" t="s">
        <v>754</v>
      </c>
      <c r="N6824">
        <v>1</v>
      </c>
      <c r="O6824" t="s">
        <v>239</v>
      </c>
      <c r="P6824" t="s">
        <v>514</v>
      </c>
      <c r="Y6824">
        <v>567</v>
      </c>
      <c r="Z6824" s="259" t="s">
        <v>659</v>
      </c>
      <c r="AZ6824" t="s">
        <v>1359</v>
      </c>
      <c r="BA6824">
        <v>78.150000000000006</v>
      </c>
      <c r="BB6824" t="s">
        <v>564</v>
      </c>
      <c r="BC6824" t="s">
        <v>793</v>
      </c>
      <c r="BD6824">
        <v>0</v>
      </c>
      <c r="BE6824">
        <v>46302</v>
      </c>
      <c r="BF6824" t="s">
        <v>588</v>
      </c>
      <c r="BG6824">
        <v>0</v>
      </c>
    </row>
    <row r="6825" spans="3:59" x14ac:dyDescent="0.35">
      <c r="C6825">
        <v>45716</v>
      </c>
      <c r="F6825" t="s">
        <v>754</v>
      </c>
      <c r="N6825">
        <v>1</v>
      </c>
      <c r="O6825" t="s">
        <v>239</v>
      </c>
      <c r="P6825" t="s">
        <v>514</v>
      </c>
      <c r="Y6825">
        <v>568</v>
      </c>
      <c r="Z6825" s="259" t="s">
        <v>659</v>
      </c>
      <c r="AZ6825" t="s">
        <v>1360</v>
      </c>
      <c r="BA6825">
        <v>78</v>
      </c>
      <c r="BB6825" t="s">
        <v>564</v>
      </c>
      <c r="BC6825" t="s">
        <v>793</v>
      </c>
      <c r="BD6825">
        <v>0</v>
      </c>
      <c r="BE6825">
        <v>46302</v>
      </c>
      <c r="BF6825" t="s">
        <v>588</v>
      </c>
      <c r="BG6825">
        <v>0</v>
      </c>
    </row>
    <row r="6826" spans="3:59" x14ac:dyDescent="0.35">
      <c r="C6826">
        <v>45719</v>
      </c>
      <c r="F6826" t="s">
        <v>754</v>
      </c>
      <c r="N6826">
        <v>1</v>
      </c>
      <c r="O6826" t="s">
        <v>239</v>
      </c>
      <c r="P6826" t="s">
        <v>514</v>
      </c>
      <c r="Y6826">
        <v>569</v>
      </c>
      <c r="Z6826" s="259" t="s">
        <v>659</v>
      </c>
      <c r="AZ6826" t="s">
        <v>1361</v>
      </c>
      <c r="BA6826">
        <v>77.8</v>
      </c>
      <c r="BB6826" t="s">
        <v>564</v>
      </c>
      <c r="BC6826" t="s">
        <v>793</v>
      </c>
      <c r="BD6826">
        <v>0</v>
      </c>
      <c r="BE6826">
        <v>46302</v>
      </c>
      <c r="BF6826" t="s">
        <v>588</v>
      </c>
      <c r="BG6826">
        <v>0</v>
      </c>
    </row>
    <row r="6827" spans="3:59" x14ac:dyDescent="0.35">
      <c r="C6827">
        <v>45720</v>
      </c>
      <c r="F6827" t="s">
        <v>754</v>
      </c>
      <c r="N6827">
        <v>1</v>
      </c>
      <c r="O6827" t="s">
        <v>239</v>
      </c>
      <c r="P6827" t="s">
        <v>514</v>
      </c>
      <c r="Y6827">
        <v>570</v>
      </c>
      <c r="Z6827" s="259" t="s">
        <v>659</v>
      </c>
      <c r="AZ6827" t="s">
        <v>1362</v>
      </c>
      <c r="BA6827">
        <v>77.7</v>
      </c>
      <c r="BB6827" t="s">
        <v>564</v>
      </c>
      <c r="BC6827" t="s">
        <v>793</v>
      </c>
      <c r="BD6827">
        <v>0</v>
      </c>
      <c r="BE6827">
        <v>46302</v>
      </c>
      <c r="BF6827" t="s">
        <v>588</v>
      </c>
      <c r="BG6827">
        <v>0</v>
      </c>
    </row>
    <row r="6828" spans="3:59" x14ac:dyDescent="0.35">
      <c r="C6828">
        <v>45721</v>
      </c>
      <c r="F6828" t="s">
        <v>754</v>
      </c>
      <c r="N6828">
        <v>1</v>
      </c>
      <c r="O6828" t="s">
        <v>239</v>
      </c>
      <c r="P6828" t="s">
        <v>514</v>
      </c>
      <c r="Y6828">
        <v>571</v>
      </c>
      <c r="Z6828" s="259" t="s">
        <v>659</v>
      </c>
      <c r="AZ6828" t="s">
        <v>1363</v>
      </c>
      <c r="BA6828">
        <v>77.599999999999994</v>
      </c>
      <c r="BB6828" t="s">
        <v>564</v>
      </c>
      <c r="BC6828" t="s">
        <v>793</v>
      </c>
      <c r="BD6828">
        <v>0</v>
      </c>
      <c r="BE6828">
        <v>46302</v>
      </c>
      <c r="BF6828" t="s">
        <v>588</v>
      </c>
      <c r="BG6828">
        <v>0</v>
      </c>
    </row>
    <row r="6829" spans="3:59" x14ac:dyDescent="0.35">
      <c r="C6829">
        <v>45722</v>
      </c>
      <c r="F6829" t="s">
        <v>754</v>
      </c>
      <c r="N6829">
        <v>1</v>
      </c>
      <c r="O6829" t="s">
        <v>239</v>
      </c>
      <c r="P6829" t="s">
        <v>514</v>
      </c>
      <c r="Y6829">
        <v>572</v>
      </c>
      <c r="Z6829" s="259" t="s">
        <v>659</v>
      </c>
      <c r="AZ6829" t="s">
        <v>1364</v>
      </c>
      <c r="BA6829">
        <v>77.5</v>
      </c>
      <c r="BB6829" t="s">
        <v>564</v>
      </c>
      <c r="BC6829" t="s">
        <v>793</v>
      </c>
      <c r="BD6829">
        <v>0</v>
      </c>
      <c r="BE6829">
        <v>46302</v>
      </c>
      <c r="BF6829" t="s">
        <v>588</v>
      </c>
      <c r="BG6829">
        <v>0</v>
      </c>
    </row>
    <row r="6830" spans="3:59" x14ac:dyDescent="0.35">
      <c r="C6830">
        <v>45723</v>
      </c>
      <c r="F6830" t="s">
        <v>754</v>
      </c>
      <c r="N6830">
        <v>1</v>
      </c>
      <c r="O6830" t="s">
        <v>239</v>
      </c>
      <c r="P6830" t="s">
        <v>514</v>
      </c>
      <c r="Y6830">
        <v>573</v>
      </c>
      <c r="Z6830" s="259" t="s">
        <v>659</v>
      </c>
      <c r="AZ6830" t="s">
        <v>1365</v>
      </c>
      <c r="BA6830">
        <v>77.400000000000006</v>
      </c>
      <c r="BB6830" t="s">
        <v>564</v>
      </c>
      <c r="BC6830" t="s">
        <v>793</v>
      </c>
      <c r="BD6830">
        <v>0</v>
      </c>
      <c r="BE6830">
        <v>46302</v>
      </c>
      <c r="BF6830" t="s">
        <v>588</v>
      </c>
      <c r="BG6830">
        <v>0</v>
      </c>
    </row>
    <row r="6831" spans="3:59" x14ac:dyDescent="0.35">
      <c r="C6831">
        <v>45726</v>
      </c>
      <c r="F6831" t="s">
        <v>754</v>
      </c>
      <c r="N6831">
        <v>1</v>
      </c>
      <c r="O6831" t="s">
        <v>239</v>
      </c>
      <c r="P6831" t="s">
        <v>514</v>
      </c>
      <c r="Y6831">
        <v>574</v>
      </c>
      <c r="Z6831" s="259" t="s">
        <v>659</v>
      </c>
      <c r="AZ6831" t="s">
        <v>1366</v>
      </c>
      <c r="BA6831">
        <v>77.099999999999994</v>
      </c>
      <c r="BB6831" t="s">
        <v>564</v>
      </c>
      <c r="BC6831" t="s">
        <v>793</v>
      </c>
      <c r="BD6831">
        <v>0</v>
      </c>
      <c r="BE6831">
        <v>46302</v>
      </c>
      <c r="BF6831" t="s">
        <v>588</v>
      </c>
      <c r="BG6831">
        <v>0</v>
      </c>
    </row>
    <row r="6832" spans="3:59" x14ac:dyDescent="0.35">
      <c r="C6832">
        <v>45727</v>
      </c>
      <c r="F6832" t="s">
        <v>754</v>
      </c>
      <c r="N6832">
        <v>1</v>
      </c>
      <c r="O6832" t="s">
        <v>239</v>
      </c>
      <c r="P6832" t="s">
        <v>514</v>
      </c>
      <c r="Y6832">
        <v>575</v>
      </c>
      <c r="Z6832" s="259" t="s">
        <v>659</v>
      </c>
      <c r="AZ6832" t="s">
        <v>1367</v>
      </c>
      <c r="BA6832">
        <v>77</v>
      </c>
      <c r="BB6832" t="s">
        <v>564</v>
      </c>
      <c r="BC6832" t="s">
        <v>793</v>
      </c>
      <c r="BD6832">
        <v>0</v>
      </c>
      <c r="BE6832">
        <v>46302</v>
      </c>
      <c r="BF6832" t="s">
        <v>588</v>
      </c>
      <c r="BG6832">
        <v>0</v>
      </c>
    </row>
    <row r="6833" spans="3:59" x14ac:dyDescent="0.35">
      <c r="C6833">
        <v>45728</v>
      </c>
      <c r="F6833" t="s">
        <v>754</v>
      </c>
      <c r="N6833">
        <v>1</v>
      </c>
      <c r="O6833" t="s">
        <v>239</v>
      </c>
      <c r="P6833" t="s">
        <v>514</v>
      </c>
      <c r="Y6833">
        <v>576</v>
      </c>
      <c r="Z6833" s="259" t="s">
        <v>659</v>
      </c>
      <c r="AZ6833" t="s">
        <v>1368</v>
      </c>
      <c r="BA6833">
        <v>76.900000000000006</v>
      </c>
      <c r="BB6833" t="s">
        <v>564</v>
      </c>
      <c r="BC6833" t="s">
        <v>793</v>
      </c>
      <c r="BD6833">
        <v>0</v>
      </c>
      <c r="BE6833">
        <v>46302</v>
      </c>
      <c r="BF6833" t="s">
        <v>588</v>
      </c>
      <c r="BG6833">
        <v>0</v>
      </c>
    </row>
    <row r="6834" spans="3:59" x14ac:dyDescent="0.35">
      <c r="C6834">
        <v>45729</v>
      </c>
      <c r="F6834" t="s">
        <v>754</v>
      </c>
      <c r="N6834">
        <v>1</v>
      </c>
      <c r="O6834" t="s">
        <v>239</v>
      </c>
      <c r="P6834" t="s">
        <v>514</v>
      </c>
      <c r="Y6834">
        <v>577</v>
      </c>
      <c r="Z6834" s="259" t="s">
        <v>659</v>
      </c>
      <c r="AZ6834" t="s">
        <v>1369</v>
      </c>
      <c r="BA6834">
        <v>76.8</v>
      </c>
      <c r="BB6834" t="s">
        <v>564</v>
      </c>
      <c r="BC6834" t="s">
        <v>793</v>
      </c>
      <c r="BD6834">
        <v>0</v>
      </c>
      <c r="BE6834">
        <v>46302</v>
      </c>
      <c r="BF6834" t="s">
        <v>588</v>
      </c>
      <c r="BG6834">
        <v>0</v>
      </c>
    </row>
    <row r="6835" spans="3:59" x14ac:dyDescent="0.35">
      <c r="C6835">
        <v>45730</v>
      </c>
      <c r="F6835" t="s">
        <v>754</v>
      </c>
      <c r="N6835">
        <v>1</v>
      </c>
      <c r="O6835" t="s">
        <v>239</v>
      </c>
      <c r="P6835" t="s">
        <v>514</v>
      </c>
      <c r="Y6835">
        <v>578</v>
      </c>
      <c r="Z6835" s="259" t="s">
        <v>659</v>
      </c>
      <c r="AZ6835" t="s">
        <v>1370</v>
      </c>
      <c r="BA6835">
        <v>76.7</v>
      </c>
      <c r="BB6835" t="s">
        <v>564</v>
      </c>
      <c r="BC6835" t="s">
        <v>793</v>
      </c>
      <c r="BD6835">
        <v>0</v>
      </c>
      <c r="BE6835">
        <v>46302</v>
      </c>
      <c r="BF6835" t="s">
        <v>588</v>
      </c>
      <c r="BG6835">
        <v>0</v>
      </c>
    </row>
    <row r="6836" spans="3:59" x14ac:dyDescent="0.35">
      <c r="C6836">
        <v>45733</v>
      </c>
      <c r="F6836" t="s">
        <v>754</v>
      </c>
      <c r="N6836">
        <v>1</v>
      </c>
      <c r="O6836" t="s">
        <v>239</v>
      </c>
      <c r="P6836" t="s">
        <v>514</v>
      </c>
      <c r="Y6836">
        <v>579</v>
      </c>
      <c r="Z6836" s="259" t="s">
        <v>659</v>
      </c>
      <c r="AZ6836" t="s">
        <v>1371</v>
      </c>
      <c r="BA6836">
        <v>76.400000000000006</v>
      </c>
      <c r="BB6836" t="s">
        <v>564</v>
      </c>
      <c r="BC6836" t="s">
        <v>793</v>
      </c>
      <c r="BD6836">
        <v>0</v>
      </c>
      <c r="BE6836">
        <v>46302</v>
      </c>
      <c r="BF6836" t="s">
        <v>588</v>
      </c>
      <c r="BG6836">
        <v>0</v>
      </c>
    </row>
    <row r="6837" spans="3:59" x14ac:dyDescent="0.35">
      <c r="C6837">
        <v>45734</v>
      </c>
      <c r="F6837" t="s">
        <v>754</v>
      </c>
      <c r="N6837">
        <v>1</v>
      </c>
      <c r="O6837" t="s">
        <v>239</v>
      </c>
      <c r="P6837" t="s">
        <v>514</v>
      </c>
      <c r="Y6837">
        <v>580</v>
      </c>
      <c r="Z6837" s="259" t="s">
        <v>659</v>
      </c>
      <c r="AZ6837" t="s">
        <v>1372</v>
      </c>
      <c r="BA6837">
        <v>76.3</v>
      </c>
      <c r="BB6837" t="s">
        <v>564</v>
      </c>
      <c r="BC6837" t="s">
        <v>793</v>
      </c>
      <c r="BD6837">
        <v>0</v>
      </c>
      <c r="BE6837">
        <v>46302</v>
      </c>
      <c r="BF6837" t="s">
        <v>588</v>
      </c>
      <c r="BG6837">
        <v>0</v>
      </c>
    </row>
    <row r="6838" spans="3:59" x14ac:dyDescent="0.35">
      <c r="C6838">
        <v>45735</v>
      </c>
      <c r="F6838" t="s">
        <v>754</v>
      </c>
      <c r="N6838">
        <v>1</v>
      </c>
      <c r="O6838" t="s">
        <v>239</v>
      </c>
      <c r="P6838" t="s">
        <v>514</v>
      </c>
      <c r="Y6838">
        <v>581</v>
      </c>
      <c r="Z6838" s="259" t="s">
        <v>659</v>
      </c>
      <c r="AZ6838" t="s">
        <v>1373</v>
      </c>
      <c r="BA6838">
        <v>76.2</v>
      </c>
      <c r="BB6838" t="s">
        <v>564</v>
      </c>
      <c r="BC6838" t="s">
        <v>793</v>
      </c>
      <c r="BD6838">
        <v>0</v>
      </c>
      <c r="BE6838">
        <v>46302</v>
      </c>
      <c r="BF6838" t="s">
        <v>588</v>
      </c>
      <c r="BG6838">
        <v>0</v>
      </c>
    </row>
    <row r="6839" spans="3:59" x14ac:dyDescent="0.35">
      <c r="C6839">
        <v>45736</v>
      </c>
      <c r="F6839" t="s">
        <v>754</v>
      </c>
      <c r="N6839">
        <v>1</v>
      </c>
      <c r="O6839" t="s">
        <v>239</v>
      </c>
      <c r="P6839" t="s">
        <v>514</v>
      </c>
      <c r="Y6839">
        <v>582</v>
      </c>
      <c r="Z6839" s="259" t="s">
        <v>659</v>
      </c>
      <c r="AZ6839" t="s">
        <v>1374</v>
      </c>
      <c r="BA6839">
        <v>76.099999999999994</v>
      </c>
      <c r="BB6839" t="s">
        <v>564</v>
      </c>
      <c r="BC6839" t="s">
        <v>793</v>
      </c>
      <c r="BD6839">
        <v>0</v>
      </c>
      <c r="BE6839">
        <v>46302</v>
      </c>
      <c r="BF6839" t="s">
        <v>588</v>
      </c>
      <c r="BG6839">
        <v>0</v>
      </c>
    </row>
    <row r="6840" spans="3:59" x14ac:dyDescent="0.35">
      <c r="C6840">
        <v>45737</v>
      </c>
      <c r="F6840" t="s">
        <v>754</v>
      </c>
      <c r="N6840">
        <v>1</v>
      </c>
      <c r="O6840" t="s">
        <v>239</v>
      </c>
      <c r="P6840" t="s">
        <v>514</v>
      </c>
      <c r="Y6840">
        <v>583</v>
      </c>
      <c r="Z6840" s="259" t="s">
        <v>659</v>
      </c>
      <c r="AZ6840" t="s">
        <v>1375</v>
      </c>
      <c r="BA6840">
        <v>76</v>
      </c>
      <c r="BB6840" t="s">
        <v>564</v>
      </c>
      <c r="BC6840" t="s">
        <v>793</v>
      </c>
      <c r="BD6840">
        <v>0</v>
      </c>
      <c r="BE6840">
        <v>46302</v>
      </c>
      <c r="BF6840" t="s">
        <v>588</v>
      </c>
      <c r="BG6840">
        <v>0</v>
      </c>
    </row>
    <row r="6841" spans="3:59" x14ac:dyDescent="0.35">
      <c r="C6841">
        <v>45740</v>
      </c>
      <c r="F6841" t="s">
        <v>754</v>
      </c>
      <c r="N6841">
        <v>1</v>
      </c>
      <c r="O6841" t="s">
        <v>239</v>
      </c>
      <c r="P6841" t="s">
        <v>514</v>
      </c>
      <c r="Y6841">
        <v>584</v>
      </c>
      <c r="Z6841" s="259" t="s">
        <v>659</v>
      </c>
      <c r="AZ6841" t="s">
        <v>1376</v>
      </c>
      <c r="BA6841">
        <v>75.7</v>
      </c>
      <c r="BB6841" t="s">
        <v>564</v>
      </c>
      <c r="BC6841" t="s">
        <v>793</v>
      </c>
      <c r="BD6841">
        <v>0</v>
      </c>
      <c r="BE6841">
        <v>46302</v>
      </c>
      <c r="BF6841" t="s">
        <v>588</v>
      </c>
      <c r="BG6841">
        <v>0</v>
      </c>
    </row>
    <row r="6842" spans="3:59" x14ac:dyDescent="0.35">
      <c r="C6842">
        <v>45741</v>
      </c>
      <c r="F6842" t="s">
        <v>754</v>
      </c>
      <c r="N6842">
        <v>1</v>
      </c>
      <c r="O6842" t="s">
        <v>239</v>
      </c>
      <c r="P6842" t="s">
        <v>514</v>
      </c>
      <c r="Y6842">
        <v>585</v>
      </c>
      <c r="Z6842" s="259" t="s">
        <v>659</v>
      </c>
      <c r="AZ6842" t="s">
        <v>1377</v>
      </c>
      <c r="BA6842">
        <v>75.599999999999994</v>
      </c>
      <c r="BB6842" t="s">
        <v>564</v>
      </c>
      <c r="BC6842" t="s">
        <v>793</v>
      </c>
      <c r="BD6842">
        <v>0</v>
      </c>
      <c r="BE6842">
        <v>46302</v>
      </c>
      <c r="BF6842" t="s">
        <v>588</v>
      </c>
      <c r="BG6842">
        <v>0</v>
      </c>
    </row>
    <row r="6843" spans="3:59" x14ac:dyDescent="0.35">
      <c r="C6843">
        <v>45742</v>
      </c>
      <c r="F6843" t="s">
        <v>754</v>
      </c>
      <c r="N6843">
        <v>1</v>
      </c>
      <c r="O6843" t="s">
        <v>239</v>
      </c>
      <c r="P6843" t="s">
        <v>514</v>
      </c>
      <c r="Y6843">
        <v>586</v>
      </c>
      <c r="Z6843" s="259" t="s">
        <v>659</v>
      </c>
      <c r="AZ6843" t="s">
        <v>1378</v>
      </c>
      <c r="BA6843">
        <v>75.5</v>
      </c>
      <c r="BB6843" t="s">
        <v>564</v>
      </c>
      <c r="BC6843" t="s">
        <v>793</v>
      </c>
      <c r="BD6843">
        <v>0</v>
      </c>
      <c r="BE6843">
        <v>46302</v>
      </c>
      <c r="BF6843" t="s">
        <v>588</v>
      </c>
      <c r="BG6843">
        <v>0</v>
      </c>
    </row>
    <row r="6844" spans="3:59" x14ac:dyDescent="0.35">
      <c r="C6844">
        <v>45743</v>
      </c>
      <c r="F6844" t="s">
        <v>754</v>
      </c>
      <c r="N6844">
        <v>1</v>
      </c>
      <c r="O6844" t="s">
        <v>239</v>
      </c>
      <c r="P6844" t="s">
        <v>514</v>
      </c>
      <c r="Y6844">
        <v>587</v>
      </c>
      <c r="Z6844" s="259" t="s">
        <v>659</v>
      </c>
      <c r="AZ6844" t="s">
        <v>1379</v>
      </c>
      <c r="BA6844">
        <v>75.400000000000006</v>
      </c>
      <c r="BB6844" t="s">
        <v>564</v>
      </c>
      <c r="BC6844" t="s">
        <v>793</v>
      </c>
      <c r="BD6844">
        <v>0</v>
      </c>
      <c r="BE6844">
        <v>46302</v>
      </c>
      <c r="BF6844" t="s">
        <v>588</v>
      </c>
      <c r="BG6844">
        <v>0</v>
      </c>
    </row>
    <row r="6845" spans="3:59" x14ac:dyDescent="0.35">
      <c r="C6845">
        <v>45744</v>
      </c>
      <c r="F6845" t="s">
        <v>754</v>
      </c>
      <c r="N6845">
        <v>1</v>
      </c>
      <c r="O6845" t="s">
        <v>239</v>
      </c>
      <c r="P6845" t="s">
        <v>514</v>
      </c>
      <c r="Y6845">
        <v>588</v>
      </c>
      <c r="Z6845" s="259" t="s">
        <v>659</v>
      </c>
      <c r="AZ6845" t="s">
        <v>1380</v>
      </c>
      <c r="BA6845">
        <v>75.3</v>
      </c>
      <c r="BB6845" t="s">
        <v>564</v>
      </c>
      <c r="BC6845" t="s">
        <v>793</v>
      </c>
      <c r="BD6845">
        <v>0</v>
      </c>
      <c r="BE6845">
        <v>46302</v>
      </c>
      <c r="BF6845" t="s">
        <v>588</v>
      </c>
      <c r="BG6845">
        <v>0</v>
      </c>
    </row>
    <row r="6846" spans="3:59" x14ac:dyDescent="0.35">
      <c r="C6846">
        <v>45747</v>
      </c>
      <c r="F6846" t="s">
        <v>754</v>
      </c>
      <c r="N6846">
        <v>1</v>
      </c>
      <c r="O6846" t="s">
        <v>239</v>
      </c>
      <c r="P6846" t="s">
        <v>514</v>
      </c>
      <c r="Y6846">
        <v>589</v>
      </c>
      <c r="Z6846" s="259" t="s">
        <v>659</v>
      </c>
      <c r="AZ6846" t="s">
        <v>1381</v>
      </c>
      <c r="BA6846">
        <v>75</v>
      </c>
      <c r="BB6846" t="s">
        <v>564</v>
      </c>
      <c r="BC6846" t="s">
        <v>793</v>
      </c>
      <c r="BD6846">
        <v>0</v>
      </c>
      <c r="BE6846">
        <v>46302</v>
      </c>
      <c r="BF6846" t="s">
        <v>588</v>
      </c>
      <c r="BG6846">
        <v>0</v>
      </c>
    </row>
    <row r="6847" spans="3:59" x14ac:dyDescent="0.35">
      <c r="C6847">
        <v>45748</v>
      </c>
      <c r="F6847" t="s">
        <v>754</v>
      </c>
      <c r="N6847">
        <v>1</v>
      </c>
      <c r="O6847" t="s">
        <v>239</v>
      </c>
      <c r="P6847" t="s">
        <v>514</v>
      </c>
      <c r="Y6847">
        <v>590</v>
      </c>
      <c r="Z6847" s="259" t="s">
        <v>659</v>
      </c>
      <c r="AZ6847" t="s">
        <v>1382</v>
      </c>
      <c r="BA6847">
        <v>75</v>
      </c>
      <c r="BB6847" t="s">
        <v>564</v>
      </c>
      <c r="BC6847" t="s">
        <v>793</v>
      </c>
      <c r="BD6847">
        <v>0</v>
      </c>
      <c r="BE6847">
        <v>46302</v>
      </c>
      <c r="BF6847" t="s">
        <v>588</v>
      </c>
      <c r="BG6847">
        <v>0</v>
      </c>
    </row>
    <row r="6848" spans="3:59" x14ac:dyDescent="0.35">
      <c r="C6848">
        <v>45749</v>
      </c>
      <c r="F6848" t="s">
        <v>754</v>
      </c>
      <c r="N6848">
        <v>1</v>
      </c>
      <c r="O6848" t="s">
        <v>239</v>
      </c>
      <c r="P6848" t="s">
        <v>514</v>
      </c>
      <c r="Y6848">
        <v>591</v>
      </c>
      <c r="Z6848" s="259" t="s">
        <v>659</v>
      </c>
      <c r="AZ6848" t="s">
        <v>1383</v>
      </c>
      <c r="BA6848">
        <v>75.14</v>
      </c>
      <c r="BB6848" t="s">
        <v>564</v>
      </c>
      <c r="BC6848" t="s">
        <v>793</v>
      </c>
      <c r="BD6848">
        <v>0</v>
      </c>
      <c r="BE6848">
        <v>46302</v>
      </c>
      <c r="BF6848" t="s">
        <v>588</v>
      </c>
      <c r="BG6848">
        <v>0</v>
      </c>
    </row>
    <row r="6849" spans="3:59" x14ac:dyDescent="0.35">
      <c r="C6849">
        <v>45750</v>
      </c>
      <c r="F6849" t="s">
        <v>754</v>
      </c>
      <c r="N6849">
        <v>1</v>
      </c>
      <c r="O6849" t="s">
        <v>239</v>
      </c>
      <c r="P6849" t="s">
        <v>514</v>
      </c>
      <c r="Y6849">
        <v>592</v>
      </c>
      <c r="Z6849" s="259" t="s">
        <v>659</v>
      </c>
      <c r="AZ6849" t="s">
        <v>1384</v>
      </c>
      <c r="BA6849">
        <v>75.28</v>
      </c>
      <c r="BB6849" t="s">
        <v>564</v>
      </c>
      <c r="BC6849" t="s">
        <v>793</v>
      </c>
      <c r="BD6849">
        <v>0</v>
      </c>
      <c r="BE6849">
        <v>46302</v>
      </c>
      <c r="BF6849" t="s">
        <v>588</v>
      </c>
      <c r="BG6849">
        <v>0</v>
      </c>
    </row>
    <row r="6850" spans="3:59" x14ac:dyDescent="0.35">
      <c r="C6850">
        <v>45751</v>
      </c>
      <c r="F6850" t="s">
        <v>754</v>
      </c>
      <c r="N6850">
        <v>1</v>
      </c>
      <c r="O6850" t="s">
        <v>239</v>
      </c>
      <c r="P6850" t="s">
        <v>514</v>
      </c>
      <c r="Y6850">
        <v>593</v>
      </c>
      <c r="Z6850" s="259" t="s">
        <v>659</v>
      </c>
      <c r="AZ6850" t="s">
        <v>1385</v>
      </c>
      <c r="BA6850">
        <v>75.41</v>
      </c>
      <c r="BB6850" t="s">
        <v>564</v>
      </c>
      <c r="BC6850" t="s">
        <v>793</v>
      </c>
      <c r="BD6850">
        <v>0</v>
      </c>
      <c r="BE6850">
        <v>46302</v>
      </c>
      <c r="BF6850" t="s">
        <v>588</v>
      </c>
      <c r="BG6850">
        <v>0</v>
      </c>
    </row>
    <row r="6851" spans="3:59" x14ac:dyDescent="0.35">
      <c r="C6851">
        <v>45754</v>
      </c>
      <c r="F6851" t="s">
        <v>754</v>
      </c>
      <c r="N6851">
        <v>1</v>
      </c>
      <c r="O6851" t="s">
        <v>239</v>
      </c>
      <c r="P6851" t="s">
        <v>514</v>
      </c>
      <c r="Y6851">
        <v>594</v>
      </c>
      <c r="Z6851" s="259" t="s">
        <v>659</v>
      </c>
      <c r="AZ6851" t="s">
        <v>1386</v>
      </c>
      <c r="BA6851">
        <v>75.83</v>
      </c>
      <c r="BB6851" t="s">
        <v>564</v>
      </c>
      <c r="BC6851" t="s">
        <v>793</v>
      </c>
      <c r="BD6851">
        <v>0</v>
      </c>
      <c r="BE6851">
        <v>46302</v>
      </c>
      <c r="BF6851" t="s">
        <v>588</v>
      </c>
      <c r="BG6851">
        <v>0</v>
      </c>
    </row>
    <row r="6852" spans="3:59" x14ac:dyDescent="0.35">
      <c r="C6852">
        <v>45755</v>
      </c>
      <c r="F6852" t="s">
        <v>754</v>
      </c>
      <c r="N6852">
        <v>1</v>
      </c>
      <c r="O6852" t="s">
        <v>239</v>
      </c>
      <c r="P6852" t="s">
        <v>514</v>
      </c>
      <c r="Y6852">
        <v>595</v>
      </c>
      <c r="Z6852" s="259" t="s">
        <v>659</v>
      </c>
      <c r="AZ6852" t="s">
        <v>1387</v>
      </c>
      <c r="BA6852">
        <v>75.97</v>
      </c>
      <c r="BB6852" t="s">
        <v>564</v>
      </c>
      <c r="BC6852" t="s">
        <v>793</v>
      </c>
      <c r="BD6852">
        <v>0</v>
      </c>
      <c r="BE6852">
        <v>46302</v>
      </c>
      <c r="BF6852" t="s">
        <v>588</v>
      </c>
      <c r="BG6852">
        <v>0</v>
      </c>
    </row>
    <row r="6853" spans="3:59" x14ac:dyDescent="0.35">
      <c r="C6853">
        <v>45756</v>
      </c>
      <c r="F6853" t="s">
        <v>754</v>
      </c>
      <c r="N6853">
        <v>1</v>
      </c>
      <c r="O6853" t="s">
        <v>239</v>
      </c>
      <c r="P6853" t="s">
        <v>514</v>
      </c>
      <c r="Y6853">
        <v>596</v>
      </c>
      <c r="Z6853" s="259" t="s">
        <v>659</v>
      </c>
      <c r="AZ6853" t="s">
        <v>1388</v>
      </c>
      <c r="BA6853">
        <v>76.099999999999994</v>
      </c>
      <c r="BB6853" t="s">
        <v>564</v>
      </c>
      <c r="BC6853" t="s">
        <v>793</v>
      </c>
      <c r="BD6853">
        <v>0</v>
      </c>
      <c r="BE6853">
        <v>46302</v>
      </c>
      <c r="BF6853" t="s">
        <v>588</v>
      </c>
      <c r="BG6853">
        <v>0</v>
      </c>
    </row>
    <row r="6854" spans="3:59" x14ac:dyDescent="0.35">
      <c r="C6854">
        <v>45757</v>
      </c>
      <c r="F6854" t="s">
        <v>754</v>
      </c>
      <c r="N6854">
        <v>1</v>
      </c>
      <c r="O6854" t="s">
        <v>239</v>
      </c>
      <c r="P6854" t="s">
        <v>514</v>
      </c>
      <c r="Y6854">
        <v>597</v>
      </c>
      <c r="Z6854" s="259" t="s">
        <v>659</v>
      </c>
      <c r="AZ6854" t="s">
        <v>1389</v>
      </c>
      <c r="BA6854">
        <v>76.239999999999995</v>
      </c>
      <c r="BB6854" t="s">
        <v>564</v>
      </c>
      <c r="BC6854" t="s">
        <v>793</v>
      </c>
      <c r="BD6854">
        <v>0</v>
      </c>
      <c r="BE6854">
        <v>46302</v>
      </c>
      <c r="BF6854" t="s">
        <v>588</v>
      </c>
      <c r="BG6854">
        <v>0</v>
      </c>
    </row>
    <row r="6855" spans="3:59" x14ac:dyDescent="0.35">
      <c r="C6855">
        <v>45758</v>
      </c>
      <c r="F6855" t="s">
        <v>754</v>
      </c>
      <c r="N6855">
        <v>1</v>
      </c>
      <c r="O6855" t="s">
        <v>239</v>
      </c>
      <c r="P6855" t="s">
        <v>514</v>
      </c>
      <c r="Y6855">
        <v>598</v>
      </c>
      <c r="Z6855" s="259" t="s">
        <v>659</v>
      </c>
      <c r="AZ6855" t="s">
        <v>1390</v>
      </c>
      <c r="BA6855">
        <v>76.38</v>
      </c>
      <c r="BB6855" t="s">
        <v>564</v>
      </c>
      <c r="BC6855" t="s">
        <v>793</v>
      </c>
      <c r="BD6855">
        <v>0</v>
      </c>
      <c r="BE6855">
        <v>46302</v>
      </c>
      <c r="BF6855" t="s">
        <v>588</v>
      </c>
      <c r="BG6855">
        <v>0</v>
      </c>
    </row>
    <row r="6856" spans="3:59" x14ac:dyDescent="0.35">
      <c r="C6856">
        <v>45761</v>
      </c>
      <c r="F6856" t="s">
        <v>754</v>
      </c>
      <c r="N6856">
        <v>1</v>
      </c>
      <c r="O6856" t="s">
        <v>239</v>
      </c>
      <c r="P6856" t="s">
        <v>514</v>
      </c>
      <c r="Y6856">
        <v>599</v>
      </c>
      <c r="Z6856" s="259" t="s">
        <v>659</v>
      </c>
      <c r="AZ6856" t="s">
        <v>1391</v>
      </c>
      <c r="BA6856">
        <v>76.790000000000006</v>
      </c>
      <c r="BB6856" t="s">
        <v>564</v>
      </c>
      <c r="BC6856" t="s">
        <v>793</v>
      </c>
      <c r="BD6856">
        <v>0</v>
      </c>
      <c r="BE6856">
        <v>46302</v>
      </c>
      <c r="BF6856" t="s">
        <v>588</v>
      </c>
      <c r="BG6856">
        <v>0</v>
      </c>
    </row>
    <row r="6857" spans="3:59" x14ac:dyDescent="0.35">
      <c r="C6857">
        <v>45762</v>
      </c>
      <c r="F6857" t="s">
        <v>754</v>
      </c>
      <c r="N6857">
        <v>1</v>
      </c>
      <c r="O6857" t="s">
        <v>239</v>
      </c>
      <c r="P6857" t="s">
        <v>514</v>
      </c>
      <c r="Y6857">
        <v>600</v>
      </c>
      <c r="Z6857" s="259" t="s">
        <v>659</v>
      </c>
      <c r="AZ6857" t="s">
        <v>1392</v>
      </c>
      <c r="BA6857">
        <v>76.930000000000007</v>
      </c>
      <c r="BB6857" t="s">
        <v>564</v>
      </c>
      <c r="BC6857" t="s">
        <v>793</v>
      </c>
      <c r="BD6857">
        <v>0</v>
      </c>
      <c r="BE6857">
        <v>46302</v>
      </c>
      <c r="BF6857" t="s">
        <v>588</v>
      </c>
      <c r="BG6857">
        <v>0</v>
      </c>
    </row>
    <row r="6858" spans="3:59" x14ac:dyDescent="0.35">
      <c r="C6858">
        <v>45763</v>
      </c>
      <c r="F6858" t="s">
        <v>754</v>
      </c>
      <c r="N6858">
        <v>1</v>
      </c>
      <c r="O6858" t="s">
        <v>239</v>
      </c>
      <c r="P6858" t="s">
        <v>514</v>
      </c>
      <c r="Y6858">
        <v>601</v>
      </c>
      <c r="Z6858" s="259" t="s">
        <v>659</v>
      </c>
      <c r="AZ6858" t="s">
        <v>1393</v>
      </c>
      <c r="BA6858">
        <v>77.069999999999993</v>
      </c>
      <c r="BB6858" t="s">
        <v>564</v>
      </c>
      <c r="BC6858" t="s">
        <v>793</v>
      </c>
      <c r="BD6858">
        <v>0</v>
      </c>
      <c r="BE6858">
        <v>46302</v>
      </c>
      <c r="BF6858" t="s">
        <v>588</v>
      </c>
      <c r="BG6858">
        <v>0</v>
      </c>
    </row>
    <row r="6859" spans="3:59" x14ac:dyDescent="0.35">
      <c r="C6859">
        <v>45764</v>
      </c>
      <c r="F6859" t="s">
        <v>754</v>
      </c>
      <c r="N6859">
        <v>1</v>
      </c>
      <c r="O6859" t="s">
        <v>239</v>
      </c>
      <c r="P6859" t="s">
        <v>514</v>
      </c>
      <c r="Y6859">
        <v>602</v>
      </c>
      <c r="Z6859" s="259" t="s">
        <v>659</v>
      </c>
      <c r="AZ6859" t="s">
        <v>1394</v>
      </c>
      <c r="BA6859">
        <v>77.209999999999994</v>
      </c>
      <c r="BB6859" t="s">
        <v>564</v>
      </c>
      <c r="BC6859" t="s">
        <v>793</v>
      </c>
      <c r="BD6859">
        <v>0</v>
      </c>
      <c r="BE6859">
        <v>46302</v>
      </c>
      <c r="BF6859" t="s">
        <v>588</v>
      </c>
      <c r="BG6859">
        <v>0</v>
      </c>
    </row>
    <row r="6860" spans="3:59" x14ac:dyDescent="0.35">
      <c r="C6860">
        <v>45765</v>
      </c>
      <c r="F6860" t="s">
        <v>754</v>
      </c>
      <c r="N6860">
        <v>1</v>
      </c>
      <c r="O6860" t="s">
        <v>239</v>
      </c>
      <c r="P6860" t="s">
        <v>514</v>
      </c>
      <c r="Y6860">
        <v>603</v>
      </c>
      <c r="Z6860" s="259" t="s">
        <v>659</v>
      </c>
      <c r="AZ6860" t="s">
        <v>1395</v>
      </c>
      <c r="BA6860">
        <v>77.34</v>
      </c>
      <c r="BB6860" t="s">
        <v>564</v>
      </c>
      <c r="BC6860" t="s">
        <v>793</v>
      </c>
      <c r="BD6860">
        <v>0</v>
      </c>
      <c r="BE6860">
        <v>46302</v>
      </c>
      <c r="BF6860" t="s">
        <v>588</v>
      </c>
      <c r="BG6860">
        <v>0</v>
      </c>
    </row>
    <row r="6861" spans="3:59" x14ac:dyDescent="0.35">
      <c r="C6861">
        <v>45768</v>
      </c>
      <c r="F6861" t="s">
        <v>754</v>
      </c>
      <c r="N6861">
        <v>1</v>
      </c>
      <c r="O6861" t="s">
        <v>239</v>
      </c>
      <c r="P6861" t="s">
        <v>514</v>
      </c>
      <c r="Y6861">
        <v>604</v>
      </c>
      <c r="Z6861" s="259" t="s">
        <v>659</v>
      </c>
      <c r="AZ6861" t="s">
        <v>1396</v>
      </c>
      <c r="BA6861">
        <v>77.760000000000005</v>
      </c>
      <c r="BB6861" t="s">
        <v>564</v>
      </c>
      <c r="BC6861" t="s">
        <v>793</v>
      </c>
      <c r="BD6861">
        <v>0</v>
      </c>
      <c r="BE6861">
        <v>46302</v>
      </c>
      <c r="BF6861" t="s">
        <v>588</v>
      </c>
      <c r="BG6861">
        <v>0</v>
      </c>
    </row>
    <row r="6862" spans="3:59" x14ac:dyDescent="0.35">
      <c r="C6862">
        <v>45769</v>
      </c>
      <c r="F6862" t="s">
        <v>754</v>
      </c>
      <c r="N6862">
        <v>1</v>
      </c>
      <c r="O6862" t="s">
        <v>239</v>
      </c>
      <c r="P6862" t="s">
        <v>514</v>
      </c>
      <c r="Y6862">
        <v>605</v>
      </c>
      <c r="Z6862" s="259" t="s">
        <v>659</v>
      </c>
      <c r="AZ6862" t="s">
        <v>1397</v>
      </c>
      <c r="BA6862">
        <v>77.900000000000006</v>
      </c>
      <c r="BB6862" t="s">
        <v>564</v>
      </c>
      <c r="BC6862" t="s">
        <v>793</v>
      </c>
      <c r="BD6862">
        <v>0</v>
      </c>
      <c r="BE6862">
        <v>46302</v>
      </c>
      <c r="BF6862" t="s">
        <v>588</v>
      </c>
      <c r="BG6862">
        <v>0</v>
      </c>
    </row>
    <row r="6863" spans="3:59" x14ac:dyDescent="0.35">
      <c r="C6863">
        <v>45770</v>
      </c>
      <c r="F6863" t="s">
        <v>754</v>
      </c>
      <c r="N6863">
        <v>1</v>
      </c>
      <c r="O6863" t="s">
        <v>239</v>
      </c>
      <c r="P6863" t="s">
        <v>514</v>
      </c>
      <c r="Y6863">
        <v>606</v>
      </c>
      <c r="Z6863" s="259" t="s">
        <v>659</v>
      </c>
      <c r="AZ6863" t="s">
        <v>1398</v>
      </c>
      <c r="BA6863">
        <v>78.03</v>
      </c>
      <c r="BB6863" t="s">
        <v>564</v>
      </c>
      <c r="BC6863" t="s">
        <v>793</v>
      </c>
      <c r="BD6863">
        <v>0</v>
      </c>
      <c r="BE6863">
        <v>46302</v>
      </c>
      <c r="BF6863" t="s">
        <v>588</v>
      </c>
      <c r="BG6863">
        <v>0</v>
      </c>
    </row>
    <row r="6864" spans="3:59" x14ac:dyDescent="0.35">
      <c r="C6864">
        <v>45771</v>
      </c>
      <c r="F6864" t="s">
        <v>754</v>
      </c>
      <c r="N6864">
        <v>1</v>
      </c>
      <c r="O6864" t="s">
        <v>239</v>
      </c>
      <c r="P6864" t="s">
        <v>514</v>
      </c>
      <c r="Y6864">
        <v>607</v>
      </c>
      <c r="Z6864" s="259" t="s">
        <v>659</v>
      </c>
      <c r="AZ6864" t="s">
        <v>1399</v>
      </c>
      <c r="BA6864">
        <v>78.17</v>
      </c>
      <c r="BB6864" t="s">
        <v>564</v>
      </c>
      <c r="BC6864" t="s">
        <v>793</v>
      </c>
      <c r="BD6864">
        <v>0</v>
      </c>
      <c r="BE6864">
        <v>46302</v>
      </c>
      <c r="BF6864" t="s">
        <v>588</v>
      </c>
      <c r="BG6864">
        <v>0</v>
      </c>
    </row>
    <row r="6865" spans="3:59" x14ac:dyDescent="0.35">
      <c r="C6865">
        <v>45772</v>
      </c>
      <c r="F6865" t="s">
        <v>754</v>
      </c>
      <c r="N6865">
        <v>1</v>
      </c>
      <c r="O6865" t="s">
        <v>239</v>
      </c>
      <c r="P6865" t="s">
        <v>514</v>
      </c>
      <c r="Y6865">
        <v>608</v>
      </c>
      <c r="Z6865" s="259" t="s">
        <v>659</v>
      </c>
      <c r="AZ6865" t="s">
        <v>1400</v>
      </c>
      <c r="BA6865">
        <v>78.31</v>
      </c>
      <c r="BB6865" t="s">
        <v>564</v>
      </c>
      <c r="BC6865" t="s">
        <v>793</v>
      </c>
      <c r="BD6865">
        <v>0</v>
      </c>
      <c r="BE6865">
        <v>46302</v>
      </c>
      <c r="BF6865" t="s">
        <v>588</v>
      </c>
      <c r="BG6865">
        <v>0</v>
      </c>
    </row>
    <row r="6866" spans="3:59" x14ac:dyDescent="0.35">
      <c r="C6866">
        <v>45775</v>
      </c>
      <c r="F6866" t="s">
        <v>754</v>
      </c>
      <c r="N6866">
        <v>1</v>
      </c>
      <c r="O6866" t="s">
        <v>239</v>
      </c>
      <c r="P6866" t="s">
        <v>514</v>
      </c>
      <c r="Y6866">
        <v>609</v>
      </c>
      <c r="Z6866" s="259" t="s">
        <v>659</v>
      </c>
      <c r="AZ6866" t="s">
        <v>1401</v>
      </c>
      <c r="BA6866">
        <v>78.72</v>
      </c>
      <c r="BB6866" t="s">
        <v>564</v>
      </c>
      <c r="BC6866" t="s">
        <v>793</v>
      </c>
      <c r="BD6866">
        <v>0</v>
      </c>
      <c r="BE6866">
        <v>46302</v>
      </c>
      <c r="BF6866" t="s">
        <v>588</v>
      </c>
      <c r="BG6866">
        <v>0</v>
      </c>
    </row>
    <row r="6867" spans="3:59" x14ac:dyDescent="0.35">
      <c r="C6867">
        <v>45776</v>
      </c>
      <c r="F6867" t="s">
        <v>754</v>
      </c>
      <c r="N6867">
        <v>1</v>
      </c>
      <c r="O6867" t="s">
        <v>239</v>
      </c>
      <c r="P6867" t="s">
        <v>514</v>
      </c>
      <c r="Y6867">
        <v>610</v>
      </c>
      <c r="Z6867" s="259" t="s">
        <v>659</v>
      </c>
      <c r="AZ6867" t="s">
        <v>1402</v>
      </c>
      <c r="BA6867">
        <v>78.86</v>
      </c>
      <c r="BB6867" t="s">
        <v>564</v>
      </c>
      <c r="BC6867" t="s">
        <v>793</v>
      </c>
      <c r="BD6867">
        <v>0</v>
      </c>
      <c r="BE6867">
        <v>46302</v>
      </c>
      <c r="BF6867" t="s">
        <v>588</v>
      </c>
      <c r="BG6867">
        <v>0</v>
      </c>
    </row>
    <row r="6868" spans="3:59" x14ac:dyDescent="0.35">
      <c r="C6868">
        <v>45777</v>
      </c>
      <c r="F6868" t="s">
        <v>754</v>
      </c>
      <c r="N6868">
        <v>1</v>
      </c>
      <c r="O6868" t="s">
        <v>239</v>
      </c>
      <c r="P6868" t="s">
        <v>514</v>
      </c>
      <c r="Y6868">
        <v>611</v>
      </c>
      <c r="Z6868" s="259" t="s">
        <v>659</v>
      </c>
      <c r="AZ6868" t="s">
        <v>1403</v>
      </c>
      <c r="BA6868">
        <v>79</v>
      </c>
      <c r="BB6868" t="s">
        <v>564</v>
      </c>
      <c r="BC6868" t="s">
        <v>793</v>
      </c>
      <c r="BD6868">
        <v>0</v>
      </c>
      <c r="BE6868">
        <v>46302</v>
      </c>
      <c r="BF6868" t="s">
        <v>588</v>
      </c>
      <c r="BG6868">
        <v>0</v>
      </c>
    </row>
    <row r="6869" spans="3:59" x14ac:dyDescent="0.35">
      <c r="C6869">
        <v>45778</v>
      </c>
      <c r="F6869" t="s">
        <v>754</v>
      </c>
      <c r="N6869">
        <v>1</v>
      </c>
      <c r="O6869" t="s">
        <v>239</v>
      </c>
      <c r="P6869" t="s">
        <v>514</v>
      </c>
      <c r="Y6869">
        <v>612</v>
      </c>
      <c r="Z6869" s="259" t="s">
        <v>659</v>
      </c>
      <c r="AZ6869" t="s">
        <v>1404</v>
      </c>
      <c r="BA6869">
        <v>79</v>
      </c>
      <c r="BB6869" t="s">
        <v>564</v>
      </c>
      <c r="BC6869" t="s">
        <v>793</v>
      </c>
      <c r="BD6869">
        <v>0</v>
      </c>
      <c r="BE6869">
        <v>46302</v>
      </c>
      <c r="BF6869" t="s">
        <v>588</v>
      </c>
      <c r="BG6869">
        <v>0</v>
      </c>
    </row>
    <row r="6870" spans="3:59" x14ac:dyDescent="0.35">
      <c r="C6870">
        <v>45779</v>
      </c>
      <c r="F6870" t="s">
        <v>754</v>
      </c>
      <c r="N6870">
        <v>1</v>
      </c>
      <c r="O6870" t="s">
        <v>239</v>
      </c>
      <c r="P6870" t="s">
        <v>514</v>
      </c>
      <c r="Y6870">
        <v>613</v>
      </c>
      <c r="Z6870" s="259" t="s">
        <v>659</v>
      </c>
      <c r="AZ6870" t="s">
        <v>1405</v>
      </c>
      <c r="BA6870">
        <v>79.2</v>
      </c>
      <c r="BB6870" t="s">
        <v>564</v>
      </c>
      <c r="BC6870" t="s">
        <v>793</v>
      </c>
      <c r="BD6870">
        <v>0</v>
      </c>
      <c r="BE6870">
        <v>46302</v>
      </c>
      <c r="BF6870" t="s">
        <v>588</v>
      </c>
      <c r="BG6870">
        <v>0</v>
      </c>
    </row>
    <row r="6871" spans="3:59" x14ac:dyDescent="0.35">
      <c r="C6871">
        <v>45782</v>
      </c>
      <c r="F6871" t="s">
        <v>754</v>
      </c>
      <c r="N6871">
        <v>1</v>
      </c>
      <c r="O6871" t="s">
        <v>239</v>
      </c>
      <c r="P6871" t="s">
        <v>514</v>
      </c>
      <c r="Y6871">
        <v>614</v>
      </c>
      <c r="Z6871" s="259" t="s">
        <v>659</v>
      </c>
      <c r="AZ6871" t="s">
        <v>1406</v>
      </c>
      <c r="BA6871">
        <v>79.8</v>
      </c>
      <c r="BB6871" t="s">
        <v>564</v>
      </c>
      <c r="BC6871" t="s">
        <v>793</v>
      </c>
      <c r="BD6871">
        <v>0</v>
      </c>
      <c r="BE6871">
        <v>46302</v>
      </c>
      <c r="BF6871" t="s">
        <v>588</v>
      </c>
      <c r="BG6871">
        <v>0</v>
      </c>
    </row>
    <row r="6872" spans="3:59" x14ac:dyDescent="0.35">
      <c r="C6872">
        <v>45783</v>
      </c>
      <c r="F6872" t="s">
        <v>754</v>
      </c>
      <c r="N6872">
        <v>1</v>
      </c>
      <c r="O6872" t="s">
        <v>239</v>
      </c>
      <c r="P6872" t="s">
        <v>514</v>
      </c>
      <c r="Y6872">
        <v>615</v>
      </c>
      <c r="Z6872" s="259" t="s">
        <v>659</v>
      </c>
      <c r="AZ6872" t="s">
        <v>1407</v>
      </c>
      <c r="BA6872">
        <v>80</v>
      </c>
      <c r="BB6872" t="s">
        <v>564</v>
      </c>
      <c r="BC6872" t="s">
        <v>793</v>
      </c>
      <c r="BD6872">
        <v>0</v>
      </c>
      <c r="BE6872">
        <v>46302</v>
      </c>
      <c r="BF6872" t="s">
        <v>588</v>
      </c>
      <c r="BG6872">
        <v>0</v>
      </c>
    </row>
    <row r="6873" spans="3:59" x14ac:dyDescent="0.35">
      <c r="C6873">
        <v>45784</v>
      </c>
      <c r="F6873" t="s">
        <v>754</v>
      </c>
      <c r="N6873">
        <v>1</v>
      </c>
      <c r="O6873" t="s">
        <v>239</v>
      </c>
      <c r="P6873" t="s">
        <v>514</v>
      </c>
      <c r="Y6873">
        <v>616</v>
      </c>
      <c r="Z6873" s="259" t="s">
        <v>659</v>
      </c>
      <c r="AZ6873" t="s">
        <v>1408</v>
      </c>
      <c r="BA6873">
        <v>80.2</v>
      </c>
      <c r="BB6873" t="s">
        <v>564</v>
      </c>
      <c r="BC6873" t="s">
        <v>793</v>
      </c>
      <c r="BD6873">
        <v>0</v>
      </c>
      <c r="BE6873">
        <v>46302</v>
      </c>
      <c r="BF6873" t="s">
        <v>588</v>
      </c>
      <c r="BG6873">
        <v>0</v>
      </c>
    </row>
    <row r="6874" spans="3:59" x14ac:dyDescent="0.35">
      <c r="C6874">
        <v>45785</v>
      </c>
      <c r="F6874" t="s">
        <v>754</v>
      </c>
      <c r="N6874">
        <v>1</v>
      </c>
      <c r="O6874" t="s">
        <v>239</v>
      </c>
      <c r="P6874" t="s">
        <v>514</v>
      </c>
      <c r="Y6874">
        <v>617</v>
      </c>
      <c r="Z6874" s="259" t="s">
        <v>659</v>
      </c>
      <c r="AZ6874" t="s">
        <v>1409</v>
      </c>
      <c r="BA6874">
        <v>80.400000000000006</v>
      </c>
      <c r="BB6874" t="s">
        <v>564</v>
      </c>
      <c r="BC6874" t="s">
        <v>793</v>
      </c>
      <c r="BD6874">
        <v>0</v>
      </c>
      <c r="BE6874">
        <v>46302</v>
      </c>
      <c r="BF6874" t="s">
        <v>588</v>
      </c>
      <c r="BG6874">
        <v>0</v>
      </c>
    </row>
    <row r="6875" spans="3:59" x14ac:dyDescent="0.35">
      <c r="C6875">
        <v>45786</v>
      </c>
      <c r="F6875" t="s">
        <v>754</v>
      </c>
      <c r="N6875">
        <v>1</v>
      </c>
      <c r="O6875" t="s">
        <v>239</v>
      </c>
      <c r="P6875" t="s">
        <v>514</v>
      </c>
      <c r="Y6875">
        <v>618</v>
      </c>
      <c r="Z6875" s="259" t="s">
        <v>659</v>
      </c>
      <c r="AZ6875" t="s">
        <v>1410</v>
      </c>
      <c r="BA6875">
        <v>80.599999999999994</v>
      </c>
      <c r="BB6875" t="s">
        <v>564</v>
      </c>
      <c r="BC6875" t="s">
        <v>793</v>
      </c>
      <c r="BD6875">
        <v>0</v>
      </c>
      <c r="BE6875">
        <v>46302</v>
      </c>
      <c r="BF6875" t="s">
        <v>588</v>
      </c>
      <c r="BG6875">
        <v>0</v>
      </c>
    </row>
    <row r="6876" spans="3:59" x14ac:dyDescent="0.35">
      <c r="C6876">
        <v>45789</v>
      </c>
      <c r="F6876" t="s">
        <v>754</v>
      </c>
      <c r="N6876">
        <v>1</v>
      </c>
      <c r="O6876" t="s">
        <v>239</v>
      </c>
      <c r="P6876" t="s">
        <v>514</v>
      </c>
      <c r="Y6876">
        <v>619</v>
      </c>
      <c r="Z6876" s="259" t="s">
        <v>659</v>
      </c>
      <c r="AZ6876" t="s">
        <v>1411</v>
      </c>
      <c r="BA6876">
        <v>81.2</v>
      </c>
      <c r="BB6876" t="s">
        <v>564</v>
      </c>
      <c r="BC6876" t="s">
        <v>793</v>
      </c>
      <c r="BD6876">
        <v>0</v>
      </c>
      <c r="BE6876">
        <v>46302</v>
      </c>
      <c r="BF6876" t="s">
        <v>588</v>
      </c>
      <c r="BG6876">
        <v>0</v>
      </c>
    </row>
    <row r="6877" spans="3:59" x14ac:dyDescent="0.35">
      <c r="C6877">
        <v>45790</v>
      </c>
      <c r="F6877" t="s">
        <v>754</v>
      </c>
      <c r="N6877">
        <v>1</v>
      </c>
      <c r="O6877" t="s">
        <v>239</v>
      </c>
      <c r="P6877" t="s">
        <v>514</v>
      </c>
      <c r="Y6877">
        <v>620</v>
      </c>
      <c r="Z6877" s="259" t="s">
        <v>659</v>
      </c>
      <c r="AZ6877" t="s">
        <v>1412</v>
      </c>
      <c r="BA6877">
        <v>81.400000000000006</v>
      </c>
      <c r="BB6877" t="s">
        <v>564</v>
      </c>
      <c r="BC6877" t="s">
        <v>793</v>
      </c>
      <c r="BD6877">
        <v>0</v>
      </c>
      <c r="BE6877">
        <v>46302</v>
      </c>
      <c r="BF6877" t="s">
        <v>588</v>
      </c>
      <c r="BG6877">
        <v>0</v>
      </c>
    </row>
    <row r="6878" spans="3:59" x14ac:dyDescent="0.35">
      <c r="C6878">
        <v>45791</v>
      </c>
      <c r="F6878" t="s">
        <v>754</v>
      </c>
      <c r="N6878">
        <v>1</v>
      </c>
      <c r="O6878" t="s">
        <v>239</v>
      </c>
      <c r="P6878" t="s">
        <v>514</v>
      </c>
      <c r="Y6878">
        <v>621</v>
      </c>
      <c r="Z6878" s="259" t="s">
        <v>659</v>
      </c>
      <c r="AZ6878" t="s">
        <v>1413</v>
      </c>
      <c r="BA6878">
        <v>81.599999999999994</v>
      </c>
      <c r="BB6878" t="s">
        <v>564</v>
      </c>
      <c r="BC6878" t="s">
        <v>793</v>
      </c>
      <c r="BD6878">
        <v>0</v>
      </c>
      <c r="BE6878">
        <v>46302</v>
      </c>
      <c r="BF6878" t="s">
        <v>588</v>
      </c>
      <c r="BG6878">
        <v>0</v>
      </c>
    </row>
    <row r="6879" spans="3:59" x14ac:dyDescent="0.35">
      <c r="C6879">
        <v>45792</v>
      </c>
      <c r="F6879" t="s">
        <v>754</v>
      </c>
      <c r="N6879">
        <v>1</v>
      </c>
      <c r="O6879" t="s">
        <v>239</v>
      </c>
      <c r="P6879" t="s">
        <v>514</v>
      </c>
      <c r="Y6879">
        <v>622</v>
      </c>
      <c r="Z6879" s="259" t="s">
        <v>659</v>
      </c>
      <c r="AZ6879" t="s">
        <v>1414</v>
      </c>
      <c r="BA6879">
        <v>81.8</v>
      </c>
      <c r="BB6879" t="s">
        <v>564</v>
      </c>
      <c r="BC6879" t="s">
        <v>793</v>
      </c>
      <c r="BD6879">
        <v>0</v>
      </c>
      <c r="BE6879">
        <v>46302</v>
      </c>
      <c r="BF6879" t="s">
        <v>588</v>
      </c>
      <c r="BG6879">
        <v>0</v>
      </c>
    </row>
    <row r="6880" spans="3:59" x14ac:dyDescent="0.35">
      <c r="C6880">
        <v>45793</v>
      </c>
      <c r="F6880" t="s">
        <v>754</v>
      </c>
      <c r="N6880">
        <v>1</v>
      </c>
      <c r="O6880" t="s">
        <v>239</v>
      </c>
      <c r="P6880" t="s">
        <v>514</v>
      </c>
      <c r="Y6880">
        <v>623</v>
      </c>
      <c r="Z6880" s="259" t="s">
        <v>659</v>
      </c>
      <c r="AZ6880" t="s">
        <v>1415</v>
      </c>
      <c r="BA6880">
        <v>82</v>
      </c>
      <c r="BB6880" t="s">
        <v>564</v>
      </c>
      <c r="BC6880" t="s">
        <v>793</v>
      </c>
      <c r="BD6880">
        <v>0</v>
      </c>
      <c r="BE6880">
        <v>46302</v>
      </c>
      <c r="BF6880" t="s">
        <v>588</v>
      </c>
      <c r="BG6880">
        <v>0</v>
      </c>
    </row>
    <row r="6881" spans="3:59" x14ac:dyDescent="0.35">
      <c r="C6881">
        <v>45796</v>
      </c>
      <c r="F6881" t="s">
        <v>754</v>
      </c>
      <c r="N6881">
        <v>1</v>
      </c>
      <c r="O6881" t="s">
        <v>239</v>
      </c>
      <c r="P6881" t="s">
        <v>514</v>
      </c>
      <c r="Y6881">
        <v>624</v>
      </c>
      <c r="Z6881" s="259" t="s">
        <v>659</v>
      </c>
      <c r="AZ6881" t="s">
        <v>1416</v>
      </c>
      <c r="BA6881">
        <v>82.6</v>
      </c>
      <c r="BB6881" t="s">
        <v>564</v>
      </c>
      <c r="BC6881" t="s">
        <v>793</v>
      </c>
      <c r="BD6881">
        <v>0</v>
      </c>
      <c r="BE6881">
        <v>46302</v>
      </c>
      <c r="BF6881" t="s">
        <v>588</v>
      </c>
      <c r="BG6881">
        <v>0</v>
      </c>
    </row>
    <row r="6882" spans="3:59" x14ac:dyDescent="0.35">
      <c r="C6882">
        <v>45797</v>
      </c>
      <c r="F6882" t="s">
        <v>754</v>
      </c>
      <c r="N6882">
        <v>1</v>
      </c>
      <c r="O6882" t="s">
        <v>239</v>
      </c>
      <c r="P6882" t="s">
        <v>514</v>
      </c>
      <c r="Y6882">
        <v>625</v>
      </c>
      <c r="Z6882" s="259" t="s">
        <v>659</v>
      </c>
      <c r="AZ6882" t="s">
        <v>1417</v>
      </c>
      <c r="BA6882">
        <v>82.8</v>
      </c>
      <c r="BB6882" t="s">
        <v>564</v>
      </c>
      <c r="BC6882" t="s">
        <v>793</v>
      </c>
      <c r="BD6882">
        <v>0</v>
      </c>
      <c r="BE6882">
        <v>46302</v>
      </c>
      <c r="BF6882" t="s">
        <v>588</v>
      </c>
      <c r="BG6882">
        <v>0</v>
      </c>
    </row>
    <row r="6883" spans="3:59" x14ac:dyDescent="0.35">
      <c r="C6883">
        <v>45798</v>
      </c>
      <c r="F6883" t="s">
        <v>754</v>
      </c>
      <c r="N6883">
        <v>1</v>
      </c>
      <c r="O6883" t="s">
        <v>239</v>
      </c>
      <c r="P6883" t="s">
        <v>514</v>
      </c>
      <c r="Y6883">
        <v>626</v>
      </c>
      <c r="Z6883" s="259" t="s">
        <v>659</v>
      </c>
      <c r="AZ6883" t="s">
        <v>1418</v>
      </c>
      <c r="BA6883">
        <v>83</v>
      </c>
      <c r="BB6883" t="s">
        <v>564</v>
      </c>
      <c r="BC6883" t="s">
        <v>793</v>
      </c>
      <c r="BD6883">
        <v>0</v>
      </c>
      <c r="BE6883">
        <v>46302</v>
      </c>
      <c r="BF6883" t="s">
        <v>588</v>
      </c>
      <c r="BG6883">
        <v>0</v>
      </c>
    </row>
    <row r="6884" spans="3:59" x14ac:dyDescent="0.35">
      <c r="C6884">
        <v>45799</v>
      </c>
      <c r="F6884" t="s">
        <v>754</v>
      </c>
      <c r="N6884">
        <v>1</v>
      </c>
      <c r="O6884" t="s">
        <v>239</v>
      </c>
      <c r="P6884" t="s">
        <v>514</v>
      </c>
      <c r="Y6884">
        <v>627</v>
      </c>
      <c r="Z6884" s="259" t="s">
        <v>659</v>
      </c>
      <c r="AZ6884" t="s">
        <v>1419</v>
      </c>
      <c r="BA6884">
        <v>83.2</v>
      </c>
      <c r="BB6884" t="s">
        <v>564</v>
      </c>
      <c r="BC6884" t="s">
        <v>793</v>
      </c>
      <c r="BD6884">
        <v>0</v>
      </c>
      <c r="BE6884">
        <v>46302</v>
      </c>
      <c r="BF6884" t="s">
        <v>588</v>
      </c>
      <c r="BG6884">
        <v>0</v>
      </c>
    </row>
    <row r="6885" spans="3:59" x14ac:dyDescent="0.35">
      <c r="C6885">
        <v>45800</v>
      </c>
      <c r="F6885" t="s">
        <v>754</v>
      </c>
      <c r="N6885">
        <v>1</v>
      </c>
      <c r="O6885" t="s">
        <v>239</v>
      </c>
      <c r="P6885" t="s">
        <v>514</v>
      </c>
      <c r="Y6885">
        <v>628</v>
      </c>
      <c r="Z6885" s="259" t="s">
        <v>659</v>
      </c>
      <c r="AZ6885" t="s">
        <v>1420</v>
      </c>
      <c r="BA6885">
        <v>83.4</v>
      </c>
      <c r="BB6885" t="s">
        <v>564</v>
      </c>
      <c r="BC6885" t="s">
        <v>793</v>
      </c>
      <c r="BD6885">
        <v>0</v>
      </c>
      <c r="BE6885">
        <v>46302</v>
      </c>
      <c r="BF6885" t="s">
        <v>588</v>
      </c>
      <c r="BG6885">
        <v>0</v>
      </c>
    </row>
    <row r="6886" spans="3:59" x14ac:dyDescent="0.35">
      <c r="C6886">
        <v>45803</v>
      </c>
      <c r="F6886" t="s">
        <v>754</v>
      </c>
      <c r="N6886">
        <v>1</v>
      </c>
      <c r="O6886" t="s">
        <v>239</v>
      </c>
      <c r="P6886" t="s">
        <v>514</v>
      </c>
      <c r="Y6886">
        <v>629</v>
      </c>
      <c r="Z6886" s="259" t="s">
        <v>659</v>
      </c>
      <c r="AZ6886" t="s">
        <v>1421</v>
      </c>
      <c r="BA6886">
        <v>84</v>
      </c>
      <c r="BB6886" t="s">
        <v>564</v>
      </c>
      <c r="BC6886" t="s">
        <v>793</v>
      </c>
      <c r="BD6886">
        <v>0</v>
      </c>
      <c r="BE6886">
        <v>46302</v>
      </c>
      <c r="BF6886" t="s">
        <v>588</v>
      </c>
      <c r="BG6886">
        <v>0</v>
      </c>
    </row>
    <row r="6887" spans="3:59" x14ac:dyDescent="0.35">
      <c r="C6887">
        <v>45804</v>
      </c>
      <c r="F6887" t="s">
        <v>754</v>
      </c>
      <c r="N6887">
        <v>1</v>
      </c>
      <c r="O6887" t="s">
        <v>239</v>
      </c>
      <c r="P6887" t="s">
        <v>514</v>
      </c>
      <c r="Y6887">
        <v>630</v>
      </c>
      <c r="Z6887" s="259" t="s">
        <v>659</v>
      </c>
      <c r="AZ6887" t="s">
        <v>1422</v>
      </c>
      <c r="BA6887">
        <v>84.2</v>
      </c>
      <c r="BB6887" t="s">
        <v>564</v>
      </c>
      <c r="BC6887" t="s">
        <v>793</v>
      </c>
      <c r="BD6887">
        <v>0</v>
      </c>
      <c r="BE6887">
        <v>46302</v>
      </c>
      <c r="BF6887" t="s">
        <v>588</v>
      </c>
      <c r="BG6887">
        <v>0</v>
      </c>
    </row>
    <row r="6888" spans="3:59" x14ac:dyDescent="0.35">
      <c r="C6888">
        <v>45805</v>
      </c>
      <c r="F6888" t="s">
        <v>754</v>
      </c>
      <c r="N6888">
        <v>1</v>
      </c>
      <c r="O6888" t="s">
        <v>239</v>
      </c>
      <c r="P6888" t="s">
        <v>514</v>
      </c>
      <c r="Y6888">
        <v>631</v>
      </c>
      <c r="Z6888" s="259" t="s">
        <v>659</v>
      </c>
      <c r="AZ6888" t="s">
        <v>1423</v>
      </c>
      <c r="BA6888">
        <v>84.4</v>
      </c>
      <c r="BB6888" t="s">
        <v>564</v>
      </c>
      <c r="BC6888" t="s">
        <v>793</v>
      </c>
      <c r="BD6888">
        <v>0</v>
      </c>
      <c r="BE6888">
        <v>46302</v>
      </c>
      <c r="BF6888" t="s">
        <v>588</v>
      </c>
      <c r="BG6888">
        <v>0</v>
      </c>
    </row>
    <row r="6889" spans="3:59" x14ac:dyDescent="0.35">
      <c r="C6889">
        <v>45806</v>
      </c>
      <c r="F6889" t="s">
        <v>754</v>
      </c>
      <c r="N6889">
        <v>1</v>
      </c>
      <c r="O6889" t="s">
        <v>239</v>
      </c>
      <c r="P6889" t="s">
        <v>514</v>
      </c>
      <c r="Y6889">
        <v>632</v>
      </c>
      <c r="Z6889" s="259" t="s">
        <v>659</v>
      </c>
      <c r="AZ6889" t="s">
        <v>1424</v>
      </c>
      <c r="BA6889">
        <v>84.6</v>
      </c>
      <c r="BB6889" t="s">
        <v>564</v>
      </c>
      <c r="BC6889" t="s">
        <v>793</v>
      </c>
      <c r="BD6889">
        <v>0</v>
      </c>
      <c r="BE6889">
        <v>46302</v>
      </c>
      <c r="BF6889" t="s">
        <v>588</v>
      </c>
      <c r="BG6889">
        <v>0</v>
      </c>
    </row>
    <row r="6890" spans="3:59" x14ac:dyDescent="0.35">
      <c r="C6890">
        <v>45807</v>
      </c>
      <c r="F6890" t="s">
        <v>754</v>
      </c>
      <c r="N6890">
        <v>1</v>
      </c>
      <c r="O6890" t="s">
        <v>239</v>
      </c>
      <c r="P6890" t="s">
        <v>514</v>
      </c>
      <c r="Y6890">
        <v>633</v>
      </c>
      <c r="Z6890" s="259" t="s">
        <v>659</v>
      </c>
      <c r="AZ6890" t="s">
        <v>1425</v>
      </c>
      <c r="BA6890">
        <v>84.8</v>
      </c>
      <c r="BB6890" t="s">
        <v>564</v>
      </c>
      <c r="BC6890" t="s">
        <v>793</v>
      </c>
      <c r="BD6890">
        <v>0</v>
      </c>
      <c r="BE6890">
        <v>46302</v>
      </c>
      <c r="BF6890" t="s">
        <v>588</v>
      </c>
      <c r="BG6890">
        <v>0</v>
      </c>
    </row>
    <row r="6891" spans="3:59" x14ac:dyDescent="0.35">
      <c r="C6891">
        <v>45810</v>
      </c>
      <c r="F6891" t="s">
        <v>754</v>
      </c>
      <c r="N6891">
        <v>1</v>
      </c>
      <c r="O6891" t="s">
        <v>239</v>
      </c>
      <c r="P6891" t="s">
        <v>514</v>
      </c>
      <c r="Y6891">
        <v>634</v>
      </c>
      <c r="Z6891" s="259" t="s">
        <v>659</v>
      </c>
      <c r="AZ6891" t="s">
        <v>1426</v>
      </c>
      <c r="BA6891">
        <v>84.86</v>
      </c>
      <c r="BB6891" t="s">
        <v>564</v>
      </c>
      <c r="BC6891" t="s">
        <v>793</v>
      </c>
      <c r="BD6891">
        <v>0</v>
      </c>
      <c r="BE6891">
        <v>46302</v>
      </c>
      <c r="BF6891" t="s">
        <v>588</v>
      </c>
      <c r="BG6891">
        <v>0</v>
      </c>
    </row>
    <row r="6892" spans="3:59" x14ac:dyDescent="0.35">
      <c r="C6892">
        <v>45811</v>
      </c>
      <c r="F6892" t="s">
        <v>754</v>
      </c>
      <c r="N6892">
        <v>1</v>
      </c>
      <c r="O6892" t="s">
        <v>239</v>
      </c>
      <c r="P6892" t="s">
        <v>514</v>
      </c>
      <c r="Y6892">
        <v>635</v>
      </c>
      <c r="Z6892" s="259" t="s">
        <v>659</v>
      </c>
      <c r="AZ6892" t="s">
        <v>1427</v>
      </c>
      <c r="BA6892">
        <v>84.72</v>
      </c>
      <c r="BB6892" t="s">
        <v>564</v>
      </c>
      <c r="BC6892" t="s">
        <v>793</v>
      </c>
      <c r="BD6892">
        <v>0</v>
      </c>
      <c r="BE6892">
        <v>46302</v>
      </c>
      <c r="BF6892" t="s">
        <v>588</v>
      </c>
      <c r="BG6892">
        <v>0</v>
      </c>
    </row>
    <row r="6893" spans="3:59" x14ac:dyDescent="0.35">
      <c r="C6893">
        <v>45812</v>
      </c>
      <c r="F6893" t="s">
        <v>754</v>
      </c>
      <c r="N6893">
        <v>1</v>
      </c>
      <c r="O6893" t="s">
        <v>239</v>
      </c>
      <c r="P6893" t="s">
        <v>514</v>
      </c>
      <c r="Y6893">
        <v>636</v>
      </c>
      <c r="Z6893" s="259" t="s">
        <v>659</v>
      </c>
      <c r="AZ6893" t="s">
        <v>1428</v>
      </c>
      <c r="BA6893">
        <v>84.59</v>
      </c>
      <c r="BB6893" t="s">
        <v>564</v>
      </c>
      <c r="BC6893" t="s">
        <v>793</v>
      </c>
      <c r="BD6893">
        <v>0</v>
      </c>
      <c r="BE6893">
        <v>46302</v>
      </c>
      <c r="BF6893" t="s">
        <v>588</v>
      </c>
      <c r="BG6893">
        <v>0</v>
      </c>
    </row>
    <row r="6894" spans="3:59" x14ac:dyDescent="0.35">
      <c r="C6894">
        <v>45813</v>
      </c>
      <c r="F6894" t="s">
        <v>754</v>
      </c>
      <c r="N6894">
        <v>1</v>
      </c>
      <c r="O6894" t="s">
        <v>239</v>
      </c>
      <c r="P6894" t="s">
        <v>514</v>
      </c>
      <c r="Y6894">
        <v>637</v>
      </c>
      <c r="Z6894" s="259" t="s">
        <v>659</v>
      </c>
      <c r="AZ6894" t="s">
        <v>1429</v>
      </c>
      <c r="BA6894">
        <v>84.45</v>
      </c>
      <c r="BB6894" t="s">
        <v>564</v>
      </c>
      <c r="BC6894" t="s">
        <v>793</v>
      </c>
      <c r="BD6894">
        <v>0</v>
      </c>
      <c r="BE6894">
        <v>46302</v>
      </c>
      <c r="BF6894" t="s">
        <v>588</v>
      </c>
      <c r="BG6894">
        <v>0</v>
      </c>
    </row>
    <row r="6895" spans="3:59" x14ac:dyDescent="0.35">
      <c r="C6895">
        <v>45814</v>
      </c>
      <c r="F6895" t="s">
        <v>754</v>
      </c>
      <c r="N6895">
        <v>1</v>
      </c>
      <c r="O6895" t="s">
        <v>239</v>
      </c>
      <c r="P6895" t="s">
        <v>514</v>
      </c>
      <c r="Y6895">
        <v>638</v>
      </c>
      <c r="Z6895" s="259" t="s">
        <v>659</v>
      </c>
      <c r="AZ6895" t="s">
        <v>1430</v>
      </c>
      <c r="BA6895">
        <v>84.31</v>
      </c>
      <c r="BB6895" t="s">
        <v>564</v>
      </c>
      <c r="BC6895" t="s">
        <v>793</v>
      </c>
      <c r="BD6895">
        <v>0</v>
      </c>
      <c r="BE6895">
        <v>46302</v>
      </c>
      <c r="BF6895" t="s">
        <v>588</v>
      </c>
      <c r="BG6895">
        <v>0</v>
      </c>
    </row>
    <row r="6896" spans="3:59" x14ac:dyDescent="0.35">
      <c r="C6896">
        <v>45817</v>
      </c>
      <c r="F6896" t="s">
        <v>754</v>
      </c>
      <c r="N6896">
        <v>1</v>
      </c>
      <c r="O6896" t="s">
        <v>239</v>
      </c>
      <c r="P6896" t="s">
        <v>514</v>
      </c>
      <c r="Y6896">
        <v>639</v>
      </c>
      <c r="Z6896" s="259" t="s">
        <v>659</v>
      </c>
      <c r="AZ6896" t="s">
        <v>1431</v>
      </c>
      <c r="BA6896">
        <v>83.9</v>
      </c>
      <c r="BB6896" t="s">
        <v>564</v>
      </c>
      <c r="BC6896" t="s">
        <v>793</v>
      </c>
      <c r="BD6896">
        <v>0</v>
      </c>
      <c r="BE6896">
        <v>46302</v>
      </c>
      <c r="BF6896" t="s">
        <v>588</v>
      </c>
      <c r="BG6896">
        <v>0</v>
      </c>
    </row>
    <row r="6897" spans="3:59" x14ac:dyDescent="0.35">
      <c r="C6897">
        <v>45818</v>
      </c>
      <c r="F6897" t="s">
        <v>754</v>
      </c>
      <c r="N6897">
        <v>1</v>
      </c>
      <c r="O6897" t="s">
        <v>239</v>
      </c>
      <c r="P6897" t="s">
        <v>514</v>
      </c>
      <c r="Y6897">
        <v>640</v>
      </c>
      <c r="Z6897" s="259" t="s">
        <v>659</v>
      </c>
      <c r="AZ6897" t="s">
        <v>1432</v>
      </c>
      <c r="BA6897">
        <v>83.76</v>
      </c>
      <c r="BB6897" t="s">
        <v>564</v>
      </c>
      <c r="BC6897" t="s">
        <v>793</v>
      </c>
      <c r="BD6897">
        <v>0</v>
      </c>
      <c r="BE6897">
        <v>46302</v>
      </c>
      <c r="BF6897" t="s">
        <v>588</v>
      </c>
      <c r="BG6897">
        <v>0</v>
      </c>
    </row>
    <row r="6898" spans="3:59" x14ac:dyDescent="0.35">
      <c r="C6898">
        <v>45819</v>
      </c>
      <c r="F6898" t="s">
        <v>754</v>
      </c>
      <c r="N6898">
        <v>1</v>
      </c>
      <c r="O6898" t="s">
        <v>239</v>
      </c>
      <c r="P6898" t="s">
        <v>514</v>
      </c>
      <c r="Y6898">
        <v>641</v>
      </c>
      <c r="Z6898" s="259" t="s">
        <v>659</v>
      </c>
      <c r="AZ6898" t="s">
        <v>1433</v>
      </c>
      <c r="BA6898">
        <v>83.62</v>
      </c>
      <c r="BB6898" t="s">
        <v>564</v>
      </c>
      <c r="BC6898" t="s">
        <v>793</v>
      </c>
      <c r="BD6898">
        <v>0</v>
      </c>
      <c r="BE6898">
        <v>46302</v>
      </c>
      <c r="BF6898" t="s">
        <v>588</v>
      </c>
      <c r="BG6898">
        <v>0</v>
      </c>
    </row>
    <row r="6899" spans="3:59" x14ac:dyDescent="0.35">
      <c r="C6899">
        <v>45820</v>
      </c>
      <c r="F6899" t="s">
        <v>754</v>
      </c>
      <c r="N6899">
        <v>1</v>
      </c>
      <c r="O6899" t="s">
        <v>239</v>
      </c>
      <c r="P6899" t="s">
        <v>514</v>
      </c>
      <c r="Y6899">
        <v>642</v>
      </c>
      <c r="Z6899" s="259" t="s">
        <v>659</v>
      </c>
      <c r="AZ6899" t="s">
        <v>1434</v>
      </c>
      <c r="BA6899">
        <v>83.48</v>
      </c>
      <c r="BB6899" t="s">
        <v>564</v>
      </c>
      <c r="BC6899" t="s">
        <v>793</v>
      </c>
      <c r="BD6899">
        <v>0</v>
      </c>
      <c r="BE6899">
        <v>46302</v>
      </c>
      <c r="BF6899" t="s">
        <v>588</v>
      </c>
      <c r="BG6899">
        <v>0</v>
      </c>
    </row>
    <row r="6900" spans="3:59" x14ac:dyDescent="0.35">
      <c r="C6900">
        <v>45821</v>
      </c>
      <c r="F6900" t="s">
        <v>754</v>
      </c>
      <c r="N6900">
        <v>1</v>
      </c>
      <c r="O6900" t="s">
        <v>239</v>
      </c>
      <c r="P6900" t="s">
        <v>514</v>
      </c>
      <c r="Y6900">
        <v>643</v>
      </c>
      <c r="Z6900" s="259" t="s">
        <v>659</v>
      </c>
      <c r="AZ6900" t="s">
        <v>1435</v>
      </c>
      <c r="BA6900">
        <v>83.34</v>
      </c>
      <c r="BB6900" t="s">
        <v>564</v>
      </c>
      <c r="BC6900" t="s">
        <v>793</v>
      </c>
      <c r="BD6900">
        <v>0</v>
      </c>
      <c r="BE6900">
        <v>46302</v>
      </c>
      <c r="BF6900" t="s">
        <v>588</v>
      </c>
      <c r="BG6900">
        <v>0</v>
      </c>
    </row>
    <row r="6901" spans="3:59" x14ac:dyDescent="0.35">
      <c r="C6901">
        <v>45824</v>
      </c>
      <c r="F6901" t="s">
        <v>754</v>
      </c>
      <c r="N6901">
        <v>1</v>
      </c>
      <c r="O6901" t="s">
        <v>239</v>
      </c>
      <c r="P6901" t="s">
        <v>514</v>
      </c>
      <c r="Y6901">
        <v>644</v>
      </c>
      <c r="Z6901" s="259" t="s">
        <v>659</v>
      </c>
      <c r="AZ6901" t="s">
        <v>1436</v>
      </c>
      <c r="BA6901">
        <v>82.93</v>
      </c>
      <c r="BB6901" t="s">
        <v>564</v>
      </c>
      <c r="BC6901" t="s">
        <v>793</v>
      </c>
      <c r="BD6901">
        <v>0</v>
      </c>
      <c r="BE6901">
        <v>46302</v>
      </c>
      <c r="BF6901" t="s">
        <v>588</v>
      </c>
      <c r="BG6901">
        <v>0</v>
      </c>
    </row>
    <row r="6902" spans="3:59" x14ac:dyDescent="0.35">
      <c r="C6902">
        <v>45825</v>
      </c>
      <c r="F6902" t="s">
        <v>754</v>
      </c>
      <c r="N6902">
        <v>1</v>
      </c>
      <c r="O6902" t="s">
        <v>239</v>
      </c>
      <c r="P6902" t="s">
        <v>514</v>
      </c>
      <c r="Y6902">
        <v>645</v>
      </c>
      <c r="Z6902" s="259" t="s">
        <v>659</v>
      </c>
      <c r="AZ6902" t="s">
        <v>1437</v>
      </c>
      <c r="BA6902">
        <v>82.79</v>
      </c>
      <c r="BB6902" t="s">
        <v>564</v>
      </c>
      <c r="BC6902" t="s">
        <v>793</v>
      </c>
      <c r="BD6902">
        <v>0</v>
      </c>
      <c r="BE6902">
        <v>46302</v>
      </c>
      <c r="BF6902" t="s">
        <v>588</v>
      </c>
      <c r="BG6902">
        <v>0</v>
      </c>
    </row>
    <row r="6903" spans="3:59" x14ac:dyDescent="0.35">
      <c r="C6903">
        <v>45826</v>
      </c>
      <c r="F6903" t="s">
        <v>754</v>
      </c>
      <c r="N6903">
        <v>1</v>
      </c>
      <c r="O6903" t="s">
        <v>239</v>
      </c>
      <c r="P6903" t="s">
        <v>514</v>
      </c>
      <c r="Y6903">
        <v>646</v>
      </c>
      <c r="Z6903" s="259" t="s">
        <v>659</v>
      </c>
      <c r="AZ6903" t="s">
        <v>1438</v>
      </c>
      <c r="BA6903">
        <v>82.66</v>
      </c>
      <c r="BB6903" t="s">
        <v>564</v>
      </c>
      <c r="BC6903" t="s">
        <v>793</v>
      </c>
      <c r="BD6903">
        <v>0</v>
      </c>
      <c r="BE6903">
        <v>46302</v>
      </c>
      <c r="BF6903" t="s">
        <v>588</v>
      </c>
      <c r="BG6903">
        <v>0</v>
      </c>
    </row>
    <row r="6904" spans="3:59" x14ac:dyDescent="0.35">
      <c r="C6904">
        <v>45827</v>
      </c>
      <c r="F6904" t="s">
        <v>754</v>
      </c>
      <c r="N6904">
        <v>1</v>
      </c>
      <c r="O6904" t="s">
        <v>239</v>
      </c>
      <c r="P6904" t="s">
        <v>514</v>
      </c>
      <c r="Y6904">
        <v>647</v>
      </c>
      <c r="Z6904" s="259" t="s">
        <v>659</v>
      </c>
      <c r="AZ6904" t="s">
        <v>1439</v>
      </c>
      <c r="BA6904">
        <v>82.52</v>
      </c>
      <c r="BB6904" t="s">
        <v>564</v>
      </c>
      <c r="BC6904" t="s">
        <v>793</v>
      </c>
      <c r="BD6904">
        <v>0</v>
      </c>
      <c r="BE6904">
        <v>46302</v>
      </c>
      <c r="BF6904" t="s">
        <v>588</v>
      </c>
      <c r="BG6904">
        <v>0</v>
      </c>
    </row>
    <row r="6905" spans="3:59" x14ac:dyDescent="0.35">
      <c r="C6905">
        <v>45828</v>
      </c>
      <c r="F6905" t="s">
        <v>754</v>
      </c>
      <c r="N6905">
        <v>1</v>
      </c>
      <c r="O6905" t="s">
        <v>239</v>
      </c>
      <c r="P6905" t="s">
        <v>514</v>
      </c>
      <c r="Y6905">
        <v>648</v>
      </c>
      <c r="Z6905" s="259" t="s">
        <v>659</v>
      </c>
      <c r="AZ6905" t="s">
        <v>1440</v>
      </c>
      <c r="BA6905">
        <v>82.38</v>
      </c>
      <c r="BB6905" t="s">
        <v>564</v>
      </c>
      <c r="BC6905" t="s">
        <v>793</v>
      </c>
      <c r="BD6905">
        <v>0</v>
      </c>
      <c r="BE6905">
        <v>46302</v>
      </c>
      <c r="BF6905" t="s">
        <v>588</v>
      </c>
      <c r="BG6905">
        <v>0</v>
      </c>
    </row>
    <row r="6906" spans="3:59" x14ac:dyDescent="0.35">
      <c r="C6906">
        <v>45831</v>
      </c>
      <c r="F6906" t="s">
        <v>754</v>
      </c>
      <c r="N6906">
        <v>1</v>
      </c>
      <c r="O6906" t="s">
        <v>239</v>
      </c>
      <c r="P6906" t="s">
        <v>514</v>
      </c>
      <c r="Y6906">
        <v>649</v>
      </c>
      <c r="Z6906" s="259" t="s">
        <v>659</v>
      </c>
      <c r="AZ6906" t="s">
        <v>1441</v>
      </c>
      <c r="BA6906">
        <v>81.97</v>
      </c>
      <c r="BB6906" t="s">
        <v>564</v>
      </c>
      <c r="BC6906" t="s">
        <v>793</v>
      </c>
      <c r="BD6906">
        <v>0</v>
      </c>
      <c r="BE6906">
        <v>46302</v>
      </c>
      <c r="BF6906" t="s">
        <v>588</v>
      </c>
      <c r="BG6906">
        <v>0</v>
      </c>
    </row>
    <row r="6907" spans="3:59" x14ac:dyDescent="0.35">
      <c r="C6907">
        <v>45832</v>
      </c>
      <c r="F6907" t="s">
        <v>754</v>
      </c>
      <c r="N6907">
        <v>1</v>
      </c>
      <c r="O6907" t="s">
        <v>239</v>
      </c>
      <c r="P6907" t="s">
        <v>514</v>
      </c>
      <c r="Y6907">
        <v>650</v>
      </c>
      <c r="Z6907" s="259" t="s">
        <v>659</v>
      </c>
      <c r="AZ6907" t="s">
        <v>1442</v>
      </c>
      <c r="BA6907">
        <v>81.83</v>
      </c>
      <c r="BB6907" t="s">
        <v>564</v>
      </c>
      <c r="BC6907" t="s">
        <v>793</v>
      </c>
      <c r="BD6907">
        <v>0</v>
      </c>
      <c r="BE6907">
        <v>46302</v>
      </c>
      <c r="BF6907" t="s">
        <v>588</v>
      </c>
      <c r="BG6907">
        <v>0</v>
      </c>
    </row>
    <row r="6908" spans="3:59" x14ac:dyDescent="0.35">
      <c r="C6908">
        <v>45833</v>
      </c>
      <c r="F6908" t="s">
        <v>754</v>
      </c>
      <c r="N6908">
        <v>1</v>
      </c>
      <c r="O6908" t="s">
        <v>239</v>
      </c>
      <c r="P6908" t="s">
        <v>514</v>
      </c>
      <c r="Y6908">
        <v>651</v>
      </c>
      <c r="Z6908" s="259" t="s">
        <v>659</v>
      </c>
      <c r="AZ6908" t="s">
        <v>1443</v>
      </c>
      <c r="BA6908">
        <v>81.69</v>
      </c>
      <c r="BB6908" t="s">
        <v>564</v>
      </c>
      <c r="BC6908" t="s">
        <v>793</v>
      </c>
      <c r="BD6908">
        <v>0</v>
      </c>
      <c r="BE6908">
        <v>46302</v>
      </c>
      <c r="BF6908" t="s">
        <v>588</v>
      </c>
      <c r="BG6908">
        <v>0</v>
      </c>
    </row>
    <row r="6909" spans="3:59" x14ac:dyDescent="0.35">
      <c r="C6909">
        <v>45834</v>
      </c>
      <c r="F6909" t="s">
        <v>754</v>
      </c>
      <c r="N6909">
        <v>1</v>
      </c>
      <c r="O6909" t="s">
        <v>239</v>
      </c>
      <c r="P6909" t="s">
        <v>514</v>
      </c>
      <c r="Y6909">
        <v>652</v>
      </c>
      <c r="Z6909" s="259" t="s">
        <v>659</v>
      </c>
      <c r="AZ6909" t="s">
        <v>1444</v>
      </c>
      <c r="BA6909">
        <v>81.55</v>
      </c>
      <c r="BB6909" t="s">
        <v>564</v>
      </c>
      <c r="BC6909" t="s">
        <v>793</v>
      </c>
      <c r="BD6909">
        <v>0</v>
      </c>
      <c r="BE6909">
        <v>46302</v>
      </c>
      <c r="BF6909" t="s">
        <v>588</v>
      </c>
      <c r="BG6909">
        <v>0</v>
      </c>
    </row>
    <row r="6910" spans="3:59" x14ac:dyDescent="0.35">
      <c r="C6910">
        <v>45835</v>
      </c>
      <c r="F6910" t="s">
        <v>754</v>
      </c>
      <c r="N6910">
        <v>1</v>
      </c>
      <c r="O6910" t="s">
        <v>239</v>
      </c>
      <c r="P6910" t="s">
        <v>514</v>
      </c>
      <c r="Y6910">
        <v>653</v>
      </c>
      <c r="Z6910" s="259" t="s">
        <v>659</v>
      </c>
      <c r="AZ6910" t="s">
        <v>1445</v>
      </c>
      <c r="BA6910">
        <v>81.41</v>
      </c>
      <c r="BB6910" t="s">
        <v>564</v>
      </c>
      <c r="BC6910" t="s">
        <v>793</v>
      </c>
      <c r="BD6910">
        <v>0</v>
      </c>
      <c r="BE6910">
        <v>46302</v>
      </c>
      <c r="BF6910" t="s">
        <v>588</v>
      </c>
      <c r="BG6910">
        <v>0</v>
      </c>
    </row>
    <row r="6911" spans="3:59" x14ac:dyDescent="0.35">
      <c r="C6911">
        <v>45838</v>
      </c>
      <c r="F6911" t="s">
        <v>754</v>
      </c>
      <c r="N6911">
        <v>1</v>
      </c>
      <c r="O6911" t="s">
        <v>239</v>
      </c>
      <c r="P6911" t="s">
        <v>514</v>
      </c>
      <c r="Y6911">
        <v>654</v>
      </c>
      <c r="Z6911" s="259" t="s">
        <v>659</v>
      </c>
      <c r="AZ6911" t="s">
        <v>1446</v>
      </c>
      <c r="BA6911">
        <v>81</v>
      </c>
      <c r="BB6911" t="s">
        <v>564</v>
      </c>
      <c r="BC6911" t="s">
        <v>793</v>
      </c>
      <c r="BD6911">
        <v>0</v>
      </c>
      <c r="BE6911">
        <v>46302</v>
      </c>
      <c r="BF6911" t="s">
        <v>588</v>
      </c>
      <c r="BG6911">
        <v>0</v>
      </c>
    </row>
    <row r="6912" spans="3:59" x14ac:dyDescent="0.35">
      <c r="C6912">
        <v>45839</v>
      </c>
      <c r="F6912" t="s">
        <v>754</v>
      </c>
      <c r="N6912">
        <v>1</v>
      </c>
      <c r="O6912" t="s">
        <v>239</v>
      </c>
      <c r="P6912" t="s">
        <v>514</v>
      </c>
      <c r="Y6912">
        <v>655</v>
      </c>
      <c r="Z6912" s="259" t="s">
        <v>659</v>
      </c>
      <c r="AZ6912" t="s">
        <v>1447</v>
      </c>
      <c r="BA6912">
        <v>81</v>
      </c>
      <c r="BB6912" t="s">
        <v>564</v>
      </c>
      <c r="BC6912" t="s">
        <v>793</v>
      </c>
      <c r="BD6912">
        <v>0</v>
      </c>
      <c r="BE6912">
        <v>46302</v>
      </c>
      <c r="BF6912" t="s">
        <v>588</v>
      </c>
      <c r="BG6912">
        <v>0</v>
      </c>
    </row>
    <row r="6913" spans="3:59" x14ac:dyDescent="0.35">
      <c r="C6913">
        <v>45840</v>
      </c>
      <c r="F6913" t="s">
        <v>754</v>
      </c>
      <c r="N6913">
        <v>1</v>
      </c>
      <c r="O6913" t="s">
        <v>239</v>
      </c>
      <c r="P6913" t="s">
        <v>514</v>
      </c>
      <c r="Y6913">
        <v>656</v>
      </c>
      <c r="Z6913" s="259" t="s">
        <v>659</v>
      </c>
      <c r="AZ6913" t="s">
        <v>1448</v>
      </c>
      <c r="BA6913">
        <v>80.87</v>
      </c>
      <c r="BB6913" t="s">
        <v>564</v>
      </c>
      <c r="BC6913" t="s">
        <v>793</v>
      </c>
      <c r="BD6913">
        <v>0</v>
      </c>
      <c r="BE6913">
        <v>46302</v>
      </c>
      <c r="BF6913" t="s">
        <v>588</v>
      </c>
      <c r="BG6913">
        <v>0</v>
      </c>
    </row>
    <row r="6914" spans="3:59" x14ac:dyDescent="0.35">
      <c r="C6914">
        <v>45841</v>
      </c>
      <c r="F6914" t="s">
        <v>754</v>
      </c>
      <c r="N6914">
        <v>1</v>
      </c>
      <c r="O6914" t="s">
        <v>239</v>
      </c>
      <c r="P6914" t="s">
        <v>514</v>
      </c>
      <c r="Y6914">
        <v>657</v>
      </c>
      <c r="Z6914" s="259" t="s">
        <v>659</v>
      </c>
      <c r="AZ6914" t="s">
        <v>1449</v>
      </c>
      <c r="BA6914">
        <v>80.73</v>
      </c>
      <c r="BB6914" t="s">
        <v>564</v>
      </c>
      <c r="BC6914" t="s">
        <v>793</v>
      </c>
      <c r="BD6914">
        <v>0</v>
      </c>
      <c r="BE6914">
        <v>46302</v>
      </c>
      <c r="BF6914" t="s">
        <v>588</v>
      </c>
      <c r="BG6914">
        <v>0</v>
      </c>
    </row>
    <row r="6915" spans="3:59" x14ac:dyDescent="0.35">
      <c r="C6915">
        <v>45842</v>
      </c>
      <c r="F6915" t="s">
        <v>754</v>
      </c>
      <c r="N6915">
        <v>1</v>
      </c>
      <c r="O6915" t="s">
        <v>239</v>
      </c>
      <c r="P6915" t="s">
        <v>514</v>
      </c>
      <c r="Y6915">
        <v>658</v>
      </c>
      <c r="Z6915" s="259" t="s">
        <v>659</v>
      </c>
      <c r="AZ6915" t="s">
        <v>1450</v>
      </c>
      <c r="BA6915">
        <v>80.599999999999994</v>
      </c>
      <c r="BB6915" t="s">
        <v>564</v>
      </c>
      <c r="BC6915" t="s">
        <v>793</v>
      </c>
      <c r="BD6915">
        <v>0</v>
      </c>
      <c r="BE6915">
        <v>46302</v>
      </c>
      <c r="BF6915" t="s">
        <v>588</v>
      </c>
      <c r="BG6915">
        <v>0</v>
      </c>
    </row>
    <row r="6916" spans="3:59" x14ac:dyDescent="0.35">
      <c r="C6916">
        <v>45845</v>
      </c>
      <c r="F6916" t="s">
        <v>754</v>
      </c>
      <c r="N6916">
        <v>1</v>
      </c>
      <c r="O6916" t="s">
        <v>239</v>
      </c>
      <c r="P6916" t="s">
        <v>514</v>
      </c>
      <c r="Y6916">
        <v>659</v>
      </c>
      <c r="Z6916" s="259" t="s">
        <v>659</v>
      </c>
      <c r="AZ6916" t="s">
        <v>1451</v>
      </c>
      <c r="BA6916">
        <v>80.2</v>
      </c>
      <c r="BB6916" t="s">
        <v>564</v>
      </c>
      <c r="BC6916" t="s">
        <v>793</v>
      </c>
      <c r="BD6916">
        <v>0</v>
      </c>
      <c r="BE6916">
        <v>46302</v>
      </c>
      <c r="BF6916" t="s">
        <v>588</v>
      </c>
      <c r="BG6916">
        <v>0</v>
      </c>
    </row>
    <row r="6917" spans="3:59" x14ac:dyDescent="0.35">
      <c r="C6917">
        <v>45846</v>
      </c>
      <c r="F6917" t="s">
        <v>754</v>
      </c>
      <c r="N6917">
        <v>1</v>
      </c>
      <c r="O6917" t="s">
        <v>239</v>
      </c>
      <c r="P6917" t="s">
        <v>514</v>
      </c>
      <c r="Y6917">
        <v>660</v>
      </c>
      <c r="Z6917" s="259" t="s">
        <v>659</v>
      </c>
      <c r="AZ6917" t="s">
        <v>1452</v>
      </c>
      <c r="BA6917">
        <v>80.069999999999993</v>
      </c>
      <c r="BB6917" t="s">
        <v>564</v>
      </c>
      <c r="BC6917" t="s">
        <v>793</v>
      </c>
      <c r="BD6917">
        <v>0</v>
      </c>
      <c r="BE6917">
        <v>46302</v>
      </c>
      <c r="BF6917" t="s">
        <v>588</v>
      </c>
      <c r="BG6917">
        <v>0</v>
      </c>
    </row>
    <row r="6918" spans="3:59" x14ac:dyDescent="0.35">
      <c r="C6918">
        <v>45847</v>
      </c>
      <c r="F6918" t="s">
        <v>754</v>
      </c>
      <c r="N6918">
        <v>1</v>
      </c>
      <c r="O6918" t="s">
        <v>239</v>
      </c>
      <c r="P6918" t="s">
        <v>514</v>
      </c>
      <c r="Y6918">
        <v>661</v>
      </c>
      <c r="Z6918" s="259" t="s">
        <v>659</v>
      </c>
      <c r="AZ6918" t="s">
        <v>1453</v>
      </c>
      <c r="BA6918">
        <v>79.930000000000007</v>
      </c>
      <c r="BB6918" t="s">
        <v>564</v>
      </c>
      <c r="BC6918" t="s">
        <v>793</v>
      </c>
      <c r="BD6918">
        <v>0</v>
      </c>
      <c r="BE6918">
        <v>46302</v>
      </c>
      <c r="BF6918" t="s">
        <v>588</v>
      </c>
      <c r="BG6918">
        <v>0</v>
      </c>
    </row>
    <row r="6919" spans="3:59" x14ac:dyDescent="0.35">
      <c r="C6919">
        <v>45848</v>
      </c>
      <c r="F6919" t="s">
        <v>754</v>
      </c>
      <c r="N6919">
        <v>1</v>
      </c>
      <c r="O6919" t="s">
        <v>239</v>
      </c>
      <c r="P6919" t="s">
        <v>514</v>
      </c>
      <c r="Y6919">
        <v>662</v>
      </c>
      <c r="Z6919" s="259" t="s">
        <v>659</v>
      </c>
      <c r="AZ6919" t="s">
        <v>1454</v>
      </c>
      <c r="BA6919">
        <v>79.8</v>
      </c>
      <c r="BB6919" t="s">
        <v>564</v>
      </c>
      <c r="BC6919" t="s">
        <v>793</v>
      </c>
      <c r="BD6919">
        <v>0</v>
      </c>
      <c r="BE6919">
        <v>46302</v>
      </c>
      <c r="BF6919" t="s">
        <v>588</v>
      </c>
      <c r="BG6919">
        <v>0</v>
      </c>
    </row>
    <row r="6920" spans="3:59" x14ac:dyDescent="0.35">
      <c r="C6920">
        <v>45849</v>
      </c>
      <c r="F6920" t="s">
        <v>754</v>
      </c>
      <c r="N6920">
        <v>1</v>
      </c>
      <c r="O6920" t="s">
        <v>239</v>
      </c>
      <c r="P6920" t="s">
        <v>514</v>
      </c>
      <c r="Y6920">
        <v>663</v>
      </c>
      <c r="Z6920" s="259" t="s">
        <v>659</v>
      </c>
      <c r="AZ6920" t="s">
        <v>1455</v>
      </c>
      <c r="BA6920">
        <v>79.67</v>
      </c>
      <c r="BB6920" t="s">
        <v>564</v>
      </c>
      <c r="BC6920" t="s">
        <v>793</v>
      </c>
      <c r="BD6920">
        <v>0</v>
      </c>
      <c r="BE6920">
        <v>46302</v>
      </c>
      <c r="BF6920" t="s">
        <v>588</v>
      </c>
      <c r="BG6920">
        <v>0</v>
      </c>
    </row>
    <row r="6921" spans="3:59" x14ac:dyDescent="0.35">
      <c r="C6921">
        <v>45852</v>
      </c>
      <c r="F6921" t="s">
        <v>754</v>
      </c>
      <c r="N6921">
        <v>1</v>
      </c>
      <c r="O6921" t="s">
        <v>239</v>
      </c>
      <c r="P6921" t="s">
        <v>514</v>
      </c>
      <c r="Y6921">
        <v>664</v>
      </c>
      <c r="Z6921" s="259" t="s">
        <v>659</v>
      </c>
      <c r="AZ6921" t="s">
        <v>1456</v>
      </c>
      <c r="BA6921">
        <v>79.27</v>
      </c>
      <c r="BB6921" t="s">
        <v>564</v>
      </c>
      <c r="BC6921" t="s">
        <v>793</v>
      </c>
      <c r="BD6921">
        <v>0</v>
      </c>
      <c r="BE6921">
        <v>46302</v>
      </c>
      <c r="BF6921" t="s">
        <v>588</v>
      </c>
      <c r="BG6921">
        <v>0</v>
      </c>
    </row>
    <row r="6922" spans="3:59" x14ac:dyDescent="0.35">
      <c r="C6922">
        <v>45853</v>
      </c>
      <c r="F6922" t="s">
        <v>754</v>
      </c>
      <c r="N6922">
        <v>1</v>
      </c>
      <c r="O6922" t="s">
        <v>239</v>
      </c>
      <c r="P6922" t="s">
        <v>514</v>
      </c>
      <c r="Y6922">
        <v>665</v>
      </c>
      <c r="Z6922" s="259" t="s">
        <v>659</v>
      </c>
      <c r="AZ6922" t="s">
        <v>1457</v>
      </c>
      <c r="BA6922">
        <v>79.13</v>
      </c>
      <c r="BB6922" t="s">
        <v>564</v>
      </c>
      <c r="BC6922" t="s">
        <v>793</v>
      </c>
      <c r="BD6922">
        <v>0</v>
      </c>
      <c r="BE6922">
        <v>46302</v>
      </c>
      <c r="BF6922" t="s">
        <v>588</v>
      </c>
      <c r="BG6922">
        <v>0</v>
      </c>
    </row>
    <row r="6923" spans="3:59" x14ac:dyDescent="0.35">
      <c r="C6923">
        <v>45854</v>
      </c>
      <c r="F6923" t="s">
        <v>754</v>
      </c>
      <c r="N6923">
        <v>1</v>
      </c>
      <c r="O6923" t="s">
        <v>239</v>
      </c>
      <c r="P6923" t="s">
        <v>514</v>
      </c>
      <c r="Y6923">
        <v>666</v>
      </c>
      <c r="Z6923" s="259" t="s">
        <v>659</v>
      </c>
      <c r="AZ6923" t="s">
        <v>1458</v>
      </c>
      <c r="BA6923">
        <v>79</v>
      </c>
      <c r="BB6923" t="s">
        <v>564</v>
      </c>
      <c r="BC6923" t="s">
        <v>793</v>
      </c>
      <c r="BD6923">
        <v>0</v>
      </c>
      <c r="BE6923">
        <v>46302</v>
      </c>
      <c r="BF6923" t="s">
        <v>588</v>
      </c>
      <c r="BG6923">
        <v>0</v>
      </c>
    </row>
    <row r="6924" spans="3:59" x14ac:dyDescent="0.35">
      <c r="C6924">
        <v>45855</v>
      </c>
      <c r="F6924" t="s">
        <v>754</v>
      </c>
      <c r="N6924">
        <v>1</v>
      </c>
      <c r="O6924" t="s">
        <v>239</v>
      </c>
      <c r="P6924" t="s">
        <v>514</v>
      </c>
      <c r="Y6924">
        <v>667</v>
      </c>
      <c r="Z6924" s="259" t="s">
        <v>659</v>
      </c>
      <c r="AZ6924" t="s">
        <v>1459</v>
      </c>
      <c r="BA6924">
        <v>78.87</v>
      </c>
      <c r="BB6924" t="s">
        <v>564</v>
      </c>
      <c r="BC6924" t="s">
        <v>793</v>
      </c>
      <c r="BD6924">
        <v>0</v>
      </c>
      <c r="BE6924">
        <v>46302</v>
      </c>
      <c r="BF6924" t="s">
        <v>588</v>
      </c>
      <c r="BG6924">
        <v>0</v>
      </c>
    </row>
    <row r="6925" spans="3:59" x14ac:dyDescent="0.35">
      <c r="C6925">
        <v>45856</v>
      </c>
      <c r="F6925" t="s">
        <v>754</v>
      </c>
      <c r="N6925">
        <v>1</v>
      </c>
      <c r="O6925" t="s">
        <v>239</v>
      </c>
      <c r="P6925" t="s">
        <v>514</v>
      </c>
      <c r="Y6925">
        <v>668</v>
      </c>
      <c r="Z6925" s="259" t="s">
        <v>659</v>
      </c>
      <c r="AZ6925" t="s">
        <v>1460</v>
      </c>
      <c r="BA6925">
        <v>78.73</v>
      </c>
      <c r="BB6925" t="s">
        <v>564</v>
      </c>
      <c r="BC6925" t="s">
        <v>793</v>
      </c>
      <c r="BD6925">
        <v>0</v>
      </c>
      <c r="BE6925">
        <v>46302</v>
      </c>
      <c r="BF6925" t="s">
        <v>588</v>
      </c>
      <c r="BG6925">
        <v>0</v>
      </c>
    </row>
    <row r="6926" spans="3:59" x14ac:dyDescent="0.35">
      <c r="C6926">
        <v>45859</v>
      </c>
      <c r="F6926" t="s">
        <v>754</v>
      </c>
      <c r="N6926">
        <v>1</v>
      </c>
      <c r="O6926" t="s">
        <v>239</v>
      </c>
      <c r="P6926" t="s">
        <v>514</v>
      </c>
      <c r="Y6926">
        <v>669</v>
      </c>
      <c r="Z6926" s="259" t="s">
        <v>659</v>
      </c>
      <c r="AZ6926" t="s">
        <v>1461</v>
      </c>
      <c r="BA6926">
        <v>78.33</v>
      </c>
      <c r="BB6926" t="s">
        <v>564</v>
      </c>
      <c r="BC6926" t="s">
        <v>793</v>
      </c>
      <c r="BD6926">
        <v>0</v>
      </c>
      <c r="BE6926">
        <v>46302</v>
      </c>
      <c r="BF6926" t="s">
        <v>588</v>
      </c>
      <c r="BG6926">
        <v>0</v>
      </c>
    </row>
    <row r="6927" spans="3:59" x14ac:dyDescent="0.35">
      <c r="C6927">
        <v>45860</v>
      </c>
      <c r="F6927" t="s">
        <v>754</v>
      </c>
      <c r="N6927">
        <v>1</v>
      </c>
      <c r="O6927" t="s">
        <v>239</v>
      </c>
      <c r="P6927" t="s">
        <v>514</v>
      </c>
      <c r="Y6927">
        <v>670</v>
      </c>
      <c r="Z6927" s="259" t="s">
        <v>659</v>
      </c>
      <c r="AZ6927" t="s">
        <v>1462</v>
      </c>
      <c r="BA6927">
        <v>78.2</v>
      </c>
      <c r="BB6927" t="s">
        <v>564</v>
      </c>
      <c r="BC6927" t="s">
        <v>793</v>
      </c>
      <c r="BD6927">
        <v>0</v>
      </c>
      <c r="BE6927">
        <v>46302</v>
      </c>
      <c r="BF6927" t="s">
        <v>588</v>
      </c>
      <c r="BG6927">
        <v>0</v>
      </c>
    </row>
    <row r="6928" spans="3:59" x14ac:dyDescent="0.35">
      <c r="C6928">
        <v>45861</v>
      </c>
      <c r="F6928" t="s">
        <v>754</v>
      </c>
      <c r="N6928">
        <v>1</v>
      </c>
      <c r="O6928" t="s">
        <v>239</v>
      </c>
      <c r="P6928" t="s">
        <v>514</v>
      </c>
      <c r="Y6928">
        <v>671</v>
      </c>
      <c r="Z6928" s="259" t="s">
        <v>659</v>
      </c>
      <c r="AZ6928" t="s">
        <v>1463</v>
      </c>
      <c r="BA6928">
        <v>78.069999999999993</v>
      </c>
      <c r="BB6928" t="s">
        <v>564</v>
      </c>
      <c r="BC6928" t="s">
        <v>793</v>
      </c>
      <c r="BD6928">
        <v>0</v>
      </c>
      <c r="BE6928">
        <v>46302</v>
      </c>
      <c r="BF6928" t="s">
        <v>588</v>
      </c>
      <c r="BG6928">
        <v>0</v>
      </c>
    </row>
    <row r="6929" spans="3:59" x14ac:dyDescent="0.35">
      <c r="C6929">
        <v>45862</v>
      </c>
      <c r="F6929" t="s">
        <v>754</v>
      </c>
      <c r="N6929">
        <v>1</v>
      </c>
      <c r="O6929" t="s">
        <v>239</v>
      </c>
      <c r="P6929" t="s">
        <v>514</v>
      </c>
      <c r="Y6929">
        <v>672</v>
      </c>
      <c r="Z6929" s="259" t="s">
        <v>659</v>
      </c>
      <c r="AZ6929" t="s">
        <v>1464</v>
      </c>
      <c r="BA6929">
        <v>77.930000000000007</v>
      </c>
      <c r="BB6929" t="s">
        <v>564</v>
      </c>
      <c r="BC6929" t="s">
        <v>793</v>
      </c>
      <c r="BD6929">
        <v>0</v>
      </c>
      <c r="BE6929">
        <v>46302</v>
      </c>
      <c r="BF6929" t="s">
        <v>588</v>
      </c>
      <c r="BG6929">
        <v>0</v>
      </c>
    </row>
    <row r="6930" spans="3:59" x14ac:dyDescent="0.35">
      <c r="C6930">
        <v>45863</v>
      </c>
      <c r="F6930" t="s">
        <v>754</v>
      </c>
      <c r="N6930">
        <v>1</v>
      </c>
      <c r="O6930" t="s">
        <v>239</v>
      </c>
      <c r="P6930" t="s">
        <v>514</v>
      </c>
      <c r="Y6930">
        <v>673</v>
      </c>
      <c r="Z6930" s="259" t="s">
        <v>659</v>
      </c>
      <c r="AZ6930" t="s">
        <v>1465</v>
      </c>
      <c r="BA6930">
        <v>77.8</v>
      </c>
      <c r="BB6930" t="s">
        <v>564</v>
      </c>
      <c r="BC6930" t="s">
        <v>793</v>
      </c>
      <c r="BD6930">
        <v>0</v>
      </c>
      <c r="BE6930">
        <v>46302</v>
      </c>
      <c r="BF6930" t="s">
        <v>588</v>
      </c>
      <c r="BG6930">
        <v>0</v>
      </c>
    </row>
    <row r="6931" spans="3:59" x14ac:dyDescent="0.35">
      <c r="C6931">
        <v>45866</v>
      </c>
      <c r="F6931" t="s">
        <v>754</v>
      </c>
      <c r="N6931">
        <v>1</v>
      </c>
      <c r="O6931" t="s">
        <v>239</v>
      </c>
      <c r="P6931" t="s">
        <v>514</v>
      </c>
      <c r="Y6931">
        <v>674</v>
      </c>
      <c r="Z6931" s="259" t="s">
        <v>659</v>
      </c>
      <c r="AZ6931" t="s">
        <v>1466</v>
      </c>
      <c r="BA6931">
        <v>77.400000000000006</v>
      </c>
      <c r="BB6931" t="s">
        <v>564</v>
      </c>
      <c r="BC6931" t="s">
        <v>793</v>
      </c>
      <c r="BD6931">
        <v>0</v>
      </c>
      <c r="BE6931">
        <v>46302</v>
      </c>
      <c r="BF6931" t="s">
        <v>588</v>
      </c>
      <c r="BG6931">
        <v>0</v>
      </c>
    </row>
    <row r="6932" spans="3:59" x14ac:dyDescent="0.35">
      <c r="C6932">
        <v>45867</v>
      </c>
      <c r="F6932" t="s">
        <v>754</v>
      </c>
      <c r="N6932">
        <v>1</v>
      </c>
      <c r="O6932" t="s">
        <v>239</v>
      </c>
      <c r="P6932" t="s">
        <v>514</v>
      </c>
      <c r="Y6932">
        <v>675</v>
      </c>
      <c r="Z6932" s="259" t="s">
        <v>659</v>
      </c>
      <c r="AZ6932" t="s">
        <v>1467</v>
      </c>
      <c r="BA6932">
        <v>77.27</v>
      </c>
      <c r="BB6932" t="s">
        <v>564</v>
      </c>
      <c r="BC6932" t="s">
        <v>793</v>
      </c>
      <c r="BD6932">
        <v>0</v>
      </c>
      <c r="BE6932">
        <v>46302</v>
      </c>
      <c r="BF6932" t="s">
        <v>588</v>
      </c>
      <c r="BG6932">
        <v>0</v>
      </c>
    </row>
    <row r="6933" spans="3:59" x14ac:dyDescent="0.35">
      <c r="C6933">
        <v>45868</v>
      </c>
      <c r="F6933" t="s">
        <v>754</v>
      </c>
      <c r="N6933">
        <v>1</v>
      </c>
      <c r="O6933" t="s">
        <v>239</v>
      </c>
      <c r="P6933" t="s">
        <v>514</v>
      </c>
      <c r="Y6933">
        <v>676</v>
      </c>
      <c r="Z6933" s="259" t="s">
        <v>659</v>
      </c>
      <c r="AZ6933" t="s">
        <v>1468</v>
      </c>
      <c r="BA6933">
        <v>77.13</v>
      </c>
      <c r="BB6933" t="s">
        <v>564</v>
      </c>
      <c r="BC6933" t="s">
        <v>793</v>
      </c>
      <c r="BD6933">
        <v>0</v>
      </c>
      <c r="BE6933">
        <v>46302</v>
      </c>
      <c r="BF6933" t="s">
        <v>588</v>
      </c>
      <c r="BG6933">
        <v>0</v>
      </c>
    </row>
    <row r="6934" spans="3:59" x14ac:dyDescent="0.35">
      <c r="C6934">
        <v>45869</v>
      </c>
      <c r="F6934" t="s">
        <v>754</v>
      </c>
      <c r="N6934">
        <v>1</v>
      </c>
      <c r="O6934" t="s">
        <v>239</v>
      </c>
      <c r="P6934" t="s">
        <v>514</v>
      </c>
      <c r="Y6934">
        <v>677</v>
      </c>
      <c r="Z6934" s="259" t="s">
        <v>659</v>
      </c>
      <c r="AZ6934" t="s">
        <v>1469</v>
      </c>
      <c r="BA6934">
        <v>77</v>
      </c>
      <c r="BB6934" t="s">
        <v>564</v>
      </c>
      <c r="BC6934" t="s">
        <v>793</v>
      </c>
      <c r="BD6934">
        <v>0</v>
      </c>
      <c r="BE6934">
        <v>46302</v>
      </c>
      <c r="BF6934" t="s">
        <v>588</v>
      </c>
      <c r="BG6934">
        <v>0</v>
      </c>
    </row>
    <row r="6935" spans="3:59" x14ac:dyDescent="0.35">
      <c r="C6935">
        <v>45870</v>
      </c>
      <c r="F6935" t="s">
        <v>754</v>
      </c>
      <c r="N6935">
        <v>1</v>
      </c>
      <c r="O6935" t="s">
        <v>239</v>
      </c>
      <c r="P6935" t="s">
        <v>514</v>
      </c>
      <c r="Y6935">
        <v>678</v>
      </c>
      <c r="Z6935" s="259" t="s">
        <v>659</v>
      </c>
      <c r="AZ6935" t="s">
        <v>1470</v>
      </c>
      <c r="BA6935">
        <v>77</v>
      </c>
      <c r="BB6935" t="s">
        <v>564</v>
      </c>
      <c r="BC6935" t="s">
        <v>793</v>
      </c>
      <c r="BD6935">
        <v>0</v>
      </c>
      <c r="BE6935">
        <v>46302</v>
      </c>
      <c r="BF6935" t="s">
        <v>588</v>
      </c>
      <c r="BG6935">
        <v>0</v>
      </c>
    </row>
    <row r="6936" spans="3:59" x14ac:dyDescent="0.35">
      <c r="C6936">
        <v>45873</v>
      </c>
      <c r="F6936" t="s">
        <v>754</v>
      </c>
      <c r="N6936">
        <v>1</v>
      </c>
      <c r="O6936" t="s">
        <v>239</v>
      </c>
      <c r="P6936" t="s">
        <v>514</v>
      </c>
      <c r="Y6936">
        <v>679</v>
      </c>
      <c r="Z6936" s="259" t="s">
        <v>659</v>
      </c>
      <c r="AZ6936" t="s">
        <v>1471</v>
      </c>
      <c r="BA6936">
        <v>77.900000000000006</v>
      </c>
      <c r="BB6936" t="s">
        <v>564</v>
      </c>
      <c r="BC6936" t="s">
        <v>793</v>
      </c>
      <c r="BD6936">
        <v>0</v>
      </c>
      <c r="BE6936">
        <v>46302</v>
      </c>
      <c r="BF6936" t="s">
        <v>588</v>
      </c>
      <c r="BG6936">
        <v>0</v>
      </c>
    </row>
    <row r="6937" spans="3:59" x14ac:dyDescent="0.35">
      <c r="C6937">
        <v>45874</v>
      </c>
      <c r="F6937" t="s">
        <v>754</v>
      </c>
      <c r="N6937">
        <v>1</v>
      </c>
      <c r="O6937" t="s">
        <v>239</v>
      </c>
      <c r="P6937" t="s">
        <v>514</v>
      </c>
      <c r="Y6937">
        <v>680</v>
      </c>
      <c r="Z6937" s="259" t="s">
        <v>659</v>
      </c>
      <c r="AZ6937" t="s">
        <v>1472</v>
      </c>
      <c r="BA6937">
        <v>78.2</v>
      </c>
      <c r="BB6937" t="s">
        <v>564</v>
      </c>
      <c r="BC6937" t="s">
        <v>793</v>
      </c>
      <c r="BD6937">
        <v>0</v>
      </c>
      <c r="BE6937">
        <v>46302</v>
      </c>
      <c r="BF6937" t="s">
        <v>588</v>
      </c>
      <c r="BG6937">
        <v>0</v>
      </c>
    </row>
    <row r="6938" spans="3:59" x14ac:dyDescent="0.35">
      <c r="C6938">
        <v>45875</v>
      </c>
      <c r="F6938" t="s">
        <v>754</v>
      </c>
      <c r="N6938">
        <v>1</v>
      </c>
      <c r="O6938" t="s">
        <v>239</v>
      </c>
      <c r="P6938" t="s">
        <v>514</v>
      </c>
      <c r="Y6938">
        <v>681</v>
      </c>
      <c r="Z6938" s="259" t="s">
        <v>659</v>
      </c>
      <c r="AZ6938" t="s">
        <v>1473</v>
      </c>
      <c r="BA6938">
        <v>78.5</v>
      </c>
      <c r="BB6938" t="s">
        <v>564</v>
      </c>
      <c r="BC6938" t="s">
        <v>793</v>
      </c>
      <c r="BD6938">
        <v>0</v>
      </c>
      <c r="BE6938">
        <v>46302</v>
      </c>
      <c r="BF6938" t="s">
        <v>588</v>
      </c>
      <c r="BG6938">
        <v>0</v>
      </c>
    </row>
    <row r="6939" spans="3:59" x14ac:dyDescent="0.35">
      <c r="C6939">
        <v>45876</v>
      </c>
      <c r="F6939" t="s">
        <v>754</v>
      </c>
      <c r="N6939">
        <v>1</v>
      </c>
      <c r="O6939" t="s">
        <v>239</v>
      </c>
      <c r="P6939" t="s">
        <v>514</v>
      </c>
      <c r="Y6939">
        <v>682</v>
      </c>
      <c r="Z6939" s="259" t="s">
        <v>659</v>
      </c>
      <c r="AZ6939" t="s">
        <v>1474</v>
      </c>
      <c r="BA6939">
        <v>78.8</v>
      </c>
      <c r="BB6939" t="s">
        <v>564</v>
      </c>
      <c r="BC6939" t="s">
        <v>793</v>
      </c>
      <c r="BD6939">
        <v>0</v>
      </c>
      <c r="BE6939">
        <v>46302</v>
      </c>
      <c r="BF6939" t="s">
        <v>588</v>
      </c>
      <c r="BG6939">
        <v>0</v>
      </c>
    </row>
    <row r="6940" spans="3:59" x14ac:dyDescent="0.35">
      <c r="C6940">
        <v>45877</v>
      </c>
      <c r="F6940" t="s">
        <v>754</v>
      </c>
      <c r="N6940">
        <v>1</v>
      </c>
      <c r="O6940" t="s">
        <v>239</v>
      </c>
      <c r="P6940" t="s">
        <v>514</v>
      </c>
      <c r="Y6940">
        <v>683</v>
      </c>
      <c r="Z6940" s="259" t="s">
        <v>659</v>
      </c>
      <c r="AZ6940" t="s">
        <v>1475</v>
      </c>
      <c r="BA6940">
        <v>79.099999999999994</v>
      </c>
      <c r="BB6940" t="s">
        <v>564</v>
      </c>
      <c r="BC6940" t="s">
        <v>793</v>
      </c>
      <c r="BD6940">
        <v>0</v>
      </c>
      <c r="BE6940">
        <v>46302</v>
      </c>
      <c r="BF6940" t="s">
        <v>588</v>
      </c>
      <c r="BG6940">
        <v>0</v>
      </c>
    </row>
    <row r="6941" spans="3:59" x14ac:dyDescent="0.35">
      <c r="C6941">
        <v>45880</v>
      </c>
      <c r="F6941" t="s">
        <v>754</v>
      </c>
      <c r="N6941">
        <v>1</v>
      </c>
      <c r="O6941" t="s">
        <v>239</v>
      </c>
      <c r="P6941" t="s">
        <v>514</v>
      </c>
      <c r="Y6941">
        <v>684</v>
      </c>
      <c r="Z6941" s="259" t="s">
        <v>659</v>
      </c>
      <c r="AZ6941" t="s">
        <v>1476</v>
      </c>
      <c r="BA6941">
        <v>80</v>
      </c>
      <c r="BB6941" t="s">
        <v>564</v>
      </c>
      <c r="BC6941" t="s">
        <v>793</v>
      </c>
      <c r="BD6941">
        <v>0</v>
      </c>
      <c r="BE6941">
        <v>46302</v>
      </c>
      <c r="BF6941" t="s">
        <v>588</v>
      </c>
      <c r="BG6941">
        <v>0</v>
      </c>
    </row>
    <row r="6942" spans="3:59" x14ac:dyDescent="0.35">
      <c r="C6942">
        <v>45881</v>
      </c>
      <c r="F6942" t="s">
        <v>754</v>
      </c>
      <c r="N6942">
        <v>1</v>
      </c>
      <c r="O6942" t="s">
        <v>239</v>
      </c>
      <c r="P6942" t="s">
        <v>514</v>
      </c>
      <c r="Y6942">
        <v>685</v>
      </c>
      <c r="Z6942" s="259" t="s">
        <v>659</v>
      </c>
      <c r="AZ6942" t="s">
        <v>1477</v>
      </c>
      <c r="BA6942">
        <v>80.3</v>
      </c>
      <c r="BB6942" t="s">
        <v>564</v>
      </c>
      <c r="BC6942" t="s">
        <v>793</v>
      </c>
      <c r="BD6942">
        <v>0</v>
      </c>
      <c r="BE6942">
        <v>46302</v>
      </c>
      <c r="BF6942" t="s">
        <v>588</v>
      </c>
      <c r="BG6942">
        <v>0</v>
      </c>
    </row>
    <row r="6943" spans="3:59" x14ac:dyDescent="0.35">
      <c r="C6943">
        <v>45882</v>
      </c>
      <c r="F6943" t="s">
        <v>754</v>
      </c>
      <c r="N6943">
        <v>1</v>
      </c>
      <c r="O6943" t="s">
        <v>239</v>
      </c>
      <c r="P6943" t="s">
        <v>514</v>
      </c>
      <c r="Y6943">
        <v>686</v>
      </c>
      <c r="Z6943" s="259" t="s">
        <v>659</v>
      </c>
      <c r="AZ6943" t="s">
        <v>1478</v>
      </c>
      <c r="BA6943">
        <v>80.599999999999994</v>
      </c>
      <c r="BB6943" t="s">
        <v>564</v>
      </c>
      <c r="BC6943" t="s">
        <v>793</v>
      </c>
      <c r="BD6943">
        <v>0</v>
      </c>
      <c r="BE6943">
        <v>46302</v>
      </c>
      <c r="BF6943" t="s">
        <v>588</v>
      </c>
      <c r="BG6943">
        <v>0</v>
      </c>
    </row>
    <row r="6944" spans="3:59" x14ac:dyDescent="0.35">
      <c r="C6944">
        <v>45883</v>
      </c>
      <c r="F6944" t="s">
        <v>754</v>
      </c>
      <c r="N6944">
        <v>1</v>
      </c>
      <c r="O6944" t="s">
        <v>239</v>
      </c>
      <c r="P6944" t="s">
        <v>514</v>
      </c>
      <c r="Y6944">
        <v>687</v>
      </c>
      <c r="Z6944" s="259" t="s">
        <v>659</v>
      </c>
      <c r="AZ6944" t="s">
        <v>1479</v>
      </c>
      <c r="BA6944">
        <v>80.900000000000006</v>
      </c>
      <c r="BB6944" t="s">
        <v>564</v>
      </c>
      <c r="BC6944" t="s">
        <v>793</v>
      </c>
      <c r="BD6944">
        <v>0</v>
      </c>
      <c r="BE6944">
        <v>46302</v>
      </c>
      <c r="BF6944" t="s">
        <v>588</v>
      </c>
      <c r="BG6944">
        <v>0</v>
      </c>
    </row>
    <row r="6945" spans="3:59" x14ac:dyDescent="0.35">
      <c r="C6945">
        <v>45884</v>
      </c>
      <c r="F6945" t="s">
        <v>754</v>
      </c>
      <c r="N6945">
        <v>1</v>
      </c>
      <c r="O6945" t="s">
        <v>239</v>
      </c>
      <c r="P6945" t="s">
        <v>514</v>
      </c>
      <c r="Y6945">
        <v>688</v>
      </c>
      <c r="Z6945" s="259" t="s">
        <v>659</v>
      </c>
      <c r="AZ6945" t="s">
        <v>1480</v>
      </c>
      <c r="BA6945">
        <v>81.2</v>
      </c>
      <c r="BB6945" t="s">
        <v>564</v>
      </c>
      <c r="BC6945" t="s">
        <v>793</v>
      </c>
      <c r="BD6945">
        <v>0</v>
      </c>
      <c r="BE6945">
        <v>46302</v>
      </c>
      <c r="BF6945" t="s">
        <v>588</v>
      </c>
      <c r="BG6945">
        <v>0</v>
      </c>
    </row>
    <row r="6946" spans="3:59" x14ac:dyDescent="0.35">
      <c r="C6946">
        <v>45887</v>
      </c>
      <c r="F6946" t="s">
        <v>754</v>
      </c>
      <c r="N6946">
        <v>1</v>
      </c>
      <c r="O6946" t="s">
        <v>239</v>
      </c>
      <c r="P6946" t="s">
        <v>514</v>
      </c>
      <c r="Y6946">
        <v>689</v>
      </c>
      <c r="Z6946" s="259" t="s">
        <v>659</v>
      </c>
      <c r="AZ6946" t="s">
        <v>1481</v>
      </c>
      <c r="BA6946">
        <v>82.1</v>
      </c>
      <c r="BB6946" t="s">
        <v>564</v>
      </c>
      <c r="BC6946" t="s">
        <v>793</v>
      </c>
      <c r="BD6946">
        <v>0</v>
      </c>
      <c r="BE6946">
        <v>46302</v>
      </c>
      <c r="BF6946" t="s">
        <v>588</v>
      </c>
      <c r="BG6946">
        <v>0</v>
      </c>
    </row>
    <row r="6947" spans="3:59" x14ac:dyDescent="0.35">
      <c r="C6947">
        <v>45888</v>
      </c>
      <c r="F6947" t="s">
        <v>754</v>
      </c>
      <c r="N6947">
        <v>1</v>
      </c>
      <c r="O6947" t="s">
        <v>239</v>
      </c>
      <c r="P6947" t="s">
        <v>514</v>
      </c>
      <c r="Y6947">
        <v>690</v>
      </c>
      <c r="Z6947" s="259" t="s">
        <v>659</v>
      </c>
      <c r="AZ6947" t="s">
        <v>1482</v>
      </c>
      <c r="BA6947">
        <v>82.4</v>
      </c>
      <c r="BB6947" t="s">
        <v>564</v>
      </c>
      <c r="BC6947" t="s">
        <v>793</v>
      </c>
      <c r="BD6947">
        <v>0</v>
      </c>
      <c r="BE6947">
        <v>46302</v>
      </c>
      <c r="BF6947" t="s">
        <v>588</v>
      </c>
      <c r="BG6947">
        <v>0</v>
      </c>
    </row>
    <row r="6948" spans="3:59" x14ac:dyDescent="0.35">
      <c r="C6948">
        <v>45889</v>
      </c>
      <c r="F6948" t="s">
        <v>754</v>
      </c>
      <c r="N6948">
        <v>1</v>
      </c>
      <c r="O6948" t="s">
        <v>239</v>
      </c>
      <c r="P6948" t="s">
        <v>514</v>
      </c>
      <c r="Y6948">
        <v>691</v>
      </c>
      <c r="Z6948" s="259" t="s">
        <v>659</v>
      </c>
      <c r="AZ6948" t="s">
        <v>1483</v>
      </c>
      <c r="BA6948">
        <v>82.7</v>
      </c>
      <c r="BB6948" t="s">
        <v>564</v>
      </c>
      <c r="BC6948" t="s">
        <v>793</v>
      </c>
      <c r="BD6948">
        <v>0</v>
      </c>
      <c r="BE6948">
        <v>46302</v>
      </c>
      <c r="BF6948" t="s">
        <v>588</v>
      </c>
      <c r="BG6948">
        <v>0</v>
      </c>
    </row>
    <row r="6949" spans="3:59" x14ac:dyDescent="0.35">
      <c r="C6949">
        <v>45890</v>
      </c>
      <c r="F6949" t="s">
        <v>754</v>
      </c>
      <c r="N6949">
        <v>1</v>
      </c>
      <c r="O6949" t="s">
        <v>239</v>
      </c>
      <c r="P6949" t="s">
        <v>514</v>
      </c>
      <c r="Y6949">
        <v>692</v>
      </c>
      <c r="Z6949" s="259" t="s">
        <v>659</v>
      </c>
      <c r="AZ6949" t="s">
        <v>1484</v>
      </c>
      <c r="BA6949">
        <v>83</v>
      </c>
      <c r="BB6949" t="s">
        <v>564</v>
      </c>
      <c r="BC6949" t="s">
        <v>793</v>
      </c>
      <c r="BD6949">
        <v>0</v>
      </c>
      <c r="BE6949">
        <v>46302</v>
      </c>
      <c r="BF6949" t="s">
        <v>588</v>
      </c>
      <c r="BG6949">
        <v>0</v>
      </c>
    </row>
    <row r="6950" spans="3:59" x14ac:dyDescent="0.35">
      <c r="C6950">
        <v>45891</v>
      </c>
      <c r="F6950" t="s">
        <v>754</v>
      </c>
      <c r="N6950">
        <v>1</v>
      </c>
      <c r="O6950" t="s">
        <v>239</v>
      </c>
      <c r="P6950" t="s">
        <v>514</v>
      </c>
      <c r="Y6950">
        <v>693</v>
      </c>
      <c r="Z6950" s="259" t="s">
        <v>659</v>
      </c>
      <c r="AZ6950" t="s">
        <v>1485</v>
      </c>
      <c r="BA6950">
        <v>83.3</v>
      </c>
      <c r="BB6950" t="s">
        <v>564</v>
      </c>
      <c r="BC6950" t="s">
        <v>793</v>
      </c>
      <c r="BD6950">
        <v>0</v>
      </c>
      <c r="BE6950">
        <v>46302</v>
      </c>
      <c r="BF6950" t="s">
        <v>588</v>
      </c>
      <c r="BG6950">
        <v>0</v>
      </c>
    </row>
    <row r="6951" spans="3:59" x14ac:dyDescent="0.35">
      <c r="C6951">
        <v>45894</v>
      </c>
      <c r="F6951" t="s">
        <v>754</v>
      </c>
      <c r="N6951">
        <v>1</v>
      </c>
      <c r="O6951" t="s">
        <v>239</v>
      </c>
      <c r="P6951" t="s">
        <v>514</v>
      </c>
      <c r="Y6951">
        <v>694</v>
      </c>
      <c r="Z6951" s="259" t="s">
        <v>659</v>
      </c>
      <c r="AZ6951" t="s">
        <v>1486</v>
      </c>
      <c r="BA6951">
        <v>84.2</v>
      </c>
      <c r="BB6951" t="s">
        <v>564</v>
      </c>
      <c r="BC6951" t="s">
        <v>793</v>
      </c>
      <c r="BD6951">
        <v>0</v>
      </c>
      <c r="BE6951">
        <v>46302</v>
      </c>
      <c r="BF6951" t="s">
        <v>588</v>
      </c>
      <c r="BG6951">
        <v>0</v>
      </c>
    </row>
    <row r="6952" spans="3:59" x14ac:dyDescent="0.35">
      <c r="C6952">
        <v>45895</v>
      </c>
      <c r="F6952" t="s">
        <v>754</v>
      </c>
      <c r="N6952">
        <v>1</v>
      </c>
      <c r="O6952" t="s">
        <v>239</v>
      </c>
      <c r="P6952" t="s">
        <v>514</v>
      </c>
      <c r="Y6952">
        <v>695</v>
      </c>
      <c r="Z6952" s="259" t="s">
        <v>659</v>
      </c>
      <c r="AZ6952" t="s">
        <v>1487</v>
      </c>
      <c r="BA6952">
        <v>84.5</v>
      </c>
      <c r="BB6952" t="s">
        <v>564</v>
      </c>
      <c r="BC6952" t="s">
        <v>793</v>
      </c>
      <c r="BD6952">
        <v>0</v>
      </c>
      <c r="BE6952">
        <v>46302</v>
      </c>
      <c r="BF6952" t="s">
        <v>588</v>
      </c>
      <c r="BG6952">
        <v>0</v>
      </c>
    </row>
    <row r="6953" spans="3:59" x14ac:dyDescent="0.35">
      <c r="C6953">
        <v>45896</v>
      </c>
      <c r="F6953" t="s">
        <v>754</v>
      </c>
      <c r="N6953">
        <v>1</v>
      </c>
      <c r="O6953" t="s">
        <v>239</v>
      </c>
      <c r="P6953" t="s">
        <v>514</v>
      </c>
      <c r="Y6953">
        <v>696</v>
      </c>
      <c r="Z6953" s="259" t="s">
        <v>659</v>
      </c>
      <c r="AZ6953" t="s">
        <v>1488</v>
      </c>
      <c r="BA6953">
        <v>84.8</v>
      </c>
      <c r="BB6953" t="s">
        <v>564</v>
      </c>
      <c r="BC6953" t="s">
        <v>793</v>
      </c>
      <c r="BD6953">
        <v>0</v>
      </c>
      <c r="BE6953">
        <v>46302</v>
      </c>
      <c r="BF6953" t="s">
        <v>588</v>
      </c>
      <c r="BG6953">
        <v>0</v>
      </c>
    </row>
    <row r="6954" spans="3:59" x14ac:dyDescent="0.35">
      <c r="C6954">
        <v>45897</v>
      </c>
      <c r="F6954" t="s">
        <v>754</v>
      </c>
      <c r="N6954">
        <v>1</v>
      </c>
      <c r="O6954" t="s">
        <v>239</v>
      </c>
      <c r="P6954" t="s">
        <v>514</v>
      </c>
      <c r="Y6954">
        <v>697</v>
      </c>
      <c r="Z6954" s="259" t="s">
        <v>659</v>
      </c>
      <c r="AZ6954" t="s">
        <v>1489</v>
      </c>
      <c r="BA6954">
        <v>85.1</v>
      </c>
      <c r="BB6954" t="s">
        <v>564</v>
      </c>
      <c r="BC6954" t="s">
        <v>793</v>
      </c>
      <c r="BD6954">
        <v>0</v>
      </c>
      <c r="BE6954">
        <v>46302</v>
      </c>
      <c r="BF6954" t="s">
        <v>588</v>
      </c>
      <c r="BG6954">
        <v>0</v>
      </c>
    </row>
    <row r="6955" spans="3:59" x14ac:dyDescent="0.35">
      <c r="C6955">
        <v>45898</v>
      </c>
      <c r="F6955" t="s">
        <v>754</v>
      </c>
      <c r="N6955">
        <v>1</v>
      </c>
      <c r="O6955" t="s">
        <v>239</v>
      </c>
      <c r="P6955" t="s">
        <v>514</v>
      </c>
      <c r="Y6955">
        <v>698</v>
      </c>
      <c r="Z6955" s="259" t="s">
        <v>659</v>
      </c>
      <c r="AZ6955" t="s">
        <v>1490</v>
      </c>
      <c r="BA6955">
        <v>85.4</v>
      </c>
      <c r="BB6955" t="s">
        <v>564</v>
      </c>
      <c r="BC6955" t="s">
        <v>793</v>
      </c>
      <c r="BD6955">
        <v>0</v>
      </c>
      <c r="BE6955">
        <v>46302</v>
      </c>
      <c r="BF6955" t="s">
        <v>588</v>
      </c>
      <c r="BG6955">
        <v>0</v>
      </c>
    </row>
    <row r="6956" spans="3:59" x14ac:dyDescent="0.35">
      <c r="C6956">
        <v>45901</v>
      </c>
      <c r="F6956" t="s">
        <v>754</v>
      </c>
      <c r="N6956">
        <v>1</v>
      </c>
      <c r="O6956" t="s">
        <v>239</v>
      </c>
      <c r="P6956" t="s">
        <v>514</v>
      </c>
      <c r="Y6956">
        <v>699</v>
      </c>
      <c r="Z6956" s="259" t="s">
        <v>659</v>
      </c>
      <c r="AZ6956" t="s">
        <v>1491</v>
      </c>
      <c r="BA6956">
        <v>86</v>
      </c>
      <c r="BB6956" t="s">
        <v>564</v>
      </c>
      <c r="BC6956" t="s">
        <v>793</v>
      </c>
      <c r="BD6956">
        <v>0</v>
      </c>
      <c r="BE6956">
        <v>46302</v>
      </c>
      <c r="BF6956" t="s">
        <v>588</v>
      </c>
      <c r="BG6956">
        <v>0</v>
      </c>
    </row>
    <row r="6957" spans="3:59" x14ac:dyDescent="0.35">
      <c r="C6957">
        <v>45902</v>
      </c>
      <c r="F6957" t="s">
        <v>754</v>
      </c>
      <c r="N6957">
        <v>1</v>
      </c>
      <c r="O6957" t="s">
        <v>239</v>
      </c>
      <c r="P6957" t="s">
        <v>514</v>
      </c>
      <c r="Y6957">
        <v>700</v>
      </c>
      <c r="Z6957" s="259" t="s">
        <v>659</v>
      </c>
      <c r="AZ6957" t="s">
        <v>1492</v>
      </c>
      <c r="BA6957">
        <v>85.86</v>
      </c>
      <c r="BB6957" t="s">
        <v>564</v>
      </c>
      <c r="BC6957" t="s">
        <v>793</v>
      </c>
      <c r="BD6957">
        <v>0</v>
      </c>
      <c r="BE6957">
        <v>46302</v>
      </c>
      <c r="BF6957" t="s">
        <v>588</v>
      </c>
      <c r="BG6957">
        <v>0</v>
      </c>
    </row>
    <row r="6958" spans="3:59" x14ac:dyDescent="0.35">
      <c r="C6958">
        <v>45903</v>
      </c>
      <c r="F6958" t="s">
        <v>754</v>
      </c>
      <c r="N6958">
        <v>1</v>
      </c>
      <c r="O6958" t="s">
        <v>239</v>
      </c>
      <c r="P6958" t="s">
        <v>514</v>
      </c>
      <c r="Y6958">
        <v>701</v>
      </c>
      <c r="Z6958" s="259" t="s">
        <v>659</v>
      </c>
      <c r="AZ6958" t="s">
        <v>1493</v>
      </c>
      <c r="BA6958">
        <v>85.72</v>
      </c>
      <c r="BB6958" t="s">
        <v>564</v>
      </c>
      <c r="BC6958" t="s">
        <v>793</v>
      </c>
      <c r="BD6958">
        <v>0</v>
      </c>
      <c r="BE6958">
        <v>46302</v>
      </c>
      <c r="BF6958" t="s">
        <v>588</v>
      </c>
      <c r="BG6958">
        <v>0</v>
      </c>
    </row>
    <row r="6959" spans="3:59" x14ac:dyDescent="0.35">
      <c r="C6959">
        <v>45904</v>
      </c>
      <c r="F6959" t="s">
        <v>754</v>
      </c>
      <c r="N6959">
        <v>1</v>
      </c>
      <c r="O6959" t="s">
        <v>239</v>
      </c>
      <c r="P6959" t="s">
        <v>514</v>
      </c>
      <c r="Y6959">
        <v>702</v>
      </c>
      <c r="Z6959" s="259" t="s">
        <v>659</v>
      </c>
      <c r="AZ6959" t="s">
        <v>1494</v>
      </c>
      <c r="BA6959">
        <v>85.59</v>
      </c>
      <c r="BB6959" t="s">
        <v>564</v>
      </c>
      <c r="BC6959" t="s">
        <v>793</v>
      </c>
      <c r="BD6959">
        <v>0</v>
      </c>
      <c r="BE6959">
        <v>46302</v>
      </c>
      <c r="BF6959" t="s">
        <v>588</v>
      </c>
      <c r="BG6959">
        <v>0</v>
      </c>
    </row>
    <row r="6960" spans="3:59" x14ac:dyDescent="0.35">
      <c r="C6960">
        <v>45905</v>
      </c>
      <c r="F6960" t="s">
        <v>754</v>
      </c>
      <c r="N6960">
        <v>1</v>
      </c>
      <c r="O6960" t="s">
        <v>239</v>
      </c>
      <c r="P6960" t="s">
        <v>514</v>
      </c>
      <c r="Y6960">
        <v>703</v>
      </c>
      <c r="Z6960" s="259" t="s">
        <v>659</v>
      </c>
      <c r="AZ6960" t="s">
        <v>1495</v>
      </c>
      <c r="BA6960">
        <v>85.45</v>
      </c>
      <c r="BB6960" t="s">
        <v>564</v>
      </c>
      <c r="BC6960" t="s">
        <v>793</v>
      </c>
      <c r="BD6960">
        <v>0</v>
      </c>
      <c r="BE6960">
        <v>46302</v>
      </c>
      <c r="BF6960" t="s">
        <v>588</v>
      </c>
      <c r="BG6960">
        <v>0</v>
      </c>
    </row>
    <row r="6961" spans="3:59" x14ac:dyDescent="0.35">
      <c r="C6961">
        <v>45908</v>
      </c>
      <c r="F6961" t="s">
        <v>754</v>
      </c>
      <c r="N6961">
        <v>1</v>
      </c>
      <c r="O6961" t="s">
        <v>239</v>
      </c>
      <c r="P6961" t="s">
        <v>514</v>
      </c>
      <c r="Y6961">
        <v>704</v>
      </c>
      <c r="Z6961" s="259" t="s">
        <v>659</v>
      </c>
      <c r="AZ6961" t="s">
        <v>1496</v>
      </c>
      <c r="BA6961">
        <v>85.03</v>
      </c>
      <c r="BB6961" t="s">
        <v>564</v>
      </c>
      <c r="BC6961" t="s">
        <v>793</v>
      </c>
      <c r="BD6961">
        <v>0</v>
      </c>
      <c r="BE6961">
        <v>46302</v>
      </c>
      <c r="BF6961" t="s">
        <v>588</v>
      </c>
      <c r="BG6961">
        <v>0</v>
      </c>
    </row>
    <row r="6962" spans="3:59" x14ac:dyDescent="0.35">
      <c r="C6962">
        <v>45909</v>
      </c>
      <c r="F6962" t="s">
        <v>754</v>
      </c>
      <c r="N6962">
        <v>1</v>
      </c>
      <c r="O6962" t="s">
        <v>239</v>
      </c>
      <c r="P6962" t="s">
        <v>514</v>
      </c>
      <c r="Y6962">
        <v>705</v>
      </c>
      <c r="Z6962" s="259" t="s">
        <v>659</v>
      </c>
      <c r="AZ6962" t="s">
        <v>1497</v>
      </c>
      <c r="BA6962">
        <v>84.9</v>
      </c>
      <c r="BB6962" t="s">
        <v>564</v>
      </c>
      <c r="BC6962" t="s">
        <v>793</v>
      </c>
      <c r="BD6962">
        <v>0</v>
      </c>
      <c r="BE6962">
        <v>46302</v>
      </c>
      <c r="BF6962" t="s">
        <v>588</v>
      </c>
      <c r="BG6962">
        <v>0</v>
      </c>
    </row>
    <row r="6963" spans="3:59" x14ac:dyDescent="0.35">
      <c r="C6963">
        <v>45910</v>
      </c>
      <c r="F6963" t="s">
        <v>754</v>
      </c>
      <c r="N6963">
        <v>1</v>
      </c>
      <c r="O6963" t="s">
        <v>239</v>
      </c>
      <c r="P6963" t="s">
        <v>514</v>
      </c>
      <c r="Y6963">
        <v>706</v>
      </c>
      <c r="Z6963" s="259" t="s">
        <v>659</v>
      </c>
      <c r="AZ6963" t="s">
        <v>1498</v>
      </c>
      <c r="BA6963">
        <v>84.76</v>
      </c>
      <c r="BB6963" t="s">
        <v>564</v>
      </c>
      <c r="BC6963" t="s">
        <v>793</v>
      </c>
      <c r="BD6963">
        <v>0</v>
      </c>
      <c r="BE6963">
        <v>46302</v>
      </c>
      <c r="BF6963" t="s">
        <v>588</v>
      </c>
      <c r="BG6963">
        <v>0</v>
      </c>
    </row>
    <row r="6964" spans="3:59" x14ac:dyDescent="0.35">
      <c r="C6964">
        <v>45911</v>
      </c>
      <c r="F6964" t="s">
        <v>754</v>
      </c>
      <c r="N6964">
        <v>1</v>
      </c>
      <c r="O6964" t="s">
        <v>239</v>
      </c>
      <c r="P6964" t="s">
        <v>514</v>
      </c>
      <c r="Y6964">
        <v>707</v>
      </c>
      <c r="Z6964" s="259" t="s">
        <v>659</v>
      </c>
      <c r="AZ6964" t="s">
        <v>1499</v>
      </c>
      <c r="BA6964">
        <v>84.62</v>
      </c>
      <c r="BB6964" t="s">
        <v>564</v>
      </c>
      <c r="BC6964" t="s">
        <v>793</v>
      </c>
      <c r="BD6964">
        <v>0</v>
      </c>
      <c r="BE6964">
        <v>46302</v>
      </c>
      <c r="BF6964" t="s">
        <v>588</v>
      </c>
      <c r="BG6964">
        <v>0</v>
      </c>
    </row>
    <row r="6965" spans="3:59" x14ac:dyDescent="0.35">
      <c r="C6965">
        <v>45912</v>
      </c>
      <c r="F6965" t="s">
        <v>754</v>
      </c>
      <c r="N6965">
        <v>1</v>
      </c>
      <c r="O6965" t="s">
        <v>239</v>
      </c>
      <c r="P6965" t="s">
        <v>514</v>
      </c>
      <c r="Y6965">
        <v>708</v>
      </c>
      <c r="Z6965" s="259" t="s">
        <v>659</v>
      </c>
      <c r="AZ6965" t="s">
        <v>1500</v>
      </c>
      <c r="BA6965">
        <v>84.48</v>
      </c>
      <c r="BB6965" t="s">
        <v>564</v>
      </c>
      <c r="BC6965" t="s">
        <v>793</v>
      </c>
      <c r="BD6965">
        <v>0</v>
      </c>
      <c r="BE6965">
        <v>46302</v>
      </c>
      <c r="BF6965" t="s">
        <v>588</v>
      </c>
      <c r="BG6965">
        <v>0</v>
      </c>
    </row>
    <row r="6966" spans="3:59" x14ac:dyDescent="0.35">
      <c r="C6966">
        <v>45915</v>
      </c>
      <c r="F6966" t="s">
        <v>754</v>
      </c>
      <c r="N6966">
        <v>1</v>
      </c>
      <c r="O6966" t="s">
        <v>239</v>
      </c>
      <c r="P6966" t="s">
        <v>514</v>
      </c>
      <c r="Y6966">
        <v>709</v>
      </c>
      <c r="Z6966" s="259" t="s">
        <v>659</v>
      </c>
      <c r="AZ6966" t="s">
        <v>1501</v>
      </c>
      <c r="BA6966">
        <v>84.07</v>
      </c>
      <c r="BB6966" t="s">
        <v>564</v>
      </c>
      <c r="BC6966" t="s">
        <v>793</v>
      </c>
      <c r="BD6966">
        <v>0</v>
      </c>
      <c r="BE6966">
        <v>46302</v>
      </c>
      <c r="BF6966" t="s">
        <v>588</v>
      </c>
      <c r="BG6966">
        <v>0</v>
      </c>
    </row>
    <row r="6967" spans="3:59" x14ac:dyDescent="0.35">
      <c r="C6967">
        <v>45916</v>
      </c>
      <c r="F6967" t="s">
        <v>754</v>
      </c>
      <c r="N6967">
        <v>1</v>
      </c>
      <c r="O6967" t="s">
        <v>239</v>
      </c>
      <c r="P6967" t="s">
        <v>514</v>
      </c>
      <c r="Y6967">
        <v>710</v>
      </c>
      <c r="Z6967" s="259" t="s">
        <v>659</v>
      </c>
      <c r="AZ6967" t="s">
        <v>1502</v>
      </c>
      <c r="BA6967">
        <v>83.93</v>
      </c>
      <c r="BB6967" t="s">
        <v>564</v>
      </c>
      <c r="BC6967" t="s">
        <v>793</v>
      </c>
      <c r="BD6967">
        <v>0</v>
      </c>
      <c r="BE6967">
        <v>46302</v>
      </c>
      <c r="BF6967" t="s">
        <v>588</v>
      </c>
      <c r="BG6967">
        <v>0</v>
      </c>
    </row>
    <row r="6968" spans="3:59" x14ac:dyDescent="0.35">
      <c r="C6968">
        <v>45917</v>
      </c>
      <c r="F6968" t="s">
        <v>754</v>
      </c>
      <c r="N6968">
        <v>1</v>
      </c>
      <c r="O6968" t="s">
        <v>239</v>
      </c>
      <c r="P6968" t="s">
        <v>514</v>
      </c>
      <c r="Y6968">
        <v>711</v>
      </c>
      <c r="Z6968" s="259" t="s">
        <v>659</v>
      </c>
      <c r="AZ6968" t="s">
        <v>1503</v>
      </c>
      <c r="BA6968">
        <v>83.79</v>
      </c>
      <c r="BB6968" t="s">
        <v>564</v>
      </c>
      <c r="BC6968" t="s">
        <v>793</v>
      </c>
      <c r="BD6968">
        <v>0</v>
      </c>
      <c r="BE6968">
        <v>46302</v>
      </c>
      <c r="BF6968" t="s">
        <v>588</v>
      </c>
      <c r="BG6968">
        <v>0</v>
      </c>
    </row>
    <row r="6969" spans="3:59" x14ac:dyDescent="0.35">
      <c r="C6969">
        <v>45918</v>
      </c>
      <c r="F6969" t="s">
        <v>754</v>
      </c>
      <c r="N6969">
        <v>1</v>
      </c>
      <c r="O6969" t="s">
        <v>239</v>
      </c>
      <c r="P6969" t="s">
        <v>514</v>
      </c>
      <c r="Y6969">
        <v>712</v>
      </c>
      <c r="Z6969" s="259" t="s">
        <v>659</v>
      </c>
      <c r="AZ6969" t="s">
        <v>1504</v>
      </c>
      <c r="BA6969">
        <v>83.66</v>
      </c>
      <c r="BB6969" t="s">
        <v>564</v>
      </c>
      <c r="BC6969" t="s">
        <v>793</v>
      </c>
      <c r="BD6969">
        <v>0</v>
      </c>
      <c r="BE6969">
        <v>46302</v>
      </c>
      <c r="BF6969" t="s">
        <v>588</v>
      </c>
      <c r="BG6969">
        <v>0</v>
      </c>
    </row>
    <row r="6970" spans="3:59" x14ac:dyDescent="0.35">
      <c r="C6970">
        <v>45919</v>
      </c>
      <c r="F6970" t="s">
        <v>754</v>
      </c>
      <c r="N6970">
        <v>1</v>
      </c>
      <c r="O6970" t="s">
        <v>239</v>
      </c>
      <c r="P6970" t="s">
        <v>514</v>
      </c>
      <c r="Y6970">
        <v>713</v>
      </c>
      <c r="Z6970" s="259" t="s">
        <v>659</v>
      </c>
      <c r="AZ6970" t="s">
        <v>1505</v>
      </c>
      <c r="BA6970">
        <v>83.52</v>
      </c>
      <c r="BB6970" t="s">
        <v>564</v>
      </c>
      <c r="BC6970" t="s">
        <v>793</v>
      </c>
      <c r="BD6970">
        <v>0</v>
      </c>
      <c r="BE6970">
        <v>46302</v>
      </c>
      <c r="BF6970" t="s">
        <v>588</v>
      </c>
      <c r="BG6970">
        <v>0</v>
      </c>
    </row>
    <row r="6971" spans="3:59" x14ac:dyDescent="0.35">
      <c r="C6971">
        <v>45922</v>
      </c>
      <c r="F6971" t="s">
        <v>754</v>
      </c>
      <c r="N6971">
        <v>1</v>
      </c>
      <c r="O6971" t="s">
        <v>239</v>
      </c>
      <c r="P6971" t="s">
        <v>514</v>
      </c>
      <c r="Y6971">
        <v>714</v>
      </c>
      <c r="Z6971" s="259" t="s">
        <v>659</v>
      </c>
      <c r="AZ6971" t="s">
        <v>1506</v>
      </c>
      <c r="BA6971">
        <v>83.1</v>
      </c>
      <c r="BB6971" t="s">
        <v>564</v>
      </c>
      <c r="BC6971" t="s">
        <v>793</v>
      </c>
      <c r="BD6971">
        <v>0</v>
      </c>
      <c r="BE6971">
        <v>46302</v>
      </c>
      <c r="BF6971" t="s">
        <v>588</v>
      </c>
      <c r="BG6971">
        <v>0</v>
      </c>
    </row>
    <row r="6972" spans="3:59" x14ac:dyDescent="0.35">
      <c r="C6972">
        <v>45923</v>
      </c>
      <c r="F6972" t="s">
        <v>754</v>
      </c>
      <c r="N6972">
        <v>1</v>
      </c>
      <c r="O6972" t="s">
        <v>239</v>
      </c>
      <c r="P6972" t="s">
        <v>514</v>
      </c>
      <c r="Y6972">
        <v>715</v>
      </c>
      <c r="Z6972" s="259" t="s">
        <v>659</v>
      </c>
      <c r="AZ6972" t="s">
        <v>1507</v>
      </c>
      <c r="BA6972">
        <v>82.97</v>
      </c>
      <c r="BB6972" t="s">
        <v>564</v>
      </c>
      <c r="BC6972" t="s">
        <v>793</v>
      </c>
      <c r="BD6972">
        <v>0</v>
      </c>
      <c r="BE6972">
        <v>46302</v>
      </c>
      <c r="BF6972" t="s">
        <v>588</v>
      </c>
      <c r="BG6972">
        <v>0</v>
      </c>
    </row>
    <row r="6973" spans="3:59" x14ac:dyDescent="0.35">
      <c r="C6973">
        <v>45924</v>
      </c>
      <c r="F6973" t="s">
        <v>754</v>
      </c>
      <c r="N6973">
        <v>1</v>
      </c>
      <c r="O6973" t="s">
        <v>239</v>
      </c>
      <c r="P6973" t="s">
        <v>514</v>
      </c>
      <c r="Y6973">
        <v>716</v>
      </c>
      <c r="Z6973" s="259" t="s">
        <v>659</v>
      </c>
      <c r="AZ6973" t="s">
        <v>1508</v>
      </c>
      <c r="BA6973">
        <v>82.83</v>
      </c>
      <c r="BB6973" t="s">
        <v>564</v>
      </c>
      <c r="BC6973" t="s">
        <v>793</v>
      </c>
      <c r="BD6973">
        <v>0</v>
      </c>
      <c r="BE6973">
        <v>46302</v>
      </c>
      <c r="BF6973" t="s">
        <v>588</v>
      </c>
      <c r="BG6973">
        <v>0</v>
      </c>
    </row>
    <row r="6974" spans="3:59" x14ac:dyDescent="0.35">
      <c r="C6974">
        <v>45925</v>
      </c>
      <c r="F6974" t="s">
        <v>754</v>
      </c>
      <c r="N6974">
        <v>1</v>
      </c>
      <c r="O6974" t="s">
        <v>239</v>
      </c>
      <c r="P6974" t="s">
        <v>514</v>
      </c>
      <c r="Y6974">
        <v>717</v>
      </c>
      <c r="Z6974" s="259" t="s">
        <v>659</v>
      </c>
      <c r="AZ6974" t="s">
        <v>1509</v>
      </c>
      <c r="BA6974">
        <v>82.69</v>
      </c>
      <c r="BB6974" t="s">
        <v>564</v>
      </c>
      <c r="BC6974" t="s">
        <v>793</v>
      </c>
      <c r="BD6974">
        <v>0</v>
      </c>
      <c r="BE6974">
        <v>46302</v>
      </c>
      <c r="BF6974" t="s">
        <v>588</v>
      </c>
      <c r="BG6974">
        <v>0</v>
      </c>
    </row>
    <row r="6975" spans="3:59" x14ac:dyDescent="0.35">
      <c r="C6975">
        <v>45926</v>
      </c>
      <c r="F6975" t="s">
        <v>754</v>
      </c>
      <c r="N6975">
        <v>1</v>
      </c>
      <c r="O6975" t="s">
        <v>239</v>
      </c>
      <c r="P6975" t="s">
        <v>514</v>
      </c>
      <c r="Y6975">
        <v>718</v>
      </c>
      <c r="Z6975" s="259" t="s">
        <v>659</v>
      </c>
      <c r="AZ6975" t="s">
        <v>1510</v>
      </c>
      <c r="BA6975">
        <v>82.55</v>
      </c>
      <c r="BB6975" t="s">
        <v>564</v>
      </c>
      <c r="BC6975" t="s">
        <v>793</v>
      </c>
      <c r="BD6975">
        <v>0</v>
      </c>
      <c r="BE6975">
        <v>46302</v>
      </c>
      <c r="BF6975" t="s">
        <v>588</v>
      </c>
      <c r="BG6975">
        <v>0</v>
      </c>
    </row>
    <row r="6976" spans="3:59" x14ac:dyDescent="0.35">
      <c r="C6976">
        <v>45929</v>
      </c>
      <c r="F6976" t="s">
        <v>754</v>
      </c>
      <c r="N6976">
        <v>1</v>
      </c>
      <c r="O6976" t="s">
        <v>239</v>
      </c>
      <c r="P6976" t="s">
        <v>514</v>
      </c>
      <c r="Y6976">
        <v>719</v>
      </c>
      <c r="Z6976" s="259" t="s">
        <v>659</v>
      </c>
      <c r="AZ6976" t="s">
        <v>1511</v>
      </c>
      <c r="BA6976">
        <v>82.14</v>
      </c>
      <c r="BB6976" t="s">
        <v>564</v>
      </c>
      <c r="BC6976" t="s">
        <v>793</v>
      </c>
      <c r="BD6976">
        <v>0</v>
      </c>
      <c r="BE6976">
        <v>46302</v>
      </c>
      <c r="BF6976" t="s">
        <v>588</v>
      </c>
      <c r="BG6976">
        <v>0</v>
      </c>
    </row>
    <row r="6977" spans="3:59" x14ac:dyDescent="0.35">
      <c r="C6977">
        <v>45930</v>
      </c>
      <c r="F6977" t="s">
        <v>754</v>
      </c>
      <c r="N6977">
        <v>1</v>
      </c>
      <c r="O6977" t="s">
        <v>239</v>
      </c>
      <c r="P6977" t="s">
        <v>514</v>
      </c>
      <c r="Y6977">
        <v>720</v>
      </c>
      <c r="Z6977" s="259" t="s">
        <v>659</v>
      </c>
      <c r="AZ6977" t="s">
        <v>1512</v>
      </c>
      <c r="BA6977">
        <v>82</v>
      </c>
      <c r="BB6977" t="s">
        <v>564</v>
      </c>
      <c r="BC6977" t="s">
        <v>793</v>
      </c>
      <c r="BD6977">
        <v>0</v>
      </c>
      <c r="BE6977">
        <v>46302</v>
      </c>
      <c r="BF6977" t="s">
        <v>588</v>
      </c>
      <c r="BG6977">
        <v>0</v>
      </c>
    </row>
    <row r="6978" spans="3:59" x14ac:dyDescent="0.35">
      <c r="C6978">
        <v>45931</v>
      </c>
      <c r="F6978" t="s">
        <v>754</v>
      </c>
      <c r="N6978">
        <v>1</v>
      </c>
      <c r="O6978" t="s">
        <v>239</v>
      </c>
      <c r="P6978" t="s">
        <v>514</v>
      </c>
      <c r="Y6978">
        <v>721</v>
      </c>
      <c r="Z6978" s="259" t="s">
        <v>659</v>
      </c>
      <c r="AZ6978" t="s">
        <v>1513</v>
      </c>
      <c r="BA6978">
        <v>82</v>
      </c>
      <c r="BB6978" t="s">
        <v>564</v>
      </c>
      <c r="BC6978" t="s">
        <v>793</v>
      </c>
      <c r="BD6978">
        <v>0</v>
      </c>
      <c r="BE6978">
        <v>46302</v>
      </c>
      <c r="BF6978" t="s">
        <v>588</v>
      </c>
      <c r="BG6978">
        <v>0</v>
      </c>
    </row>
    <row r="6979" spans="3:59" x14ac:dyDescent="0.35">
      <c r="C6979">
        <v>45932</v>
      </c>
      <c r="F6979" t="s">
        <v>754</v>
      </c>
      <c r="N6979">
        <v>1</v>
      </c>
      <c r="O6979" t="s">
        <v>239</v>
      </c>
      <c r="P6979" t="s">
        <v>514</v>
      </c>
      <c r="Y6979">
        <v>722</v>
      </c>
      <c r="Z6979" s="259" t="s">
        <v>659</v>
      </c>
      <c r="AZ6979" t="s">
        <v>1514</v>
      </c>
      <c r="BA6979">
        <v>81.83</v>
      </c>
      <c r="BB6979" t="s">
        <v>564</v>
      </c>
      <c r="BC6979" t="s">
        <v>793</v>
      </c>
      <c r="BD6979">
        <v>0</v>
      </c>
      <c r="BE6979">
        <v>46302</v>
      </c>
      <c r="BF6979" t="s">
        <v>588</v>
      </c>
      <c r="BG6979">
        <v>0</v>
      </c>
    </row>
    <row r="6980" spans="3:59" x14ac:dyDescent="0.35">
      <c r="C6980">
        <v>45933</v>
      </c>
      <c r="F6980" t="s">
        <v>754</v>
      </c>
      <c r="N6980">
        <v>1</v>
      </c>
      <c r="O6980" t="s">
        <v>239</v>
      </c>
      <c r="P6980" t="s">
        <v>514</v>
      </c>
      <c r="Y6980">
        <v>723</v>
      </c>
      <c r="Z6980" s="259" t="s">
        <v>659</v>
      </c>
      <c r="AZ6980" t="s">
        <v>1515</v>
      </c>
      <c r="BA6980">
        <v>81.67</v>
      </c>
      <c r="BB6980" t="s">
        <v>564</v>
      </c>
      <c r="BC6980" t="s">
        <v>793</v>
      </c>
      <c r="BD6980">
        <v>0</v>
      </c>
      <c r="BE6980">
        <v>46302</v>
      </c>
      <c r="BF6980" t="s">
        <v>588</v>
      </c>
      <c r="BG6980">
        <v>0</v>
      </c>
    </row>
    <row r="6981" spans="3:59" x14ac:dyDescent="0.35">
      <c r="C6981">
        <v>45936</v>
      </c>
      <c r="F6981" t="s">
        <v>754</v>
      </c>
      <c r="N6981">
        <v>1</v>
      </c>
      <c r="O6981" t="s">
        <v>239</v>
      </c>
      <c r="P6981" t="s">
        <v>514</v>
      </c>
      <c r="Y6981">
        <v>724</v>
      </c>
      <c r="Z6981" s="259" t="s">
        <v>659</v>
      </c>
      <c r="AZ6981" t="s">
        <v>1516</v>
      </c>
      <c r="BA6981">
        <v>81.17</v>
      </c>
      <c r="BB6981" t="s">
        <v>564</v>
      </c>
      <c r="BC6981" t="s">
        <v>793</v>
      </c>
      <c r="BD6981">
        <v>0</v>
      </c>
      <c r="BE6981">
        <v>46302</v>
      </c>
      <c r="BF6981" t="s">
        <v>588</v>
      </c>
      <c r="BG6981">
        <v>0</v>
      </c>
    </row>
    <row r="6982" spans="3:59" x14ac:dyDescent="0.35">
      <c r="C6982">
        <v>45937</v>
      </c>
      <c r="F6982" t="s">
        <v>754</v>
      </c>
      <c r="N6982">
        <v>1</v>
      </c>
      <c r="O6982" t="s">
        <v>239</v>
      </c>
      <c r="P6982" t="s">
        <v>514</v>
      </c>
      <c r="Y6982">
        <v>725</v>
      </c>
      <c r="Z6982" s="259" t="s">
        <v>659</v>
      </c>
      <c r="AZ6982" t="s">
        <v>1517</v>
      </c>
      <c r="BA6982">
        <v>81</v>
      </c>
      <c r="BB6982" t="s">
        <v>564</v>
      </c>
      <c r="BC6982" t="s">
        <v>793</v>
      </c>
      <c r="BD6982">
        <v>0</v>
      </c>
      <c r="BE6982">
        <v>46302</v>
      </c>
      <c r="BF6982" t="s">
        <v>588</v>
      </c>
      <c r="BG6982">
        <v>0</v>
      </c>
    </row>
    <row r="6983" spans="3:59" x14ac:dyDescent="0.35">
      <c r="C6983">
        <v>45938</v>
      </c>
      <c r="F6983" t="s">
        <v>754</v>
      </c>
      <c r="N6983">
        <v>1</v>
      </c>
      <c r="O6983" t="s">
        <v>239</v>
      </c>
      <c r="P6983" t="s">
        <v>514</v>
      </c>
      <c r="Y6983">
        <v>726</v>
      </c>
      <c r="Z6983" s="259" t="s">
        <v>659</v>
      </c>
      <c r="AZ6983" t="s">
        <v>1518</v>
      </c>
      <c r="BA6983">
        <v>80.83</v>
      </c>
      <c r="BB6983" t="s">
        <v>564</v>
      </c>
      <c r="BC6983" t="s">
        <v>793</v>
      </c>
      <c r="BD6983">
        <v>0</v>
      </c>
      <c r="BE6983">
        <v>46302</v>
      </c>
      <c r="BF6983" t="s">
        <v>588</v>
      </c>
      <c r="BG6983">
        <v>0</v>
      </c>
    </row>
    <row r="6984" spans="3:59" x14ac:dyDescent="0.35">
      <c r="C6984">
        <v>45939</v>
      </c>
      <c r="F6984" t="s">
        <v>754</v>
      </c>
      <c r="N6984">
        <v>1</v>
      </c>
      <c r="O6984" t="s">
        <v>239</v>
      </c>
      <c r="P6984" t="s">
        <v>514</v>
      </c>
      <c r="Y6984">
        <v>727</v>
      </c>
      <c r="Z6984" s="259" t="s">
        <v>659</v>
      </c>
      <c r="AZ6984" t="s">
        <v>1519</v>
      </c>
      <c r="BA6984">
        <v>80.67</v>
      </c>
      <c r="BB6984" t="s">
        <v>564</v>
      </c>
      <c r="BC6984" t="s">
        <v>793</v>
      </c>
      <c r="BD6984">
        <v>0</v>
      </c>
      <c r="BE6984">
        <v>46302</v>
      </c>
      <c r="BF6984" t="s">
        <v>588</v>
      </c>
      <c r="BG6984">
        <v>0</v>
      </c>
    </row>
    <row r="6985" spans="3:59" x14ac:dyDescent="0.35">
      <c r="C6985">
        <v>45940</v>
      </c>
      <c r="F6985" t="s">
        <v>754</v>
      </c>
      <c r="N6985">
        <v>1</v>
      </c>
      <c r="O6985" t="s">
        <v>239</v>
      </c>
      <c r="P6985" t="s">
        <v>514</v>
      </c>
      <c r="Y6985">
        <v>728</v>
      </c>
      <c r="Z6985" s="259" t="s">
        <v>659</v>
      </c>
      <c r="AZ6985" t="s">
        <v>1520</v>
      </c>
      <c r="BA6985">
        <v>80.5</v>
      </c>
      <c r="BB6985" t="s">
        <v>564</v>
      </c>
      <c r="BC6985" t="s">
        <v>793</v>
      </c>
      <c r="BD6985">
        <v>0</v>
      </c>
      <c r="BE6985">
        <v>46302</v>
      </c>
      <c r="BF6985" t="s">
        <v>588</v>
      </c>
      <c r="BG6985">
        <v>0</v>
      </c>
    </row>
    <row r="6986" spans="3:59" x14ac:dyDescent="0.35">
      <c r="C6986">
        <v>45943</v>
      </c>
      <c r="F6986" t="s">
        <v>754</v>
      </c>
      <c r="N6986">
        <v>1</v>
      </c>
      <c r="O6986" t="s">
        <v>239</v>
      </c>
      <c r="P6986" t="s">
        <v>514</v>
      </c>
      <c r="Y6986">
        <v>729</v>
      </c>
      <c r="Z6986" s="259" t="s">
        <v>659</v>
      </c>
      <c r="AZ6986" t="s">
        <v>1521</v>
      </c>
      <c r="BA6986">
        <v>80</v>
      </c>
      <c r="BB6986" t="s">
        <v>564</v>
      </c>
      <c r="BC6986" t="s">
        <v>793</v>
      </c>
      <c r="BD6986">
        <v>0</v>
      </c>
      <c r="BE6986">
        <v>46302</v>
      </c>
      <c r="BF6986" t="s">
        <v>588</v>
      </c>
      <c r="BG6986">
        <v>0</v>
      </c>
    </row>
    <row r="6987" spans="3:59" x14ac:dyDescent="0.35">
      <c r="C6987">
        <v>45944</v>
      </c>
      <c r="F6987" t="s">
        <v>754</v>
      </c>
      <c r="N6987">
        <v>1</v>
      </c>
      <c r="O6987" t="s">
        <v>239</v>
      </c>
      <c r="P6987" t="s">
        <v>514</v>
      </c>
      <c r="Y6987">
        <v>730</v>
      </c>
      <c r="Z6987" s="259" t="s">
        <v>659</v>
      </c>
      <c r="AZ6987" t="s">
        <v>1522</v>
      </c>
      <c r="BA6987">
        <v>79.83</v>
      </c>
      <c r="BB6987" t="s">
        <v>564</v>
      </c>
      <c r="BC6987" t="s">
        <v>793</v>
      </c>
      <c r="BD6987">
        <v>0</v>
      </c>
      <c r="BE6987">
        <v>46302</v>
      </c>
      <c r="BF6987" t="s">
        <v>588</v>
      </c>
      <c r="BG6987">
        <v>0</v>
      </c>
    </row>
    <row r="6988" spans="3:59" x14ac:dyDescent="0.35">
      <c r="C6988">
        <v>45945</v>
      </c>
      <c r="F6988" t="s">
        <v>754</v>
      </c>
      <c r="N6988">
        <v>1</v>
      </c>
      <c r="O6988" t="s">
        <v>239</v>
      </c>
      <c r="P6988" t="s">
        <v>514</v>
      </c>
      <c r="Y6988">
        <v>731</v>
      </c>
      <c r="Z6988" s="259" t="s">
        <v>659</v>
      </c>
      <c r="AZ6988" t="s">
        <v>1523</v>
      </c>
      <c r="BA6988">
        <v>79.67</v>
      </c>
      <c r="BB6988" t="s">
        <v>564</v>
      </c>
      <c r="BC6988" t="s">
        <v>793</v>
      </c>
      <c r="BD6988">
        <v>0</v>
      </c>
      <c r="BE6988">
        <v>46302</v>
      </c>
      <c r="BF6988" t="s">
        <v>588</v>
      </c>
      <c r="BG6988">
        <v>0</v>
      </c>
    </row>
    <row r="6989" spans="3:59" x14ac:dyDescent="0.35">
      <c r="C6989">
        <v>45946</v>
      </c>
      <c r="F6989" t="s">
        <v>754</v>
      </c>
      <c r="N6989">
        <v>1</v>
      </c>
      <c r="O6989" t="s">
        <v>239</v>
      </c>
      <c r="P6989" t="s">
        <v>514</v>
      </c>
      <c r="Y6989">
        <v>732</v>
      </c>
      <c r="Z6989" s="259" t="s">
        <v>659</v>
      </c>
      <c r="AZ6989" t="s">
        <v>1524</v>
      </c>
      <c r="BA6989">
        <v>79.5</v>
      </c>
      <c r="BB6989" t="s">
        <v>564</v>
      </c>
      <c r="BC6989" t="s">
        <v>793</v>
      </c>
      <c r="BD6989">
        <v>0</v>
      </c>
      <c r="BE6989">
        <v>46302</v>
      </c>
      <c r="BF6989" t="s">
        <v>588</v>
      </c>
      <c r="BG6989">
        <v>0</v>
      </c>
    </row>
    <row r="6990" spans="3:59" x14ac:dyDescent="0.35">
      <c r="C6990">
        <v>45947</v>
      </c>
      <c r="F6990" t="s">
        <v>754</v>
      </c>
      <c r="N6990">
        <v>1</v>
      </c>
      <c r="O6990" t="s">
        <v>239</v>
      </c>
      <c r="P6990" t="s">
        <v>514</v>
      </c>
      <c r="Y6990">
        <v>733</v>
      </c>
      <c r="Z6990" s="259" t="s">
        <v>659</v>
      </c>
      <c r="AZ6990" t="s">
        <v>1525</v>
      </c>
      <c r="BA6990">
        <v>79.33</v>
      </c>
      <c r="BB6990" t="s">
        <v>564</v>
      </c>
      <c r="BC6990" t="s">
        <v>793</v>
      </c>
      <c r="BD6990">
        <v>0</v>
      </c>
      <c r="BE6990">
        <v>46302</v>
      </c>
      <c r="BF6990" t="s">
        <v>588</v>
      </c>
      <c r="BG6990">
        <v>0</v>
      </c>
    </row>
    <row r="6991" spans="3:59" x14ac:dyDescent="0.35">
      <c r="C6991">
        <v>45950</v>
      </c>
      <c r="F6991" t="s">
        <v>754</v>
      </c>
      <c r="N6991">
        <v>1</v>
      </c>
      <c r="O6991" t="s">
        <v>239</v>
      </c>
      <c r="P6991" t="s">
        <v>514</v>
      </c>
      <c r="Y6991">
        <v>734</v>
      </c>
      <c r="Z6991" s="259" t="s">
        <v>659</v>
      </c>
      <c r="AZ6991" t="s">
        <v>1526</v>
      </c>
      <c r="BA6991">
        <v>78.83</v>
      </c>
      <c r="BB6991" t="s">
        <v>564</v>
      </c>
      <c r="BC6991" t="s">
        <v>793</v>
      </c>
      <c r="BD6991">
        <v>0</v>
      </c>
      <c r="BE6991">
        <v>46302</v>
      </c>
      <c r="BF6991" t="s">
        <v>588</v>
      </c>
      <c r="BG6991">
        <v>0</v>
      </c>
    </row>
    <row r="6992" spans="3:59" x14ac:dyDescent="0.35">
      <c r="C6992">
        <v>45951</v>
      </c>
      <c r="F6992" t="s">
        <v>754</v>
      </c>
      <c r="N6992">
        <v>1</v>
      </c>
      <c r="O6992" t="s">
        <v>239</v>
      </c>
      <c r="P6992" t="s">
        <v>514</v>
      </c>
      <c r="Y6992">
        <v>735</v>
      </c>
      <c r="Z6992" s="259" t="s">
        <v>659</v>
      </c>
      <c r="AZ6992" t="s">
        <v>1527</v>
      </c>
      <c r="BA6992">
        <v>78.67</v>
      </c>
      <c r="BB6992" t="s">
        <v>564</v>
      </c>
      <c r="BC6992" t="s">
        <v>793</v>
      </c>
      <c r="BD6992">
        <v>0</v>
      </c>
      <c r="BE6992">
        <v>46302</v>
      </c>
      <c r="BF6992" t="s">
        <v>588</v>
      </c>
      <c r="BG6992">
        <v>0</v>
      </c>
    </row>
    <row r="6993" spans="3:59" x14ac:dyDescent="0.35">
      <c r="C6993">
        <v>45952</v>
      </c>
      <c r="F6993" t="s">
        <v>754</v>
      </c>
      <c r="N6993">
        <v>1</v>
      </c>
      <c r="O6993" t="s">
        <v>239</v>
      </c>
      <c r="P6993" t="s">
        <v>514</v>
      </c>
      <c r="Y6993">
        <v>736</v>
      </c>
      <c r="Z6993" s="259" t="s">
        <v>659</v>
      </c>
      <c r="AZ6993" t="s">
        <v>1528</v>
      </c>
      <c r="BA6993">
        <v>78.5</v>
      </c>
      <c r="BB6993" t="s">
        <v>564</v>
      </c>
      <c r="BC6993" t="s">
        <v>793</v>
      </c>
      <c r="BD6993">
        <v>0</v>
      </c>
      <c r="BE6993">
        <v>46302</v>
      </c>
      <c r="BF6993" t="s">
        <v>588</v>
      </c>
      <c r="BG6993">
        <v>0</v>
      </c>
    </row>
    <row r="6994" spans="3:59" x14ac:dyDescent="0.35">
      <c r="C6994">
        <v>45953</v>
      </c>
      <c r="F6994" t="s">
        <v>754</v>
      </c>
      <c r="N6994">
        <v>1</v>
      </c>
      <c r="O6994" t="s">
        <v>239</v>
      </c>
      <c r="P6994" t="s">
        <v>514</v>
      </c>
      <c r="Y6994">
        <v>737</v>
      </c>
      <c r="Z6994" s="259" t="s">
        <v>659</v>
      </c>
      <c r="AZ6994" t="s">
        <v>1529</v>
      </c>
      <c r="BA6994">
        <v>78.33</v>
      </c>
      <c r="BB6994" t="s">
        <v>564</v>
      </c>
      <c r="BC6994" t="s">
        <v>793</v>
      </c>
      <c r="BD6994">
        <v>0</v>
      </c>
      <c r="BE6994">
        <v>46302</v>
      </c>
      <c r="BF6994" t="s">
        <v>588</v>
      </c>
      <c r="BG6994">
        <v>0</v>
      </c>
    </row>
    <row r="6995" spans="3:59" x14ac:dyDescent="0.35">
      <c r="C6995">
        <v>45954</v>
      </c>
      <c r="F6995" t="s">
        <v>754</v>
      </c>
      <c r="N6995">
        <v>1</v>
      </c>
      <c r="O6995" t="s">
        <v>239</v>
      </c>
      <c r="P6995" t="s">
        <v>514</v>
      </c>
      <c r="Y6995">
        <v>738</v>
      </c>
      <c r="Z6995" s="259" t="s">
        <v>659</v>
      </c>
      <c r="AZ6995" t="s">
        <v>1530</v>
      </c>
      <c r="BA6995">
        <v>78.17</v>
      </c>
      <c r="BB6995" t="s">
        <v>564</v>
      </c>
      <c r="BC6995" t="s">
        <v>793</v>
      </c>
      <c r="BD6995">
        <v>0</v>
      </c>
      <c r="BE6995">
        <v>46302</v>
      </c>
      <c r="BF6995" t="s">
        <v>588</v>
      </c>
      <c r="BG6995">
        <v>0</v>
      </c>
    </row>
    <row r="6996" spans="3:59" x14ac:dyDescent="0.35">
      <c r="C6996">
        <v>45957</v>
      </c>
      <c r="F6996" t="s">
        <v>754</v>
      </c>
      <c r="N6996">
        <v>1</v>
      </c>
      <c r="O6996" t="s">
        <v>239</v>
      </c>
      <c r="P6996" t="s">
        <v>514</v>
      </c>
      <c r="Y6996">
        <v>739</v>
      </c>
      <c r="Z6996" s="259" t="s">
        <v>659</v>
      </c>
      <c r="AZ6996" t="s">
        <v>1531</v>
      </c>
      <c r="BA6996">
        <v>77.67</v>
      </c>
      <c r="BB6996" t="s">
        <v>564</v>
      </c>
      <c r="BC6996" t="s">
        <v>793</v>
      </c>
      <c r="BD6996">
        <v>0</v>
      </c>
      <c r="BE6996">
        <v>46302</v>
      </c>
      <c r="BF6996" t="s">
        <v>588</v>
      </c>
      <c r="BG6996">
        <v>0</v>
      </c>
    </row>
    <row r="6997" spans="3:59" x14ac:dyDescent="0.35">
      <c r="C6997">
        <v>45958</v>
      </c>
      <c r="F6997" t="s">
        <v>754</v>
      </c>
      <c r="N6997">
        <v>1</v>
      </c>
      <c r="O6997" t="s">
        <v>239</v>
      </c>
      <c r="P6997" t="s">
        <v>514</v>
      </c>
      <c r="Y6997">
        <v>740</v>
      </c>
      <c r="Z6997" s="259" t="s">
        <v>659</v>
      </c>
      <c r="AZ6997" t="s">
        <v>1532</v>
      </c>
      <c r="BA6997">
        <v>77.5</v>
      </c>
      <c r="BB6997" t="s">
        <v>564</v>
      </c>
      <c r="BC6997" t="s">
        <v>793</v>
      </c>
      <c r="BD6997">
        <v>0</v>
      </c>
      <c r="BE6997">
        <v>46302</v>
      </c>
      <c r="BF6997" t="s">
        <v>588</v>
      </c>
      <c r="BG6997">
        <v>0</v>
      </c>
    </row>
    <row r="6998" spans="3:59" x14ac:dyDescent="0.35">
      <c r="C6998">
        <v>45959</v>
      </c>
      <c r="F6998" t="s">
        <v>754</v>
      </c>
      <c r="N6998">
        <v>1</v>
      </c>
      <c r="O6998" t="s">
        <v>239</v>
      </c>
      <c r="P6998" t="s">
        <v>514</v>
      </c>
      <c r="Y6998">
        <v>741</v>
      </c>
      <c r="Z6998" s="259" t="s">
        <v>659</v>
      </c>
      <c r="AZ6998" t="s">
        <v>1533</v>
      </c>
      <c r="BA6998">
        <v>77.33</v>
      </c>
      <c r="BB6998" t="s">
        <v>564</v>
      </c>
      <c r="BC6998" t="s">
        <v>793</v>
      </c>
      <c r="BD6998">
        <v>0</v>
      </c>
      <c r="BE6998">
        <v>46302</v>
      </c>
      <c r="BF6998" t="s">
        <v>588</v>
      </c>
      <c r="BG6998">
        <v>0</v>
      </c>
    </row>
    <row r="6999" spans="3:59" x14ac:dyDescent="0.35">
      <c r="C6999">
        <v>45960</v>
      </c>
      <c r="F6999" t="s">
        <v>754</v>
      </c>
      <c r="N6999">
        <v>1</v>
      </c>
      <c r="O6999" t="s">
        <v>239</v>
      </c>
      <c r="P6999" t="s">
        <v>514</v>
      </c>
      <c r="Y6999">
        <v>742</v>
      </c>
      <c r="Z6999" s="259" t="s">
        <v>659</v>
      </c>
      <c r="AZ6999" t="s">
        <v>1534</v>
      </c>
      <c r="BA6999">
        <v>77.17</v>
      </c>
      <c r="BB6999" t="s">
        <v>564</v>
      </c>
      <c r="BC6999" t="s">
        <v>793</v>
      </c>
      <c r="BD6999">
        <v>0</v>
      </c>
      <c r="BE6999">
        <v>46302</v>
      </c>
      <c r="BF6999" t="s">
        <v>588</v>
      </c>
      <c r="BG6999">
        <v>0</v>
      </c>
    </row>
    <row r="7000" spans="3:59" x14ac:dyDescent="0.35">
      <c r="C7000">
        <v>45961</v>
      </c>
      <c r="F7000" t="s">
        <v>754</v>
      </c>
      <c r="N7000">
        <v>1</v>
      </c>
      <c r="O7000" t="s">
        <v>239</v>
      </c>
      <c r="P7000" t="s">
        <v>514</v>
      </c>
      <c r="Y7000">
        <v>743</v>
      </c>
      <c r="Z7000" s="259" t="s">
        <v>659</v>
      </c>
      <c r="AZ7000" t="s">
        <v>1535</v>
      </c>
      <c r="BA7000">
        <v>77</v>
      </c>
      <c r="BB7000" t="s">
        <v>564</v>
      </c>
      <c r="BC7000" t="s">
        <v>793</v>
      </c>
      <c r="BD7000">
        <v>0</v>
      </c>
      <c r="BE7000">
        <v>46302</v>
      </c>
      <c r="BF7000" t="s">
        <v>588</v>
      </c>
      <c r="BG7000">
        <v>0</v>
      </c>
    </row>
    <row r="7001" spans="3:59" x14ac:dyDescent="0.35">
      <c r="C7001">
        <v>45964</v>
      </c>
      <c r="F7001" t="s">
        <v>754</v>
      </c>
      <c r="N7001">
        <v>1</v>
      </c>
      <c r="O7001" t="s">
        <v>239</v>
      </c>
      <c r="P7001" t="s">
        <v>514</v>
      </c>
      <c r="Y7001">
        <v>744</v>
      </c>
      <c r="Z7001" s="259" t="s">
        <v>659</v>
      </c>
      <c r="AZ7001" t="s">
        <v>1536</v>
      </c>
      <c r="BA7001">
        <v>76.010000000000005</v>
      </c>
      <c r="BB7001" t="s">
        <v>564</v>
      </c>
      <c r="BC7001" t="s">
        <v>793</v>
      </c>
      <c r="BD7001">
        <v>0</v>
      </c>
      <c r="BE7001">
        <v>46302</v>
      </c>
      <c r="BF7001" t="s">
        <v>588</v>
      </c>
      <c r="BG7001">
        <v>0</v>
      </c>
    </row>
    <row r="7002" spans="3:59" x14ac:dyDescent="0.35">
      <c r="C7002">
        <v>45965</v>
      </c>
      <c r="F7002" t="s">
        <v>754</v>
      </c>
      <c r="N7002">
        <v>1</v>
      </c>
      <c r="O7002" t="s">
        <v>239</v>
      </c>
      <c r="P7002" t="s">
        <v>514</v>
      </c>
      <c r="Y7002">
        <v>745</v>
      </c>
      <c r="Z7002" s="259" t="s">
        <v>659</v>
      </c>
      <c r="AZ7002" t="s">
        <v>1537</v>
      </c>
      <c r="BA7002">
        <v>76.11</v>
      </c>
      <c r="BB7002" t="s">
        <v>564</v>
      </c>
      <c r="BC7002" t="s">
        <v>793</v>
      </c>
      <c r="BD7002">
        <v>0</v>
      </c>
      <c r="BE7002">
        <v>46302</v>
      </c>
      <c r="BF7002" t="s">
        <v>588</v>
      </c>
      <c r="BG7002">
        <v>0</v>
      </c>
    </row>
    <row r="7003" spans="3:59" x14ac:dyDescent="0.35">
      <c r="C7003">
        <v>45966</v>
      </c>
      <c r="F7003" t="s">
        <v>754</v>
      </c>
      <c r="N7003">
        <v>1</v>
      </c>
      <c r="O7003" t="s">
        <v>239</v>
      </c>
      <c r="P7003" t="s">
        <v>514</v>
      </c>
      <c r="Y7003">
        <v>746</v>
      </c>
      <c r="Z7003" s="259" t="s">
        <v>659</v>
      </c>
      <c r="AZ7003" t="s">
        <v>1538</v>
      </c>
      <c r="BA7003">
        <v>76.209999999999994</v>
      </c>
      <c r="BB7003" t="s">
        <v>564</v>
      </c>
      <c r="BC7003" t="s">
        <v>793</v>
      </c>
      <c r="BD7003">
        <v>0</v>
      </c>
      <c r="BE7003">
        <v>46302</v>
      </c>
      <c r="BF7003" t="s">
        <v>588</v>
      </c>
      <c r="BG7003">
        <v>0</v>
      </c>
    </row>
    <row r="7004" spans="3:59" x14ac:dyDescent="0.35">
      <c r="C7004">
        <v>45967</v>
      </c>
      <c r="F7004" t="s">
        <v>754</v>
      </c>
      <c r="N7004">
        <v>1</v>
      </c>
      <c r="O7004" t="s">
        <v>239</v>
      </c>
      <c r="P7004" t="s">
        <v>514</v>
      </c>
      <c r="Y7004">
        <v>747</v>
      </c>
      <c r="Z7004" s="259" t="s">
        <v>659</v>
      </c>
      <c r="AZ7004" t="s">
        <v>1539</v>
      </c>
      <c r="BA7004">
        <v>76.319999999999993</v>
      </c>
      <c r="BB7004" t="s">
        <v>564</v>
      </c>
      <c r="BC7004" t="s">
        <v>793</v>
      </c>
      <c r="BD7004">
        <v>0</v>
      </c>
      <c r="BE7004">
        <v>46302</v>
      </c>
      <c r="BF7004" t="s">
        <v>588</v>
      </c>
      <c r="BG7004">
        <v>0</v>
      </c>
    </row>
    <row r="7005" spans="3:59" x14ac:dyDescent="0.35">
      <c r="C7005">
        <v>45968</v>
      </c>
      <c r="F7005" t="s">
        <v>754</v>
      </c>
      <c r="N7005">
        <v>1</v>
      </c>
      <c r="O7005" t="s">
        <v>239</v>
      </c>
      <c r="P7005" t="s">
        <v>514</v>
      </c>
      <c r="Y7005">
        <v>748</v>
      </c>
      <c r="Z7005" s="259" t="s">
        <v>659</v>
      </c>
      <c r="AZ7005" t="s">
        <v>1540</v>
      </c>
      <c r="BA7005">
        <v>76.42</v>
      </c>
      <c r="BB7005" t="s">
        <v>564</v>
      </c>
      <c r="BC7005" t="s">
        <v>793</v>
      </c>
      <c r="BD7005">
        <v>0</v>
      </c>
      <c r="BE7005">
        <v>46302</v>
      </c>
      <c r="BF7005" t="s">
        <v>588</v>
      </c>
      <c r="BG7005">
        <v>0</v>
      </c>
    </row>
    <row r="7006" spans="3:59" x14ac:dyDescent="0.35">
      <c r="C7006">
        <v>45971</v>
      </c>
      <c r="F7006" t="s">
        <v>754</v>
      </c>
      <c r="N7006">
        <v>1</v>
      </c>
      <c r="O7006" t="s">
        <v>239</v>
      </c>
      <c r="P7006" t="s">
        <v>514</v>
      </c>
      <c r="Y7006">
        <v>749</v>
      </c>
      <c r="Z7006" s="259" t="s">
        <v>659</v>
      </c>
      <c r="AZ7006" t="s">
        <v>1541</v>
      </c>
      <c r="BA7006">
        <v>76.73</v>
      </c>
      <c r="BB7006" t="s">
        <v>564</v>
      </c>
      <c r="BC7006" t="s">
        <v>793</v>
      </c>
      <c r="BD7006">
        <v>0</v>
      </c>
      <c r="BE7006">
        <v>46302</v>
      </c>
      <c r="BF7006" t="s">
        <v>588</v>
      </c>
      <c r="BG7006">
        <v>0</v>
      </c>
    </row>
    <row r="7007" spans="3:59" x14ac:dyDescent="0.35">
      <c r="C7007">
        <v>45972</v>
      </c>
      <c r="F7007" t="s">
        <v>754</v>
      </c>
      <c r="N7007">
        <v>1</v>
      </c>
      <c r="O7007" t="s">
        <v>239</v>
      </c>
      <c r="P7007" t="s">
        <v>514</v>
      </c>
      <c r="Y7007">
        <v>750</v>
      </c>
      <c r="Z7007" s="259" t="s">
        <v>659</v>
      </c>
      <c r="AZ7007" t="s">
        <v>1542</v>
      </c>
      <c r="BA7007">
        <v>76.83</v>
      </c>
      <c r="BB7007" t="s">
        <v>564</v>
      </c>
      <c r="BC7007" t="s">
        <v>793</v>
      </c>
      <c r="BD7007">
        <v>0</v>
      </c>
      <c r="BE7007">
        <v>46302</v>
      </c>
      <c r="BF7007" t="s">
        <v>588</v>
      </c>
      <c r="BG7007">
        <v>0</v>
      </c>
    </row>
    <row r="7008" spans="3:59" x14ac:dyDescent="0.35">
      <c r="C7008">
        <v>45973</v>
      </c>
      <c r="F7008" t="s">
        <v>754</v>
      </c>
      <c r="N7008">
        <v>1</v>
      </c>
      <c r="O7008" t="s">
        <v>239</v>
      </c>
      <c r="P7008" t="s">
        <v>514</v>
      </c>
      <c r="Y7008">
        <v>751</v>
      </c>
      <c r="Z7008" s="259" t="s">
        <v>659</v>
      </c>
      <c r="AZ7008" t="s">
        <v>1543</v>
      </c>
      <c r="BA7008">
        <v>76.94</v>
      </c>
      <c r="BB7008" t="s">
        <v>564</v>
      </c>
      <c r="BC7008" t="s">
        <v>793</v>
      </c>
      <c r="BD7008">
        <v>0</v>
      </c>
      <c r="BE7008">
        <v>46302</v>
      </c>
      <c r="BF7008" t="s">
        <v>588</v>
      </c>
      <c r="BG7008">
        <v>0</v>
      </c>
    </row>
    <row r="7009" spans="3:59" x14ac:dyDescent="0.35">
      <c r="C7009">
        <v>45974</v>
      </c>
      <c r="F7009" t="s">
        <v>754</v>
      </c>
      <c r="N7009">
        <v>1</v>
      </c>
      <c r="O7009" t="s">
        <v>239</v>
      </c>
      <c r="P7009" t="s">
        <v>514</v>
      </c>
      <c r="Y7009">
        <v>752</v>
      </c>
      <c r="Z7009" s="259" t="s">
        <v>659</v>
      </c>
      <c r="AZ7009" t="s">
        <v>1544</v>
      </c>
      <c r="BA7009">
        <v>77.040000000000006</v>
      </c>
      <c r="BB7009" t="s">
        <v>564</v>
      </c>
      <c r="BC7009" t="s">
        <v>793</v>
      </c>
      <c r="BD7009">
        <v>0</v>
      </c>
      <c r="BE7009">
        <v>46302</v>
      </c>
      <c r="BF7009" t="s">
        <v>588</v>
      </c>
      <c r="BG7009">
        <v>0</v>
      </c>
    </row>
    <row r="7010" spans="3:59" x14ac:dyDescent="0.35">
      <c r="C7010">
        <v>45975</v>
      </c>
      <c r="F7010" t="s">
        <v>754</v>
      </c>
      <c r="N7010">
        <v>1</v>
      </c>
      <c r="O7010" t="s">
        <v>239</v>
      </c>
      <c r="P7010" t="s">
        <v>514</v>
      </c>
      <c r="Y7010">
        <v>753</v>
      </c>
      <c r="Z7010" s="259" t="s">
        <v>659</v>
      </c>
      <c r="AZ7010" t="s">
        <v>1545</v>
      </c>
      <c r="BA7010">
        <v>77.14</v>
      </c>
      <c r="BB7010" t="s">
        <v>564</v>
      </c>
      <c r="BC7010" t="s">
        <v>793</v>
      </c>
      <c r="BD7010">
        <v>0</v>
      </c>
      <c r="BE7010">
        <v>46302</v>
      </c>
      <c r="BF7010" t="s">
        <v>588</v>
      </c>
      <c r="BG7010">
        <v>0</v>
      </c>
    </row>
    <row r="7011" spans="3:59" x14ac:dyDescent="0.35">
      <c r="C7011">
        <v>45978</v>
      </c>
      <c r="F7011" t="s">
        <v>754</v>
      </c>
      <c r="N7011">
        <v>1</v>
      </c>
      <c r="O7011" t="s">
        <v>239</v>
      </c>
      <c r="P7011" t="s">
        <v>514</v>
      </c>
      <c r="Y7011">
        <v>754</v>
      </c>
      <c r="Z7011" s="259" t="s">
        <v>659</v>
      </c>
      <c r="AZ7011" t="s">
        <v>1546</v>
      </c>
      <c r="BA7011">
        <v>77.459999999999994</v>
      </c>
      <c r="BB7011" t="s">
        <v>564</v>
      </c>
      <c r="BC7011" t="s">
        <v>793</v>
      </c>
      <c r="BD7011">
        <v>0</v>
      </c>
      <c r="BE7011">
        <v>46302</v>
      </c>
      <c r="BF7011" t="s">
        <v>588</v>
      </c>
      <c r="BG7011">
        <v>0</v>
      </c>
    </row>
    <row r="7012" spans="3:59" x14ac:dyDescent="0.35">
      <c r="C7012">
        <v>45979</v>
      </c>
      <c r="F7012" t="s">
        <v>754</v>
      </c>
      <c r="N7012">
        <v>1</v>
      </c>
      <c r="O7012" t="s">
        <v>239</v>
      </c>
      <c r="P7012" t="s">
        <v>514</v>
      </c>
      <c r="Y7012">
        <v>755</v>
      </c>
      <c r="Z7012" s="259" t="s">
        <v>659</v>
      </c>
      <c r="AZ7012" t="s">
        <v>1547</v>
      </c>
      <c r="BA7012">
        <v>77.56</v>
      </c>
      <c r="BB7012" t="s">
        <v>564</v>
      </c>
      <c r="BC7012" t="s">
        <v>793</v>
      </c>
      <c r="BD7012">
        <v>0</v>
      </c>
      <c r="BE7012">
        <v>46302</v>
      </c>
      <c r="BF7012" t="s">
        <v>588</v>
      </c>
      <c r="BG7012">
        <v>0</v>
      </c>
    </row>
    <row r="7013" spans="3:59" x14ac:dyDescent="0.35">
      <c r="C7013">
        <v>45980</v>
      </c>
      <c r="F7013" t="s">
        <v>754</v>
      </c>
      <c r="N7013">
        <v>1</v>
      </c>
      <c r="O7013" t="s">
        <v>239</v>
      </c>
      <c r="P7013" t="s">
        <v>514</v>
      </c>
      <c r="Y7013">
        <v>756</v>
      </c>
      <c r="Z7013" s="259" t="s">
        <v>659</v>
      </c>
      <c r="AZ7013" t="s">
        <v>1548</v>
      </c>
      <c r="BA7013">
        <v>77.66</v>
      </c>
      <c r="BB7013" t="s">
        <v>564</v>
      </c>
      <c r="BC7013" t="s">
        <v>793</v>
      </c>
      <c r="BD7013">
        <v>0</v>
      </c>
      <c r="BE7013">
        <v>46302</v>
      </c>
      <c r="BF7013" t="s">
        <v>588</v>
      </c>
      <c r="BG7013">
        <v>0</v>
      </c>
    </row>
    <row r="7014" spans="3:59" x14ac:dyDescent="0.35">
      <c r="C7014">
        <v>45981</v>
      </c>
      <c r="F7014" t="s">
        <v>754</v>
      </c>
      <c r="N7014">
        <v>1</v>
      </c>
      <c r="O7014" t="s">
        <v>239</v>
      </c>
      <c r="P7014" t="s">
        <v>514</v>
      </c>
      <c r="Y7014">
        <v>757</v>
      </c>
      <c r="Z7014" s="259" t="s">
        <v>659</v>
      </c>
      <c r="AZ7014" t="s">
        <v>1549</v>
      </c>
      <c r="BA7014">
        <v>77.77</v>
      </c>
      <c r="BB7014" t="s">
        <v>564</v>
      </c>
      <c r="BC7014" t="s">
        <v>793</v>
      </c>
      <c r="BD7014">
        <v>0</v>
      </c>
      <c r="BE7014">
        <v>46302</v>
      </c>
      <c r="BF7014" t="s">
        <v>588</v>
      </c>
      <c r="BG7014">
        <v>0</v>
      </c>
    </row>
    <row r="7015" spans="3:59" x14ac:dyDescent="0.35">
      <c r="C7015">
        <v>45982</v>
      </c>
      <c r="F7015" t="s">
        <v>754</v>
      </c>
      <c r="N7015">
        <v>1</v>
      </c>
      <c r="O7015" t="s">
        <v>239</v>
      </c>
      <c r="P7015" t="s">
        <v>514</v>
      </c>
      <c r="Y7015">
        <v>758</v>
      </c>
      <c r="Z7015" s="259" t="s">
        <v>659</v>
      </c>
      <c r="AZ7015" t="s">
        <v>1550</v>
      </c>
      <c r="BA7015">
        <v>77.87</v>
      </c>
      <c r="BB7015" t="s">
        <v>564</v>
      </c>
      <c r="BC7015" t="s">
        <v>793</v>
      </c>
      <c r="BD7015">
        <v>0</v>
      </c>
      <c r="BE7015">
        <v>46302</v>
      </c>
      <c r="BF7015" t="s">
        <v>588</v>
      </c>
      <c r="BG7015">
        <v>0</v>
      </c>
    </row>
    <row r="7016" spans="3:59" x14ac:dyDescent="0.35">
      <c r="C7016">
        <v>45985</v>
      </c>
      <c r="F7016" t="s">
        <v>754</v>
      </c>
      <c r="N7016">
        <v>1</v>
      </c>
      <c r="O7016" t="s">
        <v>239</v>
      </c>
      <c r="P7016" t="s">
        <v>514</v>
      </c>
      <c r="Y7016">
        <v>759</v>
      </c>
      <c r="Z7016" s="259" t="s">
        <v>659</v>
      </c>
      <c r="AZ7016" t="s">
        <v>1551</v>
      </c>
      <c r="BA7016">
        <v>78.180000000000007</v>
      </c>
      <c r="BB7016" t="s">
        <v>564</v>
      </c>
      <c r="BC7016" t="s">
        <v>793</v>
      </c>
      <c r="BD7016">
        <v>0</v>
      </c>
      <c r="BE7016">
        <v>46302</v>
      </c>
      <c r="BF7016" t="s">
        <v>588</v>
      </c>
      <c r="BG7016">
        <v>0</v>
      </c>
    </row>
    <row r="7017" spans="3:59" x14ac:dyDescent="0.35">
      <c r="C7017">
        <v>45986</v>
      </c>
      <c r="F7017" t="s">
        <v>754</v>
      </c>
      <c r="N7017">
        <v>1</v>
      </c>
      <c r="O7017" t="s">
        <v>239</v>
      </c>
      <c r="P7017" t="s">
        <v>514</v>
      </c>
      <c r="Y7017">
        <v>760</v>
      </c>
      <c r="Z7017" s="259" t="s">
        <v>659</v>
      </c>
      <c r="AZ7017" t="s">
        <v>1552</v>
      </c>
      <c r="BA7017">
        <v>78.28</v>
      </c>
      <c r="BB7017" t="s">
        <v>564</v>
      </c>
      <c r="BC7017" t="s">
        <v>793</v>
      </c>
      <c r="BD7017">
        <v>0</v>
      </c>
      <c r="BE7017">
        <v>46302</v>
      </c>
      <c r="BF7017" t="s">
        <v>588</v>
      </c>
      <c r="BG7017">
        <v>0</v>
      </c>
    </row>
    <row r="7018" spans="3:59" x14ac:dyDescent="0.35">
      <c r="C7018">
        <v>45987</v>
      </c>
      <c r="F7018" t="s">
        <v>754</v>
      </c>
      <c r="N7018">
        <v>1</v>
      </c>
      <c r="O7018" t="s">
        <v>239</v>
      </c>
      <c r="P7018" t="s">
        <v>514</v>
      </c>
      <c r="Y7018">
        <v>761</v>
      </c>
      <c r="Z7018" s="259" t="s">
        <v>659</v>
      </c>
      <c r="AZ7018" t="s">
        <v>1553</v>
      </c>
      <c r="BA7018">
        <v>78.39</v>
      </c>
      <c r="BB7018" t="s">
        <v>564</v>
      </c>
      <c r="BC7018" t="s">
        <v>793</v>
      </c>
      <c r="BD7018">
        <v>0</v>
      </c>
      <c r="BE7018">
        <v>46302</v>
      </c>
      <c r="BF7018" t="s">
        <v>588</v>
      </c>
      <c r="BG7018">
        <v>0</v>
      </c>
    </row>
    <row r="7019" spans="3:59" x14ac:dyDescent="0.35">
      <c r="C7019">
        <v>45988</v>
      </c>
      <c r="F7019" t="s">
        <v>754</v>
      </c>
      <c r="N7019">
        <v>1</v>
      </c>
      <c r="O7019" t="s">
        <v>239</v>
      </c>
      <c r="P7019" t="s">
        <v>514</v>
      </c>
      <c r="Y7019">
        <v>762</v>
      </c>
      <c r="Z7019" s="259" t="s">
        <v>659</v>
      </c>
      <c r="AZ7019" t="s">
        <v>1554</v>
      </c>
      <c r="BA7019">
        <v>78.489999999999995</v>
      </c>
      <c r="BB7019" t="s">
        <v>564</v>
      </c>
      <c r="BC7019" t="s">
        <v>793</v>
      </c>
      <c r="BD7019">
        <v>0</v>
      </c>
      <c r="BE7019">
        <v>46302</v>
      </c>
      <c r="BF7019" t="s">
        <v>588</v>
      </c>
      <c r="BG7019">
        <v>0</v>
      </c>
    </row>
    <row r="7020" spans="3:59" x14ac:dyDescent="0.35">
      <c r="C7020">
        <v>45989</v>
      </c>
      <c r="F7020" t="s">
        <v>754</v>
      </c>
      <c r="N7020">
        <v>1</v>
      </c>
      <c r="O7020" t="s">
        <v>239</v>
      </c>
      <c r="P7020" t="s">
        <v>514</v>
      </c>
      <c r="Y7020">
        <v>763</v>
      </c>
      <c r="Z7020" s="259" t="s">
        <v>659</v>
      </c>
      <c r="AZ7020" t="s">
        <v>1555</v>
      </c>
      <c r="BA7020">
        <v>78.59</v>
      </c>
      <c r="BB7020" t="s">
        <v>564</v>
      </c>
      <c r="BC7020" t="s">
        <v>793</v>
      </c>
      <c r="BD7020">
        <v>0</v>
      </c>
      <c r="BE7020">
        <v>46302</v>
      </c>
      <c r="BF7020" t="s">
        <v>588</v>
      </c>
      <c r="BG7020">
        <v>0</v>
      </c>
    </row>
    <row r="7021" spans="3:59" x14ac:dyDescent="0.35">
      <c r="C7021">
        <v>45992</v>
      </c>
      <c r="F7021" t="s">
        <v>754</v>
      </c>
      <c r="N7021">
        <v>1</v>
      </c>
      <c r="O7021" t="s">
        <v>239</v>
      </c>
      <c r="P7021" t="s">
        <v>514</v>
      </c>
      <c r="Y7021">
        <v>764</v>
      </c>
      <c r="Z7021" s="259" t="s">
        <v>659</v>
      </c>
      <c r="AZ7021" t="s">
        <v>1556</v>
      </c>
      <c r="BA7021">
        <v>78.8</v>
      </c>
      <c r="BB7021" t="s">
        <v>564</v>
      </c>
      <c r="BC7021" t="s">
        <v>793</v>
      </c>
      <c r="BD7021">
        <v>0</v>
      </c>
      <c r="BE7021">
        <v>46302</v>
      </c>
      <c r="BF7021" t="s">
        <v>588</v>
      </c>
      <c r="BG7021">
        <v>0</v>
      </c>
    </row>
    <row r="7022" spans="3:59" x14ac:dyDescent="0.35">
      <c r="C7022">
        <v>45993</v>
      </c>
      <c r="F7022" t="s">
        <v>754</v>
      </c>
      <c r="N7022">
        <v>1</v>
      </c>
      <c r="O7022" t="s">
        <v>239</v>
      </c>
      <c r="P7022" t="s">
        <v>514</v>
      </c>
      <c r="Y7022">
        <v>765</v>
      </c>
      <c r="Z7022" s="259" t="s">
        <v>659</v>
      </c>
      <c r="AZ7022" t="s">
        <v>1557</v>
      </c>
      <c r="BA7022">
        <v>78.77</v>
      </c>
      <c r="BB7022" t="s">
        <v>564</v>
      </c>
      <c r="BC7022" t="s">
        <v>793</v>
      </c>
      <c r="BD7022">
        <v>0</v>
      </c>
      <c r="BE7022">
        <v>46302</v>
      </c>
      <c r="BF7022" t="s">
        <v>588</v>
      </c>
      <c r="BG7022">
        <v>0</v>
      </c>
    </row>
    <row r="7023" spans="3:59" x14ac:dyDescent="0.35">
      <c r="C7023">
        <v>45994</v>
      </c>
      <c r="F7023" t="s">
        <v>754</v>
      </c>
      <c r="N7023">
        <v>1</v>
      </c>
      <c r="O7023" t="s">
        <v>239</v>
      </c>
      <c r="P7023" t="s">
        <v>514</v>
      </c>
      <c r="Y7023">
        <v>766</v>
      </c>
      <c r="Z7023" s="259" t="s">
        <v>659</v>
      </c>
      <c r="AZ7023" t="s">
        <v>1558</v>
      </c>
      <c r="BA7023">
        <v>78.73</v>
      </c>
      <c r="BB7023" t="s">
        <v>564</v>
      </c>
      <c r="BC7023" t="s">
        <v>793</v>
      </c>
      <c r="BD7023">
        <v>0</v>
      </c>
      <c r="BE7023">
        <v>46302</v>
      </c>
      <c r="BF7023" t="s">
        <v>588</v>
      </c>
      <c r="BG7023">
        <v>0</v>
      </c>
    </row>
    <row r="7024" spans="3:59" x14ac:dyDescent="0.35">
      <c r="C7024">
        <v>45995</v>
      </c>
      <c r="F7024" t="s">
        <v>754</v>
      </c>
      <c r="N7024">
        <v>1</v>
      </c>
      <c r="O7024" t="s">
        <v>239</v>
      </c>
      <c r="P7024" t="s">
        <v>514</v>
      </c>
      <c r="Y7024">
        <v>767</v>
      </c>
      <c r="Z7024" s="259" t="s">
        <v>659</v>
      </c>
      <c r="AZ7024" t="s">
        <v>1559</v>
      </c>
      <c r="BA7024">
        <v>78.7</v>
      </c>
      <c r="BB7024" t="s">
        <v>564</v>
      </c>
      <c r="BC7024" t="s">
        <v>793</v>
      </c>
      <c r="BD7024">
        <v>0</v>
      </c>
      <c r="BE7024">
        <v>46302</v>
      </c>
      <c r="BF7024" t="s">
        <v>588</v>
      </c>
      <c r="BG7024">
        <v>0</v>
      </c>
    </row>
    <row r="7025" spans="3:59" x14ac:dyDescent="0.35">
      <c r="C7025">
        <v>45996</v>
      </c>
      <c r="F7025" t="s">
        <v>754</v>
      </c>
      <c r="N7025">
        <v>1</v>
      </c>
      <c r="O7025" t="s">
        <v>239</v>
      </c>
      <c r="P7025" t="s">
        <v>514</v>
      </c>
      <c r="Y7025">
        <v>768</v>
      </c>
      <c r="Z7025" s="259" t="s">
        <v>659</v>
      </c>
      <c r="AZ7025" t="s">
        <v>1560</v>
      </c>
      <c r="BA7025">
        <v>78.67</v>
      </c>
      <c r="BB7025" t="s">
        <v>564</v>
      </c>
      <c r="BC7025" t="s">
        <v>793</v>
      </c>
      <c r="BD7025">
        <v>0</v>
      </c>
      <c r="BE7025">
        <v>46302</v>
      </c>
      <c r="BF7025" t="s">
        <v>588</v>
      </c>
      <c r="BG7025">
        <v>0</v>
      </c>
    </row>
    <row r="7026" spans="3:59" x14ac:dyDescent="0.35">
      <c r="C7026">
        <v>45999</v>
      </c>
      <c r="F7026" t="s">
        <v>754</v>
      </c>
      <c r="N7026">
        <v>1</v>
      </c>
      <c r="O7026" t="s">
        <v>239</v>
      </c>
      <c r="P7026" t="s">
        <v>514</v>
      </c>
      <c r="Y7026">
        <v>769</v>
      </c>
      <c r="Z7026" s="259" t="s">
        <v>659</v>
      </c>
      <c r="AZ7026" t="s">
        <v>1561</v>
      </c>
      <c r="BA7026">
        <v>78.569999999999993</v>
      </c>
      <c r="BB7026" t="s">
        <v>564</v>
      </c>
      <c r="BC7026" t="s">
        <v>793</v>
      </c>
      <c r="BD7026">
        <v>0</v>
      </c>
      <c r="BE7026">
        <v>46302</v>
      </c>
      <c r="BF7026" t="s">
        <v>588</v>
      </c>
      <c r="BG7026">
        <v>0</v>
      </c>
    </row>
    <row r="7027" spans="3:59" x14ac:dyDescent="0.35">
      <c r="C7027">
        <v>46000</v>
      </c>
      <c r="F7027" t="s">
        <v>754</v>
      </c>
      <c r="N7027">
        <v>1</v>
      </c>
      <c r="O7027" t="s">
        <v>239</v>
      </c>
      <c r="P7027" t="s">
        <v>514</v>
      </c>
      <c r="Y7027">
        <v>770</v>
      </c>
      <c r="Z7027" s="259" t="s">
        <v>659</v>
      </c>
      <c r="AZ7027" t="s">
        <v>1562</v>
      </c>
      <c r="BA7027">
        <v>78.53</v>
      </c>
      <c r="BB7027" t="s">
        <v>564</v>
      </c>
      <c r="BC7027" t="s">
        <v>793</v>
      </c>
      <c r="BD7027">
        <v>0</v>
      </c>
      <c r="BE7027">
        <v>46302</v>
      </c>
      <c r="BF7027" t="s">
        <v>588</v>
      </c>
      <c r="BG7027">
        <v>0</v>
      </c>
    </row>
    <row r="7028" spans="3:59" x14ac:dyDescent="0.35">
      <c r="C7028">
        <v>46001</v>
      </c>
      <c r="F7028" t="s">
        <v>754</v>
      </c>
      <c r="N7028">
        <v>1</v>
      </c>
      <c r="O7028" t="s">
        <v>239</v>
      </c>
      <c r="P7028" t="s">
        <v>514</v>
      </c>
      <c r="Y7028">
        <v>771</v>
      </c>
      <c r="Z7028" s="259" t="s">
        <v>659</v>
      </c>
      <c r="AZ7028" t="s">
        <v>1563</v>
      </c>
      <c r="BA7028">
        <v>78.5</v>
      </c>
      <c r="BB7028" t="s">
        <v>564</v>
      </c>
      <c r="BC7028" t="s">
        <v>793</v>
      </c>
      <c r="BD7028">
        <v>0</v>
      </c>
      <c r="BE7028">
        <v>46302</v>
      </c>
      <c r="BF7028" t="s">
        <v>588</v>
      </c>
      <c r="BG7028">
        <v>0</v>
      </c>
    </row>
    <row r="7029" spans="3:59" x14ac:dyDescent="0.35">
      <c r="C7029">
        <v>46002</v>
      </c>
      <c r="F7029" t="s">
        <v>754</v>
      </c>
      <c r="N7029">
        <v>1</v>
      </c>
      <c r="O7029" t="s">
        <v>239</v>
      </c>
      <c r="P7029" t="s">
        <v>514</v>
      </c>
      <c r="Y7029">
        <v>772</v>
      </c>
      <c r="Z7029" s="259" t="s">
        <v>659</v>
      </c>
      <c r="AZ7029" t="s">
        <v>1564</v>
      </c>
      <c r="BA7029">
        <v>78.47</v>
      </c>
      <c r="BB7029" t="s">
        <v>564</v>
      </c>
      <c r="BC7029" t="s">
        <v>793</v>
      </c>
      <c r="BD7029">
        <v>0</v>
      </c>
      <c r="BE7029">
        <v>46302</v>
      </c>
      <c r="BF7029" t="s">
        <v>588</v>
      </c>
      <c r="BG7029">
        <v>0</v>
      </c>
    </row>
    <row r="7030" spans="3:59" x14ac:dyDescent="0.35">
      <c r="C7030">
        <v>46003</v>
      </c>
      <c r="F7030" t="s">
        <v>754</v>
      </c>
      <c r="N7030">
        <v>1</v>
      </c>
      <c r="O7030" t="s">
        <v>239</v>
      </c>
      <c r="P7030" t="s">
        <v>514</v>
      </c>
      <c r="Y7030">
        <v>773</v>
      </c>
      <c r="Z7030" s="259" t="s">
        <v>659</v>
      </c>
      <c r="AZ7030" t="s">
        <v>1565</v>
      </c>
      <c r="BA7030">
        <v>78.430000000000007</v>
      </c>
      <c r="BB7030" t="s">
        <v>564</v>
      </c>
      <c r="BC7030" t="s">
        <v>793</v>
      </c>
      <c r="BD7030">
        <v>0</v>
      </c>
      <c r="BE7030">
        <v>46302</v>
      </c>
      <c r="BF7030" t="s">
        <v>588</v>
      </c>
      <c r="BG7030">
        <v>0</v>
      </c>
    </row>
    <row r="7031" spans="3:59" x14ac:dyDescent="0.35">
      <c r="C7031">
        <v>46006</v>
      </c>
      <c r="F7031" t="s">
        <v>754</v>
      </c>
      <c r="N7031">
        <v>1</v>
      </c>
      <c r="O7031" t="s">
        <v>239</v>
      </c>
      <c r="P7031" t="s">
        <v>514</v>
      </c>
      <c r="Y7031">
        <v>774</v>
      </c>
      <c r="Z7031" s="259" t="s">
        <v>659</v>
      </c>
      <c r="AZ7031" t="s">
        <v>1566</v>
      </c>
      <c r="BA7031">
        <v>78.33</v>
      </c>
      <c r="BB7031" t="s">
        <v>564</v>
      </c>
      <c r="BC7031" t="s">
        <v>793</v>
      </c>
      <c r="BD7031">
        <v>0</v>
      </c>
      <c r="BE7031">
        <v>46302</v>
      </c>
      <c r="BF7031" t="s">
        <v>588</v>
      </c>
      <c r="BG7031">
        <v>0</v>
      </c>
    </row>
    <row r="7032" spans="3:59" x14ac:dyDescent="0.35">
      <c r="C7032">
        <v>46007</v>
      </c>
      <c r="F7032" t="s">
        <v>754</v>
      </c>
      <c r="N7032">
        <v>1</v>
      </c>
      <c r="O7032" t="s">
        <v>239</v>
      </c>
      <c r="P7032" t="s">
        <v>514</v>
      </c>
      <c r="Y7032">
        <v>775</v>
      </c>
      <c r="Z7032" s="259" t="s">
        <v>659</v>
      </c>
      <c r="AZ7032" t="s">
        <v>1567</v>
      </c>
      <c r="BA7032">
        <v>78.3</v>
      </c>
      <c r="BB7032" t="s">
        <v>564</v>
      </c>
      <c r="BC7032" t="s">
        <v>793</v>
      </c>
      <c r="BD7032">
        <v>0</v>
      </c>
      <c r="BE7032">
        <v>46302</v>
      </c>
      <c r="BF7032" t="s">
        <v>588</v>
      </c>
      <c r="BG7032">
        <v>0</v>
      </c>
    </row>
    <row r="7033" spans="3:59" x14ac:dyDescent="0.35">
      <c r="C7033">
        <v>46008</v>
      </c>
      <c r="F7033" t="s">
        <v>754</v>
      </c>
      <c r="N7033">
        <v>1</v>
      </c>
      <c r="O7033" t="s">
        <v>239</v>
      </c>
      <c r="P7033" t="s">
        <v>514</v>
      </c>
      <c r="Y7033">
        <v>776</v>
      </c>
      <c r="Z7033" s="259" t="s">
        <v>659</v>
      </c>
      <c r="AZ7033" t="s">
        <v>1568</v>
      </c>
      <c r="BA7033">
        <v>78.27</v>
      </c>
      <c r="BB7033" t="s">
        <v>564</v>
      </c>
      <c r="BC7033" t="s">
        <v>793</v>
      </c>
      <c r="BD7033">
        <v>0</v>
      </c>
      <c r="BE7033">
        <v>46302</v>
      </c>
      <c r="BF7033" t="s">
        <v>588</v>
      </c>
      <c r="BG7033">
        <v>0</v>
      </c>
    </row>
    <row r="7034" spans="3:59" x14ac:dyDescent="0.35">
      <c r="C7034">
        <v>46009</v>
      </c>
      <c r="F7034" t="s">
        <v>754</v>
      </c>
      <c r="N7034">
        <v>1</v>
      </c>
      <c r="O7034" t="s">
        <v>239</v>
      </c>
      <c r="P7034" t="s">
        <v>514</v>
      </c>
      <c r="Y7034">
        <v>777</v>
      </c>
      <c r="Z7034" s="259" t="s">
        <v>659</v>
      </c>
      <c r="AZ7034" t="s">
        <v>1569</v>
      </c>
      <c r="BA7034">
        <v>78.23</v>
      </c>
      <c r="BB7034" t="s">
        <v>564</v>
      </c>
      <c r="BC7034" t="s">
        <v>793</v>
      </c>
      <c r="BD7034">
        <v>0</v>
      </c>
      <c r="BE7034">
        <v>46302</v>
      </c>
      <c r="BF7034" t="s">
        <v>588</v>
      </c>
      <c r="BG7034">
        <v>0</v>
      </c>
    </row>
    <row r="7035" spans="3:59" x14ac:dyDescent="0.35">
      <c r="C7035">
        <v>46010</v>
      </c>
      <c r="F7035" t="s">
        <v>754</v>
      </c>
      <c r="N7035">
        <v>1</v>
      </c>
      <c r="O7035" t="s">
        <v>239</v>
      </c>
      <c r="P7035" t="s">
        <v>514</v>
      </c>
      <c r="Y7035">
        <v>778</v>
      </c>
      <c r="Z7035" s="259" t="s">
        <v>659</v>
      </c>
      <c r="AZ7035" t="s">
        <v>1570</v>
      </c>
      <c r="BA7035">
        <v>78.2</v>
      </c>
      <c r="BB7035" t="s">
        <v>564</v>
      </c>
      <c r="BC7035" t="s">
        <v>793</v>
      </c>
      <c r="BD7035">
        <v>0</v>
      </c>
      <c r="BE7035">
        <v>46302</v>
      </c>
      <c r="BF7035" t="s">
        <v>588</v>
      </c>
      <c r="BG7035">
        <v>0</v>
      </c>
    </row>
    <row r="7036" spans="3:59" x14ac:dyDescent="0.35">
      <c r="C7036">
        <v>46013</v>
      </c>
      <c r="F7036" t="s">
        <v>754</v>
      </c>
      <c r="N7036">
        <v>1</v>
      </c>
      <c r="O7036" t="s">
        <v>239</v>
      </c>
      <c r="P7036" t="s">
        <v>514</v>
      </c>
      <c r="Y7036">
        <v>779</v>
      </c>
      <c r="Z7036" s="259" t="s">
        <v>659</v>
      </c>
      <c r="AZ7036" t="s">
        <v>1571</v>
      </c>
      <c r="BA7036">
        <v>78.099999999999994</v>
      </c>
      <c r="BB7036" t="s">
        <v>564</v>
      </c>
      <c r="BC7036" t="s">
        <v>793</v>
      </c>
      <c r="BD7036">
        <v>0</v>
      </c>
      <c r="BE7036">
        <v>46302</v>
      </c>
      <c r="BF7036" t="s">
        <v>588</v>
      </c>
      <c r="BG7036">
        <v>0</v>
      </c>
    </row>
    <row r="7037" spans="3:59" x14ac:dyDescent="0.35">
      <c r="C7037">
        <v>46014</v>
      </c>
      <c r="F7037" t="s">
        <v>754</v>
      </c>
      <c r="N7037">
        <v>1</v>
      </c>
      <c r="O7037" t="s">
        <v>239</v>
      </c>
      <c r="P7037" t="s">
        <v>514</v>
      </c>
      <c r="Y7037">
        <v>780</v>
      </c>
      <c r="Z7037" s="259" t="s">
        <v>659</v>
      </c>
      <c r="AZ7037" t="s">
        <v>1572</v>
      </c>
      <c r="BA7037">
        <v>78.069999999999993</v>
      </c>
      <c r="BB7037" t="s">
        <v>564</v>
      </c>
      <c r="BC7037" t="s">
        <v>793</v>
      </c>
      <c r="BD7037">
        <v>0</v>
      </c>
      <c r="BE7037">
        <v>46302</v>
      </c>
      <c r="BF7037" t="s">
        <v>588</v>
      </c>
      <c r="BG7037">
        <v>0</v>
      </c>
    </row>
    <row r="7038" spans="3:59" x14ac:dyDescent="0.35">
      <c r="C7038">
        <v>46015</v>
      </c>
      <c r="F7038" t="s">
        <v>754</v>
      </c>
      <c r="N7038">
        <v>1</v>
      </c>
      <c r="O7038" t="s">
        <v>239</v>
      </c>
      <c r="P7038" t="s">
        <v>514</v>
      </c>
      <c r="Y7038">
        <v>781</v>
      </c>
      <c r="Z7038" s="259" t="s">
        <v>659</v>
      </c>
      <c r="AZ7038" t="s">
        <v>1573</v>
      </c>
      <c r="BA7038">
        <v>78.03</v>
      </c>
      <c r="BB7038" t="s">
        <v>564</v>
      </c>
      <c r="BC7038" t="s">
        <v>793</v>
      </c>
      <c r="BD7038">
        <v>0</v>
      </c>
      <c r="BE7038">
        <v>46302</v>
      </c>
      <c r="BF7038" t="s">
        <v>588</v>
      </c>
      <c r="BG7038">
        <v>0</v>
      </c>
    </row>
    <row r="7039" spans="3:59" x14ac:dyDescent="0.35">
      <c r="C7039">
        <v>46016</v>
      </c>
      <c r="F7039" t="s">
        <v>754</v>
      </c>
      <c r="N7039">
        <v>1</v>
      </c>
      <c r="O7039" t="s">
        <v>239</v>
      </c>
      <c r="P7039" t="s">
        <v>514</v>
      </c>
      <c r="Y7039">
        <v>782</v>
      </c>
      <c r="Z7039" s="259" t="s">
        <v>659</v>
      </c>
      <c r="AZ7039" t="s">
        <v>1574</v>
      </c>
      <c r="BA7039">
        <v>78</v>
      </c>
      <c r="BB7039" t="s">
        <v>564</v>
      </c>
      <c r="BC7039" t="s">
        <v>793</v>
      </c>
      <c r="BD7039">
        <v>0</v>
      </c>
      <c r="BE7039">
        <v>46302</v>
      </c>
      <c r="BF7039" t="s">
        <v>588</v>
      </c>
      <c r="BG7039">
        <v>0</v>
      </c>
    </row>
    <row r="7040" spans="3:59" x14ac:dyDescent="0.35">
      <c r="C7040">
        <v>46017</v>
      </c>
      <c r="F7040" t="s">
        <v>754</v>
      </c>
      <c r="N7040">
        <v>1</v>
      </c>
      <c r="O7040" t="s">
        <v>239</v>
      </c>
      <c r="P7040" t="s">
        <v>514</v>
      </c>
      <c r="Y7040">
        <v>783</v>
      </c>
      <c r="Z7040" s="259" t="s">
        <v>659</v>
      </c>
      <c r="AZ7040" t="s">
        <v>1575</v>
      </c>
      <c r="BA7040">
        <v>77.97</v>
      </c>
      <c r="BB7040" t="s">
        <v>564</v>
      </c>
      <c r="BC7040" t="s">
        <v>793</v>
      </c>
      <c r="BD7040">
        <v>0</v>
      </c>
      <c r="BE7040">
        <v>46302</v>
      </c>
      <c r="BF7040" t="s">
        <v>588</v>
      </c>
      <c r="BG7040">
        <v>0</v>
      </c>
    </row>
    <row r="7041" spans="1:68" x14ac:dyDescent="0.35">
      <c r="C7041">
        <v>46020</v>
      </c>
      <c r="F7041" t="s">
        <v>754</v>
      </c>
      <c r="N7041">
        <v>1</v>
      </c>
      <c r="O7041" t="s">
        <v>239</v>
      </c>
      <c r="P7041" t="s">
        <v>514</v>
      </c>
      <c r="Y7041">
        <v>784</v>
      </c>
      <c r="Z7041" s="259" t="s">
        <v>659</v>
      </c>
      <c r="AZ7041" t="s">
        <v>1576</v>
      </c>
      <c r="BA7041">
        <v>77.87</v>
      </c>
      <c r="BB7041" t="s">
        <v>564</v>
      </c>
      <c r="BC7041" t="s">
        <v>793</v>
      </c>
      <c r="BD7041">
        <v>0</v>
      </c>
      <c r="BE7041">
        <v>46302</v>
      </c>
      <c r="BF7041" t="s">
        <v>588</v>
      </c>
      <c r="BG7041">
        <v>0</v>
      </c>
    </row>
    <row r="7042" spans="1:68" x14ac:dyDescent="0.35">
      <c r="C7042">
        <v>46021</v>
      </c>
      <c r="F7042" t="s">
        <v>754</v>
      </c>
      <c r="N7042">
        <v>1</v>
      </c>
      <c r="O7042" t="s">
        <v>239</v>
      </c>
      <c r="P7042" t="s">
        <v>514</v>
      </c>
      <c r="Y7042">
        <v>785</v>
      </c>
      <c r="Z7042" s="259" t="s">
        <v>659</v>
      </c>
      <c r="AZ7042" t="s">
        <v>1577</v>
      </c>
      <c r="BA7042">
        <v>77.83</v>
      </c>
      <c r="BB7042" t="s">
        <v>564</v>
      </c>
      <c r="BC7042" t="s">
        <v>793</v>
      </c>
      <c r="BD7042">
        <v>0</v>
      </c>
      <c r="BE7042">
        <v>46302</v>
      </c>
      <c r="BF7042" t="s">
        <v>588</v>
      </c>
      <c r="BG7042">
        <v>0</v>
      </c>
    </row>
    <row r="7043" spans="1:68" x14ac:dyDescent="0.35">
      <c r="C7043">
        <v>46022</v>
      </c>
      <c r="F7043" t="s">
        <v>754</v>
      </c>
      <c r="N7043">
        <v>1</v>
      </c>
      <c r="O7043" t="s">
        <v>239</v>
      </c>
      <c r="P7043" t="s">
        <v>514</v>
      </c>
      <c r="Y7043">
        <v>786</v>
      </c>
      <c r="Z7043" s="259" t="s">
        <v>659</v>
      </c>
      <c r="AZ7043" t="s">
        <v>1578</v>
      </c>
      <c r="BA7043">
        <v>77.8</v>
      </c>
      <c r="BB7043" t="s">
        <v>564</v>
      </c>
      <c r="BC7043" t="s">
        <v>793</v>
      </c>
      <c r="BD7043">
        <v>0</v>
      </c>
      <c r="BE7043">
        <v>46302</v>
      </c>
      <c r="BF7043" t="s">
        <v>588</v>
      </c>
      <c r="BG7043">
        <v>0</v>
      </c>
    </row>
    <row r="7044" spans="1:68" x14ac:dyDescent="0.35">
      <c r="B7044" t="s">
        <v>563</v>
      </c>
      <c r="Y7044">
        <v>1</v>
      </c>
      <c r="Z7044" s="259" t="s">
        <v>688</v>
      </c>
      <c r="BB7044" t="s">
        <v>564</v>
      </c>
      <c r="BH7044" t="s">
        <v>1</v>
      </c>
      <c r="BI7044">
        <v>45658</v>
      </c>
      <c r="BJ7044" t="s">
        <v>230</v>
      </c>
      <c r="BK7044" t="s">
        <v>230</v>
      </c>
    </row>
    <row r="7045" spans="1:68" x14ac:dyDescent="0.35">
      <c r="B7045" t="s">
        <v>565</v>
      </c>
      <c r="Y7045">
        <v>2</v>
      </c>
      <c r="Z7045" s="259" t="s">
        <v>688</v>
      </c>
      <c r="BB7045" t="s">
        <v>564</v>
      </c>
      <c r="BH7045" t="s">
        <v>100</v>
      </c>
      <c r="BI7045">
        <v>45658</v>
      </c>
      <c r="BJ7045" t="s">
        <v>230</v>
      </c>
      <c r="BK7045" t="s">
        <v>230</v>
      </c>
    </row>
    <row r="7046" spans="1:68" x14ac:dyDescent="0.35">
      <c r="B7046" t="s">
        <v>566</v>
      </c>
      <c r="Y7046">
        <v>3</v>
      </c>
      <c r="Z7046" s="259" t="s">
        <v>688</v>
      </c>
      <c r="BB7046" t="s">
        <v>564</v>
      </c>
      <c r="BH7046" t="s">
        <v>746</v>
      </c>
      <c r="BI7046">
        <v>45658</v>
      </c>
      <c r="BJ7046" t="s">
        <v>230</v>
      </c>
      <c r="BK7046" t="s">
        <v>230</v>
      </c>
    </row>
    <row r="7047" spans="1:68" x14ac:dyDescent="0.35">
      <c r="B7047" t="s">
        <v>747</v>
      </c>
      <c r="Y7047">
        <v>4</v>
      </c>
      <c r="Z7047" s="259" t="s">
        <v>688</v>
      </c>
      <c r="BB7047" t="s">
        <v>564</v>
      </c>
      <c r="BH7047" t="s">
        <v>748</v>
      </c>
      <c r="BI7047">
        <v>45658</v>
      </c>
      <c r="BJ7047" t="s">
        <v>230</v>
      </c>
      <c r="BK7047" t="s">
        <v>232</v>
      </c>
    </row>
    <row r="7048" spans="1:68" x14ac:dyDescent="0.35">
      <c r="F7048" t="s">
        <v>749</v>
      </c>
      <c r="Y7048">
        <v>1</v>
      </c>
      <c r="Z7048" s="259" t="s">
        <v>690</v>
      </c>
      <c r="BB7048" t="s">
        <v>564</v>
      </c>
      <c r="BL7048" t="s">
        <v>750</v>
      </c>
      <c r="BM7048" t="s">
        <v>749</v>
      </c>
      <c r="BN7048" t="s">
        <v>751</v>
      </c>
      <c r="BP7048" t="s">
        <v>158</v>
      </c>
    </row>
    <row r="7049" spans="1:68" x14ac:dyDescent="0.35">
      <c r="F7049" t="s">
        <v>752</v>
      </c>
      <c r="Y7049">
        <v>2</v>
      </c>
      <c r="Z7049" s="259" t="s">
        <v>690</v>
      </c>
      <c r="BB7049" t="s">
        <v>564</v>
      </c>
      <c r="BL7049" t="s">
        <v>753</v>
      </c>
      <c r="BM7049" t="s">
        <v>752</v>
      </c>
      <c r="BN7049" t="s">
        <v>751</v>
      </c>
      <c r="BP7049" t="s">
        <v>158</v>
      </c>
    </row>
    <row r="7050" spans="1:68" x14ac:dyDescent="0.35">
      <c r="F7050" t="s">
        <v>754</v>
      </c>
      <c r="Y7050">
        <v>3</v>
      </c>
      <c r="Z7050" s="259" t="s">
        <v>690</v>
      </c>
      <c r="BB7050" t="s">
        <v>564</v>
      </c>
      <c r="BL7050" t="s">
        <v>755</v>
      </c>
      <c r="BM7050" t="s">
        <v>754</v>
      </c>
      <c r="BN7050" t="s">
        <v>751</v>
      </c>
      <c r="BP7050" t="s">
        <v>158</v>
      </c>
    </row>
    <row r="7051" spans="1:68" x14ac:dyDescent="0.35">
      <c r="A7051" t="s">
        <v>756</v>
      </c>
      <c r="B7051" t="s">
        <v>563</v>
      </c>
      <c r="C7051">
        <v>45658</v>
      </c>
      <c r="D7051">
        <v>1</v>
      </c>
      <c r="E7051" t="s">
        <v>90</v>
      </c>
      <c r="G7051">
        <v>0</v>
      </c>
      <c r="H7051">
        <v>0</v>
      </c>
      <c r="I7051">
        <v>100000</v>
      </c>
      <c r="J7051">
        <v>0</v>
      </c>
      <c r="L7051" t="s">
        <v>628</v>
      </c>
      <c r="Y7051">
        <v>1</v>
      </c>
      <c r="Z7051" s="259" t="s">
        <v>691</v>
      </c>
    </row>
    <row r="7052" spans="1:68" x14ac:dyDescent="0.35">
      <c r="A7052" t="s">
        <v>757</v>
      </c>
      <c r="B7052" t="s">
        <v>565</v>
      </c>
      <c r="C7052">
        <v>45658</v>
      </c>
      <c r="D7052">
        <v>1</v>
      </c>
      <c r="E7052" t="s">
        <v>90</v>
      </c>
      <c r="G7052">
        <v>0</v>
      </c>
      <c r="H7052">
        <v>0</v>
      </c>
      <c r="I7052">
        <v>80000</v>
      </c>
      <c r="J7052">
        <v>0</v>
      </c>
      <c r="L7052" t="s">
        <v>628</v>
      </c>
      <c r="Y7052">
        <v>2</v>
      </c>
      <c r="Z7052" s="259" t="s">
        <v>691</v>
      </c>
    </row>
    <row r="7053" spans="1:68" x14ac:dyDescent="0.35">
      <c r="A7053" t="s">
        <v>758</v>
      </c>
      <c r="B7053" t="s">
        <v>566</v>
      </c>
      <c r="C7053">
        <v>45658</v>
      </c>
      <c r="D7053">
        <v>1</v>
      </c>
      <c r="E7053" t="s">
        <v>90</v>
      </c>
      <c r="G7053">
        <v>0</v>
      </c>
      <c r="H7053">
        <v>0</v>
      </c>
      <c r="I7053">
        <v>40000</v>
      </c>
      <c r="J7053">
        <v>0</v>
      </c>
      <c r="L7053" t="s">
        <v>628</v>
      </c>
      <c r="Y7053">
        <v>3</v>
      </c>
      <c r="Z7053" s="259" t="s">
        <v>691</v>
      </c>
    </row>
    <row r="7054" spans="1:68" x14ac:dyDescent="0.35">
      <c r="A7054" t="s">
        <v>759</v>
      </c>
      <c r="B7054" t="s">
        <v>747</v>
      </c>
      <c r="C7054">
        <v>45658</v>
      </c>
      <c r="D7054">
        <v>1</v>
      </c>
      <c r="E7054" t="s">
        <v>90</v>
      </c>
      <c r="G7054">
        <v>0</v>
      </c>
      <c r="H7054">
        <v>0</v>
      </c>
      <c r="I7054">
        <v>60000</v>
      </c>
      <c r="J7054">
        <v>0</v>
      </c>
      <c r="L7054" t="s">
        <v>628</v>
      </c>
      <c r="Y7054">
        <v>4</v>
      </c>
      <c r="Z7054" s="259" t="s">
        <v>691</v>
      </c>
    </row>
    <row r="7055" spans="1:68" x14ac:dyDescent="0.35">
      <c r="A7055" t="s">
        <v>760</v>
      </c>
      <c r="B7055" t="s">
        <v>563</v>
      </c>
      <c r="C7055">
        <v>45659</v>
      </c>
      <c r="D7055">
        <v>1</v>
      </c>
      <c r="E7055" t="s">
        <v>93</v>
      </c>
      <c r="F7055" t="s">
        <v>749</v>
      </c>
      <c r="G7055">
        <v>100</v>
      </c>
      <c r="H7055">
        <v>100</v>
      </c>
      <c r="I7055">
        <v>0</v>
      </c>
      <c r="J7055">
        <v>10</v>
      </c>
      <c r="L7055" t="s">
        <v>629</v>
      </c>
      <c r="Y7055">
        <v>5</v>
      </c>
      <c r="Z7055" s="259" t="s">
        <v>691</v>
      </c>
    </row>
    <row r="7056" spans="1:68" x14ac:dyDescent="0.35">
      <c r="A7056" t="s">
        <v>761</v>
      </c>
      <c r="B7056" t="s">
        <v>563</v>
      </c>
      <c r="C7056">
        <v>45659</v>
      </c>
      <c r="D7056">
        <v>2</v>
      </c>
      <c r="E7056" t="s">
        <v>93</v>
      </c>
      <c r="F7056" t="s">
        <v>752</v>
      </c>
      <c r="G7056">
        <v>50</v>
      </c>
      <c r="H7056">
        <v>200</v>
      </c>
      <c r="I7056">
        <v>0</v>
      </c>
      <c r="J7056">
        <v>10</v>
      </c>
      <c r="L7056" t="s">
        <v>629</v>
      </c>
      <c r="Y7056">
        <v>6</v>
      </c>
      <c r="Z7056" s="259" t="s">
        <v>691</v>
      </c>
    </row>
    <row r="7057" spans="1:26" x14ac:dyDescent="0.35">
      <c r="A7057" t="s">
        <v>762</v>
      </c>
      <c r="B7057" t="s">
        <v>563</v>
      </c>
      <c r="C7057">
        <v>45659</v>
      </c>
      <c r="D7057">
        <v>3</v>
      </c>
      <c r="E7057" t="s">
        <v>93</v>
      </c>
      <c r="F7057" t="s">
        <v>754</v>
      </c>
      <c r="G7057">
        <v>100</v>
      </c>
      <c r="H7057">
        <v>80</v>
      </c>
      <c r="I7057">
        <v>0</v>
      </c>
      <c r="J7057">
        <v>8</v>
      </c>
      <c r="L7057" t="s">
        <v>629</v>
      </c>
      <c r="Y7057">
        <v>7</v>
      </c>
      <c r="Z7057" s="259" t="s">
        <v>691</v>
      </c>
    </row>
    <row r="7058" spans="1:26" x14ac:dyDescent="0.35">
      <c r="A7058" t="s">
        <v>763</v>
      </c>
      <c r="B7058" t="s">
        <v>565</v>
      </c>
      <c r="C7058">
        <v>45659</v>
      </c>
      <c r="D7058">
        <v>1</v>
      </c>
      <c r="E7058" t="s">
        <v>93</v>
      </c>
      <c r="F7058" t="s">
        <v>749</v>
      </c>
      <c r="G7058">
        <v>80</v>
      </c>
      <c r="H7058">
        <v>100</v>
      </c>
      <c r="I7058">
        <v>0</v>
      </c>
      <c r="J7058">
        <v>8</v>
      </c>
      <c r="L7058" t="s">
        <v>629</v>
      </c>
      <c r="Y7058">
        <v>8</v>
      </c>
      <c r="Z7058" s="259" t="s">
        <v>691</v>
      </c>
    </row>
    <row r="7059" spans="1:26" x14ac:dyDescent="0.35">
      <c r="A7059" t="s">
        <v>764</v>
      </c>
      <c r="B7059" t="s">
        <v>565</v>
      </c>
      <c r="C7059">
        <v>45659</v>
      </c>
      <c r="D7059">
        <v>2</v>
      </c>
      <c r="E7059" t="s">
        <v>93</v>
      </c>
      <c r="F7059" t="s">
        <v>752</v>
      </c>
      <c r="G7059">
        <v>100</v>
      </c>
      <c r="H7059">
        <v>200</v>
      </c>
      <c r="I7059">
        <v>0</v>
      </c>
      <c r="J7059">
        <v>20</v>
      </c>
      <c r="L7059" t="s">
        <v>629</v>
      </c>
      <c r="Y7059">
        <v>9</v>
      </c>
      <c r="Z7059" s="259" t="s">
        <v>691</v>
      </c>
    </row>
    <row r="7060" spans="1:26" x14ac:dyDescent="0.35">
      <c r="A7060" t="s">
        <v>765</v>
      </c>
      <c r="B7060" t="s">
        <v>747</v>
      </c>
      <c r="C7060">
        <v>45659</v>
      </c>
      <c r="D7060">
        <v>1</v>
      </c>
      <c r="E7060" t="s">
        <v>93</v>
      </c>
      <c r="F7060" t="s">
        <v>749</v>
      </c>
      <c r="G7060">
        <v>40</v>
      </c>
      <c r="H7060">
        <v>100</v>
      </c>
      <c r="I7060">
        <v>0</v>
      </c>
      <c r="J7060">
        <v>4</v>
      </c>
      <c r="L7060" t="s">
        <v>629</v>
      </c>
      <c r="Y7060">
        <v>10</v>
      </c>
      <c r="Z7060" s="259" t="s">
        <v>691</v>
      </c>
    </row>
    <row r="7061" spans="1:26" x14ac:dyDescent="0.35">
      <c r="A7061" t="s">
        <v>766</v>
      </c>
      <c r="B7061" t="s">
        <v>747</v>
      </c>
      <c r="C7061">
        <v>45659</v>
      </c>
      <c r="D7061">
        <v>2</v>
      </c>
      <c r="E7061" t="s">
        <v>93</v>
      </c>
      <c r="F7061" t="s">
        <v>754</v>
      </c>
      <c r="G7061">
        <v>100</v>
      </c>
      <c r="H7061">
        <v>80</v>
      </c>
      <c r="I7061">
        <v>0</v>
      </c>
      <c r="J7061">
        <v>8</v>
      </c>
      <c r="L7061" t="s">
        <v>629</v>
      </c>
      <c r="Y7061">
        <v>11</v>
      </c>
      <c r="Z7061" s="259" t="s">
        <v>691</v>
      </c>
    </row>
    <row r="7062" spans="1:26" x14ac:dyDescent="0.35">
      <c r="A7062" t="s">
        <v>767</v>
      </c>
      <c r="B7062" t="s">
        <v>565</v>
      </c>
      <c r="C7062">
        <v>45691</v>
      </c>
      <c r="D7062">
        <v>1</v>
      </c>
      <c r="E7062" t="s">
        <v>93</v>
      </c>
      <c r="F7062" t="s">
        <v>754</v>
      </c>
      <c r="G7062">
        <v>50</v>
      </c>
      <c r="H7062">
        <v>82</v>
      </c>
      <c r="I7062">
        <v>0</v>
      </c>
      <c r="J7062">
        <v>4</v>
      </c>
      <c r="L7062" t="s">
        <v>629</v>
      </c>
      <c r="Y7062">
        <v>12</v>
      </c>
      <c r="Z7062" s="259" t="s">
        <v>691</v>
      </c>
    </row>
    <row r="7063" spans="1:26" x14ac:dyDescent="0.35">
      <c r="A7063" t="s">
        <v>768</v>
      </c>
      <c r="B7063" t="s">
        <v>563</v>
      </c>
      <c r="C7063">
        <v>45719</v>
      </c>
      <c r="D7063">
        <v>1</v>
      </c>
      <c r="E7063" t="s">
        <v>93</v>
      </c>
      <c r="F7063" t="s">
        <v>749</v>
      </c>
      <c r="G7063">
        <v>50</v>
      </c>
      <c r="H7063">
        <v>98</v>
      </c>
      <c r="I7063">
        <v>0</v>
      </c>
      <c r="J7063">
        <v>5</v>
      </c>
      <c r="L7063" t="s">
        <v>629</v>
      </c>
      <c r="Y7063">
        <v>13</v>
      </c>
      <c r="Z7063" s="259" t="s">
        <v>691</v>
      </c>
    </row>
    <row r="7064" spans="1:26" x14ac:dyDescent="0.35">
      <c r="A7064" t="s">
        <v>769</v>
      </c>
      <c r="B7064" t="s">
        <v>565</v>
      </c>
      <c r="C7064">
        <v>45719</v>
      </c>
      <c r="D7064">
        <v>1</v>
      </c>
      <c r="E7064" t="s">
        <v>90</v>
      </c>
      <c r="G7064">
        <v>0</v>
      </c>
      <c r="H7064">
        <v>0</v>
      </c>
      <c r="I7064">
        <v>5000</v>
      </c>
      <c r="J7064">
        <v>0</v>
      </c>
      <c r="L7064" t="s">
        <v>629</v>
      </c>
      <c r="Y7064">
        <v>14</v>
      </c>
      <c r="Z7064" s="259" t="s">
        <v>691</v>
      </c>
    </row>
    <row r="7065" spans="1:26" x14ac:dyDescent="0.35">
      <c r="A7065" t="s">
        <v>770</v>
      </c>
      <c r="B7065" t="s">
        <v>566</v>
      </c>
      <c r="C7065">
        <v>45748</v>
      </c>
      <c r="D7065">
        <v>1</v>
      </c>
      <c r="E7065" t="s">
        <v>90</v>
      </c>
      <c r="G7065">
        <v>0</v>
      </c>
      <c r="H7065">
        <v>0</v>
      </c>
      <c r="I7065">
        <v>2000</v>
      </c>
      <c r="J7065">
        <v>0</v>
      </c>
      <c r="L7065" t="s">
        <v>629</v>
      </c>
      <c r="Y7065">
        <v>15</v>
      </c>
      <c r="Z7065" s="259" t="s">
        <v>691</v>
      </c>
    </row>
    <row r="7066" spans="1:26" x14ac:dyDescent="0.35">
      <c r="A7066" t="s">
        <v>771</v>
      </c>
      <c r="B7066" t="s">
        <v>563</v>
      </c>
      <c r="C7066">
        <v>45778</v>
      </c>
      <c r="D7066">
        <v>1</v>
      </c>
      <c r="E7066" t="s">
        <v>90</v>
      </c>
      <c r="G7066">
        <v>0</v>
      </c>
      <c r="H7066">
        <v>0</v>
      </c>
      <c r="I7066">
        <v>10000</v>
      </c>
      <c r="J7066">
        <v>0</v>
      </c>
      <c r="L7066" t="s">
        <v>629</v>
      </c>
      <c r="Y7066">
        <v>16</v>
      </c>
      <c r="Z7066" s="259" t="s">
        <v>691</v>
      </c>
    </row>
    <row r="7067" spans="1:26" x14ac:dyDescent="0.35">
      <c r="A7067" t="s">
        <v>772</v>
      </c>
      <c r="B7067" t="s">
        <v>747</v>
      </c>
      <c r="C7067">
        <v>45810</v>
      </c>
      <c r="D7067">
        <v>1</v>
      </c>
      <c r="E7067" t="s">
        <v>90</v>
      </c>
      <c r="G7067">
        <v>0</v>
      </c>
      <c r="H7067">
        <v>0</v>
      </c>
      <c r="I7067">
        <v>3000</v>
      </c>
      <c r="J7067">
        <v>0</v>
      </c>
      <c r="L7067" t="s">
        <v>629</v>
      </c>
      <c r="Y7067">
        <v>17</v>
      </c>
      <c r="Z7067" s="259" t="s">
        <v>691</v>
      </c>
    </row>
    <row r="7068" spans="1:26" x14ac:dyDescent="0.35">
      <c r="A7068" t="s">
        <v>773</v>
      </c>
      <c r="B7068" t="s">
        <v>563</v>
      </c>
      <c r="C7068">
        <v>45839</v>
      </c>
      <c r="D7068">
        <v>1</v>
      </c>
      <c r="E7068" t="s">
        <v>114</v>
      </c>
      <c r="F7068" t="s">
        <v>749</v>
      </c>
      <c r="G7068">
        <v>80</v>
      </c>
      <c r="H7068">
        <v>55</v>
      </c>
      <c r="I7068">
        <v>0</v>
      </c>
      <c r="J7068">
        <v>8</v>
      </c>
      <c r="L7068" t="s">
        <v>629</v>
      </c>
      <c r="Y7068">
        <v>18</v>
      </c>
      <c r="Z7068" s="259" t="s">
        <v>691</v>
      </c>
    </row>
    <row r="7069" spans="1:26" x14ac:dyDescent="0.35">
      <c r="A7069" t="s">
        <v>774</v>
      </c>
      <c r="B7069" t="s">
        <v>747</v>
      </c>
      <c r="C7069">
        <v>45870</v>
      </c>
      <c r="D7069">
        <v>1</v>
      </c>
      <c r="E7069" t="s">
        <v>93</v>
      </c>
      <c r="F7069" t="s">
        <v>752</v>
      </c>
      <c r="G7069">
        <v>30</v>
      </c>
      <c r="H7069">
        <v>178</v>
      </c>
      <c r="I7069">
        <v>0</v>
      </c>
      <c r="J7069">
        <v>3</v>
      </c>
      <c r="L7069" t="s">
        <v>629</v>
      </c>
      <c r="Y7069">
        <v>19</v>
      </c>
      <c r="Z7069" s="259" t="s">
        <v>691</v>
      </c>
    </row>
    <row r="7070" spans="1:26" x14ac:dyDescent="0.35">
      <c r="A7070" t="s">
        <v>775</v>
      </c>
      <c r="B7070" t="s">
        <v>563</v>
      </c>
      <c r="C7070">
        <v>45887</v>
      </c>
      <c r="D7070">
        <v>1</v>
      </c>
      <c r="E7070" t="s">
        <v>581</v>
      </c>
      <c r="G7070">
        <v>0</v>
      </c>
      <c r="H7070">
        <v>0</v>
      </c>
      <c r="I7070">
        <v>5000</v>
      </c>
      <c r="J7070">
        <v>0</v>
      </c>
      <c r="K7070" t="s">
        <v>776</v>
      </c>
      <c r="L7070" t="s">
        <v>629</v>
      </c>
      <c r="Y7070">
        <v>20</v>
      </c>
      <c r="Z7070" s="259" t="s">
        <v>691</v>
      </c>
    </row>
    <row r="7071" spans="1:26" x14ac:dyDescent="0.35">
      <c r="A7071" t="s">
        <v>777</v>
      </c>
      <c r="B7071" t="s">
        <v>565</v>
      </c>
      <c r="C7071">
        <v>45887</v>
      </c>
      <c r="D7071">
        <v>1</v>
      </c>
      <c r="E7071" t="s">
        <v>580</v>
      </c>
      <c r="G7071">
        <v>0</v>
      </c>
      <c r="H7071">
        <v>0</v>
      </c>
      <c r="I7071">
        <v>5000</v>
      </c>
      <c r="J7071">
        <v>0</v>
      </c>
      <c r="K7071" t="s">
        <v>776</v>
      </c>
      <c r="L7071" t="s">
        <v>629</v>
      </c>
      <c r="Y7071">
        <v>21</v>
      </c>
      <c r="Z7071" s="259" t="s">
        <v>691</v>
      </c>
    </row>
    <row r="7072" spans="1:26" x14ac:dyDescent="0.35">
      <c r="A7072" t="s">
        <v>778</v>
      </c>
      <c r="B7072" t="s">
        <v>565</v>
      </c>
      <c r="C7072">
        <v>45901</v>
      </c>
      <c r="D7072">
        <v>1</v>
      </c>
      <c r="E7072" t="s">
        <v>114</v>
      </c>
      <c r="F7072" t="s">
        <v>749</v>
      </c>
      <c r="G7072">
        <v>60</v>
      </c>
      <c r="H7072">
        <v>49</v>
      </c>
      <c r="I7072">
        <v>0</v>
      </c>
      <c r="J7072">
        <v>6</v>
      </c>
      <c r="L7072" t="s">
        <v>629</v>
      </c>
      <c r="Y7072">
        <v>22</v>
      </c>
      <c r="Z7072" s="259" t="s">
        <v>691</v>
      </c>
    </row>
    <row r="7073" spans="1:58" x14ac:dyDescent="0.35">
      <c r="A7073" t="s">
        <v>779</v>
      </c>
      <c r="B7073" t="s">
        <v>563</v>
      </c>
      <c r="C7073">
        <v>45910</v>
      </c>
      <c r="D7073">
        <v>1</v>
      </c>
      <c r="E7073" t="s">
        <v>114</v>
      </c>
      <c r="F7073" t="s">
        <v>752</v>
      </c>
      <c r="G7073">
        <v>20</v>
      </c>
      <c r="H7073">
        <v>185</v>
      </c>
      <c r="I7073">
        <v>0</v>
      </c>
      <c r="J7073">
        <v>5</v>
      </c>
      <c r="L7073" t="s">
        <v>629</v>
      </c>
      <c r="Y7073">
        <v>23</v>
      </c>
      <c r="Z7073" s="259" t="s">
        <v>691</v>
      </c>
    </row>
    <row r="7074" spans="1:58" x14ac:dyDescent="0.35">
      <c r="A7074" t="s">
        <v>780</v>
      </c>
      <c r="B7074" t="s">
        <v>563</v>
      </c>
      <c r="C7074">
        <v>45915</v>
      </c>
      <c r="D7074">
        <v>1</v>
      </c>
      <c r="E7074" t="s">
        <v>122</v>
      </c>
      <c r="F7074" t="s">
        <v>752</v>
      </c>
      <c r="G7074">
        <v>0</v>
      </c>
      <c r="H7074">
        <v>0</v>
      </c>
      <c r="I7074">
        <v>150</v>
      </c>
      <c r="J7074">
        <v>0</v>
      </c>
      <c r="L7074" t="s">
        <v>629</v>
      </c>
      <c r="M7074" t="s">
        <v>781</v>
      </c>
      <c r="Y7074">
        <v>24</v>
      </c>
      <c r="Z7074" s="259" t="s">
        <v>691</v>
      </c>
    </row>
    <row r="7075" spans="1:58" x14ac:dyDescent="0.35">
      <c r="A7075" t="s">
        <v>782</v>
      </c>
      <c r="B7075" t="s">
        <v>563</v>
      </c>
      <c r="C7075">
        <v>45971</v>
      </c>
      <c r="D7075">
        <v>1</v>
      </c>
      <c r="E7075" t="s">
        <v>114</v>
      </c>
      <c r="F7075" t="s">
        <v>754</v>
      </c>
      <c r="G7075">
        <v>100</v>
      </c>
      <c r="H7075">
        <v>77</v>
      </c>
      <c r="I7075">
        <v>0</v>
      </c>
      <c r="J7075">
        <v>8</v>
      </c>
      <c r="L7075" t="s">
        <v>629</v>
      </c>
      <c r="Y7075">
        <v>25</v>
      </c>
      <c r="Z7075" s="259" t="s">
        <v>691</v>
      </c>
    </row>
    <row r="7076" spans="1:58" x14ac:dyDescent="0.35">
      <c r="A7076" t="s">
        <v>783</v>
      </c>
      <c r="B7076" t="s">
        <v>563</v>
      </c>
      <c r="C7076">
        <v>46006</v>
      </c>
      <c r="D7076">
        <v>1</v>
      </c>
      <c r="E7076" t="s">
        <v>122</v>
      </c>
      <c r="F7076" t="s">
        <v>754</v>
      </c>
      <c r="G7076">
        <v>0</v>
      </c>
      <c r="H7076">
        <v>0</v>
      </c>
      <c r="I7076">
        <v>120</v>
      </c>
      <c r="J7076">
        <v>0</v>
      </c>
      <c r="L7076" t="s">
        <v>629</v>
      </c>
      <c r="M7076" t="s">
        <v>784</v>
      </c>
      <c r="Y7076">
        <v>26</v>
      </c>
      <c r="Z7076" s="259" t="s">
        <v>691</v>
      </c>
    </row>
    <row r="7077" spans="1:58" x14ac:dyDescent="0.35">
      <c r="A7077" t="s">
        <v>785</v>
      </c>
      <c r="B7077" t="s">
        <v>563</v>
      </c>
      <c r="C7077">
        <v>46009</v>
      </c>
      <c r="D7077">
        <v>1</v>
      </c>
      <c r="E7077" t="s">
        <v>128</v>
      </c>
      <c r="G7077">
        <v>0</v>
      </c>
      <c r="H7077">
        <v>0</v>
      </c>
      <c r="I7077">
        <v>5000</v>
      </c>
      <c r="J7077">
        <v>0</v>
      </c>
      <c r="L7077" t="s">
        <v>629</v>
      </c>
      <c r="Y7077">
        <v>27</v>
      </c>
      <c r="Z7077" s="259" t="s">
        <v>691</v>
      </c>
    </row>
    <row r="7078" spans="1:58" x14ac:dyDescent="0.35">
      <c r="A7078" t="s">
        <v>786</v>
      </c>
      <c r="B7078" t="s">
        <v>565</v>
      </c>
      <c r="C7078">
        <v>46009</v>
      </c>
      <c r="D7078">
        <v>1</v>
      </c>
      <c r="E7078" t="s">
        <v>128</v>
      </c>
      <c r="G7078">
        <v>0</v>
      </c>
      <c r="H7078">
        <v>0</v>
      </c>
      <c r="I7078">
        <v>3000</v>
      </c>
      <c r="J7078">
        <v>0</v>
      </c>
      <c r="L7078" t="s">
        <v>629</v>
      </c>
      <c r="Y7078">
        <v>28</v>
      </c>
      <c r="Z7078" s="259" t="s">
        <v>691</v>
      </c>
    </row>
    <row r="7079" spans="1:58" x14ac:dyDescent="0.35">
      <c r="A7079" t="s">
        <v>787</v>
      </c>
      <c r="B7079" t="s">
        <v>566</v>
      </c>
      <c r="C7079">
        <v>46009</v>
      </c>
      <c r="D7079">
        <v>1</v>
      </c>
      <c r="E7079" t="s">
        <v>128</v>
      </c>
      <c r="G7079">
        <v>0</v>
      </c>
      <c r="H7079">
        <v>0</v>
      </c>
      <c r="I7079">
        <v>1000</v>
      </c>
      <c r="J7079">
        <v>0</v>
      </c>
      <c r="L7079" t="s">
        <v>629</v>
      </c>
      <c r="Y7079">
        <v>29</v>
      </c>
      <c r="Z7079" s="259" t="s">
        <v>691</v>
      </c>
    </row>
    <row r="7080" spans="1:58" x14ac:dyDescent="0.35">
      <c r="A7080" t="s">
        <v>788</v>
      </c>
      <c r="B7080" t="s">
        <v>563</v>
      </c>
      <c r="C7080">
        <v>46022</v>
      </c>
      <c r="D7080">
        <v>1</v>
      </c>
      <c r="E7080" t="s">
        <v>125</v>
      </c>
      <c r="G7080">
        <v>0</v>
      </c>
      <c r="H7080">
        <v>0</v>
      </c>
      <c r="I7080">
        <v>25</v>
      </c>
      <c r="J7080">
        <v>0</v>
      </c>
      <c r="L7080" t="s">
        <v>629</v>
      </c>
      <c r="Y7080">
        <v>30</v>
      </c>
      <c r="Z7080" s="259" t="s">
        <v>691</v>
      </c>
    </row>
    <row r="7081" spans="1:58" x14ac:dyDescent="0.35">
      <c r="A7081" t="s">
        <v>789</v>
      </c>
      <c r="B7081" t="s">
        <v>565</v>
      </c>
      <c r="C7081">
        <v>46022</v>
      </c>
      <c r="D7081">
        <v>1</v>
      </c>
      <c r="E7081" t="s">
        <v>125</v>
      </c>
      <c r="G7081">
        <v>0</v>
      </c>
      <c r="H7081">
        <v>0</v>
      </c>
      <c r="I7081">
        <v>20</v>
      </c>
      <c r="J7081">
        <v>0</v>
      </c>
      <c r="L7081" t="s">
        <v>629</v>
      </c>
      <c r="Y7081">
        <v>31</v>
      </c>
      <c r="Z7081" s="259" t="s">
        <v>691</v>
      </c>
    </row>
    <row r="7082" spans="1:58" x14ac:dyDescent="0.35">
      <c r="A7082" t="s">
        <v>790</v>
      </c>
      <c r="B7082" t="s">
        <v>566</v>
      </c>
      <c r="C7082">
        <v>46022</v>
      </c>
      <c r="D7082">
        <v>1</v>
      </c>
      <c r="E7082" t="s">
        <v>125</v>
      </c>
      <c r="G7082">
        <v>0</v>
      </c>
      <c r="H7082">
        <v>0</v>
      </c>
      <c r="I7082">
        <v>10</v>
      </c>
      <c r="J7082">
        <v>0</v>
      </c>
      <c r="L7082" t="s">
        <v>629</v>
      </c>
      <c r="Y7082">
        <v>32</v>
      </c>
      <c r="Z7082" s="259" t="s">
        <v>691</v>
      </c>
    </row>
    <row r="7083" spans="1:58" x14ac:dyDescent="0.35">
      <c r="A7083" t="s">
        <v>791</v>
      </c>
      <c r="B7083" t="s">
        <v>747</v>
      </c>
      <c r="C7083">
        <v>46022</v>
      </c>
      <c r="D7083">
        <v>1</v>
      </c>
      <c r="E7083" t="s">
        <v>125</v>
      </c>
      <c r="G7083">
        <v>0</v>
      </c>
      <c r="H7083">
        <v>0</v>
      </c>
      <c r="I7083">
        <v>15</v>
      </c>
      <c r="J7083">
        <v>0</v>
      </c>
      <c r="L7083" t="s">
        <v>629</v>
      </c>
      <c r="Y7083">
        <v>33</v>
      </c>
      <c r="Z7083" s="259" t="s">
        <v>691</v>
      </c>
    </row>
    <row r="7084" spans="1:58" x14ac:dyDescent="0.35">
      <c r="C7084">
        <v>45657</v>
      </c>
      <c r="F7084" t="s">
        <v>749</v>
      </c>
      <c r="Y7084">
        <v>1</v>
      </c>
      <c r="Z7084" s="259" t="s">
        <v>692</v>
      </c>
      <c r="AZ7084" t="s">
        <v>792</v>
      </c>
      <c r="BA7084">
        <v>100</v>
      </c>
      <c r="BB7084" t="s">
        <v>564</v>
      </c>
      <c r="BC7084" t="s">
        <v>793</v>
      </c>
      <c r="BD7084">
        <v>0</v>
      </c>
      <c r="BE7084">
        <v>46302</v>
      </c>
      <c r="BF7084" t="s">
        <v>588</v>
      </c>
    </row>
    <row r="7085" spans="1:58" x14ac:dyDescent="0.35">
      <c r="C7085">
        <v>45658</v>
      </c>
      <c r="F7085" t="s">
        <v>749</v>
      </c>
      <c r="Y7085">
        <v>2</v>
      </c>
      <c r="Z7085" s="259" t="s">
        <v>692</v>
      </c>
      <c r="AZ7085" t="s">
        <v>794</v>
      </c>
      <c r="BA7085">
        <v>100</v>
      </c>
      <c r="BB7085" t="s">
        <v>564</v>
      </c>
      <c r="BC7085" t="s">
        <v>793</v>
      </c>
      <c r="BD7085">
        <v>0</v>
      </c>
      <c r="BE7085">
        <v>46302</v>
      </c>
      <c r="BF7085" t="s">
        <v>588</v>
      </c>
    </row>
    <row r="7086" spans="1:58" x14ac:dyDescent="0.35">
      <c r="C7086">
        <v>45659</v>
      </c>
      <c r="F7086" t="s">
        <v>749</v>
      </c>
      <c r="Y7086">
        <v>3</v>
      </c>
      <c r="Z7086" s="259" t="s">
        <v>692</v>
      </c>
      <c r="AZ7086" t="s">
        <v>795</v>
      </c>
      <c r="BA7086">
        <v>100.07</v>
      </c>
      <c r="BB7086" t="s">
        <v>564</v>
      </c>
      <c r="BC7086" t="s">
        <v>793</v>
      </c>
      <c r="BD7086">
        <v>0</v>
      </c>
      <c r="BE7086">
        <v>46302</v>
      </c>
      <c r="BF7086" t="s">
        <v>588</v>
      </c>
    </row>
    <row r="7087" spans="1:58" x14ac:dyDescent="0.35">
      <c r="C7087">
        <v>45660</v>
      </c>
      <c r="F7087" t="s">
        <v>749</v>
      </c>
      <c r="Y7087">
        <v>4</v>
      </c>
      <c r="Z7087" s="259" t="s">
        <v>692</v>
      </c>
      <c r="AZ7087" t="s">
        <v>796</v>
      </c>
      <c r="BA7087">
        <v>100.13</v>
      </c>
      <c r="BB7087" t="s">
        <v>564</v>
      </c>
      <c r="BC7087" t="s">
        <v>793</v>
      </c>
      <c r="BD7087">
        <v>0</v>
      </c>
      <c r="BE7087">
        <v>46302</v>
      </c>
      <c r="BF7087" t="s">
        <v>588</v>
      </c>
    </row>
    <row r="7088" spans="1:58" x14ac:dyDescent="0.35">
      <c r="C7088">
        <v>45663</v>
      </c>
      <c r="F7088" t="s">
        <v>749</v>
      </c>
      <c r="Y7088">
        <v>5</v>
      </c>
      <c r="Z7088" s="259" t="s">
        <v>692</v>
      </c>
      <c r="AZ7088" t="s">
        <v>797</v>
      </c>
      <c r="BA7088">
        <v>100.33</v>
      </c>
      <c r="BB7088" t="s">
        <v>564</v>
      </c>
      <c r="BC7088" t="s">
        <v>793</v>
      </c>
      <c r="BD7088">
        <v>0</v>
      </c>
      <c r="BE7088">
        <v>46302</v>
      </c>
      <c r="BF7088" t="s">
        <v>588</v>
      </c>
    </row>
    <row r="7089" spans="3:58" x14ac:dyDescent="0.35">
      <c r="C7089">
        <v>45664</v>
      </c>
      <c r="F7089" t="s">
        <v>749</v>
      </c>
      <c r="Y7089">
        <v>6</v>
      </c>
      <c r="Z7089" s="259" t="s">
        <v>692</v>
      </c>
      <c r="AZ7089" t="s">
        <v>798</v>
      </c>
      <c r="BA7089">
        <v>100.4</v>
      </c>
      <c r="BB7089" t="s">
        <v>564</v>
      </c>
      <c r="BC7089" t="s">
        <v>793</v>
      </c>
      <c r="BD7089">
        <v>0</v>
      </c>
      <c r="BE7089">
        <v>46302</v>
      </c>
      <c r="BF7089" t="s">
        <v>588</v>
      </c>
    </row>
    <row r="7090" spans="3:58" x14ac:dyDescent="0.35">
      <c r="C7090">
        <v>45665</v>
      </c>
      <c r="F7090" t="s">
        <v>749</v>
      </c>
      <c r="Y7090">
        <v>7</v>
      </c>
      <c r="Z7090" s="259" t="s">
        <v>692</v>
      </c>
      <c r="AZ7090" t="s">
        <v>799</v>
      </c>
      <c r="BA7090">
        <v>100.47</v>
      </c>
      <c r="BB7090" t="s">
        <v>564</v>
      </c>
      <c r="BC7090" t="s">
        <v>793</v>
      </c>
      <c r="BD7090">
        <v>0</v>
      </c>
      <c r="BE7090">
        <v>46302</v>
      </c>
      <c r="BF7090" t="s">
        <v>588</v>
      </c>
    </row>
    <row r="7091" spans="3:58" x14ac:dyDescent="0.35">
      <c r="C7091">
        <v>45666</v>
      </c>
      <c r="F7091" t="s">
        <v>749</v>
      </c>
      <c r="Y7091">
        <v>8</v>
      </c>
      <c r="Z7091" s="259" t="s">
        <v>692</v>
      </c>
      <c r="AZ7091" t="s">
        <v>800</v>
      </c>
      <c r="BA7091">
        <v>100.53</v>
      </c>
      <c r="BB7091" t="s">
        <v>564</v>
      </c>
      <c r="BC7091" t="s">
        <v>793</v>
      </c>
      <c r="BD7091">
        <v>0</v>
      </c>
      <c r="BE7091">
        <v>46302</v>
      </c>
      <c r="BF7091" t="s">
        <v>588</v>
      </c>
    </row>
    <row r="7092" spans="3:58" x14ac:dyDescent="0.35">
      <c r="C7092">
        <v>45667</v>
      </c>
      <c r="F7092" t="s">
        <v>749</v>
      </c>
      <c r="Y7092">
        <v>9</v>
      </c>
      <c r="Z7092" s="259" t="s">
        <v>692</v>
      </c>
      <c r="AZ7092" t="s">
        <v>801</v>
      </c>
      <c r="BA7092">
        <v>100.6</v>
      </c>
      <c r="BB7092" t="s">
        <v>564</v>
      </c>
      <c r="BC7092" t="s">
        <v>793</v>
      </c>
      <c r="BD7092">
        <v>0</v>
      </c>
      <c r="BE7092">
        <v>46302</v>
      </c>
      <c r="BF7092" t="s">
        <v>588</v>
      </c>
    </row>
    <row r="7093" spans="3:58" x14ac:dyDescent="0.35">
      <c r="C7093">
        <v>45670</v>
      </c>
      <c r="F7093" t="s">
        <v>749</v>
      </c>
      <c r="Y7093">
        <v>10</v>
      </c>
      <c r="Z7093" s="259" t="s">
        <v>692</v>
      </c>
      <c r="AZ7093" t="s">
        <v>802</v>
      </c>
      <c r="BA7093">
        <v>100.8</v>
      </c>
      <c r="BB7093" t="s">
        <v>564</v>
      </c>
      <c r="BC7093" t="s">
        <v>793</v>
      </c>
      <c r="BD7093">
        <v>0</v>
      </c>
      <c r="BE7093">
        <v>46302</v>
      </c>
      <c r="BF7093" t="s">
        <v>588</v>
      </c>
    </row>
    <row r="7094" spans="3:58" x14ac:dyDescent="0.35">
      <c r="C7094">
        <v>45671</v>
      </c>
      <c r="F7094" t="s">
        <v>749</v>
      </c>
      <c r="Y7094">
        <v>11</v>
      </c>
      <c r="Z7094" s="259" t="s">
        <v>692</v>
      </c>
      <c r="AZ7094" t="s">
        <v>803</v>
      </c>
      <c r="BA7094">
        <v>100.87</v>
      </c>
      <c r="BB7094" t="s">
        <v>564</v>
      </c>
      <c r="BC7094" t="s">
        <v>793</v>
      </c>
      <c r="BD7094">
        <v>0</v>
      </c>
      <c r="BE7094">
        <v>46302</v>
      </c>
      <c r="BF7094" t="s">
        <v>588</v>
      </c>
    </row>
    <row r="7095" spans="3:58" x14ac:dyDescent="0.35">
      <c r="C7095">
        <v>45672</v>
      </c>
      <c r="F7095" t="s">
        <v>749</v>
      </c>
      <c r="Y7095">
        <v>12</v>
      </c>
      <c r="Z7095" s="259" t="s">
        <v>692</v>
      </c>
      <c r="AZ7095" t="s">
        <v>804</v>
      </c>
      <c r="BA7095">
        <v>100.93</v>
      </c>
      <c r="BB7095" t="s">
        <v>564</v>
      </c>
      <c r="BC7095" t="s">
        <v>793</v>
      </c>
      <c r="BD7095">
        <v>0</v>
      </c>
      <c r="BE7095">
        <v>46302</v>
      </c>
      <c r="BF7095" t="s">
        <v>588</v>
      </c>
    </row>
    <row r="7096" spans="3:58" x14ac:dyDescent="0.35">
      <c r="C7096">
        <v>45673</v>
      </c>
      <c r="F7096" t="s">
        <v>749</v>
      </c>
      <c r="Y7096">
        <v>13</v>
      </c>
      <c r="Z7096" s="259" t="s">
        <v>692</v>
      </c>
      <c r="AZ7096" t="s">
        <v>805</v>
      </c>
      <c r="BA7096">
        <v>101</v>
      </c>
      <c r="BB7096" t="s">
        <v>564</v>
      </c>
      <c r="BC7096" t="s">
        <v>793</v>
      </c>
      <c r="BD7096">
        <v>0</v>
      </c>
      <c r="BE7096">
        <v>46302</v>
      </c>
      <c r="BF7096" t="s">
        <v>588</v>
      </c>
    </row>
    <row r="7097" spans="3:58" x14ac:dyDescent="0.35">
      <c r="C7097">
        <v>45674</v>
      </c>
      <c r="F7097" t="s">
        <v>749</v>
      </c>
      <c r="Y7097">
        <v>14</v>
      </c>
      <c r="Z7097" s="259" t="s">
        <v>692</v>
      </c>
      <c r="AZ7097" t="s">
        <v>806</v>
      </c>
      <c r="BA7097">
        <v>101.07</v>
      </c>
      <c r="BB7097" t="s">
        <v>564</v>
      </c>
      <c r="BC7097" t="s">
        <v>793</v>
      </c>
      <c r="BD7097">
        <v>0</v>
      </c>
      <c r="BE7097">
        <v>46302</v>
      </c>
      <c r="BF7097" t="s">
        <v>588</v>
      </c>
    </row>
    <row r="7098" spans="3:58" x14ac:dyDescent="0.35">
      <c r="C7098">
        <v>45677</v>
      </c>
      <c r="F7098" t="s">
        <v>749</v>
      </c>
      <c r="Y7098">
        <v>15</v>
      </c>
      <c r="Z7098" s="259" t="s">
        <v>692</v>
      </c>
      <c r="AZ7098" t="s">
        <v>807</v>
      </c>
      <c r="BA7098">
        <v>101.27</v>
      </c>
      <c r="BB7098" t="s">
        <v>564</v>
      </c>
      <c r="BC7098" t="s">
        <v>793</v>
      </c>
      <c r="BD7098">
        <v>0</v>
      </c>
      <c r="BE7098">
        <v>46302</v>
      </c>
      <c r="BF7098" t="s">
        <v>588</v>
      </c>
    </row>
    <row r="7099" spans="3:58" x14ac:dyDescent="0.35">
      <c r="C7099">
        <v>45678</v>
      </c>
      <c r="F7099" t="s">
        <v>749</v>
      </c>
      <c r="Y7099">
        <v>16</v>
      </c>
      <c r="Z7099" s="259" t="s">
        <v>692</v>
      </c>
      <c r="AZ7099" t="s">
        <v>808</v>
      </c>
      <c r="BA7099">
        <v>101.33</v>
      </c>
      <c r="BB7099" t="s">
        <v>564</v>
      </c>
      <c r="BC7099" t="s">
        <v>793</v>
      </c>
      <c r="BD7099">
        <v>0</v>
      </c>
      <c r="BE7099">
        <v>46302</v>
      </c>
      <c r="BF7099" t="s">
        <v>588</v>
      </c>
    </row>
    <row r="7100" spans="3:58" x14ac:dyDescent="0.35">
      <c r="C7100">
        <v>45679</v>
      </c>
      <c r="F7100" t="s">
        <v>749</v>
      </c>
      <c r="Y7100">
        <v>17</v>
      </c>
      <c r="Z7100" s="259" t="s">
        <v>692</v>
      </c>
      <c r="AZ7100" t="s">
        <v>809</v>
      </c>
      <c r="BA7100">
        <v>101.4</v>
      </c>
      <c r="BB7100" t="s">
        <v>564</v>
      </c>
      <c r="BC7100" t="s">
        <v>793</v>
      </c>
      <c r="BD7100">
        <v>0</v>
      </c>
      <c r="BE7100">
        <v>46302</v>
      </c>
      <c r="BF7100" t="s">
        <v>588</v>
      </c>
    </row>
    <row r="7101" spans="3:58" x14ac:dyDescent="0.35">
      <c r="C7101">
        <v>45680</v>
      </c>
      <c r="F7101" t="s">
        <v>749</v>
      </c>
      <c r="Y7101">
        <v>18</v>
      </c>
      <c r="Z7101" s="259" t="s">
        <v>692</v>
      </c>
      <c r="AZ7101" t="s">
        <v>810</v>
      </c>
      <c r="BA7101">
        <v>101.47</v>
      </c>
      <c r="BB7101" t="s">
        <v>564</v>
      </c>
      <c r="BC7101" t="s">
        <v>793</v>
      </c>
      <c r="BD7101">
        <v>0</v>
      </c>
      <c r="BE7101">
        <v>46302</v>
      </c>
      <c r="BF7101" t="s">
        <v>588</v>
      </c>
    </row>
    <row r="7102" spans="3:58" x14ac:dyDescent="0.35">
      <c r="C7102">
        <v>45681</v>
      </c>
      <c r="F7102" t="s">
        <v>749</v>
      </c>
      <c r="Y7102">
        <v>19</v>
      </c>
      <c r="Z7102" s="259" t="s">
        <v>692</v>
      </c>
      <c r="AZ7102" t="s">
        <v>811</v>
      </c>
      <c r="BA7102">
        <v>101.53</v>
      </c>
      <c r="BB7102" t="s">
        <v>564</v>
      </c>
      <c r="BC7102" t="s">
        <v>793</v>
      </c>
      <c r="BD7102">
        <v>0</v>
      </c>
      <c r="BE7102">
        <v>46302</v>
      </c>
      <c r="BF7102" t="s">
        <v>588</v>
      </c>
    </row>
    <row r="7103" spans="3:58" x14ac:dyDescent="0.35">
      <c r="C7103">
        <v>45684</v>
      </c>
      <c r="F7103" t="s">
        <v>749</v>
      </c>
      <c r="Y7103">
        <v>20</v>
      </c>
      <c r="Z7103" s="259" t="s">
        <v>692</v>
      </c>
      <c r="AZ7103" t="s">
        <v>812</v>
      </c>
      <c r="BA7103">
        <v>101.73</v>
      </c>
      <c r="BB7103" t="s">
        <v>564</v>
      </c>
      <c r="BC7103" t="s">
        <v>793</v>
      </c>
      <c r="BD7103">
        <v>0</v>
      </c>
      <c r="BE7103">
        <v>46302</v>
      </c>
      <c r="BF7103" t="s">
        <v>588</v>
      </c>
    </row>
    <row r="7104" spans="3:58" x14ac:dyDescent="0.35">
      <c r="C7104">
        <v>45685</v>
      </c>
      <c r="F7104" t="s">
        <v>749</v>
      </c>
      <c r="Y7104">
        <v>21</v>
      </c>
      <c r="Z7104" s="259" t="s">
        <v>692</v>
      </c>
      <c r="AZ7104" t="s">
        <v>813</v>
      </c>
      <c r="BA7104">
        <v>101.8</v>
      </c>
      <c r="BB7104" t="s">
        <v>564</v>
      </c>
      <c r="BC7104" t="s">
        <v>793</v>
      </c>
      <c r="BD7104">
        <v>0</v>
      </c>
      <c r="BE7104">
        <v>46302</v>
      </c>
      <c r="BF7104" t="s">
        <v>588</v>
      </c>
    </row>
    <row r="7105" spans="3:58" x14ac:dyDescent="0.35">
      <c r="C7105">
        <v>45686</v>
      </c>
      <c r="F7105" t="s">
        <v>749</v>
      </c>
      <c r="Y7105">
        <v>22</v>
      </c>
      <c r="Z7105" s="259" t="s">
        <v>692</v>
      </c>
      <c r="AZ7105" t="s">
        <v>814</v>
      </c>
      <c r="BA7105">
        <v>101.87</v>
      </c>
      <c r="BB7105" t="s">
        <v>564</v>
      </c>
      <c r="BC7105" t="s">
        <v>793</v>
      </c>
      <c r="BD7105">
        <v>0</v>
      </c>
      <c r="BE7105">
        <v>46302</v>
      </c>
      <c r="BF7105" t="s">
        <v>588</v>
      </c>
    </row>
    <row r="7106" spans="3:58" x14ac:dyDescent="0.35">
      <c r="C7106">
        <v>45687</v>
      </c>
      <c r="F7106" t="s">
        <v>749</v>
      </c>
      <c r="Y7106">
        <v>23</v>
      </c>
      <c r="Z7106" s="259" t="s">
        <v>692</v>
      </c>
      <c r="AZ7106" t="s">
        <v>815</v>
      </c>
      <c r="BA7106">
        <v>101.93</v>
      </c>
      <c r="BB7106" t="s">
        <v>564</v>
      </c>
      <c r="BC7106" t="s">
        <v>793</v>
      </c>
      <c r="BD7106">
        <v>0</v>
      </c>
      <c r="BE7106">
        <v>46302</v>
      </c>
      <c r="BF7106" t="s">
        <v>588</v>
      </c>
    </row>
    <row r="7107" spans="3:58" x14ac:dyDescent="0.35">
      <c r="C7107">
        <v>45688</v>
      </c>
      <c r="F7107" t="s">
        <v>749</v>
      </c>
      <c r="Y7107">
        <v>24</v>
      </c>
      <c r="Z7107" s="259" t="s">
        <v>692</v>
      </c>
      <c r="AZ7107" t="s">
        <v>816</v>
      </c>
      <c r="BA7107">
        <v>102</v>
      </c>
      <c r="BB7107" t="s">
        <v>564</v>
      </c>
      <c r="BC7107" t="s">
        <v>793</v>
      </c>
      <c r="BD7107">
        <v>0</v>
      </c>
      <c r="BE7107">
        <v>46302</v>
      </c>
      <c r="BF7107" t="s">
        <v>588</v>
      </c>
    </row>
    <row r="7108" spans="3:58" x14ac:dyDescent="0.35">
      <c r="C7108">
        <v>45691</v>
      </c>
      <c r="F7108" t="s">
        <v>749</v>
      </c>
      <c r="Y7108">
        <v>25</v>
      </c>
      <c r="Z7108" s="259" t="s">
        <v>692</v>
      </c>
      <c r="AZ7108" t="s">
        <v>817</v>
      </c>
      <c r="BA7108">
        <v>101.63</v>
      </c>
      <c r="BB7108" t="s">
        <v>564</v>
      </c>
      <c r="BC7108" t="s">
        <v>793</v>
      </c>
      <c r="BD7108">
        <v>0</v>
      </c>
      <c r="BE7108">
        <v>46302</v>
      </c>
      <c r="BF7108" t="s">
        <v>588</v>
      </c>
    </row>
    <row r="7109" spans="3:58" x14ac:dyDescent="0.35">
      <c r="C7109">
        <v>45692</v>
      </c>
      <c r="F7109" t="s">
        <v>749</v>
      </c>
      <c r="Y7109">
        <v>26</v>
      </c>
      <c r="Z7109" s="259" t="s">
        <v>692</v>
      </c>
      <c r="AZ7109" t="s">
        <v>818</v>
      </c>
      <c r="BA7109">
        <v>101.44</v>
      </c>
      <c r="BB7109" t="s">
        <v>564</v>
      </c>
      <c r="BC7109" t="s">
        <v>793</v>
      </c>
      <c r="BD7109">
        <v>0</v>
      </c>
      <c r="BE7109">
        <v>46302</v>
      </c>
      <c r="BF7109" t="s">
        <v>588</v>
      </c>
    </row>
    <row r="7110" spans="3:58" x14ac:dyDescent="0.35">
      <c r="C7110">
        <v>45693</v>
      </c>
      <c r="F7110" t="s">
        <v>749</v>
      </c>
      <c r="Y7110">
        <v>27</v>
      </c>
      <c r="Z7110" s="259" t="s">
        <v>692</v>
      </c>
      <c r="AZ7110" t="s">
        <v>819</v>
      </c>
      <c r="BA7110">
        <v>101.26</v>
      </c>
      <c r="BB7110" t="s">
        <v>564</v>
      </c>
      <c r="BC7110" t="s">
        <v>793</v>
      </c>
      <c r="BD7110">
        <v>0</v>
      </c>
      <c r="BE7110">
        <v>46302</v>
      </c>
      <c r="BF7110" t="s">
        <v>588</v>
      </c>
    </row>
    <row r="7111" spans="3:58" x14ac:dyDescent="0.35">
      <c r="C7111">
        <v>45694</v>
      </c>
      <c r="F7111" t="s">
        <v>749</v>
      </c>
      <c r="Y7111">
        <v>28</v>
      </c>
      <c r="Z7111" s="259" t="s">
        <v>692</v>
      </c>
      <c r="AZ7111" t="s">
        <v>820</v>
      </c>
      <c r="BA7111">
        <v>101.07</v>
      </c>
      <c r="BB7111" t="s">
        <v>564</v>
      </c>
      <c r="BC7111" t="s">
        <v>793</v>
      </c>
      <c r="BD7111">
        <v>0</v>
      </c>
      <c r="BE7111">
        <v>46302</v>
      </c>
      <c r="BF7111" t="s">
        <v>588</v>
      </c>
    </row>
    <row r="7112" spans="3:58" x14ac:dyDescent="0.35">
      <c r="C7112">
        <v>45695</v>
      </c>
      <c r="F7112" t="s">
        <v>749</v>
      </c>
      <c r="Y7112">
        <v>29</v>
      </c>
      <c r="Z7112" s="259" t="s">
        <v>692</v>
      </c>
      <c r="AZ7112" t="s">
        <v>821</v>
      </c>
      <c r="BA7112">
        <v>100.89</v>
      </c>
      <c r="BB7112" t="s">
        <v>564</v>
      </c>
      <c r="BC7112" t="s">
        <v>793</v>
      </c>
      <c r="BD7112">
        <v>0</v>
      </c>
      <c r="BE7112">
        <v>46302</v>
      </c>
      <c r="BF7112" t="s">
        <v>588</v>
      </c>
    </row>
    <row r="7113" spans="3:58" x14ac:dyDescent="0.35">
      <c r="C7113">
        <v>45698</v>
      </c>
      <c r="F7113" t="s">
        <v>749</v>
      </c>
      <c r="Y7113">
        <v>30</v>
      </c>
      <c r="Z7113" s="259" t="s">
        <v>692</v>
      </c>
      <c r="AZ7113" t="s">
        <v>822</v>
      </c>
      <c r="BA7113">
        <v>100.33</v>
      </c>
      <c r="BB7113" t="s">
        <v>564</v>
      </c>
      <c r="BC7113" t="s">
        <v>793</v>
      </c>
      <c r="BD7113">
        <v>0</v>
      </c>
      <c r="BE7113">
        <v>46302</v>
      </c>
      <c r="BF7113" t="s">
        <v>588</v>
      </c>
    </row>
    <row r="7114" spans="3:58" x14ac:dyDescent="0.35">
      <c r="C7114">
        <v>45699</v>
      </c>
      <c r="F7114" t="s">
        <v>749</v>
      </c>
      <c r="Y7114">
        <v>31</v>
      </c>
      <c r="Z7114" s="259" t="s">
        <v>692</v>
      </c>
      <c r="AZ7114" t="s">
        <v>823</v>
      </c>
      <c r="BA7114">
        <v>100.15</v>
      </c>
      <c r="BB7114" t="s">
        <v>564</v>
      </c>
      <c r="BC7114" t="s">
        <v>793</v>
      </c>
      <c r="BD7114">
        <v>0</v>
      </c>
      <c r="BE7114">
        <v>46302</v>
      </c>
      <c r="BF7114" t="s">
        <v>588</v>
      </c>
    </row>
    <row r="7115" spans="3:58" x14ac:dyDescent="0.35">
      <c r="C7115">
        <v>45700</v>
      </c>
      <c r="F7115" t="s">
        <v>749</v>
      </c>
      <c r="Y7115">
        <v>32</v>
      </c>
      <c r="Z7115" s="259" t="s">
        <v>692</v>
      </c>
      <c r="AZ7115" t="s">
        <v>824</v>
      </c>
      <c r="BA7115">
        <v>99.96</v>
      </c>
      <c r="BB7115" t="s">
        <v>564</v>
      </c>
      <c r="BC7115" t="s">
        <v>793</v>
      </c>
      <c r="BD7115">
        <v>0</v>
      </c>
      <c r="BE7115">
        <v>46302</v>
      </c>
      <c r="BF7115" t="s">
        <v>588</v>
      </c>
    </row>
    <row r="7116" spans="3:58" x14ac:dyDescent="0.35">
      <c r="C7116">
        <v>45701</v>
      </c>
      <c r="F7116" t="s">
        <v>749</v>
      </c>
      <c r="Y7116">
        <v>33</v>
      </c>
      <c r="Z7116" s="259" t="s">
        <v>692</v>
      </c>
      <c r="AZ7116" t="s">
        <v>825</v>
      </c>
      <c r="BA7116">
        <v>99.78</v>
      </c>
      <c r="BB7116" t="s">
        <v>564</v>
      </c>
      <c r="BC7116" t="s">
        <v>793</v>
      </c>
      <c r="BD7116">
        <v>0</v>
      </c>
      <c r="BE7116">
        <v>46302</v>
      </c>
      <c r="BF7116" t="s">
        <v>588</v>
      </c>
    </row>
    <row r="7117" spans="3:58" x14ac:dyDescent="0.35">
      <c r="C7117">
        <v>45702</v>
      </c>
      <c r="F7117" t="s">
        <v>749</v>
      </c>
      <c r="Y7117">
        <v>34</v>
      </c>
      <c r="Z7117" s="259" t="s">
        <v>692</v>
      </c>
      <c r="AZ7117" t="s">
        <v>826</v>
      </c>
      <c r="BA7117">
        <v>99.59</v>
      </c>
      <c r="BB7117" t="s">
        <v>564</v>
      </c>
      <c r="BC7117" t="s">
        <v>793</v>
      </c>
      <c r="BD7117">
        <v>0</v>
      </c>
      <c r="BE7117">
        <v>46302</v>
      </c>
      <c r="BF7117" t="s">
        <v>588</v>
      </c>
    </row>
    <row r="7118" spans="3:58" x14ac:dyDescent="0.35">
      <c r="C7118">
        <v>45705</v>
      </c>
      <c r="F7118" t="s">
        <v>749</v>
      </c>
      <c r="Y7118">
        <v>35</v>
      </c>
      <c r="Z7118" s="259" t="s">
        <v>692</v>
      </c>
      <c r="AZ7118" t="s">
        <v>827</v>
      </c>
      <c r="BA7118">
        <v>99.04</v>
      </c>
      <c r="BB7118" t="s">
        <v>564</v>
      </c>
      <c r="BC7118" t="s">
        <v>793</v>
      </c>
      <c r="BD7118">
        <v>0</v>
      </c>
      <c r="BE7118">
        <v>46302</v>
      </c>
      <c r="BF7118" t="s">
        <v>588</v>
      </c>
    </row>
    <row r="7119" spans="3:58" x14ac:dyDescent="0.35">
      <c r="C7119">
        <v>45706</v>
      </c>
      <c r="F7119" t="s">
        <v>749</v>
      </c>
      <c r="Y7119">
        <v>36</v>
      </c>
      <c r="Z7119" s="259" t="s">
        <v>692</v>
      </c>
      <c r="AZ7119" t="s">
        <v>828</v>
      </c>
      <c r="BA7119">
        <v>98.85</v>
      </c>
      <c r="BB7119" t="s">
        <v>564</v>
      </c>
      <c r="BC7119" t="s">
        <v>793</v>
      </c>
      <c r="BD7119">
        <v>0</v>
      </c>
      <c r="BE7119">
        <v>46302</v>
      </c>
      <c r="BF7119" t="s">
        <v>588</v>
      </c>
    </row>
    <row r="7120" spans="3:58" x14ac:dyDescent="0.35">
      <c r="C7120">
        <v>45707</v>
      </c>
      <c r="F7120" t="s">
        <v>749</v>
      </c>
      <c r="Y7120">
        <v>37</v>
      </c>
      <c r="Z7120" s="259" t="s">
        <v>692</v>
      </c>
      <c r="AZ7120" t="s">
        <v>829</v>
      </c>
      <c r="BA7120">
        <v>98.67</v>
      </c>
      <c r="BB7120" t="s">
        <v>564</v>
      </c>
      <c r="BC7120" t="s">
        <v>793</v>
      </c>
      <c r="BD7120">
        <v>0</v>
      </c>
      <c r="BE7120">
        <v>46302</v>
      </c>
      <c r="BF7120" t="s">
        <v>588</v>
      </c>
    </row>
    <row r="7121" spans="3:58" x14ac:dyDescent="0.35">
      <c r="C7121">
        <v>45708</v>
      </c>
      <c r="F7121" t="s">
        <v>749</v>
      </c>
      <c r="Y7121">
        <v>38</v>
      </c>
      <c r="Z7121" s="259" t="s">
        <v>692</v>
      </c>
      <c r="AZ7121" t="s">
        <v>830</v>
      </c>
      <c r="BA7121">
        <v>98.48</v>
      </c>
      <c r="BB7121" t="s">
        <v>564</v>
      </c>
      <c r="BC7121" t="s">
        <v>793</v>
      </c>
      <c r="BD7121">
        <v>0</v>
      </c>
      <c r="BE7121">
        <v>46302</v>
      </c>
      <c r="BF7121" t="s">
        <v>588</v>
      </c>
    </row>
    <row r="7122" spans="3:58" x14ac:dyDescent="0.35">
      <c r="C7122">
        <v>45709</v>
      </c>
      <c r="F7122" t="s">
        <v>749</v>
      </c>
      <c r="Y7122">
        <v>39</v>
      </c>
      <c r="Z7122" s="259" t="s">
        <v>692</v>
      </c>
      <c r="AZ7122" t="s">
        <v>831</v>
      </c>
      <c r="BA7122">
        <v>98.3</v>
      </c>
      <c r="BB7122" t="s">
        <v>564</v>
      </c>
      <c r="BC7122" t="s">
        <v>793</v>
      </c>
      <c r="BD7122">
        <v>0</v>
      </c>
      <c r="BE7122">
        <v>46302</v>
      </c>
      <c r="BF7122" t="s">
        <v>588</v>
      </c>
    </row>
    <row r="7123" spans="3:58" x14ac:dyDescent="0.35">
      <c r="C7123">
        <v>45712</v>
      </c>
      <c r="F7123" t="s">
        <v>749</v>
      </c>
      <c r="Y7123">
        <v>40</v>
      </c>
      <c r="Z7123" s="259" t="s">
        <v>692</v>
      </c>
      <c r="AZ7123" t="s">
        <v>832</v>
      </c>
      <c r="BA7123">
        <v>97.74</v>
      </c>
      <c r="BB7123" t="s">
        <v>564</v>
      </c>
      <c r="BC7123" t="s">
        <v>793</v>
      </c>
      <c r="BD7123">
        <v>0</v>
      </c>
      <c r="BE7123">
        <v>46302</v>
      </c>
      <c r="BF7123" t="s">
        <v>588</v>
      </c>
    </row>
    <row r="7124" spans="3:58" x14ac:dyDescent="0.35">
      <c r="C7124">
        <v>45713</v>
      </c>
      <c r="F7124" t="s">
        <v>749</v>
      </c>
      <c r="Y7124">
        <v>41</v>
      </c>
      <c r="Z7124" s="259" t="s">
        <v>692</v>
      </c>
      <c r="AZ7124" t="s">
        <v>833</v>
      </c>
      <c r="BA7124">
        <v>97.56</v>
      </c>
      <c r="BB7124" t="s">
        <v>564</v>
      </c>
      <c r="BC7124" t="s">
        <v>793</v>
      </c>
      <c r="BD7124">
        <v>0</v>
      </c>
      <c r="BE7124">
        <v>46302</v>
      </c>
      <c r="BF7124" t="s">
        <v>588</v>
      </c>
    </row>
    <row r="7125" spans="3:58" x14ac:dyDescent="0.35">
      <c r="C7125">
        <v>45714</v>
      </c>
      <c r="F7125" t="s">
        <v>749</v>
      </c>
      <c r="Y7125">
        <v>42</v>
      </c>
      <c r="Z7125" s="259" t="s">
        <v>692</v>
      </c>
      <c r="AZ7125" t="s">
        <v>834</v>
      </c>
      <c r="BA7125">
        <v>97.37</v>
      </c>
      <c r="BB7125" t="s">
        <v>564</v>
      </c>
      <c r="BC7125" t="s">
        <v>793</v>
      </c>
      <c r="BD7125">
        <v>0</v>
      </c>
      <c r="BE7125">
        <v>46302</v>
      </c>
      <c r="BF7125" t="s">
        <v>588</v>
      </c>
    </row>
    <row r="7126" spans="3:58" x14ac:dyDescent="0.35">
      <c r="C7126">
        <v>45715</v>
      </c>
      <c r="F7126" t="s">
        <v>749</v>
      </c>
      <c r="Y7126">
        <v>43</v>
      </c>
      <c r="Z7126" s="259" t="s">
        <v>692</v>
      </c>
      <c r="AZ7126" t="s">
        <v>835</v>
      </c>
      <c r="BA7126">
        <v>97.19</v>
      </c>
      <c r="BB7126" t="s">
        <v>564</v>
      </c>
      <c r="BC7126" t="s">
        <v>793</v>
      </c>
      <c r="BD7126">
        <v>0</v>
      </c>
      <c r="BE7126">
        <v>46302</v>
      </c>
      <c r="BF7126" t="s">
        <v>588</v>
      </c>
    </row>
    <row r="7127" spans="3:58" x14ac:dyDescent="0.35">
      <c r="C7127">
        <v>45716</v>
      </c>
      <c r="F7127" t="s">
        <v>749</v>
      </c>
      <c r="Y7127">
        <v>44</v>
      </c>
      <c r="Z7127" s="259" t="s">
        <v>692</v>
      </c>
      <c r="AZ7127" t="s">
        <v>836</v>
      </c>
      <c r="BA7127">
        <v>97</v>
      </c>
      <c r="BB7127" t="s">
        <v>564</v>
      </c>
      <c r="BC7127" t="s">
        <v>793</v>
      </c>
      <c r="BD7127">
        <v>0</v>
      </c>
      <c r="BE7127">
        <v>46302</v>
      </c>
      <c r="BF7127" t="s">
        <v>588</v>
      </c>
    </row>
    <row r="7128" spans="3:58" x14ac:dyDescent="0.35">
      <c r="C7128">
        <v>45719</v>
      </c>
      <c r="F7128" t="s">
        <v>749</v>
      </c>
      <c r="Y7128">
        <v>45</v>
      </c>
      <c r="Z7128" s="259" t="s">
        <v>692</v>
      </c>
      <c r="AZ7128" t="s">
        <v>837</v>
      </c>
      <c r="BA7128">
        <v>97.6</v>
      </c>
      <c r="BB7128" t="s">
        <v>564</v>
      </c>
      <c r="BC7128" t="s">
        <v>793</v>
      </c>
      <c r="BD7128">
        <v>0</v>
      </c>
      <c r="BE7128">
        <v>46302</v>
      </c>
      <c r="BF7128" t="s">
        <v>588</v>
      </c>
    </row>
    <row r="7129" spans="3:58" x14ac:dyDescent="0.35">
      <c r="C7129">
        <v>45720</v>
      </c>
      <c r="F7129" t="s">
        <v>749</v>
      </c>
      <c r="Y7129">
        <v>46</v>
      </c>
      <c r="Z7129" s="259" t="s">
        <v>692</v>
      </c>
      <c r="AZ7129" t="s">
        <v>838</v>
      </c>
      <c r="BA7129">
        <v>97.9</v>
      </c>
      <c r="BB7129" t="s">
        <v>564</v>
      </c>
      <c r="BC7129" t="s">
        <v>793</v>
      </c>
      <c r="BD7129">
        <v>0</v>
      </c>
      <c r="BE7129">
        <v>46302</v>
      </c>
      <c r="BF7129" t="s">
        <v>588</v>
      </c>
    </row>
    <row r="7130" spans="3:58" x14ac:dyDescent="0.35">
      <c r="C7130">
        <v>45721</v>
      </c>
      <c r="F7130" t="s">
        <v>749</v>
      </c>
      <c r="Y7130">
        <v>47</v>
      </c>
      <c r="Z7130" s="259" t="s">
        <v>692</v>
      </c>
      <c r="AZ7130" t="s">
        <v>839</v>
      </c>
      <c r="BA7130">
        <v>98.2</v>
      </c>
      <c r="BB7130" t="s">
        <v>564</v>
      </c>
      <c r="BC7130" t="s">
        <v>793</v>
      </c>
      <c r="BD7130">
        <v>0</v>
      </c>
      <c r="BE7130">
        <v>46302</v>
      </c>
      <c r="BF7130" t="s">
        <v>588</v>
      </c>
    </row>
    <row r="7131" spans="3:58" x14ac:dyDescent="0.35">
      <c r="C7131">
        <v>45722</v>
      </c>
      <c r="F7131" t="s">
        <v>749</v>
      </c>
      <c r="Y7131">
        <v>48</v>
      </c>
      <c r="Z7131" s="259" t="s">
        <v>692</v>
      </c>
      <c r="AZ7131" t="s">
        <v>840</v>
      </c>
      <c r="BA7131">
        <v>98.5</v>
      </c>
      <c r="BB7131" t="s">
        <v>564</v>
      </c>
      <c r="BC7131" t="s">
        <v>793</v>
      </c>
      <c r="BD7131">
        <v>0</v>
      </c>
      <c r="BE7131">
        <v>46302</v>
      </c>
      <c r="BF7131" t="s">
        <v>588</v>
      </c>
    </row>
    <row r="7132" spans="3:58" x14ac:dyDescent="0.35">
      <c r="C7132">
        <v>45723</v>
      </c>
      <c r="F7132" t="s">
        <v>749</v>
      </c>
      <c r="Y7132">
        <v>49</v>
      </c>
      <c r="Z7132" s="259" t="s">
        <v>692</v>
      </c>
      <c r="AZ7132" t="s">
        <v>841</v>
      </c>
      <c r="BA7132">
        <v>98.8</v>
      </c>
      <c r="BB7132" t="s">
        <v>564</v>
      </c>
      <c r="BC7132" t="s">
        <v>793</v>
      </c>
      <c r="BD7132">
        <v>0</v>
      </c>
      <c r="BE7132">
        <v>46302</v>
      </c>
      <c r="BF7132" t="s">
        <v>588</v>
      </c>
    </row>
    <row r="7133" spans="3:58" x14ac:dyDescent="0.35">
      <c r="C7133">
        <v>45726</v>
      </c>
      <c r="F7133" t="s">
        <v>749</v>
      </c>
      <c r="Y7133">
        <v>50</v>
      </c>
      <c r="Z7133" s="259" t="s">
        <v>692</v>
      </c>
      <c r="AZ7133" t="s">
        <v>842</v>
      </c>
      <c r="BA7133">
        <v>99.7</v>
      </c>
      <c r="BB7133" t="s">
        <v>564</v>
      </c>
      <c r="BC7133" t="s">
        <v>793</v>
      </c>
      <c r="BD7133">
        <v>0</v>
      </c>
      <c r="BE7133">
        <v>46302</v>
      </c>
      <c r="BF7133" t="s">
        <v>588</v>
      </c>
    </row>
    <row r="7134" spans="3:58" x14ac:dyDescent="0.35">
      <c r="C7134">
        <v>45727</v>
      </c>
      <c r="F7134" t="s">
        <v>749</v>
      </c>
      <c r="Y7134">
        <v>51</v>
      </c>
      <c r="Z7134" s="259" t="s">
        <v>692</v>
      </c>
      <c r="AZ7134" t="s">
        <v>843</v>
      </c>
      <c r="BA7134">
        <v>100</v>
      </c>
      <c r="BB7134" t="s">
        <v>564</v>
      </c>
      <c r="BC7134" t="s">
        <v>793</v>
      </c>
      <c r="BD7134">
        <v>0</v>
      </c>
      <c r="BE7134">
        <v>46302</v>
      </c>
      <c r="BF7134" t="s">
        <v>588</v>
      </c>
    </row>
    <row r="7135" spans="3:58" x14ac:dyDescent="0.35">
      <c r="C7135">
        <v>45728</v>
      </c>
      <c r="F7135" t="s">
        <v>749</v>
      </c>
      <c r="Y7135">
        <v>52</v>
      </c>
      <c r="Z7135" s="259" t="s">
        <v>692</v>
      </c>
      <c r="AZ7135" t="s">
        <v>844</v>
      </c>
      <c r="BA7135">
        <v>100.3</v>
      </c>
      <c r="BB7135" t="s">
        <v>564</v>
      </c>
      <c r="BC7135" t="s">
        <v>793</v>
      </c>
      <c r="BD7135">
        <v>0</v>
      </c>
      <c r="BE7135">
        <v>46302</v>
      </c>
      <c r="BF7135" t="s">
        <v>588</v>
      </c>
    </row>
    <row r="7136" spans="3:58" x14ac:dyDescent="0.35">
      <c r="C7136">
        <v>45729</v>
      </c>
      <c r="F7136" t="s">
        <v>749</v>
      </c>
      <c r="Y7136">
        <v>53</v>
      </c>
      <c r="Z7136" s="259" t="s">
        <v>692</v>
      </c>
      <c r="AZ7136" t="s">
        <v>845</v>
      </c>
      <c r="BA7136">
        <v>100.6</v>
      </c>
      <c r="BB7136" t="s">
        <v>564</v>
      </c>
      <c r="BC7136" t="s">
        <v>793</v>
      </c>
      <c r="BD7136">
        <v>0</v>
      </c>
      <c r="BE7136">
        <v>46302</v>
      </c>
      <c r="BF7136" t="s">
        <v>588</v>
      </c>
    </row>
    <row r="7137" spans="3:58" x14ac:dyDescent="0.35">
      <c r="C7137">
        <v>45730</v>
      </c>
      <c r="F7137" t="s">
        <v>749</v>
      </c>
      <c r="Y7137">
        <v>54</v>
      </c>
      <c r="Z7137" s="259" t="s">
        <v>692</v>
      </c>
      <c r="AZ7137" t="s">
        <v>846</v>
      </c>
      <c r="BA7137">
        <v>100.9</v>
      </c>
      <c r="BB7137" t="s">
        <v>564</v>
      </c>
      <c r="BC7137" t="s">
        <v>793</v>
      </c>
      <c r="BD7137">
        <v>0</v>
      </c>
      <c r="BE7137">
        <v>46302</v>
      </c>
      <c r="BF7137" t="s">
        <v>588</v>
      </c>
    </row>
    <row r="7138" spans="3:58" x14ac:dyDescent="0.35">
      <c r="C7138">
        <v>45733</v>
      </c>
      <c r="F7138" t="s">
        <v>749</v>
      </c>
      <c r="Y7138">
        <v>55</v>
      </c>
      <c r="Z7138" s="259" t="s">
        <v>692</v>
      </c>
      <c r="AZ7138" t="s">
        <v>847</v>
      </c>
      <c r="BA7138">
        <v>101.8</v>
      </c>
      <c r="BB7138" t="s">
        <v>564</v>
      </c>
      <c r="BC7138" t="s">
        <v>793</v>
      </c>
      <c r="BD7138">
        <v>0</v>
      </c>
      <c r="BE7138">
        <v>46302</v>
      </c>
      <c r="BF7138" t="s">
        <v>588</v>
      </c>
    </row>
    <row r="7139" spans="3:58" x14ac:dyDescent="0.35">
      <c r="C7139">
        <v>45734</v>
      </c>
      <c r="F7139" t="s">
        <v>749</v>
      </c>
      <c r="Y7139">
        <v>56</v>
      </c>
      <c r="Z7139" s="259" t="s">
        <v>692</v>
      </c>
      <c r="AZ7139" t="s">
        <v>848</v>
      </c>
      <c r="BA7139">
        <v>102.1</v>
      </c>
      <c r="BB7139" t="s">
        <v>564</v>
      </c>
      <c r="BC7139" t="s">
        <v>793</v>
      </c>
      <c r="BD7139">
        <v>0</v>
      </c>
      <c r="BE7139">
        <v>46302</v>
      </c>
      <c r="BF7139" t="s">
        <v>588</v>
      </c>
    </row>
    <row r="7140" spans="3:58" x14ac:dyDescent="0.35">
      <c r="C7140">
        <v>45735</v>
      </c>
      <c r="F7140" t="s">
        <v>749</v>
      </c>
      <c r="Y7140">
        <v>57</v>
      </c>
      <c r="Z7140" s="259" t="s">
        <v>692</v>
      </c>
      <c r="AZ7140" t="s">
        <v>849</v>
      </c>
      <c r="BA7140">
        <v>102.4</v>
      </c>
      <c r="BB7140" t="s">
        <v>564</v>
      </c>
      <c r="BC7140" t="s">
        <v>793</v>
      </c>
      <c r="BD7140">
        <v>0</v>
      </c>
      <c r="BE7140">
        <v>46302</v>
      </c>
      <c r="BF7140" t="s">
        <v>588</v>
      </c>
    </row>
    <row r="7141" spans="3:58" x14ac:dyDescent="0.35">
      <c r="C7141">
        <v>45736</v>
      </c>
      <c r="F7141" t="s">
        <v>749</v>
      </c>
      <c r="Y7141">
        <v>58</v>
      </c>
      <c r="Z7141" s="259" t="s">
        <v>692</v>
      </c>
      <c r="AZ7141" t="s">
        <v>850</v>
      </c>
      <c r="BA7141">
        <v>102.7</v>
      </c>
      <c r="BB7141" t="s">
        <v>564</v>
      </c>
      <c r="BC7141" t="s">
        <v>793</v>
      </c>
      <c r="BD7141">
        <v>0</v>
      </c>
      <c r="BE7141">
        <v>46302</v>
      </c>
      <c r="BF7141" t="s">
        <v>588</v>
      </c>
    </row>
    <row r="7142" spans="3:58" x14ac:dyDescent="0.35">
      <c r="C7142">
        <v>45737</v>
      </c>
      <c r="F7142" t="s">
        <v>749</v>
      </c>
      <c r="Y7142">
        <v>59</v>
      </c>
      <c r="Z7142" s="259" t="s">
        <v>692</v>
      </c>
      <c r="AZ7142" t="s">
        <v>851</v>
      </c>
      <c r="BA7142">
        <v>103</v>
      </c>
      <c r="BB7142" t="s">
        <v>564</v>
      </c>
      <c r="BC7142" t="s">
        <v>793</v>
      </c>
      <c r="BD7142">
        <v>0</v>
      </c>
      <c r="BE7142">
        <v>46302</v>
      </c>
      <c r="BF7142" t="s">
        <v>588</v>
      </c>
    </row>
    <row r="7143" spans="3:58" x14ac:dyDescent="0.35">
      <c r="C7143">
        <v>45740</v>
      </c>
      <c r="F7143" t="s">
        <v>749</v>
      </c>
      <c r="Y7143">
        <v>60</v>
      </c>
      <c r="Z7143" s="259" t="s">
        <v>692</v>
      </c>
      <c r="AZ7143" t="s">
        <v>852</v>
      </c>
      <c r="BA7143">
        <v>103.9</v>
      </c>
      <c r="BB7143" t="s">
        <v>564</v>
      </c>
      <c r="BC7143" t="s">
        <v>793</v>
      </c>
      <c r="BD7143">
        <v>0</v>
      </c>
      <c r="BE7143">
        <v>46302</v>
      </c>
      <c r="BF7143" t="s">
        <v>588</v>
      </c>
    </row>
    <row r="7144" spans="3:58" x14ac:dyDescent="0.35">
      <c r="C7144">
        <v>45741</v>
      </c>
      <c r="F7144" t="s">
        <v>749</v>
      </c>
      <c r="Y7144">
        <v>61</v>
      </c>
      <c r="Z7144" s="259" t="s">
        <v>692</v>
      </c>
      <c r="AZ7144" t="s">
        <v>853</v>
      </c>
      <c r="BA7144">
        <v>104.2</v>
      </c>
      <c r="BB7144" t="s">
        <v>564</v>
      </c>
      <c r="BC7144" t="s">
        <v>793</v>
      </c>
      <c r="BD7144">
        <v>0</v>
      </c>
      <c r="BE7144">
        <v>46302</v>
      </c>
      <c r="BF7144" t="s">
        <v>588</v>
      </c>
    </row>
    <row r="7145" spans="3:58" x14ac:dyDescent="0.35">
      <c r="C7145">
        <v>45742</v>
      </c>
      <c r="F7145" t="s">
        <v>749</v>
      </c>
      <c r="Y7145">
        <v>62</v>
      </c>
      <c r="Z7145" s="259" t="s">
        <v>692</v>
      </c>
      <c r="AZ7145" t="s">
        <v>854</v>
      </c>
      <c r="BA7145">
        <v>104.5</v>
      </c>
      <c r="BB7145" t="s">
        <v>564</v>
      </c>
      <c r="BC7145" t="s">
        <v>793</v>
      </c>
      <c r="BD7145">
        <v>0</v>
      </c>
      <c r="BE7145">
        <v>46302</v>
      </c>
      <c r="BF7145" t="s">
        <v>588</v>
      </c>
    </row>
    <row r="7146" spans="3:58" x14ac:dyDescent="0.35">
      <c r="C7146">
        <v>45743</v>
      </c>
      <c r="F7146" t="s">
        <v>749</v>
      </c>
      <c r="Y7146">
        <v>63</v>
      </c>
      <c r="Z7146" s="259" t="s">
        <v>692</v>
      </c>
      <c r="AZ7146" t="s">
        <v>855</v>
      </c>
      <c r="BA7146">
        <v>104.8</v>
      </c>
      <c r="BB7146" t="s">
        <v>564</v>
      </c>
      <c r="BC7146" t="s">
        <v>793</v>
      </c>
      <c r="BD7146">
        <v>0</v>
      </c>
      <c r="BE7146">
        <v>46302</v>
      </c>
      <c r="BF7146" t="s">
        <v>588</v>
      </c>
    </row>
    <row r="7147" spans="3:58" x14ac:dyDescent="0.35">
      <c r="C7147">
        <v>45744</v>
      </c>
      <c r="F7147" t="s">
        <v>749</v>
      </c>
      <c r="Y7147">
        <v>64</v>
      </c>
      <c r="Z7147" s="259" t="s">
        <v>692</v>
      </c>
      <c r="AZ7147" t="s">
        <v>856</v>
      </c>
      <c r="BA7147">
        <v>105.1</v>
      </c>
      <c r="BB7147" t="s">
        <v>564</v>
      </c>
      <c r="BC7147" t="s">
        <v>793</v>
      </c>
      <c r="BD7147">
        <v>0</v>
      </c>
      <c r="BE7147">
        <v>46302</v>
      </c>
      <c r="BF7147" t="s">
        <v>588</v>
      </c>
    </row>
    <row r="7148" spans="3:58" x14ac:dyDescent="0.35">
      <c r="C7148">
        <v>45747</v>
      </c>
      <c r="F7148" t="s">
        <v>749</v>
      </c>
      <c r="Y7148">
        <v>65</v>
      </c>
      <c r="Z7148" s="259" t="s">
        <v>692</v>
      </c>
      <c r="AZ7148" t="s">
        <v>857</v>
      </c>
      <c r="BA7148">
        <v>106</v>
      </c>
      <c r="BB7148" t="s">
        <v>564</v>
      </c>
      <c r="BC7148" t="s">
        <v>793</v>
      </c>
      <c r="BD7148">
        <v>0</v>
      </c>
      <c r="BE7148">
        <v>46302</v>
      </c>
      <c r="BF7148" t="s">
        <v>588</v>
      </c>
    </row>
    <row r="7149" spans="3:58" x14ac:dyDescent="0.35">
      <c r="C7149">
        <v>45748</v>
      </c>
      <c r="F7149" t="s">
        <v>749</v>
      </c>
      <c r="Y7149">
        <v>66</v>
      </c>
      <c r="Z7149" s="259" t="s">
        <v>692</v>
      </c>
      <c r="AZ7149" t="s">
        <v>858</v>
      </c>
      <c r="BA7149">
        <v>106</v>
      </c>
      <c r="BB7149" t="s">
        <v>564</v>
      </c>
      <c r="BC7149" t="s">
        <v>793</v>
      </c>
      <c r="BD7149">
        <v>0</v>
      </c>
      <c r="BE7149">
        <v>46302</v>
      </c>
      <c r="BF7149" t="s">
        <v>588</v>
      </c>
    </row>
    <row r="7150" spans="3:58" x14ac:dyDescent="0.35">
      <c r="C7150">
        <v>45749</v>
      </c>
      <c r="F7150" t="s">
        <v>749</v>
      </c>
      <c r="Y7150">
        <v>67</v>
      </c>
      <c r="Z7150" s="259" t="s">
        <v>692</v>
      </c>
      <c r="AZ7150" t="s">
        <v>859</v>
      </c>
      <c r="BA7150">
        <v>105.83</v>
      </c>
      <c r="BB7150" t="s">
        <v>564</v>
      </c>
      <c r="BC7150" t="s">
        <v>793</v>
      </c>
      <c r="BD7150">
        <v>0</v>
      </c>
      <c r="BE7150">
        <v>46302</v>
      </c>
      <c r="BF7150" t="s">
        <v>588</v>
      </c>
    </row>
    <row r="7151" spans="3:58" x14ac:dyDescent="0.35">
      <c r="C7151">
        <v>45750</v>
      </c>
      <c r="F7151" t="s">
        <v>749</v>
      </c>
      <c r="Y7151">
        <v>68</v>
      </c>
      <c r="Z7151" s="259" t="s">
        <v>692</v>
      </c>
      <c r="AZ7151" t="s">
        <v>860</v>
      </c>
      <c r="BA7151">
        <v>105.66</v>
      </c>
      <c r="BB7151" t="s">
        <v>564</v>
      </c>
      <c r="BC7151" t="s">
        <v>793</v>
      </c>
      <c r="BD7151">
        <v>0</v>
      </c>
      <c r="BE7151">
        <v>46302</v>
      </c>
      <c r="BF7151" t="s">
        <v>588</v>
      </c>
    </row>
    <row r="7152" spans="3:58" x14ac:dyDescent="0.35">
      <c r="C7152">
        <v>45751</v>
      </c>
      <c r="F7152" t="s">
        <v>749</v>
      </c>
      <c r="Y7152">
        <v>69</v>
      </c>
      <c r="Z7152" s="259" t="s">
        <v>692</v>
      </c>
      <c r="AZ7152" t="s">
        <v>861</v>
      </c>
      <c r="BA7152">
        <v>105.48</v>
      </c>
      <c r="BB7152" t="s">
        <v>564</v>
      </c>
      <c r="BC7152" t="s">
        <v>793</v>
      </c>
      <c r="BD7152">
        <v>0</v>
      </c>
      <c r="BE7152">
        <v>46302</v>
      </c>
      <c r="BF7152" t="s">
        <v>588</v>
      </c>
    </row>
    <row r="7153" spans="3:58" x14ac:dyDescent="0.35">
      <c r="C7153">
        <v>45754</v>
      </c>
      <c r="F7153" t="s">
        <v>749</v>
      </c>
      <c r="Y7153">
        <v>70</v>
      </c>
      <c r="Z7153" s="259" t="s">
        <v>692</v>
      </c>
      <c r="AZ7153" t="s">
        <v>862</v>
      </c>
      <c r="BA7153">
        <v>104.97</v>
      </c>
      <c r="BB7153" t="s">
        <v>564</v>
      </c>
      <c r="BC7153" t="s">
        <v>793</v>
      </c>
      <c r="BD7153">
        <v>0</v>
      </c>
      <c r="BE7153">
        <v>46302</v>
      </c>
      <c r="BF7153" t="s">
        <v>588</v>
      </c>
    </row>
    <row r="7154" spans="3:58" x14ac:dyDescent="0.35">
      <c r="C7154">
        <v>45755</v>
      </c>
      <c r="F7154" t="s">
        <v>749</v>
      </c>
      <c r="Y7154">
        <v>71</v>
      </c>
      <c r="Z7154" s="259" t="s">
        <v>692</v>
      </c>
      <c r="AZ7154" t="s">
        <v>863</v>
      </c>
      <c r="BA7154">
        <v>104.79</v>
      </c>
      <c r="BB7154" t="s">
        <v>564</v>
      </c>
      <c r="BC7154" t="s">
        <v>793</v>
      </c>
      <c r="BD7154">
        <v>0</v>
      </c>
      <c r="BE7154">
        <v>46302</v>
      </c>
      <c r="BF7154" t="s">
        <v>588</v>
      </c>
    </row>
    <row r="7155" spans="3:58" x14ac:dyDescent="0.35">
      <c r="C7155">
        <v>45756</v>
      </c>
      <c r="F7155" t="s">
        <v>749</v>
      </c>
      <c r="Y7155">
        <v>72</v>
      </c>
      <c r="Z7155" s="259" t="s">
        <v>692</v>
      </c>
      <c r="AZ7155" t="s">
        <v>864</v>
      </c>
      <c r="BA7155">
        <v>104.62</v>
      </c>
      <c r="BB7155" t="s">
        <v>564</v>
      </c>
      <c r="BC7155" t="s">
        <v>793</v>
      </c>
      <c r="BD7155">
        <v>0</v>
      </c>
      <c r="BE7155">
        <v>46302</v>
      </c>
      <c r="BF7155" t="s">
        <v>588</v>
      </c>
    </row>
    <row r="7156" spans="3:58" x14ac:dyDescent="0.35">
      <c r="C7156">
        <v>45757</v>
      </c>
      <c r="F7156" t="s">
        <v>749</v>
      </c>
      <c r="Y7156">
        <v>73</v>
      </c>
      <c r="Z7156" s="259" t="s">
        <v>692</v>
      </c>
      <c r="AZ7156" t="s">
        <v>865</v>
      </c>
      <c r="BA7156">
        <v>104.45</v>
      </c>
      <c r="BB7156" t="s">
        <v>564</v>
      </c>
      <c r="BC7156" t="s">
        <v>793</v>
      </c>
      <c r="BD7156">
        <v>0</v>
      </c>
      <c r="BE7156">
        <v>46302</v>
      </c>
      <c r="BF7156" t="s">
        <v>588</v>
      </c>
    </row>
    <row r="7157" spans="3:58" x14ac:dyDescent="0.35">
      <c r="C7157">
        <v>45758</v>
      </c>
      <c r="F7157" t="s">
        <v>749</v>
      </c>
      <c r="Y7157">
        <v>74</v>
      </c>
      <c r="Z7157" s="259" t="s">
        <v>692</v>
      </c>
      <c r="AZ7157" t="s">
        <v>866</v>
      </c>
      <c r="BA7157">
        <v>104.28</v>
      </c>
      <c r="BB7157" t="s">
        <v>564</v>
      </c>
      <c r="BC7157" t="s">
        <v>793</v>
      </c>
      <c r="BD7157">
        <v>0</v>
      </c>
      <c r="BE7157">
        <v>46302</v>
      </c>
      <c r="BF7157" t="s">
        <v>588</v>
      </c>
    </row>
    <row r="7158" spans="3:58" x14ac:dyDescent="0.35">
      <c r="C7158">
        <v>45761</v>
      </c>
      <c r="F7158" t="s">
        <v>749</v>
      </c>
      <c r="Y7158">
        <v>75</v>
      </c>
      <c r="Z7158" s="259" t="s">
        <v>692</v>
      </c>
      <c r="AZ7158" t="s">
        <v>867</v>
      </c>
      <c r="BA7158">
        <v>103.76</v>
      </c>
      <c r="BB7158" t="s">
        <v>564</v>
      </c>
      <c r="BC7158" t="s">
        <v>793</v>
      </c>
      <c r="BD7158">
        <v>0</v>
      </c>
      <c r="BE7158">
        <v>46302</v>
      </c>
      <c r="BF7158" t="s">
        <v>588</v>
      </c>
    </row>
    <row r="7159" spans="3:58" x14ac:dyDescent="0.35">
      <c r="C7159">
        <v>45762</v>
      </c>
      <c r="F7159" t="s">
        <v>749</v>
      </c>
      <c r="Y7159">
        <v>76</v>
      </c>
      <c r="Z7159" s="259" t="s">
        <v>692</v>
      </c>
      <c r="AZ7159" t="s">
        <v>868</v>
      </c>
      <c r="BA7159">
        <v>103.59</v>
      </c>
      <c r="BB7159" t="s">
        <v>564</v>
      </c>
      <c r="BC7159" t="s">
        <v>793</v>
      </c>
      <c r="BD7159">
        <v>0</v>
      </c>
      <c r="BE7159">
        <v>46302</v>
      </c>
      <c r="BF7159" t="s">
        <v>588</v>
      </c>
    </row>
    <row r="7160" spans="3:58" x14ac:dyDescent="0.35">
      <c r="C7160">
        <v>45763</v>
      </c>
      <c r="F7160" t="s">
        <v>749</v>
      </c>
      <c r="Y7160">
        <v>77</v>
      </c>
      <c r="Z7160" s="259" t="s">
        <v>692</v>
      </c>
      <c r="AZ7160" t="s">
        <v>869</v>
      </c>
      <c r="BA7160">
        <v>103.41</v>
      </c>
      <c r="BB7160" t="s">
        <v>564</v>
      </c>
      <c r="BC7160" t="s">
        <v>793</v>
      </c>
      <c r="BD7160">
        <v>0</v>
      </c>
      <c r="BE7160">
        <v>46302</v>
      </c>
      <c r="BF7160" t="s">
        <v>588</v>
      </c>
    </row>
    <row r="7161" spans="3:58" x14ac:dyDescent="0.35">
      <c r="C7161">
        <v>45764</v>
      </c>
      <c r="F7161" t="s">
        <v>749</v>
      </c>
      <c r="Y7161">
        <v>78</v>
      </c>
      <c r="Z7161" s="259" t="s">
        <v>692</v>
      </c>
      <c r="AZ7161" t="s">
        <v>870</v>
      </c>
      <c r="BA7161">
        <v>103.24</v>
      </c>
      <c r="BB7161" t="s">
        <v>564</v>
      </c>
      <c r="BC7161" t="s">
        <v>793</v>
      </c>
      <c r="BD7161">
        <v>0</v>
      </c>
      <c r="BE7161">
        <v>46302</v>
      </c>
      <c r="BF7161" t="s">
        <v>588</v>
      </c>
    </row>
    <row r="7162" spans="3:58" x14ac:dyDescent="0.35">
      <c r="C7162">
        <v>45765</v>
      </c>
      <c r="F7162" t="s">
        <v>749</v>
      </c>
      <c r="Y7162">
        <v>79</v>
      </c>
      <c r="Z7162" s="259" t="s">
        <v>692</v>
      </c>
      <c r="AZ7162" t="s">
        <v>871</v>
      </c>
      <c r="BA7162">
        <v>103.07</v>
      </c>
      <c r="BB7162" t="s">
        <v>564</v>
      </c>
      <c r="BC7162" t="s">
        <v>793</v>
      </c>
      <c r="BD7162">
        <v>0</v>
      </c>
      <c r="BE7162">
        <v>46302</v>
      </c>
      <c r="BF7162" t="s">
        <v>588</v>
      </c>
    </row>
    <row r="7163" spans="3:58" x14ac:dyDescent="0.35">
      <c r="C7163">
        <v>45768</v>
      </c>
      <c r="F7163" t="s">
        <v>749</v>
      </c>
      <c r="Y7163">
        <v>80</v>
      </c>
      <c r="Z7163" s="259" t="s">
        <v>692</v>
      </c>
      <c r="AZ7163" t="s">
        <v>872</v>
      </c>
      <c r="BA7163">
        <v>102.55</v>
      </c>
      <c r="BB7163" t="s">
        <v>564</v>
      </c>
      <c r="BC7163" t="s">
        <v>793</v>
      </c>
      <c r="BD7163">
        <v>0</v>
      </c>
      <c r="BE7163">
        <v>46302</v>
      </c>
      <c r="BF7163" t="s">
        <v>588</v>
      </c>
    </row>
    <row r="7164" spans="3:58" x14ac:dyDescent="0.35">
      <c r="C7164">
        <v>45769</v>
      </c>
      <c r="F7164" t="s">
        <v>749</v>
      </c>
      <c r="Y7164">
        <v>81</v>
      </c>
      <c r="Z7164" s="259" t="s">
        <v>692</v>
      </c>
      <c r="AZ7164" t="s">
        <v>873</v>
      </c>
      <c r="BA7164">
        <v>102.38</v>
      </c>
      <c r="BB7164" t="s">
        <v>564</v>
      </c>
      <c r="BC7164" t="s">
        <v>793</v>
      </c>
      <c r="BD7164">
        <v>0</v>
      </c>
      <c r="BE7164">
        <v>46302</v>
      </c>
      <c r="BF7164" t="s">
        <v>588</v>
      </c>
    </row>
    <row r="7165" spans="3:58" x14ac:dyDescent="0.35">
      <c r="C7165">
        <v>45770</v>
      </c>
      <c r="F7165" t="s">
        <v>749</v>
      </c>
      <c r="Y7165">
        <v>82</v>
      </c>
      <c r="Z7165" s="259" t="s">
        <v>692</v>
      </c>
      <c r="AZ7165" t="s">
        <v>874</v>
      </c>
      <c r="BA7165">
        <v>102.21</v>
      </c>
      <c r="BB7165" t="s">
        <v>564</v>
      </c>
      <c r="BC7165" t="s">
        <v>793</v>
      </c>
      <c r="BD7165">
        <v>0</v>
      </c>
      <c r="BE7165">
        <v>46302</v>
      </c>
      <c r="BF7165" t="s">
        <v>588</v>
      </c>
    </row>
    <row r="7166" spans="3:58" x14ac:dyDescent="0.35">
      <c r="C7166">
        <v>45771</v>
      </c>
      <c r="F7166" t="s">
        <v>749</v>
      </c>
      <c r="Y7166">
        <v>83</v>
      </c>
      <c r="Z7166" s="259" t="s">
        <v>692</v>
      </c>
      <c r="AZ7166" t="s">
        <v>875</v>
      </c>
      <c r="BA7166">
        <v>102.03</v>
      </c>
      <c r="BB7166" t="s">
        <v>564</v>
      </c>
      <c r="BC7166" t="s">
        <v>793</v>
      </c>
      <c r="BD7166">
        <v>0</v>
      </c>
      <c r="BE7166">
        <v>46302</v>
      </c>
      <c r="BF7166" t="s">
        <v>588</v>
      </c>
    </row>
    <row r="7167" spans="3:58" x14ac:dyDescent="0.35">
      <c r="C7167">
        <v>45772</v>
      </c>
      <c r="F7167" t="s">
        <v>749</v>
      </c>
      <c r="Y7167">
        <v>84</v>
      </c>
      <c r="Z7167" s="259" t="s">
        <v>692</v>
      </c>
      <c r="AZ7167" t="s">
        <v>876</v>
      </c>
      <c r="BA7167">
        <v>101.86</v>
      </c>
      <c r="BB7167" t="s">
        <v>564</v>
      </c>
      <c r="BC7167" t="s">
        <v>793</v>
      </c>
      <c r="BD7167">
        <v>0</v>
      </c>
      <c r="BE7167">
        <v>46302</v>
      </c>
      <c r="BF7167" t="s">
        <v>588</v>
      </c>
    </row>
    <row r="7168" spans="3:58" x14ac:dyDescent="0.35">
      <c r="C7168">
        <v>45775</v>
      </c>
      <c r="F7168" t="s">
        <v>749</v>
      </c>
      <c r="Y7168">
        <v>85</v>
      </c>
      <c r="Z7168" s="259" t="s">
        <v>692</v>
      </c>
      <c r="AZ7168" t="s">
        <v>877</v>
      </c>
      <c r="BA7168">
        <v>101.34</v>
      </c>
      <c r="BB7168" t="s">
        <v>564</v>
      </c>
      <c r="BC7168" t="s">
        <v>793</v>
      </c>
      <c r="BD7168">
        <v>0</v>
      </c>
      <c r="BE7168">
        <v>46302</v>
      </c>
      <c r="BF7168" t="s">
        <v>588</v>
      </c>
    </row>
    <row r="7169" spans="3:58" x14ac:dyDescent="0.35">
      <c r="C7169">
        <v>45776</v>
      </c>
      <c r="F7169" t="s">
        <v>749</v>
      </c>
      <c r="Y7169">
        <v>86</v>
      </c>
      <c r="Z7169" s="259" t="s">
        <v>692</v>
      </c>
      <c r="AZ7169" t="s">
        <v>878</v>
      </c>
      <c r="BA7169">
        <v>101.17</v>
      </c>
      <c r="BB7169" t="s">
        <v>564</v>
      </c>
      <c r="BC7169" t="s">
        <v>793</v>
      </c>
      <c r="BD7169">
        <v>0</v>
      </c>
      <c r="BE7169">
        <v>46302</v>
      </c>
      <c r="BF7169" t="s">
        <v>588</v>
      </c>
    </row>
    <row r="7170" spans="3:58" x14ac:dyDescent="0.35">
      <c r="C7170">
        <v>45777</v>
      </c>
      <c r="F7170" t="s">
        <v>749</v>
      </c>
      <c r="Y7170">
        <v>87</v>
      </c>
      <c r="Z7170" s="259" t="s">
        <v>692</v>
      </c>
      <c r="AZ7170" t="s">
        <v>879</v>
      </c>
      <c r="BA7170">
        <v>101</v>
      </c>
      <c r="BB7170" t="s">
        <v>564</v>
      </c>
      <c r="BC7170" t="s">
        <v>793</v>
      </c>
      <c r="BD7170">
        <v>0</v>
      </c>
      <c r="BE7170">
        <v>46302</v>
      </c>
      <c r="BF7170" t="s">
        <v>588</v>
      </c>
    </row>
    <row r="7171" spans="3:58" x14ac:dyDescent="0.35">
      <c r="C7171">
        <v>45778</v>
      </c>
      <c r="F7171" t="s">
        <v>749</v>
      </c>
      <c r="Y7171">
        <v>88</v>
      </c>
      <c r="Z7171" s="259" t="s">
        <v>692</v>
      </c>
      <c r="AZ7171" t="s">
        <v>880</v>
      </c>
      <c r="BA7171">
        <v>101</v>
      </c>
      <c r="BB7171" t="s">
        <v>564</v>
      </c>
      <c r="BC7171" t="s">
        <v>793</v>
      </c>
      <c r="BD7171">
        <v>0</v>
      </c>
      <c r="BE7171">
        <v>46302</v>
      </c>
      <c r="BF7171" t="s">
        <v>588</v>
      </c>
    </row>
    <row r="7172" spans="3:58" x14ac:dyDescent="0.35">
      <c r="C7172">
        <v>45779</v>
      </c>
      <c r="F7172" t="s">
        <v>749</v>
      </c>
      <c r="Y7172">
        <v>89</v>
      </c>
      <c r="Z7172" s="259" t="s">
        <v>692</v>
      </c>
      <c r="AZ7172" t="s">
        <v>881</v>
      </c>
      <c r="BA7172">
        <v>100.93</v>
      </c>
      <c r="BB7172" t="s">
        <v>564</v>
      </c>
      <c r="BC7172" t="s">
        <v>793</v>
      </c>
      <c r="BD7172">
        <v>0</v>
      </c>
      <c r="BE7172">
        <v>46302</v>
      </c>
      <c r="BF7172" t="s">
        <v>588</v>
      </c>
    </row>
    <row r="7173" spans="3:58" x14ac:dyDescent="0.35">
      <c r="C7173">
        <v>45782</v>
      </c>
      <c r="F7173" t="s">
        <v>749</v>
      </c>
      <c r="Y7173">
        <v>90</v>
      </c>
      <c r="Z7173" s="259" t="s">
        <v>692</v>
      </c>
      <c r="AZ7173" t="s">
        <v>882</v>
      </c>
      <c r="BA7173">
        <v>100.73</v>
      </c>
      <c r="BB7173" t="s">
        <v>564</v>
      </c>
      <c r="BC7173" t="s">
        <v>793</v>
      </c>
      <c r="BD7173">
        <v>0</v>
      </c>
      <c r="BE7173">
        <v>46302</v>
      </c>
      <c r="BF7173" t="s">
        <v>588</v>
      </c>
    </row>
    <row r="7174" spans="3:58" x14ac:dyDescent="0.35">
      <c r="C7174">
        <v>45783</v>
      </c>
      <c r="F7174" t="s">
        <v>749</v>
      </c>
      <c r="Y7174">
        <v>91</v>
      </c>
      <c r="Z7174" s="259" t="s">
        <v>692</v>
      </c>
      <c r="AZ7174" t="s">
        <v>883</v>
      </c>
      <c r="BA7174">
        <v>100.67</v>
      </c>
      <c r="BB7174" t="s">
        <v>564</v>
      </c>
      <c r="BC7174" t="s">
        <v>793</v>
      </c>
      <c r="BD7174">
        <v>0</v>
      </c>
      <c r="BE7174">
        <v>46302</v>
      </c>
      <c r="BF7174" t="s">
        <v>588</v>
      </c>
    </row>
    <row r="7175" spans="3:58" x14ac:dyDescent="0.35">
      <c r="C7175">
        <v>45784</v>
      </c>
      <c r="F7175" t="s">
        <v>749</v>
      </c>
      <c r="Y7175">
        <v>92</v>
      </c>
      <c r="Z7175" s="259" t="s">
        <v>692</v>
      </c>
      <c r="AZ7175" t="s">
        <v>884</v>
      </c>
      <c r="BA7175">
        <v>100.6</v>
      </c>
      <c r="BB7175" t="s">
        <v>564</v>
      </c>
      <c r="BC7175" t="s">
        <v>793</v>
      </c>
      <c r="BD7175">
        <v>0</v>
      </c>
      <c r="BE7175">
        <v>46302</v>
      </c>
      <c r="BF7175" t="s">
        <v>588</v>
      </c>
    </row>
    <row r="7176" spans="3:58" x14ac:dyDescent="0.35">
      <c r="C7176">
        <v>45785</v>
      </c>
      <c r="F7176" t="s">
        <v>749</v>
      </c>
      <c r="Y7176">
        <v>93</v>
      </c>
      <c r="Z7176" s="259" t="s">
        <v>692</v>
      </c>
      <c r="AZ7176" t="s">
        <v>885</v>
      </c>
      <c r="BA7176">
        <v>100.53</v>
      </c>
      <c r="BB7176" t="s">
        <v>564</v>
      </c>
      <c r="BC7176" t="s">
        <v>793</v>
      </c>
      <c r="BD7176">
        <v>0</v>
      </c>
      <c r="BE7176">
        <v>46302</v>
      </c>
      <c r="BF7176" t="s">
        <v>588</v>
      </c>
    </row>
    <row r="7177" spans="3:58" x14ac:dyDescent="0.35">
      <c r="C7177">
        <v>45786</v>
      </c>
      <c r="F7177" t="s">
        <v>749</v>
      </c>
      <c r="Y7177">
        <v>94</v>
      </c>
      <c r="Z7177" s="259" t="s">
        <v>692</v>
      </c>
      <c r="AZ7177" t="s">
        <v>886</v>
      </c>
      <c r="BA7177">
        <v>100.47</v>
      </c>
      <c r="BB7177" t="s">
        <v>564</v>
      </c>
      <c r="BC7177" t="s">
        <v>793</v>
      </c>
      <c r="BD7177">
        <v>0</v>
      </c>
      <c r="BE7177">
        <v>46302</v>
      </c>
      <c r="BF7177" t="s">
        <v>588</v>
      </c>
    </row>
    <row r="7178" spans="3:58" x14ac:dyDescent="0.35">
      <c r="C7178">
        <v>45789</v>
      </c>
      <c r="F7178" t="s">
        <v>749</v>
      </c>
      <c r="Y7178">
        <v>95</v>
      </c>
      <c r="Z7178" s="259" t="s">
        <v>692</v>
      </c>
      <c r="AZ7178" t="s">
        <v>887</v>
      </c>
      <c r="BA7178">
        <v>100.27</v>
      </c>
      <c r="BB7178" t="s">
        <v>564</v>
      </c>
      <c r="BC7178" t="s">
        <v>793</v>
      </c>
      <c r="BD7178">
        <v>0</v>
      </c>
      <c r="BE7178">
        <v>46302</v>
      </c>
      <c r="BF7178" t="s">
        <v>588</v>
      </c>
    </row>
    <row r="7179" spans="3:58" x14ac:dyDescent="0.35">
      <c r="C7179">
        <v>45790</v>
      </c>
      <c r="F7179" t="s">
        <v>749</v>
      </c>
      <c r="Y7179">
        <v>96</v>
      </c>
      <c r="Z7179" s="259" t="s">
        <v>692</v>
      </c>
      <c r="AZ7179" t="s">
        <v>888</v>
      </c>
      <c r="BA7179">
        <v>100.2</v>
      </c>
      <c r="BB7179" t="s">
        <v>564</v>
      </c>
      <c r="BC7179" t="s">
        <v>793</v>
      </c>
      <c r="BD7179">
        <v>0</v>
      </c>
      <c r="BE7179">
        <v>46302</v>
      </c>
      <c r="BF7179" t="s">
        <v>588</v>
      </c>
    </row>
    <row r="7180" spans="3:58" x14ac:dyDescent="0.35">
      <c r="C7180">
        <v>45791</v>
      </c>
      <c r="F7180" t="s">
        <v>749</v>
      </c>
      <c r="Y7180">
        <v>97</v>
      </c>
      <c r="Z7180" s="259" t="s">
        <v>692</v>
      </c>
      <c r="AZ7180" t="s">
        <v>889</v>
      </c>
      <c r="BA7180">
        <v>100.13</v>
      </c>
      <c r="BB7180" t="s">
        <v>564</v>
      </c>
      <c r="BC7180" t="s">
        <v>793</v>
      </c>
      <c r="BD7180">
        <v>0</v>
      </c>
      <c r="BE7180">
        <v>46302</v>
      </c>
      <c r="BF7180" t="s">
        <v>588</v>
      </c>
    </row>
    <row r="7181" spans="3:58" x14ac:dyDescent="0.35">
      <c r="C7181">
        <v>45792</v>
      </c>
      <c r="F7181" t="s">
        <v>749</v>
      </c>
      <c r="Y7181">
        <v>98</v>
      </c>
      <c r="Z7181" s="259" t="s">
        <v>692</v>
      </c>
      <c r="AZ7181" t="s">
        <v>890</v>
      </c>
      <c r="BA7181">
        <v>100.07</v>
      </c>
      <c r="BB7181" t="s">
        <v>564</v>
      </c>
      <c r="BC7181" t="s">
        <v>793</v>
      </c>
      <c r="BD7181">
        <v>0</v>
      </c>
      <c r="BE7181">
        <v>46302</v>
      </c>
      <c r="BF7181" t="s">
        <v>588</v>
      </c>
    </row>
    <row r="7182" spans="3:58" x14ac:dyDescent="0.35">
      <c r="C7182">
        <v>45793</v>
      </c>
      <c r="F7182" t="s">
        <v>749</v>
      </c>
      <c r="Y7182">
        <v>99</v>
      </c>
      <c r="Z7182" s="259" t="s">
        <v>692</v>
      </c>
      <c r="AZ7182" t="s">
        <v>891</v>
      </c>
      <c r="BA7182">
        <v>100</v>
      </c>
      <c r="BB7182" t="s">
        <v>564</v>
      </c>
      <c r="BC7182" t="s">
        <v>793</v>
      </c>
      <c r="BD7182">
        <v>0</v>
      </c>
      <c r="BE7182">
        <v>46302</v>
      </c>
      <c r="BF7182" t="s">
        <v>588</v>
      </c>
    </row>
    <row r="7183" spans="3:58" x14ac:dyDescent="0.35">
      <c r="C7183">
        <v>45796</v>
      </c>
      <c r="F7183" t="s">
        <v>749</v>
      </c>
      <c r="Y7183">
        <v>100</v>
      </c>
      <c r="Z7183" s="259" t="s">
        <v>692</v>
      </c>
      <c r="AZ7183" t="s">
        <v>892</v>
      </c>
      <c r="BA7183">
        <v>99.8</v>
      </c>
      <c r="BB7183" t="s">
        <v>564</v>
      </c>
      <c r="BC7183" t="s">
        <v>793</v>
      </c>
      <c r="BD7183">
        <v>0</v>
      </c>
      <c r="BE7183">
        <v>46302</v>
      </c>
      <c r="BF7183" t="s">
        <v>588</v>
      </c>
    </row>
    <row r="7184" spans="3:58" x14ac:dyDescent="0.35">
      <c r="C7184">
        <v>45797</v>
      </c>
      <c r="F7184" t="s">
        <v>749</v>
      </c>
      <c r="Y7184">
        <v>101</v>
      </c>
      <c r="Z7184" s="259" t="s">
        <v>692</v>
      </c>
      <c r="AZ7184" t="s">
        <v>893</v>
      </c>
      <c r="BA7184">
        <v>99.73</v>
      </c>
      <c r="BB7184" t="s">
        <v>564</v>
      </c>
      <c r="BC7184" t="s">
        <v>793</v>
      </c>
      <c r="BD7184">
        <v>0</v>
      </c>
      <c r="BE7184">
        <v>46302</v>
      </c>
      <c r="BF7184" t="s">
        <v>588</v>
      </c>
    </row>
    <row r="7185" spans="3:58" x14ac:dyDescent="0.35">
      <c r="C7185">
        <v>45798</v>
      </c>
      <c r="F7185" t="s">
        <v>749</v>
      </c>
      <c r="Y7185">
        <v>102</v>
      </c>
      <c r="Z7185" s="259" t="s">
        <v>692</v>
      </c>
      <c r="AZ7185" t="s">
        <v>894</v>
      </c>
      <c r="BA7185">
        <v>99.67</v>
      </c>
      <c r="BB7185" t="s">
        <v>564</v>
      </c>
      <c r="BC7185" t="s">
        <v>793</v>
      </c>
      <c r="BD7185">
        <v>0</v>
      </c>
      <c r="BE7185">
        <v>46302</v>
      </c>
      <c r="BF7185" t="s">
        <v>588</v>
      </c>
    </row>
    <row r="7186" spans="3:58" x14ac:dyDescent="0.35">
      <c r="C7186">
        <v>45799</v>
      </c>
      <c r="F7186" t="s">
        <v>749</v>
      </c>
      <c r="Y7186">
        <v>103</v>
      </c>
      <c r="Z7186" s="259" t="s">
        <v>692</v>
      </c>
      <c r="AZ7186" t="s">
        <v>895</v>
      </c>
      <c r="BA7186">
        <v>99.6</v>
      </c>
      <c r="BB7186" t="s">
        <v>564</v>
      </c>
      <c r="BC7186" t="s">
        <v>793</v>
      </c>
      <c r="BD7186">
        <v>0</v>
      </c>
      <c r="BE7186">
        <v>46302</v>
      </c>
      <c r="BF7186" t="s">
        <v>588</v>
      </c>
    </row>
    <row r="7187" spans="3:58" x14ac:dyDescent="0.35">
      <c r="C7187">
        <v>45800</v>
      </c>
      <c r="F7187" t="s">
        <v>749</v>
      </c>
      <c r="Y7187">
        <v>104</v>
      </c>
      <c r="Z7187" s="259" t="s">
        <v>692</v>
      </c>
      <c r="AZ7187" t="s">
        <v>896</v>
      </c>
      <c r="BA7187">
        <v>99.53</v>
      </c>
      <c r="BB7187" t="s">
        <v>564</v>
      </c>
      <c r="BC7187" t="s">
        <v>793</v>
      </c>
      <c r="BD7187">
        <v>0</v>
      </c>
      <c r="BE7187">
        <v>46302</v>
      </c>
      <c r="BF7187" t="s">
        <v>588</v>
      </c>
    </row>
    <row r="7188" spans="3:58" x14ac:dyDescent="0.35">
      <c r="C7188">
        <v>45803</v>
      </c>
      <c r="F7188" t="s">
        <v>749</v>
      </c>
      <c r="Y7188">
        <v>105</v>
      </c>
      <c r="Z7188" s="259" t="s">
        <v>692</v>
      </c>
      <c r="AZ7188" t="s">
        <v>897</v>
      </c>
      <c r="BA7188">
        <v>99.33</v>
      </c>
      <c r="BB7188" t="s">
        <v>564</v>
      </c>
      <c r="BC7188" t="s">
        <v>793</v>
      </c>
      <c r="BD7188">
        <v>0</v>
      </c>
      <c r="BE7188">
        <v>46302</v>
      </c>
      <c r="BF7188" t="s">
        <v>588</v>
      </c>
    </row>
    <row r="7189" spans="3:58" x14ac:dyDescent="0.35">
      <c r="C7189">
        <v>45804</v>
      </c>
      <c r="F7189" t="s">
        <v>749</v>
      </c>
      <c r="Y7189">
        <v>106</v>
      </c>
      <c r="Z7189" s="259" t="s">
        <v>692</v>
      </c>
      <c r="AZ7189" t="s">
        <v>898</v>
      </c>
      <c r="BA7189">
        <v>99.27</v>
      </c>
      <c r="BB7189" t="s">
        <v>564</v>
      </c>
      <c r="BC7189" t="s">
        <v>793</v>
      </c>
      <c r="BD7189">
        <v>0</v>
      </c>
      <c r="BE7189">
        <v>46302</v>
      </c>
      <c r="BF7189" t="s">
        <v>588</v>
      </c>
    </row>
    <row r="7190" spans="3:58" x14ac:dyDescent="0.35">
      <c r="C7190">
        <v>45805</v>
      </c>
      <c r="F7190" t="s">
        <v>749</v>
      </c>
      <c r="Y7190">
        <v>107</v>
      </c>
      <c r="Z7190" s="259" t="s">
        <v>692</v>
      </c>
      <c r="AZ7190" t="s">
        <v>899</v>
      </c>
      <c r="BA7190">
        <v>99.2</v>
      </c>
      <c r="BB7190" t="s">
        <v>564</v>
      </c>
      <c r="BC7190" t="s">
        <v>793</v>
      </c>
      <c r="BD7190">
        <v>0</v>
      </c>
      <c r="BE7190">
        <v>46302</v>
      </c>
      <c r="BF7190" t="s">
        <v>588</v>
      </c>
    </row>
    <row r="7191" spans="3:58" x14ac:dyDescent="0.35">
      <c r="C7191">
        <v>45806</v>
      </c>
      <c r="F7191" t="s">
        <v>749</v>
      </c>
      <c r="Y7191">
        <v>108</v>
      </c>
      <c r="Z7191" s="259" t="s">
        <v>692</v>
      </c>
      <c r="AZ7191" t="s">
        <v>900</v>
      </c>
      <c r="BA7191">
        <v>99.13</v>
      </c>
      <c r="BB7191" t="s">
        <v>564</v>
      </c>
      <c r="BC7191" t="s">
        <v>793</v>
      </c>
      <c r="BD7191">
        <v>0</v>
      </c>
      <c r="BE7191">
        <v>46302</v>
      </c>
      <c r="BF7191" t="s">
        <v>588</v>
      </c>
    </row>
    <row r="7192" spans="3:58" x14ac:dyDescent="0.35">
      <c r="C7192">
        <v>45807</v>
      </c>
      <c r="F7192" t="s">
        <v>749</v>
      </c>
      <c r="Y7192">
        <v>109</v>
      </c>
      <c r="Z7192" s="259" t="s">
        <v>692</v>
      </c>
      <c r="AZ7192" t="s">
        <v>901</v>
      </c>
      <c r="BA7192">
        <v>99.07</v>
      </c>
      <c r="BB7192" t="s">
        <v>564</v>
      </c>
      <c r="BC7192" t="s">
        <v>793</v>
      </c>
      <c r="BD7192">
        <v>0</v>
      </c>
      <c r="BE7192">
        <v>46302</v>
      </c>
      <c r="BF7192" t="s">
        <v>588</v>
      </c>
    </row>
    <row r="7193" spans="3:58" x14ac:dyDescent="0.35">
      <c r="C7193">
        <v>45810</v>
      </c>
      <c r="F7193" t="s">
        <v>749</v>
      </c>
      <c r="Y7193">
        <v>110</v>
      </c>
      <c r="Z7193" s="259" t="s">
        <v>692</v>
      </c>
      <c r="AZ7193" t="s">
        <v>902</v>
      </c>
      <c r="BA7193">
        <v>99.41</v>
      </c>
      <c r="BB7193" t="s">
        <v>564</v>
      </c>
      <c r="BC7193" t="s">
        <v>793</v>
      </c>
      <c r="BD7193">
        <v>0</v>
      </c>
      <c r="BE7193">
        <v>46302</v>
      </c>
      <c r="BF7193" t="s">
        <v>588</v>
      </c>
    </row>
    <row r="7194" spans="3:58" x14ac:dyDescent="0.35">
      <c r="C7194">
        <v>45811</v>
      </c>
      <c r="F7194" t="s">
        <v>749</v>
      </c>
      <c r="Y7194">
        <v>111</v>
      </c>
      <c r="Z7194" s="259" t="s">
        <v>692</v>
      </c>
      <c r="AZ7194" t="s">
        <v>903</v>
      </c>
      <c r="BA7194">
        <v>99.83</v>
      </c>
      <c r="BB7194" t="s">
        <v>564</v>
      </c>
      <c r="BC7194" t="s">
        <v>793</v>
      </c>
      <c r="BD7194">
        <v>0</v>
      </c>
      <c r="BE7194">
        <v>46302</v>
      </c>
      <c r="BF7194" t="s">
        <v>588</v>
      </c>
    </row>
    <row r="7195" spans="3:58" x14ac:dyDescent="0.35">
      <c r="C7195">
        <v>45812</v>
      </c>
      <c r="F7195" t="s">
        <v>749</v>
      </c>
      <c r="Y7195">
        <v>112</v>
      </c>
      <c r="Z7195" s="259" t="s">
        <v>692</v>
      </c>
      <c r="AZ7195" t="s">
        <v>904</v>
      </c>
      <c r="BA7195">
        <v>100.24</v>
      </c>
      <c r="BB7195" t="s">
        <v>564</v>
      </c>
      <c r="BC7195" t="s">
        <v>793</v>
      </c>
      <c r="BD7195">
        <v>0</v>
      </c>
      <c r="BE7195">
        <v>46302</v>
      </c>
      <c r="BF7195" t="s">
        <v>588</v>
      </c>
    </row>
    <row r="7196" spans="3:58" x14ac:dyDescent="0.35">
      <c r="C7196">
        <v>45813</v>
      </c>
      <c r="F7196" t="s">
        <v>749</v>
      </c>
      <c r="Y7196">
        <v>113</v>
      </c>
      <c r="Z7196" s="259" t="s">
        <v>692</v>
      </c>
      <c r="AZ7196" t="s">
        <v>905</v>
      </c>
      <c r="BA7196">
        <v>100.66</v>
      </c>
      <c r="BB7196" t="s">
        <v>564</v>
      </c>
      <c r="BC7196" t="s">
        <v>793</v>
      </c>
      <c r="BD7196">
        <v>0</v>
      </c>
      <c r="BE7196">
        <v>46302</v>
      </c>
      <c r="BF7196" t="s">
        <v>588</v>
      </c>
    </row>
    <row r="7197" spans="3:58" x14ac:dyDescent="0.35">
      <c r="C7197">
        <v>45814</v>
      </c>
      <c r="F7197" t="s">
        <v>749</v>
      </c>
      <c r="Y7197">
        <v>114</v>
      </c>
      <c r="Z7197" s="259" t="s">
        <v>692</v>
      </c>
      <c r="AZ7197" t="s">
        <v>906</v>
      </c>
      <c r="BA7197">
        <v>101.07</v>
      </c>
      <c r="BB7197" t="s">
        <v>564</v>
      </c>
      <c r="BC7197" t="s">
        <v>793</v>
      </c>
      <c r="BD7197">
        <v>0</v>
      </c>
      <c r="BE7197">
        <v>46302</v>
      </c>
      <c r="BF7197" t="s">
        <v>588</v>
      </c>
    </row>
    <row r="7198" spans="3:58" x14ac:dyDescent="0.35">
      <c r="C7198">
        <v>45817</v>
      </c>
      <c r="F7198" t="s">
        <v>749</v>
      </c>
      <c r="Y7198">
        <v>115</v>
      </c>
      <c r="Z7198" s="259" t="s">
        <v>692</v>
      </c>
      <c r="AZ7198" t="s">
        <v>907</v>
      </c>
      <c r="BA7198">
        <v>102.31</v>
      </c>
      <c r="BB7198" t="s">
        <v>564</v>
      </c>
      <c r="BC7198" t="s">
        <v>793</v>
      </c>
      <c r="BD7198">
        <v>0</v>
      </c>
      <c r="BE7198">
        <v>46302</v>
      </c>
      <c r="BF7198" t="s">
        <v>588</v>
      </c>
    </row>
    <row r="7199" spans="3:58" x14ac:dyDescent="0.35">
      <c r="C7199">
        <v>45818</v>
      </c>
      <c r="F7199" t="s">
        <v>749</v>
      </c>
      <c r="Y7199">
        <v>116</v>
      </c>
      <c r="Z7199" s="259" t="s">
        <v>692</v>
      </c>
      <c r="AZ7199" t="s">
        <v>908</v>
      </c>
      <c r="BA7199">
        <v>102.72</v>
      </c>
      <c r="BB7199" t="s">
        <v>564</v>
      </c>
      <c r="BC7199" t="s">
        <v>793</v>
      </c>
      <c r="BD7199">
        <v>0</v>
      </c>
      <c r="BE7199">
        <v>46302</v>
      </c>
      <c r="BF7199" t="s">
        <v>588</v>
      </c>
    </row>
    <row r="7200" spans="3:58" x14ac:dyDescent="0.35">
      <c r="C7200">
        <v>45819</v>
      </c>
      <c r="F7200" t="s">
        <v>749</v>
      </c>
      <c r="Y7200">
        <v>117</v>
      </c>
      <c r="Z7200" s="259" t="s">
        <v>692</v>
      </c>
      <c r="AZ7200" t="s">
        <v>909</v>
      </c>
      <c r="BA7200">
        <v>103.14</v>
      </c>
      <c r="BB7200" t="s">
        <v>564</v>
      </c>
      <c r="BC7200" t="s">
        <v>793</v>
      </c>
      <c r="BD7200">
        <v>0</v>
      </c>
      <c r="BE7200">
        <v>46302</v>
      </c>
      <c r="BF7200" t="s">
        <v>588</v>
      </c>
    </row>
    <row r="7201" spans="3:58" x14ac:dyDescent="0.35">
      <c r="C7201">
        <v>45820</v>
      </c>
      <c r="F7201" t="s">
        <v>749</v>
      </c>
      <c r="Y7201">
        <v>118</v>
      </c>
      <c r="Z7201" s="259" t="s">
        <v>692</v>
      </c>
      <c r="AZ7201" t="s">
        <v>910</v>
      </c>
      <c r="BA7201">
        <v>103.55</v>
      </c>
      <c r="BB7201" t="s">
        <v>564</v>
      </c>
      <c r="BC7201" t="s">
        <v>793</v>
      </c>
      <c r="BD7201">
        <v>0</v>
      </c>
      <c r="BE7201">
        <v>46302</v>
      </c>
      <c r="BF7201" t="s">
        <v>588</v>
      </c>
    </row>
    <row r="7202" spans="3:58" x14ac:dyDescent="0.35">
      <c r="C7202">
        <v>45821</v>
      </c>
      <c r="F7202" t="s">
        <v>749</v>
      </c>
      <c r="Y7202">
        <v>119</v>
      </c>
      <c r="Z7202" s="259" t="s">
        <v>692</v>
      </c>
      <c r="AZ7202" t="s">
        <v>911</v>
      </c>
      <c r="BA7202">
        <v>103.97</v>
      </c>
      <c r="BB7202" t="s">
        <v>564</v>
      </c>
      <c r="BC7202" t="s">
        <v>793</v>
      </c>
      <c r="BD7202">
        <v>0</v>
      </c>
      <c r="BE7202">
        <v>46302</v>
      </c>
      <c r="BF7202" t="s">
        <v>588</v>
      </c>
    </row>
    <row r="7203" spans="3:58" x14ac:dyDescent="0.35">
      <c r="C7203">
        <v>45824</v>
      </c>
      <c r="F7203" t="s">
        <v>749</v>
      </c>
      <c r="Y7203">
        <v>120</v>
      </c>
      <c r="Z7203" s="259" t="s">
        <v>692</v>
      </c>
      <c r="AZ7203" t="s">
        <v>912</v>
      </c>
      <c r="BA7203">
        <v>52.6</v>
      </c>
      <c r="BB7203" t="s">
        <v>564</v>
      </c>
      <c r="BC7203" t="s">
        <v>793</v>
      </c>
      <c r="BD7203">
        <v>0</v>
      </c>
      <c r="BE7203">
        <v>46302</v>
      </c>
      <c r="BF7203" t="s">
        <v>588</v>
      </c>
    </row>
    <row r="7204" spans="3:58" x14ac:dyDescent="0.35">
      <c r="C7204">
        <v>45825</v>
      </c>
      <c r="F7204" t="s">
        <v>749</v>
      </c>
      <c r="Y7204">
        <v>121</v>
      </c>
      <c r="Z7204" s="259" t="s">
        <v>692</v>
      </c>
      <c r="AZ7204" t="s">
        <v>913</v>
      </c>
      <c r="BA7204">
        <v>52.81</v>
      </c>
      <c r="BB7204" t="s">
        <v>564</v>
      </c>
      <c r="BC7204" t="s">
        <v>793</v>
      </c>
      <c r="BD7204">
        <v>0</v>
      </c>
      <c r="BE7204">
        <v>46302</v>
      </c>
      <c r="BF7204" t="s">
        <v>588</v>
      </c>
    </row>
    <row r="7205" spans="3:58" x14ac:dyDescent="0.35">
      <c r="C7205">
        <v>45826</v>
      </c>
      <c r="F7205" t="s">
        <v>749</v>
      </c>
      <c r="Y7205">
        <v>122</v>
      </c>
      <c r="Z7205" s="259" t="s">
        <v>692</v>
      </c>
      <c r="AZ7205" t="s">
        <v>914</v>
      </c>
      <c r="BA7205">
        <v>53.02</v>
      </c>
      <c r="BB7205" t="s">
        <v>564</v>
      </c>
      <c r="BC7205" t="s">
        <v>793</v>
      </c>
      <c r="BD7205">
        <v>0</v>
      </c>
      <c r="BE7205">
        <v>46302</v>
      </c>
      <c r="BF7205" t="s">
        <v>588</v>
      </c>
    </row>
    <row r="7206" spans="3:58" x14ac:dyDescent="0.35">
      <c r="C7206">
        <v>45827</v>
      </c>
      <c r="F7206" t="s">
        <v>749</v>
      </c>
      <c r="Y7206">
        <v>123</v>
      </c>
      <c r="Z7206" s="259" t="s">
        <v>692</v>
      </c>
      <c r="AZ7206" t="s">
        <v>915</v>
      </c>
      <c r="BA7206">
        <v>53.22</v>
      </c>
      <c r="BB7206" t="s">
        <v>564</v>
      </c>
      <c r="BC7206" t="s">
        <v>793</v>
      </c>
      <c r="BD7206">
        <v>0</v>
      </c>
      <c r="BE7206">
        <v>46302</v>
      </c>
      <c r="BF7206" t="s">
        <v>588</v>
      </c>
    </row>
    <row r="7207" spans="3:58" x14ac:dyDescent="0.35">
      <c r="C7207">
        <v>45828</v>
      </c>
      <c r="F7207" t="s">
        <v>749</v>
      </c>
      <c r="Y7207">
        <v>124</v>
      </c>
      <c r="Z7207" s="259" t="s">
        <v>692</v>
      </c>
      <c r="AZ7207" t="s">
        <v>916</v>
      </c>
      <c r="BA7207">
        <v>53.43</v>
      </c>
      <c r="BB7207" t="s">
        <v>564</v>
      </c>
      <c r="BC7207" t="s">
        <v>793</v>
      </c>
      <c r="BD7207">
        <v>0</v>
      </c>
      <c r="BE7207">
        <v>46302</v>
      </c>
      <c r="BF7207" t="s">
        <v>588</v>
      </c>
    </row>
    <row r="7208" spans="3:58" x14ac:dyDescent="0.35">
      <c r="C7208">
        <v>45831</v>
      </c>
      <c r="F7208" t="s">
        <v>749</v>
      </c>
      <c r="Y7208">
        <v>125</v>
      </c>
      <c r="Z7208" s="259" t="s">
        <v>692</v>
      </c>
      <c r="AZ7208" t="s">
        <v>917</v>
      </c>
      <c r="BA7208">
        <v>54.05</v>
      </c>
      <c r="BB7208" t="s">
        <v>564</v>
      </c>
      <c r="BC7208" t="s">
        <v>793</v>
      </c>
      <c r="BD7208">
        <v>0</v>
      </c>
      <c r="BE7208">
        <v>46302</v>
      </c>
      <c r="BF7208" t="s">
        <v>588</v>
      </c>
    </row>
    <row r="7209" spans="3:58" x14ac:dyDescent="0.35">
      <c r="C7209">
        <v>45832</v>
      </c>
      <c r="F7209" t="s">
        <v>749</v>
      </c>
      <c r="Y7209">
        <v>126</v>
      </c>
      <c r="Z7209" s="259" t="s">
        <v>692</v>
      </c>
      <c r="AZ7209" t="s">
        <v>918</v>
      </c>
      <c r="BA7209">
        <v>54.26</v>
      </c>
      <c r="BB7209" t="s">
        <v>564</v>
      </c>
      <c r="BC7209" t="s">
        <v>793</v>
      </c>
      <c r="BD7209">
        <v>0</v>
      </c>
      <c r="BE7209">
        <v>46302</v>
      </c>
      <c r="BF7209" t="s">
        <v>588</v>
      </c>
    </row>
    <row r="7210" spans="3:58" x14ac:dyDescent="0.35">
      <c r="C7210">
        <v>45833</v>
      </c>
      <c r="F7210" t="s">
        <v>749</v>
      </c>
      <c r="Y7210">
        <v>127</v>
      </c>
      <c r="Z7210" s="259" t="s">
        <v>692</v>
      </c>
      <c r="AZ7210" t="s">
        <v>919</v>
      </c>
      <c r="BA7210">
        <v>54.47</v>
      </c>
      <c r="BB7210" t="s">
        <v>564</v>
      </c>
      <c r="BC7210" t="s">
        <v>793</v>
      </c>
      <c r="BD7210">
        <v>0</v>
      </c>
      <c r="BE7210">
        <v>46302</v>
      </c>
      <c r="BF7210" t="s">
        <v>588</v>
      </c>
    </row>
    <row r="7211" spans="3:58" x14ac:dyDescent="0.35">
      <c r="C7211">
        <v>45834</v>
      </c>
      <c r="F7211" t="s">
        <v>749</v>
      </c>
      <c r="Y7211">
        <v>128</v>
      </c>
      <c r="Z7211" s="259" t="s">
        <v>692</v>
      </c>
      <c r="AZ7211" t="s">
        <v>920</v>
      </c>
      <c r="BA7211">
        <v>54.67</v>
      </c>
      <c r="BB7211" t="s">
        <v>564</v>
      </c>
      <c r="BC7211" t="s">
        <v>793</v>
      </c>
      <c r="BD7211">
        <v>0</v>
      </c>
      <c r="BE7211">
        <v>46302</v>
      </c>
      <c r="BF7211" t="s">
        <v>588</v>
      </c>
    </row>
    <row r="7212" spans="3:58" x14ac:dyDescent="0.35">
      <c r="C7212">
        <v>45835</v>
      </c>
      <c r="F7212" t="s">
        <v>749</v>
      </c>
      <c r="Y7212">
        <v>129</v>
      </c>
      <c r="Z7212" s="259" t="s">
        <v>692</v>
      </c>
      <c r="AZ7212" t="s">
        <v>921</v>
      </c>
      <c r="BA7212">
        <v>54.88</v>
      </c>
      <c r="BB7212" t="s">
        <v>564</v>
      </c>
      <c r="BC7212" t="s">
        <v>793</v>
      </c>
      <c r="BD7212">
        <v>0</v>
      </c>
      <c r="BE7212">
        <v>46302</v>
      </c>
      <c r="BF7212" t="s">
        <v>588</v>
      </c>
    </row>
    <row r="7213" spans="3:58" x14ac:dyDescent="0.35">
      <c r="C7213">
        <v>45838</v>
      </c>
      <c r="F7213" t="s">
        <v>749</v>
      </c>
      <c r="Y7213">
        <v>130</v>
      </c>
      <c r="Z7213" s="259" t="s">
        <v>692</v>
      </c>
      <c r="AZ7213" t="s">
        <v>922</v>
      </c>
      <c r="BA7213">
        <v>55.5</v>
      </c>
      <c r="BB7213" t="s">
        <v>564</v>
      </c>
      <c r="BC7213" t="s">
        <v>793</v>
      </c>
      <c r="BD7213">
        <v>0</v>
      </c>
      <c r="BE7213">
        <v>46302</v>
      </c>
      <c r="BF7213" t="s">
        <v>588</v>
      </c>
    </row>
    <row r="7214" spans="3:58" x14ac:dyDescent="0.35">
      <c r="C7214">
        <v>45839</v>
      </c>
      <c r="F7214" t="s">
        <v>749</v>
      </c>
      <c r="Y7214">
        <v>131</v>
      </c>
      <c r="Z7214" s="259" t="s">
        <v>692</v>
      </c>
      <c r="AZ7214" t="s">
        <v>923</v>
      </c>
      <c r="BA7214">
        <v>55.5</v>
      </c>
      <c r="BB7214" t="s">
        <v>564</v>
      </c>
      <c r="BC7214" t="s">
        <v>793</v>
      </c>
      <c r="BD7214">
        <v>0</v>
      </c>
      <c r="BE7214">
        <v>46302</v>
      </c>
      <c r="BF7214" t="s">
        <v>588</v>
      </c>
    </row>
    <row r="7215" spans="3:58" x14ac:dyDescent="0.35">
      <c r="C7215">
        <v>45840</v>
      </c>
      <c r="F7215" t="s">
        <v>749</v>
      </c>
      <c r="Y7215">
        <v>132</v>
      </c>
      <c r="Z7215" s="259" t="s">
        <v>692</v>
      </c>
      <c r="AZ7215" t="s">
        <v>924</v>
      </c>
      <c r="BA7215">
        <v>55.38</v>
      </c>
      <c r="BB7215" t="s">
        <v>564</v>
      </c>
      <c r="BC7215" t="s">
        <v>793</v>
      </c>
      <c r="BD7215">
        <v>0</v>
      </c>
      <c r="BE7215">
        <v>46302</v>
      </c>
      <c r="BF7215" t="s">
        <v>588</v>
      </c>
    </row>
    <row r="7216" spans="3:58" x14ac:dyDescent="0.35">
      <c r="C7216">
        <v>45841</v>
      </c>
      <c r="F7216" t="s">
        <v>749</v>
      </c>
      <c r="Y7216">
        <v>133</v>
      </c>
      <c r="Z7216" s="259" t="s">
        <v>692</v>
      </c>
      <c r="AZ7216" t="s">
        <v>925</v>
      </c>
      <c r="BA7216">
        <v>55.27</v>
      </c>
      <c r="BB7216" t="s">
        <v>564</v>
      </c>
      <c r="BC7216" t="s">
        <v>793</v>
      </c>
      <c r="BD7216">
        <v>0</v>
      </c>
      <c r="BE7216">
        <v>46302</v>
      </c>
      <c r="BF7216" t="s">
        <v>588</v>
      </c>
    </row>
    <row r="7217" spans="3:58" x14ac:dyDescent="0.35">
      <c r="C7217">
        <v>45842</v>
      </c>
      <c r="F7217" t="s">
        <v>749</v>
      </c>
      <c r="Y7217">
        <v>134</v>
      </c>
      <c r="Z7217" s="259" t="s">
        <v>692</v>
      </c>
      <c r="AZ7217" t="s">
        <v>926</v>
      </c>
      <c r="BA7217">
        <v>55.15</v>
      </c>
      <c r="BB7217" t="s">
        <v>564</v>
      </c>
      <c r="BC7217" t="s">
        <v>793</v>
      </c>
      <c r="BD7217">
        <v>0</v>
      </c>
      <c r="BE7217">
        <v>46302</v>
      </c>
      <c r="BF7217" t="s">
        <v>588</v>
      </c>
    </row>
    <row r="7218" spans="3:58" x14ac:dyDescent="0.35">
      <c r="C7218">
        <v>45845</v>
      </c>
      <c r="F7218" t="s">
        <v>749</v>
      </c>
      <c r="Y7218">
        <v>135</v>
      </c>
      <c r="Z7218" s="259" t="s">
        <v>692</v>
      </c>
      <c r="AZ7218" t="s">
        <v>927</v>
      </c>
      <c r="BA7218">
        <v>54.8</v>
      </c>
      <c r="BB7218" t="s">
        <v>564</v>
      </c>
      <c r="BC7218" t="s">
        <v>793</v>
      </c>
      <c r="BD7218">
        <v>0</v>
      </c>
      <c r="BE7218">
        <v>46302</v>
      </c>
      <c r="BF7218" t="s">
        <v>588</v>
      </c>
    </row>
    <row r="7219" spans="3:58" x14ac:dyDescent="0.35">
      <c r="C7219">
        <v>45846</v>
      </c>
      <c r="F7219" t="s">
        <v>749</v>
      </c>
      <c r="Y7219">
        <v>136</v>
      </c>
      <c r="Z7219" s="259" t="s">
        <v>692</v>
      </c>
      <c r="AZ7219" t="s">
        <v>928</v>
      </c>
      <c r="BA7219">
        <v>54.68</v>
      </c>
      <c r="BB7219" t="s">
        <v>564</v>
      </c>
      <c r="BC7219" t="s">
        <v>793</v>
      </c>
      <c r="BD7219">
        <v>0</v>
      </c>
      <c r="BE7219">
        <v>46302</v>
      </c>
      <c r="BF7219" t="s">
        <v>588</v>
      </c>
    </row>
    <row r="7220" spans="3:58" x14ac:dyDescent="0.35">
      <c r="C7220">
        <v>45847</v>
      </c>
      <c r="F7220" t="s">
        <v>749</v>
      </c>
      <c r="Y7220">
        <v>137</v>
      </c>
      <c r="Z7220" s="259" t="s">
        <v>692</v>
      </c>
      <c r="AZ7220" t="s">
        <v>929</v>
      </c>
      <c r="BA7220">
        <v>54.57</v>
      </c>
      <c r="BB7220" t="s">
        <v>564</v>
      </c>
      <c r="BC7220" t="s">
        <v>793</v>
      </c>
      <c r="BD7220">
        <v>0</v>
      </c>
      <c r="BE7220">
        <v>46302</v>
      </c>
      <c r="BF7220" t="s">
        <v>588</v>
      </c>
    </row>
    <row r="7221" spans="3:58" x14ac:dyDescent="0.35">
      <c r="C7221">
        <v>45848</v>
      </c>
      <c r="F7221" t="s">
        <v>749</v>
      </c>
      <c r="Y7221">
        <v>138</v>
      </c>
      <c r="Z7221" s="259" t="s">
        <v>692</v>
      </c>
      <c r="AZ7221" t="s">
        <v>930</v>
      </c>
      <c r="BA7221">
        <v>54.45</v>
      </c>
      <c r="BB7221" t="s">
        <v>564</v>
      </c>
      <c r="BC7221" t="s">
        <v>793</v>
      </c>
      <c r="BD7221">
        <v>0</v>
      </c>
      <c r="BE7221">
        <v>46302</v>
      </c>
      <c r="BF7221" t="s">
        <v>588</v>
      </c>
    </row>
    <row r="7222" spans="3:58" x14ac:dyDescent="0.35">
      <c r="C7222">
        <v>45849</v>
      </c>
      <c r="F7222" t="s">
        <v>749</v>
      </c>
      <c r="Y7222">
        <v>139</v>
      </c>
      <c r="Z7222" s="259" t="s">
        <v>692</v>
      </c>
      <c r="AZ7222" t="s">
        <v>931</v>
      </c>
      <c r="BA7222">
        <v>54.33</v>
      </c>
      <c r="BB7222" t="s">
        <v>564</v>
      </c>
      <c r="BC7222" t="s">
        <v>793</v>
      </c>
      <c r="BD7222">
        <v>0</v>
      </c>
      <c r="BE7222">
        <v>46302</v>
      </c>
      <c r="BF7222" t="s">
        <v>588</v>
      </c>
    </row>
    <row r="7223" spans="3:58" x14ac:dyDescent="0.35">
      <c r="C7223">
        <v>45852</v>
      </c>
      <c r="F7223" t="s">
        <v>749</v>
      </c>
      <c r="Y7223">
        <v>140</v>
      </c>
      <c r="Z7223" s="259" t="s">
        <v>692</v>
      </c>
      <c r="AZ7223" t="s">
        <v>932</v>
      </c>
      <c r="BA7223">
        <v>53.98</v>
      </c>
      <c r="BB7223" t="s">
        <v>564</v>
      </c>
      <c r="BC7223" t="s">
        <v>793</v>
      </c>
      <c r="BD7223">
        <v>0</v>
      </c>
      <c r="BE7223">
        <v>46302</v>
      </c>
      <c r="BF7223" t="s">
        <v>588</v>
      </c>
    </row>
    <row r="7224" spans="3:58" x14ac:dyDescent="0.35">
      <c r="C7224">
        <v>45853</v>
      </c>
      <c r="F7224" t="s">
        <v>749</v>
      </c>
      <c r="Y7224">
        <v>141</v>
      </c>
      <c r="Z7224" s="259" t="s">
        <v>692</v>
      </c>
      <c r="AZ7224" t="s">
        <v>933</v>
      </c>
      <c r="BA7224">
        <v>53.87</v>
      </c>
      <c r="BB7224" t="s">
        <v>564</v>
      </c>
      <c r="BC7224" t="s">
        <v>793</v>
      </c>
      <c r="BD7224">
        <v>0</v>
      </c>
      <c r="BE7224">
        <v>46302</v>
      </c>
      <c r="BF7224" t="s">
        <v>588</v>
      </c>
    </row>
    <row r="7225" spans="3:58" x14ac:dyDescent="0.35">
      <c r="C7225">
        <v>45854</v>
      </c>
      <c r="F7225" t="s">
        <v>749</v>
      </c>
      <c r="Y7225">
        <v>142</v>
      </c>
      <c r="Z7225" s="259" t="s">
        <v>692</v>
      </c>
      <c r="AZ7225" t="s">
        <v>934</v>
      </c>
      <c r="BA7225">
        <v>53.75</v>
      </c>
      <c r="BB7225" t="s">
        <v>564</v>
      </c>
      <c r="BC7225" t="s">
        <v>793</v>
      </c>
      <c r="BD7225">
        <v>0</v>
      </c>
      <c r="BE7225">
        <v>46302</v>
      </c>
      <c r="BF7225" t="s">
        <v>588</v>
      </c>
    </row>
    <row r="7226" spans="3:58" x14ac:dyDescent="0.35">
      <c r="C7226">
        <v>45855</v>
      </c>
      <c r="F7226" t="s">
        <v>749</v>
      </c>
      <c r="Y7226">
        <v>143</v>
      </c>
      <c r="Z7226" s="259" t="s">
        <v>692</v>
      </c>
      <c r="AZ7226" t="s">
        <v>935</v>
      </c>
      <c r="BA7226">
        <v>53.63</v>
      </c>
      <c r="BB7226" t="s">
        <v>564</v>
      </c>
      <c r="BC7226" t="s">
        <v>793</v>
      </c>
      <c r="BD7226">
        <v>0</v>
      </c>
      <c r="BE7226">
        <v>46302</v>
      </c>
      <c r="BF7226" t="s">
        <v>588</v>
      </c>
    </row>
    <row r="7227" spans="3:58" x14ac:dyDescent="0.35">
      <c r="C7227">
        <v>45856</v>
      </c>
      <c r="F7227" t="s">
        <v>749</v>
      </c>
      <c r="Y7227">
        <v>144</v>
      </c>
      <c r="Z7227" s="259" t="s">
        <v>692</v>
      </c>
      <c r="AZ7227" t="s">
        <v>936</v>
      </c>
      <c r="BA7227">
        <v>53.52</v>
      </c>
      <c r="BB7227" t="s">
        <v>564</v>
      </c>
      <c r="BC7227" t="s">
        <v>793</v>
      </c>
      <c r="BD7227">
        <v>0</v>
      </c>
      <c r="BE7227">
        <v>46302</v>
      </c>
      <c r="BF7227" t="s">
        <v>588</v>
      </c>
    </row>
    <row r="7228" spans="3:58" x14ac:dyDescent="0.35">
      <c r="C7228">
        <v>45859</v>
      </c>
      <c r="F7228" t="s">
        <v>749</v>
      </c>
      <c r="Y7228">
        <v>145</v>
      </c>
      <c r="Z7228" s="259" t="s">
        <v>692</v>
      </c>
      <c r="AZ7228" t="s">
        <v>937</v>
      </c>
      <c r="BA7228">
        <v>53.17</v>
      </c>
      <c r="BB7228" t="s">
        <v>564</v>
      </c>
      <c r="BC7228" t="s">
        <v>793</v>
      </c>
      <c r="BD7228">
        <v>0</v>
      </c>
      <c r="BE7228">
        <v>46302</v>
      </c>
      <c r="BF7228" t="s">
        <v>588</v>
      </c>
    </row>
    <row r="7229" spans="3:58" x14ac:dyDescent="0.35">
      <c r="C7229">
        <v>45860</v>
      </c>
      <c r="F7229" t="s">
        <v>749</v>
      </c>
      <c r="Y7229">
        <v>146</v>
      </c>
      <c r="Z7229" s="259" t="s">
        <v>692</v>
      </c>
      <c r="AZ7229" t="s">
        <v>938</v>
      </c>
      <c r="BA7229">
        <v>53.05</v>
      </c>
      <c r="BB7229" t="s">
        <v>564</v>
      </c>
      <c r="BC7229" t="s">
        <v>793</v>
      </c>
      <c r="BD7229">
        <v>0</v>
      </c>
      <c r="BE7229">
        <v>46302</v>
      </c>
      <c r="BF7229" t="s">
        <v>588</v>
      </c>
    </row>
    <row r="7230" spans="3:58" x14ac:dyDescent="0.35">
      <c r="C7230">
        <v>45861</v>
      </c>
      <c r="F7230" t="s">
        <v>749</v>
      </c>
      <c r="Y7230">
        <v>147</v>
      </c>
      <c r="Z7230" s="259" t="s">
        <v>692</v>
      </c>
      <c r="AZ7230" t="s">
        <v>939</v>
      </c>
      <c r="BA7230">
        <v>52.93</v>
      </c>
      <c r="BB7230" t="s">
        <v>564</v>
      </c>
      <c r="BC7230" t="s">
        <v>793</v>
      </c>
      <c r="BD7230">
        <v>0</v>
      </c>
      <c r="BE7230">
        <v>46302</v>
      </c>
      <c r="BF7230" t="s">
        <v>588</v>
      </c>
    </row>
    <row r="7231" spans="3:58" x14ac:dyDescent="0.35">
      <c r="C7231">
        <v>45862</v>
      </c>
      <c r="F7231" t="s">
        <v>749</v>
      </c>
      <c r="Y7231">
        <v>148</v>
      </c>
      <c r="Z7231" s="259" t="s">
        <v>692</v>
      </c>
      <c r="AZ7231" t="s">
        <v>940</v>
      </c>
      <c r="BA7231">
        <v>52.82</v>
      </c>
      <c r="BB7231" t="s">
        <v>564</v>
      </c>
      <c r="BC7231" t="s">
        <v>793</v>
      </c>
      <c r="BD7231">
        <v>0</v>
      </c>
      <c r="BE7231">
        <v>46302</v>
      </c>
      <c r="BF7231" t="s">
        <v>588</v>
      </c>
    </row>
    <row r="7232" spans="3:58" x14ac:dyDescent="0.35">
      <c r="C7232">
        <v>45863</v>
      </c>
      <c r="F7232" t="s">
        <v>749</v>
      </c>
      <c r="Y7232">
        <v>149</v>
      </c>
      <c r="Z7232" s="259" t="s">
        <v>692</v>
      </c>
      <c r="AZ7232" t="s">
        <v>941</v>
      </c>
      <c r="BA7232">
        <v>52.7</v>
      </c>
      <c r="BB7232" t="s">
        <v>564</v>
      </c>
      <c r="BC7232" t="s">
        <v>793</v>
      </c>
      <c r="BD7232">
        <v>0</v>
      </c>
      <c r="BE7232">
        <v>46302</v>
      </c>
      <c r="BF7232" t="s">
        <v>588</v>
      </c>
    </row>
    <row r="7233" spans="3:58" x14ac:dyDescent="0.35">
      <c r="C7233">
        <v>45866</v>
      </c>
      <c r="F7233" t="s">
        <v>749</v>
      </c>
      <c r="Y7233">
        <v>150</v>
      </c>
      <c r="Z7233" s="259" t="s">
        <v>692</v>
      </c>
      <c r="AZ7233" t="s">
        <v>942</v>
      </c>
      <c r="BA7233">
        <v>52.35</v>
      </c>
      <c r="BB7233" t="s">
        <v>564</v>
      </c>
      <c r="BC7233" t="s">
        <v>793</v>
      </c>
      <c r="BD7233">
        <v>0</v>
      </c>
      <c r="BE7233">
        <v>46302</v>
      </c>
      <c r="BF7233" t="s">
        <v>588</v>
      </c>
    </row>
    <row r="7234" spans="3:58" x14ac:dyDescent="0.35">
      <c r="C7234">
        <v>45867</v>
      </c>
      <c r="F7234" t="s">
        <v>749</v>
      </c>
      <c r="Y7234">
        <v>151</v>
      </c>
      <c r="Z7234" s="259" t="s">
        <v>692</v>
      </c>
      <c r="AZ7234" t="s">
        <v>943</v>
      </c>
      <c r="BA7234">
        <v>52.23</v>
      </c>
      <c r="BB7234" t="s">
        <v>564</v>
      </c>
      <c r="BC7234" t="s">
        <v>793</v>
      </c>
      <c r="BD7234">
        <v>0</v>
      </c>
      <c r="BE7234">
        <v>46302</v>
      </c>
      <c r="BF7234" t="s">
        <v>588</v>
      </c>
    </row>
    <row r="7235" spans="3:58" x14ac:dyDescent="0.35">
      <c r="C7235">
        <v>45868</v>
      </c>
      <c r="F7235" t="s">
        <v>749</v>
      </c>
      <c r="Y7235">
        <v>152</v>
      </c>
      <c r="Z7235" s="259" t="s">
        <v>692</v>
      </c>
      <c r="AZ7235" t="s">
        <v>944</v>
      </c>
      <c r="BA7235">
        <v>52.12</v>
      </c>
      <c r="BB7235" t="s">
        <v>564</v>
      </c>
      <c r="BC7235" t="s">
        <v>793</v>
      </c>
      <c r="BD7235">
        <v>0</v>
      </c>
      <c r="BE7235">
        <v>46302</v>
      </c>
      <c r="BF7235" t="s">
        <v>588</v>
      </c>
    </row>
    <row r="7236" spans="3:58" x14ac:dyDescent="0.35">
      <c r="C7236">
        <v>45869</v>
      </c>
      <c r="F7236" t="s">
        <v>749</v>
      </c>
      <c r="Y7236">
        <v>153</v>
      </c>
      <c r="Z7236" s="259" t="s">
        <v>692</v>
      </c>
      <c r="AZ7236" t="s">
        <v>945</v>
      </c>
      <c r="BA7236">
        <v>52</v>
      </c>
      <c r="BB7236" t="s">
        <v>564</v>
      </c>
      <c r="BC7236" t="s">
        <v>793</v>
      </c>
      <c r="BD7236">
        <v>0</v>
      </c>
      <c r="BE7236">
        <v>46302</v>
      </c>
      <c r="BF7236" t="s">
        <v>588</v>
      </c>
    </row>
    <row r="7237" spans="3:58" x14ac:dyDescent="0.35">
      <c r="C7237">
        <v>45870</v>
      </c>
      <c r="F7237" t="s">
        <v>749</v>
      </c>
      <c r="Y7237">
        <v>154</v>
      </c>
      <c r="Z7237" s="259" t="s">
        <v>692</v>
      </c>
      <c r="AZ7237" t="s">
        <v>946</v>
      </c>
      <c r="BA7237">
        <v>52</v>
      </c>
      <c r="BB7237" t="s">
        <v>564</v>
      </c>
      <c r="BC7237" t="s">
        <v>793</v>
      </c>
      <c r="BD7237">
        <v>0</v>
      </c>
      <c r="BE7237">
        <v>46302</v>
      </c>
      <c r="BF7237" t="s">
        <v>588</v>
      </c>
    </row>
    <row r="7238" spans="3:58" x14ac:dyDescent="0.35">
      <c r="C7238">
        <v>45873</v>
      </c>
      <c r="F7238" t="s">
        <v>749</v>
      </c>
      <c r="Y7238">
        <v>155</v>
      </c>
      <c r="Z7238" s="259" t="s">
        <v>692</v>
      </c>
      <c r="AZ7238" t="s">
        <v>947</v>
      </c>
      <c r="BA7238">
        <v>51.7</v>
      </c>
      <c r="BB7238" t="s">
        <v>564</v>
      </c>
      <c r="BC7238" t="s">
        <v>793</v>
      </c>
      <c r="BD7238">
        <v>0</v>
      </c>
      <c r="BE7238">
        <v>46302</v>
      </c>
      <c r="BF7238" t="s">
        <v>588</v>
      </c>
    </row>
    <row r="7239" spans="3:58" x14ac:dyDescent="0.35">
      <c r="C7239">
        <v>45874</v>
      </c>
      <c r="F7239" t="s">
        <v>749</v>
      </c>
      <c r="Y7239">
        <v>156</v>
      </c>
      <c r="Z7239" s="259" t="s">
        <v>692</v>
      </c>
      <c r="AZ7239" t="s">
        <v>948</v>
      </c>
      <c r="BA7239">
        <v>51.6</v>
      </c>
      <c r="BB7239" t="s">
        <v>564</v>
      </c>
      <c r="BC7239" t="s">
        <v>793</v>
      </c>
      <c r="BD7239">
        <v>0</v>
      </c>
      <c r="BE7239">
        <v>46302</v>
      </c>
      <c r="BF7239" t="s">
        <v>588</v>
      </c>
    </row>
    <row r="7240" spans="3:58" x14ac:dyDescent="0.35">
      <c r="C7240">
        <v>45875</v>
      </c>
      <c r="F7240" t="s">
        <v>749</v>
      </c>
      <c r="Y7240">
        <v>157</v>
      </c>
      <c r="Z7240" s="259" t="s">
        <v>692</v>
      </c>
      <c r="AZ7240" t="s">
        <v>949</v>
      </c>
      <c r="BA7240">
        <v>51.5</v>
      </c>
      <c r="BB7240" t="s">
        <v>564</v>
      </c>
      <c r="BC7240" t="s">
        <v>793</v>
      </c>
      <c r="BD7240">
        <v>0</v>
      </c>
      <c r="BE7240">
        <v>46302</v>
      </c>
      <c r="BF7240" t="s">
        <v>588</v>
      </c>
    </row>
    <row r="7241" spans="3:58" x14ac:dyDescent="0.35">
      <c r="C7241">
        <v>45876</v>
      </c>
      <c r="F7241" t="s">
        <v>749</v>
      </c>
      <c r="Y7241">
        <v>158</v>
      </c>
      <c r="Z7241" s="259" t="s">
        <v>692</v>
      </c>
      <c r="AZ7241" t="s">
        <v>950</v>
      </c>
      <c r="BA7241">
        <v>51.4</v>
      </c>
      <c r="BB7241" t="s">
        <v>564</v>
      </c>
      <c r="BC7241" t="s">
        <v>793</v>
      </c>
      <c r="BD7241">
        <v>0</v>
      </c>
      <c r="BE7241">
        <v>46302</v>
      </c>
      <c r="BF7241" t="s">
        <v>588</v>
      </c>
    </row>
    <row r="7242" spans="3:58" x14ac:dyDescent="0.35">
      <c r="C7242">
        <v>45877</v>
      </c>
      <c r="F7242" t="s">
        <v>749</v>
      </c>
      <c r="Y7242">
        <v>159</v>
      </c>
      <c r="Z7242" s="259" t="s">
        <v>692</v>
      </c>
      <c r="AZ7242" t="s">
        <v>951</v>
      </c>
      <c r="BA7242">
        <v>51.3</v>
      </c>
      <c r="BB7242" t="s">
        <v>564</v>
      </c>
      <c r="BC7242" t="s">
        <v>793</v>
      </c>
      <c r="BD7242">
        <v>0</v>
      </c>
      <c r="BE7242">
        <v>46302</v>
      </c>
      <c r="BF7242" t="s">
        <v>588</v>
      </c>
    </row>
    <row r="7243" spans="3:58" x14ac:dyDescent="0.35">
      <c r="C7243">
        <v>45880</v>
      </c>
      <c r="F7243" t="s">
        <v>749</v>
      </c>
      <c r="Y7243">
        <v>160</v>
      </c>
      <c r="Z7243" s="259" t="s">
        <v>692</v>
      </c>
      <c r="AZ7243" t="s">
        <v>952</v>
      </c>
      <c r="BA7243">
        <v>51</v>
      </c>
      <c r="BB7243" t="s">
        <v>564</v>
      </c>
      <c r="BC7243" t="s">
        <v>793</v>
      </c>
      <c r="BD7243">
        <v>0</v>
      </c>
      <c r="BE7243">
        <v>46302</v>
      </c>
      <c r="BF7243" t="s">
        <v>588</v>
      </c>
    </row>
    <row r="7244" spans="3:58" x14ac:dyDescent="0.35">
      <c r="C7244">
        <v>45881</v>
      </c>
      <c r="F7244" t="s">
        <v>749</v>
      </c>
      <c r="Y7244">
        <v>161</v>
      </c>
      <c r="Z7244" s="259" t="s">
        <v>692</v>
      </c>
      <c r="AZ7244" t="s">
        <v>953</v>
      </c>
      <c r="BA7244">
        <v>50.9</v>
      </c>
      <c r="BB7244" t="s">
        <v>564</v>
      </c>
      <c r="BC7244" t="s">
        <v>793</v>
      </c>
      <c r="BD7244">
        <v>0</v>
      </c>
      <c r="BE7244">
        <v>46302</v>
      </c>
      <c r="BF7244" t="s">
        <v>588</v>
      </c>
    </row>
    <row r="7245" spans="3:58" x14ac:dyDescent="0.35">
      <c r="C7245">
        <v>45882</v>
      </c>
      <c r="F7245" t="s">
        <v>749</v>
      </c>
      <c r="Y7245">
        <v>162</v>
      </c>
      <c r="Z7245" s="259" t="s">
        <v>692</v>
      </c>
      <c r="AZ7245" t="s">
        <v>954</v>
      </c>
      <c r="BA7245">
        <v>50.8</v>
      </c>
      <c r="BB7245" t="s">
        <v>564</v>
      </c>
      <c r="BC7245" t="s">
        <v>793</v>
      </c>
      <c r="BD7245">
        <v>0</v>
      </c>
      <c r="BE7245">
        <v>46302</v>
      </c>
      <c r="BF7245" t="s">
        <v>588</v>
      </c>
    </row>
    <row r="7246" spans="3:58" x14ac:dyDescent="0.35">
      <c r="C7246">
        <v>45883</v>
      </c>
      <c r="F7246" t="s">
        <v>749</v>
      </c>
      <c r="Y7246">
        <v>163</v>
      </c>
      <c r="Z7246" s="259" t="s">
        <v>692</v>
      </c>
      <c r="AZ7246" t="s">
        <v>955</v>
      </c>
      <c r="BA7246">
        <v>50.7</v>
      </c>
      <c r="BB7246" t="s">
        <v>564</v>
      </c>
      <c r="BC7246" t="s">
        <v>793</v>
      </c>
      <c r="BD7246">
        <v>0</v>
      </c>
      <c r="BE7246">
        <v>46302</v>
      </c>
      <c r="BF7246" t="s">
        <v>588</v>
      </c>
    </row>
    <row r="7247" spans="3:58" x14ac:dyDescent="0.35">
      <c r="C7247">
        <v>45884</v>
      </c>
      <c r="F7247" t="s">
        <v>749</v>
      </c>
      <c r="Y7247">
        <v>164</v>
      </c>
      <c r="Z7247" s="259" t="s">
        <v>692</v>
      </c>
      <c r="AZ7247" t="s">
        <v>956</v>
      </c>
      <c r="BA7247">
        <v>50.6</v>
      </c>
      <c r="BB7247" t="s">
        <v>564</v>
      </c>
      <c r="BC7247" t="s">
        <v>793</v>
      </c>
      <c r="BD7247">
        <v>0</v>
      </c>
      <c r="BE7247">
        <v>46302</v>
      </c>
      <c r="BF7247" t="s">
        <v>588</v>
      </c>
    </row>
    <row r="7248" spans="3:58" x14ac:dyDescent="0.35">
      <c r="C7248">
        <v>45887</v>
      </c>
      <c r="F7248" t="s">
        <v>749</v>
      </c>
      <c r="Y7248">
        <v>165</v>
      </c>
      <c r="Z7248" s="259" t="s">
        <v>692</v>
      </c>
      <c r="AZ7248" t="s">
        <v>957</v>
      </c>
      <c r="BA7248">
        <v>50.3</v>
      </c>
      <c r="BB7248" t="s">
        <v>564</v>
      </c>
      <c r="BC7248" t="s">
        <v>793</v>
      </c>
      <c r="BD7248">
        <v>0</v>
      </c>
      <c r="BE7248">
        <v>46302</v>
      </c>
      <c r="BF7248" t="s">
        <v>588</v>
      </c>
    </row>
    <row r="7249" spans="3:58" x14ac:dyDescent="0.35">
      <c r="C7249">
        <v>45888</v>
      </c>
      <c r="F7249" t="s">
        <v>749</v>
      </c>
      <c r="Y7249">
        <v>166</v>
      </c>
      <c r="Z7249" s="259" t="s">
        <v>692</v>
      </c>
      <c r="AZ7249" t="s">
        <v>958</v>
      </c>
      <c r="BA7249">
        <v>50.2</v>
      </c>
      <c r="BB7249" t="s">
        <v>564</v>
      </c>
      <c r="BC7249" t="s">
        <v>793</v>
      </c>
      <c r="BD7249">
        <v>0</v>
      </c>
      <c r="BE7249">
        <v>46302</v>
      </c>
      <c r="BF7249" t="s">
        <v>588</v>
      </c>
    </row>
    <row r="7250" spans="3:58" x14ac:dyDescent="0.35">
      <c r="C7250">
        <v>45889</v>
      </c>
      <c r="F7250" t="s">
        <v>749</v>
      </c>
      <c r="Y7250">
        <v>167</v>
      </c>
      <c r="Z7250" s="259" t="s">
        <v>692</v>
      </c>
      <c r="AZ7250" t="s">
        <v>959</v>
      </c>
      <c r="BA7250">
        <v>50.1</v>
      </c>
      <c r="BB7250" t="s">
        <v>564</v>
      </c>
      <c r="BC7250" t="s">
        <v>793</v>
      </c>
      <c r="BD7250">
        <v>0</v>
      </c>
      <c r="BE7250">
        <v>46302</v>
      </c>
      <c r="BF7250" t="s">
        <v>588</v>
      </c>
    </row>
    <row r="7251" spans="3:58" x14ac:dyDescent="0.35">
      <c r="C7251">
        <v>45890</v>
      </c>
      <c r="F7251" t="s">
        <v>749</v>
      </c>
      <c r="Y7251">
        <v>168</v>
      </c>
      <c r="Z7251" s="259" t="s">
        <v>692</v>
      </c>
      <c r="AZ7251" t="s">
        <v>960</v>
      </c>
      <c r="BA7251">
        <v>50</v>
      </c>
      <c r="BB7251" t="s">
        <v>564</v>
      </c>
      <c r="BC7251" t="s">
        <v>793</v>
      </c>
      <c r="BD7251">
        <v>0</v>
      </c>
      <c r="BE7251">
        <v>46302</v>
      </c>
      <c r="BF7251" t="s">
        <v>588</v>
      </c>
    </row>
    <row r="7252" spans="3:58" x14ac:dyDescent="0.35">
      <c r="C7252">
        <v>45891</v>
      </c>
      <c r="F7252" t="s">
        <v>749</v>
      </c>
      <c r="Y7252">
        <v>169</v>
      </c>
      <c r="Z7252" s="259" t="s">
        <v>692</v>
      </c>
      <c r="AZ7252" t="s">
        <v>961</v>
      </c>
      <c r="BA7252">
        <v>49.9</v>
      </c>
      <c r="BB7252" t="s">
        <v>564</v>
      </c>
      <c r="BC7252" t="s">
        <v>793</v>
      </c>
      <c r="BD7252">
        <v>0</v>
      </c>
      <c r="BE7252">
        <v>46302</v>
      </c>
      <c r="BF7252" t="s">
        <v>588</v>
      </c>
    </row>
    <row r="7253" spans="3:58" x14ac:dyDescent="0.35">
      <c r="C7253">
        <v>45894</v>
      </c>
      <c r="F7253" t="s">
        <v>749</v>
      </c>
      <c r="Y7253">
        <v>170</v>
      </c>
      <c r="Z7253" s="259" t="s">
        <v>692</v>
      </c>
      <c r="AZ7253" t="s">
        <v>962</v>
      </c>
      <c r="BA7253">
        <v>49.6</v>
      </c>
      <c r="BB7253" t="s">
        <v>564</v>
      </c>
      <c r="BC7253" t="s">
        <v>793</v>
      </c>
      <c r="BD7253">
        <v>0</v>
      </c>
      <c r="BE7253">
        <v>46302</v>
      </c>
      <c r="BF7253" t="s">
        <v>588</v>
      </c>
    </row>
    <row r="7254" spans="3:58" x14ac:dyDescent="0.35">
      <c r="C7254">
        <v>45895</v>
      </c>
      <c r="F7254" t="s">
        <v>749</v>
      </c>
      <c r="Y7254">
        <v>171</v>
      </c>
      <c r="Z7254" s="259" t="s">
        <v>692</v>
      </c>
      <c r="AZ7254" t="s">
        <v>963</v>
      </c>
      <c r="BA7254">
        <v>49.5</v>
      </c>
      <c r="BB7254" t="s">
        <v>564</v>
      </c>
      <c r="BC7254" t="s">
        <v>793</v>
      </c>
      <c r="BD7254">
        <v>0</v>
      </c>
      <c r="BE7254">
        <v>46302</v>
      </c>
      <c r="BF7254" t="s">
        <v>588</v>
      </c>
    </row>
    <row r="7255" spans="3:58" x14ac:dyDescent="0.35">
      <c r="C7255">
        <v>45896</v>
      </c>
      <c r="F7255" t="s">
        <v>749</v>
      </c>
      <c r="Y7255">
        <v>172</v>
      </c>
      <c r="Z7255" s="259" t="s">
        <v>692</v>
      </c>
      <c r="AZ7255" t="s">
        <v>964</v>
      </c>
      <c r="BA7255">
        <v>49.4</v>
      </c>
      <c r="BB7255" t="s">
        <v>564</v>
      </c>
      <c r="BC7255" t="s">
        <v>793</v>
      </c>
      <c r="BD7255">
        <v>0</v>
      </c>
      <c r="BE7255">
        <v>46302</v>
      </c>
      <c r="BF7255" t="s">
        <v>588</v>
      </c>
    </row>
    <row r="7256" spans="3:58" x14ac:dyDescent="0.35">
      <c r="C7256">
        <v>45897</v>
      </c>
      <c r="F7256" t="s">
        <v>749</v>
      </c>
      <c r="Y7256">
        <v>173</v>
      </c>
      <c r="Z7256" s="259" t="s">
        <v>692</v>
      </c>
      <c r="AZ7256" t="s">
        <v>965</v>
      </c>
      <c r="BA7256">
        <v>49.3</v>
      </c>
      <c r="BB7256" t="s">
        <v>564</v>
      </c>
      <c r="BC7256" t="s">
        <v>793</v>
      </c>
      <c r="BD7256">
        <v>0</v>
      </c>
      <c r="BE7256">
        <v>46302</v>
      </c>
      <c r="BF7256" t="s">
        <v>588</v>
      </c>
    </row>
    <row r="7257" spans="3:58" x14ac:dyDescent="0.35">
      <c r="C7257">
        <v>45898</v>
      </c>
      <c r="F7257" t="s">
        <v>749</v>
      </c>
      <c r="Y7257">
        <v>174</v>
      </c>
      <c r="Z7257" s="259" t="s">
        <v>692</v>
      </c>
      <c r="AZ7257" t="s">
        <v>966</v>
      </c>
      <c r="BA7257">
        <v>49.2</v>
      </c>
      <c r="BB7257" t="s">
        <v>564</v>
      </c>
      <c r="BC7257" t="s">
        <v>793</v>
      </c>
      <c r="BD7257">
        <v>0</v>
      </c>
      <c r="BE7257">
        <v>46302</v>
      </c>
      <c r="BF7257" t="s">
        <v>588</v>
      </c>
    </row>
    <row r="7258" spans="3:58" x14ac:dyDescent="0.35">
      <c r="C7258">
        <v>45901</v>
      </c>
      <c r="F7258" t="s">
        <v>749</v>
      </c>
      <c r="Y7258">
        <v>175</v>
      </c>
      <c r="Z7258" s="259" t="s">
        <v>692</v>
      </c>
      <c r="AZ7258" t="s">
        <v>967</v>
      </c>
      <c r="BA7258">
        <v>49</v>
      </c>
      <c r="BB7258" t="s">
        <v>564</v>
      </c>
      <c r="BC7258" t="s">
        <v>793</v>
      </c>
      <c r="BD7258">
        <v>0</v>
      </c>
      <c r="BE7258">
        <v>46302</v>
      </c>
      <c r="BF7258" t="s">
        <v>588</v>
      </c>
    </row>
    <row r="7259" spans="3:58" x14ac:dyDescent="0.35">
      <c r="C7259">
        <v>45902</v>
      </c>
      <c r="F7259" t="s">
        <v>749</v>
      </c>
      <c r="Y7259">
        <v>176</v>
      </c>
      <c r="Z7259" s="259" t="s">
        <v>692</v>
      </c>
      <c r="AZ7259" t="s">
        <v>968</v>
      </c>
      <c r="BA7259">
        <v>49.17</v>
      </c>
      <c r="BB7259" t="s">
        <v>564</v>
      </c>
      <c r="BC7259" t="s">
        <v>793</v>
      </c>
      <c r="BD7259">
        <v>0</v>
      </c>
      <c r="BE7259">
        <v>46302</v>
      </c>
      <c r="BF7259" t="s">
        <v>588</v>
      </c>
    </row>
    <row r="7260" spans="3:58" x14ac:dyDescent="0.35">
      <c r="C7260">
        <v>45903</v>
      </c>
      <c r="F7260" t="s">
        <v>749</v>
      </c>
      <c r="Y7260">
        <v>177</v>
      </c>
      <c r="Z7260" s="259" t="s">
        <v>692</v>
      </c>
      <c r="AZ7260" t="s">
        <v>969</v>
      </c>
      <c r="BA7260">
        <v>49.34</v>
      </c>
      <c r="BB7260" t="s">
        <v>564</v>
      </c>
      <c r="BC7260" t="s">
        <v>793</v>
      </c>
      <c r="BD7260">
        <v>0</v>
      </c>
      <c r="BE7260">
        <v>46302</v>
      </c>
      <c r="BF7260" t="s">
        <v>588</v>
      </c>
    </row>
    <row r="7261" spans="3:58" x14ac:dyDescent="0.35">
      <c r="C7261">
        <v>45904</v>
      </c>
      <c r="F7261" t="s">
        <v>749</v>
      </c>
      <c r="Y7261">
        <v>178</v>
      </c>
      <c r="Z7261" s="259" t="s">
        <v>692</v>
      </c>
      <c r="AZ7261" t="s">
        <v>970</v>
      </c>
      <c r="BA7261">
        <v>49.52</v>
      </c>
      <c r="BB7261" t="s">
        <v>564</v>
      </c>
      <c r="BC7261" t="s">
        <v>793</v>
      </c>
      <c r="BD7261">
        <v>0</v>
      </c>
      <c r="BE7261">
        <v>46302</v>
      </c>
      <c r="BF7261" t="s">
        <v>588</v>
      </c>
    </row>
    <row r="7262" spans="3:58" x14ac:dyDescent="0.35">
      <c r="C7262">
        <v>45905</v>
      </c>
      <c r="F7262" t="s">
        <v>749</v>
      </c>
      <c r="Y7262">
        <v>179</v>
      </c>
      <c r="Z7262" s="259" t="s">
        <v>692</v>
      </c>
      <c r="AZ7262" t="s">
        <v>971</v>
      </c>
      <c r="BA7262">
        <v>49.69</v>
      </c>
      <c r="BB7262" t="s">
        <v>564</v>
      </c>
      <c r="BC7262" t="s">
        <v>793</v>
      </c>
      <c r="BD7262">
        <v>0</v>
      </c>
      <c r="BE7262">
        <v>46302</v>
      </c>
      <c r="BF7262" t="s">
        <v>588</v>
      </c>
    </row>
    <row r="7263" spans="3:58" x14ac:dyDescent="0.35">
      <c r="C7263">
        <v>45908</v>
      </c>
      <c r="F7263" t="s">
        <v>749</v>
      </c>
      <c r="Y7263">
        <v>180</v>
      </c>
      <c r="Z7263" s="259" t="s">
        <v>692</v>
      </c>
      <c r="AZ7263" t="s">
        <v>972</v>
      </c>
      <c r="BA7263">
        <v>50.21</v>
      </c>
      <c r="BB7263" t="s">
        <v>564</v>
      </c>
      <c r="BC7263" t="s">
        <v>793</v>
      </c>
      <c r="BD7263">
        <v>0</v>
      </c>
      <c r="BE7263">
        <v>46302</v>
      </c>
      <c r="BF7263" t="s">
        <v>588</v>
      </c>
    </row>
    <row r="7264" spans="3:58" x14ac:dyDescent="0.35">
      <c r="C7264">
        <v>45909</v>
      </c>
      <c r="F7264" t="s">
        <v>749</v>
      </c>
      <c r="Y7264">
        <v>181</v>
      </c>
      <c r="Z7264" s="259" t="s">
        <v>692</v>
      </c>
      <c r="AZ7264" t="s">
        <v>973</v>
      </c>
      <c r="BA7264">
        <v>50.38</v>
      </c>
      <c r="BB7264" t="s">
        <v>564</v>
      </c>
      <c r="BC7264" t="s">
        <v>793</v>
      </c>
      <c r="BD7264">
        <v>0</v>
      </c>
      <c r="BE7264">
        <v>46302</v>
      </c>
      <c r="BF7264" t="s">
        <v>588</v>
      </c>
    </row>
    <row r="7265" spans="3:58" x14ac:dyDescent="0.35">
      <c r="C7265">
        <v>45910</v>
      </c>
      <c r="F7265" t="s">
        <v>749</v>
      </c>
      <c r="Y7265">
        <v>182</v>
      </c>
      <c r="Z7265" s="259" t="s">
        <v>692</v>
      </c>
      <c r="AZ7265" t="s">
        <v>974</v>
      </c>
      <c r="BA7265">
        <v>50.55</v>
      </c>
      <c r="BB7265" t="s">
        <v>564</v>
      </c>
      <c r="BC7265" t="s">
        <v>793</v>
      </c>
      <c r="BD7265">
        <v>0</v>
      </c>
      <c r="BE7265">
        <v>46302</v>
      </c>
      <c r="BF7265" t="s">
        <v>588</v>
      </c>
    </row>
    <row r="7266" spans="3:58" x14ac:dyDescent="0.35">
      <c r="C7266">
        <v>45911</v>
      </c>
      <c r="F7266" t="s">
        <v>749</v>
      </c>
      <c r="Y7266">
        <v>183</v>
      </c>
      <c r="Z7266" s="259" t="s">
        <v>692</v>
      </c>
      <c r="AZ7266" t="s">
        <v>975</v>
      </c>
      <c r="BA7266">
        <v>50.72</v>
      </c>
      <c r="BB7266" t="s">
        <v>564</v>
      </c>
      <c r="BC7266" t="s">
        <v>793</v>
      </c>
      <c r="BD7266">
        <v>0</v>
      </c>
      <c r="BE7266">
        <v>46302</v>
      </c>
      <c r="BF7266" t="s">
        <v>588</v>
      </c>
    </row>
    <row r="7267" spans="3:58" x14ac:dyDescent="0.35">
      <c r="C7267">
        <v>45912</v>
      </c>
      <c r="F7267" t="s">
        <v>749</v>
      </c>
      <c r="Y7267">
        <v>184</v>
      </c>
      <c r="Z7267" s="259" t="s">
        <v>692</v>
      </c>
      <c r="AZ7267" t="s">
        <v>976</v>
      </c>
      <c r="BA7267">
        <v>50.9</v>
      </c>
      <c r="BB7267" t="s">
        <v>564</v>
      </c>
      <c r="BC7267" t="s">
        <v>793</v>
      </c>
      <c r="BD7267">
        <v>0</v>
      </c>
      <c r="BE7267">
        <v>46302</v>
      </c>
      <c r="BF7267" t="s">
        <v>588</v>
      </c>
    </row>
    <row r="7268" spans="3:58" x14ac:dyDescent="0.35">
      <c r="C7268">
        <v>45915</v>
      </c>
      <c r="F7268" t="s">
        <v>749</v>
      </c>
      <c r="Y7268">
        <v>185</v>
      </c>
      <c r="Z7268" s="259" t="s">
        <v>692</v>
      </c>
      <c r="AZ7268" t="s">
        <v>977</v>
      </c>
      <c r="BA7268">
        <v>51.41</v>
      </c>
      <c r="BB7268" t="s">
        <v>564</v>
      </c>
      <c r="BC7268" t="s">
        <v>793</v>
      </c>
      <c r="BD7268">
        <v>0</v>
      </c>
      <c r="BE7268">
        <v>46302</v>
      </c>
      <c r="BF7268" t="s">
        <v>588</v>
      </c>
    </row>
    <row r="7269" spans="3:58" x14ac:dyDescent="0.35">
      <c r="C7269">
        <v>45916</v>
      </c>
      <c r="F7269" t="s">
        <v>749</v>
      </c>
      <c r="Y7269">
        <v>186</v>
      </c>
      <c r="Z7269" s="259" t="s">
        <v>692</v>
      </c>
      <c r="AZ7269" t="s">
        <v>978</v>
      </c>
      <c r="BA7269">
        <v>51.59</v>
      </c>
      <c r="BB7269" t="s">
        <v>564</v>
      </c>
      <c r="BC7269" t="s">
        <v>793</v>
      </c>
      <c r="BD7269">
        <v>0</v>
      </c>
      <c r="BE7269">
        <v>46302</v>
      </c>
      <c r="BF7269" t="s">
        <v>588</v>
      </c>
    </row>
    <row r="7270" spans="3:58" x14ac:dyDescent="0.35">
      <c r="C7270">
        <v>45917</v>
      </c>
      <c r="F7270" t="s">
        <v>749</v>
      </c>
      <c r="Y7270">
        <v>187</v>
      </c>
      <c r="Z7270" s="259" t="s">
        <v>692</v>
      </c>
      <c r="AZ7270" t="s">
        <v>979</v>
      </c>
      <c r="BA7270">
        <v>51.76</v>
      </c>
      <c r="BB7270" t="s">
        <v>564</v>
      </c>
      <c r="BC7270" t="s">
        <v>793</v>
      </c>
      <c r="BD7270">
        <v>0</v>
      </c>
      <c r="BE7270">
        <v>46302</v>
      </c>
      <c r="BF7270" t="s">
        <v>588</v>
      </c>
    </row>
    <row r="7271" spans="3:58" x14ac:dyDescent="0.35">
      <c r="C7271">
        <v>45918</v>
      </c>
      <c r="F7271" t="s">
        <v>749</v>
      </c>
      <c r="Y7271">
        <v>188</v>
      </c>
      <c r="Z7271" s="259" t="s">
        <v>692</v>
      </c>
      <c r="AZ7271" t="s">
        <v>980</v>
      </c>
      <c r="BA7271">
        <v>51.93</v>
      </c>
      <c r="BB7271" t="s">
        <v>564</v>
      </c>
      <c r="BC7271" t="s">
        <v>793</v>
      </c>
      <c r="BD7271">
        <v>0</v>
      </c>
      <c r="BE7271">
        <v>46302</v>
      </c>
      <c r="BF7271" t="s">
        <v>588</v>
      </c>
    </row>
    <row r="7272" spans="3:58" x14ac:dyDescent="0.35">
      <c r="C7272">
        <v>45919</v>
      </c>
      <c r="F7272" t="s">
        <v>749</v>
      </c>
      <c r="Y7272">
        <v>189</v>
      </c>
      <c r="Z7272" s="259" t="s">
        <v>692</v>
      </c>
      <c r="AZ7272" t="s">
        <v>981</v>
      </c>
      <c r="BA7272">
        <v>52.1</v>
      </c>
      <c r="BB7272" t="s">
        <v>564</v>
      </c>
      <c r="BC7272" t="s">
        <v>793</v>
      </c>
      <c r="BD7272">
        <v>0</v>
      </c>
      <c r="BE7272">
        <v>46302</v>
      </c>
      <c r="BF7272" t="s">
        <v>588</v>
      </c>
    </row>
    <row r="7273" spans="3:58" x14ac:dyDescent="0.35">
      <c r="C7273">
        <v>45922</v>
      </c>
      <c r="F7273" t="s">
        <v>749</v>
      </c>
      <c r="Y7273">
        <v>190</v>
      </c>
      <c r="Z7273" s="259" t="s">
        <v>692</v>
      </c>
      <c r="AZ7273" t="s">
        <v>982</v>
      </c>
      <c r="BA7273">
        <v>52.62</v>
      </c>
      <c r="BB7273" t="s">
        <v>564</v>
      </c>
      <c r="BC7273" t="s">
        <v>793</v>
      </c>
      <c r="BD7273">
        <v>0</v>
      </c>
      <c r="BE7273">
        <v>46302</v>
      </c>
      <c r="BF7273" t="s">
        <v>588</v>
      </c>
    </row>
    <row r="7274" spans="3:58" x14ac:dyDescent="0.35">
      <c r="C7274">
        <v>45923</v>
      </c>
      <c r="F7274" t="s">
        <v>749</v>
      </c>
      <c r="Y7274">
        <v>191</v>
      </c>
      <c r="Z7274" s="259" t="s">
        <v>692</v>
      </c>
      <c r="AZ7274" t="s">
        <v>983</v>
      </c>
      <c r="BA7274">
        <v>52.79</v>
      </c>
      <c r="BB7274" t="s">
        <v>564</v>
      </c>
      <c r="BC7274" t="s">
        <v>793</v>
      </c>
      <c r="BD7274">
        <v>0</v>
      </c>
      <c r="BE7274">
        <v>46302</v>
      </c>
      <c r="BF7274" t="s">
        <v>588</v>
      </c>
    </row>
    <row r="7275" spans="3:58" x14ac:dyDescent="0.35">
      <c r="C7275">
        <v>45924</v>
      </c>
      <c r="F7275" t="s">
        <v>749</v>
      </c>
      <c r="Y7275">
        <v>192</v>
      </c>
      <c r="Z7275" s="259" t="s">
        <v>692</v>
      </c>
      <c r="AZ7275" t="s">
        <v>984</v>
      </c>
      <c r="BA7275">
        <v>52.97</v>
      </c>
      <c r="BB7275" t="s">
        <v>564</v>
      </c>
      <c r="BC7275" t="s">
        <v>793</v>
      </c>
      <c r="BD7275">
        <v>0</v>
      </c>
      <c r="BE7275">
        <v>46302</v>
      </c>
      <c r="BF7275" t="s">
        <v>588</v>
      </c>
    </row>
    <row r="7276" spans="3:58" x14ac:dyDescent="0.35">
      <c r="C7276">
        <v>45925</v>
      </c>
      <c r="F7276" t="s">
        <v>749</v>
      </c>
      <c r="Y7276">
        <v>193</v>
      </c>
      <c r="Z7276" s="259" t="s">
        <v>692</v>
      </c>
      <c r="AZ7276" t="s">
        <v>985</v>
      </c>
      <c r="BA7276">
        <v>53.14</v>
      </c>
      <c r="BB7276" t="s">
        <v>564</v>
      </c>
      <c r="BC7276" t="s">
        <v>793</v>
      </c>
      <c r="BD7276">
        <v>0</v>
      </c>
      <c r="BE7276">
        <v>46302</v>
      </c>
      <c r="BF7276" t="s">
        <v>588</v>
      </c>
    </row>
    <row r="7277" spans="3:58" x14ac:dyDescent="0.35">
      <c r="C7277">
        <v>45926</v>
      </c>
      <c r="F7277" t="s">
        <v>749</v>
      </c>
      <c r="Y7277">
        <v>194</v>
      </c>
      <c r="Z7277" s="259" t="s">
        <v>692</v>
      </c>
      <c r="AZ7277" t="s">
        <v>986</v>
      </c>
      <c r="BA7277">
        <v>53.31</v>
      </c>
      <c r="BB7277" t="s">
        <v>564</v>
      </c>
      <c r="BC7277" t="s">
        <v>793</v>
      </c>
      <c r="BD7277">
        <v>0</v>
      </c>
      <c r="BE7277">
        <v>46302</v>
      </c>
      <c r="BF7277" t="s">
        <v>588</v>
      </c>
    </row>
    <row r="7278" spans="3:58" x14ac:dyDescent="0.35">
      <c r="C7278">
        <v>45929</v>
      </c>
      <c r="F7278" t="s">
        <v>749</v>
      </c>
      <c r="Y7278">
        <v>195</v>
      </c>
      <c r="Z7278" s="259" t="s">
        <v>692</v>
      </c>
      <c r="AZ7278" t="s">
        <v>987</v>
      </c>
      <c r="BA7278">
        <v>53.83</v>
      </c>
      <c r="BB7278" t="s">
        <v>564</v>
      </c>
      <c r="BC7278" t="s">
        <v>793</v>
      </c>
      <c r="BD7278">
        <v>0</v>
      </c>
      <c r="BE7278">
        <v>46302</v>
      </c>
      <c r="BF7278" t="s">
        <v>588</v>
      </c>
    </row>
    <row r="7279" spans="3:58" x14ac:dyDescent="0.35">
      <c r="C7279">
        <v>45930</v>
      </c>
      <c r="F7279" t="s">
        <v>749</v>
      </c>
      <c r="Y7279">
        <v>196</v>
      </c>
      <c r="Z7279" s="259" t="s">
        <v>692</v>
      </c>
      <c r="AZ7279" t="s">
        <v>988</v>
      </c>
      <c r="BA7279">
        <v>54</v>
      </c>
      <c r="BB7279" t="s">
        <v>564</v>
      </c>
      <c r="BC7279" t="s">
        <v>793</v>
      </c>
      <c r="BD7279">
        <v>0</v>
      </c>
      <c r="BE7279">
        <v>46302</v>
      </c>
      <c r="BF7279" t="s">
        <v>588</v>
      </c>
    </row>
    <row r="7280" spans="3:58" x14ac:dyDescent="0.35">
      <c r="C7280">
        <v>45931</v>
      </c>
      <c r="F7280" t="s">
        <v>749</v>
      </c>
      <c r="Y7280">
        <v>197</v>
      </c>
      <c r="Z7280" s="259" t="s">
        <v>692</v>
      </c>
      <c r="AZ7280" t="s">
        <v>989</v>
      </c>
      <c r="BA7280">
        <v>54</v>
      </c>
      <c r="BB7280" t="s">
        <v>564</v>
      </c>
      <c r="BC7280" t="s">
        <v>793</v>
      </c>
      <c r="BD7280">
        <v>0</v>
      </c>
      <c r="BE7280">
        <v>46302</v>
      </c>
      <c r="BF7280" t="s">
        <v>588</v>
      </c>
    </row>
    <row r="7281" spans="3:58" x14ac:dyDescent="0.35">
      <c r="C7281">
        <v>45932</v>
      </c>
      <c r="F7281" t="s">
        <v>749</v>
      </c>
      <c r="Y7281">
        <v>198</v>
      </c>
      <c r="Z7281" s="259" t="s">
        <v>692</v>
      </c>
      <c r="AZ7281" t="s">
        <v>990</v>
      </c>
      <c r="BA7281">
        <v>53.9</v>
      </c>
      <c r="BB7281" t="s">
        <v>564</v>
      </c>
      <c r="BC7281" t="s">
        <v>793</v>
      </c>
      <c r="BD7281">
        <v>0</v>
      </c>
      <c r="BE7281">
        <v>46302</v>
      </c>
      <c r="BF7281" t="s">
        <v>588</v>
      </c>
    </row>
    <row r="7282" spans="3:58" x14ac:dyDescent="0.35">
      <c r="C7282">
        <v>45933</v>
      </c>
      <c r="F7282" t="s">
        <v>749</v>
      </c>
      <c r="Y7282">
        <v>199</v>
      </c>
      <c r="Z7282" s="259" t="s">
        <v>692</v>
      </c>
      <c r="AZ7282" t="s">
        <v>991</v>
      </c>
      <c r="BA7282">
        <v>53.8</v>
      </c>
      <c r="BB7282" t="s">
        <v>564</v>
      </c>
      <c r="BC7282" t="s">
        <v>793</v>
      </c>
      <c r="BD7282">
        <v>0</v>
      </c>
      <c r="BE7282">
        <v>46302</v>
      </c>
      <c r="BF7282" t="s">
        <v>588</v>
      </c>
    </row>
    <row r="7283" spans="3:58" x14ac:dyDescent="0.35">
      <c r="C7283">
        <v>45936</v>
      </c>
      <c r="F7283" t="s">
        <v>749</v>
      </c>
      <c r="Y7283">
        <v>200</v>
      </c>
      <c r="Z7283" s="259" t="s">
        <v>692</v>
      </c>
      <c r="AZ7283" t="s">
        <v>992</v>
      </c>
      <c r="BA7283">
        <v>53.5</v>
      </c>
      <c r="BB7283" t="s">
        <v>564</v>
      </c>
      <c r="BC7283" t="s">
        <v>793</v>
      </c>
      <c r="BD7283">
        <v>0</v>
      </c>
      <c r="BE7283">
        <v>46302</v>
      </c>
      <c r="BF7283" t="s">
        <v>588</v>
      </c>
    </row>
    <row r="7284" spans="3:58" x14ac:dyDescent="0.35">
      <c r="C7284">
        <v>45937</v>
      </c>
      <c r="F7284" t="s">
        <v>749</v>
      </c>
      <c r="Y7284">
        <v>201</v>
      </c>
      <c r="Z7284" s="259" t="s">
        <v>692</v>
      </c>
      <c r="AZ7284" t="s">
        <v>993</v>
      </c>
      <c r="BA7284">
        <v>53.4</v>
      </c>
      <c r="BB7284" t="s">
        <v>564</v>
      </c>
      <c r="BC7284" t="s">
        <v>793</v>
      </c>
      <c r="BD7284">
        <v>0</v>
      </c>
      <c r="BE7284">
        <v>46302</v>
      </c>
      <c r="BF7284" t="s">
        <v>588</v>
      </c>
    </row>
    <row r="7285" spans="3:58" x14ac:dyDescent="0.35">
      <c r="C7285">
        <v>45938</v>
      </c>
      <c r="F7285" t="s">
        <v>749</v>
      </c>
      <c r="Y7285">
        <v>202</v>
      </c>
      <c r="Z7285" s="259" t="s">
        <v>692</v>
      </c>
      <c r="AZ7285" t="s">
        <v>994</v>
      </c>
      <c r="BA7285">
        <v>53.3</v>
      </c>
      <c r="BB7285" t="s">
        <v>564</v>
      </c>
      <c r="BC7285" t="s">
        <v>793</v>
      </c>
      <c r="BD7285">
        <v>0</v>
      </c>
      <c r="BE7285">
        <v>46302</v>
      </c>
      <c r="BF7285" t="s">
        <v>588</v>
      </c>
    </row>
    <row r="7286" spans="3:58" x14ac:dyDescent="0.35">
      <c r="C7286">
        <v>45939</v>
      </c>
      <c r="F7286" t="s">
        <v>749</v>
      </c>
      <c r="Y7286">
        <v>203</v>
      </c>
      <c r="Z7286" s="259" t="s">
        <v>692</v>
      </c>
      <c r="AZ7286" t="s">
        <v>995</v>
      </c>
      <c r="BA7286">
        <v>53.2</v>
      </c>
      <c r="BB7286" t="s">
        <v>564</v>
      </c>
      <c r="BC7286" t="s">
        <v>793</v>
      </c>
      <c r="BD7286">
        <v>0</v>
      </c>
      <c r="BE7286">
        <v>46302</v>
      </c>
      <c r="BF7286" t="s">
        <v>588</v>
      </c>
    </row>
    <row r="7287" spans="3:58" x14ac:dyDescent="0.35">
      <c r="C7287">
        <v>45940</v>
      </c>
      <c r="F7287" t="s">
        <v>749</v>
      </c>
      <c r="Y7287">
        <v>204</v>
      </c>
      <c r="Z7287" s="259" t="s">
        <v>692</v>
      </c>
      <c r="AZ7287" t="s">
        <v>996</v>
      </c>
      <c r="BA7287">
        <v>53.1</v>
      </c>
      <c r="BB7287" t="s">
        <v>564</v>
      </c>
      <c r="BC7287" t="s">
        <v>793</v>
      </c>
      <c r="BD7287">
        <v>0</v>
      </c>
      <c r="BE7287">
        <v>46302</v>
      </c>
      <c r="BF7287" t="s">
        <v>588</v>
      </c>
    </row>
    <row r="7288" spans="3:58" x14ac:dyDescent="0.35">
      <c r="C7288">
        <v>45943</v>
      </c>
      <c r="F7288" t="s">
        <v>749</v>
      </c>
      <c r="Y7288">
        <v>205</v>
      </c>
      <c r="Z7288" s="259" t="s">
        <v>692</v>
      </c>
      <c r="AZ7288" t="s">
        <v>997</v>
      </c>
      <c r="BA7288">
        <v>52.8</v>
      </c>
      <c r="BB7288" t="s">
        <v>564</v>
      </c>
      <c r="BC7288" t="s">
        <v>793</v>
      </c>
      <c r="BD7288">
        <v>0</v>
      </c>
      <c r="BE7288">
        <v>46302</v>
      </c>
      <c r="BF7288" t="s">
        <v>588</v>
      </c>
    </row>
    <row r="7289" spans="3:58" x14ac:dyDescent="0.35">
      <c r="C7289">
        <v>45944</v>
      </c>
      <c r="F7289" t="s">
        <v>749</v>
      </c>
      <c r="Y7289">
        <v>206</v>
      </c>
      <c r="Z7289" s="259" t="s">
        <v>692</v>
      </c>
      <c r="AZ7289" t="s">
        <v>998</v>
      </c>
      <c r="BA7289">
        <v>52.7</v>
      </c>
      <c r="BB7289" t="s">
        <v>564</v>
      </c>
      <c r="BC7289" t="s">
        <v>793</v>
      </c>
      <c r="BD7289">
        <v>0</v>
      </c>
      <c r="BE7289">
        <v>46302</v>
      </c>
      <c r="BF7289" t="s">
        <v>588</v>
      </c>
    </row>
    <row r="7290" spans="3:58" x14ac:dyDescent="0.35">
      <c r="C7290">
        <v>45945</v>
      </c>
      <c r="F7290" t="s">
        <v>749</v>
      </c>
      <c r="Y7290">
        <v>207</v>
      </c>
      <c r="Z7290" s="259" t="s">
        <v>692</v>
      </c>
      <c r="AZ7290" t="s">
        <v>999</v>
      </c>
      <c r="BA7290">
        <v>52.6</v>
      </c>
      <c r="BB7290" t="s">
        <v>564</v>
      </c>
      <c r="BC7290" t="s">
        <v>793</v>
      </c>
      <c r="BD7290">
        <v>0</v>
      </c>
      <c r="BE7290">
        <v>46302</v>
      </c>
      <c r="BF7290" t="s">
        <v>588</v>
      </c>
    </row>
    <row r="7291" spans="3:58" x14ac:dyDescent="0.35">
      <c r="C7291">
        <v>45946</v>
      </c>
      <c r="F7291" t="s">
        <v>749</v>
      </c>
      <c r="Y7291">
        <v>208</v>
      </c>
      <c r="Z7291" s="259" t="s">
        <v>692</v>
      </c>
      <c r="AZ7291" t="s">
        <v>1000</v>
      </c>
      <c r="BA7291">
        <v>52.5</v>
      </c>
      <c r="BB7291" t="s">
        <v>564</v>
      </c>
      <c r="BC7291" t="s">
        <v>793</v>
      </c>
      <c r="BD7291">
        <v>0</v>
      </c>
      <c r="BE7291">
        <v>46302</v>
      </c>
      <c r="BF7291" t="s">
        <v>588</v>
      </c>
    </row>
    <row r="7292" spans="3:58" x14ac:dyDescent="0.35">
      <c r="C7292">
        <v>45947</v>
      </c>
      <c r="F7292" t="s">
        <v>749</v>
      </c>
      <c r="Y7292">
        <v>209</v>
      </c>
      <c r="Z7292" s="259" t="s">
        <v>692</v>
      </c>
      <c r="AZ7292" t="s">
        <v>1001</v>
      </c>
      <c r="BA7292">
        <v>52.4</v>
      </c>
      <c r="BB7292" t="s">
        <v>564</v>
      </c>
      <c r="BC7292" t="s">
        <v>793</v>
      </c>
      <c r="BD7292">
        <v>0</v>
      </c>
      <c r="BE7292">
        <v>46302</v>
      </c>
      <c r="BF7292" t="s">
        <v>588</v>
      </c>
    </row>
    <row r="7293" spans="3:58" x14ac:dyDescent="0.35">
      <c r="C7293">
        <v>45950</v>
      </c>
      <c r="F7293" t="s">
        <v>749</v>
      </c>
      <c r="Y7293">
        <v>210</v>
      </c>
      <c r="Z7293" s="259" t="s">
        <v>692</v>
      </c>
      <c r="AZ7293" t="s">
        <v>1002</v>
      </c>
      <c r="BA7293">
        <v>52.1</v>
      </c>
      <c r="BB7293" t="s">
        <v>564</v>
      </c>
      <c r="BC7293" t="s">
        <v>793</v>
      </c>
      <c r="BD7293">
        <v>0</v>
      </c>
      <c r="BE7293">
        <v>46302</v>
      </c>
      <c r="BF7293" t="s">
        <v>588</v>
      </c>
    </row>
    <row r="7294" spans="3:58" x14ac:dyDescent="0.35">
      <c r="C7294">
        <v>45951</v>
      </c>
      <c r="F7294" t="s">
        <v>749</v>
      </c>
      <c r="Y7294">
        <v>211</v>
      </c>
      <c r="Z7294" s="259" t="s">
        <v>692</v>
      </c>
      <c r="AZ7294" t="s">
        <v>1003</v>
      </c>
      <c r="BA7294">
        <v>52</v>
      </c>
      <c r="BB7294" t="s">
        <v>564</v>
      </c>
      <c r="BC7294" t="s">
        <v>793</v>
      </c>
      <c r="BD7294">
        <v>0</v>
      </c>
      <c r="BE7294">
        <v>46302</v>
      </c>
      <c r="BF7294" t="s">
        <v>588</v>
      </c>
    </row>
    <row r="7295" spans="3:58" x14ac:dyDescent="0.35">
      <c r="C7295">
        <v>45952</v>
      </c>
      <c r="F7295" t="s">
        <v>749</v>
      </c>
      <c r="Y7295">
        <v>212</v>
      </c>
      <c r="Z7295" s="259" t="s">
        <v>692</v>
      </c>
      <c r="AZ7295" t="s">
        <v>1004</v>
      </c>
      <c r="BA7295">
        <v>51.9</v>
      </c>
      <c r="BB7295" t="s">
        <v>564</v>
      </c>
      <c r="BC7295" t="s">
        <v>793</v>
      </c>
      <c r="BD7295">
        <v>0</v>
      </c>
      <c r="BE7295">
        <v>46302</v>
      </c>
      <c r="BF7295" t="s">
        <v>588</v>
      </c>
    </row>
    <row r="7296" spans="3:58" x14ac:dyDescent="0.35">
      <c r="C7296">
        <v>45953</v>
      </c>
      <c r="F7296" t="s">
        <v>749</v>
      </c>
      <c r="Y7296">
        <v>213</v>
      </c>
      <c r="Z7296" s="259" t="s">
        <v>692</v>
      </c>
      <c r="AZ7296" t="s">
        <v>1005</v>
      </c>
      <c r="BA7296">
        <v>51.8</v>
      </c>
      <c r="BB7296" t="s">
        <v>564</v>
      </c>
      <c r="BC7296" t="s">
        <v>793</v>
      </c>
      <c r="BD7296">
        <v>0</v>
      </c>
      <c r="BE7296">
        <v>46302</v>
      </c>
      <c r="BF7296" t="s">
        <v>588</v>
      </c>
    </row>
    <row r="7297" spans="3:58" x14ac:dyDescent="0.35">
      <c r="C7297">
        <v>45954</v>
      </c>
      <c r="F7297" t="s">
        <v>749</v>
      </c>
      <c r="Y7297">
        <v>214</v>
      </c>
      <c r="Z7297" s="259" t="s">
        <v>692</v>
      </c>
      <c r="AZ7297" t="s">
        <v>1006</v>
      </c>
      <c r="BA7297">
        <v>51.7</v>
      </c>
      <c r="BB7297" t="s">
        <v>564</v>
      </c>
      <c r="BC7297" t="s">
        <v>793</v>
      </c>
      <c r="BD7297">
        <v>0</v>
      </c>
      <c r="BE7297">
        <v>46302</v>
      </c>
      <c r="BF7297" t="s">
        <v>588</v>
      </c>
    </row>
    <row r="7298" spans="3:58" x14ac:dyDescent="0.35">
      <c r="C7298">
        <v>45957</v>
      </c>
      <c r="F7298" t="s">
        <v>749</v>
      </c>
      <c r="Y7298">
        <v>215</v>
      </c>
      <c r="Z7298" s="259" t="s">
        <v>692</v>
      </c>
      <c r="AZ7298" t="s">
        <v>1007</v>
      </c>
      <c r="BA7298">
        <v>51.4</v>
      </c>
      <c r="BB7298" t="s">
        <v>564</v>
      </c>
      <c r="BC7298" t="s">
        <v>793</v>
      </c>
      <c r="BD7298">
        <v>0</v>
      </c>
      <c r="BE7298">
        <v>46302</v>
      </c>
      <c r="BF7298" t="s">
        <v>588</v>
      </c>
    </row>
    <row r="7299" spans="3:58" x14ac:dyDescent="0.35">
      <c r="C7299">
        <v>45958</v>
      </c>
      <c r="F7299" t="s">
        <v>749</v>
      </c>
      <c r="Y7299">
        <v>216</v>
      </c>
      <c r="Z7299" s="259" t="s">
        <v>692</v>
      </c>
      <c r="AZ7299" t="s">
        <v>1008</v>
      </c>
      <c r="BA7299">
        <v>51.3</v>
      </c>
      <c r="BB7299" t="s">
        <v>564</v>
      </c>
      <c r="BC7299" t="s">
        <v>793</v>
      </c>
      <c r="BD7299">
        <v>0</v>
      </c>
      <c r="BE7299">
        <v>46302</v>
      </c>
      <c r="BF7299" t="s">
        <v>588</v>
      </c>
    </row>
    <row r="7300" spans="3:58" x14ac:dyDescent="0.35">
      <c r="C7300">
        <v>45959</v>
      </c>
      <c r="F7300" t="s">
        <v>749</v>
      </c>
      <c r="Y7300">
        <v>217</v>
      </c>
      <c r="Z7300" s="259" t="s">
        <v>692</v>
      </c>
      <c r="AZ7300" t="s">
        <v>1009</v>
      </c>
      <c r="BA7300">
        <v>51.2</v>
      </c>
      <c r="BB7300" t="s">
        <v>564</v>
      </c>
      <c r="BC7300" t="s">
        <v>793</v>
      </c>
      <c r="BD7300">
        <v>0</v>
      </c>
      <c r="BE7300">
        <v>46302</v>
      </c>
      <c r="BF7300" t="s">
        <v>588</v>
      </c>
    </row>
    <row r="7301" spans="3:58" x14ac:dyDescent="0.35">
      <c r="C7301">
        <v>45960</v>
      </c>
      <c r="F7301" t="s">
        <v>749</v>
      </c>
      <c r="Y7301">
        <v>218</v>
      </c>
      <c r="Z7301" s="259" t="s">
        <v>692</v>
      </c>
      <c r="AZ7301" t="s">
        <v>1010</v>
      </c>
      <c r="BA7301">
        <v>51.1</v>
      </c>
      <c r="BB7301" t="s">
        <v>564</v>
      </c>
      <c r="BC7301" t="s">
        <v>793</v>
      </c>
      <c r="BD7301">
        <v>0</v>
      </c>
      <c r="BE7301">
        <v>46302</v>
      </c>
      <c r="BF7301" t="s">
        <v>588</v>
      </c>
    </row>
    <row r="7302" spans="3:58" x14ac:dyDescent="0.35">
      <c r="C7302">
        <v>45961</v>
      </c>
      <c r="F7302" t="s">
        <v>749</v>
      </c>
      <c r="Y7302">
        <v>219</v>
      </c>
      <c r="Z7302" s="259" t="s">
        <v>692</v>
      </c>
      <c r="AZ7302" t="s">
        <v>1011</v>
      </c>
      <c r="BA7302">
        <v>51</v>
      </c>
      <c r="BB7302" t="s">
        <v>564</v>
      </c>
      <c r="BC7302" t="s">
        <v>793</v>
      </c>
      <c r="BD7302">
        <v>0</v>
      </c>
      <c r="BE7302">
        <v>46302</v>
      </c>
      <c r="BF7302" t="s">
        <v>588</v>
      </c>
    </row>
    <row r="7303" spans="3:58" x14ac:dyDescent="0.35">
      <c r="C7303">
        <v>45964</v>
      </c>
      <c r="F7303" t="s">
        <v>749</v>
      </c>
      <c r="Y7303">
        <v>220</v>
      </c>
      <c r="Z7303" s="259" t="s">
        <v>692</v>
      </c>
      <c r="AZ7303" t="s">
        <v>1012</v>
      </c>
      <c r="BA7303">
        <v>50.79</v>
      </c>
      <c r="BB7303" t="s">
        <v>564</v>
      </c>
      <c r="BC7303" t="s">
        <v>793</v>
      </c>
      <c r="BD7303">
        <v>0</v>
      </c>
      <c r="BE7303">
        <v>46302</v>
      </c>
      <c r="BF7303" t="s">
        <v>588</v>
      </c>
    </row>
    <row r="7304" spans="3:58" x14ac:dyDescent="0.35">
      <c r="C7304">
        <v>45965</v>
      </c>
      <c r="F7304" t="s">
        <v>749</v>
      </c>
      <c r="Y7304">
        <v>221</v>
      </c>
      <c r="Z7304" s="259" t="s">
        <v>692</v>
      </c>
      <c r="AZ7304" t="s">
        <v>1013</v>
      </c>
      <c r="BA7304">
        <v>50.69</v>
      </c>
      <c r="BB7304" t="s">
        <v>564</v>
      </c>
      <c r="BC7304" t="s">
        <v>793</v>
      </c>
      <c r="BD7304">
        <v>0</v>
      </c>
      <c r="BE7304">
        <v>46302</v>
      </c>
      <c r="BF7304" t="s">
        <v>588</v>
      </c>
    </row>
    <row r="7305" spans="3:58" x14ac:dyDescent="0.35">
      <c r="C7305">
        <v>45966</v>
      </c>
      <c r="F7305" t="s">
        <v>749</v>
      </c>
      <c r="Y7305">
        <v>222</v>
      </c>
      <c r="Z7305" s="259" t="s">
        <v>692</v>
      </c>
      <c r="AZ7305" t="s">
        <v>1014</v>
      </c>
      <c r="BA7305">
        <v>50.59</v>
      </c>
      <c r="BB7305" t="s">
        <v>564</v>
      </c>
      <c r="BC7305" t="s">
        <v>793</v>
      </c>
      <c r="BD7305">
        <v>0</v>
      </c>
      <c r="BE7305">
        <v>46302</v>
      </c>
      <c r="BF7305" t="s">
        <v>588</v>
      </c>
    </row>
    <row r="7306" spans="3:58" x14ac:dyDescent="0.35">
      <c r="C7306">
        <v>45967</v>
      </c>
      <c r="F7306" t="s">
        <v>749</v>
      </c>
      <c r="Y7306">
        <v>223</v>
      </c>
      <c r="Z7306" s="259" t="s">
        <v>692</v>
      </c>
      <c r="AZ7306" t="s">
        <v>1015</v>
      </c>
      <c r="BA7306">
        <v>50.48</v>
      </c>
      <c r="BB7306" t="s">
        <v>564</v>
      </c>
      <c r="BC7306" t="s">
        <v>793</v>
      </c>
      <c r="BD7306">
        <v>0</v>
      </c>
      <c r="BE7306">
        <v>46302</v>
      </c>
      <c r="BF7306" t="s">
        <v>588</v>
      </c>
    </row>
    <row r="7307" spans="3:58" x14ac:dyDescent="0.35">
      <c r="C7307">
        <v>45968</v>
      </c>
      <c r="F7307" t="s">
        <v>749</v>
      </c>
      <c r="Y7307">
        <v>224</v>
      </c>
      <c r="Z7307" s="259" t="s">
        <v>692</v>
      </c>
      <c r="AZ7307" t="s">
        <v>1016</v>
      </c>
      <c r="BA7307">
        <v>50.38</v>
      </c>
      <c r="BB7307" t="s">
        <v>564</v>
      </c>
      <c r="BC7307" t="s">
        <v>793</v>
      </c>
      <c r="BD7307">
        <v>0</v>
      </c>
      <c r="BE7307">
        <v>46302</v>
      </c>
      <c r="BF7307" t="s">
        <v>588</v>
      </c>
    </row>
    <row r="7308" spans="3:58" x14ac:dyDescent="0.35">
      <c r="C7308">
        <v>45971</v>
      </c>
      <c r="F7308" t="s">
        <v>749</v>
      </c>
      <c r="Y7308">
        <v>225</v>
      </c>
      <c r="Z7308" s="259" t="s">
        <v>692</v>
      </c>
      <c r="AZ7308" t="s">
        <v>1017</v>
      </c>
      <c r="BA7308">
        <v>50.07</v>
      </c>
      <c r="BB7308" t="s">
        <v>564</v>
      </c>
      <c r="BC7308" t="s">
        <v>793</v>
      </c>
      <c r="BD7308">
        <v>0</v>
      </c>
      <c r="BE7308">
        <v>46302</v>
      </c>
      <c r="BF7308" t="s">
        <v>588</v>
      </c>
    </row>
    <row r="7309" spans="3:58" x14ac:dyDescent="0.35">
      <c r="C7309">
        <v>45972</v>
      </c>
      <c r="F7309" t="s">
        <v>749</v>
      </c>
      <c r="Y7309">
        <v>226</v>
      </c>
      <c r="Z7309" s="259" t="s">
        <v>692</v>
      </c>
      <c r="AZ7309" t="s">
        <v>1018</v>
      </c>
      <c r="BA7309">
        <v>49.97</v>
      </c>
      <c r="BB7309" t="s">
        <v>564</v>
      </c>
      <c r="BC7309" t="s">
        <v>793</v>
      </c>
      <c r="BD7309">
        <v>0</v>
      </c>
      <c r="BE7309">
        <v>46302</v>
      </c>
      <c r="BF7309" t="s">
        <v>588</v>
      </c>
    </row>
    <row r="7310" spans="3:58" x14ac:dyDescent="0.35">
      <c r="C7310">
        <v>45973</v>
      </c>
      <c r="F7310" t="s">
        <v>749</v>
      </c>
      <c r="Y7310">
        <v>227</v>
      </c>
      <c r="Z7310" s="259" t="s">
        <v>692</v>
      </c>
      <c r="AZ7310" t="s">
        <v>1019</v>
      </c>
      <c r="BA7310">
        <v>49.86</v>
      </c>
      <c r="BB7310" t="s">
        <v>564</v>
      </c>
      <c r="BC7310" t="s">
        <v>793</v>
      </c>
      <c r="BD7310">
        <v>0</v>
      </c>
      <c r="BE7310">
        <v>46302</v>
      </c>
      <c r="BF7310" t="s">
        <v>588</v>
      </c>
    </row>
    <row r="7311" spans="3:58" x14ac:dyDescent="0.35">
      <c r="C7311">
        <v>45974</v>
      </c>
      <c r="F7311" t="s">
        <v>749</v>
      </c>
      <c r="Y7311">
        <v>228</v>
      </c>
      <c r="Z7311" s="259" t="s">
        <v>692</v>
      </c>
      <c r="AZ7311" t="s">
        <v>1020</v>
      </c>
      <c r="BA7311">
        <v>49.76</v>
      </c>
      <c r="BB7311" t="s">
        <v>564</v>
      </c>
      <c r="BC7311" t="s">
        <v>793</v>
      </c>
      <c r="BD7311">
        <v>0</v>
      </c>
      <c r="BE7311">
        <v>46302</v>
      </c>
      <c r="BF7311" t="s">
        <v>588</v>
      </c>
    </row>
    <row r="7312" spans="3:58" x14ac:dyDescent="0.35">
      <c r="C7312">
        <v>45975</v>
      </c>
      <c r="F7312" t="s">
        <v>749</v>
      </c>
      <c r="Y7312">
        <v>229</v>
      </c>
      <c r="Z7312" s="259" t="s">
        <v>692</v>
      </c>
      <c r="AZ7312" t="s">
        <v>1021</v>
      </c>
      <c r="BA7312">
        <v>49.66</v>
      </c>
      <c r="BB7312" t="s">
        <v>564</v>
      </c>
      <c r="BC7312" t="s">
        <v>793</v>
      </c>
      <c r="BD7312">
        <v>0</v>
      </c>
      <c r="BE7312">
        <v>46302</v>
      </c>
      <c r="BF7312" t="s">
        <v>588</v>
      </c>
    </row>
    <row r="7313" spans="3:58" x14ac:dyDescent="0.35">
      <c r="C7313">
        <v>45978</v>
      </c>
      <c r="F7313" t="s">
        <v>749</v>
      </c>
      <c r="Y7313">
        <v>230</v>
      </c>
      <c r="Z7313" s="259" t="s">
        <v>692</v>
      </c>
      <c r="AZ7313" t="s">
        <v>1022</v>
      </c>
      <c r="BA7313">
        <v>49.34</v>
      </c>
      <c r="BB7313" t="s">
        <v>564</v>
      </c>
      <c r="BC7313" t="s">
        <v>793</v>
      </c>
      <c r="BD7313">
        <v>0</v>
      </c>
      <c r="BE7313">
        <v>46302</v>
      </c>
      <c r="BF7313" t="s">
        <v>588</v>
      </c>
    </row>
    <row r="7314" spans="3:58" x14ac:dyDescent="0.35">
      <c r="C7314">
        <v>45979</v>
      </c>
      <c r="F7314" t="s">
        <v>749</v>
      </c>
      <c r="Y7314">
        <v>231</v>
      </c>
      <c r="Z7314" s="259" t="s">
        <v>692</v>
      </c>
      <c r="AZ7314" t="s">
        <v>1023</v>
      </c>
      <c r="BA7314">
        <v>49.24</v>
      </c>
      <c r="BB7314" t="s">
        <v>564</v>
      </c>
      <c r="BC7314" t="s">
        <v>793</v>
      </c>
      <c r="BD7314">
        <v>0</v>
      </c>
      <c r="BE7314">
        <v>46302</v>
      </c>
      <c r="BF7314" t="s">
        <v>588</v>
      </c>
    </row>
    <row r="7315" spans="3:58" x14ac:dyDescent="0.35">
      <c r="C7315">
        <v>45980</v>
      </c>
      <c r="F7315" t="s">
        <v>749</v>
      </c>
      <c r="Y7315">
        <v>232</v>
      </c>
      <c r="Z7315" s="259" t="s">
        <v>692</v>
      </c>
      <c r="AZ7315" t="s">
        <v>1024</v>
      </c>
      <c r="BA7315">
        <v>49.14</v>
      </c>
      <c r="BB7315" t="s">
        <v>564</v>
      </c>
      <c r="BC7315" t="s">
        <v>793</v>
      </c>
      <c r="BD7315">
        <v>0</v>
      </c>
      <c r="BE7315">
        <v>46302</v>
      </c>
      <c r="BF7315" t="s">
        <v>588</v>
      </c>
    </row>
    <row r="7316" spans="3:58" x14ac:dyDescent="0.35">
      <c r="C7316">
        <v>45981</v>
      </c>
      <c r="F7316" t="s">
        <v>749</v>
      </c>
      <c r="Y7316">
        <v>233</v>
      </c>
      <c r="Z7316" s="259" t="s">
        <v>692</v>
      </c>
      <c r="AZ7316" t="s">
        <v>1025</v>
      </c>
      <c r="BA7316">
        <v>49.03</v>
      </c>
      <c r="BB7316" t="s">
        <v>564</v>
      </c>
      <c r="BC7316" t="s">
        <v>793</v>
      </c>
      <c r="BD7316">
        <v>0</v>
      </c>
      <c r="BE7316">
        <v>46302</v>
      </c>
      <c r="BF7316" t="s">
        <v>588</v>
      </c>
    </row>
    <row r="7317" spans="3:58" x14ac:dyDescent="0.35">
      <c r="C7317">
        <v>45982</v>
      </c>
      <c r="F7317" t="s">
        <v>749</v>
      </c>
      <c r="Y7317">
        <v>234</v>
      </c>
      <c r="Z7317" s="259" t="s">
        <v>692</v>
      </c>
      <c r="AZ7317" t="s">
        <v>1026</v>
      </c>
      <c r="BA7317">
        <v>48.93</v>
      </c>
      <c r="BB7317" t="s">
        <v>564</v>
      </c>
      <c r="BC7317" t="s">
        <v>793</v>
      </c>
      <c r="BD7317">
        <v>0</v>
      </c>
      <c r="BE7317">
        <v>46302</v>
      </c>
      <c r="BF7317" t="s">
        <v>588</v>
      </c>
    </row>
    <row r="7318" spans="3:58" x14ac:dyDescent="0.35">
      <c r="C7318">
        <v>45985</v>
      </c>
      <c r="F7318" t="s">
        <v>749</v>
      </c>
      <c r="Y7318">
        <v>235</v>
      </c>
      <c r="Z7318" s="259" t="s">
        <v>692</v>
      </c>
      <c r="AZ7318" t="s">
        <v>1027</v>
      </c>
      <c r="BA7318">
        <v>48.62</v>
      </c>
      <c r="BB7318" t="s">
        <v>564</v>
      </c>
      <c r="BC7318" t="s">
        <v>793</v>
      </c>
      <c r="BD7318">
        <v>0</v>
      </c>
      <c r="BE7318">
        <v>46302</v>
      </c>
      <c r="BF7318" t="s">
        <v>588</v>
      </c>
    </row>
    <row r="7319" spans="3:58" x14ac:dyDescent="0.35">
      <c r="C7319">
        <v>45986</v>
      </c>
      <c r="F7319" t="s">
        <v>749</v>
      </c>
      <c r="Y7319">
        <v>236</v>
      </c>
      <c r="Z7319" s="259" t="s">
        <v>692</v>
      </c>
      <c r="AZ7319" t="s">
        <v>1028</v>
      </c>
      <c r="BA7319">
        <v>48.52</v>
      </c>
      <c r="BB7319" t="s">
        <v>564</v>
      </c>
      <c r="BC7319" t="s">
        <v>793</v>
      </c>
      <c r="BD7319">
        <v>0</v>
      </c>
      <c r="BE7319">
        <v>46302</v>
      </c>
      <c r="BF7319" t="s">
        <v>588</v>
      </c>
    </row>
    <row r="7320" spans="3:58" x14ac:dyDescent="0.35">
      <c r="C7320">
        <v>45987</v>
      </c>
      <c r="F7320" t="s">
        <v>749</v>
      </c>
      <c r="Y7320">
        <v>237</v>
      </c>
      <c r="Z7320" s="259" t="s">
        <v>692</v>
      </c>
      <c r="AZ7320" t="s">
        <v>1029</v>
      </c>
      <c r="BA7320">
        <v>48.41</v>
      </c>
      <c r="BB7320" t="s">
        <v>564</v>
      </c>
      <c r="BC7320" t="s">
        <v>793</v>
      </c>
      <c r="BD7320">
        <v>0</v>
      </c>
      <c r="BE7320">
        <v>46302</v>
      </c>
      <c r="BF7320" t="s">
        <v>588</v>
      </c>
    </row>
    <row r="7321" spans="3:58" x14ac:dyDescent="0.35">
      <c r="C7321">
        <v>45988</v>
      </c>
      <c r="F7321" t="s">
        <v>749</v>
      </c>
      <c r="Y7321">
        <v>238</v>
      </c>
      <c r="Z7321" s="259" t="s">
        <v>692</v>
      </c>
      <c r="AZ7321" t="s">
        <v>1030</v>
      </c>
      <c r="BA7321">
        <v>48.31</v>
      </c>
      <c r="BB7321" t="s">
        <v>564</v>
      </c>
      <c r="BC7321" t="s">
        <v>793</v>
      </c>
      <c r="BD7321">
        <v>0</v>
      </c>
      <c r="BE7321">
        <v>46302</v>
      </c>
      <c r="BF7321" t="s">
        <v>588</v>
      </c>
    </row>
    <row r="7322" spans="3:58" x14ac:dyDescent="0.35">
      <c r="C7322">
        <v>45989</v>
      </c>
      <c r="F7322" t="s">
        <v>749</v>
      </c>
      <c r="Y7322">
        <v>239</v>
      </c>
      <c r="Z7322" s="259" t="s">
        <v>692</v>
      </c>
      <c r="AZ7322" t="s">
        <v>1031</v>
      </c>
      <c r="BA7322">
        <v>48.21</v>
      </c>
      <c r="BB7322" t="s">
        <v>564</v>
      </c>
      <c r="BC7322" t="s">
        <v>793</v>
      </c>
      <c r="BD7322">
        <v>0</v>
      </c>
      <c r="BE7322">
        <v>46302</v>
      </c>
      <c r="BF7322" t="s">
        <v>588</v>
      </c>
    </row>
    <row r="7323" spans="3:58" x14ac:dyDescent="0.35">
      <c r="C7323">
        <v>45992</v>
      </c>
      <c r="F7323" t="s">
        <v>749</v>
      </c>
      <c r="Y7323">
        <v>240</v>
      </c>
      <c r="Z7323" s="259" t="s">
        <v>692</v>
      </c>
      <c r="AZ7323" t="s">
        <v>1032</v>
      </c>
      <c r="BA7323">
        <v>48</v>
      </c>
      <c r="BB7323" t="s">
        <v>564</v>
      </c>
      <c r="BC7323" t="s">
        <v>793</v>
      </c>
      <c r="BD7323">
        <v>0</v>
      </c>
      <c r="BE7323">
        <v>46302</v>
      </c>
      <c r="BF7323" t="s">
        <v>588</v>
      </c>
    </row>
    <row r="7324" spans="3:58" x14ac:dyDescent="0.35">
      <c r="C7324">
        <v>45993</v>
      </c>
      <c r="F7324" t="s">
        <v>749</v>
      </c>
      <c r="Y7324">
        <v>241</v>
      </c>
      <c r="Z7324" s="259" t="s">
        <v>692</v>
      </c>
      <c r="AZ7324" t="s">
        <v>1033</v>
      </c>
      <c r="BA7324">
        <v>47.98</v>
      </c>
      <c r="BB7324" t="s">
        <v>564</v>
      </c>
      <c r="BC7324" t="s">
        <v>793</v>
      </c>
      <c r="BD7324">
        <v>0</v>
      </c>
      <c r="BE7324">
        <v>46302</v>
      </c>
      <c r="BF7324" t="s">
        <v>588</v>
      </c>
    </row>
    <row r="7325" spans="3:58" x14ac:dyDescent="0.35">
      <c r="C7325">
        <v>45994</v>
      </c>
      <c r="F7325" t="s">
        <v>749</v>
      </c>
      <c r="Y7325">
        <v>242</v>
      </c>
      <c r="Z7325" s="259" t="s">
        <v>692</v>
      </c>
      <c r="AZ7325" t="s">
        <v>1034</v>
      </c>
      <c r="BA7325">
        <v>47.97</v>
      </c>
      <c r="BB7325" t="s">
        <v>564</v>
      </c>
      <c r="BC7325" t="s">
        <v>793</v>
      </c>
      <c r="BD7325">
        <v>0</v>
      </c>
      <c r="BE7325">
        <v>46302</v>
      </c>
      <c r="BF7325" t="s">
        <v>588</v>
      </c>
    </row>
    <row r="7326" spans="3:58" x14ac:dyDescent="0.35">
      <c r="C7326">
        <v>45995</v>
      </c>
      <c r="F7326" t="s">
        <v>749</v>
      </c>
      <c r="Y7326">
        <v>243</v>
      </c>
      <c r="Z7326" s="259" t="s">
        <v>692</v>
      </c>
      <c r="AZ7326" t="s">
        <v>1035</v>
      </c>
      <c r="BA7326">
        <v>47.95</v>
      </c>
      <c r="BB7326" t="s">
        <v>564</v>
      </c>
      <c r="BC7326" t="s">
        <v>793</v>
      </c>
      <c r="BD7326">
        <v>0</v>
      </c>
      <c r="BE7326">
        <v>46302</v>
      </c>
      <c r="BF7326" t="s">
        <v>588</v>
      </c>
    </row>
    <row r="7327" spans="3:58" x14ac:dyDescent="0.35">
      <c r="C7327">
        <v>45996</v>
      </c>
      <c r="F7327" t="s">
        <v>749</v>
      </c>
      <c r="Y7327">
        <v>244</v>
      </c>
      <c r="Z7327" s="259" t="s">
        <v>692</v>
      </c>
      <c r="AZ7327" t="s">
        <v>1036</v>
      </c>
      <c r="BA7327">
        <v>47.93</v>
      </c>
      <c r="BB7327" t="s">
        <v>564</v>
      </c>
      <c r="BC7327" t="s">
        <v>793</v>
      </c>
      <c r="BD7327">
        <v>0</v>
      </c>
      <c r="BE7327">
        <v>46302</v>
      </c>
      <c r="BF7327" t="s">
        <v>588</v>
      </c>
    </row>
    <row r="7328" spans="3:58" x14ac:dyDescent="0.35">
      <c r="C7328">
        <v>45999</v>
      </c>
      <c r="F7328" t="s">
        <v>749</v>
      </c>
      <c r="Y7328">
        <v>245</v>
      </c>
      <c r="Z7328" s="259" t="s">
        <v>692</v>
      </c>
      <c r="AZ7328" t="s">
        <v>1037</v>
      </c>
      <c r="BA7328">
        <v>47.88</v>
      </c>
      <c r="BB7328" t="s">
        <v>564</v>
      </c>
      <c r="BC7328" t="s">
        <v>793</v>
      </c>
      <c r="BD7328">
        <v>0</v>
      </c>
      <c r="BE7328">
        <v>46302</v>
      </c>
      <c r="BF7328" t="s">
        <v>588</v>
      </c>
    </row>
    <row r="7329" spans="3:58" x14ac:dyDescent="0.35">
      <c r="C7329">
        <v>46000</v>
      </c>
      <c r="F7329" t="s">
        <v>749</v>
      </c>
      <c r="Y7329">
        <v>246</v>
      </c>
      <c r="Z7329" s="259" t="s">
        <v>692</v>
      </c>
      <c r="AZ7329" t="s">
        <v>1038</v>
      </c>
      <c r="BA7329">
        <v>47.87</v>
      </c>
      <c r="BB7329" t="s">
        <v>564</v>
      </c>
      <c r="BC7329" t="s">
        <v>793</v>
      </c>
      <c r="BD7329">
        <v>0</v>
      </c>
      <c r="BE7329">
        <v>46302</v>
      </c>
      <c r="BF7329" t="s">
        <v>588</v>
      </c>
    </row>
    <row r="7330" spans="3:58" x14ac:dyDescent="0.35">
      <c r="C7330">
        <v>46001</v>
      </c>
      <c r="F7330" t="s">
        <v>749</v>
      </c>
      <c r="Y7330">
        <v>247</v>
      </c>
      <c r="Z7330" s="259" t="s">
        <v>692</v>
      </c>
      <c r="AZ7330" t="s">
        <v>1039</v>
      </c>
      <c r="BA7330">
        <v>47.85</v>
      </c>
      <c r="BB7330" t="s">
        <v>564</v>
      </c>
      <c r="BC7330" t="s">
        <v>793</v>
      </c>
      <c r="BD7330">
        <v>0</v>
      </c>
      <c r="BE7330">
        <v>46302</v>
      </c>
      <c r="BF7330" t="s">
        <v>588</v>
      </c>
    </row>
    <row r="7331" spans="3:58" x14ac:dyDescent="0.35">
      <c r="C7331">
        <v>46002</v>
      </c>
      <c r="F7331" t="s">
        <v>749</v>
      </c>
      <c r="Y7331">
        <v>248</v>
      </c>
      <c r="Z7331" s="259" t="s">
        <v>692</v>
      </c>
      <c r="AZ7331" t="s">
        <v>1040</v>
      </c>
      <c r="BA7331">
        <v>47.83</v>
      </c>
      <c r="BB7331" t="s">
        <v>564</v>
      </c>
      <c r="BC7331" t="s">
        <v>793</v>
      </c>
      <c r="BD7331">
        <v>0</v>
      </c>
      <c r="BE7331">
        <v>46302</v>
      </c>
      <c r="BF7331" t="s">
        <v>588</v>
      </c>
    </row>
    <row r="7332" spans="3:58" x14ac:dyDescent="0.35">
      <c r="C7332">
        <v>46003</v>
      </c>
      <c r="F7332" t="s">
        <v>749</v>
      </c>
      <c r="Y7332">
        <v>249</v>
      </c>
      <c r="Z7332" s="259" t="s">
        <v>692</v>
      </c>
      <c r="AZ7332" t="s">
        <v>1041</v>
      </c>
      <c r="BA7332">
        <v>47.82</v>
      </c>
      <c r="BB7332" t="s">
        <v>564</v>
      </c>
      <c r="BC7332" t="s">
        <v>793</v>
      </c>
      <c r="BD7332">
        <v>0</v>
      </c>
      <c r="BE7332">
        <v>46302</v>
      </c>
      <c r="BF7332" t="s">
        <v>588</v>
      </c>
    </row>
    <row r="7333" spans="3:58" x14ac:dyDescent="0.35">
      <c r="C7333">
        <v>46006</v>
      </c>
      <c r="F7333" t="s">
        <v>749</v>
      </c>
      <c r="Y7333">
        <v>250</v>
      </c>
      <c r="Z7333" s="259" t="s">
        <v>692</v>
      </c>
      <c r="AZ7333" t="s">
        <v>1042</v>
      </c>
      <c r="BA7333">
        <v>47.77</v>
      </c>
      <c r="BB7333" t="s">
        <v>564</v>
      </c>
      <c r="BC7333" t="s">
        <v>793</v>
      </c>
      <c r="BD7333">
        <v>0</v>
      </c>
      <c r="BE7333">
        <v>46302</v>
      </c>
      <c r="BF7333" t="s">
        <v>588</v>
      </c>
    </row>
    <row r="7334" spans="3:58" x14ac:dyDescent="0.35">
      <c r="C7334">
        <v>46007</v>
      </c>
      <c r="F7334" t="s">
        <v>749</v>
      </c>
      <c r="Y7334">
        <v>251</v>
      </c>
      <c r="Z7334" s="259" t="s">
        <v>692</v>
      </c>
      <c r="AZ7334" t="s">
        <v>1043</v>
      </c>
      <c r="BA7334">
        <v>47.75</v>
      </c>
      <c r="BB7334" t="s">
        <v>564</v>
      </c>
      <c r="BC7334" t="s">
        <v>793</v>
      </c>
      <c r="BD7334">
        <v>0</v>
      </c>
      <c r="BE7334">
        <v>46302</v>
      </c>
      <c r="BF7334" t="s">
        <v>588</v>
      </c>
    </row>
    <row r="7335" spans="3:58" x14ac:dyDescent="0.35">
      <c r="C7335">
        <v>46008</v>
      </c>
      <c r="F7335" t="s">
        <v>749</v>
      </c>
      <c r="Y7335">
        <v>252</v>
      </c>
      <c r="Z7335" s="259" t="s">
        <v>692</v>
      </c>
      <c r="AZ7335" t="s">
        <v>1044</v>
      </c>
      <c r="BA7335">
        <v>47.73</v>
      </c>
      <c r="BB7335" t="s">
        <v>564</v>
      </c>
      <c r="BC7335" t="s">
        <v>793</v>
      </c>
      <c r="BD7335">
        <v>0</v>
      </c>
      <c r="BE7335">
        <v>46302</v>
      </c>
      <c r="BF7335" t="s">
        <v>588</v>
      </c>
    </row>
    <row r="7336" spans="3:58" x14ac:dyDescent="0.35">
      <c r="C7336">
        <v>46009</v>
      </c>
      <c r="F7336" t="s">
        <v>749</v>
      </c>
      <c r="Y7336">
        <v>253</v>
      </c>
      <c r="Z7336" s="259" t="s">
        <v>692</v>
      </c>
      <c r="AZ7336" t="s">
        <v>1045</v>
      </c>
      <c r="BA7336">
        <v>47.72</v>
      </c>
      <c r="BB7336" t="s">
        <v>564</v>
      </c>
      <c r="BC7336" t="s">
        <v>793</v>
      </c>
      <c r="BD7336">
        <v>0</v>
      </c>
      <c r="BE7336">
        <v>46302</v>
      </c>
      <c r="BF7336" t="s">
        <v>588</v>
      </c>
    </row>
    <row r="7337" spans="3:58" x14ac:dyDescent="0.35">
      <c r="C7337">
        <v>46010</v>
      </c>
      <c r="F7337" t="s">
        <v>749</v>
      </c>
      <c r="Y7337">
        <v>254</v>
      </c>
      <c r="Z7337" s="259" t="s">
        <v>692</v>
      </c>
      <c r="AZ7337" t="s">
        <v>1046</v>
      </c>
      <c r="BA7337">
        <v>47.7</v>
      </c>
      <c r="BB7337" t="s">
        <v>564</v>
      </c>
      <c r="BC7337" t="s">
        <v>793</v>
      </c>
      <c r="BD7337">
        <v>0</v>
      </c>
      <c r="BE7337">
        <v>46302</v>
      </c>
      <c r="BF7337" t="s">
        <v>588</v>
      </c>
    </row>
    <row r="7338" spans="3:58" x14ac:dyDescent="0.35">
      <c r="C7338">
        <v>46013</v>
      </c>
      <c r="F7338" t="s">
        <v>749</v>
      </c>
      <c r="Y7338">
        <v>255</v>
      </c>
      <c r="Z7338" s="259" t="s">
        <v>692</v>
      </c>
      <c r="AZ7338" t="s">
        <v>1047</v>
      </c>
      <c r="BA7338">
        <v>47.65</v>
      </c>
      <c r="BB7338" t="s">
        <v>564</v>
      </c>
      <c r="BC7338" t="s">
        <v>793</v>
      </c>
      <c r="BD7338">
        <v>0</v>
      </c>
      <c r="BE7338">
        <v>46302</v>
      </c>
      <c r="BF7338" t="s">
        <v>588</v>
      </c>
    </row>
    <row r="7339" spans="3:58" x14ac:dyDescent="0.35">
      <c r="C7339">
        <v>46014</v>
      </c>
      <c r="F7339" t="s">
        <v>749</v>
      </c>
      <c r="Y7339">
        <v>256</v>
      </c>
      <c r="Z7339" s="259" t="s">
        <v>692</v>
      </c>
      <c r="AZ7339" t="s">
        <v>1048</v>
      </c>
      <c r="BA7339">
        <v>47.63</v>
      </c>
      <c r="BB7339" t="s">
        <v>564</v>
      </c>
      <c r="BC7339" t="s">
        <v>793</v>
      </c>
      <c r="BD7339">
        <v>0</v>
      </c>
      <c r="BE7339">
        <v>46302</v>
      </c>
      <c r="BF7339" t="s">
        <v>588</v>
      </c>
    </row>
    <row r="7340" spans="3:58" x14ac:dyDescent="0.35">
      <c r="C7340">
        <v>46015</v>
      </c>
      <c r="F7340" t="s">
        <v>749</v>
      </c>
      <c r="Y7340">
        <v>257</v>
      </c>
      <c r="Z7340" s="259" t="s">
        <v>692</v>
      </c>
      <c r="AZ7340" t="s">
        <v>1049</v>
      </c>
      <c r="BA7340">
        <v>47.62</v>
      </c>
      <c r="BB7340" t="s">
        <v>564</v>
      </c>
      <c r="BC7340" t="s">
        <v>793</v>
      </c>
      <c r="BD7340">
        <v>0</v>
      </c>
      <c r="BE7340">
        <v>46302</v>
      </c>
      <c r="BF7340" t="s">
        <v>588</v>
      </c>
    </row>
    <row r="7341" spans="3:58" x14ac:dyDescent="0.35">
      <c r="C7341">
        <v>46016</v>
      </c>
      <c r="F7341" t="s">
        <v>749</v>
      </c>
      <c r="Y7341">
        <v>258</v>
      </c>
      <c r="Z7341" s="259" t="s">
        <v>692</v>
      </c>
      <c r="AZ7341" t="s">
        <v>1050</v>
      </c>
      <c r="BA7341">
        <v>47.6</v>
      </c>
      <c r="BB7341" t="s">
        <v>564</v>
      </c>
      <c r="BC7341" t="s">
        <v>793</v>
      </c>
      <c r="BD7341">
        <v>0</v>
      </c>
      <c r="BE7341">
        <v>46302</v>
      </c>
      <c r="BF7341" t="s">
        <v>588</v>
      </c>
    </row>
    <row r="7342" spans="3:58" x14ac:dyDescent="0.35">
      <c r="C7342">
        <v>46017</v>
      </c>
      <c r="F7342" t="s">
        <v>749</v>
      </c>
      <c r="Y7342">
        <v>259</v>
      </c>
      <c r="Z7342" s="259" t="s">
        <v>692</v>
      </c>
      <c r="AZ7342" t="s">
        <v>1051</v>
      </c>
      <c r="BA7342">
        <v>47.58</v>
      </c>
      <c r="BB7342" t="s">
        <v>564</v>
      </c>
      <c r="BC7342" t="s">
        <v>793</v>
      </c>
      <c r="BD7342">
        <v>0</v>
      </c>
      <c r="BE7342">
        <v>46302</v>
      </c>
      <c r="BF7342" t="s">
        <v>588</v>
      </c>
    </row>
    <row r="7343" spans="3:58" x14ac:dyDescent="0.35">
      <c r="C7343">
        <v>46020</v>
      </c>
      <c r="F7343" t="s">
        <v>749</v>
      </c>
      <c r="Y7343">
        <v>260</v>
      </c>
      <c r="Z7343" s="259" t="s">
        <v>692</v>
      </c>
      <c r="AZ7343" t="s">
        <v>1052</v>
      </c>
      <c r="BA7343">
        <v>47.53</v>
      </c>
      <c r="BB7343" t="s">
        <v>564</v>
      </c>
      <c r="BC7343" t="s">
        <v>793</v>
      </c>
      <c r="BD7343">
        <v>0</v>
      </c>
      <c r="BE7343">
        <v>46302</v>
      </c>
      <c r="BF7343" t="s">
        <v>588</v>
      </c>
    </row>
    <row r="7344" spans="3:58" x14ac:dyDescent="0.35">
      <c r="C7344">
        <v>46021</v>
      </c>
      <c r="F7344" t="s">
        <v>749</v>
      </c>
      <c r="Y7344">
        <v>261</v>
      </c>
      <c r="Z7344" s="259" t="s">
        <v>692</v>
      </c>
      <c r="AZ7344" t="s">
        <v>1053</v>
      </c>
      <c r="BA7344">
        <v>47.52</v>
      </c>
      <c r="BB7344" t="s">
        <v>564</v>
      </c>
      <c r="BC7344" t="s">
        <v>793</v>
      </c>
      <c r="BD7344">
        <v>0</v>
      </c>
      <c r="BE7344">
        <v>46302</v>
      </c>
      <c r="BF7344" t="s">
        <v>588</v>
      </c>
    </row>
    <row r="7345" spans="3:58" x14ac:dyDescent="0.35">
      <c r="C7345">
        <v>46022</v>
      </c>
      <c r="F7345" t="s">
        <v>749</v>
      </c>
      <c r="Y7345">
        <v>262</v>
      </c>
      <c r="Z7345" s="259" t="s">
        <v>692</v>
      </c>
      <c r="AZ7345" t="s">
        <v>1054</v>
      </c>
      <c r="BA7345">
        <v>47.5</v>
      </c>
      <c r="BB7345" t="s">
        <v>564</v>
      </c>
      <c r="BC7345" t="s">
        <v>793</v>
      </c>
      <c r="BD7345">
        <v>0</v>
      </c>
      <c r="BE7345">
        <v>46302</v>
      </c>
      <c r="BF7345" t="s">
        <v>588</v>
      </c>
    </row>
    <row r="7346" spans="3:58" x14ac:dyDescent="0.35">
      <c r="C7346">
        <v>45657</v>
      </c>
      <c r="F7346" t="s">
        <v>752</v>
      </c>
      <c r="Y7346">
        <v>263</v>
      </c>
      <c r="Z7346" s="259" t="s">
        <v>692</v>
      </c>
      <c r="AZ7346" t="s">
        <v>1055</v>
      </c>
      <c r="BA7346">
        <v>200</v>
      </c>
      <c r="BB7346" t="s">
        <v>564</v>
      </c>
      <c r="BC7346" t="s">
        <v>793</v>
      </c>
      <c r="BD7346">
        <v>0</v>
      </c>
      <c r="BE7346">
        <v>46302</v>
      </c>
      <c r="BF7346" t="s">
        <v>588</v>
      </c>
    </row>
    <row r="7347" spans="3:58" x14ac:dyDescent="0.35">
      <c r="C7347">
        <v>45658</v>
      </c>
      <c r="F7347" t="s">
        <v>752</v>
      </c>
      <c r="Y7347">
        <v>264</v>
      </c>
      <c r="Z7347" s="259" t="s">
        <v>692</v>
      </c>
      <c r="AZ7347" t="s">
        <v>1056</v>
      </c>
      <c r="BA7347">
        <v>200</v>
      </c>
      <c r="BB7347" t="s">
        <v>564</v>
      </c>
      <c r="BC7347" t="s">
        <v>793</v>
      </c>
      <c r="BD7347">
        <v>0</v>
      </c>
      <c r="BE7347">
        <v>46302</v>
      </c>
      <c r="BF7347" t="s">
        <v>588</v>
      </c>
    </row>
    <row r="7348" spans="3:58" x14ac:dyDescent="0.35">
      <c r="C7348">
        <v>45659</v>
      </c>
      <c r="F7348" t="s">
        <v>752</v>
      </c>
      <c r="Y7348">
        <v>265</v>
      </c>
      <c r="Z7348" s="259" t="s">
        <v>692</v>
      </c>
      <c r="AZ7348" t="s">
        <v>1057</v>
      </c>
      <c r="BA7348">
        <v>199.83</v>
      </c>
      <c r="BB7348" t="s">
        <v>564</v>
      </c>
      <c r="BC7348" t="s">
        <v>793</v>
      </c>
      <c r="BD7348">
        <v>0</v>
      </c>
      <c r="BE7348">
        <v>46302</v>
      </c>
      <c r="BF7348" t="s">
        <v>588</v>
      </c>
    </row>
    <row r="7349" spans="3:58" x14ac:dyDescent="0.35">
      <c r="C7349">
        <v>45660</v>
      </c>
      <c r="F7349" t="s">
        <v>752</v>
      </c>
      <c r="Y7349">
        <v>266</v>
      </c>
      <c r="Z7349" s="259" t="s">
        <v>692</v>
      </c>
      <c r="AZ7349" t="s">
        <v>1058</v>
      </c>
      <c r="BA7349">
        <v>199.67</v>
      </c>
      <c r="BB7349" t="s">
        <v>564</v>
      </c>
      <c r="BC7349" t="s">
        <v>793</v>
      </c>
      <c r="BD7349">
        <v>0</v>
      </c>
      <c r="BE7349">
        <v>46302</v>
      </c>
      <c r="BF7349" t="s">
        <v>588</v>
      </c>
    </row>
    <row r="7350" spans="3:58" x14ac:dyDescent="0.35">
      <c r="C7350">
        <v>45663</v>
      </c>
      <c r="F7350" t="s">
        <v>752</v>
      </c>
      <c r="Y7350">
        <v>267</v>
      </c>
      <c r="Z7350" s="259" t="s">
        <v>692</v>
      </c>
      <c r="AZ7350" t="s">
        <v>1059</v>
      </c>
      <c r="BA7350">
        <v>199.17</v>
      </c>
      <c r="BB7350" t="s">
        <v>564</v>
      </c>
      <c r="BC7350" t="s">
        <v>793</v>
      </c>
      <c r="BD7350">
        <v>0</v>
      </c>
      <c r="BE7350">
        <v>46302</v>
      </c>
      <c r="BF7350" t="s">
        <v>588</v>
      </c>
    </row>
    <row r="7351" spans="3:58" x14ac:dyDescent="0.35">
      <c r="C7351">
        <v>45664</v>
      </c>
      <c r="F7351" t="s">
        <v>752</v>
      </c>
      <c r="Y7351">
        <v>268</v>
      </c>
      <c r="Z7351" s="259" t="s">
        <v>692</v>
      </c>
      <c r="AZ7351" t="s">
        <v>1060</v>
      </c>
      <c r="BA7351">
        <v>199</v>
      </c>
      <c r="BB7351" t="s">
        <v>564</v>
      </c>
      <c r="BC7351" t="s">
        <v>793</v>
      </c>
      <c r="BD7351">
        <v>0</v>
      </c>
      <c r="BE7351">
        <v>46302</v>
      </c>
      <c r="BF7351" t="s">
        <v>588</v>
      </c>
    </row>
    <row r="7352" spans="3:58" x14ac:dyDescent="0.35">
      <c r="C7352">
        <v>45665</v>
      </c>
      <c r="F7352" t="s">
        <v>752</v>
      </c>
      <c r="Y7352">
        <v>269</v>
      </c>
      <c r="Z7352" s="259" t="s">
        <v>692</v>
      </c>
      <c r="AZ7352" t="s">
        <v>1061</v>
      </c>
      <c r="BA7352">
        <v>198.83</v>
      </c>
      <c r="BB7352" t="s">
        <v>564</v>
      </c>
      <c r="BC7352" t="s">
        <v>793</v>
      </c>
      <c r="BD7352">
        <v>0</v>
      </c>
      <c r="BE7352">
        <v>46302</v>
      </c>
      <c r="BF7352" t="s">
        <v>588</v>
      </c>
    </row>
    <row r="7353" spans="3:58" x14ac:dyDescent="0.35">
      <c r="C7353">
        <v>45666</v>
      </c>
      <c r="F7353" t="s">
        <v>752</v>
      </c>
      <c r="Y7353">
        <v>270</v>
      </c>
      <c r="Z7353" s="259" t="s">
        <v>692</v>
      </c>
      <c r="AZ7353" t="s">
        <v>1062</v>
      </c>
      <c r="BA7353">
        <v>198.67</v>
      </c>
      <c r="BB7353" t="s">
        <v>564</v>
      </c>
      <c r="BC7353" t="s">
        <v>793</v>
      </c>
      <c r="BD7353">
        <v>0</v>
      </c>
      <c r="BE7353">
        <v>46302</v>
      </c>
      <c r="BF7353" t="s">
        <v>588</v>
      </c>
    </row>
    <row r="7354" spans="3:58" x14ac:dyDescent="0.35">
      <c r="C7354">
        <v>45667</v>
      </c>
      <c r="F7354" t="s">
        <v>752</v>
      </c>
      <c r="Y7354">
        <v>271</v>
      </c>
      <c r="Z7354" s="259" t="s">
        <v>692</v>
      </c>
      <c r="AZ7354" t="s">
        <v>1063</v>
      </c>
      <c r="BA7354">
        <v>198.5</v>
      </c>
      <c r="BB7354" t="s">
        <v>564</v>
      </c>
      <c r="BC7354" t="s">
        <v>793</v>
      </c>
      <c r="BD7354">
        <v>0</v>
      </c>
      <c r="BE7354">
        <v>46302</v>
      </c>
      <c r="BF7354" t="s">
        <v>588</v>
      </c>
    </row>
    <row r="7355" spans="3:58" x14ac:dyDescent="0.35">
      <c r="C7355">
        <v>45670</v>
      </c>
      <c r="F7355" t="s">
        <v>752</v>
      </c>
      <c r="Y7355">
        <v>272</v>
      </c>
      <c r="Z7355" s="259" t="s">
        <v>692</v>
      </c>
      <c r="AZ7355" t="s">
        <v>1064</v>
      </c>
      <c r="BA7355">
        <v>198</v>
      </c>
      <c r="BB7355" t="s">
        <v>564</v>
      </c>
      <c r="BC7355" t="s">
        <v>793</v>
      </c>
      <c r="BD7355">
        <v>0</v>
      </c>
      <c r="BE7355">
        <v>46302</v>
      </c>
      <c r="BF7355" t="s">
        <v>588</v>
      </c>
    </row>
    <row r="7356" spans="3:58" x14ac:dyDescent="0.35">
      <c r="C7356">
        <v>45671</v>
      </c>
      <c r="F7356" t="s">
        <v>752</v>
      </c>
      <c r="Y7356">
        <v>273</v>
      </c>
      <c r="Z7356" s="259" t="s">
        <v>692</v>
      </c>
      <c r="AZ7356" t="s">
        <v>1065</v>
      </c>
      <c r="BA7356">
        <v>197.83</v>
      </c>
      <c r="BB7356" t="s">
        <v>564</v>
      </c>
      <c r="BC7356" t="s">
        <v>793</v>
      </c>
      <c r="BD7356">
        <v>0</v>
      </c>
      <c r="BE7356">
        <v>46302</v>
      </c>
      <c r="BF7356" t="s">
        <v>588</v>
      </c>
    </row>
    <row r="7357" spans="3:58" x14ac:dyDescent="0.35">
      <c r="C7357">
        <v>45672</v>
      </c>
      <c r="F7357" t="s">
        <v>752</v>
      </c>
      <c r="Y7357">
        <v>274</v>
      </c>
      <c r="Z7357" s="259" t="s">
        <v>692</v>
      </c>
      <c r="AZ7357" t="s">
        <v>1066</v>
      </c>
      <c r="BA7357">
        <v>197.67</v>
      </c>
      <c r="BB7357" t="s">
        <v>564</v>
      </c>
      <c r="BC7357" t="s">
        <v>793</v>
      </c>
      <c r="BD7357">
        <v>0</v>
      </c>
      <c r="BE7357">
        <v>46302</v>
      </c>
      <c r="BF7357" t="s">
        <v>588</v>
      </c>
    </row>
    <row r="7358" spans="3:58" x14ac:dyDescent="0.35">
      <c r="C7358">
        <v>45673</v>
      </c>
      <c r="F7358" t="s">
        <v>752</v>
      </c>
      <c r="Y7358">
        <v>275</v>
      </c>
      <c r="Z7358" s="259" t="s">
        <v>692</v>
      </c>
      <c r="AZ7358" t="s">
        <v>1067</v>
      </c>
      <c r="BA7358">
        <v>197.5</v>
      </c>
      <c r="BB7358" t="s">
        <v>564</v>
      </c>
      <c r="BC7358" t="s">
        <v>793</v>
      </c>
      <c r="BD7358">
        <v>0</v>
      </c>
      <c r="BE7358">
        <v>46302</v>
      </c>
      <c r="BF7358" t="s">
        <v>588</v>
      </c>
    </row>
    <row r="7359" spans="3:58" x14ac:dyDescent="0.35">
      <c r="C7359">
        <v>45674</v>
      </c>
      <c r="F7359" t="s">
        <v>752</v>
      </c>
      <c r="Y7359">
        <v>276</v>
      </c>
      <c r="Z7359" s="259" t="s">
        <v>692</v>
      </c>
      <c r="AZ7359" t="s">
        <v>1068</v>
      </c>
      <c r="BA7359">
        <v>197.33</v>
      </c>
      <c r="BB7359" t="s">
        <v>564</v>
      </c>
      <c r="BC7359" t="s">
        <v>793</v>
      </c>
      <c r="BD7359">
        <v>0</v>
      </c>
      <c r="BE7359">
        <v>46302</v>
      </c>
      <c r="BF7359" t="s">
        <v>588</v>
      </c>
    </row>
    <row r="7360" spans="3:58" x14ac:dyDescent="0.35">
      <c r="C7360">
        <v>45677</v>
      </c>
      <c r="F7360" t="s">
        <v>752</v>
      </c>
      <c r="Y7360">
        <v>277</v>
      </c>
      <c r="Z7360" s="259" t="s">
        <v>692</v>
      </c>
      <c r="AZ7360" t="s">
        <v>1069</v>
      </c>
      <c r="BA7360">
        <v>196.83</v>
      </c>
      <c r="BB7360" t="s">
        <v>564</v>
      </c>
      <c r="BC7360" t="s">
        <v>793</v>
      </c>
      <c r="BD7360">
        <v>0</v>
      </c>
      <c r="BE7360">
        <v>46302</v>
      </c>
      <c r="BF7360" t="s">
        <v>588</v>
      </c>
    </row>
    <row r="7361" spans="3:58" x14ac:dyDescent="0.35">
      <c r="C7361">
        <v>45678</v>
      </c>
      <c r="F7361" t="s">
        <v>752</v>
      </c>
      <c r="Y7361">
        <v>278</v>
      </c>
      <c r="Z7361" s="259" t="s">
        <v>692</v>
      </c>
      <c r="AZ7361" t="s">
        <v>1070</v>
      </c>
      <c r="BA7361">
        <v>196.67</v>
      </c>
      <c r="BB7361" t="s">
        <v>564</v>
      </c>
      <c r="BC7361" t="s">
        <v>793</v>
      </c>
      <c r="BD7361">
        <v>0</v>
      </c>
      <c r="BE7361">
        <v>46302</v>
      </c>
      <c r="BF7361" t="s">
        <v>588</v>
      </c>
    </row>
    <row r="7362" spans="3:58" x14ac:dyDescent="0.35">
      <c r="C7362">
        <v>45679</v>
      </c>
      <c r="F7362" t="s">
        <v>752</v>
      </c>
      <c r="Y7362">
        <v>279</v>
      </c>
      <c r="Z7362" s="259" t="s">
        <v>692</v>
      </c>
      <c r="AZ7362" t="s">
        <v>1071</v>
      </c>
      <c r="BA7362">
        <v>196.5</v>
      </c>
      <c r="BB7362" t="s">
        <v>564</v>
      </c>
      <c r="BC7362" t="s">
        <v>793</v>
      </c>
      <c r="BD7362">
        <v>0</v>
      </c>
      <c r="BE7362">
        <v>46302</v>
      </c>
      <c r="BF7362" t="s">
        <v>588</v>
      </c>
    </row>
    <row r="7363" spans="3:58" x14ac:dyDescent="0.35">
      <c r="C7363">
        <v>45680</v>
      </c>
      <c r="F7363" t="s">
        <v>752</v>
      </c>
      <c r="Y7363">
        <v>280</v>
      </c>
      <c r="Z7363" s="259" t="s">
        <v>692</v>
      </c>
      <c r="AZ7363" t="s">
        <v>1072</v>
      </c>
      <c r="BA7363">
        <v>196.33</v>
      </c>
      <c r="BB7363" t="s">
        <v>564</v>
      </c>
      <c r="BC7363" t="s">
        <v>793</v>
      </c>
      <c r="BD7363">
        <v>0</v>
      </c>
      <c r="BE7363">
        <v>46302</v>
      </c>
      <c r="BF7363" t="s">
        <v>588</v>
      </c>
    </row>
    <row r="7364" spans="3:58" x14ac:dyDescent="0.35">
      <c r="C7364">
        <v>45681</v>
      </c>
      <c r="F7364" t="s">
        <v>752</v>
      </c>
      <c r="Y7364">
        <v>281</v>
      </c>
      <c r="Z7364" s="259" t="s">
        <v>692</v>
      </c>
      <c r="AZ7364" t="s">
        <v>1073</v>
      </c>
      <c r="BA7364">
        <v>196.17</v>
      </c>
      <c r="BB7364" t="s">
        <v>564</v>
      </c>
      <c r="BC7364" t="s">
        <v>793</v>
      </c>
      <c r="BD7364">
        <v>0</v>
      </c>
      <c r="BE7364">
        <v>46302</v>
      </c>
      <c r="BF7364" t="s">
        <v>588</v>
      </c>
    </row>
    <row r="7365" spans="3:58" x14ac:dyDescent="0.35">
      <c r="C7365">
        <v>45684</v>
      </c>
      <c r="F7365" t="s">
        <v>752</v>
      </c>
      <c r="Y7365">
        <v>282</v>
      </c>
      <c r="Z7365" s="259" t="s">
        <v>692</v>
      </c>
      <c r="AZ7365" t="s">
        <v>1074</v>
      </c>
      <c r="BA7365">
        <v>195.67</v>
      </c>
      <c r="BB7365" t="s">
        <v>564</v>
      </c>
      <c r="BC7365" t="s">
        <v>793</v>
      </c>
      <c r="BD7365">
        <v>0</v>
      </c>
      <c r="BE7365">
        <v>46302</v>
      </c>
      <c r="BF7365" t="s">
        <v>588</v>
      </c>
    </row>
    <row r="7366" spans="3:58" x14ac:dyDescent="0.35">
      <c r="C7366">
        <v>45685</v>
      </c>
      <c r="F7366" t="s">
        <v>752</v>
      </c>
      <c r="Y7366">
        <v>283</v>
      </c>
      <c r="Z7366" s="259" t="s">
        <v>692</v>
      </c>
      <c r="AZ7366" t="s">
        <v>1075</v>
      </c>
      <c r="BA7366">
        <v>195.5</v>
      </c>
      <c r="BB7366" t="s">
        <v>564</v>
      </c>
      <c r="BC7366" t="s">
        <v>793</v>
      </c>
      <c r="BD7366">
        <v>0</v>
      </c>
      <c r="BE7366">
        <v>46302</v>
      </c>
      <c r="BF7366" t="s">
        <v>588</v>
      </c>
    </row>
    <row r="7367" spans="3:58" x14ac:dyDescent="0.35">
      <c r="C7367">
        <v>45686</v>
      </c>
      <c r="F7367" t="s">
        <v>752</v>
      </c>
      <c r="Y7367">
        <v>284</v>
      </c>
      <c r="Z7367" s="259" t="s">
        <v>692</v>
      </c>
      <c r="AZ7367" t="s">
        <v>1076</v>
      </c>
      <c r="BA7367">
        <v>195.33</v>
      </c>
      <c r="BB7367" t="s">
        <v>564</v>
      </c>
      <c r="BC7367" t="s">
        <v>793</v>
      </c>
      <c r="BD7367">
        <v>0</v>
      </c>
      <c r="BE7367">
        <v>46302</v>
      </c>
      <c r="BF7367" t="s">
        <v>588</v>
      </c>
    </row>
    <row r="7368" spans="3:58" x14ac:dyDescent="0.35">
      <c r="C7368">
        <v>45687</v>
      </c>
      <c r="F7368" t="s">
        <v>752</v>
      </c>
      <c r="Y7368">
        <v>285</v>
      </c>
      <c r="Z7368" s="259" t="s">
        <v>692</v>
      </c>
      <c r="AZ7368" t="s">
        <v>1077</v>
      </c>
      <c r="BA7368">
        <v>195.17</v>
      </c>
      <c r="BB7368" t="s">
        <v>564</v>
      </c>
      <c r="BC7368" t="s">
        <v>793</v>
      </c>
      <c r="BD7368">
        <v>0</v>
      </c>
      <c r="BE7368">
        <v>46302</v>
      </c>
      <c r="BF7368" t="s">
        <v>588</v>
      </c>
    </row>
    <row r="7369" spans="3:58" x14ac:dyDescent="0.35">
      <c r="C7369">
        <v>45688</v>
      </c>
      <c r="F7369" t="s">
        <v>752</v>
      </c>
      <c r="Y7369">
        <v>286</v>
      </c>
      <c r="Z7369" s="259" t="s">
        <v>692</v>
      </c>
      <c r="AZ7369" t="s">
        <v>1078</v>
      </c>
      <c r="BA7369">
        <v>195</v>
      </c>
      <c r="BB7369" t="s">
        <v>564</v>
      </c>
      <c r="BC7369" t="s">
        <v>793</v>
      </c>
      <c r="BD7369">
        <v>0</v>
      </c>
      <c r="BE7369">
        <v>46302</v>
      </c>
      <c r="BF7369" t="s">
        <v>588</v>
      </c>
    </row>
    <row r="7370" spans="3:58" x14ac:dyDescent="0.35">
      <c r="C7370">
        <v>45691</v>
      </c>
      <c r="F7370" t="s">
        <v>752</v>
      </c>
      <c r="Y7370">
        <v>287</v>
      </c>
      <c r="Z7370" s="259" t="s">
        <v>692</v>
      </c>
      <c r="AZ7370" t="s">
        <v>1079</v>
      </c>
      <c r="BA7370">
        <v>195.44</v>
      </c>
      <c r="BB7370" t="s">
        <v>564</v>
      </c>
      <c r="BC7370" t="s">
        <v>793</v>
      </c>
      <c r="BD7370">
        <v>0</v>
      </c>
      <c r="BE7370">
        <v>46302</v>
      </c>
      <c r="BF7370" t="s">
        <v>588</v>
      </c>
    </row>
    <row r="7371" spans="3:58" x14ac:dyDescent="0.35">
      <c r="C7371">
        <v>45692</v>
      </c>
      <c r="F7371" t="s">
        <v>752</v>
      </c>
      <c r="Y7371">
        <v>288</v>
      </c>
      <c r="Z7371" s="259" t="s">
        <v>692</v>
      </c>
      <c r="AZ7371" t="s">
        <v>1080</v>
      </c>
      <c r="BA7371">
        <v>195.67</v>
      </c>
      <c r="BB7371" t="s">
        <v>564</v>
      </c>
      <c r="BC7371" t="s">
        <v>793</v>
      </c>
      <c r="BD7371">
        <v>0</v>
      </c>
      <c r="BE7371">
        <v>46302</v>
      </c>
      <c r="BF7371" t="s">
        <v>588</v>
      </c>
    </row>
    <row r="7372" spans="3:58" x14ac:dyDescent="0.35">
      <c r="C7372">
        <v>45693</v>
      </c>
      <c r="F7372" t="s">
        <v>752</v>
      </c>
      <c r="Y7372">
        <v>289</v>
      </c>
      <c r="Z7372" s="259" t="s">
        <v>692</v>
      </c>
      <c r="AZ7372" t="s">
        <v>1081</v>
      </c>
      <c r="BA7372">
        <v>195.89</v>
      </c>
      <c r="BB7372" t="s">
        <v>564</v>
      </c>
      <c r="BC7372" t="s">
        <v>793</v>
      </c>
      <c r="BD7372">
        <v>0</v>
      </c>
      <c r="BE7372">
        <v>46302</v>
      </c>
      <c r="BF7372" t="s">
        <v>588</v>
      </c>
    </row>
    <row r="7373" spans="3:58" x14ac:dyDescent="0.35">
      <c r="C7373">
        <v>45694</v>
      </c>
      <c r="F7373" t="s">
        <v>752</v>
      </c>
      <c r="Y7373">
        <v>290</v>
      </c>
      <c r="Z7373" s="259" t="s">
        <v>692</v>
      </c>
      <c r="AZ7373" t="s">
        <v>1082</v>
      </c>
      <c r="BA7373">
        <v>196.11</v>
      </c>
      <c r="BB7373" t="s">
        <v>564</v>
      </c>
      <c r="BC7373" t="s">
        <v>793</v>
      </c>
      <c r="BD7373">
        <v>0</v>
      </c>
      <c r="BE7373">
        <v>46302</v>
      </c>
      <c r="BF7373" t="s">
        <v>588</v>
      </c>
    </row>
    <row r="7374" spans="3:58" x14ac:dyDescent="0.35">
      <c r="C7374">
        <v>45695</v>
      </c>
      <c r="F7374" t="s">
        <v>752</v>
      </c>
      <c r="Y7374">
        <v>291</v>
      </c>
      <c r="Z7374" s="259" t="s">
        <v>692</v>
      </c>
      <c r="AZ7374" t="s">
        <v>1083</v>
      </c>
      <c r="BA7374">
        <v>196.33</v>
      </c>
      <c r="BB7374" t="s">
        <v>564</v>
      </c>
      <c r="BC7374" t="s">
        <v>793</v>
      </c>
      <c r="BD7374">
        <v>0</v>
      </c>
      <c r="BE7374">
        <v>46302</v>
      </c>
      <c r="BF7374" t="s">
        <v>588</v>
      </c>
    </row>
    <row r="7375" spans="3:58" x14ac:dyDescent="0.35">
      <c r="C7375">
        <v>45698</v>
      </c>
      <c r="F7375" t="s">
        <v>752</v>
      </c>
      <c r="Y7375">
        <v>292</v>
      </c>
      <c r="Z7375" s="259" t="s">
        <v>692</v>
      </c>
      <c r="AZ7375" t="s">
        <v>1084</v>
      </c>
      <c r="BA7375">
        <v>197</v>
      </c>
      <c r="BB7375" t="s">
        <v>564</v>
      </c>
      <c r="BC7375" t="s">
        <v>793</v>
      </c>
      <c r="BD7375">
        <v>0</v>
      </c>
      <c r="BE7375">
        <v>46302</v>
      </c>
      <c r="BF7375" t="s">
        <v>588</v>
      </c>
    </row>
    <row r="7376" spans="3:58" x14ac:dyDescent="0.35">
      <c r="C7376">
        <v>45699</v>
      </c>
      <c r="F7376" t="s">
        <v>752</v>
      </c>
      <c r="Y7376">
        <v>293</v>
      </c>
      <c r="Z7376" s="259" t="s">
        <v>692</v>
      </c>
      <c r="AZ7376" t="s">
        <v>1085</v>
      </c>
      <c r="BA7376">
        <v>197.22</v>
      </c>
      <c r="BB7376" t="s">
        <v>564</v>
      </c>
      <c r="BC7376" t="s">
        <v>793</v>
      </c>
      <c r="BD7376">
        <v>0</v>
      </c>
      <c r="BE7376">
        <v>46302</v>
      </c>
      <c r="BF7376" t="s">
        <v>588</v>
      </c>
    </row>
    <row r="7377" spans="3:58" x14ac:dyDescent="0.35">
      <c r="C7377">
        <v>45700</v>
      </c>
      <c r="F7377" t="s">
        <v>752</v>
      </c>
      <c r="Y7377">
        <v>294</v>
      </c>
      <c r="Z7377" s="259" t="s">
        <v>692</v>
      </c>
      <c r="AZ7377" t="s">
        <v>1086</v>
      </c>
      <c r="BA7377">
        <v>197.44</v>
      </c>
      <c r="BB7377" t="s">
        <v>564</v>
      </c>
      <c r="BC7377" t="s">
        <v>793</v>
      </c>
      <c r="BD7377">
        <v>0</v>
      </c>
      <c r="BE7377">
        <v>46302</v>
      </c>
      <c r="BF7377" t="s">
        <v>588</v>
      </c>
    </row>
    <row r="7378" spans="3:58" x14ac:dyDescent="0.35">
      <c r="C7378">
        <v>45701</v>
      </c>
      <c r="F7378" t="s">
        <v>752</v>
      </c>
      <c r="Y7378">
        <v>295</v>
      </c>
      <c r="Z7378" s="259" t="s">
        <v>692</v>
      </c>
      <c r="AZ7378" t="s">
        <v>1087</v>
      </c>
      <c r="BA7378">
        <v>197.67</v>
      </c>
      <c r="BB7378" t="s">
        <v>564</v>
      </c>
      <c r="BC7378" t="s">
        <v>793</v>
      </c>
      <c r="BD7378">
        <v>0</v>
      </c>
      <c r="BE7378">
        <v>46302</v>
      </c>
      <c r="BF7378" t="s">
        <v>588</v>
      </c>
    </row>
    <row r="7379" spans="3:58" x14ac:dyDescent="0.35">
      <c r="C7379">
        <v>45702</v>
      </c>
      <c r="F7379" t="s">
        <v>752</v>
      </c>
      <c r="Y7379">
        <v>296</v>
      </c>
      <c r="Z7379" s="259" t="s">
        <v>692</v>
      </c>
      <c r="AZ7379" t="s">
        <v>1088</v>
      </c>
      <c r="BA7379">
        <v>197.89</v>
      </c>
      <c r="BB7379" t="s">
        <v>564</v>
      </c>
      <c r="BC7379" t="s">
        <v>793</v>
      </c>
      <c r="BD7379">
        <v>0</v>
      </c>
      <c r="BE7379">
        <v>46302</v>
      </c>
      <c r="BF7379" t="s">
        <v>588</v>
      </c>
    </row>
    <row r="7380" spans="3:58" x14ac:dyDescent="0.35">
      <c r="C7380">
        <v>45705</v>
      </c>
      <c r="F7380" t="s">
        <v>752</v>
      </c>
      <c r="Y7380">
        <v>297</v>
      </c>
      <c r="Z7380" s="259" t="s">
        <v>692</v>
      </c>
      <c r="AZ7380" t="s">
        <v>1089</v>
      </c>
      <c r="BA7380">
        <v>198.56</v>
      </c>
      <c r="BB7380" t="s">
        <v>564</v>
      </c>
      <c r="BC7380" t="s">
        <v>793</v>
      </c>
      <c r="BD7380">
        <v>0</v>
      </c>
      <c r="BE7380">
        <v>46302</v>
      </c>
      <c r="BF7380" t="s">
        <v>588</v>
      </c>
    </row>
    <row r="7381" spans="3:58" x14ac:dyDescent="0.35">
      <c r="C7381">
        <v>45706</v>
      </c>
      <c r="F7381" t="s">
        <v>752</v>
      </c>
      <c r="Y7381">
        <v>298</v>
      </c>
      <c r="Z7381" s="259" t="s">
        <v>692</v>
      </c>
      <c r="AZ7381" t="s">
        <v>1090</v>
      </c>
      <c r="BA7381">
        <v>198.78</v>
      </c>
      <c r="BB7381" t="s">
        <v>564</v>
      </c>
      <c r="BC7381" t="s">
        <v>793</v>
      </c>
      <c r="BD7381">
        <v>0</v>
      </c>
      <c r="BE7381">
        <v>46302</v>
      </c>
      <c r="BF7381" t="s">
        <v>588</v>
      </c>
    </row>
    <row r="7382" spans="3:58" x14ac:dyDescent="0.35">
      <c r="C7382">
        <v>45707</v>
      </c>
      <c r="F7382" t="s">
        <v>752</v>
      </c>
      <c r="Y7382">
        <v>299</v>
      </c>
      <c r="Z7382" s="259" t="s">
        <v>692</v>
      </c>
      <c r="AZ7382" t="s">
        <v>1091</v>
      </c>
      <c r="BA7382">
        <v>199</v>
      </c>
      <c r="BB7382" t="s">
        <v>564</v>
      </c>
      <c r="BC7382" t="s">
        <v>793</v>
      </c>
      <c r="BD7382">
        <v>0</v>
      </c>
      <c r="BE7382">
        <v>46302</v>
      </c>
      <c r="BF7382" t="s">
        <v>588</v>
      </c>
    </row>
    <row r="7383" spans="3:58" x14ac:dyDescent="0.35">
      <c r="C7383">
        <v>45708</v>
      </c>
      <c r="F7383" t="s">
        <v>752</v>
      </c>
      <c r="Y7383">
        <v>300</v>
      </c>
      <c r="Z7383" s="259" t="s">
        <v>692</v>
      </c>
      <c r="AZ7383" t="s">
        <v>1092</v>
      </c>
      <c r="BA7383">
        <v>199.22</v>
      </c>
      <c r="BB7383" t="s">
        <v>564</v>
      </c>
      <c r="BC7383" t="s">
        <v>793</v>
      </c>
      <c r="BD7383">
        <v>0</v>
      </c>
      <c r="BE7383">
        <v>46302</v>
      </c>
      <c r="BF7383" t="s">
        <v>588</v>
      </c>
    </row>
    <row r="7384" spans="3:58" x14ac:dyDescent="0.35">
      <c r="C7384">
        <v>45709</v>
      </c>
      <c r="F7384" t="s">
        <v>752</v>
      </c>
      <c r="Y7384">
        <v>301</v>
      </c>
      <c r="Z7384" s="259" t="s">
        <v>692</v>
      </c>
      <c r="AZ7384" t="s">
        <v>1093</v>
      </c>
      <c r="BA7384">
        <v>199.44</v>
      </c>
      <c r="BB7384" t="s">
        <v>564</v>
      </c>
      <c r="BC7384" t="s">
        <v>793</v>
      </c>
      <c r="BD7384">
        <v>0</v>
      </c>
      <c r="BE7384">
        <v>46302</v>
      </c>
      <c r="BF7384" t="s">
        <v>588</v>
      </c>
    </row>
    <row r="7385" spans="3:58" x14ac:dyDescent="0.35">
      <c r="C7385">
        <v>45712</v>
      </c>
      <c r="F7385" t="s">
        <v>752</v>
      </c>
      <c r="Y7385">
        <v>302</v>
      </c>
      <c r="Z7385" s="259" t="s">
        <v>692</v>
      </c>
      <c r="AZ7385" t="s">
        <v>1094</v>
      </c>
      <c r="BA7385">
        <v>200.11</v>
      </c>
      <c r="BB7385" t="s">
        <v>564</v>
      </c>
      <c r="BC7385" t="s">
        <v>793</v>
      </c>
      <c r="BD7385">
        <v>0</v>
      </c>
      <c r="BE7385">
        <v>46302</v>
      </c>
      <c r="BF7385" t="s">
        <v>588</v>
      </c>
    </row>
    <row r="7386" spans="3:58" x14ac:dyDescent="0.35">
      <c r="C7386">
        <v>45713</v>
      </c>
      <c r="F7386" t="s">
        <v>752</v>
      </c>
      <c r="Y7386">
        <v>303</v>
      </c>
      <c r="Z7386" s="259" t="s">
        <v>692</v>
      </c>
      <c r="AZ7386" t="s">
        <v>1095</v>
      </c>
      <c r="BA7386">
        <v>200.33</v>
      </c>
      <c r="BB7386" t="s">
        <v>564</v>
      </c>
      <c r="BC7386" t="s">
        <v>793</v>
      </c>
      <c r="BD7386">
        <v>0</v>
      </c>
      <c r="BE7386">
        <v>46302</v>
      </c>
      <c r="BF7386" t="s">
        <v>588</v>
      </c>
    </row>
    <row r="7387" spans="3:58" x14ac:dyDescent="0.35">
      <c r="C7387">
        <v>45714</v>
      </c>
      <c r="F7387" t="s">
        <v>752</v>
      </c>
      <c r="Y7387">
        <v>304</v>
      </c>
      <c r="Z7387" s="259" t="s">
        <v>692</v>
      </c>
      <c r="AZ7387" t="s">
        <v>1096</v>
      </c>
      <c r="BA7387">
        <v>200.56</v>
      </c>
      <c r="BB7387" t="s">
        <v>564</v>
      </c>
      <c r="BC7387" t="s">
        <v>793</v>
      </c>
      <c r="BD7387">
        <v>0</v>
      </c>
      <c r="BE7387">
        <v>46302</v>
      </c>
      <c r="BF7387" t="s">
        <v>588</v>
      </c>
    </row>
    <row r="7388" spans="3:58" x14ac:dyDescent="0.35">
      <c r="C7388">
        <v>45715</v>
      </c>
      <c r="F7388" t="s">
        <v>752</v>
      </c>
      <c r="Y7388">
        <v>305</v>
      </c>
      <c r="Z7388" s="259" t="s">
        <v>692</v>
      </c>
      <c r="AZ7388" t="s">
        <v>1097</v>
      </c>
      <c r="BA7388">
        <v>200.78</v>
      </c>
      <c r="BB7388" t="s">
        <v>564</v>
      </c>
      <c r="BC7388" t="s">
        <v>793</v>
      </c>
      <c r="BD7388">
        <v>0</v>
      </c>
      <c r="BE7388">
        <v>46302</v>
      </c>
      <c r="BF7388" t="s">
        <v>588</v>
      </c>
    </row>
    <row r="7389" spans="3:58" x14ac:dyDescent="0.35">
      <c r="C7389">
        <v>45716</v>
      </c>
      <c r="F7389" t="s">
        <v>752</v>
      </c>
      <c r="Y7389">
        <v>306</v>
      </c>
      <c r="Z7389" s="259" t="s">
        <v>692</v>
      </c>
      <c r="AZ7389" t="s">
        <v>1098</v>
      </c>
      <c r="BA7389">
        <v>201</v>
      </c>
      <c r="BB7389" t="s">
        <v>564</v>
      </c>
      <c r="BC7389" t="s">
        <v>793</v>
      </c>
      <c r="BD7389">
        <v>0</v>
      </c>
      <c r="BE7389">
        <v>46302</v>
      </c>
      <c r="BF7389" t="s">
        <v>588</v>
      </c>
    </row>
    <row r="7390" spans="3:58" x14ac:dyDescent="0.35">
      <c r="C7390">
        <v>45719</v>
      </c>
      <c r="F7390" t="s">
        <v>752</v>
      </c>
      <c r="Y7390">
        <v>307</v>
      </c>
      <c r="Z7390" s="259" t="s">
        <v>692</v>
      </c>
      <c r="AZ7390" t="s">
        <v>1099</v>
      </c>
      <c r="BA7390">
        <v>200.8</v>
      </c>
      <c r="BB7390" t="s">
        <v>564</v>
      </c>
      <c r="BC7390" t="s">
        <v>793</v>
      </c>
      <c r="BD7390">
        <v>0</v>
      </c>
      <c r="BE7390">
        <v>46302</v>
      </c>
      <c r="BF7390" t="s">
        <v>588</v>
      </c>
    </row>
    <row r="7391" spans="3:58" x14ac:dyDescent="0.35">
      <c r="C7391">
        <v>45720</v>
      </c>
      <c r="F7391" t="s">
        <v>752</v>
      </c>
      <c r="Y7391">
        <v>308</v>
      </c>
      <c r="Z7391" s="259" t="s">
        <v>692</v>
      </c>
      <c r="AZ7391" t="s">
        <v>1100</v>
      </c>
      <c r="BA7391">
        <v>200.7</v>
      </c>
      <c r="BB7391" t="s">
        <v>564</v>
      </c>
      <c r="BC7391" t="s">
        <v>793</v>
      </c>
      <c r="BD7391">
        <v>0</v>
      </c>
      <c r="BE7391">
        <v>46302</v>
      </c>
      <c r="BF7391" t="s">
        <v>588</v>
      </c>
    </row>
    <row r="7392" spans="3:58" x14ac:dyDescent="0.35">
      <c r="C7392">
        <v>45721</v>
      </c>
      <c r="F7392" t="s">
        <v>752</v>
      </c>
      <c r="Y7392">
        <v>309</v>
      </c>
      <c r="Z7392" s="259" t="s">
        <v>692</v>
      </c>
      <c r="AZ7392" t="s">
        <v>1101</v>
      </c>
      <c r="BA7392">
        <v>200.6</v>
      </c>
      <c r="BB7392" t="s">
        <v>564</v>
      </c>
      <c r="BC7392" t="s">
        <v>793</v>
      </c>
      <c r="BD7392">
        <v>0</v>
      </c>
      <c r="BE7392">
        <v>46302</v>
      </c>
      <c r="BF7392" t="s">
        <v>588</v>
      </c>
    </row>
    <row r="7393" spans="3:58" x14ac:dyDescent="0.35">
      <c r="C7393">
        <v>45722</v>
      </c>
      <c r="F7393" t="s">
        <v>752</v>
      </c>
      <c r="Y7393">
        <v>310</v>
      </c>
      <c r="Z7393" s="259" t="s">
        <v>692</v>
      </c>
      <c r="AZ7393" t="s">
        <v>1102</v>
      </c>
      <c r="BA7393">
        <v>200.5</v>
      </c>
      <c r="BB7393" t="s">
        <v>564</v>
      </c>
      <c r="BC7393" t="s">
        <v>793</v>
      </c>
      <c r="BD7393">
        <v>0</v>
      </c>
      <c r="BE7393">
        <v>46302</v>
      </c>
      <c r="BF7393" t="s">
        <v>588</v>
      </c>
    </row>
    <row r="7394" spans="3:58" x14ac:dyDescent="0.35">
      <c r="C7394">
        <v>45723</v>
      </c>
      <c r="F7394" t="s">
        <v>752</v>
      </c>
      <c r="Y7394">
        <v>311</v>
      </c>
      <c r="Z7394" s="259" t="s">
        <v>692</v>
      </c>
      <c r="AZ7394" t="s">
        <v>1103</v>
      </c>
      <c r="BA7394">
        <v>200.4</v>
      </c>
      <c r="BB7394" t="s">
        <v>564</v>
      </c>
      <c r="BC7394" t="s">
        <v>793</v>
      </c>
      <c r="BD7394">
        <v>0</v>
      </c>
      <c r="BE7394">
        <v>46302</v>
      </c>
      <c r="BF7394" t="s">
        <v>588</v>
      </c>
    </row>
    <row r="7395" spans="3:58" x14ac:dyDescent="0.35">
      <c r="C7395">
        <v>45726</v>
      </c>
      <c r="F7395" t="s">
        <v>752</v>
      </c>
      <c r="Y7395">
        <v>312</v>
      </c>
      <c r="Z7395" s="259" t="s">
        <v>692</v>
      </c>
      <c r="AZ7395" t="s">
        <v>1104</v>
      </c>
      <c r="BA7395">
        <v>200.1</v>
      </c>
      <c r="BB7395" t="s">
        <v>564</v>
      </c>
      <c r="BC7395" t="s">
        <v>793</v>
      </c>
      <c r="BD7395">
        <v>0</v>
      </c>
      <c r="BE7395">
        <v>46302</v>
      </c>
      <c r="BF7395" t="s">
        <v>588</v>
      </c>
    </row>
    <row r="7396" spans="3:58" x14ac:dyDescent="0.35">
      <c r="C7396">
        <v>45727</v>
      </c>
      <c r="F7396" t="s">
        <v>752</v>
      </c>
      <c r="Y7396">
        <v>313</v>
      </c>
      <c r="Z7396" s="259" t="s">
        <v>692</v>
      </c>
      <c r="AZ7396" t="s">
        <v>1105</v>
      </c>
      <c r="BA7396">
        <v>200</v>
      </c>
      <c r="BB7396" t="s">
        <v>564</v>
      </c>
      <c r="BC7396" t="s">
        <v>793</v>
      </c>
      <c r="BD7396">
        <v>0</v>
      </c>
      <c r="BE7396">
        <v>46302</v>
      </c>
      <c r="BF7396" t="s">
        <v>588</v>
      </c>
    </row>
    <row r="7397" spans="3:58" x14ac:dyDescent="0.35">
      <c r="C7397">
        <v>45728</v>
      </c>
      <c r="F7397" t="s">
        <v>752</v>
      </c>
      <c r="Y7397">
        <v>314</v>
      </c>
      <c r="Z7397" s="259" t="s">
        <v>692</v>
      </c>
      <c r="AZ7397" t="s">
        <v>1106</v>
      </c>
      <c r="BA7397">
        <v>199.9</v>
      </c>
      <c r="BB7397" t="s">
        <v>564</v>
      </c>
      <c r="BC7397" t="s">
        <v>793</v>
      </c>
      <c r="BD7397">
        <v>0</v>
      </c>
      <c r="BE7397">
        <v>46302</v>
      </c>
      <c r="BF7397" t="s">
        <v>588</v>
      </c>
    </row>
    <row r="7398" spans="3:58" x14ac:dyDescent="0.35">
      <c r="C7398">
        <v>45729</v>
      </c>
      <c r="F7398" t="s">
        <v>752</v>
      </c>
      <c r="Y7398">
        <v>315</v>
      </c>
      <c r="Z7398" s="259" t="s">
        <v>692</v>
      </c>
      <c r="AZ7398" t="s">
        <v>1107</v>
      </c>
      <c r="BA7398">
        <v>199.8</v>
      </c>
      <c r="BB7398" t="s">
        <v>564</v>
      </c>
      <c r="BC7398" t="s">
        <v>793</v>
      </c>
      <c r="BD7398">
        <v>0</v>
      </c>
      <c r="BE7398">
        <v>46302</v>
      </c>
      <c r="BF7398" t="s">
        <v>588</v>
      </c>
    </row>
    <row r="7399" spans="3:58" x14ac:dyDescent="0.35">
      <c r="C7399">
        <v>45730</v>
      </c>
      <c r="F7399" t="s">
        <v>752</v>
      </c>
      <c r="Y7399">
        <v>316</v>
      </c>
      <c r="Z7399" s="259" t="s">
        <v>692</v>
      </c>
      <c r="AZ7399" t="s">
        <v>1108</v>
      </c>
      <c r="BA7399">
        <v>199.7</v>
      </c>
      <c r="BB7399" t="s">
        <v>564</v>
      </c>
      <c r="BC7399" t="s">
        <v>793</v>
      </c>
      <c r="BD7399">
        <v>0</v>
      </c>
      <c r="BE7399">
        <v>46302</v>
      </c>
      <c r="BF7399" t="s">
        <v>588</v>
      </c>
    </row>
    <row r="7400" spans="3:58" x14ac:dyDescent="0.35">
      <c r="C7400">
        <v>45733</v>
      </c>
      <c r="F7400" t="s">
        <v>752</v>
      </c>
      <c r="Y7400">
        <v>317</v>
      </c>
      <c r="Z7400" s="259" t="s">
        <v>692</v>
      </c>
      <c r="AZ7400" t="s">
        <v>1109</v>
      </c>
      <c r="BA7400">
        <v>199.4</v>
      </c>
      <c r="BB7400" t="s">
        <v>564</v>
      </c>
      <c r="BC7400" t="s">
        <v>793</v>
      </c>
      <c r="BD7400">
        <v>0</v>
      </c>
      <c r="BE7400">
        <v>46302</v>
      </c>
      <c r="BF7400" t="s">
        <v>588</v>
      </c>
    </row>
    <row r="7401" spans="3:58" x14ac:dyDescent="0.35">
      <c r="C7401">
        <v>45734</v>
      </c>
      <c r="F7401" t="s">
        <v>752</v>
      </c>
      <c r="Y7401">
        <v>318</v>
      </c>
      <c r="Z7401" s="259" t="s">
        <v>692</v>
      </c>
      <c r="AZ7401" t="s">
        <v>1110</v>
      </c>
      <c r="BA7401">
        <v>199.3</v>
      </c>
      <c r="BB7401" t="s">
        <v>564</v>
      </c>
      <c r="BC7401" t="s">
        <v>793</v>
      </c>
      <c r="BD7401">
        <v>0</v>
      </c>
      <c r="BE7401">
        <v>46302</v>
      </c>
      <c r="BF7401" t="s">
        <v>588</v>
      </c>
    </row>
    <row r="7402" spans="3:58" x14ac:dyDescent="0.35">
      <c r="C7402">
        <v>45735</v>
      </c>
      <c r="F7402" t="s">
        <v>752</v>
      </c>
      <c r="Y7402">
        <v>319</v>
      </c>
      <c r="Z7402" s="259" t="s">
        <v>692</v>
      </c>
      <c r="AZ7402" t="s">
        <v>1111</v>
      </c>
      <c r="BA7402">
        <v>199.2</v>
      </c>
      <c r="BB7402" t="s">
        <v>564</v>
      </c>
      <c r="BC7402" t="s">
        <v>793</v>
      </c>
      <c r="BD7402">
        <v>0</v>
      </c>
      <c r="BE7402">
        <v>46302</v>
      </c>
      <c r="BF7402" t="s">
        <v>588</v>
      </c>
    </row>
    <row r="7403" spans="3:58" x14ac:dyDescent="0.35">
      <c r="C7403">
        <v>45736</v>
      </c>
      <c r="F7403" t="s">
        <v>752</v>
      </c>
      <c r="Y7403">
        <v>320</v>
      </c>
      <c r="Z7403" s="259" t="s">
        <v>692</v>
      </c>
      <c r="AZ7403" t="s">
        <v>1112</v>
      </c>
      <c r="BA7403">
        <v>199.1</v>
      </c>
      <c r="BB7403" t="s">
        <v>564</v>
      </c>
      <c r="BC7403" t="s">
        <v>793</v>
      </c>
      <c r="BD7403">
        <v>0</v>
      </c>
      <c r="BE7403">
        <v>46302</v>
      </c>
      <c r="BF7403" t="s">
        <v>588</v>
      </c>
    </row>
    <row r="7404" spans="3:58" x14ac:dyDescent="0.35">
      <c r="C7404">
        <v>45737</v>
      </c>
      <c r="F7404" t="s">
        <v>752</v>
      </c>
      <c r="Y7404">
        <v>321</v>
      </c>
      <c r="Z7404" s="259" t="s">
        <v>692</v>
      </c>
      <c r="AZ7404" t="s">
        <v>1113</v>
      </c>
      <c r="BA7404">
        <v>199</v>
      </c>
      <c r="BB7404" t="s">
        <v>564</v>
      </c>
      <c r="BC7404" t="s">
        <v>793</v>
      </c>
      <c r="BD7404">
        <v>0</v>
      </c>
      <c r="BE7404">
        <v>46302</v>
      </c>
      <c r="BF7404" t="s">
        <v>588</v>
      </c>
    </row>
    <row r="7405" spans="3:58" x14ac:dyDescent="0.35">
      <c r="C7405">
        <v>45740</v>
      </c>
      <c r="F7405" t="s">
        <v>752</v>
      </c>
      <c r="Y7405">
        <v>322</v>
      </c>
      <c r="Z7405" s="259" t="s">
        <v>692</v>
      </c>
      <c r="AZ7405" t="s">
        <v>1114</v>
      </c>
      <c r="BA7405">
        <v>198.7</v>
      </c>
      <c r="BB7405" t="s">
        <v>564</v>
      </c>
      <c r="BC7405" t="s">
        <v>793</v>
      </c>
      <c r="BD7405">
        <v>0</v>
      </c>
      <c r="BE7405">
        <v>46302</v>
      </c>
      <c r="BF7405" t="s">
        <v>588</v>
      </c>
    </row>
    <row r="7406" spans="3:58" x14ac:dyDescent="0.35">
      <c r="C7406">
        <v>45741</v>
      </c>
      <c r="F7406" t="s">
        <v>752</v>
      </c>
      <c r="Y7406">
        <v>323</v>
      </c>
      <c r="Z7406" s="259" t="s">
        <v>692</v>
      </c>
      <c r="AZ7406" t="s">
        <v>1115</v>
      </c>
      <c r="BA7406">
        <v>198.6</v>
      </c>
      <c r="BB7406" t="s">
        <v>564</v>
      </c>
      <c r="BC7406" t="s">
        <v>793</v>
      </c>
      <c r="BD7406">
        <v>0</v>
      </c>
      <c r="BE7406">
        <v>46302</v>
      </c>
      <c r="BF7406" t="s">
        <v>588</v>
      </c>
    </row>
    <row r="7407" spans="3:58" x14ac:dyDescent="0.35">
      <c r="C7407">
        <v>45742</v>
      </c>
      <c r="F7407" t="s">
        <v>752</v>
      </c>
      <c r="Y7407">
        <v>324</v>
      </c>
      <c r="Z7407" s="259" t="s">
        <v>692</v>
      </c>
      <c r="AZ7407" t="s">
        <v>1116</v>
      </c>
      <c r="BA7407">
        <v>198.5</v>
      </c>
      <c r="BB7407" t="s">
        <v>564</v>
      </c>
      <c r="BC7407" t="s">
        <v>793</v>
      </c>
      <c r="BD7407">
        <v>0</v>
      </c>
      <c r="BE7407">
        <v>46302</v>
      </c>
      <c r="BF7407" t="s">
        <v>588</v>
      </c>
    </row>
    <row r="7408" spans="3:58" x14ac:dyDescent="0.35">
      <c r="C7408">
        <v>45743</v>
      </c>
      <c r="F7408" t="s">
        <v>752</v>
      </c>
      <c r="Y7408">
        <v>325</v>
      </c>
      <c r="Z7408" s="259" t="s">
        <v>692</v>
      </c>
      <c r="AZ7408" t="s">
        <v>1117</v>
      </c>
      <c r="BA7408">
        <v>198.4</v>
      </c>
      <c r="BB7408" t="s">
        <v>564</v>
      </c>
      <c r="BC7408" t="s">
        <v>793</v>
      </c>
      <c r="BD7408">
        <v>0</v>
      </c>
      <c r="BE7408">
        <v>46302</v>
      </c>
      <c r="BF7408" t="s">
        <v>588</v>
      </c>
    </row>
    <row r="7409" spans="3:58" x14ac:dyDescent="0.35">
      <c r="C7409">
        <v>45744</v>
      </c>
      <c r="F7409" t="s">
        <v>752</v>
      </c>
      <c r="Y7409">
        <v>326</v>
      </c>
      <c r="Z7409" s="259" t="s">
        <v>692</v>
      </c>
      <c r="AZ7409" t="s">
        <v>1118</v>
      </c>
      <c r="BA7409">
        <v>198.3</v>
      </c>
      <c r="BB7409" t="s">
        <v>564</v>
      </c>
      <c r="BC7409" t="s">
        <v>793</v>
      </c>
      <c r="BD7409">
        <v>0</v>
      </c>
      <c r="BE7409">
        <v>46302</v>
      </c>
      <c r="BF7409" t="s">
        <v>588</v>
      </c>
    </row>
    <row r="7410" spans="3:58" x14ac:dyDescent="0.35">
      <c r="C7410">
        <v>45747</v>
      </c>
      <c r="F7410" t="s">
        <v>752</v>
      </c>
      <c r="Y7410">
        <v>327</v>
      </c>
      <c r="Z7410" s="259" t="s">
        <v>692</v>
      </c>
      <c r="AZ7410" t="s">
        <v>1119</v>
      </c>
      <c r="BA7410">
        <v>198</v>
      </c>
      <c r="BB7410" t="s">
        <v>564</v>
      </c>
      <c r="BC7410" t="s">
        <v>793</v>
      </c>
      <c r="BD7410">
        <v>0</v>
      </c>
      <c r="BE7410">
        <v>46302</v>
      </c>
      <c r="BF7410" t="s">
        <v>588</v>
      </c>
    </row>
    <row r="7411" spans="3:58" x14ac:dyDescent="0.35">
      <c r="C7411">
        <v>45748</v>
      </c>
      <c r="F7411" t="s">
        <v>752</v>
      </c>
      <c r="Y7411">
        <v>328</v>
      </c>
      <c r="Z7411" s="259" t="s">
        <v>692</v>
      </c>
      <c r="AZ7411" t="s">
        <v>1120</v>
      </c>
      <c r="BA7411">
        <v>198</v>
      </c>
      <c r="BB7411" t="s">
        <v>564</v>
      </c>
      <c r="BC7411" t="s">
        <v>793</v>
      </c>
      <c r="BD7411">
        <v>0</v>
      </c>
      <c r="BE7411">
        <v>46302</v>
      </c>
      <c r="BF7411" t="s">
        <v>588</v>
      </c>
    </row>
    <row r="7412" spans="3:58" x14ac:dyDescent="0.35">
      <c r="C7412">
        <v>45749</v>
      </c>
      <c r="F7412" t="s">
        <v>752</v>
      </c>
      <c r="Y7412">
        <v>329</v>
      </c>
      <c r="Z7412" s="259" t="s">
        <v>692</v>
      </c>
      <c r="AZ7412" t="s">
        <v>1121</v>
      </c>
      <c r="BA7412">
        <v>197.62</v>
      </c>
      <c r="BB7412" t="s">
        <v>564</v>
      </c>
      <c r="BC7412" t="s">
        <v>793</v>
      </c>
      <c r="BD7412">
        <v>0</v>
      </c>
      <c r="BE7412">
        <v>46302</v>
      </c>
      <c r="BF7412" t="s">
        <v>588</v>
      </c>
    </row>
    <row r="7413" spans="3:58" x14ac:dyDescent="0.35">
      <c r="C7413">
        <v>45750</v>
      </c>
      <c r="F7413" t="s">
        <v>752</v>
      </c>
      <c r="Y7413">
        <v>330</v>
      </c>
      <c r="Z7413" s="259" t="s">
        <v>692</v>
      </c>
      <c r="AZ7413" t="s">
        <v>1122</v>
      </c>
      <c r="BA7413">
        <v>197.24</v>
      </c>
      <c r="BB7413" t="s">
        <v>564</v>
      </c>
      <c r="BC7413" t="s">
        <v>793</v>
      </c>
      <c r="BD7413">
        <v>0</v>
      </c>
      <c r="BE7413">
        <v>46302</v>
      </c>
      <c r="BF7413" t="s">
        <v>588</v>
      </c>
    </row>
    <row r="7414" spans="3:58" x14ac:dyDescent="0.35">
      <c r="C7414">
        <v>45751</v>
      </c>
      <c r="F7414" t="s">
        <v>752</v>
      </c>
      <c r="Y7414">
        <v>331</v>
      </c>
      <c r="Z7414" s="259" t="s">
        <v>692</v>
      </c>
      <c r="AZ7414" t="s">
        <v>1123</v>
      </c>
      <c r="BA7414">
        <v>196.86</v>
      </c>
      <c r="BB7414" t="s">
        <v>564</v>
      </c>
      <c r="BC7414" t="s">
        <v>793</v>
      </c>
      <c r="BD7414">
        <v>0</v>
      </c>
      <c r="BE7414">
        <v>46302</v>
      </c>
      <c r="BF7414" t="s">
        <v>588</v>
      </c>
    </row>
    <row r="7415" spans="3:58" x14ac:dyDescent="0.35">
      <c r="C7415">
        <v>45754</v>
      </c>
      <c r="F7415" t="s">
        <v>752</v>
      </c>
      <c r="Y7415">
        <v>332</v>
      </c>
      <c r="Z7415" s="259" t="s">
        <v>692</v>
      </c>
      <c r="AZ7415" t="s">
        <v>1124</v>
      </c>
      <c r="BA7415">
        <v>195.72</v>
      </c>
      <c r="BB7415" t="s">
        <v>564</v>
      </c>
      <c r="BC7415" t="s">
        <v>793</v>
      </c>
      <c r="BD7415">
        <v>0</v>
      </c>
      <c r="BE7415">
        <v>46302</v>
      </c>
      <c r="BF7415" t="s">
        <v>588</v>
      </c>
    </row>
    <row r="7416" spans="3:58" x14ac:dyDescent="0.35">
      <c r="C7416">
        <v>45755</v>
      </c>
      <c r="F7416" t="s">
        <v>752</v>
      </c>
      <c r="Y7416">
        <v>333</v>
      </c>
      <c r="Z7416" s="259" t="s">
        <v>692</v>
      </c>
      <c r="AZ7416" t="s">
        <v>1125</v>
      </c>
      <c r="BA7416">
        <v>195.34</v>
      </c>
      <c r="BB7416" t="s">
        <v>564</v>
      </c>
      <c r="BC7416" t="s">
        <v>793</v>
      </c>
      <c r="BD7416">
        <v>0</v>
      </c>
      <c r="BE7416">
        <v>46302</v>
      </c>
      <c r="BF7416" t="s">
        <v>588</v>
      </c>
    </row>
    <row r="7417" spans="3:58" x14ac:dyDescent="0.35">
      <c r="C7417">
        <v>45756</v>
      </c>
      <c r="F7417" t="s">
        <v>752</v>
      </c>
      <c r="Y7417">
        <v>334</v>
      </c>
      <c r="Z7417" s="259" t="s">
        <v>692</v>
      </c>
      <c r="AZ7417" t="s">
        <v>1126</v>
      </c>
      <c r="BA7417">
        <v>194.97</v>
      </c>
      <c r="BB7417" t="s">
        <v>564</v>
      </c>
      <c r="BC7417" t="s">
        <v>793</v>
      </c>
      <c r="BD7417">
        <v>0</v>
      </c>
      <c r="BE7417">
        <v>46302</v>
      </c>
      <c r="BF7417" t="s">
        <v>588</v>
      </c>
    </row>
    <row r="7418" spans="3:58" x14ac:dyDescent="0.35">
      <c r="C7418">
        <v>45757</v>
      </c>
      <c r="F7418" t="s">
        <v>752</v>
      </c>
      <c r="Y7418">
        <v>335</v>
      </c>
      <c r="Z7418" s="259" t="s">
        <v>692</v>
      </c>
      <c r="AZ7418" t="s">
        <v>1127</v>
      </c>
      <c r="BA7418">
        <v>194.59</v>
      </c>
      <c r="BB7418" t="s">
        <v>564</v>
      </c>
      <c r="BC7418" t="s">
        <v>793</v>
      </c>
      <c r="BD7418">
        <v>0</v>
      </c>
      <c r="BE7418">
        <v>46302</v>
      </c>
      <c r="BF7418" t="s">
        <v>588</v>
      </c>
    </row>
    <row r="7419" spans="3:58" x14ac:dyDescent="0.35">
      <c r="C7419">
        <v>45758</v>
      </c>
      <c r="F7419" t="s">
        <v>752</v>
      </c>
      <c r="Y7419">
        <v>336</v>
      </c>
      <c r="Z7419" s="259" t="s">
        <v>692</v>
      </c>
      <c r="AZ7419" t="s">
        <v>1128</v>
      </c>
      <c r="BA7419">
        <v>194.21</v>
      </c>
      <c r="BB7419" t="s">
        <v>564</v>
      </c>
      <c r="BC7419" t="s">
        <v>793</v>
      </c>
      <c r="BD7419">
        <v>0</v>
      </c>
      <c r="BE7419">
        <v>46302</v>
      </c>
      <c r="BF7419" t="s">
        <v>588</v>
      </c>
    </row>
    <row r="7420" spans="3:58" x14ac:dyDescent="0.35">
      <c r="C7420">
        <v>45761</v>
      </c>
      <c r="F7420" t="s">
        <v>752</v>
      </c>
      <c r="Y7420">
        <v>337</v>
      </c>
      <c r="Z7420" s="259" t="s">
        <v>692</v>
      </c>
      <c r="AZ7420" t="s">
        <v>1129</v>
      </c>
      <c r="BA7420">
        <v>193.07</v>
      </c>
      <c r="BB7420" t="s">
        <v>564</v>
      </c>
      <c r="BC7420" t="s">
        <v>793</v>
      </c>
      <c r="BD7420">
        <v>0</v>
      </c>
      <c r="BE7420">
        <v>46302</v>
      </c>
      <c r="BF7420" t="s">
        <v>588</v>
      </c>
    </row>
    <row r="7421" spans="3:58" x14ac:dyDescent="0.35">
      <c r="C7421">
        <v>45762</v>
      </c>
      <c r="F7421" t="s">
        <v>752</v>
      </c>
      <c r="Y7421">
        <v>338</v>
      </c>
      <c r="Z7421" s="259" t="s">
        <v>692</v>
      </c>
      <c r="AZ7421" t="s">
        <v>1130</v>
      </c>
      <c r="BA7421">
        <v>192.69</v>
      </c>
      <c r="BB7421" t="s">
        <v>564</v>
      </c>
      <c r="BC7421" t="s">
        <v>793</v>
      </c>
      <c r="BD7421">
        <v>0</v>
      </c>
      <c r="BE7421">
        <v>46302</v>
      </c>
      <c r="BF7421" t="s">
        <v>588</v>
      </c>
    </row>
    <row r="7422" spans="3:58" x14ac:dyDescent="0.35">
      <c r="C7422">
        <v>45763</v>
      </c>
      <c r="F7422" t="s">
        <v>752</v>
      </c>
      <c r="Y7422">
        <v>339</v>
      </c>
      <c r="Z7422" s="259" t="s">
        <v>692</v>
      </c>
      <c r="AZ7422" t="s">
        <v>1131</v>
      </c>
      <c r="BA7422">
        <v>192.31</v>
      </c>
      <c r="BB7422" t="s">
        <v>564</v>
      </c>
      <c r="BC7422" t="s">
        <v>793</v>
      </c>
      <c r="BD7422">
        <v>0</v>
      </c>
      <c r="BE7422">
        <v>46302</v>
      </c>
      <c r="BF7422" t="s">
        <v>588</v>
      </c>
    </row>
    <row r="7423" spans="3:58" x14ac:dyDescent="0.35">
      <c r="C7423">
        <v>45764</v>
      </c>
      <c r="F7423" t="s">
        <v>752</v>
      </c>
      <c r="Y7423">
        <v>340</v>
      </c>
      <c r="Z7423" s="259" t="s">
        <v>692</v>
      </c>
      <c r="AZ7423" t="s">
        <v>1132</v>
      </c>
      <c r="BA7423">
        <v>191.93</v>
      </c>
      <c r="BB7423" t="s">
        <v>564</v>
      </c>
      <c r="BC7423" t="s">
        <v>793</v>
      </c>
      <c r="BD7423">
        <v>0</v>
      </c>
      <c r="BE7423">
        <v>46302</v>
      </c>
      <c r="BF7423" t="s">
        <v>588</v>
      </c>
    </row>
    <row r="7424" spans="3:58" x14ac:dyDescent="0.35">
      <c r="C7424">
        <v>45765</v>
      </c>
      <c r="F7424" t="s">
        <v>752</v>
      </c>
      <c r="Y7424">
        <v>341</v>
      </c>
      <c r="Z7424" s="259" t="s">
        <v>692</v>
      </c>
      <c r="AZ7424" t="s">
        <v>1133</v>
      </c>
      <c r="BA7424">
        <v>191.55</v>
      </c>
      <c r="BB7424" t="s">
        <v>564</v>
      </c>
      <c r="BC7424" t="s">
        <v>793</v>
      </c>
      <c r="BD7424">
        <v>0</v>
      </c>
      <c r="BE7424">
        <v>46302</v>
      </c>
      <c r="BF7424" t="s">
        <v>588</v>
      </c>
    </row>
    <row r="7425" spans="3:58" x14ac:dyDescent="0.35">
      <c r="C7425">
        <v>45768</v>
      </c>
      <c r="F7425" t="s">
        <v>752</v>
      </c>
      <c r="Y7425">
        <v>342</v>
      </c>
      <c r="Z7425" s="259" t="s">
        <v>692</v>
      </c>
      <c r="AZ7425" t="s">
        <v>1134</v>
      </c>
      <c r="BA7425">
        <v>190.41</v>
      </c>
      <c r="BB7425" t="s">
        <v>564</v>
      </c>
      <c r="BC7425" t="s">
        <v>793</v>
      </c>
      <c r="BD7425">
        <v>0</v>
      </c>
      <c r="BE7425">
        <v>46302</v>
      </c>
      <c r="BF7425" t="s">
        <v>588</v>
      </c>
    </row>
    <row r="7426" spans="3:58" x14ac:dyDescent="0.35">
      <c r="C7426">
        <v>45769</v>
      </c>
      <c r="F7426" t="s">
        <v>752</v>
      </c>
      <c r="Y7426">
        <v>343</v>
      </c>
      <c r="Z7426" s="259" t="s">
        <v>692</v>
      </c>
      <c r="AZ7426" t="s">
        <v>1135</v>
      </c>
      <c r="BA7426">
        <v>190.03</v>
      </c>
      <c r="BB7426" t="s">
        <v>564</v>
      </c>
      <c r="BC7426" t="s">
        <v>793</v>
      </c>
      <c r="BD7426">
        <v>0</v>
      </c>
      <c r="BE7426">
        <v>46302</v>
      </c>
      <c r="BF7426" t="s">
        <v>588</v>
      </c>
    </row>
    <row r="7427" spans="3:58" x14ac:dyDescent="0.35">
      <c r="C7427">
        <v>45770</v>
      </c>
      <c r="F7427" t="s">
        <v>752</v>
      </c>
      <c r="Y7427">
        <v>344</v>
      </c>
      <c r="Z7427" s="259" t="s">
        <v>692</v>
      </c>
      <c r="AZ7427" t="s">
        <v>1136</v>
      </c>
      <c r="BA7427">
        <v>189.66</v>
      </c>
      <c r="BB7427" t="s">
        <v>564</v>
      </c>
      <c r="BC7427" t="s">
        <v>793</v>
      </c>
      <c r="BD7427">
        <v>0</v>
      </c>
      <c r="BE7427">
        <v>46302</v>
      </c>
      <c r="BF7427" t="s">
        <v>588</v>
      </c>
    </row>
    <row r="7428" spans="3:58" x14ac:dyDescent="0.35">
      <c r="C7428">
        <v>45771</v>
      </c>
      <c r="F7428" t="s">
        <v>752</v>
      </c>
      <c r="Y7428">
        <v>345</v>
      </c>
      <c r="Z7428" s="259" t="s">
        <v>692</v>
      </c>
      <c r="AZ7428" t="s">
        <v>1137</v>
      </c>
      <c r="BA7428">
        <v>189.28</v>
      </c>
      <c r="BB7428" t="s">
        <v>564</v>
      </c>
      <c r="BC7428" t="s">
        <v>793</v>
      </c>
      <c r="BD7428">
        <v>0</v>
      </c>
      <c r="BE7428">
        <v>46302</v>
      </c>
      <c r="BF7428" t="s">
        <v>588</v>
      </c>
    </row>
    <row r="7429" spans="3:58" x14ac:dyDescent="0.35">
      <c r="C7429">
        <v>45772</v>
      </c>
      <c r="F7429" t="s">
        <v>752</v>
      </c>
      <c r="Y7429">
        <v>346</v>
      </c>
      <c r="Z7429" s="259" t="s">
        <v>692</v>
      </c>
      <c r="AZ7429" t="s">
        <v>1138</v>
      </c>
      <c r="BA7429">
        <v>188.9</v>
      </c>
      <c r="BB7429" t="s">
        <v>564</v>
      </c>
      <c r="BC7429" t="s">
        <v>793</v>
      </c>
      <c r="BD7429">
        <v>0</v>
      </c>
      <c r="BE7429">
        <v>46302</v>
      </c>
      <c r="BF7429" t="s">
        <v>588</v>
      </c>
    </row>
    <row r="7430" spans="3:58" x14ac:dyDescent="0.35">
      <c r="C7430">
        <v>45775</v>
      </c>
      <c r="F7430" t="s">
        <v>752</v>
      </c>
      <c r="Y7430">
        <v>347</v>
      </c>
      <c r="Z7430" s="259" t="s">
        <v>692</v>
      </c>
      <c r="AZ7430" t="s">
        <v>1139</v>
      </c>
      <c r="BA7430">
        <v>187.76</v>
      </c>
      <c r="BB7430" t="s">
        <v>564</v>
      </c>
      <c r="BC7430" t="s">
        <v>793</v>
      </c>
      <c r="BD7430">
        <v>0</v>
      </c>
      <c r="BE7430">
        <v>46302</v>
      </c>
      <c r="BF7430" t="s">
        <v>588</v>
      </c>
    </row>
    <row r="7431" spans="3:58" x14ac:dyDescent="0.35">
      <c r="C7431">
        <v>45776</v>
      </c>
      <c r="F7431" t="s">
        <v>752</v>
      </c>
      <c r="Y7431">
        <v>348</v>
      </c>
      <c r="Z7431" s="259" t="s">
        <v>692</v>
      </c>
      <c r="AZ7431" t="s">
        <v>1140</v>
      </c>
      <c r="BA7431">
        <v>187.38</v>
      </c>
      <c r="BB7431" t="s">
        <v>564</v>
      </c>
      <c r="BC7431" t="s">
        <v>793</v>
      </c>
      <c r="BD7431">
        <v>0</v>
      </c>
      <c r="BE7431">
        <v>46302</v>
      </c>
      <c r="BF7431" t="s">
        <v>588</v>
      </c>
    </row>
    <row r="7432" spans="3:58" x14ac:dyDescent="0.35">
      <c r="C7432">
        <v>45777</v>
      </c>
      <c r="F7432" t="s">
        <v>752</v>
      </c>
      <c r="Y7432">
        <v>349</v>
      </c>
      <c r="Z7432" s="259" t="s">
        <v>692</v>
      </c>
      <c r="AZ7432" t="s">
        <v>1141</v>
      </c>
      <c r="BA7432">
        <v>187</v>
      </c>
      <c r="BB7432" t="s">
        <v>564</v>
      </c>
      <c r="BC7432" t="s">
        <v>793</v>
      </c>
      <c r="BD7432">
        <v>0</v>
      </c>
      <c r="BE7432">
        <v>46302</v>
      </c>
      <c r="BF7432" t="s">
        <v>588</v>
      </c>
    </row>
    <row r="7433" spans="3:58" x14ac:dyDescent="0.35">
      <c r="C7433">
        <v>45778</v>
      </c>
      <c r="F7433" t="s">
        <v>752</v>
      </c>
      <c r="Y7433">
        <v>350</v>
      </c>
      <c r="Z7433" s="259" t="s">
        <v>692</v>
      </c>
      <c r="AZ7433" t="s">
        <v>1142</v>
      </c>
      <c r="BA7433">
        <v>187</v>
      </c>
      <c r="BB7433" t="s">
        <v>564</v>
      </c>
      <c r="BC7433" t="s">
        <v>793</v>
      </c>
      <c r="BD7433">
        <v>0</v>
      </c>
      <c r="BE7433">
        <v>46302</v>
      </c>
      <c r="BF7433" t="s">
        <v>588</v>
      </c>
    </row>
    <row r="7434" spans="3:58" x14ac:dyDescent="0.35">
      <c r="C7434">
        <v>45779</v>
      </c>
      <c r="F7434" t="s">
        <v>752</v>
      </c>
      <c r="Y7434">
        <v>351</v>
      </c>
      <c r="Z7434" s="259" t="s">
        <v>692</v>
      </c>
      <c r="AZ7434" t="s">
        <v>1143</v>
      </c>
      <c r="BA7434">
        <v>187.2</v>
      </c>
      <c r="BB7434" t="s">
        <v>564</v>
      </c>
      <c r="BC7434" t="s">
        <v>793</v>
      </c>
      <c r="BD7434">
        <v>0</v>
      </c>
      <c r="BE7434">
        <v>46302</v>
      </c>
      <c r="BF7434" t="s">
        <v>588</v>
      </c>
    </row>
    <row r="7435" spans="3:58" x14ac:dyDescent="0.35">
      <c r="C7435">
        <v>45782</v>
      </c>
      <c r="F7435" t="s">
        <v>752</v>
      </c>
      <c r="Y7435">
        <v>352</v>
      </c>
      <c r="Z7435" s="259" t="s">
        <v>692</v>
      </c>
      <c r="AZ7435" t="s">
        <v>1144</v>
      </c>
      <c r="BA7435">
        <v>187.8</v>
      </c>
      <c r="BB7435" t="s">
        <v>564</v>
      </c>
      <c r="BC7435" t="s">
        <v>793</v>
      </c>
      <c r="BD7435">
        <v>0</v>
      </c>
      <c r="BE7435">
        <v>46302</v>
      </c>
      <c r="BF7435" t="s">
        <v>588</v>
      </c>
    </row>
    <row r="7436" spans="3:58" x14ac:dyDescent="0.35">
      <c r="C7436">
        <v>45783</v>
      </c>
      <c r="F7436" t="s">
        <v>752</v>
      </c>
      <c r="Y7436">
        <v>353</v>
      </c>
      <c r="Z7436" s="259" t="s">
        <v>692</v>
      </c>
      <c r="AZ7436" t="s">
        <v>1145</v>
      </c>
      <c r="BA7436">
        <v>188</v>
      </c>
      <c r="BB7436" t="s">
        <v>564</v>
      </c>
      <c r="BC7436" t="s">
        <v>793</v>
      </c>
      <c r="BD7436">
        <v>0</v>
      </c>
      <c r="BE7436">
        <v>46302</v>
      </c>
      <c r="BF7436" t="s">
        <v>588</v>
      </c>
    </row>
    <row r="7437" spans="3:58" x14ac:dyDescent="0.35">
      <c r="C7437">
        <v>45784</v>
      </c>
      <c r="F7437" t="s">
        <v>752</v>
      </c>
      <c r="Y7437">
        <v>354</v>
      </c>
      <c r="Z7437" s="259" t="s">
        <v>692</v>
      </c>
      <c r="AZ7437" t="s">
        <v>1146</v>
      </c>
      <c r="BA7437">
        <v>188.2</v>
      </c>
      <c r="BB7437" t="s">
        <v>564</v>
      </c>
      <c r="BC7437" t="s">
        <v>793</v>
      </c>
      <c r="BD7437">
        <v>0</v>
      </c>
      <c r="BE7437">
        <v>46302</v>
      </c>
      <c r="BF7437" t="s">
        <v>588</v>
      </c>
    </row>
    <row r="7438" spans="3:58" x14ac:dyDescent="0.35">
      <c r="C7438">
        <v>45785</v>
      </c>
      <c r="F7438" t="s">
        <v>752</v>
      </c>
      <c r="Y7438">
        <v>355</v>
      </c>
      <c r="Z7438" s="259" t="s">
        <v>692</v>
      </c>
      <c r="AZ7438" t="s">
        <v>1147</v>
      </c>
      <c r="BA7438">
        <v>188.4</v>
      </c>
      <c r="BB7438" t="s">
        <v>564</v>
      </c>
      <c r="BC7438" t="s">
        <v>793</v>
      </c>
      <c r="BD7438">
        <v>0</v>
      </c>
      <c r="BE7438">
        <v>46302</v>
      </c>
      <c r="BF7438" t="s">
        <v>588</v>
      </c>
    </row>
    <row r="7439" spans="3:58" x14ac:dyDescent="0.35">
      <c r="C7439">
        <v>45786</v>
      </c>
      <c r="F7439" t="s">
        <v>752</v>
      </c>
      <c r="Y7439">
        <v>356</v>
      </c>
      <c r="Z7439" s="259" t="s">
        <v>692</v>
      </c>
      <c r="AZ7439" t="s">
        <v>1148</v>
      </c>
      <c r="BA7439">
        <v>188.6</v>
      </c>
      <c r="BB7439" t="s">
        <v>564</v>
      </c>
      <c r="BC7439" t="s">
        <v>793</v>
      </c>
      <c r="BD7439">
        <v>0</v>
      </c>
      <c r="BE7439">
        <v>46302</v>
      </c>
      <c r="BF7439" t="s">
        <v>588</v>
      </c>
    </row>
    <row r="7440" spans="3:58" x14ac:dyDescent="0.35">
      <c r="C7440">
        <v>45789</v>
      </c>
      <c r="F7440" t="s">
        <v>752</v>
      </c>
      <c r="Y7440">
        <v>357</v>
      </c>
      <c r="Z7440" s="259" t="s">
        <v>692</v>
      </c>
      <c r="AZ7440" t="s">
        <v>1149</v>
      </c>
      <c r="BA7440">
        <v>189.2</v>
      </c>
      <c r="BB7440" t="s">
        <v>564</v>
      </c>
      <c r="BC7440" t="s">
        <v>793</v>
      </c>
      <c r="BD7440">
        <v>0</v>
      </c>
      <c r="BE7440">
        <v>46302</v>
      </c>
      <c r="BF7440" t="s">
        <v>588</v>
      </c>
    </row>
    <row r="7441" spans="3:58" x14ac:dyDescent="0.35">
      <c r="C7441">
        <v>45790</v>
      </c>
      <c r="F7441" t="s">
        <v>752</v>
      </c>
      <c r="Y7441">
        <v>358</v>
      </c>
      <c r="Z7441" s="259" t="s">
        <v>692</v>
      </c>
      <c r="AZ7441" t="s">
        <v>1150</v>
      </c>
      <c r="BA7441">
        <v>189.4</v>
      </c>
      <c r="BB7441" t="s">
        <v>564</v>
      </c>
      <c r="BC7441" t="s">
        <v>793</v>
      </c>
      <c r="BD7441">
        <v>0</v>
      </c>
      <c r="BE7441">
        <v>46302</v>
      </c>
      <c r="BF7441" t="s">
        <v>588</v>
      </c>
    </row>
    <row r="7442" spans="3:58" x14ac:dyDescent="0.35">
      <c r="C7442">
        <v>45791</v>
      </c>
      <c r="F7442" t="s">
        <v>752</v>
      </c>
      <c r="Y7442">
        <v>359</v>
      </c>
      <c r="Z7442" s="259" t="s">
        <v>692</v>
      </c>
      <c r="AZ7442" t="s">
        <v>1151</v>
      </c>
      <c r="BA7442">
        <v>189.6</v>
      </c>
      <c r="BB7442" t="s">
        <v>564</v>
      </c>
      <c r="BC7442" t="s">
        <v>793</v>
      </c>
      <c r="BD7442">
        <v>0</v>
      </c>
      <c r="BE7442">
        <v>46302</v>
      </c>
      <c r="BF7442" t="s">
        <v>588</v>
      </c>
    </row>
    <row r="7443" spans="3:58" x14ac:dyDescent="0.35">
      <c r="C7443">
        <v>45792</v>
      </c>
      <c r="F7443" t="s">
        <v>752</v>
      </c>
      <c r="Y7443">
        <v>360</v>
      </c>
      <c r="Z7443" s="259" t="s">
        <v>692</v>
      </c>
      <c r="AZ7443" t="s">
        <v>1152</v>
      </c>
      <c r="BA7443">
        <v>189.8</v>
      </c>
      <c r="BB7443" t="s">
        <v>564</v>
      </c>
      <c r="BC7443" t="s">
        <v>793</v>
      </c>
      <c r="BD7443">
        <v>0</v>
      </c>
      <c r="BE7443">
        <v>46302</v>
      </c>
      <c r="BF7443" t="s">
        <v>588</v>
      </c>
    </row>
    <row r="7444" spans="3:58" x14ac:dyDescent="0.35">
      <c r="C7444">
        <v>45793</v>
      </c>
      <c r="F7444" t="s">
        <v>752</v>
      </c>
      <c r="Y7444">
        <v>361</v>
      </c>
      <c r="Z7444" s="259" t="s">
        <v>692</v>
      </c>
      <c r="AZ7444" t="s">
        <v>1153</v>
      </c>
      <c r="BA7444">
        <v>190</v>
      </c>
      <c r="BB7444" t="s">
        <v>564</v>
      </c>
      <c r="BC7444" t="s">
        <v>793</v>
      </c>
      <c r="BD7444">
        <v>0</v>
      </c>
      <c r="BE7444">
        <v>46302</v>
      </c>
      <c r="BF7444" t="s">
        <v>588</v>
      </c>
    </row>
    <row r="7445" spans="3:58" x14ac:dyDescent="0.35">
      <c r="C7445">
        <v>45796</v>
      </c>
      <c r="F7445" t="s">
        <v>752</v>
      </c>
      <c r="Y7445">
        <v>362</v>
      </c>
      <c r="Z7445" s="259" t="s">
        <v>692</v>
      </c>
      <c r="AZ7445" t="s">
        <v>1154</v>
      </c>
      <c r="BA7445">
        <v>190.6</v>
      </c>
      <c r="BB7445" t="s">
        <v>564</v>
      </c>
      <c r="BC7445" t="s">
        <v>793</v>
      </c>
      <c r="BD7445">
        <v>0</v>
      </c>
      <c r="BE7445">
        <v>46302</v>
      </c>
      <c r="BF7445" t="s">
        <v>588</v>
      </c>
    </row>
    <row r="7446" spans="3:58" x14ac:dyDescent="0.35">
      <c r="C7446">
        <v>45797</v>
      </c>
      <c r="F7446" t="s">
        <v>752</v>
      </c>
      <c r="Y7446">
        <v>363</v>
      </c>
      <c r="Z7446" s="259" t="s">
        <v>692</v>
      </c>
      <c r="AZ7446" t="s">
        <v>1155</v>
      </c>
      <c r="BA7446">
        <v>190.8</v>
      </c>
      <c r="BB7446" t="s">
        <v>564</v>
      </c>
      <c r="BC7446" t="s">
        <v>793</v>
      </c>
      <c r="BD7446">
        <v>0</v>
      </c>
      <c r="BE7446">
        <v>46302</v>
      </c>
      <c r="BF7446" t="s">
        <v>588</v>
      </c>
    </row>
    <row r="7447" spans="3:58" x14ac:dyDescent="0.35">
      <c r="C7447">
        <v>45798</v>
      </c>
      <c r="F7447" t="s">
        <v>752</v>
      </c>
      <c r="Y7447">
        <v>364</v>
      </c>
      <c r="Z7447" s="259" t="s">
        <v>692</v>
      </c>
      <c r="AZ7447" t="s">
        <v>1156</v>
      </c>
      <c r="BA7447">
        <v>191</v>
      </c>
      <c r="BB7447" t="s">
        <v>564</v>
      </c>
      <c r="BC7447" t="s">
        <v>793</v>
      </c>
      <c r="BD7447">
        <v>0</v>
      </c>
      <c r="BE7447">
        <v>46302</v>
      </c>
      <c r="BF7447" t="s">
        <v>588</v>
      </c>
    </row>
    <row r="7448" spans="3:58" x14ac:dyDescent="0.35">
      <c r="C7448">
        <v>45799</v>
      </c>
      <c r="F7448" t="s">
        <v>752</v>
      </c>
      <c r="Y7448">
        <v>365</v>
      </c>
      <c r="Z7448" s="259" t="s">
        <v>692</v>
      </c>
      <c r="AZ7448" t="s">
        <v>1157</v>
      </c>
      <c r="BA7448">
        <v>191.2</v>
      </c>
      <c r="BB7448" t="s">
        <v>564</v>
      </c>
      <c r="BC7448" t="s">
        <v>793</v>
      </c>
      <c r="BD7448">
        <v>0</v>
      </c>
      <c r="BE7448">
        <v>46302</v>
      </c>
      <c r="BF7448" t="s">
        <v>588</v>
      </c>
    </row>
    <row r="7449" spans="3:58" x14ac:dyDescent="0.35">
      <c r="C7449">
        <v>45800</v>
      </c>
      <c r="F7449" t="s">
        <v>752</v>
      </c>
      <c r="Y7449">
        <v>366</v>
      </c>
      <c r="Z7449" s="259" t="s">
        <v>692</v>
      </c>
      <c r="AZ7449" t="s">
        <v>1158</v>
      </c>
      <c r="BA7449">
        <v>191.4</v>
      </c>
      <c r="BB7449" t="s">
        <v>564</v>
      </c>
      <c r="BC7449" t="s">
        <v>793</v>
      </c>
      <c r="BD7449">
        <v>0</v>
      </c>
      <c r="BE7449">
        <v>46302</v>
      </c>
      <c r="BF7449" t="s">
        <v>588</v>
      </c>
    </row>
    <row r="7450" spans="3:58" x14ac:dyDescent="0.35">
      <c r="C7450">
        <v>45803</v>
      </c>
      <c r="F7450" t="s">
        <v>752</v>
      </c>
      <c r="Y7450">
        <v>367</v>
      </c>
      <c r="Z7450" s="259" t="s">
        <v>692</v>
      </c>
      <c r="AZ7450" t="s">
        <v>1159</v>
      </c>
      <c r="BA7450">
        <v>192</v>
      </c>
      <c r="BB7450" t="s">
        <v>564</v>
      </c>
      <c r="BC7450" t="s">
        <v>793</v>
      </c>
      <c r="BD7450">
        <v>0</v>
      </c>
      <c r="BE7450">
        <v>46302</v>
      </c>
      <c r="BF7450" t="s">
        <v>588</v>
      </c>
    </row>
    <row r="7451" spans="3:58" x14ac:dyDescent="0.35">
      <c r="C7451">
        <v>45804</v>
      </c>
      <c r="F7451" t="s">
        <v>752</v>
      </c>
      <c r="Y7451">
        <v>368</v>
      </c>
      <c r="Z7451" s="259" t="s">
        <v>692</v>
      </c>
      <c r="AZ7451" t="s">
        <v>1160</v>
      </c>
      <c r="BA7451">
        <v>192.2</v>
      </c>
      <c r="BB7451" t="s">
        <v>564</v>
      </c>
      <c r="BC7451" t="s">
        <v>793</v>
      </c>
      <c r="BD7451">
        <v>0</v>
      </c>
      <c r="BE7451">
        <v>46302</v>
      </c>
      <c r="BF7451" t="s">
        <v>588</v>
      </c>
    </row>
    <row r="7452" spans="3:58" x14ac:dyDescent="0.35">
      <c r="C7452">
        <v>45805</v>
      </c>
      <c r="F7452" t="s">
        <v>752</v>
      </c>
      <c r="Y7452">
        <v>369</v>
      </c>
      <c r="Z7452" s="259" t="s">
        <v>692</v>
      </c>
      <c r="AZ7452" t="s">
        <v>1161</v>
      </c>
      <c r="BA7452">
        <v>192.4</v>
      </c>
      <c r="BB7452" t="s">
        <v>564</v>
      </c>
      <c r="BC7452" t="s">
        <v>793</v>
      </c>
      <c r="BD7452">
        <v>0</v>
      </c>
      <c r="BE7452">
        <v>46302</v>
      </c>
      <c r="BF7452" t="s">
        <v>588</v>
      </c>
    </row>
    <row r="7453" spans="3:58" x14ac:dyDescent="0.35">
      <c r="C7453">
        <v>45806</v>
      </c>
      <c r="F7453" t="s">
        <v>752</v>
      </c>
      <c r="Y7453">
        <v>370</v>
      </c>
      <c r="Z7453" s="259" t="s">
        <v>692</v>
      </c>
      <c r="AZ7453" t="s">
        <v>1162</v>
      </c>
      <c r="BA7453">
        <v>192.6</v>
      </c>
      <c r="BB7453" t="s">
        <v>564</v>
      </c>
      <c r="BC7453" t="s">
        <v>793</v>
      </c>
      <c r="BD7453">
        <v>0</v>
      </c>
      <c r="BE7453">
        <v>46302</v>
      </c>
      <c r="BF7453" t="s">
        <v>588</v>
      </c>
    </row>
    <row r="7454" spans="3:58" x14ac:dyDescent="0.35">
      <c r="C7454">
        <v>45807</v>
      </c>
      <c r="F7454" t="s">
        <v>752</v>
      </c>
      <c r="Y7454">
        <v>371</v>
      </c>
      <c r="Z7454" s="259" t="s">
        <v>692</v>
      </c>
      <c r="AZ7454" t="s">
        <v>1163</v>
      </c>
      <c r="BA7454">
        <v>192.8</v>
      </c>
      <c r="BB7454" t="s">
        <v>564</v>
      </c>
      <c r="BC7454" t="s">
        <v>793</v>
      </c>
      <c r="BD7454">
        <v>0</v>
      </c>
      <c r="BE7454">
        <v>46302</v>
      </c>
      <c r="BF7454" t="s">
        <v>588</v>
      </c>
    </row>
    <row r="7455" spans="3:58" x14ac:dyDescent="0.35">
      <c r="C7455">
        <v>45810</v>
      </c>
      <c r="F7455" t="s">
        <v>752</v>
      </c>
      <c r="Y7455">
        <v>372</v>
      </c>
      <c r="Z7455" s="259" t="s">
        <v>692</v>
      </c>
      <c r="AZ7455" t="s">
        <v>1164</v>
      </c>
      <c r="BA7455">
        <v>192.62</v>
      </c>
      <c r="BB7455" t="s">
        <v>564</v>
      </c>
      <c r="BC7455" t="s">
        <v>793</v>
      </c>
      <c r="BD7455">
        <v>0</v>
      </c>
      <c r="BE7455">
        <v>46302</v>
      </c>
      <c r="BF7455" t="s">
        <v>588</v>
      </c>
    </row>
    <row r="7456" spans="3:58" x14ac:dyDescent="0.35">
      <c r="C7456">
        <v>45811</v>
      </c>
      <c r="F7456" t="s">
        <v>752</v>
      </c>
      <c r="Y7456">
        <v>373</v>
      </c>
      <c r="Z7456" s="259" t="s">
        <v>692</v>
      </c>
      <c r="AZ7456" t="s">
        <v>1165</v>
      </c>
      <c r="BA7456">
        <v>192.24</v>
      </c>
      <c r="BB7456" t="s">
        <v>564</v>
      </c>
      <c r="BC7456" t="s">
        <v>793</v>
      </c>
      <c r="BD7456">
        <v>0</v>
      </c>
      <c r="BE7456">
        <v>46302</v>
      </c>
      <c r="BF7456" t="s">
        <v>588</v>
      </c>
    </row>
    <row r="7457" spans="3:58" x14ac:dyDescent="0.35">
      <c r="C7457">
        <v>45812</v>
      </c>
      <c r="F7457" t="s">
        <v>752</v>
      </c>
      <c r="Y7457">
        <v>374</v>
      </c>
      <c r="Z7457" s="259" t="s">
        <v>692</v>
      </c>
      <c r="AZ7457" t="s">
        <v>1166</v>
      </c>
      <c r="BA7457">
        <v>191.86</v>
      </c>
      <c r="BB7457" t="s">
        <v>564</v>
      </c>
      <c r="BC7457" t="s">
        <v>793</v>
      </c>
      <c r="BD7457">
        <v>0</v>
      </c>
      <c r="BE7457">
        <v>46302</v>
      </c>
      <c r="BF7457" t="s">
        <v>588</v>
      </c>
    </row>
    <row r="7458" spans="3:58" x14ac:dyDescent="0.35">
      <c r="C7458">
        <v>45813</v>
      </c>
      <c r="F7458" t="s">
        <v>752</v>
      </c>
      <c r="Y7458">
        <v>375</v>
      </c>
      <c r="Z7458" s="259" t="s">
        <v>692</v>
      </c>
      <c r="AZ7458" t="s">
        <v>1167</v>
      </c>
      <c r="BA7458">
        <v>191.48</v>
      </c>
      <c r="BB7458" t="s">
        <v>564</v>
      </c>
      <c r="BC7458" t="s">
        <v>793</v>
      </c>
      <c r="BD7458">
        <v>0</v>
      </c>
      <c r="BE7458">
        <v>46302</v>
      </c>
      <c r="BF7458" t="s">
        <v>588</v>
      </c>
    </row>
    <row r="7459" spans="3:58" x14ac:dyDescent="0.35">
      <c r="C7459">
        <v>45814</v>
      </c>
      <c r="F7459" t="s">
        <v>752</v>
      </c>
      <c r="Y7459">
        <v>376</v>
      </c>
      <c r="Z7459" s="259" t="s">
        <v>692</v>
      </c>
      <c r="AZ7459" t="s">
        <v>1168</v>
      </c>
      <c r="BA7459">
        <v>191.1</v>
      </c>
      <c r="BB7459" t="s">
        <v>564</v>
      </c>
      <c r="BC7459" t="s">
        <v>793</v>
      </c>
      <c r="BD7459">
        <v>0</v>
      </c>
      <c r="BE7459">
        <v>46302</v>
      </c>
      <c r="BF7459" t="s">
        <v>588</v>
      </c>
    </row>
    <row r="7460" spans="3:58" x14ac:dyDescent="0.35">
      <c r="C7460">
        <v>45817</v>
      </c>
      <c r="F7460" t="s">
        <v>752</v>
      </c>
      <c r="Y7460">
        <v>377</v>
      </c>
      <c r="Z7460" s="259" t="s">
        <v>692</v>
      </c>
      <c r="AZ7460" t="s">
        <v>1169</v>
      </c>
      <c r="BA7460">
        <v>189.97</v>
      </c>
      <c r="BB7460" t="s">
        <v>564</v>
      </c>
      <c r="BC7460" t="s">
        <v>793</v>
      </c>
      <c r="BD7460">
        <v>0</v>
      </c>
      <c r="BE7460">
        <v>46302</v>
      </c>
      <c r="BF7460" t="s">
        <v>588</v>
      </c>
    </row>
    <row r="7461" spans="3:58" x14ac:dyDescent="0.35">
      <c r="C7461">
        <v>45818</v>
      </c>
      <c r="F7461" t="s">
        <v>752</v>
      </c>
      <c r="Y7461">
        <v>378</v>
      </c>
      <c r="Z7461" s="259" t="s">
        <v>692</v>
      </c>
      <c r="AZ7461" t="s">
        <v>1170</v>
      </c>
      <c r="BA7461">
        <v>189.59</v>
      </c>
      <c r="BB7461" t="s">
        <v>564</v>
      </c>
      <c r="BC7461" t="s">
        <v>793</v>
      </c>
      <c r="BD7461">
        <v>0</v>
      </c>
      <c r="BE7461">
        <v>46302</v>
      </c>
      <c r="BF7461" t="s">
        <v>588</v>
      </c>
    </row>
    <row r="7462" spans="3:58" x14ac:dyDescent="0.35">
      <c r="C7462">
        <v>45819</v>
      </c>
      <c r="F7462" t="s">
        <v>752</v>
      </c>
      <c r="Y7462">
        <v>379</v>
      </c>
      <c r="Z7462" s="259" t="s">
        <v>692</v>
      </c>
      <c r="AZ7462" t="s">
        <v>1171</v>
      </c>
      <c r="BA7462">
        <v>189.21</v>
      </c>
      <c r="BB7462" t="s">
        <v>564</v>
      </c>
      <c r="BC7462" t="s">
        <v>793</v>
      </c>
      <c r="BD7462">
        <v>0</v>
      </c>
      <c r="BE7462">
        <v>46302</v>
      </c>
      <c r="BF7462" t="s">
        <v>588</v>
      </c>
    </row>
    <row r="7463" spans="3:58" x14ac:dyDescent="0.35">
      <c r="C7463">
        <v>45820</v>
      </c>
      <c r="F7463" t="s">
        <v>752</v>
      </c>
      <c r="Y7463">
        <v>380</v>
      </c>
      <c r="Z7463" s="259" t="s">
        <v>692</v>
      </c>
      <c r="AZ7463" t="s">
        <v>1172</v>
      </c>
      <c r="BA7463">
        <v>188.83</v>
      </c>
      <c r="BB7463" t="s">
        <v>564</v>
      </c>
      <c r="BC7463" t="s">
        <v>793</v>
      </c>
      <c r="BD7463">
        <v>0</v>
      </c>
      <c r="BE7463">
        <v>46302</v>
      </c>
      <c r="BF7463" t="s">
        <v>588</v>
      </c>
    </row>
    <row r="7464" spans="3:58" x14ac:dyDescent="0.35">
      <c r="C7464">
        <v>45821</v>
      </c>
      <c r="F7464" t="s">
        <v>752</v>
      </c>
      <c r="Y7464">
        <v>381</v>
      </c>
      <c r="Z7464" s="259" t="s">
        <v>692</v>
      </c>
      <c r="AZ7464" t="s">
        <v>1173</v>
      </c>
      <c r="BA7464">
        <v>188.45</v>
      </c>
      <c r="BB7464" t="s">
        <v>564</v>
      </c>
      <c r="BC7464" t="s">
        <v>793</v>
      </c>
      <c r="BD7464">
        <v>0</v>
      </c>
      <c r="BE7464">
        <v>46302</v>
      </c>
      <c r="BF7464" t="s">
        <v>588</v>
      </c>
    </row>
    <row r="7465" spans="3:58" x14ac:dyDescent="0.35">
      <c r="C7465">
        <v>45824</v>
      </c>
      <c r="F7465" t="s">
        <v>752</v>
      </c>
      <c r="Y7465">
        <v>382</v>
      </c>
      <c r="Z7465" s="259" t="s">
        <v>692</v>
      </c>
      <c r="AZ7465" t="s">
        <v>1174</v>
      </c>
      <c r="BA7465">
        <v>187.31</v>
      </c>
      <c r="BB7465" t="s">
        <v>564</v>
      </c>
      <c r="BC7465" t="s">
        <v>793</v>
      </c>
      <c r="BD7465">
        <v>0</v>
      </c>
      <c r="BE7465">
        <v>46302</v>
      </c>
      <c r="BF7465" t="s">
        <v>588</v>
      </c>
    </row>
    <row r="7466" spans="3:58" x14ac:dyDescent="0.35">
      <c r="C7466">
        <v>45825</v>
      </c>
      <c r="F7466" t="s">
        <v>752</v>
      </c>
      <c r="Y7466">
        <v>383</v>
      </c>
      <c r="Z7466" s="259" t="s">
        <v>692</v>
      </c>
      <c r="AZ7466" t="s">
        <v>1175</v>
      </c>
      <c r="BA7466">
        <v>186.93</v>
      </c>
      <c r="BB7466" t="s">
        <v>564</v>
      </c>
      <c r="BC7466" t="s">
        <v>793</v>
      </c>
      <c r="BD7466">
        <v>0</v>
      </c>
      <c r="BE7466">
        <v>46302</v>
      </c>
      <c r="BF7466" t="s">
        <v>588</v>
      </c>
    </row>
    <row r="7467" spans="3:58" x14ac:dyDescent="0.35">
      <c r="C7467">
        <v>45826</v>
      </c>
      <c r="F7467" t="s">
        <v>752</v>
      </c>
      <c r="Y7467">
        <v>384</v>
      </c>
      <c r="Z7467" s="259" t="s">
        <v>692</v>
      </c>
      <c r="AZ7467" t="s">
        <v>1176</v>
      </c>
      <c r="BA7467">
        <v>186.55</v>
      </c>
      <c r="BB7467" t="s">
        <v>564</v>
      </c>
      <c r="BC7467" t="s">
        <v>793</v>
      </c>
      <c r="BD7467">
        <v>0</v>
      </c>
      <c r="BE7467">
        <v>46302</v>
      </c>
      <c r="BF7467" t="s">
        <v>588</v>
      </c>
    </row>
    <row r="7468" spans="3:58" x14ac:dyDescent="0.35">
      <c r="C7468">
        <v>45827</v>
      </c>
      <c r="F7468" t="s">
        <v>752</v>
      </c>
      <c r="Y7468">
        <v>385</v>
      </c>
      <c r="Z7468" s="259" t="s">
        <v>692</v>
      </c>
      <c r="AZ7468" t="s">
        <v>1177</v>
      </c>
      <c r="BA7468">
        <v>186.17</v>
      </c>
      <c r="BB7468" t="s">
        <v>564</v>
      </c>
      <c r="BC7468" t="s">
        <v>793</v>
      </c>
      <c r="BD7468">
        <v>0</v>
      </c>
      <c r="BE7468">
        <v>46302</v>
      </c>
      <c r="BF7468" t="s">
        <v>588</v>
      </c>
    </row>
    <row r="7469" spans="3:58" x14ac:dyDescent="0.35">
      <c r="C7469">
        <v>45828</v>
      </c>
      <c r="F7469" t="s">
        <v>752</v>
      </c>
      <c r="Y7469">
        <v>386</v>
      </c>
      <c r="Z7469" s="259" t="s">
        <v>692</v>
      </c>
      <c r="AZ7469" t="s">
        <v>1178</v>
      </c>
      <c r="BA7469">
        <v>185.79</v>
      </c>
      <c r="BB7469" t="s">
        <v>564</v>
      </c>
      <c r="BC7469" t="s">
        <v>793</v>
      </c>
      <c r="BD7469">
        <v>0</v>
      </c>
      <c r="BE7469">
        <v>46302</v>
      </c>
      <c r="BF7469" t="s">
        <v>588</v>
      </c>
    </row>
    <row r="7470" spans="3:58" x14ac:dyDescent="0.35">
      <c r="C7470">
        <v>45831</v>
      </c>
      <c r="F7470" t="s">
        <v>752</v>
      </c>
      <c r="Y7470">
        <v>387</v>
      </c>
      <c r="Z7470" s="259" t="s">
        <v>692</v>
      </c>
      <c r="AZ7470" t="s">
        <v>1179</v>
      </c>
      <c r="BA7470">
        <v>184.66</v>
      </c>
      <c r="BB7470" t="s">
        <v>564</v>
      </c>
      <c r="BC7470" t="s">
        <v>793</v>
      </c>
      <c r="BD7470">
        <v>0</v>
      </c>
      <c r="BE7470">
        <v>46302</v>
      </c>
      <c r="BF7470" t="s">
        <v>588</v>
      </c>
    </row>
    <row r="7471" spans="3:58" x14ac:dyDescent="0.35">
      <c r="C7471">
        <v>45832</v>
      </c>
      <c r="F7471" t="s">
        <v>752</v>
      </c>
      <c r="Y7471">
        <v>388</v>
      </c>
      <c r="Z7471" s="259" t="s">
        <v>692</v>
      </c>
      <c r="AZ7471" t="s">
        <v>1180</v>
      </c>
      <c r="BA7471">
        <v>184.28</v>
      </c>
      <c r="BB7471" t="s">
        <v>564</v>
      </c>
      <c r="BC7471" t="s">
        <v>793</v>
      </c>
      <c r="BD7471">
        <v>0</v>
      </c>
      <c r="BE7471">
        <v>46302</v>
      </c>
      <c r="BF7471" t="s">
        <v>588</v>
      </c>
    </row>
    <row r="7472" spans="3:58" x14ac:dyDescent="0.35">
      <c r="C7472">
        <v>45833</v>
      </c>
      <c r="F7472" t="s">
        <v>752</v>
      </c>
      <c r="Y7472">
        <v>389</v>
      </c>
      <c r="Z7472" s="259" t="s">
        <v>692</v>
      </c>
      <c r="AZ7472" t="s">
        <v>1181</v>
      </c>
      <c r="BA7472">
        <v>183.9</v>
      </c>
      <c r="BB7472" t="s">
        <v>564</v>
      </c>
      <c r="BC7472" t="s">
        <v>793</v>
      </c>
      <c r="BD7472">
        <v>0</v>
      </c>
      <c r="BE7472">
        <v>46302</v>
      </c>
      <c r="BF7472" t="s">
        <v>588</v>
      </c>
    </row>
    <row r="7473" spans="3:58" x14ac:dyDescent="0.35">
      <c r="C7473">
        <v>45834</v>
      </c>
      <c r="F7473" t="s">
        <v>752</v>
      </c>
      <c r="Y7473">
        <v>390</v>
      </c>
      <c r="Z7473" s="259" t="s">
        <v>692</v>
      </c>
      <c r="AZ7473" t="s">
        <v>1182</v>
      </c>
      <c r="BA7473">
        <v>183.52</v>
      </c>
      <c r="BB7473" t="s">
        <v>564</v>
      </c>
      <c r="BC7473" t="s">
        <v>793</v>
      </c>
      <c r="BD7473">
        <v>0</v>
      </c>
      <c r="BE7473">
        <v>46302</v>
      </c>
      <c r="BF7473" t="s">
        <v>588</v>
      </c>
    </row>
    <row r="7474" spans="3:58" x14ac:dyDescent="0.35">
      <c r="C7474">
        <v>45835</v>
      </c>
      <c r="F7474" t="s">
        <v>752</v>
      </c>
      <c r="Y7474">
        <v>391</v>
      </c>
      <c r="Z7474" s="259" t="s">
        <v>692</v>
      </c>
      <c r="AZ7474" t="s">
        <v>1183</v>
      </c>
      <c r="BA7474">
        <v>183.14</v>
      </c>
      <c r="BB7474" t="s">
        <v>564</v>
      </c>
      <c r="BC7474" t="s">
        <v>793</v>
      </c>
      <c r="BD7474">
        <v>0</v>
      </c>
      <c r="BE7474">
        <v>46302</v>
      </c>
      <c r="BF7474" t="s">
        <v>588</v>
      </c>
    </row>
    <row r="7475" spans="3:58" x14ac:dyDescent="0.35">
      <c r="C7475">
        <v>45838</v>
      </c>
      <c r="F7475" t="s">
        <v>752</v>
      </c>
      <c r="Y7475">
        <v>392</v>
      </c>
      <c r="Z7475" s="259" t="s">
        <v>692</v>
      </c>
      <c r="AZ7475" t="s">
        <v>1184</v>
      </c>
      <c r="BA7475">
        <v>182</v>
      </c>
      <c r="BB7475" t="s">
        <v>564</v>
      </c>
      <c r="BC7475" t="s">
        <v>793</v>
      </c>
      <c r="BD7475">
        <v>0</v>
      </c>
      <c r="BE7475">
        <v>46302</v>
      </c>
      <c r="BF7475" t="s">
        <v>588</v>
      </c>
    </row>
    <row r="7476" spans="3:58" x14ac:dyDescent="0.35">
      <c r="C7476">
        <v>45839</v>
      </c>
      <c r="F7476" t="s">
        <v>752</v>
      </c>
      <c r="Y7476">
        <v>393</v>
      </c>
      <c r="Z7476" s="259" t="s">
        <v>692</v>
      </c>
      <c r="AZ7476" t="s">
        <v>1185</v>
      </c>
      <c r="BA7476">
        <v>182</v>
      </c>
      <c r="BB7476" t="s">
        <v>564</v>
      </c>
      <c r="BC7476" t="s">
        <v>793</v>
      </c>
      <c r="BD7476">
        <v>0</v>
      </c>
      <c r="BE7476">
        <v>46302</v>
      </c>
      <c r="BF7476" t="s">
        <v>588</v>
      </c>
    </row>
    <row r="7477" spans="3:58" x14ac:dyDescent="0.35">
      <c r="C7477">
        <v>45840</v>
      </c>
      <c r="F7477" t="s">
        <v>752</v>
      </c>
      <c r="Y7477">
        <v>394</v>
      </c>
      <c r="Z7477" s="259" t="s">
        <v>692</v>
      </c>
      <c r="AZ7477" t="s">
        <v>1186</v>
      </c>
      <c r="BA7477">
        <v>181.87</v>
      </c>
      <c r="BB7477" t="s">
        <v>564</v>
      </c>
      <c r="BC7477" t="s">
        <v>793</v>
      </c>
      <c r="BD7477">
        <v>0</v>
      </c>
      <c r="BE7477">
        <v>46302</v>
      </c>
      <c r="BF7477" t="s">
        <v>588</v>
      </c>
    </row>
    <row r="7478" spans="3:58" x14ac:dyDescent="0.35">
      <c r="C7478">
        <v>45841</v>
      </c>
      <c r="F7478" t="s">
        <v>752</v>
      </c>
      <c r="Y7478">
        <v>395</v>
      </c>
      <c r="Z7478" s="259" t="s">
        <v>692</v>
      </c>
      <c r="AZ7478" t="s">
        <v>1187</v>
      </c>
      <c r="BA7478">
        <v>181.73</v>
      </c>
      <c r="BB7478" t="s">
        <v>564</v>
      </c>
      <c r="BC7478" t="s">
        <v>793</v>
      </c>
      <c r="BD7478">
        <v>0</v>
      </c>
      <c r="BE7478">
        <v>46302</v>
      </c>
      <c r="BF7478" t="s">
        <v>588</v>
      </c>
    </row>
    <row r="7479" spans="3:58" x14ac:dyDescent="0.35">
      <c r="C7479">
        <v>45842</v>
      </c>
      <c r="F7479" t="s">
        <v>752</v>
      </c>
      <c r="Y7479">
        <v>396</v>
      </c>
      <c r="Z7479" s="259" t="s">
        <v>692</v>
      </c>
      <c r="AZ7479" t="s">
        <v>1188</v>
      </c>
      <c r="BA7479">
        <v>181.6</v>
      </c>
      <c r="BB7479" t="s">
        <v>564</v>
      </c>
      <c r="BC7479" t="s">
        <v>793</v>
      </c>
      <c r="BD7479">
        <v>0</v>
      </c>
      <c r="BE7479">
        <v>46302</v>
      </c>
      <c r="BF7479" t="s">
        <v>588</v>
      </c>
    </row>
    <row r="7480" spans="3:58" x14ac:dyDescent="0.35">
      <c r="C7480">
        <v>45845</v>
      </c>
      <c r="F7480" t="s">
        <v>752</v>
      </c>
      <c r="Y7480">
        <v>397</v>
      </c>
      <c r="Z7480" s="259" t="s">
        <v>692</v>
      </c>
      <c r="AZ7480" t="s">
        <v>1189</v>
      </c>
      <c r="BA7480">
        <v>181.2</v>
      </c>
      <c r="BB7480" t="s">
        <v>564</v>
      </c>
      <c r="BC7480" t="s">
        <v>793</v>
      </c>
      <c r="BD7480">
        <v>0</v>
      </c>
      <c r="BE7480">
        <v>46302</v>
      </c>
      <c r="BF7480" t="s">
        <v>588</v>
      </c>
    </row>
    <row r="7481" spans="3:58" x14ac:dyDescent="0.35">
      <c r="C7481">
        <v>45846</v>
      </c>
      <c r="F7481" t="s">
        <v>752</v>
      </c>
      <c r="Y7481">
        <v>398</v>
      </c>
      <c r="Z7481" s="259" t="s">
        <v>692</v>
      </c>
      <c r="AZ7481" t="s">
        <v>1190</v>
      </c>
      <c r="BA7481">
        <v>181.07</v>
      </c>
      <c r="BB7481" t="s">
        <v>564</v>
      </c>
      <c r="BC7481" t="s">
        <v>793</v>
      </c>
      <c r="BD7481">
        <v>0</v>
      </c>
      <c r="BE7481">
        <v>46302</v>
      </c>
      <c r="BF7481" t="s">
        <v>588</v>
      </c>
    </row>
    <row r="7482" spans="3:58" x14ac:dyDescent="0.35">
      <c r="C7482">
        <v>45847</v>
      </c>
      <c r="F7482" t="s">
        <v>752</v>
      </c>
      <c r="Y7482">
        <v>399</v>
      </c>
      <c r="Z7482" s="259" t="s">
        <v>692</v>
      </c>
      <c r="AZ7482" t="s">
        <v>1191</v>
      </c>
      <c r="BA7482">
        <v>180.93</v>
      </c>
      <c r="BB7482" t="s">
        <v>564</v>
      </c>
      <c r="BC7482" t="s">
        <v>793</v>
      </c>
      <c r="BD7482">
        <v>0</v>
      </c>
      <c r="BE7482">
        <v>46302</v>
      </c>
      <c r="BF7482" t="s">
        <v>588</v>
      </c>
    </row>
    <row r="7483" spans="3:58" x14ac:dyDescent="0.35">
      <c r="C7483">
        <v>45848</v>
      </c>
      <c r="F7483" t="s">
        <v>752</v>
      </c>
      <c r="Y7483">
        <v>400</v>
      </c>
      <c r="Z7483" s="259" t="s">
        <v>692</v>
      </c>
      <c r="AZ7483" t="s">
        <v>1192</v>
      </c>
      <c r="BA7483">
        <v>180.8</v>
      </c>
      <c r="BB7483" t="s">
        <v>564</v>
      </c>
      <c r="BC7483" t="s">
        <v>793</v>
      </c>
      <c r="BD7483">
        <v>0</v>
      </c>
      <c r="BE7483">
        <v>46302</v>
      </c>
      <c r="BF7483" t="s">
        <v>588</v>
      </c>
    </row>
    <row r="7484" spans="3:58" x14ac:dyDescent="0.35">
      <c r="C7484">
        <v>45849</v>
      </c>
      <c r="F7484" t="s">
        <v>752</v>
      </c>
      <c r="Y7484">
        <v>401</v>
      </c>
      <c r="Z7484" s="259" t="s">
        <v>692</v>
      </c>
      <c r="AZ7484" t="s">
        <v>1193</v>
      </c>
      <c r="BA7484">
        <v>180.67</v>
      </c>
      <c r="BB7484" t="s">
        <v>564</v>
      </c>
      <c r="BC7484" t="s">
        <v>793</v>
      </c>
      <c r="BD7484">
        <v>0</v>
      </c>
      <c r="BE7484">
        <v>46302</v>
      </c>
      <c r="BF7484" t="s">
        <v>588</v>
      </c>
    </row>
    <row r="7485" spans="3:58" x14ac:dyDescent="0.35">
      <c r="C7485">
        <v>45852</v>
      </c>
      <c r="F7485" t="s">
        <v>752</v>
      </c>
      <c r="Y7485">
        <v>402</v>
      </c>
      <c r="Z7485" s="259" t="s">
        <v>692</v>
      </c>
      <c r="AZ7485" t="s">
        <v>1194</v>
      </c>
      <c r="BA7485">
        <v>180.27</v>
      </c>
      <c r="BB7485" t="s">
        <v>564</v>
      </c>
      <c r="BC7485" t="s">
        <v>793</v>
      </c>
      <c r="BD7485">
        <v>0</v>
      </c>
      <c r="BE7485">
        <v>46302</v>
      </c>
      <c r="BF7485" t="s">
        <v>588</v>
      </c>
    </row>
    <row r="7486" spans="3:58" x14ac:dyDescent="0.35">
      <c r="C7486">
        <v>45853</v>
      </c>
      <c r="F7486" t="s">
        <v>752</v>
      </c>
      <c r="Y7486">
        <v>403</v>
      </c>
      <c r="Z7486" s="259" t="s">
        <v>692</v>
      </c>
      <c r="AZ7486" t="s">
        <v>1195</v>
      </c>
      <c r="BA7486">
        <v>180.13</v>
      </c>
      <c r="BB7486" t="s">
        <v>564</v>
      </c>
      <c r="BC7486" t="s">
        <v>793</v>
      </c>
      <c r="BD7486">
        <v>0</v>
      </c>
      <c r="BE7486">
        <v>46302</v>
      </c>
      <c r="BF7486" t="s">
        <v>588</v>
      </c>
    </row>
    <row r="7487" spans="3:58" x14ac:dyDescent="0.35">
      <c r="C7487">
        <v>45854</v>
      </c>
      <c r="F7487" t="s">
        <v>752</v>
      </c>
      <c r="Y7487">
        <v>404</v>
      </c>
      <c r="Z7487" s="259" t="s">
        <v>692</v>
      </c>
      <c r="AZ7487" t="s">
        <v>1196</v>
      </c>
      <c r="BA7487">
        <v>180</v>
      </c>
      <c r="BB7487" t="s">
        <v>564</v>
      </c>
      <c r="BC7487" t="s">
        <v>793</v>
      </c>
      <c r="BD7487">
        <v>0</v>
      </c>
      <c r="BE7487">
        <v>46302</v>
      </c>
      <c r="BF7487" t="s">
        <v>588</v>
      </c>
    </row>
    <row r="7488" spans="3:58" x14ac:dyDescent="0.35">
      <c r="C7488">
        <v>45855</v>
      </c>
      <c r="F7488" t="s">
        <v>752</v>
      </c>
      <c r="Y7488">
        <v>405</v>
      </c>
      <c r="Z7488" s="259" t="s">
        <v>692</v>
      </c>
      <c r="AZ7488" t="s">
        <v>1197</v>
      </c>
      <c r="BA7488">
        <v>179.87</v>
      </c>
      <c r="BB7488" t="s">
        <v>564</v>
      </c>
      <c r="BC7488" t="s">
        <v>793</v>
      </c>
      <c r="BD7488">
        <v>0</v>
      </c>
      <c r="BE7488">
        <v>46302</v>
      </c>
      <c r="BF7488" t="s">
        <v>588</v>
      </c>
    </row>
    <row r="7489" spans="3:58" x14ac:dyDescent="0.35">
      <c r="C7489">
        <v>45856</v>
      </c>
      <c r="F7489" t="s">
        <v>752</v>
      </c>
      <c r="Y7489">
        <v>406</v>
      </c>
      <c r="Z7489" s="259" t="s">
        <v>692</v>
      </c>
      <c r="AZ7489" t="s">
        <v>1198</v>
      </c>
      <c r="BA7489">
        <v>179.73</v>
      </c>
      <c r="BB7489" t="s">
        <v>564</v>
      </c>
      <c r="BC7489" t="s">
        <v>793</v>
      </c>
      <c r="BD7489">
        <v>0</v>
      </c>
      <c r="BE7489">
        <v>46302</v>
      </c>
      <c r="BF7489" t="s">
        <v>588</v>
      </c>
    </row>
    <row r="7490" spans="3:58" x14ac:dyDescent="0.35">
      <c r="C7490">
        <v>45859</v>
      </c>
      <c r="F7490" t="s">
        <v>752</v>
      </c>
      <c r="Y7490">
        <v>407</v>
      </c>
      <c r="Z7490" s="259" t="s">
        <v>692</v>
      </c>
      <c r="AZ7490" t="s">
        <v>1199</v>
      </c>
      <c r="BA7490">
        <v>179.33</v>
      </c>
      <c r="BB7490" t="s">
        <v>564</v>
      </c>
      <c r="BC7490" t="s">
        <v>793</v>
      </c>
      <c r="BD7490">
        <v>0</v>
      </c>
      <c r="BE7490">
        <v>46302</v>
      </c>
      <c r="BF7490" t="s">
        <v>588</v>
      </c>
    </row>
    <row r="7491" spans="3:58" x14ac:dyDescent="0.35">
      <c r="C7491">
        <v>45860</v>
      </c>
      <c r="F7491" t="s">
        <v>752</v>
      </c>
      <c r="Y7491">
        <v>408</v>
      </c>
      <c r="Z7491" s="259" t="s">
        <v>692</v>
      </c>
      <c r="AZ7491" t="s">
        <v>1200</v>
      </c>
      <c r="BA7491">
        <v>179.2</v>
      </c>
      <c r="BB7491" t="s">
        <v>564</v>
      </c>
      <c r="BC7491" t="s">
        <v>793</v>
      </c>
      <c r="BD7491">
        <v>0</v>
      </c>
      <c r="BE7491">
        <v>46302</v>
      </c>
      <c r="BF7491" t="s">
        <v>588</v>
      </c>
    </row>
    <row r="7492" spans="3:58" x14ac:dyDescent="0.35">
      <c r="C7492">
        <v>45861</v>
      </c>
      <c r="F7492" t="s">
        <v>752</v>
      </c>
      <c r="Y7492">
        <v>409</v>
      </c>
      <c r="Z7492" s="259" t="s">
        <v>692</v>
      </c>
      <c r="AZ7492" t="s">
        <v>1201</v>
      </c>
      <c r="BA7492">
        <v>179.07</v>
      </c>
      <c r="BB7492" t="s">
        <v>564</v>
      </c>
      <c r="BC7492" t="s">
        <v>793</v>
      </c>
      <c r="BD7492">
        <v>0</v>
      </c>
      <c r="BE7492">
        <v>46302</v>
      </c>
      <c r="BF7492" t="s">
        <v>588</v>
      </c>
    </row>
    <row r="7493" spans="3:58" x14ac:dyDescent="0.35">
      <c r="C7493">
        <v>45862</v>
      </c>
      <c r="F7493" t="s">
        <v>752</v>
      </c>
      <c r="Y7493">
        <v>410</v>
      </c>
      <c r="Z7493" s="259" t="s">
        <v>692</v>
      </c>
      <c r="AZ7493" t="s">
        <v>1202</v>
      </c>
      <c r="BA7493">
        <v>178.93</v>
      </c>
      <c r="BB7493" t="s">
        <v>564</v>
      </c>
      <c r="BC7493" t="s">
        <v>793</v>
      </c>
      <c r="BD7493">
        <v>0</v>
      </c>
      <c r="BE7493">
        <v>46302</v>
      </c>
      <c r="BF7493" t="s">
        <v>588</v>
      </c>
    </row>
    <row r="7494" spans="3:58" x14ac:dyDescent="0.35">
      <c r="C7494">
        <v>45863</v>
      </c>
      <c r="F7494" t="s">
        <v>752</v>
      </c>
      <c r="Y7494">
        <v>411</v>
      </c>
      <c r="Z7494" s="259" t="s">
        <v>692</v>
      </c>
      <c r="AZ7494" t="s">
        <v>1203</v>
      </c>
      <c r="BA7494">
        <v>178.8</v>
      </c>
      <c r="BB7494" t="s">
        <v>564</v>
      </c>
      <c r="BC7494" t="s">
        <v>793</v>
      </c>
      <c r="BD7494">
        <v>0</v>
      </c>
      <c r="BE7494">
        <v>46302</v>
      </c>
      <c r="BF7494" t="s">
        <v>588</v>
      </c>
    </row>
    <row r="7495" spans="3:58" x14ac:dyDescent="0.35">
      <c r="C7495">
        <v>45866</v>
      </c>
      <c r="F7495" t="s">
        <v>752</v>
      </c>
      <c r="Y7495">
        <v>412</v>
      </c>
      <c r="Z7495" s="259" t="s">
        <v>692</v>
      </c>
      <c r="AZ7495" t="s">
        <v>1204</v>
      </c>
      <c r="BA7495">
        <v>178.4</v>
      </c>
      <c r="BB7495" t="s">
        <v>564</v>
      </c>
      <c r="BC7495" t="s">
        <v>793</v>
      </c>
      <c r="BD7495">
        <v>0</v>
      </c>
      <c r="BE7495">
        <v>46302</v>
      </c>
      <c r="BF7495" t="s">
        <v>588</v>
      </c>
    </row>
    <row r="7496" spans="3:58" x14ac:dyDescent="0.35">
      <c r="C7496">
        <v>45867</v>
      </c>
      <c r="F7496" t="s">
        <v>752</v>
      </c>
      <c r="Y7496">
        <v>413</v>
      </c>
      <c r="Z7496" s="259" t="s">
        <v>692</v>
      </c>
      <c r="AZ7496" t="s">
        <v>1205</v>
      </c>
      <c r="BA7496">
        <v>178.27</v>
      </c>
      <c r="BB7496" t="s">
        <v>564</v>
      </c>
      <c r="BC7496" t="s">
        <v>793</v>
      </c>
      <c r="BD7496">
        <v>0</v>
      </c>
      <c r="BE7496">
        <v>46302</v>
      </c>
      <c r="BF7496" t="s">
        <v>588</v>
      </c>
    </row>
    <row r="7497" spans="3:58" x14ac:dyDescent="0.35">
      <c r="C7497">
        <v>45868</v>
      </c>
      <c r="F7497" t="s">
        <v>752</v>
      </c>
      <c r="Y7497">
        <v>414</v>
      </c>
      <c r="Z7497" s="259" t="s">
        <v>692</v>
      </c>
      <c r="AZ7497" t="s">
        <v>1206</v>
      </c>
      <c r="BA7497">
        <v>178.13</v>
      </c>
      <c r="BB7497" t="s">
        <v>564</v>
      </c>
      <c r="BC7497" t="s">
        <v>793</v>
      </c>
      <c r="BD7497">
        <v>0</v>
      </c>
      <c r="BE7497">
        <v>46302</v>
      </c>
      <c r="BF7497" t="s">
        <v>588</v>
      </c>
    </row>
    <row r="7498" spans="3:58" x14ac:dyDescent="0.35">
      <c r="C7498">
        <v>45869</v>
      </c>
      <c r="F7498" t="s">
        <v>752</v>
      </c>
      <c r="Y7498">
        <v>415</v>
      </c>
      <c r="Z7498" s="259" t="s">
        <v>692</v>
      </c>
      <c r="AZ7498" t="s">
        <v>1207</v>
      </c>
      <c r="BA7498">
        <v>178</v>
      </c>
      <c r="BB7498" t="s">
        <v>564</v>
      </c>
      <c r="BC7498" t="s">
        <v>793</v>
      </c>
      <c r="BD7498">
        <v>0</v>
      </c>
      <c r="BE7498">
        <v>46302</v>
      </c>
      <c r="BF7498" t="s">
        <v>588</v>
      </c>
    </row>
    <row r="7499" spans="3:58" x14ac:dyDescent="0.35">
      <c r="C7499">
        <v>45870</v>
      </c>
      <c r="F7499" t="s">
        <v>752</v>
      </c>
      <c r="Y7499">
        <v>416</v>
      </c>
      <c r="Z7499" s="259" t="s">
        <v>692</v>
      </c>
      <c r="AZ7499" t="s">
        <v>1208</v>
      </c>
      <c r="BA7499">
        <v>178</v>
      </c>
      <c r="BB7499" t="s">
        <v>564</v>
      </c>
      <c r="BC7499" t="s">
        <v>793</v>
      </c>
      <c r="BD7499">
        <v>0</v>
      </c>
      <c r="BE7499">
        <v>46302</v>
      </c>
      <c r="BF7499" t="s">
        <v>588</v>
      </c>
    </row>
    <row r="7500" spans="3:58" x14ac:dyDescent="0.35">
      <c r="C7500">
        <v>45873</v>
      </c>
      <c r="F7500" t="s">
        <v>752</v>
      </c>
      <c r="Y7500">
        <v>417</v>
      </c>
      <c r="Z7500" s="259" t="s">
        <v>692</v>
      </c>
      <c r="AZ7500" t="s">
        <v>1209</v>
      </c>
      <c r="BA7500">
        <v>179.1</v>
      </c>
      <c r="BB7500" t="s">
        <v>564</v>
      </c>
      <c r="BC7500" t="s">
        <v>793</v>
      </c>
      <c r="BD7500">
        <v>0</v>
      </c>
      <c r="BE7500">
        <v>46302</v>
      </c>
      <c r="BF7500" t="s">
        <v>588</v>
      </c>
    </row>
    <row r="7501" spans="3:58" x14ac:dyDescent="0.35">
      <c r="C7501">
        <v>45874</v>
      </c>
      <c r="F7501" t="s">
        <v>752</v>
      </c>
      <c r="Y7501">
        <v>418</v>
      </c>
      <c r="Z7501" s="259" t="s">
        <v>692</v>
      </c>
      <c r="AZ7501" t="s">
        <v>1210</v>
      </c>
      <c r="BA7501">
        <v>179.47</v>
      </c>
      <c r="BB7501" t="s">
        <v>564</v>
      </c>
      <c r="BC7501" t="s">
        <v>793</v>
      </c>
      <c r="BD7501">
        <v>0</v>
      </c>
      <c r="BE7501">
        <v>46302</v>
      </c>
      <c r="BF7501" t="s">
        <v>588</v>
      </c>
    </row>
    <row r="7502" spans="3:58" x14ac:dyDescent="0.35">
      <c r="C7502">
        <v>45875</v>
      </c>
      <c r="F7502" t="s">
        <v>752</v>
      </c>
      <c r="Y7502">
        <v>419</v>
      </c>
      <c r="Z7502" s="259" t="s">
        <v>692</v>
      </c>
      <c r="AZ7502" t="s">
        <v>1211</v>
      </c>
      <c r="BA7502">
        <v>179.83</v>
      </c>
      <c r="BB7502" t="s">
        <v>564</v>
      </c>
      <c r="BC7502" t="s">
        <v>793</v>
      </c>
      <c r="BD7502">
        <v>0</v>
      </c>
      <c r="BE7502">
        <v>46302</v>
      </c>
      <c r="BF7502" t="s">
        <v>588</v>
      </c>
    </row>
    <row r="7503" spans="3:58" x14ac:dyDescent="0.35">
      <c r="C7503">
        <v>45876</v>
      </c>
      <c r="F7503" t="s">
        <v>752</v>
      </c>
      <c r="Y7503">
        <v>420</v>
      </c>
      <c r="Z7503" s="259" t="s">
        <v>692</v>
      </c>
      <c r="AZ7503" t="s">
        <v>1212</v>
      </c>
      <c r="BA7503">
        <v>180.2</v>
      </c>
      <c r="BB7503" t="s">
        <v>564</v>
      </c>
      <c r="BC7503" t="s">
        <v>793</v>
      </c>
      <c r="BD7503">
        <v>0</v>
      </c>
      <c r="BE7503">
        <v>46302</v>
      </c>
      <c r="BF7503" t="s">
        <v>588</v>
      </c>
    </row>
    <row r="7504" spans="3:58" x14ac:dyDescent="0.35">
      <c r="C7504">
        <v>45877</v>
      </c>
      <c r="F7504" t="s">
        <v>752</v>
      </c>
      <c r="Y7504">
        <v>421</v>
      </c>
      <c r="Z7504" s="259" t="s">
        <v>692</v>
      </c>
      <c r="AZ7504" t="s">
        <v>1213</v>
      </c>
      <c r="BA7504">
        <v>180.57</v>
      </c>
      <c r="BB7504" t="s">
        <v>564</v>
      </c>
      <c r="BC7504" t="s">
        <v>793</v>
      </c>
      <c r="BD7504">
        <v>0</v>
      </c>
      <c r="BE7504">
        <v>46302</v>
      </c>
      <c r="BF7504" t="s">
        <v>588</v>
      </c>
    </row>
    <row r="7505" spans="3:58" x14ac:dyDescent="0.35">
      <c r="C7505">
        <v>45880</v>
      </c>
      <c r="F7505" t="s">
        <v>752</v>
      </c>
      <c r="Y7505">
        <v>422</v>
      </c>
      <c r="Z7505" s="259" t="s">
        <v>692</v>
      </c>
      <c r="AZ7505" t="s">
        <v>1214</v>
      </c>
      <c r="BA7505">
        <v>181.67</v>
      </c>
      <c r="BB7505" t="s">
        <v>564</v>
      </c>
      <c r="BC7505" t="s">
        <v>793</v>
      </c>
      <c r="BD7505">
        <v>0</v>
      </c>
      <c r="BE7505">
        <v>46302</v>
      </c>
      <c r="BF7505" t="s">
        <v>588</v>
      </c>
    </row>
    <row r="7506" spans="3:58" x14ac:dyDescent="0.35">
      <c r="C7506">
        <v>45881</v>
      </c>
      <c r="F7506" t="s">
        <v>752</v>
      </c>
      <c r="Y7506">
        <v>423</v>
      </c>
      <c r="Z7506" s="259" t="s">
        <v>692</v>
      </c>
      <c r="AZ7506" t="s">
        <v>1215</v>
      </c>
      <c r="BA7506">
        <v>182.03</v>
      </c>
      <c r="BB7506" t="s">
        <v>564</v>
      </c>
      <c r="BC7506" t="s">
        <v>793</v>
      </c>
      <c r="BD7506">
        <v>0</v>
      </c>
      <c r="BE7506">
        <v>46302</v>
      </c>
      <c r="BF7506" t="s">
        <v>588</v>
      </c>
    </row>
    <row r="7507" spans="3:58" x14ac:dyDescent="0.35">
      <c r="C7507">
        <v>45882</v>
      </c>
      <c r="F7507" t="s">
        <v>752</v>
      </c>
      <c r="Y7507">
        <v>424</v>
      </c>
      <c r="Z7507" s="259" t="s">
        <v>692</v>
      </c>
      <c r="AZ7507" t="s">
        <v>1216</v>
      </c>
      <c r="BA7507">
        <v>182.4</v>
      </c>
      <c r="BB7507" t="s">
        <v>564</v>
      </c>
      <c r="BC7507" t="s">
        <v>793</v>
      </c>
      <c r="BD7507">
        <v>0</v>
      </c>
      <c r="BE7507">
        <v>46302</v>
      </c>
      <c r="BF7507" t="s">
        <v>588</v>
      </c>
    </row>
    <row r="7508" spans="3:58" x14ac:dyDescent="0.35">
      <c r="C7508">
        <v>45883</v>
      </c>
      <c r="F7508" t="s">
        <v>752</v>
      </c>
      <c r="Y7508">
        <v>425</v>
      </c>
      <c r="Z7508" s="259" t="s">
        <v>692</v>
      </c>
      <c r="AZ7508" t="s">
        <v>1217</v>
      </c>
      <c r="BA7508">
        <v>182.77</v>
      </c>
      <c r="BB7508" t="s">
        <v>564</v>
      </c>
      <c r="BC7508" t="s">
        <v>793</v>
      </c>
      <c r="BD7508">
        <v>0</v>
      </c>
      <c r="BE7508">
        <v>46302</v>
      </c>
      <c r="BF7508" t="s">
        <v>588</v>
      </c>
    </row>
    <row r="7509" spans="3:58" x14ac:dyDescent="0.35">
      <c r="C7509">
        <v>45884</v>
      </c>
      <c r="F7509" t="s">
        <v>752</v>
      </c>
      <c r="Y7509">
        <v>426</v>
      </c>
      <c r="Z7509" s="259" t="s">
        <v>692</v>
      </c>
      <c r="AZ7509" t="s">
        <v>1218</v>
      </c>
      <c r="BA7509">
        <v>183.13</v>
      </c>
      <c r="BB7509" t="s">
        <v>564</v>
      </c>
      <c r="BC7509" t="s">
        <v>793</v>
      </c>
      <c r="BD7509">
        <v>0</v>
      </c>
      <c r="BE7509">
        <v>46302</v>
      </c>
      <c r="BF7509" t="s">
        <v>588</v>
      </c>
    </row>
    <row r="7510" spans="3:58" x14ac:dyDescent="0.35">
      <c r="C7510">
        <v>45887</v>
      </c>
      <c r="F7510" t="s">
        <v>752</v>
      </c>
      <c r="Y7510">
        <v>427</v>
      </c>
      <c r="Z7510" s="259" t="s">
        <v>692</v>
      </c>
      <c r="AZ7510" t="s">
        <v>1219</v>
      </c>
      <c r="BA7510">
        <v>184.23</v>
      </c>
      <c r="BB7510" t="s">
        <v>564</v>
      </c>
      <c r="BC7510" t="s">
        <v>793</v>
      </c>
      <c r="BD7510">
        <v>0</v>
      </c>
      <c r="BE7510">
        <v>46302</v>
      </c>
      <c r="BF7510" t="s">
        <v>588</v>
      </c>
    </row>
    <row r="7511" spans="3:58" x14ac:dyDescent="0.35">
      <c r="C7511">
        <v>45888</v>
      </c>
      <c r="F7511" t="s">
        <v>752</v>
      </c>
      <c r="Y7511">
        <v>428</v>
      </c>
      <c r="Z7511" s="259" t="s">
        <v>692</v>
      </c>
      <c r="AZ7511" t="s">
        <v>1220</v>
      </c>
      <c r="BA7511">
        <v>184.6</v>
      </c>
      <c r="BB7511" t="s">
        <v>564</v>
      </c>
      <c r="BC7511" t="s">
        <v>793</v>
      </c>
      <c r="BD7511">
        <v>0</v>
      </c>
      <c r="BE7511">
        <v>46302</v>
      </c>
      <c r="BF7511" t="s">
        <v>588</v>
      </c>
    </row>
    <row r="7512" spans="3:58" x14ac:dyDescent="0.35">
      <c r="C7512">
        <v>45889</v>
      </c>
      <c r="F7512" t="s">
        <v>752</v>
      </c>
      <c r="Y7512">
        <v>429</v>
      </c>
      <c r="Z7512" s="259" t="s">
        <v>692</v>
      </c>
      <c r="AZ7512" t="s">
        <v>1221</v>
      </c>
      <c r="BA7512">
        <v>184.97</v>
      </c>
      <c r="BB7512" t="s">
        <v>564</v>
      </c>
      <c r="BC7512" t="s">
        <v>793</v>
      </c>
      <c r="BD7512">
        <v>0</v>
      </c>
      <c r="BE7512">
        <v>46302</v>
      </c>
      <c r="BF7512" t="s">
        <v>588</v>
      </c>
    </row>
    <row r="7513" spans="3:58" x14ac:dyDescent="0.35">
      <c r="C7513">
        <v>45890</v>
      </c>
      <c r="F7513" t="s">
        <v>752</v>
      </c>
      <c r="Y7513">
        <v>430</v>
      </c>
      <c r="Z7513" s="259" t="s">
        <v>692</v>
      </c>
      <c r="AZ7513" t="s">
        <v>1222</v>
      </c>
      <c r="BA7513">
        <v>185.33</v>
      </c>
      <c r="BB7513" t="s">
        <v>564</v>
      </c>
      <c r="BC7513" t="s">
        <v>793</v>
      </c>
      <c r="BD7513">
        <v>0</v>
      </c>
      <c r="BE7513">
        <v>46302</v>
      </c>
      <c r="BF7513" t="s">
        <v>588</v>
      </c>
    </row>
    <row r="7514" spans="3:58" x14ac:dyDescent="0.35">
      <c r="C7514">
        <v>45891</v>
      </c>
      <c r="F7514" t="s">
        <v>752</v>
      </c>
      <c r="Y7514">
        <v>431</v>
      </c>
      <c r="Z7514" s="259" t="s">
        <v>692</v>
      </c>
      <c r="AZ7514" t="s">
        <v>1223</v>
      </c>
      <c r="BA7514">
        <v>185.7</v>
      </c>
      <c r="BB7514" t="s">
        <v>564</v>
      </c>
      <c r="BC7514" t="s">
        <v>793</v>
      </c>
      <c r="BD7514">
        <v>0</v>
      </c>
      <c r="BE7514">
        <v>46302</v>
      </c>
      <c r="BF7514" t="s">
        <v>588</v>
      </c>
    </row>
    <row r="7515" spans="3:58" x14ac:dyDescent="0.35">
      <c r="C7515">
        <v>45894</v>
      </c>
      <c r="F7515" t="s">
        <v>752</v>
      </c>
      <c r="Y7515">
        <v>432</v>
      </c>
      <c r="Z7515" s="259" t="s">
        <v>692</v>
      </c>
      <c r="AZ7515" t="s">
        <v>1224</v>
      </c>
      <c r="BA7515">
        <v>186.8</v>
      </c>
      <c r="BB7515" t="s">
        <v>564</v>
      </c>
      <c r="BC7515" t="s">
        <v>793</v>
      </c>
      <c r="BD7515">
        <v>0</v>
      </c>
      <c r="BE7515">
        <v>46302</v>
      </c>
      <c r="BF7515" t="s">
        <v>588</v>
      </c>
    </row>
    <row r="7516" spans="3:58" x14ac:dyDescent="0.35">
      <c r="C7516">
        <v>45895</v>
      </c>
      <c r="F7516" t="s">
        <v>752</v>
      </c>
      <c r="Y7516">
        <v>433</v>
      </c>
      <c r="Z7516" s="259" t="s">
        <v>692</v>
      </c>
      <c r="AZ7516" t="s">
        <v>1225</v>
      </c>
      <c r="BA7516">
        <v>187.17</v>
      </c>
      <c r="BB7516" t="s">
        <v>564</v>
      </c>
      <c r="BC7516" t="s">
        <v>793</v>
      </c>
      <c r="BD7516">
        <v>0</v>
      </c>
      <c r="BE7516">
        <v>46302</v>
      </c>
      <c r="BF7516" t="s">
        <v>588</v>
      </c>
    </row>
    <row r="7517" spans="3:58" x14ac:dyDescent="0.35">
      <c r="C7517">
        <v>45896</v>
      </c>
      <c r="F7517" t="s">
        <v>752</v>
      </c>
      <c r="Y7517">
        <v>434</v>
      </c>
      <c r="Z7517" s="259" t="s">
        <v>692</v>
      </c>
      <c r="AZ7517" t="s">
        <v>1226</v>
      </c>
      <c r="BA7517">
        <v>187.53</v>
      </c>
      <c r="BB7517" t="s">
        <v>564</v>
      </c>
      <c r="BC7517" t="s">
        <v>793</v>
      </c>
      <c r="BD7517">
        <v>0</v>
      </c>
      <c r="BE7517">
        <v>46302</v>
      </c>
      <c r="BF7517" t="s">
        <v>588</v>
      </c>
    </row>
    <row r="7518" spans="3:58" x14ac:dyDescent="0.35">
      <c r="C7518">
        <v>45897</v>
      </c>
      <c r="F7518" t="s">
        <v>752</v>
      </c>
      <c r="Y7518">
        <v>435</v>
      </c>
      <c r="Z7518" s="259" t="s">
        <v>692</v>
      </c>
      <c r="AZ7518" t="s">
        <v>1227</v>
      </c>
      <c r="BA7518">
        <v>187.9</v>
      </c>
      <c r="BB7518" t="s">
        <v>564</v>
      </c>
      <c r="BC7518" t="s">
        <v>793</v>
      </c>
      <c r="BD7518">
        <v>0</v>
      </c>
      <c r="BE7518">
        <v>46302</v>
      </c>
      <c r="BF7518" t="s">
        <v>588</v>
      </c>
    </row>
    <row r="7519" spans="3:58" x14ac:dyDescent="0.35">
      <c r="C7519">
        <v>45898</v>
      </c>
      <c r="F7519" t="s">
        <v>752</v>
      </c>
      <c r="Y7519">
        <v>436</v>
      </c>
      <c r="Z7519" s="259" t="s">
        <v>692</v>
      </c>
      <c r="AZ7519" t="s">
        <v>1228</v>
      </c>
      <c r="BA7519">
        <v>188.27</v>
      </c>
      <c r="BB7519" t="s">
        <v>564</v>
      </c>
      <c r="BC7519" t="s">
        <v>793</v>
      </c>
      <c r="BD7519">
        <v>0</v>
      </c>
      <c r="BE7519">
        <v>46302</v>
      </c>
      <c r="BF7519" t="s">
        <v>588</v>
      </c>
    </row>
    <row r="7520" spans="3:58" x14ac:dyDescent="0.35">
      <c r="C7520">
        <v>45901</v>
      </c>
      <c r="F7520" t="s">
        <v>752</v>
      </c>
      <c r="Y7520">
        <v>437</v>
      </c>
      <c r="Z7520" s="259" t="s">
        <v>692</v>
      </c>
      <c r="AZ7520" t="s">
        <v>1229</v>
      </c>
      <c r="BA7520">
        <v>186</v>
      </c>
      <c r="BB7520" t="s">
        <v>564</v>
      </c>
      <c r="BC7520" t="s">
        <v>793</v>
      </c>
      <c r="BD7520">
        <v>0</v>
      </c>
      <c r="BE7520">
        <v>46302</v>
      </c>
      <c r="BF7520" t="s">
        <v>588</v>
      </c>
    </row>
    <row r="7521" spans="3:58" x14ac:dyDescent="0.35">
      <c r="C7521">
        <v>45902</v>
      </c>
      <c r="F7521" t="s">
        <v>752</v>
      </c>
      <c r="Y7521">
        <v>438</v>
      </c>
      <c r="Z7521" s="259" t="s">
        <v>692</v>
      </c>
      <c r="AZ7521" t="s">
        <v>1230</v>
      </c>
      <c r="BA7521">
        <v>185.69</v>
      </c>
      <c r="BB7521" t="s">
        <v>564</v>
      </c>
      <c r="BC7521" t="s">
        <v>793</v>
      </c>
      <c r="BD7521">
        <v>0</v>
      </c>
      <c r="BE7521">
        <v>46302</v>
      </c>
      <c r="BF7521" t="s">
        <v>588</v>
      </c>
    </row>
    <row r="7522" spans="3:58" x14ac:dyDescent="0.35">
      <c r="C7522">
        <v>45903</v>
      </c>
      <c r="F7522" t="s">
        <v>752</v>
      </c>
      <c r="Y7522">
        <v>439</v>
      </c>
      <c r="Z7522" s="259" t="s">
        <v>692</v>
      </c>
      <c r="AZ7522" t="s">
        <v>1231</v>
      </c>
      <c r="BA7522">
        <v>185.38</v>
      </c>
      <c r="BB7522" t="s">
        <v>564</v>
      </c>
      <c r="BC7522" t="s">
        <v>793</v>
      </c>
      <c r="BD7522">
        <v>0</v>
      </c>
      <c r="BE7522">
        <v>46302</v>
      </c>
      <c r="BF7522" t="s">
        <v>588</v>
      </c>
    </row>
    <row r="7523" spans="3:58" x14ac:dyDescent="0.35">
      <c r="C7523">
        <v>45904</v>
      </c>
      <c r="F7523" t="s">
        <v>752</v>
      </c>
      <c r="Y7523">
        <v>440</v>
      </c>
      <c r="Z7523" s="259" t="s">
        <v>692</v>
      </c>
      <c r="AZ7523" t="s">
        <v>1232</v>
      </c>
      <c r="BA7523">
        <v>185.07</v>
      </c>
      <c r="BB7523" t="s">
        <v>564</v>
      </c>
      <c r="BC7523" t="s">
        <v>793</v>
      </c>
      <c r="BD7523">
        <v>0</v>
      </c>
      <c r="BE7523">
        <v>46302</v>
      </c>
      <c r="BF7523" t="s">
        <v>588</v>
      </c>
    </row>
    <row r="7524" spans="3:58" x14ac:dyDescent="0.35">
      <c r="C7524">
        <v>45905</v>
      </c>
      <c r="F7524" t="s">
        <v>752</v>
      </c>
      <c r="Y7524">
        <v>441</v>
      </c>
      <c r="Z7524" s="259" t="s">
        <v>692</v>
      </c>
      <c r="AZ7524" t="s">
        <v>1233</v>
      </c>
      <c r="BA7524">
        <v>184.76</v>
      </c>
      <c r="BB7524" t="s">
        <v>564</v>
      </c>
      <c r="BC7524" t="s">
        <v>793</v>
      </c>
      <c r="BD7524">
        <v>0</v>
      </c>
      <c r="BE7524">
        <v>46302</v>
      </c>
      <c r="BF7524" t="s">
        <v>588</v>
      </c>
    </row>
    <row r="7525" spans="3:58" x14ac:dyDescent="0.35">
      <c r="C7525">
        <v>45908</v>
      </c>
      <c r="F7525" t="s">
        <v>752</v>
      </c>
      <c r="Y7525">
        <v>442</v>
      </c>
      <c r="Z7525" s="259" t="s">
        <v>692</v>
      </c>
      <c r="AZ7525" t="s">
        <v>1234</v>
      </c>
      <c r="BA7525">
        <v>183.83</v>
      </c>
      <c r="BB7525" t="s">
        <v>564</v>
      </c>
      <c r="BC7525" t="s">
        <v>793</v>
      </c>
      <c r="BD7525">
        <v>0</v>
      </c>
      <c r="BE7525">
        <v>46302</v>
      </c>
      <c r="BF7525" t="s">
        <v>588</v>
      </c>
    </row>
    <row r="7526" spans="3:58" x14ac:dyDescent="0.35">
      <c r="C7526">
        <v>45909</v>
      </c>
      <c r="F7526" t="s">
        <v>752</v>
      </c>
      <c r="Y7526">
        <v>443</v>
      </c>
      <c r="Z7526" s="259" t="s">
        <v>692</v>
      </c>
      <c r="AZ7526" t="s">
        <v>1235</v>
      </c>
      <c r="BA7526">
        <v>183.52</v>
      </c>
      <c r="BB7526" t="s">
        <v>564</v>
      </c>
      <c r="BC7526" t="s">
        <v>793</v>
      </c>
      <c r="BD7526">
        <v>0</v>
      </c>
      <c r="BE7526">
        <v>46302</v>
      </c>
      <c r="BF7526" t="s">
        <v>588</v>
      </c>
    </row>
    <row r="7527" spans="3:58" x14ac:dyDescent="0.35">
      <c r="C7527">
        <v>45910</v>
      </c>
      <c r="F7527" t="s">
        <v>752</v>
      </c>
      <c r="Y7527">
        <v>444</v>
      </c>
      <c r="Z7527" s="259" t="s">
        <v>692</v>
      </c>
      <c r="AZ7527" t="s">
        <v>1236</v>
      </c>
      <c r="BA7527">
        <v>183.21</v>
      </c>
      <c r="BB7527" t="s">
        <v>564</v>
      </c>
      <c r="BC7527" t="s">
        <v>793</v>
      </c>
      <c r="BD7527">
        <v>0</v>
      </c>
      <c r="BE7527">
        <v>46302</v>
      </c>
      <c r="BF7527" t="s">
        <v>588</v>
      </c>
    </row>
    <row r="7528" spans="3:58" x14ac:dyDescent="0.35">
      <c r="C7528">
        <v>45911</v>
      </c>
      <c r="F7528" t="s">
        <v>752</v>
      </c>
      <c r="Y7528">
        <v>445</v>
      </c>
      <c r="Z7528" s="259" t="s">
        <v>692</v>
      </c>
      <c r="AZ7528" t="s">
        <v>1237</v>
      </c>
      <c r="BA7528">
        <v>182.9</v>
      </c>
      <c r="BB7528" t="s">
        <v>564</v>
      </c>
      <c r="BC7528" t="s">
        <v>793</v>
      </c>
      <c r="BD7528">
        <v>0</v>
      </c>
      <c r="BE7528">
        <v>46302</v>
      </c>
      <c r="BF7528" t="s">
        <v>588</v>
      </c>
    </row>
    <row r="7529" spans="3:58" x14ac:dyDescent="0.35">
      <c r="C7529">
        <v>45912</v>
      </c>
      <c r="F7529" t="s">
        <v>752</v>
      </c>
      <c r="Y7529">
        <v>446</v>
      </c>
      <c r="Z7529" s="259" t="s">
        <v>692</v>
      </c>
      <c r="AZ7529" t="s">
        <v>1238</v>
      </c>
      <c r="BA7529">
        <v>182.59</v>
      </c>
      <c r="BB7529" t="s">
        <v>564</v>
      </c>
      <c r="BC7529" t="s">
        <v>793</v>
      </c>
      <c r="BD7529">
        <v>0</v>
      </c>
      <c r="BE7529">
        <v>46302</v>
      </c>
      <c r="BF7529" t="s">
        <v>588</v>
      </c>
    </row>
    <row r="7530" spans="3:58" x14ac:dyDescent="0.35">
      <c r="C7530">
        <v>45915</v>
      </c>
      <c r="F7530" t="s">
        <v>752</v>
      </c>
      <c r="Y7530">
        <v>447</v>
      </c>
      <c r="Z7530" s="259" t="s">
        <v>692</v>
      </c>
      <c r="AZ7530" t="s">
        <v>1239</v>
      </c>
      <c r="BA7530">
        <v>181.66</v>
      </c>
      <c r="BB7530" t="s">
        <v>564</v>
      </c>
      <c r="BC7530" t="s">
        <v>793</v>
      </c>
      <c r="BD7530">
        <v>0</v>
      </c>
      <c r="BE7530">
        <v>46302</v>
      </c>
      <c r="BF7530" t="s">
        <v>588</v>
      </c>
    </row>
    <row r="7531" spans="3:58" x14ac:dyDescent="0.35">
      <c r="C7531">
        <v>45916</v>
      </c>
      <c r="F7531" t="s">
        <v>752</v>
      </c>
      <c r="Y7531">
        <v>448</v>
      </c>
      <c r="Z7531" s="259" t="s">
        <v>692</v>
      </c>
      <c r="AZ7531" t="s">
        <v>1240</v>
      </c>
      <c r="BA7531">
        <v>181.34</v>
      </c>
      <c r="BB7531" t="s">
        <v>564</v>
      </c>
      <c r="BC7531" t="s">
        <v>793</v>
      </c>
      <c r="BD7531">
        <v>0</v>
      </c>
      <c r="BE7531">
        <v>46302</v>
      </c>
      <c r="BF7531" t="s">
        <v>588</v>
      </c>
    </row>
    <row r="7532" spans="3:58" x14ac:dyDescent="0.35">
      <c r="C7532">
        <v>45917</v>
      </c>
      <c r="F7532" t="s">
        <v>752</v>
      </c>
      <c r="Y7532">
        <v>449</v>
      </c>
      <c r="Z7532" s="259" t="s">
        <v>692</v>
      </c>
      <c r="AZ7532" t="s">
        <v>1241</v>
      </c>
      <c r="BA7532">
        <v>181.03</v>
      </c>
      <c r="BB7532" t="s">
        <v>564</v>
      </c>
      <c r="BC7532" t="s">
        <v>793</v>
      </c>
      <c r="BD7532">
        <v>0</v>
      </c>
      <c r="BE7532">
        <v>46302</v>
      </c>
      <c r="BF7532" t="s">
        <v>588</v>
      </c>
    </row>
    <row r="7533" spans="3:58" x14ac:dyDescent="0.35">
      <c r="C7533">
        <v>45918</v>
      </c>
      <c r="F7533" t="s">
        <v>752</v>
      </c>
      <c r="Y7533">
        <v>450</v>
      </c>
      <c r="Z7533" s="259" t="s">
        <v>692</v>
      </c>
      <c r="AZ7533" t="s">
        <v>1242</v>
      </c>
      <c r="BA7533">
        <v>180.72</v>
      </c>
      <c r="BB7533" t="s">
        <v>564</v>
      </c>
      <c r="BC7533" t="s">
        <v>793</v>
      </c>
      <c r="BD7533">
        <v>0</v>
      </c>
      <c r="BE7533">
        <v>46302</v>
      </c>
      <c r="BF7533" t="s">
        <v>588</v>
      </c>
    </row>
    <row r="7534" spans="3:58" x14ac:dyDescent="0.35">
      <c r="C7534">
        <v>45919</v>
      </c>
      <c r="F7534" t="s">
        <v>752</v>
      </c>
      <c r="Y7534">
        <v>451</v>
      </c>
      <c r="Z7534" s="259" t="s">
        <v>692</v>
      </c>
      <c r="AZ7534" t="s">
        <v>1243</v>
      </c>
      <c r="BA7534">
        <v>180.41</v>
      </c>
      <c r="BB7534" t="s">
        <v>564</v>
      </c>
      <c r="BC7534" t="s">
        <v>793</v>
      </c>
      <c r="BD7534">
        <v>0</v>
      </c>
      <c r="BE7534">
        <v>46302</v>
      </c>
      <c r="BF7534" t="s">
        <v>588</v>
      </c>
    </row>
    <row r="7535" spans="3:58" x14ac:dyDescent="0.35">
      <c r="C7535">
        <v>45922</v>
      </c>
      <c r="F7535" t="s">
        <v>752</v>
      </c>
      <c r="Y7535">
        <v>452</v>
      </c>
      <c r="Z7535" s="259" t="s">
        <v>692</v>
      </c>
      <c r="AZ7535" t="s">
        <v>1244</v>
      </c>
      <c r="BA7535">
        <v>179.48</v>
      </c>
      <c r="BB7535" t="s">
        <v>564</v>
      </c>
      <c r="BC7535" t="s">
        <v>793</v>
      </c>
      <c r="BD7535">
        <v>0</v>
      </c>
      <c r="BE7535">
        <v>46302</v>
      </c>
      <c r="BF7535" t="s">
        <v>588</v>
      </c>
    </row>
    <row r="7536" spans="3:58" x14ac:dyDescent="0.35">
      <c r="C7536">
        <v>45923</v>
      </c>
      <c r="F7536" t="s">
        <v>752</v>
      </c>
      <c r="Y7536">
        <v>453</v>
      </c>
      <c r="Z7536" s="259" t="s">
        <v>692</v>
      </c>
      <c r="AZ7536" t="s">
        <v>1245</v>
      </c>
      <c r="BA7536">
        <v>179.17</v>
      </c>
      <c r="BB7536" t="s">
        <v>564</v>
      </c>
      <c r="BC7536" t="s">
        <v>793</v>
      </c>
      <c r="BD7536">
        <v>0</v>
      </c>
      <c r="BE7536">
        <v>46302</v>
      </c>
      <c r="BF7536" t="s">
        <v>588</v>
      </c>
    </row>
    <row r="7537" spans="3:58" x14ac:dyDescent="0.35">
      <c r="C7537">
        <v>45924</v>
      </c>
      <c r="F7537" t="s">
        <v>752</v>
      </c>
      <c r="Y7537">
        <v>454</v>
      </c>
      <c r="Z7537" s="259" t="s">
        <v>692</v>
      </c>
      <c r="AZ7537" t="s">
        <v>1246</v>
      </c>
      <c r="BA7537">
        <v>178.86</v>
      </c>
      <c r="BB7537" t="s">
        <v>564</v>
      </c>
      <c r="BC7537" t="s">
        <v>793</v>
      </c>
      <c r="BD7537">
        <v>0</v>
      </c>
      <c r="BE7537">
        <v>46302</v>
      </c>
      <c r="BF7537" t="s">
        <v>588</v>
      </c>
    </row>
    <row r="7538" spans="3:58" x14ac:dyDescent="0.35">
      <c r="C7538">
        <v>45925</v>
      </c>
      <c r="F7538" t="s">
        <v>752</v>
      </c>
      <c r="Y7538">
        <v>455</v>
      </c>
      <c r="Z7538" s="259" t="s">
        <v>692</v>
      </c>
      <c r="AZ7538" t="s">
        <v>1247</v>
      </c>
      <c r="BA7538">
        <v>178.55</v>
      </c>
      <c r="BB7538" t="s">
        <v>564</v>
      </c>
      <c r="BC7538" t="s">
        <v>793</v>
      </c>
      <c r="BD7538">
        <v>0</v>
      </c>
      <c r="BE7538">
        <v>46302</v>
      </c>
      <c r="BF7538" t="s">
        <v>588</v>
      </c>
    </row>
    <row r="7539" spans="3:58" x14ac:dyDescent="0.35">
      <c r="C7539">
        <v>45926</v>
      </c>
      <c r="F7539" t="s">
        <v>752</v>
      </c>
      <c r="Y7539">
        <v>456</v>
      </c>
      <c r="Z7539" s="259" t="s">
        <v>692</v>
      </c>
      <c r="AZ7539" t="s">
        <v>1248</v>
      </c>
      <c r="BA7539">
        <v>178.24</v>
      </c>
      <c r="BB7539" t="s">
        <v>564</v>
      </c>
      <c r="BC7539" t="s">
        <v>793</v>
      </c>
      <c r="BD7539">
        <v>0</v>
      </c>
      <c r="BE7539">
        <v>46302</v>
      </c>
      <c r="BF7539" t="s">
        <v>588</v>
      </c>
    </row>
    <row r="7540" spans="3:58" x14ac:dyDescent="0.35">
      <c r="C7540">
        <v>45929</v>
      </c>
      <c r="F7540" t="s">
        <v>752</v>
      </c>
      <c r="Y7540">
        <v>457</v>
      </c>
      <c r="Z7540" s="259" t="s">
        <v>692</v>
      </c>
      <c r="AZ7540" t="s">
        <v>1249</v>
      </c>
      <c r="BA7540">
        <v>177.31</v>
      </c>
      <c r="BB7540" t="s">
        <v>564</v>
      </c>
      <c r="BC7540" t="s">
        <v>793</v>
      </c>
      <c r="BD7540">
        <v>0</v>
      </c>
      <c r="BE7540">
        <v>46302</v>
      </c>
      <c r="BF7540" t="s">
        <v>588</v>
      </c>
    </row>
    <row r="7541" spans="3:58" x14ac:dyDescent="0.35">
      <c r="C7541">
        <v>45930</v>
      </c>
      <c r="F7541" t="s">
        <v>752</v>
      </c>
      <c r="Y7541">
        <v>458</v>
      </c>
      <c r="Z7541" s="259" t="s">
        <v>692</v>
      </c>
      <c r="AZ7541" t="s">
        <v>1250</v>
      </c>
      <c r="BA7541">
        <v>177</v>
      </c>
      <c r="BB7541" t="s">
        <v>564</v>
      </c>
      <c r="BC7541" t="s">
        <v>793</v>
      </c>
      <c r="BD7541">
        <v>0</v>
      </c>
      <c r="BE7541">
        <v>46302</v>
      </c>
      <c r="BF7541" t="s">
        <v>588</v>
      </c>
    </row>
    <row r="7542" spans="3:58" x14ac:dyDescent="0.35">
      <c r="C7542">
        <v>45931</v>
      </c>
      <c r="F7542" t="s">
        <v>752</v>
      </c>
      <c r="Y7542">
        <v>459</v>
      </c>
      <c r="Z7542" s="259" t="s">
        <v>692</v>
      </c>
      <c r="AZ7542" t="s">
        <v>1251</v>
      </c>
      <c r="BA7542">
        <v>177</v>
      </c>
      <c r="BB7542" t="s">
        <v>564</v>
      </c>
      <c r="BC7542" t="s">
        <v>793</v>
      </c>
      <c r="BD7542">
        <v>0</v>
      </c>
      <c r="BE7542">
        <v>46302</v>
      </c>
      <c r="BF7542" t="s">
        <v>588</v>
      </c>
    </row>
    <row r="7543" spans="3:58" x14ac:dyDescent="0.35">
      <c r="C7543">
        <v>45932</v>
      </c>
      <c r="F7543" t="s">
        <v>752</v>
      </c>
      <c r="Y7543">
        <v>460</v>
      </c>
      <c r="Z7543" s="259" t="s">
        <v>692</v>
      </c>
      <c r="AZ7543" t="s">
        <v>1252</v>
      </c>
      <c r="BA7543">
        <v>177.13</v>
      </c>
      <c r="BB7543" t="s">
        <v>564</v>
      </c>
      <c r="BC7543" t="s">
        <v>793</v>
      </c>
      <c r="BD7543">
        <v>0</v>
      </c>
      <c r="BE7543">
        <v>46302</v>
      </c>
      <c r="BF7543" t="s">
        <v>588</v>
      </c>
    </row>
    <row r="7544" spans="3:58" x14ac:dyDescent="0.35">
      <c r="C7544">
        <v>45933</v>
      </c>
      <c r="F7544" t="s">
        <v>752</v>
      </c>
      <c r="Y7544">
        <v>461</v>
      </c>
      <c r="Z7544" s="259" t="s">
        <v>692</v>
      </c>
      <c r="AZ7544" t="s">
        <v>1253</v>
      </c>
      <c r="BA7544">
        <v>177.27</v>
      </c>
      <c r="BB7544" t="s">
        <v>564</v>
      </c>
      <c r="BC7544" t="s">
        <v>793</v>
      </c>
      <c r="BD7544">
        <v>0</v>
      </c>
      <c r="BE7544">
        <v>46302</v>
      </c>
      <c r="BF7544" t="s">
        <v>588</v>
      </c>
    </row>
    <row r="7545" spans="3:58" x14ac:dyDescent="0.35">
      <c r="C7545">
        <v>45936</v>
      </c>
      <c r="F7545" t="s">
        <v>752</v>
      </c>
      <c r="Y7545">
        <v>462</v>
      </c>
      <c r="Z7545" s="259" t="s">
        <v>692</v>
      </c>
      <c r="AZ7545" t="s">
        <v>1254</v>
      </c>
      <c r="BA7545">
        <v>177.67</v>
      </c>
      <c r="BB7545" t="s">
        <v>564</v>
      </c>
      <c r="BC7545" t="s">
        <v>793</v>
      </c>
      <c r="BD7545">
        <v>0</v>
      </c>
      <c r="BE7545">
        <v>46302</v>
      </c>
      <c r="BF7545" t="s">
        <v>588</v>
      </c>
    </row>
    <row r="7546" spans="3:58" x14ac:dyDescent="0.35">
      <c r="C7546">
        <v>45937</v>
      </c>
      <c r="F7546" t="s">
        <v>752</v>
      </c>
      <c r="Y7546">
        <v>463</v>
      </c>
      <c r="Z7546" s="259" t="s">
        <v>692</v>
      </c>
      <c r="AZ7546" t="s">
        <v>1255</v>
      </c>
      <c r="BA7546">
        <v>177.8</v>
      </c>
      <c r="BB7546" t="s">
        <v>564</v>
      </c>
      <c r="BC7546" t="s">
        <v>793</v>
      </c>
      <c r="BD7546">
        <v>0</v>
      </c>
      <c r="BE7546">
        <v>46302</v>
      </c>
      <c r="BF7546" t="s">
        <v>588</v>
      </c>
    </row>
    <row r="7547" spans="3:58" x14ac:dyDescent="0.35">
      <c r="C7547">
        <v>45938</v>
      </c>
      <c r="F7547" t="s">
        <v>752</v>
      </c>
      <c r="Y7547">
        <v>464</v>
      </c>
      <c r="Z7547" s="259" t="s">
        <v>692</v>
      </c>
      <c r="AZ7547" t="s">
        <v>1256</v>
      </c>
      <c r="BA7547">
        <v>177.93</v>
      </c>
      <c r="BB7547" t="s">
        <v>564</v>
      </c>
      <c r="BC7547" t="s">
        <v>793</v>
      </c>
      <c r="BD7547">
        <v>0</v>
      </c>
      <c r="BE7547">
        <v>46302</v>
      </c>
      <c r="BF7547" t="s">
        <v>588</v>
      </c>
    </row>
    <row r="7548" spans="3:58" x14ac:dyDescent="0.35">
      <c r="C7548">
        <v>45939</v>
      </c>
      <c r="F7548" t="s">
        <v>752</v>
      </c>
      <c r="Y7548">
        <v>465</v>
      </c>
      <c r="Z7548" s="259" t="s">
        <v>692</v>
      </c>
      <c r="AZ7548" t="s">
        <v>1257</v>
      </c>
      <c r="BA7548">
        <v>178.07</v>
      </c>
      <c r="BB7548" t="s">
        <v>564</v>
      </c>
      <c r="BC7548" t="s">
        <v>793</v>
      </c>
      <c r="BD7548">
        <v>0</v>
      </c>
      <c r="BE7548">
        <v>46302</v>
      </c>
      <c r="BF7548" t="s">
        <v>588</v>
      </c>
    </row>
    <row r="7549" spans="3:58" x14ac:dyDescent="0.35">
      <c r="C7549">
        <v>45940</v>
      </c>
      <c r="F7549" t="s">
        <v>752</v>
      </c>
      <c r="Y7549">
        <v>466</v>
      </c>
      <c r="Z7549" s="259" t="s">
        <v>692</v>
      </c>
      <c r="AZ7549" t="s">
        <v>1258</v>
      </c>
      <c r="BA7549">
        <v>178.2</v>
      </c>
      <c r="BB7549" t="s">
        <v>564</v>
      </c>
      <c r="BC7549" t="s">
        <v>793</v>
      </c>
      <c r="BD7549">
        <v>0</v>
      </c>
      <c r="BE7549">
        <v>46302</v>
      </c>
      <c r="BF7549" t="s">
        <v>588</v>
      </c>
    </row>
    <row r="7550" spans="3:58" x14ac:dyDescent="0.35">
      <c r="C7550">
        <v>45943</v>
      </c>
      <c r="F7550" t="s">
        <v>752</v>
      </c>
      <c r="Y7550">
        <v>467</v>
      </c>
      <c r="Z7550" s="259" t="s">
        <v>692</v>
      </c>
      <c r="AZ7550" t="s">
        <v>1259</v>
      </c>
      <c r="BA7550">
        <v>178.6</v>
      </c>
      <c r="BB7550" t="s">
        <v>564</v>
      </c>
      <c r="BC7550" t="s">
        <v>793</v>
      </c>
      <c r="BD7550">
        <v>0</v>
      </c>
      <c r="BE7550">
        <v>46302</v>
      </c>
      <c r="BF7550" t="s">
        <v>588</v>
      </c>
    </row>
    <row r="7551" spans="3:58" x14ac:dyDescent="0.35">
      <c r="C7551">
        <v>45944</v>
      </c>
      <c r="F7551" t="s">
        <v>752</v>
      </c>
      <c r="Y7551">
        <v>468</v>
      </c>
      <c r="Z7551" s="259" t="s">
        <v>692</v>
      </c>
      <c r="AZ7551" t="s">
        <v>1260</v>
      </c>
      <c r="BA7551">
        <v>178.73</v>
      </c>
      <c r="BB7551" t="s">
        <v>564</v>
      </c>
      <c r="BC7551" t="s">
        <v>793</v>
      </c>
      <c r="BD7551">
        <v>0</v>
      </c>
      <c r="BE7551">
        <v>46302</v>
      </c>
      <c r="BF7551" t="s">
        <v>588</v>
      </c>
    </row>
    <row r="7552" spans="3:58" x14ac:dyDescent="0.35">
      <c r="C7552">
        <v>45945</v>
      </c>
      <c r="F7552" t="s">
        <v>752</v>
      </c>
      <c r="Y7552">
        <v>469</v>
      </c>
      <c r="Z7552" s="259" t="s">
        <v>692</v>
      </c>
      <c r="AZ7552" t="s">
        <v>1261</v>
      </c>
      <c r="BA7552">
        <v>178.87</v>
      </c>
      <c r="BB7552" t="s">
        <v>564</v>
      </c>
      <c r="BC7552" t="s">
        <v>793</v>
      </c>
      <c r="BD7552">
        <v>0</v>
      </c>
      <c r="BE7552">
        <v>46302</v>
      </c>
      <c r="BF7552" t="s">
        <v>588</v>
      </c>
    </row>
    <row r="7553" spans="3:58" x14ac:dyDescent="0.35">
      <c r="C7553">
        <v>45946</v>
      </c>
      <c r="F7553" t="s">
        <v>752</v>
      </c>
      <c r="Y7553">
        <v>470</v>
      </c>
      <c r="Z7553" s="259" t="s">
        <v>692</v>
      </c>
      <c r="AZ7553" t="s">
        <v>1262</v>
      </c>
      <c r="BA7553">
        <v>179</v>
      </c>
      <c r="BB7553" t="s">
        <v>564</v>
      </c>
      <c r="BC7553" t="s">
        <v>793</v>
      </c>
      <c r="BD7553">
        <v>0</v>
      </c>
      <c r="BE7553">
        <v>46302</v>
      </c>
      <c r="BF7553" t="s">
        <v>588</v>
      </c>
    </row>
    <row r="7554" spans="3:58" x14ac:dyDescent="0.35">
      <c r="C7554">
        <v>45947</v>
      </c>
      <c r="F7554" t="s">
        <v>752</v>
      </c>
      <c r="Y7554">
        <v>471</v>
      </c>
      <c r="Z7554" s="259" t="s">
        <v>692</v>
      </c>
      <c r="AZ7554" t="s">
        <v>1263</v>
      </c>
      <c r="BA7554">
        <v>179.13</v>
      </c>
      <c r="BB7554" t="s">
        <v>564</v>
      </c>
      <c r="BC7554" t="s">
        <v>793</v>
      </c>
      <c r="BD7554">
        <v>0</v>
      </c>
      <c r="BE7554">
        <v>46302</v>
      </c>
      <c r="BF7554" t="s">
        <v>588</v>
      </c>
    </row>
    <row r="7555" spans="3:58" x14ac:dyDescent="0.35">
      <c r="C7555">
        <v>45950</v>
      </c>
      <c r="F7555" t="s">
        <v>752</v>
      </c>
      <c r="Y7555">
        <v>472</v>
      </c>
      <c r="Z7555" s="259" t="s">
        <v>692</v>
      </c>
      <c r="AZ7555" t="s">
        <v>1264</v>
      </c>
      <c r="BA7555">
        <v>179.53</v>
      </c>
      <c r="BB7555" t="s">
        <v>564</v>
      </c>
      <c r="BC7555" t="s">
        <v>793</v>
      </c>
      <c r="BD7555">
        <v>0</v>
      </c>
      <c r="BE7555">
        <v>46302</v>
      </c>
      <c r="BF7555" t="s">
        <v>588</v>
      </c>
    </row>
    <row r="7556" spans="3:58" x14ac:dyDescent="0.35">
      <c r="C7556">
        <v>45951</v>
      </c>
      <c r="F7556" t="s">
        <v>752</v>
      </c>
      <c r="Y7556">
        <v>473</v>
      </c>
      <c r="Z7556" s="259" t="s">
        <v>692</v>
      </c>
      <c r="AZ7556" t="s">
        <v>1265</v>
      </c>
      <c r="BA7556">
        <v>179.67</v>
      </c>
      <c r="BB7556" t="s">
        <v>564</v>
      </c>
      <c r="BC7556" t="s">
        <v>793</v>
      </c>
      <c r="BD7556">
        <v>0</v>
      </c>
      <c r="BE7556">
        <v>46302</v>
      </c>
      <c r="BF7556" t="s">
        <v>588</v>
      </c>
    </row>
    <row r="7557" spans="3:58" x14ac:dyDescent="0.35">
      <c r="C7557">
        <v>45952</v>
      </c>
      <c r="F7557" t="s">
        <v>752</v>
      </c>
      <c r="Y7557">
        <v>474</v>
      </c>
      <c r="Z7557" s="259" t="s">
        <v>692</v>
      </c>
      <c r="AZ7557" t="s">
        <v>1266</v>
      </c>
      <c r="BA7557">
        <v>179.8</v>
      </c>
      <c r="BB7557" t="s">
        <v>564</v>
      </c>
      <c r="BC7557" t="s">
        <v>793</v>
      </c>
      <c r="BD7557">
        <v>0</v>
      </c>
      <c r="BE7557">
        <v>46302</v>
      </c>
      <c r="BF7557" t="s">
        <v>588</v>
      </c>
    </row>
    <row r="7558" spans="3:58" x14ac:dyDescent="0.35">
      <c r="C7558">
        <v>45953</v>
      </c>
      <c r="F7558" t="s">
        <v>752</v>
      </c>
      <c r="Y7558">
        <v>475</v>
      </c>
      <c r="Z7558" s="259" t="s">
        <v>692</v>
      </c>
      <c r="AZ7558" t="s">
        <v>1267</v>
      </c>
      <c r="BA7558">
        <v>179.93</v>
      </c>
      <c r="BB7558" t="s">
        <v>564</v>
      </c>
      <c r="BC7558" t="s">
        <v>793</v>
      </c>
      <c r="BD7558">
        <v>0</v>
      </c>
      <c r="BE7558">
        <v>46302</v>
      </c>
      <c r="BF7558" t="s">
        <v>588</v>
      </c>
    </row>
    <row r="7559" spans="3:58" x14ac:dyDescent="0.35">
      <c r="C7559">
        <v>45954</v>
      </c>
      <c r="F7559" t="s">
        <v>752</v>
      </c>
      <c r="Y7559">
        <v>476</v>
      </c>
      <c r="Z7559" s="259" t="s">
        <v>692</v>
      </c>
      <c r="AZ7559" t="s">
        <v>1268</v>
      </c>
      <c r="BA7559">
        <v>180.07</v>
      </c>
      <c r="BB7559" t="s">
        <v>564</v>
      </c>
      <c r="BC7559" t="s">
        <v>793</v>
      </c>
      <c r="BD7559">
        <v>0</v>
      </c>
      <c r="BE7559">
        <v>46302</v>
      </c>
      <c r="BF7559" t="s">
        <v>588</v>
      </c>
    </row>
    <row r="7560" spans="3:58" x14ac:dyDescent="0.35">
      <c r="C7560">
        <v>45957</v>
      </c>
      <c r="F7560" t="s">
        <v>752</v>
      </c>
      <c r="Y7560">
        <v>477</v>
      </c>
      <c r="Z7560" s="259" t="s">
        <v>692</v>
      </c>
      <c r="AZ7560" t="s">
        <v>1269</v>
      </c>
      <c r="BA7560">
        <v>180.47</v>
      </c>
      <c r="BB7560" t="s">
        <v>564</v>
      </c>
      <c r="BC7560" t="s">
        <v>793</v>
      </c>
      <c r="BD7560">
        <v>0</v>
      </c>
      <c r="BE7560">
        <v>46302</v>
      </c>
      <c r="BF7560" t="s">
        <v>588</v>
      </c>
    </row>
    <row r="7561" spans="3:58" x14ac:dyDescent="0.35">
      <c r="C7561">
        <v>45958</v>
      </c>
      <c r="F7561" t="s">
        <v>752</v>
      </c>
      <c r="Y7561">
        <v>478</v>
      </c>
      <c r="Z7561" s="259" t="s">
        <v>692</v>
      </c>
      <c r="AZ7561" t="s">
        <v>1270</v>
      </c>
      <c r="BA7561">
        <v>180.6</v>
      </c>
      <c r="BB7561" t="s">
        <v>564</v>
      </c>
      <c r="BC7561" t="s">
        <v>793</v>
      </c>
      <c r="BD7561">
        <v>0</v>
      </c>
      <c r="BE7561">
        <v>46302</v>
      </c>
      <c r="BF7561" t="s">
        <v>588</v>
      </c>
    </row>
    <row r="7562" spans="3:58" x14ac:dyDescent="0.35">
      <c r="C7562">
        <v>45959</v>
      </c>
      <c r="F7562" t="s">
        <v>752</v>
      </c>
      <c r="Y7562">
        <v>479</v>
      </c>
      <c r="Z7562" s="259" t="s">
        <v>692</v>
      </c>
      <c r="AZ7562" t="s">
        <v>1271</v>
      </c>
      <c r="BA7562">
        <v>180.73</v>
      </c>
      <c r="BB7562" t="s">
        <v>564</v>
      </c>
      <c r="BC7562" t="s">
        <v>793</v>
      </c>
      <c r="BD7562">
        <v>0</v>
      </c>
      <c r="BE7562">
        <v>46302</v>
      </c>
      <c r="BF7562" t="s">
        <v>588</v>
      </c>
    </row>
    <row r="7563" spans="3:58" x14ac:dyDescent="0.35">
      <c r="C7563">
        <v>45960</v>
      </c>
      <c r="F7563" t="s">
        <v>752</v>
      </c>
      <c r="Y7563">
        <v>480</v>
      </c>
      <c r="Z7563" s="259" t="s">
        <v>692</v>
      </c>
      <c r="AZ7563" t="s">
        <v>1272</v>
      </c>
      <c r="BA7563">
        <v>180.87</v>
      </c>
      <c r="BB7563" t="s">
        <v>564</v>
      </c>
      <c r="BC7563" t="s">
        <v>793</v>
      </c>
      <c r="BD7563">
        <v>0</v>
      </c>
      <c r="BE7563">
        <v>46302</v>
      </c>
      <c r="BF7563" t="s">
        <v>588</v>
      </c>
    </row>
    <row r="7564" spans="3:58" x14ac:dyDescent="0.35">
      <c r="C7564">
        <v>45961</v>
      </c>
      <c r="F7564" t="s">
        <v>752</v>
      </c>
      <c r="Y7564">
        <v>481</v>
      </c>
      <c r="Z7564" s="259" t="s">
        <v>692</v>
      </c>
      <c r="AZ7564" t="s">
        <v>1273</v>
      </c>
      <c r="BA7564">
        <v>181</v>
      </c>
      <c r="BB7564" t="s">
        <v>564</v>
      </c>
      <c r="BC7564" t="s">
        <v>793</v>
      </c>
      <c r="BD7564">
        <v>0</v>
      </c>
      <c r="BE7564">
        <v>46302</v>
      </c>
      <c r="BF7564" t="s">
        <v>588</v>
      </c>
    </row>
    <row r="7565" spans="3:58" x14ac:dyDescent="0.35">
      <c r="C7565">
        <v>45964</v>
      </c>
      <c r="F7565" t="s">
        <v>752</v>
      </c>
      <c r="Y7565">
        <v>482</v>
      </c>
      <c r="Z7565" s="259" t="s">
        <v>692</v>
      </c>
      <c r="AZ7565" t="s">
        <v>1274</v>
      </c>
      <c r="BA7565">
        <v>180.24</v>
      </c>
      <c r="BB7565" t="s">
        <v>564</v>
      </c>
      <c r="BC7565" t="s">
        <v>793</v>
      </c>
      <c r="BD7565">
        <v>0</v>
      </c>
      <c r="BE7565">
        <v>46302</v>
      </c>
      <c r="BF7565" t="s">
        <v>588</v>
      </c>
    </row>
    <row r="7566" spans="3:58" x14ac:dyDescent="0.35">
      <c r="C7566">
        <v>45965</v>
      </c>
      <c r="F7566" t="s">
        <v>752</v>
      </c>
      <c r="Y7566">
        <v>483</v>
      </c>
      <c r="Z7566" s="259" t="s">
        <v>692</v>
      </c>
      <c r="AZ7566" t="s">
        <v>1275</v>
      </c>
      <c r="BA7566">
        <v>179.86</v>
      </c>
      <c r="BB7566" t="s">
        <v>564</v>
      </c>
      <c r="BC7566" t="s">
        <v>793</v>
      </c>
      <c r="BD7566">
        <v>0</v>
      </c>
      <c r="BE7566">
        <v>46302</v>
      </c>
      <c r="BF7566" t="s">
        <v>588</v>
      </c>
    </row>
    <row r="7567" spans="3:58" x14ac:dyDescent="0.35">
      <c r="C7567">
        <v>45966</v>
      </c>
      <c r="F7567" t="s">
        <v>752</v>
      </c>
      <c r="Y7567">
        <v>484</v>
      </c>
      <c r="Z7567" s="259" t="s">
        <v>692</v>
      </c>
      <c r="AZ7567" t="s">
        <v>1276</v>
      </c>
      <c r="BA7567">
        <v>179.48</v>
      </c>
      <c r="BB7567" t="s">
        <v>564</v>
      </c>
      <c r="BC7567" t="s">
        <v>793</v>
      </c>
      <c r="BD7567">
        <v>0</v>
      </c>
      <c r="BE7567">
        <v>46302</v>
      </c>
      <c r="BF7567" t="s">
        <v>588</v>
      </c>
    </row>
    <row r="7568" spans="3:58" x14ac:dyDescent="0.35">
      <c r="C7568">
        <v>45967</v>
      </c>
      <c r="F7568" t="s">
        <v>752</v>
      </c>
      <c r="Y7568">
        <v>485</v>
      </c>
      <c r="Z7568" s="259" t="s">
        <v>692</v>
      </c>
      <c r="AZ7568" t="s">
        <v>1277</v>
      </c>
      <c r="BA7568">
        <v>179.1</v>
      </c>
      <c r="BB7568" t="s">
        <v>564</v>
      </c>
      <c r="BC7568" t="s">
        <v>793</v>
      </c>
      <c r="BD7568">
        <v>0</v>
      </c>
      <c r="BE7568">
        <v>46302</v>
      </c>
      <c r="BF7568" t="s">
        <v>588</v>
      </c>
    </row>
    <row r="7569" spans="3:58" x14ac:dyDescent="0.35">
      <c r="C7569">
        <v>45968</v>
      </c>
      <c r="F7569" t="s">
        <v>752</v>
      </c>
      <c r="Y7569">
        <v>486</v>
      </c>
      <c r="Z7569" s="259" t="s">
        <v>692</v>
      </c>
      <c r="AZ7569" t="s">
        <v>1278</v>
      </c>
      <c r="BA7569">
        <v>178.72</v>
      </c>
      <c r="BB7569" t="s">
        <v>564</v>
      </c>
      <c r="BC7569" t="s">
        <v>793</v>
      </c>
      <c r="BD7569">
        <v>0</v>
      </c>
      <c r="BE7569">
        <v>46302</v>
      </c>
      <c r="BF7569" t="s">
        <v>588</v>
      </c>
    </row>
    <row r="7570" spans="3:58" x14ac:dyDescent="0.35">
      <c r="C7570">
        <v>45971</v>
      </c>
      <c r="F7570" t="s">
        <v>752</v>
      </c>
      <c r="Y7570">
        <v>487</v>
      </c>
      <c r="Z7570" s="259" t="s">
        <v>692</v>
      </c>
      <c r="AZ7570" t="s">
        <v>1279</v>
      </c>
      <c r="BA7570">
        <v>177.59</v>
      </c>
      <c r="BB7570" t="s">
        <v>564</v>
      </c>
      <c r="BC7570" t="s">
        <v>793</v>
      </c>
      <c r="BD7570">
        <v>0</v>
      </c>
      <c r="BE7570">
        <v>46302</v>
      </c>
      <c r="BF7570" t="s">
        <v>588</v>
      </c>
    </row>
    <row r="7571" spans="3:58" x14ac:dyDescent="0.35">
      <c r="C7571">
        <v>45972</v>
      </c>
      <c r="F7571" t="s">
        <v>752</v>
      </c>
      <c r="Y7571">
        <v>488</v>
      </c>
      <c r="Z7571" s="259" t="s">
        <v>692</v>
      </c>
      <c r="AZ7571" t="s">
        <v>1280</v>
      </c>
      <c r="BA7571">
        <v>177.21</v>
      </c>
      <c r="BB7571" t="s">
        <v>564</v>
      </c>
      <c r="BC7571" t="s">
        <v>793</v>
      </c>
      <c r="BD7571">
        <v>0</v>
      </c>
      <c r="BE7571">
        <v>46302</v>
      </c>
      <c r="BF7571" t="s">
        <v>588</v>
      </c>
    </row>
    <row r="7572" spans="3:58" x14ac:dyDescent="0.35">
      <c r="C7572">
        <v>45973</v>
      </c>
      <c r="F7572" t="s">
        <v>752</v>
      </c>
      <c r="Y7572">
        <v>489</v>
      </c>
      <c r="Z7572" s="259" t="s">
        <v>692</v>
      </c>
      <c r="AZ7572" t="s">
        <v>1281</v>
      </c>
      <c r="BA7572">
        <v>176.83</v>
      </c>
      <c r="BB7572" t="s">
        <v>564</v>
      </c>
      <c r="BC7572" t="s">
        <v>793</v>
      </c>
      <c r="BD7572">
        <v>0</v>
      </c>
      <c r="BE7572">
        <v>46302</v>
      </c>
      <c r="BF7572" t="s">
        <v>588</v>
      </c>
    </row>
    <row r="7573" spans="3:58" x14ac:dyDescent="0.35">
      <c r="C7573">
        <v>45974</v>
      </c>
      <c r="F7573" t="s">
        <v>752</v>
      </c>
      <c r="Y7573">
        <v>490</v>
      </c>
      <c r="Z7573" s="259" t="s">
        <v>692</v>
      </c>
      <c r="AZ7573" t="s">
        <v>1282</v>
      </c>
      <c r="BA7573">
        <v>176.45</v>
      </c>
      <c r="BB7573" t="s">
        <v>564</v>
      </c>
      <c r="BC7573" t="s">
        <v>793</v>
      </c>
      <c r="BD7573">
        <v>0</v>
      </c>
      <c r="BE7573">
        <v>46302</v>
      </c>
      <c r="BF7573" t="s">
        <v>588</v>
      </c>
    </row>
    <row r="7574" spans="3:58" x14ac:dyDescent="0.35">
      <c r="C7574">
        <v>45975</v>
      </c>
      <c r="F7574" t="s">
        <v>752</v>
      </c>
      <c r="Y7574">
        <v>491</v>
      </c>
      <c r="Z7574" s="259" t="s">
        <v>692</v>
      </c>
      <c r="AZ7574" t="s">
        <v>1283</v>
      </c>
      <c r="BA7574">
        <v>176.07</v>
      </c>
      <c r="BB7574" t="s">
        <v>564</v>
      </c>
      <c r="BC7574" t="s">
        <v>793</v>
      </c>
      <c r="BD7574">
        <v>0</v>
      </c>
      <c r="BE7574">
        <v>46302</v>
      </c>
      <c r="BF7574" t="s">
        <v>588</v>
      </c>
    </row>
    <row r="7575" spans="3:58" x14ac:dyDescent="0.35">
      <c r="C7575">
        <v>45978</v>
      </c>
      <c r="F7575" t="s">
        <v>752</v>
      </c>
      <c r="Y7575">
        <v>492</v>
      </c>
      <c r="Z7575" s="259" t="s">
        <v>692</v>
      </c>
      <c r="AZ7575" t="s">
        <v>1284</v>
      </c>
      <c r="BA7575">
        <v>174.93</v>
      </c>
      <c r="BB7575" t="s">
        <v>564</v>
      </c>
      <c r="BC7575" t="s">
        <v>793</v>
      </c>
      <c r="BD7575">
        <v>0</v>
      </c>
      <c r="BE7575">
        <v>46302</v>
      </c>
      <c r="BF7575" t="s">
        <v>588</v>
      </c>
    </row>
    <row r="7576" spans="3:58" x14ac:dyDescent="0.35">
      <c r="C7576">
        <v>45979</v>
      </c>
      <c r="F7576" t="s">
        <v>752</v>
      </c>
      <c r="Y7576">
        <v>493</v>
      </c>
      <c r="Z7576" s="259" t="s">
        <v>692</v>
      </c>
      <c r="AZ7576" t="s">
        <v>1285</v>
      </c>
      <c r="BA7576">
        <v>174.55</v>
      </c>
      <c r="BB7576" t="s">
        <v>564</v>
      </c>
      <c r="BC7576" t="s">
        <v>793</v>
      </c>
      <c r="BD7576">
        <v>0</v>
      </c>
      <c r="BE7576">
        <v>46302</v>
      </c>
      <c r="BF7576" t="s">
        <v>588</v>
      </c>
    </row>
    <row r="7577" spans="3:58" x14ac:dyDescent="0.35">
      <c r="C7577">
        <v>45980</v>
      </c>
      <c r="F7577" t="s">
        <v>752</v>
      </c>
      <c r="Y7577">
        <v>494</v>
      </c>
      <c r="Z7577" s="259" t="s">
        <v>692</v>
      </c>
      <c r="AZ7577" t="s">
        <v>1286</v>
      </c>
      <c r="BA7577">
        <v>174.17</v>
      </c>
      <c r="BB7577" t="s">
        <v>564</v>
      </c>
      <c r="BC7577" t="s">
        <v>793</v>
      </c>
      <c r="BD7577">
        <v>0</v>
      </c>
      <c r="BE7577">
        <v>46302</v>
      </c>
      <c r="BF7577" t="s">
        <v>588</v>
      </c>
    </row>
    <row r="7578" spans="3:58" x14ac:dyDescent="0.35">
      <c r="C7578">
        <v>45981</v>
      </c>
      <c r="F7578" t="s">
        <v>752</v>
      </c>
      <c r="Y7578">
        <v>495</v>
      </c>
      <c r="Z7578" s="259" t="s">
        <v>692</v>
      </c>
      <c r="AZ7578" t="s">
        <v>1287</v>
      </c>
      <c r="BA7578">
        <v>173.79</v>
      </c>
      <c r="BB7578" t="s">
        <v>564</v>
      </c>
      <c r="BC7578" t="s">
        <v>793</v>
      </c>
      <c r="BD7578">
        <v>0</v>
      </c>
      <c r="BE7578">
        <v>46302</v>
      </c>
      <c r="BF7578" t="s">
        <v>588</v>
      </c>
    </row>
    <row r="7579" spans="3:58" x14ac:dyDescent="0.35">
      <c r="C7579">
        <v>45982</v>
      </c>
      <c r="F7579" t="s">
        <v>752</v>
      </c>
      <c r="Y7579">
        <v>496</v>
      </c>
      <c r="Z7579" s="259" t="s">
        <v>692</v>
      </c>
      <c r="AZ7579" t="s">
        <v>1288</v>
      </c>
      <c r="BA7579">
        <v>173.41</v>
      </c>
      <c r="BB7579" t="s">
        <v>564</v>
      </c>
      <c r="BC7579" t="s">
        <v>793</v>
      </c>
      <c r="BD7579">
        <v>0</v>
      </c>
      <c r="BE7579">
        <v>46302</v>
      </c>
      <c r="BF7579" t="s">
        <v>588</v>
      </c>
    </row>
    <row r="7580" spans="3:58" x14ac:dyDescent="0.35">
      <c r="C7580">
        <v>45985</v>
      </c>
      <c r="F7580" t="s">
        <v>752</v>
      </c>
      <c r="Y7580">
        <v>497</v>
      </c>
      <c r="Z7580" s="259" t="s">
        <v>692</v>
      </c>
      <c r="AZ7580" t="s">
        <v>1289</v>
      </c>
      <c r="BA7580">
        <v>172.28</v>
      </c>
      <c r="BB7580" t="s">
        <v>564</v>
      </c>
      <c r="BC7580" t="s">
        <v>793</v>
      </c>
      <c r="BD7580">
        <v>0</v>
      </c>
      <c r="BE7580">
        <v>46302</v>
      </c>
      <c r="BF7580" t="s">
        <v>588</v>
      </c>
    </row>
    <row r="7581" spans="3:58" x14ac:dyDescent="0.35">
      <c r="C7581">
        <v>45986</v>
      </c>
      <c r="F7581" t="s">
        <v>752</v>
      </c>
      <c r="Y7581">
        <v>498</v>
      </c>
      <c r="Z7581" s="259" t="s">
        <v>692</v>
      </c>
      <c r="AZ7581" t="s">
        <v>1290</v>
      </c>
      <c r="BA7581">
        <v>171.9</v>
      </c>
      <c r="BB7581" t="s">
        <v>564</v>
      </c>
      <c r="BC7581" t="s">
        <v>793</v>
      </c>
      <c r="BD7581">
        <v>0</v>
      </c>
      <c r="BE7581">
        <v>46302</v>
      </c>
      <c r="BF7581" t="s">
        <v>588</v>
      </c>
    </row>
    <row r="7582" spans="3:58" x14ac:dyDescent="0.35">
      <c r="C7582">
        <v>45987</v>
      </c>
      <c r="F7582" t="s">
        <v>752</v>
      </c>
      <c r="Y7582">
        <v>499</v>
      </c>
      <c r="Z7582" s="259" t="s">
        <v>692</v>
      </c>
      <c r="AZ7582" t="s">
        <v>1291</v>
      </c>
      <c r="BA7582">
        <v>171.52</v>
      </c>
      <c r="BB7582" t="s">
        <v>564</v>
      </c>
      <c r="BC7582" t="s">
        <v>793</v>
      </c>
      <c r="BD7582">
        <v>0</v>
      </c>
      <c r="BE7582">
        <v>46302</v>
      </c>
      <c r="BF7582" t="s">
        <v>588</v>
      </c>
    </row>
    <row r="7583" spans="3:58" x14ac:dyDescent="0.35">
      <c r="C7583">
        <v>45988</v>
      </c>
      <c r="F7583" t="s">
        <v>752</v>
      </c>
      <c r="Y7583">
        <v>500</v>
      </c>
      <c r="Z7583" s="259" t="s">
        <v>692</v>
      </c>
      <c r="AZ7583" t="s">
        <v>1292</v>
      </c>
      <c r="BA7583">
        <v>171.14</v>
      </c>
      <c r="BB7583" t="s">
        <v>564</v>
      </c>
      <c r="BC7583" t="s">
        <v>793</v>
      </c>
      <c r="BD7583">
        <v>0</v>
      </c>
      <c r="BE7583">
        <v>46302</v>
      </c>
      <c r="BF7583" t="s">
        <v>588</v>
      </c>
    </row>
    <row r="7584" spans="3:58" x14ac:dyDescent="0.35">
      <c r="C7584">
        <v>45989</v>
      </c>
      <c r="F7584" t="s">
        <v>752</v>
      </c>
      <c r="Y7584">
        <v>501</v>
      </c>
      <c r="Z7584" s="259" t="s">
        <v>692</v>
      </c>
      <c r="AZ7584" t="s">
        <v>1293</v>
      </c>
      <c r="BA7584">
        <v>170.76</v>
      </c>
      <c r="BB7584" t="s">
        <v>564</v>
      </c>
      <c r="BC7584" t="s">
        <v>793</v>
      </c>
      <c r="BD7584">
        <v>0</v>
      </c>
      <c r="BE7584">
        <v>46302</v>
      </c>
      <c r="BF7584" t="s">
        <v>588</v>
      </c>
    </row>
    <row r="7585" spans="3:58" x14ac:dyDescent="0.35">
      <c r="C7585">
        <v>45992</v>
      </c>
      <c r="F7585" t="s">
        <v>752</v>
      </c>
      <c r="Y7585">
        <v>502</v>
      </c>
      <c r="Z7585" s="259" t="s">
        <v>692</v>
      </c>
      <c r="AZ7585" t="s">
        <v>1294</v>
      </c>
      <c r="BA7585">
        <v>170</v>
      </c>
      <c r="BB7585" t="s">
        <v>564</v>
      </c>
      <c r="BC7585" t="s">
        <v>793</v>
      </c>
      <c r="BD7585">
        <v>0</v>
      </c>
      <c r="BE7585">
        <v>46302</v>
      </c>
      <c r="BF7585" t="s">
        <v>588</v>
      </c>
    </row>
    <row r="7586" spans="3:58" x14ac:dyDescent="0.35">
      <c r="C7586">
        <v>45993</v>
      </c>
      <c r="F7586" t="s">
        <v>752</v>
      </c>
      <c r="Y7586">
        <v>503</v>
      </c>
      <c r="Z7586" s="259" t="s">
        <v>692</v>
      </c>
      <c r="AZ7586" t="s">
        <v>1295</v>
      </c>
      <c r="BA7586">
        <v>169.97</v>
      </c>
      <c r="BB7586" t="s">
        <v>564</v>
      </c>
      <c r="BC7586" t="s">
        <v>793</v>
      </c>
      <c r="BD7586">
        <v>0</v>
      </c>
      <c r="BE7586">
        <v>46302</v>
      </c>
      <c r="BF7586" t="s">
        <v>588</v>
      </c>
    </row>
    <row r="7587" spans="3:58" x14ac:dyDescent="0.35">
      <c r="C7587">
        <v>45994</v>
      </c>
      <c r="F7587" t="s">
        <v>752</v>
      </c>
      <c r="Y7587">
        <v>504</v>
      </c>
      <c r="Z7587" s="259" t="s">
        <v>692</v>
      </c>
      <c r="AZ7587" t="s">
        <v>1296</v>
      </c>
      <c r="BA7587">
        <v>169.93</v>
      </c>
      <c r="BB7587" t="s">
        <v>564</v>
      </c>
      <c r="BC7587" t="s">
        <v>793</v>
      </c>
      <c r="BD7587">
        <v>0</v>
      </c>
      <c r="BE7587">
        <v>46302</v>
      </c>
      <c r="BF7587" t="s">
        <v>588</v>
      </c>
    </row>
    <row r="7588" spans="3:58" x14ac:dyDescent="0.35">
      <c r="C7588">
        <v>45995</v>
      </c>
      <c r="F7588" t="s">
        <v>752</v>
      </c>
      <c r="Y7588">
        <v>505</v>
      </c>
      <c r="Z7588" s="259" t="s">
        <v>692</v>
      </c>
      <c r="AZ7588" t="s">
        <v>1297</v>
      </c>
      <c r="BA7588">
        <v>169.9</v>
      </c>
      <c r="BB7588" t="s">
        <v>564</v>
      </c>
      <c r="BC7588" t="s">
        <v>793</v>
      </c>
      <c r="BD7588">
        <v>0</v>
      </c>
      <c r="BE7588">
        <v>46302</v>
      </c>
      <c r="BF7588" t="s">
        <v>588</v>
      </c>
    </row>
    <row r="7589" spans="3:58" x14ac:dyDescent="0.35">
      <c r="C7589">
        <v>45996</v>
      </c>
      <c r="F7589" t="s">
        <v>752</v>
      </c>
      <c r="Y7589">
        <v>506</v>
      </c>
      <c r="Z7589" s="259" t="s">
        <v>692</v>
      </c>
      <c r="AZ7589" t="s">
        <v>1298</v>
      </c>
      <c r="BA7589">
        <v>169.87</v>
      </c>
      <c r="BB7589" t="s">
        <v>564</v>
      </c>
      <c r="BC7589" t="s">
        <v>793</v>
      </c>
      <c r="BD7589">
        <v>0</v>
      </c>
      <c r="BE7589">
        <v>46302</v>
      </c>
      <c r="BF7589" t="s">
        <v>588</v>
      </c>
    </row>
    <row r="7590" spans="3:58" x14ac:dyDescent="0.35">
      <c r="C7590">
        <v>45999</v>
      </c>
      <c r="F7590" t="s">
        <v>752</v>
      </c>
      <c r="Y7590">
        <v>507</v>
      </c>
      <c r="Z7590" s="259" t="s">
        <v>692</v>
      </c>
      <c r="AZ7590" t="s">
        <v>1299</v>
      </c>
      <c r="BA7590">
        <v>169.77</v>
      </c>
      <c r="BB7590" t="s">
        <v>564</v>
      </c>
      <c r="BC7590" t="s">
        <v>793</v>
      </c>
      <c r="BD7590">
        <v>0</v>
      </c>
      <c r="BE7590">
        <v>46302</v>
      </c>
      <c r="BF7590" t="s">
        <v>588</v>
      </c>
    </row>
    <row r="7591" spans="3:58" x14ac:dyDescent="0.35">
      <c r="C7591">
        <v>46000</v>
      </c>
      <c r="F7591" t="s">
        <v>752</v>
      </c>
      <c r="Y7591">
        <v>508</v>
      </c>
      <c r="Z7591" s="259" t="s">
        <v>692</v>
      </c>
      <c r="AZ7591" t="s">
        <v>1300</v>
      </c>
      <c r="BA7591">
        <v>169.73</v>
      </c>
      <c r="BB7591" t="s">
        <v>564</v>
      </c>
      <c r="BC7591" t="s">
        <v>793</v>
      </c>
      <c r="BD7591">
        <v>0</v>
      </c>
      <c r="BE7591">
        <v>46302</v>
      </c>
      <c r="BF7591" t="s">
        <v>588</v>
      </c>
    </row>
    <row r="7592" spans="3:58" x14ac:dyDescent="0.35">
      <c r="C7592">
        <v>46001</v>
      </c>
      <c r="F7592" t="s">
        <v>752</v>
      </c>
      <c r="Y7592">
        <v>509</v>
      </c>
      <c r="Z7592" s="259" t="s">
        <v>692</v>
      </c>
      <c r="AZ7592" t="s">
        <v>1301</v>
      </c>
      <c r="BA7592">
        <v>169.7</v>
      </c>
      <c r="BB7592" t="s">
        <v>564</v>
      </c>
      <c r="BC7592" t="s">
        <v>793</v>
      </c>
      <c r="BD7592">
        <v>0</v>
      </c>
      <c r="BE7592">
        <v>46302</v>
      </c>
      <c r="BF7592" t="s">
        <v>588</v>
      </c>
    </row>
    <row r="7593" spans="3:58" x14ac:dyDescent="0.35">
      <c r="C7593">
        <v>46002</v>
      </c>
      <c r="F7593" t="s">
        <v>752</v>
      </c>
      <c r="Y7593">
        <v>510</v>
      </c>
      <c r="Z7593" s="259" t="s">
        <v>692</v>
      </c>
      <c r="AZ7593" t="s">
        <v>1302</v>
      </c>
      <c r="BA7593">
        <v>169.67</v>
      </c>
      <c r="BB7593" t="s">
        <v>564</v>
      </c>
      <c r="BC7593" t="s">
        <v>793</v>
      </c>
      <c r="BD7593">
        <v>0</v>
      </c>
      <c r="BE7593">
        <v>46302</v>
      </c>
      <c r="BF7593" t="s">
        <v>588</v>
      </c>
    </row>
    <row r="7594" spans="3:58" x14ac:dyDescent="0.35">
      <c r="C7594">
        <v>46003</v>
      </c>
      <c r="F7594" t="s">
        <v>752</v>
      </c>
      <c r="Y7594">
        <v>511</v>
      </c>
      <c r="Z7594" s="259" t="s">
        <v>692</v>
      </c>
      <c r="AZ7594" t="s">
        <v>1303</v>
      </c>
      <c r="BA7594">
        <v>169.63</v>
      </c>
      <c r="BB7594" t="s">
        <v>564</v>
      </c>
      <c r="BC7594" t="s">
        <v>793</v>
      </c>
      <c r="BD7594">
        <v>0</v>
      </c>
      <c r="BE7594">
        <v>46302</v>
      </c>
      <c r="BF7594" t="s">
        <v>588</v>
      </c>
    </row>
    <row r="7595" spans="3:58" x14ac:dyDescent="0.35">
      <c r="C7595">
        <v>46006</v>
      </c>
      <c r="F7595" t="s">
        <v>752</v>
      </c>
      <c r="Y7595">
        <v>512</v>
      </c>
      <c r="Z7595" s="259" t="s">
        <v>692</v>
      </c>
      <c r="AZ7595" t="s">
        <v>1304</v>
      </c>
      <c r="BA7595">
        <v>169.53</v>
      </c>
      <c r="BB7595" t="s">
        <v>564</v>
      </c>
      <c r="BC7595" t="s">
        <v>793</v>
      </c>
      <c r="BD7595">
        <v>0</v>
      </c>
      <c r="BE7595">
        <v>46302</v>
      </c>
      <c r="BF7595" t="s">
        <v>588</v>
      </c>
    </row>
    <row r="7596" spans="3:58" x14ac:dyDescent="0.35">
      <c r="C7596">
        <v>46007</v>
      </c>
      <c r="F7596" t="s">
        <v>752</v>
      </c>
      <c r="Y7596">
        <v>513</v>
      </c>
      <c r="Z7596" s="259" t="s">
        <v>692</v>
      </c>
      <c r="AZ7596" t="s">
        <v>1305</v>
      </c>
      <c r="BA7596">
        <v>169.5</v>
      </c>
      <c r="BB7596" t="s">
        <v>564</v>
      </c>
      <c r="BC7596" t="s">
        <v>793</v>
      </c>
      <c r="BD7596">
        <v>0</v>
      </c>
      <c r="BE7596">
        <v>46302</v>
      </c>
      <c r="BF7596" t="s">
        <v>588</v>
      </c>
    </row>
    <row r="7597" spans="3:58" x14ac:dyDescent="0.35">
      <c r="C7597">
        <v>46008</v>
      </c>
      <c r="F7597" t="s">
        <v>752</v>
      </c>
      <c r="Y7597">
        <v>514</v>
      </c>
      <c r="Z7597" s="259" t="s">
        <v>692</v>
      </c>
      <c r="AZ7597" t="s">
        <v>1306</v>
      </c>
      <c r="BA7597">
        <v>169.47</v>
      </c>
      <c r="BB7597" t="s">
        <v>564</v>
      </c>
      <c r="BC7597" t="s">
        <v>793</v>
      </c>
      <c r="BD7597">
        <v>0</v>
      </c>
      <c r="BE7597">
        <v>46302</v>
      </c>
      <c r="BF7597" t="s">
        <v>588</v>
      </c>
    </row>
    <row r="7598" spans="3:58" x14ac:dyDescent="0.35">
      <c r="C7598">
        <v>46009</v>
      </c>
      <c r="F7598" t="s">
        <v>752</v>
      </c>
      <c r="Y7598">
        <v>515</v>
      </c>
      <c r="Z7598" s="259" t="s">
        <v>692</v>
      </c>
      <c r="AZ7598" t="s">
        <v>1307</v>
      </c>
      <c r="BA7598">
        <v>169.43</v>
      </c>
      <c r="BB7598" t="s">
        <v>564</v>
      </c>
      <c r="BC7598" t="s">
        <v>793</v>
      </c>
      <c r="BD7598">
        <v>0</v>
      </c>
      <c r="BE7598">
        <v>46302</v>
      </c>
      <c r="BF7598" t="s">
        <v>588</v>
      </c>
    </row>
    <row r="7599" spans="3:58" x14ac:dyDescent="0.35">
      <c r="C7599">
        <v>46010</v>
      </c>
      <c r="F7599" t="s">
        <v>752</v>
      </c>
      <c r="Y7599">
        <v>516</v>
      </c>
      <c r="Z7599" s="259" t="s">
        <v>692</v>
      </c>
      <c r="AZ7599" t="s">
        <v>1308</v>
      </c>
      <c r="BA7599">
        <v>169.4</v>
      </c>
      <c r="BB7599" t="s">
        <v>564</v>
      </c>
      <c r="BC7599" t="s">
        <v>793</v>
      </c>
      <c r="BD7599">
        <v>0</v>
      </c>
      <c r="BE7599">
        <v>46302</v>
      </c>
      <c r="BF7599" t="s">
        <v>588</v>
      </c>
    </row>
    <row r="7600" spans="3:58" x14ac:dyDescent="0.35">
      <c r="C7600">
        <v>46013</v>
      </c>
      <c r="F7600" t="s">
        <v>752</v>
      </c>
      <c r="Y7600">
        <v>517</v>
      </c>
      <c r="Z7600" s="259" t="s">
        <v>692</v>
      </c>
      <c r="AZ7600" t="s">
        <v>1309</v>
      </c>
      <c r="BA7600">
        <v>169.3</v>
      </c>
      <c r="BB7600" t="s">
        <v>564</v>
      </c>
      <c r="BC7600" t="s">
        <v>793</v>
      </c>
      <c r="BD7600">
        <v>0</v>
      </c>
      <c r="BE7600">
        <v>46302</v>
      </c>
      <c r="BF7600" t="s">
        <v>588</v>
      </c>
    </row>
    <row r="7601" spans="3:58" x14ac:dyDescent="0.35">
      <c r="C7601">
        <v>46014</v>
      </c>
      <c r="F7601" t="s">
        <v>752</v>
      </c>
      <c r="Y7601">
        <v>518</v>
      </c>
      <c r="Z7601" s="259" t="s">
        <v>692</v>
      </c>
      <c r="AZ7601" t="s">
        <v>1310</v>
      </c>
      <c r="BA7601">
        <v>169.27</v>
      </c>
      <c r="BB7601" t="s">
        <v>564</v>
      </c>
      <c r="BC7601" t="s">
        <v>793</v>
      </c>
      <c r="BD7601">
        <v>0</v>
      </c>
      <c r="BE7601">
        <v>46302</v>
      </c>
      <c r="BF7601" t="s">
        <v>588</v>
      </c>
    </row>
    <row r="7602" spans="3:58" x14ac:dyDescent="0.35">
      <c r="C7602">
        <v>46015</v>
      </c>
      <c r="F7602" t="s">
        <v>752</v>
      </c>
      <c r="Y7602">
        <v>519</v>
      </c>
      <c r="Z7602" s="259" t="s">
        <v>692</v>
      </c>
      <c r="AZ7602" t="s">
        <v>1311</v>
      </c>
      <c r="BA7602">
        <v>169.23</v>
      </c>
      <c r="BB7602" t="s">
        <v>564</v>
      </c>
      <c r="BC7602" t="s">
        <v>793</v>
      </c>
      <c r="BD7602">
        <v>0</v>
      </c>
      <c r="BE7602">
        <v>46302</v>
      </c>
      <c r="BF7602" t="s">
        <v>588</v>
      </c>
    </row>
    <row r="7603" spans="3:58" x14ac:dyDescent="0.35">
      <c r="C7603">
        <v>46016</v>
      </c>
      <c r="F7603" t="s">
        <v>752</v>
      </c>
      <c r="Y7603">
        <v>520</v>
      </c>
      <c r="Z7603" s="259" t="s">
        <v>692</v>
      </c>
      <c r="AZ7603" t="s">
        <v>1312</v>
      </c>
      <c r="BA7603">
        <v>169.2</v>
      </c>
      <c r="BB7603" t="s">
        <v>564</v>
      </c>
      <c r="BC7603" t="s">
        <v>793</v>
      </c>
      <c r="BD7603">
        <v>0</v>
      </c>
      <c r="BE7603">
        <v>46302</v>
      </c>
      <c r="BF7603" t="s">
        <v>588</v>
      </c>
    </row>
    <row r="7604" spans="3:58" x14ac:dyDescent="0.35">
      <c r="C7604">
        <v>46017</v>
      </c>
      <c r="F7604" t="s">
        <v>752</v>
      </c>
      <c r="Y7604">
        <v>521</v>
      </c>
      <c r="Z7604" s="259" t="s">
        <v>692</v>
      </c>
      <c r="AZ7604" t="s">
        <v>1313</v>
      </c>
      <c r="BA7604">
        <v>169.17</v>
      </c>
      <c r="BB7604" t="s">
        <v>564</v>
      </c>
      <c r="BC7604" t="s">
        <v>793</v>
      </c>
      <c r="BD7604">
        <v>0</v>
      </c>
      <c r="BE7604">
        <v>46302</v>
      </c>
      <c r="BF7604" t="s">
        <v>588</v>
      </c>
    </row>
    <row r="7605" spans="3:58" x14ac:dyDescent="0.35">
      <c r="C7605">
        <v>46020</v>
      </c>
      <c r="F7605" t="s">
        <v>752</v>
      </c>
      <c r="Y7605">
        <v>522</v>
      </c>
      <c r="Z7605" s="259" t="s">
        <v>692</v>
      </c>
      <c r="AZ7605" t="s">
        <v>1314</v>
      </c>
      <c r="BA7605">
        <v>169.07</v>
      </c>
      <c r="BB7605" t="s">
        <v>564</v>
      </c>
      <c r="BC7605" t="s">
        <v>793</v>
      </c>
      <c r="BD7605">
        <v>0</v>
      </c>
      <c r="BE7605">
        <v>46302</v>
      </c>
      <c r="BF7605" t="s">
        <v>588</v>
      </c>
    </row>
    <row r="7606" spans="3:58" x14ac:dyDescent="0.35">
      <c r="C7606">
        <v>46021</v>
      </c>
      <c r="F7606" t="s">
        <v>752</v>
      </c>
      <c r="Y7606">
        <v>523</v>
      </c>
      <c r="Z7606" s="259" t="s">
        <v>692</v>
      </c>
      <c r="AZ7606" t="s">
        <v>1315</v>
      </c>
      <c r="BA7606">
        <v>169.03</v>
      </c>
      <c r="BB7606" t="s">
        <v>564</v>
      </c>
      <c r="BC7606" t="s">
        <v>793</v>
      </c>
      <c r="BD7606">
        <v>0</v>
      </c>
      <c r="BE7606">
        <v>46302</v>
      </c>
      <c r="BF7606" t="s">
        <v>588</v>
      </c>
    </row>
    <row r="7607" spans="3:58" x14ac:dyDescent="0.35">
      <c r="C7607">
        <v>46022</v>
      </c>
      <c r="F7607" t="s">
        <v>752</v>
      </c>
      <c r="Y7607">
        <v>524</v>
      </c>
      <c r="Z7607" s="259" t="s">
        <v>692</v>
      </c>
      <c r="AZ7607" t="s">
        <v>1316</v>
      </c>
      <c r="BA7607">
        <v>169</v>
      </c>
      <c r="BB7607" t="s">
        <v>564</v>
      </c>
      <c r="BC7607" t="s">
        <v>793</v>
      </c>
      <c r="BD7607">
        <v>0</v>
      </c>
      <c r="BE7607">
        <v>46302</v>
      </c>
      <c r="BF7607" t="s">
        <v>588</v>
      </c>
    </row>
    <row r="7608" spans="3:58" x14ac:dyDescent="0.35">
      <c r="C7608">
        <v>45657</v>
      </c>
      <c r="F7608" t="s">
        <v>754</v>
      </c>
      <c r="Y7608">
        <v>525</v>
      </c>
      <c r="Z7608" s="259" t="s">
        <v>692</v>
      </c>
      <c r="AZ7608" t="s">
        <v>1317</v>
      </c>
      <c r="BA7608">
        <v>80</v>
      </c>
      <c r="BB7608" t="s">
        <v>564</v>
      </c>
      <c r="BC7608" t="s">
        <v>793</v>
      </c>
      <c r="BD7608">
        <v>0</v>
      </c>
      <c r="BE7608">
        <v>46302</v>
      </c>
      <c r="BF7608" t="s">
        <v>588</v>
      </c>
    </row>
    <row r="7609" spans="3:58" x14ac:dyDescent="0.35">
      <c r="C7609">
        <v>45658</v>
      </c>
      <c r="F7609" t="s">
        <v>754</v>
      </c>
      <c r="Y7609">
        <v>526</v>
      </c>
      <c r="Z7609" s="259" t="s">
        <v>692</v>
      </c>
      <c r="AZ7609" t="s">
        <v>1318</v>
      </c>
      <c r="BA7609">
        <v>80</v>
      </c>
      <c r="BB7609" t="s">
        <v>564</v>
      </c>
      <c r="BC7609" t="s">
        <v>793</v>
      </c>
      <c r="BD7609">
        <v>0</v>
      </c>
      <c r="BE7609">
        <v>46302</v>
      </c>
      <c r="BF7609" t="s">
        <v>588</v>
      </c>
    </row>
    <row r="7610" spans="3:58" x14ac:dyDescent="0.35">
      <c r="C7610">
        <v>45659</v>
      </c>
      <c r="F7610" t="s">
        <v>754</v>
      </c>
      <c r="Y7610">
        <v>527</v>
      </c>
      <c r="Z7610" s="259" t="s">
        <v>692</v>
      </c>
      <c r="AZ7610" t="s">
        <v>1319</v>
      </c>
      <c r="BA7610">
        <v>80.069999999999993</v>
      </c>
      <c r="BB7610" t="s">
        <v>564</v>
      </c>
      <c r="BC7610" t="s">
        <v>793</v>
      </c>
      <c r="BD7610">
        <v>0</v>
      </c>
      <c r="BE7610">
        <v>46302</v>
      </c>
      <c r="BF7610" t="s">
        <v>588</v>
      </c>
    </row>
    <row r="7611" spans="3:58" x14ac:dyDescent="0.35">
      <c r="C7611">
        <v>45660</v>
      </c>
      <c r="F7611" t="s">
        <v>754</v>
      </c>
      <c r="Y7611">
        <v>528</v>
      </c>
      <c r="Z7611" s="259" t="s">
        <v>692</v>
      </c>
      <c r="AZ7611" t="s">
        <v>1320</v>
      </c>
      <c r="BA7611">
        <v>80.13</v>
      </c>
      <c r="BB7611" t="s">
        <v>564</v>
      </c>
      <c r="BC7611" t="s">
        <v>793</v>
      </c>
      <c r="BD7611">
        <v>0</v>
      </c>
      <c r="BE7611">
        <v>46302</v>
      </c>
      <c r="BF7611" t="s">
        <v>588</v>
      </c>
    </row>
    <row r="7612" spans="3:58" x14ac:dyDescent="0.35">
      <c r="C7612">
        <v>45663</v>
      </c>
      <c r="F7612" t="s">
        <v>754</v>
      </c>
      <c r="Y7612">
        <v>529</v>
      </c>
      <c r="Z7612" s="259" t="s">
        <v>692</v>
      </c>
      <c r="AZ7612" t="s">
        <v>1321</v>
      </c>
      <c r="BA7612">
        <v>80.33</v>
      </c>
      <c r="BB7612" t="s">
        <v>564</v>
      </c>
      <c r="BC7612" t="s">
        <v>793</v>
      </c>
      <c r="BD7612">
        <v>0</v>
      </c>
      <c r="BE7612">
        <v>46302</v>
      </c>
      <c r="BF7612" t="s">
        <v>588</v>
      </c>
    </row>
    <row r="7613" spans="3:58" x14ac:dyDescent="0.35">
      <c r="C7613">
        <v>45664</v>
      </c>
      <c r="F7613" t="s">
        <v>754</v>
      </c>
      <c r="Y7613">
        <v>530</v>
      </c>
      <c r="Z7613" s="259" t="s">
        <v>692</v>
      </c>
      <c r="AZ7613" t="s">
        <v>1322</v>
      </c>
      <c r="BA7613">
        <v>80.400000000000006</v>
      </c>
      <c r="BB7613" t="s">
        <v>564</v>
      </c>
      <c r="BC7613" t="s">
        <v>793</v>
      </c>
      <c r="BD7613">
        <v>0</v>
      </c>
      <c r="BE7613">
        <v>46302</v>
      </c>
      <c r="BF7613" t="s">
        <v>588</v>
      </c>
    </row>
    <row r="7614" spans="3:58" x14ac:dyDescent="0.35">
      <c r="C7614">
        <v>45665</v>
      </c>
      <c r="F7614" t="s">
        <v>754</v>
      </c>
      <c r="Y7614">
        <v>531</v>
      </c>
      <c r="Z7614" s="259" t="s">
        <v>692</v>
      </c>
      <c r="AZ7614" t="s">
        <v>1323</v>
      </c>
      <c r="BA7614">
        <v>80.47</v>
      </c>
      <c r="BB7614" t="s">
        <v>564</v>
      </c>
      <c r="BC7614" t="s">
        <v>793</v>
      </c>
      <c r="BD7614">
        <v>0</v>
      </c>
      <c r="BE7614">
        <v>46302</v>
      </c>
      <c r="BF7614" t="s">
        <v>588</v>
      </c>
    </row>
    <row r="7615" spans="3:58" x14ac:dyDescent="0.35">
      <c r="C7615">
        <v>45666</v>
      </c>
      <c r="F7615" t="s">
        <v>754</v>
      </c>
      <c r="Y7615">
        <v>532</v>
      </c>
      <c r="Z7615" s="259" t="s">
        <v>692</v>
      </c>
      <c r="AZ7615" t="s">
        <v>1324</v>
      </c>
      <c r="BA7615">
        <v>80.53</v>
      </c>
      <c r="BB7615" t="s">
        <v>564</v>
      </c>
      <c r="BC7615" t="s">
        <v>793</v>
      </c>
      <c r="BD7615">
        <v>0</v>
      </c>
      <c r="BE7615">
        <v>46302</v>
      </c>
      <c r="BF7615" t="s">
        <v>588</v>
      </c>
    </row>
    <row r="7616" spans="3:58" x14ac:dyDescent="0.35">
      <c r="C7616">
        <v>45667</v>
      </c>
      <c r="F7616" t="s">
        <v>754</v>
      </c>
      <c r="Y7616">
        <v>533</v>
      </c>
      <c r="Z7616" s="259" t="s">
        <v>692</v>
      </c>
      <c r="AZ7616" t="s">
        <v>1325</v>
      </c>
      <c r="BA7616">
        <v>80.599999999999994</v>
      </c>
      <c r="BB7616" t="s">
        <v>564</v>
      </c>
      <c r="BC7616" t="s">
        <v>793</v>
      </c>
      <c r="BD7616">
        <v>0</v>
      </c>
      <c r="BE7616">
        <v>46302</v>
      </c>
      <c r="BF7616" t="s">
        <v>588</v>
      </c>
    </row>
    <row r="7617" spans="3:58" x14ac:dyDescent="0.35">
      <c r="C7617">
        <v>45670</v>
      </c>
      <c r="F7617" t="s">
        <v>754</v>
      </c>
      <c r="Y7617">
        <v>534</v>
      </c>
      <c r="Z7617" s="259" t="s">
        <v>692</v>
      </c>
      <c r="AZ7617" t="s">
        <v>1326</v>
      </c>
      <c r="BA7617">
        <v>80.8</v>
      </c>
      <c r="BB7617" t="s">
        <v>564</v>
      </c>
      <c r="BC7617" t="s">
        <v>793</v>
      </c>
      <c r="BD7617">
        <v>0</v>
      </c>
      <c r="BE7617">
        <v>46302</v>
      </c>
      <c r="BF7617" t="s">
        <v>588</v>
      </c>
    </row>
    <row r="7618" spans="3:58" x14ac:dyDescent="0.35">
      <c r="C7618">
        <v>45671</v>
      </c>
      <c r="F7618" t="s">
        <v>754</v>
      </c>
      <c r="Y7618">
        <v>535</v>
      </c>
      <c r="Z7618" s="259" t="s">
        <v>692</v>
      </c>
      <c r="AZ7618" t="s">
        <v>1327</v>
      </c>
      <c r="BA7618">
        <v>80.87</v>
      </c>
      <c r="BB7618" t="s">
        <v>564</v>
      </c>
      <c r="BC7618" t="s">
        <v>793</v>
      </c>
      <c r="BD7618">
        <v>0</v>
      </c>
      <c r="BE7618">
        <v>46302</v>
      </c>
      <c r="BF7618" t="s">
        <v>588</v>
      </c>
    </row>
    <row r="7619" spans="3:58" x14ac:dyDescent="0.35">
      <c r="C7619">
        <v>45672</v>
      </c>
      <c r="F7619" t="s">
        <v>754</v>
      </c>
      <c r="Y7619">
        <v>536</v>
      </c>
      <c r="Z7619" s="259" t="s">
        <v>692</v>
      </c>
      <c r="AZ7619" t="s">
        <v>1328</v>
      </c>
      <c r="BA7619">
        <v>80.930000000000007</v>
      </c>
      <c r="BB7619" t="s">
        <v>564</v>
      </c>
      <c r="BC7619" t="s">
        <v>793</v>
      </c>
      <c r="BD7619">
        <v>0</v>
      </c>
      <c r="BE7619">
        <v>46302</v>
      </c>
      <c r="BF7619" t="s">
        <v>588</v>
      </c>
    </row>
    <row r="7620" spans="3:58" x14ac:dyDescent="0.35">
      <c r="C7620">
        <v>45673</v>
      </c>
      <c r="F7620" t="s">
        <v>754</v>
      </c>
      <c r="Y7620">
        <v>537</v>
      </c>
      <c r="Z7620" s="259" t="s">
        <v>692</v>
      </c>
      <c r="AZ7620" t="s">
        <v>1329</v>
      </c>
      <c r="BA7620">
        <v>81</v>
      </c>
      <c r="BB7620" t="s">
        <v>564</v>
      </c>
      <c r="BC7620" t="s">
        <v>793</v>
      </c>
      <c r="BD7620">
        <v>0</v>
      </c>
      <c r="BE7620">
        <v>46302</v>
      </c>
      <c r="BF7620" t="s">
        <v>588</v>
      </c>
    </row>
    <row r="7621" spans="3:58" x14ac:dyDescent="0.35">
      <c r="C7621">
        <v>45674</v>
      </c>
      <c r="F7621" t="s">
        <v>754</v>
      </c>
      <c r="Y7621">
        <v>538</v>
      </c>
      <c r="Z7621" s="259" t="s">
        <v>692</v>
      </c>
      <c r="AZ7621" t="s">
        <v>1330</v>
      </c>
      <c r="BA7621">
        <v>81.069999999999993</v>
      </c>
      <c r="BB7621" t="s">
        <v>564</v>
      </c>
      <c r="BC7621" t="s">
        <v>793</v>
      </c>
      <c r="BD7621">
        <v>0</v>
      </c>
      <c r="BE7621">
        <v>46302</v>
      </c>
      <c r="BF7621" t="s">
        <v>588</v>
      </c>
    </row>
    <row r="7622" spans="3:58" x14ac:dyDescent="0.35">
      <c r="C7622">
        <v>45677</v>
      </c>
      <c r="F7622" t="s">
        <v>754</v>
      </c>
      <c r="Y7622">
        <v>539</v>
      </c>
      <c r="Z7622" s="259" t="s">
        <v>692</v>
      </c>
      <c r="AZ7622" t="s">
        <v>1331</v>
      </c>
      <c r="BA7622">
        <v>81.27</v>
      </c>
      <c r="BB7622" t="s">
        <v>564</v>
      </c>
      <c r="BC7622" t="s">
        <v>793</v>
      </c>
      <c r="BD7622">
        <v>0</v>
      </c>
      <c r="BE7622">
        <v>46302</v>
      </c>
      <c r="BF7622" t="s">
        <v>588</v>
      </c>
    </row>
    <row r="7623" spans="3:58" x14ac:dyDescent="0.35">
      <c r="C7623">
        <v>45678</v>
      </c>
      <c r="F7623" t="s">
        <v>754</v>
      </c>
      <c r="Y7623">
        <v>540</v>
      </c>
      <c r="Z7623" s="259" t="s">
        <v>692</v>
      </c>
      <c r="AZ7623" t="s">
        <v>1332</v>
      </c>
      <c r="BA7623">
        <v>81.33</v>
      </c>
      <c r="BB7623" t="s">
        <v>564</v>
      </c>
      <c r="BC7623" t="s">
        <v>793</v>
      </c>
      <c r="BD7623">
        <v>0</v>
      </c>
      <c r="BE7623">
        <v>46302</v>
      </c>
      <c r="BF7623" t="s">
        <v>588</v>
      </c>
    </row>
    <row r="7624" spans="3:58" x14ac:dyDescent="0.35">
      <c r="C7624">
        <v>45679</v>
      </c>
      <c r="F7624" t="s">
        <v>754</v>
      </c>
      <c r="Y7624">
        <v>541</v>
      </c>
      <c r="Z7624" s="259" t="s">
        <v>692</v>
      </c>
      <c r="AZ7624" t="s">
        <v>1333</v>
      </c>
      <c r="BA7624">
        <v>81.400000000000006</v>
      </c>
      <c r="BB7624" t="s">
        <v>564</v>
      </c>
      <c r="BC7624" t="s">
        <v>793</v>
      </c>
      <c r="BD7624">
        <v>0</v>
      </c>
      <c r="BE7624">
        <v>46302</v>
      </c>
      <c r="BF7624" t="s">
        <v>588</v>
      </c>
    </row>
    <row r="7625" spans="3:58" x14ac:dyDescent="0.35">
      <c r="C7625">
        <v>45680</v>
      </c>
      <c r="F7625" t="s">
        <v>754</v>
      </c>
      <c r="Y7625">
        <v>542</v>
      </c>
      <c r="Z7625" s="259" t="s">
        <v>692</v>
      </c>
      <c r="AZ7625" t="s">
        <v>1334</v>
      </c>
      <c r="BA7625">
        <v>81.47</v>
      </c>
      <c r="BB7625" t="s">
        <v>564</v>
      </c>
      <c r="BC7625" t="s">
        <v>793</v>
      </c>
      <c r="BD7625">
        <v>0</v>
      </c>
      <c r="BE7625">
        <v>46302</v>
      </c>
      <c r="BF7625" t="s">
        <v>588</v>
      </c>
    </row>
    <row r="7626" spans="3:58" x14ac:dyDescent="0.35">
      <c r="C7626">
        <v>45681</v>
      </c>
      <c r="F7626" t="s">
        <v>754</v>
      </c>
      <c r="Y7626">
        <v>543</v>
      </c>
      <c r="Z7626" s="259" t="s">
        <v>692</v>
      </c>
      <c r="AZ7626" t="s">
        <v>1335</v>
      </c>
      <c r="BA7626">
        <v>81.53</v>
      </c>
      <c r="BB7626" t="s">
        <v>564</v>
      </c>
      <c r="BC7626" t="s">
        <v>793</v>
      </c>
      <c r="BD7626">
        <v>0</v>
      </c>
      <c r="BE7626">
        <v>46302</v>
      </c>
      <c r="BF7626" t="s">
        <v>588</v>
      </c>
    </row>
    <row r="7627" spans="3:58" x14ac:dyDescent="0.35">
      <c r="C7627">
        <v>45684</v>
      </c>
      <c r="F7627" t="s">
        <v>754</v>
      </c>
      <c r="Y7627">
        <v>544</v>
      </c>
      <c r="Z7627" s="259" t="s">
        <v>692</v>
      </c>
      <c r="AZ7627" t="s">
        <v>1336</v>
      </c>
      <c r="BA7627">
        <v>81.73</v>
      </c>
      <c r="BB7627" t="s">
        <v>564</v>
      </c>
      <c r="BC7627" t="s">
        <v>793</v>
      </c>
      <c r="BD7627">
        <v>0</v>
      </c>
      <c r="BE7627">
        <v>46302</v>
      </c>
      <c r="BF7627" t="s">
        <v>588</v>
      </c>
    </row>
    <row r="7628" spans="3:58" x14ac:dyDescent="0.35">
      <c r="C7628">
        <v>45685</v>
      </c>
      <c r="F7628" t="s">
        <v>754</v>
      </c>
      <c r="Y7628">
        <v>545</v>
      </c>
      <c r="Z7628" s="259" t="s">
        <v>692</v>
      </c>
      <c r="AZ7628" t="s">
        <v>1337</v>
      </c>
      <c r="BA7628">
        <v>81.8</v>
      </c>
      <c r="BB7628" t="s">
        <v>564</v>
      </c>
      <c r="BC7628" t="s">
        <v>793</v>
      </c>
      <c r="BD7628">
        <v>0</v>
      </c>
      <c r="BE7628">
        <v>46302</v>
      </c>
      <c r="BF7628" t="s">
        <v>588</v>
      </c>
    </row>
    <row r="7629" spans="3:58" x14ac:dyDescent="0.35">
      <c r="C7629">
        <v>45686</v>
      </c>
      <c r="F7629" t="s">
        <v>754</v>
      </c>
      <c r="Y7629">
        <v>546</v>
      </c>
      <c r="Z7629" s="259" t="s">
        <v>692</v>
      </c>
      <c r="AZ7629" t="s">
        <v>1338</v>
      </c>
      <c r="BA7629">
        <v>81.87</v>
      </c>
      <c r="BB7629" t="s">
        <v>564</v>
      </c>
      <c r="BC7629" t="s">
        <v>793</v>
      </c>
      <c r="BD7629">
        <v>0</v>
      </c>
      <c r="BE7629">
        <v>46302</v>
      </c>
      <c r="BF7629" t="s">
        <v>588</v>
      </c>
    </row>
    <row r="7630" spans="3:58" x14ac:dyDescent="0.35">
      <c r="C7630">
        <v>45687</v>
      </c>
      <c r="F7630" t="s">
        <v>754</v>
      </c>
      <c r="Y7630">
        <v>547</v>
      </c>
      <c r="Z7630" s="259" t="s">
        <v>692</v>
      </c>
      <c r="AZ7630" t="s">
        <v>1339</v>
      </c>
      <c r="BA7630">
        <v>81.93</v>
      </c>
      <c r="BB7630" t="s">
        <v>564</v>
      </c>
      <c r="BC7630" t="s">
        <v>793</v>
      </c>
      <c r="BD7630">
        <v>0</v>
      </c>
      <c r="BE7630">
        <v>46302</v>
      </c>
      <c r="BF7630" t="s">
        <v>588</v>
      </c>
    </row>
    <row r="7631" spans="3:58" x14ac:dyDescent="0.35">
      <c r="C7631">
        <v>45688</v>
      </c>
      <c r="F7631" t="s">
        <v>754</v>
      </c>
      <c r="Y7631">
        <v>548</v>
      </c>
      <c r="Z7631" s="259" t="s">
        <v>692</v>
      </c>
      <c r="AZ7631" t="s">
        <v>1340</v>
      </c>
      <c r="BA7631">
        <v>82</v>
      </c>
      <c r="BB7631" t="s">
        <v>564</v>
      </c>
      <c r="BC7631" t="s">
        <v>793</v>
      </c>
      <c r="BD7631">
        <v>0</v>
      </c>
      <c r="BE7631">
        <v>46302</v>
      </c>
      <c r="BF7631" t="s">
        <v>588</v>
      </c>
    </row>
    <row r="7632" spans="3:58" x14ac:dyDescent="0.35">
      <c r="C7632">
        <v>45691</v>
      </c>
      <c r="F7632" t="s">
        <v>754</v>
      </c>
      <c r="Y7632">
        <v>549</v>
      </c>
      <c r="Z7632" s="259" t="s">
        <v>692</v>
      </c>
      <c r="AZ7632" t="s">
        <v>1341</v>
      </c>
      <c r="BA7632">
        <v>81.7</v>
      </c>
      <c r="BB7632" t="s">
        <v>564</v>
      </c>
      <c r="BC7632" t="s">
        <v>793</v>
      </c>
      <c r="BD7632">
        <v>0</v>
      </c>
      <c r="BE7632">
        <v>46302</v>
      </c>
      <c r="BF7632" t="s">
        <v>588</v>
      </c>
    </row>
    <row r="7633" spans="3:58" x14ac:dyDescent="0.35">
      <c r="C7633">
        <v>45692</v>
      </c>
      <c r="F7633" t="s">
        <v>754</v>
      </c>
      <c r="Y7633">
        <v>550</v>
      </c>
      <c r="Z7633" s="259" t="s">
        <v>692</v>
      </c>
      <c r="AZ7633" t="s">
        <v>1342</v>
      </c>
      <c r="BA7633">
        <v>81.56</v>
      </c>
      <c r="BB7633" t="s">
        <v>564</v>
      </c>
      <c r="BC7633" t="s">
        <v>793</v>
      </c>
      <c r="BD7633">
        <v>0</v>
      </c>
      <c r="BE7633">
        <v>46302</v>
      </c>
      <c r="BF7633" t="s">
        <v>588</v>
      </c>
    </row>
    <row r="7634" spans="3:58" x14ac:dyDescent="0.35">
      <c r="C7634">
        <v>45693</v>
      </c>
      <c r="F7634" t="s">
        <v>754</v>
      </c>
      <c r="Y7634">
        <v>551</v>
      </c>
      <c r="Z7634" s="259" t="s">
        <v>692</v>
      </c>
      <c r="AZ7634" t="s">
        <v>1343</v>
      </c>
      <c r="BA7634">
        <v>81.41</v>
      </c>
      <c r="BB7634" t="s">
        <v>564</v>
      </c>
      <c r="BC7634" t="s">
        <v>793</v>
      </c>
      <c r="BD7634">
        <v>0</v>
      </c>
      <c r="BE7634">
        <v>46302</v>
      </c>
      <c r="BF7634" t="s">
        <v>588</v>
      </c>
    </row>
    <row r="7635" spans="3:58" x14ac:dyDescent="0.35">
      <c r="C7635">
        <v>45694</v>
      </c>
      <c r="F7635" t="s">
        <v>754</v>
      </c>
      <c r="Y7635">
        <v>552</v>
      </c>
      <c r="Z7635" s="259" t="s">
        <v>692</v>
      </c>
      <c r="AZ7635" t="s">
        <v>1344</v>
      </c>
      <c r="BA7635">
        <v>81.260000000000005</v>
      </c>
      <c r="BB7635" t="s">
        <v>564</v>
      </c>
      <c r="BC7635" t="s">
        <v>793</v>
      </c>
      <c r="BD7635">
        <v>0</v>
      </c>
      <c r="BE7635">
        <v>46302</v>
      </c>
      <c r="BF7635" t="s">
        <v>588</v>
      </c>
    </row>
    <row r="7636" spans="3:58" x14ac:dyDescent="0.35">
      <c r="C7636">
        <v>45695</v>
      </c>
      <c r="F7636" t="s">
        <v>754</v>
      </c>
      <c r="Y7636">
        <v>553</v>
      </c>
      <c r="Z7636" s="259" t="s">
        <v>692</v>
      </c>
      <c r="AZ7636" t="s">
        <v>1345</v>
      </c>
      <c r="BA7636">
        <v>81.11</v>
      </c>
      <c r="BB7636" t="s">
        <v>564</v>
      </c>
      <c r="BC7636" t="s">
        <v>793</v>
      </c>
      <c r="BD7636">
        <v>0</v>
      </c>
      <c r="BE7636">
        <v>46302</v>
      </c>
      <c r="BF7636" t="s">
        <v>588</v>
      </c>
    </row>
    <row r="7637" spans="3:58" x14ac:dyDescent="0.35">
      <c r="C7637">
        <v>45698</v>
      </c>
      <c r="F7637" t="s">
        <v>754</v>
      </c>
      <c r="Y7637">
        <v>554</v>
      </c>
      <c r="Z7637" s="259" t="s">
        <v>692</v>
      </c>
      <c r="AZ7637" t="s">
        <v>1346</v>
      </c>
      <c r="BA7637">
        <v>80.67</v>
      </c>
      <c r="BB7637" t="s">
        <v>564</v>
      </c>
      <c r="BC7637" t="s">
        <v>793</v>
      </c>
      <c r="BD7637">
        <v>0</v>
      </c>
      <c r="BE7637">
        <v>46302</v>
      </c>
      <c r="BF7637" t="s">
        <v>588</v>
      </c>
    </row>
    <row r="7638" spans="3:58" x14ac:dyDescent="0.35">
      <c r="C7638">
        <v>45699</v>
      </c>
      <c r="F7638" t="s">
        <v>754</v>
      </c>
      <c r="Y7638">
        <v>555</v>
      </c>
      <c r="Z7638" s="259" t="s">
        <v>692</v>
      </c>
      <c r="AZ7638" t="s">
        <v>1347</v>
      </c>
      <c r="BA7638">
        <v>80.52</v>
      </c>
      <c r="BB7638" t="s">
        <v>564</v>
      </c>
      <c r="BC7638" t="s">
        <v>793</v>
      </c>
      <c r="BD7638">
        <v>0</v>
      </c>
      <c r="BE7638">
        <v>46302</v>
      </c>
      <c r="BF7638" t="s">
        <v>588</v>
      </c>
    </row>
    <row r="7639" spans="3:58" x14ac:dyDescent="0.35">
      <c r="C7639">
        <v>45700</v>
      </c>
      <c r="F7639" t="s">
        <v>754</v>
      </c>
      <c r="Y7639">
        <v>556</v>
      </c>
      <c r="Z7639" s="259" t="s">
        <v>692</v>
      </c>
      <c r="AZ7639" t="s">
        <v>1348</v>
      </c>
      <c r="BA7639">
        <v>80.37</v>
      </c>
      <c r="BB7639" t="s">
        <v>564</v>
      </c>
      <c r="BC7639" t="s">
        <v>793</v>
      </c>
      <c r="BD7639">
        <v>0</v>
      </c>
      <c r="BE7639">
        <v>46302</v>
      </c>
      <c r="BF7639" t="s">
        <v>588</v>
      </c>
    </row>
    <row r="7640" spans="3:58" x14ac:dyDescent="0.35">
      <c r="C7640">
        <v>45701</v>
      </c>
      <c r="F7640" t="s">
        <v>754</v>
      </c>
      <c r="Y7640">
        <v>557</v>
      </c>
      <c r="Z7640" s="259" t="s">
        <v>692</v>
      </c>
      <c r="AZ7640" t="s">
        <v>1349</v>
      </c>
      <c r="BA7640">
        <v>80.22</v>
      </c>
      <c r="BB7640" t="s">
        <v>564</v>
      </c>
      <c r="BC7640" t="s">
        <v>793</v>
      </c>
      <c r="BD7640">
        <v>0</v>
      </c>
      <c r="BE7640">
        <v>46302</v>
      </c>
      <c r="BF7640" t="s">
        <v>588</v>
      </c>
    </row>
    <row r="7641" spans="3:58" x14ac:dyDescent="0.35">
      <c r="C7641">
        <v>45702</v>
      </c>
      <c r="F7641" t="s">
        <v>754</v>
      </c>
      <c r="Y7641">
        <v>558</v>
      </c>
      <c r="Z7641" s="259" t="s">
        <v>692</v>
      </c>
      <c r="AZ7641" t="s">
        <v>1350</v>
      </c>
      <c r="BA7641">
        <v>80.069999999999993</v>
      </c>
      <c r="BB7641" t="s">
        <v>564</v>
      </c>
      <c r="BC7641" t="s">
        <v>793</v>
      </c>
      <c r="BD7641">
        <v>0</v>
      </c>
      <c r="BE7641">
        <v>46302</v>
      </c>
      <c r="BF7641" t="s">
        <v>588</v>
      </c>
    </row>
    <row r="7642" spans="3:58" x14ac:dyDescent="0.35">
      <c r="C7642">
        <v>45705</v>
      </c>
      <c r="F7642" t="s">
        <v>754</v>
      </c>
      <c r="Y7642">
        <v>559</v>
      </c>
      <c r="Z7642" s="259" t="s">
        <v>692</v>
      </c>
      <c r="AZ7642" t="s">
        <v>1351</v>
      </c>
      <c r="BA7642">
        <v>79.63</v>
      </c>
      <c r="BB7642" t="s">
        <v>564</v>
      </c>
      <c r="BC7642" t="s">
        <v>793</v>
      </c>
      <c r="BD7642">
        <v>0</v>
      </c>
      <c r="BE7642">
        <v>46302</v>
      </c>
      <c r="BF7642" t="s">
        <v>588</v>
      </c>
    </row>
    <row r="7643" spans="3:58" x14ac:dyDescent="0.35">
      <c r="C7643">
        <v>45706</v>
      </c>
      <c r="F7643" t="s">
        <v>754</v>
      </c>
      <c r="Y7643">
        <v>560</v>
      </c>
      <c r="Z7643" s="259" t="s">
        <v>692</v>
      </c>
      <c r="AZ7643" t="s">
        <v>1352</v>
      </c>
      <c r="BA7643">
        <v>79.48</v>
      </c>
      <c r="BB7643" t="s">
        <v>564</v>
      </c>
      <c r="BC7643" t="s">
        <v>793</v>
      </c>
      <c r="BD7643">
        <v>0</v>
      </c>
      <c r="BE7643">
        <v>46302</v>
      </c>
      <c r="BF7643" t="s">
        <v>588</v>
      </c>
    </row>
    <row r="7644" spans="3:58" x14ac:dyDescent="0.35">
      <c r="C7644">
        <v>45707</v>
      </c>
      <c r="F7644" t="s">
        <v>754</v>
      </c>
      <c r="Y7644">
        <v>561</v>
      </c>
      <c r="Z7644" s="259" t="s">
        <v>692</v>
      </c>
      <c r="AZ7644" t="s">
        <v>1353</v>
      </c>
      <c r="BA7644">
        <v>79.33</v>
      </c>
      <c r="BB7644" t="s">
        <v>564</v>
      </c>
      <c r="BC7644" t="s">
        <v>793</v>
      </c>
      <c r="BD7644">
        <v>0</v>
      </c>
      <c r="BE7644">
        <v>46302</v>
      </c>
      <c r="BF7644" t="s">
        <v>588</v>
      </c>
    </row>
    <row r="7645" spans="3:58" x14ac:dyDescent="0.35">
      <c r="C7645">
        <v>45708</v>
      </c>
      <c r="F7645" t="s">
        <v>754</v>
      </c>
      <c r="Y7645">
        <v>562</v>
      </c>
      <c r="Z7645" s="259" t="s">
        <v>692</v>
      </c>
      <c r="AZ7645" t="s">
        <v>1354</v>
      </c>
      <c r="BA7645">
        <v>79.19</v>
      </c>
      <c r="BB7645" t="s">
        <v>564</v>
      </c>
      <c r="BC7645" t="s">
        <v>793</v>
      </c>
      <c r="BD7645">
        <v>0</v>
      </c>
      <c r="BE7645">
        <v>46302</v>
      </c>
      <c r="BF7645" t="s">
        <v>588</v>
      </c>
    </row>
    <row r="7646" spans="3:58" x14ac:dyDescent="0.35">
      <c r="C7646">
        <v>45709</v>
      </c>
      <c r="F7646" t="s">
        <v>754</v>
      </c>
      <c r="Y7646">
        <v>563</v>
      </c>
      <c r="Z7646" s="259" t="s">
        <v>692</v>
      </c>
      <c r="AZ7646" t="s">
        <v>1355</v>
      </c>
      <c r="BA7646">
        <v>79.040000000000006</v>
      </c>
      <c r="BB7646" t="s">
        <v>564</v>
      </c>
      <c r="BC7646" t="s">
        <v>793</v>
      </c>
      <c r="BD7646">
        <v>0</v>
      </c>
      <c r="BE7646">
        <v>46302</v>
      </c>
      <c r="BF7646" t="s">
        <v>588</v>
      </c>
    </row>
    <row r="7647" spans="3:58" x14ac:dyDescent="0.35">
      <c r="C7647">
        <v>45712</v>
      </c>
      <c r="F7647" t="s">
        <v>754</v>
      </c>
      <c r="Y7647">
        <v>564</v>
      </c>
      <c r="Z7647" s="259" t="s">
        <v>692</v>
      </c>
      <c r="AZ7647" t="s">
        <v>1356</v>
      </c>
      <c r="BA7647">
        <v>78.59</v>
      </c>
      <c r="BB7647" t="s">
        <v>564</v>
      </c>
      <c r="BC7647" t="s">
        <v>793</v>
      </c>
      <c r="BD7647">
        <v>0</v>
      </c>
      <c r="BE7647">
        <v>46302</v>
      </c>
      <c r="BF7647" t="s">
        <v>588</v>
      </c>
    </row>
    <row r="7648" spans="3:58" x14ac:dyDescent="0.35">
      <c r="C7648">
        <v>45713</v>
      </c>
      <c r="F7648" t="s">
        <v>754</v>
      </c>
      <c r="Y7648">
        <v>565</v>
      </c>
      <c r="Z7648" s="259" t="s">
        <v>692</v>
      </c>
      <c r="AZ7648" t="s">
        <v>1357</v>
      </c>
      <c r="BA7648">
        <v>78.44</v>
      </c>
      <c r="BB7648" t="s">
        <v>564</v>
      </c>
      <c r="BC7648" t="s">
        <v>793</v>
      </c>
      <c r="BD7648">
        <v>0</v>
      </c>
      <c r="BE7648">
        <v>46302</v>
      </c>
      <c r="BF7648" t="s">
        <v>588</v>
      </c>
    </row>
    <row r="7649" spans="3:58" x14ac:dyDescent="0.35">
      <c r="C7649">
        <v>45714</v>
      </c>
      <c r="F7649" t="s">
        <v>754</v>
      </c>
      <c r="Y7649">
        <v>566</v>
      </c>
      <c r="Z7649" s="259" t="s">
        <v>692</v>
      </c>
      <c r="AZ7649" t="s">
        <v>1358</v>
      </c>
      <c r="BA7649">
        <v>78.3</v>
      </c>
      <c r="BB7649" t="s">
        <v>564</v>
      </c>
      <c r="BC7649" t="s">
        <v>793</v>
      </c>
      <c r="BD7649">
        <v>0</v>
      </c>
      <c r="BE7649">
        <v>46302</v>
      </c>
      <c r="BF7649" t="s">
        <v>588</v>
      </c>
    </row>
    <row r="7650" spans="3:58" x14ac:dyDescent="0.35">
      <c r="C7650">
        <v>45715</v>
      </c>
      <c r="F7650" t="s">
        <v>754</v>
      </c>
      <c r="Y7650">
        <v>567</v>
      </c>
      <c r="Z7650" s="259" t="s">
        <v>692</v>
      </c>
      <c r="AZ7650" t="s">
        <v>1359</v>
      </c>
      <c r="BA7650">
        <v>78.150000000000006</v>
      </c>
      <c r="BB7650" t="s">
        <v>564</v>
      </c>
      <c r="BC7650" t="s">
        <v>793</v>
      </c>
      <c r="BD7650">
        <v>0</v>
      </c>
      <c r="BE7650">
        <v>46302</v>
      </c>
      <c r="BF7650" t="s">
        <v>588</v>
      </c>
    </row>
    <row r="7651" spans="3:58" x14ac:dyDescent="0.35">
      <c r="C7651">
        <v>45716</v>
      </c>
      <c r="F7651" t="s">
        <v>754</v>
      </c>
      <c r="Y7651">
        <v>568</v>
      </c>
      <c r="Z7651" s="259" t="s">
        <v>692</v>
      </c>
      <c r="AZ7651" t="s">
        <v>1360</v>
      </c>
      <c r="BA7651">
        <v>78</v>
      </c>
      <c r="BB7651" t="s">
        <v>564</v>
      </c>
      <c r="BC7651" t="s">
        <v>793</v>
      </c>
      <c r="BD7651">
        <v>0</v>
      </c>
      <c r="BE7651">
        <v>46302</v>
      </c>
      <c r="BF7651" t="s">
        <v>588</v>
      </c>
    </row>
    <row r="7652" spans="3:58" x14ac:dyDescent="0.35">
      <c r="C7652">
        <v>45719</v>
      </c>
      <c r="F7652" t="s">
        <v>754</v>
      </c>
      <c r="Y7652">
        <v>569</v>
      </c>
      <c r="Z7652" s="259" t="s">
        <v>692</v>
      </c>
      <c r="AZ7652" t="s">
        <v>1361</v>
      </c>
      <c r="BA7652">
        <v>77.8</v>
      </c>
      <c r="BB7652" t="s">
        <v>564</v>
      </c>
      <c r="BC7652" t="s">
        <v>793</v>
      </c>
      <c r="BD7652">
        <v>0</v>
      </c>
      <c r="BE7652">
        <v>46302</v>
      </c>
      <c r="BF7652" t="s">
        <v>588</v>
      </c>
    </row>
    <row r="7653" spans="3:58" x14ac:dyDescent="0.35">
      <c r="C7653">
        <v>45720</v>
      </c>
      <c r="F7653" t="s">
        <v>754</v>
      </c>
      <c r="Y7653">
        <v>570</v>
      </c>
      <c r="Z7653" s="259" t="s">
        <v>692</v>
      </c>
      <c r="AZ7653" t="s">
        <v>1362</v>
      </c>
      <c r="BA7653">
        <v>77.7</v>
      </c>
      <c r="BB7653" t="s">
        <v>564</v>
      </c>
      <c r="BC7653" t="s">
        <v>793</v>
      </c>
      <c r="BD7653">
        <v>0</v>
      </c>
      <c r="BE7653">
        <v>46302</v>
      </c>
      <c r="BF7653" t="s">
        <v>588</v>
      </c>
    </row>
    <row r="7654" spans="3:58" x14ac:dyDescent="0.35">
      <c r="C7654">
        <v>45721</v>
      </c>
      <c r="F7654" t="s">
        <v>754</v>
      </c>
      <c r="Y7654">
        <v>571</v>
      </c>
      <c r="Z7654" s="259" t="s">
        <v>692</v>
      </c>
      <c r="AZ7654" t="s">
        <v>1363</v>
      </c>
      <c r="BA7654">
        <v>77.599999999999994</v>
      </c>
      <c r="BB7654" t="s">
        <v>564</v>
      </c>
      <c r="BC7654" t="s">
        <v>793</v>
      </c>
      <c r="BD7654">
        <v>0</v>
      </c>
      <c r="BE7654">
        <v>46302</v>
      </c>
      <c r="BF7654" t="s">
        <v>588</v>
      </c>
    </row>
    <row r="7655" spans="3:58" x14ac:dyDescent="0.35">
      <c r="C7655">
        <v>45722</v>
      </c>
      <c r="F7655" t="s">
        <v>754</v>
      </c>
      <c r="Y7655">
        <v>572</v>
      </c>
      <c r="Z7655" s="259" t="s">
        <v>692</v>
      </c>
      <c r="AZ7655" t="s">
        <v>1364</v>
      </c>
      <c r="BA7655">
        <v>77.5</v>
      </c>
      <c r="BB7655" t="s">
        <v>564</v>
      </c>
      <c r="BC7655" t="s">
        <v>793</v>
      </c>
      <c r="BD7655">
        <v>0</v>
      </c>
      <c r="BE7655">
        <v>46302</v>
      </c>
      <c r="BF7655" t="s">
        <v>588</v>
      </c>
    </row>
    <row r="7656" spans="3:58" x14ac:dyDescent="0.35">
      <c r="C7656">
        <v>45723</v>
      </c>
      <c r="F7656" t="s">
        <v>754</v>
      </c>
      <c r="Y7656">
        <v>573</v>
      </c>
      <c r="Z7656" s="259" t="s">
        <v>692</v>
      </c>
      <c r="AZ7656" t="s">
        <v>1365</v>
      </c>
      <c r="BA7656">
        <v>77.400000000000006</v>
      </c>
      <c r="BB7656" t="s">
        <v>564</v>
      </c>
      <c r="BC7656" t="s">
        <v>793</v>
      </c>
      <c r="BD7656">
        <v>0</v>
      </c>
      <c r="BE7656">
        <v>46302</v>
      </c>
      <c r="BF7656" t="s">
        <v>588</v>
      </c>
    </row>
    <row r="7657" spans="3:58" x14ac:dyDescent="0.35">
      <c r="C7657">
        <v>45726</v>
      </c>
      <c r="F7657" t="s">
        <v>754</v>
      </c>
      <c r="Y7657">
        <v>574</v>
      </c>
      <c r="Z7657" s="259" t="s">
        <v>692</v>
      </c>
      <c r="AZ7657" t="s">
        <v>1366</v>
      </c>
      <c r="BA7657">
        <v>77.099999999999994</v>
      </c>
      <c r="BB7657" t="s">
        <v>564</v>
      </c>
      <c r="BC7657" t="s">
        <v>793</v>
      </c>
      <c r="BD7657">
        <v>0</v>
      </c>
      <c r="BE7657">
        <v>46302</v>
      </c>
      <c r="BF7657" t="s">
        <v>588</v>
      </c>
    </row>
    <row r="7658" spans="3:58" x14ac:dyDescent="0.35">
      <c r="C7658">
        <v>45727</v>
      </c>
      <c r="F7658" t="s">
        <v>754</v>
      </c>
      <c r="Y7658">
        <v>575</v>
      </c>
      <c r="Z7658" s="259" t="s">
        <v>692</v>
      </c>
      <c r="AZ7658" t="s">
        <v>1367</v>
      </c>
      <c r="BA7658">
        <v>77</v>
      </c>
      <c r="BB7658" t="s">
        <v>564</v>
      </c>
      <c r="BC7658" t="s">
        <v>793</v>
      </c>
      <c r="BD7658">
        <v>0</v>
      </c>
      <c r="BE7658">
        <v>46302</v>
      </c>
      <c r="BF7658" t="s">
        <v>588</v>
      </c>
    </row>
    <row r="7659" spans="3:58" x14ac:dyDescent="0.35">
      <c r="C7659">
        <v>45728</v>
      </c>
      <c r="F7659" t="s">
        <v>754</v>
      </c>
      <c r="Y7659">
        <v>576</v>
      </c>
      <c r="Z7659" s="259" t="s">
        <v>692</v>
      </c>
      <c r="AZ7659" t="s">
        <v>1368</v>
      </c>
      <c r="BA7659">
        <v>76.900000000000006</v>
      </c>
      <c r="BB7659" t="s">
        <v>564</v>
      </c>
      <c r="BC7659" t="s">
        <v>793</v>
      </c>
      <c r="BD7659">
        <v>0</v>
      </c>
      <c r="BE7659">
        <v>46302</v>
      </c>
      <c r="BF7659" t="s">
        <v>588</v>
      </c>
    </row>
    <row r="7660" spans="3:58" x14ac:dyDescent="0.35">
      <c r="C7660">
        <v>45729</v>
      </c>
      <c r="F7660" t="s">
        <v>754</v>
      </c>
      <c r="Y7660">
        <v>577</v>
      </c>
      <c r="Z7660" s="259" t="s">
        <v>692</v>
      </c>
      <c r="AZ7660" t="s">
        <v>1369</v>
      </c>
      <c r="BA7660">
        <v>76.8</v>
      </c>
      <c r="BB7660" t="s">
        <v>564</v>
      </c>
      <c r="BC7660" t="s">
        <v>793</v>
      </c>
      <c r="BD7660">
        <v>0</v>
      </c>
      <c r="BE7660">
        <v>46302</v>
      </c>
      <c r="BF7660" t="s">
        <v>588</v>
      </c>
    </row>
    <row r="7661" spans="3:58" x14ac:dyDescent="0.35">
      <c r="C7661">
        <v>45730</v>
      </c>
      <c r="F7661" t="s">
        <v>754</v>
      </c>
      <c r="Y7661">
        <v>578</v>
      </c>
      <c r="Z7661" s="259" t="s">
        <v>692</v>
      </c>
      <c r="AZ7661" t="s">
        <v>1370</v>
      </c>
      <c r="BA7661">
        <v>76.7</v>
      </c>
      <c r="BB7661" t="s">
        <v>564</v>
      </c>
      <c r="BC7661" t="s">
        <v>793</v>
      </c>
      <c r="BD7661">
        <v>0</v>
      </c>
      <c r="BE7661">
        <v>46302</v>
      </c>
      <c r="BF7661" t="s">
        <v>588</v>
      </c>
    </row>
    <row r="7662" spans="3:58" x14ac:dyDescent="0.35">
      <c r="C7662">
        <v>45733</v>
      </c>
      <c r="F7662" t="s">
        <v>754</v>
      </c>
      <c r="Y7662">
        <v>579</v>
      </c>
      <c r="Z7662" s="259" t="s">
        <v>692</v>
      </c>
      <c r="AZ7662" t="s">
        <v>1371</v>
      </c>
      <c r="BA7662">
        <v>76.400000000000006</v>
      </c>
      <c r="BB7662" t="s">
        <v>564</v>
      </c>
      <c r="BC7662" t="s">
        <v>793</v>
      </c>
      <c r="BD7662">
        <v>0</v>
      </c>
      <c r="BE7662">
        <v>46302</v>
      </c>
      <c r="BF7662" t="s">
        <v>588</v>
      </c>
    </row>
    <row r="7663" spans="3:58" x14ac:dyDescent="0.35">
      <c r="C7663">
        <v>45734</v>
      </c>
      <c r="F7663" t="s">
        <v>754</v>
      </c>
      <c r="Y7663">
        <v>580</v>
      </c>
      <c r="Z7663" s="259" t="s">
        <v>692</v>
      </c>
      <c r="AZ7663" t="s">
        <v>1372</v>
      </c>
      <c r="BA7663">
        <v>76.3</v>
      </c>
      <c r="BB7663" t="s">
        <v>564</v>
      </c>
      <c r="BC7663" t="s">
        <v>793</v>
      </c>
      <c r="BD7663">
        <v>0</v>
      </c>
      <c r="BE7663">
        <v>46302</v>
      </c>
      <c r="BF7663" t="s">
        <v>588</v>
      </c>
    </row>
    <row r="7664" spans="3:58" x14ac:dyDescent="0.35">
      <c r="C7664">
        <v>45735</v>
      </c>
      <c r="F7664" t="s">
        <v>754</v>
      </c>
      <c r="Y7664">
        <v>581</v>
      </c>
      <c r="Z7664" s="259" t="s">
        <v>692</v>
      </c>
      <c r="AZ7664" t="s">
        <v>1373</v>
      </c>
      <c r="BA7664">
        <v>76.2</v>
      </c>
      <c r="BB7664" t="s">
        <v>564</v>
      </c>
      <c r="BC7664" t="s">
        <v>793</v>
      </c>
      <c r="BD7664">
        <v>0</v>
      </c>
      <c r="BE7664">
        <v>46302</v>
      </c>
      <c r="BF7664" t="s">
        <v>588</v>
      </c>
    </row>
    <row r="7665" spans="3:58" x14ac:dyDescent="0.35">
      <c r="C7665">
        <v>45736</v>
      </c>
      <c r="F7665" t="s">
        <v>754</v>
      </c>
      <c r="Y7665">
        <v>582</v>
      </c>
      <c r="Z7665" s="259" t="s">
        <v>692</v>
      </c>
      <c r="AZ7665" t="s">
        <v>1374</v>
      </c>
      <c r="BA7665">
        <v>76.099999999999994</v>
      </c>
      <c r="BB7665" t="s">
        <v>564</v>
      </c>
      <c r="BC7665" t="s">
        <v>793</v>
      </c>
      <c r="BD7665">
        <v>0</v>
      </c>
      <c r="BE7665">
        <v>46302</v>
      </c>
      <c r="BF7665" t="s">
        <v>588</v>
      </c>
    </row>
    <row r="7666" spans="3:58" x14ac:dyDescent="0.35">
      <c r="C7666">
        <v>45737</v>
      </c>
      <c r="F7666" t="s">
        <v>754</v>
      </c>
      <c r="Y7666">
        <v>583</v>
      </c>
      <c r="Z7666" s="259" t="s">
        <v>692</v>
      </c>
      <c r="AZ7666" t="s">
        <v>1375</v>
      </c>
      <c r="BA7666">
        <v>76</v>
      </c>
      <c r="BB7666" t="s">
        <v>564</v>
      </c>
      <c r="BC7666" t="s">
        <v>793</v>
      </c>
      <c r="BD7666">
        <v>0</v>
      </c>
      <c r="BE7666">
        <v>46302</v>
      </c>
      <c r="BF7666" t="s">
        <v>588</v>
      </c>
    </row>
    <row r="7667" spans="3:58" x14ac:dyDescent="0.35">
      <c r="C7667">
        <v>45740</v>
      </c>
      <c r="F7667" t="s">
        <v>754</v>
      </c>
      <c r="Y7667">
        <v>584</v>
      </c>
      <c r="Z7667" s="259" t="s">
        <v>692</v>
      </c>
      <c r="AZ7667" t="s">
        <v>1376</v>
      </c>
      <c r="BA7667">
        <v>75.7</v>
      </c>
      <c r="BB7667" t="s">
        <v>564</v>
      </c>
      <c r="BC7667" t="s">
        <v>793</v>
      </c>
      <c r="BD7667">
        <v>0</v>
      </c>
      <c r="BE7667">
        <v>46302</v>
      </c>
      <c r="BF7667" t="s">
        <v>588</v>
      </c>
    </row>
    <row r="7668" spans="3:58" x14ac:dyDescent="0.35">
      <c r="C7668">
        <v>45741</v>
      </c>
      <c r="F7668" t="s">
        <v>754</v>
      </c>
      <c r="Y7668">
        <v>585</v>
      </c>
      <c r="Z7668" s="259" t="s">
        <v>692</v>
      </c>
      <c r="AZ7668" t="s">
        <v>1377</v>
      </c>
      <c r="BA7668">
        <v>75.599999999999994</v>
      </c>
      <c r="BB7668" t="s">
        <v>564</v>
      </c>
      <c r="BC7668" t="s">
        <v>793</v>
      </c>
      <c r="BD7668">
        <v>0</v>
      </c>
      <c r="BE7668">
        <v>46302</v>
      </c>
      <c r="BF7668" t="s">
        <v>588</v>
      </c>
    </row>
    <row r="7669" spans="3:58" x14ac:dyDescent="0.35">
      <c r="C7669">
        <v>45742</v>
      </c>
      <c r="F7669" t="s">
        <v>754</v>
      </c>
      <c r="Y7669">
        <v>586</v>
      </c>
      <c r="Z7669" s="259" t="s">
        <v>692</v>
      </c>
      <c r="AZ7669" t="s">
        <v>1378</v>
      </c>
      <c r="BA7669">
        <v>75.5</v>
      </c>
      <c r="BB7669" t="s">
        <v>564</v>
      </c>
      <c r="BC7669" t="s">
        <v>793</v>
      </c>
      <c r="BD7669">
        <v>0</v>
      </c>
      <c r="BE7669">
        <v>46302</v>
      </c>
      <c r="BF7669" t="s">
        <v>588</v>
      </c>
    </row>
    <row r="7670" spans="3:58" x14ac:dyDescent="0.35">
      <c r="C7670">
        <v>45743</v>
      </c>
      <c r="F7670" t="s">
        <v>754</v>
      </c>
      <c r="Y7670">
        <v>587</v>
      </c>
      <c r="Z7670" s="259" t="s">
        <v>692</v>
      </c>
      <c r="AZ7670" t="s">
        <v>1379</v>
      </c>
      <c r="BA7670">
        <v>75.400000000000006</v>
      </c>
      <c r="BB7670" t="s">
        <v>564</v>
      </c>
      <c r="BC7670" t="s">
        <v>793</v>
      </c>
      <c r="BD7670">
        <v>0</v>
      </c>
      <c r="BE7670">
        <v>46302</v>
      </c>
      <c r="BF7670" t="s">
        <v>588</v>
      </c>
    </row>
    <row r="7671" spans="3:58" x14ac:dyDescent="0.35">
      <c r="C7671">
        <v>45744</v>
      </c>
      <c r="F7671" t="s">
        <v>754</v>
      </c>
      <c r="Y7671">
        <v>588</v>
      </c>
      <c r="Z7671" s="259" t="s">
        <v>692</v>
      </c>
      <c r="AZ7671" t="s">
        <v>1380</v>
      </c>
      <c r="BA7671">
        <v>75.3</v>
      </c>
      <c r="BB7671" t="s">
        <v>564</v>
      </c>
      <c r="BC7671" t="s">
        <v>793</v>
      </c>
      <c r="BD7671">
        <v>0</v>
      </c>
      <c r="BE7671">
        <v>46302</v>
      </c>
      <c r="BF7671" t="s">
        <v>588</v>
      </c>
    </row>
    <row r="7672" spans="3:58" x14ac:dyDescent="0.35">
      <c r="C7672">
        <v>45747</v>
      </c>
      <c r="F7672" t="s">
        <v>754</v>
      </c>
      <c r="Y7672">
        <v>589</v>
      </c>
      <c r="Z7672" s="259" t="s">
        <v>692</v>
      </c>
      <c r="AZ7672" t="s">
        <v>1381</v>
      </c>
      <c r="BA7672">
        <v>75</v>
      </c>
      <c r="BB7672" t="s">
        <v>564</v>
      </c>
      <c r="BC7672" t="s">
        <v>793</v>
      </c>
      <c r="BD7672">
        <v>0</v>
      </c>
      <c r="BE7672">
        <v>46302</v>
      </c>
      <c r="BF7672" t="s">
        <v>588</v>
      </c>
    </row>
    <row r="7673" spans="3:58" x14ac:dyDescent="0.35">
      <c r="C7673">
        <v>45748</v>
      </c>
      <c r="F7673" t="s">
        <v>754</v>
      </c>
      <c r="Y7673">
        <v>590</v>
      </c>
      <c r="Z7673" s="259" t="s">
        <v>692</v>
      </c>
      <c r="AZ7673" t="s">
        <v>1382</v>
      </c>
      <c r="BA7673">
        <v>75</v>
      </c>
      <c r="BB7673" t="s">
        <v>564</v>
      </c>
      <c r="BC7673" t="s">
        <v>793</v>
      </c>
      <c r="BD7673">
        <v>0</v>
      </c>
      <c r="BE7673">
        <v>46302</v>
      </c>
      <c r="BF7673" t="s">
        <v>588</v>
      </c>
    </row>
    <row r="7674" spans="3:58" x14ac:dyDescent="0.35">
      <c r="C7674">
        <v>45749</v>
      </c>
      <c r="F7674" t="s">
        <v>754</v>
      </c>
      <c r="Y7674">
        <v>591</v>
      </c>
      <c r="Z7674" s="259" t="s">
        <v>692</v>
      </c>
      <c r="AZ7674" t="s">
        <v>1383</v>
      </c>
      <c r="BA7674">
        <v>75.14</v>
      </c>
      <c r="BB7674" t="s">
        <v>564</v>
      </c>
      <c r="BC7674" t="s">
        <v>793</v>
      </c>
      <c r="BD7674">
        <v>0</v>
      </c>
      <c r="BE7674">
        <v>46302</v>
      </c>
      <c r="BF7674" t="s">
        <v>588</v>
      </c>
    </row>
    <row r="7675" spans="3:58" x14ac:dyDescent="0.35">
      <c r="C7675">
        <v>45750</v>
      </c>
      <c r="F7675" t="s">
        <v>754</v>
      </c>
      <c r="Y7675">
        <v>592</v>
      </c>
      <c r="Z7675" s="259" t="s">
        <v>692</v>
      </c>
      <c r="AZ7675" t="s">
        <v>1384</v>
      </c>
      <c r="BA7675">
        <v>75.28</v>
      </c>
      <c r="BB7675" t="s">
        <v>564</v>
      </c>
      <c r="BC7675" t="s">
        <v>793</v>
      </c>
      <c r="BD7675">
        <v>0</v>
      </c>
      <c r="BE7675">
        <v>46302</v>
      </c>
      <c r="BF7675" t="s">
        <v>588</v>
      </c>
    </row>
    <row r="7676" spans="3:58" x14ac:dyDescent="0.35">
      <c r="C7676">
        <v>45751</v>
      </c>
      <c r="F7676" t="s">
        <v>754</v>
      </c>
      <c r="Y7676">
        <v>593</v>
      </c>
      <c r="Z7676" s="259" t="s">
        <v>692</v>
      </c>
      <c r="AZ7676" t="s">
        <v>1385</v>
      </c>
      <c r="BA7676">
        <v>75.41</v>
      </c>
      <c r="BB7676" t="s">
        <v>564</v>
      </c>
      <c r="BC7676" t="s">
        <v>793</v>
      </c>
      <c r="BD7676">
        <v>0</v>
      </c>
      <c r="BE7676">
        <v>46302</v>
      </c>
      <c r="BF7676" t="s">
        <v>588</v>
      </c>
    </row>
    <row r="7677" spans="3:58" x14ac:dyDescent="0.35">
      <c r="C7677">
        <v>45754</v>
      </c>
      <c r="F7677" t="s">
        <v>754</v>
      </c>
      <c r="Y7677">
        <v>594</v>
      </c>
      <c r="Z7677" s="259" t="s">
        <v>692</v>
      </c>
      <c r="AZ7677" t="s">
        <v>1386</v>
      </c>
      <c r="BA7677">
        <v>75.83</v>
      </c>
      <c r="BB7677" t="s">
        <v>564</v>
      </c>
      <c r="BC7677" t="s">
        <v>793</v>
      </c>
      <c r="BD7677">
        <v>0</v>
      </c>
      <c r="BE7677">
        <v>46302</v>
      </c>
      <c r="BF7677" t="s">
        <v>588</v>
      </c>
    </row>
    <row r="7678" spans="3:58" x14ac:dyDescent="0.35">
      <c r="C7678">
        <v>45755</v>
      </c>
      <c r="F7678" t="s">
        <v>754</v>
      </c>
      <c r="Y7678">
        <v>595</v>
      </c>
      <c r="Z7678" s="259" t="s">
        <v>692</v>
      </c>
      <c r="AZ7678" t="s">
        <v>1387</v>
      </c>
      <c r="BA7678">
        <v>75.97</v>
      </c>
      <c r="BB7678" t="s">
        <v>564</v>
      </c>
      <c r="BC7678" t="s">
        <v>793</v>
      </c>
      <c r="BD7678">
        <v>0</v>
      </c>
      <c r="BE7678">
        <v>46302</v>
      </c>
      <c r="BF7678" t="s">
        <v>588</v>
      </c>
    </row>
    <row r="7679" spans="3:58" x14ac:dyDescent="0.35">
      <c r="C7679">
        <v>45756</v>
      </c>
      <c r="F7679" t="s">
        <v>754</v>
      </c>
      <c r="Y7679">
        <v>596</v>
      </c>
      <c r="Z7679" s="259" t="s">
        <v>692</v>
      </c>
      <c r="AZ7679" t="s">
        <v>1388</v>
      </c>
      <c r="BA7679">
        <v>76.099999999999994</v>
      </c>
      <c r="BB7679" t="s">
        <v>564</v>
      </c>
      <c r="BC7679" t="s">
        <v>793</v>
      </c>
      <c r="BD7679">
        <v>0</v>
      </c>
      <c r="BE7679">
        <v>46302</v>
      </c>
      <c r="BF7679" t="s">
        <v>588</v>
      </c>
    </row>
    <row r="7680" spans="3:58" x14ac:dyDescent="0.35">
      <c r="C7680">
        <v>45757</v>
      </c>
      <c r="F7680" t="s">
        <v>754</v>
      </c>
      <c r="Y7680">
        <v>597</v>
      </c>
      <c r="Z7680" s="259" t="s">
        <v>692</v>
      </c>
      <c r="AZ7680" t="s">
        <v>1389</v>
      </c>
      <c r="BA7680">
        <v>76.239999999999995</v>
      </c>
      <c r="BB7680" t="s">
        <v>564</v>
      </c>
      <c r="BC7680" t="s">
        <v>793</v>
      </c>
      <c r="BD7680">
        <v>0</v>
      </c>
      <c r="BE7680">
        <v>46302</v>
      </c>
      <c r="BF7680" t="s">
        <v>588</v>
      </c>
    </row>
    <row r="7681" spans="3:58" x14ac:dyDescent="0.35">
      <c r="C7681">
        <v>45758</v>
      </c>
      <c r="F7681" t="s">
        <v>754</v>
      </c>
      <c r="Y7681">
        <v>598</v>
      </c>
      <c r="Z7681" s="259" t="s">
        <v>692</v>
      </c>
      <c r="AZ7681" t="s">
        <v>1390</v>
      </c>
      <c r="BA7681">
        <v>76.38</v>
      </c>
      <c r="BB7681" t="s">
        <v>564</v>
      </c>
      <c r="BC7681" t="s">
        <v>793</v>
      </c>
      <c r="BD7681">
        <v>0</v>
      </c>
      <c r="BE7681">
        <v>46302</v>
      </c>
      <c r="BF7681" t="s">
        <v>588</v>
      </c>
    </row>
    <row r="7682" spans="3:58" x14ac:dyDescent="0.35">
      <c r="C7682">
        <v>45761</v>
      </c>
      <c r="F7682" t="s">
        <v>754</v>
      </c>
      <c r="Y7682">
        <v>599</v>
      </c>
      <c r="Z7682" s="259" t="s">
        <v>692</v>
      </c>
      <c r="AZ7682" t="s">
        <v>1391</v>
      </c>
      <c r="BA7682">
        <v>76.790000000000006</v>
      </c>
      <c r="BB7682" t="s">
        <v>564</v>
      </c>
      <c r="BC7682" t="s">
        <v>793</v>
      </c>
      <c r="BD7682">
        <v>0</v>
      </c>
      <c r="BE7682">
        <v>46302</v>
      </c>
      <c r="BF7682" t="s">
        <v>588</v>
      </c>
    </row>
    <row r="7683" spans="3:58" x14ac:dyDescent="0.35">
      <c r="C7683">
        <v>45762</v>
      </c>
      <c r="F7683" t="s">
        <v>754</v>
      </c>
      <c r="Y7683">
        <v>600</v>
      </c>
      <c r="Z7683" s="259" t="s">
        <v>692</v>
      </c>
      <c r="AZ7683" t="s">
        <v>1392</v>
      </c>
      <c r="BA7683">
        <v>76.930000000000007</v>
      </c>
      <c r="BB7683" t="s">
        <v>564</v>
      </c>
      <c r="BC7683" t="s">
        <v>793</v>
      </c>
      <c r="BD7683">
        <v>0</v>
      </c>
      <c r="BE7683">
        <v>46302</v>
      </c>
      <c r="BF7683" t="s">
        <v>588</v>
      </c>
    </row>
    <row r="7684" spans="3:58" x14ac:dyDescent="0.35">
      <c r="C7684">
        <v>45763</v>
      </c>
      <c r="F7684" t="s">
        <v>754</v>
      </c>
      <c r="Y7684">
        <v>601</v>
      </c>
      <c r="Z7684" s="259" t="s">
        <v>692</v>
      </c>
      <c r="AZ7684" t="s">
        <v>1393</v>
      </c>
      <c r="BA7684">
        <v>77.069999999999993</v>
      </c>
      <c r="BB7684" t="s">
        <v>564</v>
      </c>
      <c r="BC7684" t="s">
        <v>793</v>
      </c>
      <c r="BD7684">
        <v>0</v>
      </c>
      <c r="BE7684">
        <v>46302</v>
      </c>
      <c r="BF7684" t="s">
        <v>588</v>
      </c>
    </row>
    <row r="7685" spans="3:58" x14ac:dyDescent="0.35">
      <c r="C7685">
        <v>45764</v>
      </c>
      <c r="F7685" t="s">
        <v>754</v>
      </c>
      <c r="Y7685">
        <v>602</v>
      </c>
      <c r="Z7685" s="259" t="s">
        <v>692</v>
      </c>
      <c r="AZ7685" t="s">
        <v>1394</v>
      </c>
      <c r="BA7685">
        <v>77.209999999999994</v>
      </c>
      <c r="BB7685" t="s">
        <v>564</v>
      </c>
      <c r="BC7685" t="s">
        <v>793</v>
      </c>
      <c r="BD7685">
        <v>0</v>
      </c>
      <c r="BE7685">
        <v>46302</v>
      </c>
      <c r="BF7685" t="s">
        <v>588</v>
      </c>
    </row>
    <row r="7686" spans="3:58" x14ac:dyDescent="0.35">
      <c r="C7686">
        <v>45765</v>
      </c>
      <c r="F7686" t="s">
        <v>754</v>
      </c>
      <c r="Y7686">
        <v>603</v>
      </c>
      <c r="Z7686" s="259" t="s">
        <v>692</v>
      </c>
      <c r="AZ7686" t="s">
        <v>1395</v>
      </c>
      <c r="BA7686">
        <v>77.34</v>
      </c>
      <c r="BB7686" t="s">
        <v>564</v>
      </c>
      <c r="BC7686" t="s">
        <v>793</v>
      </c>
      <c r="BD7686">
        <v>0</v>
      </c>
      <c r="BE7686">
        <v>46302</v>
      </c>
      <c r="BF7686" t="s">
        <v>588</v>
      </c>
    </row>
    <row r="7687" spans="3:58" x14ac:dyDescent="0.35">
      <c r="C7687">
        <v>45768</v>
      </c>
      <c r="F7687" t="s">
        <v>754</v>
      </c>
      <c r="Y7687">
        <v>604</v>
      </c>
      <c r="Z7687" s="259" t="s">
        <v>692</v>
      </c>
      <c r="AZ7687" t="s">
        <v>1396</v>
      </c>
      <c r="BA7687">
        <v>77.760000000000005</v>
      </c>
      <c r="BB7687" t="s">
        <v>564</v>
      </c>
      <c r="BC7687" t="s">
        <v>793</v>
      </c>
      <c r="BD7687">
        <v>0</v>
      </c>
      <c r="BE7687">
        <v>46302</v>
      </c>
      <c r="BF7687" t="s">
        <v>588</v>
      </c>
    </row>
    <row r="7688" spans="3:58" x14ac:dyDescent="0.35">
      <c r="C7688">
        <v>45769</v>
      </c>
      <c r="F7688" t="s">
        <v>754</v>
      </c>
      <c r="Y7688">
        <v>605</v>
      </c>
      <c r="Z7688" s="259" t="s">
        <v>692</v>
      </c>
      <c r="AZ7688" t="s">
        <v>1397</v>
      </c>
      <c r="BA7688">
        <v>77.900000000000006</v>
      </c>
      <c r="BB7688" t="s">
        <v>564</v>
      </c>
      <c r="BC7688" t="s">
        <v>793</v>
      </c>
      <c r="BD7688">
        <v>0</v>
      </c>
      <c r="BE7688">
        <v>46302</v>
      </c>
      <c r="BF7688" t="s">
        <v>588</v>
      </c>
    </row>
    <row r="7689" spans="3:58" x14ac:dyDescent="0.35">
      <c r="C7689">
        <v>45770</v>
      </c>
      <c r="F7689" t="s">
        <v>754</v>
      </c>
      <c r="Y7689">
        <v>606</v>
      </c>
      <c r="Z7689" s="259" t="s">
        <v>692</v>
      </c>
      <c r="AZ7689" t="s">
        <v>1398</v>
      </c>
      <c r="BA7689">
        <v>78.03</v>
      </c>
      <c r="BB7689" t="s">
        <v>564</v>
      </c>
      <c r="BC7689" t="s">
        <v>793</v>
      </c>
      <c r="BD7689">
        <v>0</v>
      </c>
      <c r="BE7689">
        <v>46302</v>
      </c>
      <c r="BF7689" t="s">
        <v>588</v>
      </c>
    </row>
    <row r="7690" spans="3:58" x14ac:dyDescent="0.35">
      <c r="C7690">
        <v>45771</v>
      </c>
      <c r="F7690" t="s">
        <v>754</v>
      </c>
      <c r="Y7690">
        <v>607</v>
      </c>
      <c r="Z7690" s="259" t="s">
        <v>692</v>
      </c>
      <c r="AZ7690" t="s">
        <v>1399</v>
      </c>
      <c r="BA7690">
        <v>78.17</v>
      </c>
      <c r="BB7690" t="s">
        <v>564</v>
      </c>
      <c r="BC7690" t="s">
        <v>793</v>
      </c>
      <c r="BD7690">
        <v>0</v>
      </c>
      <c r="BE7690">
        <v>46302</v>
      </c>
      <c r="BF7690" t="s">
        <v>588</v>
      </c>
    </row>
    <row r="7691" spans="3:58" x14ac:dyDescent="0.35">
      <c r="C7691">
        <v>45772</v>
      </c>
      <c r="F7691" t="s">
        <v>754</v>
      </c>
      <c r="Y7691">
        <v>608</v>
      </c>
      <c r="Z7691" s="259" t="s">
        <v>692</v>
      </c>
      <c r="AZ7691" t="s">
        <v>1400</v>
      </c>
      <c r="BA7691">
        <v>78.31</v>
      </c>
      <c r="BB7691" t="s">
        <v>564</v>
      </c>
      <c r="BC7691" t="s">
        <v>793</v>
      </c>
      <c r="BD7691">
        <v>0</v>
      </c>
      <c r="BE7691">
        <v>46302</v>
      </c>
      <c r="BF7691" t="s">
        <v>588</v>
      </c>
    </row>
    <row r="7692" spans="3:58" x14ac:dyDescent="0.35">
      <c r="C7692">
        <v>45775</v>
      </c>
      <c r="F7692" t="s">
        <v>754</v>
      </c>
      <c r="Y7692">
        <v>609</v>
      </c>
      <c r="Z7692" s="259" t="s">
        <v>692</v>
      </c>
      <c r="AZ7692" t="s">
        <v>1401</v>
      </c>
      <c r="BA7692">
        <v>78.72</v>
      </c>
      <c r="BB7692" t="s">
        <v>564</v>
      </c>
      <c r="BC7692" t="s">
        <v>793</v>
      </c>
      <c r="BD7692">
        <v>0</v>
      </c>
      <c r="BE7692">
        <v>46302</v>
      </c>
      <c r="BF7692" t="s">
        <v>588</v>
      </c>
    </row>
    <row r="7693" spans="3:58" x14ac:dyDescent="0.35">
      <c r="C7693">
        <v>45776</v>
      </c>
      <c r="F7693" t="s">
        <v>754</v>
      </c>
      <c r="Y7693">
        <v>610</v>
      </c>
      <c r="Z7693" s="259" t="s">
        <v>692</v>
      </c>
      <c r="AZ7693" t="s">
        <v>1402</v>
      </c>
      <c r="BA7693">
        <v>78.86</v>
      </c>
      <c r="BB7693" t="s">
        <v>564</v>
      </c>
      <c r="BC7693" t="s">
        <v>793</v>
      </c>
      <c r="BD7693">
        <v>0</v>
      </c>
      <c r="BE7693">
        <v>46302</v>
      </c>
      <c r="BF7693" t="s">
        <v>588</v>
      </c>
    </row>
    <row r="7694" spans="3:58" x14ac:dyDescent="0.35">
      <c r="C7694">
        <v>45777</v>
      </c>
      <c r="F7694" t="s">
        <v>754</v>
      </c>
      <c r="Y7694">
        <v>611</v>
      </c>
      <c r="Z7694" s="259" t="s">
        <v>692</v>
      </c>
      <c r="AZ7694" t="s">
        <v>1403</v>
      </c>
      <c r="BA7694">
        <v>79</v>
      </c>
      <c r="BB7694" t="s">
        <v>564</v>
      </c>
      <c r="BC7694" t="s">
        <v>793</v>
      </c>
      <c r="BD7694">
        <v>0</v>
      </c>
      <c r="BE7694">
        <v>46302</v>
      </c>
      <c r="BF7694" t="s">
        <v>588</v>
      </c>
    </row>
    <row r="7695" spans="3:58" x14ac:dyDescent="0.35">
      <c r="C7695">
        <v>45778</v>
      </c>
      <c r="F7695" t="s">
        <v>754</v>
      </c>
      <c r="Y7695">
        <v>612</v>
      </c>
      <c r="Z7695" s="259" t="s">
        <v>692</v>
      </c>
      <c r="AZ7695" t="s">
        <v>1404</v>
      </c>
      <c r="BA7695">
        <v>79</v>
      </c>
      <c r="BB7695" t="s">
        <v>564</v>
      </c>
      <c r="BC7695" t="s">
        <v>793</v>
      </c>
      <c r="BD7695">
        <v>0</v>
      </c>
      <c r="BE7695">
        <v>46302</v>
      </c>
      <c r="BF7695" t="s">
        <v>588</v>
      </c>
    </row>
    <row r="7696" spans="3:58" x14ac:dyDescent="0.35">
      <c r="C7696">
        <v>45779</v>
      </c>
      <c r="F7696" t="s">
        <v>754</v>
      </c>
      <c r="Y7696">
        <v>613</v>
      </c>
      <c r="Z7696" s="259" t="s">
        <v>692</v>
      </c>
      <c r="AZ7696" t="s">
        <v>1405</v>
      </c>
      <c r="BA7696">
        <v>79.2</v>
      </c>
      <c r="BB7696" t="s">
        <v>564</v>
      </c>
      <c r="BC7696" t="s">
        <v>793</v>
      </c>
      <c r="BD7696">
        <v>0</v>
      </c>
      <c r="BE7696">
        <v>46302</v>
      </c>
      <c r="BF7696" t="s">
        <v>588</v>
      </c>
    </row>
    <row r="7697" spans="3:58" x14ac:dyDescent="0.35">
      <c r="C7697">
        <v>45782</v>
      </c>
      <c r="F7697" t="s">
        <v>754</v>
      </c>
      <c r="Y7697">
        <v>614</v>
      </c>
      <c r="Z7697" s="259" t="s">
        <v>692</v>
      </c>
      <c r="AZ7697" t="s">
        <v>1406</v>
      </c>
      <c r="BA7697">
        <v>79.8</v>
      </c>
      <c r="BB7697" t="s">
        <v>564</v>
      </c>
      <c r="BC7697" t="s">
        <v>793</v>
      </c>
      <c r="BD7697">
        <v>0</v>
      </c>
      <c r="BE7697">
        <v>46302</v>
      </c>
      <c r="BF7697" t="s">
        <v>588</v>
      </c>
    </row>
    <row r="7698" spans="3:58" x14ac:dyDescent="0.35">
      <c r="C7698">
        <v>45783</v>
      </c>
      <c r="F7698" t="s">
        <v>754</v>
      </c>
      <c r="Y7698">
        <v>615</v>
      </c>
      <c r="Z7698" s="259" t="s">
        <v>692</v>
      </c>
      <c r="AZ7698" t="s">
        <v>1407</v>
      </c>
      <c r="BA7698">
        <v>80</v>
      </c>
      <c r="BB7698" t="s">
        <v>564</v>
      </c>
      <c r="BC7698" t="s">
        <v>793</v>
      </c>
      <c r="BD7698">
        <v>0</v>
      </c>
      <c r="BE7698">
        <v>46302</v>
      </c>
      <c r="BF7698" t="s">
        <v>588</v>
      </c>
    </row>
    <row r="7699" spans="3:58" x14ac:dyDescent="0.35">
      <c r="C7699">
        <v>45784</v>
      </c>
      <c r="F7699" t="s">
        <v>754</v>
      </c>
      <c r="Y7699">
        <v>616</v>
      </c>
      <c r="Z7699" s="259" t="s">
        <v>692</v>
      </c>
      <c r="AZ7699" t="s">
        <v>1408</v>
      </c>
      <c r="BA7699">
        <v>80.2</v>
      </c>
      <c r="BB7699" t="s">
        <v>564</v>
      </c>
      <c r="BC7699" t="s">
        <v>793</v>
      </c>
      <c r="BD7699">
        <v>0</v>
      </c>
      <c r="BE7699">
        <v>46302</v>
      </c>
      <c r="BF7699" t="s">
        <v>588</v>
      </c>
    </row>
    <row r="7700" spans="3:58" x14ac:dyDescent="0.35">
      <c r="C7700">
        <v>45785</v>
      </c>
      <c r="F7700" t="s">
        <v>754</v>
      </c>
      <c r="Y7700">
        <v>617</v>
      </c>
      <c r="Z7700" s="259" t="s">
        <v>692</v>
      </c>
      <c r="AZ7700" t="s">
        <v>1409</v>
      </c>
      <c r="BA7700">
        <v>80.400000000000006</v>
      </c>
      <c r="BB7700" t="s">
        <v>564</v>
      </c>
      <c r="BC7700" t="s">
        <v>793</v>
      </c>
      <c r="BD7700">
        <v>0</v>
      </c>
      <c r="BE7700">
        <v>46302</v>
      </c>
      <c r="BF7700" t="s">
        <v>588</v>
      </c>
    </row>
    <row r="7701" spans="3:58" x14ac:dyDescent="0.35">
      <c r="C7701">
        <v>45786</v>
      </c>
      <c r="F7701" t="s">
        <v>754</v>
      </c>
      <c r="Y7701">
        <v>618</v>
      </c>
      <c r="Z7701" s="259" t="s">
        <v>692</v>
      </c>
      <c r="AZ7701" t="s">
        <v>1410</v>
      </c>
      <c r="BA7701">
        <v>80.599999999999994</v>
      </c>
      <c r="BB7701" t="s">
        <v>564</v>
      </c>
      <c r="BC7701" t="s">
        <v>793</v>
      </c>
      <c r="BD7701">
        <v>0</v>
      </c>
      <c r="BE7701">
        <v>46302</v>
      </c>
      <c r="BF7701" t="s">
        <v>588</v>
      </c>
    </row>
    <row r="7702" spans="3:58" x14ac:dyDescent="0.35">
      <c r="C7702">
        <v>45789</v>
      </c>
      <c r="F7702" t="s">
        <v>754</v>
      </c>
      <c r="Y7702">
        <v>619</v>
      </c>
      <c r="Z7702" s="259" t="s">
        <v>692</v>
      </c>
      <c r="AZ7702" t="s">
        <v>1411</v>
      </c>
      <c r="BA7702">
        <v>81.2</v>
      </c>
      <c r="BB7702" t="s">
        <v>564</v>
      </c>
      <c r="BC7702" t="s">
        <v>793</v>
      </c>
      <c r="BD7702">
        <v>0</v>
      </c>
      <c r="BE7702">
        <v>46302</v>
      </c>
      <c r="BF7702" t="s">
        <v>588</v>
      </c>
    </row>
    <row r="7703" spans="3:58" x14ac:dyDescent="0.35">
      <c r="C7703">
        <v>45790</v>
      </c>
      <c r="F7703" t="s">
        <v>754</v>
      </c>
      <c r="Y7703">
        <v>620</v>
      </c>
      <c r="Z7703" s="259" t="s">
        <v>692</v>
      </c>
      <c r="AZ7703" t="s">
        <v>1412</v>
      </c>
      <c r="BA7703">
        <v>81.400000000000006</v>
      </c>
      <c r="BB7703" t="s">
        <v>564</v>
      </c>
      <c r="BC7703" t="s">
        <v>793</v>
      </c>
      <c r="BD7703">
        <v>0</v>
      </c>
      <c r="BE7703">
        <v>46302</v>
      </c>
      <c r="BF7703" t="s">
        <v>588</v>
      </c>
    </row>
    <row r="7704" spans="3:58" x14ac:dyDescent="0.35">
      <c r="C7704">
        <v>45791</v>
      </c>
      <c r="F7704" t="s">
        <v>754</v>
      </c>
      <c r="Y7704">
        <v>621</v>
      </c>
      <c r="Z7704" s="259" t="s">
        <v>692</v>
      </c>
      <c r="AZ7704" t="s">
        <v>1413</v>
      </c>
      <c r="BA7704">
        <v>81.599999999999994</v>
      </c>
      <c r="BB7704" t="s">
        <v>564</v>
      </c>
      <c r="BC7704" t="s">
        <v>793</v>
      </c>
      <c r="BD7704">
        <v>0</v>
      </c>
      <c r="BE7704">
        <v>46302</v>
      </c>
      <c r="BF7704" t="s">
        <v>588</v>
      </c>
    </row>
    <row r="7705" spans="3:58" x14ac:dyDescent="0.35">
      <c r="C7705">
        <v>45792</v>
      </c>
      <c r="F7705" t="s">
        <v>754</v>
      </c>
      <c r="Y7705">
        <v>622</v>
      </c>
      <c r="Z7705" s="259" t="s">
        <v>692</v>
      </c>
      <c r="AZ7705" t="s">
        <v>1414</v>
      </c>
      <c r="BA7705">
        <v>81.8</v>
      </c>
      <c r="BB7705" t="s">
        <v>564</v>
      </c>
      <c r="BC7705" t="s">
        <v>793</v>
      </c>
      <c r="BD7705">
        <v>0</v>
      </c>
      <c r="BE7705">
        <v>46302</v>
      </c>
      <c r="BF7705" t="s">
        <v>588</v>
      </c>
    </row>
    <row r="7706" spans="3:58" x14ac:dyDescent="0.35">
      <c r="C7706">
        <v>45793</v>
      </c>
      <c r="F7706" t="s">
        <v>754</v>
      </c>
      <c r="Y7706">
        <v>623</v>
      </c>
      <c r="Z7706" s="259" t="s">
        <v>692</v>
      </c>
      <c r="AZ7706" t="s">
        <v>1415</v>
      </c>
      <c r="BA7706">
        <v>82</v>
      </c>
      <c r="BB7706" t="s">
        <v>564</v>
      </c>
      <c r="BC7706" t="s">
        <v>793</v>
      </c>
      <c r="BD7706">
        <v>0</v>
      </c>
      <c r="BE7706">
        <v>46302</v>
      </c>
      <c r="BF7706" t="s">
        <v>588</v>
      </c>
    </row>
    <row r="7707" spans="3:58" x14ac:dyDescent="0.35">
      <c r="C7707">
        <v>45796</v>
      </c>
      <c r="F7707" t="s">
        <v>754</v>
      </c>
      <c r="Y7707">
        <v>624</v>
      </c>
      <c r="Z7707" s="259" t="s">
        <v>692</v>
      </c>
      <c r="AZ7707" t="s">
        <v>1416</v>
      </c>
      <c r="BA7707">
        <v>82.6</v>
      </c>
      <c r="BB7707" t="s">
        <v>564</v>
      </c>
      <c r="BC7707" t="s">
        <v>793</v>
      </c>
      <c r="BD7707">
        <v>0</v>
      </c>
      <c r="BE7707">
        <v>46302</v>
      </c>
      <c r="BF7707" t="s">
        <v>588</v>
      </c>
    </row>
    <row r="7708" spans="3:58" x14ac:dyDescent="0.35">
      <c r="C7708">
        <v>45797</v>
      </c>
      <c r="F7708" t="s">
        <v>754</v>
      </c>
      <c r="Y7708">
        <v>625</v>
      </c>
      <c r="Z7708" s="259" t="s">
        <v>692</v>
      </c>
      <c r="AZ7708" t="s">
        <v>1417</v>
      </c>
      <c r="BA7708">
        <v>82.8</v>
      </c>
      <c r="BB7708" t="s">
        <v>564</v>
      </c>
      <c r="BC7708" t="s">
        <v>793</v>
      </c>
      <c r="BD7708">
        <v>0</v>
      </c>
      <c r="BE7708">
        <v>46302</v>
      </c>
      <c r="BF7708" t="s">
        <v>588</v>
      </c>
    </row>
    <row r="7709" spans="3:58" x14ac:dyDescent="0.35">
      <c r="C7709">
        <v>45798</v>
      </c>
      <c r="F7709" t="s">
        <v>754</v>
      </c>
      <c r="Y7709">
        <v>626</v>
      </c>
      <c r="Z7709" s="259" t="s">
        <v>692</v>
      </c>
      <c r="AZ7709" t="s">
        <v>1418</v>
      </c>
      <c r="BA7709">
        <v>83</v>
      </c>
      <c r="BB7709" t="s">
        <v>564</v>
      </c>
      <c r="BC7709" t="s">
        <v>793</v>
      </c>
      <c r="BD7709">
        <v>0</v>
      </c>
      <c r="BE7709">
        <v>46302</v>
      </c>
      <c r="BF7709" t="s">
        <v>588</v>
      </c>
    </row>
    <row r="7710" spans="3:58" x14ac:dyDescent="0.35">
      <c r="C7710">
        <v>45799</v>
      </c>
      <c r="F7710" t="s">
        <v>754</v>
      </c>
      <c r="Y7710">
        <v>627</v>
      </c>
      <c r="Z7710" s="259" t="s">
        <v>692</v>
      </c>
      <c r="AZ7710" t="s">
        <v>1419</v>
      </c>
      <c r="BA7710">
        <v>83.2</v>
      </c>
      <c r="BB7710" t="s">
        <v>564</v>
      </c>
      <c r="BC7710" t="s">
        <v>793</v>
      </c>
      <c r="BD7710">
        <v>0</v>
      </c>
      <c r="BE7710">
        <v>46302</v>
      </c>
      <c r="BF7710" t="s">
        <v>588</v>
      </c>
    </row>
    <row r="7711" spans="3:58" x14ac:dyDescent="0.35">
      <c r="C7711">
        <v>45800</v>
      </c>
      <c r="F7711" t="s">
        <v>754</v>
      </c>
      <c r="Y7711">
        <v>628</v>
      </c>
      <c r="Z7711" s="259" t="s">
        <v>692</v>
      </c>
      <c r="AZ7711" t="s">
        <v>1420</v>
      </c>
      <c r="BA7711">
        <v>83.4</v>
      </c>
      <c r="BB7711" t="s">
        <v>564</v>
      </c>
      <c r="BC7711" t="s">
        <v>793</v>
      </c>
      <c r="BD7711">
        <v>0</v>
      </c>
      <c r="BE7711">
        <v>46302</v>
      </c>
      <c r="BF7711" t="s">
        <v>588</v>
      </c>
    </row>
    <row r="7712" spans="3:58" x14ac:dyDescent="0.35">
      <c r="C7712">
        <v>45803</v>
      </c>
      <c r="F7712" t="s">
        <v>754</v>
      </c>
      <c r="Y7712">
        <v>629</v>
      </c>
      <c r="Z7712" s="259" t="s">
        <v>692</v>
      </c>
      <c r="AZ7712" t="s">
        <v>1421</v>
      </c>
      <c r="BA7712">
        <v>84</v>
      </c>
      <c r="BB7712" t="s">
        <v>564</v>
      </c>
      <c r="BC7712" t="s">
        <v>793</v>
      </c>
      <c r="BD7712">
        <v>0</v>
      </c>
      <c r="BE7712">
        <v>46302</v>
      </c>
      <c r="BF7712" t="s">
        <v>588</v>
      </c>
    </row>
    <row r="7713" spans="3:58" x14ac:dyDescent="0.35">
      <c r="C7713">
        <v>45804</v>
      </c>
      <c r="F7713" t="s">
        <v>754</v>
      </c>
      <c r="Y7713">
        <v>630</v>
      </c>
      <c r="Z7713" s="259" t="s">
        <v>692</v>
      </c>
      <c r="AZ7713" t="s">
        <v>1422</v>
      </c>
      <c r="BA7713">
        <v>84.2</v>
      </c>
      <c r="BB7713" t="s">
        <v>564</v>
      </c>
      <c r="BC7713" t="s">
        <v>793</v>
      </c>
      <c r="BD7713">
        <v>0</v>
      </c>
      <c r="BE7713">
        <v>46302</v>
      </c>
      <c r="BF7713" t="s">
        <v>588</v>
      </c>
    </row>
    <row r="7714" spans="3:58" x14ac:dyDescent="0.35">
      <c r="C7714">
        <v>45805</v>
      </c>
      <c r="F7714" t="s">
        <v>754</v>
      </c>
      <c r="Y7714">
        <v>631</v>
      </c>
      <c r="Z7714" s="259" t="s">
        <v>692</v>
      </c>
      <c r="AZ7714" t="s">
        <v>1423</v>
      </c>
      <c r="BA7714">
        <v>84.4</v>
      </c>
      <c r="BB7714" t="s">
        <v>564</v>
      </c>
      <c r="BC7714" t="s">
        <v>793</v>
      </c>
      <c r="BD7714">
        <v>0</v>
      </c>
      <c r="BE7714">
        <v>46302</v>
      </c>
      <c r="BF7714" t="s">
        <v>588</v>
      </c>
    </row>
    <row r="7715" spans="3:58" x14ac:dyDescent="0.35">
      <c r="C7715">
        <v>45806</v>
      </c>
      <c r="F7715" t="s">
        <v>754</v>
      </c>
      <c r="Y7715">
        <v>632</v>
      </c>
      <c r="Z7715" s="259" t="s">
        <v>692</v>
      </c>
      <c r="AZ7715" t="s">
        <v>1424</v>
      </c>
      <c r="BA7715">
        <v>84.6</v>
      </c>
      <c r="BB7715" t="s">
        <v>564</v>
      </c>
      <c r="BC7715" t="s">
        <v>793</v>
      </c>
      <c r="BD7715">
        <v>0</v>
      </c>
      <c r="BE7715">
        <v>46302</v>
      </c>
      <c r="BF7715" t="s">
        <v>588</v>
      </c>
    </row>
    <row r="7716" spans="3:58" x14ac:dyDescent="0.35">
      <c r="C7716">
        <v>45807</v>
      </c>
      <c r="F7716" t="s">
        <v>754</v>
      </c>
      <c r="Y7716">
        <v>633</v>
      </c>
      <c r="Z7716" s="259" t="s">
        <v>692</v>
      </c>
      <c r="AZ7716" t="s">
        <v>1425</v>
      </c>
      <c r="BA7716">
        <v>84.8</v>
      </c>
      <c r="BB7716" t="s">
        <v>564</v>
      </c>
      <c r="BC7716" t="s">
        <v>793</v>
      </c>
      <c r="BD7716">
        <v>0</v>
      </c>
      <c r="BE7716">
        <v>46302</v>
      </c>
      <c r="BF7716" t="s">
        <v>588</v>
      </c>
    </row>
    <row r="7717" spans="3:58" x14ac:dyDescent="0.35">
      <c r="C7717">
        <v>45810</v>
      </c>
      <c r="F7717" t="s">
        <v>754</v>
      </c>
      <c r="Y7717">
        <v>634</v>
      </c>
      <c r="Z7717" s="259" t="s">
        <v>692</v>
      </c>
      <c r="AZ7717" t="s">
        <v>1426</v>
      </c>
      <c r="BA7717">
        <v>84.86</v>
      </c>
      <c r="BB7717" t="s">
        <v>564</v>
      </c>
      <c r="BC7717" t="s">
        <v>793</v>
      </c>
      <c r="BD7717">
        <v>0</v>
      </c>
      <c r="BE7717">
        <v>46302</v>
      </c>
      <c r="BF7717" t="s">
        <v>588</v>
      </c>
    </row>
    <row r="7718" spans="3:58" x14ac:dyDescent="0.35">
      <c r="C7718">
        <v>45811</v>
      </c>
      <c r="F7718" t="s">
        <v>754</v>
      </c>
      <c r="Y7718">
        <v>635</v>
      </c>
      <c r="Z7718" s="259" t="s">
        <v>692</v>
      </c>
      <c r="AZ7718" t="s">
        <v>1427</v>
      </c>
      <c r="BA7718">
        <v>84.72</v>
      </c>
      <c r="BB7718" t="s">
        <v>564</v>
      </c>
      <c r="BC7718" t="s">
        <v>793</v>
      </c>
      <c r="BD7718">
        <v>0</v>
      </c>
      <c r="BE7718">
        <v>46302</v>
      </c>
      <c r="BF7718" t="s">
        <v>588</v>
      </c>
    </row>
    <row r="7719" spans="3:58" x14ac:dyDescent="0.35">
      <c r="C7719">
        <v>45812</v>
      </c>
      <c r="F7719" t="s">
        <v>754</v>
      </c>
      <c r="Y7719">
        <v>636</v>
      </c>
      <c r="Z7719" s="259" t="s">
        <v>692</v>
      </c>
      <c r="AZ7719" t="s">
        <v>1428</v>
      </c>
      <c r="BA7719">
        <v>84.59</v>
      </c>
      <c r="BB7719" t="s">
        <v>564</v>
      </c>
      <c r="BC7719" t="s">
        <v>793</v>
      </c>
      <c r="BD7719">
        <v>0</v>
      </c>
      <c r="BE7719">
        <v>46302</v>
      </c>
      <c r="BF7719" t="s">
        <v>588</v>
      </c>
    </row>
    <row r="7720" spans="3:58" x14ac:dyDescent="0.35">
      <c r="C7720">
        <v>45813</v>
      </c>
      <c r="F7720" t="s">
        <v>754</v>
      </c>
      <c r="Y7720">
        <v>637</v>
      </c>
      <c r="Z7720" s="259" t="s">
        <v>692</v>
      </c>
      <c r="AZ7720" t="s">
        <v>1429</v>
      </c>
      <c r="BA7720">
        <v>84.45</v>
      </c>
      <c r="BB7720" t="s">
        <v>564</v>
      </c>
      <c r="BC7720" t="s">
        <v>793</v>
      </c>
      <c r="BD7720">
        <v>0</v>
      </c>
      <c r="BE7720">
        <v>46302</v>
      </c>
      <c r="BF7720" t="s">
        <v>588</v>
      </c>
    </row>
    <row r="7721" spans="3:58" x14ac:dyDescent="0.35">
      <c r="C7721">
        <v>45814</v>
      </c>
      <c r="F7721" t="s">
        <v>754</v>
      </c>
      <c r="Y7721">
        <v>638</v>
      </c>
      <c r="Z7721" s="259" t="s">
        <v>692</v>
      </c>
      <c r="AZ7721" t="s">
        <v>1430</v>
      </c>
      <c r="BA7721">
        <v>84.31</v>
      </c>
      <c r="BB7721" t="s">
        <v>564</v>
      </c>
      <c r="BC7721" t="s">
        <v>793</v>
      </c>
      <c r="BD7721">
        <v>0</v>
      </c>
      <c r="BE7721">
        <v>46302</v>
      </c>
      <c r="BF7721" t="s">
        <v>588</v>
      </c>
    </row>
    <row r="7722" spans="3:58" x14ac:dyDescent="0.35">
      <c r="C7722">
        <v>45817</v>
      </c>
      <c r="F7722" t="s">
        <v>754</v>
      </c>
      <c r="Y7722">
        <v>639</v>
      </c>
      <c r="Z7722" s="259" t="s">
        <v>692</v>
      </c>
      <c r="AZ7722" t="s">
        <v>1431</v>
      </c>
      <c r="BA7722">
        <v>83.9</v>
      </c>
      <c r="BB7722" t="s">
        <v>564</v>
      </c>
      <c r="BC7722" t="s">
        <v>793</v>
      </c>
      <c r="BD7722">
        <v>0</v>
      </c>
      <c r="BE7722">
        <v>46302</v>
      </c>
      <c r="BF7722" t="s">
        <v>588</v>
      </c>
    </row>
    <row r="7723" spans="3:58" x14ac:dyDescent="0.35">
      <c r="C7723">
        <v>45818</v>
      </c>
      <c r="F7723" t="s">
        <v>754</v>
      </c>
      <c r="Y7723">
        <v>640</v>
      </c>
      <c r="Z7723" s="259" t="s">
        <v>692</v>
      </c>
      <c r="AZ7723" t="s">
        <v>1432</v>
      </c>
      <c r="BA7723">
        <v>83.76</v>
      </c>
      <c r="BB7723" t="s">
        <v>564</v>
      </c>
      <c r="BC7723" t="s">
        <v>793</v>
      </c>
      <c r="BD7723">
        <v>0</v>
      </c>
      <c r="BE7723">
        <v>46302</v>
      </c>
      <c r="BF7723" t="s">
        <v>588</v>
      </c>
    </row>
    <row r="7724" spans="3:58" x14ac:dyDescent="0.35">
      <c r="C7724">
        <v>45819</v>
      </c>
      <c r="F7724" t="s">
        <v>754</v>
      </c>
      <c r="Y7724">
        <v>641</v>
      </c>
      <c r="Z7724" s="259" t="s">
        <v>692</v>
      </c>
      <c r="AZ7724" t="s">
        <v>1433</v>
      </c>
      <c r="BA7724">
        <v>83.62</v>
      </c>
      <c r="BB7724" t="s">
        <v>564</v>
      </c>
      <c r="BC7724" t="s">
        <v>793</v>
      </c>
      <c r="BD7724">
        <v>0</v>
      </c>
      <c r="BE7724">
        <v>46302</v>
      </c>
      <c r="BF7724" t="s">
        <v>588</v>
      </c>
    </row>
    <row r="7725" spans="3:58" x14ac:dyDescent="0.35">
      <c r="C7725">
        <v>45820</v>
      </c>
      <c r="F7725" t="s">
        <v>754</v>
      </c>
      <c r="Y7725">
        <v>642</v>
      </c>
      <c r="Z7725" s="259" t="s">
        <v>692</v>
      </c>
      <c r="AZ7725" t="s">
        <v>1434</v>
      </c>
      <c r="BA7725">
        <v>83.48</v>
      </c>
      <c r="BB7725" t="s">
        <v>564</v>
      </c>
      <c r="BC7725" t="s">
        <v>793</v>
      </c>
      <c r="BD7725">
        <v>0</v>
      </c>
      <c r="BE7725">
        <v>46302</v>
      </c>
      <c r="BF7725" t="s">
        <v>588</v>
      </c>
    </row>
    <row r="7726" spans="3:58" x14ac:dyDescent="0.35">
      <c r="C7726">
        <v>45821</v>
      </c>
      <c r="F7726" t="s">
        <v>754</v>
      </c>
      <c r="Y7726">
        <v>643</v>
      </c>
      <c r="Z7726" s="259" t="s">
        <v>692</v>
      </c>
      <c r="AZ7726" t="s">
        <v>1435</v>
      </c>
      <c r="BA7726">
        <v>83.34</v>
      </c>
      <c r="BB7726" t="s">
        <v>564</v>
      </c>
      <c r="BC7726" t="s">
        <v>793</v>
      </c>
      <c r="BD7726">
        <v>0</v>
      </c>
      <c r="BE7726">
        <v>46302</v>
      </c>
      <c r="BF7726" t="s">
        <v>588</v>
      </c>
    </row>
    <row r="7727" spans="3:58" x14ac:dyDescent="0.35">
      <c r="C7727">
        <v>45824</v>
      </c>
      <c r="F7727" t="s">
        <v>754</v>
      </c>
      <c r="Y7727">
        <v>644</v>
      </c>
      <c r="Z7727" s="259" t="s">
        <v>692</v>
      </c>
      <c r="AZ7727" t="s">
        <v>1436</v>
      </c>
      <c r="BA7727">
        <v>82.93</v>
      </c>
      <c r="BB7727" t="s">
        <v>564</v>
      </c>
      <c r="BC7727" t="s">
        <v>793</v>
      </c>
      <c r="BD7727">
        <v>0</v>
      </c>
      <c r="BE7727">
        <v>46302</v>
      </c>
      <c r="BF7727" t="s">
        <v>588</v>
      </c>
    </row>
    <row r="7728" spans="3:58" x14ac:dyDescent="0.35">
      <c r="C7728">
        <v>45825</v>
      </c>
      <c r="F7728" t="s">
        <v>754</v>
      </c>
      <c r="Y7728">
        <v>645</v>
      </c>
      <c r="Z7728" s="259" t="s">
        <v>692</v>
      </c>
      <c r="AZ7728" t="s">
        <v>1437</v>
      </c>
      <c r="BA7728">
        <v>82.79</v>
      </c>
      <c r="BB7728" t="s">
        <v>564</v>
      </c>
      <c r="BC7728" t="s">
        <v>793</v>
      </c>
      <c r="BD7728">
        <v>0</v>
      </c>
      <c r="BE7728">
        <v>46302</v>
      </c>
      <c r="BF7728" t="s">
        <v>588</v>
      </c>
    </row>
    <row r="7729" spans="3:58" x14ac:dyDescent="0.35">
      <c r="C7729">
        <v>45826</v>
      </c>
      <c r="F7729" t="s">
        <v>754</v>
      </c>
      <c r="Y7729">
        <v>646</v>
      </c>
      <c r="Z7729" s="259" t="s">
        <v>692</v>
      </c>
      <c r="AZ7729" t="s">
        <v>1438</v>
      </c>
      <c r="BA7729">
        <v>82.66</v>
      </c>
      <c r="BB7729" t="s">
        <v>564</v>
      </c>
      <c r="BC7729" t="s">
        <v>793</v>
      </c>
      <c r="BD7729">
        <v>0</v>
      </c>
      <c r="BE7729">
        <v>46302</v>
      </c>
      <c r="BF7729" t="s">
        <v>588</v>
      </c>
    </row>
    <row r="7730" spans="3:58" x14ac:dyDescent="0.35">
      <c r="C7730">
        <v>45827</v>
      </c>
      <c r="F7730" t="s">
        <v>754</v>
      </c>
      <c r="Y7730">
        <v>647</v>
      </c>
      <c r="Z7730" s="259" t="s">
        <v>692</v>
      </c>
      <c r="AZ7730" t="s">
        <v>1439</v>
      </c>
      <c r="BA7730">
        <v>82.52</v>
      </c>
      <c r="BB7730" t="s">
        <v>564</v>
      </c>
      <c r="BC7730" t="s">
        <v>793</v>
      </c>
      <c r="BD7730">
        <v>0</v>
      </c>
      <c r="BE7730">
        <v>46302</v>
      </c>
      <c r="BF7730" t="s">
        <v>588</v>
      </c>
    </row>
    <row r="7731" spans="3:58" x14ac:dyDescent="0.35">
      <c r="C7731">
        <v>45828</v>
      </c>
      <c r="F7731" t="s">
        <v>754</v>
      </c>
      <c r="Y7731">
        <v>648</v>
      </c>
      <c r="Z7731" s="259" t="s">
        <v>692</v>
      </c>
      <c r="AZ7731" t="s">
        <v>1440</v>
      </c>
      <c r="BA7731">
        <v>82.38</v>
      </c>
      <c r="BB7731" t="s">
        <v>564</v>
      </c>
      <c r="BC7731" t="s">
        <v>793</v>
      </c>
      <c r="BD7731">
        <v>0</v>
      </c>
      <c r="BE7731">
        <v>46302</v>
      </c>
      <c r="BF7731" t="s">
        <v>588</v>
      </c>
    </row>
    <row r="7732" spans="3:58" x14ac:dyDescent="0.35">
      <c r="C7732">
        <v>45831</v>
      </c>
      <c r="F7732" t="s">
        <v>754</v>
      </c>
      <c r="Y7732">
        <v>649</v>
      </c>
      <c r="Z7732" s="259" t="s">
        <v>692</v>
      </c>
      <c r="AZ7732" t="s">
        <v>1441</v>
      </c>
      <c r="BA7732">
        <v>81.97</v>
      </c>
      <c r="BB7732" t="s">
        <v>564</v>
      </c>
      <c r="BC7732" t="s">
        <v>793</v>
      </c>
      <c r="BD7732">
        <v>0</v>
      </c>
      <c r="BE7732">
        <v>46302</v>
      </c>
      <c r="BF7732" t="s">
        <v>588</v>
      </c>
    </row>
    <row r="7733" spans="3:58" x14ac:dyDescent="0.35">
      <c r="C7733">
        <v>45832</v>
      </c>
      <c r="F7733" t="s">
        <v>754</v>
      </c>
      <c r="Y7733">
        <v>650</v>
      </c>
      <c r="Z7733" s="259" t="s">
        <v>692</v>
      </c>
      <c r="AZ7733" t="s">
        <v>1442</v>
      </c>
      <c r="BA7733">
        <v>81.83</v>
      </c>
      <c r="BB7733" t="s">
        <v>564</v>
      </c>
      <c r="BC7733" t="s">
        <v>793</v>
      </c>
      <c r="BD7733">
        <v>0</v>
      </c>
      <c r="BE7733">
        <v>46302</v>
      </c>
      <c r="BF7733" t="s">
        <v>588</v>
      </c>
    </row>
    <row r="7734" spans="3:58" x14ac:dyDescent="0.35">
      <c r="C7734">
        <v>45833</v>
      </c>
      <c r="F7734" t="s">
        <v>754</v>
      </c>
      <c r="Y7734">
        <v>651</v>
      </c>
      <c r="Z7734" s="259" t="s">
        <v>692</v>
      </c>
      <c r="AZ7734" t="s">
        <v>1443</v>
      </c>
      <c r="BA7734">
        <v>81.69</v>
      </c>
      <c r="BB7734" t="s">
        <v>564</v>
      </c>
      <c r="BC7734" t="s">
        <v>793</v>
      </c>
      <c r="BD7734">
        <v>0</v>
      </c>
      <c r="BE7734">
        <v>46302</v>
      </c>
      <c r="BF7734" t="s">
        <v>588</v>
      </c>
    </row>
    <row r="7735" spans="3:58" x14ac:dyDescent="0.35">
      <c r="C7735">
        <v>45834</v>
      </c>
      <c r="F7735" t="s">
        <v>754</v>
      </c>
      <c r="Y7735">
        <v>652</v>
      </c>
      <c r="Z7735" s="259" t="s">
        <v>692</v>
      </c>
      <c r="AZ7735" t="s">
        <v>1444</v>
      </c>
      <c r="BA7735">
        <v>81.55</v>
      </c>
      <c r="BB7735" t="s">
        <v>564</v>
      </c>
      <c r="BC7735" t="s">
        <v>793</v>
      </c>
      <c r="BD7735">
        <v>0</v>
      </c>
      <c r="BE7735">
        <v>46302</v>
      </c>
      <c r="BF7735" t="s">
        <v>588</v>
      </c>
    </row>
    <row r="7736" spans="3:58" x14ac:dyDescent="0.35">
      <c r="C7736">
        <v>45835</v>
      </c>
      <c r="F7736" t="s">
        <v>754</v>
      </c>
      <c r="Y7736">
        <v>653</v>
      </c>
      <c r="Z7736" s="259" t="s">
        <v>692</v>
      </c>
      <c r="AZ7736" t="s">
        <v>1445</v>
      </c>
      <c r="BA7736">
        <v>81.41</v>
      </c>
      <c r="BB7736" t="s">
        <v>564</v>
      </c>
      <c r="BC7736" t="s">
        <v>793</v>
      </c>
      <c r="BD7736">
        <v>0</v>
      </c>
      <c r="BE7736">
        <v>46302</v>
      </c>
      <c r="BF7736" t="s">
        <v>588</v>
      </c>
    </row>
    <row r="7737" spans="3:58" x14ac:dyDescent="0.35">
      <c r="C7737">
        <v>45838</v>
      </c>
      <c r="F7737" t="s">
        <v>754</v>
      </c>
      <c r="Y7737">
        <v>654</v>
      </c>
      <c r="Z7737" s="259" t="s">
        <v>692</v>
      </c>
      <c r="AZ7737" t="s">
        <v>1446</v>
      </c>
      <c r="BA7737">
        <v>81</v>
      </c>
      <c r="BB7737" t="s">
        <v>564</v>
      </c>
      <c r="BC7737" t="s">
        <v>793</v>
      </c>
      <c r="BD7737">
        <v>0</v>
      </c>
      <c r="BE7737">
        <v>46302</v>
      </c>
      <c r="BF7737" t="s">
        <v>588</v>
      </c>
    </row>
    <row r="7738" spans="3:58" x14ac:dyDescent="0.35">
      <c r="C7738">
        <v>45839</v>
      </c>
      <c r="F7738" t="s">
        <v>754</v>
      </c>
      <c r="Y7738">
        <v>655</v>
      </c>
      <c r="Z7738" s="259" t="s">
        <v>692</v>
      </c>
      <c r="AZ7738" t="s">
        <v>1447</v>
      </c>
      <c r="BA7738">
        <v>81</v>
      </c>
      <c r="BB7738" t="s">
        <v>564</v>
      </c>
      <c r="BC7738" t="s">
        <v>793</v>
      </c>
      <c r="BD7738">
        <v>0</v>
      </c>
      <c r="BE7738">
        <v>46302</v>
      </c>
      <c r="BF7738" t="s">
        <v>588</v>
      </c>
    </row>
    <row r="7739" spans="3:58" x14ac:dyDescent="0.35">
      <c r="C7739">
        <v>45840</v>
      </c>
      <c r="F7739" t="s">
        <v>754</v>
      </c>
      <c r="Y7739">
        <v>656</v>
      </c>
      <c r="Z7739" s="259" t="s">
        <v>692</v>
      </c>
      <c r="AZ7739" t="s">
        <v>1448</v>
      </c>
      <c r="BA7739">
        <v>80.87</v>
      </c>
      <c r="BB7739" t="s">
        <v>564</v>
      </c>
      <c r="BC7739" t="s">
        <v>793</v>
      </c>
      <c r="BD7739">
        <v>0</v>
      </c>
      <c r="BE7739">
        <v>46302</v>
      </c>
      <c r="BF7739" t="s">
        <v>588</v>
      </c>
    </row>
    <row r="7740" spans="3:58" x14ac:dyDescent="0.35">
      <c r="C7740">
        <v>45841</v>
      </c>
      <c r="F7740" t="s">
        <v>754</v>
      </c>
      <c r="Y7740">
        <v>657</v>
      </c>
      <c r="Z7740" s="259" t="s">
        <v>692</v>
      </c>
      <c r="AZ7740" t="s">
        <v>1449</v>
      </c>
      <c r="BA7740">
        <v>80.73</v>
      </c>
      <c r="BB7740" t="s">
        <v>564</v>
      </c>
      <c r="BC7740" t="s">
        <v>793</v>
      </c>
      <c r="BD7740">
        <v>0</v>
      </c>
      <c r="BE7740">
        <v>46302</v>
      </c>
      <c r="BF7740" t="s">
        <v>588</v>
      </c>
    </row>
    <row r="7741" spans="3:58" x14ac:dyDescent="0.35">
      <c r="C7741">
        <v>45842</v>
      </c>
      <c r="F7741" t="s">
        <v>754</v>
      </c>
      <c r="Y7741">
        <v>658</v>
      </c>
      <c r="Z7741" s="259" t="s">
        <v>692</v>
      </c>
      <c r="AZ7741" t="s">
        <v>1450</v>
      </c>
      <c r="BA7741">
        <v>80.599999999999994</v>
      </c>
      <c r="BB7741" t="s">
        <v>564</v>
      </c>
      <c r="BC7741" t="s">
        <v>793</v>
      </c>
      <c r="BD7741">
        <v>0</v>
      </c>
      <c r="BE7741">
        <v>46302</v>
      </c>
      <c r="BF7741" t="s">
        <v>588</v>
      </c>
    </row>
    <row r="7742" spans="3:58" x14ac:dyDescent="0.35">
      <c r="C7742">
        <v>45845</v>
      </c>
      <c r="F7742" t="s">
        <v>754</v>
      </c>
      <c r="Y7742">
        <v>659</v>
      </c>
      <c r="Z7742" s="259" t="s">
        <v>692</v>
      </c>
      <c r="AZ7742" t="s">
        <v>1451</v>
      </c>
      <c r="BA7742">
        <v>80.2</v>
      </c>
      <c r="BB7742" t="s">
        <v>564</v>
      </c>
      <c r="BC7742" t="s">
        <v>793</v>
      </c>
      <c r="BD7742">
        <v>0</v>
      </c>
      <c r="BE7742">
        <v>46302</v>
      </c>
      <c r="BF7742" t="s">
        <v>588</v>
      </c>
    </row>
    <row r="7743" spans="3:58" x14ac:dyDescent="0.35">
      <c r="C7743">
        <v>45846</v>
      </c>
      <c r="F7743" t="s">
        <v>754</v>
      </c>
      <c r="Y7743">
        <v>660</v>
      </c>
      <c r="Z7743" s="259" t="s">
        <v>692</v>
      </c>
      <c r="AZ7743" t="s">
        <v>1452</v>
      </c>
      <c r="BA7743">
        <v>80.069999999999993</v>
      </c>
      <c r="BB7743" t="s">
        <v>564</v>
      </c>
      <c r="BC7743" t="s">
        <v>793</v>
      </c>
      <c r="BD7743">
        <v>0</v>
      </c>
      <c r="BE7743">
        <v>46302</v>
      </c>
      <c r="BF7743" t="s">
        <v>588</v>
      </c>
    </row>
    <row r="7744" spans="3:58" x14ac:dyDescent="0.35">
      <c r="C7744">
        <v>45847</v>
      </c>
      <c r="F7744" t="s">
        <v>754</v>
      </c>
      <c r="Y7744">
        <v>661</v>
      </c>
      <c r="Z7744" s="259" t="s">
        <v>692</v>
      </c>
      <c r="AZ7744" t="s">
        <v>1453</v>
      </c>
      <c r="BA7744">
        <v>79.930000000000007</v>
      </c>
      <c r="BB7744" t="s">
        <v>564</v>
      </c>
      <c r="BC7744" t="s">
        <v>793</v>
      </c>
      <c r="BD7744">
        <v>0</v>
      </c>
      <c r="BE7744">
        <v>46302</v>
      </c>
      <c r="BF7744" t="s">
        <v>588</v>
      </c>
    </row>
    <row r="7745" spans="3:58" x14ac:dyDescent="0.35">
      <c r="C7745">
        <v>45848</v>
      </c>
      <c r="F7745" t="s">
        <v>754</v>
      </c>
      <c r="Y7745">
        <v>662</v>
      </c>
      <c r="Z7745" s="259" t="s">
        <v>692</v>
      </c>
      <c r="AZ7745" t="s">
        <v>1454</v>
      </c>
      <c r="BA7745">
        <v>79.8</v>
      </c>
      <c r="BB7745" t="s">
        <v>564</v>
      </c>
      <c r="BC7745" t="s">
        <v>793</v>
      </c>
      <c r="BD7745">
        <v>0</v>
      </c>
      <c r="BE7745">
        <v>46302</v>
      </c>
      <c r="BF7745" t="s">
        <v>588</v>
      </c>
    </row>
    <row r="7746" spans="3:58" x14ac:dyDescent="0.35">
      <c r="C7746">
        <v>45849</v>
      </c>
      <c r="F7746" t="s">
        <v>754</v>
      </c>
      <c r="Y7746">
        <v>663</v>
      </c>
      <c r="Z7746" s="259" t="s">
        <v>692</v>
      </c>
      <c r="AZ7746" t="s">
        <v>1455</v>
      </c>
      <c r="BA7746">
        <v>79.67</v>
      </c>
      <c r="BB7746" t="s">
        <v>564</v>
      </c>
      <c r="BC7746" t="s">
        <v>793</v>
      </c>
      <c r="BD7746">
        <v>0</v>
      </c>
      <c r="BE7746">
        <v>46302</v>
      </c>
      <c r="BF7746" t="s">
        <v>588</v>
      </c>
    </row>
    <row r="7747" spans="3:58" x14ac:dyDescent="0.35">
      <c r="C7747">
        <v>45852</v>
      </c>
      <c r="F7747" t="s">
        <v>754</v>
      </c>
      <c r="Y7747">
        <v>664</v>
      </c>
      <c r="Z7747" s="259" t="s">
        <v>692</v>
      </c>
      <c r="AZ7747" t="s">
        <v>1456</v>
      </c>
      <c r="BA7747">
        <v>79.27</v>
      </c>
      <c r="BB7747" t="s">
        <v>564</v>
      </c>
      <c r="BC7747" t="s">
        <v>793</v>
      </c>
      <c r="BD7747">
        <v>0</v>
      </c>
      <c r="BE7747">
        <v>46302</v>
      </c>
      <c r="BF7747" t="s">
        <v>588</v>
      </c>
    </row>
    <row r="7748" spans="3:58" x14ac:dyDescent="0.35">
      <c r="C7748">
        <v>45853</v>
      </c>
      <c r="F7748" t="s">
        <v>754</v>
      </c>
      <c r="Y7748">
        <v>665</v>
      </c>
      <c r="Z7748" s="259" t="s">
        <v>692</v>
      </c>
      <c r="AZ7748" t="s">
        <v>1457</v>
      </c>
      <c r="BA7748">
        <v>79.13</v>
      </c>
      <c r="BB7748" t="s">
        <v>564</v>
      </c>
      <c r="BC7748" t="s">
        <v>793</v>
      </c>
      <c r="BD7748">
        <v>0</v>
      </c>
      <c r="BE7748">
        <v>46302</v>
      </c>
      <c r="BF7748" t="s">
        <v>588</v>
      </c>
    </row>
    <row r="7749" spans="3:58" x14ac:dyDescent="0.35">
      <c r="C7749">
        <v>45854</v>
      </c>
      <c r="F7749" t="s">
        <v>754</v>
      </c>
      <c r="Y7749">
        <v>666</v>
      </c>
      <c r="Z7749" s="259" t="s">
        <v>692</v>
      </c>
      <c r="AZ7749" t="s">
        <v>1458</v>
      </c>
      <c r="BA7749">
        <v>79</v>
      </c>
      <c r="BB7749" t="s">
        <v>564</v>
      </c>
      <c r="BC7749" t="s">
        <v>793</v>
      </c>
      <c r="BD7749">
        <v>0</v>
      </c>
      <c r="BE7749">
        <v>46302</v>
      </c>
      <c r="BF7749" t="s">
        <v>588</v>
      </c>
    </row>
    <row r="7750" spans="3:58" x14ac:dyDescent="0.35">
      <c r="C7750">
        <v>45855</v>
      </c>
      <c r="F7750" t="s">
        <v>754</v>
      </c>
      <c r="Y7750">
        <v>667</v>
      </c>
      <c r="Z7750" s="259" t="s">
        <v>692</v>
      </c>
      <c r="AZ7750" t="s">
        <v>1459</v>
      </c>
      <c r="BA7750">
        <v>78.87</v>
      </c>
      <c r="BB7750" t="s">
        <v>564</v>
      </c>
      <c r="BC7750" t="s">
        <v>793</v>
      </c>
      <c r="BD7750">
        <v>0</v>
      </c>
      <c r="BE7750">
        <v>46302</v>
      </c>
      <c r="BF7750" t="s">
        <v>588</v>
      </c>
    </row>
    <row r="7751" spans="3:58" x14ac:dyDescent="0.35">
      <c r="C7751">
        <v>45856</v>
      </c>
      <c r="F7751" t="s">
        <v>754</v>
      </c>
      <c r="Y7751">
        <v>668</v>
      </c>
      <c r="Z7751" s="259" t="s">
        <v>692</v>
      </c>
      <c r="AZ7751" t="s">
        <v>1460</v>
      </c>
      <c r="BA7751">
        <v>78.73</v>
      </c>
      <c r="BB7751" t="s">
        <v>564</v>
      </c>
      <c r="BC7751" t="s">
        <v>793</v>
      </c>
      <c r="BD7751">
        <v>0</v>
      </c>
      <c r="BE7751">
        <v>46302</v>
      </c>
      <c r="BF7751" t="s">
        <v>588</v>
      </c>
    </row>
    <row r="7752" spans="3:58" x14ac:dyDescent="0.35">
      <c r="C7752">
        <v>45859</v>
      </c>
      <c r="F7752" t="s">
        <v>754</v>
      </c>
      <c r="Y7752">
        <v>669</v>
      </c>
      <c r="Z7752" s="259" t="s">
        <v>692</v>
      </c>
      <c r="AZ7752" t="s">
        <v>1461</v>
      </c>
      <c r="BA7752">
        <v>78.33</v>
      </c>
      <c r="BB7752" t="s">
        <v>564</v>
      </c>
      <c r="BC7752" t="s">
        <v>793</v>
      </c>
      <c r="BD7752">
        <v>0</v>
      </c>
      <c r="BE7752">
        <v>46302</v>
      </c>
      <c r="BF7752" t="s">
        <v>588</v>
      </c>
    </row>
    <row r="7753" spans="3:58" x14ac:dyDescent="0.35">
      <c r="C7753">
        <v>45860</v>
      </c>
      <c r="F7753" t="s">
        <v>754</v>
      </c>
      <c r="Y7753">
        <v>670</v>
      </c>
      <c r="Z7753" s="259" t="s">
        <v>692</v>
      </c>
      <c r="AZ7753" t="s">
        <v>1462</v>
      </c>
      <c r="BA7753">
        <v>78.2</v>
      </c>
      <c r="BB7753" t="s">
        <v>564</v>
      </c>
      <c r="BC7753" t="s">
        <v>793</v>
      </c>
      <c r="BD7753">
        <v>0</v>
      </c>
      <c r="BE7753">
        <v>46302</v>
      </c>
      <c r="BF7753" t="s">
        <v>588</v>
      </c>
    </row>
    <row r="7754" spans="3:58" x14ac:dyDescent="0.35">
      <c r="C7754">
        <v>45861</v>
      </c>
      <c r="F7754" t="s">
        <v>754</v>
      </c>
      <c r="Y7754">
        <v>671</v>
      </c>
      <c r="Z7754" s="259" t="s">
        <v>692</v>
      </c>
      <c r="AZ7754" t="s">
        <v>1463</v>
      </c>
      <c r="BA7754">
        <v>78.069999999999993</v>
      </c>
      <c r="BB7754" t="s">
        <v>564</v>
      </c>
      <c r="BC7754" t="s">
        <v>793</v>
      </c>
      <c r="BD7754">
        <v>0</v>
      </c>
      <c r="BE7754">
        <v>46302</v>
      </c>
      <c r="BF7754" t="s">
        <v>588</v>
      </c>
    </row>
    <row r="7755" spans="3:58" x14ac:dyDescent="0.35">
      <c r="C7755">
        <v>45862</v>
      </c>
      <c r="F7755" t="s">
        <v>754</v>
      </c>
      <c r="Y7755">
        <v>672</v>
      </c>
      <c r="Z7755" s="259" t="s">
        <v>692</v>
      </c>
      <c r="AZ7755" t="s">
        <v>1464</v>
      </c>
      <c r="BA7755">
        <v>77.930000000000007</v>
      </c>
      <c r="BB7755" t="s">
        <v>564</v>
      </c>
      <c r="BC7755" t="s">
        <v>793</v>
      </c>
      <c r="BD7755">
        <v>0</v>
      </c>
      <c r="BE7755">
        <v>46302</v>
      </c>
      <c r="BF7755" t="s">
        <v>588</v>
      </c>
    </row>
    <row r="7756" spans="3:58" x14ac:dyDescent="0.35">
      <c r="C7756">
        <v>45863</v>
      </c>
      <c r="F7756" t="s">
        <v>754</v>
      </c>
      <c r="Y7756">
        <v>673</v>
      </c>
      <c r="Z7756" s="259" t="s">
        <v>692</v>
      </c>
      <c r="AZ7756" t="s">
        <v>1465</v>
      </c>
      <c r="BA7756">
        <v>77.8</v>
      </c>
      <c r="BB7756" t="s">
        <v>564</v>
      </c>
      <c r="BC7756" t="s">
        <v>793</v>
      </c>
      <c r="BD7756">
        <v>0</v>
      </c>
      <c r="BE7756">
        <v>46302</v>
      </c>
      <c r="BF7756" t="s">
        <v>588</v>
      </c>
    </row>
    <row r="7757" spans="3:58" x14ac:dyDescent="0.35">
      <c r="C7757">
        <v>45866</v>
      </c>
      <c r="F7757" t="s">
        <v>754</v>
      </c>
      <c r="Y7757">
        <v>674</v>
      </c>
      <c r="Z7757" s="259" t="s">
        <v>692</v>
      </c>
      <c r="AZ7757" t="s">
        <v>1466</v>
      </c>
      <c r="BA7757">
        <v>77.400000000000006</v>
      </c>
      <c r="BB7757" t="s">
        <v>564</v>
      </c>
      <c r="BC7757" t="s">
        <v>793</v>
      </c>
      <c r="BD7757">
        <v>0</v>
      </c>
      <c r="BE7757">
        <v>46302</v>
      </c>
      <c r="BF7757" t="s">
        <v>588</v>
      </c>
    </row>
    <row r="7758" spans="3:58" x14ac:dyDescent="0.35">
      <c r="C7758">
        <v>45867</v>
      </c>
      <c r="F7758" t="s">
        <v>754</v>
      </c>
      <c r="Y7758">
        <v>675</v>
      </c>
      <c r="Z7758" s="259" t="s">
        <v>692</v>
      </c>
      <c r="AZ7758" t="s">
        <v>1467</v>
      </c>
      <c r="BA7758">
        <v>77.27</v>
      </c>
      <c r="BB7758" t="s">
        <v>564</v>
      </c>
      <c r="BC7758" t="s">
        <v>793</v>
      </c>
      <c r="BD7758">
        <v>0</v>
      </c>
      <c r="BE7758">
        <v>46302</v>
      </c>
      <c r="BF7758" t="s">
        <v>588</v>
      </c>
    </row>
    <row r="7759" spans="3:58" x14ac:dyDescent="0.35">
      <c r="C7759">
        <v>45868</v>
      </c>
      <c r="F7759" t="s">
        <v>754</v>
      </c>
      <c r="Y7759">
        <v>676</v>
      </c>
      <c r="Z7759" s="259" t="s">
        <v>692</v>
      </c>
      <c r="AZ7759" t="s">
        <v>1468</v>
      </c>
      <c r="BA7759">
        <v>77.13</v>
      </c>
      <c r="BB7759" t="s">
        <v>564</v>
      </c>
      <c r="BC7759" t="s">
        <v>793</v>
      </c>
      <c r="BD7759">
        <v>0</v>
      </c>
      <c r="BE7759">
        <v>46302</v>
      </c>
      <c r="BF7759" t="s">
        <v>588</v>
      </c>
    </row>
    <row r="7760" spans="3:58" x14ac:dyDescent="0.35">
      <c r="C7760">
        <v>45869</v>
      </c>
      <c r="F7760" t="s">
        <v>754</v>
      </c>
      <c r="Y7760">
        <v>677</v>
      </c>
      <c r="Z7760" s="259" t="s">
        <v>692</v>
      </c>
      <c r="AZ7760" t="s">
        <v>1469</v>
      </c>
      <c r="BA7760">
        <v>77</v>
      </c>
      <c r="BB7760" t="s">
        <v>564</v>
      </c>
      <c r="BC7760" t="s">
        <v>793</v>
      </c>
      <c r="BD7760">
        <v>0</v>
      </c>
      <c r="BE7760">
        <v>46302</v>
      </c>
      <c r="BF7760" t="s">
        <v>588</v>
      </c>
    </row>
    <row r="7761" spans="3:58" x14ac:dyDescent="0.35">
      <c r="C7761">
        <v>45870</v>
      </c>
      <c r="F7761" t="s">
        <v>754</v>
      </c>
      <c r="Y7761">
        <v>678</v>
      </c>
      <c r="Z7761" s="259" t="s">
        <v>692</v>
      </c>
      <c r="AZ7761" t="s">
        <v>1470</v>
      </c>
      <c r="BA7761">
        <v>77</v>
      </c>
      <c r="BB7761" t="s">
        <v>564</v>
      </c>
      <c r="BC7761" t="s">
        <v>793</v>
      </c>
      <c r="BD7761">
        <v>0</v>
      </c>
      <c r="BE7761">
        <v>46302</v>
      </c>
      <c r="BF7761" t="s">
        <v>588</v>
      </c>
    </row>
    <row r="7762" spans="3:58" x14ac:dyDescent="0.35">
      <c r="C7762">
        <v>45873</v>
      </c>
      <c r="F7762" t="s">
        <v>754</v>
      </c>
      <c r="Y7762">
        <v>679</v>
      </c>
      <c r="Z7762" s="259" t="s">
        <v>692</v>
      </c>
      <c r="AZ7762" t="s">
        <v>1471</v>
      </c>
      <c r="BA7762">
        <v>77.900000000000006</v>
      </c>
      <c r="BB7762" t="s">
        <v>564</v>
      </c>
      <c r="BC7762" t="s">
        <v>793</v>
      </c>
      <c r="BD7762">
        <v>0</v>
      </c>
      <c r="BE7762">
        <v>46302</v>
      </c>
      <c r="BF7762" t="s">
        <v>588</v>
      </c>
    </row>
    <row r="7763" spans="3:58" x14ac:dyDescent="0.35">
      <c r="C7763">
        <v>45874</v>
      </c>
      <c r="F7763" t="s">
        <v>754</v>
      </c>
      <c r="Y7763">
        <v>680</v>
      </c>
      <c r="Z7763" s="259" t="s">
        <v>692</v>
      </c>
      <c r="AZ7763" t="s">
        <v>1472</v>
      </c>
      <c r="BA7763">
        <v>78.2</v>
      </c>
      <c r="BB7763" t="s">
        <v>564</v>
      </c>
      <c r="BC7763" t="s">
        <v>793</v>
      </c>
      <c r="BD7763">
        <v>0</v>
      </c>
      <c r="BE7763">
        <v>46302</v>
      </c>
      <c r="BF7763" t="s">
        <v>588</v>
      </c>
    </row>
    <row r="7764" spans="3:58" x14ac:dyDescent="0.35">
      <c r="C7764">
        <v>45875</v>
      </c>
      <c r="F7764" t="s">
        <v>754</v>
      </c>
      <c r="Y7764">
        <v>681</v>
      </c>
      <c r="Z7764" s="259" t="s">
        <v>692</v>
      </c>
      <c r="AZ7764" t="s">
        <v>1473</v>
      </c>
      <c r="BA7764">
        <v>78.5</v>
      </c>
      <c r="BB7764" t="s">
        <v>564</v>
      </c>
      <c r="BC7764" t="s">
        <v>793</v>
      </c>
      <c r="BD7764">
        <v>0</v>
      </c>
      <c r="BE7764">
        <v>46302</v>
      </c>
      <c r="BF7764" t="s">
        <v>588</v>
      </c>
    </row>
    <row r="7765" spans="3:58" x14ac:dyDescent="0.35">
      <c r="C7765">
        <v>45876</v>
      </c>
      <c r="F7765" t="s">
        <v>754</v>
      </c>
      <c r="Y7765">
        <v>682</v>
      </c>
      <c r="Z7765" s="259" t="s">
        <v>692</v>
      </c>
      <c r="AZ7765" t="s">
        <v>1474</v>
      </c>
      <c r="BA7765">
        <v>78.8</v>
      </c>
      <c r="BB7765" t="s">
        <v>564</v>
      </c>
      <c r="BC7765" t="s">
        <v>793</v>
      </c>
      <c r="BD7765">
        <v>0</v>
      </c>
      <c r="BE7765">
        <v>46302</v>
      </c>
      <c r="BF7765" t="s">
        <v>588</v>
      </c>
    </row>
    <row r="7766" spans="3:58" x14ac:dyDescent="0.35">
      <c r="C7766">
        <v>45877</v>
      </c>
      <c r="F7766" t="s">
        <v>754</v>
      </c>
      <c r="Y7766">
        <v>683</v>
      </c>
      <c r="Z7766" s="259" t="s">
        <v>692</v>
      </c>
      <c r="AZ7766" t="s">
        <v>1475</v>
      </c>
      <c r="BA7766">
        <v>79.099999999999994</v>
      </c>
      <c r="BB7766" t="s">
        <v>564</v>
      </c>
      <c r="BC7766" t="s">
        <v>793</v>
      </c>
      <c r="BD7766">
        <v>0</v>
      </c>
      <c r="BE7766">
        <v>46302</v>
      </c>
      <c r="BF7766" t="s">
        <v>588</v>
      </c>
    </row>
    <row r="7767" spans="3:58" x14ac:dyDescent="0.35">
      <c r="C7767">
        <v>45880</v>
      </c>
      <c r="F7767" t="s">
        <v>754</v>
      </c>
      <c r="Y7767">
        <v>684</v>
      </c>
      <c r="Z7767" s="259" t="s">
        <v>692</v>
      </c>
      <c r="AZ7767" t="s">
        <v>1476</v>
      </c>
      <c r="BA7767">
        <v>80</v>
      </c>
      <c r="BB7767" t="s">
        <v>564</v>
      </c>
      <c r="BC7767" t="s">
        <v>793</v>
      </c>
      <c r="BD7767">
        <v>0</v>
      </c>
      <c r="BE7767">
        <v>46302</v>
      </c>
      <c r="BF7767" t="s">
        <v>588</v>
      </c>
    </row>
    <row r="7768" spans="3:58" x14ac:dyDescent="0.35">
      <c r="C7768">
        <v>45881</v>
      </c>
      <c r="F7768" t="s">
        <v>754</v>
      </c>
      <c r="Y7768">
        <v>685</v>
      </c>
      <c r="Z7768" s="259" t="s">
        <v>692</v>
      </c>
      <c r="AZ7768" t="s">
        <v>1477</v>
      </c>
      <c r="BA7768">
        <v>80.3</v>
      </c>
      <c r="BB7768" t="s">
        <v>564</v>
      </c>
      <c r="BC7768" t="s">
        <v>793</v>
      </c>
      <c r="BD7768">
        <v>0</v>
      </c>
      <c r="BE7768">
        <v>46302</v>
      </c>
      <c r="BF7768" t="s">
        <v>588</v>
      </c>
    </row>
    <row r="7769" spans="3:58" x14ac:dyDescent="0.35">
      <c r="C7769">
        <v>45882</v>
      </c>
      <c r="F7769" t="s">
        <v>754</v>
      </c>
      <c r="Y7769">
        <v>686</v>
      </c>
      <c r="Z7769" s="259" t="s">
        <v>692</v>
      </c>
      <c r="AZ7769" t="s">
        <v>1478</v>
      </c>
      <c r="BA7769">
        <v>80.599999999999994</v>
      </c>
      <c r="BB7769" t="s">
        <v>564</v>
      </c>
      <c r="BC7769" t="s">
        <v>793</v>
      </c>
      <c r="BD7769">
        <v>0</v>
      </c>
      <c r="BE7769">
        <v>46302</v>
      </c>
      <c r="BF7769" t="s">
        <v>588</v>
      </c>
    </row>
    <row r="7770" spans="3:58" x14ac:dyDescent="0.35">
      <c r="C7770">
        <v>45883</v>
      </c>
      <c r="F7770" t="s">
        <v>754</v>
      </c>
      <c r="Y7770">
        <v>687</v>
      </c>
      <c r="Z7770" s="259" t="s">
        <v>692</v>
      </c>
      <c r="AZ7770" t="s">
        <v>1479</v>
      </c>
      <c r="BA7770">
        <v>80.900000000000006</v>
      </c>
      <c r="BB7770" t="s">
        <v>564</v>
      </c>
      <c r="BC7770" t="s">
        <v>793</v>
      </c>
      <c r="BD7770">
        <v>0</v>
      </c>
      <c r="BE7770">
        <v>46302</v>
      </c>
      <c r="BF7770" t="s">
        <v>588</v>
      </c>
    </row>
    <row r="7771" spans="3:58" x14ac:dyDescent="0.35">
      <c r="C7771">
        <v>45884</v>
      </c>
      <c r="F7771" t="s">
        <v>754</v>
      </c>
      <c r="Y7771">
        <v>688</v>
      </c>
      <c r="Z7771" s="259" t="s">
        <v>692</v>
      </c>
      <c r="AZ7771" t="s">
        <v>1480</v>
      </c>
      <c r="BA7771">
        <v>81.2</v>
      </c>
      <c r="BB7771" t="s">
        <v>564</v>
      </c>
      <c r="BC7771" t="s">
        <v>793</v>
      </c>
      <c r="BD7771">
        <v>0</v>
      </c>
      <c r="BE7771">
        <v>46302</v>
      </c>
      <c r="BF7771" t="s">
        <v>588</v>
      </c>
    </row>
    <row r="7772" spans="3:58" x14ac:dyDescent="0.35">
      <c r="C7772">
        <v>45887</v>
      </c>
      <c r="F7772" t="s">
        <v>754</v>
      </c>
      <c r="Y7772">
        <v>689</v>
      </c>
      <c r="Z7772" s="259" t="s">
        <v>692</v>
      </c>
      <c r="AZ7772" t="s">
        <v>1481</v>
      </c>
      <c r="BA7772">
        <v>82.1</v>
      </c>
      <c r="BB7772" t="s">
        <v>564</v>
      </c>
      <c r="BC7772" t="s">
        <v>793</v>
      </c>
      <c r="BD7772">
        <v>0</v>
      </c>
      <c r="BE7772">
        <v>46302</v>
      </c>
      <c r="BF7772" t="s">
        <v>588</v>
      </c>
    </row>
    <row r="7773" spans="3:58" x14ac:dyDescent="0.35">
      <c r="C7773">
        <v>45888</v>
      </c>
      <c r="F7773" t="s">
        <v>754</v>
      </c>
      <c r="Y7773">
        <v>690</v>
      </c>
      <c r="Z7773" s="259" t="s">
        <v>692</v>
      </c>
      <c r="AZ7773" t="s">
        <v>1482</v>
      </c>
      <c r="BA7773">
        <v>82.4</v>
      </c>
      <c r="BB7773" t="s">
        <v>564</v>
      </c>
      <c r="BC7773" t="s">
        <v>793</v>
      </c>
      <c r="BD7773">
        <v>0</v>
      </c>
      <c r="BE7773">
        <v>46302</v>
      </c>
      <c r="BF7773" t="s">
        <v>588</v>
      </c>
    </row>
    <row r="7774" spans="3:58" x14ac:dyDescent="0.35">
      <c r="C7774">
        <v>45889</v>
      </c>
      <c r="F7774" t="s">
        <v>754</v>
      </c>
      <c r="Y7774">
        <v>691</v>
      </c>
      <c r="Z7774" s="259" t="s">
        <v>692</v>
      </c>
      <c r="AZ7774" t="s">
        <v>1483</v>
      </c>
      <c r="BA7774">
        <v>82.7</v>
      </c>
      <c r="BB7774" t="s">
        <v>564</v>
      </c>
      <c r="BC7774" t="s">
        <v>793</v>
      </c>
      <c r="BD7774">
        <v>0</v>
      </c>
      <c r="BE7774">
        <v>46302</v>
      </c>
      <c r="BF7774" t="s">
        <v>588</v>
      </c>
    </row>
    <row r="7775" spans="3:58" x14ac:dyDescent="0.35">
      <c r="C7775">
        <v>45890</v>
      </c>
      <c r="F7775" t="s">
        <v>754</v>
      </c>
      <c r="Y7775">
        <v>692</v>
      </c>
      <c r="Z7775" s="259" t="s">
        <v>692</v>
      </c>
      <c r="AZ7775" t="s">
        <v>1484</v>
      </c>
      <c r="BA7775">
        <v>83</v>
      </c>
      <c r="BB7775" t="s">
        <v>564</v>
      </c>
      <c r="BC7775" t="s">
        <v>793</v>
      </c>
      <c r="BD7775">
        <v>0</v>
      </c>
      <c r="BE7775">
        <v>46302</v>
      </c>
      <c r="BF7775" t="s">
        <v>588</v>
      </c>
    </row>
    <row r="7776" spans="3:58" x14ac:dyDescent="0.35">
      <c r="C7776">
        <v>45891</v>
      </c>
      <c r="F7776" t="s">
        <v>754</v>
      </c>
      <c r="Y7776">
        <v>693</v>
      </c>
      <c r="Z7776" s="259" t="s">
        <v>692</v>
      </c>
      <c r="AZ7776" t="s">
        <v>1485</v>
      </c>
      <c r="BA7776">
        <v>83.3</v>
      </c>
      <c r="BB7776" t="s">
        <v>564</v>
      </c>
      <c r="BC7776" t="s">
        <v>793</v>
      </c>
      <c r="BD7776">
        <v>0</v>
      </c>
      <c r="BE7776">
        <v>46302</v>
      </c>
      <c r="BF7776" t="s">
        <v>588</v>
      </c>
    </row>
    <row r="7777" spans="3:58" x14ac:dyDescent="0.35">
      <c r="C7777">
        <v>45894</v>
      </c>
      <c r="F7777" t="s">
        <v>754</v>
      </c>
      <c r="Y7777">
        <v>694</v>
      </c>
      <c r="Z7777" s="259" t="s">
        <v>692</v>
      </c>
      <c r="AZ7777" t="s">
        <v>1486</v>
      </c>
      <c r="BA7777">
        <v>84.2</v>
      </c>
      <c r="BB7777" t="s">
        <v>564</v>
      </c>
      <c r="BC7777" t="s">
        <v>793</v>
      </c>
      <c r="BD7777">
        <v>0</v>
      </c>
      <c r="BE7777">
        <v>46302</v>
      </c>
      <c r="BF7777" t="s">
        <v>588</v>
      </c>
    </row>
    <row r="7778" spans="3:58" x14ac:dyDescent="0.35">
      <c r="C7778">
        <v>45895</v>
      </c>
      <c r="F7778" t="s">
        <v>754</v>
      </c>
      <c r="Y7778">
        <v>695</v>
      </c>
      <c r="Z7778" s="259" t="s">
        <v>692</v>
      </c>
      <c r="AZ7778" t="s">
        <v>1487</v>
      </c>
      <c r="BA7778">
        <v>84.5</v>
      </c>
      <c r="BB7778" t="s">
        <v>564</v>
      </c>
      <c r="BC7778" t="s">
        <v>793</v>
      </c>
      <c r="BD7778">
        <v>0</v>
      </c>
      <c r="BE7778">
        <v>46302</v>
      </c>
      <c r="BF7778" t="s">
        <v>588</v>
      </c>
    </row>
    <row r="7779" spans="3:58" x14ac:dyDescent="0.35">
      <c r="C7779">
        <v>45896</v>
      </c>
      <c r="F7779" t="s">
        <v>754</v>
      </c>
      <c r="Y7779">
        <v>696</v>
      </c>
      <c r="Z7779" s="259" t="s">
        <v>692</v>
      </c>
      <c r="AZ7779" t="s">
        <v>1488</v>
      </c>
      <c r="BA7779">
        <v>84.8</v>
      </c>
      <c r="BB7779" t="s">
        <v>564</v>
      </c>
      <c r="BC7779" t="s">
        <v>793</v>
      </c>
      <c r="BD7779">
        <v>0</v>
      </c>
      <c r="BE7779">
        <v>46302</v>
      </c>
      <c r="BF7779" t="s">
        <v>588</v>
      </c>
    </row>
    <row r="7780" spans="3:58" x14ac:dyDescent="0.35">
      <c r="C7780">
        <v>45897</v>
      </c>
      <c r="F7780" t="s">
        <v>754</v>
      </c>
      <c r="Y7780">
        <v>697</v>
      </c>
      <c r="Z7780" s="259" t="s">
        <v>692</v>
      </c>
      <c r="AZ7780" t="s">
        <v>1489</v>
      </c>
      <c r="BA7780">
        <v>85.1</v>
      </c>
      <c r="BB7780" t="s">
        <v>564</v>
      </c>
      <c r="BC7780" t="s">
        <v>793</v>
      </c>
      <c r="BD7780">
        <v>0</v>
      </c>
      <c r="BE7780">
        <v>46302</v>
      </c>
      <c r="BF7780" t="s">
        <v>588</v>
      </c>
    </row>
    <row r="7781" spans="3:58" x14ac:dyDescent="0.35">
      <c r="C7781">
        <v>45898</v>
      </c>
      <c r="F7781" t="s">
        <v>754</v>
      </c>
      <c r="Y7781">
        <v>698</v>
      </c>
      <c r="Z7781" s="259" t="s">
        <v>692</v>
      </c>
      <c r="AZ7781" t="s">
        <v>1490</v>
      </c>
      <c r="BA7781">
        <v>85.4</v>
      </c>
      <c r="BB7781" t="s">
        <v>564</v>
      </c>
      <c r="BC7781" t="s">
        <v>793</v>
      </c>
      <c r="BD7781">
        <v>0</v>
      </c>
      <c r="BE7781">
        <v>46302</v>
      </c>
      <c r="BF7781" t="s">
        <v>588</v>
      </c>
    </row>
    <row r="7782" spans="3:58" x14ac:dyDescent="0.35">
      <c r="C7782">
        <v>45901</v>
      </c>
      <c r="F7782" t="s">
        <v>754</v>
      </c>
      <c r="Y7782">
        <v>699</v>
      </c>
      <c r="Z7782" s="259" t="s">
        <v>692</v>
      </c>
      <c r="AZ7782" t="s">
        <v>1491</v>
      </c>
      <c r="BA7782">
        <v>86</v>
      </c>
      <c r="BB7782" t="s">
        <v>564</v>
      </c>
      <c r="BC7782" t="s">
        <v>793</v>
      </c>
      <c r="BD7782">
        <v>0</v>
      </c>
      <c r="BE7782">
        <v>46302</v>
      </c>
      <c r="BF7782" t="s">
        <v>588</v>
      </c>
    </row>
    <row r="7783" spans="3:58" x14ac:dyDescent="0.35">
      <c r="C7783">
        <v>45902</v>
      </c>
      <c r="F7783" t="s">
        <v>754</v>
      </c>
      <c r="Y7783">
        <v>700</v>
      </c>
      <c r="Z7783" s="259" t="s">
        <v>692</v>
      </c>
      <c r="AZ7783" t="s">
        <v>1492</v>
      </c>
      <c r="BA7783">
        <v>85.86</v>
      </c>
      <c r="BB7783" t="s">
        <v>564</v>
      </c>
      <c r="BC7783" t="s">
        <v>793</v>
      </c>
      <c r="BD7783">
        <v>0</v>
      </c>
      <c r="BE7783">
        <v>46302</v>
      </c>
      <c r="BF7783" t="s">
        <v>588</v>
      </c>
    </row>
    <row r="7784" spans="3:58" x14ac:dyDescent="0.35">
      <c r="C7784">
        <v>45903</v>
      </c>
      <c r="F7784" t="s">
        <v>754</v>
      </c>
      <c r="Y7784">
        <v>701</v>
      </c>
      <c r="Z7784" s="259" t="s">
        <v>692</v>
      </c>
      <c r="AZ7784" t="s">
        <v>1493</v>
      </c>
      <c r="BA7784">
        <v>85.72</v>
      </c>
      <c r="BB7784" t="s">
        <v>564</v>
      </c>
      <c r="BC7784" t="s">
        <v>793</v>
      </c>
      <c r="BD7784">
        <v>0</v>
      </c>
      <c r="BE7784">
        <v>46302</v>
      </c>
      <c r="BF7784" t="s">
        <v>588</v>
      </c>
    </row>
    <row r="7785" spans="3:58" x14ac:dyDescent="0.35">
      <c r="C7785">
        <v>45904</v>
      </c>
      <c r="F7785" t="s">
        <v>754</v>
      </c>
      <c r="Y7785">
        <v>702</v>
      </c>
      <c r="Z7785" s="259" t="s">
        <v>692</v>
      </c>
      <c r="AZ7785" t="s">
        <v>1494</v>
      </c>
      <c r="BA7785">
        <v>85.59</v>
      </c>
      <c r="BB7785" t="s">
        <v>564</v>
      </c>
      <c r="BC7785" t="s">
        <v>793</v>
      </c>
      <c r="BD7785">
        <v>0</v>
      </c>
      <c r="BE7785">
        <v>46302</v>
      </c>
      <c r="BF7785" t="s">
        <v>588</v>
      </c>
    </row>
    <row r="7786" spans="3:58" x14ac:dyDescent="0.35">
      <c r="C7786">
        <v>45905</v>
      </c>
      <c r="F7786" t="s">
        <v>754</v>
      </c>
      <c r="Y7786">
        <v>703</v>
      </c>
      <c r="Z7786" s="259" t="s">
        <v>692</v>
      </c>
      <c r="AZ7786" t="s">
        <v>1495</v>
      </c>
      <c r="BA7786">
        <v>85.45</v>
      </c>
      <c r="BB7786" t="s">
        <v>564</v>
      </c>
      <c r="BC7786" t="s">
        <v>793</v>
      </c>
      <c r="BD7786">
        <v>0</v>
      </c>
      <c r="BE7786">
        <v>46302</v>
      </c>
      <c r="BF7786" t="s">
        <v>588</v>
      </c>
    </row>
    <row r="7787" spans="3:58" x14ac:dyDescent="0.35">
      <c r="C7787">
        <v>45908</v>
      </c>
      <c r="F7787" t="s">
        <v>754</v>
      </c>
      <c r="Y7787">
        <v>704</v>
      </c>
      <c r="Z7787" s="259" t="s">
        <v>692</v>
      </c>
      <c r="AZ7787" t="s">
        <v>1496</v>
      </c>
      <c r="BA7787">
        <v>85.03</v>
      </c>
      <c r="BB7787" t="s">
        <v>564</v>
      </c>
      <c r="BC7787" t="s">
        <v>793</v>
      </c>
      <c r="BD7787">
        <v>0</v>
      </c>
      <c r="BE7787">
        <v>46302</v>
      </c>
      <c r="BF7787" t="s">
        <v>588</v>
      </c>
    </row>
    <row r="7788" spans="3:58" x14ac:dyDescent="0.35">
      <c r="C7788">
        <v>45909</v>
      </c>
      <c r="F7788" t="s">
        <v>754</v>
      </c>
      <c r="Y7788">
        <v>705</v>
      </c>
      <c r="Z7788" s="259" t="s">
        <v>692</v>
      </c>
      <c r="AZ7788" t="s">
        <v>1497</v>
      </c>
      <c r="BA7788">
        <v>84.9</v>
      </c>
      <c r="BB7788" t="s">
        <v>564</v>
      </c>
      <c r="BC7788" t="s">
        <v>793</v>
      </c>
      <c r="BD7788">
        <v>0</v>
      </c>
      <c r="BE7788">
        <v>46302</v>
      </c>
      <c r="BF7788" t="s">
        <v>588</v>
      </c>
    </row>
    <row r="7789" spans="3:58" x14ac:dyDescent="0.35">
      <c r="C7789">
        <v>45910</v>
      </c>
      <c r="F7789" t="s">
        <v>754</v>
      </c>
      <c r="Y7789">
        <v>706</v>
      </c>
      <c r="Z7789" s="259" t="s">
        <v>692</v>
      </c>
      <c r="AZ7789" t="s">
        <v>1498</v>
      </c>
      <c r="BA7789">
        <v>84.76</v>
      </c>
      <c r="BB7789" t="s">
        <v>564</v>
      </c>
      <c r="BC7789" t="s">
        <v>793</v>
      </c>
      <c r="BD7789">
        <v>0</v>
      </c>
      <c r="BE7789">
        <v>46302</v>
      </c>
      <c r="BF7789" t="s">
        <v>588</v>
      </c>
    </row>
    <row r="7790" spans="3:58" x14ac:dyDescent="0.35">
      <c r="C7790">
        <v>45911</v>
      </c>
      <c r="F7790" t="s">
        <v>754</v>
      </c>
      <c r="Y7790">
        <v>707</v>
      </c>
      <c r="Z7790" s="259" t="s">
        <v>692</v>
      </c>
      <c r="AZ7790" t="s">
        <v>1499</v>
      </c>
      <c r="BA7790">
        <v>84.62</v>
      </c>
      <c r="BB7790" t="s">
        <v>564</v>
      </c>
      <c r="BC7790" t="s">
        <v>793</v>
      </c>
      <c r="BD7790">
        <v>0</v>
      </c>
      <c r="BE7790">
        <v>46302</v>
      </c>
      <c r="BF7790" t="s">
        <v>588</v>
      </c>
    </row>
    <row r="7791" spans="3:58" x14ac:dyDescent="0.35">
      <c r="C7791">
        <v>45912</v>
      </c>
      <c r="F7791" t="s">
        <v>754</v>
      </c>
      <c r="Y7791">
        <v>708</v>
      </c>
      <c r="Z7791" s="259" t="s">
        <v>692</v>
      </c>
      <c r="AZ7791" t="s">
        <v>1500</v>
      </c>
      <c r="BA7791">
        <v>84.48</v>
      </c>
      <c r="BB7791" t="s">
        <v>564</v>
      </c>
      <c r="BC7791" t="s">
        <v>793</v>
      </c>
      <c r="BD7791">
        <v>0</v>
      </c>
      <c r="BE7791">
        <v>46302</v>
      </c>
      <c r="BF7791" t="s">
        <v>588</v>
      </c>
    </row>
    <row r="7792" spans="3:58" x14ac:dyDescent="0.35">
      <c r="C7792">
        <v>45915</v>
      </c>
      <c r="F7792" t="s">
        <v>754</v>
      </c>
      <c r="Y7792">
        <v>709</v>
      </c>
      <c r="Z7792" s="259" t="s">
        <v>692</v>
      </c>
      <c r="AZ7792" t="s">
        <v>1501</v>
      </c>
      <c r="BA7792">
        <v>84.07</v>
      </c>
      <c r="BB7792" t="s">
        <v>564</v>
      </c>
      <c r="BC7792" t="s">
        <v>793</v>
      </c>
      <c r="BD7792">
        <v>0</v>
      </c>
      <c r="BE7792">
        <v>46302</v>
      </c>
      <c r="BF7792" t="s">
        <v>588</v>
      </c>
    </row>
    <row r="7793" spans="3:58" x14ac:dyDescent="0.35">
      <c r="C7793">
        <v>45916</v>
      </c>
      <c r="F7793" t="s">
        <v>754</v>
      </c>
      <c r="Y7793">
        <v>710</v>
      </c>
      <c r="Z7793" s="259" t="s">
        <v>692</v>
      </c>
      <c r="AZ7793" t="s">
        <v>1502</v>
      </c>
      <c r="BA7793">
        <v>83.93</v>
      </c>
      <c r="BB7793" t="s">
        <v>564</v>
      </c>
      <c r="BC7793" t="s">
        <v>793</v>
      </c>
      <c r="BD7793">
        <v>0</v>
      </c>
      <c r="BE7793">
        <v>46302</v>
      </c>
      <c r="BF7793" t="s">
        <v>588</v>
      </c>
    </row>
    <row r="7794" spans="3:58" x14ac:dyDescent="0.35">
      <c r="C7794">
        <v>45917</v>
      </c>
      <c r="F7794" t="s">
        <v>754</v>
      </c>
      <c r="Y7794">
        <v>711</v>
      </c>
      <c r="Z7794" s="259" t="s">
        <v>692</v>
      </c>
      <c r="AZ7794" t="s">
        <v>1503</v>
      </c>
      <c r="BA7794">
        <v>83.79</v>
      </c>
      <c r="BB7794" t="s">
        <v>564</v>
      </c>
      <c r="BC7794" t="s">
        <v>793</v>
      </c>
      <c r="BD7794">
        <v>0</v>
      </c>
      <c r="BE7794">
        <v>46302</v>
      </c>
      <c r="BF7794" t="s">
        <v>588</v>
      </c>
    </row>
    <row r="7795" spans="3:58" x14ac:dyDescent="0.35">
      <c r="C7795">
        <v>45918</v>
      </c>
      <c r="F7795" t="s">
        <v>754</v>
      </c>
      <c r="Y7795">
        <v>712</v>
      </c>
      <c r="Z7795" s="259" t="s">
        <v>692</v>
      </c>
      <c r="AZ7795" t="s">
        <v>1504</v>
      </c>
      <c r="BA7795">
        <v>83.66</v>
      </c>
      <c r="BB7795" t="s">
        <v>564</v>
      </c>
      <c r="BC7795" t="s">
        <v>793</v>
      </c>
      <c r="BD7795">
        <v>0</v>
      </c>
      <c r="BE7795">
        <v>46302</v>
      </c>
      <c r="BF7795" t="s">
        <v>588</v>
      </c>
    </row>
    <row r="7796" spans="3:58" x14ac:dyDescent="0.35">
      <c r="C7796">
        <v>45919</v>
      </c>
      <c r="F7796" t="s">
        <v>754</v>
      </c>
      <c r="Y7796">
        <v>713</v>
      </c>
      <c r="Z7796" s="259" t="s">
        <v>692</v>
      </c>
      <c r="AZ7796" t="s">
        <v>1505</v>
      </c>
      <c r="BA7796">
        <v>83.52</v>
      </c>
      <c r="BB7796" t="s">
        <v>564</v>
      </c>
      <c r="BC7796" t="s">
        <v>793</v>
      </c>
      <c r="BD7796">
        <v>0</v>
      </c>
      <c r="BE7796">
        <v>46302</v>
      </c>
      <c r="BF7796" t="s">
        <v>588</v>
      </c>
    </row>
    <row r="7797" spans="3:58" x14ac:dyDescent="0.35">
      <c r="C7797">
        <v>45922</v>
      </c>
      <c r="F7797" t="s">
        <v>754</v>
      </c>
      <c r="Y7797">
        <v>714</v>
      </c>
      <c r="Z7797" s="259" t="s">
        <v>692</v>
      </c>
      <c r="AZ7797" t="s">
        <v>1506</v>
      </c>
      <c r="BA7797">
        <v>83.1</v>
      </c>
      <c r="BB7797" t="s">
        <v>564</v>
      </c>
      <c r="BC7797" t="s">
        <v>793</v>
      </c>
      <c r="BD7797">
        <v>0</v>
      </c>
      <c r="BE7797">
        <v>46302</v>
      </c>
      <c r="BF7797" t="s">
        <v>588</v>
      </c>
    </row>
    <row r="7798" spans="3:58" x14ac:dyDescent="0.35">
      <c r="C7798">
        <v>45923</v>
      </c>
      <c r="F7798" t="s">
        <v>754</v>
      </c>
      <c r="Y7798">
        <v>715</v>
      </c>
      <c r="Z7798" s="259" t="s">
        <v>692</v>
      </c>
      <c r="AZ7798" t="s">
        <v>1507</v>
      </c>
      <c r="BA7798">
        <v>82.97</v>
      </c>
      <c r="BB7798" t="s">
        <v>564</v>
      </c>
      <c r="BC7798" t="s">
        <v>793</v>
      </c>
      <c r="BD7798">
        <v>0</v>
      </c>
      <c r="BE7798">
        <v>46302</v>
      </c>
      <c r="BF7798" t="s">
        <v>588</v>
      </c>
    </row>
    <row r="7799" spans="3:58" x14ac:dyDescent="0.35">
      <c r="C7799">
        <v>45924</v>
      </c>
      <c r="F7799" t="s">
        <v>754</v>
      </c>
      <c r="Y7799">
        <v>716</v>
      </c>
      <c r="Z7799" s="259" t="s">
        <v>692</v>
      </c>
      <c r="AZ7799" t="s">
        <v>1508</v>
      </c>
      <c r="BA7799">
        <v>82.83</v>
      </c>
      <c r="BB7799" t="s">
        <v>564</v>
      </c>
      <c r="BC7799" t="s">
        <v>793</v>
      </c>
      <c r="BD7799">
        <v>0</v>
      </c>
      <c r="BE7799">
        <v>46302</v>
      </c>
      <c r="BF7799" t="s">
        <v>588</v>
      </c>
    </row>
    <row r="7800" spans="3:58" x14ac:dyDescent="0.35">
      <c r="C7800">
        <v>45925</v>
      </c>
      <c r="F7800" t="s">
        <v>754</v>
      </c>
      <c r="Y7800">
        <v>717</v>
      </c>
      <c r="Z7800" s="259" t="s">
        <v>692</v>
      </c>
      <c r="AZ7800" t="s">
        <v>1509</v>
      </c>
      <c r="BA7800">
        <v>82.69</v>
      </c>
      <c r="BB7800" t="s">
        <v>564</v>
      </c>
      <c r="BC7800" t="s">
        <v>793</v>
      </c>
      <c r="BD7800">
        <v>0</v>
      </c>
      <c r="BE7800">
        <v>46302</v>
      </c>
      <c r="BF7800" t="s">
        <v>588</v>
      </c>
    </row>
    <row r="7801" spans="3:58" x14ac:dyDescent="0.35">
      <c r="C7801">
        <v>45926</v>
      </c>
      <c r="F7801" t="s">
        <v>754</v>
      </c>
      <c r="Y7801">
        <v>718</v>
      </c>
      <c r="Z7801" s="259" t="s">
        <v>692</v>
      </c>
      <c r="AZ7801" t="s">
        <v>1510</v>
      </c>
      <c r="BA7801">
        <v>82.55</v>
      </c>
      <c r="BB7801" t="s">
        <v>564</v>
      </c>
      <c r="BC7801" t="s">
        <v>793</v>
      </c>
      <c r="BD7801">
        <v>0</v>
      </c>
      <c r="BE7801">
        <v>46302</v>
      </c>
      <c r="BF7801" t="s">
        <v>588</v>
      </c>
    </row>
    <row r="7802" spans="3:58" x14ac:dyDescent="0.35">
      <c r="C7802">
        <v>45929</v>
      </c>
      <c r="F7802" t="s">
        <v>754</v>
      </c>
      <c r="Y7802">
        <v>719</v>
      </c>
      <c r="Z7802" s="259" t="s">
        <v>692</v>
      </c>
      <c r="AZ7802" t="s">
        <v>1511</v>
      </c>
      <c r="BA7802">
        <v>82.14</v>
      </c>
      <c r="BB7802" t="s">
        <v>564</v>
      </c>
      <c r="BC7802" t="s">
        <v>793</v>
      </c>
      <c r="BD7802">
        <v>0</v>
      </c>
      <c r="BE7802">
        <v>46302</v>
      </c>
      <c r="BF7802" t="s">
        <v>588</v>
      </c>
    </row>
    <row r="7803" spans="3:58" x14ac:dyDescent="0.35">
      <c r="C7803">
        <v>45930</v>
      </c>
      <c r="F7803" t="s">
        <v>754</v>
      </c>
      <c r="Y7803">
        <v>720</v>
      </c>
      <c r="Z7803" s="259" t="s">
        <v>692</v>
      </c>
      <c r="AZ7803" t="s">
        <v>1512</v>
      </c>
      <c r="BA7803">
        <v>82</v>
      </c>
      <c r="BB7803" t="s">
        <v>564</v>
      </c>
      <c r="BC7803" t="s">
        <v>793</v>
      </c>
      <c r="BD7803">
        <v>0</v>
      </c>
      <c r="BE7803">
        <v>46302</v>
      </c>
      <c r="BF7803" t="s">
        <v>588</v>
      </c>
    </row>
    <row r="7804" spans="3:58" x14ac:dyDescent="0.35">
      <c r="C7804">
        <v>45931</v>
      </c>
      <c r="F7804" t="s">
        <v>754</v>
      </c>
      <c r="Y7804">
        <v>721</v>
      </c>
      <c r="Z7804" s="259" t="s">
        <v>692</v>
      </c>
      <c r="AZ7804" t="s">
        <v>1513</v>
      </c>
      <c r="BA7804">
        <v>82</v>
      </c>
      <c r="BB7804" t="s">
        <v>564</v>
      </c>
      <c r="BC7804" t="s">
        <v>793</v>
      </c>
      <c r="BD7804">
        <v>0</v>
      </c>
      <c r="BE7804">
        <v>46302</v>
      </c>
      <c r="BF7804" t="s">
        <v>588</v>
      </c>
    </row>
    <row r="7805" spans="3:58" x14ac:dyDescent="0.35">
      <c r="C7805">
        <v>45932</v>
      </c>
      <c r="F7805" t="s">
        <v>754</v>
      </c>
      <c r="Y7805">
        <v>722</v>
      </c>
      <c r="Z7805" s="259" t="s">
        <v>692</v>
      </c>
      <c r="AZ7805" t="s">
        <v>1514</v>
      </c>
      <c r="BA7805">
        <v>81.83</v>
      </c>
      <c r="BB7805" t="s">
        <v>564</v>
      </c>
      <c r="BC7805" t="s">
        <v>793</v>
      </c>
      <c r="BD7805">
        <v>0</v>
      </c>
      <c r="BE7805">
        <v>46302</v>
      </c>
      <c r="BF7805" t="s">
        <v>588</v>
      </c>
    </row>
    <row r="7806" spans="3:58" x14ac:dyDescent="0.35">
      <c r="C7806">
        <v>45933</v>
      </c>
      <c r="F7806" t="s">
        <v>754</v>
      </c>
      <c r="Y7806">
        <v>723</v>
      </c>
      <c r="Z7806" s="259" t="s">
        <v>692</v>
      </c>
      <c r="AZ7806" t="s">
        <v>1515</v>
      </c>
      <c r="BA7806">
        <v>81.67</v>
      </c>
      <c r="BB7806" t="s">
        <v>564</v>
      </c>
      <c r="BC7806" t="s">
        <v>793</v>
      </c>
      <c r="BD7806">
        <v>0</v>
      </c>
      <c r="BE7806">
        <v>46302</v>
      </c>
      <c r="BF7806" t="s">
        <v>588</v>
      </c>
    </row>
    <row r="7807" spans="3:58" x14ac:dyDescent="0.35">
      <c r="C7807">
        <v>45936</v>
      </c>
      <c r="F7807" t="s">
        <v>754</v>
      </c>
      <c r="Y7807">
        <v>724</v>
      </c>
      <c r="Z7807" s="259" t="s">
        <v>692</v>
      </c>
      <c r="AZ7807" t="s">
        <v>1516</v>
      </c>
      <c r="BA7807">
        <v>81.17</v>
      </c>
      <c r="BB7807" t="s">
        <v>564</v>
      </c>
      <c r="BC7807" t="s">
        <v>793</v>
      </c>
      <c r="BD7807">
        <v>0</v>
      </c>
      <c r="BE7807">
        <v>46302</v>
      </c>
      <c r="BF7807" t="s">
        <v>588</v>
      </c>
    </row>
    <row r="7808" spans="3:58" x14ac:dyDescent="0.35">
      <c r="C7808">
        <v>45937</v>
      </c>
      <c r="F7808" t="s">
        <v>754</v>
      </c>
      <c r="Y7808">
        <v>725</v>
      </c>
      <c r="Z7808" s="259" t="s">
        <v>692</v>
      </c>
      <c r="AZ7808" t="s">
        <v>1517</v>
      </c>
      <c r="BA7808">
        <v>81</v>
      </c>
      <c r="BB7808" t="s">
        <v>564</v>
      </c>
      <c r="BC7808" t="s">
        <v>793</v>
      </c>
      <c r="BD7808">
        <v>0</v>
      </c>
      <c r="BE7808">
        <v>46302</v>
      </c>
      <c r="BF7808" t="s">
        <v>588</v>
      </c>
    </row>
    <row r="7809" spans="3:58" x14ac:dyDescent="0.35">
      <c r="C7809">
        <v>45938</v>
      </c>
      <c r="F7809" t="s">
        <v>754</v>
      </c>
      <c r="Y7809">
        <v>726</v>
      </c>
      <c r="Z7809" s="259" t="s">
        <v>692</v>
      </c>
      <c r="AZ7809" t="s">
        <v>1518</v>
      </c>
      <c r="BA7809">
        <v>80.83</v>
      </c>
      <c r="BB7809" t="s">
        <v>564</v>
      </c>
      <c r="BC7809" t="s">
        <v>793</v>
      </c>
      <c r="BD7809">
        <v>0</v>
      </c>
      <c r="BE7809">
        <v>46302</v>
      </c>
      <c r="BF7809" t="s">
        <v>588</v>
      </c>
    </row>
    <row r="7810" spans="3:58" x14ac:dyDescent="0.35">
      <c r="C7810">
        <v>45939</v>
      </c>
      <c r="F7810" t="s">
        <v>754</v>
      </c>
      <c r="Y7810">
        <v>727</v>
      </c>
      <c r="Z7810" s="259" t="s">
        <v>692</v>
      </c>
      <c r="AZ7810" t="s">
        <v>1519</v>
      </c>
      <c r="BA7810">
        <v>80.67</v>
      </c>
      <c r="BB7810" t="s">
        <v>564</v>
      </c>
      <c r="BC7810" t="s">
        <v>793</v>
      </c>
      <c r="BD7810">
        <v>0</v>
      </c>
      <c r="BE7810">
        <v>46302</v>
      </c>
      <c r="BF7810" t="s">
        <v>588</v>
      </c>
    </row>
    <row r="7811" spans="3:58" x14ac:dyDescent="0.35">
      <c r="C7811">
        <v>45940</v>
      </c>
      <c r="F7811" t="s">
        <v>754</v>
      </c>
      <c r="Y7811">
        <v>728</v>
      </c>
      <c r="Z7811" s="259" t="s">
        <v>692</v>
      </c>
      <c r="AZ7811" t="s">
        <v>1520</v>
      </c>
      <c r="BA7811">
        <v>80.5</v>
      </c>
      <c r="BB7811" t="s">
        <v>564</v>
      </c>
      <c r="BC7811" t="s">
        <v>793</v>
      </c>
      <c r="BD7811">
        <v>0</v>
      </c>
      <c r="BE7811">
        <v>46302</v>
      </c>
      <c r="BF7811" t="s">
        <v>588</v>
      </c>
    </row>
    <row r="7812" spans="3:58" x14ac:dyDescent="0.35">
      <c r="C7812">
        <v>45943</v>
      </c>
      <c r="F7812" t="s">
        <v>754</v>
      </c>
      <c r="Y7812">
        <v>729</v>
      </c>
      <c r="Z7812" s="259" t="s">
        <v>692</v>
      </c>
      <c r="AZ7812" t="s">
        <v>1521</v>
      </c>
      <c r="BA7812">
        <v>80</v>
      </c>
      <c r="BB7812" t="s">
        <v>564</v>
      </c>
      <c r="BC7812" t="s">
        <v>793</v>
      </c>
      <c r="BD7812">
        <v>0</v>
      </c>
      <c r="BE7812">
        <v>46302</v>
      </c>
      <c r="BF7812" t="s">
        <v>588</v>
      </c>
    </row>
    <row r="7813" spans="3:58" x14ac:dyDescent="0.35">
      <c r="C7813">
        <v>45944</v>
      </c>
      <c r="F7813" t="s">
        <v>754</v>
      </c>
      <c r="Y7813">
        <v>730</v>
      </c>
      <c r="Z7813" s="259" t="s">
        <v>692</v>
      </c>
      <c r="AZ7813" t="s">
        <v>1522</v>
      </c>
      <c r="BA7813">
        <v>79.83</v>
      </c>
      <c r="BB7813" t="s">
        <v>564</v>
      </c>
      <c r="BC7813" t="s">
        <v>793</v>
      </c>
      <c r="BD7813">
        <v>0</v>
      </c>
      <c r="BE7813">
        <v>46302</v>
      </c>
      <c r="BF7813" t="s">
        <v>588</v>
      </c>
    </row>
    <row r="7814" spans="3:58" x14ac:dyDescent="0.35">
      <c r="C7814">
        <v>45945</v>
      </c>
      <c r="F7814" t="s">
        <v>754</v>
      </c>
      <c r="Y7814">
        <v>731</v>
      </c>
      <c r="Z7814" s="259" t="s">
        <v>692</v>
      </c>
      <c r="AZ7814" t="s">
        <v>1523</v>
      </c>
      <c r="BA7814">
        <v>79.67</v>
      </c>
      <c r="BB7814" t="s">
        <v>564</v>
      </c>
      <c r="BC7814" t="s">
        <v>793</v>
      </c>
      <c r="BD7814">
        <v>0</v>
      </c>
      <c r="BE7814">
        <v>46302</v>
      </c>
      <c r="BF7814" t="s">
        <v>588</v>
      </c>
    </row>
    <row r="7815" spans="3:58" x14ac:dyDescent="0.35">
      <c r="C7815">
        <v>45946</v>
      </c>
      <c r="F7815" t="s">
        <v>754</v>
      </c>
      <c r="Y7815">
        <v>732</v>
      </c>
      <c r="Z7815" s="259" t="s">
        <v>692</v>
      </c>
      <c r="AZ7815" t="s">
        <v>1524</v>
      </c>
      <c r="BA7815">
        <v>79.5</v>
      </c>
      <c r="BB7815" t="s">
        <v>564</v>
      </c>
      <c r="BC7815" t="s">
        <v>793</v>
      </c>
      <c r="BD7815">
        <v>0</v>
      </c>
      <c r="BE7815">
        <v>46302</v>
      </c>
      <c r="BF7815" t="s">
        <v>588</v>
      </c>
    </row>
    <row r="7816" spans="3:58" x14ac:dyDescent="0.35">
      <c r="C7816">
        <v>45947</v>
      </c>
      <c r="F7816" t="s">
        <v>754</v>
      </c>
      <c r="Y7816">
        <v>733</v>
      </c>
      <c r="Z7816" s="259" t="s">
        <v>692</v>
      </c>
      <c r="AZ7816" t="s">
        <v>1525</v>
      </c>
      <c r="BA7816">
        <v>79.33</v>
      </c>
      <c r="BB7816" t="s">
        <v>564</v>
      </c>
      <c r="BC7816" t="s">
        <v>793</v>
      </c>
      <c r="BD7816">
        <v>0</v>
      </c>
      <c r="BE7816">
        <v>46302</v>
      </c>
      <c r="BF7816" t="s">
        <v>588</v>
      </c>
    </row>
    <row r="7817" spans="3:58" x14ac:dyDescent="0.35">
      <c r="C7817">
        <v>45950</v>
      </c>
      <c r="F7817" t="s">
        <v>754</v>
      </c>
      <c r="Y7817">
        <v>734</v>
      </c>
      <c r="Z7817" s="259" t="s">
        <v>692</v>
      </c>
      <c r="AZ7817" t="s">
        <v>1526</v>
      </c>
      <c r="BA7817">
        <v>78.83</v>
      </c>
      <c r="BB7817" t="s">
        <v>564</v>
      </c>
      <c r="BC7817" t="s">
        <v>793</v>
      </c>
      <c r="BD7817">
        <v>0</v>
      </c>
      <c r="BE7817">
        <v>46302</v>
      </c>
      <c r="BF7817" t="s">
        <v>588</v>
      </c>
    </row>
    <row r="7818" spans="3:58" x14ac:dyDescent="0.35">
      <c r="C7818">
        <v>45951</v>
      </c>
      <c r="F7818" t="s">
        <v>754</v>
      </c>
      <c r="Y7818">
        <v>735</v>
      </c>
      <c r="Z7818" s="259" t="s">
        <v>692</v>
      </c>
      <c r="AZ7818" t="s">
        <v>1527</v>
      </c>
      <c r="BA7818">
        <v>78.67</v>
      </c>
      <c r="BB7818" t="s">
        <v>564</v>
      </c>
      <c r="BC7818" t="s">
        <v>793</v>
      </c>
      <c r="BD7818">
        <v>0</v>
      </c>
      <c r="BE7818">
        <v>46302</v>
      </c>
      <c r="BF7818" t="s">
        <v>588</v>
      </c>
    </row>
    <row r="7819" spans="3:58" x14ac:dyDescent="0.35">
      <c r="C7819">
        <v>45952</v>
      </c>
      <c r="F7819" t="s">
        <v>754</v>
      </c>
      <c r="Y7819">
        <v>736</v>
      </c>
      <c r="Z7819" s="259" t="s">
        <v>692</v>
      </c>
      <c r="AZ7819" t="s">
        <v>1528</v>
      </c>
      <c r="BA7819">
        <v>78.5</v>
      </c>
      <c r="BB7819" t="s">
        <v>564</v>
      </c>
      <c r="BC7819" t="s">
        <v>793</v>
      </c>
      <c r="BD7819">
        <v>0</v>
      </c>
      <c r="BE7819">
        <v>46302</v>
      </c>
      <c r="BF7819" t="s">
        <v>588</v>
      </c>
    </row>
    <row r="7820" spans="3:58" x14ac:dyDescent="0.35">
      <c r="C7820">
        <v>45953</v>
      </c>
      <c r="F7820" t="s">
        <v>754</v>
      </c>
      <c r="Y7820">
        <v>737</v>
      </c>
      <c r="Z7820" s="259" t="s">
        <v>692</v>
      </c>
      <c r="AZ7820" t="s">
        <v>1529</v>
      </c>
      <c r="BA7820">
        <v>78.33</v>
      </c>
      <c r="BB7820" t="s">
        <v>564</v>
      </c>
      <c r="BC7820" t="s">
        <v>793</v>
      </c>
      <c r="BD7820">
        <v>0</v>
      </c>
      <c r="BE7820">
        <v>46302</v>
      </c>
      <c r="BF7820" t="s">
        <v>588</v>
      </c>
    </row>
    <row r="7821" spans="3:58" x14ac:dyDescent="0.35">
      <c r="C7821">
        <v>45954</v>
      </c>
      <c r="F7821" t="s">
        <v>754</v>
      </c>
      <c r="Y7821">
        <v>738</v>
      </c>
      <c r="Z7821" s="259" t="s">
        <v>692</v>
      </c>
      <c r="AZ7821" t="s">
        <v>1530</v>
      </c>
      <c r="BA7821">
        <v>78.17</v>
      </c>
      <c r="BB7821" t="s">
        <v>564</v>
      </c>
      <c r="BC7821" t="s">
        <v>793</v>
      </c>
      <c r="BD7821">
        <v>0</v>
      </c>
      <c r="BE7821">
        <v>46302</v>
      </c>
      <c r="BF7821" t="s">
        <v>588</v>
      </c>
    </row>
    <row r="7822" spans="3:58" x14ac:dyDescent="0.35">
      <c r="C7822">
        <v>45957</v>
      </c>
      <c r="F7822" t="s">
        <v>754</v>
      </c>
      <c r="Y7822">
        <v>739</v>
      </c>
      <c r="Z7822" s="259" t="s">
        <v>692</v>
      </c>
      <c r="AZ7822" t="s">
        <v>1531</v>
      </c>
      <c r="BA7822">
        <v>77.67</v>
      </c>
      <c r="BB7822" t="s">
        <v>564</v>
      </c>
      <c r="BC7822" t="s">
        <v>793</v>
      </c>
      <c r="BD7822">
        <v>0</v>
      </c>
      <c r="BE7822">
        <v>46302</v>
      </c>
      <c r="BF7822" t="s">
        <v>588</v>
      </c>
    </row>
    <row r="7823" spans="3:58" x14ac:dyDescent="0.35">
      <c r="C7823">
        <v>45958</v>
      </c>
      <c r="F7823" t="s">
        <v>754</v>
      </c>
      <c r="Y7823">
        <v>740</v>
      </c>
      <c r="Z7823" s="259" t="s">
        <v>692</v>
      </c>
      <c r="AZ7823" t="s">
        <v>1532</v>
      </c>
      <c r="BA7823">
        <v>77.5</v>
      </c>
      <c r="BB7823" t="s">
        <v>564</v>
      </c>
      <c r="BC7823" t="s">
        <v>793</v>
      </c>
      <c r="BD7823">
        <v>0</v>
      </c>
      <c r="BE7823">
        <v>46302</v>
      </c>
      <c r="BF7823" t="s">
        <v>588</v>
      </c>
    </row>
    <row r="7824" spans="3:58" x14ac:dyDescent="0.35">
      <c r="C7824">
        <v>45959</v>
      </c>
      <c r="F7824" t="s">
        <v>754</v>
      </c>
      <c r="Y7824">
        <v>741</v>
      </c>
      <c r="Z7824" s="259" t="s">
        <v>692</v>
      </c>
      <c r="AZ7824" t="s">
        <v>1533</v>
      </c>
      <c r="BA7824">
        <v>77.33</v>
      </c>
      <c r="BB7824" t="s">
        <v>564</v>
      </c>
      <c r="BC7824" t="s">
        <v>793</v>
      </c>
      <c r="BD7824">
        <v>0</v>
      </c>
      <c r="BE7824">
        <v>46302</v>
      </c>
      <c r="BF7824" t="s">
        <v>588</v>
      </c>
    </row>
    <row r="7825" spans="3:58" x14ac:dyDescent="0.35">
      <c r="C7825">
        <v>45960</v>
      </c>
      <c r="F7825" t="s">
        <v>754</v>
      </c>
      <c r="Y7825">
        <v>742</v>
      </c>
      <c r="Z7825" s="259" t="s">
        <v>692</v>
      </c>
      <c r="AZ7825" t="s">
        <v>1534</v>
      </c>
      <c r="BA7825">
        <v>77.17</v>
      </c>
      <c r="BB7825" t="s">
        <v>564</v>
      </c>
      <c r="BC7825" t="s">
        <v>793</v>
      </c>
      <c r="BD7825">
        <v>0</v>
      </c>
      <c r="BE7825">
        <v>46302</v>
      </c>
      <c r="BF7825" t="s">
        <v>588</v>
      </c>
    </row>
    <row r="7826" spans="3:58" x14ac:dyDescent="0.35">
      <c r="C7826">
        <v>45961</v>
      </c>
      <c r="F7826" t="s">
        <v>754</v>
      </c>
      <c r="Y7826">
        <v>743</v>
      </c>
      <c r="Z7826" s="259" t="s">
        <v>692</v>
      </c>
      <c r="AZ7826" t="s">
        <v>1535</v>
      </c>
      <c r="BA7826">
        <v>77</v>
      </c>
      <c r="BB7826" t="s">
        <v>564</v>
      </c>
      <c r="BC7826" t="s">
        <v>793</v>
      </c>
      <c r="BD7826">
        <v>0</v>
      </c>
      <c r="BE7826">
        <v>46302</v>
      </c>
      <c r="BF7826" t="s">
        <v>588</v>
      </c>
    </row>
    <row r="7827" spans="3:58" x14ac:dyDescent="0.35">
      <c r="C7827">
        <v>45964</v>
      </c>
      <c r="F7827" t="s">
        <v>754</v>
      </c>
      <c r="Y7827">
        <v>744</v>
      </c>
      <c r="Z7827" s="259" t="s">
        <v>692</v>
      </c>
      <c r="AZ7827" t="s">
        <v>1536</v>
      </c>
      <c r="BA7827">
        <v>76.010000000000005</v>
      </c>
      <c r="BB7827" t="s">
        <v>564</v>
      </c>
      <c r="BC7827" t="s">
        <v>793</v>
      </c>
      <c r="BD7827">
        <v>0</v>
      </c>
      <c r="BE7827">
        <v>46302</v>
      </c>
      <c r="BF7827" t="s">
        <v>588</v>
      </c>
    </row>
    <row r="7828" spans="3:58" x14ac:dyDescent="0.35">
      <c r="C7828">
        <v>45965</v>
      </c>
      <c r="F7828" t="s">
        <v>754</v>
      </c>
      <c r="Y7828">
        <v>745</v>
      </c>
      <c r="Z7828" s="259" t="s">
        <v>692</v>
      </c>
      <c r="AZ7828" t="s">
        <v>1537</v>
      </c>
      <c r="BA7828">
        <v>76.11</v>
      </c>
      <c r="BB7828" t="s">
        <v>564</v>
      </c>
      <c r="BC7828" t="s">
        <v>793</v>
      </c>
      <c r="BD7828">
        <v>0</v>
      </c>
      <c r="BE7828">
        <v>46302</v>
      </c>
      <c r="BF7828" t="s">
        <v>588</v>
      </c>
    </row>
    <row r="7829" spans="3:58" x14ac:dyDescent="0.35">
      <c r="C7829">
        <v>45966</v>
      </c>
      <c r="F7829" t="s">
        <v>754</v>
      </c>
      <c r="Y7829">
        <v>746</v>
      </c>
      <c r="Z7829" s="259" t="s">
        <v>692</v>
      </c>
      <c r="AZ7829" t="s">
        <v>1538</v>
      </c>
      <c r="BA7829">
        <v>76.209999999999994</v>
      </c>
      <c r="BB7829" t="s">
        <v>564</v>
      </c>
      <c r="BC7829" t="s">
        <v>793</v>
      </c>
      <c r="BD7829">
        <v>0</v>
      </c>
      <c r="BE7829">
        <v>46302</v>
      </c>
      <c r="BF7829" t="s">
        <v>588</v>
      </c>
    </row>
    <row r="7830" spans="3:58" x14ac:dyDescent="0.35">
      <c r="C7830">
        <v>45967</v>
      </c>
      <c r="F7830" t="s">
        <v>754</v>
      </c>
      <c r="Y7830">
        <v>747</v>
      </c>
      <c r="Z7830" s="259" t="s">
        <v>692</v>
      </c>
      <c r="AZ7830" t="s">
        <v>1539</v>
      </c>
      <c r="BA7830">
        <v>76.319999999999993</v>
      </c>
      <c r="BB7830" t="s">
        <v>564</v>
      </c>
      <c r="BC7830" t="s">
        <v>793</v>
      </c>
      <c r="BD7830">
        <v>0</v>
      </c>
      <c r="BE7830">
        <v>46302</v>
      </c>
      <c r="BF7830" t="s">
        <v>588</v>
      </c>
    </row>
    <row r="7831" spans="3:58" x14ac:dyDescent="0.35">
      <c r="C7831">
        <v>45968</v>
      </c>
      <c r="F7831" t="s">
        <v>754</v>
      </c>
      <c r="Y7831">
        <v>748</v>
      </c>
      <c r="Z7831" s="259" t="s">
        <v>692</v>
      </c>
      <c r="AZ7831" t="s">
        <v>1540</v>
      </c>
      <c r="BA7831">
        <v>76.42</v>
      </c>
      <c r="BB7831" t="s">
        <v>564</v>
      </c>
      <c r="BC7831" t="s">
        <v>793</v>
      </c>
      <c r="BD7831">
        <v>0</v>
      </c>
      <c r="BE7831">
        <v>46302</v>
      </c>
      <c r="BF7831" t="s">
        <v>588</v>
      </c>
    </row>
    <row r="7832" spans="3:58" x14ac:dyDescent="0.35">
      <c r="C7832">
        <v>45971</v>
      </c>
      <c r="F7832" t="s">
        <v>754</v>
      </c>
      <c r="Y7832">
        <v>749</v>
      </c>
      <c r="Z7832" s="259" t="s">
        <v>692</v>
      </c>
      <c r="AZ7832" t="s">
        <v>1541</v>
      </c>
      <c r="BA7832">
        <v>76.73</v>
      </c>
      <c r="BB7832" t="s">
        <v>564</v>
      </c>
      <c r="BC7832" t="s">
        <v>793</v>
      </c>
      <c r="BD7832">
        <v>0</v>
      </c>
      <c r="BE7832">
        <v>46302</v>
      </c>
      <c r="BF7832" t="s">
        <v>588</v>
      </c>
    </row>
    <row r="7833" spans="3:58" x14ac:dyDescent="0.35">
      <c r="C7833">
        <v>45972</v>
      </c>
      <c r="F7833" t="s">
        <v>754</v>
      </c>
      <c r="Y7833">
        <v>750</v>
      </c>
      <c r="Z7833" s="259" t="s">
        <v>692</v>
      </c>
      <c r="AZ7833" t="s">
        <v>1542</v>
      </c>
      <c r="BA7833">
        <v>76.83</v>
      </c>
      <c r="BB7833" t="s">
        <v>564</v>
      </c>
      <c r="BC7833" t="s">
        <v>793</v>
      </c>
      <c r="BD7833">
        <v>0</v>
      </c>
      <c r="BE7833">
        <v>46302</v>
      </c>
      <c r="BF7833" t="s">
        <v>588</v>
      </c>
    </row>
    <row r="7834" spans="3:58" x14ac:dyDescent="0.35">
      <c r="C7834">
        <v>45973</v>
      </c>
      <c r="F7834" t="s">
        <v>754</v>
      </c>
      <c r="Y7834">
        <v>751</v>
      </c>
      <c r="Z7834" s="259" t="s">
        <v>692</v>
      </c>
      <c r="AZ7834" t="s">
        <v>1543</v>
      </c>
      <c r="BA7834">
        <v>76.94</v>
      </c>
      <c r="BB7834" t="s">
        <v>564</v>
      </c>
      <c r="BC7834" t="s">
        <v>793</v>
      </c>
      <c r="BD7834">
        <v>0</v>
      </c>
      <c r="BE7834">
        <v>46302</v>
      </c>
      <c r="BF7834" t="s">
        <v>588</v>
      </c>
    </row>
    <row r="7835" spans="3:58" x14ac:dyDescent="0.35">
      <c r="C7835">
        <v>45974</v>
      </c>
      <c r="F7835" t="s">
        <v>754</v>
      </c>
      <c r="Y7835">
        <v>752</v>
      </c>
      <c r="Z7835" s="259" t="s">
        <v>692</v>
      </c>
      <c r="AZ7835" t="s">
        <v>1544</v>
      </c>
      <c r="BA7835">
        <v>77.040000000000006</v>
      </c>
      <c r="BB7835" t="s">
        <v>564</v>
      </c>
      <c r="BC7835" t="s">
        <v>793</v>
      </c>
      <c r="BD7835">
        <v>0</v>
      </c>
      <c r="BE7835">
        <v>46302</v>
      </c>
      <c r="BF7835" t="s">
        <v>588</v>
      </c>
    </row>
    <row r="7836" spans="3:58" x14ac:dyDescent="0.35">
      <c r="C7836">
        <v>45975</v>
      </c>
      <c r="F7836" t="s">
        <v>754</v>
      </c>
      <c r="Y7836">
        <v>753</v>
      </c>
      <c r="Z7836" s="259" t="s">
        <v>692</v>
      </c>
      <c r="AZ7836" t="s">
        <v>1545</v>
      </c>
      <c r="BA7836">
        <v>77.14</v>
      </c>
      <c r="BB7836" t="s">
        <v>564</v>
      </c>
      <c r="BC7836" t="s">
        <v>793</v>
      </c>
      <c r="BD7836">
        <v>0</v>
      </c>
      <c r="BE7836">
        <v>46302</v>
      </c>
      <c r="BF7836" t="s">
        <v>588</v>
      </c>
    </row>
    <row r="7837" spans="3:58" x14ac:dyDescent="0.35">
      <c r="C7837">
        <v>45978</v>
      </c>
      <c r="F7837" t="s">
        <v>754</v>
      </c>
      <c r="Y7837">
        <v>754</v>
      </c>
      <c r="Z7837" s="259" t="s">
        <v>692</v>
      </c>
      <c r="AZ7837" t="s">
        <v>1546</v>
      </c>
      <c r="BA7837">
        <v>77.459999999999994</v>
      </c>
      <c r="BB7837" t="s">
        <v>564</v>
      </c>
      <c r="BC7837" t="s">
        <v>793</v>
      </c>
      <c r="BD7837">
        <v>0</v>
      </c>
      <c r="BE7837">
        <v>46302</v>
      </c>
      <c r="BF7837" t="s">
        <v>588</v>
      </c>
    </row>
    <row r="7838" spans="3:58" x14ac:dyDescent="0.35">
      <c r="C7838">
        <v>45979</v>
      </c>
      <c r="F7838" t="s">
        <v>754</v>
      </c>
      <c r="Y7838">
        <v>755</v>
      </c>
      <c r="Z7838" s="259" t="s">
        <v>692</v>
      </c>
      <c r="AZ7838" t="s">
        <v>1547</v>
      </c>
      <c r="BA7838">
        <v>77.56</v>
      </c>
      <c r="BB7838" t="s">
        <v>564</v>
      </c>
      <c r="BC7838" t="s">
        <v>793</v>
      </c>
      <c r="BD7838">
        <v>0</v>
      </c>
      <c r="BE7838">
        <v>46302</v>
      </c>
      <c r="BF7838" t="s">
        <v>588</v>
      </c>
    </row>
    <row r="7839" spans="3:58" x14ac:dyDescent="0.35">
      <c r="C7839">
        <v>45980</v>
      </c>
      <c r="F7839" t="s">
        <v>754</v>
      </c>
      <c r="Y7839">
        <v>756</v>
      </c>
      <c r="Z7839" s="259" t="s">
        <v>692</v>
      </c>
      <c r="AZ7839" t="s">
        <v>1548</v>
      </c>
      <c r="BA7839">
        <v>77.66</v>
      </c>
      <c r="BB7839" t="s">
        <v>564</v>
      </c>
      <c r="BC7839" t="s">
        <v>793</v>
      </c>
      <c r="BD7839">
        <v>0</v>
      </c>
      <c r="BE7839">
        <v>46302</v>
      </c>
      <c r="BF7839" t="s">
        <v>588</v>
      </c>
    </row>
    <row r="7840" spans="3:58" x14ac:dyDescent="0.35">
      <c r="C7840">
        <v>45981</v>
      </c>
      <c r="F7840" t="s">
        <v>754</v>
      </c>
      <c r="Y7840">
        <v>757</v>
      </c>
      <c r="Z7840" s="259" t="s">
        <v>692</v>
      </c>
      <c r="AZ7840" t="s">
        <v>1549</v>
      </c>
      <c r="BA7840">
        <v>77.77</v>
      </c>
      <c r="BB7840" t="s">
        <v>564</v>
      </c>
      <c r="BC7840" t="s">
        <v>793</v>
      </c>
      <c r="BD7840">
        <v>0</v>
      </c>
      <c r="BE7840">
        <v>46302</v>
      </c>
      <c r="BF7840" t="s">
        <v>588</v>
      </c>
    </row>
    <row r="7841" spans="3:58" x14ac:dyDescent="0.35">
      <c r="C7841">
        <v>45982</v>
      </c>
      <c r="F7841" t="s">
        <v>754</v>
      </c>
      <c r="Y7841">
        <v>758</v>
      </c>
      <c r="Z7841" s="259" t="s">
        <v>692</v>
      </c>
      <c r="AZ7841" t="s">
        <v>1550</v>
      </c>
      <c r="BA7841">
        <v>77.87</v>
      </c>
      <c r="BB7841" t="s">
        <v>564</v>
      </c>
      <c r="BC7841" t="s">
        <v>793</v>
      </c>
      <c r="BD7841">
        <v>0</v>
      </c>
      <c r="BE7841">
        <v>46302</v>
      </c>
      <c r="BF7841" t="s">
        <v>588</v>
      </c>
    </row>
    <row r="7842" spans="3:58" x14ac:dyDescent="0.35">
      <c r="C7842">
        <v>45985</v>
      </c>
      <c r="F7842" t="s">
        <v>754</v>
      </c>
      <c r="Y7842">
        <v>759</v>
      </c>
      <c r="Z7842" s="259" t="s">
        <v>692</v>
      </c>
      <c r="AZ7842" t="s">
        <v>1551</v>
      </c>
      <c r="BA7842">
        <v>78.180000000000007</v>
      </c>
      <c r="BB7842" t="s">
        <v>564</v>
      </c>
      <c r="BC7842" t="s">
        <v>793</v>
      </c>
      <c r="BD7842">
        <v>0</v>
      </c>
      <c r="BE7842">
        <v>46302</v>
      </c>
      <c r="BF7842" t="s">
        <v>588</v>
      </c>
    </row>
    <row r="7843" spans="3:58" x14ac:dyDescent="0.35">
      <c r="C7843">
        <v>45986</v>
      </c>
      <c r="F7843" t="s">
        <v>754</v>
      </c>
      <c r="Y7843">
        <v>760</v>
      </c>
      <c r="Z7843" s="259" t="s">
        <v>692</v>
      </c>
      <c r="AZ7843" t="s">
        <v>1552</v>
      </c>
      <c r="BA7843">
        <v>78.28</v>
      </c>
      <c r="BB7843" t="s">
        <v>564</v>
      </c>
      <c r="BC7843" t="s">
        <v>793</v>
      </c>
      <c r="BD7843">
        <v>0</v>
      </c>
      <c r="BE7843">
        <v>46302</v>
      </c>
      <c r="BF7843" t="s">
        <v>588</v>
      </c>
    </row>
    <row r="7844" spans="3:58" x14ac:dyDescent="0.35">
      <c r="C7844">
        <v>45987</v>
      </c>
      <c r="F7844" t="s">
        <v>754</v>
      </c>
      <c r="Y7844">
        <v>761</v>
      </c>
      <c r="Z7844" s="259" t="s">
        <v>692</v>
      </c>
      <c r="AZ7844" t="s">
        <v>1553</v>
      </c>
      <c r="BA7844">
        <v>78.39</v>
      </c>
      <c r="BB7844" t="s">
        <v>564</v>
      </c>
      <c r="BC7844" t="s">
        <v>793</v>
      </c>
      <c r="BD7844">
        <v>0</v>
      </c>
      <c r="BE7844">
        <v>46302</v>
      </c>
      <c r="BF7844" t="s">
        <v>588</v>
      </c>
    </row>
    <row r="7845" spans="3:58" x14ac:dyDescent="0.35">
      <c r="C7845">
        <v>45988</v>
      </c>
      <c r="F7845" t="s">
        <v>754</v>
      </c>
      <c r="Y7845">
        <v>762</v>
      </c>
      <c r="Z7845" s="259" t="s">
        <v>692</v>
      </c>
      <c r="AZ7845" t="s">
        <v>1554</v>
      </c>
      <c r="BA7845">
        <v>78.489999999999995</v>
      </c>
      <c r="BB7845" t="s">
        <v>564</v>
      </c>
      <c r="BC7845" t="s">
        <v>793</v>
      </c>
      <c r="BD7845">
        <v>0</v>
      </c>
      <c r="BE7845">
        <v>46302</v>
      </c>
      <c r="BF7845" t="s">
        <v>588</v>
      </c>
    </row>
    <row r="7846" spans="3:58" x14ac:dyDescent="0.35">
      <c r="C7846">
        <v>45989</v>
      </c>
      <c r="F7846" t="s">
        <v>754</v>
      </c>
      <c r="Y7846">
        <v>763</v>
      </c>
      <c r="Z7846" s="259" t="s">
        <v>692</v>
      </c>
      <c r="AZ7846" t="s">
        <v>1555</v>
      </c>
      <c r="BA7846">
        <v>78.59</v>
      </c>
      <c r="BB7846" t="s">
        <v>564</v>
      </c>
      <c r="BC7846" t="s">
        <v>793</v>
      </c>
      <c r="BD7846">
        <v>0</v>
      </c>
      <c r="BE7846">
        <v>46302</v>
      </c>
      <c r="BF7846" t="s">
        <v>588</v>
      </c>
    </row>
    <row r="7847" spans="3:58" x14ac:dyDescent="0.35">
      <c r="C7847">
        <v>45992</v>
      </c>
      <c r="F7847" t="s">
        <v>754</v>
      </c>
      <c r="Y7847">
        <v>764</v>
      </c>
      <c r="Z7847" s="259" t="s">
        <v>692</v>
      </c>
      <c r="AZ7847" t="s">
        <v>1556</v>
      </c>
      <c r="BA7847">
        <v>78.8</v>
      </c>
      <c r="BB7847" t="s">
        <v>564</v>
      </c>
      <c r="BC7847" t="s">
        <v>793</v>
      </c>
      <c r="BD7847">
        <v>0</v>
      </c>
      <c r="BE7847">
        <v>46302</v>
      </c>
      <c r="BF7847" t="s">
        <v>588</v>
      </c>
    </row>
    <row r="7848" spans="3:58" x14ac:dyDescent="0.35">
      <c r="C7848">
        <v>45993</v>
      </c>
      <c r="F7848" t="s">
        <v>754</v>
      </c>
      <c r="Y7848">
        <v>765</v>
      </c>
      <c r="Z7848" s="259" t="s">
        <v>692</v>
      </c>
      <c r="AZ7848" t="s">
        <v>1557</v>
      </c>
      <c r="BA7848">
        <v>78.77</v>
      </c>
      <c r="BB7848" t="s">
        <v>564</v>
      </c>
      <c r="BC7848" t="s">
        <v>793</v>
      </c>
      <c r="BD7848">
        <v>0</v>
      </c>
      <c r="BE7848">
        <v>46302</v>
      </c>
      <c r="BF7848" t="s">
        <v>588</v>
      </c>
    </row>
    <row r="7849" spans="3:58" x14ac:dyDescent="0.35">
      <c r="C7849">
        <v>45994</v>
      </c>
      <c r="F7849" t="s">
        <v>754</v>
      </c>
      <c r="Y7849">
        <v>766</v>
      </c>
      <c r="Z7849" s="259" t="s">
        <v>692</v>
      </c>
      <c r="AZ7849" t="s">
        <v>1558</v>
      </c>
      <c r="BA7849">
        <v>78.73</v>
      </c>
      <c r="BB7849" t="s">
        <v>564</v>
      </c>
      <c r="BC7849" t="s">
        <v>793</v>
      </c>
      <c r="BD7849">
        <v>0</v>
      </c>
      <c r="BE7849">
        <v>46302</v>
      </c>
      <c r="BF7849" t="s">
        <v>588</v>
      </c>
    </row>
    <row r="7850" spans="3:58" x14ac:dyDescent="0.35">
      <c r="C7850">
        <v>45995</v>
      </c>
      <c r="F7850" t="s">
        <v>754</v>
      </c>
      <c r="Y7850">
        <v>767</v>
      </c>
      <c r="Z7850" s="259" t="s">
        <v>692</v>
      </c>
      <c r="AZ7850" t="s">
        <v>1559</v>
      </c>
      <c r="BA7850">
        <v>78.7</v>
      </c>
      <c r="BB7850" t="s">
        <v>564</v>
      </c>
      <c r="BC7850" t="s">
        <v>793</v>
      </c>
      <c r="BD7850">
        <v>0</v>
      </c>
      <c r="BE7850">
        <v>46302</v>
      </c>
      <c r="BF7850" t="s">
        <v>588</v>
      </c>
    </row>
    <row r="7851" spans="3:58" x14ac:dyDescent="0.35">
      <c r="C7851">
        <v>45996</v>
      </c>
      <c r="F7851" t="s">
        <v>754</v>
      </c>
      <c r="Y7851">
        <v>768</v>
      </c>
      <c r="Z7851" s="259" t="s">
        <v>692</v>
      </c>
      <c r="AZ7851" t="s">
        <v>1560</v>
      </c>
      <c r="BA7851">
        <v>78.67</v>
      </c>
      <c r="BB7851" t="s">
        <v>564</v>
      </c>
      <c r="BC7851" t="s">
        <v>793</v>
      </c>
      <c r="BD7851">
        <v>0</v>
      </c>
      <c r="BE7851">
        <v>46302</v>
      </c>
      <c r="BF7851" t="s">
        <v>588</v>
      </c>
    </row>
    <row r="7852" spans="3:58" x14ac:dyDescent="0.35">
      <c r="C7852">
        <v>45999</v>
      </c>
      <c r="F7852" t="s">
        <v>754</v>
      </c>
      <c r="Y7852">
        <v>769</v>
      </c>
      <c r="Z7852" s="259" t="s">
        <v>692</v>
      </c>
      <c r="AZ7852" t="s">
        <v>1561</v>
      </c>
      <c r="BA7852">
        <v>78.569999999999993</v>
      </c>
      <c r="BB7852" t="s">
        <v>564</v>
      </c>
      <c r="BC7852" t="s">
        <v>793</v>
      </c>
      <c r="BD7852">
        <v>0</v>
      </c>
      <c r="BE7852">
        <v>46302</v>
      </c>
      <c r="BF7852" t="s">
        <v>588</v>
      </c>
    </row>
    <row r="7853" spans="3:58" x14ac:dyDescent="0.35">
      <c r="C7853">
        <v>46000</v>
      </c>
      <c r="F7853" t="s">
        <v>754</v>
      </c>
      <c r="Y7853">
        <v>770</v>
      </c>
      <c r="Z7853" s="259" t="s">
        <v>692</v>
      </c>
      <c r="AZ7853" t="s">
        <v>1562</v>
      </c>
      <c r="BA7853">
        <v>78.53</v>
      </c>
      <c r="BB7853" t="s">
        <v>564</v>
      </c>
      <c r="BC7853" t="s">
        <v>793</v>
      </c>
      <c r="BD7853">
        <v>0</v>
      </c>
      <c r="BE7853">
        <v>46302</v>
      </c>
      <c r="BF7853" t="s">
        <v>588</v>
      </c>
    </row>
    <row r="7854" spans="3:58" x14ac:dyDescent="0.35">
      <c r="C7854">
        <v>46001</v>
      </c>
      <c r="F7854" t="s">
        <v>754</v>
      </c>
      <c r="Y7854">
        <v>771</v>
      </c>
      <c r="Z7854" s="259" t="s">
        <v>692</v>
      </c>
      <c r="AZ7854" t="s">
        <v>1563</v>
      </c>
      <c r="BA7854">
        <v>78.5</v>
      </c>
      <c r="BB7854" t="s">
        <v>564</v>
      </c>
      <c r="BC7854" t="s">
        <v>793</v>
      </c>
      <c r="BD7854">
        <v>0</v>
      </c>
      <c r="BE7854">
        <v>46302</v>
      </c>
      <c r="BF7854" t="s">
        <v>588</v>
      </c>
    </row>
    <row r="7855" spans="3:58" x14ac:dyDescent="0.35">
      <c r="C7855">
        <v>46002</v>
      </c>
      <c r="F7855" t="s">
        <v>754</v>
      </c>
      <c r="Y7855">
        <v>772</v>
      </c>
      <c r="Z7855" s="259" t="s">
        <v>692</v>
      </c>
      <c r="AZ7855" t="s">
        <v>1564</v>
      </c>
      <c r="BA7855">
        <v>78.47</v>
      </c>
      <c r="BB7855" t="s">
        <v>564</v>
      </c>
      <c r="BC7855" t="s">
        <v>793</v>
      </c>
      <c r="BD7855">
        <v>0</v>
      </c>
      <c r="BE7855">
        <v>46302</v>
      </c>
      <c r="BF7855" t="s">
        <v>588</v>
      </c>
    </row>
    <row r="7856" spans="3:58" x14ac:dyDescent="0.35">
      <c r="C7856">
        <v>46003</v>
      </c>
      <c r="F7856" t="s">
        <v>754</v>
      </c>
      <c r="Y7856">
        <v>773</v>
      </c>
      <c r="Z7856" s="259" t="s">
        <v>692</v>
      </c>
      <c r="AZ7856" t="s">
        <v>1565</v>
      </c>
      <c r="BA7856">
        <v>78.430000000000007</v>
      </c>
      <c r="BB7856" t="s">
        <v>564</v>
      </c>
      <c r="BC7856" t="s">
        <v>793</v>
      </c>
      <c r="BD7856">
        <v>0</v>
      </c>
      <c r="BE7856">
        <v>46302</v>
      </c>
      <c r="BF7856" t="s">
        <v>588</v>
      </c>
    </row>
    <row r="7857" spans="3:74" x14ac:dyDescent="0.35">
      <c r="C7857">
        <v>46006</v>
      </c>
      <c r="F7857" t="s">
        <v>754</v>
      </c>
      <c r="Y7857">
        <v>774</v>
      </c>
      <c r="Z7857" s="259" t="s">
        <v>692</v>
      </c>
      <c r="AZ7857" t="s">
        <v>1566</v>
      </c>
      <c r="BA7857">
        <v>78.33</v>
      </c>
      <c r="BB7857" t="s">
        <v>564</v>
      </c>
      <c r="BC7857" t="s">
        <v>793</v>
      </c>
      <c r="BD7857">
        <v>0</v>
      </c>
      <c r="BE7857">
        <v>46302</v>
      </c>
      <c r="BF7857" t="s">
        <v>588</v>
      </c>
    </row>
    <row r="7858" spans="3:74" x14ac:dyDescent="0.35">
      <c r="C7858">
        <v>46007</v>
      </c>
      <c r="F7858" t="s">
        <v>754</v>
      </c>
      <c r="Y7858">
        <v>775</v>
      </c>
      <c r="Z7858" s="259" t="s">
        <v>692</v>
      </c>
      <c r="AZ7858" t="s">
        <v>1567</v>
      </c>
      <c r="BA7858">
        <v>78.3</v>
      </c>
      <c r="BB7858" t="s">
        <v>564</v>
      </c>
      <c r="BC7858" t="s">
        <v>793</v>
      </c>
      <c r="BD7858">
        <v>0</v>
      </c>
      <c r="BE7858">
        <v>46302</v>
      </c>
      <c r="BF7858" t="s">
        <v>588</v>
      </c>
    </row>
    <row r="7859" spans="3:74" x14ac:dyDescent="0.35">
      <c r="C7859">
        <v>46008</v>
      </c>
      <c r="F7859" t="s">
        <v>754</v>
      </c>
      <c r="Y7859">
        <v>776</v>
      </c>
      <c r="Z7859" s="259" t="s">
        <v>692</v>
      </c>
      <c r="AZ7859" t="s">
        <v>1568</v>
      </c>
      <c r="BA7859">
        <v>78.27</v>
      </c>
      <c r="BB7859" t="s">
        <v>564</v>
      </c>
      <c r="BC7859" t="s">
        <v>793</v>
      </c>
      <c r="BD7859">
        <v>0</v>
      </c>
      <c r="BE7859">
        <v>46302</v>
      </c>
      <c r="BF7859" t="s">
        <v>588</v>
      </c>
    </row>
    <row r="7860" spans="3:74" x14ac:dyDescent="0.35">
      <c r="C7860">
        <v>46009</v>
      </c>
      <c r="F7860" t="s">
        <v>754</v>
      </c>
      <c r="Y7860">
        <v>777</v>
      </c>
      <c r="Z7860" s="259" t="s">
        <v>692</v>
      </c>
      <c r="AZ7860" t="s">
        <v>1569</v>
      </c>
      <c r="BA7860">
        <v>78.23</v>
      </c>
      <c r="BB7860" t="s">
        <v>564</v>
      </c>
      <c r="BC7860" t="s">
        <v>793</v>
      </c>
      <c r="BD7860">
        <v>0</v>
      </c>
      <c r="BE7860">
        <v>46302</v>
      </c>
      <c r="BF7860" t="s">
        <v>588</v>
      </c>
    </row>
    <row r="7861" spans="3:74" x14ac:dyDescent="0.35">
      <c r="C7861">
        <v>46010</v>
      </c>
      <c r="F7861" t="s">
        <v>754</v>
      </c>
      <c r="Y7861">
        <v>778</v>
      </c>
      <c r="Z7861" s="259" t="s">
        <v>692</v>
      </c>
      <c r="AZ7861" t="s">
        <v>1570</v>
      </c>
      <c r="BA7861">
        <v>78.2</v>
      </c>
      <c r="BB7861" t="s">
        <v>564</v>
      </c>
      <c r="BC7861" t="s">
        <v>793</v>
      </c>
      <c r="BD7861">
        <v>0</v>
      </c>
      <c r="BE7861">
        <v>46302</v>
      </c>
      <c r="BF7861" t="s">
        <v>588</v>
      </c>
    </row>
    <row r="7862" spans="3:74" x14ac:dyDescent="0.35">
      <c r="C7862">
        <v>46013</v>
      </c>
      <c r="F7862" t="s">
        <v>754</v>
      </c>
      <c r="Y7862">
        <v>779</v>
      </c>
      <c r="Z7862" s="259" t="s">
        <v>692</v>
      </c>
      <c r="AZ7862" t="s">
        <v>1571</v>
      </c>
      <c r="BA7862">
        <v>78.099999999999994</v>
      </c>
      <c r="BB7862" t="s">
        <v>564</v>
      </c>
      <c r="BC7862" t="s">
        <v>793</v>
      </c>
      <c r="BD7862">
        <v>0</v>
      </c>
      <c r="BE7862">
        <v>46302</v>
      </c>
      <c r="BF7862" t="s">
        <v>588</v>
      </c>
    </row>
    <row r="7863" spans="3:74" x14ac:dyDescent="0.35">
      <c r="C7863">
        <v>46014</v>
      </c>
      <c r="F7863" t="s">
        <v>754</v>
      </c>
      <c r="Y7863">
        <v>780</v>
      </c>
      <c r="Z7863" s="259" t="s">
        <v>692</v>
      </c>
      <c r="AZ7863" t="s">
        <v>1572</v>
      </c>
      <c r="BA7863">
        <v>78.069999999999993</v>
      </c>
      <c r="BB7863" t="s">
        <v>564</v>
      </c>
      <c r="BC7863" t="s">
        <v>793</v>
      </c>
      <c r="BD7863">
        <v>0</v>
      </c>
      <c r="BE7863">
        <v>46302</v>
      </c>
      <c r="BF7863" t="s">
        <v>588</v>
      </c>
    </row>
    <row r="7864" spans="3:74" x14ac:dyDescent="0.35">
      <c r="C7864">
        <v>46015</v>
      </c>
      <c r="F7864" t="s">
        <v>754</v>
      </c>
      <c r="Y7864">
        <v>781</v>
      </c>
      <c r="Z7864" s="259" t="s">
        <v>692</v>
      </c>
      <c r="AZ7864" t="s">
        <v>1573</v>
      </c>
      <c r="BA7864">
        <v>78.03</v>
      </c>
      <c r="BB7864" t="s">
        <v>564</v>
      </c>
      <c r="BC7864" t="s">
        <v>793</v>
      </c>
      <c r="BD7864">
        <v>0</v>
      </c>
      <c r="BE7864">
        <v>46302</v>
      </c>
      <c r="BF7864" t="s">
        <v>588</v>
      </c>
    </row>
    <row r="7865" spans="3:74" x14ac:dyDescent="0.35">
      <c r="C7865">
        <v>46016</v>
      </c>
      <c r="F7865" t="s">
        <v>754</v>
      </c>
      <c r="Y7865">
        <v>782</v>
      </c>
      <c r="Z7865" s="259" t="s">
        <v>692</v>
      </c>
      <c r="AZ7865" t="s">
        <v>1574</v>
      </c>
      <c r="BA7865">
        <v>78</v>
      </c>
      <c r="BB7865" t="s">
        <v>564</v>
      </c>
      <c r="BC7865" t="s">
        <v>793</v>
      </c>
      <c r="BD7865">
        <v>0</v>
      </c>
      <c r="BE7865">
        <v>46302</v>
      </c>
      <c r="BF7865" t="s">
        <v>588</v>
      </c>
    </row>
    <row r="7866" spans="3:74" x14ac:dyDescent="0.35">
      <c r="C7866">
        <v>46017</v>
      </c>
      <c r="F7866" t="s">
        <v>754</v>
      </c>
      <c r="Y7866">
        <v>783</v>
      </c>
      <c r="Z7866" s="259" t="s">
        <v>692</v>
      </c>
      <c r="AZ7866" t="s">
        <v>1575</v>
      </c>
      <c r="BA7866">
        <v>77.97</v>
      </c>
      <c r="BB7866" t="s">
        <v>564</v>
      </c>
      <c r="BC7866" t="s">
        <v>793</v>
      </c>
      <c r="BD7866">
        <v>0</v>
      </c>
      <c r="BE7866">
        <v>46302</v>
      </c>
      <c r="BF7866" t="s">
        <v>588</v>
      </c>
    </row>
    <row r="7867" spans="3:74" x14ac:dyDescent="0.35">
      <c r="C7867">
        <v>46020</v>
      </c>
      <c r="F7867" t="s">
        <v>754</v>
      </c>
      <c r="Y7867">
        <v>784</v>
      </c>
      <c r="Z7867" s="259" t="s">
        <v>692</v>
      </c>
      <c r="AZ7867" t="s">
        <v>1576</v>
      </c>
      <c r="BA7867">
        <v>77.87</v>
      </c>
      <c r="BB7867" t="s">
        <v>564</v>
      </c>
      <c r="BC7867" t="s">
        <v>793</v>
      </c>
      <c r="BD7867">
        <v>0</v>
      </c>
      <c r="BE7867">
        <v>46302</v>
      </c>
      <c r="BF7867" t="s">
        <v>588</v>
      </c>
    </row>
    <row r="7868" spans="3:74" x14ac:dyDescent="0.35">
      <c r="C7868">
        <v>46021</v>
      </c>
      <c r="F7868" t="s">
        <v>754</v>
      </c>
      <c r="Y7868">
        <v>785</v>
      </c>
      <c r="Z7868" s="259" t="s">
        <v>692</v>
      </c>
      <c r="AZ7868" t="s">
        <v>1577</v>
      </c>
      <c r="BA7868">
        <v>77.83</v>
      </c>
      <c r="BB7868" t="s">
        <v>564</v>
      </c>
      <c r="BC7868" t="s">
        <v>793</v>
      </c>
      <c r="BD7868">
        <v>0</v>
      </c>
      <c r="BE7868">
        <v>46302</v>
      </c>
      <c r="BF7868" t="s">
        <v>588</v>
      </c>
    </row>
    <row r="7869" spans="3:74" x14ac:dyDescent="0.35">
      <c r="C7869">
        <v>46022</v>
      </c>
      <c r="F7869" t="s">
        <v>754</v>
      </c>
      <c r="Y7869">
        <v>786</v>
      </c>
      <c r="Z7869" s="259" t="s">
        <v>692</v>
      </c>
      <c r="AZ7869" t="s">
        <v>1578</v>
      </c>
      <c r="BA7869">
        <v>77.8</v>
      </c>
      <c r="BB7869" t="s">
        <v>564</v>
      </c>
      <c r="BC7869" t="s">
        <v>793</v>
      </c>
      <c r="BD7869">
        <v>0</v>
      </c>
      <c r="BE7869">
        <v>46302</v>
      </c>
      <c r="BF7869" t="s">
        <v>588</v>
      </c>
    </row>
    <row r="7870" spans="3:74" x14ac:dyDescent="0.35">
      <c r="D7870">
        <v>1</v>
      </c>
      <c r="E7870" t="s">
        <v>117</v>
      </c>
      <c r="F7870" t="s">
        <v>749</v>
      </c>
      <c r="M7870" t="s">
        <v>1579</v>
      </c>
      <c r="Y7870">
        <v>1</v>
      </c>
      <c r="Z7870" s="259" t="s">
        <v>693</v>
      </c>
      <c r="BQ7870">
        <v>45824</v>
      </c>
      <c r="BS7870">
        <v>2</v>
      </c>
      <c r="BT7870">
        <v>1</v>
      </c>
      <c r="BV7870" t="s">
        <v>230</v>
      </c>
    </row>
    <row r="7871" spans="3:74" x14ac:dyDescent="0.35">
      <c r="D7871">
        <v>1</v>
      </c>
      <c r="E7871" t="s">
        <v>122</v>
      </c>
      <c r="F7871" t="s">
        <v>752</v>
      </c>
      <c r="M7871" t="s">
        <v>781</v>
      </c>
      <c r="Y7871">
        <v>2</v>
      </c>
      <c r="Z7871" s="259" t="s">
        <v>693</v>
      </c>
      <c r="BQ7871">
        <v>45901</v>
      </c>
      <c r="BR7871">
        <v>45915</v>
      </c>
      <c r="BU7871">
        <v>3</v>
      </c>
      <c r="BV7871" t="s">
        <v>230</v>
      </c>
    </row>
    <row r="7872" spans="3:74" x14ac:dyDescent="0.35">
      <c r="D7872">
        <v>1</v>
      </c>
      <c r="E7872" t="s">
        <v>122</v>
      </c>
      <c r="F7872" t="s">
        <v>754</v>
      </c>
      <c r="M7872" t="s">
        <v>784</v>
      </c>
      <c r="Y7872">
        <v>3</v>
      </c>
      <c r="Z7872" s="259" t="s">
        <v>693</v>
      </c>
      <c r="BQ7872">
        <v>45964</v>
      </c>
      <c r="BR7872">
        <v>46006</v>
      </c>
      <c r="BU7872">
        <v>1.2</v>
      </c>
      <c r="BV7872" t="s">
        <v>230</v>
      </c>
    </row>
    <row r="7873" spans="3:75" x14ac:dyDescent="0.35">
      <c r="C7873">
        <v>45657</v>
      </c>
      <c r="Y7873">
        <v>1</v>
      </c>
      <c r="Z7873" s="259" t="s">
        <v>694</v>
      </c>
      <c r="BW7873" t="s">
        <v>230</v>
      </c>
    </row>
    <row r="7874" spans="3:75" x14ac:dyDescent="0.35">
      <c r="C7874">
        <v>45658</v>
      </c>
      <c r="Y7874">
        <v>2</v>
      </c>
      <c r="Z7874" s="259" t="s">
        <v>694</v>
      </c>
      <c r="BW7874" t="s">
        <v>230</v>
      </c>
    </row>
    <row r="7875" spans="3:75" x14ac:dyDescent="0.35">
      <c r="C7875">
        <v>45659</v>
      </c>
      <c r="Y7875">
        <v>3</v>
      </c>
      <c r="Z7875" s="259" t="s">
        <v>694</v>
      </c>
      <c r="BW7875" t="s">
        <v>230</v>
      </c>
    </row>
    <row r="7876" spans="3:75" x14ac:dyDescent="0.35">
      <c r="C7876">
        <v>45660</v>
      </c>
      <c r="Y7876">
        <v>4</v>
      </c>
      <c r="Z7876" s="259" t="s">
        <v>694</v>
      </c>
      <c r="BW7876" t="s">
        <v>230</v>
      </c>
    </row>
    <row r="7877" spans="3:75" x14ac:dyDescent="0.35">
      <c r="C7877">
        <v>45661</v>
      </c>
      <c r="Y7877">
        <v>5</v>
      </c>
      <c r="Z7877" s="259" t="s">
        <v>694</v>
      </c>
      <c r="BW7877" t="s">
        <v>232</v>
      </c>
    </row>
    <row r="7878" spans="3:75" x14ac:dyDescent="0.35">
      <c r="C7878">
        <v>45662</v>
      </c>
      <c r="Y7878">
        <v>6</v>
      </c>
      <c r="Z7878" s="259" t="s">
        <v>694</v>
      </c>
      <c r="BW7878" t="s">
        <v>232</v>
      </c>
    </row>
    <row r="7879" spans="3:75" x14ac:dyDescent="0.35">
      <c r="C7879">
        <v>45663</v>
      </c>
      <c r="Y7879">
        <v>7</v>
      </c>
      <c r="Z7879" s="259" t="s">
        <v>694</v>
      </c>
      <c r="BW7879" t="s">
        <v>230</v>
      </c>
    </row>
    <row r="7880" spans="3:75" x14ac:dyDescent="0.35">
      <c r="C7880">
        <v>45664</v>
      </c>
      <c r="Y7880">
        <v>8</v>
      </c>
      <c r="Z7880" s="259" t="s">
        <v>694</v>
      </c>
      <c r="BW7880" t="s">
        <v>230</v>
      </c>
    </row>
    <row r="7881" spans="3:75" x14ac:dyDescent="0.35">
      <c r="C7881">
        <v>45665</v>
      </c>
      <c r="Y7881">
        <v>9</v>
      </c>
      <c r="Z7881" s="259" t="s">
        <v>694</v>
      </c>
      <c r="BW7881" t="s">
        <v>230</v>
      </c>
    </row>
    <row r="7882" spans="3:75" x14ac:dyDescent="0.35">
      <c r="C7882">
        <v>45666</v>
      </c>
      <c r="Y7882">
        <v>10</v>
      </c>
      <c r="Z7882" s="259" t="s">
        <v>694</v>
      </c>
      <c r="BW7882" t="s">
        <v>230</v>
      </c>
    </row>
    <row r="7883" spans="3:75" x14ac:dyDescent="0.35">
      <c r="C7883">
        <v>45667</v>
      </c>
      <c r="Y7883">
        <v>11</v>
      </c>
      <c r="Z7883" s="259" t="s">
        <v>694</v>
      </c>
      <c r="BW7883" t="s">
        <v>230</v>
      </c>
    </row>
    <row r="7884" spans="3:75" x14ac:dyDescent="0.35">
      <c r="C7884">
        <v>45668</v>
      </c>
      <c r="Y7884">
        <v>12</v>
      </c>
      <c r="Z7884" s="259" t="s">
        <v>694</v>
      </c>
      <c r="BW7884" t="s">
        <v>232</v>
      </c>
    </row>
    <row r="7885" spans="3:75" x14ac:dyDescent="0.35">
      <c r="C7885">
        <v>45669</v>
      </c>
      <c r="Y7885">
        <v>13</v>
      </c>
      <c r="Z7885" s="259" t="s">
        <v>694</v>
      </c>
      <c r="BW7885" t="s">
        <v>232</v>
      </c>
    </row>
    <row r="7886" spans="3:75" x14ac:dyDescent="0.35">
      <c r="C7886">
        <v>45670</v>
      </c>
      <c r="Y7886">
        <v>14</v>
      </c>
      <c r="Z7886" s="259" t="s">
        <v>694</v>
      </c>
      <c r="BW7886" t="s">
        <v>230</v>
      </c>
    </row>
    <row r="7887" spans="3:75" x14ac:dyDescent="0.35">
      <c r="C7887">
        <v>45671</v>
      </c>
      <c r="Y7887">
        <v>15</v>
      </c>
      <c r="Z7887" s="259" t="s">
        <v>694</v>
      </c>
      <c r="BW7887" t="s">
        <v>230</v>
      </c>
    </row>
    <row r="7888" spans="3:75" x14ac:dyDescent="0.35">
      <c r="C7888">
        <v>45672</v>
      </c>
      <c r="Y7888">
        <v>16</v>
      </c>
      <c r="Z7888" s="259" t="s">
        <v>694</v>
      </c>
      <c r="BW7888" t="s">
        <v>230</v>
      </c>
    </row>
    <row r="7889" spans="3:75" x14ac:dyDescent="0.35">
      <c r="C7889">
        <v>45673</v>
      </c>
      <c r="Y7889">
        <v>17</v>
      </c>
      <c r="Z7889" s="259" t="s">
        <v>694</v>
      </c>
      <c r="BW7889" t="s">
        <v>230</v>
      </c>
    </row>
    <row r="7890" spans="3:75" x14ac:dyDescent="0.35">
      <c r="C7890">
        <v>45674</v>
      </c>
      <c r="Y7890">
        <v>18</v>
      </c>
      <c r="Z7890" s="259" t="s">
        <v>694</v>
      </c>
      <c r="BW7890" t="s">
        <v>230</v>
      </c>
    </row>
    <row r="7891" spans="3:75" x14ac:dyDescent="0.35">
      <c r="C7891">
        <v>45675</v>
      </c>
      <c r="Y7891">
        <v>19</v>
      </c>
      <c r="Z7891" s="259" t="s">
        <v>694</v>
      </c>
      <c r="BW7891" t="s">
        <v>232</v>
      </c>
    </row>
    <row r="7892" spans="3:75" x14ac:dyDescent="0.35">
      <c r="C7892">
        <v>45676</v>
      </c>
      <c r="Y7892">
        <v>20</v>
      </c>
      <c r="Z7892" s="259" t="s">
        <v>694</v>
      </c>
      <c r="BW7892" t="s">
        <v>232</v>
      </c>
    </row>
    <row r="7893" spans="3:75" x14ac:dyDescent="0.35">
      <c r="C7893">
        <v>45677</v>
      </c>
      <c r="Y7893">
        <v>21</v>
      </c>
      <c r="Z7893" s="259" t="s">
        <v>694</v>
      </c>
      <c r="BW7893" t="s">
        <v>230</v>
      </c>
    </row>
    <row r="7894" spans="3:75" x14ac:dyDescent="0.35">
      <c r="C7894">
        <v>45678</v>
      </c>
      <c r="Y7894">
        <v>22</v>
      </c>
      <c r="Z7894" s="259" t="s">
        <v>694</v>
      </c>
      <c r="BW7894" t="s">
        <v>230</v>
      </c>
    </row>
    <row r="7895" spans="3:75" x14ac:dyDescent="0.35">
      <c r="C7895">
        <v>45679</v>
      </c>
      <c r="Y7895">
        <v>23</v>
      </c>
      <c r="Z7895" s="259" t="s">
        <v>694</v>
      </c>
      <c r="BW7895" t="s">
        <v>230</v>
      </c>
    </row>
    <row r="7896" spans="3:75" x14ac:dyDescent="0.35">
      <c r="C7896">
        <v>45680</v>
      </c>
      <c r="Y7896">
        <v>24</v>
      </c>
      <c r="Z7896" s="259" t="s">
        <v>694</v>
      </c>
      <c r="BW7896" t="s">
        <v>230</v>
      </c>
    </row>
    <row r="7897" spans="3:75" x14ac:dyDescent="0.35">
      <c r="C7897">
        <v>45681</v>
      </c>
      <c r="Y7897">
        <v>25</v>
      </c>
      <c r="Z7897" s="259" t="s">
        <v>694</v>
      </c>
      <c r="BW7897" t="s">
        <v>230</v>
      </c>
    </row>
    <row r="7898" spans="3:75" x14ac:dyDescent="0.35">
      <c r="C7898">
        <v>45682</v>
      </c>
      <c r="Y7898">
        <v>26</v>
      </c>
      <c r="Z7898" s="259" t="s">
        <v>694</v>
      </c>
      <c r="BW7898" t="s">
        <v>232</v>
      </c>
    </row>
    <row r="7899" spans="3:75" x14ac:dyDescent="0.35">
      <c r="C7899">
        <v>45683</v>
      </c>
      <c r="Y7899">
        <v>27</v>
      </c>
      <c r="Z7899" s="259" t="s">
        <v>694</v>
      </c>
      <c r="BW7899" t="s">
        <v>232</v>
      </c>
    </row>
    <row r="7900" spans="3:75" x14ac:dyDescent="0.35">
      <c r="C7900">
        <v>45684</v>
      </c>
      <c r="Y7900">
        <v>28</v>
      </c>
      <c r="Z7900" s="259" t="s">
        <v>694</v>
      </c>
      <c r="BW7900" t="s">
        <v>230</v>
      </c>
    </row>
    <row r="7901" spans="3:75" x14ac:dyDescent="0.35">
      <c r="C7901">
        <v>45685</v>
      </c>
      <c r="Y7901">
        <v>29</v>
      </c>
      <c r="Z7901" s="259" t="s">
        <v>694</v>
      </c>
      <c r="BW7901" t="s">
        <v>230</v>
      </c>
    </row>
    <row r="7902" spans="3:75" x14ac:dyDescent="0.35">
      <c r="C7902">
        <v>45686</v>
      </c>
      <c r="Y7902">
        <v>30</v>
      </c>
      <c r="Z7902" s="259" t="s">
        <v>694</v>
      </c>
      <c r="BW7902" t="s">
        <v>230</v>
      </c>
    </row>
    <row r="7903" spans="3:75" x14ac:dyDescent="0.35">
      <c r="C7903">
        <v>45687</v>
      </c>
      <c r="Y7903">
        <v>31</v>
      </c>
      <c r="Z7903" s="259" t="s">
        <v>694</v>
      </c>
      <c r="BW7903" t="s">
        <v>230</v>
      </c>
    </row>
    <row r="7904" spans="3:75" x14ac:dyDescent="0.35">
      <c r="C7904">
        <v>45688</v>
      </c>
      <c r="Y7904">
        <v>32</v>
      </c>
      <c r="Z7904" s="259" t="s">
        <v>694</v>
      </c>
      <c r="BW7904" t="s">
        <v>230</v>
      </c>
    </row>
    <row r="7905" spans="3:75" x14ac:dyDescent="0.35">
      <c r="C7905">
        <v>45689</v>
      </c>
      <c r="Y7905">
        <v>33</v>
      </c>
      <c r="Z7905" s="259" t="s">
        <v>694</v>
      </c>
      <c r="BW7905" t="s">
        <v>232</v>
      </c>
    </row>
    <row r="7906" spans="3:75" x14ac:dyDescent="0.35">
      <c r="C7906">
        <v>45690</v>
      </c>
      <c r="Y7906">
        <v>34</v>
      </c>
      <c r="Z7906" s="259" t="s">
        <v>694</v>
      </c>
      <c r="BW7906" t="s">
        <v>232</v>
      </c>
    </row>
    <row r="7907" spans="3:75" x14ac:dyDescent="0.35">
      <c r="C7907">
        <v>45691</v>
      </c>
      <c r="Y7907">
        <v>35</v>
      </c>
      <c r="Z7907" s="259" t="s">
        <v>694</v>
      </c>
      <c r="BW7907" t="s">
        <v>230</v>
      </c>
    </row>
    <row r="7908" spans="3:75" x14ac:dyDescent="0.35">
      <c r="C7908">
        <v>45692</v>
      </c>
      <c r="Y7908">
        <v>36</v>
      </c>
      <c r="Z7908" s="259" t="s">
        <v>694</v>
      </c>
      <c r="BW7908" t="s">
        <v>230</v>
      </c>
    </row>
    <row r="7909" spans="3:75" x14ac:dyDescent="0.35">
      <c r="C7909">
        <v>45693</v>
      </c>
      <c r="Y7909">
        <v>37</v>
      </c>
      <c r="Z7909" s="259" t="s">
        <v>694</v>
      </c>
      <c r="BW7909" t="s">
        <v>230</v>
      </c>
    </row>
    <row r="7910" spans="3:75" x14ac:dyDescent="0.35">
      <c r="C7910">
        <v>45694</v>
      </c>
      <c r="Y7910">
        <v>38</v>
      </c>
      <c r="Z7910" s="259" t="s">
        <v>694</v>
      </c>
      <c r="BW7910" t="s">
        <v>230</v>
      </c>
    </row>
    <row r="7911" spans="3:75" x14ac:dyDescent="0.35">
      <c r="C7911">
        <v>45695</v>
      </c>
      <c r="Y7911">
        <v>39</v>
      </c>
      <c r="Z7911" s="259" t="s">
        <v>694</v>
      </c>
      <c r="BW7911" t="s">
        <v>230</v>
      </c>
    </row>
    <row r="7912" spans="3:75" x14ac:dyDescent="0.35">
      <c r="C7912">
        <v>45696</v>
      </c>
      <c r="Y7912">
        <v>40</v>
      </c>
      <c r="Z7912" s="259" t="s">
        <v>694</v>
      </c>
      <c r="BW7912" t="s">
        <v>232</v>
      </c>
    </row>
    <row r="7913" spans="3:75" x14ac:dyDescent="0.35">
      <c r="C7913">
        <v>45697</v>
      </c>
      <c r="Y7913">
        <v>41</v>
      </c>
      <c r="Z7913" s="259" t="s">
        <v>694</v>
      </c>
      <c r="BW7913" t="s">
        <v>232</v>
      </c>
    </row>
    <row r="7914" spans="3:75" x14ac:dyDescent="0.35">
      <c r="C7914">
        <v>45698</v>
      </c>
      <c r="Y7914">
        <v>42</v>
      </c>
      <c r="Z7914" s="259" t="s">
        <v>694</v>
      </c>
      <c r="BW7914" t="s">
        <v>230</v>
      </c>
    </row>
    <row r="7915" spans="3:75" x14ac:dyDescent="0.35">
      <c r="C7915">
        <v>45699</v>
      </c>
      <c r="Y7915">
        <v>43</v>
      </c>
      <c r="Z7915" s="259" t="s">
        <v>694</v>
      </c>
      <c r="BW7915" t="s">
        <v>230</v>
      </c>
    </row>
    <row r="7916" spans="3:75" x14ac:dyDescent="0.35">
      <c r="C7916">
        <v>45700</v>
      </c>
      <c r="Y7916">
        <v>44</v>
      </c>
      <c r="Z7916" s="259" t="s">
        <v>694</v>
      </c>
      <c r="BW7916" t="s">
        <v>230</v>
      </c>
    </row>
    <row r="7917" spans="3:75" x14ac:dyDescent="0.35">
      <c r="C7917">
        <v>45701</v>
      </c>
      <c r="Y7917">
        <v>45</v>
      </c>
      <c r="Z7917" s="259" t="s">
        <v>694</v>
      </c>
      <c r="BW7917" t="s">
        <v>230</v>
      </c>
    </row>
    <row r="7918" spans="3:75" x14ac:dyDescent="0.35">
      <c r="C7918">
        <v>45702</v>
      </c>
      <c r="Y7918">
        <v>46</v>
      </c>
      <c r="Z7918" s="259" t="s">
        <v>694</v>
      </c>
      <c r="BW7918" t="s">
        <v>230</v>
      </c>
    </row>
    <row r="7919" spans="3:75" x14ac:dyDescent="0.35">
      <c r="C7919">
        <v>45703</v>
      </c>
      <c r="Y7919">
        <v>47</v>
      </c>
      <c r="Z7919" s="259" t="s">
        <v>694</v>
      </c>
      <c r="BW7919" t="s">
        <v>232</v>
      </c>
    </row>
    <row r="7920" spans="3:75" x14ac:dyDescent="0.35">
      <c r="C7920">
        <v>45704</v>
      </c>
      <c r="Y7920">
        <v>48</v>
      </c>
      <c r="Z7920" s="259" t="s">
        <v>694</v>
      </c>
      <c r="BW7920" t="s">
        <v>232</v>
      </c>
    </row>
    <row r="7921" spans="3:75" x14ac:dyDescent="0.35">
      <c r="C7921">
        <v>45705</v>
      </c>
      <c r="Y7921">
        <v>49</v>
      </c>
      <c r="Z7921" s="259" t="s">
        <v>694</v>
      </c>
      <c r="BW7921" t="s">
        <v>230</v>
      </c>
    </row>
    <row r="7922" spans="3:75" x14ac:dyDescent="0.35">
      <c r="C7922">
        <v>45706</v>
      </c>
      <c r="Y7922">
        <v>50</v>
      </c>
      <c r="Z7922" s="259" t="s">
        <v>694</v>
      </c>
      <c r="BW7922" t="s">
        <v>230</v>
      </c>
    </row>
    <row r="7923" spans="3:75" x14ac:dyDescent="0.35">
      <c r="C7923">
        <v>45707</v>
      </c>
      <c r="Y7923">
        <v>51</v>
      </c>
      <c r="Z7923" s="259" t="s">
        <v>694</v>
      </c>
      <c r="BW7923" t="s">
        <v>230</v>
      </c>
    </row>
    <row r="7924" spans="3:75" x14ac:dyDescent="0.35">
      <c r="C7924">
        <v>45708</v>
      </c>
      <c r="Y7924">
        <v>52</v>
      </c>
      <c r="Z7924" s="259" t="s">
        <v>694</v>
      </c>
      <c r="BW7924" t="s">
        <v>230</v>
      </c>
    </row>
    <row r="7925" spans="3:75" x14ac:dyDescent="0.35">
      <c r="C7925">
        <v>45709</v>
      </c>
      <c r="Y7925">
        <v>53</v>
      </c>
      <c r="Z7925" s="259" t="s">
        <v>694</v>
      </c>
      <c r="BW7925" t="s">
        <v>230</v>
      </c>
    </row>
    <row r="7926" spans="3:75" x14ac:dyDescent="0.35">
      <c r="C7926">
        <v>45710</v>
      </c>
      <c r="Y7926">
        <v>54</v>
      </c>
      <c r="Z7926" s="259" t="s">
        <v>694</v>
      </c>
      <c r="BW7926" t="s">
        <v>232</v>
      </c>
    </row>
    <row r="7927" spans="3:75" x14ac:dyDescent="0.35">
      <c r="C7927">
        <v>45711</v>
      </c>
      <c r="Y7927">
        <v>55</v>
      </c>
      <c r="Z7927" s="259" t="s">
        <v>694</v>
      </c>
      <c r="BW7927" t="s">
        <v>232</v>
      </c>
    </row>
    <row r="7928" spans="3:75" x14ac:dyDescent="0.35">
      <c r="C7928">
        <v>45712</v>
      </c>
      <c r="Y7928">
        <v>56</v>
      </c>
      <c r="Z7928" s="259" t="s">
        <v>694</v>
      </c>
      <c r="BW7928" t="s">
        <v>230</v>
      </c>
    </row>
    <row r="7929" spans="3:75" x14ac:dyDescent="0.35">
      <c r="C7929">
        <v>45713</v>
      </c>
      <c r="Y7929">
        <v>57</v>
      </c>
      <c r="Z7929" s="259" t="s">
        <v>694</v>
      </c>
      <c r="BW7929" t="s">
        <v>230</v>
      </c>
    </row>
    <row r="7930" spans="3:75" x14ac:dyDescent="0.35">
      <c r="C7930">
        <v>45714</v>
      </c>
      <c r="Y7930">
        <v>58</v>
      </c>
      <c r="Z7930" s="259" t="s">
        <v>694</v>
      </c>
      <c r="BW7930" t="s">
        <v>230</v>
      </c>
    </row>
    <row r="7931" spans="3:75" x14ac:dyDescent="0.35">
      <c r="C7931">
        <v>45715</v>
      </c>
      <c r="Y7931">
        <v>59</v>
      </c>
      <c r="Z7931" s="259" t="s">
        <v>694</v>
      </c>
      <c r="BW7931" t="s">
        <v>230</v>
      </c>
    </row>
    <row r="7932" spans="3:75" x14ac:dyDescent="0.35">
      <c r="C7932">
        <v>45716</v>
      </c>
      <c r="Y7932">
        <v>60</v>
      </c>
      <c r="Z7932" s="259" t="s">
        <v>694</v>
      </c>
      <c r="BW7932" t="s">
        <v>230</v>
      </c>
    </row>
    <row r="7933" spans="3:75" x14ac:dyDescent="0.35">
      <c r="C7933">
        <v>45717</v>
      </c>
      <c r="Y7933">
        <v>61</v>
      </c>
      <c r="Z7933" s="259" t="s">
        <v>694</v>
      </c>
      <c r="BW7933" t="s">
        <v>232</v>
      </c>
    </row>
    <row r="7934" spans="3:75" x14ac:dyDescent="0.35">
      <c r="C7934">
        <v>45718</v>
      </c>
      <c r="Y7934">
        <v>62</v>
      </c>
      <c r="Z7934" s="259" t="s">
        <v>694</v>
      </c>
      <c r="BW7934" t="s">
        <v>232</v>
      </c>
    </row>
    <row r="7935" spans="3:75" x14ac:dyDescent="0.35">
      <c r="C7935">
        <v>45719</v>
      </c>
      <c r="Y7935">
        <v>63</v>
      </c>
      <c r="Z7935" s="259" t="s">
        <v>694</v>
      </c>
      <c r="BW7935" t="s">
        <v>230</v>
      </c>
    </row>
    <row r="7936" spans="3:75" x14ac:dyDescent="0.35">
      <c r="C7936">
        <v>45720</v>
      </c>
      <c r="Y7936">
        <v>64</v>
      </c>
      <c r="Z7936" s="259" t="s">
        <v>694</v>
      </c>
      <c r="BW7936" t="s">
        <v>230</v>
      </c>
    </row>
    <row r="7937" spans="3:75" x14ac:dyDescent="0.35">
      <c r="C7937">
        <v>45721</v>
      </c>
      <c r="Y7937">
        <v>65</v>
      </c>
      <c r="Z7937" s="259" t="s">
        <v>694</v>
      </c>
      <c r="BW7937" t="s">
        <v>230</v>
      </c>
    </row>
    <row r="7938" spans="3:75" x14ac:dyDescent="0.35">
      <c r="C7938">
        <v>45722</v>
      </c>
      <c r="Y7938">
        <v>66</v>
      </c>
      <c r="Z7938" s="259" t="s">
        <v>694</v>
      </c>
      <c r="BW7938" t="s">
        <v>230</v>
      </c>
    </row>
    <row r="7939" spans="3:75" x14ac:dyDescent="0.35">
      <c r="C7939">
        <v>45723</v>
      </c>
      <c r="Y7939">
        <v>67</v>
      </c>
      <c r="Z7939" s="259" t="s">
        <v>694</v>
      </c>
      <c r="BW7939" t="s">
        <v>230</v>
      </c>
    </row>
    <row r="7940" spans="3:75" x14ac:dyDescent="0.35">
      <c r="C7940">
        <v>45724</v>
      </c>
      <c r="Y7940">
        <v>68</v>
      </c>
      <c r="Z7940" s="259" t="s">
        <v>694</v>
      </c>
      <c r="BW7940" t="s">
        <v>232</v>
      </c>
    </row>
    <row r="7941" spans="3:75" x14ac:dyDescent="0.35">
      <c r="C7941">
        <v>45725</v>
      </c>
      <c r="Y7941">
        <v>69</v>
      </c>
      <c r="Z7941" s="259" t="s">
        <v>694</v>
      </c>
      <c r="BW7941" t="s">
        <v>232</v>
      </c>
    </row>
    <row r="7942" spans="3:75" x14ac:dyDescent="0.35">
      <c r="C7942">
        <v>45726</v>
      </c>
      <c r="Y7942">
        <v>70</v>
      </c>
      <c r="Z7942" s="259" t="s">
        <v>694</v>
      </c>
      <c r="BW7942" t="s">
        <v>230</v>
      </c>
    </row>
    <row r="7943" spans="3:75" x14ac:dyDescent="0.35">
      <c r="C7943">
        <v>45727</v>
      </c>
      <c r="Y7943">
        <v>71</v>
      </c>
      <c r="Z7943" s="259" t="s">
        <v>694</v>
      </c>
      <c r="BW7943" t="s">
        <v>230</v>
      </c>
    </row>
    <row r="7944" spans="3:75" x14ac:dyDescent="0.35">
      <c r="C7944">
        <v>45728</v>
      </c>
      <c r="Y7944">
        <v>72</v>
      </c>
      <c r="Z7944" s="259" t="s">
        <v>694</v>
      </c>
      <c r="BW7944" t="s">
        <v>230</v>
      </c>
    </row>
    <row r="7945" spans="3:75" x14ac:dyDescent="0.35">
      <c r="C7945">
        <v>45729</v>
      </c>
      <c r="Y7945">
        <v>73</v>
      </c>
      <c r="Z7945" s="259" t="s">
        <v>694</v>
      </c>
      <c r="BW7945" t="s">
        <v>230</v>
      </c>
    </row>
    <row r="7946" spans="3:75" x14ac:dyDescent="0.35">
      <c r="C7946">
        <v>45730</v>
      </c>
      <c r="Y7946">
        <v>74</v>
      </c>
      <c r="Z7946" s="259" t="s">
        <v>694</v>
      </c>
      <c r="BW7946" t="s">
        <v>230</v>
      </c>
    </row>
    <row r="7947" spans="3:75" x14ac:dyDescent="0.35">
      <c r="C7947">
        <v>45731</v>
      </c>
      <c r="Y7947">
        <v>75</v>
      </c>
      <c r="Z7947" s="259" t="s">
        <v>694</v>
      </c>
      <c r="BW7947" t="s">
        <v>232</v>
      </c>
    </row>
    <row r="7948" spans="3:75" x14ac:dyDescent="0.35">
      <c r="C7948">
        <v>45732</v>
      </c>
      <c r="Y7948">
        <v>76</v>
      </c>
      <c r="Z7948" s="259" t="s">
        <v>694</v>
      </c>
      <c r="BW7948" t="s">
        <v>232</v>
      </c>
    </row>
    <row r="7949" spans="3:75" x14ac:dyDescent="0.35">
      <c r="C7949">
        <v>45733</v>
      </c>
      <c r="Y7949">
        <v>77</v>
      </c>
      <c r="Z7949" s="259" t="s">
        <v>694</v>
      </c>
      <c r="BW7949" t="s">
        <v>230</v>
      </c>
    </row>
    <row r="7950" spans="3:75" x14ac:dyDescent="0.35">
      <c r="C7950">
        <v>45734</v>
      </c>
      <c r="Y7950">
        <v>78</v>
      </c>
      <c r="Z7950" s="259" t="s">
        <v>694</v>
      </c>
      <c r="BW7950" t="s">
        <v>230</v>
      </c>
    </row>
    <row r="7951" spans="3:75" x14ac:dyDescent="0.35">
      <c r="C7951">
        <v>45735</v>
      </c>
      <c r="Y7951">
        <v>79</v>
      </c>
      <c r="Z7951" s="259" t="s">
        <v>694</v>
      </c>
      <c r="BW7951" t="s">
        <v>230</v>
      </c>
    </row>
    <row r="7952" spans="3:75" x14ac:dyDescent="0.35">
      <c r="C7952">
        <v>45736</v>
      </c>
      <c r="Y7952">
        <v>80</v>
      </c>
      <c r="Z7952" s="259" t="s">
        <v>694</v>
      </c>
      <c r="BW7952" t="s">
        <v>230</v>
      </c>
    </row>
    <row r="7953" spans="3:75" x14ac:dyDescent="0.35">
      <c r="C7953">
        <v>45737</v>
      </c>
      <c r="Y7953">
        <v>81</v>
      </c>
      <c r="Z7953" s="259" t="s">
        <v>694</v>
      </c>
      <c r="BW7953" t="s">
        <v>230</v>
      </c>
    </row>
    <row r="7954" spans="3:75" x14ac:dyDescent="0.35">
      <c r="C7954">
        <v>45738</v>
      </c>
      <c r="Y7954">
        <v>82</v>
      </c>
      <c r="Z7954" s="259" t="s">
        <v>694</v>
      </c>
      <c r="BW7954" t="s">
        <v>232</v>
      </c>
    </row>
    <row r="7955" spans="3:75" x14ac:dyDescent="0.35">
      <c r="C7955">
        <v>45739</v>
      </c>
      <c r="Y7955">
        <v>83</v>
      </c>
      <c r="Z7955" s="259" t="s">
        <v>694</v>
      </c>
      <c r="BW7955" t="s">
        <v>232</v>
      </c>
    </row>
    <row r="7956" spans="3:75" x14ac:dyDescent="0.35">
      <c r="C7956">
        <v>45740</v>
      </c>
      <c r="Y7956">
        <v>84</v>
      </c>
      <c r="Z7956" s="259" t="s">
        <v>694</v>
      </c>
      <c r="BW7956" t="s">
        <v>230</v>
      </c>
    </row>
    <row r="7957" spans="3:75" x14ac:dyDescent="0.35">
      <c r="C7957">
        <v>45741</v>
      </c>
      <c r="Y7957">
        <v>85</v>
      </c>
      <c r="Z7957" s="259" t="s">
        <v>694</v>
      </c>
      <c r="BW7957" t="s">
        <v>230</v>
      </c>
    </row>
    <row r="7958" spans="3:75" x14ac:dyDescent="0.35">
      <c r="C7958">
        <v>45742</v>
      </c>
      <c r="Y7958">
        <v>86</v>
      </c>
      <c r="Z7958" s="259" t="s">
        <v>694</v>
      </c>
      <c r="BW7958" t="s">
        <v>230</v>
      </c>
    </row>
    <row r="7959" spans="3:75" x14ac:dyDescent="0.35">
      <c r="C7959">
        <v>45743</v>
      </c>
      <c r="Y7959">
        <v>87</v>
      </c>
      <c r="Z7959" s="259" t="s">
        <v>694</v>
      </c>
      <c r="BW7959" t="s">
        <v>230</v>
      </c>
    </row>
    <row r="7960" spans="3:75" x14ac:dyDescent="0.35">
      <c r="C7960">
        <v>45744</v>
      </c>
      <c r="Y7960">
        <v>88</v>
      </c>
      <c r="Z7960" s="259" t="s">
        <v>694</v>
      </c>
      <c r="BW7960" t="s">
        <v>230</v>
      </c>
    </row>
    <row r="7961" spans="3:75" x14ac:dyDescent="0.35">
      <c r="C7961">
        <v>45745</v>
      </c>
      <c r="Y7961">
        <v>89</v>
      </c>
      <c r="Z7961" s="259" t="s">
        <v>694</v>
      </c>
      <c r="BW7961" t="s">
        <v>232</v>
      </c>
    </row>
    <row r="7962" spans="3:75" x14ac:dyDescent="0.35">
      <c r="C7962">
        <v>45746</v>
      </c>
      <c r="Y7962">
        <v>90</v>
      </c>
      <c r="Z7962" s="259" t="s">
        <v>694</v>
      </c>
      <c r="BW7962" t="s">
        <v>232</v>
      </c>
    </row>
    <row r="7963" spans="3:75" x14ac:dyDescent="0.35">
      <c r="C7963">
        <v>45747</v>
      </c>
      <c r="Y7963">
        <v>91</v>
      </c>
      <c r="Z7963" s="259" t="s">
        <v>694</v>
      </c>
      <c r="BW7963" t="s">
        <v>230</v>
      </c>
    </row>
    <row r="7964" spans="3:75" x14ac:dyDescent="0.35">
      <c r="C7964">
        <v>45748</v>
      </c>
      <c r="Y7964">
        <v>92</v>
      </c>
      <c r="Z7964" s="259" t="s">
        <v>694</v>
      </c>
      <c r="BW7964" t="s">
        <v>230</v>
      </c>
    </row>
    <row r="7965" spans="3:75" x14ac:dyDescent="0.35">
      <c r="C7965">
        <v>45749</v>
      </c>
      <c r="Y7965">
        <v>93</v>
      </c>
      <c r="Z7965" s="259" t="s">
        <v>694</v>
      </c>
      <c r="BW7965" t="s">
        <v>230</v>
      </c>
    </row>
    <row r="7966" spans="3:75" x14ac:dyDescent="0.35">
      <c r="C7966">
        <v>45750</v>
      </c>
      <c r="Y7966">
        <v>94</v>
      </c>
      <c r="Z7966" s="259" t="s">
        <v>694</v>
      </c>
      <c r="BW7966" t="s">
        <v>230</v>
      </c>
    </row>
    <row r="7967" spans="3:75" x14ac:dyDescent="0.35">
      <c r="C7967">
        <v>45751</v>
      </c>
      <c r="Y7967">
        <v>95</v>
      </c>
      <c r="Z7967" s="259" t="s">
        <v>694</v>
      </c>
      <c r="BW7967" t="s">
        <v>230</v>
      </c>
    </row>
    <row r="7968" spans="3:75" x14ac:dyDescent="0.35">
      <c r="C7968">
        <v>45752</v>
      </c>
      <c r="Y7968">
        <v>96</v>
      </c>
      <c r="Z7968" s="259" t="s">
        <v>694</v>
      </c>
      <c r="BW7968" t="s">
        <v>232</v>
      </c>
    </row>
    <row r="7969" spans="3:75" x14ac:dyDescent="0.35">
      <c r="C7969">
        <v>45753</v>
      </c>
      <c r="Y7969">
        <v>97</v>
      </c>
      <c r="Z7969" s="259" t="s">
        <v>694</v>
      </c>
      <c r="BW7969" t="s">
        <v>232</v>
      </c>
    </row>
    <row r="7970" spans="3:75" x14ac:dyDescent="0.35">
      <c r="C7970">
        <v>45754</v>
      </c>
      <c r="Y7970">
        <v>98</v>
      </c>
      <c r="Z7970" s="259" t="s">
        <v>694</v>
      </c>
      <c r="BW7970" t="s">
        <v>230</v>
      </c>
    </row>
    <row r="7971" spans="3:75" x14ac:dyDescent="0.35">
      <c r="C7971">
        <v>45755</v>
      </c>
      <c r="Y7971">
        <v>99</v>
      </c>
      <c r="Z7971" s="259" t="s">
        <v>694</v>
      </c>
      <c r="BW7971" t="s">
        <v>230</v>
      </c>
    </row>
    <row r="7972" spans="3:75" x14ac:dyDescent="0.35">
      <c r="C7972">
        <v>45756</v>
      </c>
      <c r="Y7972">
        <v>100</v>
      </c>
      <c r="Z7972" s="259" t="s">
        <v>694</v>
      </c>
      <c r="BW7972" t="s">
        <v>230</v>
      </c>
    </row>
    <row r="7973" spans="3:75" x14ac:dyDescent="0.35">
      <c r="C7973">
        <v>45757</v>
      </c>
      <c r="Y7973">
        <v>101</v>
      </c>
      <c r="Z7973" s="259" t="s">
        <v>694</v>
      </c>
      <c r="BW7973" t="s">
        <v>230</v>
      </c>
    </row>
    <row r="7974" spans="3:75" x14ac:dyDescent="0.35">
      <c r="C7974">
        <v>45758</v>
      </c>
      <c r="Y7974">
        <v>102</v>
      </c>
      <c r="Z7974" s="259" t="s">
        <v>694</v>
      </c>
      <c r="BW7974" t="s">
        <v>230</v>
      </c>
    </row>
    <row r="7975" spans="3:75" x14ac:dyDescent="0.35">
      <c r="C7975">
        <v>45759</v>
      </c>
      <c r="Y7975">
        <v>103</v>
      </c>
      <c r="Z7975" s="259" t="s">
        <v>694</v>
      </c>
      <c r="BW7975" t="s">
        <v>232</v>
      </c>
    </row>
    <row r="7976" spans="3:75" x14ac:dyDescent="0.35">
      <c r="C7976">
        <v>45760</v>
      </c>
      <c r="Y7976">
        <v>104</v>
      </c>
      <c r="Z7976" s="259" t="s">
        <v>694</v>
      </c>
      <c r="BW7976" t="s">
        <v>232</v>
      </c>
    </row>
    <row r="7977" spans="3:75" x14ac:dyDescent="0.35">
      <c r="C7977">
        <v>45761</v>
      </c>
      <c r="Y7977">
        <v>105</v>
      </c>
      <c r="Z7977" s="259" t="s">
        <v>694</v>
      </c>
      <c r="BW7977" t="s">
        <v>230</v>
      </c>
    </row>
    <row r="7978" spans="3:75" x14ac:dyDescent="0.35">
      <c r="C7978">
        <v>45762</v>
      </c>
      <c r="Y7978">
        <v>106</v>
      </c>
      <c r="Z7978" s="259" t="s">
        <v>694</v>
      </c>
      <c r="BW7978" t="s">
        <v>230</v>
      </c>
    </row>
    <row r="7979" spans="3:75" x14ac:dyDescent="0.35">
      <c r="C7979">
        <v>45763</v>
      </c>
      <c r="Y7979">
        <v>107</v>
      </c>
      <c r="Z7979" s="259" t="s">
        <v>694</v>
      </c>
      <c r="BW7979" t="s">
        <v>230</v>
      </c>
    </row>
    <row r="7980" spans="3:75" x14ac:dyDescent="0.35">
      <c r="C7980">
        <v>45764</v>
      </c>
      <c r="Y7980">
        <v>108</v>
      </c>
      <c r="Z7980" s="259" t="s">
        <v>694</v>
      </c>
      <c r="BW7980" t="s">
        <v>230</v>
      </c>
    </row>
    <row r="7981" spans="3:75" x14ac:dyDescent="0.35">
      <c r="C7981">
        <v>45765</v>
      </c>
      <c r="Y7981">
        <v>109</v>
      </c>
      <c r="Z7981" s="259" t="s">
        <v>694</v>
      </c>
      <c r="BW7981" t="s">
        <v>230</v>
      </c>
    </row>
    <row r="7982" spans="3:75" x14ac:dyDescent="0.35">
      <c r="C7982">
        <v>45766</v>
      </c>
      <c r="Y7982">
        <v>110</v>
      </c>
      <c r="Z7982" s="259" t="s">
        <v>694</v>
      </c>
      <c r="BW7982" t="s">
        <v>232</v>
      </c>
    </row>
    <row r="7983" spans="3:75" x14ac:dyDescent="0.35">
      <c r="C7983">
        <v>45767</v>
      </c>
      <c r="Y7983">
        <v>111</v>
      </c>
      <c r="Z7983" s="259" t="s">
        <v>694</v>
      </c>
      <c r="BW7983" t="s">
        <v>232</v>
      </c>
    </row>
    <row r="7984" spans="3:75" x14ac:dyDescent="0.35">
      <c r="C7984">
        <v>45768</v>
      </c>
      <c r="Y7984">
        <v>112</v>
      </c>
      <c r="Z7984" s="259" t="s">
        <v>694</v>
      </c>
      <c r="BW7984" t="s">
        <v>230</v>
      </c>
    </row>
    <row r="7985" spans="3:75" x14ac:dyDescent="0.35">
      <c r="C7985">
        <v>45769</v>
      </c>
      <c r="Y7985">
        <v>113</v>
      </c>
      <c r="Z7985" s="259" t="s">
        <v>694</v>
      </c>
      <c r="BW7985" t="s">
        <v>230</v>
      </c>
    </row>
    <row r="7986" spans="3:75" x14ac:dyDescent="0.35">
      <c r="C7986">
        <v>45770</v>
      </c>
      <c r="Y7986">
        <v>114</v>
      </c>
      <c r="Z7986" s="259" t="s">
        <v>694</v>
      </c>
      <c r="BW7986" t="s">
        <v>230</v>
      </c>
    </row>
    <row r="7987" spans="3:75" x14ac:dyDescent="0.35">
      <c r="C7987">
        <v>45771</v>
      </c>
      <c r="Y7987">
        <v>115</v>
      </c>
      <c r="Z7987" s="259" t="s">
        <v>694</v>
      </c>
      <c r="BW7987" t="s">
        <v>230</v>
      </c>
    </row>
    <row r="7988" spans="3:75" x14ac:dyDescent="0.35">
      <c r="C7988">
        <v>45772</v>
      </c>
      <c r="Y7988">
        <v>116</v>
      </c>
      <c r="Z7988" s="259" t="s">
        <v>694</v>
      </c>
      <c r="BW7988" t="s">
        <v>230</v>
      </c>
    </row>
    <row r="7989" spans="3:75" x14ac:dyDescent="0.35">
      <c r="C7989">
        <v>45773</v>
      </c>
      <c r="Y7989">
        <v>117</v>
      </c>
      <c r="Z7989" s="259" t="s">
        <v>694</v>
      </c>
      <c r="BW7989" t="s">
        <v>232</v>
      </c>
    </row>
    <row r="7990" spans="3:75" x14ac:dyDescent="0.35">
      <c r="C7990">
        <v>45774</v>
      </c>
      <c r="Y7990">
        <v>118</v>
      </c>
      <c r="Z7990" s="259" t="s">
        <v>694</v>
      </c>
      <c r="BW7990" t="s">
        <v>232</v>
      </c>
    </row>
    <row r="7991" spans="3:75" x14ac:dyDescent="0.35">
      <c r="C7991">
        <v>45775</v>
      </c>
      <c r="Y7991">
        <v>119</v>
      </c>
      <c r="Z7991" s="259" t="s">
        <v>694</v>
      </c>
      <c r="BW7991" t="s">
        <v>230</v>
      </c>
    </row>
    <row r="7992" spans="3:75" x14ac:dyDescent="0.35">
      <c r="C7992">
        <v>45776</v>
      </c>
      <c r="Y7992">
        <v>120</v>
      </c>
      <c r="Z7992" s="259" t="s">
        <v>694</v>
      </c>
      <c r="BW7992" t="s">
        <v>230</v>
      </c>
    </row>
    <row r="7993" spans="3:75" x14ac:dyDescent="0.35">
      <c r="C7993">
        <v>45777</v>
      </c>
      <c r="Y7993">
        <v>121</v>
      </c>
      <c r="Z7993" s="259" t="s">
        <v>694</v>
      </c>
      <c r="BW7993" t="s">
        <v>230</v>
      </c>
    </row>
    <row r="7994" spans="3:75" x14ac:dyDescent="0.35">
      <c r="C7994">
        <v>45778</v>
      </c>
      <c r="Y7994">
        <v>122</v>
      </c>
      <c r="Z7994" s="259" t="s">
        <v>694</v>
      </c>
      <c r="BW7994" t="s">
        <v>230</v>
      </c>
    </row>
    <row r="7995" spans="3:75" x14ac:dyDescent="0.35">
      <c r="C7995">
        <v>45779</v>
      </c>
      <c r="Y7995">
        <v>123</v>
      </c>
      <c r="Z7995" s="259" t="s">
        <v>694</v>
      </c>
      <c r="BW7995" t="s">
        <v>230</v>
      </c>
    </row>
    <row r="7996" spans="3:75" x14ac:dyDescent="0.35">
      <c r="C7996">
        <v>45780</v>
      </c>
      <c r="Y7996">
        <v>124</v>
      </c>
      <c r="Z7996" s="259" t="s">
        <v>694</v>
      </c>
      <c r="BW7996" t="s">
        <v>232</v>
      </c>
    </row>
    <row r="7997" spans="3:75" x14ac:dyDescent="0.35">
      <c r="C7997">
        <v>45781</v>
      </c>
      <c r="Y7997">
        <v>125</v>
      </c>
      <c r="Z7997" s="259" t="s">
        <v>694</v>
      </c>
      <c r="BW7997" t="s">
        <v>232</v>
      </c>
    </row>
    <row r="7998" spans="3:75" x14ac:dyDescent="0.35">
      <c r="C7998">
        <v>45782</v>
      </c>
      <c r="Y7998">
        <v>126</v>
      </c>
      <c r="Z7998" s="259" t="s">
        <v>694</v>
      </c>
      <c r="BW7998" t="s">
        <v>230</v>
      </c>
    </row>
    <row r="7999" spans="3:75" x14ac:dyDescent="0.35">
      <c r="C7999">
        <v>45783</v>
      </c>
      <c r="Y7999">
        <v>127</v>
      </c>
      <c r="Z7999" s="259" t="s">
        <v>694</v>
      </c>
      <c r="BW7999" t="s">
        <v>230</v>
      </c>
    </row>
    <row r="8000" spans="3:75" x14ac:dyDescent="0.35">
      <c r="C8000">
        <v>45784</v>
      </c>
      <c r="Y8000">
        <v>128</v>
      </c>
      <c r="Z8000" s="259" t="s">
        <v>694</v>
      </c>
      <c r="BW8000" t="s">
        <v>230</v>
      </c>
    </row>
    <row r="8001" spans="3:75" x14ac:dyDescent="0.35">
      <c r="C8001">
        <v>45785</v>
      </c>
      <c r="Y8001">
        <v>129</v>
      </c>
      <c r="Z8001" s="259" t="s">
        <v>694</v>
      </c>
      <c r="BW8001" t="s">
        <v>230</v>
      </c>
    </row>
    <row r="8002" spans="3:75" x14ac:dyDescent="0.35">
      <c r="C8002">
        <v>45786</v>
      </c>
      <c r="Y8002">
        <v>130</v>
      </c>
      <c r="Z8002" s="259" t="s">
        <v>694</v>
      </c>
      <c r="BW8002" t="s">
        <v>230</v>
      </c>
    </row>
    <row r="8003" spans="3:75" x14ac:dyDescent="0.35">
      <c r="C8003">
        <v>45787</v>
      </c>
      <c r="Y8003">
        <v>131</v>
      </c>
      <c r="Z8003" s="259" t="s">
        <v>694</v>
      </c>
      <c r="BW8003" t="s">
        <v>232</v>
      </c>
    </row>
    <row r="8004" spans="3:75" x14ac:dyDescent="0.35">
      <c r="C8004">
        <v>45788</v>
      </c>
      <c r="Y8004">
        <v>132</v>
      </c>
      <c r="Z8004" s="259" t="s">
        <v>694</v>
      </c>
      <c r="BW8004" t="s">
        <v>232</v>
      </c>
    </row>
    <row r="8005" spans="3:75" x14ac:dyDescent="0.35">
      <c r="C8005">
        <v>45789</v>
      </c>
      <c r="Y8005">
        <v>133</v>
      </c>
      <c r="Z8005" s="259" t="s">
        <v>694</v>
      </c>
      <c r="BW8005" t="s">
        <v>230</v>
      </c>
    </row>
    <row r="8006" spans="3:75" x14ac:dyDescent="0.35">
      <c r="C8006">
        <v>45790</v>
      </c>
      <c r="Y8006">
        <v>134</v>
      </c>
      <c r="Z8006" s="259" t="s">
        <v>694</v>
      </c>
      <c r="BW8006" t="s">
        <v>230</v>
      </c>
    </row>
    <row r="8007" spans="3:75" x14ac:dyDescent="0.35">
      <c r="C8007">
        <v>45791</v>
      </c>
      <c r="Y8007">
        <v>135</v>
      </c>
      <c r="Z8007" s="259" t="s">
        <v>694</v>
      </c>
      <c r="BW8007" t="s">
        <v>230</v>
      </c>
    </row>
    <row r="8008" spans="3:75" x14ac:dyDescent="0.35">
      <c r="C8008">
        <v>45792</v>
      </c>
      <c r="Y8008">
        <v>136</v>
      </c>
      <c r="Z8008" s="259" t="s">
        <v>694</v>
      </c>
      <c r="BW8008" t="s">
        <v>230</v>
      </c>
    </row>
    <row r="8009" spans="3:75" x14ac:dyDescent="0.35">
      <c r="C8009">
        <v>45793</v>
      </c>
      <c r="Y8009">
        <v>137</v>
      </c>
      <c r="Z8009" s="259" t="s">
        <v>694</v>
      </c>
      <c r="BW8009" t="s">
        <v>230</v>
      </c>
    </row>
    <row r="8010" spans="3:75" x14ac:dyDescent="0.35">
      <c r="C8010">
        <v>45794</v>
      </c>
      <c r="Y8010">
        <v>138</v>
      </c>
      <c r="Z8010" s="259" t="s">
        <v>694</v>
      </c>
      <c r="BW8010" t="s">
        <v>232</v>
      </c>
    </row>
    <row r="8011" spans="3:75" x14ac:dyDescent="0.35">
      <c r="C8011">
        <v>45795</v>
      </c>
      <c r="Y8011">
        <v>139</v>
      </c>
      <c r="Z8011" s="259" t="s">
        <v>694</v>
      </c>
      <c r="BW8011" t="s">
        <v>232</v>
      </c>
    </row>
    <row r="8012" spans="3:75" x14ac:dyDescent="0.35">
      <c r="C8012">
        <v>45796</v>
      </c>
      <c r="Y8012">
        <v>140</v>
      </c>
      <c r="Z8012" s="259" t="s">
        <v>694</v>
      </c>
      <c r="BW8012" t="s">
        <v>230</v>
      </c>
    </row>
    <row r="8013" spans="3:75" x14ac:dyDescent="0.35">
      <c r="C8013">
        <v>45797</v>
      </c>
      <c r="Y8013">
        <v>141</v>
      </c>
      <c r="Z8013" s="259" t="s">
        <v>694</v>
      </c>
      <c r="BW8013" t="s">
        <v>230</v>
      </c>
    </row>
    <row r="8014" spans="3:75" x14ac:dyDescent="0.35">
      <c r="C8014">
        <v>45798</v>
      </c>
      <c r="Y8014">
        <v>142</v>
      </c>
      <c r="Z8014" s="259" t="s">
        <v>694</v>
      </c>
      <c r="BW8014" t="s">
        <v>230</v>
      </c>
    </row>
    <row r="8015" spans="3:75" x14ac:dyDescent="0.35">
      <c r="C8015">
        <v>45799</v>
      </c>
      <c r="Y8015">
        <v>143</v>
      </c>
      <c r="Z8015" s="259" t="s">
        <v>694</v>
      </c>
      <c r="BW8015" t="s">
        <v>230</v>
      </c>
    </row>
    <row r="8016" spans="3:75" x14ac:dyDescent="0.35">
      <c r="C8016">
        <v>45800</v>
      </c>
      <c r="Y8016">
        <v>144</v>
      </c>
      <c r="Z8016" s="259" t="s">
        <v>694</v>
      </c>
      <c r="BW8016" t="s">
        <v>230</v>
      </c>
    </row>
    <row r="8017" spans="3:75" x14ac:dyDescent="0.35">
      <c r="C8017">
        <v>45801</v>
      </c>
      <c r="Y8017">
        <v>145</v>
      </c>
      <c r="Z8017" s="259" t="s">
        <v>694</v>
      </c>
      <c r="BW8017" t="s">
        <v>232</v>
      </c>
    </row>
    <row r="8018" spans="3:75" x14ac:dyDescent="0.35">
      <c r="C8018">
        <v>45802</v>
      </c>
      <c r="Y8018">
        <v>146</v>
      </c>
      <c r="Z8018" s="259" t="s">
        <v>694</v>
      </c>
      <c r="BW8018" t="s">
        <v>232</v>
      </c>
    </row>
    <row r="8019" spans="3:75" x14ac:dyDescent="0.35">
      <c r="C8019">
        <v>45803</v>
      </c>
      <c r="Y8019">
        <v>147</v>
      </c>
      <c r="Z8019" s="259" t="s">
        <v>694</v>
      </c>
      <c r="BW8019" t="s">
        <v>230</v>
      </c>
    </row>
    <row r="8020" spans="3:75" x14ac:dyDescent="0.35">
      <c r="C8020">
        <v>45804</v>
      </c>
      <c r="Y8020">
        <v>148</v>
      </c>
      <c r="Z8020" s="259" t="s">
        <v>694</v>
      </c>
      <c r="BW8020" t="s">
        <v>230</v>
      </c>
    </row>
    <row r="8021" spans="3:75" x14ac:dyDescent="0.35">
      <c r="C8021">
        <v>45805</v>
      </c>
      <c r="Y8021">
        <v>149</v>
      </c>
      <c r="Z8021" s="259" t="s">
        <v>694</v>
      </c>
      <c r="BW8021" t="s">
        <v>230</v>
      </c>
    </row>
    <row r="8022" spans="3:75" x14ac:dyDescent="0.35">
      <c r="C8022">
        <v>45806</v>
      </c>
      <c r="Y8022">
        <v>150</v>
      </c>
      <c r="Z8022" s="259" t="s">
        <v>694</v>
      </c>
      <c r="BW8022" t="s">
        <v>230</v>
      </c>
    </row>
    <row r="8023" spans="3:75" x14ac:dyDescent="0.35">
      <c r="C8023">
        <v>45807</v>
      </c>
      <c r="Y8023">
        <v>151</v>
      </c>
      <c r="Z8023" s="259" t="s">
        <v>694</v>
      </c>
      <c r="BW8023" t="s">
        <v>230</v>
      </c>
    </row>
    <row r="8024" spans="3:75" x14ac:dyDescent="0.35">
      <c r="C8024">
        <v>45808</v>
      </c>
      <c r="Y8024">
        <v>152</v>
      </c>
      <c r="Z8024" s="259" t="s">
        <v>694</v>
      </c>
      <c r="BW8024" t="s">
        <v>232</v>
      </c>
    </row>
    <row r="8025" spans="3:75" x14ac:dyDescent="0.35">
      <c r="C8025">
        <v>45809</v>
      </c>
      <c r="Y8025">
        <v>153</v>
      </c>
      <c r="Z8025" s="259" t="s">
        <v>694</v>
      </c>
      <c r="BW8025" t="s">
        <v>232</v>
      </c>
    </row>
    <row r="8026" spans="3:75" x14ac:dyDescent="0.35">
      <c r="C8026">
        <v>45810</v>
      </c>
      <c r="Y8026">
        <v>154</v>
      </c>
      <c r="Z8026" s="259" t="s">
        <v>694</v>
      </c>
      <c r="BW8026" t="s">
        <v>230</v>
      </c>
    </row>
    <row r="8027" spans="3:75" x14ac:dyDescent="0.35">
      <c r="C8027">
        <v>45811</v>
      </c>
      <c r="Y8027">
        <v>155</v>
      </c>
      <c r="Z8027" s="259" t="s">
        <v>694</v>
      </c>
      <c r="BW8027" t="s">
        <v>230</v>
      </c>
    </row>
    <row r="8028" spans="3:75" x14ac:dyDescent="0.35">
      <c r="C8028">
        <v>45812</v>
      </c>
      <c r="Y8028">
        <v>156</v>
      </c>
      <c r="Z8028" s="259" t="s">
        <v>694</v>
      </c>
      <c r="BW8028" t="s">
        <v>230</v>
      </c>
    </row>
    <row r="8029" spans="3:75" x14ac:dyDescent="0.35">
      <c r="C8029">
        <v>45813</v>
      </c>
      <c r="Y8029">
        <v>157</v>
      </c>
      <c r="Z8029" s="259" t="s">
        <v>694</v>
      </c>
      <c r="BW8029" t="s">
        <v>230</v>
      </c>
    </row>
    <row r="8030" spans="3:75" x14ac:dyDescent="0.35">
      <c r="C8030">
        <v>45814</v>
      </c>
      <c r="Y8030">
        <v>158</v>
      </c>
      <c r="Z8030" s="259" t="s">
        <v>694</v>
      </c>
      <c r="BW8030" t="s">
        <v>230</v>
      </c>
    </row>
    <row r="8031" spans="3:75" x14ac:dyDescent="0.35">
      <c r="C8031">
        <v>45815</v>
      </c>
      <c r="Y8031">
        <v>159</v>
      </c>
      <c r="Z8031" s="259" t="s">
        <v>694</v>
      </c>
      <c r="BW8031" t="s">
        <v>232</v>
      </c>
    </row>
    <row r="8032" spans="3:75" x14ac:dyDescent="0.35">
      <c r="C8032">
        <v>45816</v>
      </c>
      <c r="Y8032">
        <v>160</v>
      </c>
      <c r="Z8032" s="259" t="s">
        <v>694</v>
      </c>
      <c r="BW8032" t="s">
        <v>232</v>
      </c>
    </row>
    <row r="8033" spans="3:75" x14ac:dyDescent="0.35">
      <c r="C8033">
        <v>45817</v>
      </c>
      <c r="Y8033">
        <v>161</v>
      </c>
      <c r="Z8033" s="259" t="s">
        <v>694</v>
      </c>
      <c r="BW8033" t="s">
        <v>230</v>
      </c>
    </row>
    <row r="8034" spans="3:75" x14ac:dyDescent="0.35">
      <c r="C8034">
        <v>45818</v>
      </c>
      <c r="Y8034">
        <v>162</v>
      </c>
      <c r="Z8034" s="259" t="s">
        <v>694</v>
      </c>
      <c r="BW8034" t="s">
        <v>230</v>
      </c>
    </row>
    <row r="8035" spans="3:75" x14ac:dyDescent="0.35">
      <c r="C8035">
        <v>45819</v>
      </c>
      <c r="Y8035">
        <v>163</v>
      </c>
      <c r="Z8035" s="259" t="s">
        <v>694</v>
      </c>
      <c r="BW8035" t="s">
        <v>230</v>
      </c>
    </row>
    <row r="8036" spans="3:75" x14ac:dyDescent="0.35">
      <c r="C8036">
        <v>45820</v>
      </c>
      <c r="Y8036">
        <v>164</v>
      </c>
      <c r="Z8036" s="259" t="s">
        <v>694</v>
      </c>
      <c r="BW8036" t="s">
        <v>230</v>
      </c>
    </row>
    <row r="8037" spans="3:75" x14ac:dyDescent="0.35">
      <c r="C8037">
        <v>45821</v>
      </c>
      <c r="Y8037">
        <v>165</v>
      </c>
      <c r="Z8037" s="259" t="s">
        <v>694</v>
      </c>
      <c r="BW8037" t="s">
        <v>230</v>
      </c>
    </row>
    <row r="8038" spans="3:75" x14ac:dyDescent="0.35">
      <c r="C8038">
        <v>45822</v>
      </c>
      <c r="Y8038">
        <v>166</v>
      </c>
      <c r="Z8038" s="259" t="s">
        <v>694</v>
      </c>
      <c r="BW8038" t="s">
        <v>232</v>
      </c>
    </row>
    <row r="8039" spans="3:75" x14ac:dyDescent="0.35">
      <c r="C8039">
        <v>45823</v>
      </c>
      <c r="Y8039">
        <v>167</v>
      </c>
      <c r="Z8039" s="259" t="s">
        <v>694</v>
      </c>
      <c r="BW8039" t="s">
        <v>232</v>
      </c>
    </row>
    <row r="8040" spans="3:75" x14ac:dyDescent="0.35">
      <c r="C8040">
        <v>45824</v>
      </c>
      <c r="Y8040">
        <v>168</v>
      </c>
      <c r="Z8040" s="259" t="s">
        <v>694</v>
      </c>
      <c r="BW8040" t="s">
        <v>230</v>
      </c>
    </row>
    <row r="8041" spans="3:75" x14ac:dyDescent="0.35">
      <c r="C8041">
        <v>45825</v>
      </c>
      <c r="Y8041">
        <v>169</v>
      </c>
      <c r="Z8041" s="259" t="s">
        <v>694</v>
      </c>
      <c r="BW8041" t="s">
        <v>230</v>
      </c>
    </row>
    <row r="8042" spans="3:75" x14ac:dyDescent="0.35">
      <c r="C8042">
        <v>45826</v>
      </c>
      <c r="Y8042">
        <v>170</v>
      </c>
      <c r="Z8042" s="259" t="s">
        <v>694</v>
      </c>
      <c r="BW8042" t="s">
        <v>230</v>
      </c>
    </row>
    <row r="8043" spans="3:75" x14ac:dyDescent="0.35">
      <c r="C8043">
        <v>45827</v>
      </c>
      <c r="Y8043">
        <v>171</v>
      </c>
      <c r="Z8043" s="259" t="s">
        <v>694</v>
      </c>
      <c r="BW8043" t="s">
        <v>230</v>
      </c>
    </row>
    <row r="8044" spans="3:75" x14ac:dyDescent="0.35">
      <c r="C8044">
        <v>45828</v>
      </c>
      <c r="Y8044">
        <v>172</v>
      </c>
      <c r="Z8044" s="259" t="s">
        <v>694</v>
      </c>
      <c r="BW8044" t="s">
        <v>230</v>
      </c>
    </row>
    <row r="8045" spans="3:75" x14ac:dyDescent="0.35">
      <c r="C8045">
        <v>45829</v>
      </c>
      <c r="Y8045">
        <v>173</v>
      </c>
      <c r="Z8045" s="259" t="s">
        <v>694</v>
      </c>
      <c r="BW8045" t="s">
        <v>232</v>
      </c>
    </row>
    <row r="8046" spans="3:75" x14ac:dyDescent="0.35">
      <c r="C8046">
        <v>45830</v>
      </c>
      <c r="Y8046">
        <v>174</v>
      </c>
      <c r="Z8046" s="259" t="s">
        <v>694</v>
      </c>
      <c r="BW8046" t="s">
        <v>232</v>
      </c>
    </row>
    <row r="8047" spans="3:75" x14ac:dyDescent="0.35">
      <c r="C8047">
        <v>45831</v>
      </c>
      <c r="Y8047">
        <v>175</v>
      </c>
      <c r="Z8047" s="259" t="s">
        <v>694</v>
      </c>
      <c r="BW8047" t="s">
        <v>230</v>
      </c>
    </row>
    <row r="8048" spans="3:75" x14ac:dyDescent="0.35">
      <c r="C8048">
        <v>45832</v>
      </c>
      <c r="Y8048">
        <v>176</v>
      </c>
      <c r="Z8048" s="259" t="s">
        <v>694</v>
      </c>
      <c r="BW8048" t="s">
        <v>230</v>
      </c>
    </row>
    <row r="8049" spans="3:75" x14ac:dyDescent="0.35">
      <c r="C8049">
        <v>45833</v>
      </c>
      <c r="Y8049">
        <v>177</v>
      </c>
      <c r="Z8049" s="259" t="s">
        <v>694</v>
      </c>
      <c r="BW8049" t="s">
        <v>230</v>
      </c>
    </row>
    <row r="8050" spans="3:75" x14ac:dyDescent="0.35">
      <c r="C8050">
        <v>45834</v>
      </c>
      <c r="Y8050">
        <v>178</v>
      </c>
      <c r="Z8050" s="259" t="s">
        <v>694</v>
      </c>
      <c r="BW8050" t="s">
        <v>230</v>
      </c>
    </row>
    <row r="8051" spans="3:75" x14ac:dyDescent="0.35">
      <c r="C8051">
        <v>45835</v>
      </c>
      <c r="Y8051">
        <v>179</v>
      </c>
      <c r="Z8051" s="259" t="s">
        <v>694</v>
      </c>
      <c r="BW8051" t="s">
        <v>230</v>
      </c>
    </row>
    <row r="8052" spans="3:75" x14ac:dyDescent="0.35">
      <c r="C8052">
        <v>45836</v>
      </c>
      <c r="Y8052">
        <v>180</v>
      </c>
      <c r="Z8052" s="259" t="s">
        <v>694</v>
      </c>
      <c r="BW8052" t="s">
        <v>232</v>
      </c>
    </row>
    <row r="8053" spans="3:75" x14ac:dyDescent="0.35">
      <c r="C8053">
        <v>45837</v>
      </c>
      <c r="Y8053">
        <v>181</v>
      </c>
      <c r="Z8053" s="259" t="s">
        <v>694</v>
      </c>
      <c r="BW8053" t="s">
        <v>232</v>
      </c>
    </row>
    <row r="8054" spans="3:75" x14ac:dyDescent="0.35">
      <c r="C8054">
        <v>45838</v>
      </c>
      <c r="Y8054">
        <v>182</v>
      </c>
      <c r="Z8054" s="259" t="s">
        <v>694</v>
      </c>
      <c r="BW8054" t="s">
        <v>230</v>
      </c>
    </row>
    <row r="8055" spans="3:75" x14ac:dyDescent="0.35">
      <c r="C8055">
        <v>45839</v>
      </c>
      <c r="Y8055">
        <v>183</v>
      </c>
      <c r="Z8055" s="259" t="s">
        <v>694</v>
      </c>
      <c r="BW8055" t="s">
        <v>230</v>
      </c>
    </row>
    <row r="8056" spans="3:75" x14ac:dyDescent="0.35">
      <c r="C8056">
        <v>45840</v>
      </c>
      <c r="Y8056">
        <v>184</v>
      </c>
      <c r="Z8056" s="259" t="s">
        <v>694</v>
      </c>
      <c r="BW8056" t="s">
        <v>230</v>
      </c>
    </row>
    <row r="8057" spans="3:75" x14ac:dyDescent="0.35">
      <c r="C8057">
        <v>45841</v>
      </c>
      <c r="Y8057">
        <v>185</v>
      </c>
      <c r="Z8057" s="259" t="s">
        <v>694</v>
      </c>
      <c r="BW8057" t="s">
        <v>230</v>
      </c>
    </row>
    <row r="8058" spans="3:75" x14ac:dyDescent="0.35">
      <c r="C8058">
        <v>45842</v>
      </c>
      <c r="Y8058">
        <v>186</v>
      </c>
      <c r="Z8058" s="259" t="s">
        <v>694</v>
      </c>
      <c r="BW8058" t="s">
        <v>230</v>
      </c>
    </row>
    <row r="8059" spans="3:75" x14ac:dyDescent="0.35">
      <c r="C8059">
        <v>45843</v>
      </c>
      <c r="Y8059">
        <v>187</v>
      </c>
      <c r="Z8059" s="259" t="s">
        <v>694</v>
      </c>
      <c r="BW8059" t="s">
        <v>232</v>
      </c>
    </row>
    <row r="8060" spans="3:75" x14ac:dyDescent="0.35">
      <c r="C8060">
        <v>45844</v>
      </c>
      <c r="Y8060">
        <v>188</v>
      </c>
      <c r="Z8060" s="259" t="s">
        <v>694</v>
      </c>
      <c r="BW8060" t="s">
        <v>232</v>
      </c>
    </row>
    <row r="8061" spans="3:75" x14ac:dyDescent="0.35">
      <c r="C8061">
        <v>45845</v>
      </c>
      <c r="Y8061">
        <v>189</v>
      </c>
      <c r="Z8061" s="259" t="s">
        <v>694</v>
      </c>
      <c r="BW8061" t="s">
        <v>230</v>
      </c>
    </row>
    <row r="8062" spans="3:75" x14ac:dyDescent="0.35">
      <c r="C8062">
        <v>45846</v>
      </c>
      <c r="Y8062">
        <v>190</v>
      </c>
      <c r="Z8062" s="259" t="s">
        <v>694</v>
      </c>
      <c r="BW8062" t="s">
        <v>230</v>
      </c>
    </row>
    <row r="8063" spans="3:75" x14ac:dyDescent="0.35">
      <c r="C8063">
        <v>45847</v>
      </c>
      <c r="Y8063">
        <v>191</v>
      </c>
      <c r="Z8063" s="259" t="s">
        <v>694</v>
      </c>
      <c r="BW8063" t="s">
        <v>230</v>
      </c>
    </row>
    <row r="8064" spans="3:75" x14ac:dyDescent="0.35">
      <c r="C8064">
        <v>45848</v>
      </c>
      <c r="Y8064">
        <v>192</v>
      </c>
      <c r="Z8064" s="259" t="s">
        <v>694</v>
      </c>
      <c r="BW8064" t="s">
        <v>230</v>
      </c>
    </row>
    <row r="8065" spans="3:75" x14ac:dyDescent="0.35">
      <c r="C8065">
        <v>45849</v>
      </c>
      <c r="Y8065">
        <v>193</v>
      </c>
      <c r="Z8065" s="259" t="s">
        <v>694</v>
      </c>
      <c r="BW8065" t="s">
        <v>230</v>
      </c>
    </row>
    <row r="8066" spans="3:75" x14ac:dyDescent="0.35">
      <c r="C8066">
        <v>45850</v>
      </c>
      <c r="Y8066">
        <v>194</v>
      </c>
      <c r="Z8066" s="259" t="s">
        <v>694</v>
      </c>
      <c r="BW8066" t="s">
        <v>232</v>
      </c>
    </row>
    <row r="8067" spans="3:75" x14ac:dyDescent="0.35">
      <c r="C8067">
        <v>45851</v>
      </c>
      <c r="Y8067">
        <v>195</v>
      </c>
      <c r="Z8067" s="259" t="s">
        <v>694</v>
      </c>
      <c r="BW8067" t="s">
        <v>232</v>
      </c>
    </row>
    <row r="8068" spans="3:75" x14ac:dyDescent="0.35">
      <c r="C8068">
        <v>45852</v>
      </c>
      <c r="Y8068">
        <v>196</v>
      </c>
      <c r="Z8068" s="259" t="s">
        <v>694</v>
      </c>
      <c r="BW8068" t="s">
        <v>230</v>
      </c>
    </row>
    <row r="8069" spans="3:75" x14ac:dyDescent="0.35">
      <c r="C8069">
        <v>45853</v>
      </c>
      <c r="Y8069">
        <v>197</v>
      </c>
      <c r="Z8069" s="259" t="s">
        <v>694</v>
      </c>
      <c r="BW8069" t="s">
        <v>230</v>
      </c>
    </row>
    <row r="8070" spans="3:75" x14ac:dyDescent="0.35">
      <c r="C8070">
        <v>45854</v>
      </c>
      <c r="Y8070">
        <v>198</v>
      </c>
      <c r="Z8070" s="259" t="s">
        <v>694</v>
      </c>
      <c r="BW8070" t="s">
        <v>230</v>
      </c>
    </row>
    <row r="8071" spans="3:75" x14ac:dyDescent="0.35">
      <c r="C8071">
        <v>45855</v>
      </c>
      <c r="Y8071">
        <v>199</v>
      </c>
      <c r="Z8071" s="259" t="s">
        <v>694</v>
      </c>
      <c r="BW8071" t="s">
        <v>230</v>
      </c>
    </row>
    <row r="8072" spans="3:75" x14ac:dyDescent="0.35">
      <c r="C8072">
        <v>45856</v>
      </c>
      <c r="Y8072">
        <v>200</v>
      </c>
      <c r="Z8072" s="259" t="s">
        <v>694</v>
      </c>
      <c r="BW8072" t="s">
        <v>230</v>
      </c>
    </row>
    <row r="8073" spans="3:75" x14ac:dyDescent="0.35">
      <c r="C8073">
        <v>45857</v>
      </c>
      <c r="Y8073">
        <v>201</v>
      </c>
      <c r="Z8073" s="259" t="s">
        <v>694</v>
      </c>
      <c r="BW8073" t="s">
        <v>232</v>
      </c>
    </row>
    <row r="8074" spans="3:75" x14ac:dyDescent="0.35">
      <c r="C8074">
        <v>45858</v>
      </c>
      <c r="Y8074">
        <v>202</v>
      </c>
      <c r="Z8074" s="259" t="s">
        <v>694</v>
      </c>
      <c r="BW8074" t="s">
        <v>232</v>
      </c>
    </row>
    <row r="8075" spans="3:75" x14ac:dyDescent="0.35">
      <c r="C8075">
        <v>45859</v>
      </c>
      <c r="Y8075">
        <v>203</v>
      </c>
      <c r="Z8075" s="259" t="s">
        <v>694</v>
      </c>
      <c r="BW8075" t="s">
        <v>230</v>
      </c>
    </row>
    <row r="8076" spans="3:75" x14ac:dyDescent="0.35">
      <c r="C8076">
        <v>45860</v>
      </c>
      <c r="Y8076">
        <v>204</v>
      </c>
      <c r="Z8076" s="259" t="s">
        <v>694</v>
      </c>
      <c r="BW8076" t="s">
        <v>230</v>
      </c>
    </row>
    <row r="8077" spans="3:75" x14ac:dyDescent="0.35">
      <c r="C8077">
        <v>45861</v>
      </c>
      <c r="Y8077">
        <v>205</v>
      </c>
      <c r="Z8077" s="259" t="s">
        <v>694</v>
      </c>
      <c r="BW8077" t="s">
        <v>230</v>
      </c>
    </row>
    <row r="8078" spans="3:75" x14ac:dyDescent="0.35">
      <c r="C8078">
        <v>45862</v>
      </c>
      <c r="Y8078">
        <v>206</v>
      </c>
      <c r="Z8078" s="259" t="s">
        <v>694</v>
      </c>
      <c r="BW8078" t="s">
        <v>230</v>
      </c>
    </row>
    <row r="8079" spans="3:75" x14ac:dyDescent="0.35">
      <c r="C8079">
        <v>45863</v>
      </c>
      <c r="Y8079">
        <v>207</v>
      </c>
      <c r="Z8079" s="259" t="s">
        <v>694</v>
      </c>
      <c r="BW8079" t="s">
        <v>230</v>
      </c>
    </row>
    <row r="8080" spans="3:75" x14ac:dyDescent="0.35">
      <c r="C8080">
        <v>45864</v>
      </c>
      <c r="Y8080">
        <v>208</v>
      </c>
      <c r="Z8080" s="259" t="s">
        <v>694</v>
      </c>
      <c r="BW8080" t="s">
        <v>232</v>
      </c>
    </row>
    <row r="8081" spans="3:75" x14ac:dyDescent="0.35">
      <c r="C8081">
        <v>45865</v>
      </c>
      <c r="Y8081">
        <v>209</v>
      </c>
      <c r="Z8081" s="259" t="s">
        <v>694</v>
      </c>
      <c r="BW8081" t="s">
        <v>232</v>
      </c>
    </row>
    <row r="8082" spans="3:75" x14ac:dyDescent="0.35">
      <c r="C8082">
        <v>45866</v>
      </c>
      <c r="Y8082">
        <v>210</v>
      </c>
      <c r="Z8082" s="259" t="s">
        <v>694</v>
      </c>
      <c r="BW8082" t="s">
        <v>230</v>
      </c>
    </row>
    <row r="8083" spans="3:75" x14ac:dyDescent="0.35">
      <c r="C8083">
        <v>45867</v>
      </c>
      <c r="Y8083">
        <v>211</v>
      </c>
      <c r="Z8083" s="259" t="s">
        <v>694</v>
      </c>
      <c r="BW8083" t="s">
        <v>230</v>
      </c>
    </row>
    <row r="8084" spans="3:75" x14ac:dyDescent="0.35">
      <c r="C8084">
        <v>45868</v>
      </c>
      <c r="Y8084">
        <v>212</v>
      </c>
      <c r="Z8084" s="259" t="s">
        <v>694</v>
      </c>
      <c r="BW8084" t="s">
        <v>230</v>
      </c>
    </row>
    <row r="8085" spans="3:75" x14ac:dyDescent="0.35">
      <c r="C8085">
        <v>45869</v>
      </c>
      <c r="Y8085">
        <v>213</v>
      </c>
      <c r="Z8085" s="259" t="s">
        <v>694</v>
      </c>
      <c r="BW8085" t="s">
        <v>230</v>
      </c>
    </row>
    <row r="8086" spans="3:75" x14ac:dyDescent="0.35">
      <c r="C8086">
        <v>45870</v>
      </c>
      <c r="Y8086">
        <v>214</v>
      </c>
      <c r="Z8086" s="259" t="s">
        <v>694</v>
      </c>
      <c r="BW8086" t="s">
        <v>230</v>
      </c>
    </row>
    <row r="8087" spans="3:75" x14ac:dyDescent="0.35">
      <c r="C8087">
        <v>45871</v>
      </c>
      <c r="Y8087">
        <v>215</v>
      </c>
      <c r="Z8087" s="259" t="s">
        <v>694</v>
      </c>
      <c r="BW8087" t="s">
        <v>232</v>
      </c>
    </row>
    <row r="8088" spans="3:75" x14ac:dyDescent="0.35">
      <c r="C8088">
        <v>45872</v>
      </c>
      <c r="Y8088">
        <v>216</v>
      </c>
      <c r="Z8088" s="259" t="s">
        <v>694</v>
      </c>
      <c r="BW8088" t="s">
        <v>232</v>
      </c>
    </row>
    <row r="8089" spans="3:75" x14ac:dyDescent="0.35">
      <c r="C8089">
        <v>45873</v>
      </c>
      <c r="Y8089">
        <v>217</v>
      </c>
      <c r="Z8089" s="259" t="s">
        <v>694</v>
      </c>
      <c r="BW8089" t="s">
        <v>230</v>
      </c>
    </row>
    <row r="8090" spans="3:75" x14ac:dyDescent="0.35">
      <c r="C8090">
        <v>45874</v>
      </c>
      <c r="Y8090">
        <v>218</v>
      </c>
      <c r="Z8090" s="259" t="s">
        <v>694</v>
      </c>
      <c r="BW8090" t="s">
        <v>230</v>
      </c>
    </row>
    <row r="8091" spans="3:75" x14ac:dyDescent="0.35">
      <c r="C8091">
        <v>45875</v>
      </c>
      <c r="Y8091">
        <v>219</v>
      </c>
      <c r="Z8091" s="259" t="s">
        <v>694</v>
      </c>
      <c r="BW8091" t="s">
        <v>230</v>
      </c>
    </row>
    <row r="8092" spans="3:75" x14ac:dyDescent="0.35">
      <c r="C8092">
        <v>45876</v>
      </c>
      <c r="Y8092">
        <v>220</v>
      </c>
      <c r="Z8092" s="259" t="s">
        <v>694</v>
      </c>
      <c r="BW8092" t="s">
        <v>230</v>
      </c>
    </row>
    <row r="8093" spans="3:75" x14ac:dyDescent="0.35">
      <c r="C8093">
        <v>45877</v>
      </c>
      <c r="Y8093">
        <v>221</v>
      </c>
      <c r="Z8093" s="259" t="s">
        <v>694</v>
      </c>
      <c r="BW8093" t="s">
        <v>230</v>
      </c>
    </row>
    <row r="8094" spans="3:75" x14ac:dyDescent="0.35">
      <c r="C8094">
        <v>45878</v>
      </c>
      <c r="Y8094">
        <v>222</v>
      </c>
      <c r="Z8094" s="259" t="s">
        <v>694</v>
      </c>
      <c r="BW8094" t="s">
        <v>232</v>
      </c>
    </row>
    <row r="8095" spans="3:75" x14ac:dyDescent="0.35">
      <c r="C8095">
        <v>45879</v>
      </c>
      <c r="Y8095">
        <v>223</v>
      </c>
      <c r="Z8095" s="259" t="s">
        <v>694</v>
      </c>
      <c r="BW8095" t="s">
        <v>232</v>
      </c>
    </row>
    <row r="8096" spans="3:75" x14ac:dyDescent="0.35">
      <c r="C8096">
        <v>45880</v>
      </c>
      <c r="Y8096">
        <v>224</v>
      </c>
      <c r="Z8096" s="259" t="s">
        <v>694</v>
      </c>
      <c r="BW8096" t="s">
        <v>230</v>
      </c>
    </row>
    <row r="8097" spans="3:75" x14ac:dyDescent="0.35">
      <c r="C8097">
        <v>45881</v>
      </c>
      <c r="Y8097">
        <v>225</v>
      </c>
      <c r="Z8097" s="259" t="s">
        <v>694</v>
      </c>
      <c r="BW8097" t="s">
        <v>230</v>
      </c>
    </row>
    <row r="8098" spans="3:75" x14ac:dyDescent="0.35">
      <c r="C8098">
        <v>45882</v>
      </c>
      <c r="Y8098">
        <v>226</v>
      </c>
      <c r="Z8098" s="259" t="s">
        <v>694</v>
      </c>
      <c r="BW8098" t="s">
        <v>230</v>
      </c>
    </row>
    <row r="8099" spans="3:75" x14ac:dyDescent="0.35">
      <c r="C8099">
        <v>45883</v>
      </c>
      <c r="Y8099">
        <v>227</v>
      </c>
      <c r="Z8099" s="259" t="s">
        <v>694</v>
      </c>
      <c r="BW8099" t="s">
        <v>230</v>
      </c>
    </row>
    <row r="8100" spans="3:75" x14ac:dyDescent="0.35">
      <c r="C8100">
        <v>45884</v>
      </c>
      <c r="Y8100">
        <v>228</v>
      </c>
      <c r="Z8100" s="259" t="s">
        <v>694</v>
      </c>
      <c r="BW8100" t="s">
        <v>230</v>
      </c>
    </row>
    <row r="8101" spans="3:75" x14ac:dyDescent="0.35">
      <c r="C8101">
        <v>45885</v>
      </c>
      <c r="Y8101">
        <v>229</v>
      </c>
      <c r="Z8101" s="259" t="s">
        <v>694</v>
      </c>
      <c r="BW8101" t="s">
        <v>232</v>
      </c>
    </row>
    <row r="8102" spans="3:75" x14ac:dyDescent="0.35">
      <c r="C8102">
        <v>45886</v>
      </c>
      <c r="Y8102">
        <v>230</v>
      </c>
      <c r="Z8102" s="259" t="s">
        <v>694</v>
      </c>
      <c r="BW8102" t="s">
        <v>232</v>
      </c>
    </row>
    <row r="8103" spans="3:75" x14ac:dyDescent="0.35">
      <c r="C8103">
        <v>45887</v>
      </c>
      <c r="Y8103">
        <v>231</v>
      </c>
      <c r="Z8103" s="259" t="s">
        <v>694</v>
      </c>
      <c r="BW8103" t="s">
        <v>230</v>
      </c>
    </row>
    <row r="8104" spans="3:75" x14ac:dyDescent="0.35">
      <c r="C8104">
        <v>45888</v>
      </c>
      <c r="Y8104">
        <v>232</v>
      </c>
      <c r="Z8104" s="259" t="s">
        <v>694</v>
      </c>
      <c r="BW8104" t="s">
        <v>230</v>
      </c>
    </row>
    <row r="8105" spans="3:75" x14ac:dyDescent="0.35">
      <c r="C8105">
        <v>45889</v>
      </c>
      <c r="Y8105">
        <v>233</v>
      </c>
      <c r="Z8105" s="259" t="s">
        <v>694</v>
      </c>
      <c r="BW8105" t="s">
        <v>230</v>
      </c>
    </row>
    <row r="8106" spans="3:75" x14ac:dyDescent="0.35">
      <c r="C8106">
        <v>45890</v>
      </c>
      <c r="Y8106">
        <v>234</v>
      </c>
      <c r="Z8106" s="259" t="s">
        <v>694</v>
      </c>
      <c r="BW8106" t="s">
        <v>230</v>
      </c>
    </row>
    <row r="8107" spans="3:75" x14ac:dyDescent="0.35">
      <c r="C8107">
        <v>45891</v>
      </c>
      <c r="Y8107">
        <v>235</v>
      </c>
      <c r="Z8107" s="259" t="s">
        <v>694</v>
      </c>
      <c r="BW8107" t="s">
        <v>230</v>
      </c>
    </row>
    <row r="8108" spans="3:75" x14ac:dyDescent="0.35">
      <c r="C8108">
        <v>45892</v>
      </c>
      <c r="Y8108">
        <v>236</v>
      </c>
      <c r="Z8108" s="259" t="s">
        <v>694</v>
      </c>
      <c r="BW8108" t="s">
        <v>232</v>
      </c>
    </row>
    <row r="8109" spans="3:75" x14ac:dyDescent="0.35">
      <c r="C8109">
        <v>45893</v>
      </c>
      <c r="Y8109">
        <v>237</v>
      </c>
      <c r="Z8109" s="259" t="s">
        <v>694</v>
      </c>
      <c r="BW8109" t="s">
        <v>232</v>
      </c>
    </row>
    <row r="8110" spans="3:75" x14ac:dyDescent="0.35">
      <c r="C8110">
        <v>45894</v>
      </c>
      <c r="Y8110">
        <v>238</v>
      </c>
      <c r="Z8110" s="259" t="s">
        <v>694</v>
      </c>
      <c r="BW8110" t="s">
        <v>230</v>
      </c>
    </row>
    <row r="8111" spans="3:75" x14ac:dyDescent="0.35">
      <c r="C8111">
        <v>45895</v>
      </c>
      <c r="Y8111">
        <v>239</v>
      </c>
      <c r="Z8111" s="259" t="s">
        <v>694</v>
      </c>
      <c r="BW8111" t="s">
        <v>230</v>
      </c>
    </row>
    <row r="8112" spans="3:75" x14ac:dyDescent="0.35">
      <c r="C8112">
        <v>45896</v>
      </c>
      <c r="Y8112">
        <v>240</v>
      </c>
      <c r="Z8112" s="259" t="s">
        <v>694</v>
      </c>
      <c r="BW8112" t="s">
        <v>230</v>
      </c>
    </row>
    <row r="8113" spans="3:75" x14ac:dyDescent="0.35">
      <c r="C8113">
        <v>45897</v>
      </c>
      <c r="Y8113">
        <v>241</v>
      </c>
      <c r="Z8113" s="259" t="s">
        <v>694</v>
      </c>
      <c r="BW8113" t="s">
        <v>230</v>
      </c>
    </row>
    <row r="8114" spans="3:75" x14ac:dyDescent="0.35">
      <c r="C8114">
        <v>45898</v>
      </c>
      <c r="Y8114">
        <v>242</v>
      </c>
      <c r="Z8114" s="259" t="s">
        <v>694</v>
      </c>
      <c r="BW8114" t="s">
        <v>230</v>
      </c>
    </row>
    <row r="8115" spans="3:75" x14ac:dyDescent="0.35">
      <c r="C8115">
        <v>45899</v>
      </c>
      <c r="Y8115">
        <v>243</v>
      </c>
      <c r="Z8115" s="259" t="s">
        <v>694</v>
      </c>
      <c r="BW8115" t="s">
        <v>232</v>
      </c>
    </row>
    <row r="8116" spans="3:75" x14ac:dyDescent="0.35">
      <c r="C8116">
        <v>45900</v>
      </c>
      <c r="Y8116">
        <v>244</v>
      </c>
      <c r="Z8116" s="259" t="s">
        <v>694</v>
      </c>
      <c r="BW8116" t="s">
        <v>232</v>
      </c>
    </row>
    <row r="8117" spans="3:75" x14ac:dyDescent="0.35">
      <c r="C8117">
        <v>45901</v>
      </c>
      <c r="Y8117">
        <v>245</v>
      </c>
      <c r="Z8117" s="259" t="s">
        <v>694</v>
      </c>
      <c r="BW8117" t="s">
        <v>230</v>
      </c>
    </row>
    <row r="8118" spans="3:75" x14ac:dyDescent="0.35">
      <c r="C8118">
        <v>45902</v>
      </c>
      <c r="Y8118">
        <v>246</v>
      </c>
      <c r="Z8118" s="259" t="s">
        <v>694</v>
      </c>
      <c r="BW8118" t="s">
        <v>230</v>
      </c>
    </row>
    <row r="8119" spans="3:75" x14ac:dyDescent="0.35">
      <c r="C8119">
        <v>45903</v>
      </c>
      <c r="Y8119">
        <v>247</v>
      </c>
      <c r="Z8119" s="259" t="s">
        <v>694</v>
      </c>
      <c r="BW8119" t="s">
        <v>230</v>
      </c>
    </row>
    <row r="8120" spans="3:75" x14ac:dyDescent="0.35">
      <c r="C8120">
        <v>45904</v>
      </c>
      <c r="Y8120">
        <v>248</v>
      </c>
      <c r="Z8120" s="259" t="s">
        <v>694</v>
      </c>
      <c r="BW8120" t="s">
        <v>230</v>
      </c>
    </row>
    <row r="8121" spans="3:75" x14ac:dyDescent="0.35">
      <c r="C8121">
        <v>45905</v>
      </c>
      <c r="Y8121">
        <v>249</v>
      </c>
      <c r="Z8121" s="259" t="s">
        <v>694</v>
      </c>
      <c r="BW8121" t="s">
        <v>230</v>
      </c>
    </row>
    <row r="8122" spans="3:75" x14ac:dyDescent="0.35">
      <c r="C8122">
        <v>45906</v>
      </c>
      <c r="Y8122">
        <v>250</v>
      </c>
      <c r="Z8122" s="259" t="s">
        <v>694</v>
      </c>
      <c r="BW8122" t="s">
        <v>232</v>
      </c>
    </row>
    <row r="8123" spans="3:75" x14ac:dyDescent="0.35">
      <c r="C8123">
        <v>45907</v>
      </c>
      <c r="Y8123">
        <v>251</v>
      </c>
      <c r="Z8123" s="259" t="s">
        <v>694</v>
      </c>
      <c r="BW8123" t="s">
        <v>232</v>
      </c>
    </row>
    <row r="8124" spans="3:75" x14ac:dyDescent="0.35">
      <c r="C8124">
        <v>45908</v>
      </c>
      <c r="Y8124">
        <v>252</v>
      </c>
      <c r="Z8124" s="259" t="s">
        <v>694</v>
      </c>
      <c r="BW8124" t="s">
        <v>230</v>
      </c>
    </row>
    <row r="8125" spans="3:75" x14ac:dyDescent="0.35">
      <c r="C8125">
        <v>45909</v>
      </c>
      <c r="Y8125">
        <v>253</v>
      </c>
      <c r="Z8125" s="259" t="s">
        <v>694</v>
      </c>
      <c r="BW8125" t="s">
        <v>230</v>
      </c>
    </row>
    <row r="8126" spans="3:75" x14ac:dyDescent="0.35">
      <c r="C8126">
        <v>45910</v>
      </c>
      <c r="Y8126">
        <v>254</v>
      </c>
      <c r="Z8126" s="259" t="s">
        <v>694</v>
      </c>
      <c r="BW8126" t="s">
        <v>230</v>
      </c>
    </row>
    <row r="8127" spans="3:75" x14ac:dyDescent="0.35">
      <c r="C8127">
        <v>45911</v>
      </c>
      <c r="Y8127">
        <v>255</v>
      </c>
      <c r="Z8127" s="259" t="s">
        <v>694</v>
      </c>
      <c r="BW8127" t="s">
        <v>230</v>
      </c>
    </row>
    <row r="8128" spans="3:75" x14ac:dyDescent="0.35">
      <c r="C8128">
        <v>45912</v>
      </c>
      <c r="Y8128">
        <v>256</v>
      </c>
      <c r="Z8128" s="259" t="s">
        <v>694</v>
      </c>
      <c r="BW8128" t="s">
        <v>230</v>
      </c>
    </row>
    <row r="8129" spans="3:75" x14ac:dyDescent="0.35">
      <c r="C8129">
        <v>45913</v>
      </c>
      <c r="Y8129">
        <v>257</v>
      </c>
      <c r="Z8129" s="259" t="s">
        <v>694</v>
      </c>
      <c r="BW8129" t="s">
        <v>232</v>
      </c>
    </row>
    <row r="8130" spans="3:75" x14ac:dyDescent="0.35">
      <c r="C8130">
        <v>45914</v>
      </c>
      <c r="Y8130">
        <v>258</v>
      </c>
      <c r="Z8130" s="259" t="s">
        <v>694</v>
      </c>
      <c r="BW8130" t="s">
        <v>232</v>
      </c>
    </row>
    <row r="8131" spans="3:75" x14ac:dyDescent="0.35">
      <c r="C8131">
        <v>45915</v>
      </c>
      <c r="Y8131">
        <v>259</v>
      </c>
      <c r="Z8131" s="259" t="s">
        <v>694</v>
      </c>
      <c r="BW8131" t="s">
        <v>230</v>
      </c>
    </row>
    <row r="8132" spans="3:75" x14ac:dyDescent="0.35">
      <c r="C8132">
        <v>45916</v>
      </c>
      <c r="Y8132">
        <v>260</v>
      </c>
      <c r="Z8132" s="259" t="s">
        <v>694</v>
      </c>
      <c r="BW8132" t="s">
        <v>230</v>
      </c>
    </row>
    <row r="8133" spans="3:75" x14ac:dyDescent="0.35">
      <c r="C8133">
        <v>45917</v>
      </c>
      <c r="Y8133">
        <v>261</v>
      </c>
      <c r="Z8133" s="259" t="s">
        <v>694</v>
      </c>
      <c r="BW8133" t="s">
        <v>230</v>
      </c>
    </row>
    <row r="8134" spans="3:75" x14ac:dyDescent="0.35">
      <c r="C8134">
        <v>45918</v>
      </c>
      <c r="Y8134">
        <v>262</v>
      </c>
      <c r="Z8134" s="259" t="s">
        <v>694</v>
      </c>
      <c r="BW8134" t="s">
        <v>230</v>
      </c>
    </row>
    <row r="8135" spans="3:75" x14ac:dyDescent="0.35">
      <c r="C8135">
        <v>45919</v>
      </c>
      <c r="Y8135">
        <v>263</v>
      </c>
      <c r="Z8135" s="259" t="s">
        <v>694</v>
      </c>
      <c r="BW8135" t="s">
        <v>230</v>
      </c>
    </row>
    <row r="8136" spans="3:75" x14ac:dyDescent="0.35">
      <c r="C8136">
        <v>45920</v>
      </c>
      <c r="Y8136">
        <v>264</v>
      </c>
      <c r="Z8136" s="259" t="s">
        <v>694</v>
      </c>
      <c r="BW8136" t="s">
        <v>232</v>
      </c>
    </row>
    <row r="8137" spans="3:75" x14ac:dyDescent="0.35">
      <c r="C8137">
        <v>45921</v>
      </c>
      <c r="Y8137">
        <v>265</v>
      </c>
      <c r="Z8137" s="259" t="s">
        <v>694</v>
      </c>
      <c r="BW8137" t="s">
        <v>232</v>
      </c>
    </row>
    <row r="8138" spans="3:75" x14ac:dyDescent="0.35">
      <c r="C8138">
        <v>45922</v>
      </c>
      <c r="Y8138">
        <v>266</v>
      </c>
      <c r="Z8138" s="259" t="s">
        <v>694</v>
      </c>
      <c r="BW8138" t="s">
        <v>230</v>
      </c>
    </row>
    <row r="8139" spans="3:75" x14ac:dyDescent="0.35">
      <c r="C8139">
        <v>45923</v>
      </c>
      <c r="Y8139">
        <v>267</v>
      </c>
      <c r="Z8139" s="259" t="s">
        <v>694</v>
      </c>
      <c r="BW8139" t="s">
        <v>230</v>
      </c>
    </row>
    <row r="8140" spans="3:75" x14ac:dyDescent="0.35">
      <c r="C8140">
        <v>45924</v>
      </c>
      <c r="Y8140">
        <v>268</v>
      </c>
      <c r="Z8140" s="259" t="s">
        <v>694</v>
      </c>
      <c r="BW8140" t="s">
        <v>230</v>
      </c>
    </row>
    <row r="8141" spans="3:75" x14ac:dyDescent="0.35">
      <c r="C8141">
        <v>45925</v>
      </c>
      <c r="Y8141">
        <v>269</v>
      </c>
      <c r="Z8141" s="259" t="s">
        <v>694</v>
      </c>
      <c r="BW8141" t="s">
        <v>230</v>
      </c>
    </row>
    <row r="8142" spans="3:75" x14ac:dyDescent="0.35">
      <c r="C8142">
        <v>45926</v>
      </c>
      <c r="Y8142">
        <v>270</v>
      </c>
      <c r="Z8142" s="259" t="s">
        <v>694</v>
      </c>
      <c r="BW8142" t="s">
        <v>230</v>
      </c>
    </row>
    <row r="8143" spans="3:75" x14ac:dyDescent="0.35">
      <c r="C8143">
        <v>45927</v>
      </c>
      <c r="Y8143">
        <v>271</v>
      </c>
      <c r="Z8143" s="259" t="s">
        <v>694</v>
      </c>
      <c r="BW8143" t="s">
        <v>232</v>
      </c>
    </row>
    <row r="8144" spans="3:75" x14ac:dyDescent="0.35">
      <c r="C8144">
        <v>45928</v>
      </c>
      <c r="Y8144">
        <v>272</v>
      </c>
      <c r="Z8144" s="259" t="s">
        <v>694</v>
      </c>
      <c r="BW8144" t="s">
        <v>232</v>
      </c>
    </row>
    <row r="8145" spans="3:75" x14ac:dyDescent="0.35">
      <c r="C8145">
        <v>45929</v>
      </c>
      <c r="Y8145">
        <v>273</v>
      </c>
      <c r="Z8145" s="259" t="s">
        <v>694</v>
      </c>
      <c r="BW8145" t="s">
        <v>230</v>
      </c>
    </row>
    <row r="8146" spans="3:75" x14ac:dyDescent="0.35">
      <c r="C8146">
        <v>45930</v>
      </c>
      <c r="Y8146">
        <v>274</v>
      </c>
      <c r="Z8146" s="259" t="s">
        <v>694</v>
      </c>
      <c r="BW8146" t="s">
        <v>230</v>
      </c>
    </row>
    <row r="8147" spans="3:75" x14ac:dyDescent="0.35">
      <c r="C8147">
        <v>45931</v>
      </c>
      <c r="Y8147">
        <v>275</v>
      </c>
      <c r="Z8147" s="259" t="s">
        <v>694</v>
      </c>
      <c r="BW8147" t="s">
        <v>230</v>
      </c>
    </row>
    <row r="8148" spans="3:75" x14ac:dyDescent="0.35">
      <c r="C8148">
        <v>45932</v>
      </c>
      <c r="Y8148">
        <v>276</v>
      </c>
      <c r="Z8148" s="259" t="s">
        <v>694</v>
      </c>
      <c r="BW8148" t="s">
        <v>230</v>
      </c>
    </row>
    <row r="8149" spans="3:75" x14ac:dyDescent="0.35">
      <c r="C8149">
        <v>45933</v>
      </c>
      <c r="Y8149">
        <v>277</v>
      </c>
      <c r="Z8149" s="259" t="s">
        <v>694</v>
      </c>
      <c r="BW8149" t="s">
        <v>230</v>
      </c>
    </row>
    <row r="8150" spans="3:75" x14ac:dyDescent="0.35">
      <c r="C8150">
        <v>45934</v>
      </c>
      <c r="Y8150">
        <v>278</v>
      </c>
      <c r="Z8150" s="259" t="s">
        <v>694</v>
      </c>
      <c r="BW8150" t="s">
        <v>232</v>
      </c>
    </row>
    <row r="8151" spans="3:75" x14ac:dyDescent="0.35">
      <c r="C8151">
        <v>45935</v>
      </c>
      <c r="Y8151">
        <v>279</v>
      </c>
      <c r="Z8151" s="259" t="s">
        <v>694</v>
      </c>
      <c r="BW8151" t="s">
        <v>232</v>
      </c>
    </row>
    <row r="8152" spans="3:75" x14ac:dyDescent="0.35">
      <c r="C8152">
        <v>45936</v>
      </c>
      <c r="Y8152">
        <v>280</v>
      </c>
      <c r="Z8152" s="259" t="s">
        <v>694</v>
      </c>
      <c r="BW8152" t="s">
        <v>230</v>
      </c>
    </row>
    <row r="8153" spans="3:75" x14ac:dyDescent="0.35">
      <c r="C8153">
        <v>45937</v>
      </c>
      <c r="Y8153">
        <v>281</v>
      </c>
      <c r="Z8153" s="259" t="s">
        <v>694</v>
      </c>
      <c r="BW8153" t="s">
        <v>230</v>
      </c>
    </row>
    <row r="8154" spans="3:75" x14ac:dyDescent="0.35">
      <c r="C8154">
        <v>45938</v>
      </c>
      <c r="Y8154">
        <v>282</v>
      </c>
      <c r="Z8154" s="259" t="s">
        <v>694</v>
      </c>
      <c r="BW8154" t="s">
        <v>230</v>
      </c>
    </row>
    <row r="8155" spans="3:75" x14ac:dyDescent="0.35">
      <c r="C8155">
        <v>45939</v>
      </c>
      <c r="Y8155">
        <v>283</v>
      </c>
      <c r="Z8155" s="259" t="s">
        <v>694</v>
      </c>
      <c r="BW8155" t="s">
        <v>230</v>
      </c>
    </row>
    <row r="8156" spans="3:75" x14ac:dyDescent="0.35">
      <c r="C8156">
        <v>45940</v>
      </c>
      <c r="Y8156">
        <v>284</v>
      </c>
      <c r="Z8156" s="259" t="s">
        <v>694</v>
      </c>
      <c r="BW8156" t="s">
        <v>230</v>
      </c>
    </row>
    <row r="8157" spans="3:75" x14ac:dyDescent="0.35">
      <c r="C8157">
        <v>45941</v>
      </c>
      <c r="Y8157">
        <v>285</v>
      </c>
      <c r="Z8157" s="259" t="s">
        <v>694</v>
      </c>
      <c r="BW8157" t="s">
        <v>232</v>
      </c>
    </row>
    <row r="8158" spans="3:75" x14ac:dyDescent="0.35">
      <c r="C8158">
        <v>45942</v>
      </c>
      <c r="Y8158">
        <v>286</v>
      </c>
      <c r="Z8158" s="259" t="s">
        <v>694</v>
      </c>
      <c r="BW8158" t="s">
        <v>232</v>
      </c>
    </row>
    <row r="8159" spans="3:75" x14ac:dyDescent="0.35">
      <c r="C8159">
        <v>45943</v>
      </c>
      <c r="Y8159">
        <v>287</v>
      </c>
      <c r="Z8159" s="259" t="s">
        <v>694</v>
      </c>
      <c r="BW8159" t="s">
        <v>230</v>
      </c>
    </row>
    <row r="8160" spans="3:75" x14ac:dyDescent="0.35">
      <c r="C8160">
        <v>45944</v>
      </c>
      <c r="Y8160">
        <v>288</v>
      </c>
      <c r="Z8160" s="259" t="s">
        <v>694</v>
      </c>
      <c r="BW8160" t="s">
        <v>230</v>
      </c>
    </row>
    <row r="8161" spans="3:75" x14ac:dyDescent="0.35">
      <c r="C8161">
        <v>45945</v>
      </c>
      <c r="Y8161">
        <v>289</v>
      </c>
      <c r="Z8161" s="259" t="s">
        <v>694</v>
      </c>
      <c r="BW8161" t="s">
        <v>230</v>
      </c>
    </row>
    <row r="8162" spans="3:75" x14ac:dyDescent="0.35">
      <c r="C8162">
        <v>45946</v>
      </c>
      <c r="Y8162">
        <v>290</v>
      </c>
      <c r="Z8162" s="259" t="s">
        <v>694</v>
      </c>
      <c r="BW8162" t="s">
        <v>230</v>
      </c>
    </row>
    <row r="8163" spans="3:75" x14ac:dyDescent="0.35">
      <c r="C8163">
        <v>45947</v>
      </c>
      <c r="Y8163">
        <v>291</v>
      </c>
      <c r="Z8163" s="259" t="s">
        <v>694</v>
      </c>
      <c r="BW8163" t="s">
        <v>230</v>
      </c>
    </row>
    <row r="8164" spans="3:75" x14ac:dyDescent="0.35">
      <c r="C8164">
        <v>45948</v>
      </c>
      <c r="Y8164">
        <v>292</v>
      </c>
      <c r="Z8164" s="259" t="s">
        <v>694</v>
      </c>
      <c r="BW8164" t="s">
        <v>232</v>
      </c>
    </row>
    <row r="8165" spans="3:75" x14ac:dyDescent="0.35">
      <c r="C8165">
        <v>45949</v>
      </c>
      <c r="Y8165">
        <v>293</v>
      </c>
      <c r="Z8165" s="259" t="s">
        <v>694</v>
      </c>
      <c r="BW8165" t="s">
        <v>232</v>
      </c>
    </row>
    <row r="8166" spans="3:75" x14ac:dyDescent="0.35">
      <c r="C8166">
        <v>45950</v>
      </c>
      <c r="Y8166">
        <v>294</v>
      </c>
      <c r="Z8166" s="259" t="s">
        <v>694</v>
      </c>
      <c r="BW8166" t="s">
        <v>230</v>
      </c>
    </row>
    <row r="8167" spans="3:75" x14ac:dyDescent="0.35">
      <c r="C8167">
        <v>45951</v>
      </c>
      <c r="Y8167">
        <v>295</v>
      </c>
      <c r="Z8167" s="259" t="s">
        <v>694</v>
      </c>
      <c r="BW8167" t="s">
        <v>230</v>
      </c>
    </row>
    <row r="8168" spans="3:75" x14ac:dyDescent="0.35">
      <c r="C8168">
        <v>45952</v>
      </c>
      <c r="Y8168">
        <v>296</v>
      </c>
      <c r="Z8168" s="259" t="s">
        <v>694</v>
      </c>
      <c r="BW8168" t="s">
        <v>230</v>
      </c>
    </row>
    <row r="8169" spans="3:75" x14ac:dyDescent="0.35">
      <c r="C8169">
        <v>45953</v>
      </c>
      <c r="Y8169">
        <v>297</v>
      </c>
      <c r="Z8169" s="259" t="s">
        <v>694</v>
      </c>
      <c r="BW8169" t="s">
        <v>230</v>
      </c>
    </row>
    <row r="8170" spans="3:75" x14ac:dyDescent="0.35">
      <c r="C8170">
        <v>45954</v>
      </c>
      <c r="Y8170">
        <v>298</v>
      </c>
      <c r="Z8170" s="259" t="s">
        <v>694</v>
      </c>
      <c r="BW8170" t="s">
        <v>230</v>
      </c>
    </row>
    <row r="8171" spans="3:75" x14ac:dyDescent="0.35">
      <c r="C8171">
        <v>45955</v>
      </c>
      <c r="Y8171">
        <v>299</v>
      </c>
      <c r="Z8171" s="259" t="s">
        <v>694</v>
      </c>
      <c r="BW8171" t="s">
        <v>232</v>
      </c>
    </row>
    <row r="8172" spans="3:75" x14ac:dyDescent="0.35">
      <c r="C8172">
        <v>45956</v>
      </c>
      <c r="Y8172">
        <v>300</v>
      </c>
      <c r="Z8172" s="259" t="s">
        <v>694</v>
      </c>
      <c r="BW8172" t="s">
        <v>232</v>
      </c>
    </row>
    <row r="8173" spans="3:75" x14ac:dyDescent="0.35">
      <c r="C8173">
        <v>45957</v>
      </c>
      <c r="Y8173">
        <v>301</v>
      </c>
      <c r="Z8173" s="259" t="s">
        <v>694</v>
      </c>
      <c r="BW8173" t="s">
        <v>230</v>
      </c>
    </row>
    <row r="8174" spans="3:75" x14ac:dyDescent="0.35">
      <c r="C8174">
        <v>45958</v>
      </c>
      <c r="Y8174">
        <v>302</v>
      </c>
      <c r="Z8174" s="259" t="s">
        <v>694</v>
      </c>
      <c r="BW8174" t="s">
        <v>230</v>
      </c>
    </row>
    <row r="8175" spans="3:75" x14ac:dyDescent="0.35">
      <c r="C8175">
        <v>45959</v>
      </c>
      <c r="Y8175">
        <v>303</v>
      </c>
      <c r="Z8175" s="259" t="s">
        <v>694</v>
      </c>
      <c r="BW8175" t="s">
        <v>230</v>
      </c>
    </row>
    <row r="8176" spans="3:75" x14ac:dyDescent="0.35">
      <c r="C8176">
        <v>45960</v>
      </c>
      <c r="Y8176">
        <v>304</v>
      </c>
      <c r="Z8176" s="259" t="s">
        <v>694</v>
      </c>
      <c r="BW8176" t="s">
        <v>230</v>
      </c>
    </row>
    <row r="8177" spans="3:75" x14ac:dyDescent="0.35">
      <c r="C8177">
        <v>45961</v>
      </c>
      <c r="Y8177">
        <v>305</v>
      </c>
      <c r="Z8177" s="259" t="s">
        <v>694</v>
      </c>
      <c r="BW8177" t="s">
        <v>230</v>
      </c>
    </row>
    <row r="8178" spans="3:75" x14ac:dyDescent="0.35">
      <c r="C8178">
        <v>45962</v>
      </c>
      <c r="Y8178">
        <v>306</v>
      </c>
      <c r="Z8178" s="259" t="s">
        <v>694</v>
      </c>
      <c r="BW8178" t="s">
        <v>232</v>
      </c>
    </row>
    <row r="8179" spans="3:75" x14ac:dyDescent="0.35">
      <c r="C8179">
        <v>45963</v>
      </c>
      <c r="Y8179">
        <v>307</v>
      </c>
      <c r="Z8179" s="259" t="s">
        <v>694</v>
      </c>
      <c r="BW8179" t="s">
        <v>232</v>
      </c>
    </row>
    <row r="8180" spans="3:75" x14ac:dyDescent="0.35">
      <c r="C8180">
        <v>45964</v>
      </c>
      <c r="Y8180">
        <v>308</v>
      </c>
      <c r="Z8180" s="259" t="s">
        <v>694</v>
      </c>
      <c r="BW8180" t="s">
        <v>230</v>
      </c>
    </row>
    <row r="8181" spans="3:75" x14ac:dyDescent="0.35">
      <c r="C8181">
        <v>45965</v>
      </c>
      <c r="Y8181">
        <v>309</v>
      </c>
      <c r="Z8181" s="259" t="s">
        <v>694</v>
      </c>
      <c r="BW8181" t="s">
        <v>230</v>
      </c>
    </row>
    <row r="8182" spans="3:75" x14ac:dyDescent="0.35">
      <c r="C8182">
        <v>45966</v>
      </c>
      <c r="Y8182">
        <v>310</v>
      </c>
      <c r="Z8182" s="259" t="s">
        <v>694</v>
      </c>
      <c r="BW8182" t="s">
        <v>230</v>
      </c>
    </row>
    <row r="8183" spans="3:75" x14ac:dyDescent="0.35">
      <c r="C8183">
        <v>45967</v>
      </c>
      <c r="Y8183">
        <v>311</v>
      </c>
      <c r="Z8183" s="259" t="s">
        <v>694</v>
      </c>
      <c r="BW8183" t="s">
        <v>230</v>
      </c>
    </row>
    <row r="8184" spans="3:75" x14ac:dyDescent="0.35">
      <c r="C8184">
        <v>45968</v>
      </c>
      <c r="Y8184">
        <v>312</v>
      </c>
      <c r="Z8184" s="259" t="s">
        <v>694</v>
      </c>
      <c r="BW8184" t="s">
        <v>230</v>
      </c>
    </row>
    <row r="8185" spans="3:75" x14ac:dyDescent="0.35">
      <c r="C8185">
        <v>45969</v>
      </c>
      <c r="Y8185">
        <v>313</v>
      </c>
      <c r="Z8185" s="259" t="s">
        <v>694</v>
      </c>
      <c r="BW8185" t="s">
        <v>232</v>
      </c>
    </row>
    <row r="8186" spans="3:75" x14ac:dyDescent="0.35">
      <c r="C8186">
        <v>45970</v>
      </c>
      <c r="Y8186">
        <v>314</v>
      </c>
      <c r="Z8186" s="259" t="s">
        <v>694</v>
      </c>
      <c r="BW8186" t="s">
        <v>232</v>
      </c>
    </row>
    <row r="8187" spans="3:75" x14ac:dyDescent="0.35">
      <c r="C8187">
        <v>45971</v>
      </c>
      <c r="Y8187">
        <v>315</v>
      </c>
      <c r="Z8187" s="259" t="s">
        <v>694</v>
      </c>
      <c r="BW8187" t="s">
        <v>230</v>
      </c>
    </row>
    <row r="8188" spans="3:75" x14ac:dyDescent="0.35">
      <c r="C8188">
        <v>45972</v>
      </c>
      <c r="Y8188">
        <v>316</v>
      </c>
      <c r="Z8188" s="259" t="s">
        <v>694</v>
      </c>
      <c r="BW8188" t="s">
        <v>230</v>
      </c>
    </row>
    <row r="8189" spans="3:75" x14ac:dyDescent="0.35">
      <c r="C8189">
        <v>45973</v>
      </c>
      <c r="Y8189">
        <v>317</v>
      </c>
      <c r="Z8189" s="259" t="s">
        <v>694</v>
      </c>
      <c r="BW8189" t="s">
        <v>230</v>
      </c>
    </row>
    <row r="8190" spans="3:75" x14ac:dyDescent="0.35">
      <c r="C8190">
        <v>45974</v>
      </c>
      <c r="Y8190">
        <v>318</v>
      </c>
      <c r="Z8190" s="259" t="s">
        <v>694</v>
      </c>
      <c r="BW8190" t="s">
        <v>230</v>
      </c>
    </row>
    <row r="8191" spans="3:75" x14ac:dyDescent="0.35">
      <c r="C8191">
        <v>45975</v>
      </c>
      <c r="Y8191">
        <v>319</v>
      </c>
      <c r="Z8191" s="259" t="s">
        <v>694</v>
      </c>
      <c r="BW8191" t="s">
        <v>230</v>
      </c>
    </row>
    <row r="8192" spans="3:75" x14ac:dyDescent="0.35">
      <c r="C8192">
        <v>45976</v>
      </c>
      <c r="Y8192">
        <v>320</v>
      </c>
      <c r="Z8192" s="259" t="s">
        <v>694</v>
      </c>
      <c r="BW8192" t="s">
        <v>232</v>
      </c>
    </row>
    <row r="8193" spans="3:75" x14ac:dyDescent="0.35">
      <c r="C8193">
        <v>45977</v>
      </c>
      <c r="Y8193">
        <v>321</v>
      </c>
      <c r="Z8193" s="259" t="s">
        <v>694</v>
      </c>
      <c r="BW8193" t="s">
        <v>232</v>
      </c>
    </row>
    <row r="8194" spans="3:75" x14ac:dyDescent="0.35">
      <c r="C8194">
        <v>45978</v>
      </c>
      <c r="Y8194">
        <v>322</v>
      </c>
      <c r="Z8194" s="259" t="s">
        <v>694</v>
      </c>
      <c r="BW8194" t="s">
        <v>230</v>
      </c>
    </row>
    <row r="8195" spans="3:75" x14ac:dyDescent="0.35">
      <c r="C8195">
        <v>45979</v>
      </c>
      <c r="Y8195">
        <v>323</v>
      </c>
      <c r="Z8195" s="259" t="s">
        <v>694</v>
      </c>
      <c r="BW8195" t="s">
        <v>230</v>
      </c>
    </row>
    <row r="8196" spans="3:75" x14ac:dyDescent="0.35">
      <c r="C8196">
        <v>45980</v>
      </c>
      <c r="Y8196">
        <v>324</v>
      </c>
      <c r="Z8196" s="259" t="s">
        <v>694</v>
      </c>
      <c r="BW8196" t="s">
        <v>230</v>
      </c>
    </row>
    <row r="8197" spans="3:75" x14ac:dyDescent="0.35">
      <c r="C8197">
        <v>45981</v>
      </c>
      <c r="Y8197">
        <v>325</v>
      </c>
      <c r="Z8197" s="259" t="s">
        <v>694</v>
      </c>
      <c r="BW8197" t="s">
        <v>230</v>
      </c>
    </row>
    <row r="8198" spans="3:75" x14ac:dyDescent="0.35">
      <c r="C8198">
        <v>45982</v>
      </c>
      <c r="Y8198">
        <v>326</v>
      </c>
      <c r="Z8198" s="259" t="s">
        <v>694</v>
      </c>
      <c r="BW8198" t="s">
        <v>230</v>
      </c>
    </row>
    <row r="8199" spans="3:75" x14ac:dyDescent="0.35">
      <c r="C8199">
        <v>45983</v>
      </c>
      <c r="Y8199">
        <v>327</v>
      </c>
      <c r="Z8199" s="259" t="s">
        <v>694</v>
      </c>
      <c r="BW8199" t="s">
        <v>232</v>
      </c>
    </row>
    <row r="8200" spans="3:75" x14ac:dyDescent="0.35">
      <c r="C8200">
        <v>45984</v>
      </c>
      <c r="Y8200">
        <v>328</v>
      </c>
      <c r="Z8200" s="259" t="s">
        <v>694</v>
      </c>
      <c r="BW8200" t="s">
        <v>232</v>
      </c>
    </row>
    <row r="8201" spans="3:75" x14ac:dyDescent="0.35">
      <c r="C8201">
        <v>45985</v>
      </c>
      <c r="Y8201">
        <v>329</v>
      </c>
      <c r="Z8201" s="259" t="s">
        <v>694</v>
      </c>
      <c r="BW8201" t="s">
        <v>230</v>
      </c>
    </row>
    <row r="8202" spans="3:75" x14ac:dyDescent="0.35">
      <c r="C8202">
        <v>45986</v>
      </c>
      <c r="Y8202">
        <v>330</v>
      </c>
      <c r="Z8202" s="259" t="s">
        <v>694</v>
      </c>
      <c r="BW8202" t="s">
        <v>230</v>
      </c>
    </row>
    <row r="8203" spans="3:75" x14ac:dyDescent="0.35">
      <c r="C8203">
        <v>45987</v>
      </c>
      <c r="Y8203">
        <v>331</v>
      </c>
      <c r="Z8203" s="259" t="s">
        <v>694</v>
      </c>
      <c r="BW8203" t="s">
        <v>230</v>
      </c>
    </row>
    <row r="8204" spans="3:75" x14ac:dyDescent="0.35">
      <c r="C8204">
        <v>45988</v>
      </c>
      <c r="Y8204">
        <v>332</v>
      </c>
      <c r="Z8204" s="259" t="s">
        <v>694</v>
      </c>
      <c r="BW8204" t="s">
        <v>230</v>
      </c>
    </row>
    <row r="8205" spans="3:75" x14ac:dyDescent="0.35">
      <c r="C8205">
        <v>45989</v>
      </c>
      <c r="Y8205">
        <v>333</v>
      </c>
      <c r="Z8205" s="259" t="s">
        <v>694</v>
      </c>
      <c r="BW8205" t="s">
        <v>230</v>
      </c>
    </row>
    <row r="8206" spans="3:75" x14ac:dyDescent="0.35">
      <c r="C8206">
        <v>45990</v>
      </c>
      <c r="Y8206">
        <v>334</v>
      </c>
      <c r="Z8206" s="259" t="s">
        <v>694</v>
      </c>
      <c r="BW8206" t="s">
        <v>232</v>
      </c>
    </row>
    <row r="8207" spans="3:75" x14ac:dyDescent="0.35">
      <c r="C8207">
        <v>45991</v>
      </c>
      <c r="Y8207">
        <v>335</v>
      </c>
      <c r="Z8207" s="259" t="s">
        <v>694</v>
      </c>
      <c r="BW8207" t="s">
        <v>232</v>
      </c>
    </row>
    <row r="8208" spans="3:75" x14ac:dyDescent="0.35">
      <c r="C8208">
        <v>45992</v>
      </c>
      <c r="Y8208">
        <v>336</v>
      </c>
      <c r="Z8208" s="259" t="s">
        <v>694</v>
      </c>
      <c r="BW8208" t="s">
        <v>230</v>
      </c>
    </row>
    <row r="8209" spans="3:75" x14ac:dyDescent="0.35">
      <c r="C8209">
        <v>45993</v>
      </c>
      <c r="Y8209">
        <v>337</v>
      </c>
      <c r="Z8209" s="259" t="s">
        <v>694</v>
      </c>
      <c r="BW8209" t="s">
        <v>230</v>
      </c>
    </row>
    <row r="8210" spans="3:75" x14ac:dyDescent="0.35">
      <c r="C8210">
        <v>45994</v>
      </c>
      <c r="Y8210">
        <v>338</v>
      </c>
      <c r="Z8210" s="259" t="s">
        <v>694</v>
      </c>
      <c r="BW8210" t="s">
        <v>230</v>
      </c>
    </row>
    <row r="8211" spans="3:75" x14ac:dyDescent="0.35">
      <c r="C8211">
        <v>45995</v>
      </c>
      <c r="Y8211">
        <v>339</v>
      </c>
      <c r="Z8211" s="259" t="s">
        <v>694</v>
      </c>
      <c r="BW8211" t="s">
        <v>230</v>
      </c>
    </row>
    <row r="8212" spans="3:75" x14ac:dyDescent="0.35">
      <c r="C8212">
        <v>45996</v>
      </c>
      <c r="Y8212">
        <v>340</v>
      </c>
      <c r="Z8212" s="259" t="s">
        <v>694</v>
      </c>
      <c r="BW8212" t="s">
        <v>230</v>
      </c>
    </row>
    <row r="8213" spans="3:75" x14ac:dyDescent="0.35">
      <c r="C8213">
        <v>45997</v>
      </c>
      <c r="Y8213">
        <v>341</v>
      </c>
      <c r="Z8213" s="259" t="s">
        <v>694</v>
      </c>
      <c r="BW8213" t="s">
        <v>232</v>
      </c>
    </row>
    <row r="8214" spans="3:75" x14ac:dyDescent="0.35">
      <c r="C8214">
        <v>45998</v>
      </c>
      <c r="Y8214">
        <v>342</v>
      </c>
      <c r="Z8214" s="259" t="s">
        <v>694</v>
      </c>
      <c r="BW8214" t="s">
        <v>232</v>
      </c>
    </row>
    <row r="8215" spans="3:75" x14ac:dyDescent="0.35">
      <c r="C8215">
        <v>45999</v>
      </c>
      <c r="Y8215">
        <v>343</v>
      </c>
      <c r="Z8215" s="259" t="s">
        <v>694</v>
      </c>
      <c r="BW8215" t="s">
        <v>230</v>
      </c>
    </row>
    <row r="8216" spans="3:75" x14ac:dyDescent="0.35">
      <c r="C8216">
        <v>46000</v>
      </c>
      <c r="Y8216">
        <v>344</v>
      </c>
      <c r="Z8216" s="259" t="s">
        <v>694</v>
      </c>
      <c r="BW8216" t="s">
        <v>230</v>
      </c>
    </row>
    <row r="8217" spans="3:75" x14ac:dyDescent="0.35">
      <c r="C8217">
        <v>46001</v>
      </c>
      <c r="Y8217">
        <v>345</v>
      </c>
      <c r="Z8217" s="259" t="s">
        <v>694</v>
      </c>
      <c r="BW8217" t="s">
        <v>230</v>
      </c>
    </row>
    <row r="8218" spans="3:75" x14ac:dyDescent="0.35">
      <c r="C8218">
        <v>46002</v>
      </c>
      <c r="Y8218">
        <v>346</v>
      </c>
      <c r="Z8218" s="259" t="s">
        <v>694</v>
      </c>
      <c r="BW8218" t="s">
        <v>230</v>
      </c>
    </row>
    <row r="8219" spans="3:75" x14ac:dyDescent="0.35">
      <c r="C8219">
        <v>46003</v>
      </c>
      <c r="Y8219">
        <v>347</v>
      </c>
      <c r="Z8219" s="259" t="s">
        <v>694</v>
      </c>
      <c r="BW8219" t="s">
        <v>230</v>
      </c>
    </row>
    <row r="8220" spans="3:75" x14ac:dyDescent="0.35">
      <c r="C8220">
        <v>46004</v>
      </c>
      <c r="Y8220">
        <v>348</v>
      </c>
      <c r="Z8220" s="259" t="s">
        <v>694</v>
      </c>
      <c r="BW8220" t="s">
        <v>232</v>
      </c>
    </row>
    <row r="8221" spans="3:75" x14ac:dyDescent="0.35">
      <c r="C8221">
        <v>46005</v>
      </c>
      <c r="Y8221">
        <v>349</v>
      </c>
      <c r="Z8221" s="259" t="s">
        <v>694</v>
      </c>
      <c r="BW8221" t="s">
        <v>232</v>
      </c>
    </row>
    <row r="8222" spans="3:75" x14ac:dyDescent="0.35">
      <c r="C8222">
        <v>46006</v>
      </c>
      <c r="Y8222">
        <v>350</v>
      </c>
      <c r="Z8222" s="259" t="s">
        <v>694</v>
      </c>
      <c r="BW8222" t="s">
        <v>230</v>
      </c>
    </row>
    <row r="8223" spans="3:75" x14ac:dyDescent="0.35">
      <c r="C8223">
        <v>46007</v>
      </c>
      <c r="Y8223">
        <v>351</v>
      </c>
      <c r="Z8223" s="259" t="s">
        <v>694</v>
      </c>
      <c r="BW8223" t="s">
        <v>230</v>
      </c>
    </row>
    <row r="8224" spans="3:75" x14ac:dyDescent="0.35">
      <c r="C8224">
        <v>46008</v>
      </c>
      <c r="Y8224">
        <v>352</v>
      </c>
      <c r="Z8224" s="259" t="s">
        <v>694</v>
      </c>
      <c r="BW8224" t="s">
        <v>230</v>
      </c>
    </row>
    <row r="8225" spans="3:77" x14ac:dyDescent="0.35">
      <c r="C8225">
        <v>46009</v>
      </c>
      <c r="Y8225">
        <v>353</v>
      </c>
      <c r="Z8225" s="259" t="s">
        <v>694</v>
      </c>
      <c r="BW8225" t="s">
        <v>230</v>
      </c>
    </row>
    <row r="8226" spans="3:77" x14ac:dyDescent="0.35">
      <c r="C8226">
        <v>46010</v>
      </c>
      <c r="Y8226">
        <v>354</v>
      </c>
      <c r="Z8226" s="259" t="s">
        <v>694</v>
      </c>
      <c r="BW8226" t="s">
        <v>230</v>
      </c>
    </row>
    <row r="8227" spans="3:77" x14ac:dyDescent="0.35">
      <c r="C8227">
        <v>46011</v>
      </c>
      <c r="Y8227">
        <v>355</v>
      </c>
      <c r="Z8227" s="259" t="s">
        <v>694</v>
      </c>
      <c r="BW8227" t="s">
        <v>232</v>
      </c>
    </row>
    <row r="8228" spans="3:77" x14ac:dyDescent="0.35">
      <c r="C8228">
        <v>46012</v>
      </c>
      <c r="Y8228">
        <v>356</v>
      </c>
      <c r="Z8228" s="259" t="s">
        <v>694</v>
      </c>
      <c r="BW8228" t="s">
        <v>232</v>
      </c>
    </row>
    <row r="8229" spans="3:77" x14ac:dyDescent="0.35">
      <c r="C8229">
        <v>46013</v>
      </c>
      <c r="Y8229">
        <v>357</v>
      </c>
      <c r="Z8229" s="259" t="s">
        <v>694</v>
      </c>
      <c r="BW8229" t="s">
        <v>230</v>
      </c>
    </row>
    <row r="8230" spans="3:77" x14ac:dyDescent="0.35">
      <c r="C8230">
        <v>46014</v>
      </c>
      <c r="Y8230">
        <v>358</v>
      </c>
      <c r="Z8230" s="259" t="s">
        <v>694</v>
      </c>
      <c r="BW8230" t="s">
        <v>230</v>
      </c>
    </row>
    <row r="8231" spans="3:77" x14ac:dyDescent="0.35">
      <c r="C8231">
        <v>46015</v>
      </c>
      <c r="Y8231">
        <v>359</v>
      </c>
      <c r="Z8231" s="259" t="s">
        <v>694</v>
      </c>
      <c r="BW8231" t="s">
        <v>230</v>
      </c>
    </row>
    <row r="8232" spans="3:77" x14ac:dyDescent="0.35">
      <c r="C8232">
        <v>46016</v>
      </c>
      <c r="Y8232">
        <v>360</v>
      </c>
      <c r="Z8232" s="259" t="s">
        <v>694</v>
      </c>
      <c r="BW8232" t="s">
        <v>230</v>
      </c>
    </row>
    <row r="8233" spans="3:77" x14ac:dyDescent="0.35">
      <c r="C8233">
        <v>46017</v>
      </c>
      <c r="Y8233">
        <v>361</v>
      </c>
      <c r="Z8233" s="259" t="s">
        <v>694</v>
      </c>
      <c r="BW8233" t="s">
        <v>230</v>
      </c>
    </row>
    <row r="8234" spans="3:77" x14ac:dyDescent="0.35">
      <c r="C8234">
        <v>46018</v>
      </c>
      <c r="Y8234">
        <v>362</v>
      </c>
      <c r="Z8234" s="259" t="s">
        <v>694</v>
      </c>
      <c r="BW8234" t="s">
        <v>232</v>
      </c>
    </row>
    <row r="8235" spans="3:77" x14ac:dyDescent="0.35">
      <c r="C8235">
        <v>46019</v>
      </c>
      <c r="Y8235">
        <v>363</v>
      </c>
      <c r="Z8235" s="259" t="s">
        <v>694</v>
      </c>
      <c r="BW8235" t="s">
        <v>232</v>
      </c>
    </row>
    <row r="8236" spans="3:77" x14ac:dyDescent="0.35">
      <c r="C8236">
        <v>46020</v>
      </c>
      <c r="Y8236">
        <v>364</v>
      </c>
      <c r="Z8236" s="259" t="s">
        <v>694</v>
      </c>
      <c r="BW8236" t="s">
        <v>230</v>
      </c>
    </row>
    <row r="8237" spans="3:77" x14ac:dyDescent="0.35">
      <c r="C8237">
        <v>46021</v>
      </c>
      <c r="Y8237">
        <v>365</v>
      </c>
      <c r="Z8237" s="259" t="s">
        <v>694</v>
      </c>
      <c r="BW8237" t="s">
        <v>230</v>
      </c>
    </row>
    <row r="8238" spans="3:77" x14ac:dyDescent="0.35">
      <c r="C8238">
        <v>46022</v>
      </c>
      <c r="Y8238">
        <v>366</v>
      </c>
      <c r="Z8238" s="259" t="s">
        <v>694</v>
      </c>
      <c r="BW8238" t="s">
        <v>230</v>
      </c>
    </row>
    <row r="8239" spans="3:77" x14ac:dyDescent="0.35">
      <c r="Y8239">
        <v>1</v>
      </c>
      <c r="Z8239" s="259" t="s">
        <v>695</v>
      </c>
      <c r="BX8239" t="s">
        <v>600</v>
      </c>
      <c r="BY8239" t="s">
        <v>793</v>
      </c>
    </row>
    <row r="8240" spans="3:77" x14ac:dyDescent="0.35">
      <c r="Y8240">
        <v>2</v>
      </c>
      <c r="Z8240" s="259" t="s">
        <v>695</v>
      </c>
      <c r="BX8240" t="s">
        <v>607</v>
      </c>
      <c r="BY8240" t="s">
        <v>608</v>
      </c>
    </row>
    <row r="8241" spans="25:77" x14ac:dyDescent="0.35">
      <c r="Y8241">
        <v>3</v>
      </c>
      <c r="Z8241" s="259" t="s">
        <v>695</v>
      </c>
      <c r="BX8241" t="s">
        <v>609</v>
      </c>
      <c r="BY8241" t="s">
        <v>610</v>
      </c>
    </row>
    <row r="8242" spans="25:77" x14ac:dyDescent="0.35">
      <c r="Y8242">
        <v>4</v>
      </c>
      <c r="Z8242" s="259" t="s">
        <v>695</v>
      </c>
      <c r="BX8242" t="s">
        <v>601</v>
      </c>
      <c r="BY8242" t="s">
        <v>602</v>
      </c>
    </row>
    <row r="8243" spans="25:77" x14ac:dyDescent="0.35">
      <c r="Y8243">
        <v>5</v>
      </c>
      <c r="Z8243" s="259" t="s">
        <v>695</v>
      </c>
      <c r="BX8243" t="s">
        <v>603</v>
      </c>
    </row>
    <row r="8244" spans="25:77" x14ac:dyDescent="0.35">
      <c r="Y8244">
        <v>6</v>
      </c>
      <c r="Z8244" s="259" t="s">
        <v>695</v>
      </c>
      <c r="BX8244" t="s">
        <v>604</v>
      </c>
      <c r="BY8244" t="s">
        <v>1580</v>
      </c>
    </row>
    <row r="8245" spans="25:77" x14ac:dyDescent="0.35">
      <c r="Y8245">
        <v>7</v>
      </c>
      <c r="Z8245" s="259" t="s">
        <v>695</v>
      </c>
      <c r="BX8245" t="s">
        <v>605</v>
      </c>
      <c r="BY8245" t="s">
        <v>1581</v>
      </c>
    </row>
    <row r="8246" spans="25:77" x14ac:dyDescent="0.35">
      <c r="Y8246">
        <v>8</v>
      </c>
      <c r="Z8246" s="259" t="s">
        <v>695</v>
      </c>
      <c r="BX8246" t="s">
        <v>606</v>
      </c>
      <c r="BY8246" t="s">
        <v>1582</v>
      </c>
    </row>
    <row r="8247" spans="25:77" x14ac:dyDescent="0.35">
      <c r="Y8247">
        <v>9</v>
      </c>
      <c r="Z8247" s="259" t="s">
        <v>695</v>
      </c>
      <c r="BX8247" t="s">
        <v>1583</v>
      </c>
      <c r="BY8247" t="s">
        <v>1584</v>
      </c>
    </row>
    <row r="8248" spans="25:77" x14ac:dyDescent="0.35">
      <c r="Y8248">
        <v>10</v>
      </c>
      <c r="Z8248" s="259" t="s">
        <v>695</v>
      </c>
      <c r="BX8248" t="s">
        <v>1585</v>
      </c>
      <c r="BY8248" t="s">
        <v>1586</v>
      </c>
    </row>
  </sheetData>
  <phoneticPr fontId="8"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A4567-3549-4B7A-B2E2-337175139A30}">
  <sheetPr>
    <pageSetUpPr fitToPage="1"/>
  </sheetPr>
  <dimension ref="A1:P43"/>
  <sheetViews>
    <sheetView showGridLines="0" tabSelected="1" workbookViewId="0">
      <pane ySplit="9" topLeftCell="A10" activePane="bottomLeft" state="frozenSplit"/>
      <selection pane="bottomLeft" sqref="A1:P2"/>
    </sheetView>
  </sheetViews>
  <sheetFormatPr defaultColWidth="14.6328125" defaultRowHeight="20" customHeight="1" x14ac:dyDescent="0.35"/>
  <cols>
    <col min="1" max="1" width="30.6328125" style="184" customWidth="1"/>
    <col min="2" max="16384" width="14.6328125" style="184"/>
  </cols>
  <sheetData>
    <row r="1" spans="1:16" ht="20" customHeight="1" x14ac:dyDescent="0.35">
      <c r="A1" s="224" t="s">
        <v>545</v>
      </c>
      <c r="B1" s="224"/>
      <c r="C1" s="224"/>
      <c r="D1" s="224"/>
      <c r="E1" s="224"/>
      <c r="F1" s="224"/>
      <c r="G1" s="224"/>
      <c r="H1" s="224"/>
      <c r="I1" s="224"/>
      <c r="J1" s="224"/>
      <c r="K1" s="224"/>
      <c r="L1" s="224"/>
      <c r="M1" s="224"/>
      <c r="N1" s="224"/>
      <c r="O1" s="224"/>
      <c r="P1" s="224"/>
    </row>
    <row r="2" spans="1:16" ht="20" customHeight="1" x14ac:dyDescent="0.35">
      <c r="A2" s="224"/>
      <c r="B2" s="224"/>
      <c r="C2" s="224"/>
      <c r="D2" s="224"/>
      <c r="E2" s="224"/>
      <c r="F2" s="224"/>
      <c r="G2" s="224"/>
      <c r="H2" s="224"/>
      <c r="I2" s="224"/>
      <c r="J2" s="224"/>
      <c r="K2" s="224"/>
      <c r="L2" s="224"/>
      <c r="M2" s="224"/>
      <c r="N2" s="224"/>
      <c r="O2" s="224"/>
      <c r="P2" s="224"/>
    </row>
    <row r="3" spans="1:16" ht="20" customHeight="1" x14ac:dyDescent="0.35">
      <c r="A3" s="225" t="s">
        <v>1587</v>
      </c>
      <c r="B3" s="225"/>
      <c r="C3" s="225"/>
      <c r="D3" s="225"/>
      <c r="E3" s="225"/>
      <c r="F3" s="225"/>
      <c r="G3" s="225"/>
      <c r="H3" s="225"/>
      <c r="I3" s="225"/>
      <c r="J3" s="225"/>
      <c r="K3" s="225"/>
      <c r="L3" s="225"/>
      <c r="M3" s="225"/>
      <c r="N3" s="225"/>
      <c r="O3" s="225"/>
      <c r="P3" s="225"/>
    </row>
    <row r="4" spans="1:16" ht="20" customHeight="1" x14ac:dyDescent="0.35">
      <c r="A4" s="225"/>
      <c r="B4" s="225"/>
      <c r="C4" s="225"/>
      <c r="D4" s="225"/>
      <c r="E4" s="225"/>
      <c r="F4" s="225"/>
      <c r="G4" s="225"/>
      <c r="H4" s="225"/>
      <c r="I4" s="225"/>
      <c r="J4" s="225"/>
      <c r="K4" s="225"/>
      <c r="L4" s="225"/>
      <c r="M4" s="225"/>
      <c r="N4" s="225"/>
      <c r="O4" s="225"/>
      <c r="P4" s="225"/>
    </row>
    <row r="6" spans="1:16" ht="34" customHeight="1" x14ac:dyDescent="0.35">
      <c r="A6" s="184" t="s">
        <v>705</v>
      </c>
      <c r="C6" s="222" t="s">
        <v>706</v>
      </c>
      <c r="D6" s="222"/>
      <c r="E6" s="222"/>
      <c r="F6" s="222"/>
      <c r="G6" s="222"/>
      <c r="H6" s="222"/>
      <c r="I6" s="222"/>
      <c r="J6" s="222"/>
      <c r="K6" s="222"/>
      <c r="L6" s="222"/>
      <c r="M6" s="222"/>
      <c r="N6" s="222"/>
      <c r="O6" s="222"/>
      <c r="P6" s="222"/>
    </row>
    <row r="8" spans="1:16" ht="34" customHeight="1" x14ac:dyDescent="0.35">
      <c r="A8" s="184" t="s">
        <v>707</v>
      </c>
      <c r="C8" s="222" t="s">
        <v>708</v>
      </c>
      <c r="D8" s="222"/>
      <c r="E8" s="222"/>
      <c r="F8" s="222"/>
      <c r="G8" s="222"/>
      <c r="H8" s="222"/>
      <c r="I8" s="222"/>
      <c r="J8" s="222"/>
      <c r="K8" s="222"/>
      <c r="L8" s="222"/>
      <c r="M8" s="222"/>
      <c r="N8" s="222"/>
      <c r="O8" s="222"/>
      <c r="P8" s="222"/>
    </row>
    <row r="10" spans="1:16" ht="34" customHeight="1" x14ac:dyDescent="0.35">
      <c r="A10" s="184" t="s">
        <v>709</v>
      </c>
      <c r="C10" s="222" t="s">
        <v>710</v>
      </c>
      <c r="D10" s="222"/>
      <c r="E10" s="222"/>
      <c r="F10" s="222"/>
      <c r="G10" s="222"/>
      <c r="H10" s="222"/>
      <c r="I10" s="222"/>
      <c r="J10" s="222"/>
      <c r="K10" s="222"/>
      <c r="L10" s="222"/>
      <c r="M10" s="222"/>
      <c r="N10" s="222"/>
      <c r="O10" s="222"/>
      <c r="P10" s="222"/>
    </row>
    <row r="12" spans="1:16" ht="34" customHeight="1" x14ac:dyDescent="0.35">
      <c r="A12" s="184" t="s">
        <v>711</v>
      </c>
      <c r="C12" s="222" t="s">
        <v>712</v>
      </c>
      <c r="D12" s="222"/>
      <c r="E12" s="222"/>
      <c r="F12" s="222"/>
      <c r="G12" s="222"/>
      <c r="H12" s="222"/>
      <c r="I12" s="222"/>
      <c r="J12" s="222"/>
      <c r="K12" s="222"/>
      <c r="L12" s="222"/>
      <c r="M12" s="222"/>
      <c r="N12" s="222"/>
      <c r="O12" s="222"/>
      <c r="P12" s="222"/>
    </row>
    <row r="14" spans="1:16" ht="34" customHeight="1" x14ac:dyDescent="0.35">
      <c r="A14" s="184" t="s">
        <v>713</v>
      </c>
      <c r="C14" s="222" t="str">
        <f>_xlfn.XLOOKUP("PriceInputMode",AP_Settings[Setting],AP_Settings[Value])</f>
        <v>Synthetic fixture</v>
      </c>
      <c r="D14" s="222"/>
      <c r="E14" s="222"/>
      <c r="F14" s="222"/>
      <c r="G14" s="222"/>
      <c r="H14" s="222"/>
      <c r="I14" s="222"/>
      <c r="J14" s="222"/>
      <c r="K14" s="222"/>
      <c r="L14" s="222"/>
      <c r="M14" s="222"/>
      <c r="N14" s="222"/>
      <c r="O14" s="222"/>
      <c r="P14" s="222"/>
    </row>
    <row r="15" spans="1:16" ht="26" customHeight="1" x14ac:dyDescent="0.35">
      <c r="A15" s="184" t="s">
        <v>737</v>
      </c>
      <c r="C15" s="223" t="str">
        <f>INDEX(Out_RefreshInfo[EngineSuccessAt],1)</f>
        <v>2026-10-07 14:49:31 +05:30</v>
      </c>
      <c r="D15" s="223"/>
      <c r="E15" s="223"/>
      <c r="F15" s="223"/>
      <c r="G15" s="223"/>
      <c r="H15" s="223"/>
      <c r="I15" s="223"/>
      <c r="J15" s="223"/>
      <c r="K15" s="223"/>
      <c r="L15" s="223"/>
      <c r="M15" s="223"/>
      <c r="N15" s="223"/>
      <c r="O15" s="223"/>
      <c r="P15" s="223"/>
    </row>
    <row r="16" spans="1:16" ht="34" customHeight="1" x14ac:dyDescent="0.35">
      <c r="A16" s="184" t="s">
        <v>714</v>
      </c>
      <c r="C16" s="222" t="str" cm="1">
        <f t="array" ref="C16">IF(AP_InputsCurrent,"Captured inputs and loaded accounting outputs match","Input/output mismatch; complete Refresh All and inspect errors")</f>
        <v>Captured inputs and loaded accounting outputs match</v>
      </c>
      <c r="D16" s="222"/>
      <c r="E16" s="222"/>
      <c r="F16" s="222"/>
      <c r="G16" s="222"/>
      <c r="H16" s="222"/>
      <c r="I16" s="222"/>
      <c r="J16" s="222"/>
      <c r="K16" s="222"/>
      <c r="L16" s="222"/>
      <c r="M16" s="222"/>
      <c r="N16" s="222"/>
      <c r="O16" s="222"/>
      <c r="P16" s="222"/>
    </row>
    <row r="18" spans="1:16" ht="34" customHeight="1" x14ac:dyDescent="0.35">
      <c r="A18" s="184" t="s">
        <v>1588</v>
      </c>
      <c r="C18" s="222" t="s">
        <v>1589</v>
      </c>
      <c r="D18" s="222"/>
      <c r="E18" s="222"/>
      <c r="F18" s="222"/>
      <c r="G18" s="222"/>
      <c r="H18" s="222"/>
      <c r="I18" s="222"/>
      <c r="J18" s="222"/>
      <c r="K18" s="222"/>
      <c r="L18" s="222"/>
      <c r="M18" s="222"/>
      <c r="N18" s="222"/>
      <c r="O18" s="222"/>
      <c r="P18" s="222"/>
    </row>
    <row r="20" spans="1:16" ht="34" customHeight="1" x14ac:dyDescent="0.35">
      <c r="A20" s="184" t="s">
        <v>715</v>
      </c>
      <c r="C20" s="222" t="s">
        <v>739</v>
      </c>
      <c r="D20" s="222"/>
      <c r="E20" s="222"/>
      <c r="F20" s="222"/>
      <c r="G20" s="222"/>
      <c r="H20" s="222"/>
      <c r="I20" s="222"/>
      <c r="J20" s="222"/>
      <c r="K20" s="222"/>
      <c r="L20" s="222"/>
      <c r="M20" s="222"/>
      <c r="N20" s="222"/>
      <c r="O20" s="222"/>
      <c r="P20" s="222"/>
    </row>
    <row r="21" spans="1:16" ht="34" customHeight="1" x14ac:dyDescent="0.35">
      <c r="A21" s="184" t="s">
        <v>738</v>
      </c>
      <c r="C21" s="222" t="s">
        <v>1590</v>
      </c>
      <c r="D21" s="222"/>
      <c r="E21" s="222"/>
      <c r="F21" s="222"/>
      <c r="G21" s="222"/>
      <c r="H21" s="222"/>
      <c r="I21" s="222"/>
      <c r="J21" s="222"/>
      <c r="K21" s="222"/>
      <c r="L21" s="222"/>
      <c r="M21" s="222"/>
      <c r="N21" s="222"/>
      <c r="O21" s="222"/>
      <c r="P21" s="222"/>
    </row>
    <row r="23" spans="1:16" ht="34" customHeight="1" x14ac:dyDescent="0.35">
      <c r="A23" s="184" t="s">
        <v>716</v>
      </c>
      <c r="C23" s="222" t="s">
        <v>717</v>
      </c>
      <c r="D23" s="222"/>
      <c r="E23" s="222"/>
      <c r="F23" s="222"/>
      <c r="G23" s="222"/>
      <c r="H23" s="222"/>
      <c r="I23" s="222"/>
      <c r="J23" s="222"/>
      <c r="K23" s="222"/>
      <c r="L23" s="222"/>
      <c r="M23" s="222"/>
      <c r="N23" s="222"/>
      <c r="O23" s="222"/>
      <c r="P23" s="222"/>
    </row>
    <row r="26" spans="1:16" ht="20" customHeight="1" x14ac:dyDescent="0.35">
      <c r="A26" s="210" t="s">
        <v>718</v>
      </c>
      <c r="C26" s="184" t="s">
        <v>719</v>
      </c>
    </row>
    <row r="27" spans="1:16" ht="20" customHeight="1" x14ac:dyDescent="0.35">
      <c r="A27" s="210" t="s">
        <v>720</v>
      </c>
      <c r="C27" s="184" t="s">
        <v>719</v>
      </c>
    </row>
    <row r="28" spans="1:16" ht="20" customHeight="1" x14ac:dyDescent="0.35">
      <c r="A28" s="210" t="s">
        <v>721</v>
      </c>
      <c r="C28" s="184" t="s">
        <v>719</v>
      </c>
    </row>
    <row r="29" spans="1:16" ht="20" customHeight="1" x14ac:dyDescent="0.35">
      <c r="A29" s="210" t="s">
        <v>722</v>
      </c>
      <c r="C29" s="184" t="s">
        <v>719</v>
      </c>
    </row>
    <row r="30" spans="1:16" ht="20" customHeight="1" x14ac:dyDescent="0.35">
      <c r="A30" s="210" t="s">
        <v>688</v>
      </c>
      <c r="C30" s="184" t="s">
        <v>719</v>
      </c>
    </row>
    <row r="31" spans="1:16" ht="20" customHeight="1" x14ac:dyDescent="0.35">
      <c r="A31" s="210" t="s">
        <v>690</v>
      </c>
      <c r="C31" s="184" t="s">
        <v>719</v>
      </c>
    </row>
    <row r="32" spans="1:16" ht="20" customHeight="1" x14ac:dyDescent="0.35">
      <c r="A32" s="210" t="s">
        <v>691</v>
      </c>
      <c r="C32" s="184" t="s">
        <v>719</v>
      </c>
    </row>
    <row r="33" spans="1:3" ht="20" customHeight="1" x14ac:dyDescent="0.35">
      <c r="A33" s="210" t="s">
        <v>692</v>
      </c>
      <c r="C33" s="184" t="s">
        <v>719</v>
      </c>
    </row>
    <row r="34" spans="1:3" ht="20" customHeight="1" x14ac:dyDescent="0.35">
      <c r="A34" s="210" t="s">
        <v>693</v>
      </c>
      <c r="C34" s="184" t="s">
        <v>719</v>
      </c>
    </row>
    <row r="35" spans="1:3" ht="20" customHeight="1" x14ac:dyDescent="0.35">
      <c r="A35" s="210" t="s">
        <v>694</v>
      </c>
      <c r="C35" s="184" t="s">
        <v>719</v>
      </c>
    </row>
    <row r="36" spans="1:3" ht="20" customHeight="1" x14ac:dyDescent="0.35">
      <c r="A36" s="210" t="s">
        <v>695</v>
      </c>
      <c r="C36" s="184" t="s">
        <v>719</v>
      </c>
    </row>
    <row r="37" spans="1:3" ht="20" customHeight="1" x14ac:dyDescent="0.35">
      <c r="A37" s="210" t="s">
        <v>723</v>
      </c>
      <c r="C37" s="184" t="s">
        <v>719</v>
      </c>
    </row>
    <row r="38" spans="1:3" ht="20" customHeight="1" x14ac:dyDescent="0.35">
      <c r="A38" s="210" t="s">
        <v>320</v>
      </c>
      <c r="C38" s="184" t="s">
        <v>724</v>
      </c>
    </row>
    <row r="39" spans="1:3" ht="20" customHeight="1" x14ac:dyDescent="0.35">
      <c r="A39" s="210" t="s">
        <v>369</v>
      </c>
      <c r="C39" s="184" t="s">
        <v>724</v>
      </c>
    </row>
    <row r="40" spans="1:3" ht="20" customHeight="1" x14ac:dyDescent="0.35">
      <c r="A40" s="210" t="s">
        <v>323</v>
      </c>
      <c r="C40" s="184" t="s">
        <v>724</v>
      </c>
    </row>
    <row r="41" spans="1:3" ht="20" customHeight="1" x14ac:dyDescent="0.35">
      <c r="A41" s="210" t="s">
        <v>398</v>
      </c>
      <c r="C41" s="184" t="s">
        <v>724</v>
      </c>
    </row>
    <row r="43" spans="1:3" ht="20" customHeight="1" x14ac:dyDescent="0.35">
      <c r="A43" s="210" t="s">
        <v>733</v>
      </c>
      <c r="C43" s="184" t="s">
        <v>734</v>
      </c>
    </row>
  </sheetData>
  <mergeCells count="13">
    <mergeCell ref="C23:P23"/>
    <mergeCell ref="C12:P12"/>
    <mergeCell ref="C15:P15"/>
    <mergeCell ref="C21:P21"/>
    <mergeCell ref="A1:P2"/>
    <mergeCell ref="A3:P4"/>
    <mergeCell ref="C6:P6"/>
    <mergeCell ref="C8:P8"/>
    <mergeCell ref="C10:P10"/>
    <mergeCell ref="C14:P14"/>
    <mergeCell ref="C16:P16"/>
    <mergeCell ref="C18:P18"/>
    <mergeCell ref="C20:P20"/>
  </mergeCells>
  <hyperlinks>
    <hyperlink ref="A26" location="'Comparison'!A1" display="Comparison" xr:uid="{7AEFFE8C-3795-4F8B-9E14-DD2DAA02ACD8}"/>
    <hyperlink ref="A27" location="'Detail'!A1" display="Detail" xr:uid="{D88AB0DF-741D-4D66-B3C4-439FA269DBC2}"/>
    <hyperlink ref="A28" location="'Review'!A1" display="Review" xr:uid="{E1A63454-65BE-442E-9DC1-6F60C518C21B}"/>
    <hyperlink ref="A29" location="'Data Checks'!A1" display="Data Checks" xr:uid="{FE0B7E74-D460-4729-B6E8-2E4BF7ADE1EF}"/>
    <hyperlink ref="A30" location="'AP_Portfolios'!A1" display="AP_Portfolios" xr:uid="{6F76CBE7-3DFB-4E7B-8EF5-08774CA6DBCC}"/>
    <hyperlink ref="A31" location="'AP_Instruments'!A1" display="AP_Instruments" xr:uid="{9ABCF6EB-09D1-4234-AF9D-85B4E84DCDE2}"/>
    <hyperlink ref="A32" location="'AP_Transactions'!A1" display="AP_Transactions" xr:uid="{C672129D-1562-4405-84CC-CCD5AC252B86}"/>
    <hyperlink ref="A33" location="'AP_Prices'!A1" display="AP_Prices" xr:uid="{C07BF39E-243D-44A4-9791-07BA77B0CD74}"/>
    <hyperlink ref="A34" location="'AP_Actions'!A1" display="AP_Actions" xr:uid="{A413F543-1552-4F16-AA6A-BE4CFDCBE7EB}"/>
    <hyperlink ref="A35" location="'AP_Calendar'!A1" display="AP_Calendar" xr:uid="{2C49BAF8-B85F-4EE2-B436-089A6221321C}"/>
    <hyperlink ref="A36" location="'AP_Settings'!A1" display="AP_Settings" xr:uid="{02D880D4-F60F-4731-987E-6D3AFB37B6D7}"/>
    <hyperlink ref="A37" location="'AP_Notes'!A1" display="AP_Notes" xr:uid="{614BA0C1-B8C0-4CFF-BFA0-D43E2B34923E}"/>
    <hyperlink ref="A38" location="'Watchlist'!A1" display="Watchlist" xr:uid="{08D38C54-E31E-4480-8298-E04B6CD5C6F4}"/>
    <hyperlink ref="A39" location="'Stock view'!A1" display="Stock view" xr:uid="{46952E57-38F3-40EF-BBE0-49F68A70B6A1}"/>
    <hyperlink ref="A40" location="'Trade plan'!A1" display="Trade plan" xr:uid="{E49A313F-825C-4115-B3D3-D5BFD724A707}"/>
    <hyperlink ref="A41" location="'Headlines'!A1" display="Headlines" xr:uid="{EEF0FF7D-AC0D-4924-9835-464E14215362}"/>
    <hyperlink ref="A43" location="Snapshot!A1" display="Snapshot" xr:uid="{8F06D5B3-4259-4DC9-AB54-9799E272E32C}"/>
  </hyperlinks>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C7C84-A57B-4EE6-93FD-1D4F756DDFB0}">
  <sheetPr>
    <pageSetUpPr fitToPage="1"/>
  </sheetPr>
  <dimension ref="A1:P51"/>
  <sheetViews>
    <sheetView showGridLines="0" workbookViewId="0">
      <pane ySplit="9" topLeftCell="A10" activePane="bottomLeft" state="frozenSplit"/>
      <selection pane="bottomLeft" sqref="A1:P2"/>
    </sheetView>
  </sheetViews>
  <sheetFormatPr defaultColWidth="14.6328125" defaultRowHeight="20" customHeight="1" x14ac:dyDescent="0.35"/>
  <cols>
    <col min="1" max="1" width="16.54296875" style="184" bestFit="1" customWidth="1"/>
    <col min="2" max="2" width="19.6328125" style="184" bestFit="1" customWidth="1"/>
    <col min="3" max="3" width="18.90625" style="205" bestFit="1" customWidth="1"/>
    <col min="4" max="4" width="23.7265625" style="205" bestFit="1" customWidth="1"/>
    <col min="5" max="6" width="14.6328125" style="205"/>
    <col min="7" max="7" width="14.6328125" style="206"/>
    <col min="8" max="8" width="28.6328125" style="184" customWidth="1"/>
    <col min="9" max="9" width="14.6328125" style="206"/>
    <col min="10" max="10" width="38.6328125" style="184" customWidth="1"/>
    <col min="11" max="11" width="14.6328125" style="205"/>
    <col min="12" max="12" width="14.6328125" style="206"/>
    <col min="13" max="16384" width="14.6328125" style="184"/>
  </cols>
  <sheetData>
    <row r="1" spans="1:16" ht="20" customHeight="1" x14ac:dyDescent="0.35">
      <c r="A1" s="224" t="s">
        <v>546</v>
      </c>
      <c r="B1" s="224"/>
      <c r="C1" s="224"/>
      <c r="D1" s="224"/>
      <c r="E1" s="224"/>
      <c r="F1" s="224"/>
      <c r="G1" s="224"/>
      <c r="H1" s="224"/>
      <c r="I1" s="224"/>
      <c r="J1" s="224"/>
      <c r="K1" s="224"/>
      <c r="L1" s="224"/>
      <c r="M1" s="224"/>
      <c r="N1" s="224"/>
      <c r="O1" s="224"/>
      <c r="P1" s="224"/>
    </row>
    <row r="2" spans="1:16" ht="20" customHeight="1" x14ac:dyDescent="0.35">
      <c r="A2" s="224"/>
      <c r="B2" s="224"/>
      <c r="C2" s="224"/>
      <c r="D2" s="224"/>
      <c r="E2" s="224"/>
      <c r="F2" s="224"/>
      <c r="G2" s="224"/>
      <c r="H2" s="224"/>
      <c r="I2" s="224"/>
      <c r="J2" s="224"/>
      <c r="K2" s="224"/>
      <c r="L2" s="224"/>
      <c r="M2" s="224"/>
      <c r="N2" s="224"/>
      <c r="O2" s="224"/>
      <c r="P2" s="224"/>
    </row>
    <row r="3" spans="1:16" ht="20" customHeight="1" x14ac:dyDescent="0.35">
      <c r="A3" s="225" t="s">
        <v>729</v>
      </c>
      <c r="B3" s="225"/>
      <c r="C3" s="225"/>
      <c r="D3" s="225"/>
      <c r="E3" s="225"/>
      <c r="F3" s="225"/>
      <c r="G3" s="225"/>
      <c r="H3" s="225"/>
      <c r="I3" s="225"/>
      <c r="J3" s="225"/>
      <c r="K3" s="225"/>
      <c r="L3" s="225"/>
      <c r="M3" s="225"/>
      <c r="N3" s="225"/>
      <c r="O3" s="225"/>
      <c r="P3" s="225"/>
    </row>
    <row r="4" spans="1:16" ht="20" customHeight="1" x14ac:dyDescent="0.35">
      <c r="A4" s="225"/>
      <c r="B4" s="225"/>
      <c r="C4" s="225"/>
      <c r="D4" s="225"/>
      <c r="E4" s="225"/>
      <c r="F4" s="225"/>
      <c r="G4" s="225"/>
      <c r="H4" s="225"/>
      <c r="I4" s="225"/>
      <c r="J4" s="225"/>
      <c r="K4" s="225"/>
      <c r="L4" s="225"/>
      <c r="M4" s="225"/>
      <c r="N4" s="225"/>
      <c r="O4" s="225"/>
      <c r="P4" s="225"/>
    </row>
    <row r="5" spans="1:16" ht="20" customHeight="1" x14ac:dyDescent="0.35">
      <c r="A5" s="184" t="s">
        <v>674</v>
      </c>
      <c r="B5" s="204">
        <v>45658</v>
      </c>
      <c r="D5" s="205" t="s">
        <v>675</v>
      </c>
      <c r="E5" s="204">
        <v>46022</v>
      </c>
      <c r="H5" s="210" t="s">
        <v>731</v>
      </c>
    </row>
    <row r="7" spans="1:16" ht="20" customHeight="1" x14ac:dyDescent="0.35">
      <c r="A7" s="222" t="str" cm="1">
        <f t="array" ref="A7">IF(AP_InputsCurrent,"Inputs match loaded copies","INPUTS EDITED: Refresh All before current results are eligible")</f>
        <v>Inputs match loaded copies</v>
      </c>
      <c r="B7" s="222"/>
      <c r="C7" s="222"/>
      <c r="D7" s="222"/>
      <c r="E7" s="222"/>
      <c r="F7" s="222"/>
      <c r="G7" s="222"/>
      <c r="H7" s="222"/>
      <c r="I7" s="222"/>
      <c r="J7" s="222"/>
      <c r="K7" s="222"/>
      <c r="L7" s="222"/>
    </row>
    <row r="9" spans="1:16" ht="45" customHeight="1" x14ac:dyDescent="0.35">
      <c r="A9" s="211" t="s">
        <v>557</v>
      </c>
      <c r="B9" s="211" t="s">
        <v>663</v>
      </c>
      <c r="C9" s="212" t="s">
        <v>664</v>
      </c>
      <c r="D9" s="212" t="s">
        <v>665</v>
      </c>
      <c r="E9" s="212" t="s">
        <v>666</v>
      </c>
      <c r="F9" s="212" t="s">
        <v>667</v>
      </c>
      <c r="G9" s="213" t="s">
        <v>668</v>
      </c>
      <c r="H9" s="211" t="s">
        <v>669</v>
      </c>
      <c r="I9" s="213" t="s">
        <v>670</v>
      </c>
      <c r="J9" s="211" t="s">
        <v>671</v>
      </c>
      <c r="K9" s="212" t="s">
        <v>672</v>
      </c>
      <c r="L9" s="213" t="s">
        <v>673</v>
      </c>
    </row>
    <row r="10" spans="1:16" ht="20" customHeight="1" x14ac:dyDescent="0.35">
      <c r="A10" s="184" t="str" cm="1">
        <f t="array" ref="A10:L14">IFERROR(_xlfn.ANCHORARRAY(AP_ReturnCalc!A10),"Unavailable")</f>
        <v>P1</v>
      </c>
      <c r="B10" s="184" t="str">
        <v>Model</v>
      </c>
      <c r="C10" s="205">
        <v>0</v>
      </c>
      <c r="D10" s="205">
        <v>108611</v>
      </c>
      <c r="E10" s="205">
        <v>110000</v>
      </c>
      <c r="F10" s="205">
        <v>-1389</v>
      </c>
      <c r="G10" s="206">
        <v>-1.2614676957470539E-2</v>
      </c>
      <c r="H10" s="184" t="str">
        <v>OK</v>
      </c>
      <c r="I10" s="206">
        <v>-1.284865507363175E-2</v>
      </c>
      <c r="J10" s="184" t="str">
        <v>OK</v>
      </c>
      <c r="K10" s="205">
        <v>93091</v>
      </c>
      <c r="L10" s="206">
        <v>9.6214932189188945E-2</v>
      </c>
    </row>
    <row r="11" spans="1:16" ht="20" customHeight="1" x14ac:dyDescent="0.35">
      <c r="A11" s="184" t="str">
        <v>P2</v>
      </c>
      <c r="B11" s="184" t="str">
        <v>Practice</v>
      </c>
      <c r="C11" s="205">
        <v>0</v>
      </c>
      <c r="D11" s="205">
        <v>73682</v>
      </c>
      <c r="E11" s="205">
        <v>77000</v>
      </c>
      <c r="F11" s="205">
        <v>-3318</v>
      </c>
      <c r="G11" s="206">
        <v>-4.066158885479243E-2</v>
      </c>
      <c r="H11" s="184" t="str">
        <v>OK</v>
      </c>
      <c r="I11" s="206">
        <v>-4.0479178561012123E-2</v>
      </c>
      <c r="J11" s="184" t="str">
        <v>OK</v>
      </c>
      <c r="K11" s="205">
        <v>48142</v>
      </c>
      <c r="L11" s="206">
        <v>0.2293640237778562</v>
      </c>
    </row>
    <row r="12" spans="1:16" ht="20" customHeight="1" x14ac:dyDescent="0.35">
      <c r="A12" s="184" t="str">
        <v>P3</v>
      </c>
      <c r="B12" s="184" t="str">
        <v>Cash reserve</v>
      </c>
      <c r="C12" s="205">
        <v>0</v>
      </c>
      <c r="D12" s="205">
        <v>40990</v>
      </c>
      <c r="E12" s="205">
        <v>41000</v>
      </c>
      <c r="F12" s="205">
        <v>-10</v>
      </c>
      <c r="G12" s="206">
        <v>-2.4390243902439046E-4</v>
      </c>
      <c r="H12" s="184" t="str">
        <v>OK</v>
      </c>
      <c r="I12" s="206">
        <v>-2.4180160356576623E-4</v>
      </c>
      <c r="J12" s="184" t="str">
        <v>OK</v>
      </c>
      <c r="K12" s="205">
        <v>40990</v>
      </c>
      <c r="L12" s="206">
        <v>0</v>
      </c>
    </row>
    <row r="13" spans="1:16" ht="20" customHeight="1" x14ac:dyDescent="0.35">
      <c r="A13" s="184" t="str">
        <v>P4</v>
      </c>
      <c r="B13" s="184" t="str">
        <v>Balanced example</v>
      </c>
      <c r="C13" s="205">
        <v>0</v>
      </c>
      <c r="D13" s="205">
        <v>62490</v>
      </c>
      <c r="E13" s="205">
        <v>63000</v>
      </c>
      <c r="F13" s="205">
        <v>-510</v>
      </c>
      <c r="G13" s="206">
        <v>-7.743188380214816E-3</v>
      </c>
      <c r="H13" s="184" t="str">
        <v>OK</v>
      </c>
      <c r="I13" s="206">
        <v>-8.2816677314672613E-3</v>
      </c>
      <c r="J13" s="184" t="str">
        <v>OK</v>
      </c>
      <c r="K13" s="205">
        <v>45840</v>
      </c>
      <c r="L13" s="206">
        <v>0.12449991998719795</v>
      </c>
    </row>
    <row r="14" spans="1:16" ht="20" customHeight="1" x14ac:dyDescent="0.35">
      <c r="A14" s="184" t="str">
        <v>__GROUP__</v>
      </c>
      <c r="B14" s="184" t="str">
        <v>Included accounts</v>
      </c>
      <c r="C14" s="205">
        <v>0</v>
      </c>
      <c r="D14" s="205">
        <v>223283</v>
      </c>
      <c r="E14" s="205">
        <v>228000</v>
      </c>
      <c r="F14" s="205">
        <v>-4717</v>
      </c>
      <c r="G14" s="206">
        <v>-2.0364804718780549E-2</v>
      </c>
      <c r="H14" s="184" t="str">
        <v>OK</v>
      </c>
      <c r="I14" s="206">
        <v>-2.0380163154344984E-2</v>
      </c>
      <c r="J14" s="184" t="str">
        <v>OK</v>
      </c>
      <c r="K14" s="205">
        <v>182223</v>
      </c>
      <c r="L14" s="206">
        <v>9.8395309987773363E-2</v>
      </c>
    </row>
    <row r="28" spans="1:12" ht="20" customHeight="1" x14ac:dyDescent="0.35">
      <c r="A28"/>
      <c r="B28"/>
      <c r="C28"/>
      <c r="D28"/>
      <c r="E28"/>
      <c r="F28"/>
      <c r="G28"/>
      <c r="H28"/>
      <c r="I28"/>
      <c r="J28"/>
      <c r="K28"/>
      <c r="L28"/>
    </row>
    <row r="29" spans="1:12" ht="20" customHeight="1" x14ac:dyDescent="0.35">
      <c r="A29"/>
      <c r="B29"/>
      <c r="C29"/>
      <c r="D29"/>
      <c r="E29"/>
      <c r="F29"/>
      <c r="G29"/>
      <c r="H29"/>
      <c r="I29"/>
      <c r="J29"/>
      <c r="K29"/>
      <c r="L29"/>
    </row>
    <row r="39" spans="1:3" ht="20" customHeight="1" x14ac:dyDescent="0.35">
      <c r="A39"/>
      <c r="B39"/>
      <c r="C39"/>
    </row>
    <row r="40" spans="1:3" ht="20" customHeight="1" x14ac:dyDescent="0.35">
      <c r="A40"/>
      <c r="B40"/>
      <c r="C40"/>
    </row>
    <row r="41" spans="1:3" ht="20" customHeight="1" x14ac:dyDescent="0.35">
      <c r="A41"/>
      <c r="B41"/>
      <c r="C41"/>
    </row>
    <row r="42" spans="1:3" ht="20" customHeight="1" x14ac:dyDescent="0.35">
      <c r="A42"/>
      <c r="B42"/>
      <c r="C42"/>
    </row>
    <row r="43" spans="1:3" ht="20" customHeight="1" x14ac:dyDescent="0.35">
      <c r="A43"/>
      <c r="B43"/>
      <c r="C43"/>
    </row>
    <row r="44" spans="1:3" ht="20" customHeight="1" x14ac:dyDescent="0.35">
      <c r="A44"/>
      <c r="B44"/>
      <c r="C44"/>
    </row>
    <row r="45" spans="1:3" ht="20" customHeight="1" x14ac:dyDescent="0.35">
      <c r="A45"/>
      <c r="B45"/>
      <c r="C45"/>
    </row>
    <row r="46" spans="1:3" ht="20" customHeight="1" x14ac:dyDescent="0.35">
      <c r="A46"/>
      <c r="B46"/>
      <c r="C46"/>
    </row>
    <row r="47" spans="1:3" ht="20" customHeight="1" x14ac:dyDescent="0.35">
      <c r="A47"/>
      <c r="B47"/>
      <c r="C47"/>
    </row>
    <row r="48" spans="1:3" ht="20" customHeight="1" x14ac:dyDescent="0.35">
      <c r="A48"/>
      <c r="B48"/>
      <c r="C48"/>
    </row>
    <row r="49" spans="1:3" ht="20" customHeight="1" x14ac:dyDescent="0.35">
      <c r="A49"/>
      <c r="B49"/>
      <c r="C49"/>
    </row>
    <row r="50" spans="1:3" ht="20" customHeight="1" x14ac:dyDescent="0.35">
      <c r="A50"/>
      <c r="B50"/>
      <c r="C50"/>
    </row>
    <row r="51" spans="1:3" ht="20" customHeight="1" x14ac:dyDescent="0.35">
      <c r="A51"/>
      <c r="B51"/>
      <c r="C51"/>
    </row>
  </sheetData>
  <mergeCells count="3">
    <mergeCell ref="A1:P2"/>
    <mergeCell ref="A3:P4"/>
    <mergeCell ref="A7:L7"/>
  </mergeCells>
  <dataValidations count="1">
    <dataValidation type="list" showInputMessage="1" showErrorMessage="1" sqref="B5 E5" xr:uid="{0A66AFD0-2784-49A2-8B1E-4072B898F91B}">
      <formula1>AP_DateList</formula1>
    </dataValidation>
  </dataValidations>
  <hyperlinks>
    <hyperlink ref="H5" location="Snapshot!A1" display="Explore loaded snapshot" xr:uid="{28664BAA-9941-4B82-8D13-11FCF27A6CF3}"/>
  </hyperlinks>
  <pageMargins left="0.7" right="0.7" top="0.75" bottom="0.75" header="0.3" footer="0.3"/>
  <pageSetup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B8EC4-C485-419F-962B-88ABB076365B}">
  <sheetPr>
    <pageSetUpPr fitToPage="1"/>
  </sheetPr>
  <dimension ref="A1:P2000"/>
  <sheetViews>
    <sheetView showGridLines="0" workbookViewId="0">
      <pane ySplit="11" topLeftCell="A12" activePane="bottomLeft" state="frozenSplit"/>
      <selection pane="bottomLeft" sqref="A1:P2"/>
    </sheetView>
  </sheetViews>
  <sheetFormatPr defaultColWidth="14.6328125" defaultRowHeight="20" customHeight="1" x14ac:dyDescent="0.35"/>
  <cols>
    <col min="1" max="1" width="14.6328125" style="184"/>
    <col min="2" max="2" width="24.6328125" style="184" customWidth="1"/>
    <col min="3" max="3" width="14.6328125" style="208"/>
    <col min="4" max="9" width="14.6328125" style="193"/>
    <col min="10" max="10" width="14.6328125" style="184"/>
    <col min="11" max="11" width="38.6328125" style="184" customWidth="1"/>
    <col min="12" max="12" width="44.6328125" style="184" customWidth="1"/>
    <col min="13" max="16384" width="14.6328125" style="184"/>
  </cols>
  <sheetData>
    <row r="1" spans="1:16" ht="20" customHeight="1" x14ac:dyDescent="0.35">
      <c r="A1" s="224" t="s">
        <v>547</v>
      </c>
      <c r="B1" s="224"/>
      <c r="C1" s="224"/>
      <c r="D1" s="224"/>
      <c r="E1" s="224"/>
      <c r="F1" s="224"/>
      <c r="G1" s="224"/>
      <c r="H1" s="224"/>
      <c r="I1" s="224"/>
      <c r="J1" s="224"/>
      <c r="K1" s="224"/>
      <c r="L1" s="224"/>
      <c r="M1" s="224"/>
      <c r="N1" s="224"/>
      <c r="O1" s="224"/>
      <c r="P1" s="224"/>
    </row>
    <row r="2" spans="1:16" ht="20" customHeight="1" x14ac:dyDescent="0.35">
      <c r="A2" s="224"/>
      <c r="B2" s="224"/>
      <c r="C2" s="224"/>
      <c r="D2" s="224"/>
      <c r="E2" s="224"/>
      <c r="F2" s="224"/>
      <c r="G2" s="224"/>
      <c r="H2" s="224"/>
      <c r="I2" s="224"/>
      <c r="J2" s="224"/>
      <c r="K2" s="224"/>
      <c r="L2" s="224"/>
      <c r="M2" s="224"/>
      <c r="N2" s="224"/>
      <c r="O2" s="224"/>
      <c r="P2" s="224"/>
    </row>
    <row r="3" spans="1:16" ht="20" customHeight="1" x14ac:dyDescent="0.35">
      <c r="A3" s="225" t="s">
        <v>548</v>
      </c>
      <c r="B3" s="225"/>
      <c r="C3" s="225"/>
      <c r="D3" s="225"/>
      <c r="E3" s="225"/>
      <c r="F3" s="225"/>
      <c r="G3" s="225"/>
      <c r="H3" s="225"/>
      <c r="I3" s="225"/>
      <c r="J3" s="225"/>
      <c r="K3" s="225"/>
      <c r="L3" s="225"/>
      <c r="M3" s="225"/>
      <c r="N3" s="225"/>
      <c r="O3" s="225"/>
      <c r="P3" s="225"/>
    </row>
    <row r="4" spans="1:16" ht="20" customHeight="1" x14ac:dyDescent="0.35">
      <c r="A4" s="225"/>
      <c r="B4" s="225"/>
      <c r="C4" s="225"/>
      <c r="D4" s="225"/>
      <c r="E4" s="225"/>
      <c r="F4" s="225"/>
      <c r="G4" s="225"/>
      <c r="H4" s="225"/>
      <c r="I4" s="225"/>
      <c r="J4" s="225"/>
      <c r="K4" s="225"/>
      <c r="L4" s="225"/>
      <c r="M4" s="225"/>
      <c r="N4" s="225"/>
      <c r="O4" s="225"/>
      <c r="P4" s="225"/>
    </row>
    <row r="5" spans="1:16" ht="20" customHeight="1" x14ac:dyDescent="0.35">
      <c r="A5" s="184" t="s">
        <v>557</v>
      </c>
      <c r="B5" s="207" t="s">
        <v>563</v>
      </c>
      <c r="D5" s="193" t="s">
        <v>2</v>
      </c>
      <c r="E5" s="204">
        <v>46022</v>
      </c>
    </row>
    <row r="7" spans="1:16" ht="34" customHeight="1" x14ac:dyDescent="0.35">
      <c r="A7" s="185" t="s">
        <v>676</v>
      </c>
      <c r="B7" s="193" cm="1">
        <f t="array" ref="B7">IF(AP_InputsCurrent,_xlfn.XLOOKUP(1,(Out_PortfolioDaily[PortfolioID]=AP_SelectedPortfolio)*(Out_PortfolioDaily[Date]=AP_ValuationDate),Out_PortfolioDaily[Cash],NA()),NA())</f>
        <v>93091</v>
      </c>
      <c r="D7" s="209" t="s">
        <v>677</v>
      </c>
      <c r="E7" s="193" cm="1">
        <f t="array" ref="E7">IF(AP_InputsCurrent,_xlfn.XLOOKUP(1,(Out_PortfolioDaily[PortfolioID]=AP_SelectedPortfolio)*(Out_PortfolioDaily[Date]=AP_ValuationDate),Out_PortfolioDaily[DividendReceivable],NA()),NA())</f>
        <v>0</v>
      </c>
      <c r="G7" s="209" t="s">
        <v>678</v>
      </c>
      <c r="H7" s="193" cm="1">
        <f t="array" ref="H7">IF(AND(AP_InputsCurrent,_xlfn.XLOOKUP(1,(Out_PortfolioDaily[PortfolioID]=AP_SelectedPortfolio)*(Out_PortfolioDaily[Date]=AP_ValuationDate),Out_PortfolioDaily[Status],"Missing")="OK"),_xlfn.XLOOKUP(1,(Out_PortfolioDaily[PortfolioID]=AP_SelectedPortfolio)*(Out_PortfolioDaily[Date]=AP_ValuationDate),Out_PortfolioDaily[ClosingValue],NA()),NA())</f>
        <v>108611</v>
      </c>
    </row>
    <row r="9" spans="1:16" ht="20" customHeight="1" x14ac:dyDescent="0.35">
      <c r="A9" s="222" t="str" cm="1">
        <f t="array" ref="A9">IF(NOT(AP_InputsCurrent),"Inputs edited; Refresh All",_xlfn.XLOOKUP(1,(Out_PortfolioDaily[PortfolioID]=AP_SelectedPortfolio)*(Out_PortfolioDaily[Date]=AP_ValuationDate),Out_PortfolioDaily[Status]&amp;" | "&amp;Out_PortfolioDaily[Reason],"Missing account/date snapshot"))</f>
        <v xml:space="preserve">OK | </v>
      </c>
      <c r="B9" s="222"/>
      <c r="C9" s="222"/>
      <c r="D9" s="222"/>
      <c r="E9" s="222"/>
      <c r="F9" s="222"/>
      <c r="G9" s="222"/>
      <c r="H9" s="222"/>
      <c r="I9" s="222"/>
      <c r="J9" s="222"/>
      <c r="K9" s="222"/>
      <c r="L9" s="222"/>
    </row>
    <row r="11" spans="1:16" ht="40" customHeight="1" x14ac:dyDescent="0.35">
      <c r="A11" s="211" t="s">
        <v>568</v>
      </c>
      <c r="B11" s="211" t="s">
        <v>679</v>
      </c>
      <c r="C11" s="214" t="s">
        <v>13</v>
      </c>
      <c r="D11" s="215" t="s">
        <v>680</v>
      </c>
      <c r="E11" s="215" t="s">
        <v>681</v>
      </c>
      <c r="F11" s="215" t="s">
        <v>43</v>
      </c>
      <c r="G11" s="215" t="s">
        <v>682</v>
      </c>
      <c r="H11" s="215" t="s">
        <v>683</v>
      </c>
      <c r="I11" s="215" t="s">
        <v>684</v>
      </c>
      <c r="J11" s="211" t="s">
        <v>236</v>
      </c>
      <c r="K11" s="211" t="s">
        <v>624</v>
      </c>
      <c r="L11" s="211" t="s">
        <v>685</v>
      </c>
    </row>
    <row r="12" spans="1:16" ht="42" customHeight="1" x14ac:dyDescent="0.35">
      <c r="A12" s="184" t="str" cm="1">
        <f t="array" ref="A12:L14">IF(NOT(AP_InputsCurrent),"Inputs edited; Refresh All",_xlfn.LET(_xlpm.mask,(Out_HoldingsDaily[PortfolioID]=AP_SelectedPortfolio)*(Out_HoldingsDaily[Date]=AP_ValuationDate),_xlpm.ids,Out_HoldingsDaily[InstrumentID],_xlfn._xlws.FILTER(_xlfn.HSTACK(_xlpm.ids,_xlfn.XLOOKUP(_xlpm.ids,AP_Instruments[InstrumentID],AP_Instruments[InstrumentName],"Unknown"),Out_HoldingsDaily[Units],Out_HoldingsDaily[Basis],IF(ISNUMBER(Out_HoldingsDaily[Price]),Out_HoldingsDaily[Price],"Unavailable"),IF(ISNUMBER(Out_HoldingsDaily[PriceDate]),TEXT(Out_HoldingsDaily[PriceDate],"yyyy-mm-dd"),"Unavailable"),IF(ISNUMBER(Out_HoldingsDaily[MarketValue]),Out_HoldingsDaily[MarketValue],"Unavailable"),Out_HoldingsDaily[DividendReceivable],IF(ISNUMBER(Out_HoldingsDaily[UnrealizedPnL]),Out_HoldingsDaily[UnrealizedPnL],"Unavailable"),Out_HoldingsDaily[Status],Out_HoldingsDaily[Reason],IF(COUNTIF(AP_Notes[NoteKey],AP_SelectedPortfolio&amp;"|"&amp;_xlpm.ids)&gt;1,"Duplicate note key; resolve AP_Notes",_xlfn.XLOOKUP(AP_SelectedPortfolio&amp;"|"&amp;_xlpm.ids,AP_Notes[NoteKey],AP_Notes[ReviewNote],""))),_xlpm.mask,"No account/date holdings snapshot")))</f>
        <v>S_ALPHA</v>
      </c>
      <c r="B12" s="184" t="str">
        <v>Synthetic Alpha</v>
      </c>
      <c r="C12" s="208">
        <v>220</v>
      </c>
      <c r="D12" s="193">
        <v>10937.666666666666</v>
      </c>
      <c r="E12" s="193">
        <v>47.5</v>
      </c>
      <c r="F12" s="193" t="str">
        <v>2025-12-31</v>
      </c>
      <c r="G12" s="193">
        <v>10450</v>
      </c>
      <c r="H12" s="193">
        <v>0</v>
      </c>
      <c r="I12" s="193">
        <v>-487.66666666666606</v>
      </c>
      <c r="J12" s="184" t="str">
        <v>OK</v>
      </c>
      <c r="K12" s="184" t="str">
        <v/>
      </c>
      <c r="L12" s="185" t="str">
        <v>Check partial sale, split and dividend trace</v>
      </c>
    </row>
    <row r="13" spans="1:16" ht="42" customHeight="1" x14ac:dyDescent="0.35">
      <c r="A13" s="184" t="str">
        <v>S_BETA</v>
      </c>
      <c r="B13" s="184" t="str">
        <v>Synthetic Beta</v>
      </c>
      <c r="C13" s="208">
        <v>30</v>
      </c>
      <c r="D13" s="193">
        <v>6006</v>
      </c>
      <c r="E13" s="193">
        <v>169</v>
      </c>
      <c r="F13" s="193" t="str">
        <v>2025-12-31</v>
      </c>
      <c r="G13" s="193">
        <v>5070</v>
      </c>
      <c r="H13" s="193">
        <v>0</v>
      </c>
      <c r="I13" s="193">
        <v>-936</v>
      </c>
      <c r="J13" s="184" t="str">
        <v>OK</v>
      </c>
      <c r="K13" s="184" t="str">
        <v/>
      </c>
      <c r="L13" s="185" t="str">
        <v/>
      </c>
    </row>
    <row r="14" spans="1:16" ht="42" customHeight="1" x14ac:dyDescent="0.35">
      <c r="A14" s="184" t="str">
        <v>S_GAMMA</v>
      </c>
      <c r="B14" s="184" t="str">
        <v>Synthetic Gamma</v>
      </c>
      <c r="C14" s="208">
        <v>0</v>
      </c>
      <c r="D14" s="193">
        <v>0</v>
      </c>
      <c r="E14" s="193">
        <v>77.8</v>
      </c>
      <c r="F14" s="193" t="str">
        <v>2025-12-31</v>
      </c>
      <c r="G14" s="193">
        <v>0</v>
      </c>
      <c r="H14" s="193">
        <v>0</v>
      </c>
      <c r="I14" s="193">
        <v>0</v>
      </c>
      <c r="J14" s="184" t="str">
        <v>OK</v>
      </c>
      <c r="K14" s="184" t="str">
        <v/>
      </c>
      <c r="L14" s="185" t="str">
        <v/>
      </c>
    </row>
    <row r="15" spans="1:16" ht="42" customHeight="1" x14ac:dyDescent="0.35">
      <c r="L15" s="185"/>
    </row>
    <row r="16" spans="1:16" ht="42" customHeight="1" x14ac:dyDescent="0.35">
      <c r="L16" s="185"/>
    </row>
    <row r="17" spans="12:12" ht="42" customHeight="1" x14ac:dyDescent="0.35">
      <c r="L17" s="185"/>
    </row>
    <row r="18" spans="12:12" ht="42" customHeight="1" x14ac:dyDescent="0.35">
      <c r="L18" s="185"/>
    </row>
    <row r="19" spans="12:12" ht="42" customHeight="1" x14ac:dyDescent="0.35">
      <c r="L19" s="185"/>
    </row>
    <row r="20" spans="12:12" ht="42" customHeight="1" x14ac:dyDescent="0.35">
      <c r="L20" s="185"/>
    </row>
    <row r="21" spans="12:12" ht="20" customHeight="1" x14ac:dyDescent="0.35">
      <c r="L21" s="185"/>
    </row>
    <row r="22" spans="12:12" ht="20" customHeight="1" x14ac:dyDescent="0.35">
      <c r="L22" s="185"/>
    </row>
    <row r="23" spans="12:12" ht="20" customHeight="1" x14ac:dyDescent="0.35">
      <c r="L23" s="185"/>
    </row>
    <row r="24" spans="12:12" ht="20" customHeight="1" x14ac:dyDescent="0.35">
      <c r="L24" s="185"/>
    </row>
    <row r="25" spans="12:12" ht="20" customHeight="1" x14ac:dyDescent="0.35">
      <c r="L25" s="185"/>
    </row>
    <row r="26" spans="12:12" ht="20" customHeight="1" x14ac:dyDescent="0.35">
      <c r="L26" s="185"/>
    </row>
    <row r="27" spans="12:12" ht="20" customHeight="1" x14ac:dyDescent="0.35">
      <c r="L27" s="185"/>
    </row>
    <row r="28" spans="12:12" ht="20" customHeight="1" x14ac:dyDescent="0.35">
      <c r="L28" s="185"/>
    </row>
    <row r="29" spans="12:12" ht="20" customHeight="1" x14ac:dyDescent="0.35">
      <c r="L29" s="185"/>
    </row>
    <row r="30" spans="12:12" ht="20" customHeight="1" x14ac:dyDescent="0.35">
      <c r="L30" s="185"/>
    </row>
    <row r="31" spans="12:12" ht="20" customHeight="1" x14ac:dyDescent="0.35">
      <c r="L31" s="185"/>
    </row>
    <row r="32" spans="12:12" ht="20" customHeight="1" x14ac:dyDescent="0.35">
      <c r="L32" s="185"/>
    </row>
    <row r="33" spans="12:12" ht="20" customHeight="1" x14ac:dyDescent="0.35">
      <c r="L33" s="185"/>
    </row>
    <row r="34" spans="12:12" ht="20" customHeight="1" x14ac:dyDescent="0.35">
      <c r="L34" s="185"/>
    </row>
    <row r="35" spans="12:12" ht="20" customHeight="1" x14ac:dyDescent="0.35">
      <c r="L35" s="185"/>
    </row>
    <row r="36" spans="12:12" ht="20" customHeight="1" x14ac:dyDescent="0.35">
      <c r="L36" s="185"/>
    </row>
    <row r="37" spans="12:12" ht="20" customHeight="1" x14ac:dyDescent="0.35">
      <c r="L37" s="185"/>
    </row>
    <row r="38" spans="12:12" ht="20" customHeight="1" x14ac:dyDescent="0.35">
      <c r="L38" s="185"/>
    </row>
    <row r="39" spans="12:12" ht="20" customHeight="1" x14ac:dyDescent="0.35">
      <c r="L39" s="185"/>
    </row>
    <row r="40" spans="12:12" ht="20" customHeight="1" x14ac:dyDescent="0.35">
      <c r="L40" s="185"/>
    </row>
    <row r="41" spans="12:12" ht="20" customHeight="1" x14ac:dyDescent="0.35">
      <c r="L41" s="185"/>
    </row>
    <row r="42" spans="12:12" ht="20" customHeight="1" x14ac:dyDescent="0.35">
      <c r="L42" s="185"/>
    </row>
    <row r="43" spans="12:12" ht="20" customHeight="1" x14ac:dyDescent="0.35">
      <c r="L43" s="185"/>
    </row>
    <row r="44" spans="12:12" ht="20" customHeight="1" x14ac:dyDescent="0.35">
      <c r="L44" s="185"/>
    </row>
    <row r="45" spans="12:12" ht="20" customHeight="1" x14ac:dyDescent="0.35">
      <c r="L45" s="185"/>
    </row>
    <row r="46" spans="12:12" ht="20" customHeight="1" x14ac:dyDescent="0.35">
      <c r="L46" s="185"/>
    </row>
    <row r="47" spans="12:12" ht="20" customHeight="1" x14ac:dyDescent="0.35">
      <c r="L47" s="185"/>
    </row>
    <row r="48" spans="12:12" ht="20" customHeight="1" x14ac:dyDescent="0.35">
      <c r="L48" s="185"/>
    </row>
    <row r="49" spans="12:12" ht="20" customHeight="1" x14ac:dyDescent="0.35">
      <c r="L49" s="185"/>
    </row>
    <row r="50" spans="12:12" ht="20" customHeight="1" x14ac:dyDescent="0.35">
      <c r="L50" s="185"/>
    </row>
    <row r="51" spans="12:12" ht="20" customHeight="1" x14ac:dyDescent="0.35">
      <c r="L51" s="185"/>
    </row>
    <row r="52" spans="12:12" ht="20" customHeight="1" x14ac:dyDescent="0.35">
      <c r="L52" s="185"/>
    </row>
    <row r="53" spans="12:12" ht="20" customHeight="1" x14ac:dyDescent="0.35">
      <c r="L53" s="185"/>
    </row>
    <row r="54" spans="12:12" ht="20" customHeight="1" x14ac:dyDescent="0.35">
      <c r="L54" s="185"/>
    </row>
    <row r="55" spans="12:12" ht="20" customHeight="1" x14ac:dyDescent="0.35">
      <c r="L55" s="185"/>
    </row>
    <row r="56" spans="12:12" ht="20" customHeight="1" x14ac:dyDescent="0.35">
      <c r="L56" s="185"/>
    </row>
    <row r="57" spans="12:12" ht="20" customHeight="1" x14ac:dyDescent="0.35">
      <c r="L57" s="185"/>
    </row>
    <row r="58" spans="12:12" ht="20" customHeight="1" x14ac:dyDescent="0.35">
      <c r="L58" s="185"/>
    </row>
    <row r="59" spans="12:12" ht="20" customHeight="1" x14ac:dyDescent="0.35">
      <c r="L59" s="185"/>
    </row>
    <row r="60" spans="12:12" ht="20" customHeight="1" x14ac:dyDescent="0.35">
      <c r="L60" s="185"/>
    </row>
    <row r="61" spans="12:12" ht="20" customHeight="1" x14ac:dyDescent="0.35">
      <c r="L61" s="185"/>
    </row>
    <row r="62" spans="12:12" ht="20" customHeight="1" x14ac:dyDescent="0.35">
      <c r="L62" s="185"/>
    </row>
    <row r="63" spans="12:12" ht="20" customHeight="1" x14ac:dyDescent="0.35">
      <c r="L63" s="185"/>
    </row>
    <row r="64" spans="12:12" ht="20" customHeight="1" x14ac:dyDescent="0.35">
      <c r="L64" s="185"/>
    </row>
    <row r="65" spans="12:12" ht="20" customHeight="1" x14ac:dyDescent="0.35">
      <c r="L65" s="185"/>
    </row>
    <row r="66" spans="12:12" ht="20" customHeight="1" x14ac:dyDescent="0.35">
      <c r="L66" s="185"/>
    </row>
    <row r="67" spans="12:12" ht="20" customHeight="1" x14ac:dyDescent="0.35">
      <c r="L67" s="185"/>
    </row>
    <row r="68" spans="12:12" ht="20" customHeight="1" x14ac:dyDescent="0.35">
      <c r="L68" s="185"/>
    </row>
    <row r="69" spans="12:12" ht="20" customHeight="1" x14ac:dyDescent="0.35">
      <c r="L69" s="185"/>
    </row>
    <row r="70" spans="12:12" ht="20" customHeight="1" x14ac:dyDescent="0.35">
      <c r="L70" s="185"/>
    </row>
    <row r="71" spans="12:12" ht="20" customHeight="1" x14ac:dyDescent="0.35">
      <c r="L71" s="185"/>
    </row>
    <row r="72" spans="12:12" ht="20" customHeight="1" x14ac:dyDescent="0.35">
      <c r="L72" s="185"/>
    </row>
    <row r="73" spans="12:12" ht="20" customHeight="1" x14ac:dyDescent="0.35">
      <c r="L73" s="185"/>
    </row>
    <row r="74" spans="12:12" ht="20" customHeight="1" x14ac:dyDescent="0.35">
      <c r="L74" s="185"/>
    </row>
    <row r="75" spans="12:12" ht="20" customHeight="1" x14ac:dyDescent="0.35">
      <c r="L75" s="185"/>
    </row>
    <row r="76" spans="12:12" ht="20" customHeight="1" x14ac:dyDescent="0.35">
      <c r="L76" s="185"/>
    </row>
    <row r="77" spans="12:12" ht="20" customHeight="1" x14ac:dyDescent="0.35">
      <c r="L77" s="185"/>
    </row>
    <row r="78" spans="12:12" ht="20" customHeight="1" x14ac:dyDescent="0.35">
      <c r="L78" s="185"/>
    </row>
    <row r="79" spans="12:12" ht="20" customHeight="1" x14ac:dyDescent="0.35">
      <c r="L79" s="185"/>
    </row>
    <row r="80" spans="12:12" ht="20" customHeight="1" x14ac:dyDescent="0.35">
      <c r="L80" s="185"/>
    </row>
    <row r="81" spans="12:12" ht="20" customHeight="1" x14ac:dyDescent="0.35">
      <c r="L81" s="185"/>
    </row>
    <row r="82" spans="12:12" ht="20" customHeight="1" x14ac:dyDescent="0.35">
      <c r="L82" s="185"/>
    </row>
    <row r="83" spans="12:12" ht="20" customHeight="1" x14ac:dyDescent="0.35">
      <c r="L83" s="185"/>
    </row>
    <row r="84" spans="12:12" ht="20" customHeight="1" x14ac:dyDescent="0.35">
      <c r="L84" s="185"/>
    </row>
    <row r="85" spans="12:12" ht="20" customHeight="1" x14ac:dyDescent="0.35">
      <c r="L85" s="185"/>
    </row>
    <row r="86" spans="12:12" ht="20" customHeight="1" x14ac:dyDescent="0.35">
      <c r="L86" s="185"/>
    </row>
    <row r="87" spans="12:12" ht="20" customHeight="1" x14ac:dyDescent="0.35">
      <c r="L87" s="185"/>
    </row>
    <row r="88" spans="12:12" ht="20" customHeight="1" x14ac:dyDescent="0.35">
      <c r="L88" s="185"/>
    </row>
    <row r="89" spans="12:12" ht="20" customHeight="1" x14ac:dyDescent="0.35">
      <c r="L89" s="185"/>
    </row>
    <row r="90" spans="12:12" ht="20" customHeight="1" x14ac:dyDescent="0.35">
      <c r="L90" s="185"/>
    </row>
    <row r="91" spans="12:12" ht="20" customHeight="1" x14ac:dyDescent="0.35">
      <c r="L91" s="185"/>
    </row>
    <row r="92" spans="12:12" ht="20" customHeight="1" x14ac:dyDescent="0.35">
      <c r="L92" s="185"/>
    </row>
    <row r="93" spans="12:12" ht="20" customHeight="1" x14ac:dyDescent="0.35">
      <c r="L93" s="185"/>
    </row>
    <row r="94" spans="12:12" ht="20" customHeight="1" x14ac:dyDescent="0.35">
      <c r="L94" s="185"/>
    </row>
    <row r="95" spans="12:12" ht="20" customHeight="1" x14ac:dyDescent="0.35">
      <c r="L95" s="185"/>
    </row>
    <row r="96" spans="12:12" ht="20" customHeight="1" x14ac:dyDescent="0.35">
      <c r="L96" s="185"/>
    </row>
    <row r="97" spans="12:12" ht="20" customHeight="1" x14ac:dyDescent="0.35">
      <c r="L97" s="185"/>
    </row>
    <row r="98" spans="12:12" ht="20" customHeight="1" x14ac:dyDescent="0.35">
      <c r="L98" s="185"/>
    </row>
    <row r="99" spans="12:12" ht="20" customHeight="1" x14ac:dyDescent="0.35">
      <c r="L99" s="185"/>
    </row>
    <row r="100" spans="12:12" ht="20" customHeight="1" x14ac:dyDescent="0.35">
      <c r="L100" s="185"/>
    </row>
    <row r="101" spans="12:12" ht="20" customHeight="1" x14ac:dyDescent="0.35">
      <c r="L101" s="185"/>
    </row>
    <row r="102" spans="12:12" ht="20" customHeight="1" x14ac:dyDescent="0.35">
      <c r="L102" s="185"/>
    </row>
    <row r="103" spans="12:12" ht="20" customHeight="1" x14ac:dyDescent="0.35">
      <c r="L103" s="185"/>
    </row>
    <row r="104" spans="12:12" ht="20" customHeight="1" x14ac:dyDescent="0.35">
      <c r="L104" s="185"/>
    </row>
    <row r="105" spans="12:12" ht="20" customHeight="1" x14ac:dyDescent="0.35">
      <c r="L105" s="185"/>
    </row>
    <row r="106" spans="12:12" ht="20" customHeight="1" x14ac:dyDescent="0.35">
      <c r="L106" s="185"/>
    </row>
    <row r="107" spans="12:12" ht="20" customHeight="1" x14ac:dyDescent="0.35">
      <c r="L107" s="185"/>
    </row>
    <row r="108" spans="12:12" ht="20" customHeight="1" x14ac:dyDescent="0.35">
      <c r="L108" s="185"/>
    </row>
    <row r="109" spans="12:12" ht="20" customHeight="1" x14ac:dyDescent="0.35">
      <c r="L109" s="185"/>
    </row>
    <row r="110" spans="12:12" ht="20" customHeight="1" x14ac:dyDescent="0.35">
      <c r="L110" s="185"/>
    </row>
    <row r="111" spans="12:12" ht="20" customHeight="1" x14ac:dyDescent="0.35">
      <c r="L111" s="185"/>
    </row>
    <row r="112" spans="12:12" ht="20" customHeight="1" x14ac:dyDescent="0.35">
      <c r="L112" s="185"/>
    </row>
    <row r="113" spans="12:12" ht="20" customHeight="1" x14ac:dyDescent="0.35">
      <c r="L113" s="185"/>
    </row>
    <row r="114" spans="12:12" ht="20" customHeight="1" x14ac:dyDescent="0.35">
      <c r="L114" s="185"/>
    </row>
    <row r="115" spans="12:12" ht="20" customHeight="1" x14ac:dyDescent="0.35">
      <c r="L115" s="185"/>
    </row>
    <row r="116" spans="12:12" ht="20" customHeight="1" x14ac:dyDescent="0.35">
      <c r="L116" s="185"/>
    </row>
    <row r="117" spans="12:12" ht="20" customHeight="1" x14ac:dyDescent="0.35">
      <c r="L117" s="185"/>
    </row>
    <row r="118" spans="12:12" ht="20" customHeight="1" x14ac:dyDescent="0.35">
      <c r="L118" s="185"/>
    </row>
    <row r="119" spans="12:12" ht="20" customHeight="1" x14ac:dyDescent="0.35">
      <c r="L119" s="185"/>
    </row>
    <row r="120" spans="12:12" ht="20" customHeight="1" x14ac:dyDescent="0.35">
      <c r="L120" s="185"/>
    </row>
    <row r="121" spans="12:12" ht="20" customHeight="1" x14ac:dyDescent="0.35">
      <c r="L121" s="185"/>
    </row>
    <row r="122" spans="12:12" ht="20" customHeight="1" x14ac:dyDescent="0.35">
      <c r="L122" s="185"/>
    </row>
    <row r="123" spans="12:12" ht="20" customHeight="1" x14ac:dyDescent="0.35">
      <c r="L123" s="185"/>
    </row>
    <row r="124" spans="12:12" ht="20" customHeight="1" x14ac:dyDescent="0.35">
      <c r="L124" s="185"/>
    </row>
    <row r="125" spans="12:12" ht="20" customHeight="1" x14ac:dyDescent="0.35">
      <c r="L125" s="185"/>
    </row>
    <row r="126" spans="12:12" ht="20" customHeight="1" x14ac:dyDescent="0.35">
      <c r="L126" s="185"/>
    </row>
    <row r="127" spans="12:12" ht="20" customHeight="1" x14ac:dyDescent="0.35">
      <c r="L127" s="185"/>
    </row>
    <row r="128" spans="12:12" ht="20" customHeight="1" x14ac:dyDescent="0.35">
      <c r="L128" s="185"/>
    </row>
    <row r="129" spans="12:12" ht="20" customHeight="1" x14ac:dyDescent="0.35">
      <c r="L129" s="185"/>
    </row>
    <row r="130" spans="12:12" ht="20" customHeight="1" x14ac:dyDescent="0.35">
      <c r="L130" s="185"/>
    </row>
    <row r="131" spans="12:12" ht="20" customHeight="1" x14ac:dyDescent="0.35">
      <c r="L131" s="185"/>
    </row>
    <row r="132" spans="12:12" ht="20" customHeight="1" x14ac:dyDescent="0.35">
      <c r="L132" s="185"/>
    </row>
    <row r="133" spans="12:12" ht="20" customHeight="1" x14ac:dyDescent="0.35">
      <c r="L133" s="185"/>
    </row>
    <row r="134" spans="12:12" ht="20" customHeight="1" x14ac:dyDescent="0.35">
      <c r="L134" s="185"/>
    </row>
    <row r="135" spans="12:12" ht="20" customHeight="1" x14ac:dyDescent="0.35">
      <c r="L135" s="185"/>
    </row>
    <row r="136" spans="12:12" ht="20" customHeight="1" x14ac:dyDescent="0.35">
      <c r="L136" s="185"/>
    </row>
    <row r="137" spans="12:12" ht="20" customHeight="1" x14ac:dyDescent="0.35">
      <c r="L137" s="185"/>
    </row>
    <row r="138" spans="12:12" ht="20" customHeight="1" x14ac:dyDescent="0.35">
      <c r="L138" s="185"/>
    </row>
    <row r="139" spans="12:12" ht="20" customHeight="1" x14ac:dyDescent="0.35">
      <c r="L139" s="185"/>
    </row>
    <row r="140" spans="12:12" ht="20" customHeight="1" x14ac:dyDescent="0.35">
      <c r="L140" s="185"/>
    </row>
    <row r="141" spans="12:12" ht="20" customHeight="1" x14ac:dyDescent="0.35">
      <c r="L141" s="185"/>
    </row>
    <row r="142" spans="12:12" ht="20" customHeight="1" x14ac:dyDescent="0.35">
      <c r="L142" s="185"/>
    </row>
    <row r="143" spans="12:12" ht="20" customHeight="1" x14ac:dyDescent="0.35">
      <c r="L143" s="185"/>
    </row>
    <row r="144" spans="12:12" ht="20" customHeight="1" x14ac:dyDescent="0.35">
      <c r="L144" s="185"/>
    </row>
    <row r="145" spans="12:12" ht="20" customHeight="1" x14ac:dyDescent="0.35">
      <c r="L145" s="185"/>
    </row>
    <row r="146" spans="12:12" ht="20" customHeight="1" x14ac:dyDescent="0.35">
      <c r="L146" s="185"/>
    </row>
    <row r="147" spans="12:12" ht="20" customHeight="1" x14ac:dyDescent="0.35">
      <c r="L147" s="185"/>
    </row>
    <row r="148" spans="12:12" ht="20" customHeight="1" x14ac:dyDescent="0.35">
      <c r="L148" s="185"/>
    </row>
    <row r="149" spans="12:12" ht="20" customHeight="1" x14ac:dyDescent="0.35">
      <c r="L149" s="185"/>
    </row>
    <row r="150" spans="12:12" ht="20" customHeight="1" x14ac:dyDescent="0.35">
      <c r="L150" s="185"/>
    </row>
    <row r="151" spans="12:12" ht="20" customHeight="1" x14ac:dyDescent="0.35">
      <c r="L151" s="185"/>
    </row>
    <row r="152" spans="12:12" ht="20" customHeight="1" x14ac:dyDescent="0.35">
      <c r="L152" s="185"/>
    </row>
    <row r="153" spans="12:12" ht="20" customHeight="1" x14ac:dyDescent="0.35">
      <c r="L153" s="185"/>
    </row>
    <row r="154" spans="12:12" ht="20" customHeight="1" x14ac:dyDescent="0.35">
      <c r="L154" s="185"/>
    </row>
    <row r="155" spans="12:12" ht="20" customHeight="1" x14ac:dyDescent="0.35">
      <c r="L155" s="185"/>
    </row>
    <row r="156" spans="12:12" ht="20" customHeight="1" x14ac:dyDescent="0.35">
      <c r="L156" s="185"/>
    </row>
    <row r="157" spans="12:12" ht="20" customHeight="1" x14ac:dyDescent="0.35">
      <c r="L157" s="185"/>
    </row>
    <row r="158" spans="12:12" ht="20" customHeight="1" x14ac:dyDescent="0.35">
      <c r="L158" s="185"/>
    </row>
    <row r="159" spans="12:12" ht="20" customHeight="1" x14ac:dyDescent="0.35">
      <c r="L159" s="185"/>
    </row>
    <row r="160" spans="12:12" ht="20" customHeight="1" x14ac:dyDescent="0.35">
      <c r="L160" s="185"/>
    </row>
    <row r="161" spans="12:12" ht="20" customHeight="1" x14ac:dyDescent="0.35">
      <c r="L161" s="185"/>
    </row>
    <row r="162" spans="12:12" ht="20" customHeight="1" x14ac:dyDescent="0.35">
      <c r="L162" s="185"/>
    </row>
    <row r="163" spans="12:12" ht="20" customHeight="1" x14ac:dyDescent="0.35">
      <c r="L163" s="185"/>
    </row>
    <row r="164" spans="12:12" ht="20" customHeight="1" x14ac:dyDescent="0.35">
      <c r="L164" s="185"/>
    </row>
    <row r="165" spans="12:12" ht="20" customHeight="1" x14ac:dyDescent="0.35">
      <c r="L165" s="185"/>
    </row>
    <row r="166" spans="12:12" ht="20" customHeight="1" x14ac:dyDescent="0.35">
      <c r="L166" s="185"/>
    </row>
    <row r="167" spans="12:12" ht="20" customHeight="1" x14ac:dyDescent="0.35">
      <c r="L167" s="185"/>
    </row>
    <row r="168" spans="12:12" ht="20" customHeight="1" x14ac:dyDescent="0.35">
      <c r="L168" s="185"/>
    </row>
    <row r="169" spans="12:12" ht="20" customHeight="1" x14ac:dyDescent="0.35">
      <c r="L169" s="185"/>
    </row>
    <row r="170" spans="12:12" ht="20" customHeight="1" x14ac:dyDescent="0.35">
      <c r="L170" s="185"/>
    </row>
    <row r="171" spans="12:12" ht="20" customHeight="1" x14ac:dyDescent="0.35">
      <c r="L171" s="185"/>
    </row>
    <row r="172" spans="12:12" ht="20" customHeight="1" x14ac:dyDescent="0.35">
      <c r="L172" s="185"/>
    </row>
    <row r="173" spans="12:12" ht="20" customHeight="1" x14ac:dyDescent="0.35">
      <c r="L173" s="185"/>
    </row>
    <row r="174" spans="12:12" ht="20" customHeight="1" x14ac:dyDescent="0.35">
      <c r="L174" s="185"/>
    </row>
    <row r="175" spans="12:12" ht="20" customHeight="1" x14ac:dyDescent="0.35">
      <c r="L175" s="185"/>
    </row>
    <row r="176" spans="12:12" ht="20" customHeight="1" x14ac:dyDescent="0.35">
      <c r="L176" s="185"/>
    </row>
    <row r="177" spans="12:12" ht="20" customHeight="1" x14ac:dyDescent="0.35">
      <c r="L177" s="185"/>
    </row>
    <row r="178" spans="12:12" ht="20" customHeight="1" x14ac:dyDescent="0.35">
      <c r="L178" s="185"/>
    </row>
    <row r="179" spans="12:12" ht="20" customHeight="1" x14ac:dyDescent="0.35">
      <c r="L179" s="185"/>
    </row>
    <row r="180" spans="12:12" ht="20" customHeight="1" x14ac:dyDescent="0.35">
      <c r="L180" s="185"/>
    </row>
    <row r="181" spans="12:12" ht="20" customHeight="1" x14ac:dyDescent="0.35">
      <c r="L181" s="185"/>
    </row>
    <row r="182" spans="12:12" ht="20" customHeight="1" x14ac:dyDescent="0.35">
      <c r="L182" s="185"/>
    </row>
    <row r="183" spans="12:12" ht="20" customHeight="1" x14ac:dyDescent="0.35">
      <c r="L183" s="185"/>
    </row>
    <row r="184" spans="12:12" ht="20" customHeight="1" x14ac:dyDescent="0.35">
      <c r="L184" s="185"/>
    </row>
    <row r="185" spans="12:12" ht="20" customHeight="1" x14ac:dyDescent="0.35">
      <c r="L185" s="185"/>
    </row>
    <row r="186" spans="12:12" ht="20" customHeight="1" x14ac:dyDescent="0.35">
      <c r="L186" s="185"/>
    </row>
    <row r="187" spans="12:12" ht="20" customHeight="1" x14ac:dyDescent="0.35">
      <c r="L187" s="185"/>
    </row>
    <row r="188" spans="12:12" ht="20" customHeight="1" x14ac:dyDescent="0.35">
      <c r="L188" s="185"/>
    </row>
    <row r="189" spans="12:12" ht="20" customHeight="1" x14ac:dyDescent="0.35">
      <c r="L189" s="185"/>
    </row>
    <row r="190" spans="12:12" ht="20" customHeight="1" x14ac:dyDescent="0.35">
      <c r="L190" s="185"/>
    </row>
    <row r="191" spans="12:12" ht="20" customHeight="1" x14ac:dyDescent="0.35">
      <c r="L191" s="185"/>
    </row>
    <row r="192" spans="12:12" ht="20" customHeight="1" x14ac:dyDescent="0.35">
      <c r="L192" s="185"/>
    </row>
    <row r="193" spans="12:12" ht="20" customHeight="1" x14ac:dyDescent="0.35">
      <c r="L193" s="185"/>
    </row>
    <row r="194" spans="12:12" ht="20" customHeight="1" x14ac:dyDescent="0.35">
      <c r="L194" s="185"/>
    </row>
    <row r="195" spans="12:12" ht="20" customHeight="1" x14ac:dyDescent="0.35">
      <c r="L195" s="185"/>
    </row>
    <row r="196" spans="12:12" ht="20" customHeight="1" x14ac:dyDescent="0.35">
      <c r="L196" s="185"/>
    </row>
    <row r="197" spans="12:12" ht="20" customHeight="1" x14ac:dyDescent="0.35">
      <c r="L197" s="185"/>
    </row>
    <row r="198" spans="12:12" ht="20" customHeight="1" x14ac:dyDescent="0.35">
      <c r="L198" s="185"/>
    </row>
    <row r="199" spans="12:12" ht="20" customHeight="1" x14ac:dyDescent="0.35">
      <c r="L199" s="185"/>
    </row>
    <row r="200" spans="12:12" ht="20" customHeight="1" x14ac:dyDescent="0.35">
      <c r="L200" s="185"/>
    </row>
    <row r="201" spans="12:12" ht="20" customHeight="1" x14ac:dyDescent="0.35">
      <c r="L201" s="185"/>
    </row>
    <row r="202" spans="12:12" ht="20" customHeight="1" x14ac:dyDescent="0.35">
      <c r="L202" s="185"/>
    </row>
    <row r="203" spans="12:12" ht="20" customHeight="1" x14ac:dyDescent="0.35">
      <c r="L203" s="185"/>
    </row>
    <row r="204" spans="12:12" ht="20" customHeight="1" x14ac:dyDescent="0.35">
      <c r="L204" s="185"/>
    </row>
    <row r="205" spans="12:12" ht="20" customHeight="1" x14ac:dyDescent="0.35">
      <c r="L205" s="185"/>
    </row>
    <row r="206" spans="12:12" ht="20" customHeight="1" x14ac:dyDescent="0.35">
      <c r="L206" s="185"/>
    </row>
    <row r="207" spans="12:12" ht="20" customHeight="1" x14ac:dyDescent="0.35">
      <c r="L207" s="185"/>
    </row>
    <row r="208" spans="12:12" ht="20" customHeight="1" x14ac:dyDescent="0.35">
      <c r="L208" s="185"/>
    </row>
    <row r="209" spans="12:12" ht="20" customHeight="1" x14ac:dyDescent="0.35">
      <c r="L209" s="185"/>
    </row>
    <row r="210" spans="12:12" ht="20" customHeight="1" x14ac:dyDescent="0.35">
      <c r="L210" s="185"/>
    </row>
    <row r="211" spans="12:12" ht="20" customHeight="1" x14ac:dyDescent="0.35">
      <c r="L211" s="185"/>
    </row>
    <row r="212" spans="12:12" ht="20" customHeight="1" x14ac:dyDescent="0.35">
      <c r="L212" s="185"/>
    </row>
    <row r="213" spans="12:12" ht="20" customHeight="1" x14ac:dyDescent="0.35">
      <c r="L213" s="185"/>
    </row>
    <row r="214" spans="12:12" ht="20" customHeight="1" x14ac:dyDescent="0.35">
      <c r="L214" s="185"/>
    </row>
    <row r="215" spans="12:12" ht="20" customHeight="1" x14ac:dyDescent="0.35">
      <c r="L215" s="185"/>
    </row>
    <row r="216" spans="12:12" ht="20" customHeight="1" x14ac:dyDescent="0.35">
      <c r="L216" s="185"/>
    </row>
    <row r="217" spans="12:12" ht="20" customHeight="1" x14ac:dyDescent="0.35">
      <c r="L217" s="185"/>
    </row>
    <row r="218" spans="12:12" ht="20" customHeight="1" x14ac:dyDescent="0.35">
      <c r="L218" s="185"/>
    </row>
    <row r="219" spans="12:12" ht="20" customHeight="1" x14ac:dyDescent="0.35">
      <c r="L219" s="185"/>
    </row>
    <row r="220" spans="12:12" ht="20" customHeight="1" x14ac:dyDescent="0.35">
      <c r="L220" s="185"/>
    </row>
    <row r="221" spans="12:12" ht="20" customHeight="1" x14ac:dyDescent="0.35">
      <c r="L221" s="185"/>
    </row>
    <row r="222" spans="12:12" ht="20" customHeight="1" x14ac:dyDescent="0.35">
      <c r="L222" s="185"/>
    </row>
    <row r="223" spans="12:12" ht="20" customHeight="1" x14ac:dyDescent="0.35">
      <c r="L223" s="185"/>
    </row>
    <row r="224" spans="12:12" ht="20" customHeight="1" x14ac:dyDescent="0.35">
      <c r="L224" s="185"/>
    </row>
    <row r="225" spans="12:12" ht="20" customHeight="1" x14ac:dyDescent="0.35">
      <c r="L225" s="185"/>
    </row>
    <row r="226" spans="12:12" ht="20" customHeight="1" x14ac:dyDescent="0.35">
      <c r="L226" s="185"/>
    </row>
    <row r="227" spans="12:12" ht="20" customHeight="1" x14ac:dyDescent="0.35">
      <c r="L227" s="185"/>
    </row>
    <row r="228" spans="12:12" ht="20" customHeight="1" x14ac:dyDescent="0.35">
      <c r="L228" s="185"/>
    </row>
    <row r="229" spans="12:12" ht="20" customHeight="1" x14ac:dyDescent="0.35">
      <c r="L229" s="185"/>
    </row>
    <row r="230" spans="12:12" ht="20" customHeight="1" x14ac:dyDescent="0.35">
      <c r="L230" s="185"/>
    </row>
    <row r="231" spans="12:12" ht="20" customHeight="1" x14ac:dyDescent="0.35">
      <c r="L231" s="185"/>
    </row>
    <row r="232" spans="12:12" ht="20" customHeight="1" x14ac:dyDescent="0.35">
      <c r="L232" s="185"/>
    </row>
    <row r="233" spans="12:12" ht="20" customHeight="1" x14ac:dyDescent="0.35">
      <c r="L233" s="185"/>
    </row>
    <row r="234" spans="12:12" ht="20" customHeight="1" x14ac:dyDescent="0.35">
      <c r="L234" s="185"/>
    </row>
    <row r="235" spans="12:12" ht="20" customHeight="1" x14ac:dyDescent="0.35">
      <c r="L235" s="185"/>
    </row>
    <row r="236" spans="12:12" ht="20" customHeight="1" x14ac:dyDescent="0.35">
      <c r="L236" s="185"/>
    </row>
    <row r="237" spans="12:12" ht="20" customHeight="1" x14ac:dyDescent="0.35">
      <c r="L237" s="185"/>
    </row>
    <row r="238" spans="12:12" ht="20" customHeight="1" x14ac:dyDescent="0.35">
      <c r="L238" s="185"/>
    </row>
    <row r="239" spans="12:12" ht="20" customHeight="1" x14ac:dyDescent="0.35">
      <c r="L239" s="185"/>
    </row>
    <row r="240" spans="12:12" ht="20" customHeight="1" x14ac:dyDescent="0.35">
      <c r="L240" s="185"/>
    </row>
    <row r="241" spans="12:12" ht="20" customHeight="1" x14ac:dyDescent="0.35">
      <c r="L241" s="185"/>
    </row>
    <row r="242" spans="12:12" ht="20" customHeight="1" x14ac:dyDescent="0.35">
      <c r="L242" s="185"/>
    </row>
    <row r="243" spans="12:12" ht="20" customHeight="1" x14ac:dyDescent="0.35">
      <c r="L243" s="185"/>
    </row>
    <row r="244" spans="12:12" ht="20" customHeight="1" x14ac:dyDescent="0.35">
      <c r="L244" s="185"/>
    </row>
    <row r="245" spans="12:12" ht="20" customHeight="1" x14ac:dyDescent="0.35">
      <c r="L245" s="185"/>
    </row>
    <row r="246" spans="12:12" ht="20" customHeight="1" x14ac:dyDescent="0.35">
      <c r="L246" s="185"/>
    </row>
    <row r="247" spans="12:12" ht="20" customHeight="1" x14ac:dyDescent="0.35">
      <c r="L247" s="185"/>
    </row>
    <row r="248" spans="12:12" ht="20" customHeight="1" x14ac:dyDescent="0.35">
      <c r="L248" s="185"/>
    </row>
    <row r="249" spans="12:12" ht="20" customHeight="1" x14ac:dyDescent="0.35">
      <c r="L249" s="185"/>
    </row>
    <row r="250" spans="12:12" ht="20" customHeight="1" x14ac:dyDescent="0.35">
      <c r="L250" s="185"/>
    </row>
    <row r="251" spans="12:12" ht="20" customHeight="1" x14ac:dyDescent="0.35">
      <c r="L251" s="185"/>
    </row>
    <row r="252" spans="12:12" ht="20" customHeight="1" x14ac:dyDescent="0.35">
      <c r="L252" s="185"/>
    </row>
    <row r="253" spans="12:12" ht="20" customHeight="1" x14ac:dyDescent="0.35">
      <c r="L253" s="185"/>
    </row>
    <row r="254" spans="12:12" ht="20" customHeight="1" x14ac:dyDescent="0.35">
      <c r="L254" s="185"/>
    </row>
    <row r="255" spans="12:12" ht="20" customHeight="1" x14ac:dyDescent="0.35">
      <c r="L255" s="185"/>
    </row>
    <row r="256" spans="12:12" ht="20" customHeight="1" x14ac:dyDescent="0.35">
      <c r="L256" s="185"/>
    </row>
    <row r="257" spans="12:12" ht="20" customHeight="1" x14ac:dyDescent="0.35">
      <c r="L257" s="185"/>
    </row>
    <row r="258" spans="12:12" ht="20" customHeight="1" x14ac:dyDescent="0.35">
      <c r="L258" s="185"/>
    </row>
    <row r="259" spans="12:12" ht="20" customHeight="1" x14ac:dyDescent="0.35">
      <c r="L259" s="185"/>
    </row>
    <row r="260" spans="12:12" ht="20" customHeight="1" x14ac:dyDescent="0.35">
      <c r="L260" s="185"/>
    </row>
    <row r="261" spans="12:12" ht="20" customHeight="1" x14ac:dyDescent="0.35">
      <c r="L261" s="185"/>
    </row>
    <row r="262" spans="12:12" ht="20" customHeight="1" x14ac:dyDescent="0.35">
      <c r="L262" s="185"/>
    </row>
    <row r="263" spans="12:12" ht="20" customHeight="1" x14ac:dyDescent="0.35">
      <c r="L263" s="185"/>
    </row>
    <row r="264" spans="12:12" ht="20" customHeight="1" x14ac:dyDescent="0.35">
      <c r="L264" s="185"/>
    </row>
    <row r="265" spans="12:12" ht="20" customHeight="1" x14ac:dyDescent="0.35">
      <c r="L265" s="185"/>
    </row>
    <row r="266" spans="12:12" ht="20" customHeight="1" x14ac:dyDescent="0.35">
      <c r="L266" s="185"/>
    </row>
    <row r="267" spans="12:12" ht="20" customHeight="1" x14ac:dyDescent="0.35">
      <c r="L267" s="185"/>
    </row>
    <row r="268" spans="12:12" ht="20" customHeight="1" x14ac:dyDescent="0.35">
      <c r="L268" s="185"/>
    </row>
    <row r="269" spans="12:12" ht="20" customHeight="1" x14ac:dyDescent="0.35">
      <c r="L269" s="185"/>
    </row>
    <row r="270" spans="12:12" ht="20" customHeight="1" x14ac:dyDescent="0.35">
      <c r="L270" s="185"/>
    </row>
    <row r="271" spans="12:12" ht="20" customHeight="1" x14ac:dyDescent="0.35">
      <c r="L271" s="185"/>
    </row>
    <row r="272" spans="12:12" ht="20" customHeight="1" x14ac:dyDescent="0.35">
      <c r="L272" s="185"/>
    </row>
    <row r="273" spans="12:12" ht="20" customHeight="1" x14ac:dyDescent="0.35">
      <c r="L273" s="185"/>
    </row>
    <row r="274" spans="12:12" ht="20" customHeight="1" x14ac:dyDescent="0.35">
      <c r="L274" s="185"/>
    </row>
    <row r="275" spans="12:12" ht="20" customHeight="1" x14ac:dyDescent="0.35">
      <c r="L275" s="185"/>
    </row>
    <row r="276" spans="12:12" ht="20" customHeight="1" x14ac:dyDescent="0.35">
      <c r="L276" s="185"/>
    </row>
    <row r="277" spans="12:12" ht="20" customHeight="1" x14ac:dyDescent="0.35">
      <c r="L277" s="185"/>
    </row>
    <row r="278" spans="12:12" ht="20" customHeight="1" x14ac:dyDescent="0.35">
      <c r="L278" s="185"/>
    </row>
    <row r="279" spans="12:12" ht="20" customHeight="1" x14ac:dyDescent="0.35">
      <c r="L279" s="185"/>
    </row>
    <row r="280" spans="12:12" ht="20" customHeight="1" x14ac:dyDescent="0.35">
      <c r="L280" s="185"/>
    </row>
    <row r="281" spans="12:12" ht="20" customHeight="1" x14ac:dyDescent="0.35">
      <c r="L281" s="185"/>
    </row>
    <row r="282" spans="12:12" ht="20" customHeight="1" x14ac:dyDescent="0.35">
      <c r="L282" s="185"/>
    </row>
    <row r="283" spans="12:12" ht="20" customHeight="1" x14ac:dyDescent="0.35">
      <c r="L283" s="185"/>
    </row>
    <row r="284" spans="12:12" ht="20" customHeight="1" x14ac:dyDescent="0.35">
      <c r="L284" s="185"/>
    </row>
    <row r="285" spans="12:12" ht="20" customHeight="1" x14ac:dyDescent="0.35">
      <c r="L285" s="185"/>
    </row>
    <row r="286" spans="12:12" ht="20" customHeight="1" x14ac:dyDescent="0.35">
      <c r="L286" s="185"/>
    </row>
    <row r="287" spans="12:12" ht="20" customHeight="1" x14ac:dyDescent="0.35">
      <c r="L287" s="185"/>
    </row>
    <row r="288" spans="12:12" ht="20" customHeight="1" x14ac:dyDescent="0.35">
      <c r="L288" s="185"/>
    </row>
    <row r="289" spans="12:12" ht="20" customHeight="1" x14ac:dyDescent="0.35">
      <c r="L289" s="185"/>
    </row>
    <row r="290" spans="12:12" ht="20" customHeight="1" x14ac:dyDescent="0.35">
      <c r="L290" s="185"/>
    </row>
    <row r="291" spans="12:12" ht="20" customHeight="1" x14ac:dyDescent="0.35">
      <c r="L291" s="185"/>
    </row>
    <row r="292" spans="12:12" ht="20" customHeight="1" x14ac:dyDescent="0.35">
      <c r="L292" s="185"/>
    </row>
    <row r="293" spans="12:12" ht="20" customHeight="1" x14ac:dyDescent="0.35">
      <c r="L293" s="185"/>
    </row>
    <row r="294" spans="12:12" ht="20" customHeight="1" x14ac:dyDescent="0.35">
      <c r="L294" s="185"/>
    </row>
    <row r="295" spans="12:12" ht="20" customHeight="1" x14ac:dyDescent="0.35">
      <c r="L295" s="185"/>
    </row>
    <row r="296" spans="12:12" ht="20" customHeight="1" x14ac:dyDescent="0.35">
      <c r="L296" s="185"/>
    </row>
    <row r="297" spans="12:12" ht="20" customHeight="1" x14ac:dyDescent="0.35">
      <c r="L297" s="185"/>
    </row>
    <row r="298" spans="12:12" ht="20" customHeight="1" x14ac:dyDescent="0.35">
      <c r="L298" s="185"/>
    </row>
    <row r="299" spans="12:12" ht="20" customHeight="1" x14ac:dyDescent="0.35">
      <c r="L299" s="185"/>
    </row>
    <row r="300" spans="12:12" ht="20" customHeight="1" x14ac:dyDescent="0.35">
      <c r="L300" s="185"/>
    </row>
    <row r="301" spans="12:12" ht="20" customHeight="1" x14ac:dyDescent="0.35">
      <c r="L301" s="185"/>
    </row>
    <row r="302" spans="12:12" ht="20" customHeight="1" x14ac:dyDescent="0.35">
      <c r="L302" s="185"/>
    </row>
    <row r="303" spans="12:12" ht="20" customHeight="1" x14ac:dyDescent="0.35">
      <c r="L303" s="185"/>
    </row>
    <row r="304" spans="12:12" ht="20" customHeight="1" x14ac:dyDescent="0.35">
      <c r="L304" s="185"/>
    </row>
    <row r="305" spans="12:12" ht="20" customHeight="1" x14ac:dyDescent="0.35">
      <c r="L305" s="185"/>
    </row>
    <row r="306" spans="12:12" ht="20" customHeight="1" x14ac:dyDescent="0.35">
      <c r="L306" s="185"/>
    </row>
    <row r="307" spans="12:12" ht="20" customHeight="1" x14ac:dyDescent="0.35">
      <c r="L307" s="185"/>
    </row>
    <row r="308" spans="12:12" ht="20" customHeight="1" x14ac:dyDescent="0.35">
      <c r="L308" s="185"/>
    </row>
    <row r="309" spans="12:12" ht="20" customHeight="1" x14ac:dyDescent="0.35">
      <c r="L309" s="185"/>
    </row>
    <row r="310" spans="12:12" ht="20" customHeight="1" x14ac:dyDescent="0.35">
      <c r="L310" s="185"/>
    </row>
    <row r="311" spans="12:12" ht="20" customHeight="1" x14ac:dyDescent="0.35">
      <c r="L311" s="185"/>
    </row>
    <row r="312" spans="12:12" ht="20" customHeight="1" x14ac:dyDescent="0.35">
      <c r="L312" s="185"/>
    </row>
    <row r="313" spans="12:12" ht="20" customHeight="1" x14ac:dyDescent="0.35">
      <c r="L313" s="185"/>
    </row>
    <row r="314" spans="12:12" ht="20" customHeight="1" x14ac:dyDescent="0.35">
      <c r="L314" s="185"/>
    </row>
    <row r="315" spans="12:12" ht="20" customHeight="1" x14ac:dyDescent="0.35">
      <c r="L315" s="185"/>
    </row>
    <row r="316" spans="12:12" ht="20" customHeight="1" x14ac:dyDescent="0.35">
      <c r="L316" s="185"/>
    </row>
    <row r="317" spans="12:12" ht="20" customHeight="1" x14ac:dyDescent="0.35">
      <c r="L317" s="185"/>
    </row>
    <row r="318" spans="12:12" ht="20" customHeight="1" x14ac:dyDescent="0.35">
      <c r="L318" s="185"/>
    </row>
    <row r="319" spans="12:12" ht="20" customHeight="1" x14ac:dyDescent="0.35">
      <c r="L319" s="185"/>
    </row>
    <row r="320" spans="12:12" ht="20" customHeight="1" x14ac:dyDescent="0.35">
      <c r="L320" s="185"/>
    </row>
    <row r="321" spans="12:12" ht="20" customHeight="1" x14ac:dyDescent="0.35">
      <c r="L321" s="185"/>
    </row>
    <row r="322" spans="12:12" ht="20" customHeight="1" x14ac:dyDescent="0.35">
      <c r="L322" s="185"/>
    </row>
    <row r="323" spans="12:12" ht="20" customHeight="1" x14ac:dyDescent="0.35">
      <c r="L323" s="185"/>
    </row>
    <row r="324" spans="12:12" ht="20" customHeight="1" x14ac:dyDescent="0.35">
      <c r="L324" s="185"/>
    </row>
    <row r="325" spans="12:12" ht="20" customHeight="1" x14ac:dyDescent="0.35">
      <c r="L325" s="185"/>
    </row>
    <row r="326" spans="12:12" ht="20" customHeight="1" x14ac:dyDescent="0.35">
      <c r="L326" s="185"/>
    </row>
    <row r="327" spans="12:12" ht="20" customHeight="1" x14ac:dyDescent="0.35">
      <c r="L327" s="185"/>
    </row>
    <row r="328" spans="12:12" ht="20" customHeight="1" x14ac:dyDescent="0.35">
      <c r="L328" s="185"/>
    </row>
    <row r="329" spans="12:12" ht="20" customHeight="1" x14ac:dyDescent="0.35">
      <c r="L329" s="185"/>
    </row>
    <row r="330" spans="12:12" ht="20" customHeight="1" x14ac:dyDescent="0.35">
      <c r="L330" s="185"/>
    </row>
    <row r="331" spans="12:12" ht="20" customHeight="1" x14ac:dyDescent="0.35">
      <c r="L331" s="185"/>
    </row>
    <row r="332" spans="12:12" ht="20" customHeight="1" x14ac:dyDescent="0.35">
      <c r="L332" s="185"/>
    </row>
    <row r="333" spans="12:12" ht="20" customHeight="1" x14ac:dyDescent="0.35">
      <c r="L333" s="185"/>
    </row>
    <row r="334" spans="12:12" ht="20" customHeight="1" x14ac:dyDescent="0.35">
      <c r="L334" s="185"/>
    </row>
    <row r="335" spans="12:12" ht="20" customHeight="1" x14ac:dyDescent="0.35">
      <c r="L335" s="185"/>
    </row>
    <row r="336" spans="12:12" ht="20" customHeight="1" x14ac:dyDescent="0.35">
      <c r="L336" s="185"/>
    </row>
    <row r="337" spans="12:12" ht="20" customHeight="1" x14ac:dyDescent="0.35">
      <c r="L337" s="185"/>
    </row>
    <row r="338" spans="12:12" ht="20" customHeight="1" x14ac:dyDescent="0.35">
      <c r="L338" s="185"/>
    </row>
    <row r="339" spans="12:12" ht="20" customHeight="1" x14ac:dyDescent="0.35">
      <c r="L339" s="185"/>
    </row>
    <row r="340" spans="12:12" ht="20" customHeight="1" x14ac:dyDescent="0.35">
      <c r="L340" s="185"/>
    </row>
    <row r="341" spans="12:12" ht="20" customHeight="1" x14ac:dyDescent="0.35">
      <c r="L341" s="185"/>
    </row>
    <row r="342" spans="12:12" ht="20" customHeight="1" x14ac:dyDescent="0.35">
      <c r="L342" s="185"/>
    </row>
    <row r="343" spans="12:12" ht="20" customHeight="1" x14ac:dyDescent="0.35">
      <c r="L343" s="185"/>
    </row>
    <row r="344" spans="12:12" ht="20" customHeight="1" x14ac:dyDescent="0.35">
      <c r="L344" s="185"/>
    </row>
    <row r="345" spans="12:12" ht="20" customHeight="1" x14ac:dyDescent="0.35">
      <c r="L345" s="185"/>
    </row>
    <row r="346" spans="12:12" ht="20" customHeight="1" x14ac:dyDescent="0.35">
      <c r="L346" s="185"/>
    </row>
    <row r="347" spans="12:12" ht="20" customHeight="1" x14ac:dyDescent="0.35">
      <c r="L347" s="185"/>
    </row>
    <row r="348" spans="12:12" ht="20" customHeight="1" x14ac:dyDescent="0.35">
      <c r="L348" s="185"/>
    </row>
    <row r="349" spans="12:12" ht="20" customHeight="1" x14ac:dyDescent="0.35">
      <c r="L349" s="185"/>
    </row>
    <row r="350" spans="12:12" ht="20" customHeight="1" x14ac:dyDescent="0.35">
      <c r="L350" s="185"/>
    </row>
    <row r="351" spans="12:12" ht="20" customHeight="1" x14ac:dyDescent="0.35">
      <c r="L351" s="185"/>
    </row>
    <row r="352" spans="12:12" ht="20" customHeight="1" x14ac:dyDescent="0.35">
      <c r="L352" s="185"/>
    </row>
    <row r="353" spans="12:12" ht="20" customHeight="1" x14ac:dyDescent="0.35">
      <c r="L353" s="185"/>
    </row>
    <row r="354" spans="12:12" ht="20" customHeight="1" x14ac:dyDescent="0.35">
      <c r="L354" s="185"/>
    </row>
    <row r="355" spans="12:12" ht="20" customHeight="1" x14ac:dyDescent="0.35">
      <c r="L355" s="185"/>
    </row>
    <row r="356" spans="12:12" ht="20" customHeight="1" x14ac:dyDescent="0.35">
      <c r="L356" s="185"/>
    </row>
    <row r="357" spans="12:12" ht="20" customHeight="1" x14ac:dyDescent="0.35">
      <c r="L357" s="185"/>
    </row>
    <row r="358" spans="12:12" ht="20" customHeight="1" x14ac:dyDescent="0.35">
      <c r="L358" s="185"/>
    </row>
    <row r="359" spans="12:12" ht="20" customHeight="1" x14ac:dyDescent="0.35">
      <c r="L359" s="185"/>
    </row>
    <row r="360" spans="12:12" ht="20" customHeight="1" x14ac:dyDescent="0.35">
      <c r="L360" s="185"/>
    </row>
    <row r="361" spans="12:12" ht="20" customHeight="1" x14ac:dyDescent="0.35">
      <c r="L361" s="185"/>
    </row>
    <row r="362" spans="12:12" ht="20" customHeight="1" x14ac:dyDescent="0.35">
      <c r="L362" s="185"/>
    </row>
    <row r="363" spans="12:12" ht="20" customHeight="1" x14ac:dyDescent="0.35">
      <c r="L363" s="185"/>
    </row>
    <row r="364" spans="12:12" ht="20" customHeight="1" x14ac:dyDescent="0.35">
      <c r="L364" s="185"/>
    </row>
    <row r="365" spans="12:12" ht="20" customHeight="1" x14ac:dyDescent="0.35">
      <c r="L365" s="185"/>
    </row>
    <row r="366" spans="12:12" ht="20" customHeight="1" x14ac:dyDescent="0.35">
      <c r="L366" s="185"/>
    </row>
    <row r="367" spans="12:12" ht="20" customHeight="1" x14ac:dyDescent="0.35">
      <c r="L367" s="185"/>
    </row>
    <row r="368" spans="12:12" ht="20" customHeight="1" x14ac:dyDescent="0.35">
      <c r="L368" s="185"/>
    </row>
    <row r="369" spans="12:12" ht="20" customHeight="1" x14ac:dyDescent="0.35">
      <c r="L369" s="185"/>
    </row>
    <row r="370" spans="12:12" ht="20" customHeight="1" x14ac:dyDescent="0.35">
      <c r="L370" s="185"/>
    </row>
    <row r="371" spans="12:12" ht="20" customHeight="1" x14ac:dyDescent="0.35">
      <c r="L371" s="185"/>
    </row>
    <row r="372" spans="12:12" ht="20" customHeight="1" x14ac:dyDescent="0.35">
      <c r="L372" s="185"/>
    </row>
    <row r="373" spans="12:12" ht="20" customHeight="1" x14ac:dyDescent="0.35">
      <c r="L373" s="185"/>
    </row>
    <row r="374" spans="12:12" ht="20" customHeight="1" x14ac:dyDescent="0.35">
      <c r="L374" s="185"/>
    </row>
    <row r="375" spans="12:12" ht="20" customHeight="1" x14ac:dyDescent="0.35">
      <c r="L375" s="185"/>
    </row>
    <row r="376" spans="12:12" ht="20" customHeight="1" x14ac:dyDescent="0.35">
      <c r="L376" s="185"/>
    </row>
    <row r="377" spans="12:12" ht="20" customHeight="1" x14ac:dyDescent="0.35">
      <c r="L377" s="185"/>
    </row>
    <row r="378" spans="12:12" ht="20" customHeight="1" x14ac:dyDescent="0.35">
      <c r="L378" s="185"/>
    </row>
    <row r="379" spans="12:12" ht="20" customHeight="1" x14ac:dyDescent="0.35">
      <c r="L379" s="185"/>
    </row>
    <row r="380" spans="12:12" ht="20" customHeight="1" x14ac:dyDescent="0.35">
      <c r="L380" s="185"/>
    </row>
    <row r="381" spans="12:12" ht="20" customHeight="1" x14ac:dyDescent="0.35">
      <c r="L381" s="185"/>
    </row>
    <row r="382" spans="12:12" ht="20" customHeight="1" x14ac:dyDescent="0.35">
      <c r="L382" s="185"/>
    </row>
    <row r="383" spans="12:12" ht="20" customHeight="1" x14ac:dyDescent="0.35">
      <c r="L383" s="185"/>
    </row>
    <row r="384" spans="12:12" ht="20" customHeight="1" x14ac:dyDescent="0.35">
      <c r="L384" s="185"/>
    </row>
    <row r="385" spans="12:12" ht="20" customHeight="1" x14ac:dyDescent="0.35">
      <c r="L385" s="185"/>
    </row>
    <row r="386" spans="12:12" ht="20" customHeight="1" x14ac:dyDescent="0.35">
      <c r="L386" s="185"/>
    </row>
    <row r="387" spans="12:12" ht="20" customHeight="1" x14ac:dyDescent="0.35">
      <c r="L387" s="185"/>
    </row>
    <row r="388" spans="12:12" ht="20" customHeight="1" x14ac:dyDescent="0.35">
      <c r="L388" s="185"/>
    </row>
    <row r="389" spans="12:12" ht="20" customHeight="1" x14ac:dyDescent="0.35">
      <c r="L389" s="185"/>
    </row>
    <row r="390" spans="12:12" ht="20" customHeight="1" x14ac:dyDescent="0.35">
      <c r="L390" s="185"/>
    </row>
    <row r="391" spans="12:12" ht="20" customHeight="1" x14ac:dyDescent="0.35">
      <c r="L391" s="185"/>
    </row>
    <row r="392" spans="12:12" ht="20" customHeight="1" x14ac:dyDescent="0.35">
      <c r="L392" s="185"/>
    </row>
    <row r="393" spans="12:12" ht="20" customHeight="1" x14ac:dyDescent="0.35">
      <c r="L393" s="185"/>
    </row>
    <row r="394" spans="12:12" ht="20" customHeight="1" x14ac:dyDescent="0.35">
      <c r="L394" s="185"/>
    </row>
    <row r="395" spans="12:12" ht="20" customHeight="1" x14ac:dyDescent="0.35">
      <c r="L395" s="185"/>
    </row>
    <row r="396" spans="12:12" ht="20" customHeight="1" x14ac:dyDescent="0.35">
      <c r="L396" s="185"/>
    </row>
    <row r="397" spans="12:12" ht="20" customHeight="1" x14ac:dyDescent="0.35">
      <c r="L397" s="185"/>
    </row>
    <row r="398" spans="12:12" ht="20" customHeight="1" x14ac:dyDescent="0.35">
      <c r="L398" s="185"/>
    </row>
    <row r="399" spans="12:12" ht="20" customHeight="1" x14ac:dyDescent="0.35">
      <c r="L399" s="185"/>
    </row>
    <row r="400" spans="12:12" ht="20" customHeight="1" x14ac:dyDescent="0.35">
      <c r="L400" s="185"/>
    </row>
    <row r="401" spans="12:12" ht="20" customHeight="1" x14ac:dyDescent="0.35">
      <c r="L401" s="185"/>
    </row>
    <row r="402" spans="12:12" ht="20" customHeight="1" x14ac:dyDescent="0.35">
      <c r="L402" s="185"/>
    </row>
    <row r="403" spans="12:12" ht="20" customHeight="1" x14ac:dyDescent="0.35">
      <c r="L403" s="185"/>
    </row>
    <row r="404" spans="12:12" ht="20" customHeight="1" x14ac:dyDescent="0.35">
      <c r="L404" s="185"/>
    </row>
    <row r="405" spans="12:12" ht="20" customHeight="1" x14ac:dyDescent="0.35">
      <c r="L405" s="185"/>
    </row>
    <row r="406" spans="12:12" ht="20" customHeight="1" x14ac:dyDescent="0.35">
      <c r="L406" s="185"/>
    </row>
    <row r="407" spans="12:12" ht="20" customHeight="1" x14ac:dyDescent="0.35">
      <c r="L407" s="185"/>
    </row>
    <row r="408" spans="12:12" ht="20" customHeight="1" x14ac:dyDescent="0.35">
      <c r="L408" s="185"/>
    </row>
    <row r="409" spans="12:12" ht="20" customHeight="1" x14ac:dyDescent="0.35">
      <c r="L409" s="185"/>
    </row>
    <row r="410" spans="12:12" ht="20" customHeight="1" x14ac:dyDescent="0.35">
      <c r="L410" s="185"/>
    </row>
    <row r="411" spans="12:12" ht="20" customHeight="1" x14ac:dyDescent="0.35">
      <c r="L411" s="185"/>
    </row>
    <row r="412" spans="12:12" ht="20" customHeight="1" x14ac:dyDescent="0.35">
      <c r="L412" s="185"/>
    </row>
    <row r="413" spans="12:12" ht="20" customHeight="1" x14ac:dyDescent="0.35">
      <c r="L413" s="185"/>
    </row>
    <row r="414" spans="12:12" ht="20" customHeight="1" x14ac:dyDescent="0.35">
      <c r="L414" s="185"/>
    </row>
    <row r="415" spans="12:12" ht="20" customHeight="1" x14ac:dyDescent="0.35">
      <c r="L415" s="185"/>
    </row>
    <row r="416" spans="12:12" ht="20" customHeight="1" x14ac:dyDescent="0.35">
      <c r="L416" s="185"/>
    </row>
    <row r="417" spans="12:12" ht="20" customHeight="1" x14ac:dyDescent="0.35">
      <c r="L417" s="185"/>
    </row>
    <row r="418" spans="12:12" ht="20" customHeight="1" x14ac:dyDescent="0.35">
      <c r="L418" s="185"/>
    </row>
    <row r="419" spans="12:12" ht="20" customHeight="1" x14ac:dyDescent="0.35">
      <c r="L419" s="185"/>
    </row>
    <row r="420" spans="12:12" ht="20" customHeight="1" x14ac:dyDescent="0.35">
      <c r="L420" s="185"/>
    </row>
    <row r="421" spans="12:12" ht="20" customHeight="1" x14ac:dyDescent="0.35">
      <c r="L421" s="185"/>
    </row>
    <row r="422" spans="12:12" ht="20" customHeight="1" x14ac:dyDescent="0.35">
      <c r="L422" s="185"/>
    </row>
    <row r="423" spans="12:12" ht="20" customHeight="1" x14ac:dyDescent="0.35">
      <c r="L423" s="185"/>
    </row>
    <row r="424" spans="12:12" ht="20" customHeight="1" x14ac:dyDescent="0.35">
      <c r="L424" s="185"/>
    </row>
    <row r="425" spans="12:12" ht="20" customHeight="1" x14ac:dyDescent="0.35">
      <c r="L425" s="185"/>
    </row>
    <row r="426" spans="12:12" ht="20" customHeight="1" x14ac:dyDescent="0.35">
      <c r="L426" s="185"/>
    </row>
    <row r="427" spans="12:12" ht="20" customHeight="1" x14ac:dyDescent="0.35">
      <c r="L427" s="185"/>
    </row>
    <row r="428" spans="12:12" ht="20" customHeight="1" x14ac:dyDescent="0.35">
      <c r="L428" s="185"/>
    </row>
    <row r="429" spans="12:12" ht="20" customHeight="1" x14ac:dyDescent="0.35">
      <c r="L429" s="185"/>
    </row>
    <row r="430" spans="12:12" ht="20" customHeight="1" x14ac:dyDescent="0.35">
      <c r="L430" s="185"/>
    </row>
    <row r="431" spans="12:12" ht="20" customHeight="1" x14ac:dyDescent="0.35">
      <c r="L431" s="185"/>
    </row>
    <row r="432" spans="12:12" ht="20" customHeight="1" x14ac:dyDescent="0.35">
      <c r="L432" s="185"/>
    </row>
    <row r="433" spans="12:12" ht="20" customHeight="1" x14ac:dyDescent="0.35">
      <c r="L433" s="185"/>
    </row>
    <row r="434" spans="12:12" ht="20" customHeight="1" x14ac:dyDescent="0.35">
      <c r="L434" s="185"/>
    </row>
    <row r="435" spans="12:12" ht="20" customHeight="1" x14ac:dyDescent="0.35">
      <c r="L435" s="185"/>
    </row>
    <row r="436" spans="12:12" ht="20" customHeight="1" x14ac:dyDescent="0.35">
      <c r="L436" s="185"/>
    </row>
    <row r="437" spans="12:12" ht="20" customHeight="1" x14ac:dyDescent="0.35">
      <c r="L437" s="185"/>
    </row>
    <row r="438" spans="12:12" ht="20" customHeight="1" x14ac:dyDescent="0.35">
      <c r="L438" s="185"/>
    </row>
    <row r="439" spans="12:12" ht="20" customHeight="1" x14ac:dyDescent="0.35">
      <c r="L439" s="185"/>
    </row>
    <row r="440" spans="12:12" ht="20" customHeight="1" x14ac:dyDescent="0.35">
      <c r="L440" s="185"/>
    </row>
    <row r="441" spans="12:12" ht="20" customHeight="1" x14ac:dyDescent="0.35">
      <c r="L441" s="185"/>
    </row>
    <row r="442" spans="12:12" ht="20" customHeight="1" x14ac:dyDescent="0.35">
      <c r="L442" s="185"/>
    </row>
    <row r="443" spans="12:12" ht="20" customHeight="1" x14ac:dyDescent="0.35">
      <c r="L443" s="185"/>
    </row>
    <row r="444" spans="12:12" ht="20" customHeight="1" x14ac:dyDescent="0.35">
      <c r="L444" s="185"/>
    </row>
    <row r="445" spans="12:12" ht="20" customHeight="1" x14ac:dyDescent="0.35">
      <c r="L445" s="185"/>
    </row>
    <row r="446" spans="12:12" ht="20" customHeight="1" x14ac:dyDescent="0.35">
      <c r="L446" s="185"/>
    </row>
    <row r="447" spans="12:12" ht="20" customHeight="1" x14ac:dyDescent="0.35">
      <c r="L447" s="185"/>
    </row>
    <row r="448" spans="12:12" ht="20" customHeight="1" x14ac:dyDescent="0.35">
      <c r="L448" s="185"/>
    </row>
    <row r="449" spans="12:12" ht="20" customHeight="1" x14ac:dyDescent="0.35">
      <c r="L449" s="185"/>
    </row>
    <row r="450" spans="12:12" ht="20" customHeight="1" x14ac:dyDescent="0.35">
      <c r="L450" s="185"/>
    </row>
    <row r="451" spans="12:12" ht="20" customHeight="1" x14ac:dyDescent="0.35">
      <c r="L451" s="185"/>
    </row>
    <row r="452" spans="12:12" ht="20" customHeight="1" x14ac:dyDescent="0.35">
      <c r="L452" s="185"/>
    </row>
    <row r="453" spans="12:12" ht="20" customHeight="1" x14ac:dyDescent="0.35">
      <c r="L453" s="185"/>
    </row>
    <row r="454" spans="12:12" ht="20" customHeight="1" x14ac:dyDescent="0.35">
      <c r="L454" s="185"/>
    </row>
    <row r="455" spans="12:12" ht="20" customHeight="1" x14ac:dyDescent="0.35">
      <c r="L455" s="185"/>
    </row>
    <row r="456" spans="12:12" ht="20" customHeight="1" x14ac:dyDescent="0.35">
      <c r="L456" s="185"/>
    </row>
    <row r="457" spans="12:12" ht="20" customHeight="1" x14ac:dyDescent="0.35">
      <c r="L457" s="185"/>
    </row>
    <row r="458" spans="12:12" ht="20" customHeight="1" x14ac:dyDescent="0.35">
      <c r="L458" s="185"/>
    </row>
    <row r="459" spans="12:12" ht="20" customHeight="1" x14ac:dyDescent="0.35">
      <c r="L459" s="185"/>
    </row>
    <row r="460" spans="12:12" ht="20" customHeight="1" x14ac:dyDescent="0.35">
      <c r="L460" s="185"/>
    </row>
    <row r="461" spans="12:12" ht="20" customHeight="1" x14ac:dyDescent="0.35">
      <c r="L461" s="185"/>
    </row>
    <row r="462" spans="12:12" ht="20" customHeight="1" x14ac:dyDescent="0.35">
      <c r="L462" s="185"/>
    </row>
    <row r="463" spans="12:12" ht="20" customHeight="1" x14ac:dyDescent="0.35">
      <c r="L463" s="185"/>
    </row>
    <row r="464" spans="12:12" ht="20" customHeight="1" x14ac:dyDescent="0.35">
      <c r="L464" s="185"/>
    </row>
    <row r="465" spans="12:12" ht="20" customHeight="1" x14ac:dyDescent="0.35">
      <c r="L465" s="185"/>
    </row>
    <row r="466" spans="12:12" ht="20" customHeight="1" x14ac:dyDescent="0.35">
      <c r="L466" s="185"/>
    </row>
    <row r="467" spans="12:12" ht="20" customHeight="1" x14ac:dyDescent="0.35">
      <c r="L467" s="185"/>
    </row>
    <row r="468" spans="12:12" ht="20" customHeight="1" x14ac:dyDescent="0.35">
      <c r="L468" s="185"/>
    </row>
    <row r="469" spans="12:12" ht="20" customHeight="1" x14ac:dyDescent="0.35">
      <c r="L469" s="185"/>
    </row>
    <row r="470" spans="12:12" ht="20" customHeight="1" x14ac:dyDescent="0.35">
      <c r="L470" s="185"/>
    </row>
    <row r="471" spans="12:12" ht="20" customHeight="1" x14ac:dyDescent="0.35">
      <c r="L471" s="185"/>
    </row>
    <row r="472" spans="12:12" ht="20" customHeight="1" x14ac:dyDescent="0.35">
      <c r="L472" s="185"/>
    </row>
    <row r="473" spans="12:12" ht="20" customHeight="1" x14ac:dyDescent="0.35">
      <c r="L473" s="185"/>
    </row>
    <row r="474" spans="12:12" ht="20" customHeight="1" x14ac:dyDescent="0.35">
      <c r="L474" s="185"/>
    </row>
    <row r="475" spans="12:12" ht="20" customHeight="1" x14ac:dyDescent="0.35">
      <c r="L475" s="185"/>
    </row>
    <row r="476" spans="12:12" ht="20" customHeight="1" x14ac:dyDescent="0.35">
      <c r="L476" s="185"/>
    </row>
    <row r="477" spans="12:12" ht="20" customHeight="1" x14ac:dyDescent="0.35">
      <c r="L477" s="185"/>
    </row>
    <row r="478" spans="12:12" ht="20" customHeight="1" x14ac:dyDescent="0.35">
      <c r="L478" s="185"/>
    </row>
    <row r="479" spans="12:12" ht="20" customHeight="1" x14ac:dyDescent="0.35">
      <c r="L479" s="185"/>
    </row>
    <row r="480" spans="12:12" ht="20" customHeight="1" x14ac:dyDescent="0.35">
      <c r="L480" s="185"/>
    </row>
    <row r="481" spans="12:12" ht="20" customHeight="1" x14ac:dyDescent="0.35">
      <c r="L481" s="185"/>
    </row>
    <row r="482" spans="12:12" ht="20" customHeight="1" x14ac:dyDescent="0.35">
      <c r="L482" s="185"/>
    </row>
    <row r="483" spans="12:12" ht="20" customHeight="1" x14ac:dyDescent="0.35">
      <c r="L483" s="185"/>
    </row>
    <row r="484" spans="12:12" ht="20" customHeight="1" x14ac:dyDescent="0.35">
      <c r="L484" s="185"/>
    </row>
    <row r="485" spans="12:12" ht="20" customHeight="1" x14ac:dyDescent="0.35">
      <c r="L485" s="185"/>
    </row>
    <row r="486" spans="12:12" ht="20" customHeight="1" x14ac:dyDescent="0.35">
      <c r="L486" s="185"/>
    </row>
    <row r="487" spans="12:12" ht="20" customHeight="1" x14ac:dyDescent="0.35">
      <c r="L487" s="185"/>
    </row>
    <row r="488" spans="12:12" ht="20" customHeight="1" x14ac:dyDescent="0.35">
      <c r="L488" s="185"/>
    </row>
    <row r="489" spans="12:12" ht="20" customHeight="1" x14ac:dyDescent="0.35">
      <c r="L489" s="185"/>
    </row>
    <row r="490" spans="12:12" ht="20" customHeight="1" x14ac:dyDescent="0.35">
      <c r="L490" s="185"/>
    </row>
    <row r="491" spans="12:12" ht="20" customHeight="1" x14ac:dyDescent="0.35">
      <c r="L491" s="185"/>
    </row>
    <row r="492" spans="12:12" ht="20" customHeight="1" x14ac:dyDescent="0.35">
      <c r="L492" s="185"/>
    </row>
    <row r="493" spans="12:12" ht="20" customHeight="1" x14ac:dyDescent="0.35">
      <c r="L493" s="185"/>
    </row>
    <row r="494" spans="12:12" ht="20" customHeight="1" x14ac:dyDescent="0.35">
      <c r="L494" s="185"/>
    </row>
    <row r="495" spans="12:12" ht="20" customHeight="1" x14ac:dyDescent="0.35">
      <c r="L495" s="185"/>
    </row>
    <row r="496" spans="12:12" ht="20" customHeight="1" x14ac:dyDescent="0.35">
      <c r="L496" s="185"/>
    </row>
    <row r="497" spans="12:12" ht="20" customHeight="1" x14ac:dyDescent="0.35">
      <c r="L497" s="185"/>
    </row>
    <row r="498" spans="12:12" ht="20" customHeight="1" x14ac:dyDescent="0.35">
      <c r="L498" s="185"/>
    </row>
    <row r="499" spans="12:12" ht="20" customHeight="1" x14ac:dyDescent="0.35">
      <c r="L499" s="185"/>
    </row>
    <row r="500" spans="12:12" ht="20" customHeight="1" x14ac:dyDescent="0.35">
      <c r="L500" s="185"/>
    </row>
    <row r="501" spans="12:12" ht="20" customHeight="1" x14ac:dyDescent="0.35">
      <c r="L501" s="185"/>
    </row>
    <row r="502" spans="12:12" ht="20" customHeight="1" x14ac:dyDescent="0.35">
      <c r="L502" s="185"/>
    </row>
    <row r="503" spans="12:12" ht="20" customHeight="1" x14ac:dyDescent="0.35">
      <c r="L503" s="185"/>
    </row>
    <row r="504" spans="12:12" ht="20" customHeight="1" x14ac:dyDescent="0.35">
      <c r="L504" s="185"/>
    </row>
    <row r="505" spans="12:12" ht="20" customHeight="1" x14ac:dyDescent="0.35">
      <c r="L505" s="185"/>
    </row>
    <row r="506" spans="12:12" ht="20" customHeight="1" x14ac:dyDescent="0.35">
      <c r="L506" s="185"/>
    </row>
    <row r="507" spans="12:12" ht="20" customHeight="1" x14ac:dyDescent="0.35">
      <c r="L507" s="185"/>
    </row>
    <row r="508" spans="12:12" ht="20" customHeight="1" x14ac:dyDescent="0.35">
      <c r="L508" s="185"/>
    </row>
    <row r="509" spans="12:12" ht="20" customHeight="1" x14ac:dyDescent="0.35">
      <c r="L509" s="185"/>
    </row>
    <row r="510" spans="12:12" ht="20" customHeight="1" x14ac:dyDescent="0.35">
      <c r="L510" s="185"/>
    </row>
    <row r="511" spans="12:12" ht="20" customHeight="1" x14ac:dyDescent="0.35">
      <c r="L511" s="185"/>
    </row>
    <row r="512" spans="12:12" ht="20" customHeight="1" x14ac:dyDescent="0.35">
      <c r="L512" s="185"/>
    </row>
    <row r="513" spans="12:12" ht="20" customHeight="1" x14ac:dyDescent="0.35">
      <c r="L513" s="185"/>
    </row>
    <row r="514" spans="12:12" ht="20" customHeight="1" x14ac:dyDescent="0.35">
      <c r="L514" s="185"/>
    </row>
    <row r="515" spans="12:12" ht="20" customHeight="1" x14ac:dyDescent="0.35">
      <c r="L515" s="185"/>
    </row>
    <row r="516" spans="12:12" ht="20" customHeight="1" x14ac:dyDescent="0.35">
      <c r="L516" s="185"/>
    </row>
    <row r="517" spans="12:12" ht="20" customHeight="1" x14ac:dyDescent="0.35">
      <c r="L517" s="185"/>
    </row>
    <row r="518" spans="12:12" ht="20" customHeight="1" x14ac:dyDescent="0.35">
      <c r="L518" s="185"/>
    </row>
    <row r="519" spans="12:12" ht="20" customHeight="1" x14ac:dyDescent="0.35">
      <c r="L519" s="185"/>
    </row>
    <row r="520" spans="12:12" ht="20" customHeight="1" x14ac:dyDescent="0.35">
      <c r="L520" s="185"/>
    </row>
    <row r="521" spans="12:12" ht="20" customHeight="1" x14ac:dyDescent="0.35">
      <c r="L521" s="185"/>
    </row>
    <row r="522" spans="12:12" ht="20" customHeight="1" x14ac:dyDescent="0.35">
      <c r="L522" s="185"/>
    </row>
    <row r="523" spans="12:12" ht="20" customHeight="1" x14ac:dyDescent="0.35">
      <c r="L523" s="185"/>
    </row>
    <row r="524" spans="12:12" ht="20" customHeight="1" x14ac:dyDescent="0.35">
      <c r="L524" s="185"/>
    </row>
    <row r="525" spans="12:12" ht="20" customHeight="1" x14ac:dyDescent="0.35">
      <c r="L525" s="185"/>
    </row>
    <row r="526" spans="12:12" ht="20" customHeight="1" x14ac:dyDescent="0.35">
      <c r="L526" s="185"/>
    </row>
    <row r="527" spans="12:12" ht="20" customHeight="1" x14ac:dyDescent="0.35">
      <c r="L527" s="185"/>
    </row>
    <row r="528" spans="12:12" ht="20" customHeight="1" x14ac:dyDescent="0.35">
      <c r="L528" s="185"/>
    </row>
    <row r="529" spans="12:12" ht="20" customHeight="1" x14ac:dyDescent="0.35">
      <c r="L529" s="185"/>
    </row>
    <row r="530" spans="12:12" ht="20" customHeight="1" x14ac:dyDescent="0.35">
      <c r="L530" s="185"/>
    </row>
    <row r="531" spans="12:12" ht="20" customHeight="1" x14ac:dyDescent="0.35">
      <c r="L531" s="185"/>
    </row>
    <row r="532" spans="12:12" ht="20" customHeight="1" x14ac:dyDescent="0.35">
      <c r="L532" s="185"/>
    </row>
    <row r="533" spans="12:12" ht="20" customHeight="1" x14ac:dyDescent="0.35">
      <c r="L533" s="185"/>
    </row>
    <row r="534" spans="12:12" ht="20" customHeight="1" x14ac:dyDescent="0.35">
      <c r="L534" s="185"/>
    </row>
    <row r="535" spans="12:12" ht="20" customHeight="1" x14ac:dyDescent="0.35">
      <c r="L535" s="185"/>
    </row>
    <row r="536" spans="12:12" ht="20" customHeight="1" x14ac:dyDescent="0.35">
      <c r="L536" s="185"/>
    </row>
    <row r="537" spans="12:12" ht="20" customHeight="1" x14ac:dyDescent="0.35">
      <c r="L537" s="185"/>
    </row>
    <row r="538" spans="12:12" ht="20" customHeight="1" x14ac:dyDescent="0.35">
      <c r="L538" s="185"/>
    </row>
    <row r="539" spans="12:12" ht="20" customHeight="1" x14ac:dyDescent="0.35">
      <c r="L539" s="185"/>
    </row>
    <row r="540" spans="12:12" ht="20" customHeight="1" x14ac:dyDescent="0.35">
      <c r="L540" s="185"/>
    </row>
    <row r="541" spans="12:12" ht="20" customHeight="1" x14ac:dyDescent="0.35">
      <c r="L541" s="185"/>
    </row>
    <row r="542" spans="12:12" ht="20" customHeight="1" x14ac:dyDescent="0.35">
      <c r="L542" s="185"/>
    </row>
    <row r="543" spans="12:12" ht="20" customHeight="1" x14ac:dyDescent="0.35">
      <c r="L543" s="185"/>
    </row>
    <row r="544" spans="12:12" ht="20" customHeight="1" x14ac:dyDescent="0.35">
      <c r="L544" s="185"/>
    </row>
    <row r="545" spans="12:12" ht="20" customHeight="1" x14ac:dyDescent="0.35">
      <c r="L545" s="185"/>
    </row>
    <row r="546" spans="12:12" ht="20" customHeight="1" x14ac:dyDescent="0.35">
      <c r="L546" s="185"/>
    </row>
    <row r="547" spans="12:12" ht="20" customHeight="1" x14ac:dyDescent="0.35">
      <c r="L547" s="185"/>
    </row>
    <row r="548" spans="12:12" ht="20" customHeight="1" x14ac:dyDescent="0.35">
      <c r="L548" s="185"/>
    </row>
    <row r="549" spans="12:12" ht="20" customHeight="1" x14ac:dyDescent="0.35">
      <c r="L549" s="185"/>
    </row>
    <row r="550" spans="12:12" ht="20" customHeight="1" x14ac:dyDescent="0.35">
      <c r="L550" s="185"/>
    </row>
    <row r="551" spans="12:12" ht="20" customHeight="1" x14ac:dyDescent="0.35">
      <c r="L551" s="185"/>
    </row>
    <row r="552" spans="12:12" ht="20" customHeight="1" x14ac:dyDescent="0.35">
      <c r="L552" s="185"/>
    </row>
    <row r="553" spans="12:12" ht="20" customHeight="1" x14ac:dyDescent="0.35">
      <c r="L553" s="185"/>
    </row>
    <row r="554" spans="12:12" ht="20" customHeight="1" x14ac:dyDescent="0.35">
      <c r="L554" s="185"/>
    </row>
    <row r="555" spans="12:12" ht="20" customHeight="1" x14ac:dyDescent="0.35">
      <c r="L555" s="185"/>
    </row>
    <row r="556" spans="12:12" ht="20" customHeight="1" x14ac:dyDescent="0.35">
      <c r="L556" s="185"/>
    </row>
    <row r="557" spans="12:12" ht="20" customHeight="1" x14ac:dyDescent="0.35">
      <c r="L557" s="185"/>
    </row>
    <row r="558" spans="12:12" ht="20" customHeight="1" x14ac:dyDescent="0.35">
      <c r="L558" s="185"/>
    </row>
    <row r="559" spans="12:12" ht="20" customHeight="1" x14ac:dyDescent="0.35">
      <c r="L559" s="185"/>
    </row>
    <row r="560" spans="12:12" ht="20" customHeight="1" x14ac:dyDescent="0.35">
      <c r="L560" s="185"/>
    </row>
    <row r="561" spans="12:12" ht="20" customHeight="1" x14ac:dyDescent="0.35">
      <c r="L561" s="185"/>
    </row>
    <row r="562" spans="12:12" ht="20" customHeight="1" x14ac:dyDescent="0.35">
      <c r="L562" s="185"/>
    </row>
    <row r="563" spans="12:12" ht="20" customHeight="1" x14ac:dyDescent="0.35">
      <c r="L563" s="185"/>
    </row>
    <row r="564" spans="12:12" ht="20" customHeight="1" x14ac:dyDescent="0.35">
      <c r="L564" s="185"/>
    </row>
    <row r="565" spans="12:12" ht="20" customHeight="1" x14ac:dyDescent="0.35">
      <c r="L565" s="185"/>
    </row>
    <row r="566" spans="12:12" ht="20" customHeight="1" x14ac:dyDescent="0.35">
      <c r="L566" s="185"/>
    </row>
    <row r="567" spans="12:12" ht="20" customHeight="1" x14ac:dyDescent="0.35">
      <c r="L567" s="185"/>
    </row>
    <row r="568" spans="12:12" ht="20" customHeight="1" x14ac:dyDescent="0.35">
      <c r="L568" s="185"/>
    </row>
    <row r="569" spans="12:12" ht="20" customHeight="1" x14ac:dyDescent="0.35">
      <c r="L569" s="185"/>
    </row>
    <row r="570" spans="12:12" ht="20" customHeight="1" x14ac:dyDescent="0.35">
      <c r="L570" s="185"/>
    </row>
    <row r="571" spans="12:12" ht="20" customHeight="1" x14ac:dyDescent="0.35">
      <c r="L571" s="185"/>
    </row>
    <row r="572" spans="12:12" ht="20" customHeight="1" x14ac:dyDescent="0.35">
      <c r="L572" s="185"/>
    </row>
    <row r="573" spans="12:12" ht="20" customHeight="1" x14ac:dyDescent="0.35">
      <c r="L573" s="185"/>
    </row>
    <row r="574" spans="12:12" ht="20" customHeight="1" x14ac:dyDescent="0.35">
      <c r="L574" s="185"/>
    </row>
    <row r="575" spans="12:12" ht="20" customHeight="1" x14ac:dyDescent="0.35">
      <c r="L575" s="185"/>
    </row>
    <row r="576" spans="12:12" ht="20" customHeight="1" x14ac:dyDescent="0.35">
      <c r="L576" s="185"/>
    </row>
    <row r="577" spans="12:12" ht="20" customHeight="1" x14ac:dyDescent="0.35">
      <c r="L577" s="185"/>
    </row>
    <row r="578" spans="12:12" ht="20" customHeight="1" x14ac:dyDescent="0.35">
      <c r="L578" s="185"/>
    </row>
    <row r="579" spans="12:12" ht="20" customHeight="1" x14ac:dyDescent="0.35">
      <c r="L579" s="185"/>
    </row>
    <row r="580" spans="12:12" ht="20" customHeight="1" x14ac:dyDescent="0.35">
      <c r="L580" s="185"/>
    </row>
    <row r="581" spans="12:12" ht="20" customHeight="1" x14ac:dyDescent="0.35">
      <c r="L581" s="185"/>
    </row>
    <row r="582" spans="12:12" ht="20" customHeight="1" x14ac:dyDescent="0.35">
      <c r="L582" s="185"/>
    </row>
    <row r="583" spans="12:12" ht="20" customHeight="1" x14ac:dyDescent="0.35">
      <c r="L583" s="185"/>
    </row>
    <row r="584" spans="12:12" ht="20" customHeight="1" x14ac:dyDescent="0.35">
      <c r="L584" s="185"/>
    </row>
    <row r="585" spans="12:12" ht="20" customHeight="1" x14ac:dyDescent="0.35">
      <c r="L585" s="185"/>
    </row>
    <row r="586" spans="12:12" ht="20" customHeight="1" x14ac:dyDescent="0.35">
      <c r="L586" s="185"/>
    </row>
    <row r="587" spans="12:12" ht="20" customHeight="1" x14ac:dyDescent="0.35">
      <c r="L587" s="185"/>
    </row>
    <row r="588" spans="12:12" ht="20" customHeight="1" x14ac:dyDescent="0.35">
      <c r="L588" s="185"/>
    </row>
    <row r="589" spans="12:12" ht="20" customHeight="1" x14ac:dyDescent="0.35">
      <c r="L589" s="185"/>
    </row>
    <row r="590" spans="12:12" ht="20" customHeight="1" x14ac:dyDescent="0.35">
      <c r="L590" s="185"/>
    </row>
    <row r="591" spans="12:12" ht="20" customHeight="1" x14ac:dyDescent="0.35">
      <c r="L591" s="185"/>
    </row>
    <row r="592" spans="12:12" ht="20" customHeight="1" x14ac:dyDescent="0.35">
      <c r="L592" s="185"/>
    </row>
    <row r="593" spans="12:12" ht="20" customHeight="1" x14ac:dyDescent="0.35">
      <c r="L593" s="185"/>
    </row>
    <row r="594" spans="12:12" ht="20" customHeight="1" x14ac:dyDescent="0.35">
      <c r="L594" s="185"/>
    </row>
    <row r="595" spans="12:12" ht="20" customHeight="1" x14ac:dyDescent="0.35">
      <c r="L595" s="185"/>
    </row>
    <row r="596" spans="12:12" ht="20" customHeight="1" x14ac:dyDescent="0.35">
      <c r="L596" s="185"/>
    </row>
    <row r="597" spans="12:12" ht="20" customHeight="1" x14ac:dyDescent="0.35">
      <c r="L597" s="185"/>
    </row>
    <row r="598" spans="12:12" ht="20" customHeight="1" x14ac:dyDescent="0.35">
      <c r="L598" s="185"/>
    </row>
    <row r="599" spans="12:12" ht="20" customHeight="1" x14ac:dyDescent="0.35">
      <c r="L599" s="185"/>
    </row>
    <row r="600" spans="12:12" ht="20" customHeight="1" x14ac:dyDescent="0.35">
      <c r="L600" s="185"/>
    </row>
    <row r="601" spans="12:12" ht="20" customHeight="1" x14ac:dyDescent="0.35">
      <c r="L601" s="185"/>
    </row>
    <row r="602" spans="12:12" ht="20" customHeight="1" x14ac:dyDescent="0.35">
      <c r="L602" s="185"/>
    </row>
    <row r="603" spans="12:12" ht="20" customHeight="1" x14ac:dyDescent="0.35">
      <c r="L603" s="185"/>
    </row>
    <row r="604" spans="12:12" ht="20" customHeight="1" x14ac:dyDescent="0.35">
      <c r="L604" s="185"/>
    </row>
    <row r="605" spans="12:12" ht="20" customHeight="1" x14ac:dyDescent="0.35">
      <c r="L605" s="185"/>
    </row>
    <row r="606" spans="12:12" ht="20" customHeight="1" x14ac:dyDescent="0.35">
      <c r="L606" s="185"/>
    </row>
    <row r="607" spans="12:12" ht="20" customHeight="1" x14ac:dyDescent="0.35">
      <c r="L607" s="185"/>
    </row>
    <row r="608" spans="12:12" ht="20" customHeight="1" x14ac:dyDescent="0.35">
      <c r="L608" s="185"/>
    </row>
    <row r="609" spans="12:12" ht="20" customHeight="1" x14ac:dyDescent="0.35">
      <c r="L609" s="185"/>
    </row>
    <row r="610" spans="12:12" ht="20" customHeight="1" x14ac:dyDescent="0.35">
      <c r="L610" s="185"/>
    </row>
    <row r="611" spans="12:12" ht="20" customHeight="1" x14ac:dyDescent="0.35">
      <c r="L611" s="185"/>
    </row>
    <row r="612" spans="12:12" ht="20" customHeight="1" x14ac:dyDescent="0.35">
      <c r="L612" s="185"/>
    </row>
    <row r="613" spans="12:12" ht="20" customHeight="1" x14ac:dyDescent="0.35">
      <c r="L613" s="185"/>
    </row>
    <row r="614" spans="12:12" ht="20" customHeight="1" x14ac:dyDescent="0.35">
      <c r="L614" s="185"/>
    </row>
    <row r="615" spans="12:12" ht="20" customHeight="1" x14ac:dyDescent="0.35">
      <c r="L615" s="185"/>
    </row>
    <row r="616" spans="12:12" ht="20" customHeight="1" x14ac:dyDescent="0.35">
      <c r="L616" s="185"/>
    </row>
    <row r="617" spans="12:12" ht="20" customHeight="1" x14ac:dyDescent="0.35">
      <c r="L617" s="185"/>
    </row>
    <row r="618" spans="12:12" ht="20" customHeight="1" x14ac:dyDescent="0.35">
      <c r="L618" s="185"/>
    </row>
    <row r="619" spans="12:12" ht="20" customHeight="1" x14ac:dyDescent="0.35">
      <c r="L619" s="185"/>
    </row>
    <row r="620" spans="12:12" ht="20" customHeight="1" x14ac:dyDescent="0.35">
      <c r="L620" s="185"/>
    </row>
    <row r="621" spans="12:12" ht="20" customHeight="1" x14ac:dyDescent="0.35">
      <c r="L621" s="185"/>
    </row>
    <row r="622" spans="12:12" ht="20" customHeight="1" x14ac:dyDescent="0.35">
      <c r="L622" s="185"/>
    </row>
    <row r="623" spans="12:12" ht="20" customHeight="1" x14ac:dyDescent="0.35">
      <c r="L623" s="185"/>
    </row>
    <row r="624" spans="12:12" ht="20" customHeight="1" x14ac:dyDescent="0.35">
      <c r="L624" s="185"/>
    </row>
    <row r="625" spans="12:12" ht="20" customHeight="1" x14ac:dyDescent="0.35">
      <c r="L625" s="185"/>
    </row>
    <row r="626" spans="12:12" ht="20" customHeight="1" x14ac:dyDescent="0.35">
      <c r="L626" s="185"/>
    </row>
    <row r="627" spans="12:12" ht="20" customHeight="1" x14ac:dyDescent="0.35">
      <c r="L627" s="185"/>
    </row>
    <row r="628" spans="12:12" ht="20" customHeight="1" x14ac:dyDescent="0.35">
      <c r="L628" s="185"/>
    </row>
    <row r="629" spans="12:12" ht="20" customHeight="1" x14ac:dyDescent="0.35">
      <c r="L629" s="185"/>
    </row>
    <row r="630" spans="12:12" ht="20" customHeight="1" x14ac:dyDescent="0.35">
      <c r="L630" s="185"/>
    </row>
    <row r="631" spans="12:12" ht="20" customHeight="1" x14ac:dyDescent="0.35">
      <c r="L631" s="185"/>
    </row>
    <row r="632" spans="12:12" ht="20" customHeight="1" x14ac:dyDescent="0.35">
      <c r="L632" s="185"/>
    </row>
    <row r="633" spans="12:12" ht="20" customHeight="1" x14ac:dyDescent="0.35">
      <c r="L633" s="185"/>
    </row>
    <row r="634" spans="12:12" ht="20" customHeight="1" x14ac:dyDescent="0.35">
      <c r="L634" s="185"/>
    </row>
    <row r="635" spans="12:12" ht="20" customHeight="1" x14ac:dyDescent="0.35">
      <c r="L635" s="185"/>
    </row>
    <row r="636" spans="12:12" ht="20" customHeight="1" x14ac:dyDescent="0.35">
      <c r="L636" s="185"/>
    </row>
    <row r="637" spans="12:12" ht="20" customHeight="1" x14ac:dyDescent="0.35">
      <c r="L637" s="185"/>
    </row>
    <row r="638" spans="12:12" ht="20" customHeight="1" x14ac:dyDescent="0.35">
      <c r="L638" s="185"/>
    </row>
    <row r="639" spans="12:12" ht="20" customHeight="1" x14ac:dyDescent="0.35">
      <c r="L639" s="185"/>
    </row>
    <row r="640" spans="12:12" ht="20" customHeight="1" x14ac:dyDescent="0.35">
      <c r="L640" s="185"/>
    </row>
    <row r="641" spans="12:12" ht="20" customHeight="1" x14ac:dyDescent="0.35">
      <c r="L641" s="185"/>
    </row>
    <row r="642" spans="12:12" ht="20" customHeight="1" x14ac:dyDescent="0.35">
      <c r="L642" s="185"/>
    </row>
    <row r="643" spans="12:12" ht="20" customHeight="1" x14ac:dyDescent="0.35">
      <c r="L643" s="185"/>
    </row>
    <row r="644" spans="12:12" ht="20" customHeight="1" x14ac:dyDescent="0.35">
      <c r="L644" s="185"/>
    </row>
    <row r="645" spans="12:12" ht="20" customHeight="1" x14ac:dyDescent="0.35">
      <c r="L645" s="185"/>
    </row>
    <row r="646" spans="12:12" ht="20" customHeight="1" x14ac:dyDescent="0.35">
      <c r="L646" s="185"/>
    </row>
    <row r="647" spans="12:12" ht="20" customHeight="1" x14ac:dyDescent="0.35">
      <c r="L647" s="185"/>
    </row>
    <row r="648" spans="12:12" ht="20" customHeight="1" x14ac:dyDescent="0.35">
      <c r="L648" s="185"/>
    </row>
    <row r="649" spans="12:12" ht="20" customHeight="1" x14ac:dyDescent="0.35">
      <c r="L649" s="185"/>
    </row>
    <row r="650" spans="12:12" ht="20" customHeight="1" x14ac:dyDescent="0.35">
      <c r="L650" s="185"/>
    </row>
    <row r="651" spans="12:12" ht="20" customHeight="1" x14ac:dyDescent="0.35">
      <c r="L651" s="185"/>
    </row>
    <row r="652" spans="12:12" ht="20" customHeight="1" x14ac:dyDescent="0.35">
      <c r="L652" s="185"/>
    </row>
    <row r="653" spans="12:12" ht="20" customHeight="1" x14ac:dyDescent="0.35">
      <c r="L653" s="185"/>
    </row>
    <row r="654" spans="12:12" ht="20" customHeight="1" x14ac:dyDescent="0.35">
      <c r="L654" s="185"/>
    </row>
    <row r="655" spans="12:12" ht="20" customHeight="1" x14ac:dyDescent="0.35">
      <c r="L655" s="185"/>
    </row>
    <row r="656" spans="12:12" ht="20" customHeight="1" x14ac:dyDescent="0.35">
      <c r="L656" s="185"/>
    </row>
    <row r="657" spans="12:12" ht="20" customHeight="1" x14ac:dyDescent="0.35">
      <c r="L657" s="185"/>
    </row>
    <row r="658" spans="12:12" ht="20" customHeight="1" x14ac:dyDescent="0.35">
      <c r="L658" s="185"/>
    </row>
    <row r="659" spans="12:12" ht="20" customHeight="1" x14ac:dyDescent="0.35">
      <c r="L659" s="185"/>
    </row>
    <row r="660" spans="12:12" ht="20" customHeight="1" x14ac:dyDescent="0.35">
      <c r="L660" s="185"/>
    </row>
    <row r="661" spans="12:12" ht="20" customHeight="1" x14ac:dyDescent="0.35">
      <c r="L661" s="185"/>
    </row>
    <row r="662" spans="12:12" ht="20" customHeight="1" x14ac:dyDescent="0.35">
      <c r="L662" s="185"/>
    </row>
    <row r="663" spans="12:12" ht="20" customHeight="1" x14ac:dyDescent="0.35">
      <c r="L663" s="185"/>
    </row>
    <row r="664" spans="12:12" ht="20" customHeight="1" x14ac:dyDescent="0.35">
      <c r="L664" s="185"/>
    </row>
    <row r="665" spans="12:12" ht="20" customHeight="1" x14ac:dyDescent="0.35">
      <c r="L665" s="185"/>
    </row>
    <row r="666" spans="12:12" ht="20" customHeight="1" x14ac:dyDescent="0.35">
      <c r="L666" s="185"/>
    </row>
    <row r="667" spans="12:12" ht="20" customHeight="1" x14ac:dyDescent="0.35">
      <c r="L667" s="185"/>
    </row>
    <row r="668" spans="12:12" ht="20" customHeight="1" x14ac:dyDescent="0.35">
      <c r="L668" s="185"/>
    </row>
    <row r="669" spans="12:12" ht="20" customHeight="1" x14ac:dyDescent="0.35">
      <c r="L669" s="185"/>
    </row>
    <row r="670" spans="12:12" ht="20" customHeight="1" x14ac:dyDescent="0.35">
      <c r="L670" s="185"/>
    </row>
    <row r="671" spans="12:12" ht="20" customHeight="1" x14ac:dyDescent="0.35">
      <c r="L671" s="185"/>
    </row>
    <row r="672" spans="12:12" ht="20" customHeight="1" x14ac:dyDescent="0.35">
      <c r="L672" s="185"/>
    </row>
    <row r="673" spans="12:12" ht="20" customHeight="1" x14ac:dyDescent="0.35">
      <c r="L673" s="185"/>
    </row>
    <row r="674" spans="12:12" ht="20" customHeight="1" x14ac:dyDescent="0.35">
      <c r="L674" s="185"/>
    </row>
    <row r="675" spans="12:12" ht="20" customHeight="1" x14ac:dyDescent="0.35">
      <c r="L675" s="185"/>
    </row>
    <row r="676" spans="12:12" ht="20" customHeight="1" x14ac:dyDescent="0.35">
      <c r="L676" s="185"/>
    </row>
    <row r="677" spans="12:12" ht="20" customHeight="1" x14ac:dyDescent="0.35">
      <c r="L677" s="185"/>
    </row>
    <row r="678" spans="12:12" ht="20" customHeight="1" x14ac:dyDescent="0.35">
      <c r="L678" s="185"/>
    </row>
    <row r="679" spans="12:12" ht="20" customHeight="1" x14ac:dyDescent="0.35">
      <c r="L679" s="185"/>
    </row>
    <row r="680" spans="12:12" ht="20" customHeight="1" x14ac:dyDescent="0.35">
      <c r="L680" s="185"/>
    </row>
    <row r="681" spans="12:12" ht="20" customHeight="1" x14ac:dyDescent="0.35">
      <c r="L681" s="185"/>
    </row>
    <row r="682" spans="12:12" ht="20" customHeight="1" x14ac:dyDescent="0.35">
      <c r="L682" s="185"/>
    </row>
    <row r="683" spans="12:12" ht="20" customHeight="1" x14ac:dyDescent="0.35">
      <c r="L683" s="185"/>
    </row>
    <row r="684" spans="12:12" ht="20" customHeight="1" x14ac:dyDescent="0.35">
      <c r="L684" s="185"/>
    </row>
    <row r="685" spans="12:12" ht="20" customHeight="1" x14ac:dyDescent="0.35">
      <c r="L685" s="185"/>
    </row>
    <row r="686" spans="12:12" ht="20" customHeight="1" x14ac:dyDescent="0.35">
      <c r="L686" s="185"/>
    </row>
    <row r="687" spans="12:12" ht="20" customHeight="1" x14ac:dyDescent="0.35">
      <c r="L687" s="185"/>
    </row>
    <row r="688" spans="12:12" ht="20" customHeight="1" x14ac:dyDescent="0.35">
      <c r="L688" s="185"/>
    </row>
    <row r="689" spans="12:12" ht="20" customHeight="1" x14ac:dyDescent="0.35">
      <c r="L689" s="185"/>
    </row>
    <row r="690" spans="12:12" ht="20" customHeight="1" x14ac:dyDescent="0.35">
      <c r="L690" s="185"/>
    </row>
    <row r="691" spans="12:12" ht="20" customHeight="1" x14ac:dyDescent="0.35">
      <c r="L691" s="185"/>
    </row>
    <row r="692" spans="12:12" ht="20" customHeight="1" x14ac:dyDescent="0.35">
      <c r="L692" s="185"/>
    </row>
    <row r="693" spans="12:12" ht="20" customHeight="1" x14ac:dyDescent="0.35">
      <c r="L693" s="185"/>
    </row>
    <row r="694" spans="12:12" ht="20" customHeight="1" x14ac:dyDescent="0.35">
      <c r="L694" s="185"/>
    </row>
    <row r="695" spans="12:12" ht="20" customHeight="1" x14ac:dyDescent="0.35">
      <c r="L695" s="185"/>
    </row>
    <row r="696" spans="12:12" ht="20" customHeight="1" x14ac:dyDescent="0.35">
      <c r="L696" s="185"/>
    </row>
    <row r="697" spans="12:12" ht="20" customHeight="1" x14ac:dyDescent="0.35">
      <c r="L697" s="185"/>
    </row>
    <row r="698" spans="12:12" ht="20" customHeight="1" x14ac:dyDescent="0.35">
      <c r="L698" s="185"/>
    </row>
    <row r="699" spans="12:12" ht="20" customHeight="1" x14ac:dyDescent="0.35">
      <c r="L699" s="185"/>
    </row>
    <row r="700" spans="12:12" ht="20" customHeight="1" x14ac:dyDescent="0.35">
      <c r="L700" s="185"/>
    </row>
    <row r="701" spans="12:12" ht="20" customHeight="1" x14ac:dyDescent="0.35">
      <c r="L701" s="185"/>
    </row>
    <row r="702" spans="12:12" ht="20" customHeight="1" x14ac:dyDescent="0.35">
      <c r="L702" s="185"/>
    </row>
    <row r="703" spans="12:12" ht="20" customHeight="1" x14ac:dyDescent="0.35">
      <c r="L703" s="185"/>
    </row>
    <row r="704" spans="12:12" ht="20" customHeight="1" x14ac:dyDescent="0.35">
      <c r="L704" s="185"/>
    </row>
    <row r="705" spans="12:12" ht="20" customHeight="1" x14ac:dyDescent="0.35">
      <c r="L705" s="185"/>
    </row>
    <row r="706" spans="12:12" ht="20" customHeight="1" x14ac:dyDescent="0.35">
      <c r="L706" s="185"/>
    </row>
    <row r="707" spans="12:12" ht="20" customHeight="1" x14ac:dyDescent="0.35">
      <c r="L707" s="185"/>
    </row>
    <row r="708" spans="12:12" ht="20" customHeight="1" x14ac:dyDescent="0.35">
      <c r="L708" s="185"/>
    </row>
    <row r="709" spans="12:12" ht="20" customHeight="1" x14ac:dyDescent="0.35">
      <c r="L709" s="185"/>
    </row>
    <row r="710" spans="12:12" ht="20" customHeight="1" x14ac:dyDescent="0.35">
      <c r="L710" s="185"/>
    </row>
    <row r="711" spans="12:12" ht="20" customHeight="1" x14ac:dyDescent="0.35">
      <c r="L711" s="185"/>
    </row>
    <row r="712" spans="12:12" ht="20" customHeight="1" x14ac:dyDescent="0.35">
      <c r="L712" s="185"/>
    </row>
    <row r="713" spans="12:12" ht="20" customHeight="1" x14ac:dyDescent="0.35">
      <c r="L713" s="185"/>
    </row>
    <row r="714" spans="12:12" ht="20" customHeight="1" x14ac:dyDescent="0.35">
      <c r="L714" s="185"/>
    </row>
    <row r="715" spans="12:12" ht="20" customHeight="1" x14ac:dyDescent="0.35">
      <c r="L715" s="185"/>
    </row>
    <row r="716" spans="12:12" ht="20" customHeight="1" x14ac:dyDescent="0.35">
      <c r="L716" s="185"/>
    </row>
    <row r="717" spans="12:12" ht="20" customHeight="1" x14ac:dyDescent="0.35">
      <c r="L717" s="185"/>
    </row>
    <row r="718" spans="12:12" ht="20" customHeight="1" x14ac:dyDescent="0.35">
      <c r="L718" s="185"/>
    </row>
    <row r="719" spans="12:12" ht="20" customHeight="1" x14ac:dyDescent="0.35">
      <c r="L719" s="185"/>
    </row>
    <row r="720" spans="12:12" ht="20" customHeight="1" x14ac:dyDescent="0.35">
      <c r="L720" s="185"/>
    </row>
    <row r="721" spans="12:12" ht="20" customHeight="1" x14ac:dyDescent="0.35">
      <c r="L721" s="185"/>
    </row>
    <row r="722" spans="12:12" ht="20" customHeight="1" x14ac:dyDescent="0.35">
      <c r="L722" s="185"/>
    </row>
    <row r="723" spans="12:12" ht="20" customHeight="1" x14ac:dyDescent="0.35">
      <c r="L723" s="185"/>
    </row>
    <row r="724" spans="12:12" ht="20" customHeight="1" x14ac:dyDescent="0.35">
      <c r="L724" s="185"/>
    </row>
    <row r="725" spans="12:12" ht="20" customHeight="1" x14ac:dyDescent="0.35">
      <c r="L725" s="185"/>
    </row>
    <row r="726" spans="12:12" ht="20" customHeight="1" x14ac:dyDescent="0.35">
      <c r="L726" s="185"/>
    </row>
    <row r="727" spans="12:12" ht="20" customHeight="1" x14ac:dyDescent="0.35">
      <c r="L727" s="185"/>
    </row>
    <row r="728" spans="12:12" ht="20" customHeight="1" x14ac:dyDescent="0.35">
      <c r="L728" s="185"/>
    </row>
    <row r="729" spans="12:12" ht="20" customHeight="1" x14ac:dyDescent="0.35">
      <c r="L729" s="185"/>
    </row>
    <row r="730" spans="12:12" ht="20" customHeight="1" x14ac:dyDescent="0.35">
      <c r="L730" s="185"/>
    </row>
    <row r="731" spans="12:12" ht="20" customHeight="1" x14ac:dyDescent="0.35">
      <c r="L731" s="185"/>
    </row>
    <row r="732" spans="12:12" ht="20" customHeight="1" x14ac:dyDescent="0.35">
      <c r="L732" s="185"/>
    </row>
    <row r="733" spans="12:12" ht="20" customHeight="1" x14ac:dyDescent="0.35">
      <c r="L733" s="185"/>
    </row>
    <row r="734" spans="12:12" ht="20" customHeight="1" x14ac:dyDescent="0.35">
      <c r="L734" s="185"/>
    </row>
    <row r="735" spans="12:12" ht="20" customHeight="1" x14ac:dyDescent="0.35">
      <c r="L735" s="185"/>
    </row>
    <row r="736" spans="12:12" ht="20" customHeight="1" x14ac:dyDescent="0.35">
      <c r="L736" s="185"/>
    </row>
    <row r="737" spans="12:12" ht="20" customHeight="1" x14ac:dyDescent="0.35">
      <c r="L737" s="185"/>
    </row>
    <row r="738" spans="12:12" ht="20" customHeight="1" x14ac:dyDescent="0.35">
      <c r="L738" s="185"/>
    </row>
    <row r="739" spans="12:12" ht="20" customHeight="1" x14ac:dyDescent="0.35">
      <c r="L739" s="185"/>
    </row>
    <row r="740" spans="12:12" ht="20" customHeight="1" x14ac:dyDescent="0.35">
      <c r="L740" s="185"/>
    </row>
    <row r="741" spans="12:12" ht="20" customHeight="1" x14ac:dyDescent="0.35">
      <c r="L741" s="185"/>
    </row>
    <row r="742" spans="12:12" ht="20" customHeight="1" x14ac:dyDescent="0.35">
      <c r="L742" s="185"/>
    </row>
    <row r="743" spans="12:12" ht="20" customHeight="1" x14ac:dyDescent="0.35">
      <c r="L743" s="185"/>
    </row>
    <row r="744" spans="12:12" ht="20" customHeight="1" x14ac:dyDescent="0.35">
      <c r="L744" s="185"/>
    </row>
    <row r="745" spans="12:12" ht="20" customHeight="1" x14ac:dyDescent="0.35">
      <c r="L745" s="185"/>
    </row>
    <row r="746" spans="12:12" ht="20" customHeight="1" x14ac:dyDescent="0.35">
      <c r="L746" s="185"/>
    </row>
    <row r="747" spans="12:12" ht="20" customHeight="1" x14ac:dyDescent="0.35">
      <c r="L747" s="185"/>
    </row>
    <row r="748" spans="12:12" ht="20" customHeight="1" x14ac:dyDescent="0.35">
      <c r="L748" s="185"/>
    </row>
    <row r="749" spans="12:12" ht="20" customHeight="1" x14ac:dyDescent="0.35">
      <c r="L749" s="185"/>
    </row>
    <row r="750" spans="12:12" ht="20" customHeight="1" x14ac:dyDescent="0.35">
      <c r="L750" s="185"/>
    </row>
    <row r="751" spans="12:12" ht="20" customHeight="1" x14ac:dyDescent="0.35">
      <c r="L751" s="185"/>
    </row>
    <row r="752" spans="12:12" ht="20" customHeight="1" x14ac:dyDescent="0.35">
      <c r="L752" s="185"/>
    </row>
    <row r="753" spans="12:12" ht="20" customHeight="1" x14ac:dyDescent="0.35">
      <c r="L753" s="185"/>
    </row>
    <row r="754" spans="12:12" ht="20" customHeight="1" x14ac:dyDescent="0.35">
      <c r="L754" s="185"/>
    </row>
    <row r="755" spans="12:12" ht="20" customHeight="1" x14ac:dyDescent="0.35">
      <c r="L755" s="185"/>
    </row>
    <row r="756" spans="12:12" ht="20" customHeight="1" x14ac:dyDescent="0.35">
      <c r="L756" s="185"/>
    </row>
    <row r="757" spans="12:12" ht="20" customHeight="1" x14ac:dyDescent="0.35">
      <c r="L757" s="185"/>
    </row>
    <row r="758" spans="12:12" ht="20" customHeight="1" x14ac:dyDescent="0.35">
      <c r="L758" s="185"/>
    </row>
    <row r="759" spans="12:12" ht="20" customHeight="1" x14ac:dyDescent="0.35">
      <c r="L759" s="185"/>
    </row>
    <row r="760" spans="12:12" ht="20" customHeight="1" x14ac:dyDescent="0.35">
      <c r="L760" s="185"/>
    </row>
    <row r="761" spans="12:12" ht="20" customHeight="1" x14ac:dyDescent="0.35">
      <c r="L761" s="185"/>
    </row>
    <row r="762" spans="12:12" ht="20" customHeight="1" x14ac:dyDescent="0.35">
      <c r="L762" s="185"/>
    </row>
    <row r="763" spans="12:12" ht="20" customHeight="1" x14ac:dyDescent="0.35">
      <c r="L763" s="185"/>
    </row>
    <row r="764" spans="12:12" ht="20" customHeight="1" x14ac:dyDescent="0.35">
      <c r="L764" s="185"/>
    </row>
    <row r="765" spans="12:12" ht="20" customHeight="1" x14ac:dyDescent="0.35">
      <c r="L765" s="185"/>
    </row>
    <row r="766" spans="12:12" ht="20" customHeight="1" x14ac:dyDescent="0.35">
      <c r="L766" s="185"/>
    </row>
    <row r="767" spans="12:12" ht="20" customHeight="1" x14ac:dyDescent="0.35">
      <c r="L767" s="185"/>
    </row>
    <row r="768" spans="12:12" ht="20" customHeight="1" x14ac:dyDescent="0.35">
      <c r="L768" s="185"/>
    </row>
    <row r="769" spans="12:12" ht="20" customHeight="1" x14ac:dyDescent="0.35">
      <c r="L769" s="185"/>
    </row>
    <row r="770" spans="12:12" ht="20" customHeight="1" x14ac:dyDescent="0.35">
      <c r="L770" s="185"/>
    </row>
    <row r="771" spans="12:12" ht="20" customHeight="1" x14ac:dyDescent="0.35">
      <c r="L771" s="185"/>
    </row>
    <row r="772" spans="12:12" ht="20" customHeight="1" x14ac:dyDescent="0.35">
      <c r="L772" s="185"/>
    </row>
    <row r="773" spans="12:12" ht="20" customHeight="1" x14ac:dyDescent="0.35">
      <c r="L773" s="185"/>
    </row>
    <row r="774" spans="12:12" ht="20" customHeight="1" x14ac:dyDescent="0.35">
      <c r="L774" s="185"/>
    </row>
    <row r="775" spans="12:12" ht="20" customHeight="1" x14ac:dyDescent="0.35">
      <c r="L775" s="185"/>
    </row>
    <row r="776" spans="12:12" ht="20" customHeight="1" x14ac:dyDescent="0.35">
      <c r="L776" s="185"/>
    </row>
    <row r="777" spans="12:12" ht="20" customHeight="1" x14ac:dyDescent="0.35">
      <c r="L777" s="185"/>
    </row>
    <row r="778" spans="12:12" ht="20" customHeight="1" x14ac:dyDescent="0.35">
      <c r="L778" s="185"/>
    </row>
    <row r="779" spans="12:12" ht="20" customHeight="1" x14ac:dyDescent="0.35">
      <c r="L779" s="185"/>
    </row>
    <row r="780" spans="12:12" ht="20" customHeight="1" x14ac:dyDescent="0.35">
      <c r="L780" s="185"/>
    </row>
    <row r="781" spans="12:12" ht="20" customHeight="1" x14ac:dyDescent="0.35">
      <c r="L781" s="185"/>
    </row>
    <row r="782" spans="12:12" ht="20" customHeight="1" x14ac:dyDescent="0.35">
      <c r="L782" s="185"/>
    </row>
    <row r="783" spans="12:12" ht="20" customHeight="1" x14ac:dyDescent="0.35">
      <c r="L783" s="185"/>
    </row>
    <row r="784" spans="12:12" ht="20" customHeight="1" x14ac:dyDescent="0.35">
      <c r="L784" s="185"/>
    </row>
    <row r="785" spans="12:12" ht="20" customHeight="1" x14ac:dyDescent="0.35">
      <c r="L785" s="185"/>
    </row>
    <row r="786" spans="12:12" ht="20" customHeight="1" x14ac:dyDescent="0.35">
      <c r="L786" s="185"/>
    </row>
    <row r="787" spans="12:12" ht="20" customHeight="1" x14ac:dyDescent="0.35">
      <c r="L787" s="185"/>
    </row>
    <row r="788" spans="12:12" ht="20" customHeight="1" x14ac:dyDescent="0.35">
      <c r="L788" s="185"/>
    </row>
    <row r="789" spans="12:12" ht="20" customHeight="1" x14ac:dyDescent="0.35">
      <c r="L789" s="185"/>
    </row>
    <row r="790" spans="12:12" ht="20" customHeight="1" x14ac:dyDescent="0.35">
      <c r="L790" s="185"/>
    </row>
    <row r="791" spans="12:12" ht="20" customHeight="1" x14ac:dyDescent="0.35">
      <c r="L791" s="185"/>
    </row>
    <row r="792" spans="12:12" ht="20" customHeight="1" x14ac:dyDescent="0.35">
      <c r="L792" s="185"/>
    </row>
    <row r="793" spans="12:12" ht="20" customHeight="1" x14ac:dyDescent="0.35">
      <c r="L793" s="185"/>
    </row>
    <row r="794" spans="12:12" ht="20" customHeight="1" x14ac:dyDescent="0.35">
      <c r="L794" s="185"/>
    </row>
    <row r="795" spans="12:12" ht="20" customHeight="1" x14ac:dyDescent="0.35">
      <c r="L795" s="185"/>
    </row>
    <row r="796" spans="12:12" ht="20" customHeight="1" x14ac:dyDescent="0.35">
      <c r="L796" s="185"/>
    </row>
    <row r="797" spans="12:12" ht="20" customHeight="1" x14ac:dyDescent="0.35">
      <c r="L797" s="185"/>
    </row>
    <row r="798" spans="12:12" ht="20" customHeight="1" x14ac:dyDescent="0.35">
      <c r="L798" s="185"/>
    </row>
    <row r="799" spans="12:12" ht="20" customHeight="1" x14ac:dyDescent="0.35">
      <c r="L799" s="185"/>
    </row>
    <row r="800" spans="12:12" ht="20" customHeight="1" x14ac:dyDescent="0.35">
      <c r="L800" s="185"/>
    </row>
    <row r="801" spans="12:12" ht="20" customHeight="1" x14ac:dyDescent="0.35">
      <c r="L801" s="185"/>
    </row>
    <row r="802" spans="12:12" ht="20" customHeight="1" x14ac:dyDescent="0.35">
      <c r="L802" s="185"/>
    </row>
    <row r="803" spans="12:12" ht="20" customHeight="1" x14ac:dyDescent="0.35">
      <c r="L803" s="185"/>
    </row>
    <row r="804" spans="12:12" ht="20" customHeight="1" x14ac:dyDescent="0.35">
      <c r="L804" s="185"/>
    </row>
    <row r="805" spans="12:12" ht="20" customHeight="1" x14ac:dyDescent="0.35">
      <c r="L805" s="185"/>
    </row>
    <row r="806" spans="12:12" ht="20" customHeight="1" x14ac:dyDescent="0.35">
      <c r="L806" s="185"/>
    </row>
    <row r="807" spans="12:12" ht="20" customHeight="1" x14ac:dyDescent="0.35">
      <c r="L807" s="185"/>
    </row>
    <row r="808" spans="12:12" ht="20" customHeight="1" x14ac:dyDescent="0.35">
      <c r="L808" s="185"/>
    </row>
    <row r="809" spans="12:12" ht="20" customHeight="1" x14ac:dyDescent="0.35">
      <c r="L809" s="185"/>
    </row>
    <row r="810" spans="12:12" ht="20" customHeight="1" x14ac:dyDescent="0.35">
      <c r="L810" s="185"/>
    </row>
    <row r="811" spans="12:12" ht="20" customHeight="1" x14ac:dyDescent="0.35">
      <c r="L811" s="185"/>
    </row>
    <row r="812" spans="12:12" ht="20" customHeight="1" x14ac:dyDescent="0.35">
      <c r="L812" s="185"/>
    </row>
    <row r="813" spans="12:12" ht="20" customHeight="1" x14ac:dyDescent="0.35">
      <c r="L813" s="185"/>
    </row>
    <row r="814" spans="12:12" ht="20" customHeight="1" x14ac:dyDescent="0.35">
      <c r="L814" s="185"/>
    </row>
    <row r="815" spans="12:12" ht="20" customHeight="1" x14ac:dyDescent="0.35">
      <c r="L815" s="185"/>
    </row>
    <row r="816" spans="12:12" ht="20" customHeight="1" x14ac:dyDescent="0.35">
      <c r="L816" s="185"/>
    </row>
    <row r="817" spans="12:12" ht="20" customHeight="1" x14ac:dyDescent="0.35">
      <c r="L817" s="185"/>
    </row>
    <row r="818" spans="12:12" ht="20" customHeight="1" x14ac:dyDescent="0.35">
      <c r="L818" s="185"/>
    </row>
    <row r="819" spans="12:12" ht="20" customHeight="1" x14ac:dyDescent="0.35">
      <c r="L819" s="185"/>
    </row>
    <row r="820" spans="12:12" ht="20" customHeight="1" x14ac:dyDescent="0.35">
      <c r="L820" s="185"/>
    </row>
    <row r="821" spans="12:12" ht="20" customHeight="1" x14ac:dyDescent="0.35">
      <c r="L821" s="185"/>
    </row>
    <row r="822" spans="12:12" ht="20" customHeight="1" x14ac:dyDescent="0.35">
      <c r="L822" s="185"/>
    </row>
    <row r="823" spans="12:12" ht="20" customHeight="1" x14ac:dyDescent="0.35">
      <c r="L823" s="185"/>
    </row>
    <row r="824" spans="12:12" ht="20" customHeight="1" x14ac:dyDescent="0.35">
      <c r="L824" s="185"/>
    </row>
    <row r="825" spans="12:12" ht="20" customHeight="1" x14ac:dyDescent="0.35">
      <c r="L825" s="185"/>
    </row>
    <row r="826" spans="12:12" ht="20" customHeight="1" x14ac:dyDescent="0.35">
      <c r="L826" s="185"/>
    </row>
    <row r="827" spans="12:12" ht="20" customHeight="1" x14ac:dyDescent="0.35">
      <c r="L827" s="185"/>
    </row>
    <row r="828" spans="12:12" ht="20" customHeight="1" x14ac:dyDescent="0.35">
      <c r="L828" s="185"/>
    </row>
    <row r="829" spans="12:12" ht="20" customHeight="1" x14ac:dyDescent="0.35">
      <c r="L829" s="185"/>
    </row>
    <row r="830" spans="12:12" ht="20" customHeight="1" x14ac:dyDescent="0.35">
      <c r="L830" s="185"/>
    </row>
    <row r="831" spans="12:12" ht="20" customHeight="1" x14ac:dyDescent="0.35">
      <c r="L831" s="185"/>
    </row>
    <row r="832" spans="12:12" ht="20" customHeight="1" x14ac:dyDescent="0.35">
      <c r="L832" s="185"/>
    </row>
    <row r="833" spans="12:12" ht="20" customHeight="1" x14ac:dyDescent="0.35">
      <c r="L833" s="185"/>
    </row>
    <row r="834" spans="12:12" ht="20" customHeight="1" x14ac:dyDescent="0.35">
      <c r="L834" s="185"/>
    </row>
    <row r="835" spans="12:12" ht="20" customHeight="1" x14ac:dyDescent="0.35">
      <c r="L835" s="185"/>
    </row>
    <row r="836" spans="12:12" ht="20" customHeight="1" x14ac:dyDescent="0.35">
      <c r="L836" s="185"/>
    </row>
    <row r="837" spans="12:12" ht="20" customHeight="1" x14ac:dyDescent="0.35">
      <c r="L837" s="185"/>
    </row>
    <row r="838" spans="12:12" ht="20" customHeight="1" x14ac:dyDescent="0.35">
      <c r="L838" s="185"/>
    </row>
    <row r="839" spans="12:12" ht="20" customHeight="1" x14ac:dyDescent="0.35">
      <c r="L839" s="185"/>
    </row>
    <row r="840" spans="12:12" ht="20" customHeight="1" x14ac:dyDescent="0.35">
      <c r="L840" s="185"/>
    </row>
    <row r="841" spans="12:12" ht="20" customHeight="1" x14ac:dyDescent="0.35">
      <c r="L841" s="185"/>
    </row>
    <row r="842" spans="12:12" ht="20" customHeight="1" x14ac:dyDescent="0.35">
      <c r="L842" s="185"/>
    </row>
    <row r="843" spans="12:12" ht="20" customHeight="1" x14ac:dyDescent="0.35">
      <c r="L843" s="185"/>
    </row>
    <row r="844" spans="12:12" ht="20" customHeight="1" x14ac:dyDescent="0.35">
      <c r="L844" s="185"/>
    </row>
    <row r="845" spans="12:12" ht="20" customHeight="1" x14ac:dyDescent="0.35">
      <c r="L845" s="185"/>
    </row>
    <row r="846" spans="12:12" ht="20" customHeight="1" x14ac:dyDescent="0.35">
      <c r="L846" s="185"/>
    </row>
    <row r="847" spans="12:12" ht="20" customHeight="1" x14ac:dyDescent="0.35">
      <c r="L847" s="185"/>
    </row>
    <row r="848" spans="12:12" ht="20" customHeight="1" x14ac:dyDescent="0.35">
      <c r="L848" s="185"/>
    </row>
    <row r="849" spans="12:12" ht="20" customHeight="1" x14ac:dyDescent="0.35">
      <c r="L849" s="185"/>
    </row>
    <row r="850" spans="12:12" ht="20" customHeight="1" x14ac:dyDescent="0.35">
      <c r="L850" s="185"/>
    </row>
    <row r="851" spans="12:12" ht="20" customHeight="1" x14ac:dyDescent="0.35">
      <c r="L851" s="185"/>
    </row>
    <row r="852" spans="12:12" ht="20" customHeight="1" x14ac:dyDescent="0.35">
      <c r="L852" s="185"/>
    </row>
    <row r="853" spans="12:12" ht="20" customHeight="1" x14ac:dyDescent="0.35">
      <c r="L853" s="185"/>
    </row>
    <row r="854" spans="12:12" ht="20" customHeight="1" x14ac:dyDescent="0.35">
      <c r="L854" s="185"/>
    </row>
    <row r="855" spans="12:12" ht="20" customHeight="1" x14ac:dyDescent="0.35">
      <c r="L855" s="185"/>
    </row>
    <row r="856" spans="12:12" ht="20" customHeight="1" x14ac:dyDescent="0.35">
      <c r="L856" s="185"/>
    </row>
    <row r="857" spans="12:12" ht="20" customHeight="1" x14ac:dyDescent="0.35">
      <c r="L857" s="185"/>
    </row>
    <row r="858" spans="12:12" ht="20" customHeight="1" x14ac:dyDescent="0.35">
      <c r="L858" s="185"/>
    </row>
    <row r="859" spans="12:12" ht="20" customHeight="1" x14ac:dyDescent="0.35">
      <c r="L859" s="185"/>
    </row>
    <row r="860" spans="12:12" ht="20" customHeight="1" x14ac:dyDescent="0.35">
      <c r="L860" s="185"/>
    </row>
    <row r="861" spans="12:12" ht="20" customHeight="1" x14ac:dyDescent="0.35">
      <c r="L861" s="185"/>
    </row>
    <row r="862" spans="12:12" ht="20" customHeight="1" x14ac:dyDescent="0.35">
      <c r="L862" s="185"/>
    </row>
    <row r="863" spans="12:12" ht="20" customHeight="1" x14ac:dyDescent="0.35">
      <c r="L863" s="185"/>
    </row>
    <row r="864" spans="12:12" ht="20" customHeight="1" x14ac:dyDescent="0.35">
      <c r="L864" s="185"/>
    </row>
    <row r="865" spans="12:12" ht="20" customHeight="1" x14ac:dyDescent="0.35">
      <c r="L865" s="185"/>
    </row>
    <row r="866" spans="12:12" ht="20" customHeight="1" x14ac:dyDescent="0.35">
      <c r="L866" s="185"/>
    </row>
    <row r="867" spans="12:12" ht="20" customHeight="1" x14ac:dyDescent="0.35">
      <c r="L867" s="185"/>
    </row>
    <row r="868" spans="12:12" ht="20" customHeight="1" x14ac:dyDescent="0.35">
      <c r="L868" s="185"/>
    </row>
    <row r="869" spans="12:12" ht="20" customHeight="1" x14ac:dyDescent="0.35">
      <c r="L869" s="185"/>
    </row>
    <row r="870" spans="12:12" ht="20" customHeight="1" x14ac:dyDescent="0.35">
      <c r="L870" s="185"/>
    </row>
    <row r="871" spans="12:12" ht="20" customHeight="1" x14ac:dyDescent="0.35">
      <c r="L871" s="185"/>
    </row>
    <row r="872" spans="12:12" ht="20" customHeight="1" x14ac:dyDescent="0.35">
      <c r="L872" s="185"/>
    </row>
    <row r="873" spans="12:12" ht="20" customHeight="1" x14ac:dyDescent="0.35">
      <c r="L873" s="185"/>
    </row>
    <row r="874" spans="12:12" ht="20" customHeight="1" x14ac:dyDescent="0.35">
      <c r="L874" s="185"/>
    </row>
    <row r="875" spans="12:12" ht="20" customHeight="1" x14ac:dyDescent="0.35">
      <c r="L875" s="185"/>
    </row>
    <row r="876" spans="12:12" ht="20" customHeight="1" x14ac:dyDescent="0.35">
      <c r="L876" s="185"/>
    </row>
    <row r="877" spans="12:12" ht="20" customHeight="1" x14ac:dyDescent="0.35">
      <c r="L877" s="185"/>
    </row>
    <row r="878" spans="12:12" ht="20" customHeight="1" x14ac:dyDescent="0.35">
      <c r="L878" s="185"/>
    </row>
    <row r="879" spans="12:12" ht="20" customHeight="1" x14ac:dyDescent="0.35">
      <c r="L879" s="185"/>
    </row>
    <row r="880" spans="12:12" ht="20" customHeight="1" x14ac:dyDescent="0.35">
      <c r="L880" s="185"/>
    </row>
    <row r="881" spans="12:12" ht="20" customHeight="1" x14ac:dyDescent="0.35">
      <c r="L881" s="185"/>
    </row>
    <row r="882" spans="12:12" ht="20" customHeight="1" x14ac:dyDescent="0.35">
      <c r="L882" s="185"/>
    </row>
    <row r="883" spans="12:12" ht="20" customHeight="1" x14ac:dyDescent="0.35">
      <c r="L883" s="185"/>
    </row>
    <row r="884" spans="12:12" ht="20" customHeight="1" x14ac:dyDescent="0.35">
      <c r="L884" s="185"/>
    </row>
    <row r="885" spans="12:12" ht="20" customHeight="1" x14ac:dyDescent="0.35">
      <c r="L885" s="185"/>
    </row>
    <row r="886" spans="12:12" ht="20" customHeight="1" x14ac:dyDescent="0.35">
      <c r="L886" s="185"/>
    </row>
    <row r="887" spans="12:12" ht="20" customHeight="1" x14ac:dyDescent="0.35">
      <c r="L887" s="185"/>
    </row>
    <row r="888" spans="12:12" ht="20" customHeight="1" x14ac:dyDescent="0.35">
      <c r="L888" s="185"/>
    </row>
    <row r="889" spans="12:12" ht="20" customHeight="1" x14ac:dyDescent="0.35">
      <c r="L889" s="185"/>
    </row>
    <row r="890" spans="12:12" ht="20" customHeight="1" x14ac:dyDescent="0.35">
      <c r="L890" s="185"/>
    </row>
    <row r="891" spans="12:12" ht="20" customHeight="1" x14ac:dyDescent="0.35">
      <c r="L891" s="185"/>
    </row>
    <row r="892" spans="12:12" ht="20" customHeight="1" x14ac:dyDescent="0.35">
      <c r="L892" s="185"/>
    </row>
    <row r="893" spans="12:12" ht="20" customHeight="1" x14ac:dyDescent="0.35">
      <c r="L893" s="185"/>
    </row>
    <row r="894" spans="12:12" ht="20" customHeight="1" x14ac:dyDescent="0.35">
      <c r="L894" s="185"/>
    </row>
    <row r="895" spans="12:12" ht="20" customHeight="1" x14ac:dyDescent="0.35">
      <c r="L895" s="185"/>
    </row>
    <row r="896" spans="12:12" ht="20" customHeight="1" x14ac:dyDescent="0.35">
      <c r="L896" s="185"/>
    </row>
    <row r="897" spans="12:12" ht="20" customHeight="1" x14ac:dyDescent="0.35">
      <c r="L897" s="185"/>
    </row>
    <row r="898" spans="12:12" ht="20" customHeight="1" x14ac:dyDescent="0.35">
      <c r="L898" s="185"/>
    </row>
    <row r="899" spans="12:12" ht="20" customHeight="1" x14ac:dyDescent="0.35">
      <c r="L899" s="185"/>
    </row>
    <row r="900" spans="12:12" ht="20" customHeight="1" x14ac:dyDescent="0.35">
      <c r="L900" s="185"/>
    </row>
    <row r="901" spans="12:12" ht="20" customHeight="1" x14ac:dyDescent="0.35">
      <c r="L901" s="185"/>
    </row>
    <row r="902" spans="12:12" ht="20" customHeight="1" x14ac:dyDescent="0.35">
      <c r="L902" s="185"/>
    </row>
    <row r="903" spans="12:12" ht="20" customHeight="1" x14ac:dyDescent="0.35">
      <c r="L903" s="185"/>
    </row>
    <row r="904" spans="12:12" ht="20" customHeight="1" x14ac:dyDescent="0.35">
      <c r="L904" s="185"/>
    </row>
    <row r="905" spans="12:12" ht="20" customHeight="1" x14ac:dyDescent="0.35">
      <c r="L905" s="185"/>
    </row>
    <row r="906" spans="12:12" ht="20" customHeight="1" x14ac:dyDescent="0.35">
      <c r="L906" s="185"/>
    </row>
    <row r="907" spans="12:12" ht="20" customHeight="1" x14ac:dyDescent="0.35">
      <c r="L907" s="185"/>
    </row>
    <row r="908" spans="12:12" ht="20" customHeight="1" x14ac:dyDescent="0.35">
      <c r="L908" s="185"/>
    </row>
    <row r="909" spans="12:12" ht="20" customHeight="1" x14ac:dyDescent="0.35">
      <c r="L909" s="185"/>
    </row>
    <row r="910" spans="12:12" ht="20" customHeight="1" x14ac:dyDescent="0.35">
      <c r="L910" s="185"/>
    </row>
    <row r="911" spans="12:12" ht="20" customHeight="1" x14ac:dyDescent="0.35">
      <c r="L911" s="185"/>
    </row>
    <row r="912" spans="12:12" ht="20" customHeight="1" x14ac:dyDescent="0.35">
      <c r="L912" s="185"/>
    </row>
    <row r="913" spans="12:12" ht="20" customHeight="1" x14ac:dyDescent="0.35">
      <c r="L913" s="185"/>
    </row>
    <row r="914" spans="12:12" ht="20" customHeight="1" x14ac:dyDescent="0.35">
      <c r="L914" s="185"/>
    </row>
    <row r="915" spans="12:12" ht="20" customHeight="1" x14ac:dyDescent="0.35">
      <c r="L915" s="185"/>
    </row>
    <row r="916" spans="12:12" ht="20" customHeight="1" x14ac:dyDescent="0.35">
      <c r="L916" s="185"/>
    </row>
    <row r="917" spans="12:12" ht="20" customHeight="1" x14ac:dyDescent="0.35">
      <c r="L917" s="185"/>
    </row>
    <row r="918" spans="12:12" ht="20" customHeight="1" x14ac:dyDescent="0.35">
      <c r="L918" s="185"/>
    </row>
    <row r="919" spans="12:12" ht="20" customHeight="1" x14ac:dyDescent="0.35">
      <c r="L919" s="185"/>
    </row>
    <row r="920" spans="12:12" ht="20" customHeight="1" x14ac:dyDescent="0.35">
      <c r="L920" s="185"/>
    </row>
    <row r="921" spans="12:12" ht="20" customHeight="1" x14ac:dyDescent="0.35">
      <c r="L921" s="185"/>
    </row>
    <row r="922" spans="12:12" ht="20" customHeight="1" x14ac:dyDescent="0.35">
      <c r="L922" s="185"/>
    </row>
    <row r="923" spans="12:12" ht="20" customHeight="1" x14ac:dyDescent="0.35">
      <c r="L923" s="185"/>
    </row>
    <row r="924" spans="12:12" ht="20" customHeight="1" x14ac:dyDescent="0.35">
      <c r="L924" s="185"/>
    </row>
    <row r="925" spans="12:12" ht="20" customHeight="1" x14ac:dyDescent="0.35">
      <c r="L925" s="185"/>
    </row>
    <row r="926" spans="12:12" ht="20" customHeight="1" x14ac:dyDescent="0.35">
      <c r="L926" s="185"/>
    </row>
    <row r="927" spans="12:12" ht="20" customHeight="1" x14ac:dyDescent="0.35">
      <c r="L927" s="185"/>
    </row>
    <row r="928" spans="12:12" ht="20" customHeight="1" x14ac:dyDescent="0.35">
      <c r="L928" s="185"/>
    </row>
    <row r="929" spans="12:12" ht="20" customHeight="1" x14ac:dyDescent="0.35">
      <c r="L929" s="185"/>
    </row>
    <row r="930" spans="12:12" ht="20" customHeight="1" x14ac:dyDescent="0.35">
      <c r="L930" s="185"/>
    </row>
    <row r="931" spans="12:12" ht="20" customHeight="1" x14ac:dyDescent="0.35">
      <c r="L931" s="185"/>
    </row>
    <row r="932" spans="12:12" ht="20" customHeight="1" x14ac:dyDescent="0.35">
      <c r="L932" s="185"/>
    </row>
    <row r="933" spans="12:12" ht="20" customHeight="1" x14ac:dyDescent="0.35">
      <c r="L933" s="185"/>
    </row>
    <row r="934" spans="12:12" ht="20" customHeight="1" x14ac:dyDescent="0.35">
      <c r="L934" s="185"/>
    </row>
    <row r="935" spans="12:12" ht="20" customHeight="1" x14ac:dyDescent="0.35">
      <c r="L935" s="185"/>
    </row>
    <row r="936" spans="12:12" ht="20" customHeight="1" x14ac:dyDescent="0.35">
      <c r="L936" s="185"/>
    </row>
    <row r="937" spans="12:12" ht="20" customHeight="1" x14ac:dyDescent="0.35">
      <c r="L937" s="185"/>
    </row>
    <row r="938" spans="12:12" ht="20" customHeight="1" x14ac:dyDescent="0.35">
      <c r="L938" s="185"/>
    </row>
    <row r="939" spans="12:12" ht="20" customHeight="1" x14ac:dyDescent="0.35">
      <c r="L939" s="185"/>
    </row>
    <row r="940" spans="12:12" ht="20" customHeight="1" x14ac:dyDescent="0.35">
      <c r="L940" s="185"/>
    </row>
    <row r="941" spans="12:12" ht="20" customHeight="1" x14ac:dyDescent="0.35">
      <c r="L941" s="185"/>
    </row>
    <row r="942" spans="12:12" ht="20" customHeight="1" x14ac:dyDescent="0.35">
      <c r="L942" s="185"/>
    </row>
    <row r="943" spans="12:12" ht="20" customHeight="1" x14ac:dyDescent="0.35">
      <c r="L943" s="185"/>
    </row>
    <row r="944" spans="12:12" ht="20" customHeight="1" x14ac:dyDescent="0.35">
      <c r="L944" s="185"/>
    </row>
    <row r="945" spans="12:12" ht="20" customHeight="1" x14ac:dyDescent="0.35">
      <c r="L945" s="185"/>
    </row>
    <row r="946" spans="12:12" ht="20" customHeight="1" x14ac:dyDescent="0.35">
      <c r="L946" s="185"/>
    </row>
    <row r="947" spans="12:12" ht="20" customHeight="1" x14ac:dyDescent="0.35">
      <c r="L947" s="185"/>
    </row>
    <row r="948" spans="12:12" ht="20" customHeight="1" x14ac:dyDescent="0.35">
      <c r="L948" s="185"/>
    </row>
    <row r="949" spans="12:12" ht="20" customHeight="1" x14ac:dyDescent="0.35">
      <c r="L949" s="185"/>
    </row>
    <row r="950" spans="12:12" ht="20" customHeight="1" x14ac:dyDescent="0.35">
      <c r="L950" s="185"/>
    </row>
    <row r="951" spans="12:12" ht="20" customHeight="1" x14ac:dyDescent="0.35">
      <c r="L951" s="185"/>
    </row>
    <row r="952" spans="12:12" ht="20" customHeight="1" x14ac:dyDescent="0.35">
      <c r="L952" s="185"/>
    </row>
    <row r="953" spans="12:12" ht="20" customHeight="1" x14ac:dyDescent="0.35">
      <c r="L953" s="185"/>
    </row>
    <row r="954" spans="12:12" ht="20" customHeight="1" x14ac:dyDescent="0.35">
      <c r="L954" s="185"/>
    </row>
    <row r="955" spans="12:12" ht="20" customHeight="1" x14ac:dyDescent="0.35">
      <c r="L955" s="185"/>
    </row>
    <row r="956" spans="12:12" ht="20" customHeight="1" x14ac:dyDescent="0.35">
      <c r="L956" s="185"/>
    </row>
    <row r="957" spans="12:12" ht="20" customHeight="1" x14ac:dyDescent="0.35">
      <c r="L957" s="185"/>
    </row>
    <row r="958" spans="12:12" ht="20" customHeight="1" x14ac:dyDescent="0.35">
      <c r="L958" s="185"/>
    </row>
    <row r="959" spans="12:12" ht="20" customHeight="1" x14ac:dyDescent="0.35">
      <c r="L959" s="185"/>
    </row>
    <row r="960" spans="12:12" ht="20" customHeight="1" x14ac:dyDescent="0.35">
      <c r="L960" s="185"/>
    </row>
    <row r="961" spans="12:12" ht="20" customHeight="1" x14ac:dyDescent="0.35">
      <c r="L961" s="185"/>
    </row>
    <row r="962" spans="12:12" ht="20" customHeight="1" x14ac:dyDescent="0.35">
      <c r="L962" s="185"/>
    </row>
    <row r="963" spans="12:12" ht="20" customHeight="1" x14ac:dyDescent="0.35">
      <c r="L963" s="185"/>
    </row>
    <row r="964" spans="12:12" ht="20" customHeight="1" x14ac:dyDescent="0.35">
      <c r="L964" s="185"/>
    </row>
    <row r="965" spans="12:12" ht="20" customHeight="1" x14ac:dyDescent="0.35">
      <c r="L965" s="185"/>
    </row>
    <row r="966" spans="12:12" ht="20" customHeight="1" x14ac:dyDescent="0.35">
      <c r="L966" s="185"/>
    </row>
    <row r="967" spans="12:12" ht="20" customHeight="1" x14ac:dyDescent="0.35">
      <c r="L967" s="185"/>
    </row>
    <row r="968" spans="12:12" ht="20" customHeight="1" x14ac:dyDescent="0.35">
      <c r="L968" s="185"/>
    </row>
    <row r="969" spans="12:12" ht="20" customHeight="1" x14ac:dyDescent="0.35">
      <c r="L969" s="185"/>
    </row>
    <row r="970" spans="12:12" ht="20" customHeight="1" x14ac:dyDescent="0.35">
      <c r="L970" s="185"/>
    </row>
    <row r="971" spans="12:12" ht="20" customHeight="1" x14ac:dyDescent="0.35">
      <c r="L971" s="185"/>
    </row>
    <row r="972" spans="12:12" ht="20" customHeight="1" x14ac:dyDescent="0.35">
      <c r="L972" s="185"/>
    </row>
    <row r="973" spans="12:12" ht="20" customHeight="1" x14ac:dyDescent="0.35">
      <c r="L973" s="185"/>
    </row>
    <row r="974" spans="12:12" ht="20" customHeight="1" x14ac:dyDescent="0.35">
      <c r="L974" s="185"/>
    </row>
    <row r="975" spans="12:12" ht="20" customHeight="1" x14ac:dyDescent="0.35">
      <c r="L975" s="185"/>
    </row>
    <row r="976" spans="12:12" ht="20" customHeight="1" x14ac:dyDescent="0.35">
      <c r="L976" s="185"/>
    </row>
    <row r="977" spans="12:12" ht="20" customHeight="1" x14ac:dyDescent="0.35">
      <c r="L977" s="185"/>
    </row>
    <row r="978" spans="12:12" ht="20" customHeight="1" x14ac:dyDescent="0.35">
      <c r="L978" s="185"/>
    </row>
    <row r="979" spans="12:12" ht="20" customHeight="1" x14ac:dyDescent="0.35">
      <c r="L979" s="185"/>
    </row>
    <row r="980" spans="12:12" ht="20" customHeight="1" x14ac:dyDescent="0.35">
      <c r="L980" s="185"/>
    </row>
    <row r="981" spans="12:12" ht="20" customHeight="1" x14ac:dyDescent="0.35">
      <c r="L981" s="185"/>
    </row>
    <row r="982" spans="12:12" ht="20" customHeight="1" x14ac:dyDescent="0.35">
      <c r="L982" s="185"/>
    </row>
    <row r="983" spans="12:12" ht="20" customHeight="1" x14ac:dyDescent="0.35">
      <c r="L983" s="185"/>
    </row>
    <row r="984" spans="12:12" ht="20" customHeight="1" x14ac:dyDescent="0.35">
      <c r="L984" s="185"/>
    </row>
    <row r="985" spans="12:12" ht="20" customHeight="1" x14ac:dyDescent="0.35">
      <c r="L985" s="185"/>
    </row>
    <row r="986" spans="12:12" ht="20" customHeight="1" x14ac:dyDescent="0.35">
      <c r="L986" s="185"/>
    </row>
    <row r="987" spans="12:12" ht="20" customHeight="1" x14ac:dyDescent="0.35">
      <c r="L987" s="185"/>
    </row>
    <row r="988" spans="12:12" ht="20" customHeight="1" x14ac:dyDescent="0.35">
      <c r="L988" s="185"/>
    </row>
    <row r="989" spans="12:12" ht="20" customHeight="1" x14ac:dyDescent="0.35">
      <c r="L989" s="185"/>
    </row>
    <row r="990" spans="12:12" ht="20" customHeight="1" x14ac:dyDescent="0.35">
      <c r="L990" s="185"/>
    </row>
    <row r="991" spans="12:12" ht="20" customHeight="1" x14ac:dyDescent="0.35">
      <c r="L991" s="185"/>
    </row>
    <row r="992" spans="12:12" ht="20" customHeight="1" x14ac:dyDescent="0.35">
      <c r="L992" s="185"/>
    </row>
    <row r="993" spans="12:12" ht="20" customHeight="1" x14ac:dyDescent="0.35">
      <c r="L993" s="185"/>
    </row>
    <row r="994" spans="12:12" ht="20" customHeight="1" x14ac:dyDescent="0.35">
      <c r="L994" s="185"/>
    </row>
    <row r="995" spans="12:12" ht="20" customHeight="1" x14ac:dyDescent="0.35">
      <c r="L995" s="185"/>
    </row>
    <row r="996" spans="12:12" ht="20" customHeight="1" x14ac:dyDescent="0.35">
      <c r="L996" s="185"/>
    </row>
    <row r="997" spans="12:12" ht="20" customHeight="1" x14ac:dyDescent="0.35">
      <c r="L997" s="185"/>
    </row>
    <row r="998" spans="12:12" ht="20" customHeight="1" x14ac:dyDescent="0.35">
      <c r="L998" s="185"/>
    </row>
    <row r="999" spans="12:12" ht="20" customHeight="1" x14ac:dyDescent="0.35">
      <c r="L999" s="185"/>
    </row>
    <row r="1000" spans="12:12" ht="20" customHeight="1" x14ac:dyDescent="0.35">
      <c r="L1000" s="185"/>
    </row>
    <row r="1001" spans="12:12" ht="20" customHeight="1" x14ac:dyDescent="0.35">
      <c r="L1001" s="185"/>
    </row>
    <row r="1002" spans="12:12" ht="20" customHeight="1" x14ac:dyDescent="0.35">
      <c r="L1002" s="185"/>
    </row>
    <row r="1003" spans="12:12" ht="20" customHeight="1" x14ac:dyDescent="0.35">
      <c r="L1003" s="185"/>
    </row>
    <row r="1004" spans="12:12" ht="20" customHeight="1" x14ac:dyDescent="0.35">
      <c r="L1004" s="185"/>
    </row>
    <row r="1005" spans="12:12" ht="20" customHeight="1" x14ac:dyDescent="0.35">
      <c r="L1005" s="185"/>
    </row>
    <row r="1006" spans="12:12" ht="20" customHeight="1" x14ac:dyDescent="0.35">
      <c r="L1006" s="185"/>
    </row>
    <row r="1007" spans="12:12" ht="20" customHeight="1" x14ac:dyDescent="0.35">
      <c r="L1007" s="185"/>
    </row>
    <row r="1008" spans="12:12" ht="20" customHeight="1" x14ac:dyDescent="0.35">
      <c r="L1008" s="185"/>
    </row>
    <row r="1009" spans="12:12" ht="20" customHeight="1" x14ac:dyDescent="0.35">
      <c r="L1009" s="185"/>
    </row>
    <row r="1010" spans="12:12" ht="20" customHeight="1" x14ac:dyDescent="0.35">
      <c r="L1010" s="185"/>
    </row>
    <row r="1011" spans="12:12" ht="20" customHeight="1" x14ac:dyDescent="0.35">
      <c r="L1011" s="185"/>
    </row>
    <row r="1012" spans="12:12" ht="20" customHeight="1" x14ac:dyDescent="0.35">
      <c r="L1012" s="185"/>
    </row>
    <row r="1013" spans="12:12" ht="20" customHeight="1" x14ac:dyDescent="0.35">
      <c r="L1013" s="185"/>
    </row>
    <row r="1014" spans="12:12" ht="20" customHeight="1" x14ac:dyDescent="0.35">
      <c r="L1014" s="185"/>
    </row>
    <row r="1015" spans="12:12" ht="20" customHeight="1" x14ac:dyDescent="0.35">
      <c r="L1015" s="185"/>
    </row>
    <row r="1016" spans="12:12" ht="20" customHeight="1" x14ac:dyDescent="0.35">
      <c r="L1016" s="185"/>
    </row>
    <row r="1017" spans="12:12" ht="20" customHeight="1" x14ac:dyDescent="0.35">
      <c r="L1017" s="185"/>
    </row>
    <row r="1018" spans="12:12" ht="20" customHeight="1" x14ac:dyDescent="0.35">
      <c r="L1018" s="185"/>
    </row>
    <row r="1019" spans="12:12" ht="20" customHeight="1" x14ac:dyDescent="0.35">
      <c r="L1019" s="185"/>
    </row>
    <row r="1020" spans="12:12" ht="20" customHeight="1" x14ac:dyDescent="0.35">
      <c r="L1020" s="185"/>
    </row>
    <row r="1021" spans="12:12" ht="20" customHeight="1" x14ac:dyDescent="0.35">
      <c r="L1021" s="185"/>
    </row>
    <row r="1022" spans="12:12" ht="20" customHeight="1" x14ac:dyDescent="0.35">
      <c r="L1022" s="185"/>
    </row>
    <row r="1023" spans="12:12" ht="20" customHeight="1" x14ac:dyDescent="0.35">
      <c r="L1023" s="185"/>
    </row>
    <row r="1024" spans="12:12" ht="20" customHeight="1" x14ac:dyDescent="0.35">
      <c r="L1024" s="185"/>
    </row>
    <row r="1025" spans="12:12" ht="20" customHeight="1" x14ac:dyDescent="0.35">
      <c r="L1025" s="185"/>
    </row>
    <row r="1026" spans="12:12" ht="20" customHeight="1" x14ac:dyDescent="0.35">
      <c r="L1026" s="185"/>
    </row>
    <row r="1027" spans="12:12" ht="20" customHeight="1" x14ac:dyDescent="0.35">
      <c r="L1027" s="185"/>
    </row>
    <row r="1028" spans="12:12" ht="20" customHeight="1" x14ac:dyDescent="0.35">
      <c r="L1028" s="185"/>
    </row>
    <row r="1029" spans="12:12" ht="20" customHeight="1" x14ac:dyDescent="0.35">
      <c r="L1029" s="185"/>
    </row>
    <row r="1030" spans="12:12" ht="20" customHeight="1" x14ac:dyDescent="0.35">
      <c r="L1030" s="185"/>
    </row>
    <row r="1031" spans="12:12" ht="20" customHeight="1" x14ac:dyDescent="0.35">
      <c r="L1031" s="185"/>
    </row>
    <row r="1032" spans="12:12" ht="20" customHeight="1" x14ac:dyDescent="0.35">
      <c r="L1032" s="185"/>
    </row>
    <row r="1033" spans="12:12" ht="20" customHeight="1" x14ac:dyDescent="0.35">
      <c r="L1033" s="185"/>
    </row>
    <row r="1034" spans="12:12" ht="20" customHeight="1" x14ac:dyDescent="0.35">
      <c r="L1034" s="185"/>
    </row>
    <row r="1035" spans="12:12" ht="20" customHeight="1" x14ac:dyDescent="0.35">
      <c r="L1035" s="185"/>
    </row>
    <row r="1036" spans="12:12" ht="20" customHeight="1" x14ac:dyDescent="0.35">
      <c r="L1036" s="185"/>
    </row>
    <row r="1037" spans="12:12" ht="20" customHeight="1" x14ac:dyDescent="0.35">
      <c r="L1037" s="185"/>
    </row>
    <row r="1038" spans="12:12" ht="20" customHeight="1" x14ac:dyDescent="0.35">
      <c r="L1038" s="185"/>
    </row>
    <row r="1039" spans="12:12" ht="20" customHeight="1" x14ac:dyDescent="0.35">
      <c r="L1039" s="185"/>
    </row>
    <row r="1040" spans="12:12" ht="20" customHeight="1" x14ac:dyDescent="0.35">
      <c r="L1040" s="185"/>
    </row>
    <row r="1041" spans="12:12" ht="20" customHeight="1" x14ac:dyDescent="0.35">
      <c r="L1041" s="185"/>
    </row>
    <row r="1042" spans="12:12" ht="20" customHeight="1" x14ac:dyDescent="0.35">
      <c r="L1042" s="185"/>
    </row>
    <row r="1043" spans="12:12" ht="20" customHeight="1" x14ac:dyDescent="0.35">
      <c r="L1043" s="185"/>
    </row>
    <row r="1044" spans="12:12" ht="20" customHeight="1" x14ac:dyDescent="0.35">
      <c r="L1044" s="185"/>
    </row>
    <row r="1045" spans="12:12" ht="20" customHeight="1" x14ac:dyDescent="0.35">
      <c r="L1045" s="185"/>
    </row>
    <row r="1046" spans="12:12" ht="20" customHeight="1" x14ac:dyDescent="0.35">
      <c r="L1046" s="185"/>
    </row>
    <row r="1047" spans="12:12" ht="20" customHeight="1" x14ac:dyDescent="0.35">
      <c r="L1047" s="185"/>
    </row>
    <row r="1048" spans="12:12" ht="20" customHeight="1" x14ac:dyDescent="0.35">
      <c r="L1048" s="185"/>
    </row>
    <row r="1049" spans="12:12" ht="20" customHeight="1" x14ac:dyDescent="0.35">
      <c r="L1049" s="185"/>
    </row>
    <row r="1050" spans="12:12" ht="20" customHeight="1" x14ac:dyDescent="0.35">
      <c r="L1050" s="185"/>
    </row>
    <row r="1051" spans="12:12" ht="20" customHeight="1" x14ac:dyDescent="0.35">
      <c r="L1051" s="185"/>
    </row>
    <row r="1052" spans="12:12" ht="20" customHeight="1" x14ac:dyDescent="0.35">
      <c r="L1052" s="185"/>
    </row>
    <row r="1053" spans="12:12" ht="20" customHeight="1" x14ac:dyDescent="0.35">
      <c r="L1053" s="185"/>
    </row>
    <row r="1054" spans="12:12" ht="20" customHeight="1" x14ac:dyDescent="0.35">
      <c r="L1054" s="185"/>
    </row>
    <row r="1055" spans="12:12" ht="20" customHeight="1" x14ac:dyDescent="0.35">
      <c r="L1055" s="185"/>
    </row>
    <row r="1056" spans="12:12" ht="20" customHeight="1" x14ac:dyDescent="0.35">
      <c r="L1056" s="185"/>
    </row>
    <row r="1057" spans="12:12" ht="20" customHeight="1" x14ac:dyDescent="0.35">
      <c r="L1057" s="185"/>
    </row>
    <row r="1058" spans="12:12" ht="20" customHeight="1" x14ac:dyDescent="0.35">
      <c r="L1058" s="185"/>
    </row>
    <row r="1059" spans="12:12" ht="20" customHeight="1" x14ac:dyDescent="0.35">
      <c r="L1059" s="185"/>
    </row>
    <row r="1060" spans="12:12" ht="20" customHeight="1" x14ac:dyDescent="0.35">
      <c r="L1060" s="185"/>
    </row>
    <row r="1061" spans="12:12" ht="20" customHeight="1" x14ac:dyDescent="0.35">
      <c r="L1061" s="185"/>
    </row>
    <row r="1062" spans="12:12" ht="20" customHeight="1" x14ac:dyDescent="0.35">
      <c r="L1062" s="185"/>
    </row>
    <row r="1063" spans="12:12" ht="20" customHeight="1" x14ac:dyDescent="0.35">
      <c r="L1063" s="185"/>
    </row>
    <row r="1064" spans="12:12" ht="20" customHeight="1" x14ac:dyDescent="0.35">
      <c r="L1064" s="185"/>
    </row>
    <row r="1065" spans="12:12" ht="20" customHeight="1" x14ac:dyDescent="0.35">
      <c r="L1065" s="185"/>
    </row>
    <row r="1066" spans="12:12" ht="20" customHeight="1" x14ac:dyDescent="0.35">
      <c r="L1066" s="185"/>
    </row>
    <row r="1067" spans="12:12" ht="20" customHeight="1" x14ac:dyDescent="0.35">
      <c r="L1067" s="185"/>
    </row>
    <row r="1068" spans="12:12" ht="20" customHeight="1" x14ac:dyDescent="0.35">
      <c r="L1068" s="185"/>
    </row>
    <row r="1069" spans="12:12" ht="20" customHeight="1" x14ac:dyDescent="0.35">
      <c r="L1069" s="185"/>
    </row>
    <row r="1070" spans="12:12" ht="20" customHeight="1" x14ac:dyDescent="0.35">
      <c r="L1070" s="185"/>
    </row>
    <row r="1071" spans="12:12" ht="20" customHeight="1" x14ac:dyDescent="0.35">
      <c r="L1071" s="185"/>
    </row>
    <row r="1072" spans="12:12" ht="20" customHeight="1" x14ac:dyDescent="0.35">
      <c r="L1072" s="185"/>
    </row>
    <row r="1073" spans="12:12" ht="20" customHeight="1" x14ac:dyDescent="0.35">
      <c r="L1073" s="185"/>
    </row>
    <row r="1074" spans="12:12" ht="20" customHeight="1" x14ac:dyDescent="0.35">
      <c r="L1074" s="185"/>
    </row>
    <row r="1075" spans="12:12" ht="20" customHeight="1" x14ac:dyDescent="0.35">
      <c r="L1075" s="185"/>
    </row>
    <row r="1076" spans="12:12" ht="20" customHeight="1" x14ac:dyDescent="0.35">
      <c r="L1076" s="185"/>
    </row>
    <row r="1077" spans="12:12" ht="20" customHeight="1" x14ac:dyDescent="0.35">
      <c r="L1077" s="185"/>
    </row>
    <row r="1078" spans="12:12" ht="20" customHeight="1" x14ac:dyDescent="0.35">
      <c r="L1078" s="185"/>
    </row>
    <row r="1079" spans="12:12" ht="20" customHeight="1" x14ac:dyDescent="0.35">
      <c r="L1079" s="185"/>
    </row>
    <row r="1080" spans="12:12" ht="20" customHeight="1" x14ac:dyDescent="0.35">
      <c r="L1080" s="185"/>
    </row>
    <row r="1081" spans="12:12" ht="20" customHeight="1" x14ac:dyDescent="0.35">
      <c r="L1081" s="185"/>
    </row>
    <row r="1082" spans="12:12" ht="20" customHeight="1" x14ac:dyDescent="0.35">
      <c r="L1082" s="185"/>
    </row>
    <row r="1083" spans="12:12" ht="20" customHeight="1" x14ac:dyDescent="0.35">
      <c r="L1083" s="185"/>
    </row>
    <row r="1084" spans="12:12" ht="20" customHeight="1" x14ac:dyDescent="0.35">
      <c r="L1084" s="185"/>
    </row>
    <row r="1085" spans="12:12" ht="20" customHeight="1" x14ac:dyDescent="0.35">
      <c r="L1085" s="185"/>
    </row>
    <row r="1086" spans="12:12" ht="20" customHeight="1" x14ac:dyDescent="0.35">
      <c r="L1086" s="185"/>
    </row>
    <row r="1087" spans="12:12" ht="20" customHeight="1" x14ac:dyDescent="0.35">
      <c r="L1087" s="185"/>
    </row>
    <row r="1088" spans="12:12" ht="20" customHeight="1" x14ac:dyDescent="0.35">
      <c r="L1088" s="185"/>
    </row>
    <row r="1089" spans="12:12" ht="20" customHeight="1" x14ac:dyDescent="0.35">
      <c r="L1089" s="185"/>
    </row>
    <row r="1090" spans="12:12" ht="20" customHeight="1" x14ac:dyDescent="0.35">
      <c r="L1090" s="185"/>
    </row>
    <row r="1091" spans="12:12" ht="20" customHeight="1" x14ac:dyDescent="0.35">
      <c r="L1091" s="185"/>
    </row>
    <row r="1092" spans="12:12" ht="20" customHeight="1" x14ac:dyDescent="0.35">
      <c r="L1092" s="185"/>
    </row>
    <row r="1093" spans="12:12" ht="20" customHeight="1" x14ac:dyDescent="0.35">
      <c r="L1093" s="185"/>
    </row>
    <row r="1094" spans="12:12" ht="20" customHeight="1" x14ac:dyDescent="0.35">
      <c r="L1094" s="185"/>
    </row>
    <row r="1095" spans="12:12" ht="20" customHeight="1" x14ac:dyDescent="0.35">
      <c r="L1095" s="185"/>
    </row>
    <row r="1096" spans="12:12" ht="20" customHeight="1" x14ac:dyDescent="0.35">
      <c r="L1096" s="185"/>
    </row>
    <row r="1097" spans="12:12" ht="20" customHeight="1" x14ac:dyDescent="0.35">
      <c r="L1097" s="185"/>
    </row>
    <row r="1098" spans="12:12" ht="20" customHeight="1" x14ac:dyDescent="0.35">
      <c r="L1098" s="185"/>
    </row>
    <row r="1099" spans="12:12" ht="20" customHeight="1" x14ac:dyDescent="0.35">
      <c r="L1099" s="185"/>
    </row>
    <row r="1100" spans="12:12" ht="20" customHeight="1" x14ac:dyDescent="0.35">
      <c r="L1100" s="185"/>
    </row>
    <row r="1101" spans="12:12" ht="20" customHeight="1" x14ac:dyDescent="0.35">
      <c r="L1101" s="185"/>
    </row>
    <row r="1102" spans="12:12" ht="20" customHeight="1" x14ac:dyDescent="0.35">
      <c r="L1102" s="185"/>
    </row>
    <row r="1103" spans="12:12" ht="20" customHeight="1" x14ac:dyDescent="0.35">
      <c r="L1103" s="185"/>
    </row>
    <row r="1104" spans="12:12" ht="20" customHeight="1" x14ac:dyDescent="0.35">
      <c r="L1104" s="185"/>
    </row>
    <row r="1105" spans="12:12" ht="20" customHeight="1" x14ac:dyDescent="0.35">
      <c r="L1105" s="185"/>
    </row>
    <row r="1106" spans="12:12" ht="20" customHeight="1" x14ac:dyDescent="0.35">
      <c r="L1106" s="185"/>
    </row>
    <row r="1107" spans="12:12" ht="20" customHeight="1" x14ac:dyDescent="0.35">
      <c r="L1107" s="185"/>
    </row>
    <row r="1108" spans="12:12" ht="20" customHeight="1" x14ac:dyDescent="0.35">
      <c r="L1108" s="185"/>
    </row>
    <row r="1109" spans="12:12" ht="20" customHeight="1" x14ac:dyDescent="0.35">
      <c r="L1109" s="185"/>
    </row>
    <row r="1110" spans="12:12" ht="20" customHeight="1" x14ac:dyDescent="0.35">
      <c r="L1110" s="185"/>
    </row>
    <row r="1111" spans="12:12" ht="20" customHeight="1" x14ac:dyDescent="0.35">
      <c r="L1111" s="185"/>
    </row>
    <row r="1112" spans="12:12" ht="20" customHeight="1" x14ac:dyDescent="0.35">
      <c r="L1112" s="185"/>
    </row>
    <row r="1113" spans="12:12" ht="20" customHeight="1" x14ac:dyDescent="0.35">
      <c r="L1113" s="185"/>
    </row>
    <row r="1114" spans="12:12" ht="20" customHeight="1" x14ac:dyDescent="0.35">
      <c r="L1114" s="185"/>
    </row>
    <row r="1115" spans="12:12" ht="20" customHeight="1" x14ac:dyDescent="0.35">
      <c r="L1115" s="185"/>
    </row>
    <row r="1116" spans="12:12" ht="20" customHeight="1" x14ac:dyDescent="0.35">
      <c r="L1116" s="185"/>
    </row>
    <row r="1117" spans="12:12" ht="20" customHeight="1" x14ac:dyDescent="0.35">
      <c r="L1117" s="185"/>
    </row>
    <row r="1118" spans="12:12" ht="20" customHeight="1" x14ac:dyDescent="0.35">
      <c r="L1118" s="185"/>
    </row>
    <row r="1119" spans="12:12" ht="20" customHeight="1" x14ac:dyDescent="0.35">
      <c r="L1119" s="185"/>
    </row>
    <row r="1120" spans="12:12" ht="20" customHeight="1" x14ac:dyDescent="0.35">
      <c r="L1120" s="185"/>
    </row>
    <row r="1121" spans="12:12" ht="20" customHeight="1" x14ac:dyDescent="0.35">
      <c r="L1121" s="185"/>
    </row>
    <row r="1122" spans="12:12" ht="20" customHeight="1" x14ac:dyDescent="0.35">
      <c r="L1122" s="185"/>
    </row>
    <row r="1123" spans="12:12" ht="20" customHeight="1" x14ac:dyDescent="0.35">
      <c r="L1123" s="185"/>
    </row>
    <row r="1124" spans="12:12" ht="20" customHeight="1" x14ac:dyDescent="0.35">
      <c r="L1124" s="185"/>
    </row>
    <row r="1125" spans="12:12" ht="20" customHeight="1" x14ac:dyDescent="0.35">
      <c r="L1125" s="185"/>
    </row>
    <row r="1126" spans="12:12" ht="20" customHeight="1" x14ac:dyDescent="0.35">
      <c r="L1126" s="185"/>
    </row>
    <row r="1127" spans="12:12" ht="20" customHeight="1" x14ac:dyDescent="0.35">
      <c r="L1127" s="185"/>
    </row>
    <row r="1128" spans="12:12" ht="20" customHeight="1" x14ac:dyDescent="0.35">
      <c r="L1128" s="185"/>
    </row>
    <row r="1129" spans="12:12" ht="20" customHeight="1" x14ac:dyDescent="0.35">
      <c r="L1129" s="185"/>
    </row>
    <row r="1130" spans="12:12" ht="20" customHeight="1" x14ac:dyDescent="0.35">
      <c r="L1130" s="185"/>
    </row>
    <row r="1131" spans="12:12" ht="20" customHeight="1" x14ac:dyDescent="0.35">
      <c r="L1131" s="185"/>
    </row>
    <row r="1132" spans="12:12" ht="20" customHeight="1" x14ac:dyDescent="0.35">
      <c r="L1132" s="185"/>
    </row>
    <row r="1133" spans="12:12" ht="20" customHeight="1" x14ac:dyDescent="0.35">
      <c r="L1133" s="185"/>
    </row>
    <row r="1134" spans="12:12" ht="20" customHeight="1" x14ac:dyDescent="0.35">
      <c r="L1134" s="185"/>
    </row>
    <row r="1135" spans="12:12" ht="20" customHeight="1" x14ac:dyDescent="0.35">
      <c r="L1135" s="185"/>
    </row>
    <row r="1136" spans="12:12" ht="20" customHeight="1" x14ac:dyDescent="0.35">
      <c r="L1136" s="185"/>
    </row>
    <row r="1137" spans="12:12" ht="20" customHeight="1" x14ac:dyDescent="0.35">
      <c r="L1137" s="185"/>
    </row>
    <row r="1138" spans="12:12" ht="20" customHeight="1" x14ac:dyDescent="0.35">
      <c r="L1138" s="185"/>
    </row>
    <row r="1139" spans="12:12" ht="20" customHeight="1" x14ac:dyDescent="0.35">
      <c r="L1139" s="185"/>
    </row>
    <row r="1140" spans="12:12" ht="20" customHeight="1" x14ac:dyDescent="0.35">
      <c r="L1140" s="185"/>
    </row>
    <row r="1141" spans="12:12" ht="20" customHeight="1" x14ac:dyDescent="0.35">
      <c r="L1141" s="185"/>
    </row>
    <row r="1142" spans="12:12" ht="20" customHeight="1" x14ac:dyDescent="0.35">
      <c r="L1142" s="185"/>
    </row>
    <row r="1143" spans="12:12" ht="20" customHeight="1" x14ac:dyDescent="0.35">
      <c r="L1143" s="185"/>
    </row>
    <row r="1144" spans="12:12" ht="20" customHeight="1" x14ac:dyDescent="0.35">
      <c r="L1144" s="185"/>
    </row>
    <row r="1145" spans="12:12" ht="20" customHeight="1" x14ac:dyDescent="0.35">
      <c r="L1145" s="185"/>
    </row>
    <row r="1146" spans="12:12" ht="20" customHeight="1" x14ac:dyDescent="0.35">
      <c r="L1146" s="185"/>
    </row>
    <row r="1147" spans="12:12" ht="20" customHeight="1" x14ac:dyDescent="0.35">
      <c r="L1147" s="185"/>
    </row>
    <row r="1148" spans="12:12" ht="20" customHeight="1" x14ac:dyDescent="0.35">
      <c r="L1148" s="185"/>
    </row>
    <row r="1149" spans="12:12" ht="20" customHeight="1" x14ac:dyDescent="0.35">
      <c r="L1149" s="185"/>
    </row>
    <row r="1150" spans="12:12" ht="20" customHeight="1" x14ac:dyDescent="0.35">
      <c r="L1150" s="185"/>
    </row>
    <row r="1151" spans="12:12" ht="20" customHeight="1" x14ac:dyDescent="0.35">
      <c r="L1151" s="185"/>
    </row>
    <row r="1152" spans="12:12" ht="20" customHeight="1" x14ac:dyDescent="0.35">
      <c r="L1152" s="185"/>
    </row>
    <row r="1153" spans="12:12" ht="20" customHeight="1" x14ac:dyDescent="0.35">
      <c r="L1153" s="185"/>
    </row>
    <row r="1154" spans="12:12" ht="20" customHeight="1" x14ac:dyDescent="0.35">
      <c r="L1154" s="185"/>
    </row>
    <row r="1155" spans="12:12" ht="20" customHeight="1" x14ac:dyDescent="0.35">
      <c r="L1155" s="185"/>
    </row>
    <row r="1156" spans="12:12" ht="20" customHeight="1" x14ac:dyDescent="0.35">
      <c r="L1156" s="185"/>
    </row>
    <row r="1157" spans="12:12" ht="20" customHeight="1" x14ac:dyDescent="0.35">
      <c r="L1157" s="185"/>
    </row>
    <row r="1158" spans="12:12" ht="20" customHeight="1" x14ac:dyDescent="0.35">
      <c r="L1158" s="185"/>
    </row>
    <row r="1159" spans="12:12" ht="20" customHeight="1" x14ac:dyDescent="0.35">
      <c r="L1159" s="185"/>
    </row>
    <row r="1160" spans="12:12" ht="20" customHeight="1" x14ac:dyDescent="0.35">
      <c r="L1160" s="185"/>
    </row>
    <row r="1161" spans="12:12" ht="20" customHeight="1" x14ac:dyDescent="0.35">
      <c r="L1161" s="185"/>
    </row>
    <row r="1162" spans="12:12" ht="20" customHeight="1" x14ac:dyDescent="0.35">
      <c r="L1162" s="185"/>
    </row>
    <row r="1163" spans="12:12" ht="20" customHeight="1" x14ac:dyDescent="0.35">
      <c r="L1163" s="185"/>
    </row>
    <row r="1164" spans="12:12" ht="20" customHeight="1" x14ac:dyDescent="0.35">
      <c r="L1164" s="185"/>
    </row>
    <row r="1165" spans="12:12" ht="20" customHeight="1" x14ac:dyDescent="0.35">
      <c r="L1165" s="185"/>
    </row>
    <row r="1166" spans="12:12" ht="20" customHeight="1" x14ac:dyDescent="0.35">
      <c r="L1166" s="185"/>
    </row>
    <row r="1167" spans="12:12" ht="20" customHeight="1" x14ac:dyDescent="0.35">
      <c r="L1167" s="185"/>
    </row>
    <row r="1168" spans="12:12" ht="20" customHeight="1" x14ac:dyDescent="0.35">
      <c r="L1168" s="185"/>
    </row>
    <row r="1169" spans="12:12" ht="20" customHeight="1" x14ac:dyDescent="0.35">
      <c r="L1169" s="185"/>
    </row>
    <row r="1170" spans="12:12" ht="20" customHeight="1" x14ac:dyDescent="0.35">
      <c r="L1170" s="185"/>
    </row>
    <row r="1171" spans="12:12" ht="20" customHeight="1" x14ac:dyDescent="0.35">
      <c r="L1171" s="185"/>
    </row>
    <row r="1172" spans="12:12" ht="20" customHeight="1" x14ac:dyDescent="0.35">
      <c r="L1172" s="185"/>
    </row>
    <row r="1173" spans="12:12" ht="20" customHeight="1" x14ac:dyDescent="0.35">
      <c r="L1173" s="185"/>
    </row>
    <row r="1174" spans="12:12" ht="20" customHeight="1" x14ac:dyDescent="0.35">
      <c r="L1174" s="185"/>
    </row>
    <row r="1175" spans="12:12" ht="20" customHeight="1" x14ac:dyDescent="0.35">
      <c r="L1175" s="185"/>
    </row>
    <row r="1176" spans="12:12" ht="20" customHeight="1" x14ac:dyDescent="0.35">
      <c r="L1176" s="185"/>
    </row>
    <row r="1177" spans="12:12" ht="20" customHeight="1" x14ac:dyDescent="0.35">
      <c r="L1177" s="185"/>
    </row>
    <row r="1178" spans="12:12" ht="20" customHeight="1" x14ac:dyDescent="0.35">
      <c r="L1178" s="185"/>
    </row>
    <row r="1179" spans="12:12" ht="20" customHeight="1" x14ac:dyDescent="0.35">
      <c r="L1179" s="185"/>
    </row>
    <row r="1180" spans="12:12" ht="20" customHeight="1" x14ac:dyDescent="0.35">
      <c r="L1180" s="185"/>
    </row>
    <row r="1181" spans="12:12" ht="20" customHeight="1" x14ac:dyDescent="0.35">
      <c r="L1181" s="185"/>
    </row>
    <row r="1182" spans="12:12" ht="20" customHeight="1" x14ac:dyDescent="0.35">
      <c r="L1182" s="185"/>
    </row>
    <row r="1183" spans="12:12" ht="20" customHeight="1" x14ac:dyDescent="0.35">
      <c r="L1183" s="185"/>
    </row>
    <row r="1184" spans="12:12" ht="20" customHeight="1" x14ac:dyDescent="0.35">
      <c r="L1184" s="185"/>
    </row>
    <row r="1185" spans="12:12" ht="20" customHeight="1" x14ac:dyDescent="0.35">
      <c r="L1185" s="185"/>
    </row>
    <row r="1186" spans="12:12" ht="20" customHeight="1" x14ac:dyDescent="0.35">
      <c r="L1186" s="185"/>
    </row>
    <row r="1187" spans="12:12" ht="20" customHeight="1" x14ac:dyDescent="0.35">
      <c r="L1187" s="185"/>
    </row>
    <row r="1188" spans="12:12" ht="20" customHeight="1" x14ac:dyDescent="0.35">
      <c r="L1188" s="185"/>
    </row>
    <row r="1189" spans="12:12" ht="20" customHeight="1" x14ac:dyDescent="0.35">
      <c r="L1189" s="185"/>
    </row>
    <row r="1190" spans="12:12" ht="20" customHeight="1" x14ac:dyDescent="0.35">
      <c r="L1190" s="185"/>
    </row>
    <row r="1191" spans="12:12" ht="20" customHeight="1" x14ac:dyDescent="0.35">
      <c r="L1191" s="185"/>
    </row>
    <row r="1192" spans="12:12" ht="20" customHeight="1" x14ac:dyDescent="0.35">
      <c r="L1192" s="185"/>
    </row>
    <row r="1193" spans="12:12" ht="20" customHeight="1" x14ac:dyDescent="0.35">
      <c r="L1193" s="185"/>
    </row>
    <row r="1194" spans="12:12" ht="20" customHeight="1" x14ac:dyDescent="0.35">
      <c r="L1194" s="185"/>
    </row>
    <row r="1195" spans="12:12" ht="20" customHeight="1" x14ac:dyDescent="0.35">
      <c r="L1195" s="185"/>
    </row>
    <row r="1196" spans="12:12" ht="20" customHeight="1" x14ac:dyDescent="0.35">
      <c r="L1196" s="185"/>
    </row>
    <row r="1197" spans="12:12" ht="20" customHeight="1" x14ac:dyDescent="0.35">
      <c r="L1197" s="185"/>
    </row>
    <row r="1198" spans="12:12" ht="20" customHeight="1" x14ac:dyDescent="0.35">
      <c r="L1198" s="185"/>
    </row>
    <row r="1199" spans="12:12" ht="20" customHeight="1" x14ac:dyDescent="0.35">
      <c r="L1199" s="185"/>
    </row>
    <row r="1200" spans="12:12" ht="20" customHeight="1" x14ac:dyDescent="0.35">
      <c r="L1200" s="185"/>
    </row>
    <row r="1201" spans="12:12" ht="20" customHeight="1" x14ac:dyDescent="0.35">
      <c r="L1201" s="185"/>
    </row>
    <row r="1202" spans="12:12" ht="20" customHeight="1" x14ac:dyDescent="0.35">
      <c r="L1202" s="185"/>
    </row>
    <row r="1203" spans="12:12" ht="20" customHeight="1" x14ac:dyDescent="0.35">
      <c r="L1203" s="185"/>
    </row>
    <row r="1204" spans="12:12" ht="20" customHeight="1" x14ac:dyDescent="0.35">
      <c r="L1204" s="185"/>
    </row>
    <row r="1205" spans="12:12" ht="20" customHeight="1" x14ac:dyDescent="0.35">
      <c r="L1205" s="185"/>
    </row>
    <row r="1206" spans="12:12" ht="20" customHeight="1" x14ac:dyDescent="0.35">
      <c r="L1206" s="185"/>
    </row>
    <row r="1207" spans="12:12" ht="20" customHeight="1" x14ac:dyDescent="0.35">
      <c r="L1207" s="185"/>
    </row>
    <row r="1208" spans="12:12" ht="20" customHeight="1" x14ac:dyDescent="0.35">
      <c r="L1208" s="185"/>
    </row>
    <row r="1209" spans="12:12" ht="20" customHeight="1" x14ac:dyDescent="0.35">
      <c r="L1209" s="185"/>
    </row>
    <row r="1210" spans="12:12" ht="20" customHeight="1" x14ac:dyDescent="0.35">
      <c r="L1210" s="185"/>
    </row>
    <row r="1211" spans="12:12" ht="20" customHeight="1" x14ac:dyDescent="0.35">
      <c r="L1211" s="185"/>
    </row>
    <row r="1212" spans="12:12" ht="20" customHeight="1" x14ac:dyDescent="0.35">
      <c r="L1212" s="185"/>
    </row>
    <row r="1213" spans="12:12" ht="20" customHeight="1" x14ac:dyDescent="0.35">
      <c r="L1213" s="185"/>
    </row>
    <row r="1214" spans="12:12" ht="20" customHeight="1" x14ac:dyDescent="0.35">
      <c r="L1214" s="185"/>
    </row>
    <row r="1215" spans="12:12" ht="20" customHeight="1" x14ac:dyDescent="0.35">
      <c r="L1215" s="185"/>
    </row>
    <row r="1216" spans="12:12" ht="20" customHeight="1" x14ac:dyDescent="0.35">
      <c r="L1216" s="185"/>
    </row>
    <row r="1217" spans="12:12" ht="20" customHeight="1" x14ac:dyDescent="0.35">
      <c r="L1217" s="185"/>
    </row>
    <row r="1218" spans="12:12" ht="20" customHeight="1" x14ac:dyDescent="0.35">
      <c r="L1218" s="185"/>
    </row>
    <row r="1219" spans="12:12" ht="20" customHeight="1" x14ac:dyDescent="0.35">
      <c r="L1219" s="185"/>
    </row>
    <row r="1220" spans="12:12" ht="20" customHeight="1" x14ac:dyDescent="0.35">
      <c r="L1220" s="185"/>
    </row>
    <row r="1221" spans="12:12" ht="20" customHeight="1" x14ac:dyDescent="0.35">
      <c r="L1221" s="185"/>
    </row>
    <row r="1222" spans="12:12" ht="20" customHeight="1" x14ac:dyDescent="0.35">
      <c r="L1222" s="185"/>
    </row>
    <row r="1223" spans="12:12" ht="20" customHeight="1" x14ac:dyDescent="0.35">
      <c r="L1223" s="185"/>
    </row>
    <row r="1224" spans="12:12" ht="20" customHeight="1" x14ac:dyDescent="0.35">
      <c r="L1224" s="185"/>
    </row>
    <row r="1225" spans="12:12" ht="20" customHeight="1" x14ac:dyDescent="0.35">
      <c r="L1225" s="185"/>
    </row>
    <row r="1226" spans="12:12" ht="20" customHeight="1" x14ac:dyDescent="0.35">
      <c r="L1226" s="185"/>
    </row>
    <row r="1227" spans="12:12" ht="20" customHeight="1" x14ac:dyDescent="0.35">
      <c r="L1227" s="185"/>
    </row>
    <row r="1228" spans="12:12" ht="20" customHeight="1" x14ac:dyDescent="0.35">
      <c r="L1228" s="185"/>
    </row>
    <row r="1229" spans="12:12" ht="20" customHeight="1" x14ac:dyDescent="0.35">
      <c r="L1229" s="185"/>
    </row>
    <row r="1230" spans="12:12" ht="20" customHeight="1" x14ac:dyDescent="0.35">
      <c r="L1230" s="185"/>
    </row>
    <row r="1231" spans="12:12" ht="20" customHeight="1" x14ac:dyDescent="0.35">
      <c r="L1231" s="185"/>
    </row>
    <row r="1232" spans="12:12" ht="20" customHeight="1" x14ac:dyDescent="0.35">
      <c r="L1232" s="185"/>
    </row>
    <row r="1233" spans="12:12" ht="20" customHeight="1" x14ac:dyDescent="0.35">
      <c r="L1233" s="185"/>
    </row>
    <row r="1234" spans="12:12" ht="20" customHeight="1" x14ac:dyDescent="0.35">
      <c r="L1234" s="185"/>
    </row>
    <row r="1235" spans="12:12" ht="20" customHeight="1" x14ac:dyDescent="0.35">
      <c r="L1235" s="185"/>
    </row>
    <row r="1236" spans="12:12" ht="20" customHeight="1" x14ac:dyDescent="0.35">
      <c r="L1236" s="185"/>
    </row>
    <row r="1237" spans="12:12" ht="20" customHeight="1" x14ac:dyDescent="0.35">
      <c r="L1237" s="185"/>
    </row>
    <row r="1238" spans="12:12" ht="20" customHeight="1" x14ac:dyDescent="0.35">
      <c r="L1238" s="185"/>
    </row>
    <row r="1239" spans="12:12" ht="20" customHeight="1" x14ac:dyDescent="0.35">
      <c r="L1239" s="185"/>
    </row>
    <row r="1240" spans="12:12" ht="20" customHeight="1" x14ac:dyDescent="0.35">
      <c r="L1240" s="185"/>
    </row>
    <row r="1241" spans="12:12" ht="20" customHeight="1" x14ac:dyDescent="0.35">
      <c r="L1241" s="185"/>
    </row>
    <row r="1242" spans="12:12" ht="20" customHeight="1" x14ac:dyDescent="0.35">
      <c r="L1242" s="185"/>
    </row>
    <row r="1243" spans="12:12" ht="20" customHeight="1" x14ac:dyDescent="0.35">
      <c r="L1243" s="185"/>
    </row>
    <row r="1244" spans="12:12" ht="20" customHeight="1" x14ac:dyDescent="0.35">
      <c r="L1244" s="185"/>
    </row>
    <row r="1245" spans="12:12" ht="20" customHeight="1" x14ac:dyDescent="0.35">
      <c r="L1245" s="185"/>
    </row>
    <row r="1246" spans="12:12" ht="20" customHeight="1" x14ac:dyDescent="0.35">
      <c r="L1246" s="185"/>
    </row>
    <row r="1247" spans="12:12" ht="20" customHeight="1" x14ac:dyDescent="0.35">
      <c r="L1247" s="185"/>
    </row>
    <row r="1248" spans="12:12" ht="20" customHeight="1" x14ac:dyDescent="0.35">
      <c r="L1248" s="185"/>
    </row>
    <row r="1249" spans="12:12" ht="20" customHeight="1" x14ac:dyDescent="0.35">
      <c r="L1249" s="185"/>
    </row>
    <row r="1250" spans="12:12" ht="20" customHeight="1" x14ac:dyDescent="0.35">
      <c r="L1250" s="185"/>
    </row>
    <row r="1251" spans="12:12" ht="20" customHeight="1" x14ac:dyDescent="0.35">
      <c r="L1251" s="185"/>
    </row>
    <row r="1252" spans="12:12" ht="20" customHeight="1" x14ac:dyDescent="0.35">
      <c r="L1252" s="185"/>
    </row>
    <row r="1253" spans="12:12" ht="20" customHeight="1" x14ac:dyDescent="0.35">
      <c r="L1253" s="185"/>
    </row>
    <row r="1254" spans="12:12" ht="20" customHeight="1" x14ac:dyDescent="0.35">
      <c r="L1254" s="185"/>
    </row>
    <row r="1255" spans="12:12" ht="20" customHeight="1" x14ac:dyDescent="0.35">
      <c r="L1255" s="185"/>
    </row>
    <row r="1256" spans="12:12" ht="20" customHeight="1" x14ac:dyDescent="0.35">
      <c r="L1256" s="185"/>
    </row>
    <row r="1257" spans="12:12" ht="20" customHeight="1" x14ac:dyDescent="0.35">
      <c r="L1257" s="185"/>
    </row>
    <row r="1258" spans="12:12" ht="20" customHeight="1" x14ac:dyDescent="0.35">
      <c r="L1258" s="185"/>
    </row>
    <row r="1259" spans="12:12" ht="20" customHeight="1" x14ac:dyDescent="0.35">
      <c r="L1259" s="185"/>
    </row>
    <row r="1260" spans="12:12" ht="20" customHeight="1" x14ac:dyDescent="0.35">
      <c r="L1260" s="185"/>
    </row>
    <row r="1261" spans="12:12" ht="20" customHeight="1" x14ac:dyDescent="0.35">
      <c r="L1261" s="185"/>
    </row>
    <row r="1262" spans="12:12" ht="20" customHeight="1" x14ac:dyDescent="0.35">
      <c r="L1262" s="185"/>
    </row>
    <row r="1263" spans="12:12" ht="20" customHeight="1" x14ac:dyDescent="0.35">
      <c r="L1263" s="185"/>
    </row>
    <row r="1264" spans="12:12" ht="20" customHeight="1" x14ac:dyDescent="0.35">
      <c r="L1264" s="185"/>
    </row>
    <row r="1265" spans="12:12" ht="20" customHeight="1" x14ac:dyDescent="0.35">
      <c r="L1265" s="185"/>
    </row>
    <row r="1266" spans="12:12" ht="20" customHeight="1" x14ac:dyDescent="0.35">
      <c r="L1266" s="185"/>
    </row>
    <row r="1267" spans="12:12" ht="20" customHeight="1" x14ac:dyDescent="0.35">
      <c r="L1267" s="185"/>
    </row>
    <row r="1268" spans="12:12" ht="20" customHeight="1" x14ac:dyDescent="0.35">
      <c r="L1268" s="185"/>
    </row>
    <row r="1269" spans="12:12" ht="20" customHeight="1" x14ac:dyDescent="0.35">
      <c r="L1269" s="185"/>
    </row>
    <row r="1270" spans="12:12" ht="20" customHeight="1" x14ac:dyDescent="0.35">
      <c r="L1270" s="185"/>
    </row>
    <row r="1271" spans="12:12" ht="20" customHeight="1" x14ac:dyDescent="0.35">
      <c r="L1271" s="185"/>
    </row>
    <row r="1272" spans="12:12" ht="20" customHeight="1" x14ac:dyDescent="0.35">
      <c r="L1272" s="185"/>
    </row>
    <row r="1273" spans="12:12" ht="20" customHeight="1" x14ac:dyDescent="0.35">
      <c r="L1273" s="185"/>
    </row>
    <row r="1274" spans="12:12" ht="20" customHeight="1" x14ac:dyDescent="0.35">
      <c r="L1274" s="185"/>
    </row>
    <row r="1275" spans="12:12" ht="20" customHeight="1" x14ac:dyDescent="0.35">
      <c r="L1275" s="185"/>
    </row>
    <row r="1276" spans="12:12" ht="20" customHeight="1" x14ac:dyDescent="0.35">
      <c r="L1276" s="185"/>
    </row>
    <row r="1277" spans="12:12" ht="20" customHeight="1" x14ac:dyDescent="0.35">
      <c r="L1277" s="185"/>
    </row>
    <row r="1278" spans="12:12" ht="20" customHeight="1" x14ac:dyDescent="0.35">
      <c r="L1278" s="185"/>
    </row>
    <row r="1279" spans="12:12" ht="20" customHeight="1" x14ac:dyDescent="0.35">
      <c r="L1279" s="185"/>
    </row>
    <row r="1280" spans="12:12" ht="20" customHeight="1" x14ac:dyDescent="0.35">
      <c r="L1280" s="185"/>
    </row>
    <row r="1281" spans="12:12" ht="20" customHeight="1" x14ac:dyDescent="0.35">
      <c r="L1281" s="185"/>
    </row>
    <row r="1282" spans="12:12" ht="20" customHeight="1" x14ac:dyDescent="0.35">
      <c r="L1282" s="185"/>
    </row>
    <row r="1283" spans="12:12" ht="20" customHeight="1" x14ac:dyDescent="0.35">
      <c r="L1283" s="185"/>
    </row>
    <row r="1284" spans="12:12" ht="20" customHeight="1" x14ac:dyDescent="0.35">
      <c r="L1284" s="185"/>
    </row>
    <row r="1285" spans="12:12" ht="20" customHeight="1" x14ac:dyDescent="0.35">
      <c r="L1285" s="185"/>
    </row>
    <row r="1286" spans="12:12" ht="20" customHeight="1" x14ac:dyDescent="0.35">
      <c r="L1286" s="185"/>
    </row>
    <row r="1287" spans="12:12" ht="20" customHeight="1" x14ac:dyDescent="0.35">
      <c r="L1287" s="185"/>
    </row>
    <row r="1288" spans="12:12" ht="20" customHeight="1" x14ac:dyDescent="0.35">
      <c r="L1288" s="185"/>
    </row>
    <row r="1289" spans="12:12" ht="20" customHeight="1" x14ac:dyDescent="0.35">
      <c r="L1289" s="185"/>
    </row>
    <row r="1290" spans="12:12" ht="20" customHeight="1" x14ac:dyDescent="0.35">
      <c r="L1290" s="185"/>
    </row>
    <row r="1291" spans="12:12" ht="20" customHeight="1" x14ac:dyDescent="0.35">
      <c r="L1291" s="185"/>
    </row>
    <row r="1292" spans="12:12" ht="20" customHeight="1" x14ac:dyDescent="0.35">
      <c r="L1292" s="185"/>
    </row>
    <row r="1293" spans="12:12" ht="20" customHeight="1" x14ac:dyDescent="0.35">
      <c r="L1293" s="185"/>
    </row>
    <row r="1294" spans="12:12" ht="20" customHeight="1" x14ac:dyDescent="0.35">
      <c r="L1294" s="185"/>
    </row>
    <row r="1295" spans="12:12" ht="20" customHeight="1" x14ac:dyDescent="0.35">
      <c r="L1295" s="185"/>
    </row>
    <row r="1296" spans="12:12" ht="20" customHeight="1" x14ac:dyDescent="0.35">
      <c r="L1296" s="185"/>
    </row>
    <row r="1297" spans="12:12" ht="20" customHeight="1" x14ac:dyDescent="0.35">
      <c r="L1297" s="185"/>
    </row>
    <row r="1298" spans="12:12" ht="20" customHeight="1" x14ac:dyDescent="0.35">
      <c r="L1298" s="185"/>
    </row>
    <row r="1299" spans="12:12" ht="20" customHeight="1" x14ac:dyDescent="0.35">
      <c r="L1299" s="185"/>
    </row>
    <row r="1300" spans="12:12" ht="20" customHeight="1" x14ac:dyDescent="0.35">
      <c r="L1300" s="185"/>
    </row>
    <row r="1301" spans="12:12" ht="20" customHeight="1" x14ac:dyDescent="0.35">
      <c r="L1301" s="185"/>
    </row>
    <row r="1302" spans="12:12" ht="20" customHeight="1" x14ac:dyDescent="0.35">
      <c r="L1302" s="185"/>
    </row>
    <row r="1303" spans="12:12" ht="20" customHeight="1" x14ac:dyDescent="0.35">
      <c r="L1303" s="185"/>
    </row>
    <row r="1304" spans="12:12" ht="20" customHeight="1" x14ac:dyDescent="0.35">
      <c r="L1304" s="185"/>
    </row>
    <row r="1305" spans="12:12" ht="20" customHeight="1" x14ac:dyDescent="0.35">
      <c r="L1305" s="185"/>
    </row>
    <row r="1306" spans="12:12" ht="20" customHeight="1" x14ac:dyDescent="0.35">
      <c r="L1306" s="185"/>
    </row>
    <row r="1307" spans="12:12" ht="20" customHeight="1" x14ac:dyDescent="0.35">
      <c r="L1307" s="185"/>
    </row>
    <row r="1308" spans="12:12" ht="20" customHeight="1" x14ac:dyDescent="0.35">
      <c r="L1308" s="185"/>
    </row>
    <row r="1309" spans="12:12" ht="20" customHeight="1" x14ac:dyDescent="0.35">
      <c r="L1309" s="185"/>
    </row>
    <row r="1310" spans="12:12" ht="20" customHeight="1" x14ac:dyDescent="0.35">
      <c r="L1310" s="185"/>
    </row>
    <row r="1311" spans="12:12" ht="20" customHeight="1" x14ac:dyDescent="0.35">
      <c r="L1311" s="185"/>
    </row>
    <row r="1312" spans="12:12" ht="20" customHeight="1" x14ac:dyDescent="0.35">
      <c r="L1312" s="185"/>
    </row>
    <row r="1313" spans="12:12" ht="20" customHeight="1" x14ac:dyDescent="0.35">
      <c r="L1313" s="185"/>
    </row>
    <row r="1314" spans="12:12" ht="20" customHeight="1" x14ac:dyDescent="0.35">
      <c r="L1314" s="185"/>
    </row>
    <row r="1315" spans="12:12" ht="20" customHeight="1" x14ac:dyDescent="0.35">
      <c r="L1315" s="185"/>
    </row>
    <row r="1316" spans="12:12" ht="20" customHeight="1" x14ac:dyDescent="0.35">
      <c r="L1316" s="185"/>
    </row>
    <row r="1317" spans="12:12" ht="20" customHeight="1" x14ac:dyDescent="0.35">
      <c r="L1317" s="185"/>
    </row>
    <row r="1318" spans="12:12" ht="20" customHeight="1" x14ac:dyDescent="0.35">
      <c r="L1318" s="185"/>
    </row>
    <row r="1319" spans="12:12" ht="20" customHeight="1" x14ac:dyDescent="0.35">
      <c r="L1319" s="185"/>
    </row>
    <row r="1320" spans="12:12" ht="20" customHeight="1" x14ac:dyDescent="0.35">
      <c r="L1320" s="185"/>
    </row>
    <row r="1321" spans="12:12" ht="20" customHeight="1" x14ac:dyDescent="0.35">
      <c r="L1321" s="185"/>
    </row>
    <row r="1322" spans="12:12" ht="20" customHeight="1" x14ac:dyDescent="0.35">
      <c r="L1322" s="185"/>
    </row>
    <row r="1323" spans="12:12" ht="20" customHeight="1" x14ac:dyDescent="0.35">
      <c r="L1323" s="185"/>
    </row>
    <row r="1324" spans="12:12" ht="20" customHeight="1" x14ac:dyDescent="0.35">
      <c r="L1324" s="185"/>
    </row>
    <row r="1325" spans="12:12" ht="20" customHeight="1" x14ac:dyDescent="0.35">
      <c r="L1325" s="185"/>
    </row>
    <row r="1326" spans="12:12" ht="20" customHeight="1" x14ac:dyDescent="0.35">
      <c r="L1326" s="185"/>
    </row>
    <row r="1327" spans="12:12" ht="20" customHeight="1" x14ac:dyDescent="0.35">
      <c r="L1327" s="185"/>
    </row>
    <row r="1328" spans="12:12" ht="20" customHeight="1" x14ac:dyDescent="0.35">
      <c r="L1328" s="185"/>
    </row>
    <row r="1329" spans="12:12" ht="20" customHeight="1" x14ac:dyDescent="0.35">
      <c r="L1329" s="185"/>
    </row>
    <row r="1330" spans="12:12" ht="20" customHeight="1" x14ac:dyDescent="0.35">
      <c r="L1330" s="185"/>
    </row>
    <row r="1331" spans="12:12" ht="20" customHeight="1" x14ac:dyDescent="0.35">
      <c r="L1331" s="185"/>
    </row>
    <row r="1332" spans="12:12" ht="20" customHeight="1" x14ac:dyDescent="0.35">
      <c r="L1332" s="185"/>
    </row>
    <row r="1333" spans="12:12" ht="20" customHeight="1" x14ac:dyDescent="0.35">
      <c r="L1333" s="185"/>
    </row>
    <row r="1334" spans="12:12" ht="20" customHeight="1" x14ac:dyDescent="0.35">
      <c r="L1334" s="185"/>
    </row>
    <row r="1335" spans="12:12" ht="20" customHeight="1" x14ac:dyDescent="0.35">
      <c r="L1335" s="185"/>
    </row>
    <row r="1336" spans="12:12" ht="20" customHeight="1" x14ac:dyDescent="0.35">
      <c r="L1336" s="185"/>
    </row>
    <row r="1337" spans="12:12" ht="20" customHeight="1" x14ac:dyDescent="0.35">
      <c r="L1337" s="185"/>
    </row>
    <row r="1338" spans="12:12" ht="20" customHeight="1" x14ac:dyDescent="0.35">
      <c r="L1338" s="185"/>
    </row>
    <row r="1339" spans="12:12" ht="20" customHeight="1" x14ac:dyDescent="0.35">
      <c r="L1339" s="185"/>
    </row>
    <row r="1340" spans="12:12" ht="20" customHeight="1" x14ac:dyDescent="0.35">
      <c r="L1340" s="185"/>
    </row>
    <row r="1341" spans="12:12" ht="20" customHeight="1" x14ac:dyDescent="0.35">
      <c r="L1341" s="185"/>
    </row>
    <row r="1342" spans="12:12" ht="20" customHeight="1" x14ac:dyDescent="0.35">
      <c r="L1342" s="185"/>
    </row>
    <row r="1343" spans="12:12" ht="20" customHeight="1" x14ac:dyDescent="0.35">
      <c r="L1343" s="185"/>
    </row>
    <row r="1344" spans="12:12" ht="20" customHeight="1" x14ac:dyDescent="0.35">
      <c r="L1344" s="185"/>
    </row>
    <row r="1345" spans="12:12" ht="20" customHeight="1" x14ac:dyDescent="0.35">
      <c r="L1345" s="185"/>
    </row>
    <row r="1346" spans="12:12" ht="20" customHeight="1" x14ac:dyDescent="0.35">
      <c r="L1346" s="185"/>
    </row>
    <row r="1347" spans="12:12" ht="20" customHeight="1" x14ac:dyDescent="0.35">
      <c r="L1347" s="185"/>
    </row>
    <row r="1348" spans="12:12" ht="20" customHeight="1" x14ac:dyDescent="0.35">
      <c r="L1348" s="185"/>
    </row>
    <row r="1349" spans="12:12" ht="20" customHeight="1" x14ac:dyDescent="0.35">
      <c r="L1349" s="185"/>
    </row>
    <row r="1350" spans="12:12" ht="20" customHeight="1" x14ac:dyDescent="0.35">
      <c r="L1350" s="185"/>
    </row>
    <row r="1351" spans="12:12" ht="20" customHeight="1" x14ac:dyDescent="0.35">
      <c r="L1351" s="185"/>
    </row>
    <row r="1352" spans="12:12" ht="20" customHeight="1" x14ac:dyDescent="0.35">
      <c r="L1352" s="185"/>
    </row>
    <row r="1353" spans="12:12" ht="20" customHeight="1" x14ac:dyDescent="0.35">
      <c r="L1353" s="185"/>
    </row>
    <row r="1354" spans="12:12" ht="20" customHeight="1" x14ac:dyDescent="0.35">
      <c r="L1354" s="185"/>
    </row>
    <row r="1355" spans="12:12" ht="20" customHeight="1" x14ac:dyDescent="0.35">
      <c r="L1355" s="185"/>
    </row>
    <row r="1356" spans="12:12" ht="20" customHeight="1" x14ac:dyDescent="0.35">
      <c r="L1356" s="185"/>
    </row>
    <row r="1357" spans="12:12" ht="20" customHeight="1" x14ac:dyDescent="0.35">
      <c r="L1357" s="185"/>
    </row>
    <row r="1358" spans="12:12" ht="20" customHeight="1" x14ac:dyDescent="0.35">
      <c r="L1358" s="185"/>
    </row>
    <row r="1359" spans="12:12" ht="20" customHeight="1" x14ac:dyDescent="0.35">
      <c r="L1359" s="185"/>
    </row>
    <row r="1360" spans="12:12" ht="20" customHeight="1" x14ac:dyDescent="0.35">
      <c r="L1360" s="185"/>
    </row>
    <row r="1361" spans="12:12" ht="20" customHeight="1" x14ac:dyDescent="0.35">
      <c r="L1361" s="185"/>
    </row>
    <row r="1362" spans="12:12" ht="20" customHeight="1" x14ac:dyDescent="0.35">
      <c r="L1362" s="185"/>
    </row>
    <row r="1363" spans="12:12" ht="20" customHeight="1" x14ac:dyDescent="0.35">
      <c r="L1363" s="185"/>
    </row>
    <row r="1364" spans="12:12" ht="20" customHeight="1" x14ac:dyDescent="0.35">
      <c r="L1364" s="185"/>
    </row>
    <row r="1365" spans="12:12" ht="20" customHeight="1" x14ac:dyDescent="0.35">
      <c r="L1365" s="185"/>
    </row>
    <row r="1366" spans="12:12" ht="20" customHeight="1" x14ac:dyDescent="0.35">
      <c r="L1366" s="185"/>
    </row>
    <row r="1367" spans="12:12" ht="20" customHeight="1" x14ac:dyDescent="0.35">
      <c r="L1367" s="185"/>
    </row>
    <row r="1368" spans="12:12" ht="20" customHeight="1" x14ac:dyDescent="0.35">
      <c r="L1368" s="185"/>
    </row>
    <row r="1369" spans="12:12" ht="20" customHeight="1" x14ac:dyDescent="0.35">
      <c r="L1369" s="185"/>
    </row>
    <row r="1370" spans="12:12" ht="20" customHeight="1" x14ac:dyDescent="0.35">
      <c r="L1370" s="185"/>
    </row>
    <row r="1371" spans="12:12" ht="20" customHeight="1" x14ac:dyDescent="0.35">
      <c r="L1371" s="185"/>
    </row>
    <row r="1372" spans="12:12" ht="20" customHeight="1" x14ac:dyDescent="0.35">
      <c r="L1372" s="185"/>
    </row>
    <row r="1373" spans="12:12" ht="20" customHeight="1" x14ac:dyDescent="0.35">
      <c r="L1373" s="185"/>
    </row>
    <row r="1374" spans="12:12" ht="20" customHeight="1" x14ac:dyDescent="0.35">
      <c r="L1374" s="185"/>
    </row>
    <row r="1375" spans="12:12" ht="20" customHeight="1" x14ac:dyDescent="0.35">
      <c r="L1375" s="185"/>
    </row>
    <row r="1376" spans="12:12" ht="20" customHeight="1" x14ac:dyDescent="0.35">
      <c r="L1376" s="185"/>
    </row>
    <row r="1377" spans="12:12" ht="20" customHeight="1" x14ac:dyDescent="0.35">
      <c r="L1377" s="185"/>
    </row>
    <row r="1378" spans="12:12" ht="20" customHeight="1" x14ac:dyDescent="0.35">
      <c r="L1378" s="185"/>
    </row>
    <row r="1379" spans="12:12" ht="20" customHeight="1" x14ac:dyDescent="0.35">
      <c r="L1379" s="185"/>
    </row>
    <row r="1380" spans="12:12" ht="20" customHeight="1" x14ac:dyDescent="0.35">
      <c r="L1380" s="185"/>
    </row>
    <row r="1381" spans="12:12" ht="20" customHeight="1" x14ac:dyDescent="0.35">
      <c r="L1381" s="185"/>
    </row>
    <row r="1382" spans="12:12" ht="20" customHeight="1" x14ac:dyDescent="0.35">
      <c r="L1382" s="185"/>
    </row>
    <row r="1383" spans="12:12" ht="20" customHeight="1" x14ac:dyDescent="0.35">
      <c r="L1383" s="185"/>
    </row>
    <row r="1384" spans="12:12" ht="20" customHeight="1" x14ac:dyDescent="0.35">
      <c r="L1384" s="185"/>
    </row>
    <row r="1385" spans="12:12" ht="20" customHeight="1" x14ac:dyDescent="0.35">
      <c r="L1385" s="185"/>
    </row>
    <row r="1386" spans="12:12" ht="20" customHeight="1" x14ac:dyDescent="0.35">
      <c r="L1386" s="185"/>
    </row>
    <row r="1387" spans="12:12" ht="20" customHeight="1" x14ac:dyDescent="0.35">
      <c r="L1387" s="185"/>
    </row>
    <row r="1388" spans="12:12" ht="20" customHeight="1" x14ac:dyDescent="0.35">
      <c r="L1388" s="185"/>
    </row>
    <row r="1389" spans="12:12" ht="20" customHeight="1" x14ac:dyDescent="0.35">
      <c r="L1389" s="185"/>
    </row>
    <row r="1390" spans="12:12" ht="20" customHeight="1" x14ac:dyDescent="0.35">
      <c r="L1390" s="185"/>
    </row>
    <row r="1391" spans="12:12" ht="20" customHeight="1" x14ac:dyDescent="0.35">
      <c r="L1391" s="185"/>
    </row>
    <row r="1392" spans="12:12" ht="20" customHeight="1" x14ac:dyDescent="0.35">
      <c r="L1392" s="185"/>
    </row>
    <row r="1393" spans="12:12" ht="20" customHeight="1" x14ac:dyDescent="0.35">
      <c r="L1393" s="185"/>
    </row>
    <row r="1394" spans="12:12" ht="20" customHeight="1" x14ac:dyDescent="0.35">
      <c r="L1394" s="185"/>
    </row>
    <row r="1395" spans="12:12" ht="20" customHeight="1" x14ac:dyDescent="0.35">
      <c r="L1395" s="185"/>
    </row>
    <row r="1396" spans="12:12" ht="20" customHeight="1" x14ac:dyDescent="0.35">
      <c r="L1396" s="185"/>
    </row>
    <row r="1397" spans="12:12" ht="20" customHeight="1" x14ac:dyDescent="0.35">
      <c r="L1397" s="185"/>
    </row>
    <row r="1398" spans="12:12" ht="20" customHeight="1" x14ac:dyDescent="0.35">
      <c r="L1398" s="185"/>
    </row>
    <row r="1399" spans="12:12" ht="20" customHeight="1" x14ac:dyDescent="0.35">
      <c r="L1399" s="185"/>
    </row>
    <row r="1400" spans="12:12" ht="20" customHeight="1" x14ac:dyDescent="0.35">
      <c r="L1400" s="185"/>
    </row>
    <row r="1401" spans="12:12" ht="20" customHeight="1" x14ac:dyDescent="0.35">
      <c r="L1401" s="185"/>
    </row>
    <row r="1402" spans="12:12" ht="20" customHeight="1" x14ac:dyDescent="0.35">
      <c r="L1402" s="185"/>
    </row>
    <row r="1403" spans="12:12" ht="20" customHeight="1" x14ac:dyDescent="0.35">
      <c r="L1403" s="185"/>
    </row>
    <row r="1404" spans="12:12" ht="20" customHeight="1" x14ac:dyDescent="0.35">
      <c r="L1404" s="185"/>
    </row>
    <row r="1405" spans="12:12" ht="20" customHeight="1" x14ac:dyDescent="0.35">
      <c r="L1405" s="185"/>
    </row>
    <row r="1406" spans="12:12" ht="20" customHeight="1" x14ac:dyDescent="0.35">
      <c r="L1406" s="185"/>
    </row>
    <row r="1407" spans="12:12" ht="20" customHeight="1" x14ac:dyDescent="0.35">
      <c r="L1407" s="185"/>
    </row>
    <row r="1408" spans="12:12" ht="20" customHeight="1" x14ac:dyDescent="0.35">
      <c r="L1408" s="185"/>
    </row>
    <row r="1409" spans="12:12" ht="20" customHeight="1" x14ac:dyDescent="0.35">
      <c r="L1409" s="185"/>
    </row>
    <row r="1410" spans="12:12" ht="20" customHeight="1" x14ac:dyDescent="0.35">
      <c r="L1410" s="185"/>
    </row>
    <row r="1411" spans="12:12" ht="20" customHeight="1" x14ac:dyDescent="0.35">
      <c r="L1411" s="185"/>
    </row>
    <row r="1412" spans="12:12" ht="20" customHeight="1" x14ac:dyDescent="0.35">
      <c r="L1412" s="185"/>
    </row>
    <row r="1413" spans="12:12" ht="20" customHeight="1" x14ac:dyDescent="0.35">
      <c r="L1413" s="185"/>
    </row>
    <row r="1414" spans="12:12" ht="20" customHeight="1" x14ac:dyDescent="0.35">
      <c r="L1414" s="185"/>
    </row>
    <row r="1415" spans="12:12" ht="20" customHeight="1" x14ac:dyDescent="0.35">
      <c r="L1415" s="185"/>
    </row>
    <row r="1416" spans="12:12" ht="20" customHeight="1" x14ac:dyDescent="0.35">
      <c r="L1416" s="185"/>
    </row>
    <row r="1417" spans="12:12" ht="20" customHeight="1" x14ac:dyDescent="0.35">
      <c r="L1417" s="185"/>
    </row>
    <row r="1418" spans="12:12" ht="20" customHeight="1" x14ac:dyDescent="0.35">
      <c r="L1418" s="185"/>
    </row>
    <row r="1419" spans="12:12" ht="20" customHeight="1" x14ac:dyDescent="0.35">
      <c r="L1419" s="185"/>
    </row>
    <row r="1420" spans="12:12" ht="20" customHeight="1" x14ac:dyDescent="0.35">
      <c r="L1420" s="185"/>
    </row>
    <row r="1421" spans="12:12" ht="20" customHeight="1" x14ac:dyDescent="0.35">
      <c r="L1421" s="185"/>
    </row>
    <row r="1422" spans="12:12" ht="20" customHeight="1" x14ac:dyDescent="0.35">
      <c r="L1422" s="185"/>
    </row>
    <row r="1423" spans="12:12" ht="20" customHeight="1" x14ac:dyDescent="0.35">
      <c r="L1423" s="185"/>
    </row>
    <row r="1424" spans="12:12" ht="20" customHeight="1" x14ac:dyDescent="0.35">
      <c r="L1424" s="185"/>
    </row>
    <row r="1425" spans="12:12" ht="20" customHeight="1" x14ac:dyDescent="0.35">
      <c r="L1425" s="185"/>
    </row>
    <row r="1426" spans="12:12" ht="20" customHeight="1" x14ac:dyDescent="0.35">
      <c r="L1426" s="185"/>
    </row>
    <row r="1427" spans="12:12" ht="20" customHeight="1" x14ac:dyDescent="0.35">
      <c r="L1427" s="185"/>
    </row>
    <row r="1428" spans="12:12" ht="20" customHeight="1" x14ac:dyDescent="0.35">
      <c r="L1428" s="185"/>
    </row>
    <row r="1429" spans="12:12" ht="20" customHeight="1" x14ac:dyDescent="0.35">
      <c r="L1429" s="185"/>
    </row>
    <row r="1430" spans="12:12" ht="20" customHeight="1" x14ac:dyDescent="0.35">
      <c r="L1430" s="185"/>
    </row>
    <row r="1431" spans="12:12" ht="20" customHeight="1" x14ac:dyDescent="0.35">
      <c r="L1431" s="185"/>
    </row>
    <row r="1432" spans="12:12" ht="20" customHeight="1" x14ac:dyDescent="0.35">
      <c r="L1432" s="185"/>
    </row>
    <row r="1433" spans="12:12" ht="20" customHeight="1" x14ac:dyDescent="0.35">
      <c r="L1433" s="185"/>
    </row>
    <row r="1434" spans="12:12" ht="20" customHeight="1" x14ac:dyDescent="0.35">
      <c r="L1434" s="185"/>
    </row>
    <row r="1435" spans="12:12" ht="20" customHeight="1" x14ac:dyDescent="0.35">
      <c r="L1435" s="185"/>
    </row>
    <row r="1436" spans="12:12" ht="20" customHeight="1" x14ac:dyDescent="0.35">
      <c r="L1436" s="185"/>
    </row>
    <row r="1437" spans="12:12" ht="20" customHeight="1" x14ac:dyDescent="0.35">
      <c r="L1437" s="185"/>
    </row>
    <row r="1438" spans="12:12" ht="20" customHeight="1" x14ac:dyDescent="0.35">
      <c r="L1438" s="185"/>
    </row>
    <row r="1439" spans="12:12" ht="20" customHeight="1" x14ac:dyDescent="0.35">
      <c r="L1439" s="185"/>
    </row>
    <row r="1440" spans="12:12" ht="20" customHeight="1" x14ac:dyDescent="0.35">
      <c r="L1440" s="185"/>
    </row>
    <row r="1441" spans="12:12" ht="20" customHeight="1" x14ac:dyDescent="0.35">
      <c r="L1441" s="185"/>
    </row>
    <row r="1442" spans="12:12" ht="20" customHeight="1" x14ac:dyDescent="0.35">
      <c r="L1442" s="185"/>
    </row>
    <row r="1443" spans="12:12" ht="20" customHeight="1" x14ac:dyDescent="0.35">
      <c r="L1443" s="185"/>
    </row>
    <row r="1444" spans="12:12" ht="20" customHeight="1" x14ac:dyDescent="0.35">
      <c r="L1444" s="185"/>
    </row>
    <row r="1445" spans="12:12" ht="20" customHeight="1" x14ac:dyDescent="0.35">
      <c r="L1445" s="185"/>
    </row>
    <row r="1446" spans="12:12" ht="20" customHeight="1" x14ac:dyDescent="0.35">
      <c r="L1446" s="185"/>
    </row>
    <row r="1447" spans="12:12" ht="20" customHeight="1" x14ac:dyDescent="0.35">
      <c r="L1447" s="185"/>
    </row>
    <row r="1448" spans="12:12" ht="20" customHeight="1" x14ac:dyDescent="0.35">
      <c r="L1448" s="185"/>
    </row>
    <row r="1449" spans="12:12" ht="20" customHeight="1" x14ac:dyDescent="0.35">
      <c r="L1449" s="185"/>
    </row>
    <row r="1450" spans="12:12" ht="20" customHeight="1" x14ac:dyDescent="0.35">
      <c r="L1450" s="185"/>
    </row>
    <row r="1451" spans="12:12" ht="20" customHeight="1" x14ac:dyDescent="0.35">
      <c r="L1451" s="185"/>
    </row>
    <row r="1452" spans="12:12" ht="20" customHeight="1" x14ac:dyDescent="0.35">
      <c r="L1452" s="185"/>
    </row>
    <row r="1453" spans="12:12" ht="20" customHeight="1" x14ac:dyDescent="0.35">
      <c r="L1453" s="185"/>
    </row>
    <row r="1454" spans="12:12" ht="20" customHeight="1" x14ac:dyDescent="0.35">
      <c r="L1454" s="185"/>
    </row>
    <row r="1455" spans="12:12" ht="20" customHeight="1" x14ac:dyDescent="0.35">
      <c r="L1455" s="185"/>
    </row>
    <row r="1456" spans="12:12" ht="20" customHeight="1" x14ac:dyDescent="0.35">
      <c r="L1456" s="185"/>
    </row>
    <row r="1457" spans="12:12" ht="20" customHeight="1" x14ac:dyDescent="0.35">
      <c r="L1457" s="185"/>
    </row>
    <row r="1458" spans="12:12" ht="20" customHeight="1" x14ac:dyDescent="0.35">
      <c r="L1458" s="185"/>
    </row>
    <row r="1459" spans="12:12" ht="20" customHeight="1" x14ac:dyDescent="0.35">
      <c r="L1459" s="185"/>
    </row>
    <row r="1460" spans="12:12" ht="20" customHeight="1" x14ac:dyDescent="0.35">
      <c r="L1460" s="185"/>
    </row>
    <row r="1461" spans="12:12" ht="20" customHeight="1" x14ac:dyDescent="0.35">
      <c r="L1461" s="185"/>
    </row>
    <row r="1462" spans="12:12" ht="20" customHeight="1" x14ac:dyDescent="0.35">
      <c r="L1462" s="185"/>
    </row>
    <row r="1463" spans="12:12" ht="20" customHeight="1" x14ac:dyDescent="0.35">
      <c r="L1463" s="185"/>
    </row>
    <row r="1464" spans="12:12" ht="20" customHeight="1" x14ac:dyDescent="0.35">
      <c r="L1464" s="185"/>
    </row>
    <row r="1465" spans="12:12" ht="20" customHeight="1" x14ac:dyDescent="0.35">
      <c r="L1465" s="185"/>
    </row>
    <row r="1466" spans="12:12" ht="20" customHeight="1" x14ac:dyDescent="0.35">
      <c r="L1466" s="185"/>
    </row>
    <row r="1467" spans="12:12" ht="20" customHeight="1" x14ac:dyDescent="0.35">
      <c r="L1467" s="185"/>
    </row>
    <row r="1468" spans="12:12" ht="20" customHeight="1" x14ac:dyDescent="0.35">
      <c r="L1468" s="185"/>
    </row>
    <row r="1469" spans="12:12" ht="20" customHeight="1" x14ac:dyDescent="0.35">
      <c r="L1469" s="185"/>
    </row>
    <row r="1470" spans="12:12" ht="20" customHeight="1" x14ac:dyDescent="0.35">
      <c r="L1470" s="185"/>
    </row>
    <row r="1471" spans="12:12" ht="20" customHeight="1" x14ac:dyDescent="0.35">
      <c r="L1471" s="185"/>
    </row>
    <row r="1472" spans="12:12" ht="20" customHeight="1" x14ac:dyDescent="0.35">
      <c r="L1472" s="185"/>
    </row>
    <row r="1473" spans="12:12" ht="20" customHeight="1" x14ac:dyDescent="0.35">
      <c r="L1473" s="185"/>
    </row>
    <row r="1474" spans="12:12" ht="20" customHeight="1" x14ac:dyDescent="0.35">
      <c r="L1474" s="185"/>
    </row>
    <row r="1475" spans="12:12" ht="20" customHeight="1" x14ac:dyDescent="0.35">
      <c r="L1475" s="185"/>
    </row>
    <row r="1476" spans="12:12" ht="20" customHeight="1" x14ac:dyDescent="0.35">
      <c r="L1476" s="185"/>
    </row>
    <row r="1477" spans="12:12" ht="20" customHeight="1" x14ac:dyDescent="0.35">
      <c r="L1477" s="185"/>
    </row>
    <row r="1478" spans="12:12" ht="20" customHeight="1" x14ac:dyDescent="0.35">
      <c r="L1478" s="185"/>
    </row>
    <row r="1479" spans="12:12" ht="20" customHeight="1" x14ac:dyDescent="0.35">
      <c r="L1479" s="185"/>
    </row>
    <row r="1480" spans="12:12" ht="20" customHeight="1" x14ac:dyDescent="0.35">
      <c r="L1480" s="185"/>
    </row>
    <row r="1481" spans="12:12" ht="20" customHeight="1" x14ac:dyDescent="0.35">
      <c r="L1481" s="185"/>
    </row>
    <row r="1482" spans="12:12" ht="20" customHeight="1" x14ac:dyDescent="0.35">
      <c r="L1482" s="185"/>
    </row>
    <row r="1483" spans="12:12" ht="20" customHeight="1" x14ac:dyDescent="0.35">
      <c r="L1483" s="185"/>
    </row>
    <row r="1484" spans="12:12" ht="20" customHeight="1" x14ac:dyDescent="0.35">
      <c r="L1484" s="185"/>
    </row>
    <row r="1485" spans="12:12" ht="20" customHeight="1" x14ac:dyDescent="0.35">
      <c r="L1485" s="185"/>
    </row>
    <row r="1486" spans="12:12" ht="20" customHeight="1" x14ac:dyDescent="0.35">
      <c r="L1486" s="185"/>
    </row>
    <row r="1487" spans="12:12" ht="20" customHeight="1" x14ac:dyDescent="0.35">
      <c r="L1487" s="185"/>
    </row>
    <row r="1488" spans="12:12" ht="20" customHeight="1" x14ac:dyDescent="0.35">
      <c r="L1488" s="185"/>
    </row>
    <row r="1489" spans="12:12" ht="20" customHeight="1" x14ac:dyDescent="0.35">
      <c r="L1489" s="185"/>
    </row>
    <row r="1490" spans="12:12" ht="20" customHeight="1" x14ac:dyDescent="0.35">
      <c r="L1490" s="185"/>
    </row>
    <row r="1491" spans="12:12" ht="20" customHeight="1" x14ac:dyDescent="0.35">
      <c r="L1491" s="185"/>
    </row>
    <row r="1492" spans="12:12" ht="20" customHeight="1" x14ac:dyDescent="0.35">
      <c r="L1492" s="185"/>
    </row>
    <row r="1493" spans="12:12" ht="20" customHeight="1" x14ac:dyDescent="0.35">
      <c r="L1493" s="185"/>
    </row>
    <row r="1494" spans="12:12" ht="20" customHeight="1" x14ac:dyDescent="0.35">
      <c r="L1494" s="185"/>
    </row>
    <row r="1495" spans="12:12" ht="20" customHeight="1" x14ac:dyDescent="0.35">
      <c r="L1495" s="185"/>
    </row>
    <row r="1496" spans="12:12" ht="20" customHeight="1" x14ac:dyDescent="0.35">
      <c r="L1496" s="185"/>
    </row>
    <row r="1497" spans="12:12" ht="20" customHeight="1" x14ac:dyDescent="0.35">
      <c r="L1497" s="185"/>
    </row>
    <row r="1498" spans="12:12" ht="20" customHeight="1" x14ac:dyDescent="0.35">
      <c r="L1498" s="185"/>
    </row>
    <row r="1499" spans="12:12" ht="20" customHeight="1" x14ac:dyDescent="0.35">
      <c r="L1499" s="185"/>
    </row>
    <row r="1500" spans="12:12" ht="20" customHeight="1" x14ac:dyDescent="0.35">
      <c r="L1500" s="185"/>
    </row>
    <row r="1501" spans="12:12" ht="20" customHeight="1" x14ac:dyDescent="0.35">
      <c r="L1501" s="185"/>
    </row>
    <row r="1502" spans="12:12" ht="20" customHeight="1" x14ac:dyDescent="0.35">
      <c r="L1502" s="185"/>
    </row>
    <row r="1503" spans="12:12" ht="20" customHeight="1" x14ac:dyDescent="0.35">
      <c r="L1503" s="185"/>
    </row>
    <row r="1504" spans="12:12" ht="20" customHeight="1" x14ac:dyDescent="0.35">
      <c r="L1504" s="185"/>
    </row>
    <row r="1505" spans="12:12" ht="20" customHeight="1" x14ac:dyDescent="0.35">
      <c r="L1505" s="185"/>
    </row>
    <row r="1506" spans="12:12" ht="20" customHeight="1" x14ac:dyDescent="0.35">
      <c r="L1506" s="185"/>
    </row>
    <row r="1507" spans="12:12" ht="20" customHeight="1" x14ac:dyDescent="0.35">
      <c r="L1507" s="185"/>
    </row>
    <row r="1508" spans="12:12" ht="20" customHeight="1" x14ac:dyDescent="0.35">
      <c r="L1508" s="185"/>
    </row>
    <row r="1509" spans="12:12" ht="20" customHeight="1" x14ac:dyDescent="0.35">
      <c r="L1509" s="185"/>
    </row>
    <row r="1510" spans="12:12" ht="20" customHeight="1" x14ac:dyDescent="0.35">
      <c r="L1510" s="185"/>
    </row>
    <row r="1511" spans="12:12" ht="20" customHeight="1" x14ac:dyDescent="0.35">
      <c r="L1511" s="185"/>
    </row>
    <row r="1512" spans="12:12" ht="20" customHeight="1" x14ac:dyDescent="0.35">
      <c r="L1512" s="185"/>
    </row>
    <row r="1513" spans="12:12" ht="20" customHeight="1" x14ac:dyDescent="0.35">
      <c r="L1513" s="185"/>
    </row>
    <row r="1514" spans="12:12" ht="20" customHeight="1" x14ac:dyDescent="0.35">
      <c r="L1514" s="185"/>
    </row>
    <row r="1515" spans="12:12" ht="20" customHeight="1" x14ac:dyDescent="0.35">
      <c r="L1515" s="185"/>
    </row>
    <row r="1516" spans="12:12" ht="20" customHeight="1" x14ac:dyDescent="0.35">
      <c r="L1516" s="185"/>
    </row>
    <row r="1517" spans="12:12" ht="20" customHeight="1" x14ac:dyDescent="0.35">
      <c r="L1517" s="185"/>
    </row>
    <row r="1518" spans="12:12" ht="20" customHeight="1" x14ac:dyDescent="0.35">
      <c r="L1518" s="185"/>
    </row>
    <row r="1519" spans="12:12" ht="20" customHeight="1" x14ac:dyDescent="0.35">
      <c r="L1519" s="185"/>
    </row>
    <row r="1520" spans="12:12" ht="20" customHeight="1" x14ac:dyDescent="0.35">
      <c r="L1520" s="185"/>
    </row>
    <row r="1521" spans="12:12" ht="20" customHeight="1" x14ac:dyDescent="0.35">
      <c r="L1521" s="185"/>
    </row>
    <row r="1522" spans="12:12" ht="20" customHeight="1" x14ac:dyDescent="0.35">
      <c r="L1522" s="185"/>
    </row>
    <row r="1523" spans="12:12" ht="20" customHeight="1" x14ac:dyDescent="0.35">
      <c r="L1523" s="185"/>
    </row>
    <row r="1524" spans="12:12" ht="20" customHeight="1" x14ac:dyDescent="0.35">
      <c r="L1524" s="185"/>
    </row>
    <row r="1525" spans="12:12" ht="20" customHeight="1" x14ac:dyDescent="0.35">
      <c r="L1525" s="185"/>
    </row>
    <row r="1526" spans="12:12" ht="20" customHeight="1" x14ac:dyDescent="0.35">
      <c r="L1526" s="185"/>
    </row>
    <row r="1527" spans="12:12" ht="20" customHeight="1" x14ac:dyDescent="0.35">
      <c r="L1527" s="185"/>
    </row>
    <row r="1528" spans="12:12" ht="20" customHeight="1" x14ac:dyDescent="0.35">
      <c r="L1528" s="185"/>
    </row>
    <row r="1529" spans="12:12" ht="20" customHeight="1" x14ac:dyDescent="0.35">
      <c r="L1529" s="185"/>
    </row>
    <row r="1530" spans="12:12" ht="20" customHeight="1" x14ac:dyDescent="0.35">
      <c r="L1530" s="185"/>
    </row>
    <row r="1531" spans="12:12" ht="20" customHeight="1" x14ac:dyDescent="0.35">
      <c r="L1531" s="185"/>
    </row>
    <row r="1532" spans="12:12" ht="20" customHeight="1" x14ac:dyDescent="0.35">
      <c r="L1532" s="185"/>
    </row>
    <row r="1533" spans="12:12" ht="20" customHeight="1" x14ac:dyDescent="0.35">
      <c r="L1533" s="185"/>
    </row>
    <row r="1534" spans="12:12" ht="20" customHeight="1" x14ac:dyDescent="0.35">
      <c r="L1534" s="185"/>
    </row>
    <row r="1535" spans="12:12" ht="20" customHeight="1" x14ac:dyDescent="0.35">
      <c r="L1535" s="185"/>
    </row>
    <row r="1536" spans="12:12" ht="20" customHeight="1" x14ac:dyDescent="0.35">
      <c r="L1536" s="185"/>
    </row>
    <row r="1537" spans="12:12" ht="20" customHeight="1" x14ac:dyDescent="0.35">
      <c r="L1537" s="185"/>
    </row>
    <row r="1538" spans="12:12" ht="20" customHeight="1" x14ac:dyDescent="0.35">
      <c r="L1538" s="185"/>
    </row>
    <row r="1539" spans="12:12" ht="20" customHeight="1" x14ac:dyDescent="0.35">
      <c r="L1539" s="185"/>
    </row>
    <row r="1540" spans="12:12" ht="20" customHeight="1" x14ac:dyDescent="0.35">
      <c r="L1540" s="185"/>
    </row>
    <row r="1541" spans="12:12" ht="20" customHeight="1" x14ac:dyDescent="0.35">
      <c r="L1541" s="185"/>
    </row>
    <row r="1542" spans="12:12" ht="20" customHeight="1" x14ac:dyDescent="0.35">
      <c r="L1542" s="185"/>
    </row>
    <row r="1543" spans="12:12" ht="20" customHeight="1" x14ac:dyDescent="0.35">
      <c r="L1543" s="185"/>
    </row>
    <row r="1544" spans="12:12" ht="20" customHeight="1" x14ac:dyDescent="0.35">
      <c r="L1544" s="185"/>
    </row>
    <row r="1545" spans="12:12" ht="20" customHeight="1" x14ac:dyDescent="0.35">
      <c r="L1545" s="185"/>
    </row>
    <row r="1546" spans="12:12" ht="20" customHeight="1" x14ac:dyDescent="0.35">
      <c r="L1546" s="185"/>
    </row>
    <row r="1547" spans="12:12" ht="20" customHeight="1" x14ac:dyDescent="0.35">
      <c r="L1547" s="185"/>
    </row>
    <row r="1548" spans="12:12" ht="20" customHeight="1" x14ac:dyDescent="0.35">
      <c r="L1548" s="185"/>
    </row>
    <row r="1549" spans="12:12" ht="20" customHeight="1" x14ac:dyDescent="0.35">
      <c r="L1549" s="185"/>
    </row>
    <row r="1550" spans="12:12" ht="20" customHeight="1" x14ac:dyDescent="0.35">
      <c r="L1550" s="185"/>
    </row>
    <row r="1551" spans="12:12" ht="20" customHeight="1" x14ac:dyDescent="0.35">
      <c r="L1551" s="185"/>
    </row>
    <row r="1552" spans="12:12" ht="20" customHeight="1" x14ac:dyDescent="0.35">
      <c r="L1552" s="185"/>
    </row>
    <row r="1553" spans="12:12" ht="20" customHeight="1" x14ac:dyDescent="0.35">
      <c r="L1553" s="185"/>
    </row>
    <row r="1554" spans="12:12" ht="20" customHeight="1" x14ac:dyDescent="0.35">
      <c r="L1554" s="185"/>
    </row>
    <row r="1555" spans="12:12" ht="20" customHeight="1" x14ac:dyDescent="0.35">
      <c r="L1555" s="185"/>
    </row>
    <row r="1556" spans="12:12" ht="20" customHeight="1" x14ac:dyDescent="0.35">
      <c r="L1556" s="185"/>
    </row>
    <row r="1557" spans="12:12" ht="20" customHeight="1" x14ac:dyDescent="0.35">
      <c r="L1557" s="185"/>
    </row>
    <row r="1558" spans="12:12" ht="20" customHeight="1" x14ac:dyDescent="0.35">
      <c r="L1558" s="185"/>
    </row>
    <row r="1559" spans="12:12" ht="20" customHeight="1" x14ac:dyDescent="0.35">
      <c r="L1559" s="185"/>
    </row>
    <row r="1560" spans="12:12" ht="20" customHeight="1" x14ac:dyDescent="0.35">
      <c r="L1560" s="185"/>
    </row>
    <row r="1561" spans="12:12" ht="20" customHeight="1" x14ac:dyDescent="0.35">
      <c r="L1561" s="185"/>
    </row>
    <row r="1562" spans="12:12" ht="20" customHeight="1" x14ac:dyDescent="0.35">
      <c r="L1562" s="185"/>
    </row>
    <row r="1563" spans="12:12" ht="20" customHeight="1" x14ac:dyDescent="0.35">
      <c r="L1563" s="185"/>
    </row>
    <row r="1564" spans="12:12" ht="20" customHeight="1" x14ac:dyDescent="0.35">
      <c r="L1564" s="185"/>
    </row>
    <row r="1565" spans="12:12" ht="20" customHeight="1" x14ac:dyDescent="0.35">
      <c r="L1565" s="185"/>
    </row>
    <row r="1566" spans="12:12" ht="20" customHeight="1" x14ac:dyDescent="0.35">
      <c r="L1566" s="185"/>
    </row>
    <row r="1567" spans="12:12" ht="20" customHeight="1" x14ac:dyDescent="0.35">
      <c r="L1567" s="185"/>
    </row>
    <row r="1568" spans="12:12" ht="20" customHeight="1" x14ac:dyDescent="0.35">
      <c r="L1568" s="185"/>
    </row>
    <row r="1569" spans="12:12" ht="20" customHeight="1" x14ac:dyDescent="0.35">
      <c r="L1569" s="185"/>
    </row>
    <row r="1570" spans="12:12" ht="20" customHeight="1" x14ac:dyDescent="0.35">
      <c r="L1570" s="185"/>
    </row>
    <row r="1571" spans="12:12" ht="20" customHeight="1" x14ac:dyDescent="0.35">
      <c r="L1571" s="185"/>
    </row>
    <row r="1572" spans="12:12" ht="20" customHeight="1" x14ac:dyDescent="0.35">
      <c r="L1572" s="185"/>
    </row>
    <row r="1573" spans="12:12" ht="20" customHeight="1" x14ac:dyDescent="0.35">
      <c r="L1573" s="185"/>
    </row>
    <row r="1574" spans="12:12" ht="20" customHeight="1" x14ac:dyDescent="0.35">
      <c r="L1574" s="185"/>
    </row>
    <row r="1575" spans="12:12" ht="20" customHeight="1" x14ac:dyDescent="0.35">
      <c r="L1575" s="185"/>
    </row>
    <row r="1576" spans="12:12" ht="20" customHeight="1" x14ac:dyDescent="0.35">
      <c r="L1576" s="185"/>
    </row>
    <row r="1577" spans="12:12" ht="20" customHeight="1" x14ac:dyDescent="0.35">
      <c r="L1577" s="185"/>
    </row>
    <row r="1578" spans="12:12" ht="20" customHeight="1" x14ac:dyDescent="0.35">
      <c r="L1578" s="185"/>
    </row>
    <row r="1579" spans="12:12" ht="20" customHeight="1" x14ac:dyDescent="0.35">
      <c r="L1579" s="185"/>
    </row>
    <row r="1580" spans="12:12" ht="20" customHeight="1" x14ac:dyDescent="0.35">
      <c r="L1580" s="185"/>
    </row>
    <row r="1581" spans="12:12" ht="20" customHeight="1" x14ac:dyDescent="0.35">
      <c r="L1581" s="185"/>
    </row>
    <row r="1582" spans="12:12" ht="20" customHeight="1" x14ac:dyDescent="0.35">
      <c r="L1582" s="185"/>
    </row>
    <row r="1583" spans="12:12" ht="20" customHeight="1" x14ac:dyDescent="0.35">
      <c r="L1583" s="185"/>
    </row>
    <row r="1584" spans="12:12" ht="20" customHeight="1" x14ac:dyDescent="0.35">
      <c r="L1584" s="185"/>
    </row>
    <row r="1585" spans="12:12" ht="20" customHeight="1" x14ac:dyDescent="0.35">
      <c r="L1585" s="185"/>
    </row>
    <row r="1586" spans="12:12" ht="20" customHeight="1" x14ac:dyDescent="0.35">
      <c r="L1586" s="185"/>
    </row>
    <row r="1587" spans="12:12" ht="20" customHeight="1" x14ac:dyDescent="0.35">
      <c r="L1587" s="185"/>
    </row>
    <row r="1588" spans="12:12" ht="20" customHeight="1" x14ac:dyDescent="0.35">
      <c r="L1588" s="185"/>
    </row>
    <row r="1589" spans="12:12" ht="20" customHeight="1" x14ac:dyDescent="0.35">
      <c r="L1589" s="185"/>
    </row>
    <row r="1590" spans="12:12" ht="20" customHeight="1" x14ac:dyDescent="0.35">
      <c r="L1590" s="185"/>
    </row>
    <row r="1591" spans="12:12" ht="20" customHeight="1" x14ac:dyDescent="0.35">
      <c r="L1591" s="185"/>
    </row>
    <row r="1592" spans="12:12" ht="20" customHeight="1" x14ac:dyDescent="0.35">
      <c r="L1592" s="185"/>
    </row>
    <row r="1593" spans="12:12" ht="20" customHeight="1" x14ac:dyDescent="0.35">
      <c r="L1593" s="185"/>
    </row>
    <row r="1594" spans="12:12" ht="20" customHeight="1" x14ac:dyDescent="0.35">
      <c r="L1594" s="185"/>
    </row>
    <row r="1595" spans="12:12" ht="20" customHeight="1" x14ac:dyDescent="0.35">
      <c r="L1595" s="185"/>
    </row>
    <row r="1596" spans="12:12" ht="20" customHeight="1" x14ac:dyDescent="0.35">
      <c r="L1596" s="185"/>
    </row>
    <row r="1597" spans="12:12" ht="20" customHeight="1" x14ac:dyDescent="0.35">
      <c r="L1597" s="185"/>
    </row>
    <row r="1598" spans="12:12" ht="20" customHeight="1" x14ac:dyDescent="0.35">
      <c r="L1598" s="185"/>
    </row>
    <row r="1599" spans="12:12" ht="20" customHeight="1" x14ac:dyDescent="0.35">
      <c r="L1599" s="185"/>
    </row>
    <row r="1600" spans="12:12" ht="20" customHeight="1" x14ac:dyDescent="0.35">
      <c r="L1600" s="185"/>
    </row>
    <row r="1601" spans="12:12" ht="20" customHeight="1" x14ac:dyDescent="0.35">
      <c r="L1601" s="185"/>
    </row>
    <row r="1602" spans="12:12" ht="20" customHeight="1" x14ac:dyDescent="0.35">
      <c r="L1602" s="185"/>
    </row>
    <row r="1603" spans="12:12" ht="20" customHeight="1" x14ac:dyDescent="0.35">
      <c r="L1603" s="185"/>
    </row>
    <row r="1604" spans="12:12" ht="20" customHeight="1" x14ac:dyDescent="0.35">
      <c r="L1604" s="185"/>
    </row>
    <row r="1605" spans="12:12" ht="20" customHeight="1" x14ac:dyDescent="0.35">
      <c r="L1605" s="185"/>
    </row>
    <row r="1606" spans="12:12" ht="20" customHeight="1" x14ac:dyDescent="0.35">
      <c r="L1606" s="185"/>
    </row>
    <row r="1607" spans="12:12" ht="20" customHeight="1" x14ac:dyDescent="0.35">
      <c r="L1607" s="185"/>
    </row>
    <row r="1608" spans="12:12" ht="20" customHeight="1" x14ac:dyDescent="0.35">
      <c r="L1608" s="185"/>
    </row>
    <row r="1609" spans="12:12" ht="20" customHeight="1" x14ac:dyDescent="0.35">
      <c r="L1609" s="185"/>
    </row>
    <row r="1610" spans="12:12" ht="20" customHeight="1" x14ac:dyDescent="0.35">
      <c r="L1610" s="185"/>
    </row>
    <row r="1611" spans="12:12" ht="20" customHeight="1" x14ac:dyDescent="0.35">
      <c r="L1611" s="185"/>
    </row>
    <row r="1612" spans="12:12" ht="20" customHeight="1" x14ac:dyDescent="0.35">
      <c r="L1612" s="185"/>
    </row>
    <row r="1613" spans="12:12" ht="20" customHeight="1" x14ac:dyDescent="0.35">
      <c r="L1613" s="185"/>
    </row>
    <row r="1614" spans="12:12" ht="20" customHeight="1" x14ac:dyDescent="0.35">
      <c r="L1614" s="185"/>
    </row>
    <row r="1615" spans="12:12" ht="20" customHeight="1" x14ac:dyDescent="0.35">
      <c r="L1615" s="185"/>
    </row>
    <row r="1616" spans="12:12" ht="20" customHeight="1" x14ac:dyDescent="0.35">
      <c r="L1616" s="185"/>
    </row>
    <row r="1617" spans="12:12" ht="20" customHeight="1" x14ac:dyDescent="0.35">
      <c r="L1617" s="185"/>
    </row>
    <row r="1618" spans="12:12" ht="20" customHeight="1" x14ac:dyDescent="0.35">
      <c r="L1618" s="185"/>
    </row>
    <row r="1619" spans="12:12" ht="20" customHeight="1" x14ac:dyDescent="0.35">
      <c r="L1619" s="185"/>
    </row>
    <row r="1620" spans="12:12" ht="20" customHeight="1" x14ac:dyDescent="0.35">
      <c r="L1620" s="185"/>
    </row>
    <row r="1621" spans="12:12" ht="20" customHeight="1" x14ac:dyDescent="0.35">
      <c r="L1621" s="185"/>
    </row>
    <row r="1622" spans="12:12" ht="20" customHeight="1" x14ac:dyDescent="0.35">
      <c r="L1622" s="185"/>
    </row>
    <row r="1623" spans="12:12" ht="20" customHeight="1" x14ac:dyDescent="0.35">
      <c r="L1623" s="185"/>
    </row>
    <row r="1624" spans="12:12" ht="20" customHeight="1" x14ac:dyDescent="0.35">
      <c r="L1624" s="185"/>
    </row>
    <row r="1625" spans="12:12" ht="20" customHeight="1" x14ac:dyDescent="0.35">
      <c r="L1625" s="185"/>
    </row>
    <row r="1626" spans="12:12" ht="20" customHeight="1" x14ac:dyDescent="0.35">
      <c r="L1626" s="185"/>
    </row>
    <row r="1627" spans="12:12" ht="20" customHeight="1" x14ac:dyDescent="0.35">
      <c r="L1627" s="185"/>
    </row>
    <row r="1628" spans="12:12" ht="20" customHeight="1" x14ac:dyDescent="0.35">
      <c r="L1628" s="185"/>
    </row>
    <row r="1629" spans="12:12" ht="20" customHeight="1" x14ac:dyDescent="0.35">
      <c r="L1629" s="185"/>
    </row>
    <row r="1630" spans="12:12" ht="20" customHeight="1" x14ac:dyDescent="0.35">
      <c r="L1630" s="185"/>
    </row>
    <row r="1631" spans="12:12" ht="20" customHeight="1" x14ac:dyDescent="0.35">
      <c r="L1631" s="185"/>
    </row>
    <row r="1632" spans="12:12" ht="20" customHeight="1" x14ac:dyDescent="0.35">
      <c r="L1632" s="185"/>
    </row>
    <row r="1633" spans="12:12" ht="20" customHeight="1" x14ac:dyDescent="0.35">
      <c r="L1633" s="185"/>
    </row>
    <row r="1634" spans="12:12" ht="20" customHeight="1" x14ac:dyDescent="0.35">
      <c r="L1634" s="185"/>
    </row>
    <row r="1635" spans="12:12" ht="20" customHeight="1" x14ac:dyDescent="0.35">
      <c r="L1635" s="185"/>
    </row>
    <row r="1636" spans="12:12" ht="20" customHeight="1" x14ac:dyDescent="0.35">
      <c r="L1636" s="185"/>
    </row>
    <row r="1637" spans="12:12" ht="20" customHeight="1" x14ac:dyDescent="0.35">
      <c r="L1637" s="185"/>
    </row>
    <row r="1638" spans="12:12" ht="20" customHeight="1" x14ac:dyDescent="0.35">
      <c r="L1638" s="185"/>
    </row>
    <row r="1639" spans="12:12" ht="20" customHeight="1" x14ac:dyDescent="0.35">
      <c r="L1639" s="185"/>
    </row>
    <row r="1640" spans="12:12" ht="20" customHeight="1" x14ac:dyDescent="0.35">
      <c r="L1640" s="185"/>
    </row>
    <row r="1641" spans="12:12" ht="20" customHeight="1" x14ac:dyDescent="0.35">
      <c r="L1641" s="185"/>
    </row>
    <row r="1642" spans="12:12" ht="20" customHeight="1" x14ac:dyDescent="0.35">
      <c r="L1642" s="185"/>
    </row>
    <row r="1643" spans="12:12" ht="20" customHeight="1" x14ac:dyDescent="0.35">
      <c r="L1643" s="185"/>
    </row>
    <row r="1644" spans="12:12" ht="20" customHeight="1" x14ac:dyDescent="0.35">
      <c r="L1644" s="185"/>
    </row>
    <row r="1645" spans="12:12" ht="20" customHeight="1" x14ac:dyDescent="0.35">
      <c r="L1645" s="185"/>
    </row>
    <row r="1646" spans="12:12" ht="20" customHeight="1" x14ac:dyDescent="0.35">
      <c r="L1646" s="185"/>
    </row>
    <row r="1647" spans="12:12" ht="20" customHeight="1" x14ac:dyDescent="0.35">
      <c r="L1647" s="185"/>
    </row>
    <row r="1648" spans="12:12" ht="20" customHeight="1" x14ac:dyDescent="0.35">
      <c r="L1648" s="185"/>
    </row>
    <row r="1649" spans="12:12" ht="20" customHeight="1" x14ac:dyDescent="0.35">
      <c r="L1649" s="185"/>
    </row>
    <row r="1650" spans="12:12" ht="20" customHeight="1" x14ac:dyDescent="0.35">
      <c r="L1650" s="185"/>
    </row>
    <row r="1651" spans="12:12" ht="20" customHeight="1" x14ac:dyDescent="0.35">
      <c r="L1651" s="185"/>
    </row>
    <row r="1652" spans="12:12" ht="20" customHeight="1" x14ac:dyDescent="0.35">
      <c r="L1652" s="185"/>
    </row>
    <row r="1653" spans="12:12" ht="20" customHeight="1" x14ac:dyDescent="0.35">
      <c r="L1653" s="185"/>
    </row>
    <row r="1654" spans="12:12" ht="20" customHeight="1" x14ac:dyDescent="0.35">
      <c r="L1654" s="185"/>
    </row>
    <row r="1655" spans="12:12" ht="20" customHeight="1" x14ac:dyDescent="0.35">
      <c r="L1655" s="185"/>
    </row>
    <row r="1656" spans="12:12" ht="20" customHeight="1" x14ac:dyDescent="0.35">
      <c r="L1656" s="185"/>
    </row>
    <row r="1657" spans="12:12" ht="20" customHeight="1" x14ac:dyDescent="0.35">
      <c r="L1657" s="185"/>
    </row>
    <row r="1658" spans="12:12" ht="20" customHeight="1" x14ac:dyDescent="0.35">
      <c r="L1658" s="185"/>
    </row>
    <row r="1659" spans="12:12" ht="20" customHeight="1" x14ac:dyDescent="0.35">
      <c r="L1659" s="185"/>
    </row>
    <row r="1660" spans="12:12" ht="20" customHeight="1" x14ac:dyDescent="0.35">
      <c r="L1660" s="185"/>
    </row>
    <row r="1661" spans="12:12" ht="20" customHeight="1" x14ac:dyDescent="0.35">
      <c r="L1661" s="185"/>
    </row>
    <row r="1662" spans="12:12" ht="20" customHeight="1" x14ac:dyDescent="0.35">
      <c r="L1662" s="185"/>
    </row>
    <row r="1663" spans="12:12" ht="20" customHeight="1" x14ac:dyDescent="0.35">
      <c r="L1663" s="185"/>
    </row>
    <row r="1664" spans="12:12" ht="20" customHeight="1" x14ac:dyDescent="0.35">
      <c r="L1664" s="185"/>
    </row>
    <row r="1665" spans="12:12" ht="20" customHeight="1" x14ac:dyDescent="0.35">
      <c r="L1665" s="185"/>
    </row>
    <row r="1666" spans="12:12" ht="20" customHeight="1" x14ac:dyDescent="0.35">
      <c r="L1666" s="185"/>
    </row>
    <row r="1667" spans="12:12" ht="20" customHeight="1" x14ac:dyDescent="0.35">
      <c r="L1667" s="185"/>
    </row>
    <row r="1668" spans="12:12" ht="20" customHeight="1" x14ac:dyDescent="0.35">
      <c r="L1668" s="185"/>
    </row>
    <row r="1669" spans="12:12" ht="20" customHeight="1" x14ac:dyDescent="0.35">
      <c r="L1669" s="185"/>
    </row>
    <row r="1670" spans="12:12" ht="20" customHeight="1" x14ac:dyDescent="0.35">
      <c r="L1670" s="185"/>
    </row>
    <row r="1671" spans="12:12" ht="20" customHeight="1" x14ac:dyDescent="0.35">
      <c r="L1671" s="185"/>
    </row>
    <row r="1672" spans="12:12" ht="20" customHeight="1" x14ac:dyDescent="0.35">
      <c r="L1672" s="185"/>
    </row>
    <row r="1673" spans="12:12" ht="20" customHeight="1" x14ac:dyDescent="0.35">
      <c r="L1673" s="185"/>
    </row>
    <row r="1674" spans="12:12" ht="20" customHeight="1" x14ac:dyDescent="0.35">
      <c r="L1674" s="185"/>
    </row>
    <row r="1675" spans="12:12" ht="20" customHeight="1" x14ac:dyDescent="0.35">
      <c r="L1675" s="185"/>
    </row>
    <row r="1676" spans="12:12" ht="20" customHeight="1" x14ac:dyDescent="0.35">
      <c r="L1676" s="185"/>
    </row>
    <row r="1677" spans="12:12" ht="20" customHeight="1" x14ac:dyDescent="0.35">
      <c r="L1677" s="185"/>
    </row>
    <row r="1678" spans="12:12" ht="20" customHeight="1" x14ac:dyDescent="0.35">
      <c r="L1678" s="185"/>
    </row>
    <row r="1679" spans="12:12" ht="20" customHeight="1" x14ac:dyDescent="0.35">
      <c r="L1679" s="185"/>
    </row>
    <row r="1680" spans="12:12" ht="20" customHeight="1" x14ac:dyDescent="0.35">
      <c r="L1680" s="185"/>
    </row>
    <row r="1681" spans="12:12" ht="20" customHeight="1" x14ac:dyDescent="0.35">
      <c r="L1681" s="185"/>
    </row>
    <row r="1682" spans="12:12" ht="20" customHeight="1" x14ac:dyDescent="0.35">
      <c r="L1682" s="185"/>
    </row>
    <row r="1683" spans="12:12" ht="20" customHeight="1" x14ac:dyDescent="0.35">
      <c r="L1683" s="185"/>
    </row>
    <row r="1684" spans="12:12" ht="20" customHeight="1" x14ac:dyDescent="0.35">
      <c r="L1684" s="185"/>
    </row>
    <row r="1685" spans="12:12" ht="20" customHeight="1" x14ac:dyDescent="0.35">
      <c r="L1685" s="185"/>
    </row>
    <row r="1686" spans="12:12" ht="20" customHeight="1" x14ac:dyDescent="0.35">
      <c r="L1686" s="185"/>
    </row>
    <row r="1687" spans="12:12" ht="20" customHeight="1" x14ac:dyDescent="0.35">
      <c r="L1687" s="185"/>
    </row>
    <row r="1688" spans="12:12" ht="20" customHeight="1" x14ac:dyDescent="0.35">
      <c r="L1688" s="185"/>
    </row>
    <row r="1689" spans="12:12" ht="20" customHeight="1" x14ac:dyDescent="0.35">
      <c r="L1689" s="185"/>
    </row>
    <row r="1690" spans="12:12" ht="20" customHeight="1" x14ac:dyDescent="0.35">
      <c r="L1690" s="185"/>
    </row>
    <row r="1691" spans="12:12" ht="20" customHeight="1" x14ac:dyDescent="0.35">
      <c r="L1691" s="185"/>
    </row>
    <row r="1692" spans="12:12" ht="20" customHeight="1" x14ac:dyDescent="0.35">
      <c r="L1692" s="185"/>
    </row>
    <row r="1693" spans="12:12" ht="20" customHeight="1" x14ac:dyDescent="0.35">
      <c r="L1693" s="185"/>
    </row>
    <row r="1694" spans="12:12" ht="20" customHeight="1" x14ac:dyDescent="0.35">
      <c r="L1694" s="185"/>
    </row>
    <row r="1695" spans="12:12" ht="20" customHeight="1" x14ac:dyDescent="0.35">
      <c r="L1695" s="185"/>
    </row>
    <row r="1696" spans="12:12" ht="20" customHeight="1" x14ac:dyDescent="0.35">
      <c r="L1696" s="185"/>
    </row>
    <row r="1697" spans="12:12" ht="20" customHeight="1" x14ac:dyDescent="0.35">
      <c r="L1697" s="185"/>
    </row>
    <row r="1698" spans="12:12" ht="20" customHeight="1" x14ac:dyDescent="0.35">
      <c r="L1698" s="185"/>
    </row>
    <row r="1699" spans="12:12" ht="20" customHeight="1" x14ac:dyDescent="0.35">
      <c r="L1699" s="185"/>
    </row>
    <row r="1700" spans="12:12" ht="20" customHeight="1" x14ac:dyDescent="0.35">
      <c r="L1700" s="185"/>
    </row>
    <row r="1701" spans="12:12" ht="20" customHeight="1" x14ac:dyDescent="0.35">
      <c r="L1701" s="185"/>
    </row>
    <row r="1702" spans="12:12" ht="20" customHeight="1" x14ac:dyDescent="0.35">
      <c r="L1702" s="185"/>
    </row>
    <row r="1703" spans="12:12" ht="20" customHeight="1" x14ac:dyDescent="0.35">
      <c r="L1703" s="185"/>
    </row>
    <row r="1704" spans="12:12" ht="20" customHeight="1" x14ac:dyDescent="0.35">
      <c r="L1704" s="185"/>
    </row>
    <row r="1705" spans="12:12" ht="20" customHeight="1" x14ac:dyDescent="0.35">
      <c r="L1705" s="185"/>
    </row>
    <row r="1706" spans="12:12" ht="20" customHeight="1" x14ac:dyDescent="0.35">
      <c r="L1706" s="185"/>
    </row>
    <row r="1707" spans="12:12" ht="20" customHeight="1" x14ac:dyDescent="0.35">
      <c r="L1707" s="185"/>
    </row>
    <row r="1708" spans="12:12" ht="20" customHeight="1" x14ac:dyDescent="0.35">
      <c r="L1708" s="185"/>
    </row>
    <row r="1709" spans="12:12" ht="20" customHeight="1" x14ac:dyDescent="0.35">
      <c r="L1709" s="185"/>
    </row>
    <row r="1710" spans="12:12" ht="20" customHeight="1" x14ac:dyDescent="0.35">
      <c r="L1710" s="185"/>
    </row>
    <row r="1711" spans="12:12" ht="20" customHeight="1" x14ac:dyDescent="0.35">
      <c r="L1711" s="185"/>
    </row>
    <row r="1712" spans="12:12" ht="20" customHeight="1" x14ac:dyDescent="0.35">
      <c r="L1712" s="185"/>
    </row>
    <row r="1713" spans="12:12" ht="20" customHeight="1" x14ac:dyDescent="0.35">
      <c r="L1713" s="185"/>
    </row>
    <row r="1714" spans="12:12" ht="20" customHeight="1" x14ac:dyDescent="0.35">
      <c r="L1714" s="185"/>
    </row>
    <row r="1715" spans="12:12" ht="20" customHeight="1" x14ac:dyDescent="0.35">
      <c r="L1715" s="185"/>
    </row>
    <row r="1716" spans="12:12" ht="20" customHeight="1" x14ac:dyDescent="0.35">
      <c r="L1716" s="185"/>
    </row>
    <row r="1717" spans="12:12" ht="20" customHeight="1" x14ac:dyDescent="0.35">
      <c r="L1717" s="185"/>
    </row>
    <row r="1718" spans="12:12" ht="20" customHeight="1" x14ac:dyDescent="0.35">
      <c r="L1718" s="185"/>
    </row>
    <row r="1719" spans="12:12" ht="20" customHeight="1" x14ac:dyDescent="0.35">
      <c r="L1719" s="185"/>
    </row>
    <row r="1720" spans="12:12" ht="20" customHeight="1" x14ac:dyDescent="0.35">
      <c r="L1720" s="185"/>
    </row>
    <row r="1721" spans="12:12" ht="20" customHeight="1" x14ac:dyDescent="0.35">
      <c r="L1721" s="185"/>
    </row>
    <row r="1722" spans="12:12" ht="20" customHeight="1" x14ac:dyDescent="0.35">
      <c r="L1722" s="185"/>
    </row>
    <row r="1723" spans="12:12" ht="20" customHeight="1" x14ac:dyDescent="0.35">
      <c r="L1723" s="185"/>
    </row>
    <row r="1724" spans="12:12" ht="20" customHeight="1" x14ac:dyDescent="0.35">
      <c r="L1724" s="185"/>
    </row>
    <row r="1725" spans="12:12" ht="20" customHeight="1" x14ac:dyDescent="0.35">
      <c r="L1725" s="185"/>
    </row>
    <row r="1726" spans="12:12" ht="20" customHeight="1" x14ac:dyDescent="0.35">
      <c r="L1726" s="185"/>
    </row>
    <row r="1727" spans="12:12" ht="20" customHeight="1" x14ac:dyDescent="0.35">
      <c r="L1727" s="185"/>
    </row>
    <row r="1728" spans="12:12" ht="20" customHeight="1" x14ac:dyDescent="0.35">
      <c r="L1728" s="185"/>
    </row>
    <row r="1729" spans="12:12" ht="20" customHeight="1" x14ac:dyDescent="0.35">
      <c r="L1729" s="185"/>
    </row>
    <row r="1730" spans="12:12" ht="20" customHeight="1" x14ac:dyDescent="0.35">
      <c r="L1730" s="185"/>
    </row>
    <row r="1731" spans="12:12" ht="20" customHeight="1" x14ac:dyDescent="0.35">
      <c r="L1731" s="185"/>
    </row>
    <row r="1732" spans="12:12" ht="20" customHeight="1" x14ac:dyDescent="0.35">
      <c r="L1732" s="185"/>
    </row>
    <row r="1733" spans="12:12" ht="20" customHeight="1" x14ac:dyDescent="0.35">
      <c r="L1733" s="185"/>
    </row>
    <row r="1734" spans="12:12" ht="20" customHeight="1" x14ac:dyDescent="0.35">
      <c r="L1734" s="185"/>
    </row>
    <row r="1735" spans="12:12" ht="20" customHeight="1" x14ac:dyDescent="0.35">
      <c r="L1735" s="185"/>
    </row>
    <row r="1736" spans="12:12" ht="20" customHeight="1" x14ac:dyDescent="0.35">
      <c r="L1736" s="185"/>
    </row>
    <row r="1737" spans="12:12" ht="20" customHeight="1" x14ac:dyDescent="0.35">
      <c r="L1737" s="185"/>
    </row>
    <row r="1738" spans="12:12" ht="20" customHeight="1" x14ac:dyDescent="0.35">
      <c r="L1738" s="185"/>
    </row>
    <row r="1739" spans="12:12" ht="20" customHeight="1" x14ac:dyDescent="0.35">
      <c r="L1739" s="185"/>
    </row>
    <row r="1740" spans="12:12" ht="20" customHeight="1" x14ac:dyDescent="0.35">
      <c r="L1740" s="185"/>
    </row>
    <row r="1741" spans="12:12" ht="20" customHeight="1" x14ac:dyDescent="0.35">
      <c r="L1741" s="185"/>
    </row>
    <row r="1742" spans="12:12" ht="20" customHeight="1" x14ac:dyDescent="0.35">
      <c r="L1742" s="185"/>
    </row>
    <row r="1743" spans="12:12" ht="20" customHeight="1" x14ac:dyDescent="0.35">
      <c r="L1743" s="185"/>
    </row>
    <row r="1744" spans="12:12" ht="20" customHeight="1" x14ac:dyDescent="0.35">
      <c r="L1744" s="185"/>
    </row>
    <row r="1745" spans="12:12" ht="20" customHeight="1" x14ac:dyDescent="0.35">
      <c r="L1745" s="185"/>
    </row>
    <row r="1746" spans="12:12" ht="20" customHeight="1" x14ac:dyDescent="0.35">
      <c r="L1746" s="185"/>
    </row>
    <row r="1747" spans="12:12" ht="20" customHeight="1" x14ac:dyDescent="0.35">
      <c r="L1747" s="185"/>
    </row>
    <row r="1748" spans="12:12" ht="20" customHeight="1" x14ac:dyDescent="0.35">
      <c r="L1748" s="185"/>
    </row>
    <row r="1749" spans="12:12" ht="20" customHeight="1" x14ac:dyDescent="0.35">
      <c r="L1749" s="185"/>
    </row>
    <row r="1750" spans="12:12" ht="20" customHeight="1" x14ac:dyDescent="0.35">
      <c r="L1750" s="185"/>
    </row>
    <row r="1751" spans="12:12" ht="20" customHeight="1" x14ac:dyDescent="0.35">
      <c r="L1751" s="185"/>
    </row>
    <row r="1752" spans="12:12" ht="20" customHeight="1" x14ac:dyDescent="0.35">
      <c r="L1752" s="185"/>
    </row>
    <row r="1753" spans="12:12" ht="20" customHeight="1" x14ac:dyDescent="0.35">
      <c r="L1753" s="185"/>
    </row>
    <row r="1754" spans="12:12" ht="20" customHeight="1" x14ac:dyDescent="0.35">
      <c r="L1754" s="185"/>
    </row>
    <row r="1755" spans="12:12" ht="20" customHeight="1" x14ac:dyDescent="0.35">
      <c r="L1755" s="185"/>
    </row>
    <row r="1756" spans="12:12" ht="20" customHeight="1" x14ac:dyDescent="0.35">
      <c r="L1756" s="185"/>
    </row>
    <row r="1757" spans="12:12" ht="20" customHeight="1" x14ac:dyDescent="0.35">
      <c r="L1757" s="185"/>
    </row>
    <row r="1758" spans="12:12" ht="20" customHeight="1" x14ac:dyDescent="0.35">
      <c r="L1758" s="185"/>
    </row>
    <row r="1759" spans="12:12" ht="20" customHeight="1" x14ac:dyDescent="0.35">
      <c r="L1759" s="185"/>
    </row>
    <row r="1760" spans="12:12" ht="20" customHeight="1" x14ac:dyDescent="0.35">
      <c r="L1760" s="185"/>
    </row>
    <row r="1761" spans="12:12" ht="20" customHeight="1" x14ac:dyDescent="0.35">
      <c r="L1761" s="185"/>
    </row>
    <row r="1762" spans="12:12" ht="20" customHeight="1" x14ac:dyDescent="0.35">
      <c r="L1762" s="185"/>
    </row>
    <row r="1763" spans="12:12" ht="20" customHeight="1" x14ac:dyDescent="0.35">
      <c r="L1763" s="185"/>
    </row>
    <row r="1764" spans="12:12" ht="20" customHeight="1" x14ac:dyDescent="0.35">
      <c r="L1764" s="185"/>
    </row>
    <row r="1765" spans="12:12" ht="20" customHeight="1" x14ac:dyDescent="0.35">
      <c r="L1765" s="185"/>
    </row>
    <row r="1766" spans="12:12" ht="20" customHeight="1" x14ac:dyDescent="0.35">
      <c r="L1766" s="185"/>
    </row>
    <row r="1767" spans="12:12" ht="20" customHeight="1" x14ac:dyDescent="0.35">
      <c r="L1767" s="185"/>
    </row>
    <row r="1768" spans="12:12" ht="20" customHeight="1" x14ac:dyDescent="0.35">
      <c r="L1768" s="185"/>
    </row>
    <row r="1769" spans="12:12" ht="20" customHeight="1" x14ac:dyDescent="0.35">
      <c r="L1769" s="185"/>
    </row>
    <row r="1770" spans="12:12" ht="20" customHeight="1" x14ac:dyDescent="0.35">
      <c r="L1770" s="185"/>
    </row>
    <row r="1771" spans="12:12" ht="20" customHeight="1" x14ac:dyDescent="0.35">
      <c r="L1771" s="185"/>
    </row>
    <row r="1772" spans="12:12" ht="20" customHeight="1" x14ac:dyDescent="0.35">
      <c r="L1772" s="185"/>
    </row>
    <row r="1773" spans="12:12" ht="20" customHeight="1" x14ac:dyDescent="0.35">
      <c r="L1773" s="185"/>
    </row>
    <row r="1774" spans="12:12" ht="20" customHeight="1" x14ac:dyDescent="0.35">
      <c r="L1774" s="185"/>
    </row>
    <row r="1775" spans="12:12" ht="20" customHeight="1" x14ac:dyDescent="0.35">
      <c r="L1775" s="185"/>
    </row>
    <row r="1776" spans="12:12" ht="20" customHeight="1" x14ac:dyDescent="0.35">
      <c r="L1776" s="185"/>
    </row>
    <row r="1777" spans="12:12" ht="20" customHeight="1" x14ac:dyDescent="0.35">
      <c r="L1777" s="185"/>
    </row>
    <row r="1778" spans="12:12" ht="20" customHeight="1" x14ac:dyDescent="0.35">
      <c r="L1778" s="185"/>
    </row>
    <row r="1779" spans="12:12" ht="20" customHeight="1" x14ac:dyDescent="0.35">
      <c r="L1779" s="185"/>
    </row>
    <row r="1780" spans="12:12" ht="20" customHeight="1" x14ac:dyDescent="0.35">
      <c r="L1780" s="185"/>
    </row>
    <row r="1781" spans="12:12" ht="20" customHeight="1" x14ac:dyDescent="0.35">
      <c r="L1781" s="185"/>
    </row>
    <row r="1782" spans="12:12" ht="20" customHeight="1" x14ac:dyDescent="0.35">
      <c r="L1782" s="185"/>
    </row>
    <row r="1783" spans="12:12" ht="20" customHeight="1" x14ac:dyDescent="0.35">
      <c r="L1783" s="185"/>
    </row>
    <row r="1784" spans="12:12" ht="20" customHeight="1" x14ac:dyDescent="0.35">
      <c r="L1784" s="185"/>
    </row>
    <row r="1785" spans="12:12" ht="20" customHeight="1" x14ac:dyDescent="0.35">
      <c r="L1785" s="185"/>
    </row>
    <row r="1786" spans="12:12" ht="20" customHeight="1" x14ac:dyDescent="0.35">
      <c r="L1786" s="185"/>
    </row>
    <row r="1787" spans="12:12" ht="20" customHeight="1" x14ac:dyDescent="0.35">
      <c r="L1787" s="185"/>
    </row>
    <row r="1788" spans="12:12" ht="20" customHeight="1" x14ac:dyDescent="0.35">
      <c r="L1788" s="185"/>
    </row>
    <row r="1789" spans="12:12" ht="20" customHeight="1" x14ac:dyDescent="0.35">
      <c r="L1789" s="185"/>
    </row>
    <row r="1790" spans="12:12" ht="20" customHeight="1" x14ac:dyDescent="0.35">
      <c r="L1790" s="185"/>
    </row>
    <row r="1791" spans="12:12" ht="20" customHeight="1" x14ac:dyDescent="0.35">
      <c r="L1791" s="185"/>
    </row>
    <row r="1792" spans="12:12" ht="20" customHeight="1" x14ac:dyDescent="0.35">
      <c r="L1792" s="185"/>
    </row>
    <row r="1793" spans="12:12" ht="20" customHeight="1" x14ac:dyDescent="0.35">
      <c r="L1793" s="185"/>
    </row>
    <row r="1794" spans="12:12" ht="20" customHeight="1" x14ac:dyDescent="0.35">
      <c r="L1794" s="185"/>
    </row>
    <row r="1795" spans="12:12" ht="20" customHeight="1" x14ac:dyDescent="0.35">
      <c r="L1795" s="185"/>
    </row>
    <row r="1796" spans="12:12" ht="20" customHeight="1" x14ac:dyDescent="0.35">
      <c r="L1796" s="185"/>
    </row>
    <row r="1797" spans="12:12" ht="20" customHeight="1" x14ac:dyDescent="0.35">
      <c r="L1797" s="185"/>
    </row>
    <row r="1798" spans="12:12" ht="20" customHeight="1" x14ac:dyDescent="0.35">
      <c r="L1798" s="185"/>
    </row>
    <row r="1799" spans="12:12" ht="20" customHeight="1" x14ac:dyDescent="0.35">
      <c r="L1799" s="185"/>
    </row>
    <row r="1800" spans="12:12" ht="20" customHeight="1" x14ac:dyDescent="0.35">
      <c r="L1800" s="185"/>
    </row>
    <row r="1801" spans="12:12" ht="20" customHeight="1" x14ac:dyDescent="0.35">
      <c r="L1801" s="185"/>
    </row>
    <row r="1802" spans="12:12" ht="20" customHeight="1" x14ac:dyDescent="0.35">
      <c r="L1802" s="185"/>
    </row>
    <row r="1803" spans="12:12" ht="20" customHeight="1" x14ac:dyDescent="0.35">
      <c r="L1803" s="185"/>
    </row>
    <row r="1804" spans="12:12" ht="20" customHeight="1" x14ac:dyDescent="0.35">
      <c r="L1804" s="185"/>
    </row>
    <row r="1805" spans="12:12" ht="20" customHeight="1" x14ac:dyDescent="0.35">
      <c r="L1805" s="185"/>
    </row>
    <row r="1806" spans="12:12" ht="20" customHeight="1" x14ac:dyDescent="0.35">
      <c r="L1806" s="185"/>
    </row>
    <row r="1807" spans="12:12" ht="20" customHeight="1" x14ac:dyDescent="0.35">
      <c r="L1807" s="185"/>
    </row>
    <row r="1808" spans="12:12" ht="20" customHeight="1" x14ac:dyDescent="0.35">
      <c r="L1808" s="185"/>
    </row>
    <row r="1809" spans="12:12" ht="20" customHeight="1" x14ac:dyDescent="0.35">
      <c r="L1809" s="185"/>
    </row>
    <row r="1810" spans="12:12" ht="20" customHeight="1" x14ac:dyDescent="0.35">
      <c r="L1810" s="185"/>
    </row>
    <row r="1811" spans="12:12" ht="20" customHeight="1" x14ac:dyDescent="0.35">
      <c r="L1811" s="185"/>
    </row>
    <row r="1812" spans="12:12" ht="20" customHeight="1" x14ac:dyDescent="0.35">
      <c r="L1812" s="185"/>
    </row>
    <row r="1813" spans="12:12" ht="20" customHeight="1" x14ac:dyDescent="0.35">
      <c r="L1813" s="185"/>
    </row>
    <row r="1814" spans="12:12" ht="20" customHeight="1" x14ac:dyDescent="0.35">
      <c r="L1814" s="185"/>
    </row>
    <row r="1815" spans="12:12" ht="20" customHeight="1" x14ac:dyDescent="0.35">
      <c r="L1815" s="185"/>
    </row>
    <row r="1816" spans="12:12" ht="20" customHeight="1" x14ac:dyDescent="0.35">
      <c r="L1816" s="185"/>
    </row>
    <row r="1817" spans="12:12" ht="20" customHeight="1" x14ac:dyDescent="0.35">
      <c r="L1817" s="185"/>
    </row>
    <row r="1818" spans="12:12" ht="20" customHeight="1" x14ac:dyDescent="0.35">
      <c r="L1818" s="185"/>
    </row>
    <row r="1819" spans="12:12" ht="20" customHeight="1" x14ac:dyDescent="0.35">
      <c r="L1819" s="185"/>
    </row>
    <row r="1820" spans="12:12" ht="20" customHeight="1" x14ac:dyDescent="0.35">
      <c r="L1820" s="185"/>
    </row>
    <row r="1821" spans="12:12" ht="20" customHeight="1" x14ac:dyDescent="0.35">
      <c r="L1821" s="185"/>
    </row>
    <row r="1822" spans="12:12" ht="20" customHeight="1" x14ac:dyDescent="0.35">
      <c r="L1822" s="185"/>
    </row>
    <row r="1823" spans="12:12" ht="20" customHeight="1" x14ac:dyDescent="0.35">
      <c r="L1823" s="185"/>
    </row>
    <row r="1824" spans="12:12" ht="20" customHeight="1" x14ac:dyDescent="0.35">
      <c r="L1824" s="185"/>
    </row>
    <row r="1825" spans="12:12" ht="20" customHeight="1" x14ac:dyDescent="0.35">
      <c r="L1825" s="185"/>
    </row>
    <row r="1826" spans="12:12" ht="20" customHeight="1" x14ac:dyDescent="0.35">
      <c r="L1826" s="185"/>
    </row>
    <row r="1827" spans="12:12" ht="20" customHeight="1" x14ac:dyDescent="0.35">
      <c r="L1827" s="185"/>
    </row>
    <row r="1828" spans="12:12" ht="20" customHeight="1" x14ac:dyDescent="0.35">
      <c r="L1828" s="185"/>
    </row>
    <row r="1829" spans="12:12" ht="20" customHeight="1" x14ac:dyDescent="0.35">
      <c r="L1829" s="185"/>
    </row>
    <row r="1830" spans="12:12" ht="20" customHeight="1" x14ac:dyDescent="0.35">
      <c r="L1830" s="185"/>
    </row>
    <row r="1831" spans="12:12" ht="20" customHeight="1" x14ac:dyDescent="0.35">
      <c r="L1831" s="185"/>
    </row>
    <row r="1832" spans="12:12" ht="20" customHeight="1" x14ac:dyDescent="0.35">
      <c r="L1832" s="185"/>
    </row>
    <row r="1833" spans="12:12" ht="20" customHeight="1" x14ac:dyDescent="0.35">
      <c r="L1833" s="185"/>
    </row>
    <row r="1834" spans="12:12" ht="20" customHeight="1" x14ac:dyDescent="0.35">
      <c r="L1834" s="185"/>
    </row>
    <row r="1835" spans="12:12" ht="20" customHeight="1" x14ac:dyDescent="0.35">
      <c r="L1835" s="185"/>
    </row>
    <row r="1836" spans="12:12" ht="20" customHeight="1" x14ac:dyDescent="0.35">
      <c r="L1836" s="185"/>
    </row>
    <row r="1837" spans="12:12" ht="20" customHeight="1" x14ac:dyDescent="0.35">
      <c r="L1837" s="185"/>
    </row>
    <row r="1838" spans="12:12" ht="20" customHeight="1" x14ac:dyDescent="0.35">
      <c r="L1838" s="185"/>
    </row>
    <row r="1839" spans="12:12" ht="20" customHeight="1" x14ac:dyDescent="0.35">
      <c r="L1839" s="185"/>
    </row>
    <row r="1840" spans="12:12" ht="20" customHeight="1" x14ac:dyDescent="0.35">
      <c r="L1840" s="185"/>
    </row>
    <row r="1841" spans="12:12" ht="20" customHeight="1" x14ac:dyDescent="0.35">
      <c r="L1841" s="185"/>
    </row>
    <row r="1842" spans="12:12" ht="20" customHeight="1" x14ac:dyDescent="0.35">
      <c r="L1842" s="185"/>
    </row>
    <row r="1843" spans="12:12" ht="20" customHeight="1" x14ac:dyDescent="0.35">
      <c r="L1843" s="185"/>
    </row>
    <row r="1844" spans="12:12" ht="20" customHeight="1" x14ac:dyDescent="0.35">
      <c r="L1844" s="185"/>
    </row>
    <row r="1845" spans="12:12" ht="20" customHeight="1" x14ac:dyDescent="0.35">
      <c r="L1845" s="185"/>
    </row>
    <row r="1846" spans="12:12" ht="20" customHeight="1" x14ac:dyDescent="0.35">
      <c r="L1846" s="185"/>
    </row>
    <row r="1847" spans="12:12" ht="20" customHeight="1" x14ac:dyDescent="0.35">
      <c r="L1847" s="185"/>
    </row>
    <row r="1848" spans="12:12" ht="20" customHeight="1" x14ac:dyDescent="0.35">
      <c r="L1848" s="185"/>
    </row>
    <row r="1849" spans="12:12" ht="20" customHeight="1" x14ac:dyDescent="0.35">
      <c r="L1849" s="185"/>
    </row>
    <row r="1850" spans="12:12" ht="20" customHeight="1" x14ac:dyDescent="0.35">
      <c r="L1850" s="185"/>
    </row>
    <row r="1851" spans="12:12" ht="20" customHeight="1" x14ac:dyDescent="0.35">
      <c r="L1851" s="185"/>
    </row>
    <row r="1852" spans="12:12" ht="20" customHeight="1" x14ac:dyDescent="0.35">
      <c r="L1852" s="185"/>
    </row>
    <row r="1853" spans="12:12" ht="20" customHeight="1" x14ac:dyDescent="0.35">
      <c r="L1853" s="185"/>
    </row>
    <row r="1854" spans="12:12" ht="20" customHeight="1" x14ac:dyDescent="0.35">
      <c r="L1854" s="185"/>
    </row>
    <row r="1855" spans="12:12" ht="20" customHeight="1" x14ac:dyDescent="0.35">
      <c r="L1855" s="185"/>
    </row>
    <row r="1856" spans="12:12" ht="20" customHeight="1" x14ac:dyDescent="0.35">
      <c r="L1856" s="185"/>
    </row>
    <row r="1857" spans="12:12" ht="20" customHeight="1" x14ac:dyDescent="0.35">
      <c r="L1857" s="185"/>
    </row>
    <row r="1858" spans="12:12" ht="20" customHeight="1" x14ac:dyDescent="0.35">
      <c r="L1858" s="185"/>
    </row>
    <row r="1859" spans="12:12" ht="20" customHeight="1" x14ac:dyDescent="0.35">
      <c r="L1859" s="185"/>
    </row>
    <row r="1860" spans="12:12" ht="20" customHeight="1" x14ac:dyDescent="0.35">
      <c r="L1860" s="185"/>
    </row>
    <row r="1861" spans="12:12" ht="20" customHeight="1" x14ac:dyDescent="0.35">
      <c r="L1861" s="185"/>
    </row>
    <row r="1862" spans="12:12" ht="20" customHeight="1" x14ac:dyDescent="0.35">
      <c r="L1862" s="185"/>
    </row>
    <row r="1863" spans="12:12" ht="20" customHeight="1" x14ac:dyDescent="0.35">
      <c r="L1863" s="185"/>
    </row>
    <row r="1864" spans="12:12" ht="20" customHeight="1" x14ac:dyDescent="0.35">
      <c r="L1864" s="185"/>
    </row>
    <row r="1865" spans="12:12" ht="20" customHeight="1" x14ac:dyDescent="0.35">
      <c r="L1865" s="185"/>
    </row>
    <row r="1866" spans="12:12" ht="20" customHeight="1" x14ac:dyDescent="0.35">
      <c r="L1866" s="185"/>
    </row>
    <row r="1867" spans="12:12" ht="20" customHeight="1" x14ac:dyDescent="0.35">
      <c r="L1867" s="185"/>
    </row>
    <row r="1868" spans="12:12" ht="20" customHeight="1" x14ac:dyDescent="0.35">
      <c r="L1868" s="185"/>
    </row>
    <row r="1869" spans="12:12" ht="20" customHeight="1" x14ac:dyDescent="0.35">
      <c r="L1869" s="185"/>
    </row>
    <row r="1870" spans="12:12" ht="20" customHeight="1" x14ac:dyDescent="0.35">
      <c r="L1870" s="185"/>
    </row>
    <row r="1871" spans="12:12" ht="20" customHeight="1" x14ac:dyDescent="0.35">
      <c r="L1871" s="185"/>
    </row>
    <row r="1872" spans="12:12" ht="20" customHeight="1" x14ac:dyDescent="0.35">
      <c r="L1872" s="185"/>
    </row>
    <row r="1873" spans="12:12" ht="20" customHeight="1" x14ac:dyDescent="0.35">
      <c r="L1873" s="185"/>
    </row>
    <row r="1874" spans="12:12" ht="20" customHeight="1" x14ac:dyDescent="0.35">
      <c r="L1874" s="185"/>
    </row>
    <row r="1875" spans="12:12" ht="20" customHeight="1" x14ac:dyDescent="0.35">
      <c r="L1875" s="185"/>
    </row>
    <row r="1876" spans="12:12" ht="20" customHeight="1" x14ac:dyDescent="0.35">
      <c r="L1876" s="185"/>
    </row>
    <row r="1877" spans="12:12" ht="20" customHeight="1" x14ac:dyDescent="0.35">
      <c r="L1877" s="185"/>
    </row>
    <row r="1878" spans="12:12" ht="20" customHeight="1" x14ac:dyDescent="0.35">
      <c r="L1878" s="185"/>
    </row>
    <row r="1879" spans="12:12" ht="20" customHeight="1" x14ac:dyDescent="0.35">
      <c r="L1879" s="185"/>
    </row>
    <row r="1880" spans="12:12" ht="20" customHeight="1" x14ac:dyDescent="0.35">
      <c r="L1880" s="185"/>
    </row>
    <row r="1881" spans="12:12" ht="20" customHeight="1" x14ac:dyDescent="0.35">
      <c r="L1881" s="185"/>
    </row>
    <row r="1882" spans="12:12" ht="20" customHeight="1" x14ac:dyDescent="0.35">
      <c r="L1882" s="185"/>
    </row>
    <row r="1883" spans="12:12" ht="20" customHeight="1" x14ac:dyDescent="0.35">
      <c r="L1883" s="185"/>
    </row>
    <row r="1884" spans="12:12" ht="20" customHeight="1" x14ac:dyDescent="0.35">
      <c r="L1884" s="185"/>
    </row>
    <row r="1885" spans="12:12" ht="20" customHeight="1" x14ac:dyDescent="0.35">
      <c r="L1885" s="185"/>
    </row>
    <row r="1886" spans="12:12" ht="20" customHeight="1" x14ac:dyDescent="0.35">
      <c r="L1886" s="185"/>
    </row>
    <row r="1887" spans="12:12" ht="20" customHeight="1" x14ac:dyDescent="0.35">
      <c r="L1887" s="185"/>
    </row>
    <row r="1888" spans="12:12" ht="20" customHeight="1" x14ac:dyDescent="0.35">
      <c r="L1888" s="185"/>
    </row>
    <row r="1889" spans="12:12" ht="20" customHeight="1" x14ac:dyDescent="0.35">
      <c r="L1889" s="185"/>
    </row>
    <row r="1890" spans="12:12" ht="20" customHeight="1" x14ac:dyDescent="0.35">
      <c r="L1890" s="185"/>
    </row>
    <row r="1891" spans="12:12" ht="20" customHeight="1" x14ac:dyDescent="0.35">
      <c r="L1891" s="185"/>
    </row>
    <row r="1892" spans="12:12" ht="20" customHeight="1" x14ac:dyDescent="0.35">
      <c r="L1892" s="185"/>
    </row>
    <row r="1893" spans="12:12" ht="20" customHeight="1" x14ac:dyDescent="0.35">
      <c r="L1893" s="185"/>
    </row>
    <row r="1894" spans="12:12" ht="20" customHeight="1" x14ac:dyDescent="0.35">
      <c r="L1894" s="185"/>
    </row>
    <row r="1895" spans="12:12" ht="20" customHeight="1" x14ac:dyDescent="0.35">
      <c r="L1895" s="185"/>
    </row>
    <row r="1896" spans="12:12" ht="20" customHeight="1" x14ac:dyDescent="0.35">
      <c r="L1896" s="185"/>
    </row>
    <row r="1897" spans="12:12" ht="20" customHeight="1" x14ac:dyDescent="0.35">
      <c r="L1897" s="185"/>
    </row>
    <row r="1898" spans="12:12" ht="20" customHeight="1" x14ac:dyDescent="0.35">
      <c r="L1898" s="185"/>
    </row>
    <row r="1899" spans="12:12" ht="20" customHeight="1" x14ac:dyDescent="0.35">
      <c r="L1899" s="185"/>
    </row>
    <row r="1900" spans="12:12" ht="20" customHeight="1" x14ac:dyDescent="0.35">
      <c r="L1900" s="185"/>
    </row>
    <row r="1901" spans="12:12" ht="20" customHeight="1" x14ac:dyDescent="0.35">
      <c r="L1901" s="185"/>
    </row>
    <row r="1902" spans="12:12" ht="20" customHeight="1" x14ac:dyDescent="0.35">
      <c r="L1902" s="185"/>
    </row>
    <row r="1903" spans="12:12" ht="20" customHeight="1" x14ac:dyDescent="0.35">
      <c r="L1903" s="185"/>
    </row>
    <row r="1904" spans="12:12" ht="20" customHeight="1" x14ac:dyDescent="0.35">
      <c r="L1904" s="185"/>
    </row>
    <row r="1905" spans="12:12" ht="20" customHeight="1" x14ac:dyDescent="0.35">
      <c r="L1905" s="185"/>
    </row>
    <row r="1906" spans="12:12" ht="20" customHeight="1" x14ac:dyDescent="0.35">
      <c r="L1906" s="185"/>
    </row>
    <row r="1907" spans="12:12" ht="20" customHeight="1" x14ac:dyDescent="0.35">
      <c r="L1907" s="185"/>
    </row>
    <row r="1908" spans="12:12" ht="20" customHeight="1" x14ac:dyDescent="0.35">
      <c r="L1908" s="185"/>
    </row>
    <row r="1909" spans="12:12" ht="20" customHeight="1" x14ac:dyDescent="0.35">
      <c r="L1909" s="185"/>
    </row>
    <row r="1910" spans="12:12" ht="20" customHeight="1" x14ac:dyDescent="0.35">
      <c r="L1910" s="185"/>
    </row>
    <row r="1911" spans="12:12" ht="20" customHeight="1" x14ac:dyDescent="0.35">
      <c r="L1911" s="185"/>
    </row>
    <row r="1912" spans="12:12" ht="20" customHeight="1" x14ac:dyDescent="0.35">
      <c r="L1912" s="185"/>
    </row>
    <row r="1913" spans="12:12" ht="20" customHeight="1" x14ac:dyDescent="0.35">
      <c r="L1913" s="185"/>
    </row>
    <row r="1914" spans="12:12" ht="20" customHeight="1" x14ac:dyDescent="0.35">
      <c r="L1914" s="185"/>
    </row>
    <row r="1915" spans="12:12" ht="20" customHeight="1" x14ac:dyDescent="0.35">
      <c r="L1915" s="185"/>
    </row>
    <row r="1916" spans="12:12" ht="20" customHeight="1" x14ac:dyDescent="0.35">
      <c r="L1916" s="185"/>
    </row>
    <row r="1917" spans="12:12" ht="20" customHeight="1" x14ac:dyDescent="0.35">
      <c r="L1917" s="185"/>
    </row>
    <row r="1918" spans="12:12" ht="20" customHeight="1" x14ac:dyDescent="0.35">
      <c r="L1918" s="185"/>
    </row>
    <row r="1919" spans="12:12" ht="20" customHeight="1" x14ac:dyDescent="0.35">
      <c r="L1919" s="185"/>
    </row>
    <row r="1920" spans="12:12" ht="20" customHeight="1" x14ac:dyDescent="0.35">
      <c r="L1920" s="185"/>
    </row>
    <row r="1921" spans="12:12" ht="20" customHeight="1" x14ac:dyDescent="0.35">
      <c r="L1921" s="185"/>
    </row>
    <row r="1922" spans="12:12" ht="20" customHeight="1" x14ac:dyDescent="0.35">
      <c r="L1922" s="185"/>
    </row>
    <row r="1923" spans="12:12" ht="20" customHeight="1" x14ac:dyDescent="0.35">
      <c r="L1923" s="185"/>
    </row>
    <row r="1924" spans="12:12" ht="20" customHeight="1" x14ac:dyDescent="0.35">
      <c r="L1924" s="185"/>
    </row>
    <row r="1925" spans="12:12" ht="20" customHeight="1" x14ac:dyDescent="0.35">
      <c r="L1925" s="185"/>
    </row>
    <row r="1926" spans="12:12" ht="20" customHeight="1" x14ac:dyDescent="0.35">
      <c r="L1926" s="185"/>
    </row>
    <row r="1927" spans="12:12" ht="20" customHeight="1" x14ac:dyDescent="0.35">
      <c r="L1927" s="185"/>
    </row>
    <row r="1928" spans="12:12" ht="20" customHeight="1" x14ac:dyDescent="0.35">
      <c r="L1928" s="185"/>
    </row>
    <row r="1929" spans="12:12" ht="20" customHeight="1" x14ac:dyDescent="0.35">
      <c r="L1929" s="185"/>
    </row>
    <row r="1930" spans="12:12" ht="20" customHeight="1" x14ac:dyDescent="0.35">
      <c r="L1930" s="185"/>
    </row>
    <row r="1931" spans="12:12" ht="20" customHeight="1" x14ac:dyDescent="0.35">
      <c r="L1931" s="185"/>
    </row>
    <row r="1932" spans="12:12" ht="20" customHeight="1" x14ac:dyDescent="0.35">
      <c r="L1932" s="185"/>
    </row>
    <row r="1933" spans="12:12" ht="20" customHeight="1" x14ac:dyDescent="0.35">
      <c r="L1933" s="185"/>
    </row>
    <row r="1934" spans="12:12" ht="20" customHeight="1" x14ac:dyDescent="0.35">
      <c r="L1934" s="185"/>
    </row>
    <row r="1935" spans="12:12" ht="20" customHeight="1" x14ac:dyDescent="0.35">
      <c r="L1935" s="185"/>
    </row>
    <row r="1936" spans="12:12" ht="20" customHeight="1" x14ac:dyDescent="0.35">
      <c r="L1936" s="185"/>
    </row>
    <row r="1937" spans="12:12" ht="20" customHeight="1" x14ac:dyDescent="0.35">
      <c r="L1937" s="185"/>
    </row>
    <row r="1938" spans="12:12" ht="20" customHeight="1" x14ac:dyDescent="0.35">
      <c r="L1938" s="185"/>
    </row>
    <row r="1939" spans="12:12" ht="20" customHeight="1" x14ac:dyDescent="0.35">
      <c r="L1939" s="185"/>
    </row>
    <row r="1940" spans="12:12" ht="20" customHeight="1" x14ac:dyDescent="0.35">
      <c r="L1940" s="185"/>
    </row>
    <row r="1941" spans="12:12" ht="20" customHeight="1" x14ac:dyDescent="0.35">
      <c r="L1941" s="185"/>
    </row>
    <row r="1942" spans="12:12" ht="20" customHeight="1" x14ac:dyDescent="0.35">
      <c r="L1942" s="185"/>
    </row>
    <row r="1943" spans="12:12" ht="20" customHeight="1" x14ac:dyDescent="0.35">
      <c r="L1943" s="185"/>
    </row>
    <row r="1944" spans="12:12" ht="20" customHeight="1" x14ac:dyDescent="0.35">
      <c r="L1944" s="185"/>
    </row>
    <row r="1945" spans="12:12" ht="20" customHeight="1" x14ac:dyDescent="0.35">
      <c r="L1945" s="185"/>
    </row>
    <row r="1946" spans="12:12" ht="20" customHeight="1" x14ac:dyDescent="0.35">
      <c r="L1946" s="185"/>
    </row>
    <row r="1947" spans="12:12" ht="20" customHeight="1" x14ac:dyDescent="0.35">
      <c r="L1947" s="185"/>
    </row>
    <row r="1948" spans="12:12" ht="20" customHeight="1" x14ac:dyDescent="0.35">
      <c r="L1948" s="185"/>
    </row>
    <row r="1949" spans="12:12" ht="20" customHeight="1" x14ac:dyDescent="0.35">
      <c r="L1949" s="185"/>
    </row>
    <row r="1950" spans="12:12" ht="20" customHeight="1" x14ac:dyDescent="0.35">
      <c r="L1950" s="185"/>
    </row>
    <row r="1951" spans="12:12" ht="20" customHeight="1" x14ac:dyDescent="0.35">
      <c r="L1951" s="185"/>
    </row>
    <row r="1952" spans="12:12" ht="20" customHeight="1" x14ac:dyDescent="0.35">
      <c r="L1952" s="185"/>
    </row>
    <row r="1953" spans="12:12" ht="20" customHeight="1" x14ac:dyDescent="0.35">
      <c r="L1953" s="185"/>
    </row>
    <row r="1954" spans="12:12" ht="20" customHeight="1" x14ac:dyDescent="0.35">
      <c r="L1954" s="185"/>
    </row>
    <row r="1955" spans="12:12" ht="20" customHeight="1" x14ac:dyDescent="0.35">
      <c r="L1955" s="185"/>
    </row>
    <row r="1956" spans="12:12" ht="20" customHeight="1" x14ac:dyDescent="0.35">
      <c r="L1956" s="185"/>
    </row>
    <row r="1957" spans="12:12" ht="20" customHeight="1" x14ac:dyDescent="0.35">
      <c r="L1957" s="185"/>
    </row>
    <row r="1958" spans="12:12" ht="20" customHeight="1" x14ac:dyDescent="0.35">
      <c r="L1958" s="185"/>
    </row>
    <row r="1959" spans="12:12" ht="20" customHeight="1" x14ac:dyDescent="0.35">
      <c r="L1959" s="185"/>
    </row>
    <row r="1960" spans="12:12" ht="20" customHeight="1" x14ac:dyDescent="0.35">
      <c r="L1960" s="185"/>
    </row>
    <row r="1961" spans="12:12" ht="20" customHeight="1" x14ac:dyDescent="0.35">
      <c r="L1961" s="185"/>
    </row>
    <row r="1962" spans="12:12" ht="20" customHeight="1" x14ac:dyDescent="0.35">
      <c r="L1962" s="185"/>
    </row>
    <row r="1963" spans="12:12" ht="20" customHeight="1" x14ac:dyDescent="0.35">
      <c r="L1963" s="185"/>
    </row>
    <row r="1964" spans="12:12" ht="20" customHeight="1" x14ac:dyDescent="0.35">
      <c r="L1964" s="185"/>
    </row>
    <row r="1965" spans="12:12" ht="20" customHeight="1" x14ac:dyDescent="0.35">
      <c r="L1965" s="185"/>
    </row>
    <row r="1966" spans="12:12" ht="20" customHeight="1" x14ac:dyDescent="0.35">
      <c r="L1966" s="185"/>
    </row>
    <row r="1967" spans="12:12" ht="20" customHeight="1" x14ac:dyDescent="0.35">
      <c r="L1967" s="185"/>
    </row>
    <row r="1968" spans="12:12" ht="20" customHeight="1" x14ac:dyDescent="0.35">
      <c r="L1968" s="185"/>
    </row>
    <row r="1969" spans="12:12" ht="20" customHeight="1" x14ac:dyDescent="0.35">
      <c r="L1969" s="185"/>
    </row>
    <row r="1970" spans="12:12" ht="20" customHeight="1" x14ac:dyDescent="0.35">
      <c r="L1970" s="185"/>
    </row>
    <row r="1971" spans="12:12" ht="20" customHeight="1" x14ac:dyDescent="0.35">
      <c r="L1971" s="185"/>
    </row>
    <row r="1972" spans="12:12" ht="20" customHeight="1" x14ac:dyDescent="0.35">
      <c r="L1972" s="185"/>
    </row>
    <row r="1973" spans="12:12" ht="20" customHeight="1" x14ac:dyDescent="0.35">
      <c r="L1973" s="185"/>
    </row>
    <row r="1974" spans="12:12" ht="20" customHeight="1" x14ac:dyDescent="0.35">
      <c r="L1974" s="185"/>
    </row>
    <row r="1975" spans="12:12" ht="20" customHeight="1" x14ac:dyDescent="0.35">
      <c r="L1975" s="185"/>
    </row>
    <row r="1976" spans="12:12" ht="20" customHeight="1" x14ac:dyDescent="0.35">
      <c r="L1976" s="185"/>
    </row>
    <row r="1977" spans="12:12" ht="20" customHeight="1" x14ac:dyDescent="0.35">
      <c r="L1977" s="185"/>
    </row>
    <row r="1978" spans="12:12" ht="20" customHeight="1" x14ac:dyDescent="0.35">
      <c r="L1978" s="185"/>
    </row>
    <row r="1979" spans="12:12" ht="20" customHeight="1" x14ac:dyDescent="0.35">
      <c r="L1979" s="185"/>
    </row>
    <row r="1980" spans="12:12" ht="20" customHeight="1" x14ac:dyDescent="0.35">
      <c r="L1980" s="185"/>
    </row>
    <row r="1981" spans="12:12" ht="20" customHeight="1" x14ac:dyDescent="0.35">
      <c r="L1981" s="185"/>
    </row>
    <row r="1982" spans="12:12" ht="20" customHeight="1" x14ac:dyDescent="0.35">
      <c r="L1982" s="185"/>
    </row>
    <row r="1983" spans="12:12" ht="20" customHeight="1" x14ac:dyDescent="0.35">
      <c r="L1983" s="185"/>
    </row>
    <row r="1984" spans="12:12" ht="20" customHeight="1" x14ac:dyDescent="0.35">
      <c r="L1984" s="185"/>
    </row>
    <row r="1985" spans="12:12" ht="20" customHeight="1" x14ac:dyDescent="0.35">
      <c r="L1985" s="185"/>
    </row>
    <row r="1986" spans="12:12" ht="20" customHeight="1" x14ac:dyDescent="0.35">
      <c r="L1986" s="185"/>
    </row>
    <row r="1987" spans="12:12" ht="20" customHeight="1" x14ac:dyDescent="0.35">
      <c r="L1987" s="185"/>
    </row>
    <row r="1988" spans="12:12" ht="20" customHeight="1" x14ac:dyDescent="0.35">
      <c r="L1988" s="185"/>
    </row>
    <row r="1989" spans="12:12" ht="20" customHeight="1" x14ac:dyDescent="0.35">
      <c r="L1989" s="185"/>
    </row>
    <row r="1990" spans="12:12" ht="20" customHeight="1" x14ac:dyDescent="0.35">
      <c r="L1990" s="185"/>
    </row>
    <row r="1991" spans="12:12" ht="20" customHeight="1" x14ac:dyDescent="0.35">
      <c r="L1991" s="185"/>
    </row>
    <row r="1992" spans="12:12" ht="20" customHeight="1" x14ac:dyDescent="0.35">
      <c r="L1992" s="185"/>
    </row>
    <row r="1993" spans="12:12" ht="20" customHeight="1" x14ac:dyDescent="0.35">
      <c r="L1993" s="185"/>
    </row>
    <row r="1994" spans="12:12" ht="20" customHeight="1" x14ac:dyDescent="0.35">
      <c r="L1994" s="185"/>
    </row>
    <row r="1995" spans="12:12" ht="20" customHeight="1" x14ac:dyDescent="0.35">
      <c r="L1995" s="185"/>
    </row>
    <row r="1996" spans="12:12" ht="20" customHeight="1" x14ac:dyDescent="0.35">
      <c r="L1996" s="185"/>
    </row>
    <row r="1997" spans="12:12" ht="20" customHeight="1" x14ac:dyDescent="0.35">
      <c r="L1997" s="185"/>
    </row>
    <row r="1998" spans="12:12" ht="20" customHeight="1" x14ac:dyDescent="0.35">
      <c r="L1998" s="185"/>
    </row>
    <row r="1999" spans="12:12" ht="20" customHeight="1" x14ac:dyDescent="0.35">
      <c r="L1999" s="185"/>
    </row>
    <row r="2000" spans="12:12" ht="20" customHeight="1" x14ac:dyDescent="0.35">
      <c r="L2000" s="185"/>
    </row>
  </sheetData>
  <mergeCells count="3">
    <mergeCell ref="A1:P2"/>
    <mergeCell ref="A3:P4"/>
    <mergeCell ref="A9:L9"/>
  </mergeCells>
  <dataValidations count="2">
    <dataValidation type="list" showInputMessage="1" showErrorMessage="1" sqref="B5" xr:uid="{527DBA24-933C-4471-ADC5-4D0FCC18715A}">
      <formula1>AP_IndividualList</formula1>
    </dataValidation>
    <dataValidation type="list" showInputMessage="1" showErrorMessage="1" sqref="E5" xr:uid="{D2E39CD5-BD15-4D50-9D5F-07EC32CF63AC}">
      <formula1>AP_DateList</formula1>
    </dataValidation>
  </dataValidations>
  <pageMargins left="0.7" right="0.7" top="0.75" bottom="0.75" header="0.3" footer="0.3"/>
  <pageSetup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23C90-D8B1-47B0-AAC0-AF3062651D25}">
  <sheetPr>
    <pageSetUpPr fitToPage="1"/>
  </sheetPr>
  <dimension ref="A1:P2000"/>
  <sheetViews>
    <sheetView showGridLines="0" workbookViewId="0">
      <pane ySplit="9" topLeftCell="A10" activePane="bottomLeft" state="frozenSplit"/>
      <selection pane="bottomLeft" sqref="A1:P2"/>
    </sheetView>
  </sheetViews>
  <sheetFormatPr defaultColWidth="14.6328125" defaultRowHeight="20" customHeight="1" x14ac:dyDescent="0.35"/>
  <cols>
    <col min="1" max="1" width="42.6328125" style="184" customWidth="1"/>
    <col min="2" max="6" width="14.6328125" style="184"/>
    <col min="7" max="7" width="55.6328125" style="184" customWidth="1"/>
    <col min="8" max="8" width="34.6328125" style="184" customWidth="1"/>
    <col min="9" max="16384" width="14.6328125" style="184"/>
  </cols>
  <sheetData>
    <row r="1" spans="1:16" ht="20" customHeight="1" x14ac:dyDescent="0.35">
      <c r="A1" s="224" t="s">
        <v>549</v>
      </c>
      <c r="B1" s="224"/>
      <c r="C1" s="224"/>
      <c r="D1" s="224"/>
      <c r="E1" s="224"/>
      <c r="F1" s="224"/>
      <c r="G1" s="224"/>
      <c r="H1" s="224"/>
      <c r="I1" s="224"/>
      <c r="J1" s="224"/>
      <c r="K1" s="224"/>
      <c r="L1" s="224"/>
      <c r="M1" s="224"/>
      <c r="N1" s="224"/>
      <c r="O1" s="224"/>
      <c r="P1" s="224"/>
    </row>
    <row r="2" spans="1:16" ht="20" customHeight="1" x14ac:dyDescent="0.35">
      <c r="A2" s="224"/>
      <c r="B2" s="224"/>
      <c r="C2" s="224"/>
      <c r="D2" s="224"/>
      <c r="E2" s="224"/>
      <c r="F2" s="224"/>
      <c r="G2" s="224"/>
      <c r="H2" s="224"/>
      <c r="I2" s="224"/>
      <c r="J2" s="224"/>
      <c r="K2" s="224"/>
      <c r="L2" s="224"/>
      <c r="M2" s="224"/>
      <c r="N2" s="224"/>
      <c r="O2" s="224"/>
      <c r="P2" s="224"/>
    </row>
    <row r="3" spans="1:16" ht="20" customHeight="1" x14ac:dyDescent="0.35">
      <c r="A3" s="225" t="s">
        <v>550</v>
      </c>
      <c r="B3" s="225"/>
      <c r="C3" s="225"/>
      <c r="D3" s="225"/>
      <c r="E3" s="225"/>
      <c r="F3" s="225"/>
      <c r="G3" s="225"/>
      <c r="H3" s="225"/>
      <c r="I3" s="225"/>
      <c r="J3" s="225"/>
      <c r="K3" s="225"/>
      <c r="L3" s="225"/>
      <c r="M3" s="225"/>
      <c r="N3" s="225"/>
      <c r="O3" s="225"/>
      <c r="P3" s="225"/>
    </row>
    <row r="4" spans="1:16" ht="20" customHeight="1" x14ac:dyDescent="0.35">
      <c r="A4" s="225"/>
      <c r="B4" s="225"/>
      <c r="C4" s="225"/>
      <c r="D4" s="225"/>
      <c r="E4" s="225"/>
      <c r="F4" s="225"/>
      <c r="G4" s="225"/>
      <c r="H4" s="225"/>
      <c r="I4" s="225"/>
      <c r="J4" s="225"/>
      <c r="K4" s="225"/>
      <c r="L4" s="225"/>
      <c r="M4" s="225"/>
      <c r="N4" s="225"/>
      <c r="O4" s="225"/>
      <c r="P4" s="225"/>
    </row>
    <row r="6" spans="1:16" ht="20" customHeight="1" x14ac:dyDescent="0.35">
      <c r="A6" s="184" t="s">
        <v>686</v>
      </c>
    </row>
    <row r="7" spans="1:16" ht="20" customHeight="1" x14ac:dyDescent="0.35">
      <c r="A7" s="184" t="str" cm="1">
        <f t="array" ref="A7">IF(AP_InputsCurrent,"Inputs current","Inputs edited; exceptions below are last loaded state. Refresh All.")</f>
        <v>Inputs current</v>
      </c>
    </row>
    <row r="9" spans="1:16" ht="32" customHeight="1" x14ac:dyDescent="0.35">
      <c r="A9" s="211" t="s">
        <v>651</v>
      </c>
      <c r="B9" s="211" t="s">
        <v>652</v>
      </c>
      <c r="C9" s="211" t="s">
        <v>557</v>
      </c>
      <c r="D9" s="211" t="s">
        <v>568</v>
      </c>
      <c r="E9" s="211" t="s">
        <v>72</v>
      </c>
      <c r="F9" s="211" t="s">
        <v>653</v>
      </c>
      <c r="G9" s="211" t="s">
        <v>624</v>
      </c>
      <c r="H9" s="211" t="s">
        <v>654</v>
      </c>
    </row>
    <row r="10" spans="1:16" ht="38" customHeight="1" x14ac:dyDescent="0.35">
      <c r="A10" s="185" t="str" cm="1">
        <f t="array" ref="A10">_xlfn._xlws.FILTER(Out_Exceptions[#Data],Out_Exceptions[Rule]&lt;&gt;"","No loaded exceptions")</f>
        <v>No loaded exceptions</v>
      </c>
      <c r="B10" s="185"/>
      <c r="C10" s="185"/>
      <c r="D10" s="185"/>
      <c r="E10" s="216"/>
      <c r="F10" s="185"/>
      <c r="G10" s="185"/>
      <c r="H10" s="185"/>
    </row>
    <row r="11" spans="1:16" ht="38" customHeight="1" x14ac:dyDescent="0.35">
      <c r="A11" s="185"/>
      <c r="B11" s="185"/>
      <c r="C11" s="185"/>
      <c r="D11" s="185"/>
      <c r="E11" s="216"/>
      <c r="F11" s="185"/>
      <c r="G11" s="185"/>
      <c r="H11" s="185"/>
    </row>
    <row r="12" spans="1:16" ht="38" customHeight="1" x14ac:dyDescent="0.35">
      <c r="A12" s="185"/>
      <c r="B12" s="185"/>
      <c r="C12" s="185"/>
      <c r="D12" s="185"/>
      <c r="E12" s="216"/>
      <c r="F12" s="185"/>
      <c r="G12" s="185"/>
      <c r="H12" s="185"/>
    </row>
    <row r="13" spans="1:16" ht="38" customHeight="1" x14ac:dyDescent="0.35">
      <c r="A13" s="185"/>
      <c r="B13" s="185"/>
      <c r="C13" s="185"/>
      <c r="D13" s="185"/>
      <c r="E13" s="216"/>
      <c r="F13" s="185"/>
      <c r="G13" s="185"/>
      <c r="H13" s="185"/>
    </row>
    <row r="14" spans="1:16" ht="38" customHeight="1" x14ac:dyDescent="0.35">
      <c r="A14" s="185"/>
      <c r="B14" s="185"/>
      <c r="C14" s="185"/>
      <c r="D14" s="185"/>
      <c r="E14" s="216"/>
      <c r="F14" s="185"/>
      <c r="G14" s="185"/>
      <c r="H14" s="185"/>
    </row>
    <row r="15" spans="1:16" ht="38" customHeight="1" x14ac:dyDescent="0.35">
      <c r="A15" s="185"/>
      <c r="B15" s="185"/>
      <c r="C15" s="185"/>
      <c r="D15" s="185"/>
      <c r="E15" s="216"/>
      <c r="F15" s="185"/>
      <c r="G15" s="185"/>
      <c r="H15" s="185"/>
    </row>
    <row r="16" spans="1:16" ht="38" customHeight="1" x14ac:dyDescent="0.35">
      <c r="A16" s="185"/>
      <c r="B16" s="185"/>
      <c r="C16" s="185"/>
      <c r="D16" s="185"/>
      <c r="E16" s="216"/>
      <c r="F16" s="185"/>
      <c r="G16" s="185"/>
      <c r="H16" s="185"/>
    </row>
    <row r="17" spans="1:8" ht="38" customHeight="1" x14ac:dyDescent="0.35">
      <c r="A17" s="185"/>
      <c r="B17" s="185"/>
      <c r="C17" s="185"/>
      <c r="D17" s="185"/>
      <c r="E17" s="216"/>
      <c r="F17" s="185"/>
      <c r="G17" s="185"/>
      <c r="H17" s="185"/>
    </row>
    <row r="18" spans="1:8" ht="38" customHeight="1" x14ac:dyDescent="0.35">
      <c r="A18" s="185"/>
      <c r="B18" s="185"/>
      <c r="C18" s="185"/>
      <c r="D18" s="185"/>
      <c r="E18" s="216"/>
      <c r="F18" s="185"/>
      <c r="G18" s="185"/>
      <c r="H18" s="185"/>
    </row>
    <row r="19" spans="1:8" ht="38" customHeight="1" x14ac:dyDescent="0.35">
      <c r="A19" s="185"/>
      <c r="B19" s="185"/>
      <c r="C19" s="185"/>
      <c r="D19" s="185"/>
      <c r="E19" s="216"/>
      <c r="F19" s="185"/>
      <c r="G19" s="185"/>
      <c r="H19" s="185"/>
    </row>
    <row r="20" spans="1:8" ht="38" customHeight="1" x14ac:dyDescent="0.35">
      <c r="A20" s="185"/>
      <c r="B20" s="185"/>
      <c r="C20" s="185"/>
      <c r="D20" s="185"/>
      <c r="E20" s="216"/>
      <c r="F20" s="185"/>
      <c r="G20" s="185"/>
      <c r="H20" s="185"/>
    </row>
    <row r="21" spans="1:8" ht="38" customHeight="1" x14ac:dyDescent="0.35">
      <c r="A21" s="185"/>
      <c r="B21" s="185"/>
      <c r="C21" s="185"/>
      <c r="D21" s="185"/>
      <c r="E21" s="216"/>
      <c r="F21" s="185"/>
      <c r="G21" s="185"/>
      <c r="H21" s="185"/>
    </row>
    <row r="22" spans="1:8" ht="38" customHeight="1" x14ac:dyDescent="0.35">
      <c r="A22" s="185"/>
      <c r="B22" s="185"/>
      <c r="C22" s="185"/>
      <c r="D22" s="185"/>
      <c r="E22" s="216"/>
      <c r="F22" s="185"/>
      <c r="G22" s="185"/>
      <c r="H22" s="185"/>
    </row>
    <row r="23" spans="1:8" ht="38" customHeight="1" x14ac:dyDescent="0.35">
      <c r="A23" s="185"/>
      <c r="B23" s="185"/>
      <c r="C23" s="185"/>
      <c r="D23" s="185"/>
      <c r="E23" s="216"/>
      <c r="F23" s="185"/>
      <c r="G23" s="185"/>
      <c r="H23" s="185"/>
    </row>
    <row r="24" spans="1:8" ht="38" customHeight="1" x14ac:dyDescent="0.35">
      <c r="A24" s="185"/>
      <c r="B24" s="185"/>
      <c r="C24" s="185"/>
      <c r="D24" s="185"/>
      <c r="E24" s="216"/>
      <c r="F24" s="185"/>
      <c r="G24" s="185"/>
      <c r="H24" s="185"/>
    </row>
    <row r="25" spans="1:8" ht="38" customHeight="1" x14ac:dyDescent="0.35">
      <c r="A25" s="185"/>
      <c r="B25" s="185"/>
      <c r="C25" s="185"/>
      <c r="D25" s="185"/>
      <c r="E25" s="216"/>
      <c r="F25" s="185"/>
      <c r="G25" s="185"/>
      <c r="H25" s="185"/>
    </row>
    <row r="26" spans="1:8" ht="38" customHeight="1" x14ac:dyDescent="0.35">
      <c r="A26" s="185"/>
      <c r="B26" s="185"/>
      <c r="C26" s="185"/>
      <c r="D26" s="185"/>
      <c r="E26" s="216"/>
      <c r="F26" s="185"/>
      <c r="G26" s="185"/>
      <c r="H26" s="185"/>
    </row>
    <row r="27" spans="1:8" ht="38" customHeight="1" x14ac:dyDescent="0.35">
      <c r="A27" s="185"/>
      <c r="B27" s="185"/>
      <c r="C27" s="185"/>
      <c r="D27" s="185"/>
      <c r="E27" s="216"/>
      <c r="F27" s="185"/>
      <c r="G27" s="185"/>
      <c r="H27" s="185"/>
    </row>
    <row r="28" spans="1:8" ht="38" customHeight="1" x14ac:dyDescent="0.35">
      <c r="A28" s="185"/>
      <c r="B28" s="185"/>
      <c r="C28" s="185"/>
      <c r="D28" s="185"/>
      <c r="E28" s="216"/>
      <c r="F28" s="185"/>
      <c r="G28" s="185"/>
      <c r="H28" s="185"/>
    </row>
    <row r="29" spans="1:8" ht="38" customHeight="1" x14ac:dyDescent="0.35">
      <c r="A29" s="185"/>
      <c r="B29" s="185"/>
      <c r="C29" s="185"/>
      <c r="D29" s="185"/>
      <c r="E29" s="216"/>
      <c r="F29" s="185"/>
      <c r="G29" s="185"/>
      <c r="H29" s="185"/>
    </row>
    <row r="30" spans="1:8" ht="38" customHeight="1" x14ac:dyDescent="0.35">
      <c r="A30" s="185"/>
      <c r="B30" s="185"/>
      <c r="C30" s="185"/>
      <c r="D30" s="185"/>
      <c r="E30" s="216"/>
      <c r="F30" s="185"/>
      <c r="G30" s="185"/>
      <c r="H30" s="185"/>
    </row>
    <row r="31" spans="1:8" ht="38" customHeight="1" x14ac:dyDescent="0.35">
      <c r="A31" s="185"/>
      <c r="B31" s="185"/>
      <c r="C31" s="185"/>
      <c r="D31" s="185"/>
      <c r="E31" s="216"/>
      <c r="F31" s="185"/>
      <c r="G31" s="185"/>
      <c r="H31" s="185"/>
    </row>
    <row r="32" spans="1:8" ht="38" customHeight="1" x14ac:dyDescent="0.35">
      <c r="A32" s="185"/>
      <c r="B32" s="185"/>
      <c r="C32" s="185"/>
      <c r="D32" s="185"/>
      <c r="E32" s="216"/>
      <c r="F32" s="185"/>
      <c r="G32" s="185"/>
      <c r="H32" s="185"/>
    </row>
    <row r="33" spans="1:8" ht="38" customHeight="1" x14ac:dyDescent="0.35">
      <c r="A33" s="185"/>
      <c r="B33" s="185"/>
      <c r="C33" s="185"/>
      <c r="D33" s="185"/>
      <c r="E33" s="216"/>
      <c r="F33" s="185"/>
      <c r="G33" s="185"/>
      <c r="H33" s="185"/>
    </row>
    <row r="34" spans="1:8" ht="38" customHeight="1" x14ac:dyDescent="0.35">
      <c r="A34" s="185"/>
      <c r="B34" s="185"/>
      <c r="C34" s="185"/>
      <c r="D34" s="185"/>
      <c r="E34" s="216"/>
      <c r="F34" s="185"/>
      <c r="G34" s="185"/>
      <c r="H34" s="185"/>
    </row>
    <row r="35" spans="1:8" ht="38" customHeight="1" x14ac:dyDescent="0.35">
      <c r="A35" s="185"/>
      <c r="B35" s="185"/>
      <c r="C35" s="185"/>
      <c r="D35" s="185"/>
      <c r="E35" s="216"/>
      <c r="F35" s="185"/>
      <c r="G35" s="185"/>
      <c r="H35" s="185"/>
    </row>
    <row r="36" spans="1:8" ht="38" customHeight="1" x14ac:dyDescent="0.35">
      <c r="A36" s="185"/>
      <c r="B36" s="185"/>
      <c r="C36" s="185"/>
      <c r="D36" s="185"/>
      <c r="E36" s="216"/>
      <c r="F36" s="185"/>
      <c r="G36" s="185"/>
      <c r="H36" s="185"/>
    </row>
    <row r="37" spans="1:8" ht="38" customHeight="1" x14ac:dyDescent="0.35">
      <c r="A37" s="185"/>
      <c r="B37" s="185"/>
      <c r="C37" s="185"/>
      <c r="D37" s="185"/>
      <c r="E37" s="216"/>
      <c r="F37" s="185"/>
      <c r="G37" s="185"/>
      <c r="H37" s="185"/>
    </row>
    <row r="38" spans="1:8" ht="38" customHeight="1" x14ac:dyDescent="0.35">
      <c r="A38" s="185"/>
      <c r="B38" s="185"/>
      <c r="C38" s="185"/>
      <c r="D38" s="185"/>
      <c r="E38" s="216"/>
      <c r="F38" s="185"/>
      <c r="G38" s="185"/>
      <c r="H38" s="185"/>
    </row>
    <row r="39" spans="1:8" ht="38" customHeight="1" x14ac:dyDescent="0.35">
      <c r="A39" s="185"/>
      <c r="B39" s="185"/>
      <c r="C39" s="185"/>
      <c r="D39" s="185"/>
      <c r="E39" s="216"/>
      <c r="F39" s="185"/>
      <c r="G39" s="185"/>
      <c r="H39" s="185"/>
    </row>
    <row r="40" spans="1:8" ht="38" customHeight="1" x14ac:dyDescent="0.35">
      <c r="A40" s="185"/>
      <c r="B40" s="185"/>
      <c r="C40" s="185"/>
      <c r="D40" s="185"/>
      <c r="E40" s="216"/>
      <c r="F40" s="185"/>
      <c r="G40" s="185"/>
      <c r="H40" s="185"/>
    </row>
    <row r="41" spans="1:8" ht="38" customHeight="1" x14ac:dyDescent="0.35">
      <c r="A41" s="185"/>
      <c r="B41" s="185"/>
      <c r="C41" s="185"/>
      <c r="D41" s="185"/>
      <c r="E41" s="216"/>
      <c r="F41" s="185"/>
      <c r="G41" s="185"/>
      <c r="H41" s="185"/>
    </row>
    <row r="42" spans="1:8" ht="38" customHeight="1" x14ac:dyDescent="0.35">
      <c r="A42" s="185"/>
      <c r="B42" s="185"/>
      <c r="C42" s="185"/>
      <c r="D42" s="185"/>
      <c r="E42" s="216"/>
      <c r="F42" s="185"/>
      <c r="G42" s="185"/>
      <c r="H42" s="185"/>
    </row>
    <row r="43" spans="1:8" ht="38" customHeight="1" x14ac:dyDescent="0.35">
      <c r="A43" s="185"/>
      <c r="B43" s="185"/>
      <c r="C43" s="185"/>
      <c r="D43" s="185"/>
      <c r="E43" s="216"/>
      <c r="F43" s="185"/>
      <c r="G43" s="185"/>
      <c r="H43" s="185"/>
    </row>
    <row r="44" spans="1:8" ht="38" customHeight="1" x14ac:dyDescent="0.35">
      <c r="A44" s="185"/>
      <c r="B44" s="185"/>
      <c r="C44" s="185"/>
      <c r="D44" s="185"/>
      <c r="E44" s="216"/>
      <c r="F44" s="185"/>
      <c r="G44" s="185"/>
      <c r="H44" s="185"/>
    </row>
    <row r="45" spans="1:8" ht="38" customHeight="1" x14ac:dyDescent="0.35">
      <c r="A45" s="185"/>
      <c r="B45" s="185"/>
      <c r="C45" s="185"/>
      <c r="D45" s="185"/>
      <c r="E45" s="216"/>
      <c r="F45" s="185"/>
      <c r="G45" s="185"/>
      <c r="H45" s="185"/>
    </row>
    <row r="46" spans="1:8" ht="38" customHeight="1" x14ac:dyDescent="0.35">
      <c r="A46" s="185"/>
      <c r="B46" s="185"/>
      <c r="C46" s="185"/>
      <c r="D46" s="185"/>
      <c r="E46" s="216"/>
      <c r="F46" s="185"/>
      <c r="G46" s="185"/>
      <c r="H46" s="185"/>
    </row>
    <row r="47" spans="1:8" ht="38" customHeight="1" x14ac:dyDescent="0.35">
      <c r="A47" s="185"/>
      <c r="B47" s="185"/>
      <c r="C47" s="185"/>
      <c r="D47" s="185"/>
      <c r="E47" s="216"/>
      <c r="F47" s="185"/>
      <c r="G47" s="185"/>
      <c r="H47" s="185"/>
    </row>
    <row r="48" spans="1:8" ht="38" customHeight="1" x14ac:dyDescent="0.35">
      <c r="A48" s="185"/>
      <c r="B48" s="185"/>
      <c r="C48" s="185"/>
      <c r="D48" s="185"/>
      <c r="E48" s="216"/>
      <c r="F48" s="185"/>
      <c r="G48" s="185"/>
      <c r="H48" s="185"/>
    </row>
    <row r="49" spans="1:8" ht="38" customHeight="1" x14ac:dyDescent="0.35">
      <c r="A49" s="185"/>
      <c r="B49" s="185"/>
      <c r="C49" s="185"/>
      <c r="D49" s="185"/>
      <c r="E49" s="216"/>
      <c r="F49" s="185"/>
      <c r="G49" s="185"/>
      <c r="H49" s="185"/>
    </row>
    <row r="50" spans="1:8" ht="38" customHeight="1" x14ac:dyDescent="0.35">
      <c r="A50" s="185"/>
      <c r="B50" s="185"/>
      <c r="C50" s="185"/>
      <c r="D50" s="185"/>
      <c r="E50" s="216"/>
      <c r="F50" s="185"/>
      <c r="G50" s="185"/>
      <c r="H50" s="185"/>
    </row>
    <row r="51" spans="1:8" ht="38" customHeight="1" x14ac:dyDescent="0.35">
      <c r="A51" s="185"/>
      <c r="B51" s="185"/>
      <c r="C51" s="185"/>
      <c r="D51" s="185"/>
      <c r="E51" s="216"/>
      <c r="F51" s="185"/>
      <c r="G51" s="185"/>
      <c r="H51" s="185"/>
    </row>
    <row r="52" spans="1:8" ht="38" customHeight="1" x14ac:dyDescent="0.35">
      <c r="A52" s="185"/>
      <c r="B52" s="185"/>
      <c r="C52" s="185"/>
      <c r="D52" s="185"/>
      <c r="E52" s="216"/>
      <c r="F52" s="185"/>
      <c r="G52" s="185"/>
      <c r="H52" s="185"/>
    </row>
    <row r="53" spans="1:8" ht="38" customHeight="1" x14ac:dyDescent="0.35">
      <c r="A53" s="185"/>
      <c r="B53" s="185"/>
      <c r="C53" s="185"/>
      <c r="D53" s="185"/>
      <c r="E53" s="216"/>
      <c r="F53" s="185"/>
      <c r="G53" s="185"/>
      <c r="H53" s="185"/>
    </row>
    <row r="54" spans="1:8" ht="38" customHeight="1" x14ac:dyDescent="0.35">
      <c r="A54" s="185"/>
      <c r="B54" s="185"/>
      <c r="C54" s="185"/>
      <c r="D54" s="185"/>
      <c r="E54" s="216"/>
      <c r="F54" s="185"/>
      <c r="G54" s="185"/>
      <c r="H54" s="185"/>
    </row>
    <row r="55" spans="1:8" ht="38" customHeight="1" x14ac:dyDescent="0.35">
      <c r="A55" s="185"/>
      <c r="B55" s="185"/>
      <c r="C55" s="185"/>
      <c r="D55" s="185"/>
      <c r="E55" s="216"/>
      <c r="F55" s="185"/>
      <c r="G55" s="185"/>
      <c r="H55" s="185"/>
    </row>
    <row r="56" spans="1:8" ht="38" customHeight="1" x14ac:dyDescent="0.35">
      <c r="A56" s="185"/>
      <c r="B56" s="185"/>
      <c r="C56" s="185"/>
      <c r="D56" s="185"/>
      <c r="E56" s="216"/>
      <c r="F56" s="185"/>
      <c r="G56" s="185"/>
      <c r="H56" s="185"/>
    </row>
    <row r="57" spans="1:8" ht="38" customHeight="1" x14ac:dyDescent="0.35">
      <c r="A57" s="185"/>
      <c r="B57" s="185"/>
      <c r="C57" s="185"/>
      <c r="D57" s="185"/>
      <c r="E57" s="216"/>
      <c r="F57" s="185"/>
      <c r="G57" s="185"/>
      <c r="H57" s="185"/>
    </row>
    <row r="58" spans="1:8" ht="38" customHeight="1" x14ac:dyDescent="0.35">
      <c r="A58" s="185"/>
      <c r="B58" s="185"/>
      <c r="C58" s="185"/>
      <c r="D58" s="185"/>
      <c r="E58" s="216"/>
      <c r="F58" s="185"/>
      <c r="G58" s="185"/>
      <c r="H58" s="185"/>
    </row>
    <row r="59" spans="1:8" ht="38" customHeight="1" x14ac:dyDescent="0.35">
      <c r="A59" s="185"/>
      <c r="B59" s="185"/>
      <c r="C59" s="185"/>
      <c r="D59" s="185"/>
      <c r="E59" s="216"/>
      <c r="F59" s="185"/>
      <c r="G59" s="185"/>
      <c r="H59" s="185"/>
    </row>
    <row r="60" spans="1:8" ht="38" customHeight="1" x14ac:dyDescent="0.35">
      <c r="A60" s="185"/>
      <c r="B60" s="185"/>
      <c r="C60" s="185"/>
      <c r="D60" s="185"/>
      <c r="E60" s="216"/>
      <c r="F60" s="185"/>
      <c r="G60" s="185"/>
      <c r="H60" s="185"/>
    </row>
    <row r="61" spans="1:8" ht="38" customHeight="1" x14ac:dyDescent="0.35">
      <c r="A61" s="185"/>
      <c r="B61" s="185"/>
      <c r="C61" s="185"/>
      <c r="D61" s="185"/>
      <c r="E61" s="216"/>
      <c r="F61" s="185"/>
      <c r="G61" s="185"/>
      <c r="H61" s="185"/>
    </row>
    <row r="62" spans="1:8" ht="38" customHeight="1" x14ac:dyDescent="0.35">
      <c r="A62" s="185"/>
      <c r="B62" s="185"/>
      <c r="C62" s="185"/>
      <c r="D62" s="185"/>
      <c r="E62" s="216"/>
      <c r="F62" s="185"/>
      <c r="G62" s="185"/>
      <c r="H62" s="185"/>
    </row>
    <row r="63" spans="1:8" ht="38" customHeight="1" x14ac:dyDescent="0.35">
      <c r="A63" s="185"/>
      <c r="B63" s="185"/>
      <c r="C63" s="185"/>
      <c r="D63" s="185"/>
      <c r="E63" s="216"/>
      <c r="F63" s="185"/>
      <c r="G63" s="185"/>
      <c r="H63" s="185"/>
    </row>
    <row r="64" spans="1:8" ht="38" customHeight="1" x14ac:dyDescent="0.35">
      <c r="A64" s="185"/>
      <c r="B64" s="185"/>
      <c r="C64" s="185"/>
      <c r="D64" s="185"/>
      <c r="E64" s="216"/>
      <c r="F64" s="185"/>
      <c r="G64" s="185"/>
      <c r="H64" s="185"/>
    </row>
    <row r="65" spans="1:8" ht="38" customHeight="1" x14ac:dyDescent="0.35">
      <c r="A65" s="185"/>
      <c r="B65" s="185"/>
      <c r="C65" s="185"/>
      <c r="D65" s="185"/>
      <c r="E65" s="216"/>
      <c r="F65" s="185"/>
      <c r="G65" s="185"/>
      <c r="H65" s="185"/>
    </row>
    <row r="66" spans="1:8" ht="38" customHeight="1" x14ac:dyDescent="0.35">
      <c r="A66" s="185"/>
      <c r="B66" s="185"/>
      <c r="C66" s="185"/>
      <c r="D66" s="185"/>
      <c r="E66" s="216"/>
      <c r="F66" s="185"/>
      <c r="G66" s="185"/>
      <c r="H66" s="185"/>
    </row>
    <row r="67" spans="1:8" ht="38" customHeight="1" x14ac:dyDescent="0.35">
      <c r="A67" s="185"/>
      <c r="B67" s="185"/>
      <c r="C67" s="185"/>
      <c r="D67" s="185"/>
      <c r="E67" s="216"/>
      <c r="F67" s="185"/>
      <c r="G67" s="185"/>
      <c r="H67" s="185"/>
    </row>
    <row r="68" spans="1:8" ht="38" customHeight="1" x14ac:dyDescent="0.35">
      <c r="A68" s="185"/>
      <c r="B68" s="185"/>
      <c r="C68" s="185"/>
      <c r="D68" s="185"/>
      <c r="E68" s="216"/>
      <c r="F68" s="185"/>
      <c r="G68" s="185"/>
      <c r="H68" s="185"/>
    </row>
    <row r="69" spans="1:8" ht="38" customHeight="1" x14ac:dyDescent="0.35">
      <c r="A69" s="185"/>
      <c r="B69" s="185"/>
      <c r="C69" s="185"/>
      <c r="D69" s="185"/>
      <c r="E69" s="216"/>
      <c r="F69" s="185"/>
      <c r="G69" s="185"/>
      <c r="H69" s="185"/>
    </row>
    <row r="70" spans="1:8" ht="38" customHeight="1" x14ac:dyDescent="0.35">
      <c r="A70" s="185"/>
      <c r="B70" s="185"/>
      <c r="C70" s="185"/>
      <c r="D70" s="185"/>
      <c r="E70" s="216"/>
      <c r="F70" s="185"/>
      <c r="G70" s="185"/>
      <c r="H70" s="185"/>
    </row>
    <row r="71" spans="1:8" ht="38" customHeight="1" x14ac:dyDescent="0.35">
      <c r="A71" s="185"/>
      <c r="B71" s="185"/>
      <c r="C71" s="185"/>
      <c r="D71" s="185"/>
      <c r="E71" s="216"/>
      <c r="F71" s="185"/>
      <c r="G71" s="185"/>
      <c r="H71" s="185"/>
    </row>
    <row r="72" spans="1:8" ht="38" customHeight="1" x14ac:dyDescent="0.35">
      <c r="A72" s="185"/>
      <c r="B72" s="185"/>
      <c r="C72" s="185"/>
      <c r="D72" s="185"/>
      <c r="E72" s="216"/>
      <c r="F72" s="185"/>
      <c r="G72" s="185"/>
      <c r="H72" s="185"/>
    </row>
    <row r="73" spans="1:8" ht="38" customHeight="1" x14ac:dyDescent="0.35">
      <c r="A73" s="185"/>
      <c r="B73" s="185"/>
      <c r="C73" s="185"/>
      <c r="D73" s="185"/>
      <c r="E73" s="216"/>
      <c r="F73" s="185"/>
      <c r="G73" s="185"/>
      <c r="H73" s="185"/>
    </row>
    <row r="74" spans="1:8" ht="38" customHeight="1" x14ac:dyDescent="0.35">
      <c r="A74" s="185"/>
      <c r="B74" s="185"/>
      <c r="C74" s="185"/>
      <c r="D74" s="185"/>
      <c r="E74" s="216"/>
      <c r="F74" s="185"/>
      <c r="G74" s="185"/>
      <c r="H74" s="185"/>
    </row>
    <row r="75" spans="1:8" ht="38" customHeight="1" x14ac:dyDescent="0.35">
      <c r="A75" s="185"/>
      <c r="B75" s="185"/>
      <c r="C75" s="185"/>
      <c r="D75" s="185"/>
      <c r="E75" s="216"/>
      <c r="F75" s="185"/>
      <c r="G75" s="185"/>
      <c r="H75" s="185"/>
    </row>
    <row r="76" spans="1:8" ht="38" customHeight="1" x14ac:dyDescent="0.35">
      <c r="A76" s="185"/>
      <c r="B76" s="185"/>
      <c r="C76" s="185"/>
      <c r="D76" s="185"/>
      <c r="E76" s="216"/>
      <c r="F76" s="185"/>
      <c r="G76" s="185"/>
      <c r="H76" s="185"/>
    </row>
    <row r="77" spans="1:8" ht="38" customHeight="1" x14ac:dyDescent="0.35">
      <c r="A77" s="185"/>
      <c r="B77" s="185"/>
      <c r="C77" s="185"/>
      <c r="D77" s="185"/>
      <c r="E77" s="216"/>
      <c r="F77" s="185"/>
      <c r="G77" s="185"/>
      <c r="H77" s="185"/>
    </row>
    <row r="78" spans="1:8" ht="38" customHeight="1" x14ac:dyDescent="0.35">
      <c r="A78" s="185"/>
      <c r="B78" s="185"/>
      <c r="C78" s="185"/>
      <c r="D78" s="185"/>
      <c r="E78" s="216"/>
      <c r="F78" s="185"/>
      <c r="G78" s="185"/>
      <c r="H78" s="185"/>
    </row>
    <row r="79" spans="1:8" ht="38" customHeight="1" x14ac:dyDescent="0.35">
      <c r="A79" s="185"/>
      <c r="B79" s="185"/>
      <c r="C79" s="185"/>
      <c r="D79" s="185"/>
      <c r="E79" s="216"/>
      <c r="F79" s="185"/>
      <c r="G79" s="185"/>
      <c r="H79" s="185"/>
    </row>
    <row r="80" spans="1:8" ht="38" customHeight="1" x14ac:dyDescent="0.35">
      <c r="A80" s="185"/>
      <c r="B80" s="185"/>
      <c r="C80" s="185"/>
      <c r="D80" s="185"/>
      <c r="E80" s="216"/>
      <c r="F80" s="185"/>
      <c r="G80" s="185"/>
      <c r="H80" s="185"/>
    </row>
    <row r="81" spans="1:8" ht="38" customHeight="1" x14ac:dyDescent="0.35">
      <c r="A81" s="185"/>
      <c r="B81" s="185"/>
      <c r="C81" s="185"/>
      <c r="D81" s="185"/>
      <c r="E81" s="216"/>
      <c r="F81" s="185"/>
      <c r="G81" s="185"/>
      <c r="H81" s="185"/>
    </row>
    <row r="82" spans="1:8" ht="38" customHeight="1" x14ac:dyDescent="0.35">
      <c r="A82" s="185"/>
      <c r="B82" s="185"/>
      <c r="C82" s="185"/>
      <c r="D82" s="185"/>
      <c r="E82" s="216"/>
      <c r="F82" s="185"/>
      <c r="G82" s="185"/>
      <c r="H82" s="185"/>
    </row>
    <row r="83" spans="1:8" ht="38" customHeight="1" x14ac:dyDescent="0.35">
      <c r="A83" s="185"/>
      <c r="B83" s="185"/>
      <c r="C83" s="185"/>
      <c r="D83" s="185"/>
      <c r="E83" s="216"/>
      <c r="F83" s="185"/>
      <c r="G83" s="185"/>
      <c r="H83" s="185"/>
    </row>
    <row r="84" spans="1:8" ht="38" customHeight="1" x14ac:dyDescent="0.35">
      <c r="A84" s="185"/>
      <c r="B84" s="185"/>
      <c r="C84" s="185"/>
      <c r="D84" s="185"/>
      <c r="E84" s="216"/>
      <c r="F84" s="185"/>
      <c r="G84" s="185"/>
      <c r="H84" s="185"/>
    </row>
    <row r="85" spans="1:8" ht="38" customHeight="1" x14ac:dyDescent="0.35">
      <c r="A85" s="185"/>
      <c r="B85" s="185"/>
      <c r="C85" s="185"/>
      <c r="D85" s="185"/>
      <c r="E85" s="216"/>
      <c r="F85" s="185"/>
      <c r="G85" s="185"/>
      <c r="H85" s="185"/>
    </row>
    <row r="86" spans="1:8" ht="38" customHeight="1" x14ac:dyDescent="0.35">
      <c r="A86" s="185"/>
      <c r="B86" s="185"/>
      <c r="C86" s="185"/>
      <c r="D86" s="185"/>
      <c r="E86" s="216"/>
      <c r="F86" s="185"/>
      <c r="G86" s="185"/>
      <c r="H86" s="185"/>
    </row>
    <row r="87" spans="1:8" ht="38" customHeight="1" x14ac:dyDescent="0.35">
      <c r="A87" s="185"/>
      <c r="B87" s="185"/>
      <c r="C87" s="185"/>
      <c r="D87" s="185"/>
      <c r="E87" s="216"/>
      <c r="F87" s="185"/>
      <c r="G87" s="185"/>
      <c r="H87" s="185"/>
    </row>
    <row r="88" spans="1:8" ht="38" customHeight="1" x14ac:dyDescent="0.35">
      <c r="A88" s="185"/>
      <c r="B88" s="185"/>
      <c r="C88" s="185"/>
      <c r="D88" s="185"/>
      <c r="E88" s="216"/>
      <c r="F88" s="185"/>
      <c r="G88" s="185"/>
      <c r="H88" s="185"/>
    </row>
    <row r="89" spans="1:8" ht="38" customHeight="1" x14ac:dyDescent="0.35">
      <c r="A89" s="185"/>
      <c r="B89" s="185"/>
      <c r="C89" s="185"/>
      <c r="D89" s="185"/>
      <c r="E89" s="216"/>
      <c r="F89" s="185"/>
      <c r="G89" s="185"/>
      <c r="H89" s="185"/>
    </row>
    <row r="90" spans="1:8" ht="38" customHeight="1" x14ac:dyDescent="0.35">
      <c r="A90" s="185"/>
      <c r="B90" s="185"/>
      <c r="C90" s="185"/>
      <c r="D90" s="185"/>
      <c r="E90" s="216"/>
      <c r="F90" s="185"/>
      <c r="G90" s="185"/>
      <c r="H90" s="185"/>
    </row>
    <row r="91" spans="1:8" ht="38" customHeight="1" x14ac:dyDescent="0.35">
      <c r="A91" s="185"/>
      <c r="B91" s="185"/>
      <c r="C91" s="185"/>
      <c r="D91" s="185"/>
      <c r="E91" s="216"/>
      <c r="F91" s="185"/>
      <c r="G91" s="185"/>
      <c r="H91" s="185"/>
    </row>
    <row r="92" spans="1:8" ht="38" customHeight="1" x14ac:dyDescent="0.35">
      <c r="A92" s="185"/>
      <c r="B92" s="185"/>
      <c r="C92" s="185"/>
      <c r="D92" s="185"/>
      <c r="E92" s="216"/>
      <c r="F92" s="185"/>
      <c r="G92" s="185"/>
      <c r="H92" s="185"/>
    </row>
    <row r="93" spans="1:8" ht="38" customHeight="1" x14ac:dyDescent="0.35">
      <c r="A93" s="185"/>
      <c r="B93" s="185"/>
      <c r="C93" s="185"/>
      <c r="D93" s="185"/>
      <c r="E93" s="216"/>
      <c r="F93" s="185"/>
      <c r="G93" s="185"/>
      <c r="H93" s="185"/>
    </row>
    <row r="94" spans="1:8" ht="38" customHeight="1" x14ac:dyDescent="0.35">
      <c r="A94" s="185"/>
      <c r="B94" s="185"/>
      <c r="C94" s="185"/>
      <c r="D94" s="185"/>
      <c r="E94" s="216"/>
      <c r="F94" s="185"/>
      <c r="G94" s="185"/>
      <c r="H94" s="185"/>
    </row>
    <row r="95" spans="1:8" ht="38" customHeight="1" x14ac:dyDescent="0.35">
      <c r="A95" s="185"/>
      <c r="B95" s="185"/>
      <c r="C95" s="185"/>
      <c r="D95" s="185"/>
      <c r="E95" s="216"/>
      <c r="F95" s="185"/>
      <c r="G95" s="185"/>
      <c r="H95" s="185"/>
    </row>
    <row r="96" spans="1:8" ht="38" customHeight="1" x14ac:dyDescent="0.35">
      <c r="A96" s="185"/>
      <c r="B96" s="185"/>
      <c r="C96" s="185"/>
      <c r="D96" s="185"/>
      <c r="E96" s="216"/>
      <c r="F96" s="185"/>
      <c r="G96" s="185"/>
      <c r="H96" s="185"/>
    </row>
    <row r="97" spans="1:8" ht="38" customHeight="1" x14ac:dyDescent="0.35">
      <c r="A97" s="185"/>
      <c r="B97" s="185"/>
      <c r="C97" s="185"/>
      <c r="D97" s="185"/>
      <c r="E97" s="216"/>
      <c r="F97" s="185"/>
      <c r="G97" s="185"/>
      <c r="H97" s="185"/>
    </row>
    <row r="98" spans="1:8" ht="38" customHeight="1" x14ac:dyDescent="0.35">
      <c r="A98" s="185"/>
      <c r="B98" s="185"/>
      <c r="C98" s="185"/>
      <c r="D98" s="185"/>
      <c r="E98" s="216"/>
      <c r="F98" s="185"/>
      <c r="G98" s="185"/>
      <c r="H98" s="185"/>
    </row>
    <row r="99" spans="1:8" ht="38" customHeight="1" x14ac:dyDescent="0.35">
      <c r="A99" s="185"/>
      <c r="B99" s="185"/>
      <c r="C99" s="185"/>
      <c r="D99" s="185"/>
      <c r="E99" s="216"/>
      <c r="F99" s="185"/>
      <c r="G99" s="185"/>
      <c r="H99" s="185"/>
    </row>
    <row r="100" spans="1:8" ht="38" customHeight="1" x14ac:dyDescent="0.35">
      <c r="A100" s="185"/>
      <c r="B100" s="185"/>
      <c r="C100" s="185"/>
      <c r="D100" s="185"/>
      <c r="E100" s="216"/>
      <c r="F100" s="185"/>
      <c r="G100" s="185"/>
      <c r="H100" s="185"/>
    </row>
    <row r="101" spans="1:8" ht="20" customHeight="1" x14ac:dyDescent="0.35">
      <c r="E101" s="187"/>
    </row>
    <row r="102" spans="1:8" ht="20" customHeight="1" x14ac:dyDescent="0.35">
      <c r="E102" s="187"/>
    </row>
    <row r="103" spans="1:8" ht="20" customHeight="1" x14ac:dyDescent="0.35">
      <c r="E103" s="187"/>
    </row>
    <row r="104" spans="1:8" ht="20" customHeight="1" x14ac:dyDescent="0.35">
      <c r="E104" s="187"/>
    </row>
    <row r="105" spans="1:8" ht="20" customHeight="1" x14ac:dyDescent="0.35">
      <c r="E105" s="187"/>
    </row>
    <row r="106" spans="1:8" ht="20" customHeight="1" x14ac:dyDescent="0.35">
      <c r="E106" s="187"/>
    </row>
    <row r="107" spans="1:8" ht="20" customHeight="1" x14ac:dyDescent="0.35">
      <c r="E107" s="187"/>
    </row>
    <row r="108" spans="1:8" ht="20" customHeight="1" x14ac:dyDescent="0.35">
      <c r="E108" s="187"/>
    </row>
    <row r="109" spans="1:8" ht="20" customHeight="1" x14ac:dyDescent="0.35">
      <c r="E109" s="187"/>
    </row>
    <row r="110" spans="1:8" ht="20" customHeight="1" x14ac:dyDescent="0.35">
      <c r="E110" s="187"/>
    </row>
    <row r="111" spans="1:8" ht="20" customHeight="1" x14ac:dyDescent="0.35">
      <c r="E111" s="187"/>
    </row>
    <row r="112" spans="1:8" ht="20" customHeight="1" x14ac:dyDescent="0.35">
      <c r="E112" s="187"/>
    </row>
    <row r="113" spans="5:5" ht="20" customHeight="1" x14ac:dyDescent="0.35">
      <c r="E113" s="187"/>
    </row>
    <row r="114" spans="5:5" ht="20" customHeight="1" x14ac:dyDescent="0.35">
      <c r="E114" s="187"/>
    </row>
    <row r="115" spans="5:5" ht="20" customHeight="1" x14ac:dyDescent="0.35">
      <c r="E115" s="187"/>
    </row>
    <row r="116" spans="5:5" ht="20" customHeight="1" x14ac:dyDescent="0.35">
      <c r="E116" s="187"/>
    </row>
    <row r="117" spans="5:5" ht="20" customHeight="1" x14ac:dyDescent="0.35">
      <c r="E117" s="187"/>
    </row>
    <row r="118" spans="5:5" ht="20" customHeight="1" x14ac:dyDescent="0.35">
      <c r="E118" s="187"/>
    </row>
    <row r="119" spans="5:5" ht="20" customHeight="1" x14ac:dyDescent="0.35">
      <c r="E119" s="187"/>
    </row>
    <row r="120" spans="5:5" ht="20" customHeight="1" x14ac:dyDescent="0.35">
      <c r="E120" s="187"/>
    </row>
    <row r="121" spans="5:5" ht="20" customHeight="1" x14ac:dyDescent="0.35">
      <c r="E121" s="187"/>
    </row>
    <row r="122" spans="5:5" ht="20" customHeight="1" x14ac:dyDescent="0.35">
      <c r="E122" s="187"/>
    </row>
    <row r="123" spans="5:5" ht="20" customHeight="1" x14ac:dyDescent="0.35">
      <c r="E123" s="187"/>
    </row>
    <row r="124" spans="5:5" ht="20" customHeight="1" x14ac:dyDescent="0.35">
      <c r="E124" s="187"/>
    </row>
    <row r="125" spans="5:5" ht="20" customHeight="1" x14ac:dyDescent="0.35">
      <c r="E125" s="187"/>
    </row>
    <row r="126" spans="5:5" ht="20" customHeight="1" x14ac:dyDescent="0.35">
      <c r="E126" s="187"/>
    </row>
    <row r="127" spans="5:5" ht="20" customHeight="1" x14ac:dyDescent="0.35">
      <c r="E127" s="187"/>
    </row>
    <row r="128" spans="5:5" ht="20" customHeight="1" x14ac:dyDescent="0.35">
      <c r="E128" s="187"/>
    </row>
    <row r="129" spans="5:5" ht="20" customHeight="1" x14ac:dyDescent="0.35">
      <c r="E129" s="187"/>
    </row>
    <row r="130" spans="5:5" ht="20" customHeight="1" x14ac:dyDescent="0.35">
      <c r="E130" s="187"/>
    </row>
    <row r="131" spans="5:5" ht="20" customHeight="1" x14ac:dyDescent="0.35">
      <c r="E131" s="187"/>
    </row>
    <row r="132" spans="5:5" ht="20" customHeight="1" x14ac:dyDescent="0.35">
      <c r="E132" s="187"/>
    </row>
    <row r="133" spans="5:5" ht="20" customHeight="1" x14ac:dyDescent="0.35">
      <c r="E133" s="187"/>
    </row>
    <row r="134" spans="5:5" ht="20" customHeight="1" x14ac:dyDescent="0.35">
      <c r="E134" s="187"/>
    </row>
    <row r="135" spans="5:5" ht="20" customHeight="1" x14ac:dyDescent="0.35">
      <c r="E135" s="187"/>
    </row>
    <row r="136" spans="5:5" ht="20" customHeight="1" x14ac:dyDescent="0.35">
      <c r="E136" s="187"/>
    </row>
    <row r="137" spans="5:5" ht="20" customHeight="1" x14ac:dyDescent="0.35">
      <c r="E137" s="187"/>
    </row>
    <row r="138" spans="5:5" ht="20" customHeight="1" x14ac:dyDescent="0.35">
      <c r="E138" s="187"/>
    </row>
    <row r="139" spans="5:5" ht="20" customHeight="1" x14ac:dyDescent="0.35">
      <c r="E139" s="187"/>
    </row>
    <row r="140" spans="5:5" ht="20" customHeight="1" x14ac:dyDescent="0.35">
      <c r="E140" s="187"/>
    </row>
    <row r="141" spans="5:5" ht="20" customHeight="1" x14ac:dyDescent="0.35">
      <c r="E141" s="187"/>
    </row>
    <row r="142" spans="5:5" ht="20" customHeight="1" x14ac:dyDescent="0.35">
      <c r="E142" s="187"/>
    </row>
    <row r="143" spans="5:5" ht="20" customHeight="1" x14ac:dyDescent="0.35">
      <c r="E143" s="187"/>
    </row>
    <row r="144" spans="5:5" ht="20" customHeight="1" x14ac:dyDescent="0.35">
      <c r="E144" s="187"/>
    </row>
    <row r="145" spans="5:5" ht="20" customHeight="1" x14ac:dyDescent="0.35">
      <c r="E145" s="187"/>
    </row>
    <row r="146" spans="5:5" ht="20" customHeight="1" x14ac:dyDescent="0.35">
      <c r="E146" s="187"/>
    </row>
    <row r="147" spans="5:5" ht="20" customHeight="1" x14ac:dyDescent="0.35">
      <c r="E147" s="187"/>
    </row>
    <row r="148" spans="5:5" ht="20" customHeight="1" x14ac:dyDescent="0.35">
      <c r="E148" s="187"/>
    </row>
    <row r="149" spans="5:5" ht="20" customHeight="1" x14ac:dyDescent="0.35">
      <c r="E149" s="187"/>
    </row>
    <row r="150" spans="5:5" ht="20" customHeight="1" x14ac:dyDescent="0.35">
      <c r="E150" s="187"/>
    </row>
    <row r="151" spans="5:5" ht="20" customHeight="1" x14ac:dyDescent="0.35">
      <c r="E151" s="187"/>
    </row>
    <row r="152" spans="5:5" ht="20" customHeight="1" x14ac:dyDescent="0.35">
      <c r="E152" s="187"/>
    </row>
    <row r="153" spans="5:5" ht="20" customHeight="1" x14ac:dyDescent="0.35">
      <c r="E153" s="187"/>
    </row>
    <row r="154" spans="5:5" ht="20" customHeight="1" x14ac:dyDescent="0.35">
      <c r="E154" s="187"/>
    </row>
    <row r="155" spans="5:5" ht="20" customHeight="1" x14ac:dyDescent="0.35">
      <c r="E155" s="187"/>
    </row>
    <row r="156" spans="5:5" ht="20" customHeight="1" x14ac:dyDescent="0.35">
      <c r="E156" s="187"/>
    </row>
    <row r="157" spans="5:5" ht="20" customHeight="1" x14ac:dyDescent="0.35">
      <c r="E157" s="187"/>
    </row>
    <row r="158" spans="5:5" ht="20" customHeight="1" x14ac:dyDescent="0.35">
      <c r="E158" s="187"/>
    </row>
    <row r="159" spans="5:5" ht="20" customHeight="1" x14ac:dyDescent="0.35">
      <c r="E159" s="187"/>
    </row>
    <row r="160" spans="5:5" ht="20" customHeight="1" x14ac:dyDescent="0.35">
      <c r="E160" s="187"/>
    </row>
    <row r="161" spans="5:5" ht="20" customHeight="1" x14ac:dyDescent="0.35">
      <c r="E161" s="187"/>
    </row>
    <row r="162" spans="5:5" ht="20" customHeight="1" x14ac:dyDescent="0.35">
      <c r="E162" s="187"/>
    </row>
    <row r="163" spans="5:5" ht="20" customHeight="1" x14ac:dyDescent="0.35">
      <c r="E163" s="187"/>
    </row>
    <row r="164" spans="5:5" ht="20" customHeight="1" x14ac:dyDescent="0.35">
      <c r="E164" s="187"/>
    </row>
    <row r="165" spans="5:5" ht="20" customHeight="1" x14ac:dyDescent="0.35">
      <c r="E165" s="187"/>
    </row>
    <row r="166" spans="5:5" ht="20" customHeight="1" x14ac:dyDescent="0.35">
      <c r="E166" s="187"/>
    </row>
    <row r="167" spans="5:5" ht="20" customHeight="1" x14ac:dyDescent="0.35">
      <c r="E167" s="187"/>
    </row>
    <row r="168" spans="5:5" ht="20" customHeight="1" x14ac:dyDescent="0.35">
      <c r="E168" s="187"/>
    </row>
    <row r="169" spans="5:5" ht="20" customHeight="1" x14ac:dyDescent="0.35">
      <c r="E169" s="187"/>
    </row>
    <row r="170" spans="5:5" ht="20" customHeight="1" x14ac:dyDescent="0.35">
      <c r="E170" s="187"/>
    </row>
    <row r="171" spans="5:5" ht="20" customHeight="1" x14ac:dyDescent="0.35">
      <c r="E171" s="187"/>
    </row>
    <row r="172" spans="5:5" ht="20" customHeight="1" x14ac:dyDescent="0.35">
      <c r="E172" s="187"/>
    </row>
    <row r="173" spans="5:5" ht="20" customHeight="1" x14ac:dyDescent="0.35">
      <c r="E173" s="187"/>
    </row>
    <row r="174" spans="5:5" ht="20" customHeight="1" x14ac:dyDescent="0.35">
      <c r="E174" s="187"/>
    </row>
    <row r="175" spans="5:5" ht="20" customHeight="1" x14ac:dyDescent="0.35">
      <c r="E175" s="187"/>
    </row>
    <row r="176" spans="5:5" ht="20" customHeight="1" x14ac:dyDescent="0.35">
      <c r="E176" s="187"/>
    </row>
    <row r="177" spans="5:5" ht="20" customHeight="1" x14ac:dyDescent="0.35">
      <c r="E177" s="187"/>
    </row>
    <row r="178" spans="5:5" ht="20" customHeight="1" x14ac:dyDescent="0.35">
      <c r="E178" s="187"/>
    </row>
    <row r="179" spans="5:5" ht="20" customHeight="1" x14ac:dyDescent="0.35">
      <c r="E179" s="187"/>
    </row>
    <row r="180" spans="5:5" ht="20" customHeight="1" x14ac:dyDescent="0.35">
      <c r="E180" s="187"/>
    </row>
    <row r="181" spans="5:5" ht="20" customHeight="1" x14ac:dyDescent="0.35">
      <c r="E181" s="187"/>
    </row>
    <row r="182" spans="5:5" ht="20" customHeight="1" x14ac:dyDescent="0.35">
      <c r="E182" s="187"/>
    </row>
    <row r="183" spans="5:5" ht="20" customHeight="1" x14ac:dyDescent="0.35">
      <c r="E183" s="187"/>
    </row>
    <row r="184" spans="5:5" ht="20" customHeight="1" x14ac:dyDescent="0.35">
      <c r="E184" s="187"/>
    </row>
    <row r="185" spans="5:5" ht="20" customHeight="1" x14ac:dyDescent="0.35">
      <c r="E185" s="187"/>
    </row>
    <row r="186" spans="5:5" ht="20" customHeight="1" x14ac:dyDescent="0.35">
      <c r="E186" s="187"/>
    </row>
    <row r="187" spans="5:5" ht="20" customHeight="1" x14ac:dyDescent="0.35">
      <c r="E187" s="187"/>
    </row>
    <row r="188" spans="5:5" ht="20" customHeight="1" x14ac:dyDescent="0.35">
      <c r="E188" s="187"/>
    </row>
    <row r="189" spans="5:5" ht="20" customHeight="1" x14ac:dyDescent="0.35">
      <c r="E189" s="187"/>
    </row>
    <row r="190" spans="5:5" ht="20" customHeight="1" x14ac:dyDescent="0.35">
      <c r="E190" s="187"/>
    </row>
    <row r="191" spans="5:5" ht="20" customHeight="1" x14ac:dyDescent="0.35">
      <c r="E191" s="187"/>
    </row>
    <row r="192" spans="5:5" ht="20" customHeight="1" x14ac:dyDescent="0.35">
      <c r="E192" s="187"/>
    </row>
    <row r="193" spans="5:5" ht="20" customHeight="1" x14ac:dyDescent="0.35">
      <c r="E193" s="187"/>
    </row>
    <row r="194" spans="5:5" ht="20" customHeight="1" x14ac:dyDescent="0.35">
      <c r="E194" s="187"/>
    </row>
    <row r="195" spans="5:5" ht="20" customHeight="1" x14ac:dyDescent="0.35">
      <c r="E195" s="187"/>
    </row>
    <row r="196" spans="5:5" ht="20" customHeight="1" x14ac:dyDescent="0.35">
      <c r="E196" s="187"/>
    </row>
    <row r="197" spans="5:5" ht="20" customHeight="1" x14ac:dyDescent="0.35">
      <c r="E197" s="187"/>
    </row>
    <row r="198" spans="5:5" ht="20" customHeight="1" x14ac:dyDescent="0.35">
      <c r="E198" s="187"/>
    </row>
    <row r="199" spans="5:5" ht="20" customHeight="1" x14ac:dyDescent="0.35">
      <c r="E199" s="187"/>
    </row>
    <row r="200" spans="5:5" ht="20" customHeight="1" x14ac:dyDescent="0.35">
      <c r="E200" s="187"/>
    </row>
    <row r="201" spans="5:5" ht="20" customHeight="1" x14ac:dyDescent="0.35">
      <c r="E201" s="187"/>
    </row>
    <row r="202" spans="5:5" ht="20" customHeight="1" x14ac:dyDescent="0.35">
      <c r="E202" s="187"/>
    </row>
    <row r="203" spans="5:5" ht="20" customHeight="1" x14ac:dyDescent="0.35">
      <c r="E203" s="187"/>
    </row>
    <row r="204" spans="5:5" ht="20" customHeight="1" x14ac:dyDescent="0.35">
      <c r="E204" s="187"/>
    </row>
    <row r="205" spans="5:5" ht="20" customHeight="1" x14ac:dyDescent="0.35">
      <c r="E205" s="187"/>
    </row>
    <row r="206" spans="5:5" ht="20" customHeight="1" x14ac:dyDescent="0.35">
      <c r="E206" s="187"/>
    </row>
    <row r="207" spans="5:5" ht="20" customHeight="1" x14ac:dyDescent="0.35">
      <c r="E207" s="187"/>
    </row>
    <row r="208" spans="5:5" ht="20" customHeight="1" x14ac:dyDescent="0.35">
      <c r="E208" s="187"/>
    </row>
    <row r="209" spans="5:5" ht="20" customHeight="1" x14ac:dyDescent="0.35">
      <c r="E209" s="187"/>
    </row>
    <row r="210" spans="5:5" ht="20" customHeight="1" x14ac:dyDescent="0.35">
      <c r="E210" s="187"/>
    </row>
    <row r="211" spans="5:5" ht="20" customHeight="1" x14ac:dyDescent="0.35">
      <c r="E211" s="187"/>
    </row>
    <row r="212" spans="5:5" ht="20" customHeight="1" x14ac:dyDescent="0.35">
      <c r="E212" s="187"/>
    </row>
    <row r="213" spans="5:5" ht="20" customHeight="1" x14ac:dyDescent="0.35">
      <c r="E213" s="187"/>
    </row>
    <row r="214" spans="5:5" ht="20" customHeight="1" x14ac:dyDescent="0.35">
      <c r="E214" s="187"/>
    </row>
    <row r="215" spans="5:5" ht="20" customHeight="1" x14ac:dyDescent="0.35">
      <c r="E215" s="187"/>
    </row>
    <row r="216" spans="5:5" ht="20" customHeight="1" x14ac:dyDescent="0.35">
      <c r="E216" s="187"/>
    </row>
    <row r="217" spans="5:5" ht="20" customHeight="1" x14ac:dyDescent="0.35">
      <c r="E217" s="187"/>
    </row>
    <row r="218" spans="5:5" ht="20" customHeight="1" x14ac:dyDescent="0.35">
      <c r="E218" s="187"/>
    </row>
    <row r="219" spans="5:5" ht="20" customHeight="1" x14ac:dyDescent="0.35">
      <c r="E219" s="187"/>
    </row>
    <row r="220" spans="5:5" ht="20" customHeight="1" x14ac:dyDescent="0.35">
      <c r="E220" s="187"/>
    </row>
    <row r="221" spans="5:5" ht="20" customHeight="1" x14ac:dyDescent="0.35">
      <c r="E221" s="187"/>
    </row>
    <row r="222" spans="5:5" ht="20" customHeight="1" x14ac:dyDescent="0.35">
      <c r="E222" s="187"/>
    </row>
    <row r="223" spans="5:5" ht="20" customHeight="1" x14ac:dyDescent="0.35">
      <c r="E223" s="187"/>
    </row>
    <row r="224" spans="5:5" ht="20" customHeight="1" x14ac:dyDescent="0.35">
      <c r="E224" s="187"/>
    </row>
    <row r="225" spans="5:5" ht="20" customHeight="1" x14ac:dyDescent="0.35">
      <c r="E225" s="187"/>
    </row>
    <row r="226" spans="5:5" ht="20" customHeight="1" x14ac:dyDescent="0.35">
      <c r="E226" s="187"/>
    </row>
    <row r="227" spans="5:5" ht="20" customHeight="1" x14ac:dyDescent="0.35">
      <c r="E227" s="187"/>
    </row>
    <row r="228" spans="5:5" ht="20" customHeight="1" x14ac:dyDescent="0.35">
      <c r="E228" s="187"/>
    </row>
    <row r="229" spans="5:5" ht="20" customHeight="1" x14ac:dyDescent="0.35">
      <c r="E229" s="187"/>
    </row>
    <row r="230" spans="5:5" ht="20" customHeight="1" x14ac:dyDescent="0.35">
      <c r="E230" s="187"/>
    </row>
    <row r="231" spans="5:5" ht="20" customHeight="1" x14ac:dyDescent="0.35">
      <c r="E231" s="187"/>
    </row>
    <row r="232" spans="5:5" ht="20" customHeight="1" x14ac:dyDescent="0.35">
      <c r="E232" s="187"/>
    </row>
    <row r="233" spans="5:5" ht="20" customHeight="1" x14ac:dyDescent="0.35">
      <c r="E233" s="187"/>
    </row>
    <row r="234" spans="5:5" ht="20" customHeight="1" x14ac:dyDescent="0.35">
      <c r="E234" s="187"/>
    </row>
    <row r="235" spans="5:5" ht="20" customHeight="1" x14ac:dyDescent="0.35">
      <c r="E235" s="187"/>
    </row>
    <row r="236" spans="5:5" ht="20" customHeight="1" x14ac:dyDescent="0.35">
      <c r="E236" s="187"/>
    </row>
    <row r="237" spans="5:5" ht="20" customHeight="1" x14ac:dyDescent="0.35">
      <c r="E237" s="187"/>
    </row>
    <row r="238" spans="5:5" ht="20" customHeight="1" x14ac:dyDescent="0.35">
      <c r="E238" s="187"/>
    </row>
    <row r="239" spans="5:5" ht="20" customHeight="1" x14ac:dyDescent="0.35">
      <c r="E239" s="187"/>
    </row>
    <row r="240" spans="5:5" ht="20" customHeight="1" x14ac:dyDescent="0.35">
      <c r="E240" s="187"/>
    </row>
    <row r="241" spans="5:5" ht="20" customHeight="1" x14ac:dyDescent="0.35">
      <c r="E241" s="187"/>
    </row>
    <row r="242" spans="5:5" ht="20" customHeight="1" x14ac:dyDescent="0.35">
      <c r="E242" s="187"/>
    </row>
    <row r="243" spans="5:5" ht="20" customHeight="1" x14ac:dyDescent="0.35">
      <c r="E243" s="187"/>
    </row>
    <row r="244" spans="5:5" ht="20" customHeight="1" x14ac:dyDescent="0.35">
      <c r="E244" s="187"/>
    </row>
    <row r="245" spans="5:5" ht="20" customHeight="1" x14ac:dyDescent="0.35">
      <c r="E245" s="187"/>
    </row>
    <row r="246" spans="5:5" ht="20" customHeight="1" x14ac:dyDescent="0.35">
      <c r="E246" s="187"/>
    </row>
    <row r="247" spans="5:5" ht="20" customHeight="1" x14ac:dyDescent="0.35">
      <c r="E247" s="187"/>
    </row>
    <row r="248" spans="5:5" ht="20" customHeight="1" x14ac:dyDescent="0.35">
      <c r="E248" s="187"/>
    </row>
    <row r="249" spans="5:5" ht="20" customHeight="1" x14ac:dyDescent="0.35">
      <c r="E249" s="187"/>
    </row>
    <row r="250" spans="5:5" ht="20" customHeight="1" x14ac:dyDescent="0.35">
      <c r="E250" s="187"/>
    </row>
    <row r="251" spans="5:5" ht="20" customHeight="1" x14ac:dyDescent="0.35">
      <c r="E251" s="187"/>
    </row>
    <row r="252" spans="5:5" ht="20" customHeight="1" x14ac:dyDescent="0.35">
      <c r="E252" s="187"/>
    </row>
    <row r="253" spans="5:5" ht="20" customHeight="1" x14ac:dyDescent="0.35">
      <c r="E253" s="187"/>
    </row>
    <row r="254" spans="5:5" ht="20" customHeight="1" x14ac:dyDescent="0.35">
      <c r="E254" s="187"/>
    </row>
    <row r="255" spans="5:5" ht="20" customHeight="1" x14ac:dyDescent="0.35">
      <c r="E255" s="187"/>
    </row>
    <row r="256" spans="5:5" ht="20" customHeight="1" x14ac:dyDescent="0.35">
      <c r="E256" s="187"/>
    </row>
    <row r="257" spans="5:5" ht="20" customHeight="1" x14ac:dyDescent="0.35">
      <c r="E257" s="187"/>
    </row>
    <row r="258" spans="5:5" ht="20" customHeight="1" x14ac:dyDescent="0.35">
      <c r="E258" s="187"/>
    </row>
    <row r="259" spans="5:5" ht="20" customHeight="1" x14ac:dyDescent="0.35">
      <c r="E259" s="187"/>
    </row>
    <row r="260" spans="5:5" ht="20" customHeight="1" x14ac:dyDescent="0.35">
      <c r="E260" s="187"/>
    </row>
    <row r="261" spans="5:5" ht="20" customHeight="1" x14ac:dyDescent="0.35">
      <c r="E261" s="187"/>
    </row>
    <row r="262" spans="5:5" ht="20" customHeight="1" x14ac:dyDescent="0.35">
      <c r="E262" s="187"/>
    </row>
    <row r="263" spans="5:5" ht="20" customHeight="1" x14ac:dyDescent="0.35">
      <c r="E263" s="187"/>
    </row>
    <row r="264" spans="5:5" ht="20" customHeight="1" x14ac:dyDescent="0.35">
      <c r="E264" s="187"/>
    </row>
    <row r="265" spans="5:5" ht="20" customHeight="1" x14ac:dyDescent="0.35">
      <c r="E265" s="187"/>
    </row>
    <row r="266" spans="5:5" ht="20" customHeight="1" x14ac:dyDescent="0.35">
      <c r="E266" s="187"/>
    </row>
    <row r="267" spans="5:5" ht="20" customHeight="1" x14ac:dyDescent="0.35">
      <c r="E267" s="187"/>
    </row>
    <row r="268" spans="5:5" ht="20" customHeight="1" x14ac:dyDescent="0.35">
      <c r="E268" s="187"/>
    </row>
    <row r="269" spans="5:5" ht="20" customHeight="1" x14ac:dyDescent="0.35">
      <c r="E269" s="187"/>
    </row>
    <row r="270" spans="5:5" ht="20" customHeight="1" x14ac:dyDescent="0.35">
      <c r="E270" s="187"/>
    </row>
    <row r="271" spans="5:5" ht="20" customHeight="1" x14ac:dyDescent="0.35">
      <c r="E271" s="187"/>
    </row>
    <row r="272" spans="5:5" ht="20" customHeight="1" x14ac:dyDescent="0.35">
      <c r="E272" s="187"/>
    </row>
    <row r="273" spans="5:5" ht="20" customHeight="1" x14ac:dyDescent="0.35">
      <c r="E273" s="187"/>
    </row>
    <row r="274" spans="5:5" ht="20" customHeight="1" x14ac:dyDescent="0.35">
      <c r="E274" s="187"/>
    </row>
    <row r="275" spans="5:5" ht="20" customHeight="1" x14ac:dyDescent="0.35">
      <c r="E275" s="187"/>
    </row>
    <row r="276" spans="5:5" ht="20" customHeight="1" x14ac:dyDescent="0.35">
      <c r="E276" s="187"/>
    </row>
    <row r="277" spans="5:5" ht="20" customHeight="1" x14ac:dyDescent="0.35">
      <c r="E277" s="187"/>
    </row>
    <row r="278" spans="5:5" ht="20" customHeight="1" x14ac:dyDescent="0.35">
      <c r="E278" s="187"/>
    </row>
    <row r="279" spans="5:5" ht="20" customHeight="1" x14ac:dyDescent="0.35">
      <c r="E279" s="187"/>
    </row>
    <row r="280" spans="5:5" ht="20" customHeight="1" x14ac:dyDescent="0.35">
      <c r="E280" s="187"/>
    </row>
    <row r="281" spans="5:5" ht="20" customHeight="1" x14ac:dyDescent="0.35">
      <c r="E281" s="187"/>
    </row>
    <row r="282" spans="5:5" ht="20" customHeight="1" x14ac:dyDescent="0.35">
      <c r="E282" s="187"/>
    </row>
    <row r="283" spans="5:5" ht="20" customHeight="1" x14ac:dyDescent="0.35">
      <c r="E283" s="187"/>
    </row>
    <row r="284" spans="5:5" ht="20" customHeight="1" x14ac:dyDescent="0.35">
      <c r="E284" s="187"/>
    </row>
    <row r="285" spans="5:5" ht="20" customHeight="1" x14ac:dyDescent="0.35">
      <c r="E285" s="187"/>
    </row>
    <row r="286" spans="5:5" ht="20" customHeight="1" x14ac:dyDescent="0.35">
      <c r="E286" s="187"/>
    </row>
    <row r="287" spans="5:5" ht="20" customHeight="1" x14ac:dyDescent="0.35">
      <c r="E287" s="187"/>
    </row>
    <row r="288" spans="5:5" ht="20" customHeight="1" x14ac:dyDescent="0.35">
      <c r="E288" s="187"/>
    </row>
    <row r="289" spans="5:5" ht="20" customHeight="1" x14ac:dyDescent="0.35">
      <c r="E289" s="187"/>
    </row>
    <row r="290" spans="5:5" ht="20" customHeight="1" x14ac:dyDescent="0.35">
      <c r="E290" s="187"/>
    </row>
    <row r="291" spans="5:5" ht="20" customHeight="1" x14ac:dyDescent="0.35">
      <c r="E291" s="187"/>
    </row>
    <row r="292" spans="5:5" ht="20" customHeight="1" x14ac:dyDescent="0.35">
      <c r="E292" s="187"/>
    </row>
    <row r="293" spans="5:5" ht="20" customHeight="1" x14ac:dyDescent="0.35">
      <c r="E293" s="187"/>
    </row>
    <row r="294" spans="5:5" ht="20" customHeight="1" x14ac:dyDescent="0.35">
      <c r="E294" s="187"/>
    </row>
    <row r="295" spans="5:5" ht="20" customHeight="1" x14ac:dyDescent="0.35">
      <c r="E295" s="187"/>
    </row>
    <row r="296" spans="5:5" ht="20" customHeight="1" x14ac:dyDescent="0.35">
      <c r="E296" s="187"/>
    </row>
    <row r="297" spans="5:5" ht="20" customHeight="1" x14ac:dyDescent="0.35">
      <c r="E297" s="187"/>
    </row>
    <row r="298" spans="5:5" ht="20" customHeight="1" x14ac:dyDescent="0.35">
      <c r="E298" s="187"/>
    </row>
    <row r="299" spans="5:5" ht="20" customHeight="1" x14ac:dyDescent="0.35">
      <c r="E299" s="187"/>
    </row>
    <row r="300" spans="5:5" ht="20" customHeight="1" x14ac:dyDescent="0.35">
      <c r="E300" s="187"/>
    </row>
    <row r="301" spans="5:5" ht="20" customHeight="1" x14ac:dyDescent="0.35">
      <c r="E301" s="187"/>
    </row>
    <row r="302" spans="5:5" ht="20" customHeight="1" x14ac:dyDescent="0.35">
      <c r="E302" s="187"/>
    </row>
    <row r="303" spans="5:5" ht="20" customHeight="1" x14ac:dyDescent="0.35">
      <c r="E303" s="187"/>
    </row>
    <row r="304" spans="5:5" ht="20" customHeight="1" x14ac:dyDescent="0.35">
      <c r="E304" s="187"/>
    </row>
    <row r="305" spans="5:5" ht="20" customHeight="1" x14ac:dyDescent="0.35">
      <c r="E305" s="187"/>
    </row>
    <row r="306" spans="5:5" ht="20" customHeight="1" x14ac:dyDescent="0.35">
      <c r="E306" s="187"/>
    </row>
    <row r="307" spans="5:5" ht="20" customHeight="1" x14ac:dyDescent="0.35">
      <c r="E307" s="187"/>
    </row>
    <row r="308" spans="5:5" ht="20" customHeight="1" x14ac:dyDescent="0.35">
      <c r="E308" s="187"/>
    </row>
    <row r="309" spans="5:5" ht="20" customHeight="1" x14ac:dyDescent="0.35">
      <c r="E309" s="187"/>
    </row>
    <row r="310" spans="5:5" ht="20" customHeight="1" x14ac:dyDescent="0.35">
      <c r="E310" s="187"/>
    </row>
    <row r="311" spans="5:5" ht="20" customHeight="1" x14ac:dyDescent="0.35">
      <c r="E311" s="187"/>
    </row>
    <row r="312" spans="5:5" ht="20" customHeight="1" x14ac:dyDescent="0.35">
      <c r="E312" s="187"/>
    </row>
    <row r="313" spans="5:5" ht="20" customHeight="1" x14ac:dyDescent="0.35">
      <c r="E313" s="187"/>
    </row>
    <row r="314" spans="5:5" ht="20" customHeight="1" x14ac:dyDescent="0.35">
      <c r="E314" s="187"/>
    </row>
    <row r="315" spans="5:5" ht="20" customHeight="1" x14ac:dyDescent="0.35">
      <c r="E315" s="187"/>
    </row>
    <row r="316" spans="5:5" ht="20" customHeight="1" x14ac:dyDescent="0.35">
      <c r="E316" s="187"/>
    </row>
    <row r="317" spans="5:5" ht="20" customHeight="1" x14ac:dyDescent="0.35">
      <c r="E317" s="187"/>
    </row>
    <row r="318" spans="5:5" ht="20" customHeight="1" x14ac:dyDescent="0.35">
      <c r="E318" s="187"/>
    </row>
    <row r="319" spans="5:5" ht="20" customHeight="1" x14ac:dyDescent="0.35">
      <c r="E319" s="187"/>
    </row>
    <row r="320" spans="5:5" ht="20" customHeight="1" x14ac:dyDescent="0.35">
      <c r="E320" s="187"/>
    </row>
    <row r="321" spans="5:5" ht="20" customHeight="1" x14ac:dyDescent="0.35">
      <c r="E321" s="187"/>
    </row>
    <row r="322" spans="5:5" ht="20" customHeight="1" x14ac:dyDescent="0.35">
      <c r="E322" s="187"/>
    </row>
    <row r="323" spans="5:5" ht="20" customHeight="1" x14ac:dyDescent="0.35">
      <c r="E323" s="187"/>
    </row>
    <row r="324" spans="5:5" ht="20" customHeight="1" x14ac:dyDescent="0.35">
      <c r="E324" s="187"/>
    </row>
    <row r="325" spans="5:5" ht="20" customHeight="1" x14ac:dyDescent="0.35">
      <c r="E325" s="187"/>
    </row>
    <row r="326" spans="5:5" ht="20" customHeight="1" x14ac:dyDescent="0.35">
      <c r="E326" s="187"/>
    </row>
    <row r="327" spans="5:5" ht="20" customHeight="1" x14ac:dyDescent="0.35">
      <c r="E327" s="187"/>
    </row>
    <row r="328" spans="5:5" ht="20" customHeight="1" x14ac:dyDescent="0.35">
      <c r="E328" s="187"/>
    </row>
    <row r="329" spans="5:5" ht="20" customHeight="1" x14ac:dyDescent="0.35">
      <c r="E329" s="187"/>
    </row>
    <row r="330" spans="5:5" ht="20" customHeight="1" x14ac:dyDescent="0.35">
      <c r="E330" s="187"/>
    </row>
    <row r="331" spans="5:5" ht="20" customHeight="1" x14ac:dyDescent="0.35">
      <c r="E331" s="187"/>
    </row>
    <row r="332" spans="5:5" ht="20" customHeight="1" x14ac:dyDescent="0.35">
      <c r="E332" s="187"/>
    </row>
    <row r="333" spans="5:5" ht="20" customHeight="1" x14ac:dyDescent="0.35">
      <c r="E333" s="187"/>
    </row>
    <row r="334" spans="5:5" ht="20" customHeight="1" x14ac:dyDescent="0.35">
      <c r="E334" s="187"/>
    </row>
    <row r="335" spans="5:5" ht="20" customHeight="1" x14ac:dyDescent="0.35">
      <c r="E335" s="187"/>
    </row>
    <row r="336" spans="5:5" ht="20" customHeight="1" x14ac:dyDescent="0.35">
      <c r="E336" s="187"/>
    </row>
    <row r="337" spans="5:5" ht="20" customHeight="1" x14ac:dyDescent="0.35">
      <c r="E337" s="187"/>
    </row>
    <row r="338" spans="5:5" ht="20" customHeight="1" x14ac:dyDescent="0.35">
      <c r="E338" s="187"/>
    </row>
    <row r="339" spans="5:5" ht="20" customHeight="1" x14ac:dyDescent="0.35">
      <c r="E339" s="187"/>
    </row>
    <row r="340" spans="5:5" ht="20" customHeight="1" x14ac:dyDescent="0.35">
      <c r="E340" s="187"/>
    </row>
    <row r="341" spans="5:5" ht="20" customHeight="1" x14ac:dyDescent="0.35">
      <c r="E341" s="187"/>
    </row>
    <row r="342" spans="5:5" ht="20" customHeight="1" x14ac:dyDescent="0.35">
      <c r="E342" s="187"/>
    </row>
    <row r="343" spans="5:5" ht="20" customHeight="1" x14ac:dyDescent="0.35">
      <c r="E343" s="187"/>
    </row>
    <row r="344" spans="5:5" ht="20" customHeight="1" x14ac:dyDescent="0.35">
      <c r="E344" s="187"/>
    </row>
    <row r="345" spans="5:5" ht="20" customHeight="1" x14ac:dyDescent="0.35">
      <c r="E345" s="187"/>
    </row>
    <row r="346" spans="5:5" ht="20" customHeight="1" x14ac:dyDescent="0.35">
      <c r="E346" s="187"/>
    </row>
    <row r="347" spans="5:5" ht="20" customHeight="1" x14ac:dyDescent="0.35">
      <c r="E347" s="187"/>
    </row>
    <row r="348" spans="5:5" ht="20" customHeight="1" x14ac:dyDescent="0.35">
      <c r="E348" s="187"/>
    </row>
    <row r="349" spans="5:5" ht="20" customHeight="1" x14ac:dyDescent="0.35">
      <c r="E349" s="187"/>
    </row>
    <row r="350" spans="5:5" ht="20" customHeight="1" x14ac:dyDescent="0.35">
      <c r="E350" s="187"/>
    </row>
    <row r="351" spans="5:5" ht="20" customHeight="1" x14ac:dyDescent="0.35">
      <c r="E351" s="187"/>
    </row>
    <row r="352" spans="5:5" ht="20" customHeight="1" x14ac:dyDescent="0.35">
      <c r="E352" s="187"/>
    </row>
    <row r="353" spans="5:5" ht="20" customHeight="1" x14ac:dyDescent="0.35">
      <c r="E353" s="187"/>
    </row>
    <row r="354" spans="5:5" ht="20" customHeight="1" x14ac:dyDescent="0.35">
      <c r="E354" s="187"/>
    </row>
    <row r="355" spans="5:5" ht="20" customHeight="1" x14ac:dyDescent="0.35">
      <c r="E355" s="187"/>
    </row>
    <row r="356" spans="5:5" ht="20" customHeight="1" x14ac:dyDescent="0.35">
      <c r="E356" s="187"/>
    </row>
    <row r="357" spans="5:5" ht="20" customHeight="1" x14ac:dyDescent="0.35">
      <c r="E357" s="187"/>
    </row>
    <row r="358" spans="5:5" ht="20" customHeight="1" x14ac:dyDescent="0.35">
      <c r="E358" s="187"/>
    </row>
    <row r="359" spans="5:5" ht="20" customHeight="1" x14ac:dyDescent="0.35">
      <c r="E359" s="187"/>
    </row>
    <row r="360" spans="5:5" ht="20" customHeight="1" x14ac:dyDescent="0.35">
      <c r="E360" s="187"/>
    </row>
    <row r="361" spans="5:5" ht="20" customHeight="1" x14ac:dyDescent="0.35">
      <c r="E361" s="187"/>
    </row>
    <row r="362" spans="5:5" ht="20" customHeight="1" x14ac:dyDescent="0.35">
      <c r="E362" s="187"/>
    </row>
    <row r="363" spans="5:5" ht="20" customHeight="1" x14ac:dyDescent="0.35">
      <c r="E363" s="187"/>
    </row>
    <row r="364" spans="5:5" ht="20" customHeight="1" x14ac:dyDescent="0.35">
      <c r="E364" s="187"/>
    </row>
    <row r="365" spans="5:5" ht="20" customHeight="1" x14ac:dyDescent="0.35">
      <c r="E365" s="187"/>
    </row>
    <row r="366" spans="5:5" ht="20" customHeight="1" x14ac:dyDescent="0.35">
      <c r="E366" s="187"/>
    </row>
    <row r="367" spans="5:5" ht="20" customHeight="1" x14ac:dyDescent="0.35">
      <c r="E367" s="187"/>
    </row>
    <row r="368" spans="5:5" ht="20" customHeight="1" x14ac:dyDescent="0.35">
      <c r="E368" s="187"/>
    </row>
    <row r="369" spans="5:5" ht="20" customHeight="1" x14ac:dyDescent="0.35">
      <c r="E369" s="187"/>
    </row>
    <row r="370" spans="5:5" ht="20" customHeight="1" x14ac:dyDescent="0.35">
      <c r="E370" s="187"/>
    </row>
    <row r="371" spans="5:5" ht="20" customHeight="1" x14ac:dyDescent="0.35">
      <c r="E371" s="187"/>
    </row>
    <row r="372" spans="5:5" ht="20" customHeight="1" x14ac:dyDescent="0.35">
      <c r="E372" s="187"/>
    </row>
    <row r="373" spans="5:5" ht="20" customHeight="1" x14ac:dyDescent="0.35">
      <c r="E373" s="187"/>
    </row>
    <row r="374" spans="5:5" ht="20" customHeight="1" x14ac:dyDescent="0.35">
      <c r="E374" s="187"/>
    </row>
    <row r="375" spans="5:5" ht="20" customHeight="1" x14ac:dyDescent="0.35">
      <c r="E375" s="187"/>
    </row>
    <row r="376" spans="5:5" ht="20" customHeight="1" x14ac:dyDescent="0.35">
      <c r="E376" s="187"/>
    </row>
    <row r="377" spans="5:5" ht="20" customHeight="1" x14ac:dyDescent="0.35">
      <c r="E377" s="187"/>
    </row>
    <row r="378" spans="5:5" ht="20" customHeight="1" x14ac:dyDescent="0.35">
      <c r="E378" s="187"/>
    </row>
    <row r="379" spans="5:5" ht="20" customHeight="1" x14ac:dyDescent="0.35">
      <c r="E379" s="187"/>
    </row>
    <row r="380" spans="5:5" ht="20" customHeight="1" x14ac:dyDescent="0.35">
      <c r="E380" s="187"/>
    </row>
    <row r="381" spans="5:5" ht="20" customHeight="1" x14ac:dyDescent="0.35">
      <c r="E381" s="187"/>
    </row>
    <row r="382" spans="5:5" ht="20" customHeight="1" x14ac:dyDescent="0.35">
      <c r="E382" s="187"/>
    </row>
    <row r="383" spans="5:5" ht="20" customHeight="1" x14ac:dyDescent="0.35">
      <c r="E383" s="187"/>
    </row>
    <row r="384" spans="5:5" ht="20" customHeight="1" x14ac:dyDescent="0.35">
      <c r="E384" s="187"/>
    </row>
    <row r="385" spans="5:5" ht="20" customHeight="1" x14ac:dyDescent="0.35">
      <c r="E385" s="187"/>
    </row>
    <row r="386" spans="5:5" ht="20" customHeight="1" x14ac:dyDescent="0.35">
      <c r="E386" s="187"/>
    </row>
    <row r="387" spans="5:5" ht="20" customHeight="1" x14ac:dyDescent="0.35">
      <c r="E387" s="187"/>
    </row>
    <row r="388" spans="5:5" ht="20" customHeight="1" x14ac:dyDescent="0.35">
      <c r="E388" s="187"/>
    </row>
    <row r="389" spans="5:5" ht="20" customHeight="1" x14ac:dyDescent="0.35">
      <c r="E389" s="187"/>
    </row>
    <row r="390" spans="5:5" ht="20" customHeight="1" x14ac:dyDescent="0.35">
      <c r="E390" s="187"/>
    </row>
    <row r="391" spans="5:5" ht="20" customHeight="1" x14ac:dyDescent="0.35">
      <c r="E391" s="187"/>
    </row>
    <row r="392" spans="5:5" ht="20" customHeight="1" x14ac:dyDescent="0.35">
      <c r="E392" s="187"/>
    </row>
    <row r="393" spans="5:5" ht="20" customHeight="1" x14ac:dyDescent="0.35">
      <c r="E393" s="187"/>
    </row>
    <row r="394" spans="5:5" ht="20" customHeight="1" x14ac:dyDescent="0.35">
      <c r="E394" s="187"/>
    </row>
    <row r="395" spans="5:5" ht="20" customHeight="1" x14ac:dyDescent="0.35">
      <c r="E395" s="187"/>
    </row>
    <row r="396" spans="5:5" ht="20" customHeight="1" x14ac:dyDescent="0.35">
      <c r="E396" s="187"/>
    </row>
    <row r="397" spans="5:5" ht="20" customHeight="1" x14ac:dyDescent="0.35">
      <c r="E397" s="187"/>
    </row>
    <row r="398" spans="5:5" ht="20" customHeight="1" x14ac:dyDescent="0.35">
      <c r="E398" s="187"/>
    </row>
    <row r="399" spans="5:5" ht="20" customHeight="1" x14ac:dyDescent="0.35">
      <c r="E399" s="187"/>
    </row>
    <row r="400" spans="5:5" ht="20" customHeight="1" x14ac:dyDescent="0.35">
      <c r="E400" s="187"/>
    </row>
    <row r="401" spans="5:5" ht="20" customHeight="1" x14ac:dyDescent="0.35">
      <c r="E401" s="187"/>
    </row>
    <row r="402" spans="5:5" ht="20" customHeight="1" x14ac:dyDescent="0.35">
      <c r="E402" s="187"/>
    </row>
    <row r="403" spans="5:5" ht="20" customHeight="1" x14ac:dyDescent="0.35">
      <c r="E403" s="187"/>
    </row>
    <row r="404" spans="5:5" ht="20" customHeight="1" x14ac:dyDescent="0.35">
      <c r="E404" s="187"/>
    </row>
    <row r="405" spans="5:5" ht="20" customHeight="1" x14ac:dyDescent="0.35">
      <c r="E405" s="187"/>
    </row>
    <row r="406" spans="5:5" ht="20" customHeight="1" x14ac:dyDescent="0.35">
      <c r="E406" s="187"/>
    </row>
    <row r="407" spans="5:5" ht="20" customHeight="1" x14ac:dyDescent="0.35">
      <c r="E407" s="187"/>
    </row>
    <row r="408" spans="5:5" ht="20" customHeight="1" x14ac:dyDescent="0.35">
      <c r="E408" s="187"/>
    </row>
    <row r="409" spans="5:5" ht="20" customHeight="1" x14ac:dyDescent="0.35">
      <c r="E409" s="187"/>
    </row>
    <row r="410" spans="5:5" ht="20" customHeight="1" x14ac:dyDescent="0.35">
      <c r="E410" s="187"/>
    </row>
    <row r="411" spans="5:5" ht="20" customHeight="1" x14ac:dyDescent="0.35">
      <c r="E411" s="187"/>
    </row>
    <row r="412" spans="5:5" ht="20" customHeight="1" x14ac:dyDescent="0.35">
      <c r="E412" s="187"/>
    </row>
    <row r="413" spans="5:5" ht="20" customHeight="1" x14ac:dyDescent="0.35">
      <c r="E413" s="187"/>
    </row>
    <row r="414" spans="5:5" ht="20" customHeight="1" x14ac:dyDescent="0.35">
      <c r="E414" s="187"/>
    </row>
    <row r="415" spans="5:5" ht="20" customHeight="1" x14ac:dyDescent="0.35">
      <c r="E415" s="187"/>
    </row>
    <row r="416" spans="5:5" ht="20" customHeight="1" x14ac:dyDescent="0.35">
      <c r="E416" s="187"/>
    </row>
    <row r="417" spans="5:5" ht="20" customHeight="1" x14ac:dyDescent="0.35">
      <c r="E417" s="187"/>
    </row>
    <row r="418" spans="5:5" ht="20" customHeight="1" x14ac:dyDescent="0.35">
      <c r="E418" s="187"/>
    </row>
    <row r="419" spans="5:5" ht="20" customHeight="1" x14ac:dyDescent="0.35">
      <c r="E419" s="187"/>
    </row>
    <row r="420" spans="5:5" ht="20" customHeight="1" x14ac:dyDescent="0.35">
      <c r="E420" s="187"/>
    </row>
    <row r="421" spans="5:5" ht="20" customHeight="1" x14ac:dyDescent="0.35">
      <c r="E421" s="187"/>
    </row>
    <row r="422" spans="5:5" ht="20" customHeight="1" x14ac:dyDescent="0.35">
      <c r="E422" s="187"/>
    </row>
    <row r="423" spans="5:5" ht="20" customHeight="1" x14ac:dyDescent="0.35">
      <c r="E423" s="187"/>
    </row>
    <row r="424" spans="5:5" ht="20" customHeight="1" x14ac:dyDescent="0.35">
      <c r="E424" s="187"/>
    </row>
    <row r="425" spans="5:5" ht="20" customHeight="1" x14ac:dyDescent="0.35">
      <c r="E425" s="187"/>
    </row>
    <row r="426" spans="5:5" ht="20" customHeight="1" x14ac:dyDescent="0.35">
      <c r="E426" s="187"/>
    </row>
    <row r="427" spans="5:5" ht="20" customHeight="1" x14ac:dyDescent="0.35">
      <c r="E427" s="187"/>
    </row>
    <row r="428" spans="5:5" ht="20" customHeight="1" x14ac:dyDescent="0.35">
      <c r="E428" s="187"/>
    </row>
    <row r="429" spans="5:5" ht="20" customHeight="1" x14ac:dyDescent="0.35">
      <c r="E429" s="187"/>
    </row>
    <row r="430" spans="5:5" ht="20" customHeight="1" x14ac:dyDescent="0.35">
      <c r="E430" s="187"/>
    </row>
    <row r="431" spans="5:5" ht="20" customHeight="1" x14ac:dyDescent="0.35">
      <c r="E431" s="187"/>
    </row>
    <row r="432" spans="5:5" ht="20" customHeight="1" x14ac:dyDescent="0.35">
      <c r="E432" s="187"/>
    </row>
    <row r="433" spans="5:5" ht="20" customHeight="1" x14ac:dyDescent="0.35">
      <c r="E433" s="187"/>
    </row>
    <row r="434" spans="5:5" ht="20" customHeight="1" x14ac:dyDescent="0.35">
      <c r="E434" s="187"/>
    </row>
    <row r="435" spans="5:5" ht="20" customHeight="1" x14ac:dyDescent="0.35">
      <c r="E435" s="187"/>
    </row>
    <row r="436" spans="5:5" ht="20" customHeight="1" x14ac:dyDescent="0.35">
      <c r="E436" s="187"/>
    </row>
    <row r="437" spans="5:5" ht="20" customHeight="1" x14ac:dyDescent="0.35">
      <c r="E437" s="187"/>
    </row>
    <row r="438" spans="5:5" ht="20" customHeight="1" x14ac:dyDescent="0.35">
      <c r="E438" s="187"/>
    </row>
    <row r="439" spans="5:5" ht="20" customHeight="1" x14ac:dyDescent="0.35">
      <c r="E439" s="187"/>
    </row>
    <row r="440" spans="5:5" ht="20" customHeight="1" x14ac:dyDescent="0.35">
      <c r="E440" s="187"/>
    </row>
    <row r="441" spans="5:5" ht="20" customHeight="1" x14ac:dyDescent="0.35">
      <c r="E441" s="187"/>
    </row>
    <row r="442" spans="5:5" ht="20" customHeight="1" x14ac:dyDescent="0.35">
      <c r="E442" s="187"/>
    </row>
    <row r="443" spans="5:5" ht="20" customHeight="1" x14ac:dyDescent="0.35">
      <c r="E443" s="187"/>
    </row>
    <row r="444" spans="5:5" ht="20" customHeight="1" x14ac:dyDescent="0.35">
      <c r="E444" s="187"/>
    </row>
    <row r="445" spans="5:5" ht="20" customHeight="1" x14ac:dyDescent="0.35">
      <c r="E445" s="187"/>
    </row>
    <row r="446" spans="5:5" ht="20" customHeight="1" x14ac:dyDescent="0.35">
      <c r="E446" s="187"/>
    </row>
    <row r="447" spans="5:5" ht="20" customHeight="1" x14ac:dyDescent="0.35">
      <c r="E447" s="187"/>
    </row>
    <row r="448" spans="5:5" ht="20" customHeight="1" x14ac:dyDescent="0.35">
      <c r="E448" s="187"/>
    </row>
    <row r="449" spans="5:5" ht="20" customHeight="1" x14ac:dyDescent="0.35">
      <c r="E449" s="187"/>
    </row>
    <row r="450" spans="5:5" ht="20" customHeight="1" x14ac:dyDescent="0.35">
      <c r="E450" s="187"/>
    </row>
    <row r="451" spans="5:5" ht="20" customHeight="1" x14ac:dyDescent="0.35">
      <c r="E451" s="187"/>
    </row>
    <row r="452" spans="5:5" ht="20" customHeight="1" x14ac:dyDescent="0.35">
      <c r="E452" s="187"/>
    </row>
    <row r="453" spans="5:5" ht="20" customHeight="1" x14ac:dyDescent="0.35">
      <c r="E453" s="187"/>
    </row>
    <row r="454" spans="5:5" ht="20" customHeight="1" x14ac:dyDescent="0.35">
      <c r="E454" s="187"/>
    </row>
    <row r="455" spans="5:5" ht="20" customHeight="1" x14ac:dyDescent="0.35">
      <c r="E455" s="187"/>
    </row>
    <row r="456" spans="5:5" ht="20" customHeight="1" x14ac:dyDescent="0.35">
      <c r="E456" s="187"/>
    </row>
    <row r="457" spans="5:5" ht="20" customHeight="1" x14ac:dyDescent="0.35">
      <c r="E457" s="187"/>
    </row>
    <row r="458" spans="5:5" ht="20" customHeight="1" x14ac:dyDescent="0.35">
      <c r="E458" s="187"/>
    </row>
    <row r="459" spans="5:5" ht="20" customHeight="1" x14ac:dyDescent="0.35">
      <c r="E459" s="187"/>
    </row>
    <row r="460" spans="5:5" ht="20" customHeight="1" x14ac:dyDescent="0.35">
      <c r="E460" s="187"/>
    </row>
    <row r="461" spans="5:5" ht="20" customHeight="1" x14ac:dyDescent="0.35">
      <c r="E461" s="187"/>
    </row>
    <row r="462" spans="5:5" ht="20" customHeight="1" x14ac:dyDescent="0.35">
      <c r="E462" s="187"/>
    </row>
    <row r="463" spans="5:5" ht="20" customHeight="1" x14ac:dyDescent="0.35">
      <c r="E463" s="187"/>
    </row>
    <row r="464" spans="5:5" ht="20" customHeight="1" x14ac:dyDescent="0.35">
      <c r="E464" s="187"/>
    </row>
    <row r="465" spans="5:5" ht="20" customHeight="1" x14ac:dyDescent="0.35">
      <c r="E465" s="187"/>
    </row>
    <row r="466" spans="5:5" ht="20" customHeight="1" x14ac:dyDescent="0.35">
      <c r="E466" s="187"/>
    </row>
    <row r="467" spans="5:5" ht="20" customHeight="1" x14ac:dyDescent="0.35">
      <c r="E467" s="187"/>
    </row>
    <row r="468" spans="5:5" ht="20" customHeight="1" x14ac:dyDescent="0.35">
      <c r="E468" s="187"/>
    </row>
    <row r="469" spans="5:5" ht="20" customHeight="1" x14ac:dyDescent="0.35">
      <c r="E469" s="187"/>
    </row>
    <row r="470" spans="5:5" ht="20" customHeight="1" x14ac:dyDescent="0.35">
      <c r="E470" s="187"/>
    </row>
    <row r="471" spans="5:5" ht="20" customHeight="1" x14ac:dyDescent="0.35">
      <c r="E471" s="187"/>
    </row>
    <row r="472" spans="5:5" ht="20" customHeight="1" x14ac:dyDescent="0.35">
      <c r="E472" s="187"/>
    </row>
    <row r="473" spans="5:5" ht="20" customHeight="1" x14ac:dyDescent="0.35">
      <c r="E473" s="187"/>
    </row>
    <row r="474" spans="5:5" ht="20" customHeight="1" x14ac:dyDescent="0.35">
      <c r="E474" s="187"/>
    </row>
    <row r="475" spans="5:5" ht="20" customHeight="1" x14ac:dyDescent="0.35">
      <c r="E475" s="187"/>
    </row>
    <row r="476" spans="5:5" ht="20" customHeight="1" x14ac:dyDescent="0.35">
      <c r="E476" s="187"/>
    </row>
    <row r="477" spans="5:5" ht="20" customHeight="1" x14ac:dyDescent="0.35">
      <c r="E477" s="187"/>
    </row>
    <row r="478" spans="5:5" ht="20" customHeight="1" x14ac:dyDescent="0.35">
      <c r="E478" s="187"/>
    </row>
    <row r="479" spans="5:5" ht="20" customHeight="1" x14ac:dyDescent="0.35">
      <c r="E479" s="187"/>
    </row>
    <row r="480" spans="5:5" ht="20" customHeight="1" x14ac:dyDescent="0.35">
      <c r="E480" s="187"/>
    </row>
    <row r="481" spans="5:5" ht="20" customHeight="1" x14ac:dyDescent="0.35">
      <c r="E481" s="187"/>
    </row>
    <row r="482" spans="5:5" ht="20" customHeight="1" x14ac:dyDescent="0.35">
      <c r="E482" s="187"/>
    </row>
    <row r="483" spans="5:5" ht="20" customHeight="1" x14ac:dyDescent="0.35">
      <c r="E483" s="187"/>
    </row>
    <row r="484" spans="5:5" ht="20" customHeight="1" x14ac:dyDescent="0.35">
      <c r="E484" s="187"/>
    </row>
    <row r="485" spans="5:5" ht="20" customHeight="1" x14ac:dyDescent="0.35">
      <c r="E485" s="187"/>
    </row>
    <row r="486" spans="5:5" ht="20" customHeight="1" x14ac:dyDescent="0.35">
      <c r="E486" s="187"/>
    </row>
    <row r="487" spans="5:5" ht="20" customHeight="1" x14ac:dyDescent="0.35">
      <c r="E487" s="187"/>
    </row>
    <row r="488" spans="5:5" ht="20" customHeight="1" x14ac:dyDescent="0.35">
      <c r="E488" s="187"/>
    </row>
    <row r="489" spans="5:5" ht="20" customHeight="1" x14ac:dyDescent="0.35">
      <c r="E489" s="187"/>
    </row>
    <row r="490" spans="5:5" ht="20" customHeight="1" x14ac:dyDescent="0.35">
      <c r="E490" s="187"/>
    </row>
    <row r="491" spans="5:5" ht="20" customHeight="1" x14ac:dyDescent="0.35">
      <c r="E491" s="187"/>
    </row>
    <row r="492" spans="5:5" ht="20" customHeight="1" x14ac:dyDescent="0.35">
      <c r="E492" s="187"/>
    </row>
    <row r="493" spans="5:5" ht="20" customHeight="1" x14ac:dyDescent="0.35">
      <c r="E493" s="187"/>
    </row>
    <row r="494" spans="5:5" ht="20" customHeight="1" x14ac:dyDescent="0.35">
      <c r="E494" s="187"/>
    </row>
    <row r="495" spans="5:5" ht="20" customHeight="1" x14ac:dyDescent="0.35">
      <c r="E495" s="187"/>
    </row>
    <row r="496" spans="5:5" ht="20" customHeight="1" x14ac:dyDescent="0.35">
      <c r="E496" s="187"/>
    </row>
    <row r="497" spans="5:5" ht="20" customHeight="1" x14ac:dyDescent="0.35">
      <c r="E497" s="187"/>
    </row>
    <row r="498" spans="5:5" ht="20" customHeight="1" x14ac:dyDescent="0.35">
      <c r="E498" s="187"/>
    </row>
    <row r="499" spans="5:5" ht="20" customHeight="1" x14ac:dyDescent="0.35">
      <c r="E499" s="187"/>
    </row>
    <row r="500" spans="5:5" ht="20" customHeight="1" x14ac:dyDescent="0.35">
      <c r="E500" s="187"/>
    </row>
    <row r="501" spans="5:5" ht="20" customHeight="1" x14ac:dyDescent="0.35">
      <c r="E501" s="187"/>
    </row>
    <row r="502" spans="5:5" ht="20" customHeight="1" x14ac:dyDescent="0.35">
      <c r="E502" s="187"/>
    </row>
    <row r="503" spans="5:5" ht="20" customHeight="1" x14ac:dyDescent="0.35">
      <c r="E503" s="187"/>
    </row>
    <row r="504" spans="5:5" ht="20" customHeight="1" x14ac:dyDescent="0.35">
      <c r="E504" s="187"/>
    </row>
    <row r="505" spans="5:5" ht="20" customHeight="1" x14ac:dyDescent="0.35">
      <c r="E505" s="187"/>
    </row>
    <row r="506" spans="5:5" ht="20" customHeight="1" x14ac:dyDescent="0.35">
      <c r="E506" s="187"/>
    </row>
    <row r="507" spans="5:5" ht="20" customHeight="1" x14ac:dyDescent="0.35">
      <c r="E507" s="187"/>
    </row>
    <row r="508" spans="5:5" ht="20" customHeight="1" x14ac:dyDescent="0.35">
      <c r="E508" s="187"/>
    </row>
    <row r="509" spans="5:5" ht="20" customHeight="1" x14ac:dyDescent="0.35">
      <c r="E509" s="187"/>
    </row>
    <row r="510" spans="5:5" ht="20" customHeight="1" x14ac:dyDescent="0.35">
      <c r="E510" s="187"/>
    </row>
    <row r="511" spans="5:5" ht="20" customHeight="1" x14ac:dyDescent="0.35">
      <c r="E511" s="187"/>
    </row>
    <row r="512" spans="5:5" ht="20" customHeight="1" x14ac:dyDescent="0.35">
      <c r="E512" s="187"/>
    </row>
    <row r="513" spans="5:5" ht="20" customHeight="1" x14ac:dyDescent="0.35">
      <c r="E513" s="187"/>
    </row>
    <row r="514" spans="5:5" ht="20" customHeight="1" x14ac:dyDescent="0.35">
      <c r="E514" s="187"/>
    </row>
    <row r="515" spans="5:5" ht="20" customHeight="1" x14ac:dyDescent="0.35">
      <c r="E515" s="187"/>
    </row>
    <row r="516" spans="5:5" ht="20" customHeight="1" x14ac:dyDescent="0.35">
      <c r="E516" s="187"/>
    </row>
    <row r="517" spans="5:5" ht="20" customHeight="1" x14ac:dyDescent="0.35">
      <c r="E517" s="187"/>
    </row>
    <row r="518" spans="5:5" ht="20" customHeight="1" x14ac:dyDescent="0.35">
      <c r="E518" s="187"/>
    </row>
    <row r="519" spans="5:5" ht="20" customHeight="1" x14ac:dyDescent="0.35">
      <c r="E519" s="187"/>
    </row>
    <row r="520" spans="5:5" ht="20" customHeight="1" x14ac:dyDescent="0.35">
      <c r="E520" s="187"/>
    </row>
    <row r="521" spans="5:5" ht="20" customHeight="1" x14ac:dyDescent="0.35">
      <c r="E521" s="187"/>
    </row>
    <row r="522" spans="5:5" ht="20" customHeight="1" x14ac:dyDescent="0.35">
      <c r="E522" s="187"/>
    </row>
    <row r="523" spans="5:5" ht="20" customHeight="1" x14ac:dyDescent="0.35">
      <c r="E523" s="187"/>
    </row>
    <row r="524" spans="5:5" ht="20" customHeight="1" x14ac:dyDescent="0.35">
      <c r="E524" s="187"/>
    </row>
    <row r="525" spans="5:5" ht="20" customHeight="1" x14ac:dyDescent="0.35">
      <c r="E525" s="187"/>
    </row>
    <row r="526" spans="5:5" ht="20" customHeight="1" x14ac:dyDescent="0.35">
      <c r="E526" s="187"/>
    </row>
    <row r="527" spans="5:5" ht="20" customHeight="1" x14ac:dyDescent="0.35">
      <c r="E527" s="187"/>
    </row>
    <row r="528" spans="5:5" ht="20" customHeight="1" x14ac:dyDescent="0.35">
      <c r="E528" s="187"/>
    </row>
    <row r="529" spans="5:5" ht="20" customHeight="1" x14ac:dyDescent="0.35">
      <c r="E529" s="187"/>
    </row>
    <row r="530" spans="5:5" ht="20" customHeight="1" x14ac:dyDescent="0.35">
      <c r="E530" s="187"/>
    </row>
    <row r="531" spans="5:5" ht="20" customHeight="1" x14ac:dyDescent="0.35">
      <c r="E531" s="187"/>
    </row>
    <row r="532" spans="5:5" ht="20" customHeight="1" x14ac:dyDescent="0.35">
      <c r="E532" s="187"/>
    </row>
    <row r="533" spans="5:5" ht="20" customHeight="1" x14ac:dyDescent="0.35">
      <c r="E533" s="187"/>
    </row>
    <row r="534" spans="5:5" ht="20" customHeight="1" x14ac:dyDescent="0.35">
      <c r="E534" s="187"/>
    </row>
    <row r="535" spans="5:5" ht="20" customHeight="1" x14ac:dyDescent="0.35">
      <c r="E535" s="187"/>
    </row>
    <row r="536" spans="5:5" ht="20" customHeight="1" x14ac:dyDescent="0.35">
      <c r="E536" s="187"/>
    </row>
    <row r="537" spans="5:5" ht="20" customHeight="1" x14ac:dyDescent="0.35">
      <c r="E537" s="187"/>
    </row>
    <row r="538" spans="5:5" ht="20" customHeight="1" x14ac:dyDescent="0.35">
      <c r="E538" s="187"/>
    </row>
    <row r="539" spans="5:5" ht="20" customHeight="1" x14ac:dyDescent="0.35">
      <c r="E539" s="187"/>
    </row>
    <row r="540" spans="5:5" ht="20" customHeight="1" x14ac:dyDescent="0.35">
      <c r="E540" s="187"/>
    </row>
    <row r="541" spans="5:5" ht="20" customHeight="1" x14ac:dyDescent="0.35">
      <c r="E541" s="187"/>
    </row>
    <row r="542" spans="5:5" ht="20" customHeight="1" x14ac:dyDescent="0.35">
      <c r="E542" s="187"/>
    </row>
    <row r="543" spans="5:5" ht="20" customHeight="1" x14ac:dyDescent="0.35">
      <c r="E543" s="187"/>
    </row>
    <row r="544" spans="5:5" ht="20" customHeight="1" x14ac:dyDescent="0.35">
      <c r="E544" s="187"/>
    </row>
    <row r="545" spans="5:5" ht="20" customHeight="1" x14ac:dyDescent="0.35">
      <c r="E545" s="187"/>
    </row>
    <row r="546" spans="5:5" ht="20" customHeight="1" x14ac:dyDescent="0.35">
      <c r="E546" s="187"/>
    </row>
    <row r="547" spans="5:5" ht="20" customHeight="1" x14ac:dyDescent="0.35">
      <c r="E547" s="187"/>
    </row>
    <row r="548" spans="5:5" ht="20" customHeight="1" x14ac:dyDescent="0.35">
      <c r="E548" s="187"/>
    </row>
    <row r="549" spans="5:5" ht="20" customHeight="1" x14ac:dyDescent="0.35">
      <c r="E549" s="187"/>
    </row>
    <row r="550" spans="5:5" ht="20" customHeight="1" x14ac:dyDescent="0.35">
      <c r="E550" s="187"/>
    </row>
    <row r="551" spans="5:5" ht="20" customHeight="1" x14ac:dyDescent="0.35">
      <c r="E551" s="187"/>
    </row>
    <row r="552" spans="5:5" ht="20" customHeight="1" x14ac:dyDescent="0.35">
      <c r="E552" s="187"/>
    </row>
    <row r="553" spans="5:5" ht="20" customHeight="1" x14ac:dyDescent="0.35">
      <c r="E553" s="187"/>
    </row>
    <row r="554" spans="5:5" ht="20" customHeight="1" x14ac:dyDescent="0.35">
      <c r="E554" s="187"/>
    </row>
    <row r="555" spans="5:5" ht="20" customHeight="1" x14ac:dyDescent="0.35">
      <c r="E555" s="187"/>
    </row>
    <row r="556" spans="5:5" ht="20" customHeight="1" x14ac:dyDescent="0.35">
      <c r="E556" s="187"/>
    </row>
    <row r="557" spans="5:5" ht="20" customHeight="1" x14ac:dyDescent="0.35">
      <c r="E557" s="187"/>
    </row>
    <row r="558" spans="5:5" ht="20" customHeight="1" x14ac:dyDescent="0.35">
      <c r="E558" s="187"/>
    </row>
    <row r="559" spans="5:5" ht="20" customHeight="1" x14ac:dyDescent="0.35">
      <c r="E559" s="187"/>
    </row>
    <row r="560" spans="5:5" ht="20" customHeight="1" x14ac:dyDescent="0.35">
      <c r="E560" s="187"/>
    </row>
    <row r="561" spans="5:5" ht="20" customHeight="1" x14ac:dyDescent="0.35">
      <c r="E561" s="187"/>
    </row>
    <row r="562" spans="5:5" ht="20" customHeight="1" x14ac:dyDescent="0.35">
      <c r="E562" s="187"/>
    </row>
    <row r="563" spans="5:5" ht="20" customHeight="1" x14ac:dyDescent="0.35">
      <c r="E563" s="187"/>
    </row>
    <row r="564" spans="5:5" ht="20" customHeight="1" x14ac:dyDescent="0.35">
      <c r="E564" s="187"/>
    </row>
    <row r="565" spans="5:5" ht="20" customHeight="1" x14ac:dyDescent="0.35">
      <c r="E565" s="187"/>
    </row>
    <row r="566" spans="5:5" ht="20" customHeight="1" x14ac:dyDescent="0.35">
      <c r="E566" s="187"/>
    </row>
    <row r="567" spans="5:5" ht="20" customHeight="1" x14ac:dyDescent="0.35">
      <c r="E567" s="187"/>
    </row>
    <row r="568" spans="5:5" ht="20" customHeight="1" x14ac:dyDescent="0.35">
      <c r="E568" s="187"/>
    </row>
    <row r="569" spans="5:5" ht="20" customHeight="1" x14ac:dyDescent="0.35">
      <c r="E569" s="187"/>
    </row>
    <row r="570" spans="5:5" ht="20" customHeight="1" x14ac:dyDescent="0.35">
      <c r="E570" s="187"/>
    </row>
    <row r="571" spans="5:5" ht="20" customHeight="1" x14ac:dyDescent="0.35">
      <c r="E571" s="187"/>
    </row>
    <row r="572" spans="5:5" ht="20" customHeight="1" x14ac:dyDescent="0.35">
      <c r="E572" s="187"/>
    </row>
    <row r="573" spans="5:5" ht="20" customHeight="1" x14ac:dyDescent="0.35">
      <c r="E573" s="187"/>
    </row>
    <row r="574" spans="5:5" ht="20" customHeight="1" x14ac:dyDescent="0.35">
      <c r="E574" s="187"/>
    </row>
    <row r="575" spans="5:5" ht="20" customHeight="1" x14ac:dyDescent="0.35">
      <c r="E575" s="187"/>
    </row>
    <row r="576" spans="5:5" ht="20" customHeight="1" x14ac:dyDescent="0.35">
      <c r="E576" s="187"/>
    </row>
    <row r="577" spans="5:5" ht="20" customHeight="1" x14ac:dyDescent="0.35">
      <c r="E577" s="187"/>
    </row>
    <row r="578" spans="5:5" ht="20" customHeight="1" x14ac:dyDescent="0.35">
      <c r="E578" s="187"/>
    </row>
    <row r="579" spans="5:5" ht="20" customHeight="1" x14ac:dyDescent="0.35">
      <c r="E579" s="187"/>
    </row>
    <row r="580" spans="5:5" ht="20" customHeight="1" x14ac:dyDescent="0.35">
      <c r="E580" s="187"/>
    </row>
    <row r="581" spans="5:5" ht="20" customHeight="1" x14ac:dyDescent="0.35">
      <c r="E581" s="187"/>
    </row>
    <row r="582" spans="5:5" ht="20" customHeight="1" x14ac:dyDescent="0.35">
      <c r="E582" s="187"/>
    </row>
    <row r="583" spans="5:5" ht="20" customHeight="1" x14ac:dyDescent="0.35">
      <c r="E583" s="187"/>
    </row>
    <row r="584" spans="5:5" ht="20" customHeight="1" x14ac:dyDescent="0.35">
      <c r="E584" s="187"/>
    </row>
    <row r="585" spans="5:5" ht="20" customHeight="1" x14ac:dyDescent="0.35">
      <c r="E585" s="187"/>
    </row>
    <row r="586" spans="5:5" ht="20" customHeight="1" x14ac:dyDescent="0.35">
      <c r="E586" s="187"/>
    </row>
    <row r="587" spans="5:5" ht="20" customHeight="1" x14ac:dyDescent="0.35">
      <c r="E587" s="187"/>
    </row>
    <row r="588" spans="5:5" ht="20" customHeight="1" x14ac:dyDescent="0.35">
      <c r="E588" s="187"/>
    </row>
    <row r="589" spans="5:5" ht="20" customHeight="1" x14ac:dyDescent="0.35">
      <c r="E589" s="187"/>
    </row>
    <row r="590" spans="5:5" ht="20" customHeight="1" x14ac:dyDescent="0.35">
      <c r="E590" s="187"/>
    </row>
    <row r="591" spans="5:5" ht="20" customHeight="1" x14ac:dyDescent="0.35">
      <c r="E591" s="187"/>
    </row>
    <row r="592" spans="5:5" ht="20" customHeight="1" x14ac:dyDescent="0.35">
      <c r="E592" s="187"/>
    </row>
    <row r="593" spans="5:5" ht="20" customHeight="1" x14ac:dyDescent="0.35">
      <c r="E593" s="187"/>
    </row>
    <row r="594" spans="5:5" ht="20" customHeight="1" x14ac:dyDescent="0.35">
      <c r="E594" s="187"/>
    </row>
    <row r="595" spans="5:5" ht="20" customHeight="1" x14ac:dyDescent="0.35">
      <c r="E595" s="187"/>
    </row>
    <row r="596" spans="5:5" ht="20" customHeight="1" x14ac:dyDescent="0.35">
      <c r="E596" s="187"/>
    </row>
    <row r="597" spans="5:5" ht="20" customHeight="1" x14ac:dyDescent="0.35">
      <c r="E597" s="187"/>
    </row>
    <row r="598" spans="5:5" ht="20" customHeight="1" x14ac:dyDescent="0.35">
      <c r="E598" s="187"/>
    </row>
    <row r="599" spans="5:5" ht="20" customHeight="1" x14ac:dyDescent="0.35">
      <c r="E599" s="187"/>
    </row>
    <row r="600" spans="5:5" ht="20" customHeight="1" x14ac:dyDescent="0.35">
      <c r="E600" s="187"/>
    </row>
    <row r="601" spans="5:5" ht="20" customHeight="1" x14ac:dyDescent="0.35">
      <c r="E601" s="187"/>
    </row>
    <row r="602" spans="5:5" ht="20" customHeight="1" x14ac:dyDescent="0.35">
      <c r="E602" s="187"/>
    </row>
    <row r="603" spans="5:5" ht="20" customHeight="1" x14ac:dyDescent="0.35">
      <c r="E603" s="187"/>
    </row>
    <row r="604" spans="5:5" ht="20" customHeight="1" x14ac:dyDescent="0.35">
      <c r="E604" s="187"/>
    </row>
    <row r="605" spans="5:5" ht="20" customHeight="1" x14ac:dyDescent="0.35">
      <c r="E605" s="187"/>
    </row>
    <row r="606" spans="5:5" ht="20" customHeight="1" x14ac:dyDescent="0.35">
      <c r="E606" s="187"/>
    </row>
    <row r="607" spans="5:5" ht="20" customHeight="1" x14ac:dyDescent="0.35">
      <c r="E607" s="187"/>
    </row>
    <row r="608" spans="5:5" ht="20" customHeight="1" x14ac:dyDescent="0.35">
      <c r="E608" s="187"/>
    </row>
    <row r="609" spans="5:5" ht="20" customHeight="1" x14ac:dyDescent="0.35">
      <c r="E609" s="187"/>
    </row>
    <row r="610" spans="5:5" ht="20" customHeight="1" x14ac:dyDescent="0.35">
      <c r="E610" s="187"/>
    </row>
    <row r="611" spans="5:5" ht="20" customHeight="1" x14ac:dyDescent="0.35">
      <c r="E611" s="187"/>
    </row>
    <row r="612" spans="5:5" ht="20" customHeight="1" x14ac:dyDescent="0.35">
      <c r="E612" s="187"/>
    </row>
    <row r="613" spans="5:5" ht="20" customHeight="1" x14ac:dyDescent="0.35">
      <c r="E613" s="187"/>
    </row>
    <row r="614" spans="5:5" ht="20" customHeight="1" x14ac:dyDescent="0.35">
      <c r="E614" s="187"/>
    </row>
    <row r="615" spans="5:5" ht="20" customHeight="1" x14ac:dyDescent="0.35">
      <c r="E615" s="187"/>
    </row>
    <row r="616" spans="5:5" ht="20" customHeight="1" x14ac:dyDescent="0.35">
      <c r="E616" s="187"/>
    </row>
    <row r="617" spans="5:5" ht="20" customHeight="1" x14ac:dyDescent="0.35">
      <c r="E617" s="187"/>
    </row>
    <row r="618" spans="5:5" ht="20" customHeight="1" x14ac:dyDescent="0.35">
      <c r="E618" s="187"/>
    </row>
    <row r="619" spans="5:5" ht="20" customHeight="1" x14ac:dyDescent="0.35">
      <c r="E619" s="187"/>
    </row>
    <row r="620" spans="5:5" ht="20" customHeight="1" x14ac:dyDescent="0.35">
      <c r="E620" s="187"/>
    </row>
    <row r="621" spans="5:5" ht="20" customHeight="1" x14ac:dyDescent="0.35">
      <c r="E621" s="187"/>
    </row>
    <row r="622" spans="5:5" ht="20" customHeight="1" x14ac:dyDescent="0.35">
      <c r="E622" s="187"/>
    </row>
    <row r="623" spans="5:5" ht="20" customHeight="1" x14ac:dyDescent="0.35">
      <c r="E623" s="187"/>
    </row>
    <row r="624" spans="5:5" ht="20" customHeight="1" x14ac:dyDescent="0.35">
      <c r="E624" s="187"/>
    </row>
    <row r="625" spans="5:5" ht="20" customHeight="1" x14ac:dyDescent="0.35">
      <c r="E625" s="187"/>
    </row>
    <row r="626" spans="5:5" ht="20" customHeight="1" x14ac:dyDescent="0.35">
      <c r="E626" s="187"/>
    </row>
    <row r="627" spans="5:5" ht="20" customHeight="1" x14ac:dyDescent="0.35">
      <c r="E627" s="187"/>
    </row>
    <row r="628" spans="5:5" ht="20" customHeight="1" x14ac:dyDescent="0.35">
      <c r="E628" s="187"/>
    </row>
    <row r="629" spans="5:5" ht="20" customHeight="1" x14ac:dyDescent="0.35">
      <c r="E629" s="187"/>
    </row>
    <row r="630" spans="5:5" ht="20" customHeight="1" x14ac:dyDescent="0.35">
      <c r="E630" s="187"/>
    </row>
    <row r="631" spans="5:5" ht="20" customHeight="1" x14ac:dyDescent="0.35">
      <c r="E631" s="187"/>
    </row>
    <row r="632" spans="5:5" ht="20" customHeight="1" x14ac:dyDescent="0.35">
      <c r="E632" s="187"/>
    </row>
    <row r="633" spans="5:5" ht="20" customHeight="1" x14ac:dyDescent="0.35">
      <c r="E633" s="187"/>
    </row>
    <row r="634" spans="5:5" ht="20" customHeight="1" x14ac:dyDescent="0.35">
      <c r="E634" s="187"/>
    </row>
    <row r="635" spans="5:5" ht="20" customHeight="1" x14ac:dyDescent="0.35">
      <c r="E635" s="187"/>
    </row>
    <row r="636" spans="5:5" ht="20" customHeight="1" x14ac:dyDescent="0.35">
      <c r="E636" s="187"/>
    </row>
    <row r="637" spans="5:5" ht="20" customHeight="1" x14ac:dyDescent="0.35">
      <c r="E637" s="187"/>
    </row>
    <row r="638" spans="5:5" ht="20" customHeight="1" x14ac:dyDescent="0.35">
      <c r="E638" s="187"/>
    </row>
    <row r="639" spans="5:5" ht="20" customHeight="1" x14ac:dyDescent="0.35">
      <c r="E639" s="187"/>
    </row>
    <row r="640" spans="5:5" ht="20" customHeight="1" x14ac:dyDescent="0.35">
      <c r="E640" s="187"/>
    </row>
    <row r="641" spans="5:5" ht="20" customHeight="1" x14ac:dyDescent="0.35">
      <c r="E641" s="187"/>
    </row>
    <row r="642" spans="5:5" ht="20" customHeight="1" x14ac:dyDescent="0.35">
      <c r="E642" s="187"/>
    </row>
    <row r="643" spans="5:5" ht="20" customHeight="1" x14ac:dyDescent="0.35">
      <c r="E643" s="187"/>
    </row>
    <row r="644" spans="5:5" ht="20" customHeight="1" x14ac:dyDescent="0.35">
      <c r="E644" s="187"/>
    </row>
    <row r="645" spans="5:5" ht="20" customHeight="1" x14ac:dyDescent="0.35">
      <c r="E645" s="187"/>
    </row>
    <row r="646" spans="5:5" ht="20" customHeight="1" x14ac:dyDescent="0.35">
      <c r="E646" s="187"/>
    </row>
    <row r="647" spans="5:5" ht="20" customHeight="1" x14ac:dyDescent="0.35">
      <c r="E647" s="187"/>
    </row>
    <row r="648" spans="5:5" ht="20" customHeight="1" x14ac:dyDescent="0.35">
      <c r="E648" s="187"/>
    </row>
    <row r="649" spans="5:5" ht="20" customHeight="1" x14ac:dyDescent="0.35">
      <c r="E649" s="187"/>
    </row>
    <row r="650" spans="5:5" ht="20" customHeight="1" x14ac:dyDescent="0.35">
      <c r="E650" s="187"/>
    </row>
    <row r="651" spans="5:5" ht="20" customHeight="1" x14ac:dyDescent="0.35">
      <c r="E651" s="187"/>
    </row>
    <row r="652" spans="5:5" ht="20" customHeight="1" x14ac:dyDescent="0.35">
      <c r="E652" s="187"/>
    </row>
    <row r="653" spans="5:5" ht="20" customHeight="1" x14ac:dyDescent="0.35">
      <c r="E653" s="187"/>
    </row>
    <row r="654" spans="5:5" ht="20" customHeight="1" x14ac:dyDescent="0.35">
      <c r="E654" s="187"/>
    </row>
    <row r="655" spans="5:5" ht="20" customHeight="1" x14ac:dyDescent="0.35">
      <c r="E655" s="187"/>
    </row>
    <row r="656" spans="5:5" ht="20" customHeight="1" x14ac:dyDescent="0.35">
      <c r="E656" s="187"/>
    </row>
    <row r="657" spans="5:5" ht="20" customHeight="1" x14ac:dyDescent="0.35">
      <c r="E657" s="187"/>
    </row>
    <row r="658" spans="5:5" ht="20" customHeight="1" x14ac:dyDescent="0.35">
      <c r="E658" s="187"/>
    </row>
    <row r="659" spans="5:5" ht="20" customHeight="1" x14ac:dyDescent="0.35">
      <c r="E659" s="187"/>
    </row>
    <row r="660" spans="5:5" ht="20" customHeight="1" x14ac:dyDescent="0.35">
      <c r="E660" s="187"/>
    </row>
    <row r="661" spans="5:5" ht="20" customHeight="1" x14ac:dyDescent="0.35">
      <c r="E661" s="187"/>
    </row>
    <row r="662" spans="5:5" ht="20" customHeight="1" x14ac:dyDescent="0.35">
      <c r="E662" s="187"/>
    </row>
    <row r="663" spans="5:5" ht="20" customHeight="1" x14ac:dyDescent="0.35">
      <c r="E663" s="187"/>
    </row>
    <row r="664" spans="5:5" ht="20" customHeight="1" x14ac:dyDescent="0.35">
      <c r="E664" s="187"/>
    </row>
    <row r="665" spans="5:5" ht="20" customHeight="1" x14ac:dyDescent="0.35">
      <c r="E665" s="187"/>
    </row>
    <row r="666" spans="5:5" ht="20" customHeight="1" x14ac:dyDescent="0.35">
      <c r="E666" s="187"/>
    </row>
    <row r="667" spans="5:5" ht="20" customHeight="1" x14ac:dyDescent="0.35">
      <c r="E667" s="187"/>
    </row>
    <row r="668" spans="5:5" ht="20" customHeight="1" x14ac:dyDescent="0.35">
      <c r="E668" s="187"/>
    </row>
    <row r="669" spans="5:5" ht="20" customHeight="1" x14ac:dyDescent="0.35">
      <c r="E669" s="187"/>
    </row>
    <row r="670" spans="5:5" ht="20" customHeight="1" x14ac:dyDescent="0.35">
      <c r="E670" s="187"/>
    </row>
    <row r="671" spans="5:5" ht="20" customHeight="1" x14ac:dyDescent="0.35">
      <c r="E671" s="187"/>
    </row>
    <row r="672" spans="5:5" ht="20" customHeight="1" x14ac:dyDescent="0.35">
      <c r="E672" s="187"/>
    </row>
    <row r="673" spans="5:5" ht="20" customHeight="1" x14ac:dyDescent="0.35">
      <c r="E673" s="187"/>
    </row>
    <row r="674" spans="5:5" ht="20" customHeight="1" x14ac:dyDescent="0.35">
      <c r="E674" s="187"/>
    </row>
    <row r="675" spans="5:5" ht="20" customHeight="1" x14ac:dyDescent="0.35">
      <c r="E675" s="187"/>
    </row>
    <row r="676" spans="5:5" ht="20" customHeight="1" x14ac:dyDescent="0.35">
      <c r="E676" s="187"/>
    </row>
    <row r="677" spans="5:5" ht="20" customHeight="1" x14ac:dyDescent="0.35">
      <c r="E677" s="187"/>
    </row>
    <row r="678" spans="5:5" ht="20" customHeight="1" x14ac:dyDescent="0.35">
      <c r="E678" s="187"/>
    </row>
    <row r="679" spans="5:5" ht="20" customHeight="1" x14ac:dyDescent="0.35">
      <c r="E679" s="187"/>
    </row>
    <row r="680" spans="5:5" ht="20" customHeight="1" x14ac:dyDescent="0.35">
      <c r="E680" s="187"/>
    </row>
    <row r="681" spans="5:5" ht="20" customHeight="1" x14ac:dyDescent="0.35">
      <c r="E681" s="187"/>
    </row>
    <row r="682" spans="5:5" ht="20" customHeight="1" x14ac:dyDescent="0.35">
      <c r="E682" s="187"/>
    </row>
    <row r="683" spans="5:5" ht="20" customHeight="1" x14ac:dyDescent="0.35">
      <c r="E683" s="187"/>
    </row>
    <row r="684" spans="5:5" ht="20" customHeight="1" x14ac:dyDescent="0.35">
      <c r="E684" s="187"/>
    </row>
    <row r="685" spans="5:5" ht="20" customHeight="1" x14ac:dyDescent="0.35">
      <c r="E685" s="187"/>
    </row>
    <row r="686" spans="5:5" ht="20" customHeight="1" x14ac:dyDescent="0.35">
      <c r="E686" s="187"/>
    </row>
    <row r="687" spans="5:5" ht="20" customHeight="1" x14ac:dyDescent="0.35">
      <c r="E687" s="187"/>
    </row>
    <row r="688" spans="5:5" ht="20" customHeight="1" x14ac:dyDescent="0.35">
      <c r="E688" s="187"/>
    </row>
    <row r="689" spans="5:5" ht="20" customHeight="1" x14ac:dyDescent="0.35">
      <c r="E689" s="187"/>
    </row>
    <row r="690" spans="5:5" ht="20" customHeight="1" x14ac:dyDescent="0.35">
      <c r="E690" s="187"/>
    </row>
    <row r="691" spans="5:5" ht="20" customHeight="1" x14ac:dyDescent="0.35">
      <c r="E691" s="187"/>
    </row>
    <row r="692" spans="5:5" ht="20" customHeight="1" x14ac:dyDescent="0.35">
      <c r="E692" s="187"/>
    </row>
    <row r="693" spans="5:5" ht="20" customHeight="1" x14ac:dyDescent="0.35">
      <c r="E693" s="187"/>
    </row>
    <row r="694" spans="5:5" ht="20" customHeight="1" x14ac:dyDescent="0.35">
      <c r="E694" s="187"/>
    </row>
    <row r="695" spans="5:5" ht="20" customHeight="1" x14ac:dyDescent="0.35">
      <c r="E695" s="187"/>
    </row>
    <row r="696" spans="5:5" ht="20" customHeight="1" x14ac:dyDescent="0.35">
      <c r="E696" s="187"/>
    </row>
    <row r="697" spans="5:5" ht="20" customHeight="1" x14ac:dyDescent="0.35">
      <c r="E697" s="187"/>
    </row>
    <row r="698" spans="5:5" ht="20" customHeight="1" x14ac:dyDescent="0.35">
      <c r="E698" s="187"/>
    </row>
    <row r="699" spans="5:5" ht="20" customHeight="1" x14ac:dyDescent="0.35">
      <c r="E699" s="187"/>
    </row>
    <row r="700" spans="5:5" ht="20" customHeight="1" x14ac:dyDescent="0.35">
      <c r="E700" s="187"/>
    </row>
    <row r="701" spans="5:5" ht="20" customHeight="1" x14ac:dyDescent="0.35">
      <c r="E701" s="187"/>
    </row>
    <row r="702" spans="5:5" ht="20" customHeight="1" x14ac:dyDescent="0.35">
      <c r="E702" s="187"/>
    </row>
    <row r="703" spans="5:5" ht="20" customHeight="1" x14ac:dyDescent="0.35">
      <c r="E703" s="187"/>
    </row>
    <row r="704" spans="5:5" ht="20" customHeight="1" x14ac:dyDescent="0.35">
      <c r="E704" s="187"/>
    </row>
    <row r="705" spans="5:5" ht="20" customHeight="1" x14ac:dyDescent="0.35">
      <c r="E705" s="187"/>
    </row>
    <row r="706" spans="5:5" ht="20" customHeight="1" x14ac:dyDescent="0.35">
      <c r="E706" s="187"/>
    </row>
    <row r="707" spans="5:5" ht="20" customHeight="1" x14ac:dyDescent="0.35">
      <c r="E707" s="187"/>
    </row>
    <row r="708" spans="5:5" ht="20" customHeight="1" x14ac:dyDescent="0.35">
      <c r="E708" s="187"/>
    </row>
    <row r="709" spans="5:5" ht="20" customHeight="1" x14ac:dyDescent="0.35">
      <c r="E709" s="187"/>
    </row>
    <row r="710" spans="5:5" ht="20" customHeight="1" x14ac:dyDescent="0.35">
      <c r="E710" s="187"/>
    </row>
    <row r="711" spans="5:5" ht="20" customHeight="1" x14ac:dyDescent="0.35">
      <c r="E711" s="187"/>
    </row>
    <row r="712" spans="5:5" ht="20" customHeight="1" x14ac:dyDescent="0.35">
      <c r="E712" s="187"/>
    </row>
    <row r="713" spans="5:5" ht="20" customHeight="1" x14ac:dyDescent="0.35">
      <c r="E713" s="187"/>
    </row>
    <row r="714" spans="5:5" ht="20" customHeight="1" x14ac:dyDescent="0.35">
      <c r="E714" s="187"/>
    </row>
    <row r="715" spans="5:5" ht="20" customHeight="1" x14ac:dyDescent="0.35">
      <c r="E715" s="187"/>
    </row>
    <row r="716" spans="5:5" ht="20" customHeight="1" x14ac:dyDescent="0.35">
      <c r="E716" s="187"/>
    </row>
    <row r="717" spans="5:5" ht="20" customHeight="1" x14ac:dyDescent="0.35">
      <c r="E717" s="187"/>
    </row>
    <row r="718" spans="5:5" ht="20" customHeight="1" x14ac:dyDescent="0.35">
      <c r="E718" s="187"/>
    </row>
    <row r="719" spans="5:5" ht="20" customHeight="1" x14ac:dyDescent="0.35">
      <c r="E719" s="187"/>
    </row>
    <row r="720" spans="5:5" ht="20" customHeight="1" x14ac:dyDescent="0.35">
      <c r="E720" s="187"/>
    </row>
    <row r="721" spans="5:5" ht="20" customHeight="1" x14ac:dyDescent="0.35">
      <c r="E721" s="187"/>
    </row>
    <row r="722" spans="5:5" ht="20" customHeight="1" x14ac:dyDescent="0.35">
      <c r="E722" s="187"/>
    </row>
    <row r="723" spans="5:5" ht="20" customHeight="1" x14ac:dyDescent="0.35">
      <c r="E723" s="187"/>
    </row>
    <row r="724" spans="5:5" ht="20" customHeight="1" x14ac:dyDescent="0.35">
      <c r="E724" s="187"/>
    </row>
    <row r="725" spans="5:5" ht="20" customHeight="1" x14ac:dyDescent="0.35">
      <c r="E725" s="187"/>
    </row>
    <row r="726" spans="5:5" ht="20" customHeight="1" x14ac:dyDescent="0.35">
      <c r="E726" s="187"/>
    </row>
    <row r="727" spans="5:5" ht="20" customHeight="1" x14ac:dyDescent="0.35">
      <c r="E727" s="187"/>
    </row>
    <row r="728" spans="5:5" ht="20" customHeight="1" x14ac:dyDescent="0.35">
      <c r="E728" s="187"/>
    </row>
    <row r="729" spans="5:5" ht="20" customHeight="1" x14ac:dyDescent="0.35">
      <c r="E729" s="187"/>
    </row>
    <row r="730" spans="5:5" ht="20" customHeight="1" x14ac:dyDescent="0.35">
      <c r="E730" s="187"/>
    </row>
    <row r="731" spans="5:5" ht="20" customHeight="1" x14ac:dyDescent="0.35">
      <c r="E731" s="187"/>
    </row>
    <row r="732" spans="5:5" ht="20" customHeight="1" x14ac:dyDescent="0.35">
      <c r="E732" s="187"/>
    </row>
    <row r="733" spans="5:5" ht="20" customHeight="1" x14ac:dyDescent="0.35">
      <c r="E733" s="187"/>
    </row>
    <row r="734" spans="5:5" ht="20" customHeight="1" x14ac:dyDescent="0.35">
      <c r="E734" s="187"/>
    </row>
    <row r="735" spans="5:5" ht="20" customHeight="1" x14ac:dyDescent="0.35">
      <c r="E735" s="187"/>
    </row>
    <row r="736" spans="5:5" ht="20" customHeight="1" x14ac:dyDescent="0.35">
      <c r="E736" s="187"/>
    </row>
    <row r="737" spans="5:5" ht="20" customHeight="1" x14ac:dyDescent="0.35">
      <c r="E737" s="187"/>
    </row>
    <row r="738" spans="5:5" ht="20" customHeight="1" x14ac:dyDescent="0.35">
      <c r="E738" s="187"/>
    </row>
    <row r="739" spans="5:5" ht="20" customHeight="1" x14ac:dyDescent="0.35">
      <c r="E739" s="187"/>
    </row>
    <row r="740" spans="5:5" ht="20" customHeight="1" x14ac:dyDescent="0.35">
      <c r="E740" s="187"/>
    </row>
    <row r="741" spans="5:5" ht="20" customHeight="1" x14ac:dyDescent="0.35">
      <c r="E741" s="187"/>
    </row>
    <row r="742" spans="5:5" ht="20" customHeight="1" x14ac:dyDescent="0.35">
      <c r="E742" s="187"/>
    </row>
    <row r="743" spans="5:5" ht="20" customHeight="1" x14ac:dyDescent="0.35">
      <c r="E743" s="187"/>
    </row>
    <row r="744" spans="5:5" ht="20" customHeight="1" x14ac:dyDescent="0.35">
      <c r="E744" s="187"/>
    </row>
    <row r="745" spans="5:5" ht="20" customHeight="1" x14ac:dyDescent="0.35">
      <c r="E745" s="187"/>
    </row>
    <row r="746" spans="5:5" ht="20" customHeight="1" x14ac:dyDescent="0.35">
      <c r="E746" s="187"/>
    </row>
    <row r="747" spans="5:5" ht="20" customHeight="1" x14ac:dyDescent="0.35">
      <c r="E747" s="187"/>
    </row>
    <row r="748" spans="5:5" ht="20" customHeight="1" x14ac:dyDescent="0.35">
      <c r="E748" s="187"/>
    </row>
    <row r="749" spans="5:5" ht="20" customHeight="1" x14ac:dyDescent="0.35">
      <c r="E749" s="187"/>
    </row>
    <row r="750" spans="5:5" ht="20" customHeight="1" x14ac:dyDescent="0.35">
      <c r="E750" s="187"/>
    </row>
    <row r="751" spans="5:5" ht="20" customHeight="1" x14ac:dyDescent="0.35">
      <c r="E751" s="187"/>
    </row>
    <row r="752" spans="5:5" ht="20" customHeight="1" x14ac:dyDescent="0.35">
      <c r="E752" s="187"/>
    </row>
    <row r="753" spans="5:5" ht="20" customHeight="1" x14ac:dyDescent="0.35">
      <c r="E753" s="187"/>
    </row>
    <row r="754" spans="5:5" ht="20" customHeight="1" x14ac:dyDescent="0.35">
      <c r="E754" s="187"/>
    </row>
    <row r="755" spans="5:5" ht="20" customHeight="1" x14ac:dyDescent="0.35">
      <c r="E755" s="187"/>
    </row>
    <row r="756" spans="5:5" ht="20" customHeight="1" x14ac:dyDescent="0.35">
      <c r="E756" s="187"/>
    </row>
    <row r="757" spans="5:5" ht="20" customHeight="1" x14ac:dyDescent="0.35">
      <c r="E757" s="187"/>
    </row>
    <row r="758" spans="5:5" ht="20" customHeight="1" x14ac:dyDescent="0.35">
      <c r="E758" s="187"/>
    </row>
    <row r="759" spans="5:5" ht="20" customHeight="1" x14ac:dyDescent="0.35">
      <c r="E759" s="187"/>
    </row>
    <row r="760" spans="5:5" ht="20" customHeight="1" x14ac:dyDescent="0.35">
      <c r="E760" s="187"/>
    </row>
    <row r="761" spans="5:5" ht="20" customHeight="1" x14ac:dyDescent="0.35">
      <c r="E761" s="187"/>
    </row>
    <row r="762" spans="5:5" ht="20" customHeight="1" x14ac:dyDescent="0.35">
      <c r="E762" s="187"/>
    </row>
    <row r="763" spans="5:5" ht="20" customHeight="1" x14ac:dyDescent="0.35">
      <c r="E763" s="187"/>
    </row>
    <row r="764" spans="5:5" ht="20" customHeight="1" x14ac:dyDescent="0.35">
      <c r="E764" s="187"/>
    </row>
    <row r="765" spans="5:5" ht="20" customHeight="1" x14ac:dyDescent="0.35">
      <c r="E765" s="187"/>
    </row>
    <row r="766" spans="5:5" ht="20" customHeight="1" x14ac:dyDescent="0.35">
      <c r="E766" s="187"/>
    </row>
    <row r="767" spans="5:5" ht="20" customHeight="1" x14ac:dyDescent="0.35">
      <c r="E767" s="187"/>
    </row>
    <row r="768" spans="5:5" ht="20" customHeight="1" x14ac:dyDescent="0.35">
      <c r="E768" s="187"/>
    </row>
    <row r="769" spans="5:5" ht="20" customHeight="1" x14ac:dyDescent="0.35">
      <c r="E769" s="187"/>
    </row>
    <row r="770" spans="5:5" ht="20" customHeight="1" x14ac:dyDescent="0.35">
      <c r="E770" s="187"/>
    </row>
    <row r="771" spans="5:5" ht="20" customHeight="1" x14ac:dyDescent="0.35">
      <c r="E771" s="187"/>
    </row>
    <row r="772" spans="5:5" ht="20" customHeight="1" x14ac:dyDescent="0.35">
      <c r="E772" s="187"/>
    </row>
    <row r="773" spans="5:5" ht="20" customHeight="1" x14ac:dyDescent="0.35">
      <c r="E773" s="187"/>
    </row>
    <row r="774" spans="5:5" ht="20" customHeight="1" x14ac:dyDescent="0.35">
      <c r="E774" s="187"/>
    </row>
    <row r="775" spans="5:5" ht="20" customHeight="1" x14ac:dyDescent="0.35">
      <c r="E775" s="187"/>
    </row>
    <row r="776" spans="5:5" ht="20" customHeight="1" x14ac:dyDescent="0.35">
      <c r="E776" s="187"/>
    </row>
    <row r="777" spans="5:5" ht="20" customHeight="1" x14ac:dyDescent="0.35">
      <c r="E777" s="187"/>
    </row>
    <row r="778" spans="5:5" ht="20" customHeight="1" x14ac:dyDescent="0.35">
      <c r="E778" s="187"/>
    </row>
    <row r="779" spans="5:5" ht="20" customHeight="1" x14ac:dyDescent="0.35">
      <c r="E779" s="187"/>
    </row>
    <row r="780" spans="5:5" ht="20" customHeight="1" x14ac:dyDescent="0.35">
      <c r="E780" s="187"/>
    </row>
    <row r="781" spans="5:5" ht="20" customHeight="1" x14ac:dyDescent="0.35">
      <c r="E781" s="187"/>
    </row>
    <row r="782" spans="5:5" ht="20" customHeight="1" x14ac:dyDescent="0.35">
      <c r="E782" s="187"/>
    </row>
    <row r="783" spans="5:5" ht="20" customHeight="1" x14ac:dyDescent="0.35">
      <c r="E783" s="187"/>
    </row>
    <row r="784" spans="5:5" ht="20" customHeight="1" x14ac:dyDescent="0.35">
      <c r="E784" s="187"/>
    </row>
    <row r="785" spans="5:5" ht="20" customHeight="1" x14ac:dyDescent="0.35">
      <c r="E785" s="187"/>
    </row>
    <row r="786" spans="5:5" ht="20" customHeight="1" x14ac:dyDescent="0.35">
      <c r="E786" s="187"/>
    </row>
    <row r="787" spans="5:5" ht="20" customHeight="1" x14ac:dyDescent="0.35">
      <c r="E787" s="187"/>
    </row>
    <row r="788" spans="5:5" ht="20" customHeight="1" x14ac:dyDescent="0.35">
      <c r="E788" s="187"/>
    </row>
    <row r="789" spans="5:5" ht="20" customHeight="1" x14ac:dyDescent="0.35">
      <c r="E789" s="187"/>
    </row>
    <row r="790" spans="5:5" ht="20" customHeight="1" x14ac:dyDescent="0.35">
      <c r="E790" s="187"/>
    </row>
    <row r="791" spans="5:5" ht="20" customHeight="1" x14ac:dyDescent="0.35">
      <c r="E791" s="187"/>
    </row>
    <row r="792" spans="5:5" ht="20" customHeight="1" x14ac:dyDescent="0.35">
      <c r="E792" s="187"/>
    </row>
    <row r="793" spans="5:5" ht="20" customHeight="1" x14ac:dyDescent="0.35">
      <c r="E793" s="187"/>
    </row>
    <row r="794" spans="5:5" ht="20" customHeight="1" x14ac:dyDescent="0.35">
      <c r="E794" s="187"/>
    </row>
    <row r="795" spans="5:5" ht="20" customHeight="1" x14ac:dyDescent="0.35">
      <c r="E795" s="187"/>
    </row>
    <row r="796" spans="5:5" ht="20" customHeight="1" x14ac:dyDescent="0.35">
      <c r="E796" s="187"/>
    </row>
    <row r="797" spans="5:5" ht="20" customHeight="1" x14ac:dyDescent="0.35">
      <c r="E797" s="187"/>
    </row>
    <row r="798" spans="5:5" ht="20" customHeight="1" x14ac:dyDescent="0.35">
      <c r="E798" s="187"/>
    </row>
    <row r="799" spans="5:5" ht="20" customHeight="1" x14ac:dyDescent="0.35">
      <c r="E799" s="187"/>
    </row>
    <row r="800" spans="5:5" ht="20" customHeight="1" x14ac:dyDescent="0.35">
      <c r="E800" s="187"/>
    </row>
    <row r="801" spans="5:5" ht="20" customHeight="1" x14ac:dyDescent="0.35">
      <c r="E801" s="187"/>
    </row>
    <row r="802" spans="5:5" ht="20" customHeight="1" x14ac:dyDescent="0.35">
      <c r="E802" s="187"/>
    </row>
    <row r="803" spans="5:5" ht="20" customHeight="1" x14ac:dyDescent="0.35">
      <c r="E803" s="187"/>
    </row>
    <row r="804" spans="5:5" ht="20" customHeight="1" x14ac:dyDescent="0.35">
      <c r="E804" s="187"/>
    </row>
    <row r="805" spans="5:5" ht="20" customHeight="1" x14ac:dyDescent="0.35">
      <c r="E805" s="187"/>
    </row>
    <row r="806" spans="5:5" ht="20" customHeight="1" x14ac:dyDescent="0.35">
      <c r="E806" s="187"/>
    </row>
    <row r="807" spans="5:5" ht="20" customHeight="1" x14ac:dyDescent="0.35">
      <c r="E807" s="187"/>
    </row>
    <row r="808" spans="5:5" ht="20" customHeight="1" x14ac:dyDescent="0.35">
      <c r="E808" s="187"/>
    </row>
    <row r="809" spans="5:5" ht="20" customHeight="1" x14ac:dyDescent="0.35">
      <c r="E809" s="187"/>
    </row>
    <row r="810" spans="5:5" ht="20" customHeight="1" x14ac:dyDescent="0.35">
      <c r="E810" s="187"/>
    </row>
    <row r="811" spans="5:5" ht="20" customHeight="1" x14ac:dyDescent="0.35">
      <c r="E811" s="187"/>
    </row>
    <row r="812" spans="5:5" ht="20" customHeight="1" x14ac:dyDescent="0.35">
      <c r="E812" s="187"/>
    </row>
    <row r="813" spans="5:5" ht="20" customHeight="1" x14ac:dyDescent="0.35">
      <c r="E813" s="187"/>
    </row>
    <row r="814" spans="5:5" ht="20" customHeight="1" x14ac:dyDescent="0.35">
      <c r="E814" s="187"/>
    </row>
    <row r="815" spans="5:5" ht="20" customHeight="1" x14ac:dyDescent="0.35">
      <c r="E815" s="187"/>
    </row>
    <row r="816" spans="5:5" ht="20" customHeight="1" x14ac:dyDescent="0.35">
      <c r="E816" s="187"/>
    </row>
    <row r="817" spans="5:5" ht="20" customHeight="1" x14ac:dyDescent="0.35">
      <c r="E817" s="187"/>
    </row>
    <row r="818" spans="5:5" ht="20" customHeight="1" x14ac:dyDescent="0.35">
      <c r="E818" s="187"/>
    </row>
    <row r="819" spans="5:5" ht="20" customHeight="1" x14ac:dyDescent="0.35">
      <c r="E819" s="187"/>
    </row>
    <row r="820" spans="5:5" ht="20" customHeight="1" x14ac:dyDescent="0.35">
      <c r="E820" s="187"/>
    </row>
    <row r="821" spans="5:5" ht="20" customHeight="1" x14ac:dyDescent="0.35">
      <c r="E821" s="187"/>
    </row>
    <row r="822" spans="5:5" ht="20" customHeight="1" x14ac:dyDescent="0.35">
      <c r="E822" s="187"/>
    </row>
    <row r="823" spans="5:5" ht="20" customHeight="1" x14ac:dyDescent="0.35">
      <c r="E823" s="187"/>
    </row>
    <row r="824" spans="5:5" ht="20" customHeight="1" x14ac:dyDescent="0.35">
      <c r="E824" s="187"/>
    </row>
    <row r="825" spans="5:5" ht="20" customHeight="1" x14ac:dyDescent="0.35">
      <c r="E825" s="187"/>
    </row>
    <row r="826" spans="5:5" ht="20" customHeight="1" x14ac:dyDescent="0.35">
      <c r="E826" s="187"/>
    </row>
    <row r="827" spans="5:5" ht="20" customHeight="1" x14ac:dyDescent="0.35">
      <c r="E827" s="187"/>
    </row>
    <row r="828" spans="5:5" ht="20" customHeight="1" x14ac:dyDescent="0.35">
      <c r="E828" s="187"/>
    </row>
    <row r="829" spans="5:5" ht="20" customHeight="1" x14ac:dyDescent="0.35">
      <c r="E829" s="187"/>
    </row>
    <row r="830" spans="5:5" ht="20" customHeight="1" x14ac:dyDescent="0.35">
      <c r="E830" s="187"/>
    </row>
    <row r="831" spans="5:5" ht="20" customHeight="1" x14ac:dyDescent="0.35">
      <c r="E831" s="187"/>
    </row>
    <row r="832" spans="5:5" ht="20" customHeight="1" x14ac:dyDescent="0.35">
      <c r="E832" s="187"/>
    </row>
    <row r="833" spans="5:5" ht="20" customHeight="1" x14ac:dyDescent="0.35">
      <c r="E833" s="187"/>
    </row>
    <row r="834" spans="5:5" ht="20" customHeight="1" x14ac:dyDescent="0.35">
      <c r="E834" s="187"/>
    </row>
    <row r="835" spans="5:5" ht="20" customHeight="1" x14ac:dyDescent="0.35">
      <c r="E835" s="187"/>
    </row>
    <row r="836" spans="5:5" ht="20" customHeight="1" x14ac:dyDescent="0.35">
      <c r="E836" s="187"/>
    </row>
    <row r="837" spans="5:5" ht="20" customHeight="1" x14ac:dyDescent="0.35">
      <c r="E837" s="187"/>
    </row>
    <row r="838" spans="5:5" ht="20" customHeight="1" x14ac:dyDescent="0.35">
      <c r="E838" s="187"/>
    </row>
    <row r="839" spans="5:5" ht="20" customHeight="1" x14ac:dyDescent="0.35">
      <c r="E839" s="187"/>
    </row>
    <row r="840" spans="5:5" ht="20" customHeight="1" x14ac:dyDescent="0.35">
      <c r="E840" s="187"/>
    </row>
    <row r="841" spans="5:5" ht="20" customHeight="1" x14ac:dyDescent="0.35">
      <c r="E841" s="187"/>
    </row>
    <row r="842" spans="5:5" ht="20" customHeight="1" x14ac:dyDescent="0.35">
      <c r="E842" s="187"/>
    </row>
    <row r="843" spans="5:5" ht="20" customHeight="1" x14ac:dyDescent="0.35">
      <c r="E843" s="187"/>
    </row>
    <row r="844" spans="5:5" ht="20" customHeight="1" x14ac:dyDescent="0.35">
      <c r="E844" s="187"/>
    </row>
    <row r="845" spans="5:5" ht="20" customHeight="1" x14ac:dyDescent="0.35">
      <c r="E845" s="187"/>
    </row>
    <row r="846" spans="5:5" ht="20" customHeight="1" x14ac:dyDescent="0.35">
      <c r="E846" s="187"/>
    </row>
    <row r="847" spans="5:5" ht="20" customHeight="1" x14ac:dyDescent="0.35">
      <c r="E847" s="187"/>
    </row>
    <row r="848" spans="5:5" ht="20" customHeight="1" x14ac:dyDescent="0.35">
      <c r="E848" s="187"/>
    </row>
    <row r="849" spans="5:5" ht="20" customHeight="1" x14ac:dyDescent="0.35">
      <c r="E849" s="187"/>
    </row>
    <row r="850" spans="5:5" ht="20" customHeight="1" x14ac:dyDescent="0.35">
      <c r="E850" s="187"/>
    </row>
    <row r="851" spans="5:5" ht="20" customHeight="1" x14ac:dyDescent="0.35">
      <c r="E851" s="187"/>
    </row>
    <row r="852" spans="5:5" ht="20" customHeight="1" x14ac:dyDescent="0.35">
      <c r="E852" s="187"/>
    </row>
    <row r="853" spans="5:5" ht="20" customHeight="1" x14ac:dyDescent="0.35">
      <c r="E853" s="187"/>
    </row>
    <row r="854" spans="5:5" ht="20" customHeight="1" x14ac:dyDescent="0.35">
      <c r="E854" s="187"/>
    </row>
    <row r="855" spans="5:5" ht="20" customHeight="1" x14ac:dyDescent="0.35">
      <c r="E855" s="187"/>
    </row>
    <row r="856" spans="5:5" ht="20" customHeight="1" x14ac:dyDescent="0.35">
      <c r="E856" s="187"/>
    </row>
    <row r="857" spans="5:5" ht="20" customHeight="1" x14ac:dyDescent="0.35">
      <c r="E857" s="187"/>
    </row>
    <row r="858" spans="5:5" ht="20" customHeight="1" x14ac:dyDescent="0.35">
      <c r="E858" s="187"/>
    </row>
    <row r="859" spans="5:5" ht="20" customHeight="1" x14ac:dyDescent="0.35">
      <c r="E859" s="187"/>
    </row>
    <row r="860" spans="5:5" ht="20" customHeight="1" x14ac:dyDescent="0.35">
      <c r="E860" s="187"/>
    </row>
    <row r="861" spans="5:5" ht="20" customHeight="1" x14ac:dyDescent="0.35">
      <c r="E861" s="187"/>
    </row>
    <row r="862" spans="5:5" ht="20" customHeight="1" x14ac:dyDescent="0.35">
      <c r="E862" s="187"/>
    </row>
    <row r="863" spans="5:5" ht="20" customHeight="1" x14ac:dyDescent="0.35">
      <c r="E863" s="187"/>
    </row>
    <row r="864" spans="5:5" ht="20" customHeight="1" x14ac:dyDescent="0.35">
      <c r="E864" s="187"/>
    </row>
    <row r="865" spans="5:5" ht="20" customHeight="1" x14ac:dyDescent="0.35">
      <c r="E865" s="187"/>
    </row>
    <row r="866" spans="5:5" ht="20" customHeight="1" x14ac:dyDescent="0.35">
      <c r="E866" s="187"/>
    </row>
    <row r="867" spans="5:5" ht="20" customHeight="1" x14ac:dyDescent="0.35">
      <c r="E867" s="187"/>
    </row>
    <row r="868" spans="5:5" ht="20" customHeight="1" x14ac:dyDescent="0.35">
      <c r="E868" s="187"/>
    </row>
    <row r="869" spans="5:5" ht="20" customHeight="1" x14ac:dyDescent="0.35">
      <c r="E869" s="187"/>
    </row>
    <row r="870" spans="5:5" ht="20" customHeight="1" x14ac:dyDescent="0.35">
      <c r="E870" s="187"/>
    </row>
    <row r="871" spans="5:5" ht="20" customHeight="1" x14ac:dyDescent="0.35">
      <c r="E871" s="187"/>
    </row>
    <row r="872" spans="5:5" ht="20" customHeight="1" x14ac:dyDescent="0.35">
      <c r="E872" s="187"/>
    </row>
    <row r="873" spans="5:5" ht="20" customHeight="1" x14ac:dyDescent="0.35">
      <c r="E873" s="187"/>
    </row>
    <row r="874" spans="5:5" ht="20" customHeight="1" x14ac:dyDescent="0.35">
      <c r="E874" s="187"/>
    </row>
    <row r="875" spans="5:5" ht="20" customHeight="1" x14ac:dyDescent="0.35">
      <c r="E875" s="187"/>
    </row>
    <row r="876" spans="5:5" ht="20" customHeight="1" x14ac:dyDescent="0.35">
      <c r="E876" s="187"/>
    </row>
    <row r="877" spans="5:5" ht="20" customHeight="1" x14ac:dyDescent="0.35">
      <c r="E877" s="187"/>
    </row>
    <row r="878" spans="5:5" ht="20" customHeight="1" x14ac:dyDescent="0.35">
      <c r="E878" s="187"/>
    </row>
    <row r="879" spans="5:5" ht="20" customHeight="1" x14ac:dyDescent="0.35">
      <c r="E879" s="187"/>
    </row>
    <row r="880" spans="5:5" ht="20" customHeight="1" x14ac:dyDescent="0.35">
      <c r="E880" s="187"/>
    </row>
    <row r="881" spans="5:5" ht="20" customHeight="1" x14ac:dyDescent="0.35">
      <c r="E881" s="187"/>
    </row>
    <row r="882" spans="5:5" ht="20" customHeight="1" x14ac:dyDescent="0.35">
      <c r="E882" s="187"/>
    </row>
    <row r="883" spans="5:5" ht="20" customHeight="1" x14ac:dyDescent="0.35">
      <c r="E883" s="187"/>
    </row>
    <row r="884" spans="5:5" ht="20" customHeight="1" x14ac:dyDescent="0.35">
      <c r="E884" s="187"/>
    </row>
    <row r="885" spans="5:5" ht="20" customHeight="1" x14ac:dyDescent="0.35">
      <c r="E885" s="187"/>
    </row>
    <row r="886" spans="5:5" ht="20" customHeight="1" x14ac:dyDescent="0.35">
      <c r="E886" s="187"/>
    </row>
    <row r="887" spans="5:5" ht="20" customHeight="1" x14ac:dyDescent="0.35">
      <c r="E887" s="187"/>
    </row>
    <row r="888" spans="5:5" ht="20" customHeight="1" x14ac:dyDescent="0.35">
      <c r="E888" s="187"/>
    </row>
    <row r="889" spans="5:5" ht="20" customHeight="1" x14ac:dyDescent="0.35">
      <c r="E889" s="187"/>
    </row>
    <row r="890" spans="5:5" ht="20" customHeight="1" x14ac:dyDescent="0.35">
      <c r="E890" s="187"/>
    </row>
    <row r="891" spans="5:5" ht="20" customHeight="1" x14ac:dyDescent="0.35">
      <c r="E891" s="187"/>
    </row>
    <row r="892" spans="5:5" ht="20" customHeight="1" x14ac:dyDescent="0.35">
      <c r="E892" s="187"/>
    </row>
    <row r="893" spans="5:5" ht="20" customHeight="1" x14ac:dyDescent="0.35">
      <c r="E893" s="187"/>
    </row>
    <row r="894" spans="5:5" ht="20" customHeight="1" x14ac:dyDescent="0.35">
      <c r="E894" s="187"/>
    </row>
    <row r="895" spans="5:5" ht="20" customHeight="1" x14ac:dyDescent="0.35">
      <c r="E895" s="187"/>
    </row>
    <row r="896" spans="5:5" ht="20" customHeight="1" x14ac:dyDescent="0.35">
      <c r="E896" s="187"/>
    </row>
    <row r="897" spans="5:5" ht="20" customHeight="1" x14ac:dyDescent="0.35">
      <c r="E897" s="187"/>
    </row>
    <row r="898" spans="5:5" ht="20" customHeight="1" x14ac:dyDescent="0.35">
      <c r="E898" s="187"/>
    </row>
    <row r="899" spans="5:5" ht="20" customHeight="1" x14ac:dyDescent="0.35">
      <c r="E899" s="187"/>
    </row>
    <row r="900" spans="5:5" ht="20" customHeight="1" x14ac:dyDescent="0.35">
      <c r="E900" s="187"/>
    </row>
    <row r="901" spans="5:5" ht="20" customHeight="1" x14ac:dyDescent="0.35">
      <c r="E901" s="187"/>
    </row>
    <row r="902" spans="5:5" ht="20" customHeight="1" x14ac:dyDescent="0.35">
      <c r="E902" s="187"/>
    </row>
    <row r="903" spans="5:5" ht="20" customHeight="1" x14ac:dyDescent="0.35">
      <c r="E903" s="187"/>
    </row>
    <row r="904" spans="5:5" ht="20" customHeight="1" x14ac:dyDescent="0.35">
      <c r="E904" s="187"/>
    </row>
    <row r="905" spans="5:5" ht="20" customHeight="1" x14ac:dyDescent="0.35">
      <c r="E905" s="187"/>
    </row>
    <row r="906" spans="5:5" ht="20" customHeight="1" x14ac:dyDescent="0.35">
      <c r="E906" s="187"/>
    </row>
    <row r="907" spans="5:5" ht="20" customHeight="1" x14ac:dyDescent="0.35">
      <c r="E907" s="187"/>
    </row>
    <row r="908" spans="5:5" ht="20" customHeight="1" x14ac:dyDescent="0.35">
      <c r="E908" s="187"/>
    </row>
    <row r="909" spans="5:5" ht="20" customHeight="1" x14ac:dyDescent="0.35">
      <c r="E909" s="187"/>
    </row>
    <row r="910" spans="5:5" ht="20" customHeight="1" x14ac:dyDescent="0.35">
      <c r="E910" s="187"/>
    </row>
    <row r="911" spans="5:5" ht="20" customHeight="1" x14ac:dyDescent="0.35">
      <c r="E911" s="187"/>
    </row>
    <row r="912" spans="5:5" ht="20" customHeight="1" x14ac:dyDescent="0.35">
      <c r="E912" s="187"/>
    </row>
    <row r="913" spans="5:5" ht="20" customHeight="1" x14ac:dyDescent="0.35">
      <c r="E913" s="187"/>
    </row>
    <row r="914" spans="5:5" ht="20" customHeight="1" x14ac:dyDescent="0.35">
      <c r="E914" s="187"/>
    </row>
    <row r="915" spans="5:5" ht="20" customHeight="1" x14ac:dyDescent="0.35">
      <c r="E915" s="187"/>
    </row>
    <row r="916" spans="5:5" ht="20" customHeight="1" x14ac:dyDescent="0.35">
      <c r="E916" s="187"/>
    </row>
    <row r="917" spans="5:5" ht="20" customHeight="1" x14ac:dyDescent="0.35">
      <c r="E917" s="187"/>
    </row>
    <row r="918" spans="5:5" ht="20" customHeight="1" x14ac:dyDescent="0.35">
      <c r="E918" s="187"/>
    </row>
    <row r="919" spans="5:5" ht="20" customHeight="1" x14ac:dyDescent="0.35">
      <c r="E919" s="187"/>
    </row>
    <row r="920" spans="5:5" ht="20" customHeight="1" x14ac:dyDescent="0.35">
      <c r="E920" s="187"/>
    </row>
    <row r="921" spans="5:5" ht="20" customHeight="1" x14ac:dyDescent="0.35">
      <c r="E921" s="187"/>
    </row>
    <row r="922" spans="5:5" ht="20" customHeight="1" x14ac:dyDescent="0.35">
      <c r="E922" s="187"/>
    </row>
    <row r="923" spans="5:5" ht="20" customHeight="1" x14ac:dyDescent="0.35">
      <c r="E923" s="187"/>
    </row>
    <row r="924" spans="5:5" ht="20" customHeight="1" x14ac:dyDescent="0.35">
      <c r="E924" s="187"/>
    </row>
    <row r="925" spans="5:5" ht="20" customHeight="1" x14ac:dyDescent="0.35">
      <c r="E925" s="187"/>
    </row>
    <row r="926" spans="5:5" ht="20" customHeight="1" x14ac:dyDescent="0.35">
      <c r="E926" s="187"/>
    </row>
    <row r="927" spans="5:5" ht="20" customHeight="1" x14ac:dyDescent="0.35">
      <c r="E927" s="187"/>
    </row>
    <row r="928" spans="5:5" ht="20" customHeight="1" x14ac:dyDescent="0.35">
      <c r="E928" s="187"/>
    </row>
    <row r="929" spans="5:5" ht="20" customHeight="1" x14ac:dyDescent="0.35">
      <c r="E929" s="187"/>
    </row>
    <row r="930" spans="5:5" ht="20" customHeight="1" x14ac:dyDescent="0.35">
      <c r="E930" s="187"/>
    </row>
    <row r="931" spans="5:5" ht="20" customHeight="1" x14ac:dyDescent="0.35">
      <c r="E931" s="187"/>
    </row>
    <row r="932" spans="5:5" ht="20" customHeight="1" x14ac:dyDescent="0.35">
      <c r="E932" s="187"/>
    </row>
    <row r="933" spans="5:5" ht="20" customHeight="1" x14ac:dyDescent="0.35">
      <c r="E933" s="187"/>
    </row>
    <row r="934" spans="5:5" ht="20" customHeight="1" x14ac:dyDescent="0.35">
      <c r="E934" s="187"/>
    </row>
    <row r="935" spans="5:5" ht="20" customHeight="1" x14ac:dyDescent="0.35">
      <c r="E935" s="187"/>
    </row>
    <row r="936" spans="5:5" ht="20" customHeight="1" x14ac:dyDescent="0.35">
      <c r="E936" s="187"/>
    </row>
    <row r="937" spans="5:5" ht="20" customHeight="1" x14ac:dyDescent="0.35">
      <c r="E937" s="187"/>
    </row>
    <row r="938" spans="5:5" ht="20" customHeight="1" x14ac:dyDescent="0.35">
      <c r="E938" s="187"/>
    </row>
    <row r="939" spans="5:5" ht="20" customHeight="1" x14ac:dyDescent="0.35">
      <c r="E939" s="187"/>
    </row>
    <row r="940" spans="5:5" ht="20" customHeight="1" x14ac:dyDescent="0.35">
      <c r="E940" s="187"/>
    </row>
    <row r="941" spans="5:5" ht="20" customHeight="1" x14ac:dyDescent="0.35">
      <c r="E941" s="187"/>
    </row>
    <row r="942" spans="5:5" ht="20" customHeight="1" x14ac:dyDescent="0.35">
      <c r="E942" s="187"/>
    </row>
    <row r="943" spans="5:5" ht="20" customHeight="1" x14ac:dyDescent="0.35">
      <c r="E943" s="187"/>
    </row>
    <row r="944" spans="5:5" ht="20" customHeight="1" x14ac:dyDescent="0.35">
      <c r="E944" s="187"/>
    </row>
    <row r="945" spans="5:5" ht="20" customHeight="1" x14ac:dyDescent="0.35">
      <c r="E945" s="187"/>
    </row>
    <row r="946" spans="5:5" ht="20" customHeight="1" x14ac:dyDescent="0.35">
      <c r="E946" s="187"/>
    </row>
    <row r="947" spans="5:5" ht="20" customHeight="1" x14ac:dyDescent="0.35">
      <c r="E947" s="187"/>
    </row>
    <row r="948" spans="5:5" ht="20" customHeight="1" x14ac:dyDescent="0.35">
      <c r="E948" s="187"/>
    </row>
    <row r="949" spans="5:5" ht="20" customHeight="1" x14ac:dyDescent="0.35">
      <c r="E949" s="187"/>
    </row>
    <row r="950" spans="5:5" ht="20" customHeight="1" x14ac:dyDescent="0.35">
      <c r="E950" s="187"/>
    </row>
    <row r="951" spans="5:5" ht="20" customHeight="1" x14ac:dyDescent="0.35">
      <c r="E951" s="187"/>
    </row>
    <row r="952" spans="5:5" ht="20" customHeight="1" x14ac:dyDescent="0.35">
      <c r="E952" s="187"/>
    </row>
    <row r="953" spans="5:5" ht="20" customHeight="1" x14ac:dyDescent="0.35">
      <c r="E953" s="187"/>
    </row>
    <row r="954" spans="5:5" ht="20" customHeight="1" x14ac:dyDescent="0.35">
      <c r="E954" s="187"/>
    </row>
    <row r="955" spans="5:5" ht="20" customHeight="1" x14ac:dyDescent="0.35">
      <c r="E955" s="187"/>
    </row>
    <row r="956" spans="5:5" ht="20" customHeight="1" x14ac:dyDescent="0.35">
      <c r="E956" s="187"/>
    </row>
    <row r="957" spans="5:5" ht="20" customHeight="1" x14ac:dyDescent="0.35">
      <c r="E957" s="187"/>
    </row>
    <row r="958" spans="5:5" ht="20" customHeight="1" x14ac:dyDescent="0.35">
      <c r="E958" s="187"/>
    </row>
    <row r="959" spans="5:5" ht="20" customHeight="1" x14ac:dyDescent="0.35">
      <c r="E959" s="187"/>
    </row>
    <row r="960" spans="5:5" ht="20" customHeight="1" x14ac:dyDescent="0.35">
      <c r="E960" s="187"/>
    </row>
    <row r="961" spans="5:5" ht="20" customHeight="1" x14ac:dyDescent="0.35">
      <c r="E961" s="187"/>
    </row>
    <row r="962" spans="5:5" ht="20" customHeight="1" x14ac:dyDescent="0.35">
      <c r="E962" s="187"/>
    </row>
    <row r="963" spans="5:5" ht="20" customHeight="1" x14ac:dyDescent="0.35">
      <c r="E963" s="187"/>
    </row>
    <row r="964" spans="5:5" ht="20" customHeight="1" x14ac:dyDescent="0.35">
      <c r="E964" s="187"/>
    </row>
    <row r="965" spans="5:5" ht="20" customHeight="1" x14ac:dyDescent="0.35">
      <c r="E965" s="187"/>
    </row>
    <row r="966" spans="5:5" ht="20" customHeight="1" x14ac:dyDescent="0.35">
      <c r="E966" s="187"/>
    </row>
    <row r="967" spans="5:5" ht="20" customHeight="1" x14ac:dyDescent="0.35">
      <c r="E967" s="187"/>
    </row>
    <row r="968" spans="5:5" ht="20" customHeight="1" x14ac:dyDescent="0.35">
      <c r="E968" s="187"/>
    </row>
    <row r="969" spans="5:5" ht="20" customHeight="1" x14ac:dyDescent="0.35">
      <c r="E969" s="187"/>
    </row>
    <row r="970" spans="5:5" ht="20" customHeight="1" x14ac:dyDescent="0.35">
      <c r="E970" s="187"/>
    </row>
    <row r="971" spans="5:5" ht="20" customHeight="1" x14ac:dyDescent="0.35">
      <c r="E971" s="187"/>
    </row>
    <row r="972" spans="5:5" ht="20" customHeight="1" x14ac:dyDescent="0.35">
      <c r="E972" s="187"/>
    </row>
    <row r="973" spans="5:5" ht="20" customHeight="1" x14ac:dyDescent="0.35">
      <c r="E973" s="187"/>
    </row>
    <row r="974" spans="5:5" ht="20" customHeight="1" x14ac:dyDescent="0.35">
      <c r="E974" s="187"/>
    </row>
    <row r="975" spans="5:5" ht="20" customHeight="1" x14ac:dyDescent="0.35">
      <c r="E975" s="187"/>
    </row>
    <row r="976" spans="5:5" ht="20" customHeight="1" x14ac:dyDescent="0.35">
      <c r="E976" s="187"/>
    </row>
    <row r="977" spans="5:5" ht="20" customHeight="1" x14ac:dyDescent="0.35">
      <c r="E977" s="187"/>
    </row>
    <row r="978" spans="5:5" ht="20" customHeight="1" x14ac:dyDescent="0.35">
      <c r="E978" s="187"/>
    </row>
    <row r="979" spans="5:5" ht="20" customHeight="1" x14ac:dyDescent="0.35">
      <c r="E979" s="187"/>
    </row>
    <row r="980" spans="5:5" ht="20" customHeight="1" x14ac:dyDescent="0.35">
      <c r="E980" s="187"/>
    </row>
    <row r="981" spans="5:5" ht="20" customHeight="1" x14ac:dyDescent="0.35">
      <c r="E981" s="187"/>
    </row>
    <row r="982" spans="5:5" ht="20" customHeight="1" x14ac:dyDescent="0.35">
      <c r="E982" s="187"/>
    </row>
    <row r="983" spans="5:5" ht="20" customHeight="1" x14ac:dyDescent="0.35">
      <c r="E983" s="187"/>
    </row>
    <row r="984" spans="5:5" ht="20" customHeight="1" x14ac:dyDescent="0.35">
      <c r="E984" s="187"/>
    </row>
    <row r="985" spans="5:5" ht="20" customHeight="1" x14ac:dyDescent="0.35">
      <c r="E985" s="187"/>
    </row>
    <row r="986" spans="5:5" ht="20" customHeight="1" x14ac:dyDescent="0.35">
      <c r="E986" s="187"/>
    </row>
    <row r="987" spans="5:5" ht="20" customHeight="1" x14ac:dyDescent="0.35">
      <c r="E987" s="187"/>
    </row>
    <row r="988" spans="5:5" ht="20" customHeight="1" x14ac:dyDescent="0.35">
      <c r="E988" s="187"/>
    </row>
    <row r="989" spans="5:5" ht="20" customHeight="1" x14ac:dyDescent="0.35">
      <c r="E989" s="187"/>
    </row>
    <row r="990" spans="5:5" ht="20" customHeight="1" x14ac:dyDescent="0.35">
      <c r="E990" s="187"/>
    </row>
    <row r="991" spans="5:5" ht="20" customHeight="1" x14ac:dyDescent="0.35">
      <c r="E991" s="187"/>
    </row>
    <row r="992" spans="5:5" ht="20" customHeight="1" x14ac:dyDescent="0.35">
      <c r="E992" s="187"/>
    </row>
    <row r="993" spans="5:5" ht="20" customHeight="1" x14ac:dyDescent="0.35">
      <c r="E993" s="187"/>
    </row>
    <row r="994" spans="5:5" ht="20" customHeight="1" x14ac:dyDescent="0.35">
      <c r="E994" s="187"/>
    </row>
    <row r="995" spans="5:5" ht="20" customHeight="1" x14ac:dyDescent="0.35">
      <c r="E995" s="187"/>
    </row>
    <row r="996" spans="5:5" ht="20" customHeight="1" x14ac:dyDescent="0.35">
      <c r="E996" s="187"/>
    </row>
    <row r="997" spans="5:5" ht="20" customHeight="1" x14ac:dyDescent="0.35">
      <c r="E997" s="187"/>
    </row>
    <row r="998" spans="5:5" ht="20" customHeight="1" x14ac:dyDescent="0.35">
      <c r="E998" s="187"/>
    </row>
    <row r="999" spans="5:5" ht="20" customHeight="1" x14ac:dyDescent="0.35">
      <c r="E999" s="187"/>
    </row>
    <row r="1000" spans="5:5" ht="20" customHeight="1" x14ac:dyDescent="0.35">
      <c r="E1000" s="187"/>
    </row>
    <row r="1001" spans="5:5" ht="20" customHeight="1" x14ac:dyDescent="0.35">
      <c r="E1001" s="187"/>
    </row>
    <row r="1002" spans="5:5" ht="20" customHeight="1" x14ac:dyDescent="0.35">
      <c r="E1002" s="187"/>
    </row>
    <row r="1003" spans="5:5" ht="20" customHeight="1" x14ac:dyDescent="0.35">
      <c r="E1003" s="187"/>
    </row>
    <row r="1004" spans="5:5" ht="20" customHeight="1" x14ac:dyDescent="0.35">
      <c r="E1004" s="187"/>
    </row>
    <row r="1005" spans="5:5" ht="20" customHeight="1" x14ac:dyDescent="0.35">
      <c r="E1005" s="187"/>
    </row>
    <row r="1006" spans="5:5" ht="20" customHeight="1" x14ac:dyDescent="0.35">
      <c r="E1006" s="187"/>
    </row>
    <row r="1007" spans="5:5" ht="20" customHeight="1" x14ac:dyDescent="0.35">
      <c r="E1007" s="187"/>
    </row>
    <row r="1008" spans="5:5" ht="20" customHeight="1" x14ac:dyDescent="0.35">
      <c r="E1008" s="187"/>
    </row>
    <row r="1009" spans="5:5" ht="20" customHeight="1" x14ac:dyDescent="0.35">
      <c r="E1009" s="187"/>
    </row>
    <row r="1010" spans="5:5" ht="20" customHeight="1" x14ac:dyDescent="0.35">
      <c r="E1010" s="187"/>
    </row>
    <row r="1011" spans="5:5" ht="20" customHeight="1" x14ac:dyDescent="0.35">
      <c r="E1011" s="187"/>
    </row>
    <row r="1012" spans="5:5" ht="20" customHeight="1" x14ac:dyDescent="0.35">
      <c r="E1012" s="187"/>
    </row>
    <row r="1013" spans="5:5" ht="20" customHeight="1" x14ac:dyDescent="0.35">
      <c r="E1013" s="187"/>
    </row>
    <row r="1014" spans="5:5" ht="20" customHeight="1" x14ac:dyDescent="0.35">
      <c r="E1014" s="187"/>
    </row>
    <row r="1015" spans="5:5" ht="20" customHeight="1" x14ac:dyDescent="0.35">
      <c r="E1015" s="187"/>
    </row>
    <row r="1016" spans="5:5" ht="20" customHeight="1" x14ac:dyDescent="0.35">
      <c r="E1016" s="187"/>
    </row>
    <row r="1017" spans="5:5" ht="20" customHeight="1" x14ac:dyDescent="0.35">
      <c r="E1017" s="187"/>
    </row>
    <row r="1018" spans="5:5" ht="20" customHeight="1" x14ac:dyDescent="0.35">
      <c r="E1018" s="187"/>
    </row>
    <row r="1019" spans="5:5" ht="20" customHeight="1" x14ac:dyDescent="0.35">
      <c r="E1019" s="187"/>
    </row>
    <row r="1020" spans="5:5" ht="20" customHeight="1" x14ac:dyDescent="0.35">
      <c r="E1020" s="187"/>
    </row>
    <row r="1021" spans="5:5" ht="20" customHeight="1" x14ac:dyDescent="0.35">
      <c r="E1021" s="187"/>
    </row>
    <row r="1022" spans="5:5" ht="20" customHeight="1" x14ac:dyDescent="0.35">
      <c r="E1022" s="187"/>
    </row>
    <row r="1023" spans="5:5" ht="20" customHeight="1" x14ac:dyDescent="0.35">
      <c r="E1023" s="187"/>
    </row>
    <row r="1024" spans="5:5" ht="20" customHeight="1" x14ac:dyDescent="0.35">
      <c r="E1024" s="187"/>
    </row>
    <row r="1025" spans="5:5" ht="20" customHeight="1" x14ac:dyDescent="0.35">
      <c r="E1025" s="187"/>
    </row>
    <row r="1026" spans="5:5" ht="20" customHeight="1" x14ac:dyDescent="0.35">
      <c r="E1026" s="187"/>
    </row>
    <row r="1027" spans="5:5" ht="20" customHeight="1" x14ac:dyDescent="0.35">
      <c r="E1027" s="187"/>
    </row>
    <row r="1028" spans="5:5" ht="20" customHeight="1" x14ac:dyDescent="0.35">
      <c r="E1028" s="187"/>
    </row>
    <row r="1029" spans="5:5" ht="20" customHeight="1" x14ac:dyDescent="0.35">
      <c r="E1029" s="187"/>
    </row>
    <row r="1030" spans="5:5" ht="20" customHeight="1" x14ac:dyDescent="0.35">
      <c r="E1030" s="187"/>
    </row>
    <row r="1031" spans="5:5" ht="20" customHeight="1" x14ac:dyDescent="0.35">
      <c r="E1031" s="187"/>
    </row>
    <row r="1032" spans="5:5" ht="20" customHeight="1" x14ac:dyDescent="0.35">
      <c r="E1032" s="187"/>
    </row>
    <row r="1033" spans="5:5" ht="20" customHeight="1" x14ac:dyDescent="0.35">
      <c r="E1033" s="187"/>
    </row>
    <row r="1034" spans="5:5" ht="20" customHeight="1" x14ac:dyDescent="0.35">
      <c r="E1034" s="187"/>
    </row>
    <row r="1035" spans="5:5" ht="20" customHeight="1" x14ac:dyDescent="0.35">
      <c r="E1035" s="187"/>
    </row>
    <row r="1036" spans="5:5" ht="20" customHeight="1" x14ac:dyDescent="0.35">
      <c r="E1036" s="187"/>
    </row>
    <row r="1037" spans="5:5" ht="20" customHeight="1" x14ac:dyDescent="0.35">
      <c r="E1037" s="187"/>
    </row>
    <row r="1038" spans="5:5" ht="20" customHeight="1" x14ac:dyDescent="0.35">
      <c r="E1038" s="187"/>
    </row>
    <row r="1039" spans="5:5" ht="20" customHeight="1" x14ac:dyDescent="0.35">
      <c r="E1039" s="187"/>
    </row>
    <row r="1040" spans="5:5" ht="20" customHeight="1" x14ac:dyDescent="0.35">
      <c r="E1040" s="187"/>
    </row>
    <row r="1041" spans="5:5" ht="20" customHeight="1" x14ac:dyDescent="0.35">
      <c r="E1041" s="187"/>
    </row>
    <row r="1042" spans="5:5" ht="20" customHeight="1" x14ac:dyDescent="0.35">
      <c r="E1042" s="187"/>
    </row>
    <row r="1043" spans="5:5" ht="20" customHeight="1" x14ac:dyDescent="0.35">
      <c r="E1043" s="187"/>
    </row>
    <row r="1044" spans="5:5" ht="20" customHeight="1" x14ac:dyDescent="0.35">
      <c r="E1044" s="187"/>
    </row>
    <row r="1045" spans="5:5" ht="20" customHeight="1" x14ac:dyDescent="0.35">
      <c r="E1045" s="187"/>
    </row>
    <row r="1046" spans="5:5" ht="20" customHeight="1" x14ac:dyDescent="0.35">
      <c r="E1046" s="187"/>
    </row>
    <row r="1047" spans="5:5" ht="20" customHeight="1" x14ac:dyDescent="0.35">
      <c r="E1047" s="187"/>
    </row>
    <row r="1048" spans="5:5" ht="20" customHeight="1" x14ac:dyDescent="0.35">
      <c r="E1048" s="187"/>
    </row>
    <row r="1049" spans="5:5" ht="20" customHeight="1" x14ac:dyDescent="0.35">
      <c r="E1049" s="187"/>
    </row>
    <row r="1050" spans="5:5" ht="20" customHeight="1" x14ac:dyDescent="0.35">
      <c r="E1050" s="187"/>
    </row>
    <row r="1051" spans="5:5" ht="20" customHeight="1" x14ac:dyDescent="0.35">
      <c r="E1051" s="187"/>
    </row>
    <row r="1052" spans="5:5" ht="20" customHeight="1" x14ac:dyDescent="0.35">
      <c r="E1052" s="187"/>
    </row>
    <row r="1053" spans="5:5" ht="20" customHeight="1" x14ac:dyDescent="0.35">
      <c r="E1053" s="187"/>
    </row>
    <row r="1054" spans="5:5" ht="20" customHeight="1" x14ac:dyDescent="0.35">
      <c r="E1054" s="187"/>
    </row>
    <row r="1055" spans="5:5" ht="20" customHeight="1" x14ac:dyDescent="0.35">
      <c r="E1055" s="187"/>
    </row>
    <row r="1056" spans="5:5" ht="20" customHeight="1" x14ac:dyDescent="0.35">
      <c r="E1056" s="187"/>
    </row>
    <row r="1057" spans="5:5" ht="20" customHeight="1" x14ac:dyDescent="0.35">
      <c r="E1057" s="187"/>
    </row>
    <row r="1058" spans="5:5" ht="20" customHeight="1" x14ac:dyDescent="0.35">
      <c r="E1058" s="187"/>
    </row>
    <row r="1059" spans="5:5" ht="20" customHeight="1" x14ac:dyDescent="0.35">
      <c r="E1059" s="187"/>
    </row>
    <row r="1060" spans="5:5" ht="20" customHeight="1" x14ac:dyDescent="0.35">
      <c r="E1060" s="187"/>
    </row>
    <row r="1061" spans="5:5" ht="20" customHeight="1" x14ac:dyDescent="0.35">
      <c r="E1061" s="187"/>
    </row>
    <row r="1062" spans="5:5" ht="20" customHeight="1" x14ac:dyDescent="0.35">
      <c r="E1062" s="187"/>
    </row>
    <row r="1063" spans="5:5" ht="20" customHeight="1" x14ac:dyDescent="0.35">
      <c r="E1063" s="187"/>
    </row>
    <row r="1064" spans="5:5" ht="20" customHeight="1" x14ac:dyDescent="0.35">
      <c r="E1064" s="187"/>
    </row>
    <row r="1065" spans="5:5" ht="20" customHeight="1" x14ac:dyDescent="0.35">
      <c r="E1065" s="187"/>
    </row>
    <row r="1066" spans="5:5" ht="20" customHeight="1" x14ac:dyDescent="0.35">
      <c r="E1066" s="187"/>
    </row>
    <row r="1067" spans="5:5" ht="20" customHeight="1" x14ac:dyDescent="0.35">
      <c r="E1067" s="187"/>
    </row>
    <row r="1068" spans="5:5" ht="20" customHeight="1" x14ac:dyDescent="0.35">
      <c r="E1068" s="187"/>
    </row>
    <row r="1069" spans="5:5" ht="20" customHeight="1" x14ac:dyDescent="0.35">
      <c r="E1069" s="187"/>
    </row>
    <row r="1070" spans="5:5" ht="20" customHeight="1" x14ac:dyDescent="0.35">
      <c r="E1070" s="187"/>
    </row>
    <row r="1071" spans="5:5" ht="20" customHeight="1" x14ac:dyDescent="0.35">
      <c r="E1071" s="187"/>
    </row>
    <row r="1072" spans="5:5" ht="20" customHeight="1" x14ac:dyDescent="0.35">
      <c r="E1072" s="187"/>
    </row>
    <row r="1073" spans="5:5" ht="20" customHeight="1" x14ac:dyDescent="0.35">
      <c r="E1073" s="187"/>
    </row>
    <row r="1074" spans="5:5" ht="20" customHeight="1" x14ac:dyDescent="0.35">
      <c r="E1074" s="187"/>
    </row>
    <row r="1075" spans="5:5" ht="20" customHeight="1" x14ac:dyDescent="0.35">
      <c r="E1075" s="187"/>
    </row>
    <row r="1076" spans="5:5" ht="20" customHeight="1" x14ac:dyDescent="0.35">
      <c r="E1076" s="187"/>
    </row>
    <row r="1077" spans="5:5" ht="20" customHeight="1" x14ac:dyDescent="0.35">
      <c r="E1077" s="187"/>
    </row>
    <row r="1078" spans="5:5" ht="20" customHeight="1" x14ac:dyDescent="0.35">
      <c r="E1078" s="187"/>
    </row>
    <row r="1079" spans="5:5" ht="20" customHeight="1" x14ac:dyDescent="0.35">
      <c r="E1079" s="187"/>
    </row>
    <row r="1080" spans="5:5" ht="20" customHeight="1" x14ac:dyDescent="0.35">
      <c r="E1080" s="187"/>
    </row>
    <row r="1081" spans="5:5" ht="20" customHeight="1" x14ac:dyDescent="0.35">
      <c r="E1081" s="187"/>
    </row>
    <row r="1082" spans="5:5" ht="20" customHeight="1" x14ac:dyDescent="0.35">
      <c r="E1082" s="187"/>
    </row>
    <row r="1083" spans="5:5" ht="20" customHeight="1" x14ac:dyDescent="0.35">
      <c r="E1083" s="187"/>
    </row>
    <row r="1084" spans="5:5" ht="20" customHeight="1" x14ac:dyDescent="0.35">
      <c r="E1084" s="187"/>
    </row>
    <row r="1085" spans="5:5" ht="20" customHeight="1" x14ac:dyDescent="0.35">
      <c r="E1085" s="187"/>
    </row>
    <row r="1086" spans="5:5" ht="20" customHeight="1" x14ac:dyDescent="0.35">
      <c r="E1086" s="187"/>
    </row>
    <row r="1087" spans="5:5" ht="20" customHeight="1" x14ac:dyDescent="0.35">
      <c r="E1087" s="187"/>
    </row>
    <row r="1088" spans="5:5" ht="20" customHeight="1" x14ac:dyDescent="0.35">
      <c r="E1088" s="187"/>
    </row>
    <row r="1089" spans="5:5" ht="20" customHeight="1" x14ac:dyDescent="0.35">
      <c r="E1089" s="187"/>
    </row>
    <row r="1090" spans="5:5" ht="20" customHeight="1" x14ac:dyDescent="0.35">
      <c r="E1090" s="187"/>
    </row>
    <row r="1091" spans="5:5" ht="20" customHeight="1" x14ac:dyDescent="0.35">
      <c r="E1091" s="187"/>
    </row>
    <row r="1092" spans="5:5" ht="20" customHeight="1" x14ac:dyDescent="0.35">
      <c r="E1092" s="187"/>
    </row>
    <row r="1093" spans="5:5" ht="20" customHeight="1" x14ac:dyDescent="0.35">
      <c r="E1093" s="187"/>
    </row>
    <row r="1094" spans="5:5" ht="20" customHeight="1" x14ac:dyDescent="0.35">
      <c r="E1094" s="187"/>
    </row>
    <row r="1095" spans="5:5" ht="20" customHeight="1" x14ac:dyDescent="0.35">
      <c r="E1095" s="187"/>
    </row>
    <row r="1096" spans="5:5" ht="20" customHeight="1" x14ac:dyDescent="0.35">
      <c r="E1096" s="187"/>
    </row>
    <row r="1097" spans="5:5" ht="20" customHeight="1" x14ac:dyDescent="0.35">
      <c r="E1097" s="187"/>
    </row>
    <row r="1098" spans="5:5" ht="20" customHeight="1" x14ac:dyDescent="0.35">
      <c r="E1098" s="187"/>
    </row>
    <row r="1099" spans="5:5" ht="20" customHeight="1" x14ac:dyDescent="0.35">
      <c r="E1099" s="187"/>
    </row>
    <row r="1100" spans="5:5" ht="20" customHeight="1" x14ac:dyDescent="0.35">
      <c r="E1100" s="187"/>
    </row>
    <row r="1101" spans="5:5" ht="20" customHeight="1" x14ac:dyDescent="0.35">
      <c r="E1101" s="187"/>
    </row>
    <row r="1102" spans="5:5" ht="20" customHeight="1" x14ac:dyDescent="0.35">
      <c r="E1102" s="187"/>
    </row>
    <row r="1103" spans="5:5" ht="20" customHeight="1" x14ac:dyDescent="0.35">
      <c r="E1103" s="187"/>
    </row>
    <row r="1104" spans="5:5" ht="20" customHeight="1" x14ac:dyDescent="0.35">
      <c r="E1104" s="187"/>
    </row>
    <row r="1105" spans="5:5" ht="20" customHeight="1" x14ac:dyDescent="0.35">
      <c r="E1105" s="187"/>
    </row>
    <row r="1106" spans="5:5" ht="20" customHeight="1" x14ac:dyDescent="0.35">
      <c r="E1106" s="187"/>
    </row>
    <row r="1107" spans="5:5" ht="20" customHeight="1" x14ac:dyDescent="0.35">
      <c r="E1107" s="187"/>
    </row>
    <row r="1108" spans="5:5" ht="20" customHeight="1" x14ac:dyDescent="0.35">
      <c r="E1108" s="187"/>
    </row>
    <row r="1109" spans="5:5" ht="20" customHeight="1" x14ac:dyDescent="0.35">
      <c r="E1109" s="187"/>
    </row>
    <row r="1110" spans="5:5" ht="20" customHeight="1" x14ac:dyDescent="0.35">
      <c r="E1110" s="187"/>
    </row>
    <row r="1111" spans="5:5" ht="20" customHeight="1" x14ac:dyDescent="0.35">
      <c r="E1111" s="187"/>
    </row>
    <row r="1112" spans="5:5" ht="20" customHeight="1" x14ac:dyDescent="0.35">
      <c r="E1112" s="187"/>
    </row>
    <row r="1113" spans="5:5" ht="20" customHeight="1" x14ac:dyDescent="0.35">
      <c r="E1113" s="187"/>
    </row>
    <row r="1114" spans="5:5" ht="20" customHeight="1" x14ac:dyDescent="0.35">
      <c r="E1114" s="187"/>
    </row>
    <row r="1115" spans="5:5" ht="20" customHeight="1" x14ac:dyDescent="0.35">
      <c r="E1115" s="187"/>
    </row>
    <row r="1116" spans="5:5" ht="20" customHeight="1" x14ac:dyDescent="0.35">
      <c r="E1116" s="187"/>
    </row>
    <row r="1117" spans="5:5" ht="20" customHeight="1" x14ac:dyDescent="0.35">
      <c r="E1117" s="187"/>
    </row>
    <row r="1118" spans="5:5" ht="20" customHeight="1" x14ac:dyDescent="0.35">
      <c r="E1118" s="187"/>
    </row>
    <row r="1119" spans="5:5" ht="20" customHeight="1" x14ac:dyDescent="0.35">
      <c r="E1119" s="187"/>
    </row>
    <row r="1120" spans="5:5" ht="20" customHeight="1" x14ac:dyDescent="0.35">
      <c r="E1120" s="187"/>
    </row>
    <row r="1121" spans="5:5" ht="20" customHeight="1" x14ac:dyDescent="0.35">
      <c r="E1121" s="187"/>
    </row>
    <row r="1122" spans="5:5" ht="20" customHeight="1" x14ac:dyDescent="0.35">
      <c r="E1122" s="187"/>
    </row>
    <row r="1123" spans="5:5" ht="20" customHeight="1" x14ac:dyDescent="0.35">
      <c r="E1123" s="187"/>
    </row>
    <row r="1124" spans="5:5" ht="20" customHeight="1" x14ac:dyDescent="0.35">
      <c r="E1124" s="187"/>
    </row>
    <row r="1125" spans="5:5" ht="20" customHeight="1" x14ac:dyDescent="0.35">
      <c r="E1125" s="187"/>
    </row>
    <row r="1126" spans="5:5" ht="20" customHeight="1" x14ac:dyDescent="0.35">
      <c r="E1126" s="187"/>
    </row>
    <row r="1127" spans="5:5" ht="20" customHeight="1" x14ac:dyDescent="0.35">
      <c r="E1127" s="187"/>
    </row>
    <row r="1128" spans="5:5" ht="20" customHeight="1" x14ac:dyDescent="0.35">
      <c r="E1128" s="187"/>
    </row>
    <row r="1129" spans="5:5" ht="20" customHeight="1" x14ac:dyDescent="0.35">
      <c r="E1129" s="187"/>
    </row>
    <row r="1130" spans="5:5" ht="20" customHeight="1" x14ac:dyDescent="0.35">
      <c r="E1130" s="187"/>
    </row>
    <row r="1131" spans="5:5" ht="20" customHeight="1" x14ac:dyDescent="0.35">
      <c r="E1131" s="187"/>
    </row>
    <row r="1132" spans="5:5" ht="20" customHeight="1" x14ac:dyDescent="0.35">
      <c r="E1132" s="187"/>
    </row>
    <row r="1133" spans="5:5" ht="20" customHeight="1" x14ac:dyDescent="0.35">
      <c r="E1133" s="187"/>
    </row>
    <row r="1134" spans="5:5" ht="20" customHeight="1" x14ac:dyDescent="0.35">
      <c r="E1134" s="187"/>
    </row>
    <row r="1135" spans="5:5" ht="20" customHeight="1" x14ac:dyDescent="0.35">
      <c r="E1135" s="187"/>
    </row>
    <row r="1136" spans="5:5" ht="20" customHeight="1" x14ac:dyDescent="0.35">
      <c r="E1136" s="187"/>
    </row>
    <row r="1137" spans="5:5" ht="20" customHeight="1" x14ac:dyDescent="0.35">
      <c r="E1137" s="187"/>
    </row>
    <row r="1138" spans="5:5" ht="20" customHeight="1" x14ac:dyDescent="0.35">
      <c r="E1138" s="187"/>
    </row>
    <row r="1139" spans="5:5" ht="20" customHeight="1" x14ac:dyDescent="0.35">
      <c r="E1139" s="187"/>
    </row>
    <row r="1140" spans="5:5" ht="20" customHeight="1" x14ac:dyDescent="0.35">
      <c r="E1140" s="187"/>
    </row>
    <row r="1141" spans="5:5" ht="20" customHeight="1" x14ac:dyDescent="0.35">
      <c r="E1141" s="187"/>
    </row>
    <row r="1142" spans="5:5" ht="20" customHeight="1" x14ac:dyDescent="0.35">
      <c r="E1142" s="187"/>
    </row>
    <row r="1143" spans="5:5" ht="20" customHeight="1" x14ac:dyDescent="0.35">
      <c r="E1143" s="187"/>
    </row>
    <row r="1144" spans="5:5" ht="20" customHeight="1" x14ac:dyDescent="0.35">
      <c r="E1144" s="187"/>
    </row>
    <row r="1145" spans="5:5" ht="20" customHeight="1" x14ac:dyDescent="0.35">
      <c r="E1145" s="187"/>
    </row>
    <row r="1146" spans="5:5" ht="20" customHeight="1" x14ac:dyDescent="0.35">
      <c r="E1146" s="187"/>
    </row>
    <row r="1147" spans="5:5" ht="20" customHeight="1" x14ac:dyDescent="0.35">
      <c r="E1147" s="187"/>
    </row>
    <row r="1148" spans="5:5" ht="20" customHeight="1" x14ac:dyDescent="0.35">
      <c r="E1148" s="187"/>
    </row>
    <row r="1149" spans="5:5" ht="20" customHeight="1" x14ac:dyDescent="0.35">
      <c r="E1149" s="187"/>
    </row>
    <row r="1150" spans="5:5" ht="20" customHeight="1" x14ac:dyDescent="0.35">
      <c r="E1150" s="187"/>
    </row>
    <row r="1151" spans="5:5" ht="20" customHeight="1" x14ac:dyDescent="0.35">
      <c r="E1151" s="187"/>
    </row>
    <row r="1152" spans="5:5" ht="20" customHeight="1" x14ac:dyDescent="0.35">
      <c r="E1152" s="187"/>
    </row>
    <row r="1153" spans="5:5" ht="20" customHeight="1" x14ac:dyDescent="0.35">
      <c r="E1153" s="187"/>
    </row>
    <row r="1154" spans="5:5" ht="20" customHeight="1" x14ac:dyDescent="0.35">
      <c r="E1154" s="187"/>
    </row>
    <row r="1155" spans="5:5" ht="20" customHeight="1" x14ac:dyDescent="0.35">
      <c r="E1155" s="187"/>
    </row>
    <row r="1156" spans="5:5" ht="20" customHeight="1" x14ac:dyDescent="0.35">
      <c r="E1156" s="187"/>
    </row>
    <row r="1157" spans="5:5" ht="20" customHeight="1" x14ac:dyDescent="0.35">
      <c r="E1157" s="187"/>
    </row>
    <row r="1158" spans="5:5" ht="20" customHeight="1" x14ac:dyDescent="0.35">
      <c r="E1158" s="187"/>
    </row>
    <row r="1159" spans="5:5" ht="20" customHeight="1" x14ac:dyDescent="0.35">
      <c r="E1159" s="187"/>
    </row>
    <row r="1160" spans="5:5" ht="20" customHeight="1" x14ac:dyDescent="0.35">
      <c r="E1160" s="187"/>
    </row>
    <row r="1161" spans="5:5" ht="20" customHeight="1" x14ac:dyDescent="0.35">
      <c r="E1161" s="187"/>
    </row>
    <row r="1162" spans="5:5" ht="20" customHeight="1" x14ac:dyDescent="0.35">
      <c r="E1162" s="187"/>
    </row>
    <row r="1163" spans="5:5" ht="20" customHeight="1" x14ac:dyDescent="0.35">
      <c r="E1163" s="187"/>
    </row>
    <row r="1164" spans="5:5" ht="20" customHeight="1" x14ac:dyDescent="0.35">
      <c r="E1164" s="187"/>
    </row>
    <row r="1165" spans="5:5" ht="20" customHeight="1" x14ac:dyDescent="0.35">
      <c r="E1165" s="187"/>
    </row>
    <row r="1166" spans="5:5" ht="20" customHeight="1" x14ac:dyDescent="0.35">
      <c r="E1166" s="187"/>
    </row>
    <row r="1167" spans="5:5" ht="20" customHeight="1" x14ac:dyDescent="0.35">
      <c r="E1167" s="187"/>
    </row>
    <row r="1168" spans="5:5" ht="20" customHeight="1" x14ac:dyDescent="0.35">
      <c r="E1168" s="187"/>
    </row>
    <row r="1169" spans="5:5" ht="20" customHeight="1" x14ac:dyDescent="0.35">
      <c r="E1169" s="187"/>
    </row>
    <row r="1170" spans="5:5" ht="20" customHeight="1" x14ac:dyDescent="0.35">
      <c r="E1170" s="187"/>
    </row>
    <row r="1171" spans="5:5" ht="20" customHeight="1" x14ac:dyDescent="0.35">
      <c r="E1171" s="187"/>
    </row>
    <row r="1172" spans="5:5" ht="20" customHeight="1" x14ac:dyDescent="0.35">
      <c r="E1172" s="187"/>
    </row>
    <row r="1173" spans="5:5" ht="20" customHeight="1" x14ac:dyDescent="0.35">
      <c r="E1173" s="187"/>
    </row>
    <row r="1174" spans="5:5" ht="20" customHeight="1" x14ac:dyDescent="0.35">
      <c r="E1174" s="187"/>
    </row>
    <row r="1175" spans="5:5" ht="20" customHeight="1" x14ac:dyDescent="0.35">
      <c r="E1175" s="187"/>
    </row>
    <row r="1176" spans="5:5" ht="20" customHeight="1" x14ac:dyDescent="0.35">
      <c r="E1176" s="187"/>
    </row>
    <row r="1177" spans="5:5" ht="20" customHeight="1" x14ac:dyDescent="0.35">
      <c r="E1177" s="187"/>
    </row>
    <row r="1178" spans="5:5" ht="20" customHeight="1" x14ac:dyDescent="0.35">
      <c r="E1178" s="187"/>
    </row>
    <row r="1179" spans="5:5" ht="20" customHeight="1" x14ac:dyDescent="0.35">
      <c r="E1179" s="187"/>
    </row>
    <row r="1180" spans="5:5" ht="20" customHeight="1" x14ac:dyDescent="0.35">
      <c r="E1180" s="187"/>
    </row>
    <row r="1181" spans="5:5" ht="20" customHeight="1" x14ac:dyDescent="0.35">
      <c r="E1181" s="187"/>
    </row>
    <row r="1182" spans="5:5" ht="20" customHeight="1" x14ac:dyDescent="0.35">
      <c r="E1182" s="187"/>
    </row>
    <row r="1183" spans="5:5" ht="20" customHeight="1" x14ac:dyDescent="0.35">
      <c r="E1183" s="187"/>
    </row>
    <row r="1184" spans="5:5" ht="20" customHeight="1" x14ac:dyDescent="0.35">
      <c r="E1184" s="187"/>
    </row>
    <row r="1185" spans="5:5" ht="20" customHeight="1" x14ac:dyDescent="0.35">
      <c r="E1185" s="187"/>
    </row>
    <row r="1186" spans="5:5" ht="20" customHeight="1" x14ac:dyDescent="0.35">
      <c r="E1186" s="187"/>
    </row>
    <row r="1187" spans="5:5" ht="20" customHeight="1" x14ac:dyDescent="0.35">
      <c r="E1187" s="187"/>
    </row>
    <row r="1188" spans="5:5" ht="20" customHeight="1" x14ac:dyDescent="0.35">
      <c r="E1188" s="187"/>
    </row>
    <row r="1189" spans="5:5" ht="20" customHeight="1" x14ac:dyDescent="0.35">
      <c r="E1189" s="187"/>
    </row>
    <row r="1190" spans="5:5" ht="20" customHeight="1" x14ac:dyDescent="0.35">
      <c r="E1190" s="187"/>
    </row>
    <row r="1191" spans="5:5" ht="20" customHeight="1" x14ac:dyDescent="0.35">
      <c r="E1191" s="187"/>
    </row>
    <row r="1192" spans="5:5" ht="20" customHeight="1" x14ac:dyDescent="0.35">
      <c r="E1192" s="187"/>
    </row>
    <row r="1193" spans="5:5" ht="20" customHeight="1" x14ac:dyDescent="0.35">
      <c r="E1193" s="187"/>
    </row>
    <row r="1194" spans="5:5" ht="20" customHeight="1" x14ac:dyDescent="0.35">
      <c r="E1194" s="187"/>
    </row>
    <row r="1195" spans="5:5" ht="20" customHeight="1" x14ac:dyDescent="0.35">
      <c r="E1195" s="187"/>
    </row>
    <row r="1196" spans="5:5" ht="20" customHeight="1" x14ac:dyDescent="0.35">
      <c r="E1196" s="187"/>
    </row>
    <row r="1197" spans="5:5" ht="20" customHeight="1" x14ac:dyDescent="0.35">
      <c r="E1197" s="187"/>
    </row>
    <row r="1198" spans="5:5" ht="20" customHeight="1" x14ac:dyDescent="0.35">
      <c r="E1198" s="187"/>
    </row>
    <row r="1199" spans="5:5" ht="20" customHeight="1" x14ac:dyDescent="0.35">
      <c r="E1199" s="187"/>
    </row>
    <row r="1200" spans="5:5" ht="20" customHeight="1" x14ac:dyDescent="0.35">
      <c r="E1200" s="187"/>
    </row>
    <row r="1201" spans="5:5" ht="20" customHeight="1" x14ac:dyDescent="0.35">
      <c r="E1201" s="187"/>
    </row>
    <row r="1202" spans="5:5" ht="20" customHeight="1" x14ac:dyDescent="0.35">
      <c r="E1202" s="187"/>
    </row>
    <row r="1203" spans="5:5" ht="20" customHeight="1" x14ac:dyDescent="0.35">
      <c r="E1203" s="187"/>
    </row>
    <row r="1204" spans="5:5" ht="20" customHeight="1" x14ac:dyDescent="0.35">
      <c r="E1204" s="187"/>
    </row>
    <row r="1205" spans="5:5" ht="20" customHeight="1" x14ac:dyDescent="0.35">
      <c r="E1205" s="187"/>
    </row>
    <row r="1206" spans="5:5" ht="20" customHeight="1" x14ac:dyDescent="0.35">
      <c r="E1206" s="187"/>
    </row>
    <row r="1207" spans="5:5" ht="20" customHeight="1" x14ac:dyDescent="0.35">
      <c r="E1207" s="187"/>
    </row>
    <row r="1208" spans="5:5" ht="20" customHeight="1" x14ac:dyDescent="0.35">
      <c r="E1208" s="187"/>
    </row>
    <row r="1209" spans="5:5" ht="20" customHeight="1" x14ac:dyDescent="0.35">
      <c r="E1209" s="187"/>
    </row>
    <row r="1210" spans="5:5" ht="20" customHeight="1" x14ac:dyDescent="0.35">
      <c r="E1210" s="187"/>
    </row>
    <row r="1211" spans="5:5" ht="20" customHeight="1" x14ac:dyDescent="0.35">
      <c r="E1211" s="187"/>
    </row>
    <row r="1212" spans="5:5" ht="20" customHeight="1" x14ac:dyDescent="0.35">
      <c r="E1212" s="187"/>
    </row>
    <row r="1213" spans="5:5" ht="20" customHeight="1" x14ac:dyDescent="0.35">
      <c r="E1213" s="187"/>
    </row>
    <row r="1214" spans="5:5" ht="20" customHeight="1" x14ac:dyDescent="0.35">
      <c r="E1214" s="187"/>
    </row>
    <row r="1215" spans="5:5" ht="20" customHeight="1" x14ac:dyDescent="0.35">
      <c r="E1215" s="187"/>
    </row>
    <row r="1216" spans="5:5" ht="20" customHeight="1" x14ac:dyDescent="0.35">
      <c r="E1216" s="187"/>
    </row>
    <row r="1217" spans="5:5" ht="20" customHeight="1" x14ac:dyDescent="0.35">
      <c r="E1217" s="187"/>
    </row>
    <row r="1218" spans="5:5" ht="20" customHeight="1" x14ac:dyDescent="0.35">
      <c r="E1218" s="187"/>
    </row>
    <row r="1219" spans="5:5" ht="20" customHeight="1" x14ac:dyDescent="0.35">
      <c r="E1219" s="187"/>
    </row>
    <row r="1220" spans="5:5" ht="20" customHeight="1" x14ac:dyDescent="0.35">
      <c r="E1220" s="187"/>
    </row>
    <row r="1221" spans="5:5" ht="20" customHeight="1" x14ac:dyDescent="0.35">
      <c r="E1221" s="187"/>
    </row>
    <row r="1222" spans="5:5" ht="20" customHeight="1" x14ac:dyDescent="0.35">
      <c r="E1222" s="187"/>
    </row>
    <row r="1223" spans="5:5" ht="20" customHeight="1" x14ac:dyDescent="0.35">
      <c r="E1223" s="187"/>
    </row>
    <row r="1224" spans="5:5" ht="20" customHeight="1" x14ac:dyDescent="0.35">
      <c r="E1224" s="187"/>
    </row>
    <row r="1225" spans="5:5" ht="20" customHeight="1" x14ac:dyDescent="0.35">
      <c r="E1225" s="187"/>
    </row>
    <row r="1226" spans="5:5" ht="20" customHeight="1" x14ac:dyDescent="0.35">
      <c r="E1226" s="187"/>
    </row>
    <row r="1227" spans="5:5" ht="20" customHeight="1" x14ac:dyDescent="0.35">
      <c r="E1227" s="187"/>
    </row>
    <row r="1228" spans="5:5" ht="20" customHeight="1" x14ac:dyDescent="0.35">
      <c r="E1228" s="187"/>
    </row>
    <row r="1229" spans="5:5" ht="20" customHeight="1" x14ac:dyDescent="0.35">
      <c r="E1229" s="187"/>
    </row>
    <row r="1230" spans="5:5" ht="20" customHeight="1" x14ac:dyDescent="0.35">
      <c r="E1230" s="187"/>
    </row>
    <row r="1231" spans="5:5" ht="20" customHeight="1" x14ac:dyDescent="0.35">
      <c r="E1231" s="187"/>
    </row>
    <row r="1232" spans="5:5" ht="20" customHeight="1" x14ac:dyDescent="0.35">
      <c r="E1232" s="187"/>
    </row>
    <row r="1233" spans="5:5" ht="20" customHeight="1" x14ac:dyDescent="0.35">
      <c r="E1233" s="187"/>
    </row>
    <row r="1234" spans="5:5" ht="20" customHeight="1" x14ac:dyDescent="0.35">
      <c r="E1234" s="187"/>
    </row>
    <row r="1235" spans="5:5" ht="20" customHeight="1" x14ac:dyDescent="0.35">
      <c r="E1235" s="187"/>
    </row>
    <row r="1236" spans="5:5" ht="20" customHeight="1" x14ac:dyDescent="0.35">
      <c r="E1236" s="187"/>
    </row>
    <row r="1237" spans="5:5" ht="20" customHeight="1" x14ac:dyDescent="0.35">
      <c r="E1237" s="187"/>
    </row>
    <row r="1238" spans="5:5" ht="20" customHeight="1" x14ac:dyDescent="0.35">
      <c r="E1238" s="187"/>
    </row>
    <row r="1239" spans="5:5" ht="20" customHeight="1" x14ac:dyDescent="0.35">
      <c r="E1239" s="187"/>
    </row>
    <row r="1240" spans="5:5" ht="20" customHeight="1" x14ac:dyDescent="0.35">
      <c r="E1240" s="187"/>
    </row>
    <row r="1241" spans="5:5" ht="20" customHeight="1" x14ac:dyDescent="0.35">
      <c r="E1241" s="187"/>
    </row>
    <row r="1242" spans="5:5" ht="20" customHeight="1" x14ac:dyDescent="0.35">
      <c r="E1242" s="187"/>
    </row>
    <row r="1243" spans="5:5" ht="20" customHeight="1" x14ac:dyDescent="0.35">
      <c r="E1243" s="187"/>
    </row>
    <row r="1244" spans="5:5" ht="20" customHeight="1" x14ac:dyDescent="0.35">
      <c r="E1244" s="187"/>
    </row>
    <row r="1245" spans="5:5" ht="20" customHeight="1" x14ac:dyDescent="0.35">
      <c r="E1245" s="187"/>
    </row>
    <row r="1246" spans="5:5" ht="20" customHeight="1" x14ac:dyDescent="0.35">
      <c r="E1246" s="187"/>
    </row>
    <row r="1247" spans="5:5" ht="20" customHeight="1" x14ac:dyDescent="0.35">
      <c r="E1247" s="187"/>
    </row>
    <row r="1248" spans="5:5" ht="20" customHeight="1" x14ac:dyDescent="0.35">
      <c r="E1248" s="187"/>
    </row>
    <row r="1249" spans="5:5" ht="20" customHeight="1" x14ac:dyDescent="0.35">
      <c r="E1249" s="187"/>
    </row>
    <row r="1250" spans="5:5" ht="20" customHeight="1" x14ac:dyDescent="0.35">
      <c r="E1250" s="187"/>
    </row>
    <row r="1251" spans="5:5" ht="20" customHeight="1" x14ac:dyDescent="0.35">
      <c r="E1251" s="187"/>
    </row>
    <row r="1252" spans="5:5" ht="20" customHeight="1" x14ac:dyDescent="0.35">
      <c r="E1252" s="187"/>
    </row>
    <row r="1253" spans="5:5" ht="20" customHeight="1" x14ac:dyDescent="0.35">
      <c r="E1253" s="187"/>
    </row>
    <row r="1254" spans="5:5" ht="20" customHeight="1" x14ac:dyDescent="0.35">
      <c r="E1254" s="187"/>
    </row>
    <row r="1255" spans="5:5" ht="20" customHeight="1" x14ac:dyDescent="0.35">
      <c r="E1255" s="187"/>
    </row>
    <row r="1256" spans="5:5" ht="20" customHeight="1" x14ac:dyDescent="0.35">
      <c r="E1256" s="187"/>
    </row>
    <row r="1257" spans="5:5" ht="20" customHeight="1" x14ac:dyDescent="0.35">
      <c r="E1257" s="187"/>
    </row>
    <row r="1258" spans="5:5" ht="20" customHeight="1" x14ac:dyDescent="0.35">
      <c r="E1258" s="187"/>
    </row>
    <row r="1259" spans="5:5" ht="20" customHeight="1" x14ac:dyDescent="0.35">
      <c r="E1259" s="187"/>
    </row>
    <row r="1260" spans="5:5" ht="20" customHeight="1" x14ac:dyDescent="0.35">
      <c r="E1260" s="187"/>
    </row>
    <row r="1261" spans="5:5" ht="20" customHeight="1" x14ac:dyDescent="0.35">
      <c r="E1261" s="187"/>
    </row>
    <row r="1262" spans="5:5" ht="20" customHeight="1" x14ac:dyDescent="0.35">
      <c r="E1262" s="187"/>
    </row>
    <row r="1263" spans="5:5" ht="20" customHeight="1" x14ac:dyDescent="0.35">
      <c r="E1263" s="187"/>
    </row>
    <row r="1264" spans="5:5" ht="20" customHeight="1" x14ac:dyDescent="0.35">
      <c r="E1264" s="187"/>
    </row>
    <row r="1265" spans="5:5" ht="20" customHeight="1" x14ac:dyDescent="0.35">
      <c r="E1265" s="187"/>
    </row>
    <row r="1266" spans="5:5" ht="20" customHeight="1" x14ac:dyDescent="0.35">
      <c r="E1266" s="187"/>
    </row>
    <row r="1267" spans="5:5" ht="20" customHeight="1" x14ac:dyDescent="0.35">
      <c r="E1267" s="187"/>
    </row>
    <row r="1268" spans="5:5" ht="20" customHeight="1" x14ac:dyDescent="0.35">
      <c r="E1268" s="187"/>
    </row>
    <row r="1269" spans="5:5" ht="20" customHeight="1" x14ac:dyDescent="0.35">
      <c r="E1269" s="187"/>
    </row>
    <row r="1270" spans="5:5" ht="20" customHeight="1" x14ac:dyDescent="0.35">
      <c r="E1270" s="187"/>
    </row>
    <row r="1271" spans="5:5" ht="20" customHeight="1" x14ac:dyDescent="0.35">
      <c r="E1271" s="187"/>
    </row>
    <row r="1272" spans="5:5" ht="20" customHeight="1" x14ac:dyDescent="0.35">
      <c r="E1272" s="187"/>
    </row>
    <row r="1273" spans="5:5" ht="20" customHeight="1" x14ac:dyDescent="0.35">
      <c r="E1273" s="187"/>
    </row>
    <row r="1274" spans="5:5" ht="20" customHeight="1" x14ac:dyDescent="0.35">
      <c r="E1274" s="187"/>
    </row>
    <row r="1275" spans="5:5" ht="20" customHeight="1" x14ac:dyDescent="0.35">
      <c r="E1275" s="187"/>
    </row>
    <row r="1276" spans="5:5" ht="20" customHeight="1" x14ac:dyDescent="0.35">
      <c r="E1276" s="187"/>
    </row>
    <row r="1277" spans="5:5" ht="20" customHeight="1" x14ac:dyDescent="0.35">
      <c r="E1277" s="187"/>
    </row>
    <row r="1278" spans="5:5" ht="20" customHeight="1" x14ac:dyDescent="0.35">
      <c r="E1278" s="187"/>
    </row>
    <row r="1279" spans="5:5" ht="20" customHeight="1" x14ac:dyDescent="0.35">
      <c r="E1279" s="187"/>
    </row>
    <row r="1280" spans="5:5" ht="20" customHeight="1" x14ac:dyDescent="0.35">
      <c r="E1280" s="187"/>
    </row>
    <row r="1281" spans="5:5" ht="20" customHeight="1" x14ac:dyDescent="0.35">
      <c r="E1281" s="187"/>
    </row>
    <row r="1282" spans="5:5" ht="20" customHeight="1" x14ac:dyDescent="0.35">
      <c r="E1282" s="187"/>
    </row>
    <row r="1283" spans="5:5" ht="20" customHeight="1" x14ac:dyDescent="0.35">
      <c r="E1283" s="187"/>
    </row>
    <row r="1284" spans="5:5" ht="20" customHeight="1" x14ac:dyDescent="0.35">
      <c r="E1284" s="187"/>
    </row>
    <row r="1285" spans="5:5" ht="20" customHeight="1" x14ac:dyDescent="0.35">
      <c r="E1285" s="187"/>
    </row>
    <row r="1286" spans="5:5" ht="20" customHeight="1" x14ac:dyDescent="0.35">
      <c r="E1286" s="187"/>
    </row>
    <row r="1287" spans="5:5" ht="20" customHeight="1" x14ac:dyDescent="0.35">
      <c r="E1287" s="187"/>
    </row>
    <row r="1288" spans="5:5" ht="20" customHeight="1" x14ac:dyDescent="0.35">
      <c r="E1288" s="187"/>
    </row>
    <row r="1289" spans="5:5" ht="20" customHeight="1" x14ac:dyDescent="0.35">
      <c r="E1289" s="187"/>
    </row>
    <row r="1290" spans="5:5" ht="20" customHeight="1" x14ac:dyDescent="0.35">
      <c r="E1290" s="187"/>
    </row>
    <row r="1291" spans="5:5" ht="20" customHeight="1" x14ac:dyDescent="0.35">
      <c r="E1291" s="187"/>
    </row>
    <row r="1292" spans="5:5" ht="20" customHeight="1" x14ac:dyDescent="0.35">
      <c r="E1292" s="187"/>
    </row>
    <row r="1293" spans="5:5" ht="20" customHeight="1" x14ac:dyDescent="0.35">
      <c r="E1293" s="187"/>
    </row>
    <row r="1294" spans="5:5" ht="20" customHeight="1" x14ac:dyDescent="0.35">
      <c r="E1294" s="187"/>
    </row>
    <row r="1295" spans="5:5" ht="20" customHeight="1" x14ac:dyDescent="0.35">
      <c r="E1295" s="187"/>
    </row>
    <row r="1296" spans="5:5" ht="20" customHeight="1" x14ac:dyDescent="0.35">
      <c r="E1296" s="187"/>
    </row>
    <row r="1297" spans="5:5" ht="20" customHeight="1" x14ac:dyDescent="0.35">
      <c r="E1297" s="187"/>
    </row>
    <row r="1298" spans="5:5" ht="20" customHeight="1" x14ac:dyDescent="0.35">
      <c r="E1298" s="187"/>
    </row>
    <row r="1299" spans="5:5" ht="20" customHeight="1" x14ac:dyDescent="0.35">
      <c r="E1299" s="187"/>
    </row>
    <row r="1300" spans="5:5" ht="20" customHeight="1" x14ac:dyDescent="0.35">
      <c r="E1300" s="187"/>
    </row>
    <row r="1301" spans="5:5" ht="20" customHeight="1" x14ac:dyDescent="0.35">
      <c r="E1301" s="187"/>
    </row>
    <row r="1302" spans="5:5" ht="20" customHeight="1" x14ac:dyDescent="0.35">
      <c r="E1302" s="187"/>
    </row>
    <row r="1303" spans="5:5" ht="20" customHeight="1" x14ac:dyDescent="0.35">
      <c r="E1303" s="187"/>
    </row>
    <row r="1304" spans="5:5" ht="20" customHeight="1" x14ac:dyDescent="0.35">
      <c r="E1304" s="187"/>
    </row>
    <row r="1305" spans="5:5" ht="20" customHeight="1" x14ac:dyDescent="0.35">
      <c r="E1305" s="187"/>
    </row>
    <row r="1306" spans="5:5" ht="20" customHeight="1" x14ac:dyDescent="0.35">
      <c r="E1306" s="187"/>
    </row>
    <row r="1307" spans="5:5" ht="20" customHeight="1" x14ac:dyDescent="0.35">
      <c r="E1307" s="187"/>
    </row>
    <row r="1308" spans="5:5" ht="20" customHeight="1" x14ac:dyDescent="0.35">
      <c r="E1308" s="187"/>
    </row>
    <row r="1309" spans="5:5" ht="20" customHeight="1" x14ac:dyDescent="0.35">
      <c r="E1309" s="187"/>
    </row>
    <row r="1310" spans="5:5" ht="20" customHeight="1" x14ac:dyDescent="0.35">
      <c r="E1310" s="187"/>
    </row>
    <row r="1311" spans="5:5" ht="20" customHeight="1" x14ac:dyDescent="0.35">
      <c r="E1311" s="187"/>
    </row>
    <row r="1312" spans="5:5" ht="20" customHeight="1" x14ac:dyDescent="0.35">
      <c r="E1312" s="187"/>
    </row>
    <row r="1313" spans="5:5" ht="20" customHeight="1" x14ac:dyDescent="0.35">
      <c r="E1313" s="187"/>
    </row>
    <row r="1314" spans="5:5" ht="20" customHeight="1" x14ac:dyDescent="0.35">
      <c r="E1314" s="187"/>
    </row>
    <row r="1315" spans="5:5" ht="20" customHeight="1" x14ac:dyDescent="0.35">
      <c r="E1315" s="187"/>
    </row>
    <row r="1316" spans="5:5" ht="20" customHeight="1" x14ac:dyDescent="0.35">
      <c r="E1316" s="187"/>
    </row>
    <row r="1317" spans="5:5" ht="20" customHeight="1" x14ac:dyDescent="0.35">
      <c r="E1317" s="187"/>
    </row>
    <row r="1318" spans="5:5" ht="20" customHeight="1" x14ac:dyDescent="0.35">
      <c r="E1318" s="187"/>
    </row>
    <row r="1319" spans="5:5" ht="20" customHeight="1" x14ac:dyDescent="0.35">
      <c r="E1319" s="187"/>
    </row>
    <row r="1320" spans="5:5" ht="20" customHeight="1" x14ac:dyDescent="0.35">
      <c r="E1320" s="187"/>
    </row>
    <row r="1321" spans="5:5" ht="20" customHeight="1" x14ac:dyDescent="0.35">
      <c r="E1321" s="187"/>
    </row>
    <row r="1322" spans="5:5" ht="20" customHeight="1" x14ac:dyDescent="0.35">
      <c r="E1322" s="187"/>
    </row>
    <row r="1323" spans="5:5" ht="20" customHeight="1" x14ac:dyDescent="0.35">
      <c r="E1323" s="187"/>
    </row>
    <row r="1324" spans="5:5" ht="20" customHeight="1" x14ac:dyDescent="0.35">
      <c r="E1324" s="187"/>
    </row>
    <row r="1325" spans="5:5" ht="20" customHeight="1" x14ac:dyDescent="0.35">
      <c r="E1325" s="187"/>
    </row>
    <row r="1326" spans="5:5" ht="20" customHeight="1" x14ac:dyDescent="0.35">
      <c r="E1326" s="187"/>
    </row>
    <row r="1327" spans="5:5" ht="20" customHeight="1" x14ac:dyDescent="0.35">
      <c r="E1327" s="187"/>
    </row>
    <row r="1328" spans="5:5" ht="20" customHeight="1" x14ac:dyDescent="0.35">
      <c r="E1328" s="187"/>
    </row>
    <row r="1329" spans="5:5" ht="20" customHeight="1" x14ac:dyDescent="0.35">
      <c r="E1329" s="187"/>
    </row>
    <row r="1330" spans="5:5" ht="20" customHeight="1" x14ac:dyDescent="0.35">
      <c r="E1330" s="187"/>
    </row>
    <row r="1331" spans="5:5" ht="20" customHeight="1" x14ac:dyDescent="0.35">
      <c r="E1331" s="187"/>
    </row>
    <row r="1332" spans="5:5" ht="20" customHeight="1" x14ac:dyDescent="0.35">
      <c r="E1332" s="187"/>
    </row>
    <row r="1333" spans="5:5" ht="20" customHeight="1" x14ac:dyDescent="0.35">
      <c r="E1333" s="187"/>
    </row>
    <row r="1334" spans="5:5" ht="20" customHeight="1" x14ac:dyDescent="0.35">
      <c r="E1334" s="187"/>
    </row>
    <row r="1335" spans="5:5" ht="20" customHeight="1" x14ac:dyDescent="0.35">
      <c r="E1335" s="187"/>
    </row>
    <row r="1336" spans="5:5" ht="20" customHeight="1" x14ac:dyDescent="0.35">
      <c r="E1336" s="187"/>
    </row>
    <row r="1337" spans="5:5" ht="20" customHeight="1" x14ac:dyDescent="0.35">
      <c r="E1337" s="187"/>
    </row>
    <row r="1338" spans="5:5" ht="20" customHeight="1" x14ac:dyDescent="0.35">
      <c r="E1338" s="187"/>
    </row>
    <row r="1339" spans="5:5" ht="20" customHeight="1" x14ac:dyDescent="0.35">
      <c r="E1339" s="187"/>
    </row>
    <row r="1340" spans="5:5" ht="20" customHeight="1" x14ac:dyDescent="0.35">
      <c r="E1340" s="187"/>
    </row>
    <row r="1341" spans="5:5" ht="20" customHeight="1" x14ac:dyDescent="0.35">
      <c r="E1341" s="187"/>
    </row>
    <row r="1342" spans="5:5" ht="20" customHeight="1" x14ac:dyDescent="0.35">
      <c r="E1342" s="187"/>
    </row>
    <row r="1343" spans="5:5" ht="20" customHeight="1" x14ac:dyDescent="0.35">
      <c r="E1343" s="187"/>
    </row>
    <row r="1344" spans="5:5" ht="20" customHeight="1" x14ac:dyDescent="0.35">
      <c r="E1344" s="187"/>
    </row>
    <row r="1345" spans="5:5" ht="20" customHeight="1" x14ac:dyDescent="0.35">
      <c r="E1345" s="187"/>
    </row>
    <row r="1346" spans="5:5" ht="20" customHeight="1" x14ac:dyDescent="0.35">
      <c r="E1346" s="187"/>
    </row>
    <row r="1347" spans="5:5" ht="20" customHeight="1" x14ac:dyDescent="0.35">
      <c r="E1347" s="187"/>
    </row>
    <row r="1348" spans="5:5" ht="20" customHeight="1" x14ac:dyDescent="0.35">
      <c r="E1348" s="187"/>
    </row>
    <row r="1349" spans="5:5" ht="20" customHeight="1" x14ac:dyDescent="0.35">
      <c r="E1349" s="187"/>
    </row>
    <row r="1350" spans="5:5" ht="20" customHeight="1" x14ac:dyDescent="0.35">
      <c r="E1350" s="187"/>
    </row>
    <row r="1351" spans="5:5" ht="20" customHeight="1" x14ac:dyDescent="0.35">
      <c r="E1351" s="187"/>
    </row>
    <row r="1352" spans="5:5" ht="20" customHeight="1" x14ac:dyDescent="0.35">
      <c r="E1352" s="187"/>
    </row>
    <row r="1353" spans="5:5" ht="20" customHeight="1" x14ac:dyDescent="0.35">
      <c r="E1353" s="187"/>
    </row>
    <row r="1354" spans="5:5" ht="20" customHeight="1" x14ac:dyDescent="0.35">
      <c r="E1354" s="187"/>
    </row>
    <row r="1355" spans="5:5" ht="20" customHeight="1" x14ac:dyDescent="0.35">
      <c r="E1355" s="187"/>
    </row>
    <row r="1356" spans="5:5" ht="20" customHeight="1" x14ac:dyDescent="0.35">
      <c r="E1356" s="187"/>
    </row>
    <row r="1357" spans="5:5" ht="20" customHeight="1" x14ac:dyDescent="0.35">
      <c r="E1357" s="187"/>
    </row>
    <row r="1358" spans="5:5" ht="20" customHeight="1" x14ac:dyDescent="0.35">
      <c r="E1358" s="187"/>
    </row>
    <row r="1359" spans="5:5" ht="20" customHeight="1" x14ac:dyDescent="0.35">
      <c r="E1359" s="187"/>
    </row>
    <row r="1360" spans="5:5" ht="20" customHeight="1" x14ac:dyDescent="0.35">
      <c r="E1360" s="187"/>
    </row>
    <row r="1361" spans="5:5" ht="20" customHeight="1" x14ac:dyDescent="0.35">
      <c r="E1361" s="187"/>
    </row>
    <row r="1362" spans="5:5" ht="20" customHeight="1" x14ac:dyDescent="0.35">
      <c r="E1362" s="187"/>
    </row>
    <row r="1363" spans="5:5" ht="20" customHeight="1" x14ac:dyDescent="0.35">
      <c r="E1363" s="187"/>
    </row>
    <row r="1364" spans="5:5" ht="20" customHeight="1" x14ac:dyDescent="0.35">
      <c r="E1364" s="187"/>
    </row>
    <row r="1365" spans="5:5" ht="20" customHeight="1" x14ac:dyDescent="0.35">
      <c r="E1365" s="187"/>
    </row>
    <row r="1366" spans="5:5" ht="20" customHeight="1" x14ac:dyDescent="0.35">
      <c r="E1366" s="187"/>
    </row>
    <row r="1367" spans="5:5" ht="20" customHeight="1" x14ac:dyDescent="0.35">
      <c r="E1367" s="187"/>
    </row>
    <row r="1368" spans="5:5" ht="20" customHeight="1" x14ac:dyDescent="0.35">
      <c r="E1368" s="187"/>
    </row>
    <row r="1369" spans="5:5" ht="20" customHeight="1" x14ac:dyDescent="0.35">
      <c r="E1369" s="187"/>
    </row>
    <row r="1370" spans="5:5" ht="20" customHeight="1" x14ac:dyDescent="0.35">
      <c r="E1370" s="187"/>
    </row>
    <row r="1371" spans="5:5" ht="20" customHeight="1" x14ac:dyDescent="0.35">
      <c r="E1371" s="187"/>
    </row>
    <row r="1372" spans="5:5" ht="20" customHeight="1" x14ac:dyDescent="0.35">
      <c r="E1372" s="187"/>
    </row>
    <row r="1373" spans="5:5" ht="20" customHeight="1" x14ac:dyDescent="0.35">
      <c r="E1373" s="187"/>
    </row>
    <row r="1374" spans="5:5" ht="20" customHeight="1" x14ac:dyDescent="0.35">
      <c r="E1374" s="187"/>
    </row>
    <row r="1375" spans="5:5" ht="20" customHeight="1" x14ac:dyDescent="0.35">
      <c r="E1375" s="187"/>
    </row>
    <row r="1376" spans="5:5" ht="20" customHeight="1" x14ac:dyDescent="0.35">
      <c r="E1376" s="187"/>
    </row>
    <row r="1377" spans="5:5" ht="20" customHeight="1" x14ac:dyDescent="0.35">
      <c r="E1377" s="187"/>
    </row>
    <row r="1378" spans="5:5" ht="20" customHeight="1" x14ac:dyDescent="0.35">
      <c r="E1378" s="187"/>
    </row>
    <row r="1379" spans="5:5" ht="20" customHeight="1" x14ac:dyDescent="0.35">
      <c r="E1379" s="187"/>
    </row>
    <row r="1380" spans="5:5" ht="20" customHeight="1" x14ac:dyDescent="0.35">
      <c r="E1380" s="187"/>
    </row>
    <row r="1381" spans="5:5" ht="20" customHeight="1" x14ac:dyDescent="0.35">
      <c r="E1381" s="187"/>
    </row>
    <row r="1382" spans="5:5" ht="20" customHeight="1" x14ac:dyDescent="0.35">
      <c r="E1382" s="187"/>
    </row>
    <row r="1383" spans="5:5" ht="20" customHeight="1" x14ac:dyDescent="0.35">
      <c r="E1383" s="187"/>
    </row>
    <row r="1384" spans="5:5" ht="20" customHeight="1" x14ac:dyDescent="0.35">
      <c r="E1384" s="187"/>
    </row>
    <row r="1385" spans="5:5" ht="20" customHeight="1" x14ac:dyDescent="0.35">
      <c r="E1385" s="187"/>
    </row>
    <row r="1386" spans="5:5" ht="20" customHeight="1" x14ac:dyDescent="0.35">
      <c r="E1386" s="187"/>
    </row>
    <row r="1387" spans="5:5" ht="20" customHeight="1" x14ac:dyDescent="0.35">
      <c r="E1387" s="187"/>
    </row>
    <row r="1388" spans="5:5" ht="20" customHeight="1" x14ac:dyDescent="0.35">
      <c r="E1388" s="187"/>
    </row>
    <row r="1389" spans="5:5" ht="20" customHeight="1" x14ac:dyDescent="0.35">
      <c r="E1389" s="187"/>
    </row>
    <row r="1390" spans="5:5" ht="20" customHeight="1" x14ac:dyDescent="0.35">
      <c r="E1390" s="187"/>
    </row>
    <row r="1391" spans="5:5" ht="20" customHeight="1" x14ac:dyDescent="0.35">
      <c r="E1391" s="187"/>
    </row>
    <row r="1392" spans="5:5" ht="20" customHeight="1" x14ac:dyDescent="0.35">
      <c r="E1392" s="187"/>
    </row>
    <row r="1393" spans="5:5" ht="20" customHeight="1" x14ac:dyDescent="0.35">
      <c r="E1393" s="187"/>
    </row>
    <row r="1394" spans="5:5" ht="20" customHeight="1" x14ac:dyDescent="0.35">
      <c r="E1394" s="187"/>
    </row>
    <row r="1395" spans="5:5" ht="20" customHeight="1" x14ac:dyDescent="0.35">
      <c r="E1395" s="187"/>
    </row>
    <row r="1396" spans="5:5" ht="20" customHeight="1" x14ac:dyDescent="0.35">
      <c r="E1396" s="187"/>
    </row>
    <row r="1397" spans="5:5" ht="20" customHeight="1" x14ac:dyDescent="0.35">
      <c r="E1397" s="187"/>
    </row>
    <row r="1398" spans="5:5" ht="20" customHeight="1" x14ac:dyDescent="0.35">
      <c r="E1398" s="187"/>
    </row>
    <row r="1399" spans="5:5" ht="20" customHeight="1" x14ac:dyDescent="0.35">
      <c r="E1399" s="187"/>
    </row>
    <row r="1400" spans="5:5" ht="20" customHeight="1" x14ac:dyDescent="0.35">
      <c r="E1400" s="187"/>
    </row>
    <row r="1401" spans="5:5" ht="20" customHeight="1" x14ac:dyDescent="0.35">
      <c r="E1401" s="187"/>
    </row>
    <row r="1402" spans="5:5" ht="20" customHeight="1" x14ac:dyDescent="0.35">
      <c r="E1402" s="187"/>
    </row>
    <row r="1403" spans="5:5" ht="20" customHeight="1" x14ac:dyDescent="0.35">
      <c r="E1403" s="187"/>
    </row>
    <row r="1404" spans="5:5" ht="20" customHeight="1" x14ac:dyDescent="0.35">
      <c r="E1404" s="187"/>
    </row>
    <row r="1405" spans="5:5" ht="20" customHeight="1" x14ac:dyDescent="0.35">
      <c r="E1405" s="187"/>
    </row>
    <row r="1406" spans="5:5" ht="20" customHeight="1" x14ac:dyDescent="0.35">
      <c r="E1406" s="187"/>
    </row>
    <row r="1407" spans="5:5" ht="20" customHeight="1" x14ac:dyDescent="0.35">
      <c r="E1407" s="187"/>
    </row>
    <row r="1408" spans="5:5" ht="20" customHeight="1" x14ac:dyDescent="0.35">
      <c r="E1408" s="187"/>
    </row>
    <row r="1409" spans="5:5" ht="20" customHeight="1" x14ac:dyDescent="0.35">
      <c r="E1409" s="187"/>
    </row>
    <row r="1410" spans="5:5" ht="20" customHeight="1" x14ac:dyDescent="0.35">
      <c r="E1410" s="187"/>
    </row>
    <row r="1411" spans="5:5" ht="20" customHeight="1" x14ac:dyDescent="0.35">
      <c r="E1411" s="187"/>
    </row>
    <row r="1412" spans="5:5" ht="20" customHeight="1" x14ac:dyDescent="0.35">
      <c r="E1412" s="187"/>
    </row>
    <row r="1413" spans="5:5" ht="20" customHeight="1" x14ac:dyDescent="0.35">
      <c r="E1413" s="187"/>
    </row>
    <row r="1414" spans="5:5" ht="20" customHeight="1" x14ac:dyDescent="0.35">
      <c r="E1414" s="187"/>
    </row>
    <row r="1415" spans="5:5" ht="20" customHeight="1" x14ac:dyDescent="0.35">
      <c r="E1415" s="187"/>
    </row>
    <row r="1416" spans="5:5" ht="20" customHeight="1" x14ac:dyDescent="0.35">
      <c r="E1416" s="187"/>
    </row>
    <row r="1417" spans="5:5" ht="20" customHeight="1" x14ac:dyDescent="0.35">
      <c r="E1417" s="187"/>
    </row>
    <row r="1418" spans="5:5" ht="20" customHeight="1" x14ac:dyDescent="0.35">
      <c r="E1418" s="187"/>
    </row>
    <row r="1419" spans="5:5" ht="20" customHeight="1" x14ac:dyDescent="0.35">
      <c r="E1419" s="187"/>
    </row>
    <row r="1420" spans="5:5" ht="20" customHeight="1" x14ac:dyDescent="0.35">
      <c r="E1420" s="187"/>
    </row>
    <row r="1421" spans="5:5" ht="20" customHeight="1" x14ac:dyDescent="0.35">
      <c r="E1421" s="187"/>
    </row>
    <row r="1422" spans="5:5" ht="20" customHeight="1" x14ac:dyDescent="0.35">
      <c r="E1422" s="187"/>
    </row>
    <row r="1423" spans="5:5" ht="20" customHeight="1" x14ac:dyDescent="0.35">
      <c r="E1423" s="187"/>
    </row>
    <row r="1424" spans="5:5" ht="20" customHeight="1" x14ac:dyDescent="0.35">
      <c r="E1424" s="187"/>
    </row>
    <row r="1425" spans="5:5" ht="20" customHeight="1" x14ac:dyDescent="0.35">
      <c r="E1425" s="187"/>
    </row>
    <row r="1426" spans="5:5" ht="20" customHeight="1" x14ac:dyDescent="0.35">
      <c r="E1426" s="187"/>
    </row>
    <row r="1427" spans="5:5" ht="20" customHeight="1" x14ac:dyDescent="0.35">
      <c r="E1427" s="187"/>
    </row>
    <row r="1428" spans="5:5" ht="20" customHeight="1" x14ac:dyDescent="0.35">
      <c r="E1428" s="187"/>
    </row>
    <row r="1429" spans="5:5" ht="20" customHeight="1" x14ac:dyDescent="0.35">
      <c r="E1429" s="187"/>
    </row>
    <row r="1430" spans="5:5" ht="20" customHeight="1" x14ac:dyDescent="0.35">
      <c r="E1430" s="187"/>
    </row>
    <row r="1431" spans="5:5" ht="20" customHeight="1" x14ac:dyDescent="0.35">
      <c r="E1431" s="187"/>
    </row>
    <row r="1432" spans="5:5" ht="20" customHeight="1" x14ac:dyDescent="0.35">
      <c r="E1432" s="187"/>
    </row>
    <row r="1433" spans="5:5" ht="20" customHeight="1" x14ac:dyDescent="0.35">
      <c r="E1433" s="187"/>
    </row>
    <row r="1434" spans="5:5" ht="20" customHeight="1" x14ac:dyDescent="0.35">
      <c r="E1434" s="187"/>
    </row>
    <row r="1435" spans="5:5" ht="20" customHeight="1" x14ac:dyDescent="0.35">
      <c r="E1435" s="187"/>
    </row>
    <row r="1436" spans="5:5" ht="20" customHeight="1" x14ac:dyDescent="0.35">
      <c r="E1436" s="187"/>
    </row>
    <row r="1437" spans="5:5" ht="20" customHeight="1" x14ac:dyDescent="0.35">
      <c r="E1437" s="187"/>
    </row>
    <row r="1438" spans="5:5" ht="20" customHeight="1" x14ac:dyDescent="0.35">
      <c r="E1438" s="187"/>
    </row>
    <row r="1439" spans="5:5" ht="20" customHeight="1" x14ac:dyDescent="0.35">
      <c r="E1439" s="187"/>
    </row>
    <row r="1440" spans="5:5" ht="20" customHeight="1" x14ac:dyDescent="0.35">
      <c r="E1440" s="187"/>
    </row>
    <row r="1441" spans="5:5" ht="20" customHeight="1" x14ac:dyDescent="0.35">
      <c r="E1441" s="187"/>
    </row>
    <row r="1442" spans="5:5" ht="20" customHeight="1" x14ac:dyDescent="0.35">
      <c r="E1442" s="187"/>
    </row>
    <row r="1443" spans="5:5" ht="20" customHeight="1" x14ac:dyDescent="0.35">
      <c r="E1443" s="187"/>
    </row>
    <row r="1444" spans="5:5" ht="20" customHeight="1" x14ac:dyDescent="0.35">
      <c r="E1444" s="187"/>
    </row>
    <row r="1445" spans="5:5" ht="20" customHeight="1" x14ac:dyDescent="0.35">
      <c r="E1445" s="187"/>
    </row>
    <row r="1446" spans="5:5" ht="20" customHeight="1" x14ac:dyDescent="0.35">
      <c r="E1446" s="187"/>
    </row>
    <row r="1447" spans="5:5" ht="20" customHeight="1" x14ac:dyDescent="0.35">
      <c r="E1447" s="187"/>
    </row>
    <row r="1448" spans="5:5" ht="20" customHeight="1" x14ac:dyDescent="0.35">
      <c r="E1448" s="187"/>
    </row>
    <row r="1449" spans="5:5" ht="20" customHeight="1" x14ac:dyDescent="0.35">
      <c r="E1449" s="187"/>
    </row>
    <row r="1450" spans="5:5" ht="20" customHeight="1" x14ac:dyDescent="0.35">
      <c r="E1450" s="187"/>
    </row>
    <row r="1451" spans="5:5" ht="20" customHeight="1" x14ac:dyDescent="0.35">
      <c r="E1451" s="187"/>
    </row>
    <row r="1452" spans="5:5" ht="20" customHeight="1" x14ac:dyDescent="0.35">
      <c r="E1452" s="187"/>
    </row>
    <row r="1453" spans="5:5" ht="20" customHeight="1" x14ac:dyDescent="0.35">
      <c r="E1453" s="187"/>
    </row>
    <row r="1454" spans="5:5" ht="20" customHeight="1" x14ac:dyDescent="0.35">
      <c r="E1454" s="187"/>
    </row>
    <row r="1455" spans="5:5" ht="20" customHeight="1" x14ac:dyDescent="0.35">
      <c r="E1455" s="187"/>
    </row>
    <row r="1456" spans="5:5" ht="20" customHeight="1" x14ac:dyDescent="0.35">
      <c r="E1456" s="187"/>
    </row>
    <row r="1457" spans="5:5" ht="20" customHeight="1" x14ac:dyDescent="0.35">
      <c r="E1457" s="187"/>
    </row>
    <row r="1458" spans="5:5" ht="20" customHeight="1" x14ac:dyDescent="0.35">
      <c r="E1458" s="187"/>
    </row>
    <row r="1459" spans="5:5" ht="20" customHeight="1" x14ac:dyDescent="0.35">
      <c r="E1459" s="187"/>
    </row>
    <row r="1460" spans="5:5" ht="20" customHeight="1" x14ac:dyDescent="0.35">
      <c r="E1460" s="187"/>
    </row>
    <row r="1461" spans="5:5" ht="20" customHeight="1" x14ac:dyDescent="0.35">
      <c r="E1461" s="187"/>
    </row>
    <row r="1462" spans="5:5" ht="20" customHeight="1" x14ac:dyDescent="0.35">
      <c r="E1462" s="187"/>
    </row>
    <row r="1463" spans="5:5" ht="20" customHeight="1" x14ac:dyDescent="0.35">
      <c r="E1463" s="187"/>
    </row>
    <row r="1464" spans="5:5" ht="20" customHeight="1" x14ac:dyDescent="0.35">
      <c r="E1464" s="187"/>
    </row>
    <row r="1465" spans="5:5" ht="20" customHeight="1" x14ac:dyDescent="0.35">
      <c r="E1465" s="187"/>
    </row>
    <row r="1466" spans="5:5" ht="20" customHeight="1" x14ac:dyDescent="0.35">
      <c r="E1466" s="187"/>
    </row>
    <row r="1467" spans="5:5" ht="20" customHeight="1" x14ac:dyDescent="0.35">
      <c r="E1467" s="187"/>
    </row>
    <row r="1468" spans="5:5" ht="20" customHeight="1" x14ac:dyDescent="0.35">
      <c r="E1468" s="187"/>
    </row>
    <row r="1469" spans="5:5" ht="20" customHeight="1" x14ac:dyDescent="0.35">
      <c r="E1469" s="187"/>
    </row>
    <row r="1470" spans="5:5" ht="20" customHeight="1" x14ac:dyDescent="0.35">
      <c r="E1470" s="187"/>
    </row>
    <row r="1471" spans="5:5" ht="20" customHeight="1" x14ac:dyDescent="0.35">
      <c r="E1471" s="187"/>
    </row>
    <row r="1472" spans="5:5" ht="20" customHeight="1" x14ac:dyDescent="0.35">
      <c r="E1472" s="187"/>
    </row>
    <row r="1473" spans="5:5" ht="20" customHeight="1" x14ac:dyDescent="0.35">
      <c r="E1473" s="187"/>
    </row>
    <row r="1474" spans="5:5" ht="20" customHeight="1" x14ac:dyDescent="0.35">
      <c r="E1474" s="187"/>
    </row>
    <row r="1475" spans="5:5" ht="20" customHeight="1" x14ac:dyDescent="0.35">
      <c r="E1475" s="187"/>
    </row>
    <row r="1476" spans="5:5" ht="20" customHeight="1" x14ac:dyDescent="0.35">
      <c r="E1476" s="187"/>
    </row>
    <row r="1477" spans="5:5" ht="20" customHeight="1" x14ac:dyDescent="0.35">
      <c r="E1477" s="187"/>
    </row>
    <row r="1478" spans="5:5" ht="20" customHeight="1" x14ac:dyDescent="0.35">
      <c r="E1478" s="187"/>
    </row>
    <row r="1479" spans="5:5" ht="20" customHeight="1" x14ac:dyDescent="0.35">
      <c r="E1479" s="187"/>
    </row>
    <row r="1480" spans="5:5" ht="20" customHeight="1" x14ac:dyDescent="0.35">
      <c r="E1480" s="187"/>
    </row>
    <row r="1481" spans="5:5" ht="20" customHeight="1" x14ac:dyDescent="0.35">
      <c r="E1481" s="187"/>
    </row>
    <row r="1482" spans="5:5" ht="20" customHeight="1" x14ac:dyDescent="0.35">
      <c r="E1482" s="187"/>
    </row>
    <row r="1483" spans="5:5" ht="20" customHeight="1" x14ac:dyDescent="0.35">
      <c r="E1483" s="187"/>
    </row>
    <row r="1484" spans="5:5" ht="20" customHeight="1" x14ac:dyDescent="0.35">
      <c r="E1484" s="187"/>
    </row>
    <row r="1485" spans="5:5" ht="20" customHeight="1" x14ac:dyDescent="0.35">
      <c r="E1485" s="187"/>
    </row>
    <row r="1486" spans="5:5" ht="20" customHeight="1" x14ac:dyDescent="0.35">
      <c r="E1486" s="187"/>
    </row>
    <row r="1487" spans="5:5" ht="20" customHeight="1" x14ac:dyDescent="0.35">
      <c r="E1487" s="187"/>
    </row>
    <row r="1488" spans="5:5" ht="20" customHeight="1" x14ac:dyDescent="0.35">
      <c r="E1488" s="187"/>
    </row>
    <row r="1489" spans="5:5" ht="20" customHeight="1" x14ac:dyDescent="0.35">
      <c r="E1489" s="187"/>
    </row>
    <row r="1490" spans="5:5" ht="20" customHeight="1" x14ac:dyDescent="0.35">
      <c r="E1490" s="187"/>
    </row>
    <row r="1491" spans="5:5" ht="20" customHeight="1" x14ac:dyDescent="0.35">
      <c r="E1491" s="187"/>
    </row>
    <row r="1492" spans="5:5" ht="20" customHeight="1" x14ac:dyDescent="0.35">
      <c r="E1492" s="187"/>
    </row>
    <row r="1493" spans="5:5" ht="20" customHeight="1" x14ac:dyDescent="0.35">
      <c r="E1493" s="187"/>
    </row>
    <row r="1494" spans="5:5" ht="20" customHeight="1" x14ac:dyDescent="0.35">
      <c r="E1494" s="187"/>
    </row>
    <row r="1495" spans="5:5" ht="20" customHeight="1" x14ac:dyDescent="0.35">
      <c r="E1495" s="187"/>
    </row>
    <row r="1496" spans="5:5" ht="20" customHeight="1" x14ac:dyDescent="0.35">
      <c r="E1496" s="187"/>
    </row>
    <row r="1497" spans="5:5" ht="20" customHeight="1" x14ac:dyDescent="0.35">
      <c r="E1497" s="187"/>
    </row>
    <row r="1498" spans="5:5" ht="20" customHeight="1" x14ac:dyDescent="0.35">
      <c r="E1498" s="187"/>
    </row>
    <row r="1499" spans="5:5" ht="20" customHeight="1" x14ac:dyDescent="0.35">
      <c r="E1499" s="187"/>
    </row>
    <row r="1500" spans="5:5" ht="20" customHeight="1" x14ac:dyDescent="0.35">
      <c r="E1500" s="187"/>
    </row>
    <row r="1501" spans="5:5" ht="20" customHeight="1" x14ac:dyDescent="0.35">
      <c r="E1501" s="187"/>
    </row>
    <row r="1502" spans="5:5" ht="20" customHeight="1" x14ac:dyDescent="0.35">
      <c r="E1502" s="187"/>
    </row>
    <row r="1503" spans="5:5" ht="20" customHeight="1" x14ac:dyDescent="0.35">
      <c r="E1503" s="187"/>
    </row>
    <row r="1504" spans="5:5" ht="20" customHeight="1" x14ac:dyDescent="0.35">
      <c r="E1504" s="187"/>
    </row>
    <row r="1505" spans="5:5" ht="20" customHeight="1" x14ac:dyDescent="0.35">
      <c r="E1505" s="187"/>
    </row>
    <row r="1506" spans="5:5" ht="20" customHeight="1" x14ac:dyDescent="0.35">
      <c r="E1506" s="187"/>
    </row>
    <row r="1507" spans="5:5" ht="20" customHeight="1" x14ac:dyDescent="0.35">
      <c r="E1507" s="187"/>
    </row>
    <row r="1508" spans="5:5" ht="20" customHeight="1" x14ac:dyDescent="0.35">
      <c r="E1508" s="187"/>
    </row>
    <row r="1509" spans="5:5" ht="20" customHeight="1" x14ac:dyDescent="0.35">
      <c r="E1509" s="187"/>
    </row>
    <row r="1510" spans="5:5" ht="20" customHeight="1" x14ac:dyDescent="0.35">
      <c r="E1510" s="187"/>
    </row>
    <row r="1511" spans="5:5" ht="20" customHeight="1" x14ac:dyDescent="0.35">
      <c r="E1511" s="187"/>
    </row>
    <row r="1512" spans="5:5" ht="20" customHeight="1" x14ac:dyDescent="0.35">
      <c r="E1512" s="187"/>
    </row>
    <row r="1513" spans="5:5" ht="20" customHeight="1" x14ac:dyDescent="0.35">
      <c r="E1513" s="187"/>
    </row>
    <row r="1514" spans="5:5" ht="20" customHeight="1" x14ac:dyDescent="0.35">
      <c r="E1514" s="187"/>
    </row>
    <row r="1515" spans="5:5" ht="20" customHeight="1" x14ac:dyDescent="0.35">
      <c r="E1515" s="187"/>
    </row>
    <row r="1516" spans="5:5" ht="20" customHeight="1" x14ac:dyDescent="0.35">
      <c r="E1516" s="187"/>
    </row>
    <row r="1517" spans="5:5" ht="20" customHeight="1" x14ac:dyDescent="0.35">
      <c r="E1517" s="187"/>
    </row>
    <row r="1518" spans="5:5" ht="20" customHeight="1" x14ac:dyDescent="0.35">
      <c r="E1518" s="187"/>
    </row>
    <row r="1519" spans="5:5" ht="20" customHeight="1" x14ac:dyDescent="0.35">
      <c r="E1519" s="187"/>
    </row>
    <row r="1520" spans="5:5" ht="20" customHeight="1" x14ac:dyDescent="0.35">
      <c r="E1520" s="187"/>
    </row>
    <row r="1521" spans="5:5" ht="20" customHeight="1" x14ac:dyDescent="0.35">
      <c r="E1521" s="187"/>
    </row>
    <row r="1522" spans="5:5" ht="20" customHeight="1" x14ac:dyDescent="0.35">
      <c r="E1522" s="187"/>
    </row>
    <row r="1523" spans="5:5" ht="20" customHeight="1" x14ac:dyDescent="0.35">
      <c r="E1523" s="187"/>
    </row>
    <row r="1524" spans="5:5" ht="20" customHeight="1" x14ac:dyDescent="0.35">
      <c r="E1524" s="187"/>
    </row>
    <row r="1525" spans="5:5" ht="20" customHeight="1" x14ac:dyDescent="0.35">
      <c r="E1525" s="187"/>
    </row>
    <row r="1526" spans="5:5" ht="20" customHeight="1" x14ac:dyDescent="0.35">
      <c r="E1526" s="187"/>
    </row>
    <row r="1527" spans="5:5" ht="20" customHeight="1" x14ac:dyDescent="0.35">
      <c r="E1527" s="187"/>
    </row>
    <row r="1528" spans="5:5" ht="20" customHeight="1" x14ac:dyDescent="0.35">
      <c r="E1528" s="187"/>
    </row>
    <row r="1529" spans="5:5" ht="20" customHeight="1" x14ac:dyDescent="0.35">
      <c r="E1529" s="187"/>
    </row>
    <row r="1530" spans="5:5" ht="20" customHeight="1" x14ac:dyDescent="0.35">
      <c r="E1530" s="187"/>
    </row>
    <row r="1531" spans="5:5" ht="20" customHeight="1" x14ac:dyDescent="0.35">
      <c r="E1531" s="187"/>
    </row>
    <row r="1532" spans="5:5" ht="20" customHeight="1" x14ac:dyDescent="0.35">
      <c r="E1532" s="187"/>
    </row>
    <row r="1533" spans="5:5" ht="20" customHeight="1" x14ac:dyDescent="0.35">
      <c r="E1533" s="187"/>
    </row>
    <row r="1534" spans="5:5" ht="20" customHeight="1" x14ac:dyDescent="0.35">
      <c r="E1534" s="187"/>
    </row>
    <row r="1535" spans="5:5" ht="20" customHeight="1" x14ac:dyDescent="0.35">
      <c r="E1535" s="187"/>
    </row>
    <row r="1536" spans="5:5" ht="20" customHeight="1" x14ac:dyDescent="0.35">
      <c r="E1536" s="187"/>
    </row>
    <row r="1537" spans="5:5" ht="20" customHeight="1" x14ac:dyDescent="0.35">
      <c r="E1537" s="187"/>
    </row>
    <row r="1538" spans="5:5" ht="20" customHeight="1" x14ac:dyDescent="0.35">
      <c r="E1538" s="187"/>
    </row>
    <row r="1539" spans="5:5" ht="20" customHeight="1" x14ac:dyDescent="0.35">
      <c r="E1539" s="187"/>
    </row>
    <row r="1540" spans="5:5" ht="20" customHeight="1" x14ac:dyDescent="0.35">
      <c r="E1540" s="187"/>
    </row>
    <row r="1541" spans="5:5" ht="20" customHeight="1" x14ac:dyDescent="0.35">
      <c r="E1541" s="187"/>
    </row>
    <row r="1542" spans="5:5" ht="20" customHeight="1" x14ac:dyDescent="0.35">
      <c r="E1542" s="187"/>
    </row>
    <row r="1543" spans="5:5" ht="20" customHeight="1" x14ac:dyDescent="0.35">
      <c r="E1543" s="187"/>
    </row>
    <row r="1544" spans="5:5" ht="20" customHeight="1" x14ac:dyDescent="0.35">
      <c r="E1544" s="187"/>
    </row>
    <row r="1545" spans="5:5" ht="20" customHeight="1" x14ac:dyDescent="0.35">
      <c r="E1545" s="187"/>
    </row>
    <row r="1546" spans="5:5" ht="20" customHeight="1" x14ac:dyDescent="0.35">
      <c r="E1546" s="187"/>
    </row>
    <row r="1547" spans="5:5" ht="20" customHeight="1" x14ac:dyDescent="0.35">
      <c r="E1547" s="187"/>
    </row>
    <row r="1548" spans="5:5" ht="20" customHeight="1" x14ac:dyDescent="0.35">
      <c r="E1548" s="187"/>
    </row>
    <row r="1549" spans="5:5" ht="20" customHeight="1" x14ac:dyDescent="0.35">
      <c r="E1549" s="187"/>
    </row>
    <row r="1550" spans="5:5" ht="20" customHeight="1" x14ac:dyDescent="0.35">
      <c r="E1550" s="187"/>
    </row>
    <row r="1551" spans="5:5" ht="20" customHeight="1" x14ac:dyDescent="0.35">
      <c r="E1551" s="187"/>
    </row>
    <row r="1552" spans="5:5" ht="20" customHeight="1" x14ac:dyDescent="0.35">
      <c r="E1552" s="187"/>
    </row>
    <row r="1553" spans="5:5" ht="20" customHeight="1" x14ac:dyDescent="0.35">
      <c r="E1553" s="187"/>
    </row>
    <row r="1554" spans="5:5" ht="20" customHeight="1" x14ac:dyDescent="0.35">
      <c r="E1554" s="187"/>
    </row>
    <row r="1555" spans="5:5" ht="20" customHeight="1" x14ac:dyDescent="0.35">
      <c r="E1555" s="187"/>
    </row>
    <row r="1556" spans="5:5" ht="20" customHeight="1" x14ac:dyDescent="0.35">
      <c r="E1556" s="187"/>
    </row>
    <row r="1557" spans="5:5" ht="20" customHeight="1" x14ac:dyDescent="0.35">
      <c r="E1557" s="187"/>
    </row>
    <row r="1558" spans="5:5" ht="20" customHeight="1" x14ac:dyDescent="0.35">
      <c r="E1558" s="187"/>
    </row>
    <row r="1559" spans="5:5" ht="20" customHeight="1" x14ac:dyDescent="0.35">
      <c r="E1559" s="187"/>
    </row>
    <row r="1560" spans="5:5" ht="20" customHeight="1" x14ac:dyDescent="0.35">
      <c r="E1560" s="187"/>
    </row>
    <row r="1561" spans="5:5" ht="20" customHeight="1" x14ac:dyDescent="0.35">
      <c r="E1561" s="187"/>
    </row>
    <row r="1562" spans="5:5" ht="20" customHeight="1" x14ac:dyDescent="0.35">
      <c r="E1562" s="187"/>
    </row>
    <row r="1563" spans="5:5" ht="20" customHeight="1" x14ac:dyDescent="0.35">
      <c r="E1563" s="187"/>
    </row>
    <row r="1564" spans="5:5" ht="20" customHeight="1" x14ac:dyDescent="0.35">
      <c r="E1564" s="187"/>
    </row>
    <row r="1565" spans="5:5" ht="20" customHeight="1" x14ac:dyDescent="0.35">
      <c r="E1565" s="187"/>
    </row>
    <row r="1566" spans="5:5" ht="20" customHeight="1" x14ac:dyDescent="0.35">
      <c r="E1566" s="187"/>
    </row>
    <row r="1567" spans="5:5" ht="20" customHeight="1" x14ac:dyDescent="0.35">
      <c r="E1567" s="187"/>
    </row>
    <row r="1568" spans="5:5" ht="20" customHeight="1" x14ac:dyDescent="0.35">
      <c r="E1568" s="187"/>
    </row>
    <row r="1569" spans="5:5" ht="20" customHeight="1" x14ac:dyDescent="0.35">
      <c r="E1569" s="187"/>
    </row>
    <row r="1570" spans="5:5" ht="20" customHeight="1" x14ac:dyDescent="0.35">
      <c r="E1570" s="187"/>
    </row>
    <row r="1571" spans="5:5" ht="20" customHeight="1" x14ac:dyDescent="0.35">
      <c r="E1571" s="187"/>
    </row>
    <row r="1572" spans="5:5" ht="20" customHeight="1" x14ac:dyDescent="0.35">
      <c r="E1572" s="187"/>
    </row>
    <row r="1573" spans="5:5" ht="20" customHeight="1" x14ac:dyDescent="0.35">
      <c r="E1573" s="187"/>
    </row>
    <row r="1574" spans="5:5" ht="20" customHeight="1" x14ac:dyDescent="0.35">
      <c r="E1574" s="187"/>
    </row>
    <row r="1575" spans="5:5" ht="20" customHeight="1" x14ac:dyDescent="0.35">
      <c r="E1575" s="187"/>
    </row>
    <row r="1576" spans="5:5" ht="20" customHeight="1" x14ac:dyDescent="0.35">
      <c r="E1576" s="187"/>
    </row>
    <row r="1577" spans="5:5" ht="20" customHeight="1" x14ac:dyDescent="0.35">
      <c r="E1577" s="187"/>
    </row>
    <row r="1578" spans="5:5" ht="20" customHeight="1" x14ac:dyDescent="0.35">
      <c r="E1578" s="187"/>
    </row>
    <row r="1579" spans="5:5" ht="20" customHeight="1" x14ac:dyDescent="0.35">
      <c r="E1579" s="187"/>
    </row>
    <row r="1580" spans="5:5" ht="20" customHeight="1" x14ac:dyDescent="0.35">
      <c r="E1580" s="187"/>
    </row>
    <row r="1581" spans="5:5" ht="20" customHeight="1" x14ac:dyDescent="0.35">
      <c r="E1581" s="187"/>
    </row>
    <row r="1582" spans="5:5" ht="20" customHeight="1" x14ac:dyDescent="0.35">
      <c r="E1582" s="187"/>
    </row>
    <row r="1583" spans="5:5" ht="20" customHeight="1" x14ac:dyDescent="0.35">
      <c r="E1583" s="187"/>
    </row>
    <row r="1584" spans="5:5" ht="20" customHeight="1" x14ac:dyDescent="0.35">
      <c r="E1584" s="187"/>
    </row>
    <row r="1585" spans="5:5" ht="20" customHeight="1" x14ac:dyDescent="0.35">
      <c r="E1585" s="187"/>
    </row>
    <row r="1586" spans="5:5" ht="20" customHeight="1" x14ac:dyDescent="0.35">
      <c r="E1586" s="187"/>
    </row>
    <row r="1587" spans="5:5" ht="20" customHeight="1" x14ac:dyDescent="0.35">
      <c r="E1587" s="187"/>
    </row>
    <row r="1588" spans="5:5" ht="20" customHeight="1" x14ac:dyDescent="0.35">
      <c r="E1588" s="187"/>
    </row>
    <row r="1589" spans="5:5" ht="20" customHeight="1" x14ac:dyDescent="0.35">
      <c r="E1589" s="187"/>
    </row>
    <row r="1590" spans="5:5" ht="20" customHeight="1" x14ac:dyDescent="0.35">
      <c r="E1590" s="187"/>
    </row>
    <row r="1591" spans="5:5" ht="20" customHeight="1" x14ac:dyDescent="0.35">
      <c r="E1591" s="187"/>
    </row>
    <row r="1592" spans="5:5" ht="20" customHeight="1" x14ac:dyDescent="0.35">
      <c r="E1592" s="187"/>
    </row>
    <row r="1593" spans="5:5" ht="20" customHeight="1" x14ac:dyDescent="0.35">
      <c r="E1593" s="187"/>
    </row>
    <row r="1594" spans="5:5" ht="20" customHeight="1" x14ac:dyDescent="0.35">
      <c r="E1594" s="187"/>
    </row>
    <row r="1595" spans="5:5" ht="20" customHeight="1" x14ac:dyDescent="0.35">
      <c r="E1595" s="187"/>
    </row>
    <row r="1596" spans="5:5" ht="20" customHeight="1" x14ac:dyDescent="0.35">
      <c r="E1596" s="187"/>
    </row>
    <row r="1597" spans="5:5" ht="20" customHeight="1" x14ac:dyDescent="0.35">
      <c r="E1597" s="187"/>
    </row>
    <row r="1598" spans="5:5" ht="20" customHeight="1" x14ac:dyDescent="0.35">
      <c r="E1598" s="187"/>
    </row>
    <row r="1599" spans="5:5" ht="20" customHeight="1" x14ac:dyDescent="0.35">
      <c r="E1599" s="187"/>
    </row>
    <row r="1600" spans="5:5" ht="20" customHeight="1" x14ac:dyDescent="0.35">
      <c r="E1600" s="187"/>
    </row>
    <row r="1601" spans="5:5" ht="20" customHeight="1" x14ac:dyDescent="0.35">
      <c r="E1601" s="187"/>
    </row>
    <row r="1602" spans="5:5" ht="20" customHeight="1" x14ac:dyDescent="0.35">
      <c r="E1602" s="187"/>
    </row>
    <row r="1603" spans="5:5" ht="20" customHeight="1" x14ac:dyDescent="0.35">
      <c r="E1603" s="187"/>
    </row>
    <row r="1604" spans="5:5" ht="20" customHeight="1" x14ac:dyDescent="0.35">
      <c r="E1604" s="187"/>
    </row>
    <row r="1605" spans="5:5" ht="20" customHeight="1" x14ac:dyDescent="0.35">
      <c r="E1605" s="187"/>
    </row>
    <row r="1606" spans="5:5" ht="20" customHeight="1" x14ac:dyDescent="0.35">
      <c r="E1606" s="187"/>
    </row>
    <row r="1607" spans="5:5" ht="20" customHeight="1" x14ac:dyDescent="0.35">
      <c r="E1607" s="187"/>
    </row>
    <row r="1608" spans="5:5" ht="20" customHeight="1" x14ac:dyDescent="0.35">
      <c r="E1608" s="187"/>
    </row>
    <row r="1609" spans="5:5" ht="20" customHeight="1" x14ac:dyDescent="0.35">
      <c r="E1609" s="187"/>
    </row>
    <row r="1610" spans="5:5" ht="20" customHeight="1" x14ac:dyDescent="0.35">
      <c r="E1610" s="187"/>
    </row>
    <row r="1611" spans="5:5" ht="20" customHeight="1" x14ac:dyDescent="0.35">
      <c r="E1611" s="187"/>
    </row>
    <row r="1612" spans="5:5" ht="20" customHeight="1" x14ac:dyDescent="0.35">
      <c r="E1612" s="187"/>
    </row>
    <row r="1613" spans="5:5" ht="20" customHeight="1" x14ac:dyDescent="0.35">
      <c r="E1613" s="187"/>
    </row>
    <row r="1614" spans="5:5" ht="20" customHeight="1" x14ac:dyDescent="0.35">
      <c r="E1614" s="187"/>
    </row>
    <row r="1615" spans="5:5" ht="20" customHeight="1" x14ac:dyDescent="0.35">
      <c r="E1615" s="187"/>
    </row>
    <row r="1616" spans="5:5" ht="20" customHeight="1" x14ac:dyDescent="0.35">
      <c r="E1616" s="187"/>
    </row>
    <row r="1617" spans="5:5" ht="20" customHeight="1" x14ac:dyDescent="0.35">
      <c r="E1617" s="187"/>
    </row>
    <row r="1618" spans="5:5" ht="20" customHeight="1" x14ac:dyDescent="0.35">
      <c r="E1618" s="187"/>
    </row>
    <row r="1619" spans="5:5" ht="20" customHeight="1" x14ac:dyDescent="0.35">
      <c r="E1619" s="187"/>
    </row>
    <row r="1620" spans="5:5" ht="20" customHeight="1" x14ac:dyDescent="0.35">
      <c r="E1620" s="187"/>
    </row>
    <row r="1621" spans="5:5" ht="20" customHeight="1" x14ac:dyDescent="0.35">
      <c r="E1621" s="187"/>
    </row>
    <row r="1622" spans="5:5" ht="20" customHeight="1" x14ac:dyDescent="0.35">
      <c r="E1622" s="187"/>
    </row>
    <row r="1623" spans="5:5" ht="20" customHeight="1" x14ac:dyDescent="0.35">
      <c r="E1623" s="187"/>
    </row>
    <row r="1624" spans="5:5" ht="20" customHeight="1" x14ac:dyDescent="0.35">
      <c r="E1624" s="187"/>
    </row>
    <row r="1625" spans="5:5" ht="20" customHeight="1" x14ac:dyDescent="0.35">
      <c r="E1625" s="187"/>
    </row>
    <row r="1626" spans="5:5" ht="20" customHeight="1" x14ac:dyDescent="0.35">
      <c r="E1626" s="187"/>
    </row>
    <row r="1627" spans="5:5" ht="20" customHeight="1" x14ac:dyDescent="0.35">
      <c r="E1627" s="187"/>
    </row>
    <row r="1628" spans="5:5" ht="20" customHeight="1" x14ac:dyDescent="0.35">
      <c r="E1628" s="187"/>
    </row>
    <row r="1629" spans="5:5" ht="20" customHeight="1" x14ac:dyDescent="0.35">
      <c r="E1629" s="187"/>
    </row>
    <row r="1630" spans="5:5" ht="20" customHeight="1" x14ac:dyDescent="0.35">
      <c r="E1630" s="187"/>
    </row>
    <row r="1631" spans="5:5" ht="20" customHeight="1" x14ac:dyDescent="0.35">
      <c r="E1631" s="187"/>
    </row>
    <row r="1632" spans="5:5" ht="20" customHeight="1" x14ac:dyDescent="0.35">
      <c r="E1632" s="187"/>
    </row>
    <row r="1633" spans="5:5" ht="20" customHeight="1" x14ac:dyDescent="0.35">
      <c r="E1633" s="187"/>
    </row>
    <row r="1634" spans="5:5" ht="20" customHeight="1" x14ac:dyDescent="0.35">
      <c r="E1634" s="187"/>
    </row>
    <row r="1635" spans="5:5" ht="20" customHeight="1" x14ac:dyDescent="0.35">
      <c r="E1635" s="187"/>
    </row>
    <row r="1636" spans="5:5" ht="20" customHeight="1" x14ac:dyDescent="0.35">
      <c r="E1636" s="187"/>
    </row>
    <row r="1637" spans="5:5" ht="20" customHeight="1" x14ac:dyDescent="0.35">
      <c r="E1637" s="187"/>
    </row>
    <row r="1638" spans="5:5" ht="20" customHeight="1" x14ac:dyDescent="0.35">
      <c r="E1638" s="187"/>
    </row>
    <row r="1639" spans="5:5" ht="20" customHeight="1" x14ac:dyDescent="0.35">
      <c r="E1639" s="187"/>
    </row>
    <row r="1640" spans="5:5" ht="20" customHeight="1" x14ac:dyDescent="0.35">
      <c r="E1640" s="187"/>
    </row>
    <row r="1641" spans="5:5" ht="20" customHeight="1" x14ac:dyDescent="0.35">
      <c r="E1641" s="187"/>
    </row>
    <row r="1642" spans="5:5" ht="20" customHeight="1" x14ac:dyDescent="0.35">
      <c r="E1642" s="187"/>
    </row>
    <row r="1643" spans="5:5" ht="20" customHeight="1" x14ac:dyDescent="0.35">
      <c r="E1643" s="187"/>
    </row>
    <row r="1644" spans="5:5" ht="20" customHeight="1" x14ac:dyDescent="0.35">
      <c r="E1644" s="187"/>
    </row>
    <row r="1645" spans="5:5" ht="20" customHeight="1" x14ac:dyDescent="0.35">
      <c r="E1645" s="187"/>
    </row>
    <row r="1646" spans="5:5" ht="20" customHeight="1" x14ac:dyDescent="0.35">
      <c r="E1646" s="187"/>
    </row>
    <row r="1647" spans="5:5" ht="20" customHeight="1" x14ac:dyDescent="0.35">
      <c r="E1647" s="187"/>
    </row>
    <row r="1648" spans="5:5" ht="20" customHeight="1" x14ac:dyDescent="0.35">
      <c r="E1648" s="187"/>
    </row>
    <row r="1649" spans="5:5" ht="20" customHeight="1" x14ac:dyDescent="0.35">
      <c r="E1649" s="187"/>
    </row>
    <row r="1650" spans="5:5" ht="20" customHeight="1" x14ac:dyDescent="0.35">
      <c r="E1650" s="187"/>
    </row>
    <row r="1651" spans="5:5" ht="20" customHeight="1" x14ac:dyDescent="0.35">
      <c r="E1651" s="187"/>
    </row>
    <row r="1652" spans="5:5" ht="20" customHeight="1" x14ac:dyDescent="0.35">
      <c r="E1652" s="187"/>
    </row>
    <row r="1653" spans="5:5" ht="20" customHeight="1" x14ac:dyDescent="0.35">
      <c r="E1653" s="187"/>
    </row>
    <row r="1654" spans="5:5" ht="20" customHeight="1" x14ac:dyDescent="0.35">
      <c r="E1654" s="187"/>
    </row>
    <row r="1655" spans="5:5" ht="20" customHeight="1" x14ac:dyDescent="0.35">
      <c r="E1655" s="187"/>
    </row>
    <row r="1656" spans="5:5" ht="20" customHeight="1" x14ac:dyDescent="0.35">
      <c r="E1656" s="187"/>
    </row>
    <row r="1657" spans="5:5" ht="20" customHeight="1" x14ac:dyDescent="0.35">
      <c r="E1657" s="187"/>
    </row>
    <row r="1658" spans="5:5" ht="20" customHeight="1" x14ac:dyDescent="0.35">
      <c r="E1658" s="187"/>
    </row>
    <row r="1659" spans="5:5" ht="20" customHeight="1" x14ac:dyDescent="0.35">
      <c r="E1659" s="187"/>
    </row>
    <row r="1660" spans="5:5" ht="20" customHeight="1" x14ac:dyDescent="0.35">
      <c r="E1660" s="187"/>
    </row>
    <row r="1661" spans="5:5" ht="20" customHeight="1" x14ac:dyDescent="0.35">
      <c r="E1661" s="187"/>
    </row>
    <row r="1662" spans="5:5" ht="20" customHeight="1" x14ac:dyDescent="0.35">
      <c r="E1662" s="187"/>
    </row>
    <row r="1663" spans="5:5" ht="20" customHeight="1" x14ac:dyDescent="0.35">
      <c r="E1663" s="187"/>
    </row>
    <row r="1664" spans="5:5" ht="20" customHeight="1" x14ac:dyDescent="0.35">
      <c r="E1664" s="187"/>
    </row>
    <row r="1665" spans="5:5" ht="20" customHeight="1" x14ac:dyDescent="0.35">
      <c r="E1665" s="187"/>
    </row>
    <row r="1666" spans="5:5" ht="20" customHeight="1" x14ac:dyDescent="0.35">
      <c r="E1666" s="187"/>
    </row>
    <row r="1667" spans="5:5" ht="20" customHeight="1" x14ac:dyDescent="0.35">
      <c r="E1667" s="187"/>
    </row>
    <row r="1668" spans="5:5" ht="20" customHeight="1" x14ac:dyDescent="0.35">
      <c r="E1668" s="187"/>
    </row>
    <row r="1669" spans="5:5" ht="20" customHeight="1" x14ac:dyDescent="0.35">
      <c r="E1669" s="187"/>
    </row>
    <row r="1670" spans="5:5" ht="20" customHeight="1" x14ac:dyDescent="0.35">
      <c r="E1670" s="187"/>
    </row>
    <row r="1671" spans="5:5" ht="20" customHeight="1" x14ac:dyDescent="0.35">
      <c r="E1671" s="187"/>
    </row>
    <row r="1672" spans="5:5" ht="20" customHeight="1" x14ac:dyDescent="0.35">
      <c r="E1672" s="187"/>
    </row>
    <row r="1673" spans="5:5" ht="20" customHeight="1" x14ac:dyDescent="0.35">
      <c r="E1673" s="187"/>
    </row>
    <row r="1674" spans="5:5" ht="20" customHeight="1" x14ac:dyDescent="0.35">
      <c r="E1674" s="187"/>
    </row>
    <row r="1675" spans="5:5" ht="20" customHeight="1" x14ac:dyDescent="0.35">
      <c r="E1675" s="187"/>
    </row>
    <row r="1676" spans="5:5" ht="20" customHeight="1" x14ac:dyDescent="0.35">
      <c r="E1676" s="187"/>
    </row>
    <row r="1677" spans="5:5" ht="20" customHeight="1" x14ac:dyDescent="0.35">
      <c r="E1677" s="187"/>
    </row>
    <row r="1678" spans="5:5" ht="20" customHeight="1" x14ac:dyDescent="0.35">
      <c r="E1678" s="187"/>
    </row>
    <row r="1679" spans="5:5" ht="20" customHeight="1" x14ac:dyDescent="0.35">
      <c r="E1679" s="187"/>
    </row>
    <row r="1680" spans="5:5" ht="20" customHeight="1" x14ac:dyDescent="0.35">
      <c r="E1680" s="187"/>
    </row>
    <row r="1681" spans="5:5" ht="20" customHeight="1" x14ac:dyDescent="0.35">
      <c r="E1681" s="187"/>
    </row>
    <row r="1682" spans="5:5" ht="20" customHeight="1" x14ac:dyDescent="0.35">
      <c r="E1682" s="187"/>
    </row>
    <row r="1683" spans="5:5" ht="20" customHeight="1" x14ac:dyDescent="0.35">
      <c r="E1683" s="187"/>
    </row>
    <row r="1684" spans="5:5" ht="20" customHeight="1" x14ac:dyDescent="0.35">
      <c r="E1684" s="187"/>
    </row>
    <row r="1685" spans="5:5" ht="20" customHeight="1" x14ac:dyDescent="0.35">
      <c r="E1685" s="187"/>
    </row>
    <row r="1686" spans="5:5" ht="20" customHeight="1" x14ac:dyDescent="0.35">
      <c r="E1686" s="187"/>
    </row>
    <row r="1687" spans="5:5" ht="20" customHeight="1" x14ac:dyDescent="0.35">
      <c r="E1687" s="187"/>
    </row>
    <row r="1688" spans="5:5" ht="20" customHeight="1" x14ac:dyDescent="0.35">
      <c r="E1688" s="187"/>
    </row>
    <row r="1689" spans="5:5" ht="20" customHeight="1" x14ac:dyDescent="0.35">
      <c r="E1689" s="187"/>
    </row>
    <row r="1690" spans="5:5" ht="20" customHeight="1" x14ac:dyDescent="0.35">
      <c r="E1690" s="187"/>
    </row>
    <row r="1691" spans="5:5" ht="20" customHeight="1" x14ac:dyDescent="0.35">
      <c r="E1691" s="187"/>
    </row>
    <row r="1692" spans="5:5" ht="20" customHeight="1" x14ac:dyDescent="0.35">
      <c r="E1692" s="187"/>
    </row>
    <row r="1693" spans="5:5" ht="20" customHeight="1" x14ac:dyDescent="0.35">
      <c r="E1693" s="187"/>
    </row>
    <row r="1694" spans="5:5" ht="20" customHeight="1" x14ac:dyDescent="0.35">
      <c r="E1694" s="187"/>
    </row>
    <row r="1695" spans="5:5" ht="20" customHeight="1" x14ac:dyDescent="0.35">
      <c r="E1695" s="187"/>
    </row>
    <row r="1696" spans="5:5" ht="20" customHeight="1" x14ac:dyDescent="0.35">
      <c r="E1696" s="187"/>
    </row>
    <row r="1697" spans="5:5" ht="20" customHeight="1" x14ac:dyDescent="0.35">
      <c r="E1697" s="187"/>
    </row>
    <row r="1698" spans="5:5" ht="20" customHeight="1" x14ac:dyDescent="0.35">
      <c r="E1698" s="187"/>
    </row>
    <row r="1699" spans="5:5" ht="20" customHeight="1" x14ac:dyDescent="0.35">
      <c r="E1699" s="187"/>
    </row>
    <row r="1700" spans="5:5" ht="20" customHeight="1" x14ac:dyDescent="0.35">
      <c r="E1700" s="187"/>
    </row>
    <row r="1701" spans="5:5" ht="20" customHeight="1" x14ac:dyDescent="0.35">
      <c r="E1701" s="187"/>
    </row>
    <row r="1702" spans="5:5" ht="20" customHeight="1" x14ac:dyDescent="0.35">
      <c r="E1702" s="187"/>
    </row>
    <row r="1703" spans="5:5" ht="20" customHeight="1" x14ac:dyDescent="0.35">
      <c r="E1703" s="187"/>
    </row>
    <row r="1704" spans="5:5" ht="20" customHeight="1" x14ac:dyDescent="0.35">
      <c r="E1704" s="187"/>
    </row>
    <row r="1705" spans="5:5" ht="20" customHeight="1" x14ac:dyDescent="0.35">
      <c r="E1705" s="187"/>
    </row>
    <row r="1706" spans="5:5" ht="20" customHeight="1" x14ac:dyDescent="0.35">
      <c r="E1706" s="187"/>
    </row>
    <row r="1707" spans="5:5" ht="20" customHeight="1" x14ac:dyDescent="0.35">
      <c r="E1707" s="187"/>
    </row>
    <row r="1708" spans="5:5" ht="20" customHeight="1" x14ac:dyDescent="0.35">
      <c r="E1708" s="187"/>
    </row>
    <row r="1709" spans="5:5" ht="20" customHeight="1" x14ac:dyDescent="0.35">
      <c r="E1709" s="187"/>
    </row>
    <row r="1710" spans="5:5" ht="20" customHeight="1" x14ac:dyDescent="0.35">
      <c r="E1710" s="187"/>
    </row>
    <row r="1711" spans="5:5" ht="20" customHeight="1" x14ac:dyDescent="0.35">
      <c r="E1711" s="187"/>
    </row>
    <row r="1712" spans="5:5" ht="20" customHeight="1" x14ac:dyDescent="0.35">
      <c r="E1712" s="187"/>
    </row>
    <row r="1713" spans="5:5" ht="20" customHeight="1" x14ac:dyDescent="0.35">
      <c r="E1713" s="187"/>
    </row>
    <row r="1714" spans="5:5" ht="20" customHeight="1" x14ac:dyDescent="0.35">
      <c r="E1714" s="187"/>
    </row>
    <row r="1715" spans="5:5" ht="20" customHeight="1" x14ac:dyDescent="0.35">
      <c r="E1715" s="187"/>
    </row>
    <row r="1716" spans="5:5" ht="20" customHeight="1" x14ac:dyDescent="0.35">
      <c r="E1716" s="187"/>
    </row>
    <row r="1717" spans="5:5" ht="20" customHeight="1" x14ac:dyDescent="0.35">
      <c r="E1717" s="187"/>
    </row>
    <row r="1718" spans="5:5" ht="20" customHeight="1" x14ac:dyDescent="0.35">
      <c r="E1718" s="187"/>
    </row>
    <row r="1719" spans="5:5" ht="20" customHeight="1" x14ac:dyDescent="0.35">
      <c r="E1719" s="187"/>
    </row>
    <row r="1720" spans="5:5" ht="20" customHeight="1" x14ac:dyDescent="0.35">
      <c r="E1720" s="187"/>
    </row>
    <row r="1721" spans="5:5" ht="20" customHeight="1" x14ac:dyDescent="0.35">
      <c r="E1721" s="187"/>
    </row>
    <row r="1722" spans="5:5" ht="20" customHeight="1" x14ac:dyDescent="0.35">
      <c r="E1722" s="187"/>
    </row>
    <row r="1723" spans="5:5" ht="20" customHeight="1" x14ac:dyDescent="0.35">
      <c r="E1723" s="187"/>
    </row>
    <row r="1724" spans="5:5" ht="20" customHeight="1" x14ac:dyDescent="0.35">
      <c r="E1724" s="187"/>
    </row>
    <row r="1725" spans="5:5" ht="20" customHeight="1" x14ac:dyDescent="0.35">
      <c r="E1725" s="187"/>
    </row>
    <row r="1726" spans="5:5" ht="20" customHeight="1" x14ac:dyDescent="0.35">
      <c r="E1726" s="187"/>
    </row>
    <row r="1727" spans="5:5" ht="20" customHeight="1" x14ac:dyDescent="0.35">
      <c r="E1727" s="187"/>
    </row>
    <row r="1728" spans="5:5" ht="20" customHeight="1" x14ac:dyDescent="0.35">
      <c r="E1728" s="187"/>
    </row>
    <row r="1729" spans="5:5" ht="20" customHeight="1" x14ac:dyDescent="0.35">
      <c r="E1729" s="187"/>
    </row>
    <row r="1730" spans="5:5" ht="20" customHeight="1" x14ac:dyDescent="0.35">
      <c r="E1730" s="187"/>
    </row>
    <row r="1731" spans="5:5" ht="20" customHeight="1" x14ac:dyDescent="0.35">
      <c r="E1731" s="187"/>
    </row>
    <row r="1732" spans="5:5" ht="20" customHeight="1" x14ac:dyDescent="0.35">
      <c r="E1732" s="187"/>
    </row>
    <row r="1733" spans="5:5" ht="20" customHeight="1" x14ac:dyDescent="0.35">
      <c r="E1733" s="187"/>
    </row>
    <row r="1734" spans="5:5" ht="20" customHeight="1" x14ac:dyDescent="0.35">
      <c r="E1734" s="187"/>
    </row>
    <row r="1735" spans="5:5" ht="20" customHeight="1" x14ac:dyDescent="0.35">
      <c r="E1735" s="187"/>
    </row>
    <row r="1736" spans="5:5" ht="20" customHeight="1" x14ac:dyDescent="0.35">
      <c r="E1736" s="187"/>
    </row>
    <row r="1737" spans="5:5" ht="20" customHeight="1" x14ac:dyDescent="0.35">
      <c r="E1737" s="187"/>
    </row>
    <row r="1738" spans="5:5" ht="20" customHeight="1" x14ac:dyDescent="0.35">
      <c r="E1738" s="187"/>
    </row>
    <row r="1739" spans="5:5" ht="20" customHeight="1" x14ac:dyDescent="0.35">
      <c r="E1739" s="187"/>
    </row>
    <row r="1740" spans="5:5" ht="20" customHeight="1" x14ac:dyDescent="0.35">
      <c r="E1740" s="187"/>
    </row>
    <row r="1741" spans="5:5" ht="20" customHeight="1" x14ac:dyDescent="0.35">
      <c r="E1741" s="187"/>
    </row>
    <row r="1742" spans="5:5" ht="20" customHeight="1" x14ac:dyDescent="0.35">
      <c r="E1742" s="187"/>
    </row>
    <row r="1743" spans="5:5" ht="20" customHeight="1" x14ac:dyDescent="0.35">
      <c r="E1743" s="187"/>
    </row>
    <row r="1744" spans="5:5" ht="20" customHeight="1" x14ac:dyDescent="0.35">
      <c r="E1744" s="187"/>
    </row>
    <row r="1745" spans="5:5" ht="20" customHeight="1" x14ac:dyDescent="0.35">
      <c r="E1745" s="187"/>
    </row>
    <row r="1746" spans="5:5" ht="20" customHeight="1" x14ac:dyDescent="0.35">
      <c r="E1746" s="187"/>
    </row>
    <row r="1747" spans="5:5" ht="20" customHeight="1" x14ac:dyDescent="0.35">
      <c r="E1747" s="187"/>
    </row>
    <row r="1748" spans="5:5" ht="20" customHeight="1" x14ac:dyDescent="0.35">
      <c r="E1748" s="187"/>
    </row>
    <row r="1749" spans="5:5" ht="20" customHeight="1" x14ac:dyDescent="0.35">
      <c r="E1749" s="187"/>
    </row>
    <row r="1750" spans="5:5" ht="20" customHeight="1" x14ac:dyDescent="0.35">
      <c r="E1750" s="187"/>
    </row>
    <row r="1751" spans="5:5" ht="20" customHeight="1" x14ac:dyDescent="0.35">
      <c r="E1751" s="187"/>
    </row>
    <row r="1752" spans="5:5" ht="20" customHeight="1" x14ac:dyDescent="0.35">
      <c r="E1752" s="187"/>
    </row>
    <row r="1753" spans="5:5" ht="20" customHeight="1" x14ac:dyDescent="0.35">
      <c r="E1753" s="187"/>
    </row>
    <row r="1754" spans="5:5" ht="20" customHeight="1" x14ac:dyDescent="0.35">
      <c r="E1754" s="187"/>
    </row>
    <row r="1755" spans="5:5" ht="20" customHeight="1" x14ac:dyDescent="0.35">
      <c r="E1755" s="187"/>
    </row>
    <row r="1756" spans="5:5" ht="20" customHeight="1" x14ac:dyDescent="0.35">
      <c r="E1756" s="187"/>
    </row>
    <row r="1757" spans="5:5" ht="20" customHeight="1" x14ac:dyDescent="0.35">
      <c r="E1757" s="187"/>
    </row>
    <row r="1758" spans="5:5" ht="20" customHeight="1" x14ac:dyDescent="0.35">
      <c r="E1758" s="187"/>
    </row>
    <row r="1759" spans="5:5" ht="20" customHeight="1" x14ac:dyDescent="0.35">
      <c r="E1759" s="187"/>
    </row>
    <row r="1760" spans="5:5" ht="20" customHeight="1" x14ac:dyDescent="0.35">
      <c r="E1760" s="187"/>
    </row>
    <row r="1761" spans="5:5" ht="20" customHeight="1" x14ac:dyDescent="0.35">
      <c r="E1761" s="187"/>
    </row>
    <row r="1762" spans="5:5" ht="20" customHeight="1" x14ac:dyDescent="0.35">
      <c r="E1762" s="187"/>
    </row>
    <row r="1763" spans="5:5" ht="20" customHeight="1" x14ac:dyDescent="0.35">
      <c r="E1763" s="187"/>
    </row>
    <row r="1764" spans="5:5" ht="20" customHeight="1" x14ac:dyDescent="0.35">
      <c r="E1764" s="187"/>
    </row>
    <row r="1765" spans="5:5" ht="20" customHeight="1" x14ac:dyDescent="0.35">
      <c r="E1765" s="187"/>
    </row>
    <row r="1766" spans="5:5" ht="20" customHeight="1" x14ac:dyDescent="0.35">
      <c r="E1766" s="187"/>
    </row>
    <row r="1767" spans="5:5" ht="20" customHeight="1" x14ac:dyDescent="0.35">
      <c r="E1767" s="187"/>
    </row>
    <row r="1768" spans="5:5" ht="20" customHeight="1" x14ac:dyDescent="0.35">
      <c r="E1768" s="187"/>
    </row>
    <row r="1769" spans="5:5" ht="20" customHeight="1" x14ac:dyDescent="0.35">
      <c r="E1769" s="187"/>
    </row>
    <row r="1770" spans="5:5" ht="20" customHeight="1" x14ac:dyDescent="0.35">
      <c r="E1770" s="187"/>
    </row>
    <row r="1771" spans="5:5" ht="20" customHeight="1" x14ac:dyDescent="0.35">
      <c r="E1771" s="187"/>
    </row>
    <row r="1772" spans="5:5" ht="20" customHeight="1" x14ac:dyDescent="0.35">
      <c r="E1772" s="187"/>
    </row>
    <row r="1773" spans="5:5" ht="20" customHeight="1" x14ac:dyDescent="0.35">
      <c r="E1773" s="187"/>
    </row>
    <row r="1774" spans="5:5" ht="20" customHeight="1" x14ac:dyDescent="0.35">
      <c r="E1774" s="187"/>
    </row>
    <row r="1775" spans="5:5" ht="20" customHeight="1" x14ac:dyDescent="0.35">
      <c r="E1775" s="187"/>
    </row>
    <row r="1776" spans="5:5" ht="20" customHeight="1" x14ac:dyDescent="0.35">
      <c r="E1776" s="187"/>
    </row>
    <row r="1777" spans="5:5" ht="20" customHeight="1" x14ac:dyDescent="0.35">
      <c r="E1777" s="187"/>
    </row>
    <row r="1778" spans="5:5" ht="20" customHeight="1" x14ac:dyDescent="0.35">
      <c r="E1778" s="187"/>
    </row>
    <row r="1779" spans="5:5" ht="20" customHeight="1" x14ac:dyDescent="0.35">
      <c r="E1779" s="187"/>
    </row>
    <row r="1780" spans="5:5" ht="20" customHeight="1" x14ac:dyDescent="0.35">
      <c r="E1780" s="187"/>
    </row>
    <row r="1781" spans="5:5" ht="20" customHeight="1" x14ac:dyDescent="0.35">
      <c r="E1781" s="187"/>
    </row>
    <row r="1782" spans="5:5" ht="20" customHeight="1" x14ac:dyDescent="0.35">
      <c r="E1782" s="187"/>
    </row>
    <row r="1783" spans="5:5" ht="20" customHeight="1" x14ac:dyDescent="0.35">
      <c r="E1783" s="187"/>
    </row>
    <row r="1784" spans="5:5" ht="20" customHeight="1" x14ac:dyDescent="0.35">
      <c r="E1784" s="187"/>
    </row>
    <row r="1785" spans="5:5" ht="20" customHeight="1" x14ac:dyDescent="0.35">
      <c r="E1785" s="187"/>
    </row>
    <row r="1786" spans="5:5" ht="20" customHeight="1" x14ac:dyDescent="0.35">
      <c r="E1786" s="187"/>
    </row>
    <row r="1787" spans="5:5" ht="20" customHeight="1" x14ac:dyDescent="0.35">
      <c r="E1787" s="187"/>
    </row>
    <row r="1788" spans="5:5" ht="20" customHeight="1" x14ac:dyDescent="0.35">
      <c r="E1788" s="187"/>
    </row>
    <row r="1789" spans="5:5" ht="20" customHeight="1" x14ac:dyDescent="0.35">
      <c r="E1789" s="187"/>
    </row>
    <row r="1790" spans="5:5" ht="20" customHeight="1" x14ac:dyDescent="0.35">
      <c r="E1790" s="187"/>
    </row>
    <row r="1791" spans="5:5" ht="20" customHeight="1" x14ac:dyDescent="0.35">
      <c r="E1791" s="187"/>
    </row>
    <row r="1792" spans="5:5" ht="20" customHeight="1" x14ac:dyDescent="0.35">
      <c r="E1792" s="187"/>
    </row>
    <row r="1793" spans="5:5" ht="20" customHeight="1" x14ac:dyDescent="0.35">
      <c r="E1793" s="187"/>
    </row>
    <row r="1794" spans="5:5" ht="20" customHeight="1" x14ac:dyDescent="0.35">
      <c r="E1794" s="187"/>
    </row>
    <row r="1795" spans="5:5" ht="20" customHeight="1" x14ac:dyDescent="0.35">
      <c r="E1795" s="187"/>
    </row>
    <row r="1796" spans="5:5" ht="20" customHeight="1" x14ac:dyDescent="0.35">
      <c r="E1796" s="187"/>
    </row>
    <row r="1797" spans="5:5" ht="20" customHeight="1" x14ac:dyDescent="0.35">
      <c r="E1797" s="187"/>
    </row>
    <row r="1798" spans="5:5" ht="20" customHeight="1" x14ac:dyDescent="0.35">
      <c r="E1798" s="187"/>
    </row>
    <row r="1799" spans="5:5" ht="20" customHeight="1" x14ac:dyDescent="0.35">
      <c r="E1799" s="187"/>
    </row>
    <row r="1800" spans="5:5" ht="20" customHeight="1" x14ac:dyDescent="0.35">
      <c r="E1800" s="187"/>
    </row>
    <row r="1801" spans="5:5" ht="20" customHeight="1" x14ac:dyDescent="0.35">
      <c r="E1801" s="187"/>
    </row>
    <row r="1802" spans="5:5" ht="20" customHeight="1" x14ac:dyDescent="0.35">
      <c r="E1802" s="187"/>
    </row>
    <row r="1803" spans="5:5" ht="20" customHeight="1" x14ac:dyDescent="0.35">
      <c r="E1803" s="187"/>
    </row>
    <row r="1804" spans="5:5" ht="20" customHeight="1" x14ac:dyDescent="0.35">
      <c r="E1804" s="187"/>
    </row>
    <row r="1805" spans="5:5" ht="20" customHeight="1" x14ac:dyDescent="0.35">
      <c r="E1805" s="187"/>
    </row>
    <row r="1806" spans="5:5" ht="20" customHeight="1" x14ac:dyDescent="0.35">
      <c r="E1806" s="187"/>
    </row>
    <row r="1807" spans="5:5" ht="20" customHeight="1" x14ac:dyDescent="0.35">
      <c r="E1807" s="187"/>
    </row>
    <row r="1808" spans="5:5" ht="20" customHeight="1" x14ac:dyDescent="0.35">
      <c r="E1808" s="187"/>
    </row>
    <row r="1809" spans="5:5" ht="20" customHeight="1" x14ac:dyDescent="0.35">
      <c r="E1809" s="187"/>
    </row>
    <row r="1810" spans="5:5" ht="20" customHeight="1" x14ac:dyDescent="0.35">
      <c r="E1810" s="187"/>
    </row>
    <row r="1811" spans="5:5" ht="20" customHeight="1" x14ac:dyDescent="0.35">
      <c r="E1811" s="187"/>
    </row>
    <row r="1812" spans="5:5" ht="20" customHeight="1" x14ac:dyDescent="0.35">
      <c r="E1812" s="187"/>
    </row>
    <row r="1813" spans="5:5" ht="20" customHeight="1" x14ac:dyDescent="0.35">
      <c r="E1813" s="187"/>
    </row>
    <row r="1814" spans="5:5" ht="20" customHeight="1" x14ac:dyDescent="0.35">
      <c r="E1814" s="187"/>
    </row>
    <row r="1815" spans="5:5" ht="20" customHeight="1" x14ac:dyDescent="0.35">
      <c r="E1815" s="187"/>
    </row>
    <row r="1816" spans="5:5" ht="20" customHeight="1" x14ac:dyDescent="0.35">
      <c r="E1816" s="187"/>
    </row>
    <row r="1817" spans="5:5" ht="20" customHeight="1" x14ac:dyDescent="0.35">
      <c r="E1817" s="187"/>
    </row>
    <row r="1818" spans="5:5" ht="20" customHeight="1" x14ac:dyDescent="0.35">
      <c r="E1818" s="187"/>
    </row>
    <row r="1819" spans="5:5" ht="20" customHeight="1" x14ac:dyDescent="0.35">
      <c r="E1819" s="187"/>
    </row>
    <row r="1820" spans="5:5" ht="20" customHeight="1" x14ac:dyDescent="0.35">
      <c r="E1820" s="187"/>
    </row>
    <row r="1821" spans="5:5" ht="20" customHeight="1" x14ac:dyDescent="0.35">
      <c r="E1821" s="187"/>
    </row>
    <row r="1822" spans="5:5" ht="20" customHeight="1" x14ac:dyDescent="0.35">
      <c r="E1822" s="187"/>
    </row>
    <row r="1823" spans="5:5" ht="20" customHeight="1" x14ac:dyDescent="0.35">
      <c r="E1823" s="187"/>
    </row>
    <row r="1824" spans="5:5" ht="20" customHeight="1" x14ac:dyDescent="0.35">
      <c r="E1824" s="187"/>
    </row>
    <row r="1825" spans="5:5" ht="20" customHeight="1" x14ac:dyDescent="0.35">
      <c r="E1825" s="187"/>
    </row>
    <row r="1826" spans="5:5" ht="20" customHeight="1" x14ac:dyDescent="0.35">
      <c r="E1826" s="187"/>
    </row>
    <row r="1827" spans="5:5" ht="20" customHeight="1" x14ac:dyDescent="0.35">
      <c r="E1827" s="187"/>
    </row>
    <row r="1828" spans="5:5" ht="20" customHeight="1" x14ac:dyDescent="0.35">
      <c r="E1828" s="187"/>
    </row>
    <row r="1829" spans="5:5" ht="20" customHeight="1" x14ac:dyDescent="0.35">
      <c r="E1829" s="187"/>
    </row>
    <row r="1830" spans="5:5" ht="20" customHeight="1" x14ac:dyDescent="0.35">
      <c r="E1830" s="187"/>
    </row>
    <row r="1831" spans="5:5" ht="20" customHeight="1" x14ac:dyDescent="0.35">
      <c r="E1831" s="187"/>
    </row>
    <row r="1832" spans="5:5" ht="20" customHeight="1" x14ac:dyDescent="0.35">
      <c r="E1832" s="187"/>
    </row>
    <row r="1833" spans="5:5" ht="20" customHeight="1" x14ac:dyDescent="0.35">
      <c r="E1833" s="187"/>
    </row>
    <row r="1834" spans="5:5" ht="20" customHeight="1" x14ac:dyDescent="0.35">
      <c r="E1834" s="187"/>
    </row>
    <row r="1835" spans="5:5" ht="20" customHeight="1" x14ac:dyDescent="0.35">
      <c r="E1835" s="187"/>
    </row>
    <row r="1836" spans="5:5" ht="20" customHeight="1" x14ac:dyDescent="0.35">
      <c r="E1836" s="187"/>
    </row>
    <row r="1837" spans="5:5" ht="20" customHeight="1" x14ac:dyDescent="0.35">
      <c r="E1837" s="187"/>
    </row>
    <row r="1838" spans="5:5" ht="20" customHeight="1" x14ac:dyDescent="0.35">
      <c r="E1838" s="187"/>
    </row>
    <row r="1839" spans="5:5" ht="20" customHeight="1" x14ac:dyDescent="0.35">
      <c r="E1839" s="187"/>
    </row>
    <row r="1840" spans="5:5" ht="20" customHeight="1" x14ac:dyDescent="0.35">
      <c r="E1840" s="187"/>
    </row>
    <row r="1841" spans="5:5" ht="20" customHeight="1" x14ac:dyDescent="0.35">
      <c r="E1841" s="187"/>
    </row>
    <row r="1842" spans="5:5" ht="20" customHeight="1" x14ac:dyDescent="0.35">
      <c r="E1842" s="187"/>
    </row>
    <row r="1843" spans="5:5" ht="20" customHeight="1" x14ac:dyDescent="0.35">
      <c r="E1843" s="187"/>
    </row>
    <row r="1844" spans="5:5" ht="20" customHeight="1" x14ac:dyDescent="0.35">
      <c r="E1844" s="187"/>
    </row>
    <row r="1845" spans="5:5" ht="20" customHeight="1" x14ac:dyDescent="0.35">
      <c r="E1845" s="187"/>
    </row>
    <row r="1846" spans="5:5" ht="20" customHeight="1" x14ac:dyDescent="0.35">
      <c r="E1846" s="187"/>
    </row>
    <row r="1847" spans="5:5" ht="20" customHeight="1" x14ac:dyDescent="0.35">
      <c r="E1847" s="187"/>
    </row>
    <row r="1848" spans="5:5" ht="20" customHeight="1" x14ac:dyDescent="0.35">
      <c r="E1848" s="187"/>
    </row>
    <row r="1849" spans="5:5" ht="20" customHeight="1" x14ac:dyDescent="0.35">
      <c r="E1849" s="187"/>
    </row>
    <row r="1850" spans="5:5" ht="20" customHeight="1" x14ac:dyDescent="0.35">
      <c r="E1850" s="187"/>
    </row>
    <row r="1851" spans="5:5" ht="20" customHeight="1" x14ac:dyDescent="0.35">
      <c r="E1851" s="187"/>
    </row>
    <row r="1852" spans="5:5" ht="20" customHeight="1" x14ac:dyDescent="0.35">
      <c r="E1852" s="187"/>
    </row>
    <row r="1853" spans="5:5" ht="20" customHeight="1" x14ac:dyDescent="0.35">
      <c r="E1853" s="187"/>
    </row>
    <row r="1854" spans="5:5" ht="20" customHeight="1" x14ac:dyDescent="0.35">
      <c r="E1854" s="187"/>
    </row>
    <row r="1855" spans="5:5" ht="20" customHeight="1" x14ac:dyDescent="0.35">
      <c r="E1855" s="187"/>
    </row>
    <row r="1856" spans="5:5" ht="20" customHeight="1" x14ac:dyDescent="0.35">
      <c r="E1856" s="187"/>
    </row>
    <row r="1857" spans="5:5" ht="20" customHeight="1" x14ac:dyDescent="0.35">
      <c r="E1857" s="187"/>
    </row>
    <row r="1858" spans="5:5" ht="20" customHeight="1" x14ac:dyDescent="0.35">
      <c r="E1858" s="187"/>
    </row>
    <row r="1859" spans="5:5" ht="20" customHeight="1" x14ac:dyDescent="0.35">
      <c r="E1859" s="187"/>
    </row>
    <row r="1860" spans="5:5" ht="20" customHeight="1" x14ac:dyDescent="0.35">
      <c r="E1860" s="187"/>
    </row>
    <row r="1861" spans="5:5" ht="20" customHeight="1" x14ac:dyDescent="0.35">
      <c r="E1861" s="187"/>
    </row>
    <row r="1862" spans="5:5" ht="20" customHeight="1" x14ac:dyDescent="0.35">
      <c r="E1862" s="187"/>
    </row>
    <row r="1863" spans="5:5" ht="20" customHeight="1" x14ac:dyDescent="0.35">
      <c r="E1863" s="187"/>
    </row>
    <row r="1864" spans="5:5" ht="20" customHeight="1" x14ac:dyDescent="0.35">
      <c r="E1864" s="187"/>
    </row>
    <row r="1865" spans="5:5" ht="20" customHeight="1" x14ac:dyDescent="0.35">
      <c r="E1865" s="187"/>
    </row>
    <row r="1866" spans="5:5" ht="20" customHeight="1" x14ac:dyDescent="0.35">
      <c r="E1866" s="187"/>
    </row>
    <row r="1867" spans="5:5" ht="20" customHeight="1" x14ac:dyDescent="0.35">
      <c r="E1867" s="187"/>
    </row>
    <row r="1868" spans="5:5" ht="20" customHeight="1" x14ac:dyDescent="0.35">
      <c r="E1868" s="187"/>
    </row>
    <row r="1869" spans="5:5" ht="20" customHeight="1" x14ac:dyDescent="0.35">
      <c r="E1869" s="187"/>
    </row>
    <row r="1870" spans="5:5" ht="20" customHeight="1" x14ac:dyDescent="0.35">
      <c r="E1870" s="187"/>
    </row>
    <row r="1871" spans="5:5" ht="20" customHeight="1" x14ac:dyDescent="0.35">
      <c r="E1871" s="187"/>
    </row>
    <row r="1872" spans="5:5" ht="20" customHeight="1" x14ac:dyDescent="0.35">
      <c r="E1872" s="187"/>
    </row>
    <row r="1873" spans="5:5" ht="20" customHeight="1" x14ac:dyDescent="0.35">
      <c r="E1873" s="187"/>
    </row>
    <row r="1874" spans="5:5" ht="20" customHeight="1" x14ac:dyDescent="0.35">
      <c r="E1874" s="187"/>
    </row>
    <row r="1875" spans="5:5" ht="20" customHeight="1" x14ac:dyDescent="0.35">
      <c r="E1875" s="187"/>
    </row>
    <row r="1876" spans="5:5" ht="20" customHeight="1" x14ac:dyDescent="0.35">
      <c r="E1876" s="187"/>
    </row>
    <row r="1877" spans="5:5" ht="20" customHeight="1" x14ac:dyDescent="0.35">
      <c r="E1877" s="187"/>
    </row>
    <row r="1878" spans="5:5" ht="20" customHeight="1" x14ac:dyDescent="0.35">
      <c r="E1878" s="187"/>
    </row>
    <row r="1879" spans="5:5" ht="20" customHeight="1" x14ac:dyDescent="0.35">
      <c r="E1879" s="187"/>
    </row>
    <row r="1880" spans="5:5" ht="20" customHeight="1" x14ac:dyDescent="0.35">
      <c r="E1880" s="187"/>
    </row>
    <row r="1881" spans="5:5" ht="20" customHeight="1" x14ac:dyDescent="0.35">
      <c r="E1881" s="187"/>
    </row>
    <row r="1882" spans="5:5" ht="20" customHeight="1" x14ac:dyDescent="0.35">
      <c r="E1882" s="187"/>
    </row>
    <row r="1883" spans="5:5" ht="20" customHeight="1" x14ac:dyDescent="0.35">
      <c r="E1883" s="187"/>
    </row>
    <row r="1884" spans="5:5" ht="20" customHeight="1" x14ac:dyDescent="0.35">
      <c r="E1884" s="187"/>
    </row>
    <row r="1885" spans="5:5" ht="20" customHeight="1" x14ac:dyDescent="0.35">
      <c r="E1885" s="187"/>
    </row>
    <row r="1886" spans="5:5" ht="20" customHeight="1" x14ac:dyDescent="0.35">
      <c r="E1886" s="187"/>
    </row>
    <row r="1887" spans="5:5" ht="20" customHeight="1" x14ac:dyDescent="0.35">
      <c r="E1887" s="187"/>
    </row>
    <row r="1888" spans="5:5" ht="20" customHeight="1" x14ac:dyDescent="0.35">
      <c r="E1888" s="187"/>
    </row>
    <row r="1889" spans="5:5" ht="20" customHeight="1" x14ac:dyDescent="0.35">
      <c r="E1889" s="187"/>
    </row>
    <row r="1890" spans="5:5" ht="20" customHeight="1" x14ac:dyDescent="0.35">
      <c r="E1890" s="187"/>
    </row>
    <row r="1891" spans="5:5" ht="20" customHeight="1" x14ac:dyDescent="0.35">
      <c r="E1891" s="187"/>
    </row>
    <row r="1892" spans="5:5" ht="20" customHeight="1" x14ac:dyDescent="0.35">
      <c r="E1892" s="187"/>
    </row>
    <row r="1893" spans="5:5" ht="20" customHeight="1" x14ac:dyDescent="0.35">
      <c r="E1893" s="187"/>
    </row>
    <row r="1894" spans="5:5" ht="20" customHeight="1" x14ac:dyDescent="0.35">
      <c r="E1894" s="187"/>
    </row>
    <row r="1895" spans="5:5" ht="20" customHeight="1" x14ac:dyDescent="0.35">
      <c r="E1895" s="187"/>
    </row>
    <row r="1896" spans="5:5" ht="20" customHeight="1" x14ac:dyDescent="0.35">
      <c r="E1896" s="187"/>
    </row>
    <row r="1897" spans="5:5" ht="20" customHeight="1" x14ac:dyDescent="0.35">
      <c r="E1897" s="187"/>
    </row>
    <row r="1898" spans="5:5" ht="20" customHeight="1" x14ac:dyDescent="0.35">
      <c r="E1898" s="187"/>
    </row>
    <row r="1899" spans="5:5" ht="20" customHeight="1" x14ac:dyDescent="0.35">
      <c r="E1899" s="187"/>
    </row>
    <row r="1900" spans="5:5" ht="20" customHeight="1" x14ac:dyDescent="0.35">
      <c r="E1900" s="187"/>
    </row>
    <row r="1901" spans="5:5" ht="20" customHeight="1" x14ac:dyDescent="0.35">
      <c r="E1901" s="187"/>
    </row>
    <row r="1902" spans="5:5" ht="20" customHeight="1" x14ac:dyDescent="0.35">
      <c r="E1902" s="187"/>
    </row>
    <row r="1903" spans="5:5" ht="20" customHeight="1" x14ac:dyDescent="0.35">
      <c r="E1903" s="187"/>
    </row>
    <row r="1904" spans="5:5" ht="20" customHeight="1" x14ac:dyDescent="0.35">
      <c r="E1904" s="187"/>
    </row>
    <row r="1905" spans="5:5" ht="20" customHeight="1" x14ac:dyDescent="0.35">
      <c r="E1905" s="187"/>
    </row>
    <row r="1906" spans="5:5" ht="20" customHeight="1" x14ac:dyDescent="0.35">
      <c r="E1906" s="187"/>
    </row>
    <row r="1907" spans="5:5" ht="20" customHeight="1" x14ac:dyDescent="0.35">
      <c r="E1907" s="187"/>
    </row>
    <row r="1908" spans="5:5" ht="20" customHeight="1" x14ac:dyDescent="0.35">
      <c r="E1908" s="187"/>
    </row>
    <row r="1909" spans="5:5" ht="20" customHeight="1" x14ac:dyDescent="0.35">
      <c r="E1909" s="187"/>
    </row>
    <row r="1910" spans="5:5" ht="20" customHeight="1" x14ac:dyDescent="0.35">
      <c r="E1910" s="187"/>
    </row>
    <row r="1911" spans="5:5" ht="20" customHeight="1" x14ac:dyDescent="0.35">
      <c r="E1911" s="187"/>
    </row>
    <row r="1912" spans="5:5" ht="20" customHeight="1" x14ac:dyDescent="0.35">
      <c r="E1912" s="187"/>
    </row>
    <row r="1913" spans="5:5" ht="20" customHeight="1" x14ac:dyDescent="0.35">
      <c r="E1913" s="187"/>
    </row>
    <row r="1914" spans="5:5" ht="20" customHeight="1" x14ac:dyDescent="0.35">
      <c r="E1914" s="187"/>
    </row>
    <row r="1915" spans="5:5" ht="20" customHeight="1" x14ac:dyDescent="0.35">
      <c r="E1915" s="187"/>
    </row>
    <row r="1916" spans="5:5" ht="20" customHeight="1" x14ac:dyDescent="0.35">
      <c r="E1916" s="187"/>
    </row>
    <row r="1917" spans="5:5" ht="20" customHeight="1" x14ac:dyDescent="0.35">
      <c r="E1917" s="187"/>
    </row>
    <row r="1918" spans="5:5" ht="20" customHeight="1" x14ac:dyDescent="0.35">
      <c r="E1918" s="187"/>
    </row>
    <row r="1919" spans="5:5" ht="20" customHeight="1" x14ac:dyDescent="0.35">
      <c r="E1919" s="187"/>
    </row>
    <row r="1920" spans="5:5" ht="20" customHeight="1" x14ac:dyDescent="0.35">
      <c r="E1920" s="187"/>
    </row>
    <row r="1921" spans="5:5" ht="20" customHeight="1" x14ac:dyDescent="0.35">
      <c r="E1921" s="187"/>
    </row>
    <row r="1922" spans="5:5" ht="20" customHeight="1" x14ac:dyDescent="0.35">
      <c r="E1922" s="187"/>
    </row>
    <row r="1923" spans="5:5" ht="20" customHeight="1" x14ac:dyDescent="0.35">
      <c r="E1923" s="187"/>
    </row>
    <row r="1924" spans="5:5" ht="20" customHeight="1" x14ac:dyDescent="0.35">
      <c r="E1924" s="187"/>
    </row>
    <row r="1925" spans="5:5" ht="20" customHeight="1" x14ac:dyDescent="0.35">
      <c r="E1925" s="187"/>
    </row>
    <row r="1926" spans="5:5" ht="20" customHeight="1" x14ac:dyDescent="0.35">
      <c r="E1926" s="187"/>
    </row>
    <row r="1927" spans="5:5" ht="20" customHeight="1" x14ac:dyDescent="0.35">
      <c r="E1927" s="187"/>
    </row>
    <row r="1928" spans="5:5" ht="20" customHeight="1" x14ac:dyDescent="0.35">
      <c r="E1928" s="187"/>
    </row>
    <row r="1929" spans="5:5" ht="20" customHeight="1" x14ac:dyDescent="0.35">
      <c r="E1929" s="187"/>
    </row>
    <row r="1930" spans="5:5" ht="20" customHeight="1" x14ac:dyDescent="0.35">
      <c r="E1930" s="187"/>
    </row>
    <row r="1931" spans="5:5" ht="20" customHeight="1" x14ac:dyDescent="0.35">
      <c r="E1931" s="187"/>
    </row>
    <row r="1932" spans="5:5" ht="20" customHeight="1" x14ac:dyDescent="0.35">
      <c r="E1932" s="187"/>
    </row>
    <row r="1933" spans="5:5" ht="20" customHeight="1" x14ac:dyDescent="0.35">
      <c r="E1933" s="187"/>
    </row>
    <row r="1934" spans="5:5" ht="20" customHeight="1" x14ac:dyDescent="0.35">
      <c r="E1934" s="187"/>
    </row>
    <row r="1935" spans="5:5" ht="20" customHeight="1" x14ac:dyDescent="0.35">
      <c r="E1935" s="187"/>
    </row>
    <row r="1936" spans="5:5" ht="20" customHeight="1" x14ac:dyDescent="0.35">
      <c r="E1936" s="187"/>
    </row>
    <row r="1937" spans="5:5" ht="20" customHeight="1" x14ac:dyDescent="0.35">
      <c r="E1937" s="187"/>
    </row>
    <row r="1938" spans="5:5" ht="20" customHeight="1" x14ac:dyDescent="0.35">
      <c r="E1938" s="187"/>
    </row>
    <row r="1939" spans="5:5" ht="20" customHeight="1" x14ac:dyDescent="0.35">
      <c r="E1939" s="187"/>
    </row>
    <row r="1940" spans="5:5" ht="20" customHeight="1" x14ac:dyDescent="0.35">
      <c r="E1940" s="187"/>
    </row>
    <row r="1941" spans="5:5" ht="20" customHeight="1" x14ac:dyDescent="0.35">
      <c r="E1941" s="187"/>
    </row>
    <row r="1942" spans="5:5" ht="20" customHeight="1" x14ac:dyDescent="0.35">
      <c r="E1942" s="187"/>
    </row>
    <row r="1943" spans="5:5" ht="20" customHeight="1" x14ac:dyDescent="0.35">
      <c r="E1943" s="187"/>
    </row>
    <row r="1944" spans="5:5" ht="20" customHeight="1" x14ac:dyDescent="0.35">
      <c r="E1944" s="187"/>
    </row>
    <row r="1945" spans="5:5" ht="20" customHeight="1" x14ac:dyDescent="0.35">
      <c r="E1945" s="187"/>
    </row>
    <row r="1946" spans="5:5" ht="20" customHeight="1" x14ac:dyDescent="0.35">
      <c r="E1946" s="187"/>
    </row>
    <row r="1947" spans="5:5" ht="20" customHeight="1" x14ac:dyDescent="0.35">
      <c r="E1947" s="187"/>
    </row>
    <row r="1948" spans="5:5" ht="20" customHeight="1" x14ac:dyDescent="0.35">
      <c r="E1948" s="187"/>
    </row>
    <row r="1949" spans="5:5" ht="20" customHeight="1" x14ac:dyDescent="0.35">
      <c r="E1949" s="187"/>
    </row>
    <row r="1950" spans="5:5" ht="20" customHeight="1" x14ac:dyDescent="0.35">
      <c r="E1950" s="187"/>
    </row>
    <row r="1951" spans="5:5" ht="20" customHeight="1" x14ac:dyDescent="0.35">
      <c r="E1951" s="187"/>
    </row>
    <row r="1952" spans="5:5" ht="20" customHeight="1" x14ac:dyDescent="0.35">
      <c r="E1952" s="187"/>
    </row>
    <row r="1953" spans="5:5" ht="20" customHeight="1" x14ac:dyDescent="0.35">
      <c r="E1953" s="187"/>
    </row>
    <row r="1954" spans="5:5" ht="20" customHeight="1" x14ac:dyDescent="0.35">
      <c r="E1954" s="187"/>
    </row>
    <row r="1955" spans="5:5" ht="20" customHeight="1" x14ac:dyDescent="0.35">
      <c r="E1955" s="187"/>
    </row>
    <row r="1956" spans="5:5" ht="20" customHeight="1" x14ac:dyDescent="0.35">
      <c r="E1956" s="187"/>
    </row>
    <row r="1957" spans="5:5" ht="20" customHeight="1" x14ac:dyDescent="0.35">
      <c r="E1957" s="187"/>
    </row>
    <row r="1958" spans="5:5" ht="20" customHeight="1" x14ac:dyDescent="0.35">
      <c r="E1958" s="187"/>
    </row>
    <row r="1959" spans="5:5" ht="20" customHeight="1" x14ac:dyDescent="0.35">
      <c r="E1959" s="187"/>
    </row>
    <row r="1960" spans="5:5" ht="20" customHeight="1" x14ac:dyDescent="0.35">
      <c r="E1960" s="187"/>
    </row>
    <row r="1961" spans="5:5" ht="20" customHeight="1" x14ac:dyDescent="0.35">
      <c r="E1961" s="187"/>
    </row>
    <row r="1962" spans="5:5" ht="20" customHeight="1" x14ac:dyDescent="0.35">
      <c r="E1962" s="187"/>
    </row>
    <row r="1963" spans="5:5" ht="20" customHeight="1" x14ac:dyDescent="0.35">
      <c r="E1963" s="187"/>
    </row>
    <row r="1964" spans="5:5" ht="20" customHeight="1" x14ac:dyDescent="0.35">
      <c r="E1964" s="187"/>
    </row>
    <row r="1965" spans="5:5" ht="20" customHeight="1" x14ac:dyDescent="0.35">
      <c r="E1965" s="187"/>
    </row>
    <row r="1966" spans="5:5" ht="20" customHeight="1" x14ac:dyDescent="0.35">
      <c r="E1966" s="187"/>
    </row>
    <row r="1967" spans="5:5" ht="20" customHeight="1" x14ac:dyDescent="0.35">
      <c r="E1967" s="187"/>
    </row>
    <row r="1968" spans="5:5" ht="20" customHeight="1" x14ac:dyDescent="0.35">
      <c r="E1968" s="187"/>
    </row>
    <row r="1969" spans="5:5" ht="20" customHeight="1" x14ac:dyDescent="0.35">
      <c r="E1969" s="187"/>
    </row>
    <row r="1970" spans="5:5" ht="20" customHeight="1" x14ac:dyDescent="0.35">
      <c r="E1970" s="187"/>
    </row>
    <row r="1971" spans="5:5" ht="20" customHeight="1" x14ac:dyDescent="0.35">
      <c r="E1971" s="187"/>
    </row>
    <row r="1972" spans="5:5" ht="20" customHeight="1" x14ac:dyDescent="0.35">
      <c r="E1972" s="187"/>
    </row>
    <row r="1973" spans="5:5" ht="20" customHeight="1" x14ac:dyDescent="0.35">
      <c r="E1973" s="187"/>
    </row>
    <row r="1974" spans="5:5" ht="20" customHeight="1" x14ac:dyDescent="0.35">
      <c r="E1974" s="187"/>
    </row>
    <row r="1975" spans="5:5" ht="20" customHeight="1" x14ac:dyDescent="0.35">
      <c r="E1975" s="187"/>
    </row>
    <row r="1976" spans="5:5" ht="20" customHeight="1" x14ac:dyDescent="0.35">
      <c r="E1976" s="187"/>
    </row>
    <row r="1977" spans="5:5" ht="20" customHeight="1" x14ac:dyDescent="0.35">
      <c r="E1977" s="187"/>
    </row>
    <row r="1978" spans="5:5" ht="20" customHeight="1" x14ac:dyDescent="0.35">
      <c r="E1978" s="187"/>
    </row>
    <row r="1979" spans="5:5" ht="20" customHeight="1" x14ac:dyDescent="0.35">
      <c r="E1979" s="187"/>
    </row>
    <row r="1980" spans="5:5" ht="20" customHeight="1" x14ac:dyDescent="0.35">
      <c r="E1980" s="187"/>
    </row>
    <row r="1981" spans="5:5" ht="20" customHeight="1" x14ac:dyDescent="0.35">
      <c r="E1981" s="187"/>
    </row>
    <row r="1982" spans="5:5" ht="20" customHeight="1" x14ac:dyDescent="0.35">
      <c r="E1982" s="187"/>
    </row>
    <row r="1983" spans="5:5" ht="20" customHeight="1" x14ac:dyDescent="0.35">
      <c r="E1983" s="187"/>
    </row>
    <row r="1984" spans="5:5" ht="20" customHeight="1" x14ac:dyDescent="0.35">
      <c r="E1984" s="187"/>
    </row>
    <row r="1985" spans="5:5" ht="20" customHeight="1" x14ac:dyDescent="0.35">
      <c r="E1985" s="187"/>
    </row>
    <row r="1986" spans="5:5" ht="20" customHeight="1" x14ac:dyDescent="0.35">
      <c r="E1986" s="187"/>
    </row>
    <row r="1987" spans="5:5" ht="20" customHeight="1" x14ac:dyDescent="0.35">
      <c r="E1987" s="187"/>
    </row>
    <row r="1988" spans="5:5" ht="20" customHeight="1" x14ac:dyDescent="0.35">
      <c r="E1988" s="187"/>
    </row>
    <row r="1989" spans="5:5" ht="20" customHeight="1" x14ac:dyDescent="0.35">
      <c r="E1989" s="187"/>
    </row>
    <row r="1990" spans="5:5" ht="20" customHeight="1" x14ac:dyDescent="0.35">
      <c r="E1990" s="187"/>
    </row>
    <row r="1991" spans="5:5" ht="20" customHeight="1" x14ac:dyDescent="0.35">
      <c r="E1991" s="187"/>
    </row>
    <row r="1992" spans="5:5" ht="20" customHeight="1" x14ac:dyDescent="0.35">
      <c r="E1992" s="187"/>
    </row>
    <row r="1993" spans="5:5" ht="20" customHeight="1" x14ac:dyDescent="0.35">
      <c r="E1993" s="187"/>
    </row>
    <row r="1994" spans="5:5" ht="20" customHeight="1" x14ac:dyDescent="0.35">
      <c r="E1994" s="187"/>
    </row>
    <row r="1995" spans="5:5" ht="20" customHeight="1" x14ac:dyDescent="0.35">
      <c r="E1995" s="187"/>
    </row>
    <row r="1996" spans="5:5" ht="20" customHeight="1" x14ac:dyDescent="0.35">
      <c r="E1996" s="187"/>
    </row>
    <row r="1997" spans="5:5" ht="20" customHeight="1" x14ac:dyDescent="0.35">
      <c r="E1997" s="187"/>
    </row>
    <row r="1998" spans="5:5" ht="20" customHeight="1" x14ac:dyDescent="0.35">
      <c r="E1998" s="187"/>
    </row>
    <row r="1999" spans="5:5" ht="20" customHeight="1" x14ac:dyDescent="0.35">
      <c r="E1999" s="187"/>
    </row>
    <row r="2000" spans="5:5" ht="20" customHeight="1" x14ac:dyDescent="0.35">
      <c r="E2000" s="187"/>
    </row>
  </sheetData>
  <mergeCells count="2">
    <mergeCell ref="A1:P2"/>
    <mergeCell ref="A3:P4"/>
  </mergeCells>
  <pageMargins left="0.7" right="0.7" top="0.75" bottom="0.75" header="0.3" footer="0.3"/>
  <pageSetup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EC1C2-0089-4B5A-99F8-3B47BC1B683A}">
  <sheetPr>
    <pageSetUpPr fitToPage="1"/>
  </sheetPr>
  <dimension ref="A1:P24"/>
  <sheetViews>
    <sheetView showGridLines="0" workbookViewId="0">
      <pane ySplit="9" topLeftCell="A10" activePane="bottomLeft" state="frozenSplit"/>
      <selection pane="bottomLeft" sqref="A1:P2"/>
    </sheetView>
  </sheetViews>
  <sheetFormatPr defaultColWidth="14.6328125" defaultRowHeight="20" customHeight="1" x14ac:dyDescent="0.35"/>
  <cols>
    <col min="1" max="1" width="36.6328125" style="184" customWidth="1"/>
    <col min="2" max="2" width="48.6328125" style="184" customWidth="1"/>
    <col min="3" max="3" width="100.6328125" style="184" customWidth="1"/>
    <col min="4" max="16384" width="14.6328125" style="184"/>
  </cols>
  <sheetData>
    <row r="1" spans="1:16" ht="20" customHeight="1" x14ac:dyDescent="0.35">
      <c r="A1" s="224" t="s">
        <v>551</v>
      </c>
      <c r="B1" s="224"/>
      <c r="C1" s="224"/>
      <c r="D1" s="224"/>
      <c r="E1" s="224"/>
      <c r="F1" s="224"/>
      <c r="G1" s="224"/>
      <c r="H1" s="224"/>
      <c r="I1" s="224"/>
      <c r="J1" s="224"/>
      <c r="K1" s="224"/>
      <c r="L1" s="224"/>
      <c r="M1" s="224"/>
      <c r="N1" s="224"/>
      <c r="O1" s="224"/>
      <c r="P1" s="224"/>
    </row>
    <row r="2" spans="1:16" ht="20" customHeight="1" x14ac:dyDescent="0.35">
      <c r="A2" s="224"/>
      <c r="B2" s="224"/>
      <c r="C2" s="224"/>
      <c r="D2" s="224"/>
      <c r="E2" s="224"/>
      <c r="F2" s="224"/>
      <c r="G2" s="224"/>
      <c r="H2" s="224"/>
      <c r="I2" s="224"/>
      <c r="J2" s="224"/>
      <c r="K2" s="224"/>
      <c r="L2" s="224"/>
      <c r="M2" s="224"/>
      <c r="N2" s="224"/>
      <c r="O2" s="224"/>
      <c r="P2" s="224"/>
    </row>
    <row r="3" spans="1:16" ht="20" customHeight="1" x14ac:dyDescent="0.35">
      <c r="A3" s="225" t="s">
        <v>552</v>
      </c>
      <c r="B3" s="225"/>
      <c r="C3" s="225"/>
      <c r="D3" s="225"/>
      <c r="E3" s="225"/>
      <c r="F3" s="225"/>
      <c r="G3" s="225"/>
      <c r="H3" s="225"/>
      <c r="I3" s="225"/>
      <c r="J3" s="225"/>
      <c r="K3" s="225"/>
      <c r="L3" s="225"/>
      <c r="M3" s="225"/>
      <c r="N3" s="225"/>
      <c r="O3" s="225"/>
      <c r="P3" s="225"/>
    </row>
    <row r="4" spans="1:16" ht="20" customHeight="1" x14ac:dyDescent="0.35">
      <c r="A4" s="225"/>
      <c r="B4" s="225"/>
      <c r="C4" s="225"/>
      <c r="D4" s="225"/>
      <c r="E4" s="225"/>
      <c r="F4" s="225"/>
      <c r="G4" s="225"/>
      <c r="H4" s="225"/>
      <c r="I4" s="225"/>
      <c r="J4" s="225"/>
      <c r="K4" s="225"/>
      <c r="L4" s="225"/>
      <c r="M4" s="225"/>
      <c r="N4" s="225"/>
      <c r="O4" s="225"/>
      <c r="P4" s="225"/>
    </row>
    <row r="6" spans="1:16" ht="20" customHeight="1" x14ac:dyDescent="0.35">
      <c r="A6" s="211" t="s">
        <v>169</v>
      </c>
      <c r="B6" s="211" t="s">
        <v>172</v>
      </c>
      <c r="C6" s="211" t="s">
        <v>687</v>
      </c>
    </row>
    <row r="7" spans="1:16" ht="32" customHeight="1" x14ac:dyDescent="0.35">
      <c r="A7" s="185" t="s">
        <v>688</v>
      </c>
      <c r="B7" s="185" t="str" cm="1">
        <f t="array" ref="B7">IF(IFERROR(AND(ROWS(AP_Portfolios[#All])=ROWS(Out_LoadedPortfolios[#All]),COLUMNS(AP_Portfolios[#All])=COLUMNS(Out_LoadedPortfolios[#All]),AND(EXACT(AP_Portfolios[#All]&amp;"",Out_LoadedPortfolios[#All]&amp;""))),FALSE),"Matches","Refresh required")</f>
        <v>Matches</v>
      </c>
      <c r="C7" s="185" t="s">
        <v>689</v>
      </c>
    </row>
    <row r="8" spans="1:16" ht="32" customHeight="1" x14ac:dyDescent="0.35">
      <c r="A8" s="185" t="s">
        <v>690</v>
      </c>
      <c r="B8" s="185" t="str" cm="1">
        <f t="array" ref="B8">IF(IFERROR(AND(ROWS(AP_Instruments[#All])=ROWS(Out_LoadedInstruments[#All]),COLUMNS(AP_Instruments[#All])=COLUMNS(Out_LoadedInstruments[#All]),AND(EXACT(AP_Instruments[#All]&amp;"",Out_LoadedInstruments[#All]&amp;""))),FALSE),"Matches","Refresh required")</f>
        <v>Matches</v>
      </c>
      <c r="C8" s="185" t="s">
        <v>689</v>
      </c>
    </row>
    <row r="9" spans="1:16" ht="32" customHeight="1" x14ac:dyDescent="0.35">
      <c r="A9" s="185" t="s">
        <v>691</v>
      </c>
      <c r="B9" s="185" t="str" cm="1">
        <f t="array" ref="B9">IF(IFERROR(AND(ROWS(AP_Transactions[#All])=ROWS(Out_LoadedTransactions[#All]),COLUMNS(AP_Transactions[#All])=COLUMNS(Out_LoadedTransactions[#All]),AND(EXACT(AP_Transactions[#All]&amp;"",Out_LoadedTransactions[#All]&amp;""))),FALSE),"Matches","Refresh required")</f>
        <v>Matches</v>
      </c>
      <c r="C9" s="185" t="s">
        <v>689</v>
      </c>
    </row>
    <row r="10" spans="1:16" ht="32" customHeight="1" x14ac:dyDescent="0.35">
      <c r="A10" s="185" t="s">
        <v>692</v>
      </c>
      <c r="B10" s="185" t="str" cm="1">
        <f t="array" ref="B10">IF(IFERROR(AND(ROWS(AP_Prices[#All])=ROWS(Out_LoadedPrices[#All]),COLUMNS(AP_Prices[#All])=COLUMNS(Out_LoadedPrices[#All]),AND(EXACT(AP_Prices[#All]&amp;"",Out_LoadedPrices[#All]&amp;""))),FALSE),"Matches","Refresh required")</f>
        <v>Matches</v>
      </c>
      <c r="C10" s="185" t="s">
        <v>689</v>
      </c>
    </row>
    <row r="11" spans="1:16" ht="32" customHeight="1" x14ac:dyDescent="0.35">
      <c r="A11" s="185" t="s">
        <v>693</v>
      </c>
      <c r="B11" s="185" t="str" cm="1">
        <f t="array" ref="B11">IF(IFERROR(AND(ROWS(AP_Actions[#All])=ROWS(Out_LoadedActions[#All]),COLUMNS(AP_Actions[#All])=COLUMNS(Out_LoadedActions[#All]),AND(EXACT(AP_Actions[#All]&amp;"",Out_LoadedActions[#All]&amp;""))),FALSE),"Matches","Refresh required")</f>
        <v>Matches</v>
      </c>
      <c r="C11" s="185" t="s">
        <v>689</v>
      </c>
    </row>
    <row r="12" spans="1:16" ht="32" customHeight="1" x14ac:dyDescent="0.35">
      <c r="A12" s="185" t="s">
        <v>694</v>
      </c>
      <c r="B12" s="185" t="str" cm="1">
        <f t="array" ref="B12">IF(IFERROR(AND(ROWS(AP_Calendar[#All])=ROWS(Out_LoadedCalendar[#All]),COLUMNS(AP_Calendar[#All])=COLUMNS(Out_LoadedCalendar[#All]),AND(EXACT(AP_Calendar[#All]&amp;"",Out_LoadedCalendar[#All]&amp;""))),FALSE),"Matches","Refresh required")</f>
        <v>Matches</v>
      </c>
      <c r="C12" s="185" t="s">
        <v>689</v>
      </c>
    </row>
    <row r="13" spans="1:16" ht="32" customHeight="1" x14ac:dyDescent="0.35">
      <c r="A13" s="185" t="s">
        <v>695</v>
      </c>
      <c r="B13" s="185" t="str" cm="1">
        <f t="array" ref="B13">IF(IFERROR(AND(ROWS(AP_Settings[#All])=ROWS(Out_LoadedSettings[#All]),COLUMNS(AP_Settings[#All])=COLUMNS(Out_LoadedSettings[#All]),AND(EXACT(AP_Settings[#All]&amp;"",Out_LoadedSettings[#All]&amp;""))),FALSE),"Matches","Refresh required")</f>
        <v>Matches</v>
      </c>
      <c r="C13" s="185" t="s">
        <v>689</v>
      </c>
    </row>
    <row r="14" spans="1:16" ht="32" customHeight="1" x14ac:dyDescent="0.35">
      <c r="A14" s="185"/>
      <c r="B14" s="185"/>
      <c r="C14" s="185"/>
    </row>
    <row r="15" spans="1:16" ht="32" customHeight="1" x14ac:dyDescent="0.35">
      <c r="A15" s="185" t="s">
        <v>696</v>
      </c>
      <c r="B15" s="185">
        <f>COUNTIF(Out_Exceptions[Severity],"Error")</f>
        <v>0</v>
      </c>
      <c r="C15" s="185" t="s">
        <v>697</v>
      </c>
    </row>
    <row r="16" spans="1:16" ht="32" customHeight="1" x14ac:dyDescent="0.35">
      <c r="A16" s="185" t="s">
        <v>698</v>
      </c>
      <c r="B16" s="185" cm="1">
        <f t="array" ref="B16">SUMPRODUCT(--(AP_Notes[PortfolioID]&lt;&gt;""),--(COUNTIF(AP_Notes[NoteKey],AP_Notes[NoteKey])&gt;1))</f>
        <v>0</v>
      </c>
      <c r="C16" s="185" t="s">
        <v>699</v>
      </c>
    </row>
    <row r="17" spans="1:3" ht="32" customHeight="1" x14ac:dyDescent="0.35">
      <c r="A17" s="185" t="s">
        <v>700</v>
      </c>
      <c r="B17" s="185" t="str" cm="1">
        <f t="array" ref="B17">_xlfn.LET(_xlpm.mask,(Out_PortfolioDaily[Date]=AP_ValuationDate)*(Out_PortfolioDaily[Status]="OK")*(Out_PortfolioDaily[PortfolioID]&lt;&gt;"__GROUP__"),IF(SUM(--_xlpm.mask)=0,"No eligible account snapshots",_xlfn.LET(_xlpm.values,_xlfn._xlws.FILTER(Out_PortfolioDaily[ClosingValue],_xlpm.mask),_xlpm.cash,_xlfn._xlws.FILTER(Out_PortfolioDaily[Cash],_xlpm.mask),_xlpm.stock,_xlfn._xlws.FILTER(Out_PortfolioDaily[StockValue],_xlpm.mask),_xlpm.recv,_xlfn._xlws.FILTER(Out_PortfolioDaily[DividendReceivable],_xlpm.mask),IF(MAX(ABS(_xlpm.values-_xlpm.cash-_xlpm.stock-_xlpm.recv))&lt;=0.01,"Pass","FAIL"))))</f>
        <v>Pass</v>
      </c>
      <c r="C17" s="185" t="s">
        <v>701</v>
      </c>
    </row>
    <row r="18" spans="1:3" ht="32" customHeight="1" x14ac:dyDescent="0.35">
      <c r="A18" s="185" t="s">
        <v>1591</v>
      </c>
      <c r="B18" s="185" t="s">
        <v>574</v>
      </c>
      <c r="C18" s="185" t="s">
        <v>1592</v>
      </c>
    </row>
    <row r="19" spans="1:3" ht="32" customHeight="1" x14ac:dyDescent="0.35">
      <c r="A19" s="185" t="s">
        <v>1593</v>
      </c>
      <c r="B19" s="185" t="s">
        <v>1594</v>
      </c>
      <c r="C19" s="185" t="s">
        <v>1595</v>
      </c>
    </row>
    <row r="20" spans="1:3" ht="48" customHeight="1" x14ac:dyDescent="0.35">
      <c r="A20" s="185" t="s">
        <v>702</v>
      </c>
      <c r="B20" s="217" t="s">
        <v>703</v>
      </c>
      <c r="C20" s="185" t="s">
        <v>704</v>
      </c>
    </row>
    <row r="21" spans="1:3" ht="32" customHeight="1" x14ac:dyDescent="0.35">
      <c r="A21" s="185"/>
      <c r="B21" s="185"/>
      <c r="C21" s="185"/>
    </row>
    <row r="22" spans="1:3" ht="48" customHeight="1" x14ac:dyDescent="0.35">
      <c r="A22" s="185" t="s">
        <v>744</v>
      </c>
      <c r="B22" s="185" t="str" cm="1">
        <f t="array" ref="B22">IF(AP_InputsCurrent,"Pass","INCOMPLETE REFRESH")</f>
        <v>Pass</v>
      </c>
      <c r="C22" s="185" t="s">
        <v>745</v>
      </c>
    </row>
    <row r="23" spans="1:3" ht="32" customHeight="1" x14ac:dyDescent="0.35">
      <c r="A23" s="185"/>
      <c r="B23" s="185"/>
      <c r="C23" s="185"/>
    </row>
    <row r="24" spans="1:3" ht="32" customHeight="1" x14ac:dyDescent="0.35">
      <c r="A24" s="185"/>
      <c r="B24" s="185"/>
      <c r="C24" s="185"/>
    </row>
  </sheetData>
  <mergeCells count="2">
    <mergeCell ref="A1:P2"/>
    <mergeCell ref="A3:P4"/>
  </mergeCells>
  <pageMargins left="0.7" right="0.7" top="0.75" bottom="0.75" header="0.3" footer="0.3"/>
  <pageSetup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85501-97C1-4D59-BC88-E34B1FD02F0D}">
  <dimension ref="A1:H14"/>
  <sheetViews>
    <sheetView showGridLines="0" workbookViewId="0">
      <pane ySplit="9" topLeftCell="A10" activePane="bottomLeft" state="frozenSplit"/>
      <selection pane="bottomLeft"/>
    </sheetView>
  </sheetViews>
  <sheetFormatPr defaultColWidth="20.6328125" defaultRowHeight="22" customHeight="1" x14ac:dyDescent="0.35"/>
  <cols>
    <col min="1" max="1" width="16" style="218" bestFit="1" customWidth="1"/>
    <col min="2" max="2" width="16.36328125" style="218" bestFit="1" customWidth="1"/>
    <col min="3" max="3" width="15.6328125" style="218" bestFit="1" customWidth="1"/>
    <col min="4" max="4" width="20.453125" style="218" bestFit="1" customWidth="1"/>
    <col min="5" max="16384" width="20.6328125" style="218"/>
  </cols>
  <sheetData>
    <row r="1" spans="1:8" ht="22" customHeight="1" x14ac:dyDescent="0.35">
      <c r="A1" s="226" t="s">
        <v>730</v>
      </c>
      <c r="B1" s="227"/>
      <c r="C1" s="227"/>
      <c r="D1" s="227"/>
      <c r="E1" s="227"/>
      <c r="F1" s="227"/>
      <c r="G1" s="227"/>
      <c r="H1" s="227"/>
    </row>
    <row r="2" spans="1:8" ht="22" customHeight="1" x14ac:dyDescent="0.35">
      <c r="A2" s="227"/>
      <c r="B2" s="227"/>
      <c r="C2" s="227"/>
      <c r="D2" s="227"/>
      <c r="E2" s="227"/>
      <c r="F2" s="227"/>
      <c r="G2" s="227"/>
      <c r="H2" s="227"/>
    </row>
    <row r="3" spans="1:8" ht="22" customHeight="1" x14ac:dyDescent="0.35">
      <c r="A3" s="228" t="str">
        <f>"Snapshot date: "&amp;_xlfn.XLOOKUP("SnapshotDate",Out_LoadedSettings[Setting],Out_LoadedSettings[Value])&amp;". This slicer filters the loaded snapshot only. Comparison dates and Include flags are separate. To change this date, edit AP_Settings SnapshotDate and Refresh All."</f>
        <v>Snapshot date: 2025-12-31. This slicer filters the loaded snapshot only. Comparison dates and Include flags are separate. To change this date, edit AP_Settings SnapshotDate and Refresh All.</v>
      </c>
      <c r="B3" s="228"/>
      <c r="C3" s="228"/>
      <c r="D3" s="228"/>
      <c r="E3" s="228"/>
      <c r="F3" s="228"/>
      <c r="G3" s="228"/>
      <c r="H3" s="228"/>
    </row>
    <row r="4" spans="1:8" ht="22" customHeight="1" x14ac:dyDescent="0.35">
      <c r="A4" s="228"/>
      <c r="B4" s="228"/>
      <c r="C4" s="228"/>
      <c r="D4" s="228"/>
      <c r="E4" s="228"/>
      <c r="F4" s="228"/>
      <c r="G4" s="228"/>
      <c r="H4" s="228"/>
    </row>
    <row r="5" spans="1:8" ht="22" customHeight="1" x14ac:dyDescent="0.35">
      <c r="A5" s="228"/>
      <c r="B5" s="228"/>
      <c r="C5" s="228"/>
      <c r="D5" s="228"/>
      <c r="E5" s="228"/>
      <c r="F5" s="228"/>
      <c r="G5" s="228"/>
      <c r="H5" s="228"/>
    </row>
    <row r="6" spans="1:8" ht="32" customHeight="1" x14ac:dyDescent="0.35">
      <c r="A6" s="229" t="str" cm="1">
        <f t="array" ref="A6">IF(AP_InputsCurrent,"Loaded snapshot. Confirm every query completed before interpreting a new refresh.","Inputs or outputs differ: this is a cached snapshot. Complete Refresh All and inspect errors.")</f>
        <v>Loaded snapshot. Confirm every query completed before interpreting a new refresh.</v>
      </c>
      <c r="B6" s="229"/>
      <c r="C6" s="229"/>
      <c r="D6" s="229"/>
      <c r="E6" s="229"/>
      <c r="F6" s="229"/>
      <c r="G6" s="229"/>
      <c r="H6" s="229"/>
    </row>
    <row r="7" spans="1:8" ht="22" customHeight="1" x14ac:dyDescent="0.35">
      <c r="A7" s="210" t="s">
        <v>732</v>
      </c>
    </row>
    <row r="9" spans="1:8" ht="29" x14ac:dyDescent="0.35">
      <c r="A9" s="220" t="s">
        <v>558</v>
      </c>
      <c r="B9" s="221" t="s">
        <v>726</v>
      </c>
      <c r="C9" s="221" t="s">
        <v>727</v>
      </c>
      <c r="D9" s="221" t="s">
        <v>728</v>
      </c>
    </row>
    <row r="10" spans="1:8" ht="22" customHeight="1" x14ac:dyDescent="0.35">
      <c r="A10" s="219" t="s">
        <v>748</v>
      </c>
      <c r="B10" s="219">
        <v>62490</v>
      </c>
      <c r="C10" s="219">
        <v>45840</v>
      </c>
      <c r="D10" s="219">
        <v>0</v>
      </c>
    </row>
    <row r="11" spans="1:8" ht="22" customHeight="1" x14ac:dyDescent="0.35">
      <c r="A11" s="219" t="s">
        <v>746</v>
      </c>
      <c r="B11" s="219">
        <v>40990</v>
      </c>
      <c r="C11" s="219">
        <v>40990</v>
      </c>
      <c r="D11" s="219">
        <v>0</v>
      </c>
    </row>
    <row r="12" spans="1:8" ht="22" customHeight="1" x14ac:dyDescent="0.35">
      <c r="A12" s="219" t="s">
        <v>1</v>
      </c>
      <c r="B12" s="219">
        <v>108611</v>
      </c>
      <c r="C12" s="219">
        <v>93091</v>
      </c>
      <c r="D12" s="219">
        <v>0</v>
      </c>
    </row>
    <row r="13" spans="1:8" ht="22" customHeight="1" x14ac:dyDescent="0.35">
      <c r="A13" s="219" t="s">
        <v>100</v>
      </c>
      <c r="B13" s="219">
        <v>73682</v>
      </c>
      <c r="C13" s="219">
        <v>48142</v>
      </c>
      <c r="D13" s="219">
        <v>0</v>
      </c>
    </row>
    <row r="14" spans="1:8" ht="14.5" x14ac:dyDescent="0.35">
      <c r="A14" s="219" t="s">
        <v>725</v>
      </c>
      <c r="B14" s="219">
        <v>285773</v>
      </c>
      <c r="C14" s="219">
        <v>228063</v>
      </c>
      <c r="D14" s="219">
        <v>0</v>
      </c>
    </row>
  </sheetData>
  <mergeCells count="3">
    <mergeCell ref="A1:H2"/>
    <mergeCell ref="A3:H5"/>
    <mergeCell ref="A6:H6"/>
  </mergeCells>
  <hyperlinks>
    <hyperlink ref="A7" location="Comparison!A1" display="Back to common-period comparison" xr:uid="{32C50172-02A6-431F-BA88-D7ECD9FCF5F1}"/>
  </hyperlinks>
  <pageMargins left="0.7" right="0.7" top="0.75" bottom="0.75" header="0.3" footer="0.3"/>
  <pageSetup orientation="portrait" r:id="rId2"/>
  <drawing r:id="rId3"/>
  <extLst>
    <ext xmlns:x14="http://schemas.microsoft.com/office/spreadsheetml/2009/9/main" uri="{A8765BA9-456A-4dab-B4F3-ACF838C121DE}">
      <x14:slicerList>
        <x14:slicer r:id="rId4"/>
      </x14:slicerList>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20E49-D591-4E18-A3D7-92055ED4EEAA}">
  <dimension ref="A1:B2"/>
  <sheetViews>
    <sheetView workbookViewId="0"/>
  </sheetViews>
  <sheetFormatPr defaultRowHeight="14.5" x14ac:dyDescent="0.35"/>
  <cols>
    <col min="1" max="1" width="23.90625" bestFit="1" customWidth="1"/>
    <col min="2" max="2" width="13.6328125" bestFit="1" customWidth="1"/>
  </cols>
  <sheetData>
    <row r="1" spans="1:2" x14ac:dyDescent="0.35">
      <c r="A1" t="s">
        <v>735</v>
      </c>
      <c r="B1" t="s">
        <v>736</v>
      </c>
    </row>
    <row r="2" spans="1:2" x14ac:dyDescent="0.35">
      <c r="A2" t="s">
        <v>1600</v>
      </c>
      <c r="B2">
        <v>7042</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59A9F-4FC2-4803-A1FD-6DB6D81E6D7E}">
  <dimension ref="A1:BI792"/>
  <sheetViews>
    <sheetView showGridLines="0" workbookViewId="0">
      <selection sqref="A1:P2"/>
    </sheetView>
  </sheetViews>
  <sheetFormatPr defaultColWidth="14.6328125" defaultRowHeight="20" customHeight="1" x14ac:dyDescent="0.35"/>
  <cols>
    <col min="1" max="1" width="11.90625" style="184" bestFit="1" customWidth="1"/>
    <col min="2" max="2" width="15.6328125" style="184" bestFit="1" customWidth="1"/>
    <col min="3" max="3" width="10.7265625" style="184" bestFit="1" customWidth="1"/>
    <col min="4" max="4" width="14.90625" style="184" bestFit="1" customWidth="1"/>
    <col min="5" max="5" width="8.1796875" style="184" bestFit="1" customWidth="1"/>
    <col min="6" max="6" width="9.453125" style="184" bestFit="1" customWidth="1"/>
    <col min="7" max="8" width="14.6328125" style="184"/>
    <col min="9" max="9" width="14.1796875" style="184" bestFit="1" customWidth="1"/>
    <col min="10" max="10" width="17.36328125" style="184" bestFit="1" customWidth="1"/>
    <col min="11" max="11" width="9.36328125" style="184" bestFit="1" customWidth="1"/>
    <col min="12" max="12" width="13.36328125" style="184" bestFit="1" customWidth="1"/>
    <col min="13" max="13" width="6.54296875" style="184" bestFit="1" customWidth="1"/>
    <col min="14" max="14" width="12.26953125" style="184" bestFit="1" customWidth="1"/>
    <col min="15" max="15" width="10.7265625" style="184" bestFit="1" customWidth="1"/>
    <col min="16" max="17" width="14.6328125" style="184"/>
    <col min="18" max="18" width="26.453125" style="184" bestFit="1" customWidth="1"/>
    <col min="19" max="19" width="11.90625" style="184" bestFit="1" customWidth="1"/>
    <col min="20" max="20" width="7" style="184" bestFit="1" customWidth="1"/>
    <col min="21" max="21" width="11.453125" style="184" bestFit="1" customWidth="1"/>
    <col min="22" max="22" width="13.7265625" style="184" bestFit="1" customWidth="1"/>
    <col min="23" max="23" width="14.1796875" style="184" bestFit="1" customWidth="1"/>
    <col min="24" max="24" width="10.26953125" style="184" bestFit="1" customWidth="1"/>
    <col min="25" max="25" width="7.26953125" style="184" bestFit="1" customWidth="1"/>
    <col min="26" max="26" width="9.6328125" style="184" bestFit="1" customWidth="1"/>
    <col min="27" max="27" width="7" style="184" bestFit="1" customWidth="1"/>
    <col min="28" max="28" width="22.453125" style="184" bestFit="1" customWidth="1"/>
    <col min="29" max="29" width="8.54296875" style="184" bestFit="1" customWidth="1"/>
    <col min="30" max="30" width="24.08984375" style="184" bestFit="1" customWidth="1"/>
    <col min="31" max="32" width="14.6328125" style="184"/>
    <col min="33" max="33" width="29.453125" style="184" bestFit="1" customWidth="1"/>
    <col min="34" max="34" width="14.1796875" style="184" bestFit="1" customWidth="1"/>
    <col min="35" max="35" width="7" style="184" bestFit="1" customWidth="1"/>
    <col min="36" max="36" width="7.81640625" style="184" bestFit="1" customWidth="1"/>
    <col min="37" max="37" width="10.7265625" style="184" bestFit="1" customWidth="1"/>
    <col min="38" max="38" width="24.90625" style="184" bestFit="1" customWidth="1"/>
    <col min="39" max="39" width="10.08984375" style="184" bestFit="1" customWidth="1"/>
    <col min="40" max="40" width="12.7265625" style="184" bestFit="1" customWidth="1"/>
    <col min="41" max="41" width="11.6328125" style="184" bestFit="1" customWidth="1"/>
    <col min="42" max="43" width="14.6328125" style="184"/>
    <col min="44" max="44" width="24.7265625" style="184" bestFit="1" customWidth="1"/>
    <col min="45" max="45" width="14.1796875" style="184" bestFit="1" customWidth="1"/>
    <col min="46" max="46" width="9" style="184" bestFit="1" customWidth="1"/>
    <col min="47" max="47" width="8.90625" style="184" bestFit="1" customWidth="1"/>
    <col min="48" max="48" width="14.36328125" style="184" bestFit="1" customWidth="1"/>
    <col min="49" max="49" width="11.453125" style="184" bestFit="1" customWidth="1"/>
    <col min="50" max="50" width="16.36328125" style="184" bestFit="1" customWidth="1"/>
    <col min="51" max="51" width="18.26953125" style="184" bestFit="1" customWidth="1"/>
    <col min="52" max="52" width="13.54296875" style="184" bestFit="1" customWidth="1"/>
    <col min="53" max="53" width="9.453125" style="184" bestFit="1" customWidth="1"/>
    <col min="54" max="55" width="14.6328125" style="184"/>
    <col min="56" max="56" width="7" style="184" bestFit="1" customWidth="1"/>
    <col min="57" max="57" width="17.1796875" style="184" bestFit="1" customWidth="1"/>
    <col min="58" max="59" width="14.6328125" style="184"/>
    <col min="60" max="60" width="19.81640625" style="184" bestFit="1" customWidth="1"/>
    <col min="61" max="61" width="62.6328125" style="184" bestFit="1" customWidth="1"/>
    <col min="62" max="16384" width="14.6328125" style="184"/>
  </cols>
  <sheetData>
    <row r="1" spans="1:61" ht="20" customHeight="1" x14ac:dyDescent="0.35">
      <c r="A1" s="224" t="s">
        <v>661</v>
      </c>
      <c r="B1" s="224"/>
      <c r="C1" s="224"/>
      <c r="D1" s="224"/>
      <c r="E1" s="224"/>
      <c r="F1" s="224"/>
      <c r="G1" s="224"/>
      <c r="H1" s="224"/>
      <c r="I1" s="224"/>
      <c r="J1" s="224"/>
      <c r="K1" s="224"/>
      <c r="L1" s="224"/>
      <c r="M1" s="224"/>
      <c r="N1" s="224"/>
      <c r="O1" s="224"/>
      <c r="P1" s="224"/>
    </row>
    <row r="2" spans="1:61" ht="20" customHeight="1" x14ac:dyDescent="0.35">
      <c r="A2" s="224"/>
      <c r="B2" s="224"/>
      <c r="C2" s="224"/>
      <c r="D2" s="224"/>
      <c r="E2" s="224"/>
      <c r="F2" s="224"/>
      <c r="G2" s="224"/>
      <c r="H2" s="224"/>
      <c r="I2" s="224"/>
      <c r="J2" s="224"/>
      <c r="K2" s="224"/>
      <c r="L2" s="224"/>
      <c r="M2" s="224"/>
      <c r="N2" s="224"/>
      <c r="O2" s="224"/>
      <c r="P2" s="224"/>
    </row>
    <row r="3" spans="1:61" ht="20" customHeight="1" x14ac:dyDescent="0.35">
      <c r="A3" s="225" t="s">
        <v>662</v>
      </c>
      <c r="B3" s="225"/>
      <c r="C3" s="225"/>
      <c r="D3" s="225"/>
      <c r="E3" s="225"/>
      <c r="F3" s="225"/>
      <c r="G3" s="225"/>
      <c r="H3" s="225"/>
      <c r="I3" s="225"/>
      <c r="J3" s="225"/>
      <c r="K3" s="225"/>
      <c r="L3" s="225"/>
      <c r="M3" s="225"/>
      <c r="N3" s="225"/>
      <c r="O3" s="225"/>
      <c r="P3" s="225"/>
    </row>
    <row r="4" spans="1:61" ht="20" customHeight="1" x14ac:dyDescent="0.35">
      <c r="A4" s="225"/>
      <c r="B4" s="225"/>
      <c r="C4" s="225"/>
      <c r="D4" s="225"/>
      <c r="E4" s="225"/>
      <c r="F4" s="225"/>
      <c r="G4" s="225"/>
      <c r="H4" s="225"/>
      <c r="I4" s="225"/>
      <c r="J4" s="225"/>
      <c r="K4" s="225"/>
      <c r="L4" s="225"/>
      <c r="M4" s="225"/>
      <c r="N4" s="225"/>
      <c r="O4" s="225"/>
      <c r="P4" s="225"/>
    </row>
    <row r="6" spans="1:61" ht="14.5" x14ac:dyDescent="0.35">
      <c r="A6" s="194" t="s">
        <v>557</v>
      </c>
      <c r="B6" s="194" t="s">
        <v>558</v>
      </c>
      <c r="C6" s="194" t="s">
        <v>559</v>
      </c>
      <c r="D6" s="194" t="s">
        <v>560</v>
      </c>
      <c r="E6" s="194" t="s">
        <v>561</v>
      </c>
      <c r="F6" s="194" t="s">
        <v>562</v>
      </c>
      <c r="I6" s="194" t="s">
        <v>568</v>
      </c>
      <c r="J6" s="194" t="s">
        <v>569</v>
      </c>
      <c r="K6" s="194" t="s">
        <v>570</v>
      </c>
      <c r="L6" s="194" t="s">
        <v>571</v>
      </c>
      <c r="M6" s="194" t="s">
        <v>572</v>
      </c>
      <c r="N6" s="194" t="s">
        <v>573</v>
      </c>
      <c r="O6" s="194" t="s">
        <v>559</v>
      </c>
      <c r="R6" s="194" t="s">
        <v>71</v>
      </c>
      <c r="S6" s="194" t="s">
        <v>557</v>
      </c>
      <c r="T6" s="194" t="s">
        <v>72</v>
      </c>
      <c r="U6" s="194" t="s">
        <v>576</v>
      </c>
      <c r="V6" s="194" t="s">
        <v>73</v>
      </c>
      <c r="W6" s="194" t="s">
        <v>568</v>
      </c>
      <c r="X6" s="194" t="s">
        <v>74</v>
      </c>
      <c r="Y6" s="194" t="s">
        <v>75</v>
      </c>
      <c r="Z6" s="194" t="s">
        <v>76</v>
      </c>
      <c r="AA6" s="194" t="s">
        <v>67</v>
      </c>
      <c r="AB6" s="194" t="s">
        <v>577</v>
      </c>
      <c r="AC6" s="194" t="s">
        <v>578</v>
      </c>
      <c r="AD6" s="194" t="s">
        <v>579</v>
      </c>
      <c r="AG6" s="194" t="s">
        <v>583</v>
      </c>
      <c r="AH6" s="194" t="s">
        <v>568</v>
      </c>
      <c r="AI6" s="194" t="s">
        <v>72</v>
      </c>
      <c r="AJ6" s="194" t="s">
        <v>584</v>
      </c>
      <c r="AK6" s="194" t="s">
        <v>559</v>
      </c>
      <c r="AL6" s="194" t="s">
        <v>416</v>
      </c>
      <c r="AM6" s="194" t="s">
        <v>585</v>
      </c>
      <c r="AN6" s="194" t="s">
        <v>586</v>
      </c>
      <c r="AO6" s="194" t="s">
        <v>587</v>
      </c>
      <c r="AR6" s="194" t="s">
        <v>579</v>
      </c>
      <c r="AS6" s="194" t="s">
        <v>568</v>
      </c>
      <c r="AT6" s="194" t="s">
        <v>73</v>
      </c>
      <c r="AU6" s="194" t="s">
        <v>590</v>
      </c>
      <c r="AV6" s="194" t="s">
        <v>591</v>
      </c>
      <c r="AW6" s="194" t="s">
        <v>576</v>
      </c>
      <c r="AX6" s="194" t="s">
        <v>592</v>
      </c>
      <c r="AY6" s="194" t="s">
        <v>593</v>
      </c>
      <c r="AZ6" s="194" t="s">
        <v>594</v>
      </c>
      <c r="BA6" s="194" t="s">
        <v>595</v>
      </c>
      <c r="BD6" s="194" t="s">
        <v>72</v>
      </c>
      <c r="BE6" s="194" t="s">
        <v>597</v>
      </c>
      <c r="BH6" s="194" t="s">
        <v>599</v>
      </c>
      <c r="BI6" s="194" t="s">
        <v>142</v>
      </c>
    </row>
    <row r="7" spans="1:61" ht="14.5" x14ac:dyDescent="0.35">
      <c r="A7" s="196" t="s">
        <v>563</v>
      </c>
      <c r="B7" s="196" t="s">
        <v>1</v>
      </c>
      <c r="C7" s="196" t="s">
        <v>564</v>
      </c>
      <c r="D7" s="196">
        <v>45658</v>
      </c>
      <c r="E7" s="196" t="s">
        <v>230</v>
      </c>
      <c r="F7" s="196" t="s">
        <v>230</v>
      </c>
      <c r="I7" s="196" t="s">
        <v>749</v>
      </c>
      <c r="J7" s="196" t="s">
        <v>750</v>
      </c>
      <c r="K7" s="196" t="s">
        <v>749</v>
      </c>
      <c r="L7" s="196" t="s">
        <v>751</v>
      </c>
      <c r="M7" s="196"/>
      <c r="N7" s="196" t="s">
        <v>158</v>
      </c>
      <c r="O7" s="196" t="s">
        <v>564</v>
      </c>
      <c r="R7" s="196" t="s">
        <v>756</v>
      </c>
      <c r="S7" s="196" t="s">
        <v>563</v>
      </c>
      <c r="T7" s="196">
        <v>45658</v>
      </c>
      <c r="U7" s="196">
        <v>1</v>
      </c>
      <c r="V7" s="196" t="s">
        <v>90</v>
      </c>
      <c r="W7" s="196"/>
      <c r="X7" s="196">
        <v>0</v>
      </c>
      <c r="Y7" s="196">
        <v>0</v>
      </c>
      <c r="Z7" s="196">
        <v>100000</v>
      </c>
      <c r="AA7" s="196">
        <v>0</v>
      </c>
      <c r="AB7" s="196"/>
      <c r="AC7" s="196" t="s">
        <v>628</v>
      </c>
      <c r="AD7" s="196"/>
      <c r="AG7" s="196" t="s">
        <v>792</v>
      </c>
      <c r="AH7" s="196" t="s">
        <v>749</v>
      </c>
      <c r="AI7" s="196">
        <v>45657</v>
      </c>
      <c r="AJ7" s="196">
        <v>100</v>
      </c>
      <c r="AK7" s="196" t="s">
        <v>564</v>
      </c>
      <c r="AL7" s="196" t="s">
        <v>793</v>
      </c>
      <c r="AM7" s="196">
        <v>0</v>
      </c>
      <c r="AN7" s="196">
        <v>46302</v>
      </c>
      <c r="AO7" s="196" t="s">
        <v>588</v>
      </c>
      <c r="AR7" s="196" t="s">
        <v>1579</v>
      </c>
      <c r="AS7" s="196" t="s">
        <v>749</v>
      </c>
      <c r="AT7" s="196" t="s">
        <v>117</v>
      </c>
      <c r="AU7" s="196">
        <v>45824</v>
      </c>
      <c r="AV7" s="196"/>
      <c r="AW7" s="196">
        <v>1</v>
      </c>
      <c r="AX7" s="196">
        <v>2</v>
      </c>
      <c r="AY7" s="196">
        <v>1</v>
      </c>
      <c r="AZ7" s="196"/>
      <c r="BA7" s="196" t="s">
        <v>230</v>
      </c>
      <c r="BD7" s="196">
        <v>45657</v>
      </c>
      <c r="BE7" s="196" t="s">
        <v>230</v>
      </c>
      <c r="BH7" s="196" t="s">
        <v>600</v>
      </c>
      <c r="BI7" s="196" t="s">
        <v>793</v>
      </c>
    </row>
    <row r="8" spans="1:61" ht="14.5" x14ac:dyDescent="0.35">
      <c r="A8" s="196" t="s">
        <v>565</v>
      </c>
      <c r="B8" s="196" t="s">
        <v>100</v>
      </c>
      <c r="C8" s="196" t="s">
        <v>564</v>
      </c>
      <c r="D8" s="196">
        <v>45658</v>
      </c>
      <c r="E8" s="196" t="s">
        <v>230</v>
      </c>
      <c r="F8" s="196" t="s">
        <v>230</v>
      </c>
      <c r="I8" s="196" t="s">
        <v>752</v>
      </c>
      <c r="J8" s="196" t="s">
        <v>753</v>
      </c>
      <c r="K8" s="196" t="s">
        <v>752</v>
      </c>
      <c r="L8" s="196" t="s">
        <v>751</v>
      </c>
      <c r="M8" s="196"/>
      <c r="N8" s="196" t="s">
        <v>158</v>
      </c>
      <c r="O8" s="196" t="s">
        <v>564</v>
      </c>
      <c r="R8" s="196" t="s">
        <v>757</v>
      </c>
      <c r="S8" s="196" t="s">
        <v>565</v>
      </c>
      <c r="T8" s="196">
        <v>45658</v>
      </c>
      <c r="U8" s="196">
        <v>1</v>
      </c>
      <c r="V8" s="196" t="s">
        <v>90</v>
      </c>
      <c r="W8" s="196"/>
      <c r="X8" s="196">
        <v>0</v>
      </c>
      <c r="Y8" s="196">
        <v>0</v>
      </c>
      <c r="Z8" s="196">
        <v>80000</v>
      </c>
      <c r="AA8" s="196">
        <v>0</v>
      </c>
      <c r="AB8" s="196"/>
      <c r="AC8" s="196" t="s">
        <v>628</v>
      </c>
      <c r="AD8" s="196"/>
      <c r="AG8" s="196" t="s">
        <v>794</v>
      </c>
      <c r="AH8" s="196" t="s">
        <v>749</v>
      </c>
      <c r="AI8" s="196">
        <v>45658</v>
      </c>
      <c r="AJ8" s="196">
        <v>100</v>
      </c>
      <c r="AK8" s="196" t="s">
        <v>564</v>
      </c>
      <c r="AL8" s="196" t="s">
        <v>793</v>
      </c>
      <c r="AM8" s="196">
        <v>0</v>
      </c>
      <c r="AN8" s="196">
        <v>46302</v>
      </c>
      <c r="AO8" s="196" t="s">
        <v>588</v>
      </c>
      <c r="AR8" s="196" t="s">
        <v>781</v>
      </c>
      <c r="AS8" s="196" t="s">
        <v>752</v>
      </c>
      <c r="AT8" s="196" t="s">
        <v>122</v>
      </c>
      <c r="AU8" s="196">
        <v>45901</v>
      </c>
      <c r="AV8" s="196">
        <v>45915</v>
      </c>
      <c r="AW8" s="196">
        <v>1</v>
      </c>
      <c r="AX8" s="196"/>
      <c r="AY8" s="196"/>
      <c r="AZ8" s="196">
        <v>3</v>
      </c>
      <c r="BA8" s="196" t="s">
        <v>230</v>
      </c>
      <c r="BD8" s="196">
        <v>45658</v>
      </c>
      <c r="BE8" s="196" t="s">
        <v>230</v>
      </c>
      <c r="BH8" s="196" t="s">
        <v>607</v>
      </c>
      <c r="BI8" s="196" t="s">
        <v>608</v>
      </c>
    </row>
    <row r="9" spans="1:61" ht="14.5" x14ac:dyDescent="0.35">
      <c r="A9" s="196" t="s">
        <v>566</v>
      </c>
      <c r="B9" s="196" t="s">
        <v>746</v>
      </c>
      <c r="C9" s="196" t="s">
        <v>564</v>
      </c>
      <c r="D9" s="196">
        <v>45658</v>
      </c>
      <c r="E9" s="196" t="s">
        <v>230</v>
      </c>
      <c r="F9" s="196" t="s">
        <v>230</v>
      </c>
      <c r="I9" s="196" t="s">
        <v>754</v>
      </c>
      <c r="J9" s="196" t="s">
        <v>755</v>
      </c>
      <c r="K9" s="196" t="s">
        <v>754</v>
      </c>
      <c r="L9" s="196" t="s">
        <v>751</v>
      </c>
      <c r="M9" s="196"/>
      <c r="N9" s="196" t="s">
        <v>158</v>
      </c>
      <c r="O9" s="196" t="s">
        <v>564</v>
      </c>
      <c r="R9" s="196" t="s">
        <v>758</v>
      </c>
      <c r="S9" s="196" t="s">
        <v>566</v>
      </c>
      <c r="T9" s="196">
        <v>45658</v>
      </c>
      <c r="U9" s="196">
        <v>1</v>
      </c>
      <c r="V9" s="196" t="s">
        <v>90</v>
      </c>
      <c r="W9" s="196"/>
      <c r="X9" s="196">
        <v>0</v>
      </c>
      <c r="Y9" s="196">
        <v>0</v>
      </c>
      <c r="Z9" s="196">
        <v>40000</v>
      </c>
      <c r="AA9" s="196">
        <v>0</v>
      </c>
      <c r="AB9" s="196"/>
      <c r="AC9" s="196" t="s">
        <v>628</v>
      </c>
      <c r="AD9" s="196"/>
      <c r="AG9" s="196" t="s">
        <v>795</v>
      </c>
      <c r="AH9" s="196" t="s">
        <v>749</v>
      </c>
      <c r="AI9" s="196">
        <v>45659</v>
      </c>
      <c r="AJ9" s="196">
        <v>100.07</v>
      </c>
      <c r="AK9" s="196" t="s">
        <v>564</v>
      </c>
      <c r="AL9" s="196" t="s">
        <v>793</v>
      </c>
      <c r="AM9" s="196">
        <v>0</v>
      </c>
      <c r="AN9" s="196">
        <v>46302</v>
      </c>
      <c r="AO9" s="196" t="s">
        <v>588</v>
      </c>
      <c r="AR9" s="196" t="s">
        <v>784</v>
      </c>
      <c r="AS9" s="196" t="s">
        <v>754</v>
      </c>
      <c r="AT9" s="196" t="s">
        <v>122</v>
      </c>
      <c r="AU9" s="196">
        <v>45964</v>
      </c>
      <c r="AV9" s="196">
        <v>46006</v>
      </c>
      <c r="AW9" s="196">
        <v>1</v>
      </c>
      <c r="AX9" s="196"/>
      <c r="AY9" s="196"/>
      <c r="AZ9" s="196">
        <v>1.2</v>
      </c>
      <c r="BA9" s="196" t="s">
        <v>230</v>
      </c>
      <c r="BD9" s="196">
        <v>45659</v>
      </c>
      <c r="BE9" s="196" t="s">
        <v>230</v>
      </c>
      <c r="BH9" s="196" t="s">
        <v>609</v>
      </c>
      <c r="BI9" s="196" t="s">
        <v>610</v>
      </c>
    </row>
    <row r="10" spans="1:61" ht="14.5" x14ac:dyDescent="0.35">
      <c r="A10" s="196" t="s">
        <v>747</v>
      </c>
      <c r="B10" s="196" t="s">
        <v>748</v>
      </c>
      <c r="C10" s="196" t="s">
        <v>564</v>
      </c>
      <c r="D10" s="196">
        <v>45658</v>
      </c>
      <c r="E10" s="196" t="s">
        <v>230</v>
      </c>
      <c r="F10" s="196" t="s">
        <v>232</v>
      </c>
      <c r="R10" s="196" t="s">
        <v>759</v>
      </c>
      <c r="S10" s="196" t="s">
        <v>747</v>
      </c>
      <c r="T10" s="196">
        <v>45658</v>
      </c>
      <c r="U10" s="196">
        <v>1</v>
      </c>
      <c r="V10" s="196" t="s">
        <v>90</v>
      </c>
      <c r="W10" s="196"/>
      <c r="X10" s="196">
        <v>0</v>
      </c>
      <c r="Y10" s="196">
        <v>0</v>
      </c>
      <c r="Z10" s="196">
        <v>60000</v>
      </c>
      <c r="AA10" s="196">
        <v>0</v>
      </c>
      <c r="AB10" s="196"/>
      <c r="AC10" s="196" t="s">
        <v>628</v>
      </c>
      <c r="AD10" s="196"/>
      <c r="AG10" s="196" t="s">
        <v>796</v>
      </c>
      <c r="AH10" s="196" t="s">
        <v>749</v>
      </c>
      <c r="AI10" s="196">
        <v>45660</v>
      </c>
      <c r="AJ10" s="196">
        <v>100.13</v>
      </c>
      <c r="AK10" s="196" t="s">
        <v>564</v>
      </c>
      <c r="AL10" s="196" t="s">
        <v>793</v>
      </c>
      <c r="AM10" s="196">
        <v>0</v>
      </c>
      <c r="AN10" s="196">
        <v>46302</v>
      </c>
      <c r="AO10" s="196" t="s">
        <v>588</v>
      </c>
      <c r="BD10" s="196">
        <v>45660</v>
      </c>
      <c r="BE10" s="196" t="s">
        <v>230</v>
      </c>
      <c r="BH10" s="196" t="s">
        <v>601</v>
      </c>
      <c r="BI10" s="196" t="s">
        <v>602</v>
      </c>
    </row>
    <row r="11" spans="1:61" ht="14.5" x14ac:dyDescent="0.35">
      <c r="R11" s="196" t="s">
        <v>760</v>
      </c>
      <c r="S11" s="196" t="s">
        <v>563</v>
      </c>
      <c r="T11" s="196">
        <v>45659</v>
      </c>
      <c r="U11" s="196">
        <v>1</v>
      </c>
      <c r="V11" s="196" t="s">
        <v>93</v>
      </c>
      <c r="W11" s="196" t="s">
        <v>749</v>
      </c>
      <c r="X11" s="196">
        <v>100</v>
      </c>
      <c r="Y11" s="196">
        <v>100</v>
      </c>
      <c r="Z11" s="196">
        <v>0</v>
      </c>
      <c r="AA11" s="196">
        <v>10</v>
      </c>
      <c r="AB11" s="196"/>
      <c r="AC11" s="196" t="s">
        <v>629</v>
      </c>
      <c r="AD11" s="196"/>
      <c r="AG11" s="196" t="s">
        <v>797</v>
      </c>
      <c r="AH11" s="196" t="s">
        <v>749</v>
      </c>
      <c r="AI11" s="196">
        <v>45663</v>
      </c>
      <c r="AJ11" s="196">
        <v>100.33</v>
      </c>
      <c r="AK11" s="196" t="s">
        <v>564</v>
      </c>
      <c r="AL11" s="196" t="s">
        <v>793</v>
      </c>
      <c r="AM11" s="196">
        <v>0</v>
      </c>
      <c r="AN11" s="196">
        <v>46302</v>
      </c>
      <c r="AO11" s="196" t="s">
        <v>588</v>
      </c>
      <c r="BD11" s="196">
        <v>45661</v>
      </c>
      <c r="BE11" s="196" t="s">
        <v>232</v>
      </c>
      <c r="BH11" s="196" t="s">
        <v>603</v>
      </c>
      <c r="BI11" s="196"/>
    </row>
    <row r="12" spans="1:61" ht="14.5" x14ac:dyDescent="0.35">
      <c r="R12" s="196" t="s">
        <v>761</v>
      </c>
      <c r="S12" s="196" t="s">
        <v>563</v>
      </c>
      <c r="T12" s="196">
        <v>45659</v>
      </c>
      <c r="U12" s="196">
        <v>2</v>
      </c>
      <c r="V12" s="196" t="s">
        <v>93</v>
      </c>
      <c r="W12" s="196" t="s">
        <v>752</v>
      </c>
      <c r="X12" s="196">
        <v>50</v>
      </c>
      <c r="Y12" s="196">
        <v>200</v>
      </c>
      <c r="Z12" s="196">
        <v>0</v>
      </c>
      <c r="AA12" s="196">
        <v>10</v>
      </c>
      <c r="AB12" s="196"/>
      <c r="AC12" s="196" t="s">
        <v>629</v>
      </c>
      <c r="AD12" s="196"/>
      <c r="AG12" s="196" t="s">
        <v>798</v>
      </c>
      <c r="AH12" s="196" t="s">
        <v>749</v>
      </c>
      <c r="AI12" s="196">
        <v>45664</v>
      </c>
      <c r="AJ12" s="196">
        <v>100.4</v>
      </c>
      <c r="AK12" s="196" t="s">
        <v>564</v>
      </c>
      <c r="AL12" s="196" t="s">
        <v>793</v>
      </c>
      <c r="AM12" s="196">
        <v>0</v>
      </c>
      <c r="AN12" s="196">
        <v>46302</v>
      </c>
      <c r="AO12" s="196" t="s">
        <v>588</v>
      </c>
      <c r="BD12" s="196">
        <v>45662</v>
      </c>
      <c r="BE12" s="196" t="s">
        <v>232</v>
      </c>
      <c r="BH12" s="196" t="s">
        <v>604</v>
      </c>
      <c r="BI12" s="196" t="s">
        <v>1580</v>
      </c>
    </row>
    <row r="13" spans="1:61" ht="14.5" x14ac:dyDescent="0.35">
      <c r="R13" s="196" t="s">
        <v>762</v>
      </c>
      <c r="S13" s="196" t="s">
        <v>563</v>
      </c>
      <c r="T13" s="196">
        <v>45659</v>
      </c>
      <c r="U13" s="196">
        <v>3</v>
      </c>
      <c r="V13" s="196" t="s">
        <v>93</v>
      </c>
      <c r="W13" s="196" t="s">
        <v>754</v>
      </c>
      <c r="X13" s="196">
        <v>100</v>
      </c>
      <c r="Y13" s="196">
        <v>80</v>
      </c>
      <c r="Z13" s="196">
        <v>0</v>
      </c>
      <c r="AA13" s="196">
        <v>8</v>
      </c>
      <c r="AB13" s="196"/>
      <c r="AC13" s="196" t="s">
        <v>629</v>
      </c>
      <c r="AD13" s="196"/>
      <c r="AG13" s="196" t="s">
        <v>799</v>
      </c>
      <c r="AH13" s="196" t="s">
        <v>749</v>
      </c>
      <c r="AI13" s="196">
        <v>45665</v>
      </c>
      <c r="AJ13" s="196">
        <v>100.47</v>
      </c>
      <c r="AK13" s="196" t="s">
        <v>564</v>
      </c>
      <c r="AL13" s="196" t="s">
        <v>793</v>
      </c>
      <c r="AM13" s="196">
        <v>0</v>
      </c>
      <c r="AN13" s="196">
        <v>46302</v>
      </c>
      <c r="AO13" s="196" t="s">
        <v>588</v>
      </c>
      <c r="BD13" s="196">
        <v>45663</v>
      </c>
      <c r="BE13" s="196" t="s">
        <v>230</v>
      </c>
      <c r="BH13" s="196" t="s">
        <v>605</v>
      </c>
      <c r="BI13" s="196" t="s">
        <v>1581</v>
      </c>
    </row>
    <row r="14" spans="1:61" ht="14.5" x14ac:dyDescent="0.35">
      <c r="R14" s="196" t="s">
        <v>763</v>
      </c>
      <c r="S14" s="196" t="s">
        <v>565</v>
      </c>
      <c r="T14" s="196">
        <v>45659</v>
      </c>
      <c r="U14" s="196">
        <v>1</v>
      </c>
      <c r="V14" s="196" t="s">
        <v>93</v>
      </c>
      <c r="W14" s="196" t="s">
        <v>749</v>
      </c>
      <c r="X14" s="196">
        <v>80</v>
      </c>
      <c r="Y14" s="196">
        <v>100</v>
      </c>
      <c r="Z14" s="196">
        <v>0</v>
      </c>
      <c r="AA14" s="196">
        <v>8</v>
      </c>
      <c r="AB14" s="196"/>
      <c r="AC14" s="196" t="s">
        <v>629</v>
      </c>
      <c r="AD14" s="196"/>
      <c r="AG14" s="196" t="s">
        <v>800</v>
      </c>
      <c r="AH14" s="196" t="s">
        <v>749</v>
      </c>
      <c r="AI14" s="196">
        <v>45666</v>
      </c>
      <c r="AJ14" s="196">
        <v>100.53</v>
      </c>
      <c r="AK14" s="196" t="s">
        <v>564</v>
      </c>
      <c r="AL14" s="196" t="s">
        <v>793</v>
      </c>
      <c r="AM14" s="196">
        <v>0</v>
      </c>
      <c r="AN14" s="196">
        <v>46302</v>
      </c>
      <c r="AO14" s="196" t="s">
        <v>588</v>
      </c>
      <c r="BD14" s="196">
        <v>45664</v>
      </c>
      <c r="BE14" s="196" t="s">
        <v>230</v>
      </c>
      <c r="BH14" s="196" t="s">
        <v>606</v>
      </c>
      <c r="BI14" s="196" t="s">
        <v>1582</v>
      </c>
    </row>
    <row r="15" spans="1:61" ht="14.5" x14ac:dyDescent="0.35">
      <c r="R15" s="196" t="s">
        <v>764</v>
      </c>
      <c r="S15" s="196" t="s">
        <v>565</v>
      </c>
      <c r="T15" s="196">
        <v>45659</v>
      </c>
      <c r="U15" s="196">
        <v>2</v>
      </c>
      <c r="V15" s="196" t="s">
        <v>93</v>
      </c>
      <c r="W15" s="196" t="s">
        <v>752</v>
      </c>
      <c r="X15" s="196">
        <v>100</v>
      </c>
      <c r="Y15" s="196">
        <v>200</v>
      </c>
      <c r="Z15" s="196">
        <v>0</v>
      </c>
      <c r="AA15" s="196">
        <v>20</v>
      </c>
      <c r="AB15" s="196"/>
      <c r="AC15" s="196" t="s">
        <v>629</v>
      </c>
      <c r="AD15" s="196"/>
      <c r="AG15" s="196" t="s">
        <v>801</v>
      </c>
      <c r="AH15" s="196" t="s">
        <v>749</v>
      </c>
      <c r="AI15" s="196">
        <v>45667</v>
      </c>
      <c r="AJ15" s="196">
        <v>100.6</v>
      </c>
      <c r="AK15" s="196" t="s">
        <v>564</v>
      </c>
      <c r="AL15" s="196" t="s">
        <v>793</v>
      </c>
      <c r="AM15" s="196">
        <v>0</v>
      </c>
      <c r="AN15" s="196">
        <v>46302</v>
      </c>
      <c r="AO15" s="196" t="s">
        <v>588</v>
      </c>
      <c r="BD15" s="196">
        <v>45665</v>
      </c>
      <c r="BE15" s="196" t="s">
        <v>230</v>
      </c>
      <c r="BH15" s="196" t="s">
        <v>1583</v>
      </c>
      <c r="BI15" s="196" t="s">
        <v>1584</v>
      </c>
    </row>
    <row r="16" spans="1:61" ht="14.5" x14ac:dyDescent="0.35">
      <c r="R16" s="196" t="s">
        <v>765</v>
      </c>
      <c r="S16" s="196" t="s">
        <v>747</v>
      </c>
      <c r="T16" s="196">
        <v>45659</v>
      </c>
      <c r="U16" s="196">
        <v>1</v>
      </c>
      <c r="V16" s="196" t="s">
        <v>93</v>
      </c>
      <c r="W16" s="196" t="s">
        <v>749</v>
      </c>
      <c r="X16" s="196">
        <v>40</v>
      </c>
      <c r="Y16" s="196">
        <v>100</v>
      </c>
      <c r="Z16" s="196">
        <v>0</v>
      </c>
      <c r="AA16" s="196">
        <v>4</v>
      </c>
      <c r="AB16" s="196"/>
      <c r="AC16" s="196" t="s">
        <v>629</v>
      </c>
      <c r="AD16" s="196"/>
      <c r="AG16" s="196" t="s">
        <v>802</v>
      </c>
      <c r="AH16" s="196" t="s">
        <v>749</v>
      </c>
      <c r="AI16" s="196">
        <v>45670</v>
      </c>
      <c r="AJ16" s="196">
        <v>100.8</v>
      </c>
      <c r="AK16" s="196" t="s">
        <v>564</v>
      </c>
      <c r="AL16" s="196" t="s">
        <v>793</v>
      </c>
      <c r="AM16" s="196">
        <v>0</v>
      </c>
      <c r="AN16" s="196">
        <v>46302</v>
      </c>
      <c r="AO16" s="196" t="s">
        <v>588</v>
      </c>
      <c r="BD16" s="196">
        <v>45666</v>
      </c>
      <c r="BE16" s="196" t="s">
        <v>230</v>
      </c>
      <c r="BH16" s="196" t="s">
        <v>1585</v>
      </c>
      <c r="BI16" s="196" t="s">
        <v>1586</v>
      </c>
    </row>
    <row r="17" spans="18:57" ht="14.5" x14ac:dyDescent="0.35">
      <c r="R17" s="196" t="s">
        <v>766</v>
      </c>
      <c r="S17" s="196" t="s">
        <v>747</v>
      </c>
      <c r="T17" s="196">
        <v>45659</v>
      </c>
      <c r="U17" s="196">
        <v>2</v>
      </c>
      <c r="V17" s="196" t="s">
        <v>93</v>
      </c>
      <c r="W17" s="196" t="s">
        <v>754</v>
      </c>
      <c r="X17" s="196">
        <v>100</v>
      </c>
      <c r="Y17" s="196">
        <v>80</v>
      </c>
      <c r="Z17" s="196">
        <v>0</v>
      </c>
      <c r="AA17" s="196">
        <v>8</v>
      </c>
      <c r="AB17" s="196"/>
      <c r="AC17" s="196" t="s">
        <v>629</v>
      </c>
      <c r="AD17" s="196"/>
      <c r="AG17" s="196" t="s">
        <v>803</v>
      </c>
      <c r="AH17" s="196" t="s">
        <v>749</v>
      </c>
      <c r="AI17" s="196">
        <v>45671</v>
      </c>
      <c r="AJ17" s="196">
        <v>100.87</v>
      </c>
      <c r="AK17" s="196" t="s">
        <v>564</v>
      </c>
      <c r="AL17" s="196" t="s">
        <v>793</v>
      </c>
      <c r="AM17" s="196">
        <v>0</v>
      </c>
      <c r="AN17" s="196">
        <v>46302</v>
      </c>
      <c r="AO17" s="196" t="s">
        <v>588</v>
      </c>
      <c r="BD17" s="196">
        <v>45667</v>
      </c>
      <c r="BE17" s="196" t="s">
        <v>230</v>
      </c>
    </row>
    <row r="18" spans="18:57" ht="14.5" x14ac:dyDescent="0.35">
      <c r="R18" s="196" t="s">
        <v>767</v>
      </c>
      <c r="S18" s="196" t="s">
        <v>565</v>
      </c>
      <c r="T18" s="196">
        <v>45691</v>
      </c>
      <c r="U18" s="196">
        <v>1</v>
      </c>
      <c r="V18" s="196" t="s">
        <v>93</v>
      </c>
      <c r="W18" s="196" t="s">
        <v>754</v>
      </c>
      <c r="X18" s="196">
        <v>50</v>
      </c>
      <c r="Y18" s="196">
        <v>82</v>
      </c>
      <c r="Z18" s="196">
        <v>0</v>
      </c>
      <c r="AA18" s="196">
        <v>4</v>
      </c>
      <c r="AB18" s="196"/>
      <c r="AC18" s="196" t="s">
        <v>629</v>
      </c>
      <c r="AD18" s="196"/>
      <c r="AG18" s="196" t="s">
        <v>804</v>
      </c>
      <c r="AH18" s="196" t="s">
        <v>749</v>
      </c>
      <c r="AI18" s="196">
        <v>45672</v>
      </c>
      <c r="AJ18" s="196">
        <v>100.93</v>
      </c>
      <c r="AK18" s="196" t="s">
        <v>564</v>
      </c>
      <c r="AL18" s="196" t="s">
        <v>793</v>
      </c>
      <c r="AM18" s="196">
        <v>0</v>
      </c>
      <c r="AN18" s="196">
        <v>46302</v>
      </c>
      <c r="AO18" s="196" t="s">
        <v>588</v>
      </c>
      <c r="BD18" s="196">
        <v>45668</v>
      </c>
      <c r="BE18" s="196" t="s">
        <v>232</v>
      </c>
    </row>
    <row r="19" spans="18:57" ht="14.5" x14ac:dyDescent="0.35">
      <c r="R19" s="196" t="s">
        <v>768</v>
      </c>
      <c r="S19" s="196" t="s">
        <v>563</v>
      </c>
      <c r="T19" s="196">
        <v>45719</v>
      </c>
      <c r="U19" s="196">
        <v>1</v>
      </c>
      <c r="V19" s="196" t="s">
        <v>93</v>
      </c>
      <c r="W19" s="196" t="s">
        <v>749</v>
      </c>
      <c r="X19" s="196">
        <v>50</v>
      </c>
      <c r="Y19" s="196">
        <v>98</v>
      </c>
      <c r="Z19" s="196">
        <v>0</v>
      </c>
      <c r="AA19" s="196">
        <v>5</v>
      </c>
      <c r="AB19" s="196"/>
      <c r="AC19" s="196" t="s">
        <v>629</v>
      </c>
      <c r="AD19" s="196"/>
      <c r="AG19" s="196" t="s">
        <v>805</v>
      </c>
      <c r="AH19" s="196" t="s">
        <v>749</v>
      </c>
      <c r="AI19" s="196">
        <v>45673</v>
      </c>
      <c r="AJ19" s="196">
        <v>101</v>
      </c>
      <c r="AK19" s="196" t="s">
        <v>564</v>
      </c>
      <c r="AL19" s="196" t="s">
        <v>793</v>
      </c>
      <c r="AM19" s="196">
        <v>0</v>
      </c>
      <c r="AN19" s="196">
        <v>46302</v>
      </c>
      <c r="AO19" s="196" t="s">
        <v>588</v>
      </c>
      <c r="BD19" s="196">
        <v>45669</v>
      </c>
      <c r="BE19" s="196" t="s">
        <v>232</v>
      </c>
    </row>
    <row r="20" spans="18:57" ht="14.5" x14ac:dyDescent="0.35">
      <c r="R20" s="196" t="s">
        <v>769</v>
      </c>
      <c r="S20" s="196" t="s">
        <v>565</v>
      </c>
      <c r="T20" s="196">
        <v>45719</v>
      </c>
      <c r="U20" s="196">
        <v>1</v>
      </c>
      <c r="V20" s="196" t="s">
        <v>90</v>
      </c>
      <c r="W20" s="196"/>
      <c r="X20" s="196">
        <v>0</v>
      </c>
      <c r="Y20" s="196">
        <v>0</v>
      </c>
      <c r="Z20" s="196">
        <v>5000</v>
      </c>
      <c r="AA20" s="196">
        <v>0</v>
      </c>
      <c r="AB20" s="196"/>
      <c r="AC20" s="196" t="s">
        <v>629</v>
      </c>
      <c r="AD20" s="196"/>
      <c r="AG20" s="196" t="s">
        <v>806</v>
      </c>
      <c r="AH20" s="196" t="s">
        <v>749</v>
      </c>
      <c r="AI20" s="196">
        <v>45674</v>
      </c>
      <c r="AJ20" s="196">
        <v>101.07</v>
      </c>
      <c r="AK20" s="196" t="s">
        <v>564</v>
      </c>
      <c r="AL20" s="196" t="s">
        <v>793</v>
      </c>
      <c r="AM20" s="196">
        <v>0</v>
      </c>
      <c r="AN20" s="196">
        <v>46302</v>
      </c>
      <c r="AO20" s="196" t="s">
        <v>588</v>
      </c>
      <c r="BD20" s="196">
        <v>45670</v>
      </c>
      <c r="BE20" s="196" t="s">
        <v>230</v>
      </c>
    </row>
    <row r="21" spans="18:57" ht="14.5" x14ac:dyDescent="0.35">
      <c r="R21" s="196" t="s">
        <v>770</v>
      </c>
      <c r="S21" s="196" t="s">
        <v>566</v>
      </c>
      <c r="T21" s="196">
        <v>45748</v>
      </c>
      <c r="U21" s="196">
        <v>1</v>
      </c>
      <c r="V21" s="196" t="s">
        <v>90</v>
      </c>
      <c r="W21" s="196"/>
      <c r="X21" s="196">
        <v>0</v>
      </c>
      <c r="Y21" s="196">
        <v>0</v>
      </c>
      <c r="Z21" s="196">
        <v>2000</v>
      </c>
      <c r="AA21" s="196">
        <v>0</v>
      </c>
      <c r="AB21" s="196"/>
      <c r="AC21" s="196" t="s">
        <v>629</v>
      </c>
      <c r="AD21" s="196"/>
      <c r="AG21" s="196" t="s">
        <v>807</v>
      </c>
      <c r="AH21" s="196" t="s">
        <v>749</v>
      </c>
      <c r="AI21" s="196">
        <v>45677</v>
      </c>
      <c r="AJ21" s="196">
        <v>101.27</v>
      </c>
      <c r="AK21" s="196" t="s">
        <v>564</v>
      </c>
      <c r="AL21" s="196" t="s">
        <v>793</v>
      </c>
      <c r="AM21" s="196">
        <v>0</v>
      </c>
      <c r="AN21" s="196">
        <v>46302</v>
      </c>
      <c r="AO21" s="196" t="s">
        <v>588</v>
      </c>
      <c r="BD21" s="196">
        <v>45671</v>
      </c>
      <c r="BE21" s="196" t="s">
        <v>230</v>
      </c>
    </row>
    <row r="22" spans="18:57" ht="14.5" x14ac:dyDescent="0.35">
      <c r="R22" s="196" t="s">
        <v>771</v>
      </c>
      <c r="S22" s="196" t="s">
        <v>563</v>
      </c>
      <c r="T22" s="196">
        <v>45778</v>
      </c>
      <c r="U22" s="196">
        <v>1</v>
      </c>
      <c r="V22" s="196" t="s">
        <v>90</v>
      </c>
      <c r="W22" s="196"/>
      <c r="X22" s="196">
        <v>0</v>
      </c>
      <c r="Y22" s="196">
        <v>0</v>
      </c>
      <c r="Z22" s="196">
        <v>10000</v>
      </c>
      <c r="AA22" s="196">
        <v>0</v>
      </c>
      <c r="AB22" s="196"/>
      <c r="AC22" s="196" t="s">
        <v>629</v>
      </c>
      <c r="AD22" s="196"/>
      <c r="AG22" s="196" t="s">
        <v>808</v>
      </c>
      <c r="AH22" s="196" t="s">
        <v>749</v>
      </c>
      <c r="AI22" s="196">
        <v>45678</v>
      </c>
      <c r="AJ22" s="196">
        <v>101.33</v>
      </c>
      <c r="AK22" s="196" t="s">
        <v>564</v>
      </c>
      <c r="AL22" s="196" t="s">
        <v>793</v>
      </c>
      <c r="AM22" s="196">
        <v>0</v>
      </c>
      <c r="AN22" s="196">
        <v>46302</v>
      </c>
      <c r="AO22" s="196" t="s">
        <v>588</v>
      </c>
      <c r="BD22" s="196">
        <v>45672</v>
      </c>
      <c r="BE22" s="196" t="s">
        <v>230</v>
      </c>
    </row>
    <row r="23" spans="18:57" ht="14.5" x14ac:dyDescent="0.35">
      <c r="R23" s="196" t="s">
        <v>772</v>
      </c>
      <c r="S23" s="196" t="s">
        <v>747</v>
      </c>
      <c r="T23" s="196">
        <v>45810</v>
      </c>
      <c r="U23" s="196">
        <v>1</v>
      </c>
      <c r="V23" s="196" t="s">
        <v>90</v>
      </c>
      <c r="W23" s="196"/>
      <c r="X23" s="196">
        <v>0</v>
      </c>
      <c r="Y23" s="196">
        <v>0</v>
      </c>
      <c r="Z23" s="196">
        <v>3000</v>
      </c>
      <c r="AA23" s="196">
        <v>0</v>
      </c>
      <c r="AB23" s="196"/>
      <c r="AC23" s="196" t="s">
        <v>629</v>
      </c>
      <c r="AD23" s="196"/>
      <c r="AG23" s="196" t="s">
        <v>809</v>
      </c>
      <c r="AH23" s="196" t="s">
        <v>749</v>
      </c>
      <c r="AI23" s="196">
        <v>45679</v>
      </c>
      <c r="AJ23" s="196">
        <v>101.4</v>
      </c>
      <c r="AK23" s="196" t="s">
        <v>564</v>
      </c>
      <c r="AL23" s="196" t="s">
        <v>793</v>
      </c>
      <c r="AM23" s="196">
        <v>0</v>
      </c>
      <c r="AN23" s="196">
        <v>46302</v>
      </c>
      <c r="AO23" s="196" t="s">
        <v>588</v>
      </c>
      <c r="BD23" s="196">
        <v>45673</v>
      </c>
      <c r="BE23" s="196" t="s">
        <v>230</v>
      </c>
    </row>
    <row r="24" spans="18:57" ht="14.5" x14ac:dyDescent="0.35">
      <c r="R24" s="196" t="s">
        <v>773</v>
      </c>
      <c r="S24" s="196" t="s">
        <v>563</v>
      </c>
      <c r="T24" s="196">
        <v>45839</v>
      </c>
      <c r="U24" s="196">
        <v>1</v>
      </c>
      <c r="V24" s="196" t="s">
        <v>114</v>
      </c>
      <c r="W24" s="196" t="s">
        <v>749</v>
      </c>
      <c r="X24" s="196">
        <v>80</v>
      </c>
      <c r="Y24" s="196">
        <v>55</v>
      </c>
      <c r="Z24" s="196">
        <v>0</v>
      </c>
      <c r="AA24" s="196">
        <v>8</v>
      </c>
      <c r="AB24" s="196"/>
      <c r="AC24" s="196" t="s">
        <v>629</v>
      </c>
      <c r="AD24" s="196"/>
      <c r="AG24" s="196" t="s">
        <v>810</v>
      </c>
      <c r="AH24" s="196" t="s">
        <v>749</v>
      </c>
      <c r="AI24" s="196">
        <v>45680</v>
      </c>
      <c r="AJ24" s="196">
        <v>101.47</v>
      </c>
      <c r="AK24" s="196" t="s">
        <v>564</v>
      </c>
      <c r="AL24" s="196" t="s">
        <v>793</v>
      </c>
      <c r="AM24" s="196">
        <v>0</v>
      </c>
      <c r="AN24" s="196">
        <v>46302</v>
      </c>
      <c r="AO24" s="196" t="s">
        <v>588</v>
      </c>
      <c r="BD24" s="196">
        <v>45674</v>
      </c>
      <c r="BE24" s="196" t="s">
        <v>230</v>
      </c>
    </row>
    <row r="25" spans="18:57" ht="14.5" x14ac:dyDescent="0.35">
      <c r="R25" s="196" t="s">
        <v>774</v>
      </c>
      <c r="S25" s="196" t="s">
        <v>747</v>
      </c>
      <c r="T25" s="196">
        <v>45870</v>
      </c>
      <c r="U25" s="196">
        <v>1</v>
      </c>
      <c r="V25" s="196" t="s">
        <v>93</v>
      </c>
      <c r="W25" s="196" t="s">
        <v>752</v>
      </c>
      <c r="X25" s="196">
        <v>30</v>
      </c>
      <c r="Y25" s="196">
        <v>178</v>
      </c>
      <c r="Z25" s="196">
        <v>0</v>
      </c>
      <c r="AA25" s="196">
        <v>3</v>
      </c>
      <c r="AB25" s="196"/>
      <c r="AC25" s="196" t="s">
        <v>629</v>
      </c>
      <c r="AD25" s="196"/>
      <c r="AG25" s="196" t="s">
        <v>811</v>
      </c>
      <c r="AH25" s="196" t="s">
        <v>749</v>
      </c>
      <c r="AI25" s="196">
        <v>45681</v>
      </c>
      <c r="AJ25" s="196">
        <v>101.53</v>
      </c>
      <c r="AK25" s="196" t="s">
        <v>564</v>
      </c>
      <c r="AL25" s="196" t="s">
        <v>793</v>
      </c>
      <c r="AM25" s="196">
        <v>0</v>
      </c>
      <c r="AN25" s="196">
        <v>46302</v>
      </c>
      <c r="AO25" s="196" t="s">
        <v>588</v>
      </c>
      <c r="BD25" s="196">
        <v>45675</v>
      </c>
      <c r="BE25" s="196" t="s">
        <v>232</v>
      </c>
    </row>
    <row r="26" spans="18:57" ht="14.5" x14ac:dyDescent="0.35">
      <c r="R26" s="196" t="s">
        <v>775</v>
      </c>
      <c r="S26" s="196" t="s">
        <v>563</v>
      </c>
      <c r="T26" s="196">
        <v>45887</v>
      </c>
      <c r="U26" s="196">
        <v>1</v>
      </c>
      <c r="V26" s="196" t="s">
        <v>581</v>
      </c>
      <c r="W26" s="196"/>
      <c r="X26" s="196">
        <v>0</v>
      </c>
      <c r="Y26" s="196">
        <v>0</v>
      </c>
      <c r="Z26" s="196">
        <v>5000</v>
      </c>
      <c r="AA26" s="196">
        <v>0</v>
      </c>
      <c r="AB26" s="196" t="s">
        <v>776</v>
      </c>
      <c r="AC26" s="196" t="s">
        <v>629</v>
      </c>
      <c r="AD26" s="196"/>
      <c r="AG26" s="196" t="s">
        <v>812</v>
      </c>
      <c r="AH26" s="196" t="s">
        <v>749</v>
      </c>
      <c r="AI26" s="196">
        <v>45684</v>
      </c>
      <c r="AJ26" s="196">
        <v>101.73</v>
      </c>
      <c r="AK26" s="196" t="s">
        <v>564</v>
      </c>
      <c r="AL26" s="196" t="s">
        <v>793</v>
      </c>
      <c r="AM26" s="196">
        <v>0</v>
      </c>
      <c r="AN26" s="196">
        <v>46302</v>
      </c>
      <c r="AO26" s="196" t="s">
        <v>588</v>
      </c>
      <c r="BD26" s="196">
        <v>45676</v>
      </c>
      <c r="BE26" s="196" t="s">
        <v>232</v>
      </c>
    </row>
    <row r="27" spans="18:57" ht="14.5" x14ac:dyDescent="0.35">
      <c r="R27" s="196" t="s">
        <v>777</v>
      </c>
      <c r="S27" s="196" t="s">
        <v>565</v>
      </c>
      <c r="T27" s="196">
        <v>45887</v>
      </c>
      <c r="U27" s="196">
        <v>1</v>
      </c>
      <c r="V27" s="196" t="s">
        <v>580</v>
      </c>
      <c r="W27" s="196"/>
      <c r="X27" s="196">
        <v>0</v>
      </c>
      <c r="Y27" s="196">
        <v>0</v>
      </c>
      <c r="Z27" s="196">
        <v>5000</v>
      </c>
      <c r="AA27" s="196">
        <v>0</v>
      </c>
      <c r="AB27" s="196" t="s">
        <v>776</v>
      </c>
      <c r="AC27" s="196" t="s">
        <v>629</v>
      </c>
      <c r="AD27" s="196"/>
      <c r="AG27" s="196" t="s">
        <v>813</v>
      </c>
      <c r="AH27" s="196" t="s">
        <v>749</v>
      </c>
      <c r="AI27" s="196">
        <v>45685</v>
      </c>
      <c r="AJ27" s="196">
        <v>101.8</v>
      </c>
      <c r="AK27" s="196" t="s">
        <v>564</v>
      </c>
      <c r="AL27" s="196" t="s">
        <v>793</v>
      </c>
      <c r="AM27" s="196">
        <v>0</v>
      </c>
      <c r="AN27" s="196">
        <v>46302</v>
      </c>
      <c r="AO27" s="196" t="s">
        <v>588</v>
      </c>
      <c r="BD27" s="196">
        <v>45677</v>
      </c>
      <c r="BE27" s="196" t="s">
        <v>230</v>
      </c>
    </row>
    <row r="28" spans="18:57" ht="14.5" x14ac:dyDescent="0.35">
      <c r="R28" s="196" t="s">
        <v>778</v>
      </c>
      <c r="S28" s="196" t="s">
        <v>565</v>
      </c>
      <c r="T28" s="196">
        <v>45901</v>
      </c>
      <c r="U28" s="196">
        <v>1</v>
      </c>
      <c r="V28" s="196" t="s">
        <v>114</v>
      </c>
      <c r="W28" s="196" t="s">
        <v>749</v>
      </c>
      <c r="X28" s="196">
        <v>60</v>
      </c>
      <c r="Y28" s="196">
        <v>49</v>
      </c>
      <c r="Z28" s="196">
        <v>0</v>
      </c>
      <c r="AA28" s="196">
        <v>6</v>
      </c>
      <c r="AB28" s="196"/>
      <c r="AC28" s="196" t="s">
        <v>629</v>
      </c>
      <c r="AD28" s="196"/>
      <c r="AG28" s="196" t="s">
        <v>814</v>
      </c>
      <c r="AH28" s="196" t="s">
        <v>749</v>
      </c>
      <c r="AI28" s="196">
        <v>45686</v>
      </c>
      <c r="AJ28" s="196">
        <v>101.87</v>
      </c>
      <c r="AK28" s="196" t="s">
        <v>564</v>
      </c>
      <c r="AL28" s="196" t="s">
        <v>793</v>
      </c>
      <c r="AM28" s="196">
        <v>0</v>
      </c>
      <c r="AN28" s="196">
        <v>46302</v>
      </c>
      <c r="AO28" s="196" t="s">
        <v>588</v>
      </c>
      <c r="BD28" s="196">
        <v>45678</v>
      </c>
      <c r="BE28" s="196" t="s">
        <v>230</v>
      </c>
    </row>
    <row r="29" spans="18:57" ht="14.5" x14ac:dyDescent="0.35">
      <c r="R29" s="196" t="s">
        <v>779</v>
      </c>
      <c r="S29" s="196" t="s">
        <v>563</v>
      </c>
      <c r="T29" s="196">
        <v>45910</v>
      </c>
      <c r="U29" s="196">
        <v>1</v>
      </c>
      <c r="V29" s="196" t="s">
        <v>114</v>
      </c>
      <c r="W29" s="196" t="s">
        <v>752</v>
      </c>
      <c r="X29" s="196">
        <v>20</v>
      </c>
      <c r="Y29" s="196">
        <v>185</v>
      </c>
      <c r="Z29" s="196">
        <v>0</v>
      </c>
      <c r="AA29" s="196">
        <v>5</v>
      </c>
      <c r="AB29" s="196"/>
      <c r="AC29" s="196" t="s">
        <v>629</v>
      </c>
      <c r="AD29" s="196"/>
      <c r="AG29" s="196" t="s">
        <v>815</v>
      </c>
      <c r="AH29" s="196" t="s">
        <v>749</v>
      </c>
      <c r="AI29" s="196">
        <v>45687</v>
      </c>
      <c r="AJ29" s="196">
        <v>101.93</v>
      </c>
      <c r="AK29" s="196" t="s">
        <v>564</v>
      </c>
      <c r="AL29" s="196" t="s">
        <v>793</v>
      </c>
      <c r="AM29" s="196">
        <v>0</v>
      </c>
      <c r="AN29" s="196">
        <v>46302</v>
      </c>
      <c r="AO29" s="196" t="s">
        <v>588</v>
      </c>
      <c r="BD29" s="196">
        <v>45679</v>
      </c>
      <c r="BE29" s="196" t="s">
        <v>230</v>
      </c>
    </row>
    <row r="30" spans="18:57" ht="14.5" x14ac:dyDescent="0.35">
      <c r="R30" s="196" t="s">
        <v>780</v>
      </c>
      <c r="S30" s="196" t="s">
        <v>563</v>
      </c>
      <c r="T30" s="196">
        <v>45915</v>
      </c>
      <c r="U30" s="196">
        <v>1</v>
      </c>
      <c r="V30" s="196" t="s">
        <v>122</v>
      </c>
      <c r="W30" s="196" t="s">
        <v>752</v>
      </c>
      <c r="X30" s="196">
        <v>0</v>
      </c>
      <c r="Y30" s="196">
        <v>0</v>
      </c>
      <c r="Z30" s="196">
        <v>150</v>
      </c>
      <c r="AA30" s="196">
        <v>0</v>
      </c>
      <c r="AB30" s="196"/>
      <c r="AC30" s="196" t="s">
        <v>629</v>
      </c>
      <c r="AD30" s="196" t="s">
        <v>781</v>
      </c>
      <c r="AG30" s="196" t="s">
        <v>816</v>
      </c>
      <c r="AH30" s="196" t="s">
        <v>749</v>
      </c>
      <c r="AI30" s="196">
        <v>45688</v>
      </c>
      <c r="AJ30" s="196">
        <v>102</v>
      </c>
      <c r="AK30" s="196" t="s">
        <v>564</v>
      </c>
      <c r="AL30" s="196" t="s">
        <v>793</v>
      </c>
      <c r="AM30" s="196">
        <v>0</v>
      </c>
      <c r="AN30" s="196">
        <v>46302</v>
      </c>
      <c r="AO30" s="196" t="s">
        <v>588</v>
      </c>
      <c r="BD30" s="196">
        <v>45680</v>
      </c>
      <c r="BE30" s="196" t="s">
        <v>230</v>
      </c>
    </row>
    <row r="31" spans="18:57" ht="14.5" x14ac:dyDescent="0.35">
      <c r="R31" s="196" t="s">
        <v>782</v>
      </c>
      <c r="S31" s="196" t="s">
        <v>563</v>
      </c>
      <c r="T31" s="196">
        <v>45971</v>
      </c>
      <c r="U31" s="196">
        <v>1</v>
      </c>
      <c r="V31" s="196" t="s">
        <v>114</v>
      </c>
      <c r="W31" s="196" t="s">
        <v>754</v>
      </c>
      <c r="X31" s="196">
        <v>100</v>
      </c>
      <c r="Y31" s="196">
        <v>77</v>
      </c>
      <c r="Z31" s="196">
        <v>0</v>
      </c>
      <c r="AA31" s="196">
        <v>8</v>
      </c>
      <c r="AB31" s="196"/>
      <c r="AC31" s="196" t="s">
        <v>629</v>
      </c>
      <c r="AD31" s="196"/>
      <c r="AG31" s="196" t="s">
        <v>817</v>
      </c>
      <c r="AH31" s="196" t="s">
        <v>749</v>
      </c>
      <c r="AI31" s="196">
        <v>45691</v>
      </c>
      <c r="AJ31" s="196">
        <v>101.63</v>
      </c>
      <c r="AK31" s="196" t="s">
        <v>564</v>
      </c>
      <c r="AL31" s="196" t="s">
        <v>793</v>
      </c>
      <c r="AM31" s="196">
        <v>0</v>
      </c>
      <c r="AN31" s="196">
        <v>46302</v>
      </c>
      <c r="AO31" s="196" t="s">
        <v>588</v>
      </c>
      <c r="BD31" s="196">
        <v>45681</v>
      </c>
      <c r="BE31" s="196" t="s">
        <v>230</v>
      </c>
    </row>
    <row r="32" spans="18:57" ht="14.5" x14ac:dyDescent="0.35">
      <c r="R32" s="196" t="s">
        <v>783</v>
      </c>
      <c r="S32" s="196" t="s">
        <v>563</v>
      </c>
      <c r="T32" s="196">
        <v>46006</v>
      </c>
      <c r="U32" s="196">
        <v>1</v>
      </c>
      <c r="V32" s="196" t="s">
        <v>122</v>
      </c>
      <c r="W32" s="196" t="s">
        <v>754</v>
      </c>
      <c r="X32" s="196">
        <v>0</v>
      </c>
      <c r="Y32" s="196">
        <v>0</v>
      </c>
      <c r="Z32" s="196">
        <v>120</v>
      </c>
      <c r="AA32" s="196">
        <v>0</v>
      </c>
      <c r="AB32" s="196"/>
      <c r="AC32" s="196" t="s">
        <v>629</v>
      </c>
      <c r="AD32" s="196" t="s">
        <v>784</v>
      </c>
      <c r="AG32" s="196" t="s">
        <v>818</v>
      </c>
      <c r="AH32" s="196" t="s">
        <v>749</v>
      </c>
      <c r="AI32" s="196">
        <v>45692</v>
      </c>
      <c r="AJ32" s="196">
        <v>101.44</v>
      </c>
      <c r="AK32" s="196" t="s">
        <v>564</v>
      </c>
      <c r="AL32" s="196" t="s">
        <v>793</v>
      </c>
      <c r="AM32" s="196">
        <v>0</v>
      </c>
      <c r="AN32" s="196">
        <v>46302</v>
      </c>
      <c r="AO32" s="196" t="s">
        <v>588</v>
      </c>
      <c r="BD32" s="196">
        <v>45682</v>
      </c>
      <c r="BE32" s="196" t="s">
        <v>232</v>
      </c>
    </row>
    <row r="33" spans="18:57" ht="14.5" x14ac:dyDescent="0.35">
      <c r="R33" s="196" t="s">
        <v>785</v>
      </c>
      <c r="S33" s="196" t="s">
        <v>563</v>
      </c>
      <c r="T33" s="196">
        <v>46009</v>
      </c>
      <c r="U33" s="196">
        <v>1</v>
      </c>
      <c r="V33" s="196" t="s">
        <v>128</v>
      </c>
      <c r="W33" s="196"/>
      <c r="X33" s="196">
        <v>0</v>
      </c>
      <c r="Y33" s="196">
        <v>0</v>
      </c>
      <c r="Z33" s="196">
        <v>5000</v>
      </c>
      <c r="AA33" s="196">
        <v>0</v>
      </c>
      <c r="AB33" s="196"/>
      <c r="AC33" s="196" t="s">
        <v>629</v>
      </c>
      <c r="AD33" s="196"/>
      <c r="AG33" s="196" t="s">
        <v>819</v>
      </c>
      <c r="AH33" s="196" t="s">
        <v>749</v>
      </c>
      <c r="AI33" s="196">
        <v>45693</v>
      </c>
      <c r="AJ33" s="196">
        <v>101.26</v>
      </c>
      <c r="AK33" s="196" t="s">
        <v>564</v>
      </c>
      <c r="AL33" s="196" t="s">
        <v>793</v>
      </c>
      <c r="AM33" s="196">
        <v>0</v>
      </c>
      <c r="AN33" s="196">
        <v>46302</v>
      </c>
      <c r="AO33" s="196" t="s">
        <v>588</v>
      </c>
      <c r="BD33" s="196">
        <v>45683</v>
      </c>
      <c r="BE33" s="196" t="s">
        <v>232</v>
      </c>
    </row>
    <row r="34" spans="18:57" ht="14.5" x14ac:dyDescent="0.35">
      <c r="R34" s="196" t="s">
        <v>786</v>
      </c>
      <c r="S34" s="196" t="s">
        <v>565</v>
      </c>
      <c r="T34" s="196">
        <v>46009</v>
      </c>
      <c r="U34" s="196">
        <v>1</v>
      </c>
      <c r="V34" s="196" t="s">
        <v>128</v>
      </c>
      <c r="W34" s="196"/>
      <c r="X34" s="196">
        <v>0</v>
      </c>
      <c r="Y34" s="196">
        <v>0</v>
      </c>
      <c r="Z34" s="196">
        <v>3000</v>
      </c>
      <c r="AA34" s="196">
        <v>0</v>
      </c>
      <c r="AB34" s="196"/>
      <c r="AC34" s="196" t="s">
        <v>629</v>
      </c>
      <c r="AD34" s="196"/>
      <c r="AG34" s="196" t="s">
        <v>820</v>
      </c>
      <c r="AH34" s="196" t="s">
        <v>749</v>
      </c>
      <c r="AI34" s="196">
        <v>45694</v>
      </c>
      <c r="AJ34" s="196">
        <v>101.07</v>
      </c>
      <c r="AK34" s="196" t="s">
        <v>564</v>
      </c>
      <c r="AL34" s="196" t="s">
        <v>793</v>
      </c>
      <c r="AM34" s="196">
        <v>0</v>
      </c>
      <c r="AN34" s="196">
        <v>46302</v>
      </c>
      <c r="AO34" s="196" t="s">
        <v>588</v>
      </c>
      <c r="BD34" s="196">
        <v>45684</v>
      </c>
      <c r="BE34" s="196" t="s">
        <v>230</v>
      </c>
    </row>
    <row r="35" spans="18:57" ht="14.5" x14ac:dyDescent="0.35">
      <c r="R35" s="196" t="s">
        <v>787</v>
      </c>
      <c r="S35" s="196" t="s">
        <v>566</v>
      </c>
      <c r="T35" s="196">
        <v>46009</v>
      </c>
      <c r="U35" s="196">
        <v>1</v>
      </c>
      <c r="V35" s="196" t="s">
        <v>128</v>
      </c>
      <c r="W35" s="196"/>
      <c r="X35" s="196">
        <v>0</v>
      </c>
      <c r="Y35" s="196">
        <v>0</v>
      </c>
      <c r="Z35" s="196">
        <v>1000</v>
      </c>
      <c r="AA35" s="196">
        <v>0</v>
      </c>
      <c r="AB35" s="196"/>
      <c r="AC35" s="196" t="s">
        <v>629</v>
      </c>
      <c r="AD35" s="196"/>
      <c r="AG35" s="196" t="s">
        <v>821</v>
      </c>
      <c r="AH35" s="196" t="s">
        <v>749</v>
      </c>
      <c r="AI35" s="196">
        <v>45695</v>
      </c>
      <c r="AJ35" s="196">
        <v>100.89</v>
      </c>
      <c r="AK35" s="196" t="s">
        <v>564</v>
      </c>
      <c r="AL35" s="196" t="s">
        <v>793</v>
      </c>
      <c r="AM35" s="196">
        <v>0</v>
      </c>
      <c r="AN35" s="196">
        <v>46302</v>
      </c>
      <c r="AO35" s="196" t="s">
        <v>588</v>
      </c>
      <c r="BD35" s="196">
        <v>45685</v>
      </c>
      <c r="BE35" s="196" t="s">
        <v>230</v>
      </c>
    </row>
    <row r="36" spans="18:57" ht="14.5" x14ac:dyDescent="0.35">
      <c r="R36" s="196" t="s">
        <v>788</v>
      </c>
      <c r="S36" s="196" t="s">
        <v>563</v>
      </c>
      <c r="T36" s="196">
        <v>46022</v>
      </c>
      <c r="U36" s="196">
        <v>1</v>
      </c>
      <c r="V36" s="196" t="s">
        <v>125</v>
      </c>
      <c r="W36" s="196"/>
      <c r="X36" s="196">
        <v>0</v>
      </c>
      <c r="Y36" s="196">
        <v>0</v>
      </c>
      <c r="Z36" s="196">
        <v>25</v>
      </c>
      <c r="AA36" s="196">
        <v>0</v>
      </c>
      <c r="AB36" s="196"/>
      <c r="AC36" s="196" t="s">
        <v>629</v>
      </c>
      <c r="AD36" s="196"/>
      <c r="AG36" s="196" t="s">
        <v>822</v>
      </c>
      <c r="AH36" s="196" t="s">
        <v>749</v>
      </c>
      <c r="AI36" s="196">
        <v>45698</v>
      </c>
      <c r="AJ36" s="196">
        <v>100.33</v>
      </c>
      <c r="AK36" s="196" t="s">
        <v>564</v>
      </c>
      <c r="AL36" s="196" t="s">
        <v>793</v>
      </c>
      <c r="AM36" s="196">
        <v>0</v>
      </c>
      <c r="AN36" s="196">
        <v>46302</v>
      </c>
      <c r="AO36" s="196" t="s">
        <v>588</v>
      </c>
      <c r="BD36" s="196">
        <v>45686</v>
      </c>
      <c r="BE36" s="196" t="s">
        <v>230</v>
      </c>
    </row>
    <row r="37" spans="18:57" ht="14.5" x14ac:dyDescent="0.35">
      <c r="R37" s="196" t="s">
        <v>789</v>
      </c>
      <c r="S37" s="196" t="s">
        <v>565</v>
      </c>
      <c r="T37" s="196">
        <v>46022</v>
      </c>
      <c r="U37" s="196">
        <v>1</v>
      </c>
      <c r="V37" s="196" t="s">
        <v>125</v>
      </c>
      <c r="W37" s="196"/>
      <c r="X37" s="196">
        <v>0</v>
      </c>
      <c r="Y37" s="196">
        <v>0</v>
      </c>
      <c r="Z37" s="196">
        <v>20</v>
      </c>
      <c r="AA37" s="196">
        <v>0</v>
      </c>
      <c r="AB37" s="196"/>
      <c r="AC37" s="196" t="s">
        <v>629</v>
      </c>
      <c r="AD37" s="196"/>
      <c r="AG37" s="196" t="s">
        <v>823</v>
      </c>
      <c r="AH37" s="196" t="s">
        <v>749</v>
      </c>
      <c r="AI37" s="196">
        <v>45699</v>
      </c>
      <c r="AJ37" s="196">
        <v>100.15</v>
      </c>
      <c r="AK37" s="196" t="s">
        <v>564</v>
      </c>
      <c r="AL37" s="196" t="s">
        <v>793</v>
      </c>
      <c r="AM37" s="196">
        <v>0</v>
      </c>
      <c r="AN37" s="196">
        <v>46302</v>
      </c>
      <c r="AO37" s="196" t="s">
        <v>588</v>
      </c>
      <c r="BD37" s="196">
        <v>45687</v>
      </c>
      <c r="BE37" s="196" t="s">
        <v>230</v>
      </c>
    </row>
    <row r="38" spans="18:57" ht="14.5" x14ac:dyDescent="0.35">
      <c r="R38" s="196" t="s">
        <v>790</v>
      </c>
      <c r="S38" s="196" t="s">
        <v>566</v>
      </c>
      <c r="T38" s="196">
        <v>46022</v>
      </c>
      <c r="U38" s="196">
        <v>1</v>
      </c>
      <c r="V38" s="196" t="s">
        <v>125</v>
      </c>
      <c r="W38" s="196"/>
      <c r="X38" s="196">
        <v>0</v>
      </c>
      <c r="Y38" s="196">
        <v>0</v>
      </c>
      <c r="Z38" s="196">
        <v>10</v>
      </c>
      <c r="AA38" s="196">
        <v>0</v>
      </c>
      <c r="AB38" s="196"/>
      <c r="AC38" s="196" t="s">
        <v>629</v>
      </c>
      <c r="AD38" s="196"/>
      <c r="AG38" s="196" t="s">
        <v>824</v>
      </c>
      <c r="AH38" s="196" t="s">
        <v>749</v>
      </c>
      <c r="AI38" s="196">
        <v>45700</v>
      </c>
      <c r="AJ38" s="196">
        <v>99.96</v>
      </c>
      <c r="AK38" s="196" t="s">
        <v>564</v>
      </c>
      <c r="AL38" s="196" t="s">
        <v>793</v>
      </c>
      <c r="AM38" s="196">
        <v>0</v>
      </c>
      <c r="AN38" s="196">
        <v>46302</v>
      </c>
      <c r="AO38" s="196" t="s">
        <v>588</v>
      </c>
      <c r="BD38" s="196">
        <v>45688</v>
      </c>
      <c r="BE38" s="196" t="s">
        <v>230</v>
      </c>
    </row>
    <row r="39" spans="18:57" ht="14.5" x14ac:dyDescent="0.35">
      <c r="R39" s="196" t="s">
        <v>791</v>
      </c>
      <c r="S39" s="196" t="s">
        <v>747</v>
      </c>
      <c r="T39" s="196">
        <v>46022</v>
      </c>
      <c r="U39" s="196">
        <v>1</v>
      </c>
      <c r="V39" s="196" t="s">
        <v>125</v>
      </c>
      <c r="W39" s="196"/>
      <c r="X39" s="196">
        <v>0</v>
      </c>
      <c r="Y39" s="196">
        <v>0</v>
      </c>
      <c r="Z39" s="196">
        <v>15</v>
      </c>
      <c r="AA39" s="196">
        <v>0</v>
      </c>
      <c r="AB39" s="196"/>
      <c r="AC39" s="196" t="s">
        <v>629</v>
      </c>
      <c r="AD39" s="196"/>
      <c r="AG39" s="196" t="s">
        <v>825</v>
      </c>
      <c r="AH39" s="196" t="s">
        <v>749</v>
      </c>
      <c r="AI39" s="196">
        <v>45701</v>
      </c>
      <c r="AJ39" s="196">
        <v>99.78</v>
      </c>
      <c r="AK39" s="196" t="s">
        <v>564</v>
      </c>
      <c r="AL39" s="196" t="s">
        <v>793</v>
      </c>
      <c r="AM39" s="196">
        <v>0</v>
      </c>
      <c r="AN39" s="196">
        <v>46302</v>
      </c>
      <c r="AO39" s="196" t="s">
        <v>588</v>
      </c>
      <c r="BD39" s="196">
        <v>45689</v>
      </c>
      <c r="BE39" s="196" t="s">
        <v>232</v>
      </c>
    </row>
    <row r="40" spans="18:57" ht="14.5" x14ac:dyDescent="0.35">
      <c r="AG40" s="196" t="s">
        <v>826</v>
      </c>
      <c r="AH40" s="196" t="s">
        <v>749</v>
      </c>
      <c r="AI40" s="196">
        <v>45702</v>
      </c>
      <c r="AJ40" s="196">
        <v>99.59</v>
      </c>
      <c r="AK40" s="196" t="s">
        <v>564</v>
      </c>
      <c r="AL40" s="196" t="s">
        <v>793</v>
      </c>
      <c r="AM40" s="196">
        <v>0</v>
      </c>
      <c r="AN40" s="196">
        <v>46302</v>
      </c>
      <c r="AO40" s="196" t="s">
        <v>588</v>
      </c>
      <c r="BD40" s="196">
        <v>45690</v>
      </c>
      <c r="BE40" s="196" t="s">
        <v>232</v>
      </c>
    </row>
    <row r="41" spans="18:57" ht="14.5" x14ac:dyDescent="0.35">
      <c r="AG41" s="196" t="s">
        <v>827</v>
      </c>
      <c r="AH41" s="196" t="s">
        <v>749</v>
      </c>
      <c r="AI41" s="196">
        <v>45705</v>
      </c>
      <c r="AJ41" s="196">
        <v>99.04</v>
      </c>
      <c r="AK41" s="196" t="s">
        <v>564</v>
      </c>
      <c r="AL41" s="196" t="s">
        <v>793</v>
      </c>
      <c r="AM41" s="196">
        <v>0</v>
      </c>
      <c r="AN41" s="196">
        <v>46302</v>
      </c>
      <c r="AO41" s="196" t="s">
        <v>588</v>
      </c>
      <c r="BD41" s="196">
        <v>45691</v>
      </c>
      <c r="BE41" s="196" t="s">
        <v>230</v>
      </c>
    </row>
    <row r="42" spans="18:57" ht="14.5" x14ac:dyDescent="0.35">
      <c r="AG42" s="196" t="s">
        <v>828</v>
      </c>
      <c r="AH42" s="196" t="s">
        <v>749</v>
      </c>
      <c r="AI42" s="196">
        <v>45706</v>
      </c>
      <c r="AJ42" s="196">
        <v>98.85</v>
      </c>
      <c r="AK42" s="196" t="s">
        <v>564</v>
      </c>
      <c r="AL42" s="196" t="s">
        <v>793</v>
      </c>
      <c r="AM42" s="196">
        <v>0</v>
      </c>
      <c r="AN42" s="196">
        <v>46302</v>
      </c>
      <c r="AO42" s="196" t="s">
        <v>588</v>
      </c>
      <c r="BD42" s="196">
        <v>45692</v>
      </c>
      <c r="BE42" s="196" t="s">
        <v>230</v>
      </c>
    </row>
    <row r="43" spans="18:57" ht="14.5" x14ac:dyDescent="0.35">
      <c r="AG43" s="196" t="s">
        <v>829</v>
      </c>
      <c r="AH43" s="196" t="s">
        <v>749</v>
      </c>
      <c r="AI43" s="196">
        <v>45707</v>
      </c>
      <c r="AJ43" s="196">
        <v>98.67</v>
      </c>
      <c r="AK43" s="196" t="s">
        <v>564</v>
      </c>
      <c r="AL43" s="196" t="s">
        <v>793</v>
      </c>
      <c r="AM43" s="196">
        <v>0</v>
      </c>
      <c r="AN43" s="196">
        <v>46302</v>
      </c>
      <c r="AO43" s="196" t="s">
        <v>588</v>
      </c>
      <c r="BD43" s="196">
        <v>45693</v>
      </c>
      <c r="BE43" s="196" t="s">
        <v>230</v>
      </c>
    </row>
    <row r="44" spans="18:57" ht="14.5" x14ac:dyDescent="0.35">
      <c r="AG44" s="196" t="s">
        <v>830</v>
      </c>
      <c r="AH44" s="196" t="s">
        <v>749</v>
      </c>
      <c r="AI44" s="196">
        <v>45708</v>
      </c>
      <c r="AJ44" s="196">
        <v>98.48</v>
      </c>
      <c r="AK44" s="196" t="s">
        <v>564</v>
      </c>
      <c r="AL44" s="196" t="s">
        <v>793</v>
      </c>
      <c r="AM44" s="196">
        <v>0</v>
      </c>
      <c r="AN44" s="196">
        <v>46302</v>
      </c>
      <c r="AO44" s="196" t="s">
        <v>588</v>
      </c>
      <c r="BD44" s="196">
        <v>45694</v>
      </c>
      <c r="BE44" s="196" t="s">
        <v>230</v>
      </c>
    </row>
    <row r="45" spans="18:57" ht="14.5" x14ac:dyDescent="0.35">
      <c r="AG45" s="196" t="s">
        <v>831</v>
      </c>
      <c r="AH45" s="196" t="s">
        <v>749</v>
      </c>
      <c r="AI45" s="196">
        <v>45709</v>
      </c>
      <c r="AJ45" s="196">
        <v>98.3</v>
      </c>
      <c r="AK45" s="196" t="s">
        <v>564</v>
      </c>
      <c r="AL45" s="196" t="s">
        <v>793</v>
      </c>
      <c r="AM45" s="196">
        <v>0</v>
      </c>
      <c r="AN45" s="196">
        <v>46302</v>
      </c>
      <c r="AO45" s="196" t="s">
        <v>588</v>
      </c>
      <c r="BD45" s="196">
        <v>45695</v>
      </c>
      <c r="BE45" s="196" t="s">
        <v>230</v>
      </c>
    </row>
    <row r="46" spans="18:57" ht="14.5" x14ac:dyDescent="0.35">
      <c r="AG46" s="196" t="s">
        <v>832</v>
      </c>
      <c r="AH46" s="196" t="s">
        <v>749</v>
      </c>
      <c r="AI46" s="196">
        <v>45712</v>
      </c>
      <c r="AJ46" s="196">
        <v>97.74</v>
      </c>
      <c r="AK46" s="196" t="s">
        <v>564</v>
      </c>
      <c r="AL46" s="196" t="s">
        <v>793</v>
      </c>
      <c r="AM46" s="196">
        <v>0</v>
      </c>
      <c r="AN46" s="196">
        <v>46302</v>
      </c>
      <c r="AO46" s="196" t="s">
        <v>588</v>
      </c>
      <c r="BD46" s="196">
        <v>45696</v>
      </c>
      <c r="BE46" s="196" t="s">
        <v>232</v>
      </c>
    </row>
    <row r="47" spans="18:57" ht="14.5" x14ac:dyDescent="0.35">
      <c r="AG47" s="196" t="s">
        <v>833</v>
      </c>
      <c r="AH47" s="196" t="s">
        <v>749</v>
      </c>
      <c r="AI47" s="196">
        <v>45713</v>
      </c>
      <c r="AJ47" s="196">
        <v>97.56</v>
      </c>
      <c r="AK47" s="196" t="s">
        <v>564</v>
      </c>
      <c r="AL47" s="196" t="s">
        <v>793</v>
      </c>
      <c r="AM47" s="196">
        <v>0</v>
      </c>
      <c r="AN47" s="196">
        <v>46302</v>
      </c>
      <c r="AO47" s="196" t="s">
        <v>588</v>
      </c>
      <c r="BD47" s="196">
        <v>45697</v>
      </c>
      <c r="BE47" s="196" t="s">
        <v>232</v>
      </c>
    </row>
    <row r="48" spans="18:57" ht="14.5" x14ac:dyDescent="0.35">
      <c r="AG48" s="196" t="s">
        <v>834</v>
      </c>
      <c r="AH48" s="196" t="s">
        <v>749</v>
      </c>
      <c r="AI48" s="196">
        <v>45714</v>
      </c>
      <c r="AJ48" s="196">
        <v>97.37</v>
      </c>
      <c r="AK48" s="196" t="s">
        <v>564</v>
      </c>
      <c r="AL48" s="196" t="s">
        <v>793</v>
      </c>
      <c r="AM48" s="196">
        <v>0</v>
      </c>
      <c r="AN48" s="196">
        <v>46302</v>
      </c>
      <c r="AO48" s="196" t="s">
        <v>588</v>
      </c>
      <c r="BD48" s="196">
        <v>45698</v>
      </c>
      <c r="BE48" s="196" t="s">
        <v>230</v>
      </c>
    </row>
    <row r="49" spans="33:57" ht="14.5" x14ac:dyDescent="0.35">
      <c r="AG49" s="196" t="s">
        <v>835</v>
      </c>
      <c r="AH49" s="196" t="s">
        <v>749</v>
      </c>
      <c r="AI49" s="196">
        <v>45715</v>
      </c>
      <c r="AJ49" s="196">
        <v>97.19</v>
      </c>
      <c r="AK49" s="196" t="s">
        <v>564</v>
      </c>
      <c r="AL49" s="196" t="s">
        <v>793</v>
      </c>
      <c r="AM49" s="196">
        <v>0</v>
      </c>
      <c r="AN49" s="196">
        <v>46302</v>
      </c>
      <c r="AO49" s="196" t="s">
        <v>588</v>
      </c>
      <c r="BD49" s="196">
        <v>45699</v>
      </c>
      <c r="BE49" s="196" t="s">
        <v>230</v>
      </c>
    </row>
    <row r="50" spans="33:57" ht="14.5" x14ac:dyDescent="0.35">
      <c r="AG50" s="196" t="s">
        <v>836</v>
      </c>
      <c r="AH50" s="196" t="s">
        <v>749</v>
      </c>
      <c r="AI50" s="196">
        <v>45716</v>
      </c>
      <c r="AJ50" s="196">
        <v>97</v>
      </c>
      <c r="AK50" s="196" t="s">
        <v>564</v>
      </c>
      <c r="AL50" s="196" t="s">
        <v>793</v>
      </c>
      <c r="AM50" s="196">
        <v>0</v>
      </c>
      <c r="AN50" s="196">
        <v>46302</v>
      </c>
      <c r="AO50" s="196" t="s">
        <v>588</v>
      </c>
      <c r="BD50" s="196">
        <v>45700</v>
      </c>
      <c r="BE50" s="196" t="s">
        <v>230</v>
      </c>
    </row>
    <row r="51" spans="33:57" ht="14.5" x14ac:dyDescent="0.35">
      <c r="AG51" s="196" t="s">
        <v>837</v>
      </c>
      <c r="AH51" s="196" t="s">
        <v>749</v>
      </c>
      <c r="AI51" s="196">
        <v>45719</v>
      </c>
      <c r="AJ51" s="196">
        <v>97.6</v>
      </c>
      <c r="AK51" s="196" t="s">
        <v>564</v>
      </c>
      <c r="AL51" s="196" t="s">
        <v>793</v>
      </c>
      <c r="AM51" s="196">
        <v>0</v>
      </c>
      <c r="AN51" s="196">
        <v>46302</v>
      </c>
      <c r="AO51" s="196" t="s">
        <v>588</v>
      </c>
      <c r="BD51" s="196">
        <v>45701</v>
      </c>
      <c r="BE51" s="196" t="s">
        <v>230</v>
      </c>
    </row>
    <row r="52" spans="33:57" ht="14.5" x14ac:dyDescent="0.35">
      <c r="AG52" s="196" t="s">
        <v>838</v>
      </c>
      <c r="AH52" s="196" t="s">
        <v>749</v>
      </c>
      <c r="AI52" s="196">
        <v>45720</v>
      </c>
      <c r="AJ52" s="196">
        <v>97.9</v>
      </c>
      <c r="AK52" s="196" t="s">
        <v>564</v>
      </c>
      <c r="AL52" s="196" t="s">
        <v>793</v>
      </c>
      <c r="AM52" s="196">
        <v>0</v>
      </c>
      <c r="AN52" s="196">
        <v>46302</v>
      </c>
      <c r="AO52" s="196" t="s">
        <v>588</v>
      </c>
      <c r="BD52" s="196">
        <v>45702</v>
      </c>
      <c r="BE52" s="196" t="s">
        <v>230</v>
      </c>
    </row>
    <row r="53" spans="33:57" ht="14.5" x14ac:dyDescent="0.35">
      <c r="AG53" s="196" t="s">
        <v>839</v>
      </c>
      <c r="AH53" s="196" t="s">
        <v>749</v>
      </c>
      <c r="AI53" s="196">
        <v>45721</v>
      </c>
      <c r="AJ53" s="196">
        <v>98.2</v>
      </c>
      <c r="AK53" s="196" t="s">
        <v>564</v>
      </c>
      <c r="AL53" s="196" t="s">
        <v>793</v>
      </c>
      <c r="AM53" s="196">
        <v>0</v>
      </c>
      <c r="AN53" s="196">
        <v>46302</v>
      </c>
      <c r="AO53" s="196" t="s">
        <v>588</v>
      </c>
      <c r="BD53" s="196">
        <v>45703</v>
      </c>
      <c r="BE53" s="196" t="s">
        <v>232</v>
      </c>
    </row>
    <row r="54" spans="33:57" ht="14.5" x14ac:dyDescent="0.35">
      <c r="AG54" s="196" t="s">
        <v>840</v>
      </c>
      <c r="AH54" s="196" t="s">
        <v>749</v>
      </c>
      <c r="AI54" s="196">
        <v>45722</v>
      </c>
      <c r="AJ54" s="196">
        <v>98.5</v>
      </c>
      <c r="AK54" s="196" t="s">
        <v>564</v>
      </c>
      <c r="AL54" s="196" t="s">
        <v>793</v>
      </c>
      <c r="AM54" s="196">
        <v>0</v>
      </c>
      <c r="AN54" s="196">
        <v>46302</v>
      </c>
      <c r="AO54" s="196" t="s">
        <v>588</v>
      </c>
      <c r="BD54" s="196">
        <v>45704</v>
      </c>
      <c r="BE54" s="196" t="s">
        <v>232</v>
      </c>
    </row>
    <row r="55" spans="33:57" ht="14.5" x14ac:dyDescent="0.35">
      <c r="AG55" s="196" t="s">
        <v>841</v>
      </c>
      <c r="AH55" s="196" t="s">
        <v>749</v>
      </c>
      <c r="AI55" s="196">
        <v>45723</v>
      </c>
      <c r="AJ55" s="196">
        <v>98.8</v>
      </c>
      <c r="AK55" s="196" t="s">
        <v>564</v>
      </c>
      <c r="AL55" s="196" t="s">
        <v>793</v>
      </c>
      <c r="AM55" s="196">
        <v>0</v>
      </c>
      <c r="AN55" s="196">
        <v>46302</v>
      </c>
      <c r="AO55" s="196" t="s">
        <v>588</v>
      </c>
      <c r="BD55" s="196">
        <v>45705</v>
      </c>
      <c r="BE55" s="196" t="s">
        <v>230</v>
      </c>
    </row>
    <row r="56" spans="33:57" ht="14.5" x14ac:dyDescent="0.35">
      <c r="AG56" s="196" t="s">
        <v>842</v>
      </c>
      <c r="AH56" s="196" t="s">
        <v>749</v>
      </c>
      <c r="AI56" s="196">
        <v>45726</v>
      </c>
      <c r="AJ56" s="196">
        <v>99.7</v>
      </c>
      <c r="AK56" s="196" t="s">
        <v>564</v>
      </c>
      <c r="AL56" s="196" t="s">
        <v>793</v>
      </c>
      <c r="AM56" s="196">
        <v>0</v>
      </c>
      <c r="AN56" s="196">
        <v>46302</v>
      </c>
      <c r="AO56" s="196" t="s">
        <v>588</v>
      </c>
      <c r="BD56" s="196">
        <v>45706</v>
      </c>
      <c r="BE56" s="196" t="s">
        <v>230</v>
      </c>
    </row>
    <row r="57" spans="33:57" ht="14.5" x14ac:dyDescent="0.35">
      <c r="AG57" s="196" t="s">
        <v>843</v>
      </c>
      <c r="AH57" s="196" t="s">
        <v>749</v>
      </c>
      <c r="AI57" s="196">
        <v>45727</v>
      </c>
      <c r="AJ57" s="196">
        <v>100</v>
      </c>
      <c r="AK57" s="196" t="s">
        <v>564</v>
      </c>
      <c r="AL57" s="196" t="s">
        <v>793</v>
      </c>
      <c r="AM57" s="196">
        <v>0</v>
      </c>
      <c r="AN57" s="196">
        <v>46302</v>
      </c>
      <c r="AO57" s="196" t="s">
        <v>588</v>
      </c>
      <c r="BD57" s="196">
        <v>45707</v>
      </c>
      <c r="BE57" s="196" t="s">
        <v>230</v>
      </c>
    </row>
    <row r="58" spans="33:57" ht="14.5" x14ac:dyDescent="0.35">
      <c r="AG58" s="196" t="s">
        <v>844</v>
      </c>
      <c r="AH58" s="196" t="s">
        <v>749</v>
      </c>
      <c r="AI58" s="196">
        <v>45728</v>
      </c>
      <c r="AJ58" s="196">
        <v>100.3</v>
      </c>
      <c r="AK58" s="196" t="s">
        <v>564</v>
      </c>
      <c r="AL58" s="196" t="s">
        <v>793</v>
      </c>
      <c r="AM58" s="196">
        <v>0</v>
      </c>
      <c r="AN58" s="196">
        <v>46302</v>
      </c>
      <c r="AO58" s="196" t="s">
        <v>588</v>
      </c>
      <c r="BD58" s="196">
        <v>45708</v>
      </c>
      <c r="BE58" s="196" t="s">
        <v>230</v>
      </c>
    </row>
    <row r="59" spans="33:57" ht="14.5" x14ac:dyDescent="0.35">
      <c r="AG59" s="196" t="s">
        <v>845</v>
      </c>
      <c r="AH59" s="196" t="s">
        <v>749</v>
      </c>
      <c r="AI59" s="196">
        <v>45729</v>
      </c>
      <c r="AJ59" s="196">
        <v>100.6</v>
      </c>
      <c r="AK59" s="196" t="s">
        <v>564</v>
      </c>
      <c r="AL59" s="196" t="s">
        <v>793</v>
      </c>
      <c r="AM59" s="196">
        <v>0</v>
      </c>
      <c r="AN59" s="196">
        <v>46302</v>
      </c>
      <c r="AO59" s="196" t="s">
        <v>588</v>
      </c>
      <c r="BD59" s="196">
        <v>45709</v>
      </c>
      <c r="BE59" s="196" t="s">
        <v>230</v>
      </c>
    </row>
    <row r="60" spans="33:57" ht="14.5" x14ac:dyDescent="0.35">
      <c r="AG60" s="196" t="s">
        <v>846</v>
      </c>
      <c r="AH60" s="196" t="s">
        <v>749</v>
      </c>
      <c r="AI60" s="196">
        <v>45730</v>
      </c>
      <c r="AJ60" s="196">
        <v>100.9</v>
      </c>
      <c r="AK60" s="196" t="s">
        <v>564</v>
      </c>
      <c r="AL60" s="196" t="s">
        <v>793</v>
      </c>
      <c r="AM60" s="196">
        <v>0</v>
      </c>
      <c r="AN60" s="196">
        <v>46302</v>
      </c>
      <c r="AO60" s="196" t="s">
        <v>588</v>
      </c>
      <c r="BD60" s="196">
        <v>45710</v>
      </c>
      <c r="BE60" s="196" t="s">
        <v>232</v>
      </c>
    </row>
    <row r="61" spans="33:57" ht="14.5" x14ac:dyDescent="0.35">
      <c r="AG61" s="196" t="s">
        <v>847</v>
      </c>
      <c r="AH61" s="196" t="s">
        <v>749</v>
      </c>
      <c r="AI61" s="196">
        <v>45733</v>
      </c>
      <c r="AJ61" s="196">
        <v>101.8</v>
      </c>
      <c r="AK61" s="196" t="s">
        <v>564</v>
      </c>
      <c r="AL61" s="196" t="s">
        <v>793</v>
      </c>
      <c r="AM61" s="196">
        <v>0</v>
      </c>
      <c r="AN61" s="196">
        <v>46302</v>
      </c>
      <c r="AO61" s="196" t="s">
        <v>588</v>
      </c>
      <c r="BD61" s="196">
        <v>45711</v>
      </c>
      <c r="BE61" s="196" t="s">
        <v>232</v>
      </c>
    </row>
    <row r="62" spans="33:57" ht="14.5" x14ac:dyDescent="0.35">
      <c r="AG62" s="196" t="s">
        <v>848</v>
      </c>
      <c r="AH62" s="196" t="s">
        <v>749</v>
      </c>
      <c r="AI62" s="196">
        <v>45734</v>
      </c>
      <c r="AJ62" s="196">
        <v>102.1</v>
      </c>
      <c r="AK62" s="196" t="s">
        <v>564</v>
      </c>
      <c r="AL62" s="196" t="s">
        <v>793</v>
      </c>
      <c r="AM62" s="196">
        <v>0</v>
      </c>
      <c r="AN62" s="196">
        <v>46302</v>
      </c>
      <c r="AO62" s="196" t="s">
        <v>588</v>
      </c>
      <c r="BD62" s="196">
        <v>45712</v>
      </c>
      <c r="BE62" s="196" t="s">
        <v>230</v>
      </c>
    </row>
    <row r="63" spans="33:57" ht="14.5" x14ac:dyDescent="0.35">
      <c r="AG63" s="196" t="s">
        <v>849</v>
      </c>
      <c r="AH63" s="196" t="s">
        <v>749</v>
      </c>
      <c r="AI63" s="196">
        <v>45735</v>
      </c>
      <c r="AJ63" s="196">
        <v>102.4</v>
      </c>
      <c r="AK63" s="196" t="s">
        <v>564</v>
      </c>
      <c r="AL63" s="196" t="s">
        <v>793</v>
      </c>
      <c r="AM63" s="196">
        <v>0</v>
      </c>
      <c r="AN63" s="196">
        <v>46302</v>
      </c>
      <c r="AO63" s="196" t="s">
        <v>588</v>
      </c>
      <c r="BD63" s="196">
        <v>45713</v>
      </c>
      <c r="BE63" s="196" t="s">
        <v>230</v>
      </c>
    </row>
    <row r="64" spans="33:57" ht="14.5" x14ac:dyDescent="0.35">
      <c r="AG64" s="196" t="s">
        <v>850</v>
      </c>
      <c r="AH64" s="196" t="s">
        <v>749</v>
      </c>
      <c r="AI64" s="196">
        <v>45736</v>
      </c>
      <c r="AJ64" s="196">
        <v>102.7</v>
      </c>
      <c r="AK64" s="196" t="s">
        <v>564</v>
      </c>
      <c r="AL64" s="196" t="s">
        <v>793</v>
      </c>
      <c r="AM64" s="196">
        <v>0</v>
      </c>
      <c r="AN64" s="196">
        <v>46302</v>
      </c>
      <c r="AO64" s="196" t="s">
        <v>588</v>
      </c>
      <c r="BD64" s="196">
        <v>45714</v>
      </c>
      <c r="BE64" s="196" t="s">
        <v>230</v>
      </c>
    </row>
    <row r="65" spans="33:57" ht="14.5" x14ac:dyDescent="0.35">
      <c r="AG65" s="196" t="s">
        <v>851</v>
      </c>
      <c r="AH65" s="196" t="s">
        <v>749</v>
      </c>
      <c r="AI65" s="196">
        <v>45737</v>
      </c>
      <c r="AJ65" s="196">
        <v>103</v>
      </c>
      <c r="AK65" s="196" t="s">
        <v>564</v>
      </c>
      <c r="AL65" s="196" t="s">
        <v>793</v>
      </c>
      <c r="AM65" s="196">
        <v>0</v>
      </c>
      <c r="AN65" s="196">
        <v>46302</v>
      </c>
      <c r="AO65" s="196" t="s">
        <v>588</v>
      </c>
      <c r="BD65" s="196">
        <v>45715</v>
      </c>
      <c r="BE65" s="196" t="s">
        <v>230</v>
      </c>
    </row>
    <row r="66" spans="33:57" ht="14.5" x14ac:dyDescent="0.35">
      <c r="AG66" s="196" t="s">
        <v>852</v>
      </c>
      <c r="AH66" s="196" t="s">
        <v>749</v>
      </c>
      <c r="AI66" s="196">
        <v>45740</v>
      </c>
      <c r="AJ66" s="196">
        <v>103.9</v>
      </c>
      <c r="AK66" s="196" t="s">
        <v>564</v>
      </c>
      <c r="AL66" s="196" t="s">
        <v>793</v>
      </c>
      <c r="AM66" s="196">
        <v>0</v>
      </c>
      <c r="AN66" s="196">
        <v>46302</v>
      </c>
      <c r="AO66" s="196" t="s">
        <v>588</v>
      </c>
      <c r="BD66" s="196">
        <v>45716</v>
      </c>
      <c r="BE66" s="196" t="s">
        <v>230</v>
      </c>
    </row>
    <row r="67" spans="33:57" ht="14.5" x14ac:dyDescent="0.35">
      <c r="AG67" s="196" t="s">
        <v>853</v>
      </c>
      <c r="AH67" s="196" t="s">
        <v>749</v>
      </c>
      <c r="AI67" s="196">
        <v>45741</v>
      </c>
      <c r="AJ67" s="196">
        <v>104.2</v>
      </c>
      <c r="AK67" s="196" t="s">
        <v>564</v>
      </c>
      <c r="AL67" s="196" t="s">
        <v>793</v>
      </c>
      <c r="AM67" s="196">
        <v>0</v>
      </c>
      <c r="AN67" s="196">
        <v>46302</v>
      </c>
      <c r="AO67" s="196" t="s">
        <v>588</v>
      </c>
      <c r="BD67" s="196">
        <v>45717</v>
      </c>
      <c r="BE67" s="196" t="s">
        <v>232</v>
      </c>
    </row>
    <row r="68" spans="33:57" ht="14.5" x14ac:dyDescent="0.35">
      <c r="AG68" s="196" t="s">
        <v>854</v>
      </c>
      <c r="AH68" s="196" t="s">
        <v>749</v>
      </c>
      <c r="AI68" s="196">
        <v>45742</v>
      </c>
      <c r="AJ68" s="196">
        <v>104.5</v>
      </c>
      <c r="AK68" s="196" t="s">
        <v>564</v>
      </c>
      <c r="AL68" s="196" t="s">
        <v>793</v>
      </c>
      <c r="AM68" s="196">
        <v>0</v>
      </c>
      <c r="AN68" s="196">
        <v>46302</v>
      </c>
      <c r="AO68" s="196" t="s">
        <v>588</v>
      </c>
      <c r="BD68" s="196">
        <v>45718</v>
      </c>
      <c r="BE68" s="196" t="s">
        <v>232</v>
      </c>
    </row>
    <row r="69" spans="33:57" ht="14.5" x14ac:dyDescent="0.35">
      <c r="AG69" s="196" t="s">
        <v>855</v>
      </c>
      <c r="AH69" s="196" t="s">
        <v>749</v>
      </c>
      <c r="AI69" s="196">
        <v>45743</v>
      </c>
      <c r="AJ69" s="196">
        <v>104.8</v>
      </c>
      <c r="AK69" s="196" t="s">
        <v>564</v>
      </c>
      <c r="AL69" s="196" t="s">
        <v>793</v>
      </c>
      <c r="AM69" s="196">
        <v>0</v>
      </c>
      <c r="AN69" s="196">
        <v>46302</v>
      </c>
      <c r="AO69" s="196" t="s">
        <v>588</v>
      </c>
      <c r="BD69" s="196">
        <v>45719</v>
      </c>
      <c r="BE69" s="196" t="s">
        <v>230</v>
      </c>
    </row>
    <row r="70" spans="33:57" ht="14.5" x14ac:dyDescent="0.35">
      <c r="AG70" s="196" t="s">
        <v>856</v>
      </c>
      <c r="AH70" s="196" t="s">
        <v>749</v>
      </c>
      <c r="AI70" s="196">
        <v>45744</v>
      </c>
      <c r="AJ70" s="196">
        <v>105.1</v>
      </c>
      <c r="AK70" s="196" t="s">
        <v>564</v>
      </c>
      <c r="AL70" s="196" t="s">
        <v>793</v>
      </c>
      <c r="AM70" s="196">
        <v>0</v>
      </c>
      <c r="AN70" s="196">
        <v>46302</v>
      </c>
      <c r="AO70" s="196" t="s">
        <v>588</v>
      </c>
      <c r="BD70" s="196">
        <v>45720</v>
      </c>
      <c r="BE70" s="196" t="s">
        <v>230</v>
      </c>
    </row>
    <row r="71" spans="33:57" ht="14.5" x14ac:dyDescent="0.35">
      <c r="AG71" s="196" t="s">
        <v>857</v>
      </c>
      <c r="AH71" s="196" t="s">
        <v>749</v>
      </c>
      <c r="AI71" s="196">
        <v>45747</v>
      </c>
      <c r="AJ71" s="196">
        <v>106</v>
      </c>
      <c r="AK71" s="196" t="s">
        <v>564</v>
      </c>
      <c r="AL71" s="196" t="s">
        <v>793</v>
      </c>
      <c r="AM71" s="196">
        <v>0</v>
      </c>
      <c r="AN71" s="196">
        <v>46302</v>
      </c>
      <c r="AO71" s="196" t="s">
        <v>588</v>
      </c>
      <c r="BD71" s="196">
        <v>45721</v>
      </c>
      <c r="BE71" s="196" t="s">
        <v>230</v>
      </c>
    </row>
    <row r="72" spans="33:57" ht="14.5" x14ac:dyDescent="0.35">
      <c r="AG72" s="196" t="s">
        <v>858</v>
      </c>
      <c r="AH72" s="196" t="s">
        <v>749</v>
      </c>
      <c r="AI72" s="196">
        <v>45748</v>
      </c>
      <c r="AJ72" s="196">
        <v>106</v>
      </c>
      <c r="AK72" s="196" t="s">
        <v>564</v>
      </c>
      <c r="AL72" s="196" t="s">
        <v>793</v>
      </c>
      <c r="AM72" s="196">
        <v>0</v>
      </c>
      <c r="AN72" s="196">
        <v>46302</v>
      </c>
      <c r="AO72" s="196" t="s">
        <v>588</v>
      </c>
      <c r="BD72" s="196">
        <v>45722</v>
      </c>
      <c r="BE72" s="196" t="s">
        <v>230</v>
      </c>
    </row>
    <row r="73" spans="33:57" ht="14.5" x14ac:dyDescent="0.35">
      <c r="AG73" s="196" t="s">
        <v>859</v>
      </c>
      <c r="AH73" s="196" t="s">
        <v>749</v>
      </c>
      <c r="AI73" s="196">
        <v>45749</v>
      </c>
      <c r="AJ73" s="196">
        <v>105.83</v>
      </c>
      <c r="AK73" s="196" t="s">
        <v>564</v>
      </c>
      <c r="AL73" s="196" t="s">
        <v>793</v>
      </c>
      <c r="AM73" s="196">
        <v>0</v>
      </c>
      <c r="AN73" s="196">
        <v>46302</v>
      </c>
      <c r="AO73" s="196" t="s">
        <v>588</v>
      </c>
      <c r="BD73" s="196">
        <v>45723</v>
      </c>
      <c r="BE73" s="196" t="s">
        <v>230</v>
      </c>
    </row>
    <row r="74" spans="33:57" ht="14.5" x14ac:dyDescent="0.35">
      <c r="AG74" s="196" t="s">
        <v>860</v>
      </c>
      <c r="AH74" s="196" t="s">
        <v>749</v>
      </c>
      <c r="AI74" s="196">
        <v>45750</v>
      </c>
      <c r="AJ74" s="196">
        <v>105.66</v>
      </c>
      <c r="AK74" s="196" t="s">
        <v>564</v>
      </c>
      <c r="AL74" s="196" t="s">
        <v>793</v>
      </c>
      <c r="AM74" s="196">
        <v>0</v>
      </c>
      <c r="AN74" s="196">
        <v>46302</v>
      </c>
      <c r="AO74" s="196" t="s">
        <v>588</v>
      </c>
      <c r="BD74" s="196">
        <v>45724</v>
      </c>
      <c r="BE74" s="196" t="s">
        <v>232</v>
      </c>
    </row>
    <row r="75" spans="33:57" ht="14.5" x14ac:dyDescent="0.35">
      <c r="AG75" s="196" t="s">
        <v>861</v>
      </c>
      <c r="AH75" s="196" t="s">
        <v>749</v>
      </c>
      <c r="AI75" s="196">
        <v>45751</v>
      </c>
      <c r="AJ75" s="196">
        <v>105.48</v>
      </c>
      <c r="AK75" s="196" t="s">
        <v>564</v>
      </c>
      <c r="AL75" s="196" t="s">
        <v>793</v>
      </c>
      <c r="AM75" s="196">
        <v>0</v>
      </c>
      <c r="AN75" s="196">
        <v>46302</v>
      </c>
      <c r="AO75" s="196" t="s">
        <v>588</v>
      </c>
      <c r="BD75" s="196">
        <v>45725</v>
      </c>
      <c r="BE75" s="196" t="s">
        <v>232</v>
      </c>
    </row>
    <row r="76" spans="33:57" ht="14.5" x14ac:dyDescent="0.35">
      <c r="AG76" s="196" t="s">
        <v>862</v>
      </c>
      <c r="AH76" s="196" t="s">
        <v>749</v>
      </c>
      <c r="AI76" s="196">
        <v>45754</v>
      </c>
      <c r="AJ76" s="196">
        <v>104.97</v>
      </c>
      <c r="AK76" s="196" t="s">
        <v>564</v>
      </c>
      <c r="AL76" s="196" t="s">
        <v>793</v>
      </c>
      <c r="AM76" s="196">
        <v>0</v>
      </c>
      <c r="AN76" s="196">
        <v>46302</v>
      </c>
      <c r="AO76" s="196" t="s">
        <v>588</v>
      </c>
      <c r="BD76" s="196">
        <v>45726</v>
      </c>
      <c r="BE76" s="196" t="s">
        <v>230</v>
      </c>
    </row>
    <row r="77" spans="33:57" ht="14.5" x14ac:dyDescent="0.35">
      <c r="AG77" s="196" t="s">
        <v>863</v>
      </c>
      <c r="AH77" s="196" t="s">
        <v>749</v>
      </c>
      <c r="AI77" s="196">
        <v>45755</v>
      </c>
      <c r="AJ77" s="196">
        <v>104.79</v>
      </c>
      <c r="AK77" s="196" t="s">
        <v>564</v>
      </c>
      <c r="AL77" s="196" t="s">
        <v>793</v>
      </c>
      <c r="AM77" s="196">
        <v>0</v>
      </c>
      <c r="AN77" s="196">
        <v>46302</v>
      </c>
      <c r="AO77" s="196" t="s">
        <v>588</v>
      </c>
      <c r="BD77" s="196">
        <v>45727</v>
      </c>
      <c r="BE77" s="196" t="s">
        <v>230</v>
      </c>
    </row>
    <row r="78" spans="33:57" ht="14.5" x14ac:dyDescent="0.35">
      <c r="AG78" s="196" t="s">
        <v>864</v>
      </c>
      <c r="AH78" s="196" t="s">
        <v>749</v>
      </c>
      <c r="AI78" s="196">
        <v>45756</v>
      </c>
      <c r="AJ78" s="196">
        <v>104.62</v>
      </c>
      <c r="AK78" s="196" t="s">
        <v>564</v>
      </c>
      <c r="AL78" s="196" t="s">
        <v>793</v>
      </c>
      <c r="AM78" s="196">
        <v>0</v>
      </c>
      <c r="AN78" s="196">
        <v>46302</v>
      </c>
      <c r="AO78" s="196" t="s">
        <v>588</v>
      </c>
      <c r="BD78" s="196">
        <v>45728</v>
      </c>
      <c r="BE78" s="196" t="s">
        <v>230</v>
      </c>
    </row>
    <row r="79" spans="33:57" ht="14.5" x14ac:dyDescent="0.35">
      <c r="AG79" s="196" t="s">
        <v>865</v>
      </c>
      <c r="AH79" s="196" t="s">
        <v>749</v>
      </c>
      <c r="AI79" s="196">
        <v>45757</v>
      </c>
      <c r="AJ79" s="196">
        <v>104.45</v>
      </c>
      <c r="AK79" s="196" t="s">
        <v>564</v>
      </c>
      <c r="AL79" s="196" t="s">
        <v>793</v>
      </c>
      <c r="AM79" s="196">
        <v>0</v>
      </c>
      <c r="AN79" s="196">
        <v>46302</v>
      </c>
      <c r="AO79" s="196" t="s">
        <v>588</v>
      </c>
      <c r="BD79" s="196">
        <v>45729</v>
      </c>
      <c r="BE79" s="196" t="s">
        <v>230</v>
      </c>
    </row>
    <row r="80" spans="33:57" ht="14.5" x14ac:dyDescent="0.35">
      <c r="AG80" s="196" t="s">
        <v>866</v>
      </c>
      <c r="AH80" s="196" t="s">
        <v>749</v>
      </c>
      <c r="AI80" s="196">
        <v>45758</v>
      </c>
      <c r="AJ80" s="196">
        <v>104.28</v>
      </c>
      <c r="AK80" s="196" t="s">
        <v>564</v>
      </c>
      <c r="AL80" s="196" t="s">
        <v>793</v>
      </c>
      <c r="AM80" s="196">
        <v>0</v>
      </c>
      <c r="AN80" s="196">
        <v>46302</v>
      </c>
      <c r="AO80" s="196" t="s">
        <v>588</v>
      </c>
      <c r="BD80" s="196">
        <v>45730</v>
      </c>
      <c r="BE80" s="196" t="s">
        <v>230</v>
      </c>
    </row>
    <row r="81" spans="33:57" ht="14.5" x14ac:dyDescent="0.35">
      <c r="AG81" s="196" t="s">
        <v>867</v>
      </c>
      <c r="AH81" s="196" t="s">
        <v>749</v>
      </c>
      <c r="AI81" s="196">
        <v>45761</v>
      </c>
      <c r="AJ81" s="196">
        <v>103.76</v>
      </c>
      <c r="AK81" s="196" t="s">
        <v>564</v>
      </c>
      <c r="AL81" s="196" t="s">
        <v>793</v>
      </c>
      <c r="AM81" s="196">
        <v>0</v>
      </c>
      <c r="AN81" s="196">
        <v>46302</v>
      </c>
      <c r="AO81" s="196" t="s">
        <v>588</v>
      </c>
      <c r="BD81" s="196">
        <v>45731</v>
      </c>
      <c r="BE81" s="196" t="s">
        <v>232</v>
      </c>
    </row>
    <row r="82" spans="33:57" ht="14.5" x14ac:dyDescent="0.35">
      <c r="AG82" s="196" t="s">
        <v>868</v>
      </c>
      <c r="AH82" s="196" t="s">
        <v>749</v>
      </c>
      <c r="AI82" s="196">
        <v>45762</v>
      </c>
      <c r="AJ82" s="196">
        <v>103.59</v>
      </c>
      <c r="AK82" s="196" t="s">
        <v>564</v>
      </c>
      <c r="AL82" s="196" t="s">
        <v>793</v>
      </c>
      <c r="AM82" s="196">
        <v>0</v>
      </c>
      <c r="AN82" s="196">
        <v>46302</v>
      </c>
      <c r="AO82" s="196" t="s">
        <v>588</v>
      </c>
      <c r="BD82" s="196">
        <v>45732</v>
      </c>
      <c r="BE82" s="196" t="s">
        <v>232</v>
      </c>
    </row>
    <row r="83" spans="33:57" ht="14.5" x14ac:dyDescent="0.35">
      <c r="AG83" s="196" t="s">
        <v>869</v>
      </c>
      <c r="AH83" s="196" t="s">
        <v>749</v>
      </c>
      <c r="AI83" s="196">
        <v>45763</v>
      </c>
      <c r="AJ83" s="196">
        <v>103.41</v>
      </c>
      <c r="AK83" s="196" t="s">
        <v>564</v>
      </c>
      <c r="AL83" s="196" t="s">
        <v>793</v>
      </c>
      <c r="AM83" s="196">
        <v>0</v>
      </c>
      <c r="AN83" s="196">
        <v>46302</v>
      </c>
      <c r="AO83" s="196" t="s">
        <v>588</v>
      </c>
      <c r="BD83" s="196">
        <v>45733</v>
      </c>
      <c r="BE83" s="196" t="s">
        <v>230</v>
      </c>
    </row>
    <row r="84" spans="33:57" ht="14.5" x14ac:dyDescent="0.35">
      <c r="AG84" s="196" t="s">
        <v>870</v>
      </c>
      <c r="AH84" s="196" t="s">
        <v>749</v>
      </c>
      <c r="AI84" s="196">
        <v>45764</v>
      </c>
      <c r="AJ84" s="196">
        <v>103.24</v>
      </c>
      <c r="AK84" s="196" t="s">
        <v>564</v>
      </c>
      <c r="AL84" s="196" t="s">
        <v>793</v>
      </c>
      <c r="AM84" s="196">
        <v>0</v>
      </c>
      <c r="AN84" s="196">
        <v>46302</v>
      </c>
      <c r="AO84" s="196" t="s">
        <v>588</v>
      </c>
      <c r="BD84" s="196">
        <v>45734</v>
      </c>
      <c r="BE84" s="196" t="s">
        <v>230</v>
      </c>
    </row>
    <row r="85" spans="33:57" ht="14.5" x14ac:dyDescent="0.35">
      <c r="AG85" s="196" t="s">
        <v>871</v>
      </c>
      <c r="AH85" s="196" t="s">
        <v>749</v>
      </c>
      <c r="AI85" s="196">
        <v>45765</v>
      </c>
      <c r="AJ85" s="196">
        <v>103.07</v>
      </c>
      <c r="AK85" s="196" t="s">
        <v>564</v>
      </c>
      <c r="AL85" s="196" t="s">
        <v>793</v>
      </c>
      <c r="AM85" s="196">
        <v>0</v>
      </c>
      <c r="AN85" s="196">
        <v>46302</v>
      </c>
      <c r="AO85" s="196" t="s">
        <v>588</v>
      </c>
      <c r="BD85" s="196">
        <v>45735</v>
      </c>
      <c r="BE85" s="196" t="s">
        <v>230</v>
      </c>
    </row>
    <row r="86" spans="33:57" ht="14.5" x14ac:dyDescent="0.35">
      <c r="AG86" s="196" t="s">
        <v>872</v>
      </c>
      <c r="AH86" s="196" t="s">
        <v>749</v>
      </c>
      <c r="AI86" s="196">
        <v>45768</v>
      </c>
      <c r="AJ86" s="196">
        <v>102.55</v>
      </c>
      <c r="AK86" s="196" t="s">
        <v>564</v>
      </c>
      <c r="AL86" s="196" t="s">
        <v>793</v>
      </c>
      <c r="AM86" s="196">
        <v>0</v>
      </c>
      <c r="AN86" s="196">
        <v>46302</v>
      </c>
      <c r="AO86" s="196" t="s">
        <v>588</v>
      </c>
      <c r="BD86" s="196">
        <v>45736</v>
      </c>
      <c r="BE86" s="196" t="s">
        <v>230</v>
      </c>
    </row>
    <row r="87" spans="33:57" ht="14.5" x14ac:dyDescent="0.35">
      <c r="AG87" s="196" t="s">
        <v>873</v>
      </c>
      <c r="AH87" s="196" t="s">
        <v>749</v>
      </c>
      <c r="AI87" s="196">
        <v>45769</v>
      </c>
      <c r="AJ87" s="196">
        <v>102.38</v>
      </c>
      <c r="AK87" s="196" t="s">
        <v>564</v>
      </c>
      <c r="AL87" s="196" t="s">
        <v>793</v>
      </c>
      <c r="AM87" s="196">
        <v>0</v>
      </c>
      <c r="AN87" s="196">
        <v>46302</v>
      </c>
      <c r="AO87" s="196" t="s">
        <v>588</v>
      </c>
      <c r="BD87" s="196">
        <v>45737</v>
      </c>
      <c r="BE87" s="196" t="s">
        <v>230</v>
      </c>
    </row>
    <row r="88" spans="33:57" ht="14.5" x14ac:dyDescent="0.35">
      <c r="AG88" s="196" t="s">
        <v>874</v>
      </c>
      <c r="AH88" s="196" t="s">
        <v>749</v>
      </c>
      <c r="AI88" s="196">
        <v>45770</v>
      </c>
      <c r="AJ88" s="196">
        <v>102.21</v>
      </c>
      <c r="AK88" s="196" t="s">
        <v>564</v>
      </c>
      <c r="AL88" s="196" t="s">
        <v>793</v>
      </c>
      <c r="AM88" s="196">
        <v>0</v>
      </c>
      <c r="AN88" s="196">
        <v>46302</v>
      </c>
      <c r="AO88" s="196" t="s">
        <v>588</v>
      </c>
      <c r="BD88" s="196">
        <v>45738</v>
      </c>
      <c r="BE88" s="196" t="s">
        <v>232</v>
      </c>
    </row>
    <row r="89" spans="33:57" ht="14.5" x14ac:dyDescent="0.35">
      <c r="AG89" s="196" t="s">
        <v>875</v>
      </c>
      <c r="AH89" s="196" t="s">
        <v>749</v>
      </c>
      <c r="AI89" s="196">
        <v>45771</v>
      </c>
      <c r="AJ89" s="196">
        <v>102.03</v>
      </c>
      <c r="AK89" s="196" t="s">
        <v>564</v>
      </c>
      <c r="AL89" s="196" t="s">
        <v>793</v>
      </c>
      <c r="AM89" s="196">
        <v>0</v>
      </c>
      <c r="AN89" s="196">
        <v>46302</v>
      </c>
      <c r="AO89" s="196" t="s">
        <v>588</v>
      </c>
      <c r="BD89" s="196">
        <v>45739</v>
      </c>
      <c r="BE89" s="196" t="s">
        <v>232</v>
      </c>
    </row>
    <row r="90" spans="33:57" ht="14.5" x14ac:dyDescent="0.35">
      <c r="AG90" s="196" t="s">
        <v>876</v>
      </c>
      <c r="AH90" s="196" t="s">
        <v>749</v>
      </c>
      <c r="AI90" s="196">
        <v>45772</v>
      </c>
      <c r="AJ90" s="196">
        <v>101.86</v>
      </c>
      <c r="AK90" s="196" t="s">
        <v>564</v>
      </c>
      <c r="AL90" s="196" t="s">
        <v>793</v>
      </c>
      <c r="AM90" s="196">
        <v>0</v>
      </c>
      <c r="AN90" s="196">
        <v>46302</v>
      </c>
      <c r="AO90" s="196" t="s">
        <v>588</v>
      </c>
      <c r="BD90" s="196">
        <v>45740</v>
      </c>
      <c r="BE90" s="196" t="s">
        <v>230</v>
      </c>
    </row>
    <row r="91" spans="33:57" ht="14.5" x14ac:dyDescent="0.35">
      <c r="AG91" s="196" t="s">
        <v>877</v>
      </c>
      <c r="AH91" s="196" t="s">
        <v>749</v>
      </c>
      <c r="AI91" s="196">
        <v>45775</v>
      </c>
      <c r="AJ91" s="196">
        <v>101.34</v>
      </c>
      <c r="AK91" s="196" t="s">
        <v>564</v>
      </c>
      <c r="AL91" s="196" t="s">
        <v>793</v>
      </c>
      <c r="AM91" s="196">
        <v>0</v>
      </c>
      <c r="AN91" s="196">
        <v>46302</v>
      </c>
      <c r="AO91" s="196" t="s">
        <v>588</v>
      </c>
      <c r="BD91" s="196">
        <v>45741</v>
      </c>
      <c r="BE91" s="196" t="s">
        <v>230</v>
      </c>
    </row>
    <row r="92" spans="33:57" ht="14.5" x14ac:dyDescent="0.35">
      <c r="AG92" s="196" t="s">
        <v>878</v>
      </c>
      <c r="AH92" s="196" t="s">
        <v>749</v>
      </c>
      <c r="AI92" s="196">
        <v>45776</v>
      </c>
      <c r="AJ92" s="196">
        <v>101.17</v>
      </c>
      <c r="AK92" s="196" t="s">
        <v>564</v>
      </c>
      <c r="AL92" s="196" t="s">
        <v>793</v>
      </c>
      <c r="AM92" s="196">
        <v>0</v>
      </c>
      <c r="AN92" s="196">
        <v>46302</v>
      </c>
      <c r="AO92" s="196" t="s">
        <v>588</v>
      </c>
      <c r="BD92" s="196">
        <v>45742</v>
      </c>
      <c r="BE92" s="196" t="s">
        <v>230</v>
      </c>
    </row>
    <row r="93" spans="33:57" ht="14.5" x14ac:dyDescent="0.35">
      <c r="AG93" s="196" t="s">
        <v>879</v>
      </c>
      <c r="AH93" s="196" t="s">
        <v>749</v>
      </c>
      <c r="AI93" s="196">
        <v>45777</v>
      </c>
      <c r="AJ93" s="196">
        <v>101</v>
      </c>
      <c r="AK93" s="196" t="s">
        <v>564</v>
      </c>
      <c r="AL93" s="196" t="s">
        <v>793</v>
      </c>
      <c r="AM93" s="196">
        <v>0</v>
      </c>
      <c r="AN93" s="196">
        <v>46302</v>
      </c>
      <c r="AO93" s="196" t="s">
        <v>588</v>
      </c>
      <c r="BD93" s="196">
        <v>45743</v>
      </c>
      <c r="BE93" s="196" t="s">
        <v>230</v>
      </c>
    </row>
    <row r="94" spans="33:57" ht="14.5" x14ac:dyDescent="0.35">
      <c r="AG94" s="196" t="s">
        <v>880</v>
      </c>
      <c r="AH94" s="196" t="s">
        <v>749</v>
      </c>
      <c r="AI94" s="196">
        <v>45778</v>
      </c>
      <c r="AJ94" s="196">
        <v>101</v>
      </c>
      <c r="AK94" s="196" t="s">
        <v>564</v>
      </c>
      <c r="AL94" s="196" t="s">
        <v>793</v>
      </c>
      <c r="AM94" s="196">
        <v>0</v>
      </c>
      <c r="AN94" s="196">
        <v>46302</v>
      </c>
      <c r="AO94" s="196" t="s">
        <v>588</v>
      </c>
      <c r="BD94" s="196">
        <v>45744</v>
      </c>
      <c r="BE94" s="196" t="s">
        <v>230</v>
      </c>
    </row>
    <row r="95" spans="33:57" ht="14.5" x14ac:dyDescent="0.35">
      <c r="AG95" s="196" t="s">
        <v>881</v>
      </c>
      <c r="AH95" s="196" t="s">
        <v>749</v>
      </c>
      <c r="AI95" s="196">
        <v>45779</v>
      </c>
      <c r="AJ95" s="196">
        <v>100.93</v>
      </c>
      <c r="AK95" s="196" t="s">
        <v>564</v>
      </c>
      <c r="AL95" s="196" t="s">
        <v>793</v>
      </c>
      <c r="AM95" s="196">
        <v>0</v>
      </c>
      <c r="AN95" s="196">
        <v>46302</v>
      </c>
      <c r="AO95" s="196" t="s">
        <v>588</v>
      </c>
      <c r="BD95" s="196">
        <v>45745</v>
      </c>
      <c r="BE95" s="196" t="s">
        <v>232</v>
      </c>
    </row>
    <row r="96" spans="33:57" ht="14.5" x14ac:dyDescent="0.35">
      <c r="AG96" s="196" t="s">
        <v>882</v>
      </c>
      <c r="AH96" s="196" t="s">
        <v>749</v>
      </c>
      <c r="AI96" s="196">
        <v>45782</v>
      </c>
      <c r="AJ96" s="196">
        <v>100.73</v>
      </c>
      <c r="AK96" s="196" t="s">
        <v>564</v>
      </c>
      <c r="AL96" s="196" t="s">
        <v>793</v>
      </c>
      <c r="AM96" s="196">
        <v>0</v>
      </c>
      <c r="AN96" s="196">
        <v>46302</v>
      </c>
      <c r="AO96" s="196" t="s">
        <v>588</v>
      </c>
      <c r="BD96" s="196">
        <v>45746</v>
      </c>
      <c r="BE96" s="196" t="s">
        <v>232</v>
      </c>
    </row>
    <row r="97" spans="33:57" ht="14.5" x14ac:dyDescent="0.35">
      <c r="AG97" s="196" t="s">
        <v>883</v>
      </c>
      <c r="AH97" s="196" t="s">
        <v>749</v>
      </c>
      <c r="AI97" s="196">
        <v>45783</v>
      </c>
      <c r="AJ97" s="196">
        <v>100.67</v>
      </c>
      <c r="AK97" s="196" t="s">
        <v>564</v>
      </c>
      <c r="AL97" s="196" t="s">
        <v>793</v>
      </c>
      <c r="AM97" s="196">
        <v>0</v>
      </c>
      <c r="AN97" s="196">
        <v>46302</v>
      </c>
      <c r="AO97" s="196" t="s">
        <v>588</v>
      </c>
      <c r="BD97" s="196">
        <v>45747</v>
      </c>
      <c r="BE97" s="196" t="s">
        <v>230</v>
      </c>
    </row>
    <row r="98" spans="33:57" ht="14.5" x14ac:dyDescent="0.35">
      <c r="AG98" s="196" t="s">
        <v>884</v>
      </c>
      <c r="AH98" s="196" t="s">
        <v>749</v>
      </c>
      <c r="AI98" s="196">
        <v>45784</v>
      </c>
      <c r="AJ98" s="196">
        <v>100.6</v>
      </c>
      <c r="AK98" s="196" t="s">
        <v>564</v>
      </c>
      <c r="AL98" s="196" t="s">
        <v>793</v>
      </c>
      <c r="AM98" s="196">
        <v>0</v>
      </c>
      <c r="AN98" s="196">
        <v>46302</v>
      </c>
      <c r="AO98" s="196" t="s">
        <v>588</v>
      </c>
      <c r="BD98" s="196">
        <v>45748</v>
      </c>
      <c r="BE98" s="196" t="s">
        <v>230</v>
      </c>
    </row>
    <row r="99" spans="33:57" ht="14.5" x14ac:dyDescent="0.35">
      <c r="AG99" s="196" t="s">
        <v>885</v>
      </c>
      <c r="AH99" s="196" t="s">
        <v>749</v>
      </c>
      <c r="AI99" s="196">
        <v>45785</v>
      </c>
      <c r="AJ99" s="196">
        <v>100.53</v>
      </c>
      <c r="AK99" s="196" t="s">
        <v>564</v>
      </c>
      <c r="AL99" s="196" t="s">
        <v>793</v>
      </c>
      <c r="AM99" s="196">
        <v>0</v>
      </c>
      <c r="AN99" s="196">
        <v>46302</v>
      </c>
      <c r="AO99" s="196" t="s">
        <v>588</v>
      </c>
      <c r="BD99" s="196">
        <v>45749</v>
      </c>
      <c r="BE99" s="196" t="s">
        <v>230</v>
      </c>
    </row>
    <row r="100" spans="33:57" ht="14.5" x14ac:dyDescent="0.35">
      <c r="AG100" s="196" t="s">
        <v>886</v>
      </c>
      <c r="AH100" s="196" t="s">
        <v>749</v>
      </c>
      <c r="AI100" s="196">
        <v>45786</v>
      </c>
      <c r="AJ100" s="196">
        <v>100.47</v>
      </c>
      <c r="AK100" s="196" t="s">
        <v>564</v>
      </c>
      <c r="AL100" s="196" t="s">
        <v>793</v>
      </c>
      <c r="AM100" s="196">
        <v>0</v>
      </c>
      <c r="AN100" s="196">
        <v>46302</v>
      </c>
      <c r="AO100" s="196" t="s">
        <v>588</v>
      </c>
      <c r="BD100" s="196">
        <v>45750</v>
      </c>
      <c r="BE100" s="196" t="s">
        <v>230</v>
      </c>
    </row>
    <row r="101" spans="33:57" ht="14.5" x14ac:dyDescent="0.35">
      <c r="AG101" s="196" t="s">
        <v>887</v>
      </c>
      <c r="AH101" s="196" t="s">
        <v>749</v>
      </c>
      <c r="AI101" s="196">
        <v>45789</v>
      </c>
      <c r="AJ101" s="196">
        <v>100.27</v>
      </c>
      <c r="AK101" s="196" t="s">
        <v>564</v>
      </c>
      <c r="AL101" s="196" t="s">
        <v>793</v>
      </c>
      <c r="AM101" s="196">
        <v>0</v>
      </c>
      <c r="AN101" s="196">
        <v>46302</v>
      </c>
      <c r="AO101" s="196" t="s">
        <v>588</v>
      </c>
      <c r="BD101" s="196">
        <v>45751</v>
      </c>
      <c r="BE101" s="196" t="s">
        <v>230</v>
      </c>
    </row>
    <row r="102" spans="33:57" ht="14.5" x14ac:dyDescent="0.35">
      <c r="AG102" s="196" t="s">
        <v>888</v>
      </c>
      <c r="AH102" s="196" t="s">
        <v>749</v>
      </c>
      <c r="AI102" s="196">
        <v>45790</v>
      </c>
      <c r="AJ102" s="196">
        <v>100.2</v>
      </c>
      <c r="AK102" s="196" t="s">
        <v>564</v>
      </c>
      <c r="AL102" s="196" t="s">
        <v>793</v>
      </c>
      <c r="AM102" s="196">
        <v>0</v>
      </c>
      <c r="AN102" s="196">
        <v>46302</v>
      </c>
      <c r="AO102" s="196" t="s">
        <v>588</v>
      </c>
      <c r="BD102" s="196">
        <v>45752</v>
      </c>
      <c r="BE102" s="196" t="s">
        <v>232</v>
      </c>
    </row>
    <row r="103" spans="33:57" ht="14.5" x14ac:dyDescent="0.35">
      <c r="AG103" s="196" t="s">
        <v>889</v>
      </c>
      <c r="AH103" s="196" t="s">
        <v>749</v>
      </c>
      <c r="AI103" s="196">
        <v>45791</v>
      </c>
      <c r="AJ103" s="196">
        <v>100.13</v>
      </c>
      <c r="AK103" s="196" t="s">
        <v>564</v>
      </c>
      <c r="AL103" s="196" t="s">
        <v>793</v>
      </c>
      <c r="AM103" s="196">
        <v>0</v>
      </c>
      <c r="AN103" s="196">
        <v>46302</v>
      </c>
      <c r="AO103" s="196" t="s">
        <v>588</v>
      </c>
      <c r="BD103" s="196">
        <v>45753</v>
      </c>
      <c r="BE103" s="196" t="s">
        <v>232</v>
      </c>
    </row>
    <row r="104" spans="33:57" ht="14.5" x14ac:dyDescent="0.35">
      <c r="AG104" s="196" t="s">
        <v>890</v>
      </c>
      <c r="AH104" s="196" t="s">
        <v>749</v>
      </c>
      <c r="AI104" s="196">
        <v>45792</v>
      </c>
      <c r="AJ104" s="196">
        <v>100.07</v>
      </c>
      <c r="AK104" s="196" t="s">
        <v>564</v>
      </c>
      <c r="AL104" s="196" t="s">
        <v>793</v>
      </c>
      <c r="AM104" s="196">
        <v>0</v>
      </c>
      <c r="AN104" s="196">
        <v>46302</v>
      </c>
      <c r="AO104" s="196" t="s">
        <v>588</v>
      </c>
      <c r="BD104" s="196">
        <v>45754</v>
      </c>
      <c r="BE104" s="196" t="s">
        <v>230</v>
      </c>
    </row>
    <row r="105" spans="33:57" ht="14.5" x14ac:dyDescent="0.35">
      <c r="AG105" s="196" t="s">
        <v>891</v>
      </c>
      <c r="AH105" s="196" t="s">
        <v>749</v>
      </c>
      <c r="AI105" s="196">
        <v>45793</v>
      </c>
      <c r="AJ105" s="196">
        <v>100</v>
      </c>
      <c r="AK105" s="196" t="s">
        <v>564</v>
      </c>
      <c r="AL105" s="196" t="s">
        <v>793</v>
      </c>
      <c r="AM105" s="196">
        <v>0</v>
      </c>
      <c r="AN105" s="196">
        <v>46302</v>
      </c>
      <c r="AO105" s="196" t="s">
        <v>588</v>
      </c>
      <c r="BD105" s="196">
        <v>45755</v>
      </c>
      <c r="BE105" s="196" t="s">
        <v>230</v>
      </c>
    </row>
    <row r="106" spans="33:57" ht="14.5" x14ac:dyDescent="0.35">
      <c r="AG106" s="196" t="s">
        <v>892</v>
      </c>
      <c r="AH106" s="196" t="s">
        <v>749</v>
      </c>
      <c r="AI106" s="196">
        <v>45796</v>
      </c>
      <c r="AJ106" s="196">
        <v>99.8</v>
      </c>
      <c r="AK106" s="196" t="s">
        <v>564</v>
      </c>
      <c r="AL106" s="196" t="s">
        <v>793</v>
      </c>
      <c r="AM106" s="196">
        <v>0</v>
      </c>
      <c r="AN106" s="196">
        <v>46302</v>
      </c>
      <c r="AO106" s="196" t="s">
        <v>588</v>
      </c>
      <c r="BD106" s="196">
        <v>45756</v>
      </c>
      <c r="BE106" s="196" t="s">
        <v>230</v>
      </c>
    </row>
    <row r="107" spans="33:57" ht="14.5" x14ac:dyDescent="0.35">
      <c r="AG107" s="196" t="s">
        <v>893</v>
      </c>
      <c r="AH107" s="196" t="s">
        <v>749</v>
      </c>
      <c r="AI107" s="196">
        <v>45797</v>
      </c>
      <c r="AJ107" s="196">
        <v>99.73</v>
      </c>
      <c r="AK107" s="196" t="s">
        <v>564</v>
      </c>
      <c r="AL107" s="196" t="s">
        <v>793</v>
      </c>
      <c r="AM107" s="196">
        <v>0</v>
      </c>
      <c r="AN107" s="196">
        <v>46302</v>
      </c>
      <c r="AO107" s="196" t="s">
        <v>588</v>
      </c>
      <c r="BD107" s="196">
        <v>45757</v>
      </c>
      <c r="BE107" s="196" t="s">
        <v>230</v>
      </c>
    </row>
    <row r="108" spans="33:57" ht="14.5" x14ac:dyDescent="0.35">
      <c r="AG108" s="196" t="s">
        <v>894</v>
      </c>
      <c r="AH108" s="196" t="s">
        <v>749</v>
      </c>
      <c r="AI108" s="196">
        <v>45798</v>
      </c>
      <c r="AJ108" s="196">
        <v>99.67</v>
      </c>
      <c r="AK108" s="196" t="s">
        <v>564</v>
      </c>
      <c r="AL108" s="196" t="s">
        <v>793</v>
      </c>
      <c r="AM108" s="196">
        <v>0</v>
      </c>
      <c r="AN108" s="196">
        <v>46302</v>
      </c>
      <c r="AO108" s="196" t="s">
        <v>588</v>
      </c>
      <c r="BD108" s="196">
        <v>45758</v>
      </c>
      <c r="BE108" s="196" t="s">
        <v>230</v>
      </c>
    </row>
    <row r="109" spans="33:57" ht="14.5" x14ac:dyDescent="0.35">
      <c r="AG109" s="196" t="s">
        <v>895</v>
      </c>
      <c r="AH109" s="196" t="s">
        <v>749</v>
      </c>
      <c r="AI109" s="196">
        <v>45799</v>
      </c>
      <c r="AJ109" s="196">
        <v>99.6</v>
      </c>
      <c r="AK109" s="196" t="s">
        <v>564</v>
      </c>
      <c r="AL109" s="196" t="s">
        <v>793</v>
      </c>
      <c r="AM109" s="196">
        <v>0</v>
      </c>
      <c r="AN109" s="196">
        <v>46302</v>
      </c>
      <c r="AO109" s="196" t="s">
        <v>588</v>
      </c>
      <c r="BD109" s="196">
        <v>45759</v>
      </c>
      <c r="BE109" s="196" t="s">
        <v>232</v>
      </c>
    </row>
    <row r="110" spans="33:57" ht="14.5" x14ac:dyDescent="0.35">
      <c r="AG110" s="196" t="s">
        <v>896</v>
      </c>
      <c r="AH110" s="196" t="s">
        <v>749</v>
      </c>
      <c r="AI110" s="196">
        <v>45800</v>
      </c>
      <c r="AJ110" s="196">
        <v>99.53</v>
      </c>
      <c r="AK110" s="196" t="s">
        <v>564</v>
      </c>
      <c r="AL110" s="196" t="s">
        <v>793</v>
      </c>
      <c r="AM110" s="196">
        <v>0</v>
      </c>
      <c r="AN110" s="196">
        <v>46302</v>
      </c>
      <c r="AO110" s="196" t="s">
        <v>588</v>
      </c>
      <c r="BD110" s="196">
        <v>45760</v>
      </c>
      <c r="BE110" s="196" t="s">
        <v>232</v>
      </c>
    </row>
    <row r="111" spans="33:57" ht="14.5" x14ac:dyDescent="0.35">
      <c r="AG111" s="196" t="s">
        <v>897</v>
      </c>
      <c r="AH111" s="196" t="s">
        <v>749</v>
      </c>
      <c r="AI111" s="196">
        <v>45803</v>
      </c>
      <c r="AJ111" s="196">
        <v>99.33</v>
      </c>
      <c r="AK111" s="196" t="s">
        <v>564</v>
      </c>
      <c r="AL111" s="196" t="s">
        <v>793</v>
      </c>
      <c r="AM111" s="196">
        <v>0</v>
      </c>
      <c r="AN111" s="196">
        <v>46302</v>
      </c>
      <c r="AO111" s="196" t="s">
        <v>588</v>
      </c>
      <c r="BD111" s="196">
        <v>45761</v>
      </c>
      <c r="BE111" s="196" t="s">
        <v>230</v>
      </c>
    </row>
    <row r="112" spans="33:57" ht="14.5" x14ac:dyDescent="0.35">
      <c r="AG112" s="196" t="s">
        <v>898</v>
      </c>
      <c r="AH112" s="196" t="s">
        <v>749</v>
      </c>
      <c r="AI112" s="196">
        <v>45804</v>
      </c>
      <c r="AJ112" s="196">
        <v>99.27</v>
      </c>
      <c r="AK112" s="196" t="s">
        <v>564</v>
      </c>
      <c r="AL112" s="196" t="s">
        <v>793</v>
      </c>
      <c r="AM112" s="196">
        <v>0</v>
      </c>
      <c r="AN112" s="196">
        <v>46302</v>
      </c>
      <c r="AO112" s="196" t="s">
        <v>588</v>
      </c>
      <c r="BD112" s="196">
        <v>45762</v>
      </c>
      <c r="BE112" s="196" t="s">
        <v>230</v>
      </c>
    </row>
    <row r="113" spans="33:57" ht="14.5" x14ac:dyDescent="0.35">
      <c r="AG113" s="196" t="s">
        <v>899</v>
      </c>
      <c r="AH113" s="196" t="s">
        <v>749</v>
      </c>
      <c r="AI113" s="196">
        <v>45805</v>
      </c>
      <c r="AJ113" s="196">
        <v>99.2</v>
      </c>
      <c r="AK113" s="196" t="s">
        <v>564</v>
      </c>
      <c r="AL113" s="196" t="s">
        <v>793</v>
      </c>
      <c r="AM113" s="196">
        <v>0</v>
      </c>
      <c r="AN113" s="196">
        <v>46302</v>
      </c>
      <c r="AO113" s="196" t="s">
        <v>588</v>
      </c>
      <c r="BD113" s="196">
        <v>45763</v>
      </c>
      <c r="BE113" s="196" t="s">
        <v>230</v>
      </c>
    </row>
    <row r="114" spans="33:57" ht="14.5" x14ac:dyDescent="0.35">
      <c r="AG114" s="196" t="s">
        <v>900</v>
      </c>
      <c r="AH114" s="196" t="s">
        <v>749</v>
      </c>
      <c r="AI114" s="196">
        <v>45806</v>
      </c>
      <c r="AJ114" s="196">
        <v>99.13</v>
      </c>
      <c r="AK114" s="196" t="s">
        <v>564</v>
      </c>
      <c r="AL114" s="196" t="s">
        <v>793</v>
      </c>
      <c r="AM114" s="196">
        <v>0</v>
      </c>
      <c r="AN114" s="196">
        <v>46302</v>
      </c>
      <c r="AO114" s="196" t="s">
        <v>588</v>
      </c>
      <c r="BD114" s="196">
        <v>45764</v>
      </c>
      <c r="BE114" s="196" t="s">
        <v>230</v>
      </c>
    </row>
    <row r="115" spans="33:57" ht="14.5" x14ac:dyDescent="0.35">
      <c r="AG115" s="196" t="s">
        <v>901</v>
      </c>
      <c r="AH115" s="196" t="s">
        <v>749</v>
      </c>
      <c r="AI115" s="196">
        <v>45807</v>
      </c>
      <c r="AJ115" s="196">
        <v>99.07</v>
      </c>
      <c r="AK115" s="196" t="s">
        <v>564</v>
      </c>
      <c r="AL115" s="196" t="s">
        <v>793</v>
      </c>
      <c r="AM115" s="196">
        <v>0</v>
      </c>
      <c r="AN115" s="196">
        <v>46302</v>
      </c>
      <c r="AO115" s="196" t="s">
        <v>588</v>
      </c>
      <c r="BD115" s="196">
        <v>45765</v>
      </c>
      <c r="BE115" s="196" t="s">
        <v>230</v>
      </c>
    </row>
    <row r="116" spans="33:57" ht="14.5" x14ac:dyDescent="0.35">
      <c r="AG116" s="196" t="s">
        <v>902</v>
      </c>
      <c r="AH116" s="196" t="s">
        <v>749</v>
      </c>
      <c r="AI116" s="196">
        <v>45810</v>
      </c>
      <c r="AJ116" s="196">
        <v>99.41</v>
      </c>
      <c r="AK116" s="196" t="s">
        <v>564</v>
      </c>
      <c r="AL116" s="196" t="s">
        <v>793</v>
      </c>
      <c r="AM116" s="196">
        <v>0</v>
      </c>
      <c r="AN116" s="196">
        <v>46302</v>
      </c>
      <c r="AO116" s="196" t="s">
        <v>588</v>
      </c>
      <c r="BD116" s="196">
        <v>45766</v>
      </c>
      <c r="BE116" s="196" t="s">
        <v>232</v>
      </c>
    </row>
    <row r="117" spans="33:57" ht="14.5" x14ac:dyDescent="0.35">
      <c r="AG117" s="196" t="s">
        <v>903</v>
      </c>
      <c r="AH117" s="196" t="s">
        <v>749</v>
      </c>
      <c r="AI117" s="196">
        <v>45811</v>
      </c>
      <c r="AJ117" s="196">
        <v>99.83</v>
      </c>
      <c r="AK117" s="196" t="s">
        <v>564</v>
      </c>
      <c r="AL117" s="196" t="s">
        <v>793</v>
      </c>
      <c r="AM117" s="196">
        <v>0</v>
      </c>
      <c r="AN117" s="196">
        <v>46302</v>
      </c>
      <c r="AO117" s="196" t="s">
        <v>588</v>
      </c>
      <c r="BD117" s="196">
        <v>45767</v>
      </c>
      <c r="BE117" s="196" t="s">
        <v>232</v>
      </c>
    </row>
    <row r="118" spans="33:57" ht="14.5" x14ac:dyDescent="0.35">
      <c r="AG118" s="196" t="s">
        <v>904</v>
      </c>
      <c r="AH118" s="196" t="s">
        <v>749</v>
      </c>
      <c r="AI118" s="196">
        <v>45812</v>
      </c>
      <c r="AJ118" s="196">
        <v>100.24</v>
      </c>
      <c r="AK118" s="196" t="s">
        <v>564</v>
      </c>
      <c r="AL118" s="196" t="s">
        <v>793</v>
      </c>
      <c r="AM118" s="196">
        <v>0</v>
      </c>
      <c r="AN118" s="196">
        <v>46302</v>
      </c>
      <c r="AO118" s="196" t="s">
        <v>588</v>
      </c>
      <c r="BD118" s="196">
        <v>45768</v>
      </c>
      <c r="BE118" s="196" t="s">
        <v>230</v>
      </c>
    </row>
    <row r="119" spans="33:57" ht="14.5" x14ac:dyDescent="0.35">
      <c r="AG119" s="196" t="s">
        <v>905</v>
      </c>
      <c r="AH119" s="196" t="s">
        <v>749</v>
      </c>
      <c r="AI119" s="196">
        <v>45813</v>
      </c>
      <c r="AJ119" s="196">
        <v>100.66</v>
      </c>
      <c r="AK119" s="196" t="s">
        <v>564</v>
      </c>
      <c r="AL119" s="196" t="s">
        <v>793</v>
      </c>
      <c r="AM119" s="196">
        <v>0</v>
      </c>
      <c r="AN119" s="196">
        <v>46302</v>
      </c>
      <c r="AO119" s="196" t="s">
        <v>588</v>
      </c>
      <c r="BD119" s="196">
        <v>45769</v>
      </c>
      <c r="BE119" s="196" t="s">
        <v>230</v>
      </c>
    </row>
    <row r="120" spans="33:57" ht="14.5" x14ac:dyDescent="0.35">
      <c r="AG120" s="196" t="s">
        <v>906</v>
      </c>
      <c r="AH120" s="196" t="s">
        <v>749</v>
      </c>
      <c r="AI120" s="196">
        <v>45814</v>
      </c>
      <c r="AJ120" s="196">
        <v>101.07</v>
      </c>
      <c r="AK120" s="196" t="s">
        <v>564</v>
      </c>
      <c r="AL120" s="196" t="s">
        <v>793</v>
      </c>
      <c r="AM120" s="196">
        <v>0</v>
      </c>
      <c r="AN120" s="196">
        <v>46302</v>
      </c>
      <c r="AO120" s="196" t="s">
        <v>588</v>
      </c>
      <c r="BD120" s="196">
        <v>45770</v>
      </c>
      <c r="BE120" s="196" t="s">
        <v>230</v>
      </c>
    </row>
    <row r="121" spans="33:57" ht="14.5" x14ac:dyDescent="0.35">
      <c r="AG121" s="196" t="s">
        <v>907</v>
      </c>
      <c r="AH121" s="196" t="s">
        <v>749</v>
      </c>
      <c r="AI121" s="196">
        <v>45817</v>
      </c>
      <c r="AJ121" s="196">
        <v>102.31</v>
      </c>
      <c r="AK121" s="196" t="s">
        <v>564</v>
      </c>
      <c r="AL121" s="196" t="s">
        <v>793</v>
      </c>
      <c r="AM121" s="196">
        <v>0</v>
      </c>
      <c r="AN121" s="196">
        <v>46302</v>
      </c>
      <c r="AO121" s="196" t="s">
        <v>588</v>
      </c>
      <c r="BD121" s="196">
        <v>45771</v>
      </c>
      <c r="BE121" s="196" t="s">
        <v>230</v>
      </c>
    </row>
    <row r="122" spans="33:57" ht="14.5" x14ac:dyDescent="0.35">
      <c r="AG122" s="196" t="s">
        <v>908</v>
      </c>
      <c r="AH122" s="196" t="s">
        <v>749</v>
      </c>
      <c r="AI122" s="196">
        <v>45818</v>
      </c>
      <c r="AJ122" s="196">
        <v>102.72</v>
      </c>
      <c r="AK122" s="196" t="s">
        <v>564</v>
      </c>
      <c r="AL122" s="196" t="s">
        <v>793</v>
      </c>
      <c r="AM122" s="196">
        <v>0</v>
      </c>
      <c r="AN122" s="196">
        <v>46302</v>
      </c>
      <c r="AO122" s="196" t="s">
        <v>588</v>
      </c>
      <c r="BD122" s="196">
        <v>45772</v>
      </c>
      <c r="BE122" s="196" t="s">
        <v>230</v>
      </c>
    </row>
    <row r="123" spans="33:57" ht="14.5" x14ac:dyDescent="0.35">
      <c r="AG123" s="196" t="s">
        <v>909</v>
      </c>
      <c r="AH123" s="196" t="s">
        <v>749</v>
      </c>
      <c r="AI123" s="196">
        <v>45819</v>
      </c>
      <c r="AJ123" s="196">
        <v>103.14</v>
      </c>
      <c r="AK123" s="196" t="s">
        <v>564</v>
      </c>
      <c r="AL123" s="196" t="s">
        <v>793</v>
      </c>
      <c r="AM123" s="196">
        <v>0</v>
      </c>
      <c r="AN123" s="196">
        <v>46302</v>
      </c>
      <c r="AO123" s="196" t="s">
        <v>588</v>
      </c>
      <c r="BD123" s="196">
        <v>45773</v>
      </c>
      <c r="BE123" s="196" t="s">
        <v>232</v>
      </c>
    </row>
    <row r="124" spans="33:57" ht="14.5" x14ac:dyDescent="0.35">
      <c r="AG124" s="196" t="s">
        <v>910</v>
      </c>
      <c r="AH124" s="196" t="s">
        <v>749</v>
      </c>
      <c r="AI124" s="196">
        <v>45820</v>
      </c>
      <c r="AJ124" s="196">
        <v>103.55</v>
      </c>
      <c r="AK124" s="196" t="s">
        <v>564</v>
      </c>
      <c r="AL124" s="196" t="s">
        <v>793</v>
      </c>
      <c r="AM124" s="196">
        <v>0</v>
      </c>
      <c r="AN124" s="196">
        <v>46302</v>
      </c>
      <c r="AO124" s="196" t="s">
        <v>588</v>
      </c>
      <c r="BD124" s="196">
        <v>45774</v>
      </c>
      <c r="BE124" s="196" t="s">
        <v>232</v>
      </c>
    </row>
    <row r="125" spans="33:57" ht="14.5" x14ac:dyDescent="0.35">
      <c r="AG125" s="196" t="s">
        <v>911</v>
      </c>
      <c r="AH125" s="196" t="s">
        <v>749</v>
      </c>
      <c r="AI125" s="196">
        <v>45821</v>
      </c>
      <c r="AJ125" s="196">
        <v>103.97</v>
      </c>
      <c r="AK125" s="196" t="s">
        <v>564</v>
      </c>
      <c r="AL125" s="196" t="s">
        <v>793</v>
      </c>
      <c r="AM125" s="196">
        <v>0</v>
      </c>
      <c r="AN125" s="196">
        <v>46302</v>
      </c>
      <c r="AO125" s="196" t="s">
        <v>588</v>
      </c>
      <c r="BD125" s="196">
        <v>45775</v>
      </c>
      <c r="BE125" s="196" t="s">
        <v>230</v>
      </c>
    </row>
    <row r="126" spans="33:57" ht="14.5" x14ac:dyDescent="0.35">
      <c r="AG126" s="196" t="s">
        <v>912</v>
      </c>
      <c r="AH126" s="196" t="s">
        <v>749</v>
      </c>
      <c r="AI126" s="196">
        <v>45824</v>
      </c>
      <c r="AJ126" s="196">
        <v>52.6</v>
      </c>
      <c r="AK126" s="196" t="s">
        <v>564</v>
      </c>
      <c r="AL126" s="196" t="s">
        <v>793</v>
      </c>
      <c r="AM126" s="196">
        <v>0</v>
      </c>
      <c r="AN126" s="196">
        <v>46302</v>
      </c>
      <c r="AO126" s="196" t="s">
        <v>588</v>
      </c>
      <c r="BD126" s="196">
        <v>45776</v>
      </c>
      <c r="BE126" s="196" t="s">
        <v>230</v>
      </c>
    </row>
    <row r="127" spans="33:57" ht="14.5" x14ac:dyDescent="0.35">
      <c r="AG127" s="196" t="s">
        <v>913</v>
      </c>
      <c r="AH127" s="196" t="s">
        <v>749</v>
      </c>
      <c r="AI127" s="196">
        <v>45825</v>
      </c>
      <c r="AJ127" s="196">
        <v>52.81</v>
      </c>
      <c r="AK127" s="196" t="s">
        <v>564</v>
      </c>
      <c r="AL127" s="196" t="s">
        <v>793</v>
      </c>
      <c r="AM127" s="196">
        <v>0</v>
      </c>
      <c r="AN127" s="196">
        <v>46302</v>
      </c>
      <c r="AO127" s="196" t="s">
        <v>588</v>
      </c>
      <c r="BD127" s="196">
        <v>45777</v>
      </c>
      <c r="BE127" s="196" t="s">
        <v>230</v>
      </c>
    </row>
    <row r="128" spans="33:57" ht="14.5" x14ac:dyDescent="0.35">
      <c r="AG128" s="196" t="s">
        <v>914</v>
      </c>
      <c r="AH128" s="196" t="s">
        <v>749</v>
      </c>
      <c r="AI128" s="196">
        <v>45826</v>
      </c>
      <c r="AJ128" s="196">
        <v>53.02</v>
      </c>
      <c r="AK128" s="196" t="s">
        <v>564</v>
      </c>
      <c r="AL128" s="196" t="s">
        <v>793</v>
      </c>
      <c r="AM128" s="196">
        <v>0</v>
      </c>
      <c r="AN128" s="196">
        <v>46302</v>
      </c>
      <c r="AO128" s="196" t="s">
        <v>588</v>
      </c>
      <c r="BD128" s="196">
        <v>45778</v>
      </c>
      <c r="BE128" s="196" t="s">
        <v>230</v>
      </c>
    </row>
    <row r="129" spans="33:57" ht="14.5" x14ac:dyDescent="0.35">
      <c r="AG129" s="196" t="s">
        <v>915</v>
      </c>
      <c r="AH129" s="196" t="s">
        <v>749</v>
      </c>
      <c r="AI129" s="196">
        <v>45827</v>
      </c>
      <c r="AJ129" s="196">
        <v>53.22</v>
      </c>
      <c r="AK129" s="196" t="s">
        <v>564</v>
      </c>
      <c r="AL129" s="196" t="s">
        <v>793</v>
      </c>
      <c r="AM129" s="196">
        <v>0</v>
      </c>
      <c r="AN129" s="196">
        <v>46302</v>
      </c>
      <c r="AO129" s="196" t="s">
        <v>588</v>
      </c>
      <c r="BD129" s="196">
        <v>45779</v>
      </c>
      <c r="BE129" s="196" t="s">
        <v>230</v>
      </c>
    </row>
    <row r="130" spans="33:57" ht="14.5" x14ac:dyDescent="0.35">
      <c r="AG130" s="196" t="s">
        <v>916</v>
      </c>
      <c r="AH130" s="196" t="s">
        <v>749</v>
      </c>
      <c r="AI130" s="196">
        <v>45828</v>
      </c>
      <c r="AJ130" s="196">
        <v>53.43</v>
      </c>
      <c r="AK130" s="196" t="s">
        <v>564</v>
      </c>
      <c r="AL130" s="196" t="s">
        <v>793</v>
      </c>
      <c r="AM130" s="196">
        <v>0</v>
      </c>
      <c r="AN130" s="196">
        <v>46302</v>
      </c>
      <c r="AO130" s="196" t="s">
        <v>588</v>
      </c>
      <c r="BD130" s="196">
        <v>45780</v>
      </c>
      <c r="BE130" s="196" t="s">
        <v>232</v>
      </c>
    </row>
    <row r="131" spans="33:57" ht="14.5" x14ac:dyDescent="0.35">
      <c r="AG131" s="196" t="s">
        <v>917</v>
      </c>
      <c r="AH131" s="196" t="s">
        <v>749</v>
      </c>
      <c r="AI131" s="196">
        <v>45831</v>
      </c>
      <c r="AJ131" s="196">
        <v>54.05</v>
      </c>
      <c r="AK131" s="196" t="s">
        <v>564</v>
      </c>
      <c r="AL131" s="196" t="s">
        <v>793</v>
      </c>
      <c r="AM131" s="196">
        <v>0</v>
      </c>
      <c r="AN131" s="196">
        <v>46302</v>
      </c>
      <c r="AO131" s="196" t="s">
        <v>588</v>
      </c>
      <c r="BD131" s="196">
        <v>45781</v>
      </c>
      <c r="BE131" s="196" t="s">
        <v>232</v>
      </c>
    </row>
    <row r="132" spans="33:57" ht="14.5" x14ac:dyDescent="0.35">
      <c r="AG132" s="196" t="s">
        <v>918</v>
      </c>
      <c r="AH132" s="196" t="s">
        <v>749</v>
      </c>
      <c r="AI132" s="196">
        <v>45832</v>
      </c>
      <c r="AJ132" s="196">
        <v>54.26</v>
      </c>
      <c r="AK132" s="196" t="s">
        <v>564</v>
      </c>
      <c r="AL132" s="196" t="s">
        <v>793</v>
      </c>
      <c r="AM132" s="196">
        <v>0</v>
      </c>
      <c r="AN132" s="196">
        <v>46302</v>
      </c>
      <c r="AO132" s="196" t="s">
        <v>588</v>
      </c>
      <c r="BD132" s="196">
        <v>45782</v>
      </c>
      <c r="BE132" s="196" t="s">
        <v>230</v>
      </c>
    </row>
    <row r="133" spans="33:57" ht="14.5" x14ac:dyDescent="0.35">
      <c r="AG133" s="196" t="s">
        <v>919</v>
      </c>
      <c r="AH133" s="196" t="s">
        <v>749</v>
      </c>
      <c r="AI133" s="196">
        <v>45833</v>
      </c>
      <c r="AJ133" s="196">
        <v>54.47</v>
      </c>
      <c r="AK133" s="196" t="s">
        <v>564</v>
      </c>
      <c r="AL133" s="196" t="s">
        <v>793</v>
      </c>
      <c r="AM133" s="196">
        <v>0</v>
      </c>
      <c r="AN133" s="196">
        <v>46302</v>
      </c>
      <c r="AO133" s="196" t="s">
        <v>588</v>
      </c>
      <c r="BD133" s="196">
        <v>45783</v>
      </c>
      <c r="BE133" s="196" t="s">
        <v>230</v>
      </c>
    </row>
    <row r="134" spans="33:57" ht="14.5" x14ac:dyDescent="0.35">
      <c r="AG134" s="196" t="s">
        <v>920</v>
      </c>
      <c r="AH134" s="196" t="s">
        <v>749</v>
      </c>
      <c r="AI134" s="196">
        <v>45834</v>
      </c>
      <c r="AJ134" s="196">
        <v>54.67</v>
      </c>
      <c r="AK134" s="196" t="s">
        <v>564</v>
      </c>
      <c r="AL134" s="196" t="s">
        <v>793</v>
      </c>
      <c r="AM134" s="196">
        <v>0</v>
      </c>
      <c r="AN134" s="196">
        <v>46302</v>
      </c>
      <c r="AO134" s="196" t="s">
        <v>588</v>
      </c>
      <c r="BD134" s="196">
        <v>45784</v>
      </c>
      <c r="BE134" s="196" t="s">
        <v>230</v>
      </c>
    </row>
    <row r="135" spans="33:57" ht="14.5" x14ac:dyDescent="0.35">
      <c r="AG135" s="196" t="s">
        <v>921</v>
      </c>
      <c r="AH135" s="196" t="s">
        <v>749</v>
      </c>
      <c r="AI135" s="196">
        <v>45835</v>
      </c>
      <c r="AJ135" s="196">
        <v>54.88</v>
      </c>
      <c r="AK135" s="196" t="s">
        <v>564</v>
      </c>
      <c r="AL135" s="196" t="s">
        <v>793</v>
      </c>
      <c r="AM135" s="196">
        <v>0</v>
      </c>
      <c r="AN135" s="196">
        <v>46302</v>
      </c>
      <c r="AO135" s="196" t="s">
        <v>588</v>
      </c>
      <c r="BD135" s="196">
        <v>45785</v>
      </c>
      <c r="BE135" s="196" t="s">
        <v>230</v>
      </c>
    </row>
    <row r="136" spans="33:57" ht="14.5" x14ac:dyDescent="0.35">
      <c r="AG136" s="196" t="s">
        <v>922</v>
      </c>
      <c r="AH136" s="196" t="s">
        <v>749</v>
      </c>
      <c r="AI136" s="196">
        <v>45838</v>
      </c>
      <c r="AJ136" s="196">
        <v>55.5</v>
      </c>
      <c r="AK136" s="196" t="s">
        <v>564</v>
      </c>
      <c r="AL136" s="196" t="s">
        <v>793</v>
      </c>
      <c r="AM136" s="196">
        <v>0</v>
      </c>
      <c r="AN136" s="196">
        <v>46302</v>
      </c>
      <c r="AO136" s="196" t="s">
        <v>588</v>
      </c>
      <c r="BD136" s="196">
        <v>45786</v>
      </c>
      <c r="BE136" s="196" t="s">
        <v>230</v>
      </c>
    </row>
    <row r="137" spans="33:57" ht="14.5" x14ac:dyDescent="0.35">
      <c r="AG137" s="196" t="s">
        <v>923</v>
      </c>
      <c r="AH137" s="196" t="s">
        <v>749</v>
      </c>
      <c r="AI137" s="196">
        <v>45839</v>
      </c>
      <c r="AJ137" s="196">
        <v>55.5</v>
      </c>
      <c r="AK137" s="196" t="s">
        <v>564</v>
      </c>
      <c r="AL137" s="196" t="s">
        <v>793</v>
      </c>
      <c r="AM137" s="196">
        <v>0</v>
      </c>
      <c r="AN137" s="196">
        <v>46302</v>
      </c>
      <c r="AO137" s="196" t="s">
        <v>588</v>
      </c>
      <c r="BD137" s="196">
        <v>45787</v>
      </c>
      <c r="BE137" s="196" t="s">
        <v>232</v>
      </c>
    </row>
    <row r="138" spans="33:57" ht="14.5" x14ac:dyDescent="0.35">
      <c r="AG138" s="196" t="s">
        <v>924</v>
      </c>
      <c r="AH138" s="196" t="s">
        <v>749</v>
      </c>
      <c r="AI138" s="196">
        <v>45840</v>
      </c>
      <c r="AJ138" s="196">
        <v>55.38</v>
      </c>
      <c r="AK138" s="196" t="s">
        <v>564</v>
      </c>
      <c r="AL138" s="196" t="s">
        <v>793</v>
      </c>
      <c r="AM138" s="196">
        <v>0</v>
      </c>
      <c r="AN138" s="196">
        <v>46302</v>
      </c>
      <c r="AO138" s="196" t="s">
        <v>588</v>
      </c>
      <c r="BD138" s="196">
        <v>45788</v>
      </c>
      <c r="BE138" s="196" t="s">
        <v>232</v>
      </c>
    </row>
    <row r="139" spans="33:57" ht="14.5" x14ac:dyDescent="0.35">
      <c r="AG139" s="196" t="s">
        <v>925</v>
      </c>
      <c r="AH139" s="196" t="s">
        <v>749</v>
      </c>
      <c r="AI139" s="196">
        <v>45841</v>
      </c>
      <c r="AJ139" s="196">
        <v>55.27</v>
      </c>
      <c r="AK139" s="196" t="s">
        <v>564</v>
      </c>
      <c r="AL139" s="196" t="s">
        <v>793</v>
      </c>
      <c r="AM139" s="196">
        <v>0</v>
      </c>
      <c r="AN139" s="196">
        <v>46302</v>
      </c>
      <c r="AO139" s="196" t="s">
        <v>588</v>
      </c>
      <c r="BD139" s="196">
        <v>45789</v>
      </c>
      <c r="BE139" s="196" t="s">
        <v>230</v>
      </c>
    </row>
    <row r="140" spans="33:57" ht="14.5" x14ac:dyDescent="0.35">
      <c r="AG140" s="196" t="s">
        <v>926</v>
      </c>
      <c r="AH140" s="196" t="s">
        <v>749</v>
      </c>
      <c r="AI140" s="196">
        <v>45842</v>
      </c>
      <c r="AJ140" s="196">
        <v>55.15</v>
      </c>
      <c r="AK140" s="196" t="s">
        <v>564</v>
      </c>
      <c r="AL140" s="196" t="s">
        <v>793</v>
      </c>
      <c r="AM140" s="196">
        <v>0</v>
      </c>
      <c r="AN140" s="196">
        <v>46302</v>
      </c>
      <c r="AO140" s="196" t="s">
        <v>588</v>
      </c>
      <c r="BD140" s="196">
        <v>45790</v>
      </c>
      <c r="BE140" s="196" t="s">
        <v>230</v>
      </c>
    </row>
    <row r="141" spans="33:57" ht="14.5" x14ac:dyDescent="0.35">
      <c r="AG141" s="196" t="s">
        <v>927</v>
      </c>
      <c r="AH141" s="196" t="s">
        <v>749</v>
      </c>
      <c r="AI141" s="196">
        <v>45845</v>
      </c>
      <c r="AJ141" s="196">
        <v>54.8</v>
      </c>
      <c r="AK141" s="196" t="s">
        <v>564</v>
      </c>
      <c r="AL141" s="196" t="s">
        <v>793</v>
      </c>
      <c r="AM141" s="196">
        <v>0</v>
      </c>
      <c r="AN141" s="196">
        <v>46302</v>
      </c>
      <c r="AO141" s="196" t="s">
        <v>588</v>
      </c>
      <c r="BD141" s="196">
        <v>45791</v>
      </c>
      <c r="BE141" s="196" t="s">
        <v>230</v>
      </c>
    </row>
    <row r="142" spans="33:57" ht="14.5" x14ac:dyDescent="0.35">
      <c r="AG142" s="196" t="s">
        <v>928</v>
      </c>
      <c r="AH142" s="196" t="s">
        <v>749</v>
      </c>
      <c r="AI142" s="196">
        <v>45846</v>
      </c>
      <c r="AJ142" s="196">
        <v>54.68</v>
      </c>
      <c r="AK142" s="196" t="s">
        <v>564</v>
      </c>
      <c r="AL142" s="196" t="s">
        <v>793</v>
      </c>
      <c r="AM142" s="196">
        <v>0</v>
      </c>
      <c r="AN142" s="196">
        <v>46302</v>
      </c>
      <c r="AO142" s="196" t="s">
        <v>588</v>
      </c>
      <c r="BD142" s="196">
        <v>45792</v>
      </c>
      <c r="BE142" s="196" t="s">
        <v>230</v>
      </c>
    </row>
    <row r="143" spans="33:57" ht="14.5" x14ac:dyDescent="0.35">
      <c r="AG143" s="196" t="s">
        <v>929</v>
      </c>
      <c r="AH143" s="196" t="s">
        <v>749</v>
      </c>
      <c r="AI143" s="196">
        <v>45847</v>
      </c>
      <c r="AJ143" s="196">
        <v>54.57</v>
      </c>
      <c r="AK143" s="196" t="s">
        <v>564</v>
      </c>
      <c r="AL143" s="196" t="s">
        <v>793</v>
      </c>
      <c r="AM143" s="196">
        <v>0</v>
      </c>
      <c r="AN143" s="196">
        <v>46302</v>
      </c>
      <c r="AO143" s="196" t="s">
        <v>588</v>
      </c>
      <c r="BD143" s="196">
        <v>45793</v>
      </c>
      <c r="BE143" s="196" t="s">
        <v>230</v>
      </c>
    </row>
    <row r="144" spans="33:57" ht="14.5" x14ac:dyDescent="0.35">
      <c r="AG144" s="196" t="s">
        <v>930</v>
      </c>
      <c r="AH144" s="196" t="s">
        <v>749</v>
      </c>
      <c r="AI144" s="196">
        <v>45848</v>
      </c>
      <c r="AJ144" s="196">
        <v>54.45</v>
      </c>
      <c r="AK144" s="196" t="s">
        <v>564</v>
      </c>
      <c r="AL144" s="196" t="s">
        <v>793</v>
      </c>
      <c r="AM144" s="196">
        <v>0</v>
      </c>
      <c r="AN144" s="196">
        <v>46302</v>
      </c>
      <c r="AO144" s="196" t="s">
        <v>588</v>
      </c>
      <c r="BD144" s="196">
        <v>45794</v>
      </c>
      <c r="BE144" s="196" t="s">
        <v>232</v>
      </c>
    </row>
    <row r="145" spans="33:57" ht="14.5" x14ac:dyDescent="0.35">
      <c r="AG145" s="196" t="s">
        <v>931</v>
      </c>
      <c r="AH145" s="196" t="s">
        <v>749</v>
      </c>
      <c r="AI145" s="196">
        <v>45849</v>
      </c>
      <c r="AJ145" s="196">
        <v>54.33</v>
      </c>
      <c r="AK145" s="196" t="s">
        <v>564</v>
      </c>
      <c r="AL145" s="196" t="s">
        <v>793</v>
      </c>
      <c r="AM145" s="196">
        <v>0</v>
      </c>
      <c r="AN145" s="196">
        <v>46302</v>
      </c>
      <c r="AO145" s="196" t="s">
        <v>588</v>
      </c>
      <c r="BD145" s="196">
        <v>45795</v>
      </c>
      <c r="BE145" s="196" t="s">
        <v>232</v>
      </c>
    </row>
    <row r="146" spans="33:57" ht="14.5" x14ac:dyDescent="0.35">
      <c r="AG146" s="196" t="s">
        <v>932</v>
      </c>
      <c r="AH146" s="196" t="s">
        <v>749</v>
      </c>
      <c r="AI146" s="196">
        <v>45852</v>
      </c>
      <c r="AJ146" s="196">
        <v>53.98</v>
      </c>
      <c r="AK146" s="196" t="s">
        <v>564</v>
      </c>
      <c r="AL146" s="196" t="s">
        <v>793</v>
      </c>
      <c r="AM146" s="196">
        <v>0</v>
      </c>
      <c r="AN146" s="196">
        <v>46302</v>
      </c>
      <c r="AO146" s="196" t="s">
        <v>588</v>
      </c>
      <c r="BD146" s="196">
        <v>45796</v>
      </c>
      <c r="BE146" s="196" t="s">
        <v>230</v>
      </c>
    </row>
    <row r="147" spans="33:57" ht="14.5" x14ac:dyDescent="0.35">
      <c r="AG147" s="196" t="s">
        <v>933</v>
      </c>
      <c r="AH147" s="196" t="s">
        <v>749</v>
      </c>
      <c r="AI147" s="196">
        <v>45853</v>
      </c>
      <c r="AJ147" s="196">
        <v>53.87</v>
      </c>
      <c r="AK147" s="196" t="s">
        <v>564</v>
      </c>
      <c r="AL147" s="196" t="s">
        <v>793</v>
      </c>
      <c r="AM147" s="196">
        <v>0</v>
      </c>
      <c r="AN147" s="196">
        <v>46302</v>
      </c>
      <c r="AO147" s="196" t="s">
        <v>588</v>
      </c>
      <c r="BD147" s="196">
        <v>45797</v>
      </c>
      <c r="BE147" s="196" t="s">
        <v>230</v>
      </c>
    </row>
    <row r="148" spans="33:57" ht="14.5" x14ac:dyDescent="0.35">
      <c r="AG148" s="196" t="s">
        <v>934</v>
      </c>
      <c r="AH148" s="196" t="s">
        <v>749</v>
      </c>
      <c r="AI148" s="196">
        <v>45854</v>
      </c>
      <c r="AJ148" s="196">
        <v>53.75</v>
      </c>
      <c r="AK148" s="196" t="s">
        <v>564</v>
      </c>
      <c r="AL148" s="196" t="s">
        <v>793</v>
      </c>
      <c r="AM148" s="196">
        <v>0</v>
      </c>
      <c r="AN148" s="196">
        <v>46302</v>
      </c>
      <c r="AO148" s="196" t="s">
        <v>588</v>
      </c>
      <c r="BD148" s="196">
        <v>45798</v>
      </c>
      <c r="BE148" s="196" t="s">
        <v>230</v>
      </c>
    </row>
    <row r="149" spans="33:57" ht="14.5" x14ac:dyDescent="0.35">
      <c r="AG149" s="196" t="s">
        <v>935</v>
      </c>
      <c r="AH149" s="196" t="s">
        <v>749</v>
      </c>
      <c r="AI149" s="196">
        <v>45855</v>
      </c>
      <c r="AJ149" s="196">
        <v>53.63</v>
      </c>
      <c r="AK149" s="196" t="s">
        <v>564</v>
      </c>
      <c r="AL149" s="196" t="s">
        <v>793</v>
      </c>
      <c r="AM149" s="196">
        <v>0</v>
      </c>
      <c r="AN149" s="196">
        <v>46302</v>
      </c>
      <c r="AO149" s="196" t="s">
        <v>588</v>
      </c>
      <c r="BD149" s="196">
        <v>45799</v>
      </c>
      <c r="BE149" s="196" t="s">
        <v>230</v>
      </c>
    </row>
    <row r="150" spans="33:57" ht="14.5" x14ac:dyDescent="0.35">
      <c r="AG150" s="196" t="s">
        <v>936</v>
      </c>
      <c r="AH150" s="196" t="s">
        <v>749</v>
      </c>
      <c r="AI150" s="196">
        <v>45856</v>
      </c>
      <c r="AJ150" s="196">
        <v>53.52</v>
      </c>
      <c r="AK150" s="196" t="s">
        <v>564</v>
      </c>
      <c r="AL150" s="196" t="s">
        <v>793</v>
      </c>
      <c r="AM150" s="196">
        <v>0</v>
      </c>
      <c r="AN150" s="196">
        <v>46302</v>
      </c>
      <c r="AO150" s="196" t="s">
        <v>588</v>
      </c>
      <c r="BD150" s="196">
        <v>45800</v>
      </c>
      <c r="BE150" s="196" t="s">
        <v>230</v>
      </c>
    </row>
    <row r="151" spans="33:57" ht="14.5" x14ac:dyDescent="0.35">
      <c r="AG151" s="196" t="s">
        <v>937</v>
      </c>
      <c r="AH151" s="196" t="s">
        <v>749</v>
      </c>
      <c r="AI151" s="196">
        <v>45859</v>
      </c>
      <c r="AJ151" s="196">
        <v>53.17</v>
      </c>
      <c r="AK151" s="196" t="s">
        <v>564</v>
      </c>
      <c r="AL151" s="196" t="s">
        <v>793</v>
      </c>
      <c r="AM151" s="196">
        <v>0</v>
      </c>
      <c r="AN151" s="196">
        <v>46302</v>
      </c>
      <c r="AO151" s="196" t="s">
        <v>588</v>
      </c>
      <c r="BD151" s="196">
        <v>45801</v>
      </c>
      <c r="BE151" s="196" t="s">
        <v>232</v>
      </c>
    </row>
    <row r="152" spans="33:57" ht="14.5" x14ac:dyDescent="0.35">
      <c r="AG152" s="196" t="s">
        <v>938</v>
      </c>
      <c r="AH152" s="196" t="s">
        <v>749</v>
      </c>
      <c r="AI152" s="196">
        <v>45860</v>
      </c>
      <c r="AJ152" s="196">
        <v>53.05</v>
      </c>
      <c r="AK152" s="196" t="s">
        <v>564</v>
      </c>
      <c r="AL152" s="196" t="s">
        <v>793</v>
      </c>
      <c r="AM152" s="196">
        <v>0</v>
      </c>
      <c r="AN152" s="196">
        <v>46302</v>
      </c>
      <c r="AO152" s="196" t="s">
        <v>588</v>
      </c>
      <c r="BD152" s="196">
        <v>45802</v>
      </c>
      <c r="BE152" s="196" t="s">
        <v>232</v>
      </c>
    </row>
    <row r="153" spans="33:57" ht="14.5" x14ac:dyDescent="0.35">
      <c r="AG153" s="196" t="s">
        <v>939</v>
      </c>
      <c r="AH153" s="196" t="s">
        <v>749</v>
      </c>
      <c r="AI153" s="196">
        <v>45861</v>
      </c>
      <c r="AJ153" s="196">
        <v>52.93</v>
      </c>
      <c r="AK153" s="196" t="s">
        <v>564</v>
      </c>
      <c r="AL153" s="196" t="s">
        <v>793</v>
      </c>
      <c r="AM153" s="196">
        <v>0</v>
      </c>
      <c r="AN153" s="196">
        <v>46302</v>
      </c>
      <c r="AO153" s="196" t="s">
        <v>588</v>
      </c>
      <c r="BD153" s="196">
        <v>45803</v>
      </c>
      <c r="BE153" s="196" t="s">
        <v>230</v>
      </c>
    </row>
    <row r="154" spans="33:57" ht="14.5" x14ac:dyDescent="0.35">
      <c r="AG154" s="196" t="s">
        <v>940</v>
      </c>
      <c r="AH154" s="196" t="s">
        <v>749</v>
      </c>
      <c r="AI154" s="196">
        <v>45862</v>
      </c>
      <c r="AJ154" s="196">
        <v>52.82</v>
      </c>
      <c r="AK154" s="196" t="s">
        <v>564</v>
      </c>
      <c r="AL154" s="196" t="s">
        <v>793</v>
      </c>
      <c r="AM154" s="196">
        <v>0</v>
      </c>
      <c r="AN154" s="196">
        <v>46302</v>
      </c>
      <c r="AO154" s="196" t="s">
        <v>588</v>
      </c>
      <c r="BD154" s="196">
        <v>45804</v>
      </c>
      <c r="BE154" s="196" t="s">
        <v>230</v>
      </c>
    </row>
    <row r="155" spans="33:57" ht="14.5" x14ac:dyDescent="0.35">
      <c r="AG155" s="196" t="s">
        <v>941</v>
      </c>
      <c r="AH155" s="196" t="s">
        <v>749</v>
      </c>
      <c r="AI155" s="196">
        <v>45863</v>
      </c>
      <c r="AJ155" s="196">
        <v>52.7</v>
      </c>
      <c r="AK155" s="196" t="s">
        <v>564</v>
      </c>
      <c r="AL155" s="196" t="s">
        <v>793</v>
      </c>
      <c r="AM155" s="196">
        <v>0</v>
      </c>
      <c r="AN155" s="196">
        <v>46302</v>
      </c>
      <c r="AO155" s="196" t="s">
        <v>588</v>
      </c>
      <c r="BD155" s="196">
        <v>45805</v>
      </c>
      <c r="BE155" s="196" t="s">
        <v>230</v>
      </c>
    </row>
    <row r="156" spans="33:57" ht="14.5" x14ac:dyDescent="0.35">
      <c r="AG156" s="196" t="s">
        <v>942</v>
      </c>
      <c r="AH156" s="196" t="s">
        <v>749</v>
      </c>
      <c r="AI156" s="196">
        <v>45866</v>
      </c>
      <c r="AJ156" s="196">
        <v>52.35</v>
      </c>
      <c r="AK156" s="196" t="s">
        <v>564</v>
      </c>
      <c r="AL156" s="196" t="s">
        <v>793</v>
      </c>
      <c r="AM156" s="196">
        <v>0</v>
      </c>
      <c r="AN156" s="196">
        <v>46302</v>
      </c>
      <c r="AO156" s="196" t="s">
        <v>588</v>
      </c>
      <c r="BD156" s="196">
        <v>45806</v>
      </c>
      <c r="BE156" s="196" t="s">
        <v>230</v>
      </c>
    </row>
    <row r="157" spans="33:57" ht="14.5" x14ac:dyDescent="0.35">
      <c r="AG157" s="196" t="s">
        <v>943</v>
      </c>
      <c r="AH157" s="196" t="s">
        <v>749</v>
      </c>
      <c r="AI157" s="196">
        <v>45867</v>
      </c>
      <c r="AJ157" s="196">
        <v>52.23</v>
      </c>
      <c r="AK157" s="196" t="s">
        <v>564</v>
      </c>
      <c r="AL157" s="196" t="s">
        <v>793</v>
      </c>
      <c r="AM157" s="196">
        <v>0</v>
      </c>
      <c r="AN157" s="196">
        <v>46302</v>
      </c>
      <c r="AO157" s="196" t="s">
        <v>588</v>
      </c>
      <c r="BD157" s="196">
        <v>45807</v>
      </c>
      <c r="BE157" s="196" t="s">
        <v>230</v>
      </c>
    </row>
    <row r="158" spans="33:57" ht="14.5" x14ac:dyDescent="0.35">
      <c r="AG158" s="196" t="s">
        <v>944</v>
      </c>
      <c r="AH158" s="196" t="s">
        <v>749</v>
      </c>
      <c r="AI158" s="196">
        <v>45868</v>
      </c>
      <c r="AJ158" s="196">
        <v>52.12</v>
      </c>
      <c r="AK158" s="196" t="s">
        <v>564</v>
      </c>
      <c r="AL158" s="196" t="s">
        <v>793</v>
      </c>
      <c r="AM158" s="196">
        <v>0</v>
      </c>
      <c r="AN158" s="196">
        <v>46302</v>
      </c>
      <c r="AO158" s="196" t="s">
        <v>588</v>
      </c>
      <c r="BD158" s="196">
        <v>45808</v>
      </c>
      <c r="BE158" s="196" t="s">
        <v>232</v>
      </c>
    </row>
    <row r="159" spans="33:57" ht="14.5" x14ac:dyDescent="0.35">
      <c r="AG159" s="196" t="s">
        <v>945</v>
      </c>
      <c r="AH159" s="196" t="s">
        <v>749</v>
      </c>
      <c r="AI159" s="196">
        <v>45869</v>
      </c>
      <c r="AJ159" s="196">
        <v>52</v>
      </c>
      <c r="AK159" s="196" t="s">
        <v>564</v>
      </c>
      <c r="AL159" s="196" t="s">
        <v>793</v>
      </c>
      <c r="AM159" s="196">
        <v>0</v>
      </c>
      <c r="AN159" s="196">
        <v>46302</v>
      </c>
      <c r="AO159" s="196" t="s">
        <v>588</v>
      </c>
      <c r="BD159" s="196">
        <v>45809</v>
      </c>
      <c r="BE159" s="196" t="s">
        <v>232</v>
      </c>
    </row>
    <row r="160" spans="33:57" ht="14.5" x14ac:dyDescent="0.35">
      <c r="AG160" s="196" t="s">
        <v>946</v>
      </c>
      <c r="AH160" s="196" t="s">
        <v>749</v>
      </c>
      <c r="AI160" s="196">
        <v>45870</v>
      </c>
      <c r="AJ160" s="196">
        <v>52</v>
      </c>
      <c r="AK160" s="196" t="s">
        <v>564</v>
      </c>
      <c r="AL160" s="196" t="s">
        <v>793</v>
      </c>
      <c r="AM160" s="196">
        <v>0</v>
      </c>
      <c r="AN160" s="196">
        <v>46302</v>
      </c>
      <c r="AO160" s="196" t="s">
        <v>588</v>
      </c>
      <c r="BD160" s="196">
        <v>45810</v>
      </c>
      <c r="BE160" s="196" t="s">
        <v>230</v>
      </c>
    </row>
    <row r="161" spans="33:57" ht="14.5" x14ac:dyDescent="0.35">
      <c r="AG161" s="196" t="s">
        <v>947</v>
      </c>
      <c r="AH161" s="196" t="s">
        <v>749</v>
      </c>
      <c r="AI161" s="196">
        <v>45873</v>
      </c>
      <c r="AJ161" s="196">
        <v>51.7</v>
      </c>
      <c r="AK161" s="196" t="s">
        <v>564</v>
      </c>
      <c r="AL161" s="196" t="s">
        <v>793</v>
      </c>
      <c r="AM161" s="196">
        <v>0</v>
      </c>
      <c r="AN161" s="196">
        <v>46302</v>
      </c>
      <c r="AO161" s="196" t="s">
        <v>588</v>
      </c>
      <c r="BD161" s="196">
        <v>45811</v>
      </c>
      <c r="BE161" s="196" t="s">
        <v>230</v>
      </c>
    </row>
    <row r="162" spans="33:57" ht="14.5" x14ac:dyDescent="0.35">
      <c r="AG162" s="196" t="s">
        <v>948</v>
      </c>
      <c r="AH162" s="196" t="s">
        <v>749</v>
      </c>
      <c r="AI162" s="196">
        <v>45874</v>
      </c>
      <c r="AJ162" s="196">
        <v>51.6</v>
      </c>
      <c r="AK162" s="196" t="s">
        <v>564</v>
      </c>
      <c r="AL162" s="196" t="s">
        <v>793</v>
      </c>
      <c r="AM162" s="196">
        <v>0</v>
      </c>
      <c r="AN162" s="196">
        <v>46302</v>
      </c>
      <c r="AO162" s="196" t="s">
        <v>588</v>
      </c>
      <c r="BD162" s="196">
        <v>45812</v>
      </c>
      <c r="BE162" s="196" t="s">
        <v>230</v>
      </c>
    </row>
    <row r="163" spans="33:57" ht="14.5" x14ac:dyDescent="0.35">
      <c r="AG163" s="196" t="s">
        <v>949</v>
      </c>
      <c r="AH163" s="196" t="s">
        <v>749</v>
      </c>
      <c r="AI163" s="196">
        <v>45875</v>
      </c>
      <c r="AJ163" s="196">
        <v>51.5</v>
      </c>
      <c r="AK163" s="196" t="s">
        <v>564</v>
      </c>
      <c r="AL163" s="196" t="s">
        <v>793</v>
      </c>
      <c r="AM163" s="196">
        <v>0</v>
      </c>
      <c r="AN163" s="196">
        <v>46302</v>
      </c>
      <c r="AO163" s="196" t="s">
        <v>588</v>
      </c>
      <c r="BD163" s="196">
        <v>45813</v>
      </c>
      <c r="BE163" s="196" t="s">
        <v>230</v>
      </c>
    </row>
    <row r="164" spans="33:57" ht="14.5" x14ac:dyDescent="0.35">
      <c r="AG164" s="196" t="s">
        <v>950</v>
      </c>
      <c r="AH164" s="196" t="s">
        <v>749</v>
      </c>
      <c r="AI164" s="196">
        <v>45876</v>
      </c>
      <c r="AJ164" s="196">
        <v>51.4</v>
      </c>
      <c r="AK164" s="196" t="s">
        <v>564</v>
      </c>
      <c r="AL164" s="196" t="s">
        <v>793</v>
      </c>
      <c r="AM164" s="196">
        <v>0</v>
      </c>
      <c r="AN164" s="196">
        <v>46302</v>
      </c>
      <c r="AO164" s="196" t="s">
        <v>588</v>
      </c>
      <c r="BD164" s="196">
        <v>45814</v>
      </c>
      <c r="BE164" s="196" t="s">
        <v>230</v>
      </c>
    </row>
    <row r="165" spans="33:57" ht="14.5" x14ac:dyDescent="0.35">
      <c r="AG165" s="196" t="s">
        <v>951</v>
      </c>
      <c r="AH165" s="196" t="s">
        <v>749</v>
      </c>
      <c r="AI165" s="196">
        <v>45877</v>
      </c>
      <c r="AJ165" s="196">
        <v>51.3</v>
      </c>
      <c r="AK165" s="196" t="s">
        <v>564</v>
      </c>
      <c r="AL165" s="196" t="s">
        <v>793</v>
      </c>
      <c r="AM165" s="196">
        <v>0</v>
      </c>
      <c r="AN165" s="196">
        <v>46302</v>
      </c>
      <c r="AO165" s="196" t="s">
        <v>588</v>
      </c>
      <c r="BD165" s="196">
        <v>45815</v>
      </c>
      <c r="BE165" s="196" t="s">
        <v>232</v>
      </c>
    </row>
    <row r="166" spans="33:57" ht="14.5" x14ac:dyDescent="0.35">
      <c r="AG166" s="196" t="s">
        <v>952</v>
      </c>
      <c r="AH166" s="196" t="s">
        <v>749</v>
      </c>
      <c r="AI166" s="196">
        <v>45880</v>
      </c>
      <c r="AJ166" s="196">
        <v>51</v>
      </c>
      <c r="AK166" s="196" t="s">
        <v>564</v>
      </c>
      <c r="AL166" s="196" t="s">
        <v>793</v>
      </c>
      <c r="AM166" s="196">
        <v>0</v>
      </c>
      <c r="AN166" s="196">
        <v>46302</v>
      </c>
      <c r="AO166" s="196" t="s">
        <v>588</v>
      </c>
      <c r="BD166" s="196">
        <v>45816</v>
      </c>
      <c r="BE166" s="196" t="s">
        <v>232</v>
      </c>
    </row>
    <row r="167" spans="33:57" ht="14.5" x14ac:dyDescent="0.35">
      <c r="AG167" s="196" t="s">
        <v>953</v>
      </c>
      <c r="AH167" s="196" t="s">
        <v>749</v>
      </c>
      <c r="AI167" s="196">
        <v>45881</v>
      </c>
      <c r="AJ167" s="196">
        <v>50.9</v>
      </c>
      <c r="AK167" s="196" t="s">
        <v>564</v>
      </c>
      <c r="AL167" s="196" t="s">
        <v>793</v>
      </c>
      <c r="AM167" s="196">
        <v>0</v>
      </c>
      <c r="AN167" s="196">
        <v>46302</v>
      </c>
      <c r="AO167" s="196" t="s">
        <v>588</v>
      </c>
      <c r="BD167" s="196">
        <v>45817</v>
      </c>
      <c r="BE167" s="196" t="s">
        <v>230</v>
      </c>
    </row>
    <row r="168" spans="33:57" ht="14.5" x14ac:dyDescent="0.35">
      <c r="AG168" s="196" t="s">
        <v>954</v>
      </c>
      <c r="AH168" s="196" t="s">
        <v>749</v>
      </c>
      <c r="AI168" s="196">
        <v>45882</v>
      </c>
      <c r="AJ168" s="196">
        <v>50.8</v>
      </c>
      <c r="AK168" s="196" t="s">
        <v>564</v>
      </c>
      <c r="AL168" s="196" t="s">
        <v>793</v>
      </c>
      <c r="AM168" s="196">
        <v>0</v>
      </c>
      <c r="AN168" s="196">
        <v>46302</v>
      </c>
      <c r="AO168" s="196" t="s">
        <v>588</v>
      </c>
      <c r="BD168" s="196">
        <v>45818</v>
      </c>
      <c r="BE168" s="196" t="s">
        <v>230</v>
      </c>
    </row>
    <row r="169" spans="33:57" ht="14.5" x14ac:dyDescent="0.35">
      <c r="AG169" s="196" t="s">
        <v>955</v>
      </c>
      <c r="AH169" s="196" t="s">
        <v>749</v>
      </c>
      <c r="AI169" s="196">
        <v>45883</v>
      </c>
      <c r="AJ169" s="196">
        <v>50.7</v>
      </c>
      <c r="AK169" s="196" t="s">
        <v>564</v>
      </c>
      <c r="AL169" s="196" t="s">
        <v>793</v>
      </c>
      <c r="AM169" s="196">
        <v>0</v>
      </c>
      <c r="AN169" s="196">
        <v>46302</v>
      </c>
      <c r="AO169" s="196" t="s">
        <v>588</v>
      </c>
      <c r="BD169" s="196">
        <v>45819</v>
      </c>
      <c r="BE169" s="196" t="s">
        <v>230</v>
      </c>
    </row>
    <row r="170" spans="33:57" ht="14.5" x14ac:dyDescent="0.35">
      <c r="AG170" s="196" t="s">
        <v>956</v>
      </c>
      <c r="AH170" s="196" t="s">
        <v>749</v>
      </c>
      <c r="AI170" s="196">
        <v>45884</v>
      </c>
      <c r="AJ170" s="196">
        <v>50.6</v>
      </c>
      <c r="AK170" s="196" t="s">
        <v>564</v>
      </c>
      <c r="AL170" s="196" t="s">
        <v>793</v>
      </c>
      <c r="AM170" s="196">
        <v>0</v>
      </c>
      <c r="AN170" s="196">
        <v>46302</v>
      </c>
      <c r="AO170" s="196" t="s">
        <v>588</v>
      </c>
      <c r="BD170" s="196">
        <v>45820</v>
      </c>
      <c r="BE170" s="196" t="s">
        <v>230</v>
      </c>
    </row>
    <row r="171" spans="33:57" ht="14.5" x14ac:dyDescent="0.35">
      <c r="AG171" s="196" t="s">
        <v>957</v>
      </c>
      <c r="AH171" s="196" t="s">
        <v>749</v>
      </c>
      <c r="AI171" s="196">
        <v>45887</v>
      </c>
      <c r="AJ171" s="196">
        <v>50.3</v>
      </c>
      <c r="AK171" s="196" t="s">
        <v>564</v>
      </c>
      <c r="AL171" s="196" t="s">
        <v>793</v>
      </c>
      <c r="AM171" s="196">
        <v>0</v>
      </c>
      <c r="AN171" s="196">
        <v>46302</v>
      </c>
      <c r="AO171" s="196" t="s">
        <v>588</v>
      </c>
      <c r="BD171" s="196">
        <v>45821</v>
      </c>
      <c r="BE171" s="196" t="s">
        <v>230</v>
      </c>
    </row>
    <row r="172" spans="33:57" ht="14.5" x14ac:dyDescent="0.35">
      <c r="AG172" s="196" t="s">
        <v>958</v>
      </c>
      <c r="AH172" s="196" t="s">
        <v>749</v>
      </c>
      <c r="AI172" s="196">
        <v>45888</v>
      </c>
      <c r="AJ172" s="196">
        <v>50.2</v>
      </c>
      <c r="AK172" s="196" t="s">
        <v>564</v>
      </c>
      <c r="AL172" s="196" t="s">
        <v>793</v>
      </c>
      <c r="AM172" s="196">
        <v>0</v>
      </c>
      <c r="AN172" s="196">
        <v>46302</v>
      </c>
      <c r="AO172" s="196" t="s">
        <v>588</v>
      </c>
      <c r="BD172" s="196">
        <v>45822</v>
      </c>
      <c r="BE172" s="196" t="s">
        <v>232</v>
      </c>
    </row>
    <row r="173" spans="33:57" ht="14.5" x14ac:dyDescent="0.35">
      <c r="AG173" s="196" t="s">
        <v>959</v>
      </c>
      <c r="AH173" s="196" t="s">
        <v>749</v>
      </c>
      <c r="AI173" s="196">
        <v>45889</v>
      </c>
      <c r="AJ173" s="196">
        <v>50.1</v>
      </c>
      <c r="AK173" s="196" t="s">
        <v>564</v>
      </c>
      <c r="AL173" s="196" t="s">
        <v>793</v>
      </c>
      <c r="AM173" s="196">
        <v>0</v>
      </c>
      <c r="AN173" s="196">
        <v>46302</v>
      </c>
      <c r="AO173" s="196" t="s">
        <v>588</v>
      </c>
      <c r="BD173" s="196">
        <v>45823</v>
      </c>
      <c r="BE173" s="196" t="s">
        <v>232</v>
      </c>
    </row>
    <row r="174" spans="33:57" ht="14.5" x14ac:dyDescent="0.35">
      <c r="AG174" s="196" t="s">
        <v>960</v>
      </c>
      <c r="AH174" s="196" t="s">
        <v>749</v>
      </c>
      <c r="AI174" s="196">
        <v>45890</v>
      </c>
      <c r="AJ174" s="196">
        <v>50</v>
      </c>
      <c r="AK174" s="196" t="s">
        <v>564</v>
      </c>
      <c r="AL174" s="196" t="s">
        <v>793</v>
      </c>
      <c r="AM174" s="196">
        <v>0</v>
      </c>
      <c r="AN174" s="196">
        <v>46302</v>
      </c>
      <c r="AO174" s="196" t="s">
        <v>588</v>
      </c>
      <c r="BD174" s="196">
        <v>45824</v>
      </c>
      <c r="BE174" s="196" t="s">
        <v>230</v>
      </c>
    </row>
    <row r="175" spans="33:57" ht="14.5" x14ac:dyDescent="0.35">
      <c r="AG175" s="196" t="s">
        <v>961</v>
      </c>
      <c r="AH175" s="196" t="s">
        <v>749</v>
      </c>
      <c r="AI175" s="196">
        <v>45891</v>
      </c>
      <c r="AJ175" s="196">
        <v>49.9</v>
      </c>
      <c r="AK175" s="196" t="s">
        <v>564</v>
      </c>
      <c r="AL175" s="196" t="s">
        <v>793</v>
      </c>
      <c r="AM175" s="196">
        <v>0</v>
      </c>
      <c r="AN175" s="196">
        <v>46302</v>
      </c>
      <c r="AO175" s="196" t="s">
        <v>588</v>
      </c>
      <c r="BD175" s="196">
        <v>45825</v>
      </c>
      <c r="BE175" s="196" t="s">
        <v>230</v>
      </c>
    </row>
    <row r="176" spans="33:57" ht="14.5" x14ac:dyDescent="0.35">
      <c r="AG176" s="196" t="s">
        <v>962</v>
      </c>
      <c r="AH176" s="196" t="s">
        <v>749</v>
      </c>
      <c r="AI176" s="196">
        <v>45894</v>
      </c>
      <c r="AJ176" s="196">
        <v>49.6</v>
      </c>
      <c r="AK176" s="196" t="s">
        <v>564</v>
      </c>
      <c r="AL176" s="196" t="s">
        <v>793</v>
      </c>
      <c r="AM176" s="196">
        <v>0</v>
      </c>
      <c r="AN176" s="196">
        <v>46302</v>
      </c>
      <c r="AO176" s="196" t="s">
        <v>588</v>
      </c>
      <c r="BD176" s="196">
        <v>45826</v>
      </c>
      <c r="BE176" s="196" t="s">
        <v>230</v>
      </c>
    </row>
    <row r="177" spans="33:57" ht="14.5" x14ac:dyDescent="0.35">
      <c r="AG177" s="196" t="s">
        <v>963</v>
      </c>
      <c r="AH177" s="196" t="s">
        <v>749</v>
      </c>
      <c r="AI177" s="196">
        <v>45895</v>
      </c>
      <c r="AJ177" s="196">
        <v>49.5</v>
      </c>
      <c r="AK177" s="196" t="s">
        <v>564</v>
      </c>
      <c r="AL177" s="196" t="s">
        <v>793</v>
      </c>
      <c r="AM177" s="196">
        <v>0</v>
      </c>
      <c r="AN177" s="196">
        <v>46302</v>
      </c>
      <c r="AO177" s="196" t="s">
        <v>588</v>
      </c>
      <c r="BD177" s="196">
        <v>45827</v>
      </c>
      <c r="BE177" s="196" t="s">
        <v>230</v>
      </c>
    </row>
    <row r="178" spans="33:57" ht="14.5" x14ac:dyDescent="0.35">
      <c r="AG178" s="196" t="s">
        <v>964</v>
      </c>
      <c r="AH178" s="196" t="s">
        <v>749</v>
      </c>
      <c r="AI178" s="196">
        <v>45896</v>
      </c>
      <c r="AJ178" s="196">
        <v>49.4</v>
      </c>
      <c r="AK178" s="196" t="s">
        <v>564</v>
      </c>
      <c r="AL178" s="196" t="s">
        <v>793</v>
      </c>
      <c r="AM178" s="196">
        <v>0</v>
      </c>
      <c r="AN178" s="196">
        <v>46302</v>
      </c>
      <c r="AO178" s="196" t="s">
        <v>588</v>
      </c>
      <c r="BD178" s="196">
        <v>45828</v>
      </c>
      <c r="BE178" s="196" t="s">
        <v>230</v>
      </c>
    </row>
    <row r="179" spans="33:57" ht="14.5" x14ac:dyDescent="0.35">
      <c r="AG179" s="196" t="s">
        <v>965</v>
      </c>
      <c r="AH179" s="196" t="s">
        <v>749</v>
      </c>
      <c r="AI179" s="196">
        <v>45897</v>
      </c>
      <c r="AJ179" s="196">
        <v>49.3</v>
      </c>
      <c r="AK179" s="196" t="s">
        <v>564</v>
      </c>
      <c r="AL179" s="196" t="s">
        <v>793</v>
      </c>
      <c r="AM179" s="196">
        <v>0</v>
      </c>
      <c r="AN179" s="196">
        <v>46302</v>
      </c>
      <c r="AO179" s="196" t="s">
        <v>588</v>
      </c>
      <c r="BD179" s="196">
        <v>45829</v>
      </c>
      <c r="BE179" s="196" t="s">
        <v>232</v>
      </c>
    </row>
    <row r="180" spans="33:57" ht="14.5" x14ac:dyDescent="0.35">
      <c r="AG180" s="196" t="s">
        <v>966</v>
      </c>
      <c r="AH180" s="196" t="s">
        <v>749</v>
      </c>
      <c r="AI180" s="196">
        <v>45898</v>
      </c>
      <c r="AJ180" s="196">
        <v>49.2</v>
      </c>
      <c r="AK180" s="196" t="s">
        <v>564</v>
      </c>
      <c r="AL180" s="196" t="s">
        <v>793</v>
      </c>
      <c r="AM180" s="196">
        <v>0</v>
      </c>
      <c r="AN180" s="196">
        <v>46302</v>
      </c>
      <c r="AO180" s="196" t="s">
        <v>588</v>
      </c>
      <c r="BD180" s="196">
        <v>45830</v>
      </c>
      <c r="BE180" s="196" t="s">
        <v>232</v>
      </c>
    </row>
    <row r="181" spans="33:57" ht="14.5" x14ac:dyDescent="0.35">
      <c r="AG181" s="196" t="s">
        <v>967</v>
      </c>
      <c r="AH181" s="196" t="s">
        <v>749</v>
      </c>
      <c r="AI181" s="196">
        <v>45901</v>
      </c>
      <c r="AJ181" s="196">
        <v>49</v>
      </c>
      <c r="AK181" s="196" t="s">
        <v>564</v>
      </c>
      <c r="AL181" s="196" t="s">
        <v>793</v>
      </c>
      <c r="AM181" s="196">
        <v>0</v>
      </c>
      <c r="AN181" s="196">
        <v>46302</v>
      </c>
      <c r="AO181" s="196" t="s">
        <v>588</v>
      </c>
      <c r="BD181" s="196">
        <v>45831</v>
      </c>
      <c r="BE181" s="196" t="s">
        <v>230</v>
      </c>
    </row>
    <row r="182" spans="33:57" ht="14.5" x14ac:dyDescent="0.35">
      <c r="AG182" s="196" t="s">
        <v>968</v>
      </c>
      <c r="AH182" s="196" t="s">
        <v>749</v>
      </c>
      <c r="AI182" s="196">
        <v>45902</v>
      </c>
      <c r="AJ182" s="196">
        <v>49.17</v>
      </c>
      <c r="AK182" s="196" t="s">
        <v>564</v>
      </c>
      <c r="AL182" s="196" t="s">
        <v>793</v>
      </c>
      <c r="AM182" s="196">
        <v>0</v>
      </c>
      <c r="AN182" s="196">
        <v>46302</v>
      </c>
      <c r="AO182" s="196" t="s">
        <v>588</v>
      </c>
      <c r="BD182" s="196">
        <v>45832</v>
      </c>
      <c r="BE182" s="196" t="s">
        <v>230</v>
      </c>
    </row>
    <row r="183" spans="33:57" ht="14.5" x14ac:dyDescent="0.35">
      <c r="AG183" s="196" t="s">
        <v>969</v>
      </c>
      <c r="AH183" s="196" t="s">
        <v>749</v>
      </c>
      <c r="AI183" s="196">
        <v>45903</v>
      </c>
      <c r="AJ183" s="196">
        <v>49.34</v>
      </c>
      <c r="AK183" s="196" t="s">
        <v>564</v>
      </c>
      <c r="AL183" s="196" t="s">
        <v>793</v>
      </c>
      <c r="AM183" s="196">
        <v>0</v>
      </c>
      <c r="AN183" s="196">
        <v>46302</v>
      </c>
      <c r="AO183" s="196" t="s">
        <v>588</v>
      </c>
      <c r="BD183" s="196">
        <v>45833</v>
      </c>
      <c r="BE183" s="196" t="s">
        <v>230</v>
      </c>
    </row>
    <row r="184" spans="33:57" ht="14.5" x14ac:dyDescent="0.35">
      <c r="AG184" s="196" t="s">
        <v>970</v>
      </c>
      <c r="AH184" s="196" t="s">
        <v>749</v>
      </c>
      <c r="AI184" s="196">
        <v>45904</v>
      </c>
      <c r="AJ184" s="196">
        <v>49.52</v>
      </c>
      <c r="AK184" s="196" t="s">
        <v>564</v>
      </c>
      <c r="AL184" s="196" t="s">
        <v>793</v>
      </c>
      <c r="AM184" s="196">
        <v>0</v>
      </c>
      <c r="AN184" s="196">
        <v>46302</v>
      </c>
      <c r="AO184" s="196" t="s">
        <v>588</v>
      </c>
      <c r="BD184" s="196">
        <v>45834</v>
      </c>
      <c r="BE184" s="196" t="s">
        <v>230</v>
      </c>
    </row>
    <row r="185" spans="33:57" ht="14.5" x14ac:dyDescent="0.35">
      <c r="AG185" s="196" t="s">
        <v>971</v>
      </c>
      <c r="AH185" s="196" t="s">
        <v>749</v>
      </c>
      <c r="AI185" s="196">
        <v>45905</v>
      </c>
      <c r="AJ185" s="196">
        <v>49.69</v>
      </c>
      <c r="AK185" s="196" t="s">
        <v>564</v>
      </c>
      <c r="AL185" s="196" t="s">
        <v>793</v>
      </c>
      <c r="AM185" s="196">
        <v>0</v>
      </c>
      <c r="AN185" s="196">
        <v>46302</v>
      </c>
      <c r="AO185" s="196" t="s">
        <v>588</v>
      </c>
      <c r="BD185" s="196">
        <v>45835</v>
      </c>
      <c r="BE185" s="196" t="s">
        <v>230</v>
      </c>
    </row>
    <row r="186" spans="33:57" ht="14.5" x14ac:dyDescent="0.35">
      <c r="AG186" s="196" t="s">
        <v>972</v>
      </c>
      <c r="AH186" s="196" t="s">
        <v>749</v>
      </c>
      <c r="AI186" s="196">
        <v>45908</v>
      </c>
      <c r="AJ186" s="196">
        <v>50.21</v>
      </c>
      <c r="AK186" s="196" t="s">
        <v>564</v>
      </c>
      <c r="AL186" s="196" t="s">
        <v>793</v>
      </c>
      <c r="AM186" s="196">
        <v>0</v>
      </c>
      <c r="AN186" s="196">
        <v>46302</v>
      </c>
      <c r="AO186" s="196" t="s">
        <v>588</v>
      </c>
      <c r="BD186" s="196">
        <v>45836</v>
      </c>
      <c r="BE186" s="196" t="s">
        <v>232</v>
      </c>
    </row>
    <row r="187" spans="33:57" ht="14.5" x14ac:dyDescent="0.35">
      <c r="AG187" s="196" t="s">
        <v>973</v>
      </c>
      <c r="AH187" s="196" t="s">
        <v>749</v>
      </c>
      <c r="AI187" s="196">
        <v>45909</v>
      </c>
      <c r="AJ187" s="196">
        <v>50.38</v>
      </c>
      <c r="AK187" s="196" t="s">
        <v>564</v>
      </c>
      <c r="AL187" s="196" t="s">
        <v>793</v>
      </c>
      <c r="AM187" s="196">
        <v>0</v>
      </c>
      <c r="AN187" s="196">
        <v>46302</v>
      </c>
      <c r="AO187" s="196" t="s">
        <v>588</v>
      </c>
      <c r="BD187" s="196">
        <v>45837</v>
      </c>
      <c r="BE187" s="196" t="s">
        <v>232</v>
      </c>
    </row>
    <row r="188" spans="33:57" ht="14.5" x14ac:dyDescent="0.35">
      <c r="AG188" s="196" t="s">
        <v>974</v>
      </c>
      <c r="AH188" s="196" t="s">
        <v>749</v>
      </c>
      <c r="AI188" s="196">
        <v>45910</v>
      </c>
      <c r="AJ188" s="196">
        <v>50.55</v>
      </c>
      <c r="AK188" s="196" t="s">
        <v>564</v>
      </c>
      <c r="AL188" s="196" t="s">
        <v>793</v>
      </c>
      <c r="AM188" s="196">
        <v>0</v>
      </c>
      <c r="AN188" s="196">
        <v>46302</v>
      </c>
      <c r="AO188" s="196" t="s">
        <v>588</v>
      </c>
      <c r="BD188" s="196">
        <v>45838</v>
      </c>
      <c r="BE188" s="196" t="s">
        <v>230</v>
      </c>
    </row>
    <row r="189" spans="33:57" ht="14.5" x14ac:dyDescent="0.35">
      <c r="AG189" s="196" t="s">
        <v>975</v>
      </c>
      <c r="AH189" s="196" t="s">
        <v>749</v>
      </c>
      <c r="AI189" s="196">
        <v>45911</v>
      </c>
      <c r="AJ189" s="196">
        <v>50.72</v>
      </c>
      <c r="AK189" s="196" t="s">
        <v>564</v>
      </c>
      <c r="AL189" s="196" t="s">
        <v>793</v>
      </c>
      <c r="AM189" s="196">
        <v>0</v>
      </c>
      <c r="AN189" s="196">
        <v>46302</v>
      </c>
      <c r="AO189" s="196" t="s">
        <v>588</v>
      </c>
      <c r="BD189" s="196">
        <v>45839</v>
      </c>
      <c r="BE189" s="196" t="s">
        <v>230</v>
      </c>
    </row>
    <row r="190" spans="33:57" ht="14.5" x14ac:dyDescent="0.35">
      <c r="AG190" s="196" t="s">
        <v>976</v>
      </c>
      <c r="AH190" s="196" t="s">
        <v>749</v>
      </c>
      <c r="AI190" s="196">
        <v>45912</v>
      </c>
      <c r="AJ190" s="196">
        <v>50.9</v>
      </c>
      <c r="AK190" s="196" t="s">
        <v>564</v>
      </c>
      <c r="AL190" s="196" t="s">
        <v>793</v>
      </c>
      <c r="AM190" s="196">
        <v>0</v>
      </c>
      <c r="AN190" s="196">
        <v>46302</v>
      </c>
      <c r="AO190" s="196" t="s">
        <v>588</v>
      </c>
      <c r="BD190" s="196">
        <v>45840</v>
      </c>
      <c r="BE190" s="196" t="s">
        <v>230</v>
      </c>
    </row>
    <row r="191" spans="33:57" ht="14.5" x14ac:dyDescent="0.35">
      <c r="AG191" s="196" t="s">
        <v>977</v>
      </c>
      <c r="AH191" s="196" t="s">
        <v>749</v>
      </c>
      <c r="AI191" s="196">
        <v>45915</v>
      </c>
      <c r="AJ191" s="196">
        <v>51.41</v>
      </c>
      <c r="AK191" s="196" t="s">
        <v>564</v>
      </c>
      <c r="AL191" s="196" t="s">
        <v>793</v>
      </c>
      <c r="AM191" s="196">
        <v>0</v>
      </c>
      <c r="AN191" s="196">
        <v>46302</v>
      </c>
      <c r="AO191" s="196" t="s">
        <v>588</v>
      </c>
      <c r="BD191" s="196">
        <v>45841</v>
      </c>
      <c r="BE191" s="196" t="s">
        <v>230</v>
      </c>
    </row>
    <row r="192" spans="33:57" ht="14.5" x14ac:dyDescent="0.35">
      <c r="AG192" s="196" t="s">
        <v>978</v>
      </c>
      <c r="AH192" s="196" t="s">
        <v>749</v>
      </c>
      <c r="AI192" s="196">
        <v>45916</v>
      </c>
      <c r="AJ192" s="196">
        <v>51.59</v>
      </c>
      <c r="AK192" s="196" t="s">
        <v>564</v>
      </c>
      <c r="AL192" s="196" t="s">
        <v>793</v>
      </c>
      <c r="AM192" s="196">
        <v>0</v>
      </c>
      <c r="AN192" s="196">
        <v>46302</v>
      </c>
      <c r="AO192" s="196" t="s">
        <v>588</v>
      </c>
      <c r="BD192" s="196">
        <v>45842</v>
      </c>
      <c r="BE192" s="196" t="s">
        <v>230</v>
      </c>
    </row>
    <row r="193" spans="33:57" ht="14.5" x14ac:dyDescent="0.35">
      <c r="AG193" s="196" t="s">
        <v>979</v>
      </c>
      <c r="AH193" s="196" t="s">
        <v>749</v>
      </c>
      <c r="AI193" s="196">
        <v>45917</v>
      </c>
      <c r="AJ193" s="196">
        <v>51.76</v>
      </c>
      <c r="AK193" s="196" t="s">
        <v>564</v>
      </c>
      <c r="AL193" s="196" t="s">
        <v>793</v>
      </c>
      <c r="AM193" s="196">
        <v>0</v>
      </c>
      <c r="AN193" s="196">
        <v>46302</v>
      </c>
      <c r="AO193" s="196" t="s">
        <v>588</v>
      </c>
      <c r="BD193" s="196">
        <v>45843</v>
      </c>
      <c r="BE193" s="196" t="s">
        <v>232</v>
      </c>
    </row>
    <row r="194" spans="33:57" ht="14.5" x14ac:dyDescent="0.35">
      <c r="AG194" s="196" t="s">
        <v>980</v>
      </c>
      <c r="AH194" s="196" t="s">
        <v>749</v>
      </c>
      <c r="AI194" s="196">
        <v>45918</v>
      </c>
      <c r="AJ194" s="196">
        <v>51.93</v>
      </c>
      <c r="AK194" s="196" t="s">
        <v>564</v>
      </c>
      <c r="AL194" s="196" t="s">
        <v>793</v>
      </c>
      <c r="AM194" s="196">
        <v>0</v>
      </c>
      <c r="AN194" s="196">
        <v>46302</v>
      </c>
      <c r="AO194" s="196" t="s">
        <v>588</v>
      </c>
      <c r="BD194" s="196">
        <v>45844</v>
      </c>
      <c r="BE194" s="196" t="s">
        <v>232</v>
      </c>
    </row>
    <row r="195" spans="33:57" ht="14.5" x14ac:dyDescent="0.35">
      <c r="AG195" s="196" t="s">
        <v>981</v>
      </c>
      <c r="AH195" s="196" t="s">
        <v>749</v>
      </c>
      <c r="AI195" s="196">
        <v>45919</v>
      </c>
      <c r="AJ195" s="196">
        <v>52.1</v>
      </c>
      <c r="AK195" s="196" t="s">
        <v>564</v>
      </c>
      <c r="AL195" s="196" t="s">
        <v>793</v>
      </c>
      <c r="AM195" s="196">
        <v>0</v>
      </c>
      <c r="AN195" s="196">
        <v>46302</v>
      </c>
      <c r="AO195" s="196" t="s">
        <v>588</v>
      </c>
      <c r="BD195" s="196">
        <v>45845</v>
      </c>
      <c r="BE195" s="196" t="s">
        <v>230</v>
      </c>
    </row>
    <row r="196" spans="33:57" ht="14.5" x14ac:dyDescent="0.35">
      <c r="AG196" s="196" t="s">
        <v>982</v>
      </c>
      <c r="AH196" s="196" t="s">
        <v>749</v>
      </c>
      <c r="AI196" s="196">
        <v>45922</v>
      </c>
      <c r="AJ196" s="196">
        <v>52.62</v>
      </c>
      <c r="AK196" s="196" t="s">
        <v>564</v>
      </c>
      <c r="AL196" s="196" t="s">
        <v>793</v>
      </c>
      <c r="AM196" s="196">
        <v>0</v>
      </c>
      <c r="AN196" s="196">
        <v>46302</v>
      </c>
      <c r="AO196" s="196" t="s">
        <v>588</v>
      </c>
      <c r="BD196" s="196">
        <v>45846</v>
      </c>
      <c r="BE196" s="196" t="s">
        <v>230</v>
      </c>
    </row>
    <row r="197" spans="33:57" ht="14.5" x14ac:dyDescent="0.35">
      <c r="AG197" s="196" t="s">
        <v>983</v>
      </c>
      <c r="AH197" s="196" t="s">
        <v>749</v>
      </c>
      <c r="AI197" s="196">
        <v>45923</v>
      </c>
      <c r="AJ197" s="196">
        <v>52.79</v>
      </c>
      <c r="AK197" s="196" t="s">
        <v>564</v>
      </c>
      <c r="AL197" s="196" t="s">
        <v>793</v>
      </c>
      <c r="AM197" s="196">
        <v>0</v>
      </c>
      <c r="AN197" s="196">
        <v>46302</v>
      </c>
      <c r="AO197" s="196" t="s">
        <v>588</v>
      </c>
      <c r="BD197" s="196">
        <v>45847</v>
      </c>
      <c r="BE197" s="196" t="s">
        <v>230</v>
      </c>
    </row>
    <row r="198" spans="33:57" ht="14.5" x14ac:dyDescent="0.35">
      <c r="AG198" s="196" t="s">
        <v>984</v>
      </c>
      <c r="AH198" s="196" t="s">
        <v>749</v>
      </c>
      <c r="AI198" s="196">
        <v>45924</v>
      </c>
      <c r="AJ198" s="196">
        <v>52.97</v>
      </c>
      <c r="AK198" s="196" t="s">
        <v>564</v>
      </c>
      <c r="AL198" s="196" t="s">
        <v>793</v>
      </c>
      <c r="AM198" s="196">
        <v>0</v>
      </c>
      <c r="AN198" s="196">
        <v>46302</v>
      </c>
      <c r="AO198" s="196" t="s">
        <v>588</v>
      </c>
      <c r="BD198" s="196">
        <v>45848</v>
      </c>
      <c r="BE198" s="196" t="s">
        <v>230</v>
      </c>
    </row>
    <row r="199" spans="33:57" ht="14.5" x14ac:dyDescent="0.35">
      <c r="AG199" s="196" t="s">
        <v>985</v>
      </c>
      <c r="AH199" s="196" t="s">
        <v>749</v>
      </c>
      <c r="AI199" s="196">
        <v>45925</v>
      </c>
      <c r="AJ199" s="196">
        <v>53.14</v>
      </c>
      <c r="AK199" s="196" t="s">
        <v>564</v>
      </c>
      <c r="AL199" s="196" t="s">
        <v>793</v>
      </c>
      <c r="AM199" s="196">
        <v>0</v>
      </c>
      <c r="AN199" s="196">
        <v>46302</v>
      </c>
      <c r="AO199" s="196" t="s">
        <v>588</v>
      </c>
      <c r="BD199" s="196">
        <v>45849</v>
      </c>
      <c r="BE199" s="196" t="s">
        <v>230</v>
      </c>
    </row>
    <row r="200" spans="33:57" ht="14.5" x14ac:dyDescent="0.35">
      <c r="AG200" s="196" t="s">
        <v>986</v>
      </c>
      <c r="AH200" s="196" t="s">
        <v>749</v>
      </c>
      <c r="AI200" s="196">
        <v>45926</v>
      </c>
      <c r="AJ200" s="196">
        <v>53.31</v>
      </c>
      <c r="AK200" s="196" t="s">
        <v>564</v>
      </c>
      <c r="AL200" s="196" t="s">
        <v>793</v>
      </c>
      <c r="AM200" s="196">
        <v>0</v>
      </c>
      <c r="AN200" s="196">
        <v>46302</v>
      </c>
      <c r="AO200" s="196" t="s">
        <v>588</v>
      </c>
      <c r="BD200" s="196">
        <v>45850</v>
      </c>
      <c r="BE200" s="196" t="s">
        <v>232</v>
      </c>
    </row>
    <row r="201" spans="33:57" ht="14.5" x14ac:dyDescent="0.35">
      <c r="AG201" s="196" t="s">
        <v>987</v>
      </c>
      <c r="AH201" s="196" t="s">
        <v>749</v>
      </c>
      <c r="AI201" s="196">
        <v>45929</v>
      </c>
      <c r="AJ201" s="196">
        <v>53.83</v>
      </c>
      <c r="AK201" s="196" t="s">
        <v>564</v>
      </c>
      <c r="AL201" s="196" t="s">
        <v>793</v>
      </c>
      <c r="AM201" s="196">
        <v>0</v>
      </c>
      <c r="AN201" s="196">
        <v>46302</v>
      </c>
      <c r="AO201" s="196" t="s">
        <v>588</v>
      </c>
      <c r="BD201" s="196">
        <v>45851</v>
      </c>
      <c r="BE201" s="196" t="s">
        <v>232</v>
      </c>
    </row>
    <row r="202" spans="33:57" ht="14.5" x14ac:dyDescent="0.35">
      <c r="AG202" s="196" t="s">
        <v>988</v>
      </c>
      <c r="AH202" s="196" t="s">
        <v>749</v>
      </c>
      <c r="AI202" s="196">
        <v>45930</v>
      </c>
      <c r="AJ202" s="196">
        <v>54</v>
      </c>
      <c r="AK202" s="196" t="s">
        <v>564</v>
      </c>
      <c r="AL202" s="196" t="s">
        <v>793</v>
      </c>
      <c r="AM202" s="196">
        <v>0</v>
      </c>
      <c r="AN202" s="196">
        <v>46302</v>
      </c>
      <c r="AO202" s="196" t="s">
        <v>588</v>
      </c>
      <c r="BD202" s="196">
        <v>45852</v>
      </c>
      <c r="BE202" s="196" t="s">
        <v>230</v>
      </c>
    </row>
    <row r="203" spans="33:57" ht="14.5" x14ac:dyDescent="0.35">
      <c r="AG203" s="196" t="s">
        <v>989</v>
      </c>
      <c r="AH203" s="196" t="s">
        <v>749</v>
      </c>
      <c r="AI203" s="196">
        <v>45931</v>
      </c>
      <c r="AJ203" s="196">
        <v>54</v>
      </c>
      <c r="AK203" s="196" t="s">
        <v>564</v>
      </c>
      <c r="AL203" s="196" t="s">
        <v>793</v>
      </c>
      <c r="AM203" s="196">
        <v>0</v>
      </c>
      <c r="AN203" s="196">
        <v>46302</v>
      </c>
      <c r="AO203" s="196" t="s">
        <v>588</v>
      </c>
      <c r="BD203" s="196">
        <v>45853</v>
      </c>
      <c r="BE203" s="196" t="s">
        <v>230</v>
      </c>
    </row>
    <row r="204" spans="33:57" ht="14.5" x14ac:dyDescent="0.35">
      <c r="AG204" s="196" t="s">
        <v>990</v>
      </c>
      <c r="AH204" s="196" t="s">
        <v>749</v>
      </c>
      <c r="AI204" s="196">
        <v>45932</v>
      </c>
      <c r="AJ204" s="196">
        <v>53.9</v>
      </c>
      <c r="AK204" s="196" t="s">
        <v>564</v>
      </c>
      <c r="AL204" s="196" t="s">
        <v>793</v>
      </c>
      <c r="AM204" s="196">
        <v>0</v>
      </c>
      <c r="AN204" s="196">
        <v>46302</v>
      </c>
      <c r="AO204" s="196" t="s">
        <v>588</v>
      </c>
      <c r="BD204" s="196">
        <v>45854</v>
      </c>
      <c r="BE204" s="196" t="s">
        <v>230</v>
      </c>
    </row>
    <row r="205" spans="33:57" ht="14.5" x14ac:dyDescent="0.35">
      <c r="AG205" s="196" t="s">
        <v>991</v>
      </c>
      <c r="AH205" s="196" t="s">
        <v>749</v>
      </c>
      <c r="AI205" s="196">
        <v>45933</v>
      </c>
      <c r="AJ205" s="196">
        <v>53.8</v>
      </c>
      <c r="AK205" s="196" t="s">
        <v>564</v>
      </c>
      <c r="AL205" s="196" t="s">
        <v>793</v>
      </c>
      <c r="AM205" s="196">
        <v>0</v>
      </c>
      <c r="AN205" s="196">
        <v>46302</v>
      </c>
      <c r="AO205" s="196" t="s">
        <v>588</v>
      </c>
      <c r="BD205" s="196">
        <v>45855</v>
      </c>
      <c r="BE205" s="196" t="s">
        <v>230</v>
      </c>
    </row>
    <row r="206" spans="33:57" ht="14.5" x14ac:dyDescent="0.35">
      <c r="AG206" s="196" t="s">
        <v>992</v>
      </c>
      <c r="AH206" s="196" t="s">
        <v>749</v>
      </c>
      <c r="AI206" s="196">
        <v>45936</v>
      </c>
      <c r="AJ206" s="196">
        <v>53.5</v>
      </c>
      <c r="AK206" s="196" t="s">
        <v>564</v>
      </c>
      <c r="AL206" s="196" t="s">
        <v>793</v>
      </c>
      <c r="AM206" s="196">
        <v>0</v>
      </c>
      <c r="AN206" s="196">
        <v>46302</v>
      </c>
      <c r="AO206" s="196" t="s">
        <v>588</v>
      </c>
      <c r="BD206" s="196">
        <v>45856</v>
      </c>
      <c r="BE206" s="196" t="s">
        <v>230</v>
      </c>
    </row>
    <row r="207" spans="33:57" ht="14.5" x14ac:dyDescent="0.35">
      <c r="AG207" s="196" t="s">
        <v>993</v>
      </c>
      <c r="AH207" s="196" t="s">
        <v>749</v>
      </c>
      <c r="AI207" s="196">
        <v>45937</v>
      </c>
      <c r="AJ207" s="196">
        <v>53.4</v>
      </c>
      <c r="AK207" s="196" t="s">
        <v>564</v>
      </c>
      <c r="AL207" s="196" t="s">
        <v>793</v>
      </c>
      <c r="AM207" s="196">
        <v>0</v>
      </c>
      <c r="AN207" s="196">
        <v>46302</v>
      </c>
      <c r="AO207" s="196" t="s">
        <v>588</v>
      </c>
      <c r="BD207" s="196">
        <v>45857</v>
      </c>
      <c r="BE207" s="196" t="s">
        <v>232</v>
      </c>
    </row>
    <row r="208" spans="33:57" ht="14.5" x14ac:dyDescent="0.35">
      <c r="AG208" s="196" t="s">
        <v>994</v>
      </c>
      <c r="AH208" s="196" t="s">
        <v>749</v>
      </c>
      <c r="AI208" s="196">
        <v>45938</v>
      </c>
      <c r="AJ208" s="196">
        <v>53.3</v>
      </c>
      <c r="AK208" s="196" t="s">
        <v>564</v>
      </c>
      <c r="AL208" s="196" t="s">
        <v>793</v>
      </c>
      <c r="AM208" s="196">
        <v>0</v>
      </c>
      <c r="AN208" s="196">
        <v>46302</v>
      </c>
      <c r="AO208" s="196" t="s">
        <v>588</v>
      </c>
      <c r="BD208" s="196">
        <v>45858</v>
      </c>
      <c r="BE208" s="196" t="s">
        <v>232</v>
      </c>
    </row>
    <row r="209" spans="33:57" ht="14.5" x14ac:dyDescent="0.35">
      <c r="AG209" s="196" t="s">
        <v>995</v>
      </c>
      <c r="AH209" s="196" t="s">
        <v>749</v>
      </c>
      <c r="AI209" s="196">
        <v>45939</v>
      </c>
      <c r="AJ209" s="196">
        <v>53.2</v>
      </c>
      <c r="AK209" s="196" t="s">
        <v>564</v>
      </c>
      <c r="AL209" s="196" t="s">
        <v>793</v>
      </c>
      <c r="AM209" s="196">
        <v>0</v>
      </c>
      <c r="AN209" s="196">
        <v>46302</v>
      </c>
      <c r="AO209" s="196" t="s">
        <v>588</v>
      </c>
      <c r="BD209" s="196">
        <v>45859</v>
      </c>
      <c r="BE209" s="196" t="s">
        <v>230</v>
      </c>
    </row>
    <row r="210" spans="33:57" ht="14.5" x14ac:dyDescent="0.35">
      <c r="AG210" s="196" t="s">
        <v>996</v>
      </c>
      <c r="AH210" s="196" t="s">
        <v>749</v>
      </c>
      <c r="AI210" s="196">
        <v>45940</v>
      </c>
      <c r="AJ210" s="196">
        <v>53.1</v>
      </c>
      <c r="AK210" s="196" t="s">
        <v>564</v>
      </c>
      <c r="AL210" s="196" t="s">
        <v>793</v>
      </c>
      <c r="AM210" s="196">
        <v>0</v>
      </c>
      <c r="AN210" s="196">
        <v>46302</v>
      </c>
      <c r="AO210" s="196" t="s">
        <v>588</v>
      </c>
      <c r="BD210" s="196">
        <v>45860</v>
      </c>
      <c r="BE210" s="196" t="s">
        <v>230</v>
      </c>
    </row>
    <row r="211" spans="33:57" ht="14.5" x14ac:dyDescent="0.35">
      <c r="AG211" s="196" t="s">
        <v>997</v>
      </c>
      <c r="AH211" s="196" t="s">
        <v>749</v>
      </c>
      <c r="AI211" s="196">
        <v>45943</v>
      </c>
      <c r="AJ211" s="196">
        <v>52.8</v>
      </c>
      <c r="AK211" s="196" t="s">
        <v>564</v>
      </c>
      <c r="AL211" s="196" t="s">
        <v>793</v>
      </c>
      <c r="AM211" s="196">
        <v>0</v>
      </c>
      <c r="AN211" s="196">
        <v>46302</v>
      </c>
      <c r="AO211" s="196" t="s">
        <v>588</v>
      </c>
      <c r="BD211" s="196">
        <v>45861</v>
      </c>
      <c r="BE211" s="196" t="s">
        <v>230</v>
      </c>
    </row>
    <row r="212" spans="33:57" ht="14.5" x14ac:dyDescent="0.35">
      <c r="AG212" s="196" t="s">
        <v>998</v>
      </c>
      <c r="AH212" s="196" t="s">
        <v>749</v>
      </c>
      <c r="AI212" s="196">
        <v>45944</v>
      </c>
      <c r="AJ212" s="196">
        <v>52.7</v>
      </c>
      <c r="AK212" s="196" t="s">
        <v>564</v>
      </c>
      <c r="AL212" s="196" t="s">
        <v>793</v>
      </c>
      <c r="AM212" s="196">
        <v>0</v>
      </c>
      <c r="AN212" s="196">
        <v>46302</v>
      </c>
      <c r="AO212" s="196" t="s">
        <v>588</v>
      </c>
      <c r="BD212" s="196">
        <v>45862</v>
      </c>
      <c r="BE212" s="196" t="s">
        <v>230</v>
      </c>
    </row>
    <row r="213" spans="33:57" ht="14.5" x14ac:dyDescent="0.35">
      <c r="AG213" s="196" t="s">
        <v>999</v>
      </c>
      <c r="AH213" s="196" t="s">
        <v>749</v>
      </c>
      <c r="AI213" s="196">
        <v>45945</v>
      </c>
      <c r="AJ213" s="196">
        <v>52.6</v>
      </c>
      <c r="AK213" s="196" t="s">
        <v>564</v>
      </c>
      <c r="AL213" s="196" t="s">
        <v>793</v>
      </c>
      <c r="AM213" s="196">
        <v>0</v>
      </c>
      <c r="AN213" s="196">
        <v>46302</v>
      </c>
      <c r="AO213" s="196" t="s">
        <v>588</v>
      </c>
      <c r="BD213" s="196">
        <v>45863</v>
      </c>
      <c r="BE213" s="196" t="s">
        <v>230</v>
      </c>
    </row>
    <row r="214" spans="33:57" ht="14.5" x14ac:dyDescent="0.35">
      <c r="AG214" s="196" t="s">
        <v>1000</v>
      </c>
      <c r="AH214" s="196" t="s">
        <v>749</v>
      </c>
      <c r="AI214" s="196">
        <v>45946</v>
      </c>
      <c r="AJ214" s="196">
        <v>52.5</v>
      </c>
      <c r="AK214" s="196" t="s">
        <v>564</v>
      </c>
      <c r="AL214" s="196" t="s">
        <v>793</v>
      </c>
      <c r="AM214" s="196">
        <v>0</v>
      </c>
      <c r="AN214" s="196">
        <v>46302</v>
      </c>
      <c r="AO214" s="196" t="s">
        <v>588</v>
      </c>
      <c r="BD214" s="196">
        <v>45864</v>
      </c>
      <c r="BE214" s="196" t="s">
        <v>232</v>
      </c>
    </row>
    <row r="215" spans="33:57" ht="14.5" x14ac:dyDescent="0.35">
      <c r="AG215" s="196" t="s">
        <v>1001</v>
      </c>
      <c r="AH215" s="196" t="s">
        <v>749</v>
      </c>
      <c r="AI215" s="196">
        <v>45947</v>
      </c>
      <c r="AJ215" s="196">
        <v>52.4</v>
      </c>
      <c r="AK215" s="196" t="s">
        <v>564</v>
      </c>
      <c r="AL215" s="196" t="s">
        <v>793</v>
      </c>
      <c r="AM215" s="196">
        <v>0</v>
      </c>
      <c r="AN215" s="196">
        <v>46302</v>
      </c>
      <c r="AO215" s="196" t="s">
        <v>588</v>
      </c>
      <c r="BD215" s="196">
        <v>45865</v>
      </c>
      <c r="BE215" s="196" t="s">
        <v>232</v>
      </c>
    </row>
    <row r="216" spans="33:57" ht="14.5" x14ac:dyDescent="0.35">
      <c r="AG216" s="196" t="s">
        <v>1002</v>
      </c>
      <c r="AH216" s="196" t="s">
        <v>749</v>
      </c>
      <c r="AI216" s="196">
        <v>45950</v>
      </c>
      <c r="AJ216" s="196">
        <v>52.1</v>
      </c>
      <c r="AK216" s="196" t="s">
        <v>564</v>
      </c>
      <c r="AL216" s="196" t="s">
        <v>793</v>
      </c>
      <c r="AM216" s="196">
        <v>0</v>
      </c>
      <c r="AN216" s="196">
        <v>46302</v>
      </c>
      <c r="AO216" s="196" t="s">
        <v>588</v>
      </c>
      <c r="BD216" s="196">
        <v>45866</v>
      </c>
      <c r="BE216" s="196" t="s">
        <v>230</v>
      </c>
    </row>
    <row r="217" spans="33:57" ht="14.5" x14ac:dyDescent="0.35">
      <c r="AG217" s="196" t="s">
        <v>1003</v>
      </c>
      <c r="AH217" s="196" t="s">
        <v>749</v>
      </c>
      <c r="AI217" s="196">
        <v>45951</v>
      </c>
      <c r="AJ217" s="196">
        <v>52</v>
      </c>
      <c r="AK217" s="196" t="s">
        <v>564</v>
      </c>
      <c r="AL217" s="196" t="s">
        <v>793</v>
      </c>
      <c r="AM217" s="196">
        <v>0</v>
      </c>
      <c r="AN217" s="196">
        <v>46302</v>
      </c>
      <c r="AO217" s="196" t="s">
        <v>588</v>
      </c>
      <c r="BD217" s="196">
        <v>45867</v>
      </c>
      <c r="BE217" s="196" t="s">
        <v>230</v>
      </c>
    </row>
    <row r="218" spans="33:57" ht="14.5" x14ac:dyDescent="0.35">
      <c r="AG218" s="196" t="s">
        <v>1004</v>
      </c>
      <c r="AH218" s="196" t="s">
        <v>749</v>
      </c>
      <c r="AI218" s="196">
        <v>45952</v>
      </c>
      <c r="AJ218" s="196">
        <v>51.9</v>
      </c>
      <c r="AK218" s="196" t="s">
        <v>564</v>
      </c>
      <c r="AL218" s="196" t="s">
        <v>793</v>
      </c>
      <c r="AM218" s="196">
        <v>0</v>
      </c>
      <c r="AN218" s="196">
        <v>46302</v>
      </c>
      <c r="AO218" s="196" t="s">
        <v>588</v>
      </c>
      <c r="BD218" s="196">
        <v>45868</v>
      </c>
      <c r="BE218" s="196" t="s">
        <v>230</v>
      </c>
    </row>
    <row r="219" spans="33:57" ht="14.5" x14ac:dyDescent="0.35">
      <c r="AG219" s="196" t="s">
        <v>1005</v>
      </c>
      <c r="AH219" s="196" t="s">
        <v>749</v>
      </c>
      <c r="AI219" s="196">
        <v>45953</v>
      </c>
      <c r="AJ219" s="196">
        <v>51.8</v>
      </c>
      <c r="AK219" s="196" t="s">
        <v>564</v>
      </c>
      <c r="AL219" s="196" t="s">
        <v>793</v>
      </c>
      <c r="AM219" s="196">
        <v>0</v>
      </c>
      <c r="AN219" s="196">
        <v>46302</v>
      </c>
      <c r="AO219" s="196" t="s">
        <v>588</v>
      </c>
      <c r="BD219" s="196">
        <v>45869</v>
      </c>
      <c r="BE219" s="196" t="s">
        <v>230</v>
      </c>
    </row>
    <row r="220" spans="33:57" ht="14.5" x14ac:dyDescent="0.35">
      <c r="AG220" s="196" t="s">
        <v>1006</v>
      </c>
      <c r="AH220" s="196" t="s">
        <v>749</v>
      </c>
      <c r="AI220" s="196">
        <v>45954</v>
      </c>
      <c r="AJ220" s="196">
        <v>51.7</v>
      </c>
      <c r="AK220" s="196" t="s">
        <v>564</v>
      </c>
      <c r="AL220" s="196" t="s">
        <v>793</v>
      </c>
      <c r="AM220" s="196">
        <v>0</v>
      </c>
      <c r="AN220" s="196">
        <v>46302</v>
      </c>
      <c r="AO220" s="196" t="s">
        <v>588</v>
      </c>
      <c r="BD220" s="196">
        <v>45870</v>
      </c>
      <c r="BE220" s="196" t="s">
        <v>230</v>
      </c>
    </row>
    <row r="221" spans="33:57" ht="14.5" x14ac:dyDescent="0.35">
      <c r="AG221" s="196" t="s">
        <v>1007</v>
      </c>
      <c r="AH221" s="196" t="s">
        <v>749</v>
      </c>
      <c r="AI221" s="196">
        <v>45957</v>
      </c>
      <c r="AJ221" s="196">
        <v>51.4</v>
      </c>
      <c r="AK221" s="196" t="s">
        <v>564</v>
      </c>
      <c r="AL221" s="196" t="s">
        <v>793</v>
      </c>
      <c r="AM221" s="196">
        <v>0</v>
      </c>
      <c r="AN221" s="196">
        <v>46302</v>
      </c>
      <c r="AO221" s="196" t="s">
        <v>588</v>
      </c>
      <c r="BD221" s="196">
        <v>45871</v>
      </c>
      <c r="BE221" s="196" t="s">
        <v>232</v>
      </c>
    </row>
    <row r="222" spans="33:57" ht="14.5" x14ac:dyDescent="0.35">
      <c r="AG222" s="196" t="s">
        <v>1008</v>
      </c>
      <c r="AH222" s="196" t="s">
        <v>749</v>
      </c>
      <c r="AI222" s="196">
        <v>45958</v>
      </c>
      <c r="AJ222" s="196">
        <v>51.3</v>
      </c>
      <c r="AK222" s="196" t="s">
        <v>564</v>
      </c>
      <c r="AL222" s="196" t="s">
        <v>793</v>
      </c>
      <c r="AM222" s="196">
        <v>0</v>
      </c>
      <c r="AN222" s="196">
        <v>46302</v>
      </c>
      <c r="AO222" s="196" t="s">
        <v>588</v>
      </c>
      <c r="BD222" s="196">
        <v>45872</v>
      </c>
      <c r="BE222" s="196" t="s">
        <v>232</v>
      </c>
    </row>
    <row r="223" spans="33:57" ht="14.5" x14ac:dyDescent="0.35">
      <c r="AG223" s="196" t="s">
        <v>1009</v>
      </c>
      <c r="AH223" s="196" t="s">
        <v>749</v>
      </c>
      <c r="AI223" s="196">
        <v>45959</v>
      </c>
      <c r="AJ223" s="196">
        <v>51.2</v>
      </c>
      <c r="AK223" s="196" t="s">
        <v>564</v>
      </c>
      <c r="AL223" s="196" t="s">
        <v>793</v>
      </c>
      <c r="AM223" s="196">
        <v>0</v>
      </c>
      <c r="AN223" s="196">
        <v>46302</v>
      </c>
      <c r="AO223" s="196" t="s">
        <v>588</v>
      </c>
      <c r="BD223" s="196">
        <v>45873</v>
      </c>
      <c r="BE223" s="196" t="s">
        <v>230</v>
      </c>
    </row>
    <row r="224" spans="33:57" ht="14.5" x14ac:dyDescent="0.35">
      <c r="AG224" s="196" t="s">
        <v>1010</v>
      </c>
      <c r="AH224" s="196" t="s">
        <v>749</v>
      </c>
      <c r="AI224" s="196">
        <v>45960</v>
      </c>
      <c r="AJ224" s="196">
        <v>51.1</v>
      </c>
      <c r="AK224" s="196" t="s">
        <v>564</v>
      </c>
      <c r="AL224" s="196" t="s">
        <v>793</v>
      </c>
      <c r="AM224" s="196">
        <v>0</v>
      </c>
      <c r="AN224" s="196">
        <v>46302</v>
      </c>
      <c r="AO224" s="196" t="s">
        <v>588</v>
      </c>
      <c r="BD224" s="196">
        <v>45874</v>
      </c>
      <c r="BE224" s="196" t="s">
        <v>230</v>
      </c>
    </row>
    <row r="225" spans="33:57" ht="14.5" x14ac:dyDescent="0.35">
      <c r="AG225" s="196" t="s">
        <v>1011</v>
      </c>
      <c r="AH225" s="196" t="s">
        <v>749</v>
      </c>
      <c r="AI225" s="196">
        <v>45961</v>
      </c>
      <c r="AJ225" s="196">
        <v>51</v>
      </c>
      <c r="AK225" s="196" t="s">
        <v>564</v>
      </c>
      <c r="AL225" s="196" t="s">
        <v>793</v>
      </c>
      <c r="AM225" s="196">
        <v>0</v>
      </c>
      <c r="AN225" s="196">
        <v>46302</v>
      </c>
      <c r="AO225" s="196" t="s">
        <v>588</v>
      </c>
      <c r="BD225" s="196">
        <v>45875</v>
      </c>
      <c r="BE225" s="196" t="s">
        <v>230</v>
      </c>
    </row>
    <row r="226" spans="33:57" ht="14.5" x14ac:dyDescent="0.35">
      <c r="AG226" s="196" t="s">
        <v>1012</v>
      </c>
      <c r="AH226" s="196" t="s">
        <v>749</v>
      </c>
      <c r="AI226" s="196">
        <v>45964</v>
      </c>
      <c r="AJ226" s="196">
        <v>50.79</v>
      </c>
      <c r="AK226" s="196" t="s">
        <v>564</v>
      </c>
      <c r="AL226" s="196" t="s">
        <v>793</v>
      </c>
      <c r="AM226" s="196">
        <v>0</v>
      </c>
      <c r="AN226" s="196">
        <v>46302</v>
      </c>
      <c r="AO226" s="196" t="s">
        <v>588</v>
      </c>
      <c r="BD226" s="196">
        <v>45876</v>
      </c>
      <c r="BE226" s="196" t="s">
        <v>230</v>
      </c>
    </row>
    <row r="227" spans="33:57" ht="14.5" x14ac:dyDescent="0.35">
      <c r="AG227" s="196" t="s">
        <v>1013</v>
      </c>
      <c r="AH227" s="196" t="s">
        <v>749</v>
      </c>
      <c r="AI227" s="196">
        <v>45965</v>
      </c>
      <c r="AJ227" s="196">
        <v>50.69</v>
      </c>
      <c r="AK227" s="196" t="s">
        <v>564</v>
      </c>
      <c r="AL227" s="196" t="s">
        <v>793</v>
      </c>
      <c r="AM227" s="196">
        <v>0</v>
      </c>
      <c r="AN227" s="196">
        <v>46302</v>
      </c>
      <c r="AO227" s="196" t="s">
        <v>588</v>
      </c>
      <c r="BD227" s="196">
        <v>45877</v>
      </c>
      <c r="BE227" s="196" t="s">
        <v>230</v>
      </c>
    </row>
    <row r="228" spans="33:57" ht="14.5" x14ac:dyDescent="0.35">
      <c r="AG228" s="196" t="s">
        <v>1014</v>
      </c>
      <c r="AH228" s="196" t="s">
        <v>749</v>
      </c>
      <c r="AI228" s="196">
        <v>45966</v>
      </c>
      <c r="AJ228" s="196">
        <v>50.59</v>
      </c>
      <c r="AK228" s="196" t="s">
        <v>564</v>
      </c>
      <c r="AL228" s="196" t="s">
        <v>793</v>
      </c>
      <c r="AM228" s="196">
        <v>0</v>
      </c>
      <c r="AN228" s="196">
        <v>46302</v>
      </c>
      <c r="AO228" s="196" t="s">
        <v>588</v>
      </c>
      <c r="BD228" s="196">
        <v>45878</v>
      </c>
      <c r="BE228" s="196" t="s">
        <v>232</v>
      </c>
    </row>
    <row r="229" spans="33:57" ht="14.5" x14ac:dyDescent="0.35">
      <c r="AG229" s="196" t="s">
        <v>1015</v>
      </c>
      <c r="AH229" s="196" t="s">
        <v>749</v>
      </c>
      <c r="AI229" s="196">
        <v>45967</v>
      </c>
      <c r="AJ229" s="196">
        <v>50.48</v>
      </c>
      <c r="AK229" s="196" t="s">
        <v>564</v>
      </c>
      <c r="AL229" s="196" t="s">
        <v>793</v>
      </c>
      <c r="AM229" s="196">
        <v>0</v>
      </c>
      <c r="AN229" s="196">
        <v>46302</v>
      </c>
      <c r="AO229" s="196" t="s">
        <v>588</v>
      </c>
      <c r="BD229" s="196">
        <v>45879</v>
      </c>
      <c r="BE229" s="196" t="s">
        <v>232</v>
      </c>
    </row>
    <row r="230" spans="33:57" ht="14.5" x14ac:dyDescent="0.35">
      <c r="AG230" s="196" t="s">
        <v>1016</v>
      </c>
      <c r="AH230" s="196" t="s">
        <v>749</v>
      </c>
      <c r="AI230" s="196">
        <v>45968</v>
      </c>
      <c r="AJ230" s="196">
        <v>50.38</v>
      </c>
      <c r="AK230" s="196" t="s">
        <v>564</v>
      </c>
      <c r="AL230" s="196" t="s">
        <v>793</v>
      </c>
      <c r="AM230" s="196">
        <v>0</v>
      </c>
      <c r="AN230" s="196">
        <v>46302</v>
      </c>
      <c r="AO230" s="196" t="s">
        <v>588</v>
      </c>
      <c r="BD230" s="196">
        <v>45880</v>
      </c>
      <c r="BE230" s="196" t="s">
        <v>230</v>
      </c>
    </row>
    <row r="231" spans="33:57" ht="14.5" x14ac:dyDescent="0.35">
      <c r="AG231" s="196" t="s">
        <v>1017</v>
      </c>
      <c r="AH231" s="196" t="s">
        <v>749</v>
      </c>
      <c r="AI231" s="196">
        <v>45971</v>
      </c>
      <c r="AJ231" s="196">
        <v>50.07</v>
      </c>
      <c r="AK231" s="196" t="s">
        <v>564</v>
      </c>
      <c r="AL231" s="196" t="s">
        <v>793</v>
      </c>
      <c r="AM231" s="196">
        <v>0</v>
      </c>
      <c r="AN231" s="196">
        <v>46302</v>
      </c>
      <c r="AO231" s="196" t="s">
        <v>588</v>
      </c>
      <c r="BD231" s="196">
        <v>45881</v>
      </c>
      <c r="BE231" s="196" t="s">
        <v>230</v>
      </c>
    </row>
    <row r="232" spans="33:57" ht="14.5" x14ac:dyDescent="0.35">
      <c r="AG232" s="196" t="s">
        <v>1018</v>
      </c>
      <c r="AH232" s="196" t="s">
        <v>749</v>
      </c>
      <c r="AI232" s="196">
        <v>45972</v>
      </c>
      <c r="AJ232" s="196">
        <v>49.97</v>
      </c>
      <c r="AK232" s="196" t="s">
        <v>564</v>
      </c>
      <c r="AL232" s="196" t="s">
        <v>793</v>
      </c>
      <c r="AM232" s="196">
        <v>0</v>
      </c>
      <c r="AN232" s="196">
        <v>46302</v>
      </c>
      <c r="AO232" s="196" t="s">
        <v>588</v>
      </c>
      <c r="BD232" s="196">
        <v>45882</v>
      </c>
      <c r="BE232" s="196" t="s">
        <v>230</v>
      </c>
    </row>
    <row r="233" spans="33:57" ht="14.5" x14ac:dyDescent="0.35">
      <c r="AG233" s="196" t="s">
        <v>1019</v>
      </c>
      <c r="AH233" s="196" t="s">
        <v>749</v>
      </c>
      <c r="AI233" s="196">
        <v>45973</v>
      </c>
      <c r="AJ233" s="196">
        <v>49.86</v>
      </c>
      <c r="AK233" s="196" t="s">
        <v>564</v>
      </c>
      <c r="AL233" s="196" t="s">
        <v>793</v>
      </c>
      <c r="AM233" s="196">
        <v>0</v>
      </c>
      <c r="AN233" s="196">
        <v>46302</v>
      </c>
      <c r="AO233" s="196" t="s">
        <v>588</v>
      </c>
      <c r="BD233" s="196">
        <v>45883</v>
      </c>
      <c r="BE233" s="196" t="s">
        <v>230</v>
      </c>
    </row>
    <row r="234" spans="33:57" ht="14.5" x14ac:dyDescent="0.35">
      <c r="AG234" s="196" t="s">
        <v>1020</v>
      </c>
      <c r="AH234" s="196" t="s">
        <v>749</v>
      </c>
      <c r="AI234" s="196">
        <v>45974</v>
      </c>
      <c r="AJ234" s="196">
        <v>49.76</v>
      </c>
      <c r="AK234" s="196" t="s">
        <v>564</v>
      </c>
      <c r="AL234" s="196" t="s">
        <v>793</v>
      </c>
      <c r="AM234" s="196">
        <v>0</v>
      </c>
      <c r="AN234" s="196">
        <v>46302</v>
      </c>
      <c r="AO234" s="196" t="s">
        <v>588</v>
      </c>
      <c r="BD234" s="196">
        <v>45884</v>
      </c>
      <c r="BE234" s="196" t="s">
        <v>230</v>
      </c>
    </row>
    <row r="235" spans="33:57" ht="14.5" x14ac:dyDescent="0.35">
      <c r="AG235" s="196" t="s">
        <v>1021</v>
      </c>
      <c r="AH235" s="196" t="s">
        <v>749</v>
      </c>
      <c r="AI235" s="196">
        <v>45975</v>
      </c>
      <c r="AJ235" s="196">
        <v>49.66</v>
      </c>
      <c r="AK235" s="196" t="s">
        <v>564</v>
      </c>
      <c r="AL235" s="196" t="s">
        <v>793</v>
      </c>
      <c r="AM235" s="196">
        <v>0</v>
      </c>
      <c r="AN235" s="196">
        <v>46302</v>
      </c>
      <c r="AO235" s="196" t="s">
        <v>588</v>
      </c>
      <c r="BD235" s="196">
        <v>45885</v>
      </c>
      <c r="BE235" s="196" t="s">
        <v>232</v>
      </c>
    </row>
    <row r="236" spans="33:57" ht="14.5" x14ac:dyDescent="0.35">
      <c r="AG236" s="196" t="s">
        <v>1022</v>
      </c>
      <c r="AH236" s="196" t="s">
        <v>749</v>
      </c>
      <c r="AI236" s="196">
        <v>45978</v>
      </c>
      <c r="AJ236" s="196">
        <v>49.34</v>
      </c>
      <c r="AK236" s="196" t="s">
        <v>564</v>
      </c>
      <c r="AL236" s="196" t="s">
        <v>793</v>
      </c>
      <c r="AM236" s="196">
        <v>0</v>
      </c>
      <c r="AN236" s="196">
        <v>46302</v>
      </c>
      <c r="AO236" s="196" t="s">
        <v>588</v>
      </c>
      <c r="BD236" s="196">
        <v>45886</v>
      </c>
      <c r="BE236" s="196" t="s">
        <v>232</v>
      </c>
    </row>
    <row r="237" spans="33:57" ht="14.5" x14ac:dyDescent="0.35">
      <c r="AG237" s="196" t="s">
        <v>1023</v>
      </c>
      <c r="AH237" s="196" t="s">
        <v>749</v>
      </c>
      <c r="AI237" s="196">
        <v>45979</v>
      </c>
      <c r="AJ237" s="196">
        <v>49.24</v>
      </c>
      <c r="AK237" s="196" t="s">
        <v>564</v>
      </c>
      <c r="AL237" s="196" t="s">
        <v>793</v>
      </c>
      <c r="AM237" s="196">
        <v>0</v>
      </c>
      <c r="AN237" s="196">
        <v>46302</v>
      </c>
      <c r="AO237" s="196" t="s">
        <v>588</v>
      </c>
      <c r="BD237" s="196">
        <v>45887</v>
      </c>
      <c r="BE237" s="196" t="s">
        <v>230</v>
      </c>
    </row>
    <row r="238" spans="33:57" ht="14.5" x14ac:dyDescent="0.35">
      <c r="AG238" s="196" t="s">
        <v>1024</v>
      </c>
      <c r="AH238" s="196" t="s">
        <v>749</v>
      </c>
      <c r="AI238" s="196">
        <v>45980</v>
      </c>
      <c r="AJ238" s="196">
        <v>49.14</v>
      </c>
      <c r="AK238" s="196" t="s">
        <v>564</v>
      </c>
      <c r="AL238" s="196" t="s">
        <v>793</v>
      </c>
      <c r="AM238" s="196">
        <v>0</v>
      </c>
      <c r="AN238" s="196">
        <v>46302</v>
      </c>
      <c r="AO238" s="196" t="s">
        <v>588</v>
      </c>
      <c r="BD238" s="196">
        <v>45888</v>
      </c>
      <c r="BE238" s="196" t="s">
        <v>230</v>
      </c>
    </row>
    <row r="239" spans="33:57" ht="14.5" x14ac:dyDescent="0.35">
      <c r="AG239" s="196" t="s">
        <v>1025</v>
      </c>
      <c r="AH239" s="196" t="s">
        <v>749</v>
      </c>
      <c r="AI239" s="196">
        <v>45981</v>
      </c>
      <c r="AJ239" s="196">
        <v>49.03</v>
      </c>
      <c r="AK239" s="196" t="s">
        <v>564</v>
      </c>
      <c r="AL239" s="196" t="s">
        <v>793</v>
      </c>
      <c r="AM239" s="196">
        <v>0</v>
      </c>
      <c r="AN239" s="196">
        <v>46302</v>
      </c>
      <c r="AO239" s="196" t="s">
        <v>588</v>
      </c>
      <c r="BD239" s="196">
        <v>45889</v>
      </c>
      <c r="BE239" s="196" t="s">
        <v>230</v>
      </c>
    </row>
    <row r="240" spans="33:57" ht="14.5" x14ac:dyDescent="0.35">
      <c r="AG240" s="196" t="s">
        <v>1026</v>
      </c>
      <c r="AH240" s="196" t="s">
        <v>749</v>
      </c>
      <c r="AI240" s="196">
        <v>45982</v>
      </c>
      <c r="AJ240" s="196">
        <v>48.93</v>
      </c>
      <c r="AK240" s="196" t="s">
        <v>564</v>
      </c>
      <c r="AL240" s="196" t="s">
        <v>793</v>
      </c>
      <c r="AM240" s="196">
        <v>0</v>
      </c>
      <c r="AN240" s="196">
        <v>46302</v>
      </c>
      <c r="AO240" s="196" t="s">
        <v>588</v>
      </c>
      <c r="BD240" s="196">
        <v>45890</v>
      </c>
      <c r="BE240" s="196" t="s">
        <v>230</v>
      </c>
    </row>
    <row r="241" spans="33:57" ht="14.5" x14ac:dyDescent="0.35">
      <c r="AG241" s="196" t="s">
        <v>1027</v>
      </c>
      <c r="AH241" s="196" t="s">
        <v>749</v>
      </c>
      <c r="AI241" s="196">
        <v>45985</v>
      </c>
      <c r="AJ241" s="196">
        <v>48.62</v>
      </c>
      <c r="AK241" s="196" t="s">
        <v>564</v>
      </c>
      <c r="AL241" s="196" t="s">
        <v>793</v>
      </c>
      <c r="AM241" s="196">
        <v>0</v>
      </c>
      <c r="AN241" s="196">
        <v>46302</v>
      </c>
      <c r="AO241" s="196" t="s">
        <v>588</v>
      </c>
      <c r="BD241" s="196">
        <v>45891</v>
      </c>
      <c r="BE241" s="196" t="s">
        <v>230</v>
      </c>
    </row>
    <row r="242" spans="33:57" ht="14.5" x14ac:dyDescent="0.35">
      <c r="AG242" s="196" t="s">
        <v>1028</v>
      </c>
      <c r="AH242" s="196" t="s">
        <v>749</v>
      </c>
      <c r="AI242" s="196">
        <v>45986</v>
      </c>
      <c r="AJ242" s="196">
        <v>48.52</v>
      </c>
      <c r="AK242" s="196" t="s">
        <v>564</v>
      </c>
      <c r="AL242" s="196" t="s">
        <v>793</v>
      </c>
      <c r="AM242" s="196">
        <v>0</v>
      </c>
      <c r="AN242" s="196">
        <v>46302</v>
      </c>
      <c r="AO242" s="196" t="s">
        <v>588</v>
      </c>
      <c r="BD242" s="196">
        <v>45892</v>
      </c>
      <c r="BE242" s="196" t="s">
        <v>232</v>
      </c>
    </row>
    <row r="243" spans="33:57" ht="14.5" x14ac:dyDescent="0.35">
      <c r="AG243" s="196" t="s">
        <v>1029</v>
      </c>
      <c r="AH243" s="196" t="s">
        <v>749</v>
      </c>
      <c r="AI243" s="196">
        <v>45987</v>
      </c>
      <c r="AJ243" s="196">
        <v>48.41</v>
      </c>
      <c r="AK243" s="196" t="s">
        <v>564</v>
      </c>
      <c r="AL243" s="196" t="s">
        <v>793</v>
      </c>
      <c r="AM243" s="196">
        <v>0</v>
      </c>
      <c r="AN243" s="196">
        <v>46302</v>
      </c>
      <c r="AO243" s="196" t="s">
        <v>588</v>
      </c>
      <c r="BD243" s="196">
        <v>45893</v>
      </c>
      <c r="BE243" s="196" t="s">
        <v>232</v>
      </c>
    </row>
    <row r="244" spans="33:57" ht="14.5" x14ac:dyDescent="0.35">
      <c r="AG244" s="196" t="s">
        <v>1030</v>
      </c>
      <c r="AH244" s="196" t="s">
        <v>749</v>
      </c>
      <c r="AI244" s="196">
        <v>45988</v>
      </c>
      <c r="AJ244" s="196">
        <v>48.31</v>
      </c>
      <c r="AK244" s="196" t="s">
        <v>564</v>
      </c>
      <c r="AL244" s="196" t="s">
        <v>793</v>
      </c>
      <c r="AM244" s="196">
        <v>0</v>
      </c>
      <c r="AN244" s="196">
        <v>46302</v>
      </c>
      <c r="AO244" s="196" t="s">
        <v>588</v>
      </c>
      <c r="BD244" s="196">
        <v>45894</v>
      </c>
      <c r="BE244" s="196" t="s">
        <v>230</v>
      </c>
    </row>
    <row r="245" spans="33:57" ht="14.5" x14ac:dyDescent="0.35">
      <c r="AG245" s="196" t="s">
        <v>1031</v>
      </c>
      <c r="AH245" s="196" t="s">
        <v>749</v>
      </c>
      <c r="AI245" s="196">
        <v>45989</v>
      </c>
      <c r="AJ245" s="196">
        <v>48.21</v>
      </c>
      <c r="AK245" s="196" t="s">
        <v>564</v>
      </c>
      <c r="AL245" s="196" t="s">
        <v>793</v>
      </c>
      <c r="AM245" s="196">
        <v>0</v>
      </c>
      <c r="AN245" s="196">
        <v>46302</v>
      </c>
      <c r="AO245" s="196" t="s">
        <v>588</v>
      </c>
      <c r="BD245" s="196">
        <v>45895</v>
      </c>
      <c r="BE245" s="196" t="s">
        <v>230</v>
      </c>
    </row>
    <row r="246" spans="33:57" ht="14.5" x14ac:dyDescent="0.35">
      <c r="AG246" s="196" t="s">
        <v>1032</v>
      </c>
      <c r="AH246" s="196" t="s">
        <v>749</v>
      </c>
      <c r="AI246" s="196">
        <v>45992</v>
      </c>
      <c r="AJ246" s="196">
        <v>48</v>
      </c>
      <c r="AK246" s="196" t="s">
        <v>564</v>
      </c>
      <c r="AL246" s="196" t="s">
        <v>793</v>
      </c>
      <c r="AM246" s="196">
        <v>0</v>
      </c>
      <c r="AN246" s="196">
        <v>46302</v>
      </c>
      <c r="AO246" s="196" t="s">
        <v>588</v>
      </c>
      <c r="BD246" s="196">
        <v>45896</v>
      </c>
      <c r="BE246" s="196" t="s">
        <v>230</v>
      </c>
    </row>
    <row r="247" spans="33:57" ht="14.5" x14ac:dyDescent="0.35">
      <c r="AG247" s="196" t="s">
        <v>1033</v>
      </c>
      <c r="AH247" s="196" t="s">
        <v>749</v>
      </c>
      <c r="AI247" s="196">
        <v>45993</v>
      </c>
      <c r="AJ247" s="196">
        <v>47.98</v>
      </c>
      <c r="AK247" s="196" t="s">
        <v>564</v>
      </c>
      <c r="AL247" s="196" t="s">
        <v>793</v>
      </c>
      <c r="AM247" s="196">
        <v>0</v>
      </c>
      <c r="AN247" s="196">
        <v>46302</v>
      </c>
      <c r="AO247" s="196" t="s">
        <v>588</v>
      </c>
      <c r="BD247" s="196">
        <v>45897</v>
      </c>
      <c r="BE247" s="196" t="s">
        <v>230</v>
      </c>
    </row>
    <row r="248" spans="33:57" ht="14.5" x14ac:dyDescent="0.35">
      <c r="AG248" s="196" t="s">
        <v>1034</v>
      </c>
      <c r="AH248" s="196" t="s">
        <v>749</v>
      </c>
      <c r="AI248" s="196">
        <v>45994</v>
      </c>
      <c r="AJ248" s="196">
        <v>47.97</v>
      </c>
      <c r="AK248" s="196" t="s">
        <v>564</v>
      </c>
      <c r="AL248" s="196" t="s">
        <v>793</v>
      </c>
      <c r="AM248" s="196">
        <v>0</v>
      </c>
      <c r="AN248" s="196">
        <v>46302</v>
      </c>
      <c r="AO248" s="196" t="s">
        <v>588</v>
      </c>
      <c r="BD248" s="196">
        <v>45898</v>
      </c>
      <c r="BE248" s="196" t="s">
        <v>230</v>
      </c>
    </row>
    <row r="249" spans="33:57" ht="14.5" x14ac:dyDescent="0.35">
      <c r="AG249" s="196" t="s">
        <v>1035</v>
      </c>
      <c r="AH249" s="196" t="s">
        <v>749</v>
      </c>
      <c r="AI249" s="196">
        <v>45995</v>
      </c>
      <c r="AJ249" s="196">
        <v>47.95</v>
      </c>
      <c r="AK249" s="196" t="s">
        <v>564</v>
      </c>
      <c r="AL249" s="196" t="s">
        <v>793</v>
      </c>
      <c r="AM249" s="196">
        <v>0</v>
      </c>
      <c r="AN249" s="196">
        <v>46302</v>
      </c>
      <c r="AO249" s="196" t="s">
        <v>588</v>
      </c>
      <c r="BD249" s="196">
        <v>45899</v>
      </c>
      <c r="BE249" s="196" t="s">
        <v>232</v>
      </c>
    </row>
    <row r="250" spans="33:57" ht="14.5" x14ac:dyDescent="0.35">
      <c r="AG250" s="196" t="s">
        <v>1036</v>
      </c>
      <c r="AH250" s="196" t="s">
        <v>749</v>
      </c>
      <c r="AI250" s="196">
        <v>45996</v>
      </c>
      <c r="AJ250" s="196">
        <v>47.93</v>
      </c>
      <c r="AK250" s="196" t="s">
        <v>564</v>
      </c>
      <c r="AL250" s="196" t="s">
        <v>793</v>
      </c>
      <c r="AM250" s="196">
        <v>0</v>
      </c>
      <c r="AN250" s="196">
        <v>46302</v>
      </c>
      <c r="AO250" s="196" t="s">
        <v>588</v>
      </c>
      <c r="BD250" s="196">
        <v>45900</v>
      </c>
      <c r="BE250" s="196" t="s">
        <v>232</v>
      </c>
    </row>
    <row r="251" spans="33:57" ht="14.5" x14ac:dyDescent="0.35">
      <c r="AG251" s="196" t="s">
        <v>1037</v>
      </c>
      <c r="AH251" s="196" t="s">
        <v>749</v>
      </c>
      <c r="AI251" s="196">
        <v>45999</v>
      </c>
      <c r="AJ251" s="196">
        <v>47.88</v>
      </c>
      <c r="AK251" s="196" t="s">
        <v>564</v>
      </c>
      <c r="AL251" s="196" t="s">
        <v>793</v>
      </c>
      <c r="AM251" s="196">
        <v>0</v>
      </c>
      <c r="AN251" s="196">
        <v>46302</v>
      </c>
      <c r="AO251" s="196" t="s">
        <v>588</v>
      </c>
      <c r="BD251" s="196">
        <v>45901</v>
      </c>
      <c r="BE251" s="196" t="s">
        <v>230</v>
      </c>
    </row>
    <row r="252" spans="33:57" ht="14.5" x14ac:dyDescent="0.35">
      <c r="AG252" s="196" t="s">
        <v>1038</v>
      </c>
      <c r="AH252" s="196" t="s">
        <v>749</v>
      </c>
      <c r="AI252" s="196">
        <v>46000</v>
      </c>
      <c r="AJ252" s="196">
        <v>47.87</v>
      </c>
      <c r="AK252" s="196" t="s">
        <v>564</v>
      </c>
      <c r="AL252" s="196" t="s">
        <v>793</v>
      </c>
      <c r="AM252" s="196">
        <v>0</v>
      </c>
      <c r="AN252" s="196">
        <v>46302</v>
      </c>
      <c r="AO252" s="196" t="s">
        <v>588</v>
      </c>
      <c r="BD252" s="196">
        <v>45902</v>
      </c>
      <c r="BE252" s="196" t="s">
        <v>230</v>
      </c>
    </row>
    <row r="253" spans="33:57" ht="14.5" x14ac:dyDescent="0.35">
      <c r="AG253" s="196" t="s">
        <v>1039</v>
      </c>
      <c r="AH253" s="196" t="s">
        <v>749</v>
      </c>
      <c r="AI253" s="196">
        <v>46001</v>
      </c>
      <c r="AJ253" s="196">
        <v>47.85</v>
      </c>
      <c r="AK253" s="196" t="s">
        <v>564</v>
      </c>
      <c r="AL253" s="196" t="s">
        <v>793</v>
      </c>
      <c r="AM253" s="196">
        <v>0</v>
      </c>
      <c r="AN253" s="196">
        <v>46302</v>
      </c>
      <c r="AO253" s="196" t="s">
        <v>588</v>
      </c>
      <c r="BD253" s="196">
        <v>45903</v>
      </c>
      <c r="BE253" s="196" t="s">
        <v>230</v>
      </c>
    </row>
    <row r="254" spans="33:57" ht="14.5" x14ac:dyDescent="0.35">
      <c r="AG254" s="196" t="s">
        <v>1040</v>
      </c>
      <c r="AH254" s="196" t="s">
        <v>749</v>
      </c>
      <c r="AI254" s="196">
        <v>46002</v>
      </c>
      <c r="AJ254" s="196">
        <v>47.83</v>
      </c>
      <c r="AK254" s="196" t="s">
        <v>564</v>
      </c>
      <c r="AL254" s="196" t="s">
        <v>793</v>
      </c>
      <c r="AM254" s="196">
        <v>0</v>
      </c>
      <c r="AN254" s="196">
        <v>46302</v>
      </c>
      <c r="AO254" s="196" t="s">
        <v>588</v>
      </c>
      <c r="BD254" s="196">
        <v>45904</v>
      </c>
      <c r="BE254" s="196" t="s">
        <v>230</v>
      </c>
    </row>
    <row r="255" spans="33:57" ht="14.5" x14ac:dyDescent="0.35">
      <c r="AG255" s="196" t="s">
        <v>1041</v>
      </c>
      <c r="AH255" s="196" t="s">
        <v>749</v>
      </c>
      <c r="AI255" s="196">
        <v>46003</v>
      </c>
      <c r="AJ255" s="196">
        <v>47.82</v>
      </c>
      <c r="AK255" s="196" t="s">
        <v>564</v>
      </c>
      <c r="AL255" s="196" t="s">
        <v>793</v>
      </c>
      <c r="AM255" s="196">
        <v>0</v>
      </c>
      <c r="AN255" s="196">
        <v>46302</v>
      </c>
      <c r="AO255" s="196" t="s">
        <v>588</v>
      </c>
      <c r="BD255" s="196">
        <v>45905</v>
      </c>
      <c r="BE255" s="196" t="s">
        <v>230</v>
      </c>
    </row>
    <row r="256" spans="33:57" ht="14.5" x14ac:dyDescent="0.35">
      <c r="AG256" s="196" t="s">
        <v>1042</v>
      </c>
      <c r="AH256" s="196" t="s">
        <v>749</v>
      </c>
      <c r="AI256" s="196">
        <v>46006</v>
      </c>
      <c r="AJ256" s="196">
        <v>47.77</v>
      </c>
      <c r="AK256" s="196" t="s">
        <v>564</v>
      </c>
      <c r="AL256" s="196" t="s">
        <v>793</v>
      </c>
      <c r="AM256" s="196">
        <v>0</v>
      </c>
      <c r="AN256" s="196">
        <v>46302</v>
      </c>
      <c r="AO256" s="196" t="s">
        <v>588</v>
      </c>
      <c r="BD256" s="196">
        <v>45906</v>
      </c>
      <c r="BE256" s="196" t="s">
        <v>232</v>
      </c>
    </row>
    <row r="257" spans="33:57" ht="14.5" x14ac:dyDescent="0.35">
      <c r="AG257" s="196" t="s">
        <v>1043</v>
      </c>
      <c r="AH257" s="196" t="s">
        <v>749</v>
      </c>
      <c r="AI257" s="196">
        <v>46007</v>
      </c>
      <c r="AJ257" s="196">
        <v>47.75</v>
      </c>
      <c r="AK257" s="196" t="s">
        <v>564</v>
      </c>
      <c r="AL257" s="196" t="s">
        <v>793</v>
      </c>
      <c r="AM257" s="196">
        <v>0</v>
      </c>
      <c r="AN257" s="196">
        <v>46302</v>
      </c>
      <c r="AO257" s="196" t="s">
        <v>588</v>
      </c>
      <c r="BD257" s="196">
        <v>45907</v>
      </c>
      <c r="BE257" s="196" t="s">
        <v>232</v>
      </c>
    </row>
    <row r="258" spans="33:57" ht="14.5" x14ac:dyDescent="0.35">
      <c r="AG258" s="196" t="s">
        <v>1044</v>
      </c>
      <c r="AH258" s="196" t="s">
        <v>749</v>
      </c>
      <c r="AI258" s="196">
        <v>46008</v>
      </c>
      <c r="AJ258" s="196">
        <v>47.73</v>
      </c>
      <c r="AK258" s="196" t="s">
        <v>564</v>
      </c>
      <c r="AL258" s="196" t="s">
        <v>793</v>
      </c>
      <c r="AM258" s="196">
        <v>0</v>
      </c>
      <c r="AN258" s="196">
        <v>46302</v>
      </c>
      <c r="AO258" s="196" t="s">
        <v>588</v>
      </c>
      <c r="BD258" s="196">
        <v>45908</v>
      </c>
      <c r="BE258" s="196" t="s">
        <v>230</v>
      </c>
    </row>
    <row r="259" spans="33:57" ht="14.5" x14ac:dyDescent="0.35">
      <c r="AG259" s="196" t="s">
        <v>1045</v>
      </c>
      <c r="AH259" s="196" t="s">
        <v>749</v>
      </c>
      <c r="AI259" s="196">
        <v>46009</v>
      </c>
      <c r="AJ259" s="196">
        <v>47.72</v>
      </c>
      <c r="AK259" s="196" t="s">
        <v>564</v>
      </c>
      <c r="AL259" s="196" t="s">
        <v>793</v>
      </c>
      <c r="AM259" s="196">
        <v>0</v>
      </c>
      <c r="AN259" s="196">
        <v>46302</v>
      </c>
      <c r="AO259" s="196" t="s">
        <v>588</v>
      </c>
      <c r="BD259" s="196">
        <v>45909</v>
      </c>
      <c r="BE259" s="196" t="s">
        <v>230</v>
      </c>
    </row>
    <row r="260" spans="33:57" ht="14.5" x14ac:dyDescent="0.35">
      <c r="AG260" s="196" t="s">
        <v>1046</v>
      </c>
      <c r="AH260" s="196" t="s">
        <v>749</v>
      </c>
      <c r="AI260" s="196">
        <v>46010</v>
      </c>
      <c r="AJ260" s="196">
        <v>47.7</v>
      </c>
      <c r="AK260" s="196" t="s">
        <v>564</v>
      </c>
      <c r="AL260" s="196" t="s">
        <v>793</v>
      </c>
      <c r="AM260" s="196">
        <v>0</v>
      </c>
      <c r="AN260" s="196">
        <v>46302</v>
      </c>
      <c r="AO260" s="196" t="s">
        <v>588</v>
      </c>
      <c r="BD260" s="196">
        <v>45910</v>
      </c>
      <c r="BE260" s="196" t="s">
        <v>230</v>
      </c>
    </row>
    <row r="261" spans="33:57" ht="14.5" x14ac:dyDescent="0.35">
      <c r="AG261" s="196" t="s">
        <v>1047</v>
      </c>
      <c r="AH261" s="196" t="s">
        <v>749</v>
      </c>
      <c r="AI261" s="196">
        <v>46013</v>
      </c>
      <c r="AJ261" s="196">
        <v>47.65</v>
      </c>
      <c r="AK261" s="196" t="s">
        <v>564</v>
      </c>
      <c r="AL261" s="196" t="s">
        <v>793</v>
      </c>
      <c r="AM261" s="196">
        <v>0</v>
      </c>
      <c r="AN261" s="196">
        <v>46302</v>
      </c>
      <c r="AO261" s="196" t="s">
        <v>588</v>
      </c>
      <c r="BD261" s="196">
        <v>45911</v>
      </c>
      <c r="BE261" s="196" t="s">
        <v>230</v>
      </c>
    </row>
    <row r="262" spans="33:57" ht="14.5" x14ac:dyDescent="0.35">
      <c r="AG262" s="196" t="s">
        <v>1048</v>
      </c>
      <c r="AH262" s="196" t="s">
        <v>749</v>
      </c>
      <c r="AI262" s="196">
        <v>46014</v>
      </c>
      <c r="AJ262" s="196">
        <v>47.63</v>
      </c>
      <c r="AK262" s="196" t="s">
        <v>564</v>
      </c>
      <c r="AL262" s="196" t="s">
        <v>793</v>
      </c>
      <c r="AM262" s="196">
        <v>0</v>
      </c>
      <c r="AN262" s="196">
        <v>46302</v>
      </c>
      <c r="AO262" s="196" t="s">
        <v>588</v>
      </c>
      <c r="BD262" s="196">
        <v>45912</v>
      </c>
      <c r="BE262" s="196" t="s">
        <v>230</v>
      </c>
    </row>
    <row r="263" spans="33:57" ht="14.5" x14ac:dyDescent="0.35">
      <c r="AG263" s="196" t="s">
        <v>1049</v>
      </c>
      <c r="AH263" s="196" t="s">
        <v>749</v>
      </c>
      <c r="AI263" s="196">
        <v>46015</v>
      </c>
      <c r="AJ263" s="196">
        <v>47.62</v>
      </c>
      <c r="AK263" s="196" t="s">
        <v>564</v>
      </c>
      <c r="AL263" s="196" t="s">
        <v>793</v>
      </c>
      <c r="AM263" s="196">
        <v>0</v>
      </c>
      <c r="AN263" s="196">
        <v>46302</v>
      </c>
      <c r="AO263" s="196" t="s">
        <v>588</v>
      </c>
      <c r="BD263" s="196">
        <v>45913</v>
      </c>
      <c r="BE263" s="196" t="s">
        <v>232</v>
      </c>
    </row>
    <row r="264" spans="33:57" ht="14.5" x14ac:dyDescent="0.35">
      <c r="AG264" s="196" t="s">
        <v>1050</v>
      </c>
      <c r="AH264" s="196" t="s">
        <v>749</v>
      </c>
      <c r="AI264" s="196">
        <v>46016</v>
      </c>
      <c r="AJ264" s="196">
        <v>47.6</v>
      </c>
      <c r="AK264" s="196" t="s">
        <v>564</v>
      </c>
      <c r="AL264" s="196" t="s">
        <v>793</v>
      </c>
      <c r="AM264" s="196">
        <v>0</v>
      </c>
      <c r="AN264" s="196">
        <v>46302</v>
      </c>
      <c r="AO264" s="196" t="s">
        <v>588</v>
      </c>
      <c r="BD264" s="196">
        <v>45914</v>
      </c>
      <c r="BE264" s="196" t="s">
        <v>232</v>
      </c>
    </row>
    <row r="265" spans="33:57" ht="14.5" x14ac:dyDescent="0.35">
      <c r="AG265" s="196" t="s">
        <v>1051</v>
      </c>
      <c r="AH265" s="196" t="s">
        <v>749</v>
      </c>
      <c r="AI265" s="196">
        <v>46017</v>
      </c>
      <c r="AJ265" s="196">
        <v>47.58</v>
      </c>
      <c r="AK265" s="196" t="s">
        <v>564</v>
      </c>
      <c r="AL265" s="196" t="s">
        <v>793</v>
      </c>
      <c r="AM265" s="196">
        <v>0</v>
      </c>
      <c r="AN265" s="196">
        <v>46302</v>
      </c>
      <c r="AO265" s="196" t="s">
        <v>588</v>
      </c>
      <c r="BD265" s="196">
        <v>45915</v>
      </c>
      <c r="BE265" s="196" t="s">
        <v>230</v>
      </c>
    </row>
    <row r="266" spans="33:57" ht="14.5" x14ac:dyDescent="0.35">
      <c r="AG266" s="196" t="s">
        <v>1052</v>
      </c>
      <c r="AH266" s="196" t="s">
        <v>749</v>
      </c>
      <c r="AI266" s="196">
        <v>46020</v>
      </c>
      <c r="AJ266" s="196">
        <v>47.53</v>
      </c>
      <c r="AK266" s="196" t="s">
        <v>564</v>
      </c>
      <c r="AL266" s="196" t="s">
        <v>793</v>
      </c>
      <c r="AM266" s="196">
        <v>0</v>
      </c>
      <c r="AN266" s="196">
        <v>46302</v>
      </c>
      <c r="AO266" s="196" t="s">
        <v>588</v>
      </c>
      <c r="BD266" s="196">
        <v>45916</v>
      </c>
      <c r="BE266" s="196" t="s">
        <v>230</v>
      </c>
    </row>
    <row r="267" spans="33:57" ht="14.5" x14ac:dyDescent="0.35">
      <c r="AG267" s="196" t="s">
        <v>1053</v>
      </c>
      <c r="AH267" s="196" t="s">
        <v>749</v>
      </c>
      <c r="AI267" s="196">
        <v>46021</v>
      </c>
      <c r="AJ267" s="196">
        <v>47.52</v>
      </c>
      <c r="AK267" s="196" t="s">
        <v>564</v>
      </c>
      <c r="AL267" s="196" t="s">
        <v>793</v>
      </c>
      <c r="AM267" s="196">
        <v>0</v>
      </c>
      <c r="AN267" s="196">
        <v>46302</v>
      </c>
      <c r="AO267" s="196" t="s">
        <v>588</v>
      </c>
      <c r="BD267" s="196">
        <v>45917</v>
      </c>
      <c r="BE267" s="196" t="s">
        <v>230</v>
      </c>
    </row>
    <row r="268" spans="33:57" ht="14.5" x14ac:dyDescent="0.35">
      <c r="AG268" s="196" t="s">
        <v>1054</v>
      </c>
      <c r="AH268" s="196" t="s">
        <v>749</v>
      </c>
      <c r="AI268" s="196">
        <v>46022</v>
      </c>
      <c r="AJ268" s="196">
        <v>47.5</v>
      </c>
      <c r="AK268" s="196" t="s">
        <v>564</v>
      </c>
      <c r="AL268" s="196" t="s">
        <v>793</v>
      </c>
      <c r="AM268" s="196">
        <v>0</v>
      </c>
      <c r="AN268" s="196">
        <v>46302</v>
      </c>
      <c r="AO268" s="196" t="s">
        <v>588</v>
      </c>
      <c r="BD268" s="196">
        <v>45918</v>
      </c>
      <c r="BE268" s="196" t="s">
        <v>230</v>
      </c>
    </row>
    <row r="269" spans="33:57" ht="14.5" x14ac:dyDescent="0.35">
      <c r="AG269" s="196" t="s">
        <v>1055</v>
      </c>
      <c r="AH269" s="196" t="s">
        <v>752</v>
      </c>
      <c r="AI269" s="196">
        <v>45657</v>
      </c>
      <c r="AJ269" s="196">
        <v>200</v>
      </c>
      <c r="AK269" s="196" t="s">
        <v>564</v>
      </c>
      <c r="AL269" s="196" t="s">
        <v>793</v>
      </c>
      <c r="AM269" s="196">
        <v>0</v>
      </c>
      <c r="AN269" s="196">
        <v>46302</v>
      </c>
      <c r="AO269" s="196" t="s">
        <v>588</v>
      </c>
      <c r="BD269" s="196">
        <v>45919</v>
      </c>
      <c r="BE269" s="196" t="s">
        <v>230</v>
      </c>
    </row>
    <row r="270" spans="33:57" ht="14.5" x14ac:dyDescent="0.35">
      <c r="AG270" s="196" t="s">
        <v>1056</v>
      </c>
      <c r="AH270" s="196" t="s">
        <v>752</v>
      </c>
      <c r="AI270" s="196">
        <v>45658</v>
      </c>
      <c r="AJ270" s="196">
        <v>200</v>
      </c>
      <c r="AK270" s="196" t="s">
        <v>564</v>
      </c>
      <c r="AL270" s="196" t="s">
        <v>793</v>
      </c>
      <c r="AM270" s="196">
        <v>0</v>
      </c>
      <c r="AN270" s="196">
        <v>46302</v>
      </c>
      <c r="AO270" s="196" t="s">
        <v>588</v>
      </c>
      <c r="BD270" s="196">
        <v>45920</v>
      </c>
      <c r="BE270" s="196" t="s">
        <v>232</v>
      </c>
    </row>
    <row r="271" spans="33:57" ht="14.5" x14ac:dyDescent="0.35">
      <c r="AG271" s="196" t="s">
        <v>1057</v>
      </c>
      <c r="AH271" s="196" t="s">
        <v>752</v>
      </c>
      <c r="AI271" s="196">
        <v>45659</v>
      </c>
      <c r="AJ271" s="196">
        <v>199.83</v>
      </c>
      <c r="AK271" s="196" t="s">
        <v>564</v>
      </c>
      <c r="AL271" s="196" t="s">
        <v>793</v>
      </c>
      <c r="AM271" s="196">
        <v>0</v>
      </c>
      <c r="AN271" s="196">
        <v>46302</v>
      </c>
      <c r="AO271" s="196" t="s">
        <v>588</v>
      </c>
      <c r="BD271" s="196">
        <v>45921</v>
      </c>
      <c r="BE271" s="196" t="s">
        <v>232</v>
      </c>
    </row>
    <row r="272" spans="33:57" ht="14.5" x14ac:dyDescent="0.35">
      <c r="AG272" s="196" t="s">
        <v>1058</v>
      </c>
      <c r="AH272" s="196" t="s">
        <v>752</v>
      </c>
      <c r="AI272" s="196">
        <v>45660</v>
      </c>
      <c r="AJ272" s="196">
        <v>199.67</v>
      </c>
      <c r="AK272" s="196" t="s">
        <v>564</v>
      </c>
      <c r="AL272" s="196" t="s">
        <v>793</v>
      </c>
      <c r="AM272" s="196">
        <v>0</v>
      </c>
      <c r="AN272" s="196">
        <v>46302</v>
      </c>
      <c r="AO272" s="196" t="s">
        <v>588</v>
      </c>
      <c r="BD272" s="196">
        <v>45922</v>
      </c>
      <c r="BE272" s="196" t="s">
        <v>230</v>
      </c>
    </row>
    <row r="273" spans="33:57" ht="14.5" x14ac:dyDescent="0.35">
      <c r="AG273" s="196" t="s">
        <v>1059</v>
      </c>
      <c r="AH273" s="196" t="s">
        <v>752</v>
      </c>
      <c r="AI273" s="196">
        <v>45663</v>
      </c>
      <c r="AJ273" s="196">
        <v>199.17</v>
      </c>
      <c r="AK273" s="196" t="s">
        <v>564</v>
      </c>
      <c r="AL273" s="196" t="s">
        <v>793</v>
      </c>
      <c r="AM273" s="196">
        <v>0</v>
      </c>
      <c r="AN273" s="196">
        <v>46302</v>
      </c>
      <c r="AO273" s="196" t="s">
        <v>588</v>
      </c>
      <c r="BD273" s="196">
        <v>45923</v>
      </c>
      <c r="BE273" s="196" t="s">
        <v>230</v>
      </c>
    </row>
    <row r="274" spans="33:57" ht="14.5" x14ac:dyDescent="0.35">
      <c r="AG274" s="196" t="s">
        <v>1060</v>
      </c>
      <c r="AH274" s="196" t="s">
        <v>752</v>
      </c>
      <c r="AI274" s="196">
        <v>45664</v>
      </c>
      <c r="AJ274" s="196">
        <v>199</v>
      </c>
      <c r="AK274" s="196" t="s">
        <v>564</v>
      </c>
      <c r="AL274" s="196" t="s">
        <v>793</v>
      </c>
      <c r="AM274" s="196">
        <v>0</v>
      </c>
      <c r="AN274" s="196">
        <v>46302</v>
      </c>
      <c r="AO274" s="196" t="s">
        <v>588</v>
      </c>
      <c r="BD274" s="196">
        <v>45924</v>
      </c>
      <c r="BE274" s="196" t="s">
        <v>230</v>
      </c>
    </row>
    <row r="275" spans="33:57" ht="14.5" x14ac:dyDescent="0.35">
      <c r="AG275" s="196" t="s">
        <v>1061</v>
      </c>
      <c r="AH275" s="196" t="s">
        <v>752</v>
      </c>
      <c r="AI275" s="196">
        <v>45665</v>
      </c>
      <c r="AJ275" s="196">
        <v>198.83</v>
      </c>
      <c r="AK275" s="196" t="s">
        <v>564</v>
      </c>
      <c r="AL275" s="196" t="s">
        <v>793</v>
      </c>
      <c r="AM275" s="196">
        <v>0</v>
      </c>
      <c r="AN275" s="196">
        <v>46302</v>
      </c>
      <c r="AO275" s="196" t="s">
        <v>588</v>
      </c>
      <c r="BD275" s="196">
        <v>45925</v>
      </c>
      <c r="BE275" s="196" t="s">
        <v>230</v>
      </c>
    </row>
    <row r="276" spans="33:57" ht="14.5" x14ac:dyDescent="0.35">
      <c r="AG276" s="196" t="s">
        <v>1062</v>
      </c>
      <c r="AH276" s="196" t="s">
        <v>752</v>
      </c>
      <c r="AI276" s="196">
        <v>45666</v>
      </c>
      <c r="AJ276" s="196">
        <v>198.67</v>
      </c>
      <c r="AK276" s="196" t="s">
        <v>564</v>
      </c>
      <c r="AL276" s="196" t="s">
        <v>793</v>
      </c>
      <c r="AM276" s="196">
        <v>0</v>
      </c>
      <c r="AN276" s="196">
        <v>46302</v>
      </c>
      <c r="AO276" s="196" t="s">
        <v>588</v>
      </c>
      <c r="BD276" s="196">
        <v>45926</v>
      </c>
      <c r="BE276" s="196" t="s">
        <v>230</v>
      </c>
    </row>
    <row r="277" spans="33:57" ht="14.5" x14ac:dyDescent="0.35">
      <c r="AG277" s="196" t="s">
        <v>1063</v>
      </c>
      <c r="AH277" s="196" t="s">
        <v>752</v>
      </c>
      <c r="AI277" s="196">
        <v>45667</v>
      </c>
      <c r="AJ277" s="196">
        <v>198.5</v>
      </c>
      <c r="AK277" s="196" t="s">
        <v>564</v>
      </c>
      <c r="AL277" s="196" t="s">
        <v>793</v>
      </c>
      <c r="AM277" s="196">
        <v>0</v>
      </c>
      <c r="AN277" s="196">
        <v>46302</v>
      </c>
      <c r="AO277" s="196" t="s">
        <v>588</v>
      </c>
      <c r="BD277" s="196">
        <v>45927</v>
      </c>
      <c r="BE277" s="196" t="s">
        <v>232</v>
      </c>
    </row>
    <row r="278" spans="33:57" ht="14.5" x14ac:dyDescent="0.35">
      <c r="AG278" s="196" t="s">
        <v>1064</v>
      </c>
      <c r="AH278" s="196" t="s">
        <v>752</v>
      </c>
      <c r="AI278" s="196">
        <v>45670</v>
      </c>
      <c r="AJ278" s="196">
        <v>198</v>
      </c>
      <c r="AK278" s="196" t="s">
        <v>564</v>
      </c>
      <c r="AL278" s="196" t="s">
        <v>793</v>
      </c>
      <c r="AM278" s="196">
        <v>0</v>
      </c>
      <c r="AN278" s="196">
        <v>46302</v>
      </c>
      <c r="AO278" s="196" t="s">
        <v>588</v>
      </c>
      <c r="BD278" s="196">
        <v>45928</v>
      </c>
      <c r="BE278" s="196" t="s">
        <v>232</v>
      </c>
    </row>
    <row r="279" spans="33:57" ht="14.5" x14ac:dyDescent="0.35">
      <c r="AG279" s="196" t="s">
        <v>1065</v>
      </c>
      <c r="AH279" s="196" t="s">
        <v>752</v>
      </c>
      <c r="AI279" s="196">
        <v>45671</v>
      </c>
      <c r="AJ279" s="196">
        <v>197.83</v>
      </c>
      <c r="AK279" s="196" t="s">
        <v>564</v>
      </c>
      <c r="AL279" s="196" t="s">
        <v>793</v>
      </c>
      <c r="AM279" s="196">
        <v>0</v>
      </c>
      <c r="AN279" s="196">
        <v>46302</v>
      </c>
      <c r="AO279" s="196" t="s">
        <v>588</v>
      </c>
      <c r="BD279" s="196">
        <v>45929</v>
      </c>
      <c r="BE279" s="196" t="s">
        <v>230</v>
      </c>
    </row>
    <row r="280" spans="33:57" ht="14.5" x14ac:dyDescent="0.35">
      <c r="AG280" s="196" t="s">
        <v>1066</v>
      </c>
      <c r="AH280" s="196" t="s">
        <v>752</v>
      </c>
      <c r="AI280" s="196">
        <v>45672</v>
      </c>
      <c r="AJ280" s="196">
        <v>197.67</v>
      </c>
      <c r="AK280" s="196" t="s">
        <v>564</v>
      </c>
      <c r="AL280" s="196" t="s">
        <v>793</v>
      </c>
      <c r="AM280" s="196">
        <v>0</v>
      </c>
      <c r="AN280" s="196">
        <v>46302</v>
      </c>
      <c r="AO280" s="196" t="s">
        <v>588</v>
      </c>
      <c r="BD280" s="196">
        <v>45930</v>
      </c>
      <c r="BE280" s="196" t="s">
        <v>230</v>
      </c>
    </row>
    <row r="281" spans="33:57" ht="14.5" x14ac:dyDescent="0.35">
      <c r="AG281" s="196" t="s">
        <v>1067</v>
      </c>
      <c r="AH281" s="196" t="s">
        <v>752</v>
      </c>
      <c r="AI281" s="196">
        <v>45673</v>
      </c>
      <c r="AJ281" s="196">
        <v>197.5</v>
      </c>
      <c r="AK281" s="196" t="s">
        <v>564</v>
      </c>
      <c r="AL281" s="196" t="s">
        <v>793</v>
      </c>
      <c r="AM281" s="196">
        <v>0</v>
      </c>
      <c r="AN281" s="196">
        <v>46302</v>
      </c>
      <c r="AO281" s="196" t="s">
        <v>588</v>
      </c>
      <c r="BD281" s="196">
        <v>45931</v>
      </c>
      <c r="BE281" s="196" t="s">
        <v>230</v>
      </c>
    </row>
    <row r="282" spans="33:57" ht="14.5" x14ac:dyDescent="0.35">
      <c r="AG282" s="196" t="s">
        <v>1068</v>
      </c>
      <c r="AH282" s="196" t="s">
        <v>752</v>
      </c>
      <c r="AI282" s="196">
        <v>45674</v>
      </c>
      <c r="AJ282" s="196">
        <v>197.33</v>
      </c>
      <c r="AK282" s="196" t="s">
        <v>564</v>
      </c>
      <c r="AL282" s="196" t="s">
        <v>793</v>
      </c>
      <c r="AM282" s="196">
        <v>0</v>
      </c>
      <c r="AN282" s="196">
        <v>46302</v>
      </c>
      <c r="AO282" s="196" t="s">
        <v>588</v>
      </c>
      <c r="BD282" s="196">
        <v>45932</v>
      </c>
      <c r="BE282" s="196" t="s">
        <v>230</v>
      </c>
    </row>
    <row r="283" spans="33:57" ht="14.5" x14ac:dyDescent="0.35">
      <c r="AG283" s="196" t="s">
        <v>1069</v>
      </c>
      <c r="AH283" s="196" t="s">
        <v>752</v>
      </c>
      <c r="AI283" s="196">
        <v>45677</v>
      </c>
      <c r="AJ283" s="196">
        <v>196.83</v>
      </c>
      <c r="AK283" s="196" t="s">
        <v>564</v>
      </c>
      <c r="AL283" s="196" t="s">
        <v>793</v>
      </c>
      <c r="AM283" s="196">
        <v>0</v>
      </c>
      <c r="AN283" s="196">
        <v>46302</v>
      </c>
      <c r="AO283" s="196" t="s">
        <v>588</v>
      </c>
      <c r="BD283" s="196">
        <v>45933</v>
      </c>
      <c r="BE283" s="196" t="s">
        <v>230</v>
      </c>
    </row>
    <row r="284" spans="33:57" ht="14.5" x14ac:dyDescent="0.35">
      <c r="AG284" s="196" t="s">
        <v>1070</v>
      </c>
      <c r="AH284" s="196" t="s">
        <v>752</v>
      </c>
      <c r="AI284" s="196">
        <v>45678</v>
      </c>
      <c r="AJ284" s="196">
        <v>196.67</v>
      </c>
      <c r="AK284" s="196" t="s">
        <v>564</v>
      </c>
      <c r="AL284" s="196" t="s">
        <v>793</v>
      </c>
      <c r="AM284" s="196">
        <v>0</v>
      </c>
      <c r="AN284" s="196">
        <v>46302</v>
      </c>
      <c r="AO284" s="196" t="s">
        <v>588</v>
      </c>
      <c r="BD284" s="196">
        <v>45934</v>
      </c>
      <c r="BE284" s="196" t="s">
        <v>232</v>
      </c>
    </row>
    <row r="285" spans="33:57" ht="14.5" x14ac:dyDescent="0.35">
      <c r="AG285" s="196" t="s">
        <v>1071</v>
      </c>
      <c r="AH285" s="196" t="s">
        <v>752</v>
      </c>
      <c r="AI285" s="196">
        <v>45679</v>
      </c>
      <c r="AJ285" s="196">
        <v>196.5</v>
      </c>
      <c r="AK285" s="196" t="s">
        <v>564</v>
      </c>
      <c r="AL285" s="196" t="s">
        <v>793</v>
      </c>
      <c r="AM285" s="196">
        <v>0</v>
      </c>
      <c r="AN285" s="196">
        <v>46302</v>
      </c>
      <c r="AO285" s="196" t="s">
        <v>588</v>
      </c>
      <c r="BD285" s="196">
        <v>45935</v>
      </c>
      <c r="BE285" s="196" t="s">
        <v>232</v>
      </c>
    </row>
    <row r="286" spans="33:57" ht="14.5" x14ac:dyDescent="0.35">
      <c r="AG286" s="196" t="s">
        <v>1072</v>
      </c>
      <c r="AH286" s="196" t="s">
        <v>752</v>
      </c>
      <c r="AI286" s="196">
        <v>45680</v>
      </c>
      <c r="AJ286" s="196">
        <v>196.33</v>
      </c>
      <c r="AK286" s="196" t="s">
        <v>564</v>
      </c>
      <c r="AL286" s="196" t="s">
        <v>793</v>
      </c>
      <c r="AM286" s="196">
        <v>0</v>
      </c>
      <c r="AN286" s="196">
        <v>46302</v>
      </c>
      <c r="AO286" s="196" t="s">
        <v>588</v>
      </c>
      <c r="BD286" s="196">
        <v>45936</v>
      </c>
      <c r="BE286" s="196" t="s">
        <v>230</v>
      </c>
    </row>
    <row r="287" spans="33:57" ht="14.5" x14ac:dyDescent="0.35">
      <c r="AG287" s="196" t="s">
        <v>1073</v>
      </c>
      <c r="AH287" s="196" t="s">
        <v>752</v>
      </c>
      <c r="AI287" s="196">
        <v>45681</v>
      </c>
      <c r="AJ287" s="196">
        <v>196.17</v>
      </c>
      <c r="AK287" s="196" t="s">
        <v>564</v>
      </c>
      <c r="AL287" s="196" t="s">
        <v>793</v>
      </c>
      <c r="AM287" s="196">
        <v>0</v>
      </c>
      <c r="AN287" s="196">
        <v>46302</v>
      </c>
      <c r="AO287" s="196" t="s">
        <v>588</v>
      </c>
      <c r="BD287" s="196">
        <v>45937</v>
      </c>
      <c r="BE287" s="196" t="s">
        <v>230</v>
      </c>
    </row>
    <row r="288" spans="33:57" ht="14.5" x14ac:dyDescent="0.35">
      <c r="AG288" s="196" t="s">
        <v>1074</v>
      </c>
      <c r="AH288" s="196" t="s">
        <v>752</v>
      </c>
      <c r="AI288" s="196">
        <v>45684</v>
      </c>
      <c r="AJ288" s="196">
        <v>195.67</v>
      </c>
      <c r="AK288" s="196" t="s">
        <v>564</v>
      </c>
      <c r="AL288" s="196" t="s">
        <v>793</v>
      </c>
      <c r="AM288" s="196">
        <v>0</v>
      </c>
      <c r="AN288" s="196">
        <v>46302</v>
      </c>
      <c r="AO288" s="196" t="s">
        <v>588</v>
      </c>
      <c r="BD288" s="196">
        <v>45938</v>
      </c>
      <c r="BE288" s="196" t="s">
        <v>230</v>
      </c>
    </row>
    <row r="289" spans="33:57" ht="14.5" x14ac:dyDescent="0.35">
      <c r="AG289" s="196" t="s">
        <v>1075</v>
      </c>
      <c r="AH289" s="196" t="s">
        <v>752</v>
      </c>
      <c r="AI289" s="196">
        <v>45685</v>
      </c>
      <c r="AJ289" s="196">
        <v>195.5</v>
      </c>
      <c r="AK289" s="196" t="s">
        <v>564</v>
      </c>
      <c r="AL289" s="196" t="s">
        <v>793</v>
      </c>
      <c r="AM289" s="196">
        <v>0</v>
      </c>
      <c r="AN289" s="196">
        <v>46302</v>
      </c>
      <c r="AO289" s="196" t="s">
        <v>588</v>
      </c>
      <c r="BD289" s="196">
        <v>45939</v>
      </c>
      <c r="BE289" s="196" t="s">
        <v>230</v>
      </c>
    </row>
    <row r="290" spans="33:57" ht="14.5" x14ac:dyDescent="0.35">
      <c r="AG290" s="196" t="s">
        <v>1076</v>
      </c>
      <c r="AH290" s="196" t="s">
        <v>752</v>
      </c>
      <c r="AI290" s="196">
        <v>45686</v>
      </c>
      <c r="AJ290" s="196">
        <v>195.33</v>
      </c>
      <c r="AK290" s="196" t="s">
        <v>564</v>
      </c>
      <c r="AL290" s="196" t="s">
        <v>793</v>
      </c>
      <c r="AM290" s="196">
        <v>0</v>
      </c>
      <c r="AN290" s="196">
        <v>46302</v>
      </c>
      <c r="AO290" s="196" t="s">
        <v>588</v>
      </c>
      <c r="BD290" s="196">
        <v>45940</v>
      </c>
      <c r="BE290" s="196" t="s">
        <v>230</v>
      </c>
    </row>
    <row r="291" spans="33:57" ht="14.5" x14ac:dyDescent="0.35">
      <c r="AG291" s="196" t="s">
        <v>1077</v>
      </c>
      <c r="AH291" s="196" t="s">
        <v>752</v>
      </c>
      <c r="AI291" s="196">
        <v>45687</v>
      </c>
      <c r="AJ291" s="196">
        <v>195.17</v>
      </c>
      <c r="AK291" s="196" t="s">
        <v>564</v>
      </c>
      <c r="AL291" s="196" t="s">
        <v>793</v>
      </c>
      <c r="AM291" s="196">
        <v>0</v>
      </c>
      <c r="AN291" s="196">
        <v>46302</v>
      </c>
      <c r="AO291" s="196" t="s">
        <v>588</v>
      </c>
      <c r="BD291" s="196">
        <v>45941</v>
      </c>
      <c r="BE291" s="196" t="s">
        <v>232</v>
      </c>
    </row>
    <row r="292" spans="33:57" ht="14.5" x14ac:dyDescent="0.35">
      <c r="AG292" s="196" t="s">
        <v>1078</v>
      </c>
      <c r="AH292" s="196" t="s">
        <v>752</v>
      </c>
      <c r="AI292" s="196">
        <v>45688</v>
      </c>
      <c r="AJ292" s="196">
        <v>195</v>
      </c>
      <c r="AK292" s="196" t="s">
        <v>564</v>
      </c>
      <c r="AL292" s="196" t="s">
        <v>793</v>
      </c>
      <c r="AM292" s="196">
        <v>0</v>
      </c>
      <c r="AN292" s="196">
        <v>46302</v>
      </c>
      <c r="AO292" s="196" t="s">
        <v>588</v>
      </c>
      <c r="BD292" s="196">
        <v>45942</v>
      </c>
      <c r="BE292" s="196" t="s">
        <v>232</v>
      </c>
    </row>
    <row r="293" spans="33:57" ht="14.5" x14ac:dyDescent="0.35">
      <c r="AG293" s="196" t="s">
        <v>1079</v>
      </c>
      <c r="AH293" s="196" t="s">
        <v>752</v>
      </c>
      <c r="AI293" s="196">
        <v>45691</v>
      </c>
      <c r="AJ293" s="196">
        <v>195.44</v>
      </c>
      <c r="AK293" s="196" t="s">
        <v>564</v>
      </c>
      <c r="AL293" s="196" t="s">
        <v>793</v>
      </c>
      <c r="AM293" s="196">
        <v>0</v>
      </c>
      <c r="AN293" s="196">
        <v>46302</v>
      </c>
      <c r="AO293" s="196" t="s">
        <v>588</v>
      </c>
      <c r="BD293" s="196">
        <v>45943</v>
      </c>
      <c r="BE293" s="196" t="s">
        <v>230</v>
      </c>
    </row>
    <row r="294" spans="33:57" ht="14.5" x14ac:dyDescent="0.35">
      <c r="AG294" s="196" t="s">
        <v>1080</v>
      </c>
      <c r="AH294" s="196" t="s">
        <v>752</v>
      </c>
      <c r="AI294" s="196">
        <v>45692</v>
      </c>
      <c r="AJ294" s="196">
        <v>195.67</v>
      </c>
      <c r="AK294" s="196" t="s">
        <v>564</v>
      </c>
      <c r="AL294" s="196" t="s">
        <v>793</v>
      </c>
      <c r="AM294" s="196">
        <v>0</v>
      </c>
      <c r="AN294" s="196">
        <v>46302</v>
      </c>
      <c r="AO294" s="196" t="s">
        <v>588</v>
      </c>
      <c r="BD294" s="196">
        <v>45944</v>
      </c>
      <c r="BE294" s="196" t="s">
        <v>230</v>
      </c>
    </row>
    <row r="295" spans="33:57" ht="14.5" x14ac:dyDescent="0.35">
      <c r="AG295" s="196" t="s">
        <v>1081</v>
      </c>
      <c r="AH295" s="196" t="s">
        <v>752</v>
      </c>
      <c r="AI295" s="196">
        <v>45693</v>
      </c>
      <c r="AJ295" s="196">
        <v>195.89</v>
      </c>
      <c r="AK295" s="196" t="s">
        <v>564</v>
      </c>
      <c r="AL295" s="196" t="s">
        <v>793</v>
      </c>
      <c r="AM295" s="196">
        <v>0</v>
      </c>
      <c r="AN295" s="196">
        <v>46302</v>
      </c>
      <c r="AO295" s="196" t="s">
        <v>588</v>
      </c>
      <c r="BD295" s="196">
        <v>45945</v>
      </c>
      <c r="BE295" s="196" t="s">
        <v>230</v>
      </c>
    </row>
    <row r="296" spans="33:57" ht="14.5" x14ac:dyDescent="0.35">
      <c r="AG296" s="196" t="s">
        <v>1082</v>
      </c>
      <c r="AH296" s="196" t="s">
        <v>752</v>
      </c>
      <c r="AI296" s="196">
        <v>45694</v>
      </c>
      <c r="AJ296" s="196">
        <v>196.11</v>
      </c>
      <c r="AK296" s="196" t="s">
        <v>564</v>
      </c>
      <c r="AL296" s="196" t="s">
        <v>793</v>
      </c>
      <c r="AM296" s="196">
        <v>0</v>
      </c>
      <c r="AN296" s="196">
        <v>46302</v>
      </c>
      <c r="AO296" s="196" t="s">
        <v>588</v>
      </c>
      <c r="BD296" s="196">
        <v>45946</v>
      </c>
      <c r="BE296" s="196" t="s">
        <v>230</v>
      </c>
    </row>
    <row r="297" spans="33:57" ht="14.5" x14ac:dyDescent="0.35">
      <c r="AG297" s="196" t="s">
        <v>1083</v>
      </c>
      <c r="AH297" s="196" t="s">
        <v>752</v>
      </c>
      <c r="AI297" s="196">
        <v>45695</v>
      </c>
      <c r="AJ297" s="196">
        <v>196.33</v>
      </c>
      <c r="AK297" s="196" t="s">
        <v>564</v>
      </c>
      <c r="AL297" s="196" t="s">
        <v>793</v>
      </c>
      <c r="AM297" s="196">
        <v>0</v>
      </c>
      <c r="AN297" s="196">
        <v>46302</v>
      </c>
      <c r="AO297" s="196" t="s">
        <v>588</v>
      </c>
      <c r="BD297" s="196">
        <v>45947</v>
      </c>
      <c r="BE297" s="196" t="s">
        <v>230</v>
      </c>
    </row>
    <row r="298" spans="33:57" ht="14.5" x14ac:dyDescent="0.35">
      <c r="AG298" s="196" t="s">
        <v>1084</v>
      </c>
      <c r="AH298" s="196" t="s">
        <v>752</v>
      </c>
      <c r="AI298" s="196">
        <v>45698</v>
      </c>
      <c r="AJ298" s="196">
        <v>197</v>
      </c>
      <c r="AK298" s="196" t="s">
        <v>564</v>
      </c>
      <c r="AL298" s="196" t="s">
        <v>793</v>
      </c>
      <c r="AM298" s="196">
        <v>0</v>
      </c>
      <c r="AN298" s="196">
        <v>46302</v>
      </c>
      <c r="AO298" s="196" t="s">
        <v>588</v>
      </c>
      <c r="BD298" s="196">
        <v>45948</v>
      </c>
      <c r="BE298" s="196" t="s">
        <v>232</v>
      </c>
    </row>
    <row r="299" spans="33:57" ht="14.5" x14ac:dyDescent="0.35">
      <c r="AG299" s="196" t="s">
        <v>1085</v>
      </c>
      <c r="AH299" s="196" t="s">
        <v>752</v>
      </c>
      <c r="AI299" s="196">
        <v>45699</v>
      </c>
      <c r="AJ299" s="196">
        <v>197.22</v>
      </c>
      <c r="AK299" s="196" t="s">
        <v>564</v>
      </c>
      <c r="AL299" s="196" t="s">
        <v>793</v>
      </c>
      <c r="AM299" s="196">
        <v>0</v>
      </c>
      <c r="AN299" s="196">
        <v>46302</v>
      </c>
      <c r="AO299" s="196" t="s">
        <v>588</v>
      </c>
      <c r="BD299" s="196">
        <v>45949</v>
      </c>
      <c r="BE299" s="196" t="s">
        <v>232</v>
      </c>
    </row>
    <row r="300" spans="33:57" ht="14.5" x14ac:dyDescent="0.35">
      <c r="AG300" s="196" t="s">
        <v>1086</v>
      </c>
      <c r="AH300" s="196" t="s">
        <v>752</v>
      </c>
      <c r="AI300" s="196">
        <v>45700</v>
      </c>
      <c r="AJ300" s="196">
        <v>197.44</v>
      </c>
      <c r="AK300" s="196" t="s">
        <v>564</v>
      </c>
      <c r="AL300" s="196" t="s">
        <v>793</v>
      </c>
      <c r="AM300" s="196">
        <v>0</v>
      </c>
      <c r="AN300" s="196">
        <v>46302</v>
      </c>
      <c r="AO300" s="196" t="s">
        <v>588</v>
      </c>
      <c r="BD300" s="196">
        <v>45950</v>
      </c>
      <c r="BE300" s="196" t="s">
        <v>230</v>
      </c>
    </row>
    <row r="301" spans="33:57" ht="14.5" x14ac:dyDescent="0.35">
      <c r="AG301" s="196" t="s">
        <v>1087</v>
      </c>
      <c r="AH301" s="196" t="s">
        <v>752</v>
      </c>
      <c r="AI301" s="196">
        <v>45701</v>
      </c>
      <c r="AJ301" s="196">
        <v>197.67</v>
      </c>
      <c r="AK301" s="196" t="s">
        <v>564</v>
      </c>
      <c r="AL301" s="196" t="s">
        <v>793</v>
      </c>
      <c r="AM301" s="196">
        <v>0</v>
      </c>
      <c r="AN301" s="196">
        <v>46302</v>
      </c>
      <c r="AO301" s="196" t="s">
        <v>588</v>
      </c>
      <c r="BD301" s="196">
        <v>45951</v>
      </c>
      <c r="BE301" s="196" t="s">
        <v>230</v>
      </c>
    </row>
    <row r="302" spans="33:57" ht="14.5" x14ac:dyDescent="0.35">
      <c r="AG302" s="196" t="s">
        <v>1088</v>
      </c>
      <c r="AH302" s="196" t="s">
        <v>752</v>
      </c>
      <c r="AI302" s="196">
        <v>45702</v>
      </c>
      <c r="AJ302" s="196">
        <v>197.89</v>
      </c>
      <c r="AK302" s="196" t="s">
        <v>564</v>
      </c>
      <c r="AL302" s="196" t="s">
        <v>793</v>
      </c>
      <c r="AM302" s="196">
        <v>0</v>
      </c>
      <c r="AN302" s="196">
        <v>46302</v>
      </c>
      <c r="AO302" s="196" t="s">
        <v>588</v>
      </c>
      <c r="BD302" s="196">
        <v>45952</v>
      </c>
      <c r="BE302" s="196" t="s">
        <v>230</v>
      </c>
    </row>
    <row r="303" spans="33:57" ht="14.5" x14ac:dyDescent="0.35">
      <c r="AG303" s="196" t="s">
        <v>1089</v>
      </c>
      <c r="AH303" s="196" t="s">
        <v>752</v>
      </c>
      <c r="AI303" s="196">
        <v>45705</v>
      </c>
      <c r="AJ303" s="196">
        <v>198.56</v>
      </c>
      <c r="AK303" s="196" t="s">
        <v>564</v>
      </c>
      <c r="AL303" s="196" t="s">
        <v>793</v>
      </c>
      <c r="AM303" s="196">
        <v>0</v>
      </c>
      <c r="AN303" s="196">
        <v>46302</v>
      </c>
      <c r="AO303" s="196" t="s">
        <v>588</v>
      </c>
      <c r="BD303" s="196">
        <v>45953</v>
      </c>
      <c r="BE303" s="196" t="s">
        <v>230</v>
      </c>
    </row>
    <row r="304" spans="33:57" ht="14.5" x14ac:dyDescent="0.35">
      <c r="AG304" s="196" t="s">
        <v>1090</v>
      </c>
      <c r="AH304" s="196" t="s">
        <v>752</v>
      </c>
      <c r="AI304" s="196">
        <v>45706</v>
      </c>
      <c r="AJ304" s="196">
        <v>198.78</v>
      </c>
      <c r="AK304" s="196" t="s">
        <v>564</v>
      </c>
      <c r="AL304" s="196" t="s">
        <v>793</v>
      </c>
      <c r="AM304" s="196">
        <v>0</v>
      </c>
      <c r="AN304" s="196">
        <v>46302</v>
      </c>
      <c r="AO304" s="196" t="s">
        <v>588</v>
      </c>
      <c r="BD304" s="196">
        <v>45954</v>
      </c>
      <c r="BE304" s="196" t="s">
        <v>230</v>
      </c>
    </row>
    <row r="305" spans="33:57" ht="14.5" x14ac:dyDescent="0.35">
      <c r="AG305" s="196" t="s">
        <v>1091</v>
      </c>
      <c r="AH305" s="196" t="s">
        <v>752</v>
      </c>
      <c r="AI305" s="196">
        <v>45707</v>
      </c>
      <c r="AJ305" s="196">
        <v>199</v>
      </c>
      <c r="AK305" s="196" t="s">
        <v>564</v>
      </c>
      <c r="AL305" s="196" t="s">
        <v>793</v>
      </c>
      <c r="AM305" s="196">
        <v>0</v>
      </c>
      <c r="AN305" s="196">
        <v>46302</v>
      </c>
      <c r="AO305" s="196" t="s">
        <v>588</v>
      </c>
      <c r="BD305" s="196">
        <v>45955</v>
      </c>
      <c r="BE305" s="196" t="s">
        <v>232</v>
      </c>
    </row>
    <row r="306" spans="33:57" ht="14.5" x14ac:dyDescent="0.35">
      <c r="AG306" s="196" t="s">
        <v>1092</v>
      </c>
      <c r="AH306" s="196" t="s">
        <v>752</v>
      </c>
      <c r="AI306" s="196">
        <v>45708</v>
      </c>
      <c r="AJ306" s="196">
        <v>199.22</v>
      </c>
      <c r="AK306" s="196" t="s">
        <v>564</v>
      </c>
      <c r="AL306" s="196" t="s">
        <v>793</v>
      </c>
      <c r="AM306" s="196">
        <v>0</v>
      </c>
      <c r="AN306" s="196">
        <v>46302</v>
      </c>
      <c r="AO306" s="196" t="s">
        <v>588</v>
      </c>
      <c r="BD306" s="196">
        <v>45956</v>
      </c>
      <c r="BE306" s="196" t="s">
        <v>232</v>
      </c>
    </row>
    <row r="307" spans="33:57" ht="14.5" x14ac:dyDescent="0.35">
      <c r="AG307" s="196" t="s">
        <v>1093</v>
      </c>
      <c r="AH307" s="196" t="s">
        <v>752</v>
      </c>
      <c r="AI307" s="196">
        <v>45709</v>
      </c>
      <c r="AJ307" s="196">
        <v>199.44</v>
      </c>
      <c r="AK307" s="196" t="s">
        <v>564</v>
      </c>
      <c r="AL307" s="196" t="s">
        <v>793</v>
      </c>
      <c r="AM307" s="196">
        <v>0</v>
      </c>
      <c r="AN307" s="196">
        <v>46302</v>
      </c>
      <c r="AO307" s="196" t="s">
        <v>588</v>
      </c>
      <c r="BD307" s="196">
        <v>45957</v>
      </c>
      <c r="BE307" s="196" t="s">
        <v>230</v>
      </c>
    </row>
    <row r="308" spans="33:57" ht="14.5" x14ac:dyDescent="0.35">
      <c r="AG308" s="196" t="s">
        <v>1094</v>
      </c>
      <c r="AH308" s="196" t="s">
        <v>752</v>
      </c>
      <c r="AI308" s="196">
        <v>45712</v>
      </c>
      <c r="AJ308" s="196">
        <v>200.11</v>
      </c>
      <c r="AK308" s="196" t="s">
        <v>564</v>
      </c>
      <c r="AL308" s="196" t="s">
        <v>793</v>
      </c>
      <c r="AM308" s="196">
        <v>0</v>
      </c>
      <c r="AN308" s="196">
        <v>46302</v>
      </c>
      <c r="AO308" s="196" t="s">
        <v>588</v>
      </c>
      <c r="BD308" s="196">
        <v>45958</v>
      </c>
      <c r="BE308" s="196" t="s">
        <v>230</v>
      </c>
    </row>
    <row r="309" spans="33:57" ht="14.5" x14ac:dyDescent="0.35">
      <c r="AG309" s="196" t="s">
        <v>1095</v>
      </c>
      <c r="AH309" s="196" t="s">
        <v>752</v>
      </c>
      <c r="AI309" s="196">
        <v>45713</v>
      </c>
      <c r="AJ309" s="196">
        <v>200.33</v>
      </c>
      <c r="AK309" s="196" t="s">
        <v>564</v>
      </c>
      <c r="AL309" s="196" t="s">
        <v>793</v>
      </c>
      <c r="AM309" s="196">
        <v>0</v>
      </c>
      <c r="AN309" s="196">
        <v>46302</v>
      </c>
      <c r="AO309" s="196" t="s">
        <v>588</v>
      </c>
      <c r="BD309" s="196">
        <v>45959</v>
      </c>
      <c r="BE309" s="196" t="s">
        <v>230</v>
      </c>
    </row>
    <row r="310" spans="33:57" ht="14.5" x14ac:dyDescent="0.35">
      <c r="AG310" s="196" t="s">
        <v>1096</v>
      </c>
      <c r="AH310" s="196" t="s">
        <v>752</v>
      </c>
      <c r="AI310" s="196">
        <v>45714</v>
      </c>
      <c r="AJ310" s="196">
        <v>200.56</v>
      </c>
      <c r="AK310" s="196" t="s">
        <v>564</v>
      </c>
      <c r="AL310" s="196" t="s">
        <v>793</v>
      </c>
      <c r="AM310" s="196">
        <v>0</v>
      </c>
      <c r="AN310" s="196">
        <v>46302</v>
      </c>
      <c r="AO310" s="196" t="s">
        <v>588</v>
      </c>
      <c r="BD310" s="196">
        <v>45960</v>
      </c>
      <c r="BE310" s="196" t="s">
        <v>230</v>
      </c>
    </row>
    <row r="311" spans="33:57" ht="14.5" x14ac:dyDescent="0.35">
      <c r="AG311" s="196" t="s">
        <v>1097</v>
      </c>
      <c r="AH311" s="196" t="s">
        <v>752</v>
      </c>
      <c r="AI311" s="196">
        <v>45715</v>
      </c>
      <c r="AJ311" s="196">
        <v>200.78</v>
      </c>
      <c r="AK311" s="196" t="s">
        <v>564</v>
      </c>
      <c r="AL311" s="196" t="s">
        <v>793</v>
      </c>
      <c r="AM311" s="196">
        <v>0</v>
      </c>
      <c r="AN311" s="196">
        <v>46302</v>
      </c>
      <c r="AO311" s="196" t="s">
        <v>588</v>
      </c>
      <c r="BD311" s="196">
        <v>45961</v>
      </c>
      <c r="BE311" s="196" t="s">
        <v>230</v>
      </c>
    </row>
    <row r="312" spans="33:57" ht="14.5" x14ac:dyDescent="0.35">
      <c r="AG312" s="196" t="s">
        <v>1098</v>
      </c>
      <c r="AH312" s="196" t="s">
        <v>752</v>
      </c>
      <c r="AI312" s="196">
        <v>45716</v>
      </c>
      <c r="AJ312" s="196">
        <v>201</v>
      </c>
      <c r="AK312" s="196" t="s">
        <v>564</v>
      </c>
      <c r="AL312" s="196" t="s">
        <v>793</v>
      </c>
      <c r="AM312" s="196">
        <v>0</v>
      </c>
      <c r="AN312" s="196">
        <v>46302</v>
      </c>
      <c r="AO312" s="196" t="s">
        <v>588</v>
      </c>
      <c r="BD312" s="196">
        <v>45962</v>
      </c>
      <c r="BE312" s="196" t="s">
        <v>232</v>
      </c>
    </row>
    <row r="313" spans="33:57" ht="14.5" x14ac:dyDescent="0.35">
      <c r="AG313" s="196" t="s">
        <v>1099</v>
      </c>
      <c r="AH313" s="196" t="s">
        <v>752</v>
      </c>
      <c r="AI313" s="196">
        <v>45719</v>
      </c>
      <c r="AJ313" s="196">
        <v>200.8</v>
      </c>
      <c r="AK313" s="196" t="s">
        <v>564</v>
      </c>
      <c r="AL313" s="196" t="s">
        <v>793</v>
      </c>
      <c r="AM313" s="196">
        <v>0</v>
      </c>
      <c r="AN313" s="196">
        <v>46302</v>
      </c>
      <c r="AO313" s="196" t="s">
        <v>588</v>
      </c>
      <c r="BD313" s="196">
        <v>45963</v>
      </c>
      <c r="BE313" s="196" t="s">
        <v>232</v>
      </c>
    </row>
    <row r="314" spans="33:57" ht="14.5" x14ac:dyDescent="0.35">
      <c r="AG314" s="196" t="s">
        <v>1100</v>
      </c>
      <c r="AH314" s="196" t="s">
        <v>752</v>
      </c>
      <c r="AI314" s="196">
        <v>45720</v>
      </c>
      <c r="AJ314" s="196">
        <v>200.7</v>
      </c>
      <c r="AK314" s="196" t="s">
        <v>564</v>
      </c>
      <c r="AL314" s="196" t="s">
        <v>793</v>
      </c>
      <c r="AM314" s="196">
        <v>0</v>
      </c>
      <c r="AN314" s="196">
        <v>46302</v>
      </c>
      <c r="AO314" s="196" t="s">
        <v>588</v>
      </c>
      <c r="BD314" s="196">
        <v>45964</v>
      </c>
      <c r="BE314" s="196" t="s">
        <v>230</v>
      </c>
    </row>
    <row r="315" spans="33:57" ht="14.5" x14ac:dyDescent="0.35">
      <c r="AG315" s="196" t="s">
        <v>1101</v>
      </c>
      <c r="AH315" s="196" t="s">
        <v>752</v>
      </c>
      <c r="AI315" s="196">
        <v>45721</v>
      </c>
      <c r="AJ315" s="196">
        <v>200.6</v>
      </c>
      <c r="AK315" s="196" t="s">
        <v>564</v>
      </c>
      <c r="AL315" s="196" t="s">
        <v>793</v>
      </c>
      <c r="AM315" s="196">
        <v>0</v>
      </c>
      <c r="AN315" s="196">
        <v>46302</v>
      </c>
      <c r="AO315" s="196" t="s">
        <v>588</v>
      </c>
      <c r="BD315" s="196">
        <v>45965</v>
      </c>
      <c r="BE315" s="196" t="s">
        <v>230</v>
      </c>
    </row>
    <row r="316" spans="33:57" ht="14.5" x14ac:dyDescent="0.35">
      <c r="AG316" s="196" t="s">
        <v>1102</v>
      </c>
      <c r="AH316" s="196" t="s">
        <v>752</v>
      </c>
      <c r="AI316" s="196">
        <v>45722</v>
      </c>
      <c r="AJ316" s="196">
        <v>200.5</v>
      </c>
      <c r="AK316" s="196" t="s">
        <v>564</v>
      </c>
      <c r="AL316" s="196" t="s">
        <v>793</v>
      </c>
      <c r="AM316" s="196">
        <v>0</v>
      </c>
      <c r="AN316" s="196">
        <v>46302</v>
      </c>
      <c r="AO316" s="196" t="s">
        <v>588</v>
      </c>
      <c r="BD316" s="196">
        <v>45966</v>
      </c>
      <c r="BE316" s="196" t="s">
        <v>230</v>
      </c>
    </row>
    <row r="317" spans="33:57" ht="14.5" x14ac:dyDescent="0.35">
      <c r="AG317" s="196" t="s">
        <v>1103</v>
      </c>
      <c r="AH317" s="196" t="s">
        <v>752</v>
      </c>
      <c r="AI317" s="196">
        <v>45723</v>
      </c>
      <c r="AJ317" s="196">
        <v>200.4</v>
      </c>
      <c r="AK317" s="196" t="s">
        <v>564</v>
      </c>
      <c r="AL317" s="196" t="s">
        <v>793</v>
      </c>
      <c r="AM317" s="196">
        <v>0</v>
      </c>
      <c r="AN317" s="196">
        <v>46302</v>
      </c>
      <c r="AO317" s="196" t="s">
        <v>588</v>
      </c>
      <c r="BD317" s="196">
        <v>45967</v>
      </c>
      <c r="BE317" s="196" t="s">
        <v>230</v>
      </c>
    </row>
    <row r="318" spans="33:57" ht="14.5" x14ac:dyDescent="0.35">
      <c r="AG318" s="196" t="s">
        <v>1104</v>
      </c>
      <c r="AH318" s="196" t="s">
        <v>752</v>
      </c>
      <c r="AI318" s="196">
        <v>45726</v>
      </c>
      <c r="AJ318" s="196">
        <v>200.1</v>
      </c>
      <c r="AK318" s="196" t="s">
        <v>564</v>
      </c>
      <c r="AL318" s="196" t="s">
        <v>793</v>
      </c>
      <c r="AM318" s="196">
        <v>0</v>
      </c>
      <c r="AN318" s="196">
        <v>46302</v>
      </c>
      <c r="AO318" s="196" t="s">
        <v>588</v>
      </c>
      <c r="BD318" s="196">
        <v>45968</v>
      </c>
      <c r="BE318" s="196" t="s">
        <v>230</v>
      </c>
    </row>
    <row r="319" spans="33:57" ht="14.5" x14ac:dyDescent="0.35">
      <c r="AG319" s="196" t="s">
        <v>1105</v>
      </c>
      <c r="AH319" s="196" t="s">
        <v>752</v>
      </c>
      <c r="AI319" s="196">
        <v>45727</v>
      </c>
      <c r="AJ319" s="196">
        <v>200</v>
      </c>
      <c r="AK319" s="196" t="s">
        <v>564</v>
      </c>
      <c r="AL319" s="196" t="s">
        <v>793</v>
      </c>
      <c r="AM319" s="196">
        <v>0</v>
      </c>
      <c r="AN319" s="196">
        <v>46302</v>
      </c>
      <c r="AO319" s="196" t="s">
        <v>588</v>
      </c>
      <c r="BD319" s="196">
        <v>45969</v>
      </c>
      <c r="BE319" s="196" t="s">
        <v>232</v>
      </c>
    </row>
    <row r="320" spans="33:57" ht="14.5" x14ac:dyDescent="0.35">
      <c r="AG320" s="196" t="s">
        <v>1106</v>
      </c>
      <c r="AH320" s="196" t="s">
        <v>752</v>
      </c>
      <c r="AI320" s="196">
        <v>45728</v>
      </c>
      <c r="AJ320" s="196">
        <v>199.9</v>
      </c>
      <c r="AK320" s="196" t="s">
        <v>564</v>
      </c>
      <c r="AL320" s="196" t="s">
        <v>793</v>
      </c>
      <c r="AM320" s="196">
        <v>0</v>
      </c>
      <c r="AN320" s="196">
        <v>46302</v>
      </c>
      <c r="AO320" s="196" t="s">
        <v>588</v>
      </c>
      <c r="BD320" s="196">
        <v>45970</v>
      </c>
      <c r="BE320" s="196" t="s">
        <v>232</v>
      </c>
    </row>
    <row r="321" spans="33:57" ht="14.5" x14ac:dyDescent="0.35">
      <c r="AG321" s="196" t="s">
        <v>1107</v>
      </c>
      <c r="AH321" s="196" t="s">
        <v>752</v>
      </c>
      <c r="AI321" s="196">
        <v>45729</v>
      </c>
      <c r="AJ321" s="196">
        <v>199.8</v>
      </c>
      <c r="AK321" s="196" t="s">
        <v>564</v>
      </c>
      <c r="AL321" s="196" t="s">
        <v>793</v>
      </c>
      <c r="AM321" s="196">
        <v>0</v>
      </c>
      <c r="AN321" s="196">
        <v>46302</v>
      </c>
      <c r="AO321" s="196" t="s">
        <v>588</v>
      </c>
      <c r="BD321" s="196">
        <v>45971</v>
      </c>
      <c r="BE321" s="196" t="s">
        <v>230</v>
      </c>
    </row>
    <row r="322" spans="33:57" ht="14.5" x14ac:dyDescent="0.35">
      <c r="AG322" s="196" t="s">
        <v>1108</v>
      </c>
      <c r="AH322" s="196" t="s">
        <v>752</v>
      </c>
      <c r="AI322" s="196">
        <v>45730</v>
      </c>
      <c r="AJ322" s="196">
        <v>199.7</v>
      </c>
      <c r="AK322" s="196" t="s">
        <v>564</v>
      </c>
      <c r="AL322" s="196" t="s">
        <v>793</v>
      </c>
      <c r="AM322" s="196">
        <v>0</v>
      </c>
      <c r="AN322" s="196">
        <v>46302</v>
      </c>
      <c r="AO322" s="196" t="s">
        <v>588</v>
      </c>
      <c r="BD322" s="196">
        <v>45972</v>
      </c>
      <c r="BE322" s="196" t="s">
        <v>230</v>
      </c>
    </row>
    <row r="323" spans="33:57" ht="14.5" x14ac:dyDescent="0.35">
      <c r="AG323" s="196" t="s">
        <v>1109</v>
      </c>
      <c r="AH323" s="196" t="s">
        <v>752</v>
      </c>
      <c r="AI323" s="196">
        <v>45733</v>
      </c>
      <c r="AJ323" s="196">
        <v>199.4</v>
      </c>
      <c r="AK323" s="196" t="s">
        <v>564</v>
      </c>
      <c r="AL323" s="196" t="s">
        <v>793</v>
      </c>
      <c r="AM323" s="196">
        <v>0</v>
      </c>
      <c r="AN323" s="196">
        <v>46302</v>
      </c>
      <c r="AO323" s="196" t="s">
        <v>588</v>
      </c>
      <c r="BD323" s="196">
        <v>45973</v>
      </c>
      <c r="BE323" s="196" t="s">
        <v>230</v>
      </c>
    </row>
    <row r="324" spans="33:57" ht="14.5" x14ac:dyDescent="0.35">
      <c r="AG324" s="196" t="s">
        <v>1110</v>
      </c>
      <c r="AH324" s="196" t="s">
        <v>752</v>
      </c>
      <c r="AI324" s="196">
        <v>45734</v>
      </c>
      <c r="AJ324" s="196">
        <v>199.3</v>
      </c>
      <c r="AK324" s="196" t="s">
        <v>564</v>
      </c>
      <c r="AL324" s="196" t="s">
        <v>793</v>
      </c>
      <c r="AM324" s="196">
        <v>0</v>
      </c>
      <c r="AN324" s="196">
        <v>46302</v>
      </c>
      <c r="AO324" s="196" t="s">
        <v>588</v>
      </c>
      <c r="BD324" s="196">
        <v>45974</v>
      </c>
      <c r="BE324" s="196" t="s">
        <v>230</v>
      </c>
    </row>
    <row r="325" spans="33:57" ht="14.5" x14ac:dyDescent="0.35">
      <c r="AG325" s="196" t="s">
        <v>1111</v>
      </c>
      <c r="AH325" s="196" t="s">
        <v>752</v>
      </c>
      <c r="AI325" s="196">
        <v>45735</v>
      </c>
      <c r="AJ325" s="196">
        <v>199.2</v>
      </c>
      <c r="AK325" s="196" t="s">
        <v>564</v>
      </c>
      <c r="AL325" s="196" t="s">
        <v>793</v>
      </c>
      <c r="AM325" s="196">
        <v>0</v>
      </c>
      <c r="AN325" s="196">
        <v>46302</v>
      </c>
      <c r="AO325" s="196" t="s">
        <v>588</v>
      </c>
      <c r="BD325" s="196">
        <v>45975</v>
      </c>
      <c r="BE325" s="196" t="s">
        <v>230</v>
      </c>
    </row>
    <row r="326" spans="33:57" ht="14.5" x14ac:dyDescent="0.35">
      <c r="AG326" s="196" t="s">
        <v>1112</v>
      </c>
      <c r="AH326" s="196" t="s">
        <v>752</v>
      </c>
      <c r="AI326" s="196">
        <v>45736</v>
      </c>
      <c r="AJ326" s="196">
        <v>199.1</v>
      </c>
      <c r="AK326" s="196" t="s">
        <v>564</v>
      </c>
      <c r="AL326" s="196" t="s">
        <v>793</v>
      </c>
      <c r="AM326" s="196">
        <v>0</v>
      </c>
      <c r="AN326" s="196">
        <v>46302</v>
      </c>
      <c r="AO326" s="196" t="s">
        <v>588</v>
      </c>
      <c r="BD326" s="196">
        <v>45976</v>
      </c>
      <c r="BE326" s="196" t="s">
        <v>232</v>
      </c>
    </row>
    <row r="327" spans="33:57" ht="14.5" x14ac:dyDescent="0.35">
      <c r="AG327" s="196" t="s">
        <v>1113</v>
      </c>
      <c r="AH327" s="196" t="s">
        <v>752</v>
      </c>
      <c r="AI327" s="196">
        <v>45737</v>
      </c>
      <c r="AJ327" s="196">
        <v>199</v>
      </c>
      <c r="AK327" s="196" t="s">
        <v>564</v>
      </c>
      <c r="AL327" s="196" t="s">
        <v>793</v>
      </c>
      <c r="AM327" s="196">
        <v>0</v>
      </c>
      <c r="AN327" s="196">
        <v>46302</v>
      </c>
      <c r="AO327" s="196" t="s">
        <v>588</v>
      </c>
      <c r="BD327" s="196">
        <v>45977</v>
      </c>
      <c r="BE327" s="196" t="s">
        <v>232</v>
      </c>
    </row>
    <row r="328" spans="33:57" ht="14.5" x14ac:dyDescent="0.35">
      <c r="AG328" s="196" t="s">
        <v>1114</v>
      </c>
      <c r="AH328" s="196" t="s">
        <v>752</v>
      </c>
      <c r="AI328" s="196">
        <v>45740</v>
      </c>
      <c r="AJ328" s="196">
        <v>198.7</v>
      </c>
      <c r="AK328" s="196" t="s">
        <v>564</v>
      </c>
      <c r="AL328" s="196" t="s">
        <v>793</v>
      </c>
      <c r="AM328" s="196">
        <v>0</v>
      </c>
      <c r="AN328" s="196">
        <v>46302</v>
      </c>
      <c r="AO328" s="196" t="s">
        <v>588</v>
      </c>
      <c r="BD328" s="196">
        <v>45978</v>
      </c>
      <c r="BE328" s="196" t="s">
        <v>230</v>
      </c>
    </row>
    <row r="329" spans="33:57" ht="14.5" x14ac:dyDescent="0.35">
      <c r="AG329" s="196" t="s">
        <v>1115</v>
      </c>
      <c r="AH329" s="196" t="s">
        <v>752</v>
      </c>
      <c r="AI329" s="196">
        <v>45741</v>
      </c>
      <c r="AJ329" s="196">
        <v>198.6</v>
      </c>
      <c r="AK329" s="196" t="s">
        <v>564</v>
      </c>
      <c r="AL329" s="196" t="s">
        <v>793</v>
      </c>
      <c r="AM329" s="196">
        <v>0</v>
      </c>
      <c r="AN329" s="196">
        <v>46302</v>
      </c>
      <c r="AO329" s="196" t="s">
        <v>588</v>
      </c>
      <c r="BD329" s="196">
        <v>45979</v>
      </c>
      <c r="BE329" s="196" t="s">
        <v>230</v>
      </c>
    </row>
    <row r="330" spans="33:57" ht="14.5" x14ac:dyDescent="0.35">
      <c r="AG330" s="196" t="s">
        <v>1116</v>
      </c>
      <c r="AH330" s="196" t="s">
        <v>752</v>
      </c>
      <c r="AI330" s="196">
        <v>45742</v>
      </c>
      <c r="AJ330" s="196">
        <v>198.5</v>
      </c>
      <c r="AK330" s="196" t="s">
        <v>564</v>
      </c>
      <c r="AL330" s="196" t="s">
        <v>793</v>
      </c>
      <c r="AM330" s="196">
        <v>0</v>
      </c>
      <c r="AN330" s="196">
        <v>46302</v>
      </c>
      <c r="AO330" s="196" t="s">
        <v>588</v>
      </c>
      <c r="BD330" s="196">
        <v>45980</v>
      </c>
      <c r="BE330" s="196" t="s">
        <v>230</v>
      </c>
    </row>
    <row r="331" spans="33:57" ht="14.5" x14ac:dyDescent="0.35">
      <c r="AG331" s="196" t="s">
        <v>1117</v>
      </c>
      <c r="AH331" s="196" t="s">
        <v>752</v>
      </c>
      <c r="AI331" s="196">
        <v>45743</v>
      </c>
      <c r="AJ331" s="196">
        <v>198.4</v>
      </c>
      <c r="AK331" s="196" t="s">
        <v>564</v>
      </c>
      <c r="AL331" s="196" t="s">
        <v>793</v>
      </c>
      <c r="AM331" s="196">
        <v>0</v>
      </c>
      <c r="AN331" s="196">
        <v>46302</v>
      </c>
      <c r="AO331" s="196" t="s">
        <v>588</v>
      </c>
      <c r="BD331" s="196">
        <v>45981</v>
      </c>
      <c r="BE331" s="196" t="s">
        <v>230</v>
      </c>
    </row>
    <row r="332" spans="33:57" ht="14.5" x14ac:dyDescent="0.35">
      <c r="AG332" s="196" t="s">
        <v>1118</v>
      </c>
      <c r="AH332" s="196" t="s">
        <v>752</v>
      </c>
      <c r="AI332" s="196">
        <v>45744</v>
      </c>
      <c r="AJ332" s="196">
        <v>198.3</v>
      </c>
      <c r="AK332" s="196" t="s">
        <v>564</v>
      </c>
      <c r="AL332" s="196" t="s">
        <v>793</v>
      </c>
      <c r="AM332" s="196">
        <v>0</v>
      </c>
      <c r="AN332" s="196">
        <v>46302</v>
      </c>
      <c r="AO332" s="196" t="s">
        <v>588</v>
      </c>
      <c r="BD332" s="196">
        <v>45982</v>
      </c>
      <c r="BE332" s="196" t="s">
        <v>230</v>
      </c>
    </row>
    <row r="333" spans="33:57" ht="14.5" x14ac:dyDescent="0.35">
      <c r="AG333" s="196" t="s">
        <v>1119</v>
      </c>
      <c r="AH333" s="196" t="s">
        <v>752</v>
      </c>
      <c r="AI333" s="196">
        <v>45747</v>
      </c>
      <c r="AJ333" s="196">
        <v>198</v>
      </c>
      <c r="AK333" s="196" t="s">
        <v>564</v>
      </c>
      <c r="AL333" s="196" t="s">
        <v>793</v>
      </c>
      <c r="AM333" s="196">
        <v>0</v>
      </c>
      <c r="AN333" s="196">
        <v>46302</v>
      </c>
      <c r="AO333" s="196" t="s">
        <v>588</v>
      </c>
      <c r="BD333" s="196">
        <v>45983</v>
      </c>
      <c r="BE333" s="196" t="s">
        <v>232</v>
      </c>
    </row>
    <row r="334" spans="33:57" ht="14.5" x14ac:dyDescent="0.35">
      <c r="AG334" s="196" t="s">
        <v>1120</v>
      </c>
      <c r="AH334" s="196" t="s">
        <v>752</v>
      </c>
      <c r="AI334" s="196">
        <v>45748</v>
      </c>
      <c r="AJ334" s="196">
        <v>198</v>
      </c>
      <c r="AK334" s="196" t="s">
        <v>564</v>
      </c>
      <c r="AL334" s="196" t="s">
        <v>793</v>
      </c>
      <c r="AM334" s="196">
        <v>0</v>
      </c>
      <c r="AN334" s="196">
        <v>46302</v>
      </c>
      <c r="AO334" s="196" t="s">
        <v>588</v>
      </c>
      <c r="BD334" s="196">
        <v>45984</v>
      </c>
      <c r="BE334" s="196" t="s">
        <v>232</v>
      </c>
    </row>
    <row r="335" spans="33:57" ht="14.5" x14ac:dyDescent="0.35">
      <c r="AG335" s="196" t="s">
        <v>1121</v>
      </c>
      <c r="AH335" s="196" t="s">
        <v>752</v>
      </c>
      <c r="AI335" s="196">
        <v>45749</v>
      </c>
      <c r="AJ335" s="196">
        <v>197.62</v>
      </c>
      <c r="AK335" s="196" t="s">
        <v>564</v>
      </c>
      <c r="AL335" s="196" t="s">
        <v>793</v>
      </c>
      <c r="AM335" s="196">
        <v>0</v>
      </c>
      <c r="AN335" s="196">
        <v>46302</v>
      </c>
      <c r="AO335" s="196" t="s">
        <v>588</v>
      </c>
      <c r="BD335" s="196">
        <v>45985</v>
      </c>
      <c r="BE335" s="196" t="s">
        <v>230</v>
      </c>
    </row>
    <row r="336" spans="33:57" ht="14.5" x14ac:dyDescent="0.35">
      <c r="AG336" s="196" t="s">
        <v>1122</v>
      </c>
      <c r="AH336" s="196" t="s">
        <v>752</v>
      </c>
      <c r="AI336" s="196">
        <v>45750</v>
      </c>
      <c r="AJ336" s="196">
        <v>197.24</v>
      </c>
      <c r="AK336" s="196" t="s">
        <v>564</v>
      </c>
      <c r="AL336" s="196" t="s">
        <v>793</v>
      </c>
      <c r="AM336" s="196">
        <v>0</v>
      </c>
      <c r="AN336" s="196">
        <v>46302</v>
      </c>
      <c r="AO336" s="196" t="s">
        <v>588</v>
      </c>
      <c r="BD336" s="196">
        <v>45986</v>
      </c>
      <c r="BE336" s="196" t="s">
        <v>230</v>
      </c>
    </row>
    <row r="337" spans="33:57" ht="14.5" x14ac:dyDescent="0.35">
      <c r="AG337" s="196" t="s">
        <v>1123</v>
      </c>
      <c r="AH337" s="196" t="s">
        <v>752</v>
      </c>
      <c r="AI337" s="196">
        <v>45751</v>
      </c>
      <c r="AJ337" s="196">
        <v>196.86</v>
      </c>
      <c r="AK337" s="196" t="s">
        <v>564</v>
      </c>
      <c r="AL337" s="196" t="s">
        <v>793</v>
      </c>
      <c r="AM337" s="196">
        <v>0</v>
      </c>
      <c r="AN337" s="196">
        <v>46302</v>
      </c>
      <c r="AO337" s="196" t="s">
        <v>588</v>
      </c>
      <c r="BD337" s="196">
        <v>45987</v>
      </c>
      <c r="BE337" s="196" t="s">
        <v>230</v>
      </c>
    </row>
    <row r="338" spans="33:57" ht="14.5" x14ac:dyDescent="0.35">
      <c r="AG338" s="196" t="s">
        <v>1124</v>
      </c>
      <c r="AH338" s="196" t="s">
        <v>752</v>
      </c>
      <c r="AI338" s="196">
        <v>45754</v>
      </c>
      <c r="AJ338" s="196">
        <v>195.72</v>
      </c>
      <c r="AK338" s="196" t="s">
        <v>564</v>
      </c>
      <c r="AL338" s="196" t="s">
        <v>793</v>
      </c>
      <c r="AM338" s="196">
        <v>0</v>
      </c>
      <c r="AN338" s="196">
        <v>46302</v>
      </c>
      <c r="AO338" s="196" t="s">
        <v>588</v>
      </c>
      <c r="BD338" s="196">
        <v>45988</v>
      </c>
      <c r="BE338" s="196" t="s">
        <v>230</v>
      </c>
    </row>
    <row r="339" spans="33:57" ht="14.5" x14ac:dyDescent="0.35">
      <c r="AG339" s="196" t="s">
        <v>1125</v>
      </c>
      <c r="AH339" s="196" t="s">
        <v>752</v>
      </c>
      <c r="AI339" s="196">
        <v>45755</v>
      </c>
      <c r="AJ339" s="196">
        <v>195.34</v>
      </c>
      <c r="AK339" s="196" t="s">
        <v>564</v>
      </c>
      <c r="AL339" s="196" t="s">
        <v>793</v>
      </c>
      <c r="AM339" s="196">
        <v>0</v>
      </c>
      <c r="AN339" s="196">
        <v>46302</v>
      </c>
      <c r="AO339" s="196" t="s">
        <v>588</v>
      </c>
      <c r="BD339" s="196">
        <v>45989</v>
      </c>
      <c r="BE339" s="196" t="s">
        <v>230</v>
      </c>
    </row>
    <row r="340" spans="33:57" ht="14.5" x14ac:dyDescent="0.35">
      <c r="AG340" s="196" t="s">
        <v>1126</v>
      </c>
      <c r="AH340" s="196" t="s">
        <v>752</v>
      </c>
      <c r="AI340" s="196">
        <v>45756</v>
      </c>
      <c r="AJ340" s="196">
        <v>194.97</v>
      </c>
      <c r="AK340" s="196" t="s">
        <v>564</v>
      </c>
      <c r="AL340" s="196" t="s">
        <v>793</v>
      </c>
      <c r="AM340" s="196">
        <v>0</v>
      </c>
      <c r="AN340" s="196">
        <v>46302</v>
      </c>
      <c r="AO340" s="196" t="s">
        <v>588</v>
      </c>
      <c r="BD340" s="196">
        <v>45990</v>
      </c>
      <c r="BE340" s="196" t="s">
        <v>232</v>
      </c>
    </row>
    <row r="341" spans="33:57" ht="14.5" x14ac:dyDescent="0.35">
      <c r="AG341" s="196" t="s">
        <v>1127</v>
      </c>
      <c r="AH341" s="196" t="s">
        <v>752</v>
      </c>
      <c r="AI341" s="196">
        <v>45757</v>
      </c>
      <c r="AJ341" s="196">
        <v>194.59</v>
      </c>
      <c r="AK341" s="196" t="s">
        <v>564</v>
      </c>
      <c r="AL341" s="196" t="s">
        <v>793</v>
      </c>
      <c r="AM341" s="196">
        <v>0</v>
      </c>
      <c r="AN341" s="196">
        <v>46302</v>
      </c>
      <c r="AO341" s="196" t="s">
        <v>588</v>
      </c>
      <c r="BD341" s="196">
        <v>45991</v>
      </c>
      <c r="BE341" s="196" t="s">
        <v>232</v>
      </c>
    </row>
    <row r="342" spans="33:57" ht="14.5" x14ac:dyDescent="0.35">
      <c r="AG342" s="196" t="s">
        <v>1128</v>
      </c>
      <c r="AH342" s="196" t="s">
        <v>752</v>
      </c>
      <c r="AI342" s="196">
        <v>45758</v>
      </c>
      <c r="AJ342" s="196">
        <v>194.21</v>
      </c>
      <c r="AK342" s="196" t="s">
        <v>564</v>
      </c>
      <c r="AL342" s="196" t="s">
        <v>793</v>
      </c>
      <c r="AM342" s="196">
        <v>0</v>
      </c>
      <c r="AN342" s="196">
        <v>46302</v>
      </c>
      <c r="AO342" s="196" t="s">
        <v>588</v>
      </c>
      <c r="BD342" s="196">
        <v>45992</v>
      </c>
      <c r="BE342" s="196" t="s">
        <v>230</v>
      </c>
    </row>
    <row r="343" spans="33:57" ht="14.5" x14ac:dyDescent="0.35">
      <c r="AG343" s="196" t="s">
        <v>1129</v>
      </c>
      <c r="AH343" s="196" t="s">
        <v>752</v>
      </c>
      <c r="AI343" s="196">
        <v>45761</v>
      </c>
      <c r="AJ343" s="196">
        <v>193.07</v>
      </c>
      <c r="AK343" s="196" t="s">
        <v>564</v>
      </c>
      <c r="AL343" s="196" t="s">
        <v>793</v>
      </c>
      <c r="AM343" s="196">
        <v>0</v>
      </c>
      <c r="AN343" s="196">
        <v>46302</v>
      </c>
      <c r="AO343" s="196" t="s">
        <v>588</v>
      </c>
      <c r="BD343" s="196">
        <v>45993</v>
      </c>
      <c r="BE343" s="196" t="s">
        <v>230</v>
      </c>
    </row>
    <row r="344" spans="33:57" ht="14.5" x14ac:dyDescent="0.35">
      <c r="AG344" s="196" t="s">
        <v>1130</v>
      </c>
      <c r="AH344" s="196" t="s">
        <v>752</v>
      </c>
      <c r="AI344" s="196">
        <v>45762</v>
      </c>
      <c r="AJ344" s="196">
        <v>192.69</v>
      </c>
      <c r="AK344" s="196" t="s">
        <v>564</v>
      </c>
      <c r="AL344" s="196" t="s">
        <v>793</v>
      </c>
      <c r="AM344" s="196">
        <v>0</v>
      </c>
      <c r="AN344" s="196">
        <v>46302</v>
      </c>
      <c r="AO344" s="196" t="s">
        <v>588</v>
      </c>
      <c r="BD344" s="196">
        <v>45994</v>
      </c>
      <c r="BE344" s="196" t="s">
        <v>230</v>
      </c>
    </row>
    <row r="345" spans="33:57" ht="14.5" x14ac:dyDescent="0.35">
      <c r="AG345" s="196" t="s">
        <v>1131</v>
      </c>
      <c r="AH345" s="196" t="s">
        <v>752</v>
      </c>
      <c r="AI345" s="196">
        <v>45763</v>
      </c>
      <c r="AJ345" s="196">
        <v>192.31</v>
      </c>
      <c r="AK345" s="196" t="s">
        <v>564</v>
      </c>
      <c r="AL345" s="196" t="s">
        <v>793</v>
      </c>
      <c r="AM345" s="196">
        <v>0</v>
      </c>
      <c r="AN345" s="196">
        <v>46302</v>
      </c>
      <c r="AO345" s="196" t="s">
        <v>588</v>
      </c>
      <c r="BD345" s="196">
        <v>45995</v>
      </c>
      <c r="BE345" s="196" t="s">
        <v>230</v>
      </c>
    </row>
    <row r="346" spans="33:57" ht="14.5" x14ac:dyDescent="0.35">
      <c r="AG346" s="196" t="s">
        <v>1132</v>
      </c>
      <c r="AH346" s="196" t="s">
        <v>752</v>
      </c>
      <c r="AI346" s="196">
        <v>45764</v>
      </c>
      <c r="AJ346" s="196">
        <v>191.93</v>
      </c>
      <c r="AK346" s="196" t="s">
        <v>564</v>
      </c>
      <c r="AL346" s="196" t="s">
        <v>793</v>
      </c>
      <c r="AM346" s="196">
        <v>0</v>
      </c>
      <c r="AN346" s="196">
        <v>46302</v>
      </c>
      <c r="AO346" s="196" t="s">
        <v>588</v>
      </c>
      <c r="BD346" s="196">
        <v>45996</v>
      </c>
      <c r="BE346" s="196" t="s">
        <v>230</v>
      </c>
    </row>
    <row r="347" spans="33:57" ht="14.5" x14ac:dyDescent="0.35">
      <c r="AG347" s="196" t="s">
        <v>1133</v>
      </c>
      <c r="AH347" s="196" t="s">
        <v>752</v>
      </c>
      <c r="AI347" s="196">
        <v>45765</v>
      </c>
      <c r="AJ347" s="196">
        <v>191.55</v>
      </c>
      <c r="AK347" s="196" t="s">
        <v>564</v>
      </c>
      <c r="AL347" s="196" t="s">
        <v>793</v>
      </c>
      <c r="AM347" s="196">
        <v>0</v>
      </c>
      <c r="AN347" s="196">
        <v>46302</v>
      </c>
      <c r="AO347" s="196" t="s">
        <v>588</v>
      </c>
      <c r="BD347" s="196">
        <v>45997</v>
      </c>
      <c r="BE347" s="196" t="s">
        <v>232</v>
      </c>
    </row>
    <row r="348" spans="33:57" ht="14.5" x14ac:dyDescent="0.35">
      <c r="AG348" s="196" t="s">
        <v>1134</v>
      </c>
      <c r="AH348" s="196" t="s">
        <v>752</v>
      </c>
      <c r="AI348" s="196">
        <v>45768</v>
      </c>
      <c r="AJ348" s="196">
        <v>190.41</v>
      </c>
      <c r="AK348" s="196" t="s">
        <v>564</v>
      </c>
      <c r="AL348" s="196" t="s">
        <v>793</v>
      </c>
      <c r="AM348" s="196">
        <v>0</v>
      </c>
      <c r="AN348" s="196">
        <v>46302</v>
      </c>
      <c r="AO348" s="196" t="s">
        <v>588</v>
      </c>
      <c r="BD348" s="196">
        <v>45998</v>
      </c>
      <c r="BE348" s="196" t="s">
        <v>232</v>
      </c>
    </row>
    <row r="349" spans="33:57" ht="14.5" x14ac:dyDescent="0.35">
      <c r="AG349" s="196" t="s">
        <v>1135</v>
      </c>
      <c r="AH349" s="196" t="s">
        <v>752</v>
      </c>
      <c r="AI349" s="196">
        <v>45769</v>
      </c>
      <c r="AJ349" s="196">
        <v>190.03</v>
      </c>
      <c r="AK349" s="196" t="s">
        <v>564</v>
      </c>
      <c r="AL349" s="196" t="s">
        <v>793</v>
      </c>
      <c r="AM349" s="196">
        <v>0</v>
      </c>
      <c r="AN349" s="196">
        <v>46302</v>
      </c>
      <c r="AO349" s="196" t="s">
        <v>588</v>
      </c>
      <c r="BD349" s="196">
        <v>45999</v>
      </c>
      <c r="BE349" s="196" t="s">
        <v>230</v>
      </c>
    </row>
    <row r="350" spans="33:57" ht="14.5" x14ac:dyDescent="0.35">
      <c r="AG350" s="196" t="s">
        <v>1136</v>
      </c>
      <c r="AH350" s="196" t="s">
        <v>752</v>
      </c>
      <c r="AI350" s="196">
        <v>45770</v>
      </c>
      <c r="AJ350" s="196">
        <v>189.66</v>
      </c>
      <c r="AK350" s="196" t="s">
        <v>564</v>
      </c>
      <c r="AL350" s="196" t="s">
        <v>793</v>
      </c>
      <c r="AM350" s="196">
        <v>0</v>
      </c>
      <c r="AN350" s="196">
        <v>46302</v>
      </c>
      <c r="AO350" s="196" t="s">
        <v>588</v>
      </c>
      <c r="BD350" s="196">
        <v>46000</v>
      </c>
      <c r="BE350" s="196" t="s">
        <v>230</v>
      </c>
    </row>
    <row r="351" spans="33:57" ht="14.5" x14ac:dyDescent="0.35">
      <c r="AG351" s="196" t="s">
        <v>1137</v>
      </c>
      <c r="AH351" s="196" t="s">
        <v>752</v>
      </c>
      <c r="AI351" s="196">
        <v>45771</v>
      </c>
      <c r="AJ351" s="196">
        <v>189.28</v>
      </c>
      <c r="AK351" s="196" t="s">
        <v>564</v>
      </c>
      <c r="AL351" s="196" t="s">
        <v>793</v>
      </c>
      <c r="AM351" s="196">
        <v>0</v>
      </c>
      <c r="AN351" s="196">
        <v>46302</v>
      </c>
      <c r="AO351" s="196" t="s">
        <v>588</v>
      </c>
      <c r="BD351" s="196">
        <v>46001</v>
      </c>
      <c r="BE351" s="196" t="s">
        <v>230</v>
      </c>
    </row>
    <row r="352" spans="33:57" ht="14.5" x14ac:dyDescent="0.35">
      <c r="AG352" s="196" t="s">
        <v>1138</v>
      </c>
      <c r="AH352" s="196" t="s">
        <v>752</v>
      </c>
      <c r="AI352" s="196">
        <v>45772</v>
      </c>
      <c r="AJ352" s="196">
        <v>188.9</v>
      </c>
      <c r="AK352" s="196" t="s">
        <v>564</v>
      </c>
      <c r="AL352" s="196" t="s">
        <v>793</v>
      </c>
      <c r="AM352" s="196">
        <v>0</v>
      </c>
      <c r="AN352" s="196">
        <v>46302</v>
      </c>
      <c r="AO352" s="196" t="s">
        <v>588</v>
      </c>
      <c r="BD352" s="196">
        <v>46002</v>
      </c>
      <c r="BE352" s="196" t="s">
        <v>230</v>
      </c>
    </row>
    <row r="353" spans="33:57" ht="14.5" x14ac:dyDescent="0.35">
      <c r="AG353" s="196" t="s">
        <v>1139</v>
      </c>
      <c r="AH353" s="196" t="s">
        <v>752</v>
      </c>
      <c r="AI353" s="196">
        <v>45775</v>
      </c>
      <c r="AJ353" s="196">
        <v>187.76</v>
      </c>
      <c r="AK353" s="196" t="s">
        <v>564</v>
      </c>
      <c r="AL353" s="196" t="s">
        <v>793</v>
      </c>
      <c r="AM353" s="196">
        <v>0</v>
      </c>
      <c r="AN353" s="196">
        <v>46302</v>
      </c>
      <c r="AO353" s="196" t="s">
        <v>588</v>
      </c>
      <c r="BD353" s="196">
        <v>46003</v>
      </c>
      <c r="BE353" s="196" t="s">
        <v>230</v>
      </c>
    </row>
    <row r="354" spans="33:57" ht="14.5" x14ac:dyDescent="0.35">
      <c r="AG354" s="196" t="s">
        <v>1140</v>
      </c>
      <c r="AH354" s="196" t="s">
        <v>752</v>
      </c>
      <c r="AI354" s="196">
        <v>45776</v>
      </c>
      <c r="AJ354" s="196">
        <v>187.38</v>
      </c>
      <c r="AK354" s="196" t="s">
        <v>564</v>
      </c>
      <c r="AL354" s="196" t="s">
        <v>793</v>
      </c>
      <c r="AM354" s="196">
        <v>0</v>
      </c>
      <c r="AN354" s="196">
        <v>46302</v>
      </c>
      <c r="AO354" s="196" t="s">
        <v>588</v>
      </c>
      <c r="BD354" s="196">
        <v>46004</v>
      </c>
      <c r="BE354" s="196" t="s">
        <v>232</v>
      </c>
    </row>
    <row r="355" spans="33:57" ht="14.5" x14ac:dyDescent="0.35">
      <c r="AG355" s="196" t="s">
        <v>1141</v>
      </c>
      <c r="AH355" s="196" t="s">
        <v>752</v>
      </c>
      <c r="AI355" s="196">
        <v>45777</v>
      </c>
      <c r="AJ355" s="196">
        <v>187</v>
      </c>
      <c r="AK355" s="196" t="s">
        <v>564</v>
      </c>
      <c r="AL355" s="196" t="s">
        <v>793</v>
      </c>
      <c r="AM355" s="196">
        <v>0</v>
      </c>
      <c r="AN355" s="196">
        <v>46302</v>
      </c>
      <c r="AO355" s="196" t="s">
        <v>588</v>
      </c>
      <c r="BD355" s="196">
        <v>46005</v>
      </c>
      <c r="BE355" s="196" t="s">
        <v>232</v>
      </c>
    </row>
    <row r="356" spans="33:57" ht="14.5" x14ac:dyDescent="0.35">
      <c r="AG356" s="196" t="s">
        <v>1142</v>
      </c>
      <c r="AH356" s="196" t="s">
        <v>752</v>
      </c>
      <c r="AI356" s="196">
        <v>45778</v>
      </c>
      <c r="AJ356" s="196">
        <v>187</v>
      </c>
      <c r="AK356" s="196" t="s">
        <v>564</v>
      </c>
      <c r="AL356" s="196" t="s">
        <v>793</v>
      </c>
      <c r="AM356" s="196">
        <v>0</v>
      </c>
      <c r="AN356" s="196">
        <v>46302</v>
      </c>
      <c r="AO356" s="196" t="s">
        <v>588</v>
      </c>
      <c r="BD356" s="196">
        <v>46006</v>
      </c>
      <c r="BE356" s="196" t="s">
        <v>230</v>
      </c>
    </row>
    <row r="357" spans="33:57" ht="14.5" x14ac:dyDescent="0.35">
      <c r="AG357" s="196" t="s">
        <v>1143</v>
      </c>
      <c r="AH357" s="196" t="s">
        <v>752</v>
      </c>
      <c r="AI357" s="196">
        <v>45779</v>
      </c>
      <c r="AJ357" s="196">
        <v>187.2</v>
      </c>
      <c r="AK357" s="196" t="s">
        <v>564</v>
      </c>
      <c r="AL357" s="196" t="s">
        <v>793</v>
      </c>
      <c r="AM357" s="196">
        <v>0</v>
      </c>
      <c r="AN357" s="196">
        <v>46302</v>
      </c>
      <c r="AO357" s="196" t="s">
        <v>588</v>
      </c>
      <c r="BD357" s="196">
        <v>46007</v>
      </c>
      <c r="BE357" s="196" t="s">
        <v>230</v>
      </c>
    </row>
    <row r="358" spans="33:57" ht="14.5" x14ac:dyDescent="0.35">
      <c r="AG358" s="196" t="s">
        <v>1144</v>
      </c>
      <c r="AH358" s="196" t="s">
        <v>752</v>
      </c>
      <c r="AI358" s="196">
        <v>45782</v>
      </c>
      <c r="AJ358" s="196">
        <v>187.8</v>
      </c>
      <c r="AK358" s="196" t="s">
        <v>564</v>
      </c>
      <c r="AL358" s="196" t="s">
        <v>793</v>
      </c>
      <c r="AM358" s="196">
        <v>0</v>
      </c>
      <c r="AN358" s="196">
        <v>46302</v>
      </c>
      <c r="AO358" s="196" t="s">
        <v>588</v>
      </c>
      <c r="BD358" s="196">
        <v>46008</v>
      </c>
      <c r="BE358" s="196" t="s">
        <v>230</v>
      </c>
    </row>
    <row r="359" spans="33:57" ht="14.5" x14ac:dyDescent="0.35">
      <c r="AG359" s="196" t="s">
        <v>1145</v>
      </c>
      <c r="AH359" s="196" t="s">
        <v>752</v>
      </c>
      <c r="AI359" s="196">
        <v>45783</v>
      </c>
      <c r="AJ359" s="196">
        <v>188</v>
      </c>
      <c r="AK359" s="196" t="s">
        <v>564</v>
      </c>
      <c r="AL359" s="196" t="s">
        <v>793</v>
      </c>
      <c r="AM359" s="196">
        <v>0</v>
      </c>
      <c r="AN359" s="196">
        <v>46302</v>
      </c>
      <c r="AO359" s="196" t="s">
        <v>588</v>
      </c>
      <c r="BD359" s="196">
        <v>46009</v>
      </c>
      <c r="BE359" s="196" t="s">
        <v>230</v>
      </c>
    </row>
    <row r="360" spans="33:57" ht="14.5" x14ac:dyDescent="0.35">
      <c r="AG360" s="196" t="s">
        <v>1146</v>
      </c>
      <c r="AH360" s="196" t="s">
        <v>752</v>
      </c>
      <c r="AI360" s="196">
        <v>45784</v>
      </c>
      <c r="AJ360" s="196">
        <v>188.2</v>
      </c>
      <c r="AK360" s="196" t="s">
        <v>564</v>
      </c>
      <c r="AL360" s="196" t="s">
        <v>793</v>
      </c>
      <c r="AM360" s="196">
        <v>0</v>
      </c>
      <c r="AN360" s="196">
        <v>46302</v>
      </c>
      <c r="AO360" s="196" t="s">
        <v>588</v>
      </c>
      <c r="BD360" s="196">
        <v>46010</v>
      </c>
      <c r="BE360" s="196" t="s">
        <v>230</v>
      </c>
    </row>
    <row r="361" spans="33:57" ht="14.5" x14ac:dyDescent="0.35">
      <c r="AG361" s="196" t="s">
        <v>1147</v>
      </c>
      <c r="AH361" s="196" t="s">
        <v>752</v>
      </c>
      <c r="AI361" s="196">
        <v>45785</v>
      </c>
      <c r="AJ361" s="196">
        <v>188.4</v>
      </c>
      <c r="AK361" s="196" t="s">
        <v>564</v>
      </c>
      <c r="AL361" s="196" t="s">
        <v>793</v>
      </c>
      <c r="AM361" s="196">
        <v>0</v>
      </c>
      <c r="AN361" s="196">
        <v>46302</v>
      </c>
      <c r="AO361" s="196" t="s">
        <v>588</v>
      </c>
      <c r="BD361" s="196">
        <v>46011</v>
      </c>
      <c r="BE361" s="196" t="s">
        <v>232</v>
      </c>
    </row>
    <row r="362" spans="33:57" ht="14.5" x14ac:dyDescent="0.35">
      <c r="AG362" s="196" t="s">
        <v>1148</v>
      </c>
      <c r="AH362" s="196" t="s">
        <v>752</v>
      </c>
      <c r="AI362" s="196">
        <v>45786</v>
      </c>
      <c r="AJ362" s="196">
        <v>188.6</v>
      </c>
      <c r="AK362" s="196" t="s">
        <v>564</v>
      </c>
      <c r="AL362" s="196" t="s">
        <v>793</v>
      </c>
      <c r="AM362" s="196">
        <v>0</v>
      </c>
      <c r="AN362" s="196">
        <v>46302</v>
      </c>
      <c r="AO362" s="196" t="s">
        <v>588</v>
      </c>
      <c r="BD362" s="196">
        <v>46012</v>
      </c>
      <c r="BE362" s="196" t="s">
        <v>232</v>
      </c>
    </row>
    <row r="363" spans="33:57" ht="14.5" x14ac:dyDescent="0.35">
      <c r="AG363" s="196" t="s">
        <v>1149</v>
      </c>
      <c r="AH363" s="196" t="s">
        <v>752</v>
      </c>
      <c r="AI363" s="196">
        <v>45789</v>
      </c>
      <c r="AJ363" s="196">
        <v>189.2</v>
      </c>
      <c r="AK363" s="196" t="s">
        <v>564</v>
      </c>
      <c r="AL363" s="196" t="s">
        <v>793</v>
      </c>
      <c r="AM363" s="196">
        <v>0</v>
      </c>
      <c r="AN363" s="196">
        <v>46302</v>
      </c>
      <c r="AO363" s="196" t="s">
        <v>588</v>
      </c>
      <c r="BD363" s="196">
        <v>46013</v>
      </c>
      <c r="BE363" s="196" t="s">
        <v>230</v>
      </c>
    </row>
    <row r="364" spans="33:57" ht="14.5" x14ac:dyDescent="0.35">
      <c r="AG364" s="196" t="s">
        <v>1150</v>
      </c>
      <c r="AH364" s="196" t="s">
        <v>752</v>
      </c>
      <c r="AI364" s="196">
        <v>45790</v>
      </c>
      <c r="AJ364" s="196">
        <v>189.4</v>
      </c>
      <c r="AK364" s="196" t="s">
        <v>564</v>
      </c>
      <c r="AL364" s="196" t="s">
        <v>793</v>
      </c>
      <c r="AM364" s="196">
        <v>0</v>
      </c>
      <c r="AN364" s="196">
        <v>46302</v>
      </c>
      <c r="AO364" s="196" t="s">
        <v>588</v>
      </c>
      <c r="BD364" s="196">
        <v>46014</v>
      </c>
      <c r="BE364" s="196" t="s">
        <v>230</v>
      </c>
    </row>
    <row r="365" spans="33:57" ht="14.5" x14ac:dyDescent="0.35">
      <c r="AG365" s="196" t="s">
        <v>1151</v>
      </c>
      <c r="AH365" s="196" t="s">
        <v>752</v>
      </c>
      <c r="AI365" s="196">
        <v>45791</v>
      </c>
      <c r="AJ365" s="196">
        <v>189.6</v>
      </c>
      <c r="AK365" s="196" t="s">
        <v>564</v>
      </c>
      <c r="AL365" s="196" t="s">
        <v>793</v>
      </c>
      <c r="AM365" s="196">
        <v>0</v>
      </c>
      <c r="AN365" s="196">
        <v>46302</v>
      </c>
      <c r="AO365" s="196" t="s">
        <v>588</v>
      </c>
      <c r="BD365" s="196">
        <v>46015</v>
      </c>
      <c r="BE365" s="196" t="s">
        <v>230</v>
      </c>
    </row>
    <row r="366" spans="33:57" ht="14.5" x14ac:dyDescent="0.35">
      <c r="AG366" s="196" t="s">
        <v>1152</v>
      </c>
      <c r="AH366" s="196" t="s">
        <v>752</v>
      </c>
      <c r="AI366" s="196">
        <v>45792</v>
      </c>
      <c r="AJ366" s="196">
        <v>189.8</v>
      </c>
      <c r="AK366" s="196" t="s">
        <v>564</v>
      </c>
      <c r="AL366" s="196" t="s">
        <v>793</v>
      </c>
      <c r="AM366" s="196">
        <v>0</v>
      </c>
      <c r="AN366" s="196">
        <v>46302</v>
      </c>
      <c r="AO366" s="196" t="s">
        <v>588</v>
      </c>
      <c r="BD366" s="196">
        <v>46016</v>
      </c>
      <c r="BE366" s="196" t="s">
        <v>230</v>
      </c>
    </row>
    <row r="367" spans="33:57" ht="14.5" x14ac:dyDescent="0.35">
      <c r="AG367" s="196" t="s">
        <v>1153</v>
      </c>
      <c r="AH367" s="196" t="s">
        <v>752</v>
      </c>
      <c r="AI367" s="196">
        <v>45793</v>
      </c>
      <c r="AJ367" s="196">
        <v>190</v>
      </c>
      <c r="AK367" s="196" t="s">
        <v>564</v>
      </c>
      <c r="AL367" s="196" t="s">
        <v>793</v>
      </c>
      <c r="AM367" s="196">
        <v>0</v>
      </c>
      <c r="AN367" s="196">
        <v>46302</v>
      </c>
      <c r="AO367" s="196" t="s">
        <v>588</v>
      </c>
      <c r="BD367" s="196">
        <v>46017</v>
      </c>
      <c r="BE367" s="196" t="s">
        <v>230</v>
      </c>
    </row>
    <row r="368" spans="33:57" ht="14.5" x14ac:dyDescent="0.35">
      <c r="AG368" s="196" t="s">
        <v>1154</v>
      </c>
      <c r="AH368" s="196" t="s">
        <v>752</v>
      </c>
      <c r="AI368" s="196">
        <v>45796</v>
      </c>
      <c r="AJ368" s="196">
        <v>190.6</v>
      </c>
      <c r="AK368" s="196" t="s">
        <v>564</v>
      </c>
      <c r="AL368" s="196" t="s">
        <v>793</v>
      </c>
      <c r="AM368" s="196">
        <v>0</v>
      </c>
      <c r="AN368" s="196">
        <v>46302</v>
      </c>
      <c r="AO368" s="196" t="s">
        <v>588</v>
      </c>
      <c r="BD368" s="196">
        <v>46018</v>
      </c>
      <c r="BE368" s="196" t="s">
        <v>232</v>
      </c>
    </row>
    <row r="369" spans="33:57" ht="14.5" x14ac:dyDescent="0.35">
      <c r="AG369" s="196" t="s">
        <v>1155</v>
      </c>
      <c r="AH369" s="196" t="s">
        <v>752</v>
      </c>
      <c r="AI369" s="196">
        <v>45797</v>
      </c>
      <c r="AJ369" s="196">
        <v>190.8</v>
      </c>
      <c r="AK369" s="196" t="s">
        <v>564</v>
      </c>
      <c r="AL369" s="196" t="s">
        <v>793</v>
      </c>
      <c r="AM369" s="196">
        <v>0</v>
      </c>
      <c r="AN369" s="196">
        <v>46302</v>
      </c>
      <c r="AO369" s="196" t="s">
        <v>588</v>
      </c>
      <c r="BD369" s="196">
        <v>46019</v>
      </c>
      <c r="BE369" s="196" t="s">
        <v>232</v>
      </c>
    </row>
    <row r="370" spans="33:57" ht="14.5" x14ac:dyDescent="0.35">
      <c r="AG370" s="196" t="s">
        <v>1156</v>
      </c>
      <c r="AH370" s="196" t="s">
        <v>752</v>
      </c>
      <c r="AI370" s="196">
        <v>45798</v>
      </c>
      <c r="AJ370" s="196">
        <v>191</v>
      </c>
      <c r="AK370" s="196" t="s">
        <v>564</v>
      </c>
      <c r="AL370" s="196" t="s">
        <v>793</v>
      </c>
      <c r="AM370" s="196">
        <v>0</v>
      </c>
      <c r="AN370" s="196">
        <v>46302</v>
      </c>
      <c r="AO370" s="196" t="s">
        <v>588</v>
      </c>
      <c r="BD370" s="196">
        <v>46020</v>
      </c>
      <c r="BE370" s="196" t="s">
        <v>230</v>
      </c>
    </row>
    <row r="371" spans="33:57" ht="14.5" x14ac:dyDescent="0.35">
      <c r="AG371" s="196" t="s">
        <v>1157</v>
      </c>
      <c r="AH371" s="196" t="s">
        <v>752</v>
      </c>
      <c r="AI371" s="196">
        <v>45799</v>
      </c>
      <c r="AJ371" s="196">
        <v>191.2</v>
      </c>
      <c r="AK371" s="196" t="s">
        <v>564</v>
      </c>
      <c r="AL371" s="196" t="s">
        <v>793</v>
      </c>
      <c r="AM371" s="196">
        <v>0</v>
      </c>
      <c r="AN371" s="196">
        <v>46302</v>
      </c>
      <c r="AO371" s="196" t="s">
        <v>588</v>
      </c>
      <c r="BD371" s="196">
        <v>46021</v>
      </c>
      <c r="BE371" s="196" t="s">
        <v>230</v>
      </c>
    </row>
    <row r="372" spans="33:57" ht="14.5" x14ac:dyDescent="0.35">
      <c r="AG372" s="196" t="s">
        <v>1158</v>
      </c>
      <c r="AH372" s="196" t="s">
        <v>752</v>
      </c>
      <c r="AI372" s="196">
        <v>45800</v>
      </c>
      <c r="AJ372" s="196">
        <v>191.4</v>
      </c>
      <c r="AK372" s="196" t="s">
        <v>564</v>
      </c>
      <c r="AL372" s="196" t="s">
        <v>793</v>
      </c>
      <c r="AM372" s="196">
        <v>0</v>
      </c>
      <c r="AN372" s="196">
        <v>46302</v>
      </c>
      <c r="AO372" s="196" t="s">
        <v>588</v>
      </c>
      <c r="BD372" s="196">
        <v>46022</v>
      </c>
      <c r="BE372" s="196" t="s">
        <v>230</v>
      </c>
    </row>
    <row r="373" spans="33:57" ht="14.5" x14ac:dyDescent="0.35">
      <c r="AG373" s="196" t="s">
        <v>1159</v>
      </c>
      <c r="AH373" s="196" t="s">
        <v>752</v>
      </c>
      <c r="AI373" s="196">
        <v>45803</v>
      </c>
      <c r="AJ373" s="196">
        <v>192</v>
      </c>
      <c r="AK373" s="196" t="s">
        <v>564</v>
      </c>
      <c r="AL373" s="196" t="s">
        <v>793</v>
      </c>
      <c r="AM373" s="196">
        <v>0</v>
      </c>
      <c r="AN373" s="196">
        <v>46302</v>
      </c>
      <c r="AO373" s="196" t="s">
        <v>588</v>
      </c>
    </row>
    <row r="374" spans="33:57" ht="14.5" x14ac:dyDescent="0.35">
      <c r="AG374" s="196" t="s">
        <v>1160</v>
      </c>
      <c r="AH374" s="196" t="s">
        <v>752</v>
      </c>
      <c r="AI374" s="196">
        <v>45804</v>
      </c>
      <c r="AJ374" s="196">
        <v>192.2</v>
      </c>
      <c r="AK374" s="196" t="s">
        <v>564</v>
      </c>
      <c r="AL374" s="196" t="s">
        <v>793</v>
      </c>
      <c r="AM374" s="196">
        <v>0</v>
      </c>
      <c r="AN374" s="196">
        <v>46302</v>
      </c>
      <c r="AO374" s="196" t="s">
        <v>588</v>
      </c>
    </row>
    <row r="375" spans="33:57" ht="14.5" x14ac:dyDescent="0.35">
      <c r="AG375" s="196" t="s">
        <v>1161</v>
      </c>
      <c r="AH375" s="196" t="s">
        <v>752</v>
      </c>
      <c r="AI375" s="196">
        <v>45805</v>
      </c>
      <c r="AJ375" s="196">
        <v>192.4</v>
      </c>
      <c r="AK375" s="196" t="s">
        <v>564</v>
      </c>
      <c r="AL375" s="196" t="s">
        <v>793</v>
      </c>
      <c r="AM375" s="196">
        <v>0</v>
      </c>
      <c r="AN375" s="196">
        <v>46302</v>
      </c>
      <c r="AO375" s="196" t="s">
        <v>588</v>
      </c>
    </row>
    <row r="376" spans="33:57" ht="14.5" x14ac:dyDescent="0.35">
      <c r="AG376" s="196" t="s">
        <v>1162</v>
      </c>
      <c r="AH376" s="196" t="s">
        <v>752</v>
      </c>
      <c r="AI376" s="196">
        <v>45806</v>
      </c>
      <c r="AJ376" s="196">
        <v>192.6</v>
      </c>
      <c r="AK376" s="196" t="s">
        <v>564</v>
      </c>
      <c r="AL376" s="196" t="s">
        <v>793</v>
      </c>
      <c r="AM376" s="196">
        <v>0</v>
      </c>
      <c r="AN376" s="196">
        <v>46302</v>
      </c>
      <c r="AO376" s="196" t="s">
        <v>588</v>
      </c>
    </row>
    <row r="377" spans="33:57" ht="14.5" x14ac:dyDescent="0.35">
      <c r="AG377" s="196" t="s">
        <v>1163</v>
      </c>
      <c r="AH377" s="196" t="s">
        <v>752</v>
      </c>
      <c r="AI377" s="196">
        <v>45807</v>
      </c>
      <c r="AJ377" s="196">
        <v>192.8</v>
      </c>
      <c r="AK377" s="196" t="s">
        <v>564</v>
      </c>
      <c r="AL377" s="196" t="s">
        <v>793</v>
      </c>
      <c r="AM377" s="196">
        <v>0</v>
      </c>
      <c r="AN377" s="196">
        <v>46302</v>
      </c>
      <c r="AO377" s="196" t="s">
        <v>588</v>
      </c>
    </row>
    <row r="378" spans="33:57" ht="14.5" x14ac:dyDescent="0.35">
      <c r="AG378" s="196" t="s">
        <v>1164</v>
      </c>
      <c r="AH378" s="196" t="s">
        <v>752</v>
      </c>
      <c r="AI378" s="196">
        <v>45810</v>
      </c>
      <c r="AJ378" s="196">
        <v>192.62</v>
      </c>
      <c r="AK378" s="196" t="s">
        <v>564</v>
      </c>
      <c r="AL378" s="196" t="s">
        <v>793</v>
      </c>
      <c r="AM378" s="196">
        <v>0</v>
      </c>
      <c r="AN378" s="196">
        <v>46302</v>
      </c>
      <c r="AO378" s="196" t="s">
        <v>588</v>
      </c>
    </row>
    <row r="379" spans="33:57" ht="14.5" x14ac:dyDescent="0.35">
      <c r="AG379" s="196" t="s">
        <v>1165</v>
      </c>
      <c r="AH379" s="196" t="s">
        <v>752</v>
      </c>
      <c r="AI379" s="196">
        <v>45811</v>
      </c>
      <c r="AJ379" s="196">
        <v>192.24</v>
      </c>
      <c r="AK379" s="196" t="s">
        <v>564</v>
      </c>
      <c r="AL379" s="196" t="s">
        <v>793</v>
      </c>
      <c r="AM379" s="196">
        <v>0</v>
      </c>
      <c r="AN379" s="196">
        <v>46302</v>
      </c>
      <c r="AO379" s="196" t="s">
        <v>588</v>
      </c>
    </row>
    <row r="380" spans="33:57" ht="14.5" x14ac:dyDescent="0.35">
      <c r="AG380" s="196" t="s">
        <v>1166</v>
      </c>
      <c r="AH380" s="196" t="s">
        <v>752</v>
      </c>
      <c r="AI380" s="196">
        <v>45812</v>
      </c>
      <c r="AJ380" s="196">
        <v>191.86</v>
      </c>
      <c r="AK380" s="196" t="s">
        <v>564</v>
      </c>
      <c r="AL380" s="196" t="s">
        <v>793</v>
      </c>
      <c r="AM380" s="196">
        <v>0</v>
      </c>
      <c r="AN380" s="196">
        <v>46302</v>
      </c>
      <c r="AO380" s="196" t="s">
        <v>588</v>
      </c>
    </row>
    <row r="381" spans="33:57" ht="14.5" x14ac:dyDescent="0.35">
      <c r="AG381" s="196" t="s">
        <v>1167</v>
      </c>
      <c r="AH381" s="196" t="s">
        <v>752</v>
      </c>
      <c r="AI381" s="196">
        <v>45813</v>
      </c>
      <c r="AJ381" s="196">
        <v>191.48</v>
      </c>
      <c r="AK381" s="196" t="s">
        <v>564</v>
      </c>
      <c r="AL381" s="196" t="s">
        <v>793</v>
      </c>
      <c r="AM381" s="196">
        <v>0</v>
      </c>
      <c r="AN381" s="196">
        <v>46302</v>
      </c>
      <c r="AO381" s="196" t="s">
        <v>588</v>
      </c>
    </row>
    <row r="382" spans="33:57" ht="14.5" x14ac:dyDescent="0.35">
      <c r="AG382" s="196" t="s">
        <v>1168</v>
      </c>
      <c r="AH382" s="196" t="s">
        <v>752</v>
      </c>
      <c r="AI382" s="196">
        <v>45814</v>
      </c>
      <c r="AJ382" s="196">
        <v>191.1</v>
      </c>
      <c r="AK382" s="196" t="s">
        <v>564</v>
      </c>
      <c r="AL382" s="196" t="s">
        <v>793</v>
      </c>
      <c r="AM382" s="196">
        <v>0</v>
      </c>
      <c r="AN382" s="196">
        <v>46302</v>
      </c>
      <c r="AO382" s="196" t="s">
        <v>588</v>
      </c>
    </row>
    <row r="383" spans="33:57" ht="14.5" x14ac:dyDescent="0.35">
      <c r="AG383" s="196" t="s">
        <v>1169</v>
      </c>
      <c r="AH383" s="196" t="s">
        <v>752</v>
      </c>
      <c r="AI383" s="196">
        <v>45817</v>
      </c>
      <c r="AJ383" s="196">
        <v>189.97</v>
      </c>
      <c r="AK383" s="196" t="s">
        <v>564</v>
      </c>
      <c r="AL383" s="196" t="s">
        <v>793</v>
      </c>
      <c r="AM383" s="196">
        <v>0</v>
      </c>
      <c r="AN383" s="196">
        <v>46302</v>
      </c>
      <c r="AO383" s="196" t="s">
        <v>588</v>
      </c>
    </row>
    <row r="384" spans="33:57" ht="14.5" x14ac:dyDescent="0.35">
      <c r="AG384" s="196" t="s">
        <v>1170</v>
      </c>
      <c r="AH384" s="196" t="s">
        <v>752</v>
      </c>
      <c r="AI384" s="196">
        <v>45818</v>
      </c>
      <c r="AJ384" s="196">
        <v>189.59</v>
      </c>
      <c r="AK384" s="196" t="s">
        <v>564</v>
      </c>
      <c r="AL384" s="196" t="s">
        <v>793</v>
      </c>
      <c r="AM384" s="196">
        <v>0</v>
      </c>
      <c r="AN384" s="196">
        <v>46302</v>
      </c>
      <c r="AO384" s="196" t="s">
        <v>588</v>
      </c>
    </row>
    <row r="385" spans="33:41" ht="14.5" x14ac:dyDescent="0.35">
      <c r="AG385" s="196" t="s">
        <v>1171</v>
      </c>
      <c r="AH385" s="196" t="s">
        <v>752</v>
      </c>
      <c r="AI385" s="196">
        <v>45819</v>
      </c>
      <c r="AJ385" s="196">
        <v>189.21</v>
      </c>
      <c r="AK385" s="196" t="s">
        <v>564</v>
      </c>
      <c r="AL385" s="196" t="s">
        <v>793</v>
      </c>
      <c r="AM385" s="196">
        <v>0</v>
      </c>
      <c r="AN385" s="196">
        <v>46302</v>
      </c>
      <c r="AO385" s="196" t="s">
        <v>588</v>
      </c>
    </row>
    <row r="386" spans="33:41" ht="14.5" x14ac:dyDescent="0.35">
      <c r="AG386" s="196" t="s">
        <v>1172</v>
      </c>
      <c r="AH386" s="196" t="s">
        <v>752</v>
      </c>
      <c r="AI386" s="196">
        <v>45820</v>
      </c>
      <c r="AJ386" s="196">
        <v>188.83</v>
      </c>
      <c r="AK386" s="196" t="s">
        <v>564</v>
      </c>
      <c r="AL386" s="196" t="s">
        <v>793</v>
      </c>
      <c r="AM386" s="196">
        <v>0</v>
      </c>
      <c r="AN386" s="196">
        <v>46302</v>
      </c>
      <c r="AO386" s="196" t="s">
        <v>588</v>
      </c>
    </row>
    <row r="387" spans="33:41" ht="14.5" x14ac:dyDescent="0.35">
      <c r="AG387" s="196" t="s">
        <v>1173</v>
      </c>
      <c r="AH387" s="196" t="s">
        <v>752</v>
      </c>
      <c r="AI387" s="196">
        <v>45821</v>
      </c>
      <c r="AJ387" s="196">
        <v>188.45</v>
      </c>
      <c r="AK387" s="196" t="s">
        <v>564</v>
      </c>
      <c r="AL387" s="196" t="s">
        <v>793</v>
      </c>
      <c r="AM387" s="196">
        <v>0</v>
      </c>
      <c r="AN387" s="196">
        <v>46302</v>
      </c>
      <c r="AO387" s="196" t="s">
        <v>588</v>
      </c>
    </row>
    <row r="388" spans="33:41" ht="14.5" x14ac:dyDescent="0.35">
      <c r="AG388" s="196" t="s">
        <v>1174</v>
      </c>
      <c r="AH388" s="196" t="s">
        <v>752</v>
      </c>
      <c r="AI388" s="196">
        <v>45824</v>
      </c>
      <c r="AJ388" s="196">
        <v>187.31</v>
      </c>
      <c r="AK388" s="196" t="s">
        <v>564</v>
      </c>
      <c r="AL388" s="196" t="s">
        <v>793</v>
      </c>
      <c r="AM388" s="196">
        <v>0</v>
      </c>
      <c r="AN388" s="196">
        <v>46302</v>
      </c>
      <c r="AO388" s="196" t="s">
        <v>588</v>
      </c>
    </row>
    <row r="389" spans="33:41" ht="14.5" x14ac:dyDescent="0.35">
      <c r="AG389" s="196" t="s">
        <v>1175</v>
      </c>
      <c r="AH389" s="196" t="s">
        <v>752</v>
      </c>
      <c r="AI389" s="196">
        <v>45825</v>
      </c>
      <c r="AJ389" s="196">
        <v>186.93</v>
      </c>
      <c r="AK389" s="196" t="s">
        <v>564</v>
      </c>
      <c r="AL389" s="196" t="s">
        <v>793</v>
      </c>
      <c r="AM389" s="196">
        <v>0</v>
      </c>
      <c r="AN389" s="196">
        <v>46302</v>
      </c>
      <c r="AO389" s="196" t="s">
        <v>588</v>
      </c>
    </row>
    <row r="390" spans="33:41" ht="14.5" x14ac:dyDescent="0.35">
      <c r="AG390" s="196" t="s">
        <v>1176</v>
      </c>
      <c r="AH390" s="196" t="s">
        <v>752</v>
      </c>
      <c r="AI390" s="196">
        <v>45826</v>
      </c>
      <c r="AJ390" s="196">
        <v>186.55</v>
      </c>
      <c r="AK390" s="196" t="s">
        <v>564</v>
      </c>
      <c r="AL390" s="196" t="s">
        <v>793</v>
      </c>
      <c r="AM390" s="196">
        <v>0</v>
      </c>
      <c r="AN390" s="196">
        <v>46302</v>
      </c>
      <c r="AO390" s="196" t="s">
        <v>588</v>
      </c>
    </row>
    <row r="391" spans="33:41" ht="14.5" x14ac:dyDescent="0.35">
      <c r="AG391" s="196" t="s">
        <v>1177</v>
      </c>
      <c r="AH391" s="196" t="s">
        <v>752</v>
      </c>
      <c r="AI391" s="196">
        <v>45827</v>
      </c>
      <c r="AJ391" s="196">
        <v>186.17</v>
      </c>
      <c r="AK391" s="196" t="s">
        <v>564</v>
      </c>
      <c r="AL391" s="196" t="s">
        <v>793</v>
      </c>
      <c r="AM391" s="196">
        <v>0</v>
      </c>
      <c r="AN391" s="196">
        <v>46302</v>
      </c>
      <c r="AO391" s="196" t="s">
        <v>588</v>
      </c>
    </row>
    <row r="392" spans="33:41" ht="14.5" x14ac:dyDescent="0.35">
      <c r="AG392" s="196" t="s">
        <v>1178</v>
      </c>
      <c r="AH392" s="196" t="s">
        <v>752</v>
      </c>
      <c r="AI392" s="196">
        <v>45828</v>
      </c>
      <c r="AJ392" s="196">
        <v>185.79</v>
      </c>
      <c r="AK392" s="196" t="s">
        <v>564</v>
      </c>
      <c r="AL392" s="196" t="s">
        <v>793</v>
      </c>
      <c r="AM392" s="196">
        <v>0</v>
      </c>
      <c r="AN392" s="196">
        <v>46302</v>
      </c>
      <c r="AO392" s="196" t="s">
        <v>588</v>
      </c>
    </row>
    <row r="393" spans="33:41" ht="14.5" x14ac:dyDescent="0.35">
      <c r="AG393" s="196" t="s">
        <v>1179</v>
      </c>
      <c r="AH393" s="196" t="s">
        <v>752</v>
      </c>
      <c r="AI393" s="196">
        <v>45831</v>
      </c>
      <c r="AJ393" s="196">
        <v>184.66</v>
      </c>
      <c r="AK393" s="196" t="s">
        <v>564</v>
      </c>
      <c r="AL393" s="196" t="s">
        <v>793</v>
      </c>
      <c r="AM393" s="196">
        <v>0</v>
      </c>
      <c r="AN393" s="196">
        <v>46302</v>
      </c>
      <c r="AO393" s="196" t="s">
        <v>588</v>
      </c>
    </row>
    <row r="394" spans="33:41" ht="14.5" x14ac:dyDescent="0.35">
      <c r="AG394" s="196" t="s">
        <v>1180</v>
      </c>
      <c r="AH394" s="196" t="s">
        <v>752</v>
      </c>
      <c r="AI394" s="196">
        <v>45832</v>
      </c>
      <c r="AJ394" s="196">
        <v>184.28</v>
      </c>
      <c r="AK394" s="196" t="s">
        <v>564</v>
      </c>
      <c r="AL394" s="196" t="s">
        <v>793</v>
      </c>
      <c r="AM394" s="196">
        <v>0</v>
      </c>
      <c r="AN394" s="196">
        <v>46302</v>
      </c>
      <c r="AO394" s="196" t="s">
        <v>588</v>
      </c>
    </row>
    <row r="395" spans="33:41" ht="14.5" x14ac:dyDescent="0.35">
      <c r="AG395" s="196" t="s">
        <v>1181</v>
      </c>
      <c r="AH395" s="196" t="s">
        <v>752</v>
      </c>
      <c r="AI395" s="196">
        <v>45833</v>
      </c>
      <c r="AJ395" s="196">
        <v>183.9</v>
      </c>
      <c r="AK395" s="196" t="s">
        <v>564</v>
      </c>
      <c r="AL395" s="196" t="s">
        <v>793</v>
      </c>
      <c r="AM395" s="196">
        <v>0</v>
      </c>
      <c r="AN395" s="196">
        <v>46302</v>
      </c>
      <c r="AO395" s="196" t="s">
        <v>588</v>
      </c>
    </row>
    <row r="396" spans="33:41" ht="14.5" x14ac:dyDescent="0.35">
      <c r="AG396" s="196" t="s">
        <v>1182</v>
      </c>
      <c r="AH396" s="196" t="s">
        <v>752</v>
      </c>
      <c r="AI396" s="196">
        <v>45834</v>
      </c>
      <c r="AJ396" s="196">
        <v>183.52</v>
      </c>
      <c r="AK396" s="196" t="s">
        <v>564</v>
      </c>
      <c r="AL396" s="196" t="s">
        <v>793</v>
      </c>
      <c r="AM396" s="196">
        <v>0</v>
      </c>
      <c r="AN396" s="196">
        <v>46302</v>
      </c>
      <c r="AO396" s="196" t="s">
        <v>588</v>
      </c>
    </row>
    <row r="397" spans="33:41" ht="14.5" x14ac:dyDescent="0.35">
      <c r="AG397" s="196" t="s">
        <v>1183</v>
      </c>
      <c r="AH397" s="196" t="s">
        <v>752</v>
      </c>
      <c r="AI397" s="196">
        <v>45835</v>
      </c>
      <c r="AJ397" s="196">
        <v>183.14</v>
      </c>
      <c r="AK397" s="196" t="s">
        <v>564</v>
      </c>
      <c r="AL397" s="196" t="s">
        <v>793</v>
      </c>
      <c r="AM397" s="196">
        <v>0</v>
      </c>
      <c r="AN397" s="196">
        <v>46302</v>
      </c>
      <c r="AO397" s="196" t="s">
        <v>588</v>
      </c>
    </row>
    <row r="398" spans="33:41" ht="14.5" x14ac:dyDescent="0.35">
      <c r="AG398" s="196" t="s">
        <v>1184</v>
      </c>
      <c r="AH398" s="196" t="s">
        <v>752</v>
      </c>
      <c r="AI398" s="196">
        <v>45838</v>
      </c>
      <c r="AJ398" s="196">
        <v>182</v>
      </c>
      <c r="AK398" s="196" t="s">
        <v>564</v>
      </c>
      <c r="AL398" s="196" t="s">
        <v>793</v>
      </c>
      <c r="AM398" s="196">
        <v>0</v>
      </c>
      <c r="AN398" s="196">
        <v>46302</v>
      </c>
      <c r="AO398" s="196" t="s">
        <v>588</v>
      </c>
    </row>
    <row r="399" spans="33:41" ht="14.5" x14ac:dyDescent="0.35">
      <c r="AG399" s="196" t="s">
        <v>1185</v>
      </c>
      <c r="AH399" s="196" t="s">
        <v>752</v>
      </c>
      <c r="AI399" s="196">
        <v>45839</v>
      </c>
      <c r="AJ399" s="196">
        <v>182</v>
      </c>
      <c r="AK399" s="196" t="s">
        <v>564</v>
      </c>
      <c r="AL399" s="196" t="s">
        <v>793</v>
      </c>
      <c r="AM399" s="196">
        <v>0</v>
      </c>
      <c r="AN399" s="196">
        <v>46302</v>
      </c>
      <c r="AO399" s="196" t="s">
        <v>588</v>
      </c>
    </row>
    <row r="400" spans="33:41" ht="14.5" x14ac:dyDescent="0.35">
      <c r="AG400" s="196" t="s">
        <v>1186</v>
      </c>
      <c r="AH400" s="196" t="s">
        <v>752</v>
      </c>
      <c r="AI400" s="196">
        <v>45840</v>
      </c>
      <c r="AJ400" s="196">
        <v>181.87</v>
      </c>
      <c r="AK400" s="196" t="s">
        <v>564</v>
      </c>
      <c r="AL400" s="196" t="s">
        <v>793</v>
      </c>
      <c r="AM400" s="196">
        <v>0</v>
      </c>
      <c r="AN400" s="196">
        <v>46302</v>
      </c>
      <c r="AO400" s="196" t="s">
        <v>588</v>
      </c>
    </row>
    <row r="401" spans="33:41" ht="14.5" x14ac:dyDescent="0.35">
      <c r="AG401" s="196" t="s">
        <v>1187</v>
      </c>
      <c r="AH401" s="196" t="s">
        <v>752</v>
      </c>
      <c r="AI401" s="196">
        <v>45841</v>
      </c>
      <c r="AJ401" s="196">
        <v>181.73</v>
      </c>
      <c r="AK401" s="196" t="s">
        <v>564</v>
      </c>
      <c r="AL401" s="196" t="s">
        <v>793</v>
      </c>
      <c r="AM401" s="196">
        <v>0</v>
      </c>
      <c r="AN401" s="196">
        <v>46302</v>
      </c>
      <c r="AO401" s="196" t="s">
        <v>588</v>
      </c>
    </row>
    <row r="402" spans="33:41" ht="14.5" x14ac:dyDescent="0.35">
      <c r="AG402" s="196" t="s">
        <v>1188</v>
      </c>
      <c r="AH402" s="196" t="s">
        <v>752</v>
      </c>
      <c r="AI402" s="196">
        <v>45842</v>
      </c>
      <c r="AJ402" s="196">
        <v>181.6</v>
      </c>
      <c r="AK402" s="196" t="s">
        <v>564</v>
      </c>
      <c r="AL402" s="196" t="s">
        <v>793</v>
      </c>
      <c r="AM402" s="196">
        <v>0</v>
      </c>
      <c r="AN402" s="196">
        <v>46302</v>
      </c>
      <c r="AO402" s="196" t="s">
        <v>588</v>
      </c>
    </row>
    <row r="403" spans="33:41" ht="14.5" x14ac:dyDescent="0.35">
      <c r="AG403" s="196" t="s">
        <v>1189</v>
      </c>
      <c r="AH403" s="196" t="s">
        <v>752</v>
      </c>
      <c r="AI403" s="196">
        <v>45845</v>
      </c>
      <c r="AJ403" s="196">
        <v>181.2</v>
      </c>
      <c r="AK403" s="196" t="s">
        <v>564</v>
      </c>
      <c r="AL403" s="196" t="s">
        <v>793</v>
      </c>
      <c r="AM403" s="196">
        <v>0</v>
      </c>
      <c r="AN403" s="196">
        <v>46302</v>
      </c>
      <c r="AO403" s="196" t="s">
        <v>588</v>
      </c>
    </row>
    <row r="404" spans="33:41" ht="14.5" x14ac:dyDescent="0.35">
      <c r="AG404" s="196" t="s">
        <v>1190</v>
      </c>
      <c r="AH404" s="196" t="s">
        <v>752</v>
      </c>
      <c r="AI404" s="196">
        <v>45846</v>
      </c>
      <c r="AJ404" s="196">
        <v>181.07</v>
      </c>
      <c r="AK404" s="196" t="s">
        <v>564</v>
      </c>
      <c r="AL404" s="196" t="s">
        <v>793</v>
      </c>
      <c r="AM404" s="196">
        <v>0</v>
      </c>
      <c r="AN404" s="196">
        <v>46302</v>
      </c>
      <c r="AO404" s="196" t="s">
        <v>588</v>
      </c>
    </row>
    <row r="405" spans="33:41" ht="14.5" x14ac:dyDescent="0.35">
      <c r="AG405" s="196" t="s">
        <v>1191</v>
      </c>
      <c r="AH405" s="196" t="s">
        <v>752</v>
      </c>
      <c r="AI405" s="196">
        <v>45847</v>
      </c>
      <c r="AJ405" s="196">
        <v>180.93</v>
      </c>
      <c r="AK405" s="196" t="s">
        <v>564</v>
      </c>
      <c r="AL405" s="196" t="s">
        <v>793</v>
      </c>
      <c r="AM405" s="196">
        <v>0</v>
      </c>
      <c r="AN405" s="196">
        <v>46302</v>
      </c>
      <c r="AO405" s="196" t="s">
        <v>588</v>
      </c>
    </row>
    <row r="406" spans="33:41" ht="14.5" x14ac:dyDescent="0.35">
      <c r="AG406" s="196" t="s">
        <v>1192</v>
      </c>
      <c r="AH406" s="196" t="s">
        <v>752</v>
      </c>
      <c r="AI406" s="196">
        <v>45848</v>
      </c>
      <c r="AJ406" s="196">
        <v>180.8</v>
      </c>
      <c r="AK406" s="196" t="s">
        <v>564</v>
      </c>
      <c r="AL406" s="196" t="s">
        <v>793</v>
      </c>
      <c r="AM406" s="196">
        <v>0</v>
      </c>
      <c r="AN406" s="196">
        <v>46302</v>
      </c>
      <c r="AO406" s="196" t="s">
        <v>588</v>
      </c>
    </row>
    <row r="407" spans="33:41" ht="14.5" x14ac:dyDescent="0.35">
      <c r="AG407" s="196" t="s">
        <v>1193</v>
      </c>
      <c r="AH407" s="196" t="s">
        <v>752</v>
      </c>
      <c r="AI407" s="196">
        <v>45849</v>
      </c>
      <c r="AJ407" s="196">
        <v>180.67</v>
      </c>
      <c r="AK407" s="196" t="s">
        <v>564</v>
      </c>
      <c r="AL407" s="196" t="s">
        <v>793</v>
      </c>
      <c r="AM407" s="196">
        <v>0</v>
      </c>
      <c r="AN407" s="196">
        <v>46302</v>
      </c>
      <c r="AO407" s="196" t="s">
        <v>588</v>
      </c>
    </row>
    <row r="408" spans="33:41" ht="14.5" x14ac:dyDescent="0.35">
      <c r="AG408" s="196" t="s">
        <v>1194</v>
      </c>
      <c r="AH408" s="196" t="s">
        <v>752</v>
      </c>
      <c r="AI408" s="196">
        <v>45852</v>
      </c>
      <c r="AJ408" s="196">
        <v>180.27</v>
      </c>
      <c r="AK408" s="196" t="s">
        <v>564</v>
      </c>
      <c r="AL408" s="196" t="s">
        <v>793</v>
      </c>
      <c r="AM408" s="196">
        <v>0</v>
      </c>
      <c r="AN408" s="196">
        <v>46302</v>
      </c>
      <c r="AO408" s="196" t="s">
        <v>588</v>
      </c>
    </row>
    <row r="409" spans="33:41" ht="14.5" x14ac:dyDescent="0.35">
      <c r="AG409" s="196" t="s">
        <v>1195</v>
      </c>
      <c r="AH409" s="196" t="s">
        <v>752</v>
      </c>
      <c r="AI409" s="196">
        <v>45853</v>
      </c>
      <c r="AJ409" s="196">
        <v>180.13</v>
      </c>
      <c r="AK409" s="196" t="s">
        <v>564</v>
      </c>
      <c r="AL409" s="196" t="s">
        <v>793</v>
      </c>
      <c r="AM409" s="196">
        <v>0</v>
      </c>
      <c r="AN409" s="196">
        <v>46302</v>
      </c>
      <c r="AO409" s="196" t="s">
        <v>588</v>
      </c>
    </row>
    <row r="410" spans="33:41" ht="14.5" x14ac:dyDescent="0.35">
      <c r="AG410" s="196" t="s">
        <v>1196</v>
      </c>
      <c r="AH410" s="196" t="s">
        <v>752</v>
      </c>
      <c r="AI410" s="196">
        <v>45854</v>
      </c>
      <c r="AJ410" s="196">
        <v>180</v>
      </c>
      <c r="AK410" s="196" t="s">
        <v>564</v>
      </c>
      <c r="AL410" s="196" t="s">
        <v>793</v>
      </c>
      <c r="AM410" s="196">
        <v>0</v>
      </c>
      <c r="AN410" s="196">
        <v>46302</v>
      </c>
      <c r="AO410" s="196" t="s">
        <v>588</v>
      </c>
    </row>
    <row r="411" spans="33:41" ht="14.5" x14ac:dyDescent="0.35">
      <c r="AG411" s="196" t="s">
        <v>1197</v>
      </c>
      <c r="AH411" s="196" t="s">
        <v>752</v>
      </c>
      <c r="AI411" s="196">
        <v>45855</v>
      </c>
      <c r="AJ411" s="196">
        <v>179.87</v>
      </c>
      <c r="AK411" s="196" t="s">
        <v>564</v>
      </c>
      <c r="AL411" s="196" t="s">
        <v>793</v>
      </c>
      <c r="AM411" s="196">
        <v>0</v>
      </c>
      <c r="AN411" s="196">
        <v>46302</v>
      </c>
      <c r="AO411" s="196" t="s">
        <v>588</v>
      </c>
    </row>
    <row r="412" spans="33:41" ht="14.5" x14ac:dyDescent="0.35">
      <c r="AG412" s="196" t="s">
        <v>1198</v>
      </c>
      <c r="AH412" s="196" t="s">
        <v>752</v>
      </c>
      <c r="AI412" s="196">
        <v>45856</v>
      </c>
      <c r="AJ412" s="196">
        <v>179.73</v>
      </c>
      <c r="AK412" s="196" t="s">
        <v>564</v>
      </c>
      <c r="AL412" s="196" t="s">
        <v>793</v>
      </c>
      <c r="AM412" s="196">
        <v>0</v>
      </c>
      <c r="AN412" s="196">
        <v>46302</v>
      </c>
      <c r="AO412" s="196" t="s">
        <v>588</v>
      </c>
    </row>
    <row r="413" spans="33:41" ht="14.5" x14ac:dyDescent="0.35">
      <c r="AG413" s="196" t="s">
        <v>1199</v>
      </c>
      <c r="AH413" s="196" t="s">
        <v>752</v>
      </c>
      <c r="AI413" s="196">
        <v>45859</v>
      </c>
      <c r="AJ413" s="196">
        <v>179.33</v>
      </c>
      <c r="AK413" s="196" t="s">
        <v>564</v>
      </c>
      <c r="AL413" s="196" t="s">
        <v>793</v>
      </c>
      <c r="AM413" s="196">
        <v>0</v>
      </c>
      <c r="AN413" s="196">
        <v>46302</v>
      </c>
      <c r="AO413" s="196" t="s">
        <v>588</v>
      </c>
    </row>
    <row r="414" spans="33:41" ht="14.5" x14ac:dyDescent="0.35">
      <c r="AG414" s="196" t="s">
        <v>1200</v>
      </c>
      <c r="AH414" s="196" t="s">
        <v>752</v>
      </c>
      <c r="AI414" s="196">
        <v>45860</v>
      </c>
      <c r="AJ414" s="196">
        <v>179.2</v>
      </c>
      <c r="AK414" s="196" t="s">
        <v>564</v>
      </c>
      <c r="AL414" s="196" t="s">
        <v>793</v>
      </c>
      <c r="AM414" s="196">
        <v>0</v>
      </c>
      <c r="AN414" s="196">
        <v>46302</v>
      </c>
      <c r="AO414" s="196" t="s">
        <v>588</v>
      </c>
    </row>
    <row r="415" spans="33:41" ht="14.5" x14ac:dyDescent="0.35">
      <c r="AG415" s="196" t="s">
        <v>1201</v>
      </c>
      <c r="AH415" s="196" t="s">
        <v>752</v>
      </c>
      <c r="AI415" s="196">
        <v>45861</v>
      </c>
      <c r="AJ415" s="196">
        <v>179.07</v>
      </c>
      <c r="AK415" s="196" t="s">
        <v>564</v>
      </c>
      <c r="AL415" s="196" t="s">
        <v>793</v>
      </c>
      <c r="AM415" s="196">
        <v>0</v>
      </c>
      <c r="AN415" s="196">
        <v>46302</v>
      </c>
      <c r="AO415" s="196" t="s">
        <v>588</v>
      </c>
    </row>
    <row r="416" spans="33:41" ht="14.5" x14ac:dyDescent="0.35">
      <c r="AG416" s="196" t="s">
        <v>1202</v>
      </c>
      <c r="AH416" s="196" t="s">
        <v>752</v>
      </c>
      <c r="AI416" s="196">
        <v>45862</v>
      </c>
      <c r="AJ416" s="196">
        <v>178.93</v>
      </c>
      <c r="AK416" s="196" t="s">
        <v>564</v>
      </c>
      <c r="AL416" s="196" t="s">
        <v>793</v>
      </c>
      <c r="AM416" s="196">
        <v>0</v>
      </c>
      <c r="AN416" s="196">
        <v>46302</v>
      </c>
      <c r="AO416" s="196" t="s">
        <v>588</v>
      </c>
    </row>
    <row r="417" spans="33:41" ht="14.5" x14ac:dyDescent="0.35">
      <c r="AG417" s="196" t="s">
        <v>1203</v>
      </c>
      <c r="AH417" s="196" t="s">
        <v>752</v>
      </c>
      <c r="AI417" s="196">
        <v>45863</v>
      </c>
      <c r="AJ417" s="196">
        <v>178.8</v>
      </c>
      <c r="AK417" s="196" t="s">
        <v>564</v>
      </c>
      <c r="AL417" s="196" t="s">
        <v>793</v>
      </c>
      <c r="AM417" s="196">
        <v>0</v>
      </c>
      <c r="AN417" s="196">
        <v>46302</v>
      </c>
      <c r="AO417" s="196" t="s">
        <v>588</v>
      </c>
    </row>
    <row r="418" spans="33:41" ht="14.5" x14ac:dyDescent="0.35">
      <c r="AG418" s="196" t="s">
        <v>1204</v>
      </c>
      <c r="AH418" s="196" t="s">
        <v>752</v>
      </c>
      <c r="AI418" s="196">
        <v>45866</v>
      </c>
      <c r="AJ418" s="196">
        <v>178.4</v>
      </c>
      <c r="AK418" s="196" t="s">
        <v>564</v>
      </c>
      <c r="AL418" s="196" t="s">
        <v>793</v>
      </c>
      <c r="AM418" s="196">
        <v>0</v>
      </c>
      <c r="AN418" s="196">
        <v>46302</v>
      </c>
      <c r="AO418" s="196" t="s">
        <v>588</v>
      </c>
    </row>
    <row r="419" spans="33:41" ht="14.5" x14ac:dyDescent="0.35">
      <c r="AG419" s="196" t="s">
        <v>1205</v>
      </c>
      <c r="AH419" s="196" t="s">
        <v>752</v>
      </c>
      <c r="AI419" s="196">
        <v>45867</v>
      </c>
      <c r="AJ419" s="196">
        <v>178.27</v>
      </c>
      <c r="AK419" s="196" t="s">
        <v>564</v>
      </c>
      <c r="AL419" s="196" t="s">
        <v>793</v>
      </c>
      <c r="AM419" s="196">
        <v>0</v>
      </c>
      <c r="AN419" s="196">
        <v>46302</v>
      </c>
      <c r="AO419" s="196" t="s">
        <v>588</v>
      </c>
    </row>
    <row r="420" spans="33:41" ht="14.5" x14ac:dyDescent="0.35">
      <c r="AG420" s="196" t="s">
        <v>1206</v>
      </c>
      <c r="AH420" s="196" t="s">
        <v>752</v>
      </c>
      <c r="AI420" s="196">
        <v>45868</v>
      </c>
      <c r="AJ420" s="196">
        <v>178.13</v>
      </c>
      <c r="AK420" s="196" t="s">
        <v>564</v>
      </c>
      <c r="AL420" s="196" t="s">
        <v>793</v>
      </c>
      <c r="AM420" s="196">
        <v>0</v>
      </c>
      <c r="AN420" s="196">
        <v>46302</v>
      </c>
      <c r="AO420" s="196" t="s">
        <v>588</v>
      </c>
    </row>
    <row r="421" spans="33:41" ht="14.5" x14ac:dyDescent="0.35">
      <c r="AG421" s="196" t="s">
        <v>1207</v>
      </c>
      <c r="AH421" s="196" t="s">
        <v>752</v>
      </c>
      <c r="AI421" s="196">
        <v>45869</v>
      </c>
      <c r="AJ421" s="196">
        <v>178</v>
      </c>
      <c r="AK421" s="196" t="s">
        <v>564</v>
      </c>
      <c r="AL421" s="196" t="s">
        <v>793</v>
      </c>
      <c r="AM421" s="196">
        <v>0</v>
      </c>
      <c r="AN421" s="196">
        <v>46302</v>
      </c>
      <c r="AO421" s="196" t="s">
        <v>588</v>
      </c>
    </row>
    <row r="422" spans="33:41" ht="14.5" x14ac:dyDescent="0.35">
      <c r="AG422" s="196" t="s">
        <v>1208</v>
      </c>
      <c r="AH422" s="196" t="s">
        <v>752</v>
      </c>
      <c r="AI422" s="196">
        <v>45870</v>
      </c>
      <c r="AJ422" s="196">
        <v>178</v>
      </c>
      <c r="AK422" s="196" t="s">
        <v>564</v>
      </c>
      <c r="AL422" s="196" t="s">
        <v>793</v>
      </c>
      <c r="AM422" s="196">
        <v>0</v>
      </c>
      <c r="AN422" s="196">
        <v>46302</v>
      </c>
      <c r="AO422" s="196" t="s">
        <v>588</v>
      </c>
    </row>
    <row r="423" spans="33:41" ht="14.5" x14ac:dyDescent="0.35">
      <c r="AG423" s="196" t="s">
        <v>1209</v>
      </c>
      <c r="AH423" s="196" t="s">
        <v>752</v>
      </c>
      <c r="AI423" s="196">
        <v>45873</v>
      </c>
      <c r="AJ423" s="196">
        <v>179.1</v>
      </c>
      <c r="AK423" s="196" t="s">
        <v>564</v>
      </c>
      <c r="AL423" s="196" t="s">
        <v>793</v>
      </c>
      <c r="AM423" s="196">
        <v>0</v>
      </c>
      <c r="AN423" s="196">
        <v>46302</v>
      </c>
      <c r="AO423" s="196" t="s">
        <v>588</v>
      </c>
    </row>
    <row r="424" spans="33:41" ht="14.5" x14ac:dyDescent="0.35">
      <c r="AG424" s="196" t="s">
        <v>1210</v>
      </c>
      <c r="AH424" s="196" t="s">
        <v>752</v>
      </c>
      <c r="AI424" s="196">
        <v>45874</v>
      </c>
      <c r="AJ424" s="196">
        <v>179.47</v>
      </c>
      <c r="AK424" s="196" t="s">
        <v>564</v>
      </c>
      <c r="AL424" s="196" t="s">
        <v>793</v>
      </c>
      <c r="AM424" s="196">
        <v>0</v>
      </c>
      <c r="AN424" s="196">
        <v>46302</v>
      </c>
      <c r="AO424" s="196" t="s">
        <v>588</v>
      </c>
    </row>
    <row r="425" spans="33:41" ht="14.5" x14ac:dyDescent="0.35">
      <c r="AG425" s="196" t="s">
        <v>1211</v>
      </c>
      <c r="AH425" s="196" t="s">
        <v>752</v>
      </c>
      <c r="AI425" s="196">
        <v>45875</v>
      </c>
      <c r="AJ425" s="196">
        <v>179.83</v>
      </c>
      <c r="AK425" s="196" t="s">
        <v>564</v>
      </c>
      <c r="AL425" s="196" t="s">
        <v>793</v>
      </c>
      <c r="AM425" s="196">
        <v>0</v>
      </c>
      <c r="AN425" s="196">
        <v>46302</v>
      </c>
      <c r="AO425" s="196" t="s">
        <v>588</v>
      </c>
    </row>
    <row r="426" spans="33:41" ht="14.5" x14ac:dyDescent="0.35">
      <c r="AG426" s="196" t="s">
        <v>1212</v>
      </c>
      <c r="AH426" s="196" t="s">
        <v>752</v>
      </c>
      <c r="AI426" s="196">
        <v>45876</v>
      </c>
      <c r="AJ426" s="196">
        <v>180.2</v>
      </c>
      <c r="AK426" s="196" t="s">
        <v>564</v>
      </c>
      <c r="AL426" s="196" t="s">
        <v>793</v>
      </c>
      <c r="AM426" s="196">
        <v>0</v>
      </c>
      <c r="AN426" s="196">
        <v>46302</v>
      </c>
      <c r="AO426" s="196" t="s">
        <v>588</v>
      </c>
    </row>
    <row r="427" spans="33:41" ht="14.5" x14ac:dyDescent="0.35">
      <c r="AG427" s="196" t="s">
        <v>1213</v>
      </c>
      <c r="AH427" s="196" t="s">
        <v>752</v>
      </c>
      <c r="AI427" s="196">
        <v>45877</v>
      </c>
      <c r="AJ427" s="196">
        <v>180.57</v>
      </c>
      <c r="AK427" s="196" t="s">
        <v>564</v>
      </c>
      <c r="AL427" s="196" t="s">
        <v>793</v>
      </c>
      <c r="AM427" s="196">
        <v>0</v>
      </c>
      <c r="AN427" s="196">
        <v>46302</v>
      </c>
      <c r="AO427" s="196" t="s">
        <v>588</v>
      </c>
    </row>
    <row r="428" spans="33:41" ht="14.5" x14ac:dyDescent="0.35">
      <c r="AG428" s="196" t="s">
        <v>1214</v>
      </c>
      <c r="AH428" s="196" t="s">
        <v>752</v>
      </c>
      <c r="AI428" s="196">
        <v>45880</v>
      </c>
      <c r="AJ428" s="196">
        <v>181.67</v>
      </c>
      <c r="AK428" s="196" t="s">
        <v>564</v>
      </c>
      <c r="AL428" s="196" t="s">
        <v>793</v>
      </c>
      <c r="AM428" s="196">
        <v>0</v>
      </c>
      <c r="AN428" s="196">
        <v>46302</v>
      </c>
      <c r="AO428" s="196" t="s">
        <v>588</v>
      </c>
    </row>
    <row r="429" spans="33:41" ht="14.5" x14ac:dyDescent="0.35">
      <c r="AG429" s="196" t="s">
        <v>1215</v>
      </c>
      <c r="AH429" s="196" t="s">
        <v>752</v>
      </c>
      <c r="AI429" s="196">
        <v>45881</v>
      </c>
      <c r="AJ429" s="196">
        <v>182.03</v>
      </c>
      <c r="AK429" s="196" t="s">
        <v>564</v>
      </c>
      <c r="AL429" s="196" t="s">
        <v>793</v>
      </c>
      <c r="AM429" s="196">
        <v>0</v>
      </c>
      <c r="AN429" s="196">
        <v>46302</v>
      </c>
      <c r="AO429" s="196" t="s">
        <v>588</v>
      </c>
    </row>
    <row r="430" spans="33:41" ht="14.5" x14ac:dyDescent="0.35">
      <c r="AG430" s="196" t="s">
        <v>1216</v>
      </c>
      <c r="AH430" s="196" t="s">
        <v>752</v>
      </c>
      <c r="AI430" s="196">
        <v>45882</v>
      </c>
      <c r="AJ430" s="196">
        <v>182.4</v>
      </c>
      <c r="AK430" s="196" t="s">
        <v>564</v>
      </c>
      <c r="AL430" s="196" t="s">
        <v>793</v>
      </c>
      <c r="AM430" s="196">
        <v>0</v>
      </c>
      <c r="AN430" s="196">
        <v>46302</v>
      </c>
      <c r="AO430" s="196" t="s">
        <v>588</v>
      </c>
    </row>
    <row r="431" spans="33:41" ht="14.5" x14ac:dyDescent="0.35">
      <c r="AG431" s="196" t="s">
        <v>1217</v>
      </c>
      <c r="AH431" s="196" t="s">
        <v>752</v>
      </c>
      <c r="AI431" s="196">
        <v>45883</v>
      </c>
      <c r="AJ431" s="196">
        <v>182.77</v>
      </c>
      <c r="AK431" s="196" t="s">
        <v>564</v>
      </c>
      <c r="AL431" s="196" t="s">
        <v>793</v>
      </c>
      <c r="AM431" s="196">
        <v>0</v>
      </c>
      <c r="AN431" s="196">
        <v>46302</v>
      </c>
      <c r="AO431" s="196" t="s">
        <v>588</v>
      </c>
    </row>
    <row r="432" spans="33:41" ht="14.5" x14ac:dyDescent="0.35">
      <c r="AG432" s="196" t="s">
        <v>1218</v>
      </c>
      <c r="AH432" s="196" t="s">
        <v>752</v>
      </c>
      <c r="AI432" s="196">
        <v>45884</v>
      </c>
      <c r="AJ432" s="196">
        <v>183.13</v>
      </c>
      <c r="AK432" s="196" t="s">
        <v>564</v>
      </c>
      <c r="AL432" s="196" t="s">
        <v>793</v>
      </c>
      <c r="AM432" s="196">
        <v>0</v>
      </c>
      <c r="AN432" s="196">
        <v>46302</v>
      </c>
      <c r="AO432" s="196" t="s">
        <v>588</v>
      </c>
    </row>
    <row r="433" spans="33:41" ht="14.5" x14ac:dyDescent="0.35">
      <c r="AG433" s="196" t="s">
        <v>1219</v>
      </c>
      <c r="AH433" s="196" t="s">
        <v>752</v>
      </c>
      <c r="AI433" s="196">
        <v>45887</v>
      </c>
      <c r="AJ433" s="196">
        <v>184.23</v>
      </c>
      <c r="AK433" s="196" t="s">
        <v>564</v>
      </c>
      <c r="AL433" s="196" t="s">
        <v>793</v>
      </c>
      <c r="AM433" s="196">
        <v>0</v>
      </c>
      <c r="AN433" s="196">
        <v>46302</v>
      </c>
      <c r="AO433" s="196" t="s">
        <v>588</v>
      </c>
    </row>
    <row r="434" spans="33:41" ht="14.5" x14ac:dyDescent="0.35">
      <c r="AG434" s="196" t="s">
        <v>1220</v>
      </c>
      <c r="AH434" s="196" t="s">
        <v>752</v>
      </c>
      <c r="AI434" s="196">
        <v>45888</v>
      </c>
      <c r="AJ434" s="196">
        <v>184.6</v>
      </c>
      <c r="AK434" s="196" t="s">
        <v>564</v>
      </c>
      <c r="AL434" s="196" t="s">
        <v>793</v>
      </c>
      <c r="AM434" s="196">
        <v>0</v>
      </c>
      <c r="AN434" s="196">
        <v>46302</v>
      </c>
      <c r="AO434" s="196" t="s">
        <v>588</v>
      </c>
    </row>
    <row r="435" spans="33:41" ht="14.5" x14ac:dyDescent="0.35">
      <c r="AG435" s="196" t="s">
        <v>1221</v>
      </c>
      <c r="AH435" s="196" t="s">
        <v>752</v>
      </c>
      <c r="AI435" s="196">
        <v>45889</v>
      </c>
      <c r="AJ435" s="196">
        <v>184.97</v>
      </c>
      <c r="AK435" s="196" t="s">
        <v>564</v>
      </c>
      <c r="AL435" s="196" t="s">
        <v>793</v>
      </c>
      <c r="AM435" s="196">
        <v>0</v>
      </c>
      <c r="AN435" s="196">
        <v>46302</v>
      </c>
      <c r="AO435" s="196" t="s">
        <v>588</v>
      </c>
    </row>
    <row r="436" spans="33:41" ht="14.5" x14ac:dyDescent="0.35">
      <c r="AG436" s="196" t="s">
        <v>1222</v>
      </c>
      <c r="AH436" s="196" t="s">
        <v>752</v>
      </c>
      <c r="AI436" s="196">
        <v>45890</v>
      </c>
      <c r="AJ436" s="196">
        <v>185.33</v>
      </c>
      <c r="AK436" s="196" t="s">
        <v>564</v>
      </c>
      <c r="AL436" s="196" t="s">
        <v>793</v>
      </c>
      <c r="AM436" s="196">
        <v>0</v>
      </c>
      <c r="AN436" s="196">
        <v>46302</v>
      </c>
      <c r="AO436" s="196" t="s">
        <v>588</v>
      </c>
    </row>
    <row r="437" spans="33:41" ht="14.5" x14ac:dyDescent="0.35">
      <c r="AG437" s="196" t="s">
        <v>1223</v>
      </c>
      <c r="AH437" s="196" t="s">
        <v>752</v>
      </c>
      <c r="AI437" s="196">
        <v>45891</v>
      </c>
      <c r="AJ437" s="196">
        <v>185.7</v>
      </c>
      <c r="AK437" s="196" t="s">
        <v>564</v>
      </c>
      <c r="AL437" s="196" t="s">
        <v>793</v>
      </c>
      <c r="AM437" s="196">
        <v>0</v>
      </c>
      <c r="AN437" s="196">
        <v>46302</v>
      </c>
      <c r="AO437" s="196" t="s">
        <v>588</v>
      </c>
    </row>
    <row r="438" spans="33:41" ht="14.5" x14ac:dyDescent="0.35">
      <c r="AG438" s="196" t="s">
        <v>1224</v>
      </c>
      <c r="AH438" s="196" t="s">
        <v>752</v>
      </c>
      <c r="AI438" s="196">
        <v>45894</v>
      </c>
      <c r="AJ438" s="196">
        <v>186.8</v>
      </c>
      <c r="AK438" s="196" t="s">
        <v>564</v>
      </c>
      <c r="AL438" s="196" t="s">
        <v>793</v>
      </c>
      <c r="AM438" s="196">
        <v>0</v>
      </c>
      <c r="AN438" s="196">
        <v>46302</v>
      </c>
      <c r="AO438" s="196" t="s">
        <v>588</v>
      </c>
    </row>
    <row r="439" spans="33:41" ht="14.5" x14ac:dyDescent="0.35">
      <c r="AG439" s="196" t="s">
        <v>1225</v>
      </c>
      <c r="AH439" s="196" t="s">
        <v>752</v>
      </c>
      <c r="AI439" s="196">
        <v>45895</v>
      </c>
      <c r="AJ439" s="196">
        <v>187.17</v>
      </c>
      <c r="AK439" s="196" t="s">
        <v>564</v>
      </c>
      <c r="AL439" s="196" t="s">
        <v>793</v>
      </c>
      <c r="AM439" s="196">
        <v>0</v>
      </c>
      <c r="AN439" s="196">
        <v>46302</v>
      </c>
      <c r="AO439" s="196" t="s">
        <v>588</v>
      </c>
    </row>
    <row r="440" spans="33:41" ht="14.5" x14ac:dyDescent="0.35">
      <c r="AG440" s="196" t="s">
        <v>1226</v>
      </c>
      <c r="AH440" s="196" t="s">
        <v>752</v>
      </c>
      <c r="AI440" s="196">
        <v>45896</v>
      </c>
      <c r="AJ440" s="196">
        <v>187.53</v>
      </c>
      <c r="AK440" s="196" t="s">
        <v>564</v>
      </c>
      <c r="AL440" s="196" t="s">
        <v>793</v>
      </c>
      <c r="AM440" s="196">
        <v>0</v>
      </c>
      <c r="AN440" s="196">
        <v>46302</v>
      </c>
      <c r="AO440" s="196" t="s">
        <v>588</v>
      </c>
    </row>
    <row r="441" spans="33:41" ht="14.5" x14ac:dyDescent="0.35">
      <c r="AG441" s="196" t="s">
        <v>1227</v>
      </c>
      <c r="AH441" s="196" t="s">
        <v>752</v>
      </c>
      <c r="AI441" s="196">
        <v>45897</v>
      </c>
      <c r="AJ441" s="196">
        <v>187.9</v>
      </c>
      <c r="AK441" s="196" t="s">
        <v>564</v>
      </c>
      <c r="AL441" s="196" t="s">
        <v>793</v>
      </c>
      <c r="AM441" s="196">
        <v>0</v>
      </c>
      <c r="AN441" s="196">
        <v>46302</v>
      </c>
      <c r="AO441" s="196" t="s">
        <v>588</v>
      </c>
    </row>
    <row r="442" spans="33:41" ht="14.5" x14ac:dyDescent="0.35">
      <c r="AG442" s="196" t="s">
        <v>1228</v>
      </c>
      <c r="AH442" s="196" t="s">
        <v>752</v>
      </c>
      <c r="AI442" s="196">
        <v>45898</v>
      </c>
      <c r="AJ442" s="196">
        <v>188.27</v>
      </c>
      <c r="AK442" s="196" t="s">
        <v>564</v>
      </c>
      <c r="AL442" s="196" t="s">
        <v>793</v>
      </c>
      <c r="AM442" s="196">
        <v>0</v>
      </c>
      <c r="AN442" s="196">
        <v>46302</v>
      </c>
      <c r="AO442" s="196" t="s">
        <v>588</v>
      </c>
    </row>
    <row r="443" spans="33:41" ht="14.5" x14ac:dyDescent="0.35">
      <c r="AG443" s="196" t="s">
        <v>1229</v>
      </c>
      <c r="AH443" s="196" t="s">
        <v>752</v>
      </c>
      <c r="AI443" s="196">
        <v>45901</v>
      </c>
      <c r="AJ443" s="196">
        <v>186</v>
      </c>
      <c r="AK443" s="196" t="s">
        <v>564</v>
      </c>
      <c r="AL443" s="196" t="s">
        <v>793</v>
      </c>
      <c r="AM443" s="196">
        <v>0</v>
      </c>
      <c r="AN443" s="196">
        <v>46302</v>
      </c>
      <c r="AO443" s="196" t="s">
        <v>588</v>
      </c>
    </row>
    <row r="444" spans="33:41" ht="14.5" x14ac:dyDescent="0.35">
      <c r="AG444" s="196" t="s">
        <v>1230</v>
      </c>
      <c r="AH444" s="196" t="s">
        <v>752</v>
      </c>
      <c r="AI444" s="196">
        <v>45902</v>
      </c>
      <c r="AJ444" s="196">
        <v>185.69</v>
      </c>
      <c r="AK444" s="196" t="s">
        <v>564</v>
      </c>
      <c r="AL444" s="196" t="s">
        <v>793</v>
      </c>
      <c r="AM444" s="196">
        <v>0</v>
      </c>
      <c r="AN444" s="196">
        <v>46302</v>
      </c>
      <c r="AO444" s="196" t="s">
        <v>588</v>
      </c>
    </row>
    <row r="445" spans="33:41" ht="14.5" x14ac:dyDescent="0.35">
      <c r="AG445" s="196" t="s">
        <v>1231</v>
      </c>
      <c r="AH445" s="196" t="s">
        <v>752</v>
      </c>
      <c r="AI445" s="196">
        <v>45903</v>
      </c>
      <c r="AJ445" s="196">
        <v>185.38</v>
      </c>
      <c r="AK445" s="196" t="s">
        <v>564</v>
      </c>
      <c r="AL445" s="196" t="s">
        <v>793</v>
      </c>
      <c r="AM445" s="196">
        <v>0</v>
      </c>
      <c r="AN445" s="196">
        <v>46302</v>
      </c>
      <c r="AO445" s="196" t="s">
        <v>588</v>
      </c>
    </row>
    <row r="446" spans="33:41" ht="14.5" x14ac:dyDescent="0.35">
      <c r="AG446" s="196" t="s">
        <v>1232</v>
      </c>
      <c r="AH446" s="196" t="s">
        <v>752</v>
      </c>
      <c r="AI446" s="196">
        <v>45904</v>
      </c>
      <c r="AJ446" s="196">
        <v>185.07</v>
      </c>
      <c r="AK446" s="196" t="s">
        <v>564</v>
      </c>
      <c r="AL446" s="196" t="s">
        <v>793</v>
      </c>
      <c r="AM446" s="196">
        <v>0</v>
      </c>
      <c r="AN446" s="196">
        <v>46302</v>
      </c>
      <c r="AO446" s="196" t="s">
        <v>588</v>
      </c>
    </row>
    <row r="447" spans="33:41" ht="14.5" x14ac:dyDescent="0.35">
      <c r="AG447" s="196" t="s">
        <v>1233</v>
      </c>
      <c r="AH447" s="196" t="s">
        <v>752</v>
      </c>
      <c r="AI447" s="196">
        <v>45905</v>
      </c>
      <c r="AJ447" s="196">
        <v>184.76</v>
      </c>
      <c r="AK447" s="196" t="s">
        <v>564</v>
      </c>
      <c r="AL447" s="196" t="s">
        <v>793</v>
      </c>
      <c r="AM447" s="196">
        <v>0</v>
      </c>
      <c r="AN447" s="196">
        <v>46302</v>
      </c>
      <c r="AO447" s="196" t="s">
        <v>588</v>
      </c>
    </row>
    <row r="448" spans="33:41" ht="14.5" x14ac:dyDescent="0.35">
      <c r="AG448" s="196" t="s">
        <v>1234</v>
      </c>
      <c r="AH448" s="196" t="s">
        <v>752</v>
      </c>
      <c r="AI448" s="196">
        <v>45908</v>
      </c>
      <c r="AJ448" s="196">
        <v>183.83</v>
      </c>
      <c r="AK448" s="196" t="s">
        <v>564</v>
      </c>
      <c r="AL448" s="196" t="s">
        <v>793</v>
      </c>
      <c r="AM448" s="196">
        <v>0</v>
      </c>
      <c r="AN448" s="196">
        <v>46302</v>
      </c>
      <c r="AO448" s="196" t="s">
        <v>588</v>
      </c>
    </row>
    <row r="449" spans="33:41" ht="14.5" x14ac:dyDescent="0.35">
      <c r="AG449" s="196" t="s">
        <v>1235</v>
      </c>
      <c r="AH449" s="196" t="s">
        <v>752</v>
      </c>
      <c r="AI449" s="196">
        <v>45909</v>
      </c>
      <c r="AJ449" s="196">
        <v>183.52</v>
      </c>
      <c r="AK449" s="196" t="s">
        <v>564</v>
      </c>
      <c r="AL449" s="196" t="s">
        <v>793</v>
      </c>
      <c r="AM449" s="196">
        <v>0</v>
      </c>
      <c r="AN449" s="196">
        <v>46302</v>
      </c>
      <c r="AO449" s="196" t="s">
        <v>588</v>
      </c>
    </row>
    <row r="450" spans="33:41" ht="14.5" x14ac:dyDescent="0.35">
      <c r="AG450" s="196" t="s">
        <v>1236</v>
      </c>
      <c r="AH450" s="196" t="s">
        <v>752</v>
      </c>
      <c r="AI450" s="196">
        <v>45910</v>
      </c>
      <c r="AJ450" s="196">
        <v>183.21</v>
      </c>
      <c r="AK450" s="196" t="s">
        <v>564</v>
      </c>
      <c r="AL450" s="196" t="s">
        <v>793</v>
      </c>
      <c r="AM450" s="196">
        <v>0</v>
      </c>
      <c r="AN450" s="196">
        <v>46302</v>
      </c>
      <c r="AO450" s="196" t="s">
        <v>588</v>
      </c>
    </row>
    <row r="451" spans="33:41" ht="14.5" x14ac:dyDescent="0.35">
      <c r="AG451" s="196" t="s">
        <v>1237</v>
      </c>
      <c r="AH451" s="196" t="s">
        <v>752</v>
      </c>
      <c r="AI451" s="196">
        <v>45911</v>
      </c>
      <c r="AJ451" s="196">
        <v>182.9</v>
      </c>
      <c r="AK451" s="196" t="s">
        <v>564</v>
      </c>
      <c r="AL451" s="196" t="s">
        <v>793</v>
      </c>
      <c r="AM451" s="196">
        <v>0</v>
      </c>
      <c r="AN451" s="196">
        <v>46302</v>
      </c>
      <c r="AO451" s="196" t="s">
        <v>588</v>
      </c>
    </row>
    <row r="452" spans="33:41" ht="14.5" x14ac:dyDescent="0.35">
      <c r="AG452" s="196" t="s">
        <v>1238</v>
      </c>
      <c r="AH452" s="196" t="s">
        <v>752</v>
      </c>
      <c r="AI452" s="196">
        <v>45912</v>
      </c>
      <c r="AJ452" s="196">
        <v>182.59</v>
      </c>
      <c r="AK452" s="196" t="s">
        <v>564</v>
      </c>
      <c r="AL452" s="196" t="s">
        <v>793</v>
      </c>
      <c r="AM452" s="196">
        <v>0</v>
      </c>
      <c r="AN452" s="196">
        <v>46302</v>
      </c>
      <c r="AO452" s="196" t="s">
        <v>588</v>
      </c>
    </row>
    <row r="453" spans="33:41" ht="14.5" x14ac:dyDescent="0.35">
      <c r="AG453" s="196" t="s">
        <v>1239</v>
      </c>
      <c r="AH453" s="196" t="s">
        <v>752</v>
      </c>
      <c r="AI453" s="196">
        <v>45915</v>
      </c>
      <c r="AJ453" s="196">
        <v>181.66</v>
      </c>
      <c r="AK453" s="196" t="s">
        <v>564</v>
      </c>
      <c r="AL453" s="196" t="s">
        <v>793</v>
      </c>
      <c r="AM453" s="196">
        <v>0</v>
      </c>
      <c r="AN453" s="196">
        <v>46302</v>
      </c>
      <c r="AO453" s="196" t="s">
        <v>588</v>
      </c>
    </row>
    <row r="454" spans="33:41" ht="14.5" x14ac:dyDescent="0.35">
      <c r="AG454" s="196" t="s">
        <v>1240</v>
      </c>
      <c r="AH454" s="196" t="s">
        <v>752</v>
      </c>
      <c r="AI454" s="196">
        <v>45916</v>
      </c>
      <c r="AJ454" s="196">
        <v>181.34</v>
      </c>
      <c r="AK454" s="196" t="s">
        <v>564</v>
      </c>
      <c r="AL454" s="196" t="s">
        <v>793</v>
      </c>
      <c r="AM454" s="196">
        <v>0</v>
      </c>
      <c r="AN454" s="196">
        <v>46302</v>
      </c>
      <c r="AO454" s="196" t="s">
        <v>588</v>
      </c>
    </row>
    <row r="455" spans="33:41" ht="14.5" x14ac:dyDescent="0.35">
      <c r="AG455" s="196" t="s">
        <v>1241</v>
      </c>
      <c r="AH455" s="196" t="s">
        <v>752</v>
      </c>
      <c r="AI455" s="196">
        <v>45917</v>
      </c>
      <c r="AJ455" s="196">
        <v>181.03</v>
      </c>
      <c r="AK455" s="196" t="s">
        <v>564</v>
      </c>
      <c r="AL455" s="196" t="s">
        <v>793</v>
      </c>
      <c r="AM455" s="196">
        <v>0</v>
      </c>
      <c r="AN455" s="196">
        <v>46302</v>
      </c>
      <c r="AO455" s="196" t="s">
        <v>588</v>
      </c>
    </row>
    <row r="456" spans="33:41" ht="14.5" x14ac:dyDescent="0.35">
      <c r="AG456" s="196" t="s">
        <v>1242</v>
      </c>
      <c r="AH456" s="196" t="s">
        <v>752</v>
      </c>
      <c r="AI456" s="196">
        <v>45918</v>
      </c>
      <c r="AJ456" s="196">
        <v>180.72</v>
      </c>
      <c r="AK456" s="196" t="s">
        <v>564</v>
      </c>
      <c r="AL456" s="196" t="s">
        <v>793</v>
      </c>
      <c r="AM456" s="196">
        <v>0</v>
      </c>
      <c r="AN456" s="196">
        <v>46302</v>
      </c>
      <c r="AO456" s="196" t="s">
        <v>588</v>
      </c>
    </row>
    <row r="457" spans="33:41" ht="14.5" x14ac:dyDescent="0.35">
      <c r="AG457" s="196" t="s">
        <v>1243</v>
      </c>
      <c r="AH457" s="196" t="s">
        <v>752</v>
      </c>
      <c r="AI457" s="196">
        <v>45919</v>
      </c>
      <c r="AJ457" s="196">
        <v>180.41</v>
      </c>
      <c r="AK457" s="196" t="s">
        <v>564</v>
      </c>
      <c r="AL457" s="196" t="s">
        <v>793</v>
      </c>
      <c r="AM457" s="196">
        <v>0</v>
      </c>
      <c r="AN457" s="196">
        <v>46302</v>
      </c>
      <c r="AO457" s="196" t="s">
        <v>588</v>
      </c>
    </row>
    <row r="458" spans="33:41" ht="14.5" x14ac:dyDescent="0.35">
      <c r="AG458" s="196" t="s">
        <v>1244</v>
      </c>
      <c r="AH458" s="196" t="s">
        <v>752</v>
      </c>
      <c r="AI458" s="196">
        <v>45922</v>
      </c>
      <c r="AJ458" s="196">
        <v>179.48</v>
      </c>
      <c r="AK458" s="196" t="s">
        <v>564</v>
      </c>
      <c r="AL458" s="196" t="s">
        <v>793</v>
      </c>
      <c r="AM458" s="196">
        <v>0</v>
      </c>
      <c r="AN458" s="196">
        <v>46302</v>
      </c>
      <c r="AO458" s="196" t="s">
        <v>588</v>
      </c>
    </row>
    <row r="459" spans="33:41" ht="14.5" x14ac:dyDescent="0.35">
      <c r="AG459" s="196" t="s">
        <v>1245</v>
      </c>
      <c r="AH459" s="196" t="s">
        <v>752</v>
      </c>
      <c r="AI459" s="196">
        <v>45923</v>
      </c>
      <c r="AJ459" s="196">
        <v>179.17</v>
      </c>
      <c r="AK459" s="196" t="s">
        <v>564</v>
      </c>
      <c r="AL459" s="196" t="s">
        <v>793</v>
      </c>
      <c r="AM459" s="196">
        <v>0</v>
      </c>
      <c r="AN459" s="196">
        <v>46302</v>
      </c>
      <c r="AO459" s="196" t="s">
        <v>588</v>
      </c>
    </row>
    <row r="460" spans="33:41" ht="14.5" x14ac:dyDescent="0.35">
      <c r="AG460" s="196" t="s">
        <v>1246</v>
      </c>
      <c r="AH460" s="196" t="s">
        <v>752</v>
      </c>
      <c r="AI460" s="196">
        <v>45924</v>
      </c>
      <c r="AJ460" s="196">
        <v>178.86</v>
      </c>
      <c r="AK460" s="196" t="s">
        <v>564</v>
      </c>
      <c r="AL460" s="196" t="s">
        <v>793</v>
      </c>
      <c r="AM460" s="196">
        <v>0</v>
      </c>
      <c r="AN460" s="196">
        <v>46302</v>
      </c>
      <c r="AO460" s="196" t="s">
        <v>588</v>
      </c>
    </row>
    <row r="461" spans="33:41" ht="14.5" x14ac:dyDescent="0.35">
      <c r="AG461" s="196" t="s">
        <v>1247</v>
      </c>
      <c r="AH461" s="196" t="s">
        <v>752</v>
      </c>
      <c r="AI461" s="196">
        <v>45925</v>
      </c>
      <c r="AJ461" s="196">
        <v>178.55</v>
      </c>
      <c r="AK461" s="196" t="s">
        <v>564</v>
      </c>
      <c r="AL461" s="196" t="s">
        <v>793</v>
      </c>
      <c r="AM461" s="196">
        <v>0</v>
      </c>
      <c r="AN461" s="196">
        <v>46302</v>
      </c>
      <c r="AO461" s="196" t="s">
        <v>588</v>
      </c>
    </row>
    <row r="462" spans="33:41" ht="14.5" x14ac:dyDescent="0.35">
      <c r="AG462" s="196" t="s">
        <v>1248</v>
      </c>
      <c r="AH462" s="196" t="s">
        <v>752</v>
      </c>
      <c r="AI462" s="196">
        <v>45926</v>
      </c>
      <c r="AJ462" s="196">
        <v>178.24</v>
      </c>
      <c r="AK462" s="196" t="s">
        <v>564</v>
      </c>
      <c r="AL462" s="196" t="s">
        <v>793</v>
      </c>
      <c r="AM462" s="196">
        <v>0</v>
      </c>
      <c r="AN462" s="196">
        <v>46302</v>
      </c>
      <c r="AO462" s="196" t="s">
        <v>588</v>
      </c>
    </row>
    <row r="463" spans="33:41" ht="14.5" x14ac:dyDescent="0.35">
      <c r="AG463" s="196" t="s">
        <v>1249</v>
      </c>
      <c r="AH463" s="196" t="s">
        <v>752</v>
      </c>
      <c r="AI463" s="196">
        <v>45929</v>
      </c>
      <c r="AJ463" s="196">
        <v>177.31</v>
      </c>
      <c r="AK463" s="196" t="s">
        <v>564</v>
      </c>
      <c r="AL463" s="196" t="s">
        <v>793</v>
      </c>
      <c r="AM463" s="196">
        <v>0</v>
      </c>
      <c r="AN463" s="196">
        <v>46302</v>
      </c>
      <c r="AO463" s="196" t="s">
        <v>588</v>
      </c>
    </row>
    <row r="464" spans="33:41" ht="14.5" x14ac:dyDescent="0.35">
      <c r="AG464" s="196" t="s">
        <v>1250</v>
      </c>
      <c r="AH464" s="196" t="s">
        <v>752</v>
      </c>
      <c r="AI464" s="196">
        <v>45930</v>
      </c>
      <c r="AJ464" s="196">
        <v>177</v>
      </c>
      <c r="AK464" s="196" t="s">
        <v>564</v>
      </c>
      <c r="AL464" s="196" t="s">
        <v>793</v>
      </c>
      <c r="AM464" s="196">
        <v>0</v>
      </c>
      <c r="AN464" s="196">
        <v>46302</v>
      </c>
      <c r="AO464" s="196" t="s">
        <v>588</v>
      </c>
    </row>
    <row r="465" spans="33:41" ht="14.5" x14ac:dyDescent="0.35">
      <c r="AG465" s="196" t="s">
        <v>1251</v>
      </c>
      <c r="AH465" s="196" t="s">
        <v>752</v>
      </c>
      <c r="AI465" s="196">
        <v>45931</v>
      </c>
      <c r="AJ465" s="196">
        <v>177</v>
      </c>
      <c r="AK465" s="196" t="s">
        <v>564</v>
      </c>
      <c r="AL465" s="196" t="s">
        <v>793</v>
      </c>
      <c r="AM465" s="196">
        <v>0</v>
      </c>
      <c r="AN465" s="196">
        <v>46302</v>
      </c>
      <c r="AO465" s="196" t="s">
        <v>588</v>
      </c>
    </row>
    <row r="466" spans="33:41" ht="14.5" x14ac:dyDescent="0.35">
      <c r="AG466" s="196" t="s">
        <v>1252</v>
      </c>
      <c r="AH466" s="196" t="s">
        <v>752</v>
      </c>
      <c r="AI466" s="196">
        <v>45932</v>
      </c>
      <c r="AJ466" s="196">
        <v>177.13</v>
      </c>
      <c r="AK466" s="196" t="s">
        <v>564</v>
      </c>
      <c r="AL466" s="196" t="s">
        <v>793</v>
      </c>
      <c r="AM466" s="196">
        <v>0</v>
      </c>
      <c r="AN466" s="196">
        <v>46302</v>
      </c>
      <c r="AO466" s="196" t="s">
        <v>588</v>
      </c>
    </row>
    <row r="467" spans="33:41" ht="14.5" x14ac:dyDescent="0.35">
      <c r="AG467" s="196" t="s">
        <v>1253</v>
      </c>
      <c r="AH467" s="196" t="s">
        <v>752</v>
      </c>
      <c r="AI467" s="196">
        <v>45933</v>
      </c>
      <c r="AJ467" s="196">
        <v>177.27</v>
      </c>
      <c r="AK467" s="196" t="s">
        <v>564</v>
      </c>
      <c r="AL467" s="196" t="s">
        <v>793</v>
      </c>
      <c r="AM467" s="196">
        <v>0</v>
      </c>
      <c r="AN467" s="196">
        <v>46302</v>
      </c>
      <c r="AO467" s="196" t="s">
        <v>588</v>
      </c>
    </row>
    <row r="468" spans="33:41" ht="14.5" x14ac:dyDescent="0.35">
      <c r="AG468" s="196" t="s">
        <v>1254</v>
      </c>
      <c r="AH468" s="196" t="s">
        <v>752</v>
      </c>
      <c r="AI468" s="196">
        <v>45936</v>
      </c>
      <c r="AJ468" s="196">
        <v>177.67</v>
      </c>
      <c r="AK468" s="196" t="s">
        <v>564</v>
      </c>
      <c r="AL468" s="196" t="s">
        <v>793</v>
      </c>
      <c r="AM468" s="196">
        <v>0</v>
      </c>
      <c r="AN468" s="196">
        <v>46302</v>
      </c>
      <c r="AO468" s="196" t="s">
        <v>588</v>
      </c>
    </row>
    <row r="469" spans="33:41" ht="14.5" x14ac:dyDescent="0.35">
      <c r="AG469" s="196" t="s">
        <v>1255</v>
      </c>
      <c r="AH469" s="196" t="s">
        <v>752</v>
      </c>
      <c r="AI469" s="196">
        <v>45937</v>
      </c>
      <c r="AJ469" s="196">
        <v>177.8</v>
      </c>
      <c r="AK469" s="196" t="s">
        <v>564</v>
      </c>
      <c r="AL469" s="196" t="s">
        <v>793</v>
      </c>
      <c r="AM469" s="196">
        <v>0</v>
      </c>
      <c r="AN469" s="196">
        <v>46302</v>
      </c>
      <c r="AO469" s="196" t="s">
        <v>588</v>
      </c>
    </row>
    <row r="470" spans="33:41" ht="14.5" x14ac:dyDescent="0.35">
      <c r="AG470" s="196" t="s">
        <v>1256</v>
      </c>
      <c r="AH470" s="196" t="s">
        <v>752</v>
      </c>
      <c r="AI470" s="196">
        <v>45938</v>
      </c>
      <c r="AJ470" s="196">
        <v>177.93</v>
      </c>
      <c r="AK470" s="196" t="s">
        <v>564</v>
      </c>
      <c r="AL470" s="196" t="s">
        <v>793</v>
      </c>
      <c r="AM470" s="196">
        <v>0</v>
      </c>
      <c r="AN470" s="196">
        <v>46302</v>
      </c>
      <c r="AO470" s="196" t="s">
        <v>588</v>
      </c>
    </row>
    <row r="471" spans="33:41" ht="14.5" x14ac:dyDescent="0.35">
      <c r="AG471" s="196" t="s">
        <v>1257</v>
      </c>
      <c r="AH471" s="196" t="s">
        <v>752</v>
      </c>
      <c r="AI471" s="196">
        <v>45939</v>
      </c>
      <c r="AJ471" s="196">
        <v>178.07</v>
      </c>
      <c r="AK471" s="196" t="s">
        <v>564</v>
      </c>
      <c r="AL471" s="196" t="s">
        <v>793</v>
      </c>
      <c r="AM471" s="196">
        <v>0</v>
      </c>
      <c r="AN471" s="196">
        <v>46302</v>
      </c>
      <c r="AO471" s="196" t="s">
        <v>588</v>
      </c>
    </row>
    <row r="472" spans="33:41" ht="14.5" x14ac:dyDescent="0.35">
      <c r="AG472" s="196" t="s">
        <v>1258</v>
      </c>
      <c r="AH472" s="196" t="s">
        <v>752</v>
      </c>
      <c r="AI472" s="196">
        <v>45940</v>
      </c>
      <c r="AJ472" s="196">
        <v>178.2</v>
      </c>
      <c r="AK472" s="196" t="s">
        <v>564</v>
      </c>
      <c r="AL472" s="196" t="s">
        <v>793</v>
      </c>
      <c r="AM472" s="196">
        <v>0</v>
      </c>
      <c r="AN472" s="196">
        <v>46302</v>
      </c>
      <c r="AO472" s="196" t="s">
        <v>588</v>
      </c>
    </row>
    <row r="473" spans="33:41" ht="14.5" x14ac:dyDescent="0.35">
      <c r="AG473" s="196" t="s">
        <v>1259</v>
      </c>
      <c r="AH473" s="196" t="s">
        <v>752</v>
      </c>
      <c r="AI473" s="196">
        <v>45943</v>
      </c>
      <c r="AJ473" s="196">
        <v>178.6</v>
      </c>
      <c r="AK473" s="196" t="s">
        <v>564</v>
      </c>
      <c r="AL473" s="196" t="s">
        <v>793</v>
      </c>
      <c r="AM473" s="196">
        <v>0</v>
      </c>
      <c r="AN473" s="196">
        <v>46302</v>
      </c>
      <c r="AO473" s="196" t="s">
        <v>588</v>
      </c>
    </row>
    <row r="474" spans="33:41" ht="14.5" x14ac:dyDescent="0.35">
      <c r="AG474" s="196" t="s">
        <v>1260</v>
      </c>
      <c r="AH474" s="196" t="s">
        <v>752</v>
      </c>
      <c r="AI474" s="196">
        <v>45944</v>
      </c>
      <c r="AJ474" s="196">
        <v>178.73</v>
      </c>
      <c r="AK474" s="196" t="s">
        <v>564</v>
      </c>
      <c r="AL474" s="196" t="s">
        <v>793</v>
      </c>
      <c r="AM474" s="196">
        <v>0</v>
      </c>
      <c r="AN474" s="196">
        <v>46302</v>
      </c>
      <c r="AO474" s="196" t="s">
        <v>588</v>
      </c>
    </row>
    <row r="475" spans="33:41" ht="14.5" x14ac:dyDescent="0.35">
      <c r="AG475" s="196" t="s">
        <v>1261</v>
      </c>
      <c r="AH475" s="196" t="s">
        <v>752</v>
      </c>
      <c r="AI475" s="196">
        <v>45945</v>
      </c>
      <c r="AJ475" s="196">
        <v>178.87</v>
      </c>
      <c r="AK475" s="196" t="s">
        <v>564</v>
      </c>
      <c r="AL475" s="196" t="s">
        <v>793</v>
      </c>
      <c r="AM475" s="196">
        <v>0</v>
      </c>
      <c r="AN475" s="196">
        <v>46302</v>
      </c>
      <c r="AO475" s="196" t="s">
        <v>588</v>
      </c>
    </row>
    <row r="476" spans="33:41" ht="14.5" x14ac:dyDescent="0.35">
      <c r="AG476" s="196" t="s">
        <v>1262</v>
      </c>
      <c r="AH476" s="196" t="s">
        <v>752</v>
      </c>
      <c r="AI476" s="196">
        <v>45946</v>
      </c>
      <c r="AJ476" s="196">
        <v>179</v>
      </c>
      <c r="AK476" s="196" t="s">
        <v>564</v>
      </c>
      <c r="AL476" s="196" t="s">
        <v>793</v>
      </c>
      <c r="AM476" s="196">
        <v>0</v>
      </c>
      <c r="AN476" s="196">
        <v>46302</v>
      </c>
      <c r="AO476" s="196" t="s">
        <v>588</v>
      </c>
    </row>
    <row r="477" spans="33:41" ht="14.5" x14ac:dyDescent="0.35">
      <c r="AG477" s="196" t="s">
        <v>1263</v>
      </c>
      <c r="AH477" s="196" t="s">
        <v>752</v>
      </c>
      <c r="AI477" s="196">
        <v>45947</v>
      </c>
      <c r="AJ477" s="196">
        <v>179.13</v>
      </c>
      <c r="AK477" s="196" t="s">
        <v>564</v>
      </c>
      <c r="AL477" s="196" t="s">
        <v>793</v>
      </c>
      <c r="AM477" s="196">
        <v>0</v>
      </c>
      <c r="AN477" s="196">
        <v>46302</v>
      </c>
      <c r="AO477" s="196" t="s">
        <v>588</v>
      </c>
    </row>
    <row r="478" spans="33:41" ht="14.5" x14ac:dyDescent="0.35">
      <c r="AG478" s="196" t="s">
        <v>1264</v>
      </c>
      <c r="AH478" s="196" t="s">
        <v>752</v>
      </c>
      <c r="AI478" s="196">
        <v>45950</v>
      </c>
      <c r="AJ478" s="196">
        <v>179.53</v>
      </c>
      <c r="AK478" s="196" t="s">
        <v>564</v>
      </c>
      <c r="AL478" s="196" t="s">
        <v>793</v>
      </c>
      <c r="AM478" s="196">
        <v>0</v>
      </c>
      <c r="AN478" s="196">
        <v>46302</v>
      </c>
      <c r="AO478" s="196" t="s">
        <v>588</v>
      </c>
    </row>
    <row r="479" spans="33:41" ht="14.5" x14ac:dyDescent="0.35">
      <c r="AG479" s="196" t="s">
        <v>1265</v>
      </c>
      <c r="AH479" s="196" t="s">
        <v>752</v>
      </c>
      <c r="AI479" s="196">
        <v>45951</v>
      </c>
      <c r="AJ479" s="196">
        <v>179.67</v>
      </c>
      <c r="AK479" s="196" t="s">
        <v>564</v>
      </c>
      <c r="AL479" s="196" t="s">
        <v>793</v>
      </c>
      <c r="AM479" s="196">
        <v>0</v>
      </c>
      <c r="AN479" s="196">
        <v>46302</v>
      </c>
      <c r="AO479" s="196" t="s">
        <v>588</v>
      </c>
    </row>
    <row r="480" spans="33:41" ht="14.5" x14ac:dyDescent="0.35">
      <c r="AG480" s="196" t="s">
        <v>1266</v>
      </c>
      <c r="AH480" s="196" t="s">
        <v>752</v>
      </c>
      <c r="AI480" s="196">
        <v>45952</v>
      </c>
      <c r="AJ480" s="196">
        <v>179.8</v>
      </c>
      <c r="AK480" s="196" t="s">
        <v>564</v>
      </c>
      <c r="AL480" s="196" t="s">
        <v>793</v>
      </c>
      <c r="AM480" s="196">
        <v>0</v>
      </c>
      <c r="AN480" s="196">
        <v>46302</v>
      </c>
      <c r="AO480" s="196" t="s">
        <v>588</v>
      </c>
    </row>
    <row r="481" spans="33:41" ht="14.5" x14ac:dyDescent="0.35">
      <c r="AG481" s="196" t="s">
        <v>1267</v>
      </c>
      <c r="AH481" s="196" t="s">
        <v>752</v>
      </c>
      <c r="AI481" s="196">
        <v>45953</v>
      </c>
      <c r="AJ481" s="196">
        <v>179.93</v>
      </c>
      <c r="AK481" s="196" t="s">
        <v>564</v>
      </c>
      <c r="AL481" s="196" t="s">
        <v>793</v>
      </c>
      <c r="AM481" s="196">
        <v>0</v>
      </c>
      <c r="AN481" s="196">
        <v>46302</v>
      </c>
      <c r="AO481" s="196" t="s">
        <v>588</v>
      </c>
    </row>
    <row r="482" spans="33:41" ht="14.5" x14ac:dyDescent="0.35">
      <c r="AG482" s="196" t="s">
        <v>1268</v>
      </c>
      <c r="AH482" s="196" t="s">
        <v>752</v>
      </c>
      <c r="AI482" s="196">
        <v>45954</v>
      </c>
      <c r="AJ482" s="196">
        <v>180.07</v>
      </c>
      <c r="AK482" s="196" t="s">
        <v>564</v>
      </c>
      <c r="AL482" s="196" t="s">
        <v>793</v>
      </c>
      <c r="AM482" s="196">
        <v>0</v>
      </c>
      <c r="AN482" s="196">
        <v>46302</v>
      </c>
      <c r="AO482" s="196" t="s">
        <v>588</v>
      </c>
    </row>
    <row r="483" spans="33:41" ht="14.5" x14ac:dyDescent="0.35">
      <c r="AG483" s="196" t="s">
        <v>1269</v>
      </c>
      <c r="AH483" s="196" t="s">
        <v>752</v>
      </c>
      <c r="AI483" s="196">
        <v>45957</v>
      </c>
      <c r="AJ483" s="196">
        <v>180.47</v>
      </c>
      <c r="AK483" s="196" t="s">
        <v>564</v>
      </c>
      <c r="AL483" s="196" t="s">
        <v>793</v>
      </c>
      <c r="AM483" s="196">
        <v>0</v>
      </c>
      <c r="AN483" s="196">
        <v>46302</v>
      </c>
      <c r="AO483" s="196" t="s">
        <v>588</v>
      </c>
    </row>
    <row r="484" spans="33:41" ht="14.5" x14ac:dyDescent="0.35">
      <c r="AG484" s="196" t="s">
        <v>1270</v>
      </c>
      <c r="AH484" s="196" t="s">
        <v>752</v>
      </c>
      <c r="AI484" s="196">
        <v>45958</v>
      </c>
      <c r="AJ484" s="196">
        <v>180.6</v>
      </c>
      <c r="AK484" s="196" t="s">
        <v>564</v>
      </c>
      <c r="AL484" s="196" t="s">
        <v>793</v>
      </c>
      <c r="AM484" s="196">
        <v>0</v>
      </c>
      <c r="AN484" s="196">
        <v>46302</v>
      </c>
      <c r="AO484" s="196" t="s">
        <v>588</v>
      </c>
    </row>
    <row r="485" spans="33:41" ht="14.5" x14ac:dyDescent="0.35">
      <c r="AG485" s="196" t="s">
        <v>1271</v>
      </c>
      <c r="AH485" s="196" t="s">
        <v>752</v>
      </c>
      <c r="AI485" s="196">
        <v>45959</v>
      </c>
      <c r="AJ485" s="196">
        <v>180.73</v>
      </c>
      <c r="AK485" s="196" t="s">
        <v>564</v>
      </c>
      <c r="AL485" s="196" t="s">
        <v>793</v>
      </c>
      <c r="AM485" s="196">
        <v>0</v>
      </c>
      <c r="AN485" s="196">
        <v>46302</v>
      </c>
      <c r="AO485" s="196" t="s">
        <v>588</v>
      </c>
    </row>
    <row r="486" spans="33:41" ht="14.5" x14ac:dyDescent="0.35">
      <c r="AG486" s="196" t="s">
        <v>1272</v>
      </c>
      <c r="AH486" s="196" t="s">
        <v>752</v>
      </c>
      <c r="AI486" s="196">
        <v>45960</v>
      </c>
      <c r="AJ486" s="196">
        <v>180.87</v>
      </c>
      <c r="AK486" s="196" t="s">
        <v>564</v>
      </c>
      <c r="AL486" s="196" t="s">
        <v>793</v>
      </c>
      <c r="AM486" s="196">
        <v>0</v>
      </c>
      <c r="AN486" s="196">
        <v>46302</v>
      </c>
      <c r="AO486" s="196" t="s">
        <v>588</v>
      </c>
    </row>
    <row r="487" spans="33:41" ht="14.5" x14ac:dyDescent="0.35">
      <c r="AG487" s="196" t="s">
        <v>1273</v>
      </c>
      <c r="AH487" s="196" t="s">
        <v>752</v>
      </c>
      <c r="AI487" s="196">
        <v>45961</v>
      </c>
      <c r="AJ487" s="196">
        <v>181</v>
      </c>
      <c r="AK487" s="196" t="s">
        <v>564</v>
      </c>
      <c r="AL487" s="196" t="s">
        <v>793</v>
      </c>
      <c r="AM487" s="196">
        <v>0</v>
      </c>
      <c r="AN487" s="196">
        <v>46302</v>
      </c>
      <c r="AO487" s="196" t="s">
        <v>588</v>
      </c>
    </row>
    <row r="488" spans="33:41" ht="14.5" x14ac:dyDescent="0.35">
      <c r="AG488" s="196" t="s">
        <v>1274</v>
      </c>
      <c r="AH488" s="196" t="s">
        <v>752</v>
      </c>
      <c r="AI488" s="196">
        <v>45964</v>
      </c>
      <c r="AJ488" s="196">
        <v>180.24</v>
      </c>
      <c r="AK488" s="196" t="s">
        <v>564</v>
      </c>
      <c r="AL488" s="196" t="s">
        <v>793</v>
      </c>
      <c r="AM488" s="196">
        <v>0</v>
      </c>
      <c r="AN488" s="196">
        <v>46302</v>
      </c>
      <c r="AO488" s="196" t="s">
        <v>588</v>
      </c>
    </row>
    <row r="489" spans="33:41" ht="14.5" x14ac:dyDescent="0.35">
      <c r="AG489" s="196" t="s">
        <v>1275</v>
      </c>
      <c r="AH489" s="196" t="s">
        <v>752</v>
      </c>
      <c r="AI489" s="196">
        <v>45965</v>
      </c>
      <c r="AJ489" s="196">
        <v>179.86</v>
      </c>
      <c r="AK489" s="196" t="s">
        <v>564</v>
      </c>
      <c r="AL489" s="196" t="s">
        <v>793</v>
      </c>
      <c r="AM489" s="196">
        <v>0</v>
      </c>
      <c r="AN489" s="196">
        <v>46302</v>
      </c>
      <c r="AO489" s="196" t="s">
        <v>588</v>
      </c>
    </row>
    <row r="490" spans="33:41" ht="14.5" x14ac:dyDescent="0.35">
      <c r="AG490" s="196" t="s">
        <v>1276</v>
      </c>
      <c r="AH490" s="196" t="s">
        <v>752</v>
      </c>
      <c r="AI490" s="196">
        <v>45966</v>
      </c>
      <c r="AJ490" s="196">
        <v>179.48</v>
      </c>
      <c r="AK490" s="196" t="s">
        <v>564</v>
      </c>
      <c r="AL490" s="196" t="s">
        <v>793</v>
      </c>
      <c r="AM490" s="196">
        <v>0</v>
      </c>
      <c r="AN490" s="196">
        <v>46302</v>
      </c>
      <c r="AO490" s="196" t="s">
        <v>588</v>
      </c>
    </row>
    <row r="491" spans="33:41" ht="14.5" x14ac:dyDescent="0.35">
      <c r="AG491" s="196" t="s">
        <v>1277</v>
      </c>
      <c r="AH491" s="196" t="s">
        <v>752</v>
      </c>
      <c r="AI491" s="196">
        <v>45967</v>
      </c>
      <c r="AJ491" s="196">
        <v>179.1</v>
      </c>
      <c r="AK491" s="196" t="s">
        <v>564</v>
      </c>
      <c r="AL491" s="196" t="s">
        <v>793</v>
      </c>
      <c r="AM491" s="196">
        <v>0</v>
      </c>
      <c r="AN491" s="196">
        <v>46302</v>
      </c>
      <c r="AO491" s="196" t="s">
        <v>588</v>
      </c>
    </row>
    <row r="492" spans="33:41" ht="14.5" x14ac:dyDescent="0.35">
      <c r="AG492" s="196" t="s">
        <v>1278</v>
      </c>
      <c r="AH492" s="196" t="s">
        <v>752</v>
      </c>
      <c r="AI492" s="196">
        <v>45968</v>
      </c>
      <c r="AJ492" s="196">
        <v>178.72</v>
      </c>
      <c r="AK492" s="196" t="s">
        <v>564</v>
      </c>
      <c r="AL492" s="196" t="s">
        <v>793</v>
      </c>
      <c r="AM492" s="196">
        <v>0</v>
      </c>
      <c r="AN492" s="196">
        <v>46302</v>
      </c>
      <c r="AO492" s="196" t="s">
        <v>588</v>
      </c>
    </row>
    <row r="493" spans="33:41" ht="14.5" x14ac:dyDescent="0.35">
      <c r="AG493" s="196" t="s">
        <v>1279</v>
      </c>
      <c r="AH493" s="196" t="s">
        <v>752</v>
      </c>
      <c r="AI493" s="196">
        <v>45971</v>
      </c>
      <c r="AJ493" s="196">
        <v>177.59</v>
      </c>
      <c r="AK493" s="196" t="s">
        <v>564</v>
      </c>
      <c r="AL493" s="196" t="s">
        <v>793</v>
      </c>
      <c r="AM493" s="196">
        <v>0</v>
      </c>
      <c r="AN493" s="196">
        <v>46302</v>
      </c>
      <c r="AO493" s="196" t="s">
        <v>588</v>
      </c>
    </row>
    <row r="494" spans="33:41" ht="14.5" x14ac:dyDescent="0.35">
      <c r="AG494" s="196" t="s">
        <v>1280</v>
      </c>
      <c r="AH494" s="196" t="s">
        <v>752</v>
      </c>
      <c r="AI494" s="196">
        <v>45972</v>
      </c>
      <c r="AJ494" s="196">
        <v>177.21</v>
      </c>
      <c r="AK494" s="196" t="s">
        <v>564</v>
      </c>
      <c r="AL494" s="196" t="s">
        <v>793</v>
      </c>
      <c r="AM494" s="196">
        <v>0</v>
      </c>
      <c r="AN494" s="196">
        <v>46302</v>
      </c>
      <c r="AO494" s="196" t="s">
        <v>588</v>
      </c>
    </row>
    <row r="495" spans="33:41" ht="14.5" x14ac:dyDescent="0.35">
      <c r="AG495" s="196" t="s">
        <v>1281</v>
      </c>
      <c r="AH495" s="196" t="s">
        <v>752</v>
      </c>
      <c r="AI495" s="196">
        <v>45973</v>
      </c>
      <c r="AJ495" s="196">
        <v>176.83</v>
      </c>
      <c r="AK495" s="196" t="s">
        <v>564</v>
      </c>
      <c r="AL495" s="196" t="s">
        <v>793</v>
      </c>
      <c r="AM495" s="196">
        <v>0</v>
      </c>
      <c r="AN495" s="196">
        <v>46302</v>
      </c>
      <c r="AO495" s="196" t="s">
        <v>588</v>
      </c>
    </row>
    <row r="496" spans="33:41" ht="14.5" x14ac:dyDescent="0.35">
      <c r="AG496" s="196" t="s">
        <v>1282</v>
      </c>
      <c r="AH496" s="196" t="s">
        <v>752</v>
      </c>
      <c r="AI496" s="196">
        <v>45974</v>
      </c>
      <c r="AJ496" s="196">
        <v>176.45</v>
      </c>
      <c r="AK496" s="196" t="s">
        <v>564</v>
      </c>
      <c r="AL496" s="196" t="s">
        <v>793</v>
      </c>
      <c r="AM496" s="196">
        <v>0</v>
      </c>
      <c r="AN496" s="196">
        <v>46302</v>
      </c>
      <c r="AO496" s="196" t="s">
        <v>588</v>
      </c>
    </row>
    <row r="497" spans="33:41" ht="14.5" x14ac:dyDescent="0.35">
      <c r="AG497" s="196" t="s">
        <v>1283</v>
      </c>
      <c r="AH497" s="196" t="s">
        <v>752</v>
      </c>
      <c r="AI497" s="196">
        <v>45975</v>
      </c>
      <c r="AJ497" s="196">
        <v>176.07</v>
      </c>
      <c r="AK497" s="196" t="s">
        <v>564</v>
      </c>
      <c r="AL497" s="196" t="s">
        <v>793</v>
      </c>
      <c r="AM497" s="196">
        <v>0</v>
      </c>
      <c r="AN497" s="196">
        <v>46302</v>
      </c>
      <c r="AO497" s="196" t="s">
        <v>588</v>
      </c>
    </row>
    <row r="498" spans="33:41" ht="14.5" x14ac:dyDescent="0.35">
      <c r="AG498" s="196" t="s">
        <v>1284</v>
      </c>
      <c r="AH498" s="196" t="s">
        <v>752</v>
      </c>
      <c r="AI498" s="196">
        <v>45978</v>
      </c>
      <c r="AJ498" s="196">
        <v>174.93</v>
      </c>
      <c r="AK498" s="196" t="s">
        <v>564</v>
      </c>
      <c r="AL498" s="196" t="s">
        <v>793</v>
      </c>
      <c r="AM498" s="196">
        <v>0</v>
      </c>
      <c r="AN498" s="196">
        <v>46302</v>
      </c>
      <c r="AO498" s="196" t="s">
        <v>588</v>
      </c>
    </row>
    <row r="499" spans="33:41" ht="14.5" x14ac:dyDescent="0.35">
      <c r="AG499" s="196" t="s">
        <v>1285</v>
      </c>
      <c r="AH499" s="196" t="s">
        <v>752</v>
      </c>
      <c r="AI499" s="196">
        <v>45979</v>
      </c>
      <c r="AJ499" s="196">
        <v>174.55</v>
      </c>
      <c r="AK499" s="196" t="s">
        <v>564</v>
      </c>
      <c r="AL499" s="196" t="s">
        <v>793</v>
      </c>
      <c r="AM499" s="196">
        <v>0</v>
      </c>
      <c r="AN499" s="196">
        <v>46302</v>
      </c>
      <c r="AO499" s="196" t="s">
        <v>588</v>
      </c>
    </row>
    <row r="500" spans="33:41" ht="14.5" x14ac:dyDescent="0.35">
      <c r="AG500" s="196" t="s">
        <v>1286</v>
      </c>
      <c r="AH500" s="196" t="s">
        <v>752</v>
      </c>
      <c r="AI500" s="196">
        <v>45980</v>
      </c>
      <c r="AJ500" s="196">
        <v>174.17</v>
      </c>
      <c r="AK500" s="196" t="s">
        <v>564</v>
      </c>
      <c r="AL500" s="196" t="s">
        <v>793</v>
      </c>
      <c r="AM500" s="196">
        <v>0</v>
      </c>
      <c r="AN500" s="196">
        <v>46302</v>
      </c>
      <c r="AO500" s="196" t="s">
        <v>588</v>
      </c>
    </row>
    <row r="501" spans="33:41" ht="14.5" x14ac:dyDescent="0.35">
      <c r="AG501" s="196" t="s">
        <v>1287</v>
      </c>
      <c r="AH501" s="196" t="s">
        <v>752</v>
      </c>
      <c r="AI501" s="196">
        <v>45981</v>
      </c>
      <c r="AJ501" s="196">
        <v>173.79</v>
      </c>
      <c r="AK501" s="196" t="s">
        <v>564</v>
      </c>
      <c r="AL501" s="196" t="s">
        <v>793</v>
      </c>
      <c r="AM501" s="196">
        <v>0</v>
      </c>
      <c r="AN501" s="196">
        <v>46302</v>
      </c>
      <c r="AO501" s="196" t="s">
        <v>588</v>
      </c>
    </row>
    <row r="502" spans="33:41" ht="14.5" x14ac:dyDescent="0.35">
      <c r="AG502" s="196" t="s">
        <v>1288</v>
      </c>
      <c r="AH502" s="196" t="s">
        <v>752</v>
      </c>
      <c r="AI502" s="196">
        <v>45982</v>
      </c>
      <c r="AJ502" s="196">
        <v>173.41</v>
      </c>
      <c r="AK502" s="196" t="s">
        <v>564</v>
      </c>
      <c r="AL502" s="196" t="s">
        <v>793</v>
      </c>
      <c r="AM502" s="196">
        <v>0</v>
      </c>
      <c r="AN502" s="196">
        <v>46302</v>
      </c>
      <c r="AO502" s="196" t="s">
        <v>588</v>
      </c>
    </row>
    <row r="503" spans="33:41" ht="14.5" x14ac:dyDescent="0.35">
      <c r="AG503" s="196" t="s">
        <v>1289</v>
      </c>
      <c r="AH503" s="196" t="s">
        <v>752</v>
      </c>
      <c r="AI503" s="196">
        <v>45985</v>
      </c>
      <c r="AJ503" s="196">
        <v>172.28</v>
      </c>
      <c r="AK503" s="196" t="s">
        <v>564</v>
      </c>
      <c r="AL503" s="196" t="s">
        <v>793</v>
      </c>
      <c r="AM503" s="196">
        <v>0</v>
      </c>
      <c r="AN503" s="196">
        <v>46302</v>
      </c>
      <c r="AO503" s="196" t="s">
        <v>588</v>
      </c>
    </row>
    <row r="504" spans="33:41" ht="14.5" x14ac:dyDescent="0.35">
      <c r="AG504" s="196" t="s">
        <v>1290</v>
      </c>
      <c r="AH504" s="196" t="s">
        <v>752</v>
      </c>
      <c r="AI504" s="196">
        <v>45986</v>
      </c>
      <c r="AJ504" s="196">
        <v>171.9</v>
      </c>
      <c r="AK504" s="196" t="s">
        <v>564</v>
      </c>
      <c r="AL504" s="196" t="s">
        <v>793</v>
      </c>
      <c r="AM504" s="196">
        <v>0</v>
      </c>
      <c r="AN504" s="196">
        <v>46302</v>
      </c>
      <c r="AO504" s="196" t="s">
        <v>588</v>
      </c>
    </row>
    <row r="505" spans="33:41" ht="14.5" x14ac:dyDescent="0.35">
      <c r="AG505" s="196" t="s">
        <v>1291</v>
      </c>
      <c r="AH505" s="196" t="s">
        <v>752</v>
      </c>
      <c r="AI505" s="196">
        <v>45987</v>
      </c>
      <c r="AJ505" s="196">
        <v>171.52</v>
      </c>
      <c r="AK505" s="196" t="s">
        <v>564</v>
      </c>
      <c r="AL505" s="196" t="s">
        <v>793</v>
      </c>
      <c r="AM505" s="196">
        <v>0</v>
      </c>
      <c r="AN505" s="196">
        <v>46302</v>
      </c>
      <c r="AO505" s="196" t="s">
        <v>588</v>
      </c>
    </row>
    <row r="506" spans="33:41" ht="14.5" x14ac:dyDescent="0.35">
      <c r="AG506" s="196" t="s">
        <v>1292</v>
      </c>
      <c r="AH506" s="196" t="s">
        <v>752</v>
      </c>
      <c r="AI506" s="196">
        <v>45988</v>
      </c>
      <c r="AJ506" s="196">
        <v>171.14</v>
      </c>
      <c r="AK506" s="196" t="s">
        <v>564</v>
      </c>
      <c r="AL506" s="196" t="s">
        <v>793</v>
      </c>
      <c r="AM506" s="196">
        <v>0</v>
      </c>
      <c r="AN506" s="196">
        <v>46302</v>
      </c>
      <c r="AO506" s="196" t="s">
        <v>588</v>
      </c>
    </row>
    <row r="507" spans="33:41" ht="14.5" x14ac:dyDescent="0.35">
      <c r="AG507" s="196" t="s">
        <v>1293</v>
      </c>
      <c r="AH507" s="196" t="s">
        <v>752</v>
      </c>
      <c r="AI507" s="196">
        <v>45989</v>
      </c>
      <c r="AJ507" s="196">
        <v>170.76</v>
      </c>
      <c r="AK507" s="196" t="s">
        <v>564</v>
      </c>
      <c r="AL507" s="196" t="s">
        <v>793</v>
      </c>
      <c r="AM507" s="196">
        <v>0</v>
      </c>
      <c r="AN507" s="196">
        <v>46302</v>
      </c>
      <c r="AO507" s="196" t="s">
        <v>588</v>
      </c>
    </row>
    <row r="508" spans="33:41" ht="14.5" x14ac:dyDescent="0.35">
      <c r="AG508" s="196" t="s">
        <v>1294</v>
      </c>
      <c r="AH508" s="196" t="s">
        <v>752</v>
      </c>
      <c r="AI508" s="196">
        <v>45992</v>
      </c>
      <c r="AJ508" s="196">
        <v>170</v>
      </c>
      <c r="AK508" s="196" t="s">
        <v>564</v>
      </c>
      <c r="AL508" s="196" t="s">
        <v>793</v>
      </c>
      <c r="AM508" s="196">
        <v>0</v>
      </c>
      <c r="AN508" s="196">
        <v>46302</v>
      </c>
      <c r="AO508" s="196" t="s">
        <v>588</v>
      </c>
    </row>
    <row r="509" spans="33:41" ht="14.5" x14ac:dyDescent="0.35">
      <c r="AG509" s="196" t="s">
        <v>1295</v>
      </c>
      <c r="AH509" s="196" t="s">
        <v>752</v>
      </c>
      <c r="AI509" s="196">
        <v>45993</v>
      </c>
      <c r="AJ509" s="196">
        <v>169.97</v>
      </c>
      <c r="AK509" s="196" t="s">
        <v>564</v>
      </c>
      <c r="AL509" s="196" t="s">
        <v>793</v>
      </c>
      <c r="AM509" s="196">
        <v>0</v>
      </c>
      <c r="AN509" s="196">
        <v>46302</v>
      </c>
      <c r="AO509" s="196" t="s">
        <v>588</v>
      </c>
    </row>
    <row r="510" spans="33:41" ht="14.5" x14ac:dyDescent="0.35">
      <c r="AG510" s="196" t="s">
        <v>1296</v>
      </c>
      <c r="AH510" s="196" t="s">
        <v>752</v>
      </c>
      <c r="AI510" s="196">
        <v>45994</v>
      </c>
      <c r="AJ510" s="196">
        <v>169.93</v>
      </c>
      <c r="AK510" s="196" t="s">
        <v>564</v>
      </c>
      <c r="AL510" s="196" t="s">
        <v>793</v>
      </c>
      <c r="AM510" s="196">
        <v>0</v>
      </c>
      <c r="AN510" s="196">
        <v>46302</v>
      </c>
      <c r="AO510" s="196" t="s">
        <v>588</v>
      </c>
    </row>
    <row r="511" spans="33:41" ht="14.5" x14ac:dyDescent="0.35">
      <c r="AG511" s="196" t="s">
        <v>1297</v>
      </c>
      <c r="AH511" s="196" t="s">
        <v>752</v>
      </c>
      <c r="AI511" s="196">
        <v>45995</v>
      </c>
      <c r="AJ511" s="196">
        <v>169.9</v>
      </c>
      <c r="AK511" s="196" t="s">
        <v>564</v>
      </c>
      <c r="AL511" s="196" t="s">
        <v>793</v>
      </c>
      <c r="AM511" s="196">
        <v>0</v>
      </c>
      <c r="AN511" s="196">
        <v>46302</v>
      </c>
      <c r="AO511" s="196" t="s">
        <v>588</v>
      </c>
    </row>
    <row r="512" spans="33:41" ht="14.5" x14ac:dyDescent="0.35">
      <c r="AG512" s="196" t="s">
        <v>1298</v>
      </c>
      <c r="AH512" s="196" t="s">
        <v>752</v>
      </c>
      <c r="AI512" s="196">
        <v>45996</v>
      </c>
      <c r="AJ512" s="196">
        <v>169.87</v>
      </c>
      <c r="AK512" s="196" t="s">
        <v>564</v>
      </c>
      <c r="AL512" s="196" t="s">
        <v>793</v>
      </c>
      <c r="AM512" s="196">
        <v>0</v>
      </c>
      <c r="AN512" s="196">
        <v>46302</v>
      </c>
      <c r="AO512" s="196" t="s">
        <v>588</v>
      </c>
    </row>
    <row r="513" spans="33:41" ht="14.5" x14ac:dyDescent="0.35">
      <c r="AG513" s="196" t="s">
        <v>1299</v>
      </c>
      <c r="AH513" s="196" t="s">
        <v>752</v>
      </c>
      <c r="AI513" s="196">
        <v>45999</v>
      </c>
      <c r="AJ513" s="196">
        <v>169.77</v>
      </c>
      <c r="AK513" s="196" t="s">
        <v>564</v>
      </c>
      <c r="AL513" s="196" t="s">
        <v>793</v>
      </c>
      <c r="AM513" s="196">
        <v>0</v>
      </c>
      <c r="AN513" s="196">
        <v>46302</v>
      </c>
      <c r="AO513" s="196" t="s">
        <v>588</v>
      </c>
    </row>
    <row r="514" spans="33:41" ht="14.5" x14ac:dyDescent="0.35">
      <c r="AG514" s="196" t="s">
        <v>1300</v>
      </c>
      <c r="AH514" s="196" t="s">
        <v>752</v>
      </c>
      <c r="AI514" s="196">
        <v>46000</v>
      </c>
      <c r="AJ514" s="196">
        <v>169.73</v>
      </c>
      <c r="AK514" s="196" t="s">
        <v>564</v>
      </c>
      <c r="AL514" s="196" t="s">
        <v>793</v>
      </c>
      <c r="AM514" s="196">
        <v>0</v>
      </c>
      <c r="AN514" s="196">
        <v>46302</v>
      </c>
      <c r="AO514" s="196" t="s">
        <v>588</v>
      </c>
    </row>
    <row r="515" spans="33:41" ht="14.5" x14ac:dyDescent="0.35">
      <c r="AG515" s="196" t="s">
        <v>1301</v>
      </c>
      <c r="AH515" s="196" t="s">
        <v>752</v>
      </c>
      <c r="AI515" s="196">
        <v>46001</v>
      </c>
      <c r="AJ515" s="196">
        <v>169.7</v>
      </c>
      <c r="AK515" s="196" t="s">
        <v>564</v>
      </c>
      <c r="AL515" s="196" t="s">
        <v>793</v>
      </c>
      <c r="AM515" s="196">
        <v>0</v>
      </c>
      <c r="AN515" s="196">
        <v>46302</v>
      </c>
      <c r="AO515" s="196" t="s">
        <v>588</v>
      </c>
    </row>
    <row r="516" spans="33:41" ht="14.5" x14ac:dyDescent="0.35">
      <c r="AG516" s="196" t="s">
        <v>1302</v>
      </c>
      <c r="AH516" s="196" t="s">
        <v>752</v>
      </c>
      <c r="AI516" s="196">
        <v>46002</v>
      </c>
      <c r="AJ516" s="196">
        <v>169.67</v>
      </c>
      <c r="AK516" s="196" t="s">
        <v>564</v>
      </c>
      <c r="AL516" s="196" t="s">
        <v>793</v>
      </c>
      <c r="AM516" s="196">
        <v>0</v>
      </c>
      <c r="AN516" s="196">
        <v>46302</v>
      </c>
      <c r="AO516" s="196" t="s">
        <v>588</v>
      </c>
    </row>
    <row r="517" spans="33:41" ht="14.5" x14ac:dyDescent="0.35">
      <c r="AG517" s="196" t="s">
        <v>1303</v>
      </c>
      <c r="AH517" s="196" t="s">
        <v>752</v>
      </c>
      <c r="AI517" s="196">
        <v>46003</v>
      </c>
      <c r="AJ517" s="196">
        <v>169.63</v>
      </c>
      <c r="AK517" s="196" t="s">
        <v>564</v>
      </c>
      <c r="AL517" s="196" t="s">
        <v>793</v>
      </c>
      <c r="AM517" s="196">
        <v>0</v>
      </c>
      <c r="AN517" s="196">
        <v>46302</v>
      </c>
      <c r="AO517" s="196" t="s">
        <v>588</v>
      </c>
    </row>
    <row r="518" spans="33:41" ht="14.5" x14ac:dyDescent="0.35">
      <c r="AG518" s="196" t="s">
        <v>1304</v>
      </c>
      <c r="AH518" s="196" t="s">
        <v>752</v>
      </c>
      <c r="AI518" s="196">
        <v>46006</v>
      </c>
      <c r="AJ518" s="196">
        <v>169.53</v>
      </c>
      <c r="AK518" s="196" t="s">
        <v>564</v>
      </c>
      <c r="AL518" s="196" t="s">
        <v>793</v>
      </c>
      <c r="AM518" s="196">
        <v>0</v>
      </c>
      <c r="AN518" s="196">
        <v>46302</v>
      </c>
      <c r="AO518" s="196" t="s">
        <v>588</v>
      </c>
    </row>
    <row r="519" spans="33:41" ht="14.5" x14ac:dyDescent="0.35">
      <c r="AG519" s="196" t="s">
        <v>1305</v>
      </c>
      <c r="AH519" s="196" t="s">
        <v>752</v>
      </c>
      <c r="AI519" s="196">
        <v>46007</v>
      </c>
      <c r="AJ519" s="196">
        <v>169.5</v>
      </c>
      <c r="AK519" s="196" t="s">
        <v>564</v>
      </c>
      <c r="AL519" s="196" t="s">
        <v>793</v>
      </c>
      <c r="AM519" s="196">
        <v>0</v>
      </c>
      <c r="AN519" s="196">
        <v>46302</v>
      </c>
      <c r="AO519" s="196" t="s">
        <v>588</v>
      </c>
    </row>
    <row r="520" spans="33:41" ht="14.5" x14ac:dyDescent="0.35">
      <c r="AG520" s="196" t="s">
        <v>1306</v>
      </c>
      <c r="AH520" s="196" t="s">
        <v>752</v>
      </c>
      <c r="AI520" s="196">
        <v>46008</v>
      </c>
      <c r="AJ520" s="196">
        <v>169.47</v>
      </c>
      <c r="AK520" s="196" t="s">
        <v>564</v>
      </c>
      <c r="AL520" s="196" t="s">
        <v>793</v>
      </c>
      <c r="AM520" s="196">
        <v>0</v>
      </c>
      <c r="AN520" s="196">
        <v>46302</v>
      </c>
      <c r="AO520" s="196" t="s">
        <v>588</v>
      </c>
    </row>
    <row r="521" spans="33:41" ht="14.5" x14ac:dyDescent="0.35">
      <c r="AG521" s="196" t="s">
        <v>1307</v>
      </c>
      <c r="AH521" s="196" t="s">
        <v>752</v>
      </c>
      <c r="AI521" s="196">
        <v>46009</v>
      </c>
      <c r="AJ521" s="196">
        <v>169.43</v>
      </c>
      <c r="AK521" s="196" t="s">
        <v>564</v>
      </c>
      <c r="AL521" s="196" t="s">
        <v>793</v>
      </c>
      <c r="AM521" s="196">
        <v>0</v>
      </c>
      <c r="AN521" s="196">
        <v>46302</v>
      </c>
      <c r="AO521" s="196" t="s">
        <v>588</v>
      </c>
    </row>
    <row r="522" spans="33:41" ht="14.5" x14ac:dyDescent="0.35">
      <c r="AG522" s="196" t="s">
        <v>1308</v>
      </c>
      <c r="AH522" s="196" t="s">
        <v>752</v>
      </c>
      <c r="AI522" s="196">
        <v>46010</v>
      </c>
      <c r="AJ522" s="196">
        <v>169.4</v>
      </c>
      <c r="AK522" s="196" t="s">
        <v>564</v>
      </c>
      <c r="AL522" s="196" t="s">
        <v>793</v>
      </c>
      <c r="AM522" s="196">
        <v>0</v>
      </c>
      <c r="AN522" s="196">
        <v>46302</v>
      </c>
      <c r="AO522" s="196" t="s">
        <v>588</v>
      </c>
    </row>
    <row r="523" spans="33:41" ht="14.5" x14ac:dyDescent="0.35">
      <c r="AG523" s="196" t="s">
        <v>1309</v>
      </c>
      <c r="AH523" s="196" t="s">
        <v>752</v>
      </c>
      <c r="AI523" s="196">
        <v>46013</v>
      </c>
      <c r="AJ523" s="196">
        <v>169.3</v>
      </c>
      <c r="AK523" s="196" t="s">
        <v>564</v>
      </c>
      <c r="AL523" s="196" t="s">
        <v>793</v>
      </c>
      <c r="AM523" s="196">
        <v>0</v>
      </c>
      <c r="AN523" s="196">
        <v>46302</v>
      </c>
      <c r="AO523" s="196" t="s">
        <v>588</v>
      </c>
    </row>
    <row r="524" spans="33:41" ht="14.5" x14ac:dyDescent="0.35">
      <c r="AG524" s="196" t="s">
        <v>1310</v>
      </c>
      <c r="AH524" s="196" t="s">
        <v>752</v>
      </c>
      <c r="AI524" s="196">
        <v>46014</v>
      </c>
      <c r="AJ524" s="196">
        <v>169.27</v>
      </c>
      <c r="AK524" s="196" t="s">
        <v>564</v>
      </c>
      <c r="AL524" s="196" t="s">
        <v>793</v>
      </c>
      <c r="AM524" s="196">
        <v>0</v>
      </c>
      <c r="AN524" s="196">
        <v>46302</v>
      </c>
      <c r="AO524" s="196" t="s">
        <v>588</v>
      </c>
    </row>
    <row r="525" spans="33:41" ht="14.5" x14ac:dyDescent="0.35">
      <c r="AG525" s="196" t="s">
        <v>1311</v>
      </c>
      <c r="AH525" s="196" t="s">
        <v>752</v>
      </c>
      <c r="AI525" s="196">
        <v>46015</v>
      </c>
      <c r="AJ525" s="196">
        <v>169.23</v>
      </c>
      <c r="AK525" s="196" t="s">
        <v>564</v>
      </c>
      <c r="AL525" s="196" t="s">
        <v>793</v>
      </c>
      <c r="AM525" s="196">
        <v>0</v>
      </c>
      <c r="AN525" s="196">
        <v>46302</v>
      </c>
      <c r="AO525" s="196" t="s">
        <v>588</v>
      </c>
    </row>
    <row r="526" spans="33:41" ht="14.5" x14ac:dyDescent="0.35">
      <c r="AG526" s="196" t="s">
        <v>1312</v>
      </c>
      <c r="AH526" s="196" t="s">
        <v>752</v>
      </c>
      <c r="AI526" s="196">
        <v>46016</v>
      </c>
      <c r="AJ526" s="196">
        <v>169.2</v>
      </c>
      <c r="AK526" s="196" t="s">
        <v>564</v>
      </c>
      <c r="AL526" s="196" t="s">
        <v>793</v>
      </c>
      <c r="AM526" s="196">
        <v>0</v>
      </c>
      <c r="AN526" s="196">
        <v>46302</v>
      </c>
      <c r="AO526" s="196" t="s">
        <v>588</v>
      </c>
    </row>
    <row r="527" spans="33:41" ht="14.5" x14ac:dyDescent="0.35">
      <c r="AG527" s="196" t="s">
        <v>1313</v>
      </c>
      <c r="AH527" s="196" t="s">
        <v>752</v>
      </c>
      <c r="AI527" s="196">
        <v>46017</v>
      </c>
      <c r="AJ527" s="196">
        <v>169.17</v>
      </c>
      <c r="AK527" s="196" t="s">
        <v>564</v>
      </c>
      <c r="AL527" s="196" t="s">
        <v>793</v>
      </c>
      <c r="AM527" s="196">
        <v>0</v>
      </c>
      <c r="AN527" s="196">
        <v>46302</v>
      </c>
      <c r="AO527" s="196" t="s">
        <v>588</v>
      </c>
    </row>
    <row r="528" spans="33:41" ht="14.5" x14ac:dyDescent="0.35">
      <c r="AG528" s="196" t="s">
        <v>1314</v>
      </c>
      <c r="AH528" s="196" t="s">
        <v>752</v>
      </c>
      <c r="AI528" s="196">
        <v>46020</v>
      </c>
      <c r="AJ528" s="196">
        <v>169.07</v>
      </c>
      <c r="AK528" s="196" t="s">
        <v>564</v>
      </c>
      <c r="AL528" s="196" t="s">
        <v>793</v>
      </c>
      <c r="AM528" s="196">
        <v>0</v>
      </c>
      <c r="AN528" s="196">
        <v>46302</v>
      </c>
      <c r="AO528" s="196" t="s">
        <v>588</v>
      </c>
    </row>
    <row r="529" spans="33:41" ht="14.5" x14ac:dyDescent="0.35">
      <c r="AG529" s="196" t="s">
        <v>1315</v>
      </c>
      <c r="AH529" s="196" t="s">
        <v>752</v>
      </c>
      <c r="AI529" s="196">
        <v>46021</v>
      </c>
      <c r="AJ529" s="196">
        <v>169.03</v>
      </c>
      <c r="AK529" s="196" t="s">
        <v>564</v>
      </c>
      <c r="AL529" s="196" t="s">
        <v>793</v>
      </c>
      <c r="AM529" s="196">
        <v>0</v>
      </c>
      <c r="AN529" s="196">
        <v>46302</v>
      </c>
      <c r="AO529" s="196" t="s">
        <v>588</v>
      </c>
    </row>
    <row r="530" spans="33:41" ht="14.5" x14ac:dyDescent="0.35">
      <c r="AG530" s="196" t="s">
        <v>1316</v>
      </c>
      <c r="AH530" s="196" t="s">
        <v>752</v>
      </c>
      <c r="AI530" s="196">
        <v>46022</v>
      </c>
      <c r="AJ530" s="196">
        <v>169</v>
      </c>
      <c r="AK530" s="196" t="s">
        <v>564</v>
      </c>
      <c r="AL530" s="196" t="s">
        <v>793</v>
      </c>
      <c r="AM530" s="196">
        <v>0</v>
      </c>
      <c r="AN530" s="196">
        <v>46302</v>
      </c>
      <c r="AO530" s="196" t="s">
        <v>588</v>
      </c>
    </row>
    <row r="531" spans="33:41" ht="14.5" x14ac:dyDescent="0.35">
      <c r="AG531" s="196" t="s">
        <v>1317</v>
      </c>
      <c r="AH531" s="196" t="s">
        <v>754</v>
      </c>
      <c r="AI531" s="196">
        <v>45657</v>
      </c>
      <c r="AJ531" s="196">
        <v>80</v>
      </c>
      <c r="AK531" s="196" t="s">
        <v>564</v>
      </c>
      <c r="AL531" s="196" t="s">
        <v>793</v>
      </c>
      <c r="AM531" s="196">
        <v>0</v>
      </c>
      <c r="AN531" s="196">
        <v>46302</v>
      </c>
      <c r="AO531" s="196" t="s">
        <v>588</v>
      </c>
    </row>
    <row r="532" spans="33:41" ht="14.5" x14ac:dyDescent="0.35">
      <c r="AG532" s="196" t="s">
        <v>1318</v>
      </c>
      <c r="AH532" s="196" t="s">
        <v>754</v>
      </c>
      <c r="AI532" s="196">
        <v>45658</v>
      </c>
      <c r="AJ532" s="196">
        <v>80</v>
      </c>
      <c r="AK532" s="196" t="s">
        <v>564</v>
      </c>
      <c r="AL532" s="196" t="s">
        <v>793</v>
      </c>
      <c r="AM532" s="196">
        <v>0</v>
      </c>
      <c r="AN532" s="196">
        <v>46302</v>
      </c>
      <c r="AO532" s="196" t="s">
        <v>588</v>
      </c>
    </row>
    <row r="533" spans="33:41" ht="14.5" x14ac:dyDescent="0.35">
      <c r="AG533" s="196" t="s">
        <v>1319</v>
      </c>
      <c r="AH533" s="196" t="s">
        <v>754</v>
      </c>
      <c r="AI533" s="196">
        <v>45659</v>
      </c>
      <c r="AJ533" s="196">
        <v>80.069999999999993</v>
      </c>
      <c r="AK533" s="196" t="s">
        <v>564</v>
      </c>
      <c r="AL533" s="196" t="s">
        <v>793</v>
      </c>
      <c r="AM533" s="196">
        <v>0</v>
      </c>
      <c r="AN533" s="196">
        <v>46302</v>
      </c>
      <c r="AO533" s="196" t="s">
        <v>588</v>
      </c>
    </row>
    <row r="534" spans="33:41" ht="14.5" x14ac:dyDescent="0.35">
      <c r="AG534" s="196" t="s">
        <v>1320</v>
      </c>
      <c r="AH534" s="196" t="s">
        <v>754</v>
      </c>
      <c r="AI534" s="196">
        <v>45660</v>
      </c>
      <c r="AJ534" s="196">
        <v>80.13</v>
      </c>
      <c r="AK534" s="196" t="s">
        <v>564</v>
      </c>
      <c r="AL534" s="196" t="s">
        <v>793</v>
      </c>
      <c r="AM534" s="196">
        <v>0</v>
      </c>
      <c r="AN534" s="196">
        <v>46302</v>
      </c>
      <c r="AO534" s="196" t="s">
        <v>588</v>
      </c>
    </row>
    <row r="535" spans="33:41" ht="14.5" x14ac:dyDescent="0.35">
      <c r="AG535" s="196" t="s">
        <v>1321</v>
      </c>
      <c r="AH535" s="196" t="s">
        <v>754</v>
      </c>
      <c r="AI535" s="196">
        <v>45663</v>
      </c>
      <c r="AJ535" s="196">
        <v>80.33</v>
      </c>
      <c r="AK535" s="196" t="s">
        <v>564</v>
      </c>
      <c r="AL535" s="196" t="s">
        <v>793</v>
      </c>
      <c r="AM535" s="196">
        <v>0</v>
      </c>
      <c r="AN535" s="196">
        <v>46302</v>
      </c>
      <c r="AO535" s="196" t="s">
        <v>588</v>
      </c>
    </row>
    <row r="536" spans="33:41" ht="14.5" x14ac:dyDescent="0.35">
      <c r="AG536" s="196" t="s">
        <v>1322</v>
      </c>
      <c r="AH536" s="196" t="s">
        <v>754</v>
      </c>
      <c r="AI536" s="196">
        <v>45664</v>
      </c>
      <c r="AJ536" s="196">
        <v>80.400000000000006</v>
      </c>
      <c r="AK536" s="196" t="s">
        <v>564</v>
      </c>
      <c r="AL536" s="196" t="s">
        <v>793</v>
      </c>
      <c r="AM536" s="196">
        <v>0</v>
      </c>
      <c r="AN536" s="196">
        <v>46302</v>
      </c>
      <c r="AO536" s="196" t="s">
        <v>588</v>
      </c>
    </row>
    <row r="537" spans="33:41" ht="14.5" x14ac:dyDescent="0.35">
      <c r="AG537" s="196" t="s">
        <v>1323</v>
      </c>
      <c r="AH537" s="196" t="s">
        <v>754</v>
      </c>
      <c r="AI537" s="196">
        <v>45665</v>
      </c>
      <c r="AJ537" s="196">
        <v>80.47</v>
      </c>
      <c r="AK537" s="196" t="s">
        <v>564</v>
      </c>
      <c r="AL537" s="196" t="s">
        <v>793</v>
      </c>
      <c r="AM537" s="196">
        <v>0</v>
      </c>
      <c r="AN537" s="196">
        <v>46302</v>
      </c>
      <c r="AO537" s="196" t="s">
        <v>588</v>
      </c>
    </row>
    <row r="538" spans="33:41" ht="14.5" x14ac:dyDescent="0.35">
      <c r="AG538" s="196" t="s">
        <v>1324</v>
      </c>
      <c r="AH538" s="196" t="s">
        <v>754</v>
      </c>
      <c r="AI538" s="196">
        <v>45666</v>
      </c>
      <c r="AJ538" s="196">
        <v>80.53</v>
      </c>
      <c r="AK538" s="196" t="s">
        <v>564</v>
      </c>
      <c r="AL538" s="196" t="s">
        <v>793</v>
      </c>
      <c r="AM538" s="196">
        <v>0</v>
      </c>
      <c r="AN538" s="196">
        <v>46302</v>
      </c>
      <c r="AO538" s="196" t="s">
        <v>588</v>
      </c>
    </row>
    <row r="539" spans="33:41" ht="14.5" x14ac:dyDescent="0.35">
      <c r="AG539" s="196" t="s">
        <v>1325</v>
      </c>
      <c r="AH539" s="196" t="s">
        <v>754</v>
      </c>
      <c r="AI539" s="196">
        <v>45667</v>
      </c>
      <c r="AJ539" s="196">
        <v>80.599999999999994</v>
      </c>
      <c r="AK539" s="196" t="s">
        <v>564</v>
      </c>
      <c r="AL539" s="196" t="s">
        <v>793</v>
      </c>
      <c r="AM539" s="196">
        <v>0</v>
      </c>
      <c r="AN539" s="196">
        <v>46302</v>
      </c>
      <c r="AO539" s="196" t="s">
        <v>588</v>
      </c>
    </row>
    <row r="540" spans="33:41" ht="14.5" x14ac:dyDescent="0.35">
      <c r="AG540" s="196" t="s">
        <v>1326</v>
      </c>
      <c r="AH540" s="196" t="s">
        <v>754</v>
      </c>
      <c r="AI540" s="196">
        <v>45670</v>
      </c>
      <c r="AJ540" s="196">
        <v>80.8</v>
      </c>
      <c r="AK540" s="196" t="s">
        <v>564</v>
      </c>
      <c r="AL540" s="196" t="s">
        <v>793</v>
      </c>
      <c r="AM540" s="196">
        <v>0</v>
      </c>
      <c r="AN540" s="196">
        <v>46302</v>
      </c>
      <c r="AO540" s="196" t="s">
        <v>588</v>
      </c>
    </row>
    <row r="541" spans="33:41" ht="14.5" x14ac:dyDescent="0.35">
      <c r="AG541" s="196" t="s">
        <v>1327</v>
      </c>
      <c r="AH541" s="196" t="s">
        <v>754</v>
      </c>
      <c r="AI541" s="196">
        <v>45671</v>
      </c>
      <c r="AJ541" s="196">
        <v>80.87</v>
      </c>
      <c r="AK541" s="196" t="s">
        <v>564</v>
      </c>
      <c r="AL541" s="196" t="s">
        <v>793</v>
      </c>
      <c r="AM541" s="196">
        <v>0</v>
      </c>
      <c r="AN541" s="196">
        <v>46302</v>
      </c>
      <c r="AO541" s="196" t="s">
        <v>588</v>
      </c>
    </row>
    <row r="542" spans="33:41" ht="14.5" x14ac:dyDescent="0.35">
      <c r="AG542" s="196" t="s">
        <v>1328</v>
      </c>
      <c r="AH542" s="196" t="s">
        <v>754</v>
      </c>
      <c r="AI542" s="196">
        <v>45672</v>
      </c>
      <c r="AJ542" s="196">
        <v>80.930000000000007</v>
      </c>
      <c r="AK542" s="196" t="s">
        <v>564</v>
      </c>
      <c r="AL542" s="196" t="s">
        <v>793</v>
      </c>
      <c r="AM542" s="196">
        <v>0</v>
      </c>
      <c r="AN542" s="196">
        <v>46302</v>
      </c>
      <c r="AO542" s="196" t="s">
        <v>588</v>
      </c>
    </row>
    <row r="543" spans="33:41" ht="14.5" x14ac:dyDescent="0.35">
      <c r="AG543" s="196" t="s">
        <v>1329</v>
      </c>
      <c r="AH543" s="196" t="s">
        <v>754</v>
      </c>
      <c r="AI543" s="196">
        <v>45673</v>
      </c>
      <c r="AJ543" s="196">
        <v>81</v>
      </c>
      <c r="AK543" s="196" t="s">
        <v>564</v>
      </c>
      <c r="AL543" s="196" t="s">
        <v>793</v>
      </c>
      <c r="AM543" s="196">
        <v>0</v>
      </c>
      <c r="AN543" s="196">
        <v>46302</v>
      </c>
      <c r="AO543" s="196" t="s">
        <v>588</v>
      </c>
    </row>
    <row r="544" spans="33:41" ht="14.5" x14ac:dyDescent="0.35">
      <c r="AG544" s="196" t="s">
        <v>1330</v>
      </c>
      <c r="AH544" s="196" t="s">
        <v>754</v>
      </c>
      <c r="AI544" s="196">
        <v>45674</v>
      </c>
      <c r="AJ544" s="196">
        <v>81.069999999999993</v>
      </c>
      <c r="AK544" s="196" t="s">
        <v>564</v>
      </c>
      <c r="AL544" s="196" t="s">
        <v>793</v>
      </c>
      <c r="AM544" s="196">
        <v>0</v>
      </c>
      <c r="AN544" s="196">
        <v>46302</v>
      </c>
      <c r="AO544" s="196" t="s">
        <v>588</v>
      </c>
    </row>
    <row r="545" spans="33:41" ht="14.5" x14ac:dyDescent="0.35">
      <c r="AG545" s="196" t="s">
        <v>1331</v>
      </c>
      <c r="AH545" s="196" t="s">
        <v>754</v>
      </c>
      <c r="AI545" s="196">
        <v>45677</v>
      </c>
      <c r="AJ545" s="196">
        <v>81.27</v>
      </c>
      <c r="AK545" s="196" t="s">
        <v>564</v>
      </c>
      <c r="AL545" s="196" t="s">
        <v>793</v>
      </c>
      <c r="AM545" s="196">
        <v>0</v>
      </c>
      <c r="AN545" s="196">
        <v>46302</v>
      </c>
      <c r="AO545" s="196" t="s">
        <v>588</v>
      </c>
    </row>
    <row r="546" spans="33:41" ht="14.5" x14ac:dyDescent="0.35">
      <c r="AG546" s="196" t="s">
        <v>1332</v>
      </c>
      <c r="AH546" s="196" t="s">
        <v>754</v>
      </c>
      <c r="AI546" s="196">
        <v>45678</v>
      </c>
      <c r="AJ546" s="196">
        <v>81.33</v>
      </c>
      <c r="AK546" s="196" t="s">
        <v>564</v>
      </c>
      <c r="AL546" s="196" t="s">
        <v>793</v>
      </c>
      <c r="AM546" s="196">
        <v>0</v>
      </c>
      <c r="AN546" s="196">
        <v>46302</v>
      </c>
      <c r="AO546" s="196" t="s">
        <v>588</v>
      </c>
    </row>
    <row r="547" spans="33:41" ht="14.5" x14ac:dyDescent="0.35">
      <c r="AG547" s="196" t="s">
        <v>1333</v>
      </c>
      <c r="AH547" s="196" t="s">
        <v>754</v>
      </c>
      <c r="AI547" s="196">
        <v>45679</v>
      </c>
      <c r="AJ547" s="196">
        <v>81.400000000000006</v>
      </c>
      <c r="AK547" s="196" t="s">
        <v>564</v>
      </c>
      <c r="AL547" s="196" t="s">
        <v>793</v>
      </c>
      <c r="AM547" s="196">
        <v>0</v>
      </c>
      <c r="AN547" s="196">
        <v>46302</v>
      </c>
      <c r="AO547" s="196" t="s">
        <v>588</v>
      </c>
    </row>
    <row r="548" spans="33:41" ht="14.5" x14ac:dyDescent="0.35">
      <c r="AG548" s="196" t="s">
        <v>1334</v>
      </c>
      <c r="AH548" s="196" t="s">
        <v>754</v>
      </c>
      <c r="AI548" s="196">
        <v>45680</v>
      </c>
      <c r="AJ548" s="196">
        <v>81.47</v>
      </c>
      <c r="AK548" s="196" t="s">
        <v>564</v>
      </c>
      <c r="AL548" s="196" t="s">
        <v>793</v>
      </c>
      <c r="AM548" s="196">
        <v>0</v>
      </c>
      <c r="AN548" s="196">
        <v>46302</v>
      </c>
      <c r="AO548" s="196" t="s">
        <v>588</v>
      </c>
    </row>
    <row r="549" spans="33:41" ht="14.5" x14ac:dyDescent="0.35">
      <c r="AG549" s="196" t="s">
        <v>1335</v>
      </c>
      <c r="AH549" s="196" t="s">
        <v>754</v>
      </c>
      <c r="AI549" s="196">
        <v>45681</v>
      </c>
      <c r="AJ549" s="196">
        <v>81.53</v>
      </c>
      <c r="AK549" s="196" t="s">
        <v>564</v>
      </c>
      <c r="AL549" s="196" t="s">
        <v>793</v>
      </c>
      <c r="AM549" s="196">
        <v>0</v>
      </c>
      <c r="AN549" s="196">
        <v>46302</v>
      </c>
      <c r="AO549" s="196" t="s">
        <v>588</v>
      </c>
    </row>
    <row r="550" spans="33:41" ht="14.5" x14ac:dyDescent="0.35">
      <c r="AG550" s="196" t="s">
        <v>1336</v>
      </c>
      <c r="AH550" s="196" t="s">
        <v>754</v>
      </c>
      <c r="AI550" s="196">
        <v>45684</v>
      </c>
      <c r="AJ550" s="196">
        <v>81.73</v>
      </c>
      <c r="AK550" s="196" t="s">
        <v>564</v>
      </c>
      <c r="AL550" s="196" t="s">
        <v>793</v>
      </c>
      <c r="AM550" s="196">
        <v>0</v>
      </c>
      <c r="AN550" s="196">
        <v>46302</v>
      </c>
      <c r="AO550" s="196" t="s">
        <v>588</v>
      </c>
    </row>
    <row r="551" spans="33:41" ht="14.5" x14ac:dyDescent="0.35">
      <c r="AG551" s="196" t="s">
        <v>1337</v>
      </c>
      <c r="AH551" s="196" t="s">
        <v>754</v>
      </c>
      <c r="AI551" s="196">
        <v>45685</v>
      </c>
      <c r="AJ551" s="196">
        <v>81.8</v>
      </c>
      <c r="AK551" s="196" t="s">
        <v>564</v>
      </c>
      <c r="AL551" s="196" t="s">
        <v>793</v>
      </c>
      <c r="AM551" s="196">
        <v>0</v>
      </c>
      <c r="AN551" s="196">
        <v>46302</v>
      </c>
      <c r="AO551" s="196" t="s">
        <v>588</v>
      </c>
    </row>
    <row r="552" spans="33:41" ht="14.5" x14ac:dyDescent="0.35">
      <c r="AG552" s="196" t="s">
        <v>1338</v>
      </c>
      <c r="AH552" s="196" t="s">
        <v>754</v>
      </c>
      <c r="AI552" s="196">
        <v>45686</v>
      </c>
      <c r="AJ552" s="196">
        <v>81.87</v>
      </c>
      <c r="AK552" s="196" t="s">
        <v>564</v>
      </c>
      <c r="AL552" s="196" t="s">
        <v>793</v>
      </c>
      <c r="AM552" s="196">
        <v>0</v>
      </c>
      <c r="AN552" s="196">
        <v>46302</v>
      </c>
      <c r="AO552" s="196" t="s">
        <v>588</v>
      </c>
    </row>
    <row r="553" spans="33:41" ht="14.5" x14ac:dyDescent="0.35">
      <c r="AG553" s="196" t="s">
        <v>1339</v>
      </c>
      <c r="AH553" s="196" t="s">
        <v>754</v>
      </c>
      <c r="AI553" s="196">
        <v>45687</v>
      </c>
      <c r="AJ553" s="196">
        <v>81.93</v>
      </c>
      <c r="AK553" s="196" t="s">
        <v>564</v>
      </c>
      <c r="AL553" s="196" t="s">
        <v>793</v>
      </c>
      <c r="AM553" s="196">
        <v>0</v>
      </c>
      <c r="AN553" s="196">
        <v>46302</v>
      </c>
      <c r="AO553" s="196" t="s">
        <v>588</v>
      </c>
    </row>
    <row r="554" spans="33:41" ht="14.5" x14ac:dyDescent="0.35">
      <c r="AG554" s="196" t="s">
        <v>1340</v>
      </c>
      <c r="AH554" s="196" t="s">
        <v>754</v>
      </c>
      <c r="AI554" s="196">
        <v>45688</v>
      </c>
      <c r="AJ554" s="196">
        <v>82</v>
      </c>
      <c r="AK554" s="196" t="s">
        <v>564</v>
      </c>
      <c r="AL554" s="196" t="s">
        <v>793</v>
      </c>
      <c r="AM554" s="196">
        <v>0</v>
      </c>
      <c r="AN554" s="196">
        <v>46302</v>
      </c>
      <c r="AO554" s="196" t="s">
        <v>588</v>
      </c>
    </row>
    <row r="555" spans="33:41" ht="14.5" x14ac:dyDescent="0.35">
      <c r="AG555" s="196" t="s">
        <v>1341</v>
      </c>
      <c r="AH555" s="196" t="s">
        <v>754</v>
      </c>
      <c r="AI555" s="196">
        <v>45691</v>
      </c>
      <c r="AJ555" s="196">
        <v>81.7</v>
      </c>
      <c r="AK555" s="196" t="s">
        <v>564</v>
      </c>
      <c r="AL555" s="196" t="s">
        <v>793</v>
      </c>
      <c r="AM555" s="196">
        <v>0</v>
      </c>
      <c r="AN555" s="196">
        <v>46302</v>
      </c>
      <c r="AO555" s="196" t="s">
        <v>588</v>
      </c>
    </row>
    <row r="556" spans="33:41" ht="14.5" x14ac:dyDescent="0.35">
      <c r="AG556" s="196" t="s">
        <v>1342</v>
      </c>
      <c r="AH556" s="196" t="s">
        <v>754</v>
      </c>
      <c r="AI556" s="196">
        <v>45692</v>
      </c>
      <c r="AJ556" s="196">
        <v>81.56</v>
      </c>
      <c r="AK556" s="196" t="s">
        <v>564</v>
      </c>
      <c r="AL556" s="196" t="s">
        <v>793</v>
      </c>
      <c r="AM556" s="196">
        <v>0</v>
      </c>
      <c r="AN556" s="196">
        <v>46302</v>
      </c>
      <c r="AO556" s="196" t="s">
        <v>588</v>
      </c>
    </row>
    <row r="557" spans="33:41" ht="14.5" x14ac:dyDescent="0.35">
      <c r="AG557" s="196" t="s">
        <v>1343</v>
      </c>
      <c r="AH557" s="196" t="s">
        <v>754</v>
      </c>
      <c r="AI557" s="196">
        <v>45693</v>
      </c>
      <c r="AJ557" s="196">
        <v>81.41</v>
      </c>
      <c r="AK557" s="196" t="s">
        <v>564</v>
      </c>
      <c r="AL557" s="196" t="s">
        <v>793</v>
      </c>
      <c r="AM557" s="196">
        <v>0</v>
      </c>
      <c r="AN557" s="196">
        <v>46302</v>
      </c>
      <c r="AO557" s="196" t="s">
        <v>588</v>
      </c>
    </row>
    <row r="558" spans="33:41" ht="14.5" x14ac:dyDescent="0.35">
      <c r="AG558" s="196" t="s">
        <v>1344</v>
      </c>
      <c r="AH558" s="196" t="s">
        <v>754</v>
      </c>
      <c r="AI558" s="196">
        <v>45694</v>
      </c>
      <c r="AJ558" s="196">
        <v>81.260000000000005</v>
      </c>
      <c r="AK558" s="196" t="s">
        <v>564</v>
      </c>
      <c r="AL558" s="196" t="s">
        <v>793</v>
      </c>
      <c r="AM558" s="196">
        <v>0</v>
      </c>
      <c r="AN558" s="196">
        <v>46302</v>
      </c>
      <c r="AO558" s="196" t="s">
        <v>588</v>
      </c>
    </row>
    <row r="559" spans="33:41" ht="14.5" x14ac:dyDescent="0.35">
      <c r="AG559" s="196" t="s">
        <v>1345</v>
      </c>
      <c r="AH559" s="196" t="s">
        <v>754</v>
      </c>
      <c r="AI559" s="196">
        <v>45695</v>
      </c>
      <c r="AJ559" s="196">
        <v>81.11</v>
      </c>
      <c r="AK559" s="196" t="s">
        <v>564</v>
      </c>
      <c r="AL559" s="196" t="s">
        <v>793</v>
      </c>
      <c r="AM559" s="196">
        <v>0</v>
      </c>
      <c r="AN559" s="196">
        <v>46302</v>
      </c>
      <c r="AO559" s="196" t="s">
        <v>588</v>
      </c>
    </row>
    <row r="560" spans="33:41" ht="14.5" x14ac:dyDescent="0.35">
      <c r="AG560" s="196" t="s">
        <v>1346</v>
      </c>
      <c r="AH560" s="196" t="s">
        <v>754</v>
      </c>
      <c r="AI560" s="196">
        <v>45698</v>
      </c>
      <c r="AJ560" s="196">
        <v>80.67</v>
      </c>
      <c r="AK560" s="196" t="s">
        <v>564</v>
      </c>
      <c r="AL560" s="196" t="s">
        <v>793</v>
      </c>
      <c r="AM560" s="196">
        <v>0</v>
      </c>
      <c r="AN560" s="196">
        <v>46302</v>
      </c>
      <c r="AO560" s="196" t="s">
        <v>588</v>
      </c>
    </row>
    <row r="561" spans="33:41" ht="14.5" x14ac:dyDescent="0.35">
      <c r="AG561" s="196" t="s">
        <v>1347</v>
      </c>
      <c r="AH561" s="196" t="s">
        <v>754</v>
      </c>
      <c r="AI561" s="196">
        <v>45699</v>
      </c>
      <c r="AJ561" s="196">
        <v>80.52</v>
      </c>
      <c r="AK561" s="196" t="s">
        <v>564</v>
      </c>
      <c r="AL561" s="196" t="s">
        <v>793</v>
      </c>
      <c r="AM561" s="196">
        <v>0</v>
      </c>
      <c r="AN561" s="196">
        <v>46302</v>
      </c>
      <c r="AO561" s="196" t="s">
        <v>588</v>
      </c>
    </row>
    <row r="562" spans="33:41" ht="14.5" x14ac:dyDescent="0.35">
      <c r="AG562" s="196" t="s">
        <v>1348</v>
      </c>
      <c r="AH562" s="196" t="s">
        <v>754</v>
      </c>
      <c r="AI562" s="196">
        <v>45700</v>
      </c>
      <c r="AJ562" s="196">
        <v>80.37</v>
      </c>
      <c r="AK562" s="196" t="s">
        <v>564</v>
      </c>
      <c r="AL562" s="196" t="s">
        <v>793</v>
      </c>
      <c r="AM562" s="196">
        <v>0</v>
      </c>
      <c r="AN562" s="196">
        <v>46302</v>
      </c>
      <c r="AO562" s="196" t="s">
        <v>588</v>
      </c>
    </row>
    <row r="563" spans="33:41" ht="14.5" x14ac:dyDescent="0.35">
      <c r="AG563" s="196" t="s">
        <v>1349</v>
      </c>
      <c r="AH563" s="196" t="s">
        <v>754</v>
      </c>
      <c r="AI563" s="196">
        <v>45701</v>
      </c>
      <c r="AJ563" s="196">
        <v>80.22</v>
      </c>
      <c r="AK563" s="196" t="s">
        <v>564</v>
      </c>
      <c r="AL563" s="196" t="s">
        <v>793</v>
      </c>
      <c r="AM563" s="196">
        <v>0</v>
      </c>
      <c r="AN563" s="196">
        <v>46302</v>
      </c>
      <c r="AO563" s="196" t="s">
        <v>588</v>
      </c>
    </row>
    <row r="564" spans="33:41" ht="14.5" x14ac:dyDescent="0.35">
      <c r="AG564" s="196" t="s">
        <v>1350</v>
      </c>
      <c r="AH564" s="196" t="s">
        <v>754</v>
      </c>
      <c r="AI564" s="196">
        <v>45702</v>
      </c>
      <c r="AJ564" s="196">
        <v>80.069999999999993</v>
      </c>
      <c r="AK564" s="196" t="s">
        <v>564</v>
      </c>
      <c r="AL564" s="196" t="s">
        <v>793</v>
      </c>
      <c r="AM564" s="196">
        <v>0</v>
      </c>
      <c r="AN564" s="196">
        <v>46302</v>
      </c>
      <c r="AO564" s="196" t="s">
        <v>588</v>
      </c>
    </row>
    <row r="565" spans="33:41" ht="14.5" x14ac:dyDescent="0.35">
      <c r="AG565" s="196" t="s">
        <v>1351</v>
      </c>
      <c r="AH565" s="196" t="s">
        <v>754</v>
      </c>
      <c r="AI565" s="196">
        <v>45705</v>
      </c>
      <c r="AJ565" s="196">
        <v>79.63</v>
      </c>
      <c r="AK565" s="196" t="s">
        <v>564</v>
      </c>
      <c r="AL565" s="196" t="s">
        <v>793</v>
      </c>
      <c r="AM565" s="196">
        <v>0</v>
      </c>
      <c r="AN565" s="196">
        <v>46302</v>
      </c>
      <c r="AO565" s="196" t="s">
        <v>588</v>
      </c>
    </row>
    <row r="566" spans="33:41" ht="14.5" x14ac:dyDescent="0.35">
      <c r="AG566" s="196" t="s">
        <v>1352</v>
      </c>
      <c r="AH566" s="196" t="s">
        <v>754</v>
      </c>
      <c r="AI566" s="196">
        <v>45706</v>
      </c>
      <c r="AJ566" s="196">
        <v>79.48</v>
      </c>
      <c r="AK566" s="196" t="s">
        <v>564</v>
      </c>
      <c r="AL566" s="196" t="s">
        <v>793</v>
      </c>
      <c r="AM566" s="196">
        <v>0</v>
      </c>
      <c r="AN566" s="196">
        <v>46302</v>
      </c>
      <c r="AO566" s="196" t="s">
        <v>588</v>
      </c>
    </row>
    <row r="567" spans="33:41" ht="14.5" x14ac:dyDescent="0.35">
      <c r="AG567" s="196" t="s">
        <v>1353</v>
      </c>
      <c r="AH567" s="196" t="s">
        <v>754</v>
      </c>
      <c r="AI567" s="196">
        <v>45707</v>
      </c>
      <c r="AJ567" s="196">
        <v>79.33</v>
      </c>
      <c r="AK567" s="196" t="s">
        <v>564</v>
      </c>
      <c r="AL567" s="196" t="s">
        <v>793</v>
      </c>
      <c r="AM567" s="196">
        <v>0</v>
      </c>
      <c r="AN567" s="196">
        <v>46302</v>
      </c>
      <c r="AO567" s="196" t="s">
        <v>588</v>
      </c>
    </row>
    <row r="568" spans="33:41" ht="14.5" x14ac:dyDescent="0.35">
      <c r="AG568" s="196" t="s">
        <v>1354</v>
      </c>
      <c r="AH568" s="196" t="s">
        <v>754</v>
      </c>
      <c r="AI568" s="196">
        <v>45708</v>
      </c>
      <c r="AJ568" s="196">
        <v>79.19</v>
      </c>
      <c r="AK568" s="196" t="s">
        <v>564</v>
      </c>
      <c r="AL568" s="196" t="s">
        <v>793</v>
      </c>
      <c r="AM568" s="196">
        <v>0</v>
      </c>
      <c r="AN568" s="196">
        <v>46302</v>
      </c>
      <c r="AO568" s="196" t="s">
        <v>588</v>
      </c>
    </row>
    <row r="569" spans="33:41" ht="14.5" x14ac:dyDescent="0.35">
      <c r="AG569" s="196" t="s">
        <v>1355</v>
      </c>
      <c r="AH569" s="196" t="s">
        <v>754</v>
      </c>
      <c r="AI569" s="196">
        <v>45709</v>
      </c>
      <c r="AJ569" s="196">
        <v>79.040000000000006</v>
      </c>
      <c r="AK569" s="196" t="s">
        <v>564</v>
      </c>
      <c r="AL569" s="196" t="s">
        <v>793</v>
      </c>
      <c r="AM569" s="196">
        <v>0</v>
      </c>
      <c r="AN569" s="196">
        <v>46302</v>
      </c>
      <c r="AO569" s="196" t="s">
        <v>588</v>
      </c>
    </row>
    <row r="570" spans="33:41" ht="14.5" x14ac:dyDescent="0.35">
      <c r="AG570" s="196" t="s">
        <v>1356</v>
      </c>
      <c r="AH570" s="196" t="s">
        <v>754</v>
      </c>
      <c r="AI570" s="196">
        <v>45712</v>
      </c>
      <c r="AJ570" s="196">
        <v>78.59</v>
      </c>
      <c r="AK570" s="196" t="s">
        <v>564</v>
      </c>
      <c r="AL570" s="196" t="s">
        <v>793</v>
      </c>
      <c r="AM570" s="196">
        <v>0</v>
      </c>
      <c r="AN570" s="196">
        <v>46302</v>
      </c>
      <c r="AO570" s="196" t="s">
        <v>588</v>
      </c>
    </row>
    <row r="571" spans="33:41" ht="14.5" x14ac:dyDescent="0.35">
      <c r="AG571" s="196" t="s">
        <v>1357</v>
      </c>
      <c r="AH571" s="196" t="s">
        <v>754</v>
      </c>
      <c r="AI571" s="196">
        <v>45713</v>
      </c>
      <c r="AJ571" s="196">
        <v>78.44</v>
      </c>
      <c r="AK571" s="196" t="s">
        <v>564</v>
      </c>
      <c r="AL571" s="196" t="s">
        <v>793</v>
      </c>
      <c r="AM571" s="196">
        <v>0</v>
      </c>
      <c r="AN571" s="196">
        <v>46302</v>
      </c>
      <c r="AO571" s="196" t="s">
        <v>588</v>
      </c>
    </row>
    <row r="572" spans="33:41" ht="14.5" x14ac:dyDescent="0.35">
      <c r="AG572" s="196" t="s">
        <v>1358</v>
      </c>
      <c r="AH572" s="196" t="s">
        <v>754</v>
      </c>
      <c r="AI572" s="196">
        <v>45714</v>
      </c>
      <c r="AJ572" s="196">
        <v>78.3</v>
      </c>
      <c r="AK572" s="196" t="s">
        <v>564</v>
      </c>
      <c r="AL572" s="196" t="s">
        <v>793</v>
      </c>
      <c r="AM572" s="196">
        <v>0</v>
      </c>
      <c r="AN572" s="196">
        <v>46302</v>
      </c>
      <c r="AO572" s="196" t="s">
        <v>588</v>
      </c>
    </row>
    <row r="573" spans="33:41" ht="14.5" x14ac:dyDescent="0.35">
      <c r="AG573" s="196" t="s">
        <v>1359</v>
      </c>
      <c r="AH573" s="196" t="s">
        <v>754</v>
      </c>
      <c r="AI573" s="196">
        <v>45715</v>
      </c>
      <c r="AJ573" s="196">
        <v>78.150000000000006</v>
      </c>
      <c r="AK573" s="196" t="s">
        <v>564</v>
      </c>
      <c r="AL573" s="196" t="s">
        <v>793</v>
      </c>
      <c r="AM573" s="196">
        <v>0</v>
      </c>
      <c r="AN573" s="196">
        <v>46302</v>
      </c>
      <c r="AO573" s="196" t="s">
        <v>588</v>
      </c>
    </row>
    <row r="574" spans="33:41" ht="14.5" x14ac:dyDescent="0.35">
      <c r="AG574" s="196" t="s">
        <v>1360</v>
      </c>
      <c r="AH574" s="196" t="s">
        <v>754</v>
      </c>
      <c r="AI574" s="196">
        <v>45716</v>
      </c>
      <c r="AJ574" s="196">
        <v>78</v>
      </c>
      <c r="AK574" s="196" t="s">
        <v>564</v>
      </c>
      <c r="AL574" s="196" t="s">
        <v>793</v>
      </c>
      <c r="AM574" s="196">
        <v>0</v>
      </c>
      <c r="AN574" s="196">
        <v>46302</v>
      </c>
      <c r="AO574" s="196" t="s">
        <v>588</v>
      </c>
    </row>
    <row r="575" spans="33:41" ht="14.5" x14ac:dyDescent="0.35">
      <c r="AG575" s="196" t="s">
        <v>1361</v>
      </c>
      <c r="AH575" s="196" t="s">
        <v>754</v>
      </c>
      <c r="AI575" s="196">
        <v>45719</v>
      </c>
      <c r="AJ575" s="196">
        <v>77.8</v>
      </c>
      <c r="AK575" s="196" t="s">
        <v>564</v>
      </c>
      <c r="AL575" s="196" t="s">
        <v>793</v>
      </c>
      <c r="AM575" s="196">
        <v>0</v>
      </c>
      <c r="AN575" s="196">
        <v>46302</v>
      </c>
      <c r="AO575" s="196" t="s">
        <v>588</v>
      </c>
    </row>
    <row r="576" spans="33:41" ht="14.5" x14ac:dyDescent="0.35">
      <c r="AG576" s="196" t="s">
        <v>1362</v>
      </c>
      <c r="AH576" s="196" t="s">
        <v>754</v>
      </c>
      <c r="AI576" s="196">
        <v>45720</v>
      </c>
      <c r="AJ576" s="196">
        <v>77.7</v>
      </c>
      <c r="AK576" s="196" t="s">
        <v>564</v>
      </c>
      <c r="AL576" s="196" t="s">
        <v>793</v>
      </c>
      <c r="AM576" s="196">
        <v>0</v>
      </c>
      <c r="AN576" s="196">
        <v>46302</v>
      </c>
      <c r="AO576" s="196" t="s">
        <v>588</v>
      </c>
    </row>
    <row r="577" spans="33:41" ht="14.5" x14ac:dyDescent="0.35">
      <c r="AG577" s="196" t="s">
        <v>1363</v>
      </c>
      <c r="AH577" s="196" t="s">
        <v>754</v>
      </c>
      <c r="AI577" s="196">
        <v>45721</v>
      </c>
      <c r="AJ577" s="196">
        <v>77.599999999999994</v>
      </c>
      <c r="AK577" s="196" t="s">
        <v>564</v>
      </c>
      <c r="AL577" s="196" t="s">
        <v>793</v>
      </c>
      <c r="AM577" s="196">
        <v>0</v>
      </c>
      <c r="AN577" s="196">
        <v>46302</v>
      </c>
      <c r="AO577" s="196" t="s">
        <v>588</v>
      </c>
    </row>
    <row r="578" spans="33:41" ht="14.5" x14ac:dyDescent="0.35">
      <c r="AG578" s="196" t="s">
        <v>1364</v>
      </c>
      <c r="AH578" s="196" t="s">
        <v>754</v>
      </c>
      <c r="AI578" s="196">
        <v>45722</v>
      </c>
      <c r="AJ578" s="196">
        <v>77.5</v>
      </c>
      <c r="AK578" s="196" t="s">
        <v>564</v>
      </c>
      <c r="AL578" s="196" t="s">
        <v>793</v>
      </c>
      <c r="AM578" s="196">
        <v>0</v>
      </c>
      <c r="AN578" s="196">
        <v>46302</v>
      </c>
      <c r="AO578" s="196" t="s">
        <v>588</v>
      </c>
    </row>
    <row r="579" spans="33:41" ht="14.5" x14ac:dyDescent="0.35">
      <c r="AG579" s="196" t="s">
        <v>1365</v>
      </c>
      <c r="AH579" s="196" t="s">
        <v>754</v>
      </c>
      <c r="AI579" s="196">
        <v>45723</v>
      </c>
      <c r="AJ579" s="196">
        <v>77.400000000000006</v>
      </c>
      <c r="AK579" s="196" t="s">
        <v>564</v>
      </c>
      <c r="AL579" s="196" t="s">
        <v>793</v>
      </c>
      <c r="AM579" s="196">
        <v>0</v>
      </c>
      <c r="AN579" s="196">
        <v>46302</v>
      </c>
      <c r="AO579" s="196" t="s">
        <v>588</v>
      </c>
    </row>
    <row r="580" spans="33:41" ht="14.5" x14ac:dyDescent="0.35">
      <c r="AG580" s="196" t="s">
        <v>1366</v>
      </c>
      <c r="AH580" s="196" t="s">
        <v>754</v>
      </c>
      <c r="AI580" s="196">
        <v>45726</v>
      </c>
      <c r="AJ580" s="196">
        <v>77.099999999999994</v>
      </c>
      <c r="AK580" s="196" t="s">
        <v>564</v>
      </c>
      <c r="AL580" s="196" t="s">
        <v>793</v>
      </c>
      <c r="AM580" s="196">
        <v>0</v>
      </c>
      <c r="AN580" s="196">
        <v>46302</v>
      </c>
      <c r="AO580" s="196" t="s">
        <v>588</v>
      </c>
    </row>
    <row r="581" spans="33:41" ht="14.5" x14ac:dyDescent="0.35">
      <c r="AG581" s="196" t="s">
        <v>1367</v>
      </c>
      <c r="AH581" s="196" t="s">
        <v>754</v>
      </c>
      <c r="AI581" s="196">
        <v>45727</v>
      </c>
      <c r="AJ581" s="196">
        <v>77</v>
      </c>
      <c r="AK581" s="196" t="s">
        <v>564</v>
      </c>
      <c r="AL581" s="196" t="s">
        <v>793</v>
      </c>
      <c r="AM581" s="196">
        <v>0</v>
      </c>
      <c r="AN581" s="196">
        <v>46302</v>
      </c>
      <c r="AO581" s="196" t="s">
        <v>588</v>
      </c>
    </row>
    <row r="582" spans="33:41" ht="14.5" x14ac:dyDescent="0.35">
      <c r="AG582" s="196" t="s">
        <v>1368</v>
      </c>
      <c r="AH582" s="196" t="s">
        <v>754</v>
      </c>
      <c r="AI582" s="196">
        <v>45728</v>
      </c>
      <c r="AJ582" s="196">
        <v>76.900000000000006</v>
      </c>
      <c r="AK582" s="196" t="s">
        <v>564</v>
      </c>
      <c r="AL582" s="196" t="s">
        <v>793</v>
      </c>
      <c r="AM582" s="196">
        <v>0</v>
      </c>
      <c r="AN582" s="196">
        <v>46302</v>
      </c>
      <c r="AO582" s="196" t="s">
        <v>588</v>
      </c>
    </row>
    <row r="583" spans="33:41" ht="14.5" x14ac:dyDescent="0.35">
      <c r="AG583" s="196" t="s">
        <v>1369</v>
      </c>
      <c r="AH583" s="196" t="s">
        <v>754</v>
      </c>
      <c r="AI583" s="196">
        <v>45729</v>
      </c>
      <c r="AJ583" s="196">
        <v>76.8</v>
      </c>
      <c r="AK583" s="196" t="s">
        <v>564</v>
      </c>
      <c r="AL583" s="196" t="s">
        <v>793</v>
      </c>
      <c r="AM583" s="196">
        <v>0</v>
      </c>
      <c r="AN583" s="196">
        <v>46302</v>
      </c>
      <c r="AO583" s="196" t="s">
        <v>588</v>
      </c>
    </row>
    <row r="584" spans="33:41" ht="14.5" x14ac:dyDescent="0.35">
      <c r="AG584" s="196" t="s">
        <v>1370</v>
      </c>
      <c r="AH584" s="196" t="s">
        <v>754</v>
      </c>
      <c r="AI584" s="196">
        <v>45730</v>
      </c>
      <c r="AJ584" s="196">
        <v>76.7</v>
      </c>
      <c r="AK584" s="196" t="s">
        <v>564</v>
      </c>
      <c r="AL584" s="196" t="s">
        <v>793</v>
      </c>
      <c r="AM584" s="196">
        <v>0</v>
      </c>
      <c r="AN584" s="196">
        <v>46302</v>
      </c>
      <c r="AO584" s="196" t="s">
        <v>588</v>
      </c>
    </row>
    <row r="585" spans="33:41" ht="14.5" x14ac:dyDescent="0.35">
      <c r="AG585" s="196" t="s">
        <v>1371</v>
      </c>
      <c r="AH585" s="196" t="s">
        <v>754</v>
      </c>
      <c r="AI585" s="196">
        <v>45733</v>
      </c>
      <c r="AJ585" s="196">
        <v>76.400000000000006</v>
      </c>
      <c r="AK585" s="196" t="s">
        <v>564</v>
      </c>
      <c r="AL585" s="196" t="s">
        <v>793</v>
      </c>
      <c r="AM585" s="196">
        <v>0</v>
      </c>
      <c r="AN585" s="196">
        <v>46302</v>
      </c>
      <c r="AO585" s="196" t="s">
        <v>588</v>
      </c>
    </row>
    <row r="586" spans="33:41" ht="14.5" x14ac:dyDescent="0.35">
      <c r="AG586" s="196" t="s">
        <v>1372</v>
      </c>
      <c r="AH586" s="196" t="s">
        <v>754</v>
      </c>
      <c r="AI586" s="196">
        <v>45734</v>
      </c>
      <c r="AJ586" s="196">
        <v>76.3</v>
      </c>
      <c r="AK586" s="196" t="s">
        <v>564</v>
      </c>
      <c r="AL586" s="196" t="s">
        <v>793</v>
      </c>
      <c r="AM586" s="196">
        <v>0</v>
      </c>
      <c r="AN586" s="196">
        <v>46302</v>
      </c>
      <c r="AO586" s="196" t="s">
        <v>588</v>
      </c>
    </row>
    <row r="587" spans="33:41" ht="14.5" x14ac:dyDescent="0.35">
      <c r="AG587" s="196" t="s">
        <v>1373</v>
      </c>
      <c r="AH587" s="196" t="s">
        <v>754</v>
      </c>
      <c r="AI587" s="196">
        <v>45735</v>
      </c>
      <c r="AJ587" s="196">
        <v>76.2</v>
      </c>
      <c r="AK587" s="196" t="s">
        <v>564</v>
      </c>
      <c r="AL587" s="196" t="s">
        <v>793</v>
      </c>
      <c r="AM587" s="196">
        <v>0</v>
      </c>
      <c r="AN587" s="196">
        <v>46302</v>
      </c>
      <c r="AO587" s="196" t="s">
        <v>588</v>
      </c>
    </row>
    <row r="588" spans="33:41" ht="14.5" x14ac:dyDescent="0.35">
      <c r="AG588" s="196" t="s">
        <v>1374</v>
      </c>
      <c r="AH588" s="196" t="s">
        <v>754</v>
      </c>
      <c r="AI588" s="196">
        <v>45736</v>
      </c>
      <c r="AJ588" s="196">
        <v>76.099999999999994</v>
      </c>
      <c r="AK588" s="196" t="s">
        <v>564</v>
      </c>
      <c r="AL588" s="196" t="s">
        <v>793</v>
      </c>
      <c r="AM588" s="196">
        <v>0</v>
      </c>
      <c r="AN588" s="196">
        <v>46302</v>
      </c>
      <c r="AO588" s="196" t="s">
        <v>588</v>
      </c>
    </row>
    <row r="589" spans="33:41" ht="14.5" x14ac:dyDescent="0.35">
      <c r="AG589" s="196" t="s">
        <v>1375</v>
      </c>
      <c r="AH589" s="196" t="s">
        <v>754</v>
      </c>
      <c r="AI589" s="196">
        <v>45737</v>
      </c>
      <c r="AJ589" s="196">
        <v>76</v>
      </c>
      <c r="AK589" s="196" t="s">
        <v>564</v>
      </c>
      <c r="AL589" s="196" t="s">
        <v>793</v>
      </c>
      <c r="AM589" s="196">
        <v>0</v>
      </c>
      <c r="AN589" s="196">
        <v>46302</v>
      </c>
      <c r="AO589" s="196" t="s">
        <v>588</v>
      </c>
    </row>
    <row r="590" spans="33:41" ht="14.5" x14ac:dyDescent="0.35">
      <c r="AG590" s="196" t="s">
        <v>1376</v>
      </c>
      <c r="AH590" s="196" t="s">
        <v>754</v>
      </c>
      <c r="AI590" s="196">
        <v>45740</v>
      </c>
      <c r="AJ590" s="196">
        <v>75.7</v>
      </c>
      <c r="AK590" s="196" t="s">
        <v>564</v>
      </c>
      <c r="AL590" s="196" t="s">
        <v>793</v>
      </c>
      <c r="AM590" s="196">
        <v>0</v>
      </c>
      <c r="AN590" s="196">
        <v>46302</v>
      </c>
      <c r="AO590" s="196" t="s">
        <v>588</v>
      </c>
    </row>
    <row r="591" spans="33:41" ht="14.5" x14ac:dyDescent="0.35">
      <c r="AG591" s="196" t="s">
        <v>1377</v>
      </c>
      <c r="AH591" s="196" t="s">
        <v>754</v>
      </c>
      <c r="AI591" s="196">
        <v>45741</v>
      </c>
      <c r="AJ591" s="196">
        <v>75.599999999999994</v>
      </c>
      <c r="AK591" s="196" t="s">
        <v>564</v>
      </c>
      <c r="AL591" s="196" t="s">
        <v>793</v>
      </c>
      <c r="AM591" s="196">
        <v>0</v>
      </c>
      <c r="AN591" s="196">
        <v>46302</v>
      </c>
      <c r="AO591" s="196" t="s">
        <v>588</v>
      </c>
    </row>
    <row r="592" spans="33:41" ht="14.5" x14ac:dyDescent="0.35">
      <c r="AG592" s="196" t="s">
        <v>1378</v>
      </c>
      <c r="AH592" s="196" t="s">
        <v>754</v>
      </c>
      <c r="AI592" s="196">
        <v>45742</v>
      </c>
      <c r="AJ592" s="196">
        <v>75.5</v>
      </c>
      <c r="AK592" s="196" t="s">
        <v>564</v>
      </c>
      <c r="AL592" s="196" t="s">
        <v>793</v>
      </c>
      <c r="AM592" s="196">
        <v>0</v>
      </c>
      <c r="AN592" s="196">
        <v>46302</v>
      </c>
      <c r="AO592" s="196" t="s">
        <v>588</v>
      </c>
    </row>
    <row r="593" spans="33:41" ht="14.5" x14ac:dyDescent="0.35">
      <c r="AG593" s="196" t="s">
        <v>1379</v>
      </c>
      <c r="AH593" s="196" t="s">
        <v>754</v>
      </c>
      <c r="AI593" s="196">
        <v>45743</v>
      </c>
      <c r="AJ593" s="196">
        <v>75.400000000000006</v>
      </c>
      <c r="AK593" s="196" t="s">
        <v>564</v>
      </c>
      <c r="AL593" s="196" t="s">
        <v>793</v>
      </c>
      <c r="AM593" s="196">
        <v>0</v>
      </c>
      <c r="AN593" s="196">
        <v>46302</v>
      </c>
      <c r="AO593" s="196" t="s">
        <v>588</v>
      </c>
    </row>
    <row r="594" spans="33:41" ht="14.5" x14ac:dyDescent="0.35">
      <c r="AG594" s="196" t="s">
        <v>1380</v>
      </c>
      <c r="AH594" s="196" t="s">
        <v>754</v>
      </c>
      <c r="AI594" s="196">
        <v>45744</v>
      </c>
      <c r="AJ594" s="196">
        <v>75.3</v>
      </c>
      <c r="AK594" s="196" t="s">
        <v>564</v>
      </c>
      <c r="AL594" s="196" t="s">
        <v>793</v>
      </c>
      <c r="AM594" s="196">
        <v>0</v>
      </c>
      <c r="AN594" s="196">
        <v>46302</v>
      </c>
      <c r="AO594" s="196" t="s">
        <v>588</v>
      </c>
    </row>
    <row r="595" spans="33:41" ht="14.5" x14ac:dyDescent="0.35">
      <c r="AG595" s="196" t="s">
        <v>1381</v>
      </c>
      <c r="AH595" s="196" t="s">
        <v>754</v>
      </c>
      <c r="AI595" s="196">
        <v>45747</v>
      </c>
      <c r="AJ595" s="196">
        <v>75</v>
      </c>
      <c r="AK595" s="196" t="s">
        <v>564</v>
      </c>
      <c r="AL595" s="196" t="s">
        <v>793</v>
      </c>
      <c r="AM595" s="196">
        <v>0</v>
      </c>
      <c r="AN595" s="196">
        <v>46302</v>
      </c>
      <c r="AO595" s="196" t="s">
        <v>588</v>
      </c>
    </row>
    <row r="596" spans="33:41" ht="14.5" x14ac:dyDescent="0.35">
      <c r="AG596" s="196" t="s">
        <v>1382</v>
      </c>
      <c r="AH596" s="196" t="s">
        <v>754</v>
      </c>
      <c r="AI596" s="196">
        <v>45748</v>
      </c>
      <c r="AJ596" s="196">
        <v>75</v>
      </c>
      <c r="AK596" s="196" t="s">
        <v>564</v>
      </c>
      <c r="AL596" s="196" t="s">
        <v>793</v>
      </c>
      <c r="AM596" s="196">
        <v>0</v>
      </c>
      <c r="AN596" s="196">
        <v>46302</v>
      </c>
      <c r="AO596" s="196" t="s">
        <v>588</v>
      </c>
    </row>
    <row r="597" spans="33:41" ht="14.5" x14ac:dyDescent="0.35">
      <c r="AG597" s="196" t="s">
        <v>1383</v>
      </c>
      <c r="AH597" s="196" t="s">
        <v>754</v>
      </c>
      <c r="AI597" s="196">
        <v>45749</v>
      </c>
      <c r="AJ597" s="196">
        <v>75.14</v>
      </c>
      <c r="AK597" s="196" t="s">
        <v>564</v>
      </c>
      <c r="AL597" s="196" t="s">
        <v>793</v>
      </c>
      <c r="AM597" s="196">
        <v>0</v>
      </c>
      <c r="AN597" s="196">
        <v>46302</v>
      </c>
      <c r="AO597" s="196" t="s">
        <v>588</v>
      </c>
    </row>
    <row r="598" spans="33:41" ht="14.5" x14ac:dyDescent="0.35">
      <c r="AG598" s="196" t="s">
        <v>1384</v>
      </c>
      <c r="AH598" s="196" t="s">
        <v>754</v>
      </c>
      <c r="AI598" s="196">
        <v>45750</v>
      </c>
      <c r="AJ598" s="196">
        <v>75.28</v>
      </c>
      <c r="AK598" s="196" t="s">
        <v>564</v>
      </c>
      <c r="AL598" s="196" t="s">
        <v>793</v>
      </c>
      <c r="AM598" s="196">
        <v>0</v>
      </c>
      <c r="AN598" s="196">
        <v>46302</v>
      </c>
      <c r="AO598" s="196" t="s">
        <v>588</v>
      </c>
    </row>
    <row r="599" spans="33:41" ht="14.5" x14ac:dyDescent="0.35">
      <c r="AG599" s="196" t="s">
        <v>1385</v>
      </c>
      <c r="AH599" s="196" t="s">
        <v>754</v>
      </c>
      <c r="AI599" s="196">
        <v>45751</v>
      </c>
      <c r="AJ599" s="196">
        <v>75.41</v>
      </c>
      <c r="AK599" s="196" t="s">
        <v>564</v>
      </c>
      <c r="AL599" s="196" t="s">
        <v>793</v>
      </c>
      <c r="AM599" s="196">
        <v>0</v>
      </c>
      <c r="AN599" s="196">
        <v>46302</v>
      </c>
      <c r="AO599" s="196" t="s">
        <v>588</v>
      </c>
    </row>
    <row r="600" spans="33:41" ht="14.5" x14ac:dyDescent="0.35">
      <c r="AG600" s="196" t="s">
        <v>1386</v>
      </c>
      <c r="AH600" s="196" t="s">
        <v>754</v>
      </c>
      <c r="AI600" s="196">
        <v>45754</v>
      </c>
      <c r="AJ600" s="196">
        <v>75.83</v>
      </c>
      <c r="AK600" s="196" t="s">
        <v>564</v>
      </c>
      <c r="AL600" s="196" t="s">
        <v>793</v>
      </c>
      <c r="AM600" s="196">
        <v>0</v>
      </c>
      <c r="AN600" s="196">
        <v>46302</v>
      </c>
      <c r="AO600" s="196" t="s">
        <v>588</v>
      </c>
    </row>
    <row r="601" spans="33:41" ht="14.5" x14ac:dyDescent="0.35">
      <c r="AG601" s="196" t="s">
        <v>1387</v>
      </c>
      <c r="AH601" s="196" t="s">
        <v>754</v>
      </c>
      <c r="AI601" s="196">
        <v>45755</v>
      </c>
      <c r="AJ601" s="196">
        <v>75.97</v>
      </c>
      <c r="AK601" s="196" t="s">
        <v>564</v>
      </c>
      <c r="AL601" s="196" t="s">
        <v>793</v>
      </c>
      <c r="AM601" s="196">
        <v>0</v>
      </c>
      <c r="AN601" s="196">
        <v>46302</v>
      </c>
      <c r="AO601" s="196" t="s">
        <v>588</v>
      </c>
    </row>
    <row r="602" spans="33:41" ht="14.5" x14ac:dyDescent="0.35">
      <c r="AG602" s="196" t="s">
        <v>1388</v>
      </c>
      <c r="AH602" s="196" t="s">
        <v>754</v>
      </c>
      <c r="AI602" s="196">
        <v>45756</v>
      </c>
      <c r="AJ602" s="196">
        <v>76.099999999999994</v>
      </c>
      <c r="AK602" s="196" t="s">
        <v>564</v>
      </c>
      <c r="AL602" s="196" t="s">
        <v>793</v>
      </c>
      <c r="AM602" s="196">
        <v>0</v>
      </c>
      <c r="AN602" s="196">
        <v>46302</v>
      </c>
      <c r="AO602" s="196" t="s">
        <v>588</v>
      </c>
    </row>
    <row r="603" spans="33:41" ht="14.5" x14ac:dyDescent="0.35">
      <c r="AG603" s="196" t="s">
        <v>1389</v>
      </c>
      <c r="AH603" s="196" t="s">
        <v>754</v>
      </c>
      <c r="AI603" s="196">
        <v>45757</v>
      </c>
      <c r="AJ603" s="196">
        <v>76.239999999999995</v>
      </c>
      <c r="AK603" s="196" t="s">
        <v>564</v>
      </c>
      <c r="AL603" s="196" t="s">
        <v>793</v>
      </c>
      <c r="AM603" s="196">
        <v>0</v>
      </c>
      <c r="AN603" s="196">
        <v>46302</v>
      </c>
      <c r="AO603" s="196" t="s">
        <v>588</v>
      </c>
    </row>
    <row r="604" spans="33:41" ht="14.5" x14ac:dyDescent="0.35">
      <c r="AG604" s="196" t="s">
        <v>1390</v>
      </c>
      <c r="AH604" s="196" t="s">
        <v>754</v>
      </c>
      <c r="AI604" s="196">
        <v>45758</v>
      </c>
      <c r="AJ604" s="196">
        <v>76.38</v>
      </c>
      <c r="AK604" s="196" t="s">
        <v>564</v>
      </c>
      <c r="AL604" s="196" t="s">
        <v>793</v>
      </c>
      <c r="AM604" s="196">
        <v>0</v>
      </c>
      <c r="AN604" s="196">
        <v>46302</v>
      </c>
      <c r="AO604" s="196" t="s">
        <v>588</v>
      </c>
    </row>
    <row r="605" spans="33:41" ht="14.5" x14ac:dyDescent="0.35">
      <c r="AG605" s="196" t="s">
        <v>1391</v>
      </c>
      <c r="AH605" s="196" t="s">
        <v>754</v>
      </c>
      <c r="AI605" s="196">
        <v>45761</v>
      </c>
      <c r="AJ605" s="196">
        <v>76.790000000000006</v>
      </c>
      <c r="AK605" s="196" t="s">
        <v>564</v>
      </c>
      <c r="AL605" s="196" t="s">
        <v>793</v>
      </c>
      <c r="AM605" s="196">
        <v>0</v>
      </c>
      <c r="AN605" s="196">
        <v>46302</v>
      </c>
      <c r="AO605" s="196" t="s">
        <v>588</v>
      </c>
    </row>
    <row r="606" spans="33:41" ht="14.5" x14ac:dyDescent="0.35">
      <c r="AG606" s="196" t="s">
        <v>1392</v>
      </c>
      <c r="AH606" s="196" t="s">
        <v>754</v>
      </c>
      <c r="AI606" s="196">
        <v>45762</v>
      </c>
      <c r="AJ606" s="196">
        <v>76.930000000000007</v>
      </c>
      <c r="AK606" s="196" t="s">
        <v>564</v>
      </c>
      <c r="AL606" s="196" t="s">
        <v>793</v>
      </c>
      <c r="AM606" s="196">
        <v>0</v>
      </c>
      <c r="AN606" s="196">
        <v>46302</v>
      </c>
      <c r="AO606" s="196" t="s">
        <v>588</v>
      </c>
    </row>
    <row r="607" spans="33:41" ht="14.5" x14ac:dyDescent="0.35">
      <c r="AG607" s="196" t="s">
        <v>1393</v>
      </c>
      <c r="AH607" s="196" t="s">
        <v>754</v>
      </c>
      <c r="AI607" s="196">
        <v>45763</v>
      </c>
      <c r="AJ607" s="196">
        <v>77.069999999999993</v>
      </c>
      <c r="AK607" s="196" t="s">
        <v>564</v>
      </c>
      <c r="AL607" s="196" t="s">
        <v>793</v>
      </c>
      <c r="AM607" s="196">
        <v>0</v>
      </c>
      <c r="AN607" s="196">
        <v>46302</v>
      </c>
      <c r="AO607" s="196" t="s">
        <v>588</v>
      </c>
    </row>
    <row r="608" spans="33:41" ht="14.5" x14ac:dyDescent="0.35">
      <c r="AG608" s="196" t="s">
        <v>1394</v>
      </c>
      <c r="AH608" s="196" t="s">
        <v>754</v>
      </c>
      <c r="AI608" s="196">
        <v>45764</v>
      </c>
      <c r="AJ608" s="196">
        <v>77.209999999999994</v>
      </c>
      <c r="AK608" s="196" t="s">
        <v>564</v>
      </c>
      <c r="AL608" s="196" t="s">
        <v>793</v>
      </c>
      <c r="AM608" s="196">
        <v>0</v>
      </c>
      <c r="AN608" s="196">
        <v>46302</v>
      </c>
      <c r="AO608" s="196" t="s">
        <v>588</v>
      </c>
    </row>
    <row r="609" spans="33:41" ht="14.5" x14ac:dyDescent="0.35">
      <c r="AG609" s="196" t="s">
        <v>1395</v>
      </c>
      <c r="AH609" s="196" t="s">
        <v>754</v>
      </c>
      <c r="AI609" s="196">
        <v>45765</v>
      </c>
      <c r="AJ609" s="196">
        <v>77.34</v>
      </c>
      <c r="AK609" s="196" t="s">
        <v>564</v>
      </c>
      <c r="AL609" s="196" t="s">
        <v>793</v>
      </c>
      <c r="AM609" s="196">
        <v>0</v>
      </c>
      <c r="AN609" s="196">
        <v>46302</v>
      </c>
      <c r="AO609" s="196" t="s">
        <v>588</v>
      </c>
    </row>
    <row r="610" spans="33:41" ht="14.5" x14ac:dyDescent="0.35">
      <c r="AG610" s="196" t="s">
        <v>1396</v>
      </c>
      <c r="AH610" s="196" t="s">
        <v>754</v>
      </c>
      <c r="AI610" s="196">
        <v>45768</v>
      </c>
      <c r="AJ610" s="196">
        <v>77.760000000000005</v>
      </c>
      <c r="AK610" s="196" t="s">
        <v>564</v>
      </c>
      <c r="AL610" s="196" t="s">
        <v>793</v>
      </c>
      <c r="AM610" s="196">
        <v>0</v>
      </c>
      <c r="AN610" s="196">
        <v>46302</v>
      </c>
      <c r="AO610" s="196" t="s">
        <v>588</v>
      </c>
    </row>
    <row r="611" spans="33:41" ht="14.5" x14ac:dyDescent="0.35">
      <c r="AG611" s="196" t="s">
        <v>1397</v>
      </c>
      <c r="AH611" s="196" t="s">
        <v>754</v>
      </c>
      <c r="AI611" s="196">
        <v>45769</v>
      </c>
      <c r="AJ611" s="196">
        <v>77.900000000000006</v>
      </c>
      <c r="AK611" s="196" t="s">
        <v>564</v>
      </c>
      <c r="AL611" s="196" t="s">
        <v>793</v>
      </c>
      <c r="AM611" s="196">
        <v>0</v>
      </c>
      <c r="AN611" s="196">
        <v>46302</v>
      </c>
      <c r="AO611" s="196" t="s">
        <v>588</v>
      </c>
    </row>
    <row r="612" spans="33:41" ht="14.5" x14ac:dyDescent="0.35">
      <c r="AG612" s="196" t="s">
        <v>1398</v>
      </c>
      <c r="AH612" s="196" t="s">
        <v>754</v>
      </c>
      <c r="AI612" s="196">
        <v>45770</v>
      </c>
      <c r="AJ612" s="196">
        <v>78.03</v>
      </c>
      <c r="AK612" s="196" t="s">
        <v>564</v>
      </c>
      <c r="AL612" s="196" t="s">
        <v>793</v>
      </c>
      <c r="AM612" s="196">
        <v>0</v>
      </c>
      <c r="AN612" s="196">
        <v>46302</v>
      </c>
      <c r="AO612" s="196" t="s">
        <v>588</v>
      </c>
    </row>
    <row r="613" spans="33:41" ht="14.5" x14ac:dyDescent="0.35">
      <c r="AG613" s="196" t="s">
        <v>1399</v>
      </c>
      <c r="AH613" s="196" t="s">
        <v>754</v>
      </c>
      <c r="AI613" s="196">
        <v>45771</v>
      </c>
      <c r="AJ613" s="196">
        <v>78.17</v>
      </c>
      <c r="AK613" s="196" t="s">
        <v>564</v>
      </c>
      <c r="AL613" s="196" t="s">
        <v>793</v>
      </c>
      <c r="AM613" s="196">
        <v>0</v>
      </c>
      <c r="AN613" s="196">
        <v>46302</v>
      </c>
      <c r="AO613" s="196" t="s">
        <v>588</v>
      </c>
    </row>
    <row r="614" spans="33:41" ht="14.5" x14ac:dyDescent="0.35">
      <c r="AG614" s="196" t="s">
        <v>1400</v>
      </c>
      <c r="AH614" s="196" t="s">
        <v>754</v>
      </c>
      <c r="AI614" s="196">
        <v>45772</v>
      </c>
      <c r="AJ614" s="196">
        <v>78.31</v>
      </c>
      <c r="AK614" s="196" t="s">
        <v>564</v>
      </c>
      <c r="AL614" s="196" t="s">
        <v>793</v>
      </c>
      <c r="AM614" s="196">
        <v>0</v>
      </c>
      <c r="AN614" s="196">
        <v>46302</v>
      </c>
      <c r="AO614" s="196" t="s">
        <v>588</v>
      </c>
    </row>
    <row r="615" spans="33:41" ht="14.5" x14ac:dyDescent="0.35">
      <c r="AG615" s="196" t="s">
        <v>1401</v>
      </c>
      <c r="AH615" s="196" t="s">
        <v>754</v>
      </c>
      <c r="AI615" s="196">
        <v>45775</v>
      </c>
      <c r="AJ615" s="196">
        <v>78.72</v>
      </c>
      <c r="AK615" s="196" t="s">
        <v>564</v>
      </c>
      <c r="AL615" s="196" t="s">
        <v>793</v>
      </c>
      <c r="AM615" s="196">
        <v>0</v>
      </c>
      <c r="AN615" s="196">
        <v>46302</v>
      </c>
      <c r="AO615" s="196" t="s">
        <v>588</v>
      </c>
    </row>
    <row r="616" spans="33:41" ht="14.5" x14ac:dyDescent="0.35">
      <c r="AG616" s="196" t="s">
        <v>1402</v>
      </c>
      <c r="AH616" s="196" t="s">
        <v>754</v>
      </c>
      <c r="AI616" s="196">
        <v>45776</v>
      </c>
      <c r="AJ616" s="196">
        <v>78.86</v>
      </c>
      <c r="AK616" s="196" t="s">
        <v>564</v>
      </c>
      <c r="AL616" s="196" t="s">
        <v>793</v>
      </c>
      <c r="AM616" s="196">
        <v>0</v>
      </c>
      <c r="AN616" s="196">
        <v>46302</v>
      </c>
      <c r="AO616" s="196" t="s">
        <v>588</v>
      </c>
    </row>
    <row r="617" spans="33:41" ht="14.5" x14ac:dyDescent="0.35">
      <c r="AG617" s="196" t="s">
        <v>1403</v>
      </c>
      <c r="AH617" s="196" t="s">
        <v>754</v>
      </c>
      <c r="AI617" s="196">
        <v>45777</v>
      </c>
      <c r="AJ617" s="196">
        <v>79</v>
      </c>
      <c r="AK617" s="196" t="s">
        <v>564</v>
      </c>
      <c r="AL617" s="196" t="s">
        <v>793</v>
      </c>
      <c r="AM617" s="196">
        <v>0</v>
      </c>
      <c r="AN617" s="196">
        <v>46302</v>
      </c>
      <c r="AO617" s="196" t="s">
        <v>588</v>
      </c>
    </row>
    <row r="618" spans="33:41" ht="14.5" x14ac:dyDescent="0.35">
      <c r="AG618" s="196" t="s">
        <v>1404</v>
      </c>
      <c r="AH618" s="196" t="s">
        <v>754</v>
      </c>
      <c r="AI618" s="196">
        <v>45778</v>
      </c>
      <c r="AJ618" s="196">
        <v>79</v>
      </c>
      <c r="AK618" s="196" t="s">
        <v>564</v>
      </c>
      <c r="AL618" s="196" t="s">
        <v>793</v>
      </c>
      <c r="AM618" s="196">
        <v>0</v>
      </c>
      <c r="AN618" s="196">
        <v>46302</v>
      </c>
      <c r="AO618" s="196" t="s">
        <v>588</v>
      </c>
    </row>
    <row r="619" spans="33:41" ht="14.5" x14ac:dyDescent="0.35">
      <c r="AG619" s="196" t="s">
        <v>1405</v>
      </c>
      <c r="AH619" s="196" t="s">
        <v>754</v>
      </c>
      <c r="AI619" s="196">
        <v>45779</v>
      </c>
      <c r="AJ619" s="196">
        <v>79.2</v>
      </c>
      <c r="AK619" s="196" t="s">
        <v>564</v>
      </c>
      <c r="AL619" s="196" t="s">
        <v>793</v>
      </c>
      <c r="AM619" s="196">
        <v>0</v>
      </c>
      <c r="AN619" s="196">
        <v>46302</v>
      </c>
      <c r="AO619" s="196" t="s">
        <v>588</v>
      </c>
    </row>
    <row r="620" spans="33:41" ht="14.5" x14ac:dyDescent="0.35">
      <c r="AG620" s="196" t="s">
        <v>1406</v>
      </c>
      <c r="AH620" s="196" t="s">
        <v>754</v>
      </c>
      <c r="AI620" s="196">
        <v>45782</v>
      </c>
      <c r="AJ620" s="196">
        <v>79.8</v>
      </c>
      <c r="AK620" s="196" t="s">
        <v>564</v>
      </c>
      <c r="AL620" s="196" t="s">
        <v>793</v>
      </c>
      <c r="AM620" s="196">
        <v>0</v>
      </c>
      <c r="AN620" s="196">
        <v>46302</v>
      </c>
      <c r="AO620" s="196" t="s">
        <v>588</v>
      </c>
    </row>
    <row r="621" spans="33:41" ht="14.5" x14ac:dyDescent="0.35">
      <c r="AG621" s="196" t="s">
        <v>1407</v>
      </c>
      <c r="AH621" s="196" t="s">
        <v>754</v>
      </c>
      <c r="AI621" s="196">
        <v>45783</v>
      </c>
      <c r="AJ621" s="196">
        <v>80</v>
      </c>
      <c r="AK621" s="196" t="s">
        <v>564</v>
      </c>
      <c r="AL621" s="196" t="s">
        <v>793</v>
      </c>
      <c r="AM621" s="196">
        <v>0</v>
      </c>
      <c r="AN621" s="196">
        <v>46302</v>
      </c>
      <c r="AO621" s="196" t="s">
        <v>588</v>
      </c>
    </row>
    <row r="622" spans="33:41" ht="14.5" x14ac:dyDescent="0.35">
      <c r="AG622" s="196" t="s">
        <v>1408</v>
      </c>
      <c r="AH622" s="196" t="s">
        <v>754</v>
      </c>
      <c r="AI622" s="196">
        <v>45784</v>
      </c>
      <c r="AJ622" s="196">
        <v>80.2</v>
      </c>
      <c r="AK622" s="196" t="s">
        <v>564</v>
      </c>
      <c r="AL622" s="196" t="s">
        <v>793</v>
      </c>
      <c r="AM622" s="196">
        <v>0</v>
      </c>
      <c r="AN622" s="196">
        <v>46302</v>
      </c>
      <c r="AO622" s="196" t="s">
        <v>588</v>
      </c>
    </row>
    <row r="623" spans="33:41" ht="14.5" x14ac:dyDescent="0.35">
      <c r="AG623" s="196" t="s">
        <v>1409</v>
      </c>
      <c r="AH623" s="196" t="s">
        <v>754</v>
      </c>
      <c r="AI623" s="196">
        <v>45785</v>
      </c>
      <c r="AJ623" s="196">
        <v>80.400000000000006</v>
      </c>
      <c r="AK623" s="196" t="s">
        <v>564</v>
      </c>
      <c r="AL623" s="196" t="s">
        <v>793</v>
      </c>
      <c r="AM623" s="196">
        <v>0</v>
      </c>
      <c r="AN623" s="196">
        <v>46302</v>
      </c>
      <c r="AO623" s="196" t="s">
        <v>588</v>
      </c>
    </row>
    <row r="624" spans="33:41" ht="14.5" x14ac:dyDescent="0.35">
      <c r="AG624" s="196" t="s">
        <v>1410</v>
      </c>
      <c r="AH624" s="196" t="s">
        <v>754</v>
      </c>
      <c r="AI624" s="196">
        <v>45786</v>
      </c>
      <c r="AJ624" s="196">
        <v>80.599999999999994</v>
      </c>
      <c r="AK624" s="196" t="s">
        <v>564</v>
      </c>
      <c r="AL624" s="196" t="s">
        <v>793</v>
      </c>
      <c r="AM624" s="196">
        <v>0</v>
      </c>
      <c r="AN624" s="196">
        <v>46302</v>
      </c>
      <c r="AO624" s="196" t="s">
        <v>588</v>
      </c>
    </row>
    <row r="625" spans="33:41" ht="14.5" x14ac:dyDescent="0.35">
      <c r="AG625" s="196" t="s">
        <v>1411</v>
      </c>
      <c r="AH625" s="196" t="s">
        <v>754</v>
      </c>
      <c r="AI625" s="196">
        <v>45789</v>
      </c>
      <c r="AJ625" s="196">
        <v>81.2</v>
      </c>
      <c r="AK625" s="196" t="s">
        <v>564</v>
      </c>
      <c r="AL625" s="196" t="s">
        <v>793</v>
      </c>
      <c r="AM625" s="196">
        <v>0</v>
      </c>
      <c r="AN625" s="196">
        <v>46302</v>
      </c>
      <c r="AO625" s="196" t="s">
        <v>588</v>
      </c>
    </row>
    <row r="626" spans="33:41" ht="14.5" x14ac:dyDescent="0.35">
      <c r="AG626" s="196" t="s">
        <v>1412</v>
      </c>
      <c r="AH626" s="196" t="s">
        <v>754</v>
      </c>
      <c r="AI626" s="196">
        <v>45790</v>
      </c>
      <c r="AJ626" s="196">
        <v>81.400000000000006</v>
      </c>
      <c r="AK626" s="196" t="s">
        <v>564</v>
      </c>
      <c r="AL626" s="196" t="s">
        <v>793</v>
      </c>
      <c r="AM626" s="196">
        <v>0</v>
      </c>
      <c r="AN626" s="196">
        <v>46302</v>
      </c>
      <c r="AO626" s="196" t="s">
        <v>588</v>
      </c>
    </row>
    <row r="627" spans="33:41" ht="14.5" x14ac:dyDescent="0.35">
      <c r="AG627" s="196" t="s">
        <v>1413</v>
      </c>
      <c r="AH627" s="196" t="s">
        <v>754</v>
      </c>
      <c r="AI627" s="196">
        <v>45791</v>
      </c>
      <c r="AJ627" s="196">
        <v>81.599999999999994</v>
      </c>
      <c r="AK627" s="196" t="s">
        <v>564</v>
      </c>
      <c r="AL627" s="196" t="s">
        <v>793</v>
      </c>
      <c r="AM627" s="196">
        <v>0</v>
      </c>
      <c r="AN627" s="196">
        <v>46302</v>
      </c>
      <c r="AO627" s="196" t="s">
        <v>588</v>
      </c>
    </row>
    <row r="628" spans="33:41" ht="14.5" x14ac:dyDescent="0.35">
      <c r="AG628" s="196" t="s">
        <v>1414</v>
      </c>
      <c r="AH628" s="196" t="s">
        <v>754</v>
      </c>
      <c r="AI628" s="196">
        <v>45792</v>
      </c>
      <c r="AJ628" s="196">
        <v>81.8</v>
      </c>
      <c r="AK628" s="196" t="s">
        <v>564</v>
      </c>
      <c r="AL628" s="196" t="s">
        <v>793</v>
      </c>
      <c r="AM628" s="196">
        <v>0</v>
      </c>
      <c r="AN628" s="196">
        <v>46302</v>
      </c>
      <c r="AO628" s="196" t="s">
        <v>588</v>
      </c>
    </row>
    <row r="629" spans="33:41" ht="14.5" x14ac:dyDescent="0.35">
      <c r="AG629" s="196" t="s">
        <v>1415</v>
      </c>
      <c r="AH629" s="196" t="s">
        <v>754</v>
      </c>
      <c r="AI629" s="196">
        <v>45793</v>
      </c>
      <c r="AJ629" s="196">
        <v>82</v>
      </c>
      <c r="AK629" s="196" t="s">
        <v>564</v>
      </c>
      <c r="AL629" s="196" t="s">
        <v>793</v>
      </c>
      <c r="AM629" s="196">
        <v>0</v>
      </c>
      <c r="AN629" s="196">
        <v>46302</v>
      </c>
      <c r="AO629" s="196" t="s">
        <v>588</v>
      </c>
    </row>
    <row r="630" spans="33:41" ht="14.5" x14ac:dyDescent="0.35">
      <c r="AG630" s="196" t="s">
        <v>1416</v>
      </c>
      <c r="AH630" s="196" t="s">
        <v>754</v>
      </c>
      <c r="AI630" s="196">
        <v>45796</v>
      </c>
      <c r="AJ630" s="196">
        <v>82.6</v>
      </c>
      <c r="AK630" s="196" t="s">
        <v>564</v>
      </c>
      <c r="AL630" s="196" t="s">
        <v>793</v>
      </c>
      <c r="AM630" s="196">
        <v>0</v>
      </c>
      <c r="AN630" s="196">
        <v>46302</v>
      </c>
      <c r="AO630" s="196" t="s">
        <v>588</v>
      </c>
    </row>
    <row r="631" spans="33:41" ht="14.5" x14ac:dyDescent="0.35">
      <c r="AG631" s="196" t="s">
        <v>1417</v>
      </c>
      <c r="AH631" s="196" t="s">
        <v>754</v>
      </c>
      <c r="AI631" s="196">
        <v>45797</v>
      </c>
      <c r="AJ631" s="196">
        <v>82.8</v>
      </c>
      <c r="AK631" s="196" t="s">
        <v>564</v>
      </c>
      <c r="AL631" s="196" t="s">
        <v>793</v>
      </c>
      <c r="AM631" s="196">
        <v>0</v>
      </c>
      <c r="AN631" s="196">
        <v>46302</v>
      </c>
      <c r="AO631" s="196" t="s">
        <v>588</v>
      </c>
    </row>
    <row r="632" spans="33:41" ht="14.5" x14ac:dyDescent="0.35">
      <c r="AG632" s="196" t="s">
        <v>1418</v>
      </c>
      <c r="AH632" s="196" t="s">
        <v>754</v>
      </c>
      <c r="AI632" s="196">
        <v>45798</v>
      </c>
      <c r="AJ632" s="196">
        <v>83</v>
      </c>
      <c r="AK632" s="196" t="s">
        <v>564</v>
      </c>
      <c r="AL632" s="196" t="s">
        <v>793</v>
      </c>
      <c r="AM632" s="196">
        <v>0</v>
      </c>
      <c r="AN632" s="196">
        <v>46302</v>
      </c>
      <c r="AO632" s="196" t="s">
        <v>588</v>
      </c>
    </row>
    <row r="633" spans="33:41" ht="14.5" x14ac:dyDescent="0.35">
      <c r="AG633" s="196" t="s">
        <v>1419</v>
      </c>
      <c r="AH633" s="196" t="s">
        <v>754</v>
      </c>
      <c r="AI633" s="196">
        <v>45799</v>
      </c>
      <c r="AJ633" s="196">
        <v>83.2</v>
      </c>
      <c r="AK633" s="196" t="s">
        <v>564</v>
      </c>
      <c r="AL633" s="196" t="s">
        <v>793</v>
      </c>
      <c r="AM633" s="196">
        <v>0</v>
      </c>
      <c r="AN633" s="196">
        <v>46302</v>
      </c>
      <c r="AO633" s="196" t="s">
        <v>588</v>
      </c>
    </row>
    <row r="634" spans="33:41" ht="14.5" x14ac:dyDescent="0.35">
      <c r="AG634" s="196" t="s">
        <v>1420</v>
      </c>
      <c r="AH634" s="196" t="s">
        <v>754</v>
      </c>
      <c r="AI634" s="196">
        <v>45800</v>
      </c>
      <c r="AJ634" s="196">
        <v>83.4</v>
      </c>
      <c r="AK634" s="196" t="s">
        <v>564</v>
      </c>
      <c r="AL634" s="196" t="s">
        <v>793</v>
      </c>
      <c r="AM634" s="196">
        <v>0</v>
      </c>
      <c r="AN634" s="196">
        <v>46302</v>
      </c>
      <c r="AO634" s="196" t="s">
        <v>588</v>
      </c>
    </row>
    <row r="635" spans="33:41" ht="14.5" x14ac:dyDescent="0.35">
      <c r="AG635" s="196" t="s">
        <v>1421</v>
      </c>
      <c r="AH635" s="196" t="s">
        <v>754</v>
      </c>
      <c r="AI635" s="196">
        <v>45803</v>
      </c>
      <c r="AJ635" s="196">
        <v>84</v>
      </c>
      <c r="AK635" s="196" t="s">
        <v>564</v>
      </c>
      <c r="AL635" s="196" t="s">
        <v>793</v>
      </c>
      <c r="AM635" s="196">
        <v>0</v>
      </c>
      <c r="AN635" s="196">
        <v>46302</v>
      </c>
      <c r="AO635" s="196" t="s">
        <v>588</v>
      </c>
    </row>
    <row r="636" spans="33:41" ht="14.5" x14ac:dyDescent="0.35">
      <c r="AG636" s="196" t="s">
        <v>1422</v>
      </c>
      <c r="AH636" s="196" t="s">
        <v>754</v>
      </c>
      <c r="AI636" s="196">
        <v>45804</v>
      </c>
      <c r="AJ636" s="196">
        <v>84.2</v>
      </c>
      <c r="AK636" s="196" t="s">
        <v>564</v>
      </c>
      <c r="AL636" s="196" t="s">
        <v>793</v>
      </c>
      <c r="AM636" s="196">
        <v>0</v>
      </c>
      <c r="AN636" s="196">
        <v>46302</v>
      </c>
      <c r="AO636" s="196" t="s">
        <v>588</v>
      </c>
    </row>
    <row r="637" spans="33:41" ht="14.5" x14ac:dyDescent="0.35">
      <c r="AG637" s="196" t="s">
        <v>1423</v>
      </c>
      <c r="AH637" s="196" t="s">
        <v>754</v>
      </c>
      <c r="AI637" s="196">
        <v>45805</v>
      </c>
      <c r="AJ637" s="196">
        <v>84.4</v>
      </c>
      <c r="AK637" s="196" t="s">
        <v>564</v>
      </c>
      <c r="AL637" s="196" t="s">
        <v>793</v>
      </c>
      <c r="AM637" s="196">
        <v>0</v>
      </c>
      <c r="AN637" s="196">
        <v>46302</v>
      </c>
      <c r="AO637" s="196" t="s">
        <v>588</v>
      </c>
    </row>
    <row r="638" spans="33:41" ht="14.5" x14ac:dyDescent="0.35">
      <c r="AG638" s="196" t="s">
        <v>1424</v>
      </c>
      <c r="AH638" s="196" t="s">
        <v>754</v>
      </c>
      <c r="AI638" s="196">
        <v>45806</v>
      </c>
      <c r="AJ638" s="196">
        <v>84.6</v>
      </c>
      <c r="AK638" s="196" t="s">
        <v>564</v>
      </c>
      <c r="AL638" s="196" t="s">
        <v>793</v>
      </c>
      <c r="AM638" s="196">
        <v>0</v>
      </c>
      <c r="AN638" s="196">
        <v>46302</v>
      </c>
      <c r="AO638" s="196" t="s">
        <v>588</v>
      </c>
    </row>
    <row r="639" spans="33:41" ht="14.5" x14ac:dyDescent="0.35">
      <c r="AG639" s="196" t="s">
        <v>1425</v>
      </c>
      <c r="AH639" s="196" t="s">
        <v>754</v>
      </c>
      <c r="AI639" s="196">
        <v>45807</v>
      </c>
      <c r="AJ639" s="196">
        <v>84.8</v>
      </c>
      <c r="AK639" s="196" t="s">
        <v>564</v>
      </c>
      <c r="AL639" s="196" t="s">
        <v>793</v>
      </c>
      <c r="AM639" s="196">
        <v>0</v>
      </c>
      <c r="AN639" s="196">
        <v>46302</v>
      </c>
      <c r="AO639" s="196" t="s">
        <v>588</v>
      </c>
    </row>
    <row r="640" spans="33:41" ht="14.5" x14ac:dyDescent="0.35">
      <c r="AG640" s="196" t="s">
        <v>1426</v>
      </c>
      <c r="AH640" s="196" t="s">
        <v>754</v>
      </c>
      <c r="AI640" s="196">
        <v>45810</v>
      </c>
      <c r="AJ640" s="196">
        <v>84.86</v>
      </c>
      <c r="AK640" s="196" t="s">
        <v>564</v>
      </c>
      <c r="AL640" s="196" t="s">
        <v>793</v>
      </c>
      <c r="AM640" s="196">
        <v>0</v>
      </c>
      <c r="AN640" s="196">
        <v>46302</v>
      </c>
      <c r="AO640" s="196" t="s">
        <v>588</v>
      </c>
    </row>
    <row r="641" spans="33:41" ht="14.5" x14ac:dyDescent="0.35">
      <c r="AG641" s="196" t="s">
        <v>1427</v>
      </c>
      <c r="AH641" s="196" t="s">
        <v>754</v>
      </c>
      <c r="AI641" s="196">
        <v>45811</v>
      </c>
      <c r="AJ641" s="196">
        <v>84.72</v>
      </c>
      <c r="AK641" s="196" t="s">
        <v>564</v>
      </c>
      <c r="AL641" s="196" t="s">
        <v>793</v>
      </c>
      <c r="AM641" s="196">
        <v>0</v>
      </c>
      <c r="AN641" s="196">
        <v>46302</v>
      </c>
      <c r="AO641" s="196" t="s">
        <v>588</v>
      </c>
    </row>
    <row r="642" spans="33:41" ht="14.5" x14ac:dyDescent="0.35">
      <c r="AG642" s="196" t="s">
        <v>1428</v>
      </c>
      <c r="AH642" s="196" t="s">
        <v>754</v>
      </c>
      <c r="AI642" s="196">
        <v>45812</v>
      </c>
      <c r="AJ642" s="196">
        <v>84.59</v>
      </c>
      <c r="AK642" s="196" t="s">
        <v>564</v>
      </c>
      <c r="AL642" s="196" t="s">
        <v>793</v>
      </c>
      <c r="AM642" s="196">
        <v>0</v>
      </c>
      <c r="AN642" s="196">
        <v>46302</v>
      </c>
      <c r="AO642" s="196" t="s">
        <v>588</v>
      </c>
    </row>
    <row r="643" spans="33:41" ht="14.5" x14ac:dyDescent="0.35">
      <c r="AG643" s="196" t="s">
        <v>1429</v>
      </c>
      <c r="AH643" s="196" t="s">
        <v>754</v>
      </c>
      <c r="AI643" s="196">
        <v>45813</v>
      </c>
      <c r="AJ643" s="196">
        <v>84.45</v>
      </c>
      <c r="AK643" s="196" t="s">
        <v>564</v>
      </c>
      <c r="AL643" s="196" t="s">
        <v>793</v>
      </c>
      <c r="AM643" s="196">
        <v>0</v>
      </c>
      <c r="AN643" s="196">
        <v>46302</v>
      </c>
      <c r="AO643" s="196" t="s">
        <v>588</v>
      </c>
    </row>
    <row r="644" spans="33:41" ht="14.5" x14ac:dyDescent="0.35">
      <c r="AG644" s="196" t="s">
        <v>1430</v>
      </c>
      <c r="AH644" s="196" t="s">
        <v>754</v>
      </c>
      <c r="AI644" s="196">
        <v>45814</v>
      </c>
      <c r="AJ644" s="196">
        <v>84.31</v>
      </c>
      <c r="AK644" s="196" t="s">
        <v>564</v>
      </c>
      <c r="AL644" s="196" t="s">
        <v>793</v>
      </c>
      <c r="AM644" s="196">
        <v>0</v>
      </c>
      <c r="AN644" s="196">
        <v>46302</v>
      </c>
      <c r="AO644" s="196" t="s">
        <v>588</v>
      </c>
    </row>
    <row r="645" spans="33:41" ht="14.5" x14ac:dyDescent="0.35">
      <c r="AG645" s="196" t="s">
        <v>1431</v>
      </c>
      <c r="AH645" s="196" t="s">
        <v>754</v>
      </c>
      <c r="AI645" s="196">
        <v>45817</v>
      </c>
      <c r="AJ645" s="196">
        <v>83.9</v>
      </c>
      <c r="AK645" s="196" t="s">
        <v>564</v>
      </c>
      <c r="AL645" s="196" t="s">
        <v>793</v>
      </c>
      <c r="AM645" s="196">
        <v>0</v>
      </c>
      <c r="AN645" s="196">
        <v>46302</v>
      </c>
      <c r="AO645" s="196" t="s">
        <v>588</v>
      </c>
    </row>
    <row r="646" spans="33:41" ht="14.5" x14ac:dyDescent="0.35">
      <c r="AG646" s="196" t="s">
        <v>1432</v>
      </c>
      <c r="AH646" s="196" t="s">
        <v>754</v>
      </c>
      <c r="AI646" s="196">
        <v>45818</v>
      </c>
      <c r="AJ646" s="196">
        <v>83.76</v>
      </c>
      <c r="AK646" s="196" t="s">
        <v>564</v>
      </c>
      <c r="AL646" s="196" t="s">
        <v>793</v>
      </c>
      <c r="AM646" s="196">
        <v>0</v>
      </c>
      <c r="AN646" s="196">
        <v>46302</v>
      </c>
      <c r="AO646" s="196" t="s">
        <v>588</v>
      </c>
    </row>
    <row r="647" spans="33:41" ht="14.5" x14ac:dyDescent="0.35">
      <c r="AG647" s="196" t="s">
        <v>1433</v>
      </c>
      <c r="AH647" s="196" t="s">
        <v>754</v>
      </c>
      <c r="AI647" s="196">
        <v>45819</v>
      </c>
      <c r="AJ647" s="196">
        <v>83.62</v>
      </c>
      <c r="AK647" s="196" t="s">
        <v>564</v>
      </c>
      <c r="AL647" s="196" t="s">
        <v>793</v>
      </c>
      <c r="AM647" s="196">
        <v>0</v>
      </c>
      <c r="AN647" s="196">
        <v>46302</v>
      </c>
      <c r="AO647" s="196" t="s">
        <v>588</v>
      </c>
    </row>
    <row r="648" spans="33:41" ht="14.5" x14ac:dyDescent="0.35">
      <c r="AG648" s="196" t="s">
        <v>1434</v>
      </c>
      <c r="AH648" s="196" t="s">
        <v>754</v>
      </c>
      <c r="AI648" s="196">
        <v>45820</v>
      </c>
      <c r="AJ648" s="196">
        <v>83.48</v>
      </c>
      <c r="AK648" s="196" t="s">
        <v>564</v>
      </c>
      <c r="AL648" s="196" t="s">
        <v>793</v>
      </c>
      <c r="AM648" s="196">
        <v>0</v>
      </c>
      <c r="AN648" s="196">
        <v>46302</v>
      </c>
      <c r="AO648" s="196" t="s">
        <v>588</v>
      </c>
    </row>
    <row r="649" spans="33:41" ht="14.5" x14ac:dyDescent="0.35">
      <c r="AG649" s="196" t="s">
        <v>1435</v>
      </c>
      <c r="AH649" s="196" t="s">
        <v>754</v>
      </c>
      <c r="AI649" s="196">
        <v>45821</v>
      </c>
      <c r="AJ649" s="196">
        <v>83.34</v>
      </c>
      <c r="AK649" s="196" t="s">
        <v>564</v>
      </c>
      <c r="AL649" s="196" t="s">
        <v>793</v>
      </c>
      <c r="AM649" s="196">
        <v>0</v>
      </c>
      <c r="AN649" s="196">
        <v>46302</v>
      </c>
      <c r="AO649" s="196" t="s">
        <v>588</v>
      </c>
    </row>
    <row r="650" spans="33:41" ht="14.5" x14ac:dyDescent="0.35">
      <c r="AG650" s="196" t="s">
        <v>1436</v>
      </c>
      <c r="AH650" s="196" t="s">
        <v>754</v>
      </c>
      <c r="AI650" s="196">
        <v>45824</v>
      </c>
      <c r="AJ650" s="196">
        <v>82.93</v>
      </c>
      <c r="AK650" s="196" t="s">
        <v>564</v>
      </c>
      <c r="AL650" s="196" t="s">
        <v>793</v>
      </c>
      <c r="AM650" s="196">
        <v>0</v>
      </c>
      <c r="AN650" s="196">
        <v>46302</v>
      </c>
      <c r="AO650" s="196" t="s">
        <v>588</v>
      </c>
    </row>
    <row r="651" spans="33:41" ht="14.5" x14ac:dyDescent="0.35">
      <c r="AG651" s="196" t="s">
        <v>1437</v>
      </c>
      <c r="AH651" s="196" t="s">
        <v>754</v>
      </c>
      <c r="AI651" s="196">
        <v>45825</v>
      </c>
      <c r="AJ651" s="196">
        <v>82.79</v>
      </c>
      <c r="AK651" s="196" t="s">
        <v>564</v>
      </c>
      <c r="AL651" s="196" t="s">
        <v>793</v>
      </c>
      <c r="AM651" s="196">
        <v>0</v>
      </c>
      <c r="AN651" s="196">
        <v>46302</v>
      </c>
      <c r="AO651" s="196" t="s">
        <v>588</v>
      </c>
    </row>
    <row r="652" spans="33:41" ht="14.5" x14ac:dyDescent="0.35">
      <c r="AG652" s="196" t="s">
        <v>1438</v>
      </c>
      <c r="AH652" s="196" t="s">
        <v>754</v>
      </c>
      <c r="AI652" s="196">
        <v>45826</v>
      </c>
      <c r="AJ652" s="196">
        <v>82.66</v>
      </c>
      <c r="AK652" s="196" t="s">
        <v>564</v>
      </c>
      <c r="AL652" s="196" t="s">
        <v>793</v>
      </c>
      <c r="AM652" s="196">
        <v>0</v>
      </c>
      <c r="AN652" s="196">
        <v>46302</v>
      </c>
      <c r="AO652" s="196" t="s">
        <v>588</v>
      </c>
    </row>
    <row r="653" spans="33:41" ht="14.5" x14ac:dyDescent="0.35">
      <c r="AG653" s="196" t="s">
        <v>1439</v>
      </c>
      <c r="AH653" s="196" t="s">
        <v>754</v>
      </c>
      <c r="AI653" s="196">
        <v>45827</v>
      </c>
      <c r="AJ653" s="196">
        <v>82.52</v>
      </c>
      <c r="AK653" s="196" t="s">
        <v>564</v>
      </c>
      <c r="AL653" s="196" t="s">
        <v>793</v>
      </c>
      <c r="AM653" s="196">
        <v>0</v>
      </c>
      <c r="AN653" s="196">
        <v>46302</v>
      </c>
      <c r="AO653" s="196" t="s">
        <v>588</v>
      </c>
    </row>
    <row r="654" spans="33:41" ht="14.5" x14ac:dyDescent="0.35">
      <c r="AG654" s="196" t="s">
        <v>1440</v>
      </c>
      <c r="AH654" s="196" t="s">
        <v>754</v>
      </c>
      <c r="AI654" s="196">
        <v>45828</v>
      </c>
      <c r="AJ654" s="196">
        <v>82.38</v>
      </c>
      <c r="AK654" s="196" t="s">
        <v>564</v>
      </c>
      <c r="AL654" s="196" t="s">
        <v>793</v>
      </c>
      <c r="AM654" s="196">
        <v>0</v>
      </c>
      <c r="AN654" s="196">
        <v>46302</v>
      </c>
      <c r="AO654" s="196" t="s">
        <v>588</v>
      </c>
    </row>
    <row r="655" spans="33:41" ht="14.5" x14ac:dyDescent="0.35">
      <c r="AG655" s="196" t="s">
        <v>1441</v>
      </c>
      <c r="AH655" s="196" t="s">
        <v>754</v>
      </c>
      <c r="AI655" s="196">
        <v>45831</v>
      </c>
      <c r="AJ655" s="196">
        <v>81.97</v>
      </c>
      <c r="AK655" s="196" t="s">
        <v>564</v>
      </c>
      <c r="AL655" s="196" t="s">
        <v>793</v>
      </c>
      <c r="AM655" s="196">
        <v>0</v>
      </c>
      <c r="AN655" s="196">
        <v>46302</v>
      </c>
      <c r="AO655" s="196" t="s">
        <v>588</v>
      </c>
    </row>
    <row r="656" spans="33:41" ht="14.5" x14ac:dyDescent="0.35">
      <c r="AG656" s="196" t="s">
        <v>1442</v>
      </c>
      <c r="AH656" s="196" t="s">
        <v>754</v>
      </c>
      <c r="AI656" s="196">
        <v>45832</v>
      </c>
      <c r="AJ656" s="196">
        <v>81.83</v>
      </c>
      <c r="AK656" s="196" t="s">
        <v>564</v>
      </c>
      <c r="AL656" s="196" t="s">
        <v>793</v>
      </c>
      <c r="AM656" s="196">
        <v>0</v>
      </c>
      <c r="AN656" s="196">
        <v>46302</v>
      </c>
      <c r="AO656" s="196" t="s">
        <v>588</v>
      </c>
    </row>
    <row r="657" spans="33:41" ht="14.5" x14ac:dyDescent="0.35">
      <c r="AG657" s="196" t="s">
        <v>1443</v>
      </c>
      <c r="AH657" s="196" t="s">
        <v>754</v>
      </c>
      <c r="AI657" s="196">
        <v>45833</v>
      </c>
      <c r="AJ657" s="196">
        <v>81.69</v>
      </c>
      <c r="AK657" s="196" t="s">
        <v>564</v>
      </c>
      <c r="AL657" s="196" t="s">
        <v>793</v>
      </c>
      <c r="AM657" s="196">
        <v>0</v>
      </c>
      <c r="AN657" s="196">
        <v>46302</v>
      </c>
      <c r="AO657" s="196" t="s">
        <v>588</v>
      </c>
    </row>
    <row r="658" spans="33:41" ht="14.5" x14ac:dyDescent="0.35">
      <c r="AG658" s="196" t="s">
        <v>1444</v>
      </c>
      <c r="AH658" s="196" t="s">
        <v>754</v>
      </c>
      <c r="AI658" s="196">
        <v>45834</v>
      </c>
      <c r="AJ658" s="196">
        <v>81.55</v>
      </c>
      <c r="AK658" s="196" t="s">
        <v>564</v>
      </c>
      <c r="AL658" s="196" t="s">
        <v>793</v>
      </c>
      <c r="AM658" s="196">
        <v>0</v>
      </c>
      <c r="AN658" s="196">
        <v>46302</v>
      </c>
      <c r="AO658" s="196" t="s">
        <v>588</v>
      </c>
    </row>
    <row r="659" spans="33:41" ht="14.5" x14ac:dyDescent="0.35">
      <c r="AG659" s="196" t="s">
        <v>1445</v>
      </c>
      <c r="AH659" s="196" t="s">
        <v>754</v>
      </c>
      <c r="AI659" s="196">
        <v>45835</v>
      </c>
      <c r="AJ659" s="196">
        <v>81.41</v>
      </c>
      <c r="AK659" s="196" t="s">
        <v>564</v>
      </c>
      <c r="AL659" s="196" t="s">
        <v>793</v>
      </c>
      <c r="AM659" s="196">
        <v>0</v>
      </c>
      <c r="AN659" s="196">
        <v>46302</v>
      </c>
      <c r="AO659" s="196" t="s">
        <v>588</v>
      </c>
    </row>
    <row r="660" spans="33:41" ht="14.5" x14ac:dyDescent="0.35">
      <c r="AG660" s="196" t="s">
        <v>1446</v>
      </c>
      <c r="AH660" s="196" t="s">
        <v>754</v>
      </c>
      <c r="AI660" s="196">
        <v>45838</v>
      </c>
      <c r="AJ660" s="196">
        <v>81</v>
      </c>
      <c r="AK660" s="196" t="s">
        <v>564</v>
      </c>
      <c r="AL660" s="196" t="s">
        <v>793</v>
      </c>
      <c r="AM660" s="196">
        <v>0</v>
      </c>
      <c r="AN660" s="196">
        <v>46302</v>
      </c>
      <c r="AO660" s="196" t="s">
        <v>588</v>
      </c>
    </row>
    <row r="661" spans="33:41" ht="14.5" x14ac:dyDescent="0.35">
      <c r="AG661" s="196" t="s">
        <v>1447</v>
      </c>
      <c r="AH661" s="196" t="s">
        <v>754</v>
      </c>
      <c r="AI661" s="196">
        <v>45839</v>
      </c>
      <c r="AJ661" s="196">
        <v>81</v>
      </c>
      <c r="AK661" s="196" t="s">
        <v>564</v>
      </c>
      <c r="AL661" s="196" t="s">
        <v>793</v>
      </c>
      <c r="AM661" s="196">
        <v>0</v>
      </c>
      <c r="AN661" s="196">
        <v>46302</v>
      </c>
      <c r="AO661" s="196" t="s">
        <v>588</v>
      </c>
    </row>
    <row r="662" spans="33:41" ht="14.5" x14ac:dyDescent="0.35">
      <c r="AG662" s="196" t="s">
        <v>1448</v>
      </c>
      <c r="AH662" s="196" t="s">
        <v>754</v>
      </c>
      <c r="AI662" s="196">
        <v>45840</v>
      </c>
      <c r="AJ662" s="196">
        <v>80.87</v>
      </c>
      <c r="AK662" s="196" t="s">
        <v>564</v>
      </c>
      <c r="AL662" s="196" t="s">
        <v>793</v>
      </c>
      <c r="AM662" s="196">
        <v>0</v>
      </c>
      <c r="AN662" s="196">
        <v>46302</v>
      </c>
      <c r="AO662" s="196" t="s">
        <v>588</v>
      </c>
    </row>
    <row r="663" spans="33:41" ht="14.5" x14ac:dyDescent="0.35">
      <c r="AG663" s="196" t="s">
        <v>1449</v>
      </c>
      <c r="AH663" s="196" t="s">
        <v>754</v>
      </c>
      <c r="AI663" s="196">
        <v>45841</v>
      </c>
      <c r="AJ663" s="196">
        <v>80.73</v>
      </c>
      <c r="AK663" s="196" t="s">
        <v>564</v>
      </c>
      <c r="AL663" s="196" t="s">
        <v>793</v>
      </c>
      <c r="AM663" s="196">
        <v>0</v>
      </c>
      <c r="AN663" s="196">
        <v>46302</v>
      </c>
      <c r="AO663" s="196" t="s">
        <v>588</v>
      </c>
    </row>
    <row r="664" spans="33:41" ht="14.5" x14ac:dyDescent="0.35">
      <c r="AG664" s="196" t="s">
        <v>1450</v>
      </c>
      <c r="AH664" s="196" t="s">
        <v>754</v>
      </c>
      <c r="AI664" s="196">
        <v>45842</v>
      </c>
      <c r="AJ664" s="196">
        <v>80.599999999999994</v>
      </c>
      <c r="AK664" s="196" t="s">
        <v>564</v>
      </c>
      <c r="AL664" s="196" t="s">
        <v>793</v>
      </c>
      <c r="AM664" s="196">
        <v>0</v>
      </c>
      <c r="AN664" s="196">
        <v>46302</v>
      </c>
      <c r="AO664" s="196" t="s">
        <v>588</v>
      </c>
    </row>
    <row r="665" spans="33:41" ht="14.5" x14ac:dyDescent="0.35">
      <c r="AG665" s="196" t="s">
        <v>1451</v>
      </c>
      <c r="AH665" s="196" t="s">
        <v>754</v>
      </c>
      <c r="AI665" s="196">
        <v>45845</v>
      </c>
      <c r="AJ665" s="196">
        <v>80.2</v>
      </c>
      <c r="AK665" s="196" t="s">
        <v>564</v>
      </c>
      <c r="AL665" s="196" t="s">
        <v>793</v>
      </c>
      <c r="AM665" s="196">
        <v>0</v>
      </c>
      <c r="AN665" s="196">
        <v>46302</v>
      </c>
      <c r="AO665" s="196" t="s">
        <v>588</v>
      </c>
    </row>
    <row r="666" spans="33:41" ht="14.5" x14ac:dyDescent="0.35">
      <c r="AG666" s="196" t="s">
        <v>1452</v>
      </c>
      <c r="AH666" s="196" t="s">
        <v>754</v>
      </c>
      <c r="AI666" s="196">
        <v>45846</v>
      </c>
      <c r="AJ666" s="196">
        <v>80.069999999999993</v>
      </c>
      <c r="AK666" s="196" t="s">
        <v>564</v>
      </c>
      <c r="AL666" s="196" t="s">
        <v>793</v>
      </c>
      <c r="AM666" s="196">
        <v>0</v>
      </c>
      <c r="AN666" s="196">
        <v>46302</v>
      </c>
      <c r="AO666" s="196" t="s">
        <v>588</v>
      </c>
    </row>
    <row r="667" spans="33:41" ht="14.5" x14ac:dyDescent="0.35">
      <c r="AG667" s="196" t="s">
        <v>1453</v>
      </c>
      <c r="AH667" s="196" t="s">
        <v>754</v>
      </c>
      <c r="AI667" s="196">
        <v>45847</v>
      </c>
      <c r="AJ667" s="196">
        <v>79.930000000000007</v>
      </c>
      <c r="AK667" s="196" t="s">
        <v>564</v>
      </c>
      <c r="AL667" s="196" t="s">
        <v>793</v>
      </c>
      <c r="AM667" s="196">
        <v>0</v>
      </c>
      <c r="AN667" s="196">
        <v>46302</v>
      </c>
      <c r="AO667" s="196" t="s">
        <v>588</v>
      </c>
    </row>
    <row r="668" spans="33:41" ht="14.5" x14ac:dyDescent="0.35">
      <c r="AG668" s="196" t="s">
        <v>1454</v>
      </c>
      <c r="AH668" s="196" t="s">
        <v>754</v>
      </c>
      <c r="AI668" s="196">
        <v>45848</v>
      </c>
      <c r="AJ668" s="196">
        <v>79.8</v>
      </c>
      <c r="AK668" s="196" t="s">
        <v>564</v>
      </c>
      <c r="AL668" s="196" t="s">
        <v>793</v>
      </c>
      <c r="AM668" s="196">
        <v>0</v>
      </c>
      <c r="AN668" s="196">
        <v>46302</v>
      </c>
      <c r="AO668" s="196" t="s">
        <v>588</v>
      </c>
    </row>
    <row r="669" spans="33:41" ht="14.5" x14ac:dyDescent="0.35">
      <c r="AG669" s="196" t="s">
        <v>1455</v>
      </c>
      <c r="AH669" s="196" t="s">
        <v>754</v>
      </c>
      <c r="AI669" s="196">
        <v>45849</v>
      </c>
      <c r="AJ669" s="196">
        <v>79.67</v>
      </c>
      <c r="AK669" s="196" t="s">
        <v>564</v>
      </c>
      <c r="AL669" s="196" t="s">
        <v>793</v>
      </c>
      <c r="AM669" s="196">
        <v>0</v>
      </c>
      <c r="AN669" s="196">
        <v>46302</v>
      </c>
      <c r="AO669" s="196" t="s">
        <v>588</v>
      </c>
    </row>
    <row r="670" spans="33:41" ht="14.5" x14ac:dyDescent="0.35">
      <c r="AG670" s="196" t="s">
        <v>1456</v>
      </c>
      <c r="AH670" s="196" t="s">
        <v>754</v>
      </c>
      <c r="AI670" s="196">
        <v>45852</v>
      </c>
      <c r="AJ670" s="196">
        <v>79.27</v>
      </c>
      <c r="AK670" s="196" t="s">
        <v>564</v>
      </c>
      <c r="AL670" s="196" t="s">
        <v>793</v>
      </c>
      <c r="AM670" s="196">
        <v>0</v>
      </c>
      <c r="AN670" s="196">
        <v>46302</v>
      </c>
      <c r="AO670" s="196" t="s">
        <v>588</v>
      </c>
    </row>
    <row r="671" spans="33:41" ht="14.5" x14ac:dyDescent="0.35">
      <c r="AG671" s="196" t="s">
        <v>1457</v>
      </c>
      <c r="AH671" s="196" t="s">
        <v>754</v>
      </c>
      <c r="AI671" s="196">
        <v>45853</v>
      </c>
      <c r="AJ671" s="196">
        <v>79.13</v>
      </c>
      <c r="AK671" s="196" t="s">
        <v>564</v>
      </c>
      <c r="AL671" s="196" t="s">
        <v>793</v>
      </c>
      <c r="AM671" s="196">
        <v>0</v>
      </c>
      <c r="AN671" s="196">
        <v>46302</v>
      </c>
      <c r="AO671" s="196" t="s">
        <v>588</v>
      </c>
    </row>
    <row r="672" spans="33:41" ht="14.5" x14ac:dyDescent="0.35">
      <c r="AG672" s="196" t="s">
        <v>1458</v>
      </c>
      <c r="AH672" s="196" t="s">
        <v>754</v>
      </c>
      <c r="AI672" s="196">
        <v>45854</v>
      </c>
      <c r="AJ672" s="196">
        <v>79</v>
      </c>
      <c r="AK672" s="196" t="s">
        <v>564</v>
      </c>
      <c r="AL672" s="196" t="s">
        <v>793</v>
      </c>
      <c r="AM672" s="196">
        <v>0</v>
      </c>
      <c r="AN672" s="196">
        <v>46302</v>
      </c>
      <c r="AO672" s="196" t="s">
        <v>588</v>
      </c>
    </row>
    <row r="673" spans="33:41" ht="14.5" x14ac:dyDescent="0.35">
      <c r="AG673" s="196" t="s">
        <v>1459</v>
      </c>
      <c r="AH673" s="196" t="s">
        <v>754</v>
      </c>
      <c r="AI673" s="196">
        <v>45855</v>
      </c>
      <c r="AJ673" s="196">
        <v>78.87</v>
      </c>
      <c r="AK673" s="196" t="s">
        <v>564</v>
      </c>
      <c r="AL673" s="196" t="s">
        <v>793</v>
      </c>
      <c r="AM673" s="196">
        <v>0</v>
      </c>
      <c r="AN673" s="196">
        <v>46302</v>
      </c>
      <c r="AO673" s="196" t="s">
        <v>588</v>
      </c>
    </row>
    <row r="674" spans="33:41" ht="14.5" x14ac:dyDescent="0.35">
      <c r="AG674" s="196" t="s">
        <v>1460</v>
      </c>
      <c r="AH674" s="196" t="s">
        <v>754</v>
      </c>
      <c r="AI674" s="196">
        <v>45856</v>
      </c>
      <c r="AJ674" s="196">
        <v>78.73</v>
      </c>
      <c r="AK674" s="196" t="s">
        <v>564</v>
      </c>
      <c r="AL674" s="196" t="s">
        <v>793</v>
      </c>
      <c r="AM674" s="196">
        <v>0</v>
      </c>
      <c r="AN674" s="196">
        <v>46302</v>
      </c>
      <c r="AO674" s="196" t="s">
        <v>588</v>
      </c>
    </row>
    <row r="675" spans="33:41" ht="14.5" x14ac:dyDescent="0.35">
      <c r="AG675" s="196" t="s">
        <v>1461</v>
      </c>
      <c r="AH675" s="196" t="s">
        <v>754</v>
      </c>
      <c r="AI675" s="196">
        <v>45859</v>
      </c>
      <c r="AJ675" s="196">
        <v>78.33</v>
      </c>
      <c r="AK675" s="196" t="s">
        <v>564</v>
      </c>
      <c r="AL675" s="196" t="s">
        <v>793</v>
      </c>
      <c r="AM675" s="196">
        <v>0</v>
      </c>
      <c r="AN675" s="196">
        <v>46302</v>
      </c>
      <c r="AO675" s="196" t="s">
        <v>588</v>
      </c>
    </row>
    <row r="676" spans="33:41" ht="14.5" x14ac:dyDescent="0.35">
      <c r="AG676" s="196" t="s">
        <v>1462</v>
      </c>
      <c r="AH676" s="196" t="s">
        <v>754</v>
      </c>
      <c r="AI676" s="196">
        <v>45860</v>
      </c>
      <c r="AJ676" s="196">
        <v>78.2</v>
      </c>
      <c r="AK676" s="196" t="s">
        <v>564</v>
      </c>
      <c r="AL676" s="196" t="s">
        <v>793</v>
      </c>
      <c r="AM676" s="196">
        <v>0</v>
      </c>
      <c r="AN676" s="196">
        <v>46302</v>
      </c>
      <c r="AO676" s="196" t="s">
        <v>588</v>
      </c>
    </row>
    <row r="677" spans="33:41" ht="14.5" x14ac:dyDescent="0.35">
      <c r="AG677" s="196" t="s">
        <v>1463</v>
      </c>
      <c r="AH677" s="196" t="s">
        <v>754</v>
      </c>
      <c r="AI677" s="196">
        <v>45861</v>
      </c>
      <c r="AJ677" s="196">
        <v>78.069999999999993</v>
      </c>
      <c r="AK677" s="196" t="s">
        <v>564</v>
      </c>
      <c r="AL677" s="196" t="s">
        <v>793</v>
      </c>
      <c r="AM677" s="196">
        <v>0</v>
      </c>
      <c r="AN677" s="196">
        <v>46302</v>
      </c>
      <c r="AO677" s="196" t="s">
        <v>588</v>
      </c>
    </row>
    <row r="678" spans="33:41" ht="14.5" x14ac:dyDescent="0.35">
      <c r="AG678" s="196" t="s">
        <v>1464</v>
      </c>
      <c r="AH678" s="196" t="s">
        <v>754</v>
      </c>
      <c r="AI678" s="196">
        <v>45862</v>
      </c>
      <c r="AJ678" s="196">
        <v>77.930000000000007</v>
      </c>
      <c r="AK678" s="196" t="s">
        <v>564</v>
      </c>
      <c r="AL678" s="196" t="s">
        <v>793</v>
      </c>
      <c r="AM678" s="196">
        <v>0</v>
      </c>
      <c r="AN678" s="196">
        <v>46302</v>
      </c>
      <c r="AO678" s="196" t="s">
        <v>588</v>
      </c>
    </row>
    <row r="679" spans="33:41" ht="14.5" x14ac:dyDescent="0.35">
      <c r="AG679" s="196" t="s">
        <v>1465</v>
      </c>
      <c r="AH679" s="196" t="s">
        <v>754</v>
      </c>
      <c r="AI679" s="196">
        <v>45863</v>
      </c>
      <c r="AJ679" s="196">
        <v>77.8</v>
      </c>
      <c r="AK679" s="196" t="s">
        <v>564</v>
      </c>
      <c r="AL679" s="196" t="s">
        <v>793</v>
      </c>
      <c r="AM679" s="196">
        <v>0</v>
      </c>
      <c r="AN679" s="196">
        <v>46302</v>
      </c>
      <c r="AO679" s="196" t="s">
        <v>588</v>
      </c>
    </row>
    <row r="680" spans="33:41" ht="14.5" x14ac:dyDescent="0.35">
      <c r="AG680" s="196" t="s">
        <v>1466</v>
      </c>
      <c r="AH680" s="196" t="s">
        <v>754</v>
      </c>
      <c r="AI680" s="196">
        <v>45866</v>
      </c>
      <c r="AJ680" s="196">
        <v>77.400000000000006</v>
      </c>
      <c r="AK680" s="196" t="s">
        <v>564</v>
      </c>
      <c r="AL680" s="196" t="s">
        <v>793</v>
      </c>
      <c r="AM680" s="196">
        <v>0</v>
      </c>
      <c r="AN680" s="196">
        <v>46302</v>
      </c>
      <c r="AO680" s="196" t="s">
        <v>588</v>
      </c>
    </row>
    <row r="681" spans="33:41" ht="14.5" x14ac:dyDescent="0.35">
      <c r="AG681" s="196" t="s">
        <v>1467</v>
      </c>
      <c r="AH681" s="196" t="s">
        <v>754</v>
      </c>
      <c r="AI681" s="196">
        <v>45867</v>
      </c>
      <c r="AJ681" s="196">
        <v>77.27</v>
      </c>
      <c r="AK681" s="196" t="s">
        <v>564</v>
      </c>
      <c r="AL681" s="196" t="s">
        <v>793</v>
      </c>
      <c r="AM681" s="196">
        <v>0</v>
      </c>
      <c r="AN681" s="196">
        <v>46302</v>
      </c>
      <c r="AO681" s="196" t="s">
        <v>588</v>
      </c>
    </row>
    <row r="682" spans="33:41" ht="14.5" x14ac:dyDescent="0.35">
      <c r="AG682" s="196" t="s">
        <v>1468</v>
      </c>
      <c r="AH682" s="196" t="s">
        <v>754</v>
      </c>
      <c r="AI682" s="196">
        <v>45868</v>
      </c>
      <c r="AJ682" s="196">
        <v>77.13</v>
      </c>
      <c r="AK682" s="196" t="s">
        <v>564</v>
      </c>
      <c r="AL682" s="196" t="s">
        <v>793</v>
      </c>
      <c r="AM682" s="196">
        <v>0</v>
      </c>
      <c r="AN682" s="196">
        <v>46302</v>
      </c>
      <c r="AO682" s="196" t="s">
        <v>588</v>
      </c>
    </row>
    <row r="683" spans="33:41" ht="14.5" x14ac:dyDescent="0.35">
      <c r="AG683" s="196" t="s">
        <v>1469</v>
      </c>
      <c r="AH683" s="196" t="s">
        <v>754</v>
      </c>
      <c r="AI683" s="196">
        <v>45869</v>
      </c>
      <c r="AJ683" s="196">
        <v>77</v>
      </c>
      <c r="AK683" s="196" t="s">
        <v>564</v>
      </c>
      <c r="AL683" s="196" t="s">
        <v>793</v>
      </c>
      <c r="AM683" s="196">
        <v>0</v>
      </c>
      <c r="AN683" s="196">
        <v>46302</v>
      </c>
      <c r="AO683" s="196" t="s">
        <v>588</v>
      </c>
    </row>
    <row r="684" spans="33:41" ht="14.5" x14ac:dyDescent="0.35">
      <c r="AG684" s="196" t="s">
        <v>1470</v>
      </c>
      <c r="AH684" s="196" t="s">
        <v>754</v>
      </c>
      <c r="AI684" s="196">
        <v>45870</v>
      </c>
      <c r="AJ684" s="196">
        <v>77</v>
      </c>
      <c r="AK684" s="196" t="s">
        <v>564</v>
      </c>
      <c r="AL684" s="196" t="s">
        <v>793</v>
      </c>
      <c r="AM684" s="196">
        <v>0</v>
      </c>
      <c r="AN684" s="196">
        <v>46302</v>
      </c>
      <c r="AO684" s="196" t="s">
        <v>588</v>
      </c>
    </row>
    <row r="685" spans="33:41" ht="14.5" x14ac:dyDescent="0.35">
      <c r="AG685" s="196" t="s">
        <v>1471</v>
      </c>
      <c r="AH685" s="196" t="s">
        <v>754</v>
      </c>
      <c r="AI685" s="196">
        <v>45873</v>
      </c>
      <c r="AJ685" s="196">
        <v>77.900000000000006</v>
      </c>
      <c r="AK685" s="196" t="s">
        <v>564</v>
      </c>
      <c r="AL685" s="196" t="s">
        <v>793</v>
      </c>
      <c r="AM685" s="196">
        <v>0</v>
      </c>
      <c r="AN685" s="196">
        <v>46302</v>
      </c>
      <c r="AO685" s="196" t="s">
        <v>588</v>
      </c>
    </row>
    <row r="686" spans="33:41" ht="14.5" x14ac:dyDescent="0.35">
      <c r="AG686" s="196" t="s">
        <v>1472</v>
      </c>
      <c r="AH686" s="196" t="s">
        <v>754</v>
      </c>
      <c r="AI686" s="196">
        <v>45874</v>
      </c>
      <c r="AJ686" s="196">
        <v>78.2</v>
      </c>
      <c r="AK686" s="196" t="s">
        <v>564</v>
      </c>
      <c r="AL686" s="196" t="s">
        <v>793</v>
      </c>
      <c r="AM686" s="196">
        <v>0</v>
      </c>
      <c r="AN686" s="196">
        <v>46302</v>
      </c>
      <c r="AO686" s="196" t="s">
        <v>588</v>
      </c>
    </row>
    <row r="687" spans="33:41" ht="14.5" x14ac:dyDescent="0.35">
      <c r="AG687" s="196" t="s">
        <v>1473</v>
      </c>
      <c r="AH687" s="196" t="s">
        <v>754</v>
      </c>
      <c r="AI687" s="196">
        <v>45875</v>
      </c>
      <c r="AJ687" s="196">
        <v>78.5</v>
      </c>
      <c r="AK687" s="196" t="s">
        <v>564</v>
      </c>
      <c r="AL687" s="196" t="s">
        <v>793</v>
      </c>
      <c r="AM687" s="196">
        <v>0</v>
      </c>
      <c r="AN687" s="196">
        <v>46302</v>
      </c>
      <c r="AO687" s="196" t="s">
        <v>588</v>
      </c>
    </row>
    <row r="688" spans="33:41" ht="14.5" x14ac:dyDescent="0.35">
      <c r="AG688" s="196" t="s">
        <v>1474</v>
      </c>
      <c r="AH688" s="196" t="s">
        <v>754</v>
      </c>
      <c r="AI688" s="196">
        <v>45876</v>
      </c>
      <c r="AJ688" s="196">
        <v>78.8</v>
      </c>
      <c r="AK688" s="196" t="s">
        <v>564</v>
      </c>
      <c r="AL688" s="196" t="s">
        <v>793</v>
      </c>
      <c r="AM688" s="196">
        <v>0</v>
      </c>
      <c r="AN688" s="196">
        <v>46302</v>
      </c>
      <c r="AO688" s="196" t="s">
        <v>588</v>
      </c>
    </row>
    <row r="689" spans="33:41" ht="14.5" x14ac:dyDescent="0.35">
      <c r="AG689" s="196" t="s">
        <v>1475</v>
      </c>
      <c r="AH689" s="196" t="s">
        <v>754</v>
      </c>
      <c r="AI689" s="196">
        <v>45877</v>
      </c>
      <c r="AJ689" s="196">
        <v>79.099999999999994</v>
      </c>
      <c r="AK689" s="196" t="s">
        <v>564</v>
      </c>
      <c r="AL689" s="196" t="s">
        <v>793</v>
      </c>
      <c r="AM689" s="196">
        <v>0</v>
      </c>
      <c r="AN689" s="196">
        <v>46302</v>
      </c>
      <c r="AO689" s="196" t="s">
        <v>588</v>
      </c>
    </row>
    <row r="690" spans="33:41" ht="14.5" x14ac:dyDescent="0.35">
      <c r="AG690" s="196" t="s">
        <v>1476</v>
      </c>
      <c r="AH690" s="196" t="s">
        <v>754</v>
      </c>
      <c r="AI690" s="196">
        <v>45880</v>
      </c>
      <c r="AJ690" s="196">
        <v>80</v>
      </c>
      <c r="AK690" s="196" t="s">
        <v>564</v>
      </c>
      <c r="AL690" s="196" t="s">
        <v>793</v>
      </c>
      <c r="AM690" s="196">
        <v>0</v>
      </c>
      <c r="AN690" s="196">
        <v>46302</v>
      </c>
      <c r="AO690" s="196" t="s">
        <v>588</v>
      </c>
    </row>
    <row r="691" spans="33:41" ht="14.5" x14ac:dyDescent="0.35">
      <c r="AG691" s="196" t="s">
        <v>1477</v>
      </c>
      <c r="AH691" s="196" t="s">
        <v>754</v>
      </c>
      <c r="AI691" s="196">
        <v>45881</v>
      </c>
      <c r="AJ691" s="196">
        <v>80.3</v>
      </c>
      <c r="AK691" s="196" t="s">
        <v>564</v>
      </c>
      <c r="AL691" s="196" t="s">
        <v>793</v>
      </c>
      <c r="AM691" s="196">
        <v>0</v>
      </c>
      <c r="AN691" s="196">
        <v>46302</v>
      </c>
      <c r="AO691" s="196" t="s">
        <v>588</v>
      </c>
    </row>
    <row r="692" spans="33:41" ht="14.5" x14ac:dyDescent="0.35">
      <c r="AG692" s="196" t="s">
        <v>1478</v>
      </c>
      <c r="AH692" s="196" t="s">
        <v>754</v>
      </c>
      <c r="AI692" s="196">
        <v>45882</v>
      </c>
      <c r="AJ692" s="196">
        <v>80.599999999999994</v>
      </c>
      <c r="AK692" s="196" t="s">
        <v>564</v>
      </c>
      <c r="AL692" s="196" t="s">
        <v>793</v>
      </c>
      <c r="AM692" s="196">
        <v>0</v>
      </c>
      <c r="AN692" s="196">
        <v>46302</v>
      </c>
      <c r="AO692" s="196" t="s">
        <v>588</v>
      </c>
    </row>
    <row r="693" spans="33:41" ht="14.5" x14ac:dyDescent="0.35">
      <c r="AG693" s="196" t="s">
        <v>1479</v>
      </c>
      <c r="AH693" s="196" t="s">
        <v>754</v>
      </c>
      <c r="AI693" s="196">
        <v>45883</v>
      </c>
      <c r="AJ693" s="196">
        <v>80.900000000000006</v>
      </c>
      <c r="AK693" s="196" t="s">
        <v>564</v>
      </c>
      <c r="AL693" s="196" t="s">
        <v>793</v>
      </c>
      <c r="AM693" s="196">
        <v>0</v>
      </c>
      <c r="AN693" s="196">
        <v>46302</v>
      </c>
      <c r="AO693" s="196" t="s">
        <v>588</v>
      </c>
    </row>
    <row r="694" spans="33:41" ht="14.5" x14ac:dyDescent="0.35">
      <c r="AG694" s="196" t="s">
        <v>1480</v>
      </c>
      <c r="AH694" s="196" t="s">
        <v>754</v>
      </c>
      <c r="AI694" s="196">
        <v>45884</v>
      </c>
      <c r="AJ694" s="196">
        <v>81.2</v>
      </c>
      <c r="AK694" s="196" t="s">
        <v>564</v>
      </c>
      <c r="AL694" s="196" t="s">
        <v>793</v>
      </c>
      <c r="AM694" s="196">
        <v>0</v>
      </c>
      <c r="AN694" s="196">
        <v>46302</v>
      </c>
      <c r="AO694" s="196" t="s">
        <v>588</v>
      </c>
    </row>
    <row r="695" spans="33:41" ht="14.5" x14ac:dyDescent="0.35">
      <c r="AG695" s="196" t="s">
        <v>1481</v>
      </c>
      <c r="AH695" s="196" t="s">
        <v>754</v>
      </c>
      <c r="AI695" s="196">
        <v>45887</v>
      </c>
      <c r="AJ695" s="196">
        <v>82.1</v>
      </c>
      <c r="AK695" s="196" t="s">
        <v>564</v>
      </c>
      <c r="AL695" s="196" t="s">
        <v>793</v>
      </c>
      <c r="AM695" s="196">
        <v>0</v>
      </c>
      <c r="AN695" s="196">
        <v>46302</v>
      </c>
      <c r="AO695" s="196" t="s">
        <v>588</v>
      </c>
    </row>
    <row r="696" spans="33:41" ht="14.5" x14ac:dyDescent="0.35">
      <c r="AG696" s="196" t="s">
        <v>1482</v>
      </c>
      <c r="AH696" s="196" t="s">
        <v>754</v>
      </c>
      <c r="AI696" s="196">
        <v>45888</v>
      </c>
      <c r="AJ696" s="196">
        <v>82.4</v>
      </c>
      <c r="AK696" s="196" t="s">
        <v>564</v>
      </c>
      <c r="AL696" s="196" t="s">
        <v>793</v>
      </c>
      <c r="AM696" s="196">
        <v>0</v>
      </c>
      <c r="AN696" s="196">
        <v>46302</v>
      </c>
      <c r="AO696" s="196" t="s">
        <v>588</v>
      </c>
    </row>
    <row r="697" spans="33:41" ht="14.5" x14ac:dyDescent="0.35">
      <c r="AG697" s="196" t="s">
        <v>1483</v>
      </c>
      <c r="AH697" s="196" t="s">
        <v>754</v>
      </c>
      <c r="AI697" s="196">
        <v>45889</v>
      </c>
      <c r="AJ697" s="196">
        <v>82.7</v>
      </c>
      <c r="AK697" s="196" t="s">
        <v>564</v>
      </c>
      <c r="AL697" s="196" t="s">
        <v>793</v>
      </c>
      <c r="AM697" s="196">
        <v>0</v>
      </c>
      <c r="AN697" s="196">
        <v>46302</v>
      </c>
      <c r="AO697" s="196" t="s">
        <v>588</v>
      </c>
    </row>
    <row r="698" spans="33:41" ht="14.5" x14ac:dyDescent="0.35">
      <c r="AG698" s="196" t="s">
        <v>1484</v>
      </c>
      <c r="AH698" s="196" t="s">
        <v>754</v>
      </c>
      <c r="AI698" s="196">
        <v>45890</v>
      </c>
      <c r="AJ698" s="196">
        <v>83</v>
      </c>
      <c r="AK698" s="196" t="s">
        <v>564</v>
      </c>
      <c r="AL698" s="196" t="s">
        <v>793</v>
      </c>
      <c r="AM698" s="196">
        <v>0</v>
      </c>
      <c r="AN698" s="196">
        <v>46302</v>
      </c>
      <c r="AO698" s="196" t="s">
        <v>588</v>
      </c>
    </row>
    <row r="699" spans="33:41" ht="14.5" x14ac:dyDescent="0.35">
      <c r="AG699" s="196" t="s">
        <v>1485</v>
      </c>
      <c r="AH699" s="196" t="s">
        <v>754</v>
      </c>
      <c r="AI699" s="196">
        <v>45891</v>
      </c>
      <c r="AJ699" s="196">
        <v>83.3</v>
      </c>
      <c r="AK699" s="196" t="s">
        <v>564</v>
      </c>
      <c r="AL699" s="196" t="s">
        <v>793</v>
      </c>
      <c r="AM699" s="196">
        <v>0</v>
      </c>
      <c r="AN699" s="196">
        <v>46302</v>
      </c>
      <c r="AO699" s="196" t="s">
        <v>588</v>
      </c>
    </row>
    <row r="700" spans="33:41" ht="14.5" x14ac:dyDescent="0.35">
      <c r="AG700" s="196" t="s">
        <v>1486</v>
      </c>
      <c r="AH700" s="196" t="s">
        <v>754</v>
      </c>
      <c r="AI700" s="196">
        <v>45894</v>
      </c>
      <c r="AJ700" s="196">
        <v>84.2</v>
      </c>
      <c r="AK700" s="196" t="s">
        <v>564</v>
      </c>
      <c r="AL700" s="196" t="s">
        <v>793</v>
      </c>
      <c r="AM700" s="196">
        <v>0</v>
      </c>
      <c r="AN700" s="196">
        <v>46302</v>
      </c>
      <c r="AO700" s="196" t="s">
        <v>588</v>
      </c>
    </row>
    <row r="701" spans="33:41" ht="14.5" x14ac:dyDescent="0.35">
      <c r="AG701" s="196" t="s">
        <v>1487</v>
      </c>
      <c r="AH701" s="196" t="s">
        <v>754</v>
      </c>
      <c r="AI701" s="196">
        <v>45895</v>
      </c>
      <c r="AJ701" s="196">
        <v>84.5</v>
      </c>
      <c r="AK701" s="196" t="s">
        <v>564</v>
      </c>
      <c r="AL701" s="196" t="s">
        <v>793</v>
      </c>
      <c r="AM701" s="196">
        <v>0</v>
      </c>
      <c r="AN701" s="196">
        <v>46302</v>
      </c>
      <c r="AO701" s="196" t="s">
        <v>588</v>
      </c>
    </row>
    <row r="702" spans="33:41" ht="14.5" x14ac:dyDescent="0.35">
      <c r="AG702" s="196" t="s">
        <v>1488</v>
      </c>
      <c r="AH702" s="196" t="s">
        <v>754</v>
      </c>
      <c r="AI702" s="196">
        <v>45896</v>
      </c>
      <c r="AJ702" s="196">
        <v>84.8</v>
      </c>
      <c r="AK702" s="196" t="s">
        <v>564</v>
      </c>
      <c r="AL702" s="196" t="s">
        <v>793</v>
      </c>
      <c r="AM702" s="196">
        <v>0</v>
      </c>
      <c r="AN702" s="196">
        <v>46302</v>
      </c>
      <c r="AO702" s="196" t="s">
        <v>588</v>
      </c>
    </row>
    <row r="703" spans="33:41" ht="14.5" x14ac:dyDescent="0.35">
      <c r="AG703" s="196" t="s">
        <v>1489</v>
      </c>
      <c r="AH703" s="196" t="s">
        <v>754</v>
      </c>
      <c r="AI703" s="196">
        <v>45897</v>
      </c>
      <c r="AJ703" s="196">
        <v>85.1</v>
      </c>
      <c r="AK703" s="196" t="s">
        <v>564</v>
      </c>
      <c r="AL703" s="196" t="s">
        <v>793</v>
      </c>
      <c r="AM703" s="196">
        <v>0</v>
      </c>
      <c r="AN703" s="196">
        <v>46302</v>
      </c>
      <c r="AO703" s="196" t="s">
        <v>588</v>
      </c>
    </row>
    <row r="704" spans="33:41" ht="14.5" x14ac:dyDescent="0.35">
      <c r="AG704" s="196" t="s">
        <v>1490</v>
      </c>
      <c r="AH704" s="196" t="s">
        <v>754</v>
      </c>
      <c r="AI704" s="196">
        <v>45898</v>
      </c>
      <c r="AJ704" s="196">
        <v>85.4</v>
      </c>
      <c r="AK704" s="196" t="s">
        <v>564</v>
      </c>
      <c r="AL704" s="196" t="s">
        <v>793</v>
      </c>
      <c r="AM704" s="196">
        <v>0</v>
      </c>
      <c r="AN704" s="196">
        <v>46302</v>
      </c>
      <c r="AO704" s="196" t="s">
        <v>588</v>
      </c>
    </row>
    <row r="705" spans="33:41" ht="14.5" x14ac:dyDescent="0.35">
      <c r="AG705" s="196" t="s">
        <v>1491</v>
      </c>
      <c r="AH705" s="196" t="s">
        <v>754</v>
      </c>
      <c r="AI705" s="196">
        <v>45901</v>
      </c>
      <c r="AJ705" s="196">
        <v>86</v>
      </c>
      <c r="AK705" s="196" t="s">
        <v>564</v>
      </c>
      <c r="AL705" s="196" t="s">
        <v>793</v>
      </c>
      <c r="AM705" s="196">
        <v>0</v>
      </c>
      <c r="AN705" s="196">
        <v>46302</v>
      </c>
      <c r="AO705" s="196" t="s">
        <v>588</v>
      </c>
    </row>
    <row r="706" spans="33:41" ht="14.5" x14ac:dyDescent="0.35">
      <c r="AG706" s="196" t="s">
        <v>1492</v>
      </c>
      <c r="AH706" s="196" t="s">
        <v>754</v>
      </c>
      <c r="AI706" s="196">
        <v>45902</v>
      </c>
      <c r="AJ706" s="196">
        <v>85.86</v>
      </c>
      <c r="AK706" s="196" t="s">
        <v>564</v>
      </c>
      <c r="AL706" s="196" t="s">
        <v>793</v>
      </c>
      <c r="AM706" s="196">
        <v>0</v>
      </c>
      <c r="AN706" s="196">
        <v>46302</v>
      </c>
      <c r="AO706" s="196" t="s">
        <v>588</v>
      </c>
    </row>
    <row r="707" spans="33:41" ht="14.5" x14ac:dyDescent="0.35">
      <c r="AG707" s="196" t="s">
        <v>1493</v>
      </c>
      <c r="AH707" s="196" t="s">
        <v>754</v>
      </c>
      <c r="AI707" s="196">
        <v>45903</v>
      </c>
      <c r="AJ707" s="196">
        <v>85.72</v>
      </c>
      <c r="AK707" s="196" t="s">
        <v>564</v>
      </c>
      <c r="AL707" s="196" t="s">
        <v>793</v>
      </c>
      <c r="AM707" s="196">
        <v>0</v>
      </c>
      <c r="AN707" s="196">
        <v>46302</v>
      </c>
      <c r="AO707" s="196" t="s">
        <v>588</v>
      </c>
    </row>
    <row r="708" spans="33:41" ht="14.5" x14ac:dyDescent="0.35">
      <c r="AG708" s="196" t="s">
        <v>1494</v>
      </c>
      <c r="AH708" s="196" t="s">
        <v>754</v>
      </c>
      <c r="AI708" s="196">
        <v>45904</v>
      </c>
      <c r="AJ708" s="196">
        <v>85.59</v>
      </c>
      <c r="AK708" s="196" t="s">
        <v>564</v>
      </c>
      <c r="AL708" s="196" t="s">
        <v>793</v>
      </c>
      <c r="AM708" s="196">
        <v>0</v>
      </c>
      <c r="AN708" s="196">
        <v>46302</v>
      </c>
      <c r="AO708" s="196" t="s">
        <v>588</v>
      </c>
    </row>
    <row r="709" spans="33:41" ht="14.5" x14ac:dyDescent="0.35">
      <c r="AG709" s="196" t="s">
        <v>1495</v>
      </c>
      <c r="AH709" s="196" t="s">
        <v>754</v>
      </c>
      <c r="AI709" s="196">
        <v>45905</v>
      </c>
      <c r="AJ709" s="196">
        <v>85.45</v>
      </c>
      <c r="AK709" s="196" t="s">
        <v>564</v>
      </c>
      <c r="AL709" s="196" t="s">
        <v>793</v>
      </c>
      <c r="AM709" s="196">
        <v>0</v>
      </c>
      <c r="AN709" s="196">
        <v>46302</v>
      </c>
      <c r="AO709" s="196" t="s">
        <v>588</v>
      </c>
    </row>
    <row r="710" spans="33:41" ht="14.5" x14ac:dyDescent="0.35">
      <c r="AG710" s="196" t="s">
        <v>1496</v>
      </c>
      <c r="AH710" s="196" t="s">
        <v>754</v>
      </c>
      <c r="AI710" s="196">
        <v>45908</v>
      </c>
      <c r="AJ710" s="196">
        <v>85.03</v>
      </c>
      <c r="AK710" s="196" t="s">
        <v>564</v>
      </c>
      <c r="AL710" s="196" t="s">
        <v>793</v>
      </c>
      <c r="AM710" s="196">
        <v>0</v>
      </c>
      <c r="AN710" s="196">
        <v>46302</v>
      </c>
      <c r="AO710" s="196" t="s">
        <v>588</v>
      </c>
    </row>
    <row r="711" spans="33:41" ht="14.5" x14ac:dyDescent="0.35">
      <c r="AG711" s="196" t="s">
        <v>1497</v>
      </c>
      <c r="AH711" s="196" t="s">
        <v>754</v>
      </c>
      <c r="AI711" s="196">
        <v>45909</v>
      </c>
      <c r="AJ711" s="196">
        <v>84.9</v>
      </c>
      <c r="AK711" s="196" t="s">
        <v>564</v>
      </c>
      <c r="AL711" s="196" t="s">
        <v>793</v>
      </c>
      <c r="AM711" s="196">
        <v>0</v>
      </c>
      <c r="AN711" s="196">
        <v>46302</v>
      </c>
      <c r="AO711" s="196" t="s">
        <v>588</v>
      </c>
    </row>
    <row r="712" spans="33:41" ht="14.5" x14ac:dyDescent="0.35">
      <c r="AG712" s="196" t="s">
        <v>1498</v>
      </c>
      <c r="AH712" s="196" t="s">
        <v>754</v>
      </c>
      <c r="AI712" s="196">
        <v>45910</v>
      </c>
      <c r="AJ712" s="196">
        <v>84.76</v>
      </c>
      <c r="AK712" s="196" t="s">
        <v>564</v>
      </c>
      <c r="AL712" s="196" t="s">
        <v>793</v>
      </c>
      <c r="AM712" s="196">
        <v>0</v>
      </c>
      <c r="AN712" s="196">
        <v>46302</v>
      </c>
      <c r="AO712" s="196" t="s">
        <v>588</v>
      </c>
    </row>
    <row r="713" spans="33:41" ht="14.5" x14ac:dyDescent="0.35">
      <c r="AG713" s="196" t="s">
        <v>1499</v>
      </c>
      <c r="AH713" s="196" t="s">
        <v>754</v>
      </c>
      <c r="AI713" s="196">
        <v>45911</v>
      </c>
      <c r="AJ713" s="196">
        <v>84.62</v>
      </c>
      <c r="AK713" s="196" t="s">
        <v>564</v>
      </c>
      <c r="AL713" s="196" t="s">
        <v>793</v>
      </c>
      <c r="AM713" s="196">
        <v>0</v>
      </c>
      <c r="AN713" s="196">
        <v>46302</v>
      </c>
      <c r="AO713" s="196" t="s">
        <v>588</v>
      </c>
    </row>
    <row r="714" spans="33:41" ht="14.5" x14ac:dyDescent="0.35">
      <c r="AG714" s="196" t="s">
        <v>1500</v>
      </c>
      <c r="AH714" s="196" t="s">
        <v>754</v>
      </c>
      <c r="AI714" s="196">
        <v>45912</v>
      </c>
      <c r="AJ714" s="196">
        <v>84.48</v>
      </c>
      <c r="AK714" s="196" t="s">
        <v>564</v>
      </c>
      <c r="AL714" s="196" t="s">
        <v>793</v>
      </c>
      <c r="AM714" s="196">
        <v>0</v>
      </c>
      <c r="AN714" s="196">
        <v>46302</v>
      </c>
      <c r="AO714" s="196" t="s">
        <v>588</v>
      </c>
    </row>
    <row r="715" spans="33:41" ht="14.5" x14ac:dyDescent="0.35">
      <c r="AG715" s="196" t="s">
        <v>1501</v>
      </c>
      <c r="AH715" s="196" t="s">
        <v>754</v>
      </c>
      <c r="AI715" s="196">
        <v>45915</v>
      </c>
      <c r="AJ715" s="196">
        <v>84.07</v>
      </c>
      <c r="AK715" s="196" t="s">
        <v>564</v>
      </c>
      <c r="AL715" s="196" t="s">
        <v>793</v>
      </c>
      <c r="AM715" s="196">
        <v>0</v>
      </c>
      <c r="AN715" s="196">
        <v>46302</v>
      </c>
      <c r="AO715" s="196" t="s">
        <v>588</v>
      </c>
    </row>
    <row r="716" spans="33:41" ht="14.5" x14ac:dyDescent="0.35">
      <c r="AG716" s="196" t="s">
        <v>1502</v>
      </c>
      <c r="AH716" s="196" t="s">
        <v>754</v>
      </c>
      <c r="AI716" s="196">
        <v>45916</v>
      </c>
      <c r="AJ716" s="196">
        <v>83.93</v>
      </c>
      <c r="AK716" s="196" t="s">
        <v>564</v>
      </c>
      <c r="AL716" s="196" t="s">
        <v>793</v>
      </c>
      <c r="AM716" s="196">
        <v>0</v>
      </c>
      <c r="AN716" s="196">
        <v>46302</v>
      </c>
      <c r="AO716" s="196" t="s">
        <v>588</v>
      </c>
    </row>
    <row r="717" spans="33:41" ht="14.5" x14ac:dyDescent="0.35">
      <c r="AG717" s="196" t="s">
        <v>1503</v>
      </c>
      <c r="AH717" s="196" t="s">
        <v>754</v>
      </c>
      <c r="AI717" s="196">
        <v>45917</v>
      </c>
      <c r="AJ717" s="196">
        <v>83.79</v>
      </c>
      <c r="AK717" s="196" t="s">
        <v>564</v>
      </c>
      <c r="AL717" s="196" t="s">
        <v>793</v>
      </c>
      <c r="AM717" s="196">
        <v>0</v>
      </c>
      <c r="AN717" s="196">
        <v>46302</v>
      </c>
      <c r="AO717" s="196" t="s">
        <v>588</v>
      </c>
    </row>
    <row r="718" spans="33:41" ht="14.5" x14ac:dyDescent="0.35">
      <c r="AG718" s="196" t="s">
        <v>1504</v>
      </c>
      <c r="AH718" s="196" t="s">
        <v>754</v>
      </c>
      <c r="AI718" s="196">
        <v>45918</v>
      </c>
      <c r="AJ718" s="196">
        <v>83.66</v>
      </c>
      <c r="AK718" s="196" t="s">
        <v>564</v>
      </c>
      <c r="AL718" s="196" t="s">
        <v>793</v>
      </c>
      <c r="AM718" s="196">
        <v>0</v>
      </c>
      <c r="AN718" s="196">
        <v>46302</v>
      </c>
      <c r="AO718" s="196" t="s">
        <v>588</v>
      </c>
    </row>
    <row r="719" spans="33:41" ht="14.5" x14ac:dyDescent="0.35">
      <c r="AG719" s="196" t="s">
        <v>1505</v>
      </c>
      <c r="AH719" s="196" t="s">
        <v>754</v>
      </c>
      <c r="AI719" s="196">
        <v>45919</v>
      </c>
      <c r="AJ719" s="196">
        <v>83.52</v>
      </c>
      <c r="AK719" s="196" t="s">
        <v>564</v>
      </c>
      <c r="AL719" s="196" t="s">
        <v>793</v>
      </c>
      <c r="AM719" s="196">
        <v>0</v>
      </c>
      <c r="AN719" s="196">
        <v>46302</v>
      </c>
      <c r="AO719" s="196" t="s">
        <v>588</v>
      </c>
    </row>
    <row r="720" spans="33:41" ht="14.5" x14ac:dyDescent="0.35">
      <c r="AG720" s="196" t="s">
        <v>1506</v>
      </c>
      <c r="AH720" s="196" t="s">
        <v>754</v>
      </c>
      <c r="AI720" s="196">
        <v>45922</v>
      </c>
      <c r="AJ720" s="196">
        <v>83.1</v>
      </c>
      <c r="AK720" s="196" t="s">
        <v>564</v>
      </c>
      <c r="AL720" s="196" t="s">
        <v>793</v>
      </c>
      <c r="AM720" s="196">
        <v>0</v>
      </c>
      <c r="AN720" s="196">
        <v>46302</v>
      </c>
      <c r="AO720" s="196" t="s">
        <v>588</v>
      </c>
    </row>
    <row r="721" spans="33:41" ht="14.5" x14ac:dyDescent="0.35">
      <c r="AG721" s="196" t="s">
        <v>1507</v>
      </c>
      <c r="AH721" s="196" t="s">
        <v>754</v>
      </c>
      <c r="AI721" s="196">
        <v>45923</v>
      </c>
      <c r="AJ721" s="196">
        <v>82.97</v>
      </c>
      <c r="AK721" s="196" t="s">
        <v>564</v>
      </c>
      <c r="AL721" s="196" t="s">
        <v>793</v>
      </c>
      <c r="AM721" s="196">
        <v>0</v>
      </c>
      <c r="AN721" s="196">
        <v>46302</v>
      </c>
      <c r="AO721" s="196" t="s">
        <v>588</v>
      </c>
    </row>
    <row r="722" spans="33:41" ht="14.5" x14ac:dyDescent="0.35">
      <c r="AG722" s="196" t="s">
        <v>1508</v>
      </c>
      <c r="AH722" s="196" t="s">
        <v>754</v>
      </c>
      <c r="AI722" s="196">
        <v>45924</v>
      </c>
      <c r="AJ722" s="196">
        <v>82.83</v>
      </c>
      <c r="AK722" s="196" t="s">
        <v>564</v>
      </c>
      <c r="AL722" s="196" t="s">
        <v>793</v>
      </c>
      <c r="AM722" s="196">
        <v>0</v>
      </c>
      <c r="AN722" s="196">
        <v>46302</v>
      </c>
      <c r="AO722" s="196" t="s">
        <v>588</v>
      </c>
    </row>
    <row r="723" spans="33:41" ht="14.5" x14ac:dyDescent="0.35">
      <c r="AG723" s="196" t="s">
        <v>1509</v>
      </c>
      <c r="AH723" s="196" t="s">
        <v>754</v>
      </c>
      <c r="AI723" s="196">
        <v>45925</v>
      </c>
      <c r="AJ723" s="196">
        <v>82.69</v>
      </c>
      <c r="AK723" s="196" t="s">
        <v>564</v>
      </c>
      <c r="AL723" s="196" t="s">
        <v>793</v>
      </c>
      <c r="AM723" s="196">
        <v>0</v>
      </c>
      <c r="AN723" s="196">
        <v>46302</v>
      </c>
      <c r="AO723" s="196" t="s">
        <v>588</v>
      </c>
    </row>
    <row r="724" spans="33:41" ht="14.5" x14ac:dyDescent="0.35">
      <c r="AG724" s="196" t="s">
        <v>1510</v>
      </c>
      <c r="AH724" s="196" t="s">
        <v>754</v>
      </c>
      <c r="AI724" s="196">
        <v>45926</v>
      </c>
      <c r="AJ724" s="196">
        <v>82.55</v>
      </c>
      <c r="AK724" s="196" t="s">
        <v>564</v>
      </c>
      <c r="AL724" s="196" t="s">
        <v>793</v>
      </c>
      <c r="AM724" s="196">
        <v>0</v>
      </c>
      <c r="AN724" s="196">
        <v>46302</v>
      </c>
      <c r="AO724" s="196" t="s">
        <v>588</v>
      </c>
    </row>
    <row r="725" spans="33:41" ht="14.5" x14ac:dyDescent="0.35">
      <c r="AG725" s="196" t="s">
        <v>1511</v>
      </c>
      <c r="AH725" s="196" t="s">
        <v>754</v>
      </c>
      <c r="AI725" s="196">
        <v>45929</v>
      </c>
      <c r="AJ725" s="196">
        <v>82.14</v>
      </c>
      <c r="AK725" s="196" t="s">
        <v>564</v>
      </c>
      <c r="AL725" s="196" t="s">
        <v>793</v>
      </c>
      <c r="AM725" s="196">
        <v>0</v>
      </c>
      <c r="AN725" s="196">
        <v>46302</v>
      </c>
      <c r="AO725" s="196" t="s">
        <v>588</v>
      </c>
    </row>
    <row r="726" spans="33:41" ht="14.5" x14ac:dyDescent="0.35">
      <c r="AG726" s="196" t="s">
        <v>1512</v>
      </c>
      <c r="AH726" s="196" t="s">
        <v>754</v>
      </c>
      <c r="AI726" s="196">
        <v>45930</v>
      </c>
      <c r="AJ726" s="196">
        <v>82</v>
      </c>
      <c r="AK726" s="196" t="s">
        <v>564</v>
      </c>
      <c r="AL726" s="196" t="s">
        <v>793</v>
      </c>
      <c r="AM726" s="196">
        <v>0</v>
      </c>
      <c r="AN726" s="196">
        <v>46302</v>
      </c>
      <c r="AO726" s="196" t="s">
        <v>588</v>
      </c>
    </row>
    <row r="727" spans="33:41" ht="14.5" x14ac:dyDescent="0.35">
      <c r="AG727" s="196" t="s">
        <v>1513</v>
      </c>
      <c r="AH727" s="196" t="s">
        <v>754</v>
      </c>
      <c r="AI727" s="196">
        <v>45931</v>
      </c>
      <c r="AJ727" s="196">
        <v>82</v>
      </c>
      <c r="AK727" s="196" t="s">
        <v>564</v>
      </c>
      <c r="AL727" s="196" t="s">
        <v>793</v>
      </c>
      <c r="AM727" s="196">
        <v>0</v>
      </c>
      <c r="AN727" s="196">
        <v>46302</v>
      </c>
      <c r="AO727" s="196" t="s">
        <v>588</v>
      </c>
    </row>
    <row r="728" spans="33:41" ht="14.5" x14ac:dyDescent="0.35">
      <c r="AG728" s="196" t="s">
        <v>1514</v>
      </c>
      <c r="AH728" s="196" t="s">
        <v>754</v>
      </c>
      <c r="AI728" s="196">
        <v>45932</v>
      </c>
      <c r="AJ728" s="196">
        <v>81.83</v>
      </c>
      <c r="AK728" s="196" t="s">
        <v>564</v>
      </c>
      <c r="AL728" s="196" t="s">
        <v>793</v>
      </c>
      <c r="AM728" s="196">
        <v>0</v>
      </c>
      <c r="AN728" s="196">
        <v>46302</v>
      </c>
      <c r="AO728" s="196" t="s">
        <v>588</v>
      </c>
    </row>
    <row r="729" spans="33:41" ht="14.5" x14ac:dyDescent="0.35">
      <c r="AG729" s="196" t="s">
        <v>1515</v>
      </c>
      <c r="AH729" s="196" t="s">
        <v>754</v>
      </c>
      <c r="AI729" s="196">
        <v>45933</v>
      </c>
      <c r="AJ729" s="196">
        <v>81.67</v>
      </c>
      <c r="AK729" s="196" t="s">
        <v>564</v>
      </c>
      <c r="AL729" s="196" t="s">
        <v>793</v>
      </c>
      <c r="AM729" s="196">
        <v>0</v>
      </c>
      <c r="AN729" s="196">
        <v>46302</v>
      </c>
      <c r="AO729" s="196" t="s">
        <v>588</v>
      </c>
    </row>
    <row r="730" spans="33:41" ht="14.5" x14ac:dyDescent="0.35">
      <c r="AG730" s="196" t="s">
        <v>1516</v>
      </c>
      <c r="AH730" s="196" t="s">
        <v>754</v>
      </c>
      <c r="AI730" s="196">
        <v>45936</v>
      </c>
      <c r="AJ730" s="196">
        <v>81.17</v>
      </c>
      <c r="AK730" s="196" t="s">
        <v>564</v>
      </c>
      <c r="AL730" s="196" t="s">
        <v>793</v>
      </c>
      <c r="AM730" s="196">
        <v>0</v>
      </c>
      <c r="AN730" s="196">
        <v>46302</v>
      </c>
      <c r="AO730" s="196" t="s">
        <v>588</v>
      </c>
    </row>
    <row r="731" spans="33:41" ht="14.5" x14ac:dyDescent="0.35">
      <c r="AG731" s="196" t="s">
        <v>1517</v>
      </c>
      <c r="AH731" s="196" t="s">
        <v>754</v>
      </c>
      <c r="AI731" s="196">
        <v>45937</v>
      </c>
      <c r="AJ731" s="196">
        <v>81</v>
      </c>
      <c r="AK731" s="196" t="s">
        <v>564</v>
      </c>
      <c r="AL731" s="196" t="s">
        <v>793</v>
      </c>
      <c r="AM731" s="196">
        <v>0</v>
      </c>
      <c r="AN731" s="196">
        <v>46302</v>
      </c>
      <c r="AO731" s="196" t="s">
        <v>588</v>
      </c>
    </row>
    <row r="732" spans="33:41" ht="14.5" x14ac:dyDescent="0.35">
      <c r="AG732" s="196" t="s">
        <v>1518</v>
      </c>
      <c r="AH732" s="196" t="s">
        <v>754</v>
      </c>
      <c r="AI732" s="196">
        <v>45938</v>
      </c>
      <c r="AJ732" s="196">
        <v>80.83</v>
      </c>
      <c r="AK732" s="196" t="s">
        <v>564</v>
      </c>
      <c r="AL732" s="196" t="s">
        <v>793</v>
      </c>
      <c r="AM732" s="196">
        <v>0</v>
      </c>
      <c r="AN732" s="196">
        <v>46302</v>
      </c>
      <c r="AO732" s="196" t="s">
        <v>588</v>
      </c>
    </row>
    <row r="733" spans="33:41" ht="14.5" x14ac:dyDescent="0.35">
      <c r="AG733" s="196" t="s">
        <v>1519</v>
      </c>
      <c r="AH733" s="196" t="s">
        <v>754</v>
      </c>
      <c r="AI733" s="196">
        <v>45939</v>
      </c>
      <c r="AJ733" s="196">
        <v>80.67</v>
      </c>
      <c r="AK733" s="196" t="s">
        <v>564</v>
      </c>
      <c r="AL733" s="196" t="s">
        <v>793</v>
      </c>
      <c r="AM733" s="196">
        <v>0</v>
      </c>
      <c r="AN733" s="196">
        <v>46302</v>
      </c>
      <c r="AO733" s="196" t="s">
        <v>588</v>
      </c>
    </row>
    <row r="734" spans="33:41" ht="14.5" x14ac:dyDescent="0.35">
      <c r="AG734" s="196" t="s">
        <v>1520</v>
      </c>
      <c r="AH734" s="196" t="s">
        <v>754</v>
      </c>
      <c r="AI734" s="196">
        <v>45940</v>
      </c>
      <c r="AJ734" s="196">
        <v>80.5</v>
      </c>
      <c r="AK734" s="196" t="s">
        <v>564</v>
      </c>
      <c r="AL734" s="196" t="s">
        <v>793</v>
      </c>
      <c r="AM734" s="196">
        <v>0</v>
      </c>
      <c r="AN734" s="196">
        <v>46302</v>
      </c>
      <c r="AO734" s="196" t="s">
        <v>588</v>
      </c>
    </row>
    <row r="735" spans="33:41" ht="14.5" x14ac:dyDescent="0.35">
      <c r="AG735" s="196" t="s">
        <v>1521</v>
      </c>
      <c r="AH735" s="196" t="s">
        <v>754</v>
      </c>
      <c r="AI735" s="196">
        <v>45943</v>
      </c>
      <c r="AJ735" s="196">
        <v>80</v>
      </c>
      <c r="AK735" s="196" t="s">
        <v>564</v>
      </c>
      <c r="AL735" s="196" t="s">
        <v>793</v>
      </c>
      <c r="AM735" s="196">
        <v>0</v>
      </c>
      <c r="AN735" s="196">
        <v>46302</v>
      </c>
      <c r="AO735" s="196" t="s">
        <v>588</v>
      </c>
    </row>
    <row r="736" spans="33:41" ht="14.5" x14ac:dyDescent="0.35">
      <c r="AG736" s="196" t="s">
        <v>1522</v>
      </c>
      <c r="AH736" s="196" t="s">
        <v>754</v>
      </c>
      <c r="AI736" s="196">
        <v>45944</v>
      </c>
      <c r="AJ736" s="196">
        <v>79.83</v>
      </c>
      <c r="AK736" s="196" t="s">
        <v>564</v>
      </c>
      <c r="AL736" s="196" t="s">
        <v>793</v>
      </c>
      <c r="AM736" s="196">
        <v>0</v>
      </c>
      <c r="AN736" s="196">
        <v>46302</v>
      </c>
      <c r="AO736" s="196" t="s">
        <v>588</v>
      </c>
    </row>
    <row r="737" spans="33:41" ht="14.5" x14ac:dyDescent="0.35">
      <c r="AG737" s="196" t="s">
        <v>1523</v>
      </c>
      <c r="AH737" s="196" t="s">
        <v>754</v>
      </c>
      <c r="AI737" s="196">
        <v>45945</v>
      </c>
      <c r="AJ737" s="196">
        <v>79.67</v>
      </c>
      <c r="AK737" s="196" t="s">
        <v>564</v>
      </c>
      <c r="AL737" s="196" t="s">
        <v>793</v>
      </c>
      <c r="AM737" s="196">
        <v>0</v>
      </c>
      <c r="AN737" s="196">
        <v>46302</v>
      </c>
      <c r="AO737" s="196" t="s">
        <v>588</v>
      </c>
    </row>
    <row r="738" spans="33:41" ht="14.5" x14ac:dyDescent="0.35">
      <c r="AG738" s="196" t="s">
        <v>1524</v>
      </c>
      <c r="AH738" s="196" t="s">
        <v>754</v>
      </c>
      <c r="AI738" s="196">
        <v>45946</v>
      </c>
      <c r="AJ738" s="196">
        <v>79.5</v>
      </c>
      <c r="AK738" s="196" t="s">
        <v>564</v>
      </c>
      <c r="AL738" s="196" t="s">
        <v>793</v>
      </c>
      <c r="AM738" s="196">
        <v>0</v>
      </c>
      <c r="AN738" s="196">
        <v>46302</v>
      </c>
      <c r="AO738" s="196" t="s">
        <v>588</v>
      </c>
    </row>
    <row r="739" spans="33:41" ht="14.5" x14ac:dyDescent="0.35">
      <c r="AG739" s="196" t="s">
        <v>1525</v>
      </c>
      <c r="AH739" s="196" t="s">
        <v>754</v>
      </c>
      <c r="AI739" s="196">
        <v>45947</v>
      </c>
      <c r="AJ739" s="196">
        <v>79.33</v>
      </c>
      <c r="AK739" s="196" t="s">
        <v>564</v>
      </c>
      <c r="AL739" s="196" t="s">
        <v>793</v>
      </c>
      <c r="AM739" s="196">
        <v>0</v>
      </c>
      <c r="AN739" s="196">
        <v>46302</v>
      </c>
      <c r="AO739" s="196" t="s">
        <v>588</v>
      </c>
    </row>
    <row r="740" spans="33:41" ht="14.5" x14ac:dyDescent="0.35">
      <c r="AG740" s="196" t="s">
        <v>1526</v>
      </c>
      <c r="AH740" s="196" t="s">
        <v>754</v>
      </c>
      <c r="AI740" s="196">
        <v>45950</v>
      </c>
      <c r="AJ740" s="196">
        <v>78.83</v>
      </c>
      <c r="AK740" s="196" t="s">
        <v>564</v>
      </c>
      <c r="AL740" s="196" t="s">
        <v>793</v>
      </c>
      <c r="AM740" s="196">
        <v>0</v>
      </c>
      <c r="AN740" s="196">
        <v>46302</v>
      </c>
      <c r="AO740" s="196" t="s">
        <v>588</v>
      </c>
    </row>
    <row r="741" spans="33:41" ht="14.5" x14ac:dyDescent="0.35">
      <c r="AG741" s="196" t="s">
        <v>1527</v>
      </c>
      <c r="AH741" s="196" t="s">
        <v>754</v>
      </c>
      <c r="AI741" s="196">
        <v>45951</v>
      </c>
      <c r="AJ741" s="196">
        <v>78.67</v>
      </c>
      <c r="AK741" s="196" t="s">
        <v>564</v>
      </c>
      <c r="AL741" s="196" t="s">
        <v>793</v>
      </c>
      <c r="AM741" s="196">
        <v>0</v>
      </c>
      <c r="AN741" s="196">
        <v>46302</v>
      </c>
      <c r="AO741" s="196" t="s">
        <v>588</v>
      </c>
    </row>
    <row r="742" spans="33:41" ht="14.5" x14ac:dyDescent="0.35">
      <c r="AG742" s="196" t="s">
        <v>1528</v>
      </c>
      <c r="AH742" s="196" t="s">
        <v>754</v>
      </c>
      <c r="AI742" s="196">
        <v>45952</v>
      </c>
      <c r="AJ742" s="196">
        <v>78.5</v>
      </c>
      <c r="AK742" s="196" t="s">
        <v>564</v>
      </c>
      <c r="AL742" s="196" t="s">
        <v>793</v>
      </c>
      <c r="AM742" s="196">
        <v>0</v>
      </c>
      <c r="AN742" s="196">
        <v>46302</v>
      </c>
      <c r="AO742" s="196" t="s">
        <v>588</v>
      </c>
    </row>
    <row r="743" spans="33:41" ht="14.5" x14ac:dyDescent="0.35">
      <c r="AG743" s="196" t="s">
        <v>1529</v>
      </c>
      <c r="AH743" s="196" t="s">
        <v>754</v>
      </c>
      <c r="AI743" s="196">
        <v>45953</v>
      </c>
      <c r="AJ743" s="196">
        <v>78.33</v>
      </c>
      <c r="AK743" s="196" t="s">
        <v>564</v>
      </c>
      <c r="AL743" s="196" t="s">
        <v>793</v>
      </c>
      <c r="AM743" s="196">
        <v>0</v>
      </c>
      <c r="AN743" s="196">
        <v>46302</v>
      </c>
      <c r="AO743" s="196" t="s">
        <v>588</v>
      </c>
    </row>
    <row r="744" spans="33:41" ht="14.5" x14ac:dyDescent="0.35">
      <c r="AG744" s="196" t="s">
        <v>1530</v>
      </c>
      <c r="AH744" s="196" t="s">
        <v>754</v>
      </c>
      <c r="AI744" s="196">
        <v>45954</v>
      </c>
      <c r="AJ744" s="196">
        <v>78.17</v>
      </c>
      <c r="AK744" s="196" t="s">
        <v>564</v>
      </c>
      <c r="AL744" s="196" t="s">
        <v>793</v>
      </c>
      <c r="AM744" s="196">
        <v>0</v>
      </c>
      <c r="AN744" s="196">
        <v>46302</v>
      </c>
      <c r="AO744" s="196" t="s">
        <v>588</v>
      </c>
    </row>
    <row r="745" spans="33:41" ht="14.5" x14ac:dyDescent="0.35">
      <c r="AG745" s="196" t="s">
        <v>1531</v>
      </c>
      <c r="AH745" s="196" t="s">
        <v>754</v>
      </c>
      <c r="AI745" s="196">
        <v>45957</v>
      </c>
      <c r="AJ745" s="196">
        <v>77.67</v>
      </c>
      <c r="AK745" s="196" t="s">
        <v>564</v>
      </c>
      <c r="AL745" s="196" t="s">
        <v>793</v>
      </c>
      <c r="AM745" s="196">
        <v>0</v>
      </c>
      <c r="AN745" s="196">
        <v>46302</v>
      </c>
      <c r="AO745" s="196" t="s">
        <v>588</v>
      </c>
    </row>
    <row r="746" spans="33:41" ht="14.5" x14ac:dyDescent="0.35">
      <c r="AG746" s="196" t="s">
        <v>1532</v>
      </c>
      <c r="AH746" s="196" t="s">
        <v>754</v>
      </c>
      <c r="AI746" s="196">
        <v>45958</v>
      </c>
      <c r="AJ746" s="196">
        <v>77.5</v>
      </c>
      <c r="AK746" s="196" t="s">
        <v>564</v>
      </c>
      <c r="AL746" s="196" t="s">
        <v>793</v>
      </c>
      <c r="AM746" s="196">
        <v>0</v>
      </c>
      <c r="AN746" s="196">
        <v>46302</v>
      </c>
      <c r="AO746" s="196" t="s">
        <v>588</v>
      </c>
    </row>
    <row r="747" spans="33:41" ht="14.5" x14ac:dyDescent="0.35">
      <c r="AG747" s="196" t="s">
        <v>1533</v>
      </c>
      <c r="AH747" s="196" t="s">
        <v>754</v>
      </c>
      <c r="AI747" s="196">
        <v>45959</v>
      </c>
      <c r="AJ747" s="196">
        <v>77.33</v>
      </c>
      <c r="AK747" s="196" t="s">
        <v>564</v>
      </c>
      <c r="AL747" s="196" t="s">
        <v>793</v>
      </c>
      <c r="AM747" s="196">
        <v>0</v>
      </c>
      <c r="AN747" s="196">
        <v>46302</v>
      </c>
      <c r="AO747" s="196" t="s">
        <v>588</v>
      </c>
    </row>
    <row r="748" spans="33:41" ht="14.5" x14ac:dyDescent="0.35">
      <c r="AG748" s="196" t="s">
        <v>1534</v>
      </c>
      <c r="AH748" s="196" t="s">
        <v>754</v>
      </c>
      <c r="AI748" s="196">
        <v>45960</v>
      </c>
      <c r="AJ748" s="196">
        <v>77.17</v>
      </c>
      <c r="AK748" s="196" t="s">
        <v>564</v>
      </c>
      <c r="AL748" s="196" t="s">
        <v>793</v>
      </c>
      <c r="AM748" s="196">
        <v>0</v>
      </c>
      <c r="AN748" s="196">
        <v>46302</v>
      </c>
      <c r="AO748" s="196" t="s">
        <v>588</v>
      </c>
    </row>
    <row r="749" spans="33:41" ht="14.5" x14ac:dyDescent="0.35">
      <c r="AG749" s="196" t="s">
        <v>1535</v>
      </c>
      <c r="AH749" s="196" t="s">
        <v>754</v>
      </c>
      <c r="AI749" s="196">
        <v>45961</v>
      </c>
      <c r="AJ749" s="196">
        <v>77</v>
      </c>
      <c r="AK749" s="196" t="s">
        <v>564</v>
      </c>
      <c r="AL749" s="196" t="s">
        <v>793</v>
      </c>
      <c r="AM749" s="196">
        <v>0</v>
      </c>
      <c r="AN749" s="196">
        <v>46302</v>
      </c>
      <c r="AO749" s="196" t="s">
        <v>588</v>
      </c>
    </row>
    <row r="750" spans="33:41" ht="14.5" x14ac:dyDescent="0.35">
      <c r="AG750" s="196" t="s">
        <v>1536</v>
      </c>
      <c r="AH750" s="196" t="s">
        <v>754</v>
      </c>
      <c r="AI750" s="196">
        <v>45964</v>
      </c>
      <c r="AJ750" s="196">
        <v>76.010000000000005</v>
      </c>
      <c r="AK750" s="196" t="s">
        <v>564</v>
      </c>
      <c r="AL750" s="196" t="s">
        <v>793</v>
      </c>
      <c r="AM750" s="196">
        <v>0</v>
      </c>
      <c r="AN750" s="196">
        <v>46302</v>
      </c>
      <c r="AO750" s="196" t="s">
        <v>588</v>
      </c>
    </row>
    <row r="751" spans="33:41" ht="14.5" x14ac:dyDescent="0.35">
      <c r="AG751" s="196" t="s">
        <v>1537</v>
      </c>
      <c r="AH751" s="196" t="s">
        <v>754</v>
      </c>
      <c r="AI751" s="196">
        <v>45965</v>
      </c>
      <c r="AJ751" s="196">
        <v>76.11</v>
      </c>
      <c r="AK751" s="196" t="s">
        <v>564</v>
      </c>
      <c r="AL751" s="196" t="s">
        <v>793</v>
      </c>
      <c r="AM751" s="196">
        <v>0</v>
      </c>
      <c r="AN751" s="196">
        <v>46302</v>
      </c>
      <c r="AO751" s="196" t="s">
        <v>588</v>
      </c>
    </row>
    <row r="752" spans="33:41" ht="14.5" x14ac:dyDescent="0.35">
      <c r="AG752" s="196" t="s">
        <v>1538</v>
      </c>
      <c r="AH752" s="196" t="s">
        <v>754</v>
      </c>
      <c r="AI752" s="196">
        <v>45966</v>
      </c>
      <c r="AJ752" s="196">
        <v>76.209999999999994</v>
      </c>
      <c r="AK752" s="196" t="s">
        <v>564</v>
      </c>
      <c r="AL752" s="196" t="s">
        <v>793</v>
      </c>
      <c r="AM752" s="196">
        <v>0</v>
      </c>
      <c r="AN752" s="196">
        <v>46302</v>
      </c>
      <c r="AO752" s="196" t="s">
        <v>588</v>
      </c>
    </row>
    <row r="753" spans="33:41" ht="14.5" x14ac:dyDescent="0.35">
      <c r="AG753" s="196" t="s">
        <v>1539</v>
      </c>
      <c r="AH753" s="196" t="s">
        <v>754</v>
      </c>
      <c r="AI753" s="196">
        <v>45967</v>
      </c>
      <c r="AJ753" s="196">
        <v>76.319999999999993</v>
      </c>
      <c r="AK753" s="196" t="s">
        <v>564</v>
      </c>
      <c r="AL753" s="196" t="s">
        <v>793</v>
      </c>
      <c r="AM753" s="196">
        <v>0</v>
      </c>
      <c r="AN753" s="196">
        <v>46302</v>
      </c>
      <c r="AO753" s="196" t="s">
        <v>588</v>
      </c>
    </row>
    <row r="754" spans="33:41" ht="14.5" x14ac:dyDescent="0.35">
      <c r="AG754" s="196" t="s">
        <v>1540</v>
      </c>
      <c r="AH754" s="196" t="s">
        <v>754</v>
      </c>
      <c r="AI754" s="196">
        <v>45968</v>
      </c>
      <c r="AJ754" s="196">
        <v>76.42</v>
      </c>
      <c r="AK754" s="196" t="s">
        <v>564</v>
      </c>
      <c r="AL754" s="196" t="s">
        <v>793</v>
      </c>
      <c r="AM754" s="196">
        <v>0</v>
      </c>
      <c r="AN754" s="196">
        <v>46302</v>
      </c>
      <c r="AO754" s="196" t="s">
        <v>588</v>
      </c>
    </row>
    <row r="755" spans="33:41" ht="14.5" x14ac:dyDescent="0.35">
      <c r="AG755" s="196" t="s">
        <v>1541</v>
      </c>
      <c r="AH755" s="196" t="s">
        <v>754</v>
      </c>
      <c r="AI755" s="196">
        <v>45971</v>
      </c>
      <c r="AJ755" s="196">
        <v>76.73</v>
      </c>
      <c r="AK755" s="196" t="s">
        <v>564</v>
      </c>
      <c r="AL755" s="196" t="s">
        <v>793</v>
      </c>
      <c r="AM755" s="196">
        <v>0</v>
      </c>
      <c r="AN755" s="196">
        <v>46302</v>
      </c>
      <c r="AO755" s="196" t="s">
        <v>588</v>
      </c>
    </row>
    <row r="756" spans="33:41" ht="14.5" x14ac:dyDescent="0.35">
      <c r="AG756" s="196" t="s">
        <v>1542</v>
      </c>
      <c r="AH756" s="196" t="s">
        <v>754</v>
      </c>
      <c r="AI756" s="196">
        <v>45972</v>
      </c>
      <c r="AJ756" s="196">
        <v>76.83</v>
      </c>
      <c r="AK756" s="196" t="s">
        <v>564</v>
      </c>
      <c r="AL756" s="196" t="s">
        <v>793</v>
      </c>
      <c r="AM756" s="196">
        <v>0</v>
      </c>
      <c r="AN756" s="196">
        <v>46302</v>
      </c>
      <c r="AO756" s="196" t="s">
        <v>588</v>
      </c>
    </row>
    <row r="757" spans="33:41" ht="14.5" x14ac:dyDescent="0.35">
      <c r="AG757" s="196" t="s">
        <v>1543</v>
      </c>
      <c r="AH757" s="196" t="s">
        <v>754</v>
      </c>
      <c r="AI757" s="196">
        <v>45973</v>
      </c>
      <c r="AJ757" s="196">
        <v>76.94</v>
      </c>
      <c r="AK757" s="196" t="s">
        <v>564</v>
      </c>
      <c r="AL757" s="196" t="s">
        <v>793</v>
      </c>
      <c r="AM757" s="196">
        <v>0</v>
      </c>
      <c r="AN757" s="196">
        <v>46302</v>
      </c>
      <c r="AO757" s="196" t="s">
        <v>588</v>
      </c>
    </row>
    <row r="758" spans="33:41" ht="14.5" x14ac:dyDescent="0.35">
      <c r="AG758" s="196" t="s">
        <v>1544</v>
      </c>
      <c r="AH758" s="196" t="s">
        <v>754</v>
      </c>
      <c r="AI758" s="196">
        <v>45974</v>
      </c>
      <c r="AJ758" s="196">
        <v>77.040000000000006</v>
      </c>
      <c r="AK758" s="196" t="s">
        <v>564</v>
      </c>
      <c r="AL758" s="196" t="s">
        <v>793</v>
      </c>
      <c r="AM758" s="196">
        <v>0</v>
      </c>
      <c r="AN758" s="196">
        <v>46302</v>
      </c>
      <c r="AO758" s="196" t="s">
        <v>588</v>
      </c>
    </row>
    <row r="759" spans="33:41" ht="14.5" x14ac:dyDescent="0.35">
      <c r="AG759" s="196" t="s">
        <v>1545</v>
      </c>
      <c r="AH759" s="196" t="s">
        <v>754</v>
      </c>
      <c r="AI759" s="196">
        <v>45975</v>
      </c>
      <c r="AJ759" s="196">
        <v>77.14</v>
      </c>
      <c r="AK759" s="196" t="s">
        <v>564</v>
      </c>
      <c r="AL759" s="196" t="s">
        <v>793</v>
      </c>
      <c r="AM759" s="196">
        <v>0</v>
      </c>
      <c r="AN759" s="196">
        <v>46302</v>
      </c>
      <c r="AO759" s="196" t="s">
        <v>588</v>
      </c>
    </row>
    <row r="760" spans="33:41" ht="14.5" x14ac:dyDescent="0.35">
      <c r="AG760" s="196" t="s">
        <v>1546</v>
      </c>
      <c r="AH760" s="196" t="s">
        <v>754</v>
      </c>
      <c r="AI760" s="196">
        <v>45978</v>
      </c>
      <c r="AJ760" s="196">
        <v>77.459999999999994</v>
      </c>
      <c r="AK760" s="196" t="s">
        <v>564</v>
      </c>
      <c r="AL760" s="196" t="s">
        <v>793</v>
      </c>
      <c r="AM760" s="196">
        <v>0</v>
      </c>
      <c r="AN760" s="196">
        <v>46302</v>
      </c>
      <c r="AO760" s="196" t="s">
        <v>588</v>
      </c>
    </row>
    <row r="761" spans="33:41" ht="14.5" x14ac:dyDescent="0.35">
      <c r="AG761" s="196" t="s">
        <v>1547</v>
      </c>
      <c r="AH761" s="196" t="s">
        <v>754</v>
      </c>
      <c r="AI761" s="196">
        <v>45979</v>
      </c>
      <c r="AJ761" s="196">
        <v>77.56</v>
      </c>
      <c r="AK761" s="196" t="s">
        <v>564</v>
      </c>
      <c r="AL761" s="196" t="s">
        <v>793</v>
      </c>
      <c r="AM761" s="196">
        <v>0</v>
      </c>
      <c r="AN761" s="196">
        <v>46302</v>
      </c>
      <c r="AO761" s="196" t="s">
        <v>588</v>
      </c>
    </row>
    <row r="762" spans="33:41" ht="14.5" x14ac:dyDescent="0.35">
      <c r="AG762" s="196" t="s">
        <v>1548</v>
      </c>
      <c r="AH762" s="196" t="s">
        <v>754</v>
      </c>
      <c r="AI762" s="196">
        <v>45980</v>
      </c>
      <c r="AJ762" s="196">
        <v>77.66</v>
      </c>
      <c r="AK762" s="196" t="s">
        <v>564</v>
      </c>
      <c r="AL762" s="196" t="s">
        <v>793</v>
      </c>
      <c r="AM762" s="196">
        <v>0</v>
      </c>
      <c r="AN762" s="196">
        <v>46302</v>
      </c>
      <c r="AO762" s="196" t="s">
        <v>588</v>
      </c>
    </row>
    <row r="763" spans="33:41" ht="14.5" x14ac:dyDescent="0.35">
      <c r="AG763" s="196" t="s">
        <v>1549</v>
      </c>
      <c r="AH763" s="196" t="s">
        <v>754</v>
      </c>
      <c r="AI763" s="196">
        <v>45981</v>
      </c>
      <c r="AJ763" s="196">
        <v>77.77</v>
      </c>
      <c r="AK763" s="196" t="s">
        <v>564</v>
      </c>
      <c r="AL763" s="196" t="s">
        <v>793</v>
      </c>
      <c r="AM763" s="196">
        <v>0</v>
      </c>
      <c r="AN763" s="196">
        <v>46302</v>
      </c>
      <c r="AO763" s="196" t="s">
        <v>588</v>
      </c>
    </row>
    <row r="764" spans="33:41" ht="14.5" x14ac:dyDescent="0.35">
      <c r="AG764" s="196" t="s">
        <v>1550</v>
      </c>
      <c r="AH764" s="196" t="s">
        <v>754</v>
      </c>
      <c r="AI764" s="196">
        <v>45982</v>
      </c>
      <c r="AJ764" s="196">
        <v>77.87</v>
      </c>
      <c r="AK764" s="196" t="s">
        <v>564</v>
      </c>
      <c r="AL764" s="196" t="s">
        <v>793</v>
      </c>
      <c r="AM764" s="196">
        <v>0</v>
      </c>
      <c r="AN764" s="196">
        <v>46302</v>
      </c>
      <c r="AO764" s="196" t="s">
        <v>588</v>
      </c>
    </row>
    <row r="765" spans="33:41" ht="14.5" x14ac:dyDescent="0.35">
      <c r="AG765" s="196" t="s">
        <v>1551</v>
      </c>
      <c r="AH765" s="196" t="s">
        <v>754</v>
      </c>
      <c r="AI765" s="196">
        <v>45985</v>
      </c>
      <c r="AJ765" s="196">
        <v>78.180000000000007</v>
      </c>
      <c r="AK765" s="196" t="s">
        <v>564</v>
      </c>
      <c r="AL765" s="196" t="s">
        <v>793</v>
      </c>
      <c r="AM765" s="196">
        <v>0</v>
      </c>
      <c r="AN765" s="196">
        <v>46302</v>
      </c>
      <c r="AO765" s="196" t="s">
        <v>588</v>
      </c>
    </row>
    <row r="766" spans="33:41" ht="14.5" x14ac:dyDescent="0.35">
      <c r="AG766" s="196" t="s">
        <v>1552</v>
      </c>
      <c r="AH766" s="196" t="s">
        <v>754</v>
      </c>
      <c r="AI766" s="196">
        <v>45986</v>
      </c>
      <c r="AJ766" s="196">
        <v>78.28</v>
      </c>
      <c r="AK766" s="196" t="s">
        <v>564</v>
      </c>
      <c r="AL766" s="196" t="s">
        <v>793</v>
      </c>
      <c r="AM766" s="196">
        <v>0</v>
      </c>
      <c r="AN766" s="196">
        <v>46302</v>
      </c>
      <c r="AO766" s="196" t="s">
        <v>588</v>
      </c>
    </row>
    <row r="767" spans="33:41" ht="14.5" x14ac:dyDescent="0.35">
      <c r="AG767" s="196" t="s">
        <v>1553</v>
      </c>
      <c r="AH767" s="196" t="s">
        <v>754</v>
      </c>
      <c r="AI767" s="196">
        <v>45987</v>
      </c>
      <c r="AJ767" s="196">
        <v>78.39</v>
      </c>
      <c r="AK767" s="196" t="s">
        <v>564</v>
      </c>
      <c r="AL767" s="196" t="s">
        <v>793</v>
      </c>
      <c r="AM767" s="196">
        <v>0</v>
      </c>
      <c r="AN767" s="196">
        <v>46302</v>
      </c>
      <c r="AO767" s="196" t="s">
        <v>588</v>
      </c>
    </row>
    <row r="768" spans="33:41" ht="14.5" x14ac:dyDescent="0.35">
      <c r="AG768" s="196" t="s">
        <v>1554</v>
      </c>
      <c r="AH768" s="196" t="s">
        <v>754</v>
      </c>
      <c r="AI768" s="196">
        <v>45988</v>
      </c>
      <c r="AJ768" s="196">
        <v>78.489999999999995</v>
      </c>
      <c r="AK768" s="196" t="s">
        <v>564</v>
      </c>
      <c r="AL768" s="196" t="s">
        <v>793</v>
      </c>
      <c r="AM768" s="196">
        <v>0</v>
      </c>
      <c r="AN768" s="196">
        <v>46302</v>
      </c>
      <c r="AO768" s="196" t="s">
        <v>588</v>
      </c>
    </row>
    <row r="769" spans="33:41" ht="14.5" x14ac:dyDescent="0.35">
      <c r="AG769" s="196" t="s">
        <v>1555</v>
      </c>
      <c r="AH769" s="196" t="s">
        <v>754</v>
      </c>
      <c r="AI769" s="196">
        <v>45989</v>
      </c>
      <c r="AJ769" s="196">
        <v>78.59</v>
      </c>
      <c r="AK769" s="196" t="s">
        <v>564</v>
      </c>
      <c r="AL769" s="196" t="s">
        <v>793</v>
      </c>
      <c r="AM769" s="196">
        <v>0</v>
      </c>
      <c r="AN769" s="196">
        <v>46302</v>
      </c>
      <c r="AO769" s="196" t="s">
        <v>588</v>
      </c>
    </row>
    <row r="770" spans="33:41" ht="14.5" x14ac:dyDescent="0.35">
      <c r="AG770" s="196" t="s">
        <v>1556</v>
      </c>
      <c r="AH770" s="196" t="s">
        <v>754</v>
      </c>
      <c r="AI770" s="196">
        <v>45992</v>
      </c>
      <c r="AJ770" s="196">
        <v>78.8</v>
      </c>
      <c r="AK770" s="196" t="s">
        <v>564</v>
      </c>
      <c r="AL770" s="196" t="s">
        <v>793</v>
      </c>
      <c r="AM770" s="196">
        <v>0</v>
      </c>
      <c r="AN770" s="196">
        <v>46302</v>
      </c>
      <c r="AO770" s="196" t="s">
        <v>588</v>
      </c>
    </row>
    <row r="771" spans="33:41" ht="14.5" x14ac:dyDescent="0.35">
      <c r="AG771" s="196" t="s">
        <v>1557</v>
      </c>
      <c r="AH771" s="196" t="s">
        <v>754</v>
      </c>
      <c r="AI771" s="196">
        <v>45993</v>
      </c>
      <c r="AJ771" s="196">
        <v>78.77</v>
      </c>
      <c r="AK771" s="196" t="s">
        <v>564</v>
      </c>
      <c r="AL771" s="196" t="s">
        <v>793</v>
      </c>
      <c r="AM771" s="196">
        <v>0</v>
      </c>
      <c r="AN771" s="196">
        <v>46302</v>
      </c>
      <c r="AO771" s="196" t="s">
        <v>588</v>
      </c>
    </row>
    <row r="772" spans="33:41" ht="14.5" x14ac:dyDescent="0.35">
      <c r="AG772" s="196" t="s">
        <v>1558</v>
      </c>
      <c r="AH772" s="196" t="s">
        <v>754</v>
      </c>
      <c r="AI772" s="196">
        <v>45994</v>
      </c>
      <c r="AJ772" s="196">
        <v>78.73</v>
      </c>
      <c r="AK772" s="196" t="s">
        <v>564</v>
      </c>
      <c r="AL772" s="196" t="s">
        <v>793</v>
      </c>
      <c r="AM772" s="196">
        <v>0</v>
      </c>
      <c r="AN772" s="196">
        <v>46302</v>
      </c>
      <c r="AO772" s="196" t="s">
        <v>588</v>
      </c>
    </row>
    <row r="773" spans="33:41" ht="14.5" x14ac:dyDescent="0.35">
      <c r="AG773" s="196" t="s">
        <v>1559</v>
      </c>
      <c r="AH773" s="196" t="s">
        <v>754</v>
      </c>
      <c r="AI773" s="196">
        <v>45995</v>
      </c>
      <c r="AJ773" s="196">
        <v>78.7</v>
      </c>
      <c r="AK773" s="196" t="s">
        <v>564</v>
      </c>
      <c r="AL773" s="196" t="s">
        <v>793</v>
      </c>
      <c r="AM773" s="196">
        <v>0</v>
      </c>
      <c r="AN773" s="196">
        <v>46302</v>
      </c>
      <c r="AO773" s="196" t="s">
        <v>588</v>
      </c>
    </row>
    <row r="774" spans="33:41" ht="14.5" x14ac:dyDescent="0.35">
      <c r="AG774" s="196" t="s">
        <v>1560</v>
      </c>
      <c r="AH774" s="196" t="s">
        <v>754</v>
      </c>
      <c r="AI774" s="196">
        <v>45996</v>
      </c>
      <c r="AJ774" s="196">
        <v>78.67</v>
      </c>
      <c r="AK774" s="196" t="s">
        <v>564</v>
      </c>
      <c r="AL774" s="196" t="s">
        <v>793</v>
      </c>
      <c r="AM774" s="196">
        <v>0</v>
      </c>
      <c r="AN774" s="196">
        <v>46302</v>
      </c>
      <c r="AO774" s="196" t="s">
        <v>588</v>
      </c>
    </row>
    <row r="775" spans="33:41" ht="14.5" x14ac:dyDescent="0.35">
      <c r="AG775" s="196" t="s">
        <v>1561</v>
      </c>
      <c r="AH775" s="196" t="s">
        <v>754</v>
      </c>
      <c r="AI775" s="196">
        <v>45999</v>
      </c>
      <c r="AJ775" s="196">
        <v>78.569999999999993</v>
      </c>
      <c r="AK775" s="196" t="s">
        <v>564</v>
      </c>
      <c r="AL775" s="196" t="s">
        <v>793</v>
      </c>
      <c r="AM775" s="196">
        <v>0</v>
      </c>
      <c r="AN775" s="196">
        <v>46302</v>
      </c>
      <c r="AO775" s="196" t="s">
        <v>588</v>
      </c>
    </row>
    <row r="776" spans="33:41" ht="14.5" x14ac:dyDescent="0.35">
      <c r="AG776" s="196" t="s">
        <v>1562</v>
      </c>
      <c r="AH776" s="196" t="s">
        <v>754</v>
      </c>
      <c r="AI776" s="196">
        <v>46000</v>
      </c>
      <c r="AJ776" s="196">
        <v>78.53</v>
      </c>
      <c r="AK776" s="196" t="s">
        <v>564</v>
      </c>
      <c r="AL776" s="196" t="s">
        <v>793</v>
      </c>
      <c r="AM776" s="196">
        <v>0</v>
      </c>
      <c r="AN776" s="196">
        <v>46302</v>
      </c>
      <c r="AO776" s="196" t="s">
        <v>588</v>
      </c>
    </row>
    <row r="777" spans="33:41" ht="14.5" x14ac:dyDescent="0.35">
      <c r="AG777" s="196" t="s">
        <v>1563</v>
      </c>
      <c r="AH777" s="196" t="s">
        <v>754</v>
      </c>
      <c r="AI777" s="196">
        <v>46001</v>
      </c>
      <c r="AJ777" s="196">
        <v>78.5</v>
      </c>
      <c r="AK777" s="196" t="s">
        <v>564</v>
      </c>
      <c r="AL777" s="196" t="s">
        <v>793</v>
      </c>
      <c r="AM777" s="196">
        <v>0</v>
      </c>
      <c r="AN777" s="196">
        <v>46302</v>
      </c>
      <c r="AO777" s="196" t="s">
        <v>588</v>
      </c>
    </row>
    <row r="778" spans="33:41" ht="14.5" x14ac:dyDescent="0.35">
      <c r="AG778" s="196" t="s">
        <v>1564</v>
      </c>
      <c r="AH778" s="196" t="s">
        <v>754</v>
      </c>
      <c r="AI778" s="196">
        <v>46002</v>
      </c>
      <c r="AJ778" s="196">
        <v>78.47</v>
      </c>
      <c r="AK778" s="196" t="s">
        <v>564</v>
      </c>
      <c r="AL778" s="196" t="s">
        <v>793</v>
      </c>
      <c r="AM778" s="196">
        <v>0</v>
      </c>
      <c r="AN778" s="196">
        <v>46302</v>
      </c>
      <c r="AO778" s="196" t="s">
        <v>588</v>
      </c>
    </row>
    <row r="779" spans="33:41" ht="14.5" x14ac:dyDescent="0.35">
      <c r="AG779" s="196" t="s">
        <v>1565</v>
      </c>
      <c r="AH779" s="196" t="s">
        <v>754</v>
      </c>
      <c r="AI779" s="196">
        <v>46003</v>
      </c>
      <c r="AJ779" s="196">
        <v>78.430000000000007</v>
      </c>
      <c r="AK779" s="196" t="s">
        <v>564</v>
      </c>
      <c r="AL779" s="196" t="s">
        <v>793</v>
      </c>
      <c r="AM779" s="196">
        <v>0</v>
      </c>
      <c r="AN779" s="196">
        <v>46302</v>
      </c>
      <c r="AO779" s="196" t="s">
        <v>588</v>
      </c>
    </row>
    <row r="780" spans="33:41" ht="14.5" x14ac:dyDescent="0.35">
      <c r="AG780" s="196" t="s">
        <v>1566</v>
      </c>
      <c r="AH780" s="196" t="s">
        <v>754</v>
      </c>
      <c r="AI780" s="196">
        <v>46006</v>
      </c>
      <c r="AJ780" s="196">
        <v>78.33</v>
      </c>
      <c r="AK780" s="196" t="s">
        <v>564</v>
      </c>
      <c r="AL780" s="196" t="s">
        <v>793</v>
      </c>
      <c r="AM780" s="196">
        <v>0</v>
      </c>
      <c r="AN780" s="196">
        <v>46302</v>
      </c>
      <c r="AO780" s="196" t="s">
        <v>588</v>
      </c>
    </row>
    <row r="781" spans="33:41" ht="14.5" x14ac:dyDescent="0.35">
      <c r="AG781" s="196" t="s">
        <v>1567</v>
      </c>
      <c r="AH781" s="196" t="s">
        <v>754</v>
      </c>
      <c r="AI781" s="196">
        <v>46007</v>
      </c>
      <c r="AJ781" s="196">
        <v>78.3</v>
      </c>
      <c r="AK781" s="196" t="s">
        <v>564</v>
      </c>
      <c r="AL781" s="196" t="s">
        <v>793</v>
      </c>
      <c r="AM781" s="196">
        <v>0</v>
      </c>
      <c r="AN781" s="196">
        <v>46302</v>
      </c>
      <c r="AO781" s="196" t="s">
        <v>588</v>
      </c>
    </row>
    <row r="782" spans="33:41" ht="14.5" x14ac:dyDescent="0.35">
      <c r="AG782" s="196" t="s">
        <v>1568</v>
      </c>
      <c r="AH782" s="196" t="s">
        <v>754</v>
      </c>
      <c r="AI782" s="196">
        <v>46008</v>
      </c>
      <c r="AJ782" s="196">
        <v>78.27</v>
      </c>
      <c r="AK782" s="196" t="s">
        <v>564</v>
      </c>
      <c r="AL782" s="196" t="s">
        <v>793</v>
      </c>
      <c r="AM782" s="196">
        <v>0</v>
      </c>
      <c r="AN782" s="196">
        <v>46302</v>
      </c>
      <c r="AO782" s="196" t="s">
        <v>588</v>
      </c>
    </row>
    <row r="783" spans="33:41" ht="14.5" x14ac:dyDescent="0.35">
      <c r="AG783" s="196" t="s">
        <v>1569</v>
      </c>
      <c r="AH783" s="196" t="s">
        <v>754</v>
      </c>
      <c r="AI783" s="196">
        <v>46009</v>
      </c>
      <c r="AJ783" s="196">
        <v>78.23</v>
      </c>
      <c r="AK783" s="196" t="s">
        <v>564</v>
      </c>
      <c r="AL783" s="196" t="s">
        <v>793</v>
      </c>
      <c r="AM783" s="196">
        <v>0</v>
      </c>
      <c r="AN783" s="196">
        <v>46302</v>
      </c>
      <c r="AO783" s="196" t="s">
        <v>588</v>
      </c>
    </row>
    <row r="784" spans="33:41" ht="14.5" x14ac:dyDescent="0.35">
      <c r="AG784" s="196" t="s">
        <v>1570</v>
      </c>
      <c r="AH784" s="196" t="s">
        <v>754</v>
      </c>
      <c r="AI784" s="196">
        <v>46010</v>
      </c>
      <c r="AJ784" s="196">
        <v>78.2</v>
      </c>
      <c r="AK784" s="196" t="s">
        <v>564</v>
      </c>
      <c r="AL784" s="196" t="s">
        <v>793</v>
      </c>
      <c r="AM784" s="196">
        <v>0</v>
      </c>
      <c r="AN784" s="196">
        <v>46302</v>
      </c>
      <c r="AO784" s="196" t="s">
        <v>588</v>
      </c>
    </row>
    <row r="785" spans="33:41" ht="14.5" x14ac:dyDescent="0.35">
      <c r="AG785" s="196" t="s">
        <v>1571</v>
      </c>
      <c r="AH785" s="196" t="s">
        <v>754</v>
      </c>
      <c r="AI785" s="196">
        <v>46013</v>
      </c>
      <c r="AJ785" s="196">
        <v>78.099999999999994</v>
      </c>
      <c r="AK785" s="196" t="s">
        <v>564</v>
      </c>
      <c r="AL785" s="196" t="s">
        <v>793</v>
      </c>
      <c r="AM785" s="196">
        <v>0</v>
      </c>
      <c r="AN785" s="196">
        <v>46302</v>
      </c>
      <c r="AO785" s="196" t="s">
        <v>588</v>
      </c>
    </row>
    <row r="786" spans="33:41" ht="14.5" x14ac:dyDescent="0.35">
      <c r="AG786" s="196" t="s">
        <v>1572</v>
      </c>
      <c r="AH786" s="196" t="s">
        <v>754</v>
      </c>
      <c r="AI786" s="196">
        <v>46014</v>
      </c>
      <c r="AJ786" s="196">
        <v>78.069999999999993</v>
      </c>
      <c r="AK786" s="196" t="s">
        <v>564</v>
      </c>
      <c r="AL786" s="196" t="s">
        <v>793</v>
      </c>
      <c r="AM786" s="196">
        <v>0</v>
      </c>
      <c r="AN786" s="196">
        <v>46302</v>
      </c>
      <c r="AO786" s="196" t="s">
        <v>588</v>
      </c>
    </row>
    <row r="787" spans="33:41" ht="14.5" x14ac:dyDescent="0.35">
      <c r="AG787" s="196" t="s">
        <v>1573</v>
      </c>
      <c r="AH787" s="196" t="s">
        <v>754</v>
      </c>
      <c r="AI787" s="196">
        <v>46015</v>
      </c>
      <c r="AJ787" s="196">
        <v>78.03</v>
      </c>
      <c r="AK787" s="196" t="s">
        <v>564</v>
      </c>
      <c r="AL787" s="196" t="s">
        <v>793</v>
      </c>
      <c r="AM787" s="196">
        <v>0</v>
      </c>
      <c r="AN787" s="196">
        <v>46302</v>
      </c>
      <c r="AO787" s="196" t="s">
        <v>588</v>
      </c>
    </row>
    <row r="788" spans="33:41" ht="14.5" x14ac:dyDescent="0.35">
      <c r="AG788" s="196" t="s">
        <v>1574</v>
      </c>
      <c r="AH788" s="196" t="s">
        <v>754</v>
      </c>
      <c r="AI788" s="196">
        <v>46016</v>
      </c>
      <c r="AJ788" s="196">
        <v>78</v>
      </c>
      <c r="AK788" s="196" t="s">
        <v>564</v>
      </c>
      <c r="AL788" s="196" t="s">
        <v>793</v>
      </c>
      <c r="AM788" s="196">
        <v>0</v>
      </c>
      <c r="AN788" s="196">
        <v>46302</v>
      </c>
      <c r="AO788" s="196" t="s">
        <v>588</v>
      </c>
    </row>
    <row r="789" spans="33:41" ht="14.5" x14ac:dyDescent="0.35">
      <c r="AG789" s="196" t="s">
        <v>1575</v>
      </c>
      <c r="AH789" s="196" t="s">
        <v>754</v>
      </c>
      <c r="AI789" s="196">
        <v>46017</v>
      </c>
      <c r="AJ789" s="196">
        <v>77.97</v>
      </c>
      <c r="AK789" s="196" t="s">
        <v>564</v>
      </c>
      <c r="AL789" s="196" t="s">
        <v>793</v>
      </c>
      <c r="AM789" s="196">
        <v>0</v>
      </c>
      <c r="AN789" s="196">
        <v>46302</v>
      </c>
      <c r="AO789" s="196" t="s">
        <v>588</v>
      </c>
    </row>
    <row r="790" spans="33:41" ht="14.5" x14ac:dyDescent="0.35">
      <c r="AG790" s="196" t="s">
        <v>1576</v>
      </c>
      <c r="AH790" s="196" t="s">
        <v>754</v>
      </c>
      <c r="AI790" s="196">
        <v>46020</v>
      </c>
      <c r="AJ790" s="196">
        <v>77.87</v>
      </c>
      <c r="AK790" s="196" t="s">
        <v>564</v>
      </c>
      <c r="AL790" s="196" t="s">
        <v>793</v>
      </c>
      <c r="AM790" s="196">
        <v>0</v>
      </c>
      <c r="AN790" s="196">
        <v>46302</v>
      </c>
      <c r="AO790" s="196" t="s">
        <v>588</v>
      </c>
    </row>
    <row r="791" spans="33:41" ht="14.5" x14ac:dyDescent="0.35">
      <c r="AG791" s="196" t="s">
        <v>1577</v>
      </c>
      <c r="AH791" s="196" t="s">
        <v>754</v>
      </c>
      <c r="AI791" s="196">
        <v>46021</v>
      </c>
      <c r="AJ791" s="196">
        <v>77.83</v>
      </c>
      <c r="AK791" s="196" t="s">
        <v>564</v>
      </c>
      <c r="AL791" s="196" t="s">
        <v>793</v>
      </c>
      <c r="AM791" s="196">
        <v>0</v>
      </c>
      <c r="AN791" s="196">
        <v>46302</v>
      </c>
      <c r="AO791" s="196" t="s">
        <v>588</v>
      </c>
    </row>
    <row r="792" spans="33:41" ht="14.5" x14ac:dyDescent="0.35">
      <c r="AG792" s="196" t="s">
        <v>1578</v>
      </c>
      <c r="AH792" s="196" t="s">
        <v>754</v>
      </c>
      <c r="AI792" s="196">
        <v>46022</v>
      </c>
      <c r="AJ792" s="196">
        <v>77.8</v>
      </c>
      <c r="AK792" s="196" t="s">
        <v>564</v>
      </c>
      <c r="AL792" s="196" t="s">
        <v>793</v>
      </c>
      <c r="AM792" s="196">
        <v>0</v>
      </c>
      <c r="AN792" s="196">
        <v>46302</v>
      </c>
      <c r="AO792" s="196" t="s">
        <v>588</v>
      </c>
    </row>
  </sheetData>
  <mergeCells count="2">
    <mergeCell ref="A1:P2"/>
    <mergeCell ref="A3:P4"/>
  </mergeCells>
  <phoneticPr fontId="136" type="noConversion"/>
  <pageMargins left="0.7" right="0.7" top="0.75" bottom="0.75" header="0.3" footer="0.3"/>
  <tableParts count="7">
    <tablePart r:id="rId1"/>
    <tablePart r:id="rId2"/>
    <tablePart r:id="rId3"/>
    <tablePart r:id="rId4"/>
    <tablePart r:id="rId5"/>
    <tablePart r:id="rId6"/>
    <tablePart r:id="rId7"/>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89970-D793-4D6A-86D9-9F00DB460535}">
  <dimension ref="A1:P792"/>
  <sheetViews>
    <sheetView showGridLines="0" workbookViewId="0">
      <pane ySplit="6" topLeftCell="A7" activePane="bottomLeft" state="frozenSplit"/>
      <selection pane="bottomLeft" sqref="A1:P2"/>
    </sheetView>
  </sheetViews>
  <sheetFormatPr defaultColWidth="18.6328125" defaultRowHeight="20" customHeight="1" x14ac:dyDescent="0.35"/>
  <cols>
    <col min="1" max="1" width="29.36328125" style="184" bestFit="1" customWidth="1"/>
    <col min="2" max="2" width="14.1796875" style="184" bestFit="1" customWidth="1"/>
    <col min="3" max="3" width="10.08984375" style="187" bestFit="1" customWidth="1"/>
    <col min="4" max="4" width="7.81640625" style="193" bestFit="1" customWidth="1"/>
    <col min="5" max="5" width="10.7265625" style="184" bestFit="1" customWidth="1"/>
    <col min="6" max="6" width="24.81640625" style="184" bestFit="1" customWidth="1"/>
    <col min="7" max="7" width="10.08984375" style="184" bestFit="1" customWidth="1"/>
    <col min="8" max="8" width="17.7265625" style="200" bestFit="1" customWidth="1"/>
    <col min="9" max="9" width="11.6328125" style="184" bestFit="1" customWidth="1"/>
    <col min="10" max="10" width="16.36328125" style="184" bestFit="1" customWidth="1"/>
    <col min="11" max="11" width="18.26953125" style="184" bestFit="1" customWidth="1"/>
    <col min="12" max="12" width="8.453125" style="184" bestFit="1" customWidth="1"/>
    <col min="13" max="13" width="9.26953125" style="184" bestFit="1" customWidth="1"/>
    <col min="14" max="16384" width="18.6328125" style="184"/>
  </cols>
  <sheetData>
    <row r="1" spans="1:16" ht="20" customHeight="1" x14ac:dyDescent="0.35">
      <c r="A1" s="224" t="s">
        <v>659</v>
      </c>
      <c r="B1" s="224"/>
      <c r="C1" s="224"/>
      <c r="D1" s="224"/>
      <c r="E1" s="224"/>
      <c r="F1" s="224"/>
      <c r="G1" s="224"/>
      <c r="H1" s="224"/>
      <c r="I1" s="224"/>
      <c r="J1" s="224"/>
      <c r="K1" s="224"/>
      <c r="L1" s="224"/>
      <c r="M1" s="224"/>
      <c r="N1" s="224"/>
      <c r="O1" s="224"/>
      <c r="P1" s="224"/>
    </row>
    <row r="2" spans="1:16" ht="20" customHeight="1" x14ac:dyDescent="0.35">
      <c r="A2" s="224"/>
      <c r="B2" s="224"/>
      <c r="C2" s="224"/>
      <c r="D2" s="224"/>
      <c r="E2" s="224"/>
      <c r="F2" s="224"/>
      <c r="G2" s="224"/>
      <c r="H2" s="224"/>
      <c r="I2" s="224"/>
      <c r="J2" s="224"/>
      <c r="K2" s="224"/>
      <c r="L2" s="224"/>
      <c r="M2" s="224"/>
      <c r="N2" s="224"/>
      <c r="O2" s="224"/>
      <c r="P2" s="224"/>
    </row>
    <row r="3" spans="1:16" ht="20" customHeight="1" x14ac:dyDescent="0.35">
      <c r="A3" s="225" t="s">
        <v>622</v>
      </c>
      <c r="B3" s="225"/>
      <c r="C3" s="225"/>
      <c r="D3" s="225"/>
      <c r="E3" s="225"/>
      <c r="F3" s="225"/>
      <c r="G3" s="225"/>
      <c r="H3" s="225"/>
      <c r="I3" s="225"/>
      <c r="J3" s="225"/>
      <c r="K3" s="225"/>
      <c r="L3" s="225"/>
      <c r="M3" s="225"/>
      <c r="N3" s="225"/>
      <c r="O3" s="225"/>
      <c r="P3" s="225"/>
    </row>
    <row r="4" spans="1:16" ht="20" customHeight="1" x14ac:dyDescent="0.35">
      <c r="A4" s="225"/>
      <c r="B4" s="225"/>
      <c r="C4" s="225"/>
      <c r="D4" s="225"/>
      <c r="E4" s="225"/>
      <c r="F4" s="225"/>
      <c r="G4" s="225"/>
      <c r="H4" s="225"/>
      <c r="I4" s="225"/>
      <c r="J4" s="225"/>
      <c r="K4" s="225"/>
      <c r="L4" s="225"/>
      <c r="M4" s="225"/>
      <c r="N4" s="225"/>
      <c r="O4" s="225"/>
      <c r="P4" s="225"/>
    </row>
    <row r="6" spans="1:16" ht="14.5" x14ac:dyDescent="0.35">
      <c r="A6" s="194" t="s">
        <v>583</v>
      </c>
      <c r="B6" s="194" t="s">
        <v>568</v>
      </c>
      <c r="C6" s="189" t="s">
        <v>72</v>
      </c>
      <c r="D6" s="195" t="s">
        <v>584</v>
      </c>
      <c r="E6" s="194" t="s">
        <v>559</v>
      </c>
      <c r="F6" s="194" t="s">
        <v>416</v>
      </c>
      <c r="G6" s="194" t="s">
        <v>585</v>
      </c>
      <c r="H6" s="201" t="s">
        <v>586</v>
      </c>
      <c r="I6" s="194" t="s">
        <v>587</v>
      </c>
      <c r="J6" s="194" t="s">
        <v>623</v>
      </c>
      <c r="K6" s="194" t="s">
        <v>660</v>
      </c>
      <c r="L6" s="194" t="s">
        <v>236</v>
      </c>
      <c r="M6" s="194" t="s">
        <v>624</v>
      </c>
    </row>
    <row r="7" spans="1:16" ht="14.5" x14ac:dyDescent="0.35">
      <c r="A7" s="260" t="s">
        <v>792</v>
      </c>
      <c r="B7" s="260" t="s">
        <v>749</v>
      </c>
      <c r="C7" s="190">
        <v>45657</v>
      </c>
      <c r="D7" s="197">
        <v>100</v>
      </c>
      <c r="E7" s="260" t="s">
        <v>564</v>
      </c>
      <c r="F7" s="260" t="s">
        <v>793</v>
      </c>
      <c r="G7" s="196">
        <v>0</v>
      </c>
      <c r="H7" s="202">
        <v>46302</v>
      </c>
      <c r="I7" s="260" t="s">
        <v>588</v>
      </c>
      <c r="J7" s="196">
        <v>1</v>
      </c>
      <c r="K7" s="196">
        <v>0</v>
      </c>
      <c r="L7" s="260" t="s">
        <v>239</v>
      </c>
      <c r="M7" s="260" t="s">
        <v>514</v>
      </c>
    </row>
    <row r="8" spans="1:16" ht="14.5" x14ac:dyDescent="0.35">
      <c r="A8" s="260" t="s">
        <v>794</v>
      </c>
      <c r="B8" s="260" t="s">
        <v>749</v>
      </c>
      <c r="C8" s="190">
        <v>45658</v>
      </c>
      <c r="D8" s="197">
        <v>100</v>
      </c>
      <c r="E8" s="260" t="s">
        <v>564</v>
      </c>
      <c r="F8" s="260" t="s">
        <v>793</v>
      </c>
      <c r="G8" s="196">
        <v>0</v>
      </c>
      <c r="H8" s="202">
        <v>46302</v>
      </c>
      <c r="I8" s="260" t="s">
        <v>588</v>
      </c>
      <c r="J8" s="196">
        <v>1</v>
      </c>
      <c r="K8" s="196">
        <v>0</v>
      </c>
      <c r="L8" s="260" t="s">
        <v>239</v>
      </c>
      <c r="M8" s="260" t="s">
        <v>514</v>
      </c>
    </row>
    <row r="9" spans="1:16" ht="14.5" x14ac:dyDescent="0.35">
      <c r="A9" s="260" t="s">
        <v>795</v>
      </c>
      <c r="B9" s="260" t="s">
        <v>749</v>
      </c>
      <c r="C9" s="190">
        <v>45659</v>
      </c>
      <c r="D9" s="197">
        <v>100.07</v>
      </c>
      <c r="E9" s="260" t="s">
        <v>564</v>
      </c>
      <c r="F9" s="260" t="s">
        <v>793</v>
      </c>
      <c r="G9" s="196">
        <v>0</v>
      </c>
      <c r="H9" s="202">
        <v>46302</v>
      </c>
      <c r="I9" s="260" t="s">
        <v>588</v>
      </c>
      <c r="J9" s="196">
        <v>1</v>
      </c>
      <c r="K9" s="196">
        <v>0</v>
      </c>
      <c r="L9" s="260" t="s">
        <v>239</v>
      </c>
      <c r="M9" s="260" t="s">
        <v>514</v>
      </c>
    </row>
    <row r="10" spans="1:16" ht="14.5" x14ac:dyDescent="0.35">
      <c r="A10" s="260" t="s">
        <v>796</v>
      </c>
      <c r="B10" s="260" t="s">
        <v>749</v>
      </c>
      <c r="C10" s="190">
        <v>45660</v>
      </c>
      <c r="D10" s="197">
        <v>100.13</v>
      </c>
      <c r="E10" s="260" t="s">
        <v>564</v>
      </c>
      <c r="F10" s="260" t="s">
        <v>793</v>
      </c>
      <c r="G10" s="196">
        <v>0</v>
      </c>
      <c r="H10" s="202">
        <v>46302</v>
      </c>
      <c r="I10" s="260" t="s">
        <v>588</v>
      </c>
      <c r="J10" s="196">
        <v>1</v>
      </c>
      <c r="K10" s="196">
        <v>0</v>
      </c>
      <c r="L10" s="260" t="s">
        <v>239</v>
      </c>
      <c r="M10" s="260" t="s">
        <v>514</v>
      </c>
    </row>
    <row r="11" spans="1:16" ht="14.5" x14ac:dyDescent="0.35">
      <c r="A11" s="260" t="s">
        <v>797</v>
      </c>
      <c r="B11" s="260" t="s">
        <v>749</v>
      </c>
      <c r="C11" s="190">
        <v>45663</v>
      </c>
      <c r="D11" s="197">
        <v>100.33</v>
      </c>
      <c r="E11" s="260" t="s">
        <v>564</v>
      </c>
      <c r="F11" s="260" t="s">
        <v>793</v>
      </c>
      <c r="G11" s="196">
        <v>0</v>
      </c>
      <c r="H11" s="202">
        <v>46302</v>
      </c>
      <c r="I11" s="260" t="s">
        <v>588</v>
      </c>
      <c r="J11" s="196">
        <v>1</v>
      </c>
      <c r="K11" s="196">
        <v>0</v>
      </c>
      <c r="L11" s="260" t="s">
        <v>239</v>
      </c>
      <c r="M11" s="260" t="s">
        <v>514</v>
      </c>
    </row>
    <row r="12" spans="1:16" ht="14.5" x14ac:dyDescent="0.35">
      <c r="A12" s="260" t="s">
        <v>798</v>
      </c>
      <c r="B12" s="260" t="s">
        <v>749</v>
      </c>
      <c r="C12" s="190">
        <v>45664</v>
      </c>
      <c r="D12" s="197">
        <v>100.4</v>
      </c>
      <c r="E12" s="260" t="s">
        <v>564</v>
      </c>
      <c r="F12" s="260" t="s">
        <v>793</v>
      </c>
      <c r="G12" s="196">
        <v>0</v>
      </c>
      <c r="H12" s="202">
        <v>46302</v>
      </c>
      <c r="I12" s="260" t="s">
        <v>588</v>
      </c>
      <c r="J12" s="196">
        <v>1</v>
      </c>
      <c r="K12" s="196">
        <v>0</v>
      </c>
      <c r="L12" s="260" t="s">
        <v>239</v>
      </c>
      <c r="M12" s="260" t="s">
        <v>514</v>
      </c>
    </row>
    <row r="13" spans="1:16" ht="14.5" x14ac:dyDescent="0.35">
      <c r="A13" s="260" t="s">
        <v>799</v>
      </c>
      <c r="B13" s="260" t="s">
        <v>749</v>
      </c>
      <c r="C13" s="190">
        <v>45665</v>
      </c>
      <c r="D13" s="197">
        <v>100.47</v>
      </c>
      <c r="E13" s="260" t="s">
        <v>564</v>
      </c>
      <c r="F13" s="260" t="s">
        <v>793</v>
      </c>
      <c r="G13" s="196">
        <v>0</v>
      </c>
      <c r="H13" s="202">
        <v>46302</v>
      </c>
      <c r="I13" s="260" t="s">
        <v>588</v>
      </c>
      <c r="J13" s="196">
        <v>1</v>
      </c>
      <c r="K13" s="196">
        <v>0</v>
      </c>
      <c r="L13" s="260" t="s">
        <v>239</v>
      </c>
      <c r="M13" s="260" t="s">
        <v>514</v>
      </c>
    </row>
    <row r="14" spans="1:16" ht="14.5" x14ac:dyDescent="0.35">
      <c r="A14" s="260" t="s">
        <v>800</v>
      </c>
      <c r="B14" s="260" t="s">
        <v>749</v>
      </c>
      <c r="C14" s="190">
        <v>45666</v>
      </c>
      <c r="D14" s="197">
        <v>100.53</v>
      </c>
      <c r="E14" s="260" t="s">
        <v>564</v>
      </c>
      <c r="F14" s="260" t="s">
        <v>793</v>
      </c>
      <c r="G14" s="196">
        <v>0</v>
      </c>
      <c r="H14" s="202">
        <v>46302</v>
      </c>
      <c r="I14" s="260" t="s">
        <v>588</v>
      </c>
      <c r="J14" s="196">
        <v>1</v>
      </c>
      <c r="K14" s="196">
        <v>0</v>
      </c>
      <c r="L14" s="260" t="s">
        <v>239</v>
      </c>
      <c r="M14" s="260" t="s">
        <v>514</v>
      </c>
    </row>
    <row r="15" spans="1:16" ht="14.5" x14ac:dyDescent="0.35">
      <c r="A15" s="260" t="s">
        <v>801</v>
      </c>
      <c r="B15" s="260" t="s">
        <v>749</v>
      </c>
      <c r="C15" s="190">
        <v>45667</v>
      </c>
      <c r="D15" s="197">
        <v>100.6</v>
      </c>
      <c r="E15" s="260" t="s">
        <v>564</v>
      </c>
      <c r="F15" s="260" t="s">
        <v>793</v>
      </c>
      <c r="G15" s="196">
        <v>0</v>
      </c>
      <c r="H15" s="202">
        <v>46302</v>
      </c>
      <c r="I15" s="260" t="s">
        <v>588</v>
      </c>
      <c r="J15" s="196">
        <v>1</v>
      </c>
      <c r="K15" s="196">
        <v>0</v>
      </c>
      <c r="L15" s="260" t="s">
        <v>239</v>
      </c>
      <c r="M15" s="260" t="s">
        <v>514</v>
      </c>
    </row>
    <row r="16" spans="1:16" ht="14.5" x14ac:dyDescent="0.35">
      <c r="A16" s="260" t="s">
        <v>802</v>
      </c>
      <c r="B16" s="260" t="s">
        <v>749</v>
      </c>
      <c r="C16" s="190">
        <v>45670</v>
      </c>
      <c r="D16" s="197">
        <v>100.8</v>
      </c>
      <c r="E16" s="260" t="s">
        <v>564</v>
      </c>
      <c r="F16" s="260" t="s">
        <v>793</v>
      </c>
      <c r="G16" s="196">
        <v>0</v>
      </c>
      <c r="H16" s="202">
        <v>46302</v>
      </c>
      <c r="I16" s="260" t="s">
        <v>588</v>
      </c>
      <c r="J16" s="196">
        <v>1</v>
      </c>
      <c r="K16" s="196">
        <v>0</v>
      </c>
      <c r="L16" s="260" t="s">
        <v>239</v>
      </c>
      <c r="M16" s="260" t="s">
        <v>514</v>
      </c>
    </row>
    <row r="17" spans="1:13" ht="14.5" x14ac:dyDescent="0.35">
      <c r="A17" s="260" t="s">
        <v>803</v>
      </c>
      <c r="B17" s="260" t="s">
        <v>749</v>
      </c>
      <c r="C17" s="190">
        <v>45671</v>
      </c>
      <c r="D17" s="197">
        <v>100.87</v>
      </c>
      <c r="E17" s="260" t="s">
        <v>564</v>
      </c>
      <c r="F17" s="260" t="s">
        <v>793</v>
      </c>
      <c r="G17" s="196">
        <v>0</v>
      </c>
      <c r="H17" s="202">
        <v>46302</v>
      </c>
      <c r="I17" s="260" t="s">
        <v>588</v>
      </c>
      <c r="J17" s="196">
        <v>1</v>
      </c>
      <c r="K17" s="196">
        <v>0</v>
      </c>
      <c r="L17" s="260" t="s">
        <v>239</v>
      </c>
      <c r="M17" s="260" t="s">
        <v>514</v>
      </c>
    </row>
    <row r="18" spans="1:13" ht="14.5" x14ac:dyDescent="0.35">
      <c r="A18" s="260" t="s">
        <v>804</v>
      </c>
      <c r="B18" s="260" t="s">
        <v>749</v>
      </c>
      <c r="C18" s="190">
        <v>45672</v>
      </c>
      <c r="D18" s="197">
        <v>100.93</v>
      </c>
      <c r="E18" s="260" t="s">
        <v>564</v>
      </c>
      <c r="F18" s="260" t="s">
        <v>793</v>
      </c>
      <c r="G18" s="196">
        <v>0</v>
      </c>
      <c r="H18" s="202">
        <v>46302</v>
      </c>
      <c r="I18" s="260" t="s">
        <v>588</v>
      </c>
      <c r="J18" s="196">
        <v>1</v>
      </c>
      <c r="K18" s="196">
        <v>0</v>
      </c>
      <c r="L18" s="260" t="s">
        <v>239</v>
      </c>
      <c r="M18" s="260" t="s">
        <v>514</v>
      </c>
    </row>
    <row r="19" spans="1:13" ht="14.5" x14ac:dyDescent="0.35">
      <c r="A19" s="260" t="s">
        <v>805</v>
      </c>
      <c r="B19" s="260" t="s">
        <v>749</v>
      </c>
      <c r="C19" s="190">
        <v>45673</v>
      </c>
      <c r="D19" s="197">
        <v>101</v>
      </c>
      <c r="E19" s="260" t="s">
        <v>564</v>
      </c>
      <c r="F19" s="260" t="s">
        <v>793</v>
      </c>
      <c r="G19" s="196">
        <v>0</v>
      </c>
      <c r="H19" s="202">
        <v>46302</v>
      </c>
      <c r="I19" s="260" t="s">
        <v>588</v>
      </c>
      <c r="J19" s="196">
        <v>1</v>
      </c>
      <c r="K19" s="196">
        <v>0</v>
      </c>
      <c r="L19" s="260" t="s">
        <v>239</v>
      </c>
      <c r="M19" s="260" t="s">
        <v>514</v>
      </c>
    </row>
    <row r="20" spans="1:13" ht="14.5" x14ac:dyDescent="0.35">
      <c r="A20" s="260" t="s">
        <v>806</v>
      </c>
      <c r="B20" s="260" t="s">
        <v>749</v>
      </c>
      <c r="C20" s="190">
        <v>45674</v>
      </c>
      <c r="D20" s="197">
        <v>101.07</v>
      </c>
      <c r="E20" s="260" t="s">
        <v>564</v>
      </c>
      <c r="F20" s="260" t="s">
        <v>793</v>
      </c>
      <c r="G20" s="196">
        <v>0</v>
      </c>
      <c r="H20" s="202">
        <v>46302</v>
      </c>
      <c r="I20" s="260" t="s">
        <v>588</v>
      </c>
      <c r="J20" s="196">
        <v>1</v>
      </c>
      <c r="K20" s="196">
        <v>0</v>
      </c>
      <c r="L20" s="260" t="s">
        <v>239</v>
      </c>
      <c r="M20" s="260" t="s">
        <v>514</v>
      </c>
    </row>
    <row r="21" spans="1:13" ht="14.5" x14ac:dyDescent="0.35">
      <c r="A21" s="260" t="s">
        <v>807</v>
      </c>
      <c r="B21" s="260" t="s">
        <v>749</v>
      </c>
      <c r="C21" s="190">
        <v>45677</v>
      </c>
      <c r="D21" s="197">
        <v>101.27</v>
      </c>
      <c r="E21" s="260" t="s">
        <v>564</v>
      </c>
      <c r="F21" s="260" t="s">
        <v>793</v>
      </c>
      <c r="G21" s="196">
        <v>0</v>
      </c>
      <c r="H21" s="202">
        <v>46302</v>
      </c>
      <c r="I21" s="260" t="s">
        <v>588</v>
      </c>
      <c r="J21" s="196">
        <v>1</v>
      </c>
      <c r="K21" s="196">
        <v>0</v>
      </c>
      <c r="L21" s="260" t="s">
        <v>239</v>
      </c>
      <c r="M21" s="260" t="s">
        <v>514</v>
      </c>
    </row>
    <row r="22" spans="1:13" ht="14.5" x14ac:dyDescent="0.35">
      <c r="A22" s="260" t="s">
        <v>808</v>
      </c>
      <c r="B22" s="260" t="s">
        <v>749</v>
      </c>
      <c r="C22" s="190">
        <v>45678</v>
      </c>
      <c r="D22" s="197">
        <v>101.33</v>
      </c>
      <c r="E22" s="260" t="s">
        <v>564</v>
      </c>
      <c r="F22" s="260" t="s">
        <v>793</v>
      </c>
      <c r="G22" s="196">
        <v>0</v>
      </c>
      <c r="H22" s="202">
        <v>46302</v>
      </c>
      <c r="I22" s="260" t="s">
        <v>588</v>
      </c>
      <c r="J22" s="196">
        <v>1</v>
      </c>
      <c r="K22" s="196">
        <v>0</v>
      </c>
      <c r="L22" s="260" t="s">
        <v>239</v>
      </c>
      <c r="M22" s="260" t="s">
        <v>514</v>
      </c>
    </row>
    <row r="23" spans="1:13" ht="14.5" x14ac:dyDescent="0.35">
      <c r="A23" s="260" t="s">
        <v>809</v>
      </c>
      <c r="B23" s="260" t="s">
        <v>749</v>
      </c>
      <c r="C23" s="190">
        <v>45679</v>
      </c>
      <c r="D23" s="197">
        <v>101.4</v>
      </c>
      <c r="E23" s="260" t="s">
        <v>564</v>
      </c>
      <c r="F23" s="260" t="s">
        <v>793</v>
      </c>
      <c r="G23" s="196">
        <v>0</v>
      </c>
      <c r="H23" s="202">
        <v>46302</v>
      </c>
      <c r="I23" s="260" t="s">
        <v>588</v>
      </c>
      <c r="J23" s="196">
        <v>1</v>
      </c>
      <c r="K23" s="196">
        <v>0</v>
      </c>
      <c r="L23" s="260" t="s">
        <v>239</v>
      </c>
      <c r="M23" s="260" t="s">
        <v>514</v>
      </c>
    </row>
    <row r="24" spans="1:13" ht="14.5" x14ac:dyDescent="0.35">
      <c r="A24" s="260" t="s">
        <v>810</v>
      </c>
      <c r="B24" s="260" t="s">
        <v>749</v>
      </c>
      <c r="C24" s="190">
        <v>45680</v>
      </c>
      <c r="D24" s="197">
        <v>101.47</v>
      </c>
      <c r="E24" s="260" t="s">
        <v>564</v>
      </c>
      <c r="F24" s="260" t="s">
        <v>793</v>
      </c>
      <c r="G24" s="196">
        <v>0</v>
      </c>
      <c r="H24" s="202">
        <v>46302</v>
      </c>
      <c r="I24" s="260" t="s">
        <v>588</v>
      </c>
      <c r="J24" s="196">
        <v>1</v>
      </c>
      <c r="K24" s="196">
        <v>0</v>
      </c>
      <c r="L24" s="260" t="s">
        <v>239</v>
      </c>
      <c r="M24" s="260" t="s">
        <v>514</v>
      </c>
    </row>
    <row r="25" spans="1:13" ht="14.5" x14ac:dyDescent="0.35">
      <c r="A25" s="260" t="s">
        <v>811</v>
      </c>
      <c r="B25" s="260" t="s">
        <v>749</v>
      </c>
      <c r="C25" s="190">
        <v>45681</v>
      </c>
      <c r="D25" s="197">
        <v>101.53</v>
      </c>
      <c r="E25" s="260" t="s">
        <v>564</v>
      </c>
      <c r="F25" s="260" t="s">
        <v>793</v>
      </c>
      <c r="G25" s="196">
        <v>0</v>
      </c>
      <c r="H25" s="202">
        <v>46302</v>
      </c>
      <c r="I25" s="260" t="s">
        <v>588</v>
      </c>
      <c r="J25" s="196">
        <v>1</v>
      </c>
      <c r="K25" s="196">
        <v>0</v>
      </c>
      <c r="L25" s="260" t="s">
        <v>239</v>
      </c>
      <c r="M25" s="260" t="s">
        <v>514</v>
      </c>
    </row>
    <row r="26" spans="1:13" ht="14.5" x14ac:dyDescent="0.35">
      <c r="A26" s="260" t="s">
        <v>812</v>
      </c>
      <c r="B26" s="260" t="s">
        <v>749</v>
      </c>
      <c r="C26" s="190">
        <v>45684</v>
      </c>
      <c r="D26" s="197">
        <v>101.73</v>
      </c>
      <c r="E26" s="260" t="s">
        <v>564</v>
      </c>
      <c r="F26" s="260" t="s">
        <v>793</v>
      </c>
      <c r="G26" s="196">
        <v>0</v>
      </c>
      <c r="H26" s="202">
        <v>46302</v>
      </c>
      <c r="I26" s="260" t="s">
        <v>588</v>
      </c>
      <c r="J26" s="196">
        <v>1</v>
      </c>
      <c r="K26" s="196">
        <v>0</v>
      </c>
      <c r="L26" s="260" t="s">
        <v>239</v>
      </c>
      <c r="M26" s="260" t="s">
        <v>514</v>
      </c>
    </row>
    <row r="27" spans="1:13" ht="14.5" x14ac:dyDescent="0.35">
      <c r="A27" s="260" t="s">
        <v>813</v>
      </c>
      <c r="B27" s="260" t="s">
        <v>749</v>
      </c>
      <c r="C27" s="190">
        <v>45685</v>
      </c>
      <c r="D27" s="197">
        <v>101.8</v>
      </c>
      <c r="E27" s="260" t="s">
        <v>564</v>
      </c>
      <c r="F27" s="260" t="s">
        <v>793</v>
      </c>
      <c r="G27" s="196">
        <v>0</v>
      </c>
      <c r="H27" s="202">
        <v>46302</v>
      </c>
      <c r="I27" s="260" t="s">
        <v>588</v>
      </c>
      <c r="J27" s="196">
        <v>1</v>
      </c>
      <c r="K27" s="196">
        <v>0</v>
      </c>
      <c r="L27" s="260" t="s">
        <v>239</v>
      </c>
      <c r="M27" s="260" t="s">
        <v>514</v>
      </c>
    </row>
    <row r="28" spans="1:13" ht="14.5" x14ac:dyDescent="0.35">
      <c r="A28" s="260" t="s">
        <v>814</v>
      </c>
      <c r="B28" s="260" t="s">
        <v>749</v>
      </c>
      <c r="C28" s="190">
        <v>45686</v>
      </c>
      <c r="D28" s="197">
        <v>101.87</v>
      </c>
      <c r="E28" s="260" t="s">
        <v>564</v>
      </c>
      <c r="F28" s="260" t="s">
        <v>793</v>
      </c>
      <c r="G28" s="196">
        <v>0</v>
      </c>
      <c r="H28" s="202">
        <v>46302</v>
      </c>
      <c r="I28" s="260" t="s">
        <v>588</v>
      </c>
      <c r="J28" s="196">
        <v>1</v>
      </c>
      <c r="K28" s="196">
        <v>0</v>
      </c>
      <c r="L28" s="260" t="s">
        <v>239</v>
      </c>
      <c r="M28" s="260" t="s">
        <v>514</v>
      </c>
    </row>
    <row r="29" spans="1:13" ht="14.5" x14ac:dyDescent="0.35">
      <c r="A29" s="260" t="s">
        <v>815</v>
      </c>
      <c r="B29" s="260" t="s">
        <v>749</v>
      </c>
      <c r="C29" s="190">
        <v>45687</v>
      </c>
      <c r="D29" s="197">
        <v>101.93</v>
      </c>
      <c r="E29" s="260" t="s">
        <v>564</v>
      </c>
      <c r="F29" s="260" t="s">
        <v>793</v>
      </c>
      <c r="G29" s="196">
        <v>0</v>
      </c>
      <c r="H29" s="202">
        <v>46302</v>
      </c>
      <c r="I29" s="260" t="s">
        <v>588</v>
      </c>
      <c r="J29" s="196">
        <v>1</v>
      </c>
      <c r="K29" s="196">
        <v>0</v>
      </c>
      <c r="L29" s="260" t="s">
        <v>239</v>
      </c>
      <c r="M29" s="260" t="s">
        <v>514</v>
      </c>
    </row>
    <row r="30" spans="1:13" ht="14.5" x14ac:dyDescent="0.35">
      <c r="A30" s="260" t="s">
        <v>816</v>
      </c>
      <c r="B30" s="260" t="s">
        <v>749</v>
      </c>
      <c r="C30" s="190">
        <v>45688</v>
      </c>
      <c r="D30" s="197">
        <v>102</v>
      </c>
      <c r="E30" s="260" t="s">
        <v>564</v>
      </c>
      <c r="F30" s="260" t="s">
        <v>793</v>
      </c>
      <c r="G30" s="196">
        <v>0</v>
      </c>
      <c r="H30" s="202">
        <v>46302</v>
      </c>
      <c r="I30" s="260" t="s">
        <v>588</v>
      </c>
      <c r="J30" s="196">
        <v>1</v>
      </c>
      <c r="K30" s="196">
        <v>0</v>
      </c>
      <c r="L30" s="260" t="s">
        <v>239</v>
      </c>
      <c r="M30" s="260" t="s">
        <v>514</v>
      </c>
    </row>
    <row r="31" spans="1:13" ht="14.5" x14ac:dyDescent="0.35">
      <c r="A31" s="260" t="s">
        <v>817</v>
      </c>
      <c r="B31" s="260" t="s">
        <v>749</v>
      </c>
      <c r="C31" s="190">
        <v>45691</v>
      </c>
      <c r="D31" s="197">
        <v>101.63</v>
      </c>
      <c r="E31" s="260" t="s">
        <v>564</v>
      </c>
      <c r="F31" s="260" t="s">
        <v>793</v>
      </c>
      <c r="G31" s="196">
        <v>0</v>
      </c>
      <c r="H31" s="202">
        <v>46302</v>
      </c>
      <c r="I31" s="260" t="s">
        <v>588</v>
      </c>
      <c r="J31" s="196">
        <v>1</v>
      </c>
      <c r="K31" s="196">
        <v>0</v>
      </c>
      <c r="L31" s="260" t="s">
        <v>239</v>
      </c>
      <c r="M31" s="260" t="s">
        <v>514</v>
      </c>
    </row>
    <row r="32" spans="1:13" ht="14.5" x14ac:dyDescent="0.35">
      <c r="A32" s="260" t="s">
        <v>818</v>
      </c>
      <c r="B32" s="260" t="s">
        <v>749</v>
      </c>
      <c r="C32" s="190">
        <v>45692</v>
      </c>
      <c r="D32" s="197">
        <v>101.44</v>
      </c>
      <c r="E32" s="260" t="s">
        <v>564</v>
      </c>
      <c r="F32" s="260" t="s">
        <v>793</v>
      </c>
      <c r="G32" s="196">
        <v>0</v>
      </c>
      <c r="H32" s="202">
        <v>46302</v>
      </c>
      <c r="I32" s="260" t="s">
        <v>588</v>
      </c>
      <c r="J32" s="196">
        <v>1</v>
      </c>
      <c r="K32" s="196">
        <v>0</v>
      </c>
      <c r="L32" s="260" t="s">
        <v>239</v>
      </c>
      <c r="M32" s="260" t="s">
        <v>514</v>
      </c>
    </row>
    <row r="33" spans="1:13" ht="14.5" x14ac:dyDescent="0.35">
      <c r="A33" s="260" t="s">
        <v>819</v>
      </c>
      <c r="B33" s="260" t="s">
        <v>749</v>
      </c>
      <c r="C33" s="190">
        <v>45693</v>
      </c>
      <c r="D33" s="197">
        <v>101.26</v>
      </c>
      <c r="E33" s="260" t="s">
        <v>564</v>
      </c>
      <c r="F33" s="260" t="s">
        <v>793</v>
      </c>
      <c r="G33" s="196">
        <v>0</v>
      </c>
      <c r="H33" s="202">
        <v>46302</v>
      </c>
      <c r="I33" s="260" t="s">
        <v>588</v>
      </c>
      <c r="J33" s="196">
        <v>1</v>
      </c>
      <c r="K33" s="196">
        <v>0</v>
      </c>
      <c r="L33" s="260" t="s">
        <v>239</v>
      </c>
      <c r="M33" s="260" t="s">
        <v>514</v>
      </c>
    </row>
    <row r="34" spans="1:13" ht="14.5" x14ac:dyDescent="0.35">
      <c r="A34" s="260" t="s">
        <v>820</v>
      </c>
      <c r="B34" s="260" t="s">
        <v>749</v>
      </c>
      <c r="C34" s="190">
        <v>45694</v>
      </c>
      <c r="D34" s="197">
        <v>101.07</v>
      </c>
      <c r="E34" s="260" t="s">
        <v>564</v>
      </c>
      <c r="F34" s="260" t="s">
        <v>793</v>
      </c>
      <c r="G34" s="196">
        <v>0</v>
      </c>
      <c r="H34" s="202">
        <v>46302</v>
      </c>
      <c r="I34" s="260" t="s">
        <v>588</v>
      </c>
      <c r="J34" s="196">
        <v>1</v>
      </c>
      <c r="K34" s="196">
        <v>0</v>
      </c>
      <c r="L34" s="260" t="s">
        <v>239</v>
      </c>
      <c r="M34" s="260" t="s">
        <v>514</v>
      </c>
    </row>
    <row r="35" spans="1:13" ht="14.5" x14ac:dyDescent="0.35">
      <c r="A35" s="260" t="s">
        <v>821</v>
      </c>
      <c r="B35" s="260" t="s">
        <v>749</v>
      </c>
      <c r="C35" s="190">
        <v>45695</v>
      </c>
      <c r="D35" s="197">
        <v>100.89</v>
      </c>
      <c r="E35" s="260" t="s">
        <v>564</v>
      </c>
      <c r="F35" s="260" t="s">
        <v>793</v>
      </c>
      <c r="G35" s="196">
        <v>0</v>
      </c>
      <c r="H35" s="202">
        <v>46302</v>
      </c>
      <c r="I35" s="260" t="s">
        <v>588</v>
      </c>
      <c r="J35" s="196">
        <v>1</v>
      </c>
      <c r="K35" s="196">
        <v>0</v>
      </c>
      <c r="L35" s="260" t="s">
        <v>239</v>
      </c>
      <c r="M35" s="260" t="s">
        <v>514</v>
      </c>
    </row>
    <row r="36" spans="1:13" ht="14.5" x14ac:dyDescent="0.35">
      <c r="A36" s="260" t="s">
        <v>822</v>
      </c>
      <c r="B36" s="260" t="s">
        <v>749</v>
      </c>
      <c r="C36" s="190">
        <v>45698</v>
      </c>
      <c r="D36" s="197">
        <v>100.33</v>
      </c>
      <c r="E36" s="260" t="s">
        <v>564</v>
      </c>
      <c r="F36" s="260" t="s">
        <v>793</v>
      </c>
      <c r="G36" s="196">
        <v>0</v>
      </c>
      <c r="H36" s="202">
        <v>46302</v>
      </c>
      <c r="I36" s="260" t="s">
        <v>588</v>
      </c>
      <c r="J36" s="196">
        <v>1</v>
      </c>
      <c r="K36" s="196">
        <v>0</v>
      </c>
      <c r="L36" s="260" t="s">
        <v>239</v>
      </c>
      <c r="M36" s="260" t="s">
        <v>514</v>
      </c>
    </row>
    <row r="37" spans="1:13" ht="14.5" x14ac:dyDescent="0.35">
      <c r="A37" s="260" t="s">
        <v>823</v>
      </c>
      <c r="B37" s="260" t="s">
        <v>749</v>
      </c>
      <c r="C37" s="190">
        <v>45699</v>
      </c>
      <c r="D37" s="197">
        <v>100.15</v>
      </c>
      <c r="E37" s="260" t="s">
        <v>564</v>
      </c>
      <c r="F37" s="260" t="s">
        <v>793</v>
      </c>
      <c r="G37" s="196">
        <v>0</v>
      </c>
      <c r="H37" s="202">
        <v>46302</v>
      </c>
      <c r="I37" s="260" t="s">
        <v>588</v>
      </c>
      <c r="J37" s="196">
        <v>1</v>
      </c>
      <c r="K37" s="196">
        <v>0</v>
      </c>
      <c r="L37" s="260" t="s">
        <v>239</v>
      </c>
      <c r="M37" s="260" t="s">
        <v>514</v>
      </c>
    </row>
    <row r="38" spans="1:13" ht="14.5" x14ac:dyDescent="0.35">
      <c r="A38" s="260" t="s">
        <v>824</v>
      </c>
      <c r="B38" s="260" t="s">
        <v>749</v>
      </c>
      <c r="C38" s="190">
        <v>45700</v>
      </c>
      <c r="D38" s="197">
        <v>99.96</v>
      </c>
      <c r="E38" s="260" t="s">
        <v>564</v>
      </c>
      <c r="F38" s="260" t="s">
        <v>793</v>
      </c>
      <c r="G38" s="196">
        <v>0</v>
      </c>
      <c r="H38" s="202">
        <v>46302</v>
      </c>
      <c r="I38" s="260" t="s">
        <v>588</v>
      </c>
      <c r="J38" s="196">
        <v>1</v>
      </c>
      <c r="K38" s="196">
        <v>0</v>
      </c>
      <c r="L38" s="260" t="s">
        <v>239</v>
      </c>
      <c r="M38" s="260" t="s">
        <v>514</v>
      </c>
    </row>
    <row r="39" spans="1:13" ht="14.5" x14ac:dyDescent="0.35">
      <c r="A39" s="260" t="s">
        <v>825</v>
      </c>
      <c r="B39" s="260" t="s">
        <v>749</v>
      </c>
      <c r="C39" s="190">
        <v>45701</v>
      </c>
      <c r="D39" s="197">
        <v>99.78</v>
      </c>
      <c r="E39" s="260" t="s">
        <v>564</v>
      </c>
      <c r="F39" s="260" t="s">
        <v>793</v>
      </c>
      <c r="G39" s="196">
        <v>0</v>
      </c>
      <c r="H39" s="202">
        <v>46302</v>
      </c>
      <c r="I39" s="260" t="s">
        <v>588</v>
      </c>
      <c r="J39" s="196">
        <v>1</v>
      </c>
      <c r="K39" s="196">
        <v>0</v>
      </c>
      <c r="L39" s="260" t="s">
        <v>239</v>
      </c>
      <c r="M39" s="260" t="s">
        <v>514</v>
      </c>
    </row>
    <row r="40" spans="1:13" ht="14.5" x14ac:dyDescent="0.35">
      <c r="A40" s="260" t="s">
        <v>826</v>
      </c>
      <c r="B40" s="260" t="s">
        <v>749</v>
      </c>
      <c r="C40" s="190">
        <v>45702</v>
      </c>
      <c r="D40" s="197">
        <v>99.59</v>
      </c>
      <c r="E40" s="260" t="s">
        <v>564</v>
      </c>
      <c r="F40" s="260" t="s">
        <v>793</v>
      </c>
      <c r="G40" s="196">
        <v>0</v>
      </c>
      <c r="H40" s="202">
        <v>46302</v>
      </c>
      <c r="I40" s="260" t="s">
        <v>588</v>
      </c>
      <c r="J40" s="196">
        <v>1</v>
      </c>
      <c r="K40" s="196">
        <v>0</v>
      </c>
      <c r="L40" s="260" t="s">
        <v>239</v>
      </c>
      <c r="M40" s="260" t="s">
        <v>514</v>
      </c>
    </row>
    <row r="41" spans="1:13" ht="14.5" x14ac:dyDescent="0.35">
      <c r="A41" s="260" t="s">
        <v>827</v>
      </c>
      <c r="B41" s="260" t="s">
        <v>749</v>
      </c>
      <c r="C41" s="190">
        <v>45705</v>
      </c>
      <c r="D41" s="197">
        <v>99.04</v>
      </c>
      <c r="E41" s="260" t="s">
        <v>564</v>
      </c>
      <c r="F41" s="260" t="s">
        <v>793</v>
      </c>
      <c r="G41" s="196">
        <v>0</v>
      </c>
      <c r="H41" s="202">
        <v>46302</v>
      </c>
      <c r="I41" s="260" t="s">
        <v>588</v>
      </c>
      <c r="J41" s="196">
        <v>1</v>
      </c>
      <c r="K41" s="196">
        <v>0</v>
      </c>
      <c r="L41" s="260" t="s">
        <v>239</v>
      </c>
      <c r="M41" s="260" t="s">
        <v>514</v>
      </c>
    </row>
    <row r="42" spans="1:13" ht="14.5" x14ac:dyDescent="0.35">
      <c r="A42" s="260" t="s">
        <v>828</v>
      </c>
      <c r="B42" s="260" t="s">
        <v>749</v>
      </c>
      <c r="C42" s="190">
        <v>45706</v>
      </c>
      <c r="D42" s="197">
        <v>98.85</v>
      </c>
      <c r="E42" s="260" t="s">
        <v>564</v>
      </c>
      <c r="F42" s="260" t="s">
        <v>793</v>
      </c>
      <c r="G42" s="196">
        <v>0</v>
      </c>
      <c r="H42" s="202">
        <v>46302</v>
      </c>
      <c r="I42" s="260" t="s">
        <v>588</v>
      </c>
      <c r="J42" s="196">
        <v>1</v>
      </c>
      <c r="K42" s="196">
        <v>0</v>
      </c>
      <c r="L42" s="260" t="s">
        <v>239</v>
      </c>
      <c r="M42" s="260" t="s">
        <v>514</v>
      </c>
    </row>
    <row r="43" spans="1:13" ht="14.5" x14ac:dyDescent="0.35">
      <c r="A43" s="260" t="s">
        <v>829</v>
      </c>
      <c r="B43" s="260" t="s">
        <v>749</v>
      </c>
      <c r="C43" s="190">
        <v>45707</v>
      </c>
      <c r="D43" s="197">
        <v>98.67</v>
      </c>
      <c r="E43" s="260" t="s">
        <v>564</v>
      </c>
      <c r="F43" s="260" t="s">
        <v>793</v>
      </c>
      <c r="G43" s="196">
        <v>0</v>
      </c>
      <c r="H43" s="202">
        <v>46302</v>
      </c>
      <c r="I43" s="260" t="s">
        <v>588</v>
      </c>
      <c r="J43" s="196">
        <v>1</v>
      </c>
      <c r="K43" s="196">
        <v>0</v>
      </c>
      <c r="L43" s="260" t="s">
        <v>239</v>
      </c>
      <c r="M43" s="260" t="s">
        <v>514</v>
      </c>
    </row>
    <row r="44" spans="1:13" ht="14.5" x14ac:dyDescent="0.35">
      <c r="A44" s="260" t="s">
        <v>830</v>
      </c>
      <c r="B44" s="260" t="s">
        <v>749</v>
      </c>
      <c r="C44" s="190">
        <v>45708</v>
      </c>
      <c r="D44" s="197">
        <v>98.48</v>
      </c>
      <c r="E44" s="260" t="s">
        <v>564</v>
      </c>
      <c r="F44" s="260" t="s">
        <v>793</v>
      </c>
      <c r="G44" s="196">
        <v>0</v>
      </c>
      <c r="H44" s="202">
        <v>46302</v>
      </c>
      <c r="I44" s="260" t="s">
        <v>588</v>
      </c>
      <c r="J44" s="196">
        <v>1</v>
      </c>
      <c r="K44" s="196">
        <v>0</v>
      </c>
      <c r="L44" s="260" t="s">
        <v>239</v>
      </c>
      <c r="M44" s="260" t="s">
        <v>514</v>
      </c>
    </row>
    <row r="45" spans="1:13" ht="14.5" x14ac:dyDescent="0.35">
      <c r="A45" s="260" t="s">
        <v>831</v>
      </c>
      <c r="B45" s="260" t="s">
        <v>749</v>
      </c>
      <c r="C45" s="190">
        <v>45709</v>
      </c>
      <c r="D45" s="197">
        <v>98.3</v>
      </c>
      <c r="E45" s="260" t="s">
        <v>564</v>
      </c>
      <c r="F45" s="260" t="s">
        <v>793</v>
      </c>
      <c r="G45" s="196">
        <v>0</v>
      </c>
      <c r="H45" s="202">
        <v>46302</v>
      </c>
      <c r="I45" s="260" t="s">
        <v>588</v>
      </c>
      <c r="J45" s="196">
        <v>1</v>
      </c>
      <c r="K45" s="196">
        <v>0</v>
      </c>
      <c r="L45" s="260" t="s">
        <v>239</v>
      </c>
      <c r="M45" s="260" t="s">
        <v>514</v>
      </c>
    </row>
    <row r="46" spans="1:13" ht="14.5" x14ac:dyDescent="0.35">
      <c r="A46" s="260" t="s">
        <v>832</v>
      </c>
      <c r="B46" s="260" t="s">
        <v>749</v>
      </c>
      <c r="C46" s="190">
        <v>45712</v>
      </c>
      <c r="D46" s="197">
        <v>97.74</v>
      </c>
      <c r="E46" s="260" t="s">
        <v>564</v>
      </c>
      <c r="F46" s="260" t="s">
        <v>793</v>
      </c>
      <c r="G46" s="196">
        <v>0</v>
      </c>
      <c r="H46" s="202">
        <v>46302</v>
      </c>
      <c r="I46" s="260" t="s">
        <v>588</v>
      </c>
      <c r="J46" s="196">
        <v>1</v>
      </c>
      <c r="K46" s="196">
        <v>0</v>
      </c>
      <c r="L46" s="260" t="s">
        <v>239</v>
      </c>
      <c r="M46" s="260" t="s">
        <v>514</v>
      </c>
    </row>
    <row r="47" spans="1:13" ht="14.5" x14ac:dyDescent="0.35">
      <c r="A47" s="260" t="s">
        <v>833</v>
      </c>
      <c r="B47" s="260" t="s">
        <v>749</v>
      </c>
      <c r="C47" s="190">
        <v>45713</v>
      </c>
      <c r="D47" s="197">
        <v>97.56</v>
      </c>
      <c r="E47" s="260" t="s">
        <v>564</v>
      </c>
      <c r="F47" s="260" t="s">
        <v>793</v>
      </c>
      <c r="G47" s="196">
        <v>0</v>
      </c>
      <c r="H47" s="202">
        <v>46302</v>
      </c>
      <c r="I47" s="260" t="s">
        <v>588</v>
      </c>
      <c r="J47" s="196">
        <v>1</v>
      </c>
      <c r="K47" s="196">
        <v>0</v>
      </c>
      <c r="L47" s="260" t="s">
        <v>239</v>
      </c>
      <c r="M47" s="260" t="s">
        <v>514</v>
      </c>
    </row>
    <row r="48" spans="1:13" ht="14.5" x14ac:dyDescent="0.35">
      <c r="A48" s="260" t="s">
        <v>834</v>
      </c>
      <c r="B48" s="260" t="s">
        <v>749</v>
      </c>
      <c r="C48" s="190">
        <v>45714</v>
      </c>
      <c r="D48" s="197">
        <v>97.37</v>
      </c>
      <c r="E48" s="260" t="s">
        <v>564</v>
      </c>
      <c r="F48" s="260" t="s">
        <v>793</v>
      </c>
      <c r="G48" s="196">
        <v>0</v>
      </c>
      <c r="H48" s="202">
        <v>46302</v>
      </c>
      <c r="I48" s="260" t="s">
        <v>588</v>
      </c>
      <c r="J48" s="196">
        <v>1</v>
      </c>
      <c r="K48" s="196">
        <v>0</v>
      </c>
      <c r="L48" s="260" t="s">
        <v>239</v>
      </c>
      <c r="M48" s="260" t="s">
        <v>514</v>
      </c>
    </row>
    <row r="49" spans="1:13" ht="14.5" x14ac:dyDescent="0.35">
      <c r="A49" s="260" t="s">
        <v>835</v>
      </c>
      <c r="B49" s="260" t="s">
        <v>749</v>
      </c>
      <c r="C49" s="190">
        <v>45715</v>
      </c>
      <c r="D49" s="197">
        <v>97.19</v>
      </c>
      <c r="E49" s="260" t="s">
        <v>564</v>
      </c>
      <c r="F49" s="260" t="s">
        <v>793</v>
      </c>
      <c r="G49" s="196">
        <v>0</v>
      </c>
      <c r="H49" s="202">
        <v>46302</v>
      </c>
      <c r="I49" s="260" t="s">
        <v>588</v>
      </c>
      <c r="J49" s="196">
        <v>1</v>
      </c>
      <c r="K49" s="196">
        <v>0</v>
      </c>
      <c r="L49" s="260" t="s">
        <v>239</v>
      </c>
      <c r="M49" s="260" t="s">
        <v>514</v>
      </c>
    </row>
    <row r="50" spans="1:13" ht="14.5" x14ac:dyDescent="0.35">
      <c r="A50" s="260" t="s">
        <v>836</v>
      </c>
      <c r="B50" s="260" t="s">
        <v>749</v>
      </c>
      <c r="C50" s="190">
        <v>45716</v>
      </c>
      <c r="D50" s="197">
        <v>97</v>
      </c>
      <c r="E50" s="260" t="s">
        <v>564</v>
      </c>
      <c r="F50" s="260" t="s">
        <v>793</v>
      </c>
      <c r="G50" s="196">
        <v>0</v>
      </c>
      <c r="H50" s="202">
        <v>46302</v>
      </c>
      <c r="I50" s="260" t="s">
        <v>588</v>
      </c>
      <c r="J50" s="196">
        <v>1</v>
      </c>
      <c r="K50" s="196">
        <v>0</v>
      </c>
      <c r="L50" s="260" t="s">
        <v>239</v>
      </c>
      <c r="M50" s="260" t="s">
        <v>514</v>
      </c>
    </row>
    <row r="51" spans="1:13" ht="14.5" x14ac:dyDescent="0.35">
      <c r="A51" s="260" t="s">
        <v>837</v>
      </c>
      <c r="B51" s="260" t="s">
        <v>749</v>
      </c>
      <c r="C51" s="190">
        <v>45719</v>
      </c>
      <c r="D51" s="197">
        <v>97.6</v>
      </c>
      <c r="E51" s="260" t="s">
        <v>564</v>
      </c>
      <c r="F51" s="260" t="s">
        <v>793</v>
      </c>
      <c r="G51" s="196">
        <v>0</v>
      </c>
      <c r="H51" s="202">
        <v>46302</v>
      </c>
      <c r="I51" s="260" t="s">
        <v>588</v>
      </c>
      <c r="J51" s="196">
        <v>1</v>
      </c>
      <c r="K51" s="196">
        <v>0</v>
      </c>
      <c r="L51" s="260" t="s">
        <v>239</v>
      </c>
      <c r="M51" s="260" t="s">
        <v>514</v>
      </c>
    </row>
    <row r="52" spans="1:13" ht="14.5" x14ac:dyDescent="0.35">
      <c r="A52" s="260" t="s">
        <v>838</v>
      </c>
      <c r="B52" s="260" t="s">
        <v>749</v>
      </c>
      <c r="C52" s="190">
        <v>45720</v>
      </c>
      <c r="D52" s="197">
        <v>97.9</v>
      </c>
      <c r="E52" s="260" t="s">
        <v>564</v>
      </c>
      <c r="F52" s="260" t="s">
        <v>793</v>
      </c>
      <c r="G52" s="196">
        <v>0</v>
      </c>
      <c r="H52" s="202">
        <v>46302</v>
      </c>
      <c r="I52" s="260" t="s">
        <v>588</v>
      </c>
      <c r="J52" s="196">
        <v>1</v>
      </c>
      <c r="K52" s="196">
        <v>0</v>
      </c>
      <c r="L52" s="260" t="s">
        <v>239</v>
      </c>
      <c r="M52" s="260" t="s">
        <v>514</v>
      </c>
    </row>
    <row r="53" spans="1:13" ht="14.5" x14ac:dyDescent="0.35">
      <c r="A53" s="260" t="s">
        <v>839</v>
      </c>
      <c r="B53" s="260" t="s">
        <v>749</v>
      </c>
      <c r="C53" s="190">
        <v>45721</v>
      </c>
      <c r="D53" s="197">
        <v>98.2</v>
      </c>
      <c r="E53" s="260" t="s">
        <v>564</v>
      </c>
      <c r="F53" s="260" t="s">
        <v>793</v>
      </c>
      <c r="G53" s="196">
        <v>0</v>
      </c>
      <c r="H53" s="202">
        <v>46302</v>
      </c>
      <c r="I53" s="260" t="s">
        <v>588</v>
      </c>
      <c r="J53" s="196">
        <v>1</v>
      </c>
      <c r="K53" s="196">
        <v>0</v>
      </c>
      <c r="L53" s="260" t="s">
        <v>239</v>
      </c>
      <c r="M53" s="260" t="s">
        <v>514</v>
      </c>
    </row>
    <row r="54" spans="1:13" ht="14.5" x14ac:dyDescent="0.35">
      <c r="A54" s="260" t="s">
        <v>840</v>
      </c>
      <c r="B54" s="260" t="s">
        <v>749</v>
      </c>
      <c r="C54" s="190">
        <v>45722</v>
      </c>
      <c r="D54" s="197">
        <v>98.5</v>
      </c>
      <c r="E54" s="260" t="s">
        <v>564</v>
      </c>
      <c r="F54" s="260" t="s">
        <v>793</v>
      </c>
      <c r="G54" s="196">
        <v>0</v>
      </c>
      <c r="H54" s="202">
        <v>46302</v>
      </c>
      <c r="I54" s="260" t="s">
        <v>588</v>
      </c>
      <c r="J54" s="196">
        <v>1</v>
      </c>
      <c r="K54" s="196">
        <v>0</v>
      </c>
      <c r="L54" s="260" t="s">
        <v>239</v>
      </c>
      <c r="M54" s="260" t="s">
        <v>514</v>
      </c>
    </row>
    <row r="55" spans="1:13" ht="14.5" x14ac:dyDescent="0.35">
      <c r="A55" s="260" t="s">
        <v>841</v>
      </c>
      <c r="B55" s="260" t="s">
        <v>749</v>
      </c>
      <c r="C55" s="190">
        <v>45723</v>
      </c>
      <c r="D55" s="197">
        <v>98.8</v>
      </c>
      <c r="E55" s="260" t="s">
        <v>564</v>
      </c>
      <c r="F55" s="260" t="s">
        <v>793</v>
      </c>
      <c r="G55" s="196">
        <v>0</v>
      </c>
      <c r="H55" s="202">
        <v>46302</v>
      </c>
      <c r="I55" s="260" t="s">
        <v>588</v>
      </c>
      <c r="J55" s="196">
        <v>1</v>
      </c>
      <c r="K55" s="196">
        <v>0</v>
      </c>
      <c r="L55" s="260" t="s">
        <v>239</v>
      </c>
      <c r="M55" s="260" t="s">
        <v>514</v>
      </c>
    </row>
    <row r="56" spans="1:13" ht="14.5" x14ac:dyDescent="0.35">
      <c r="A56" s="260" t="s">
        <v>842</v>
      </c>
      <c r="B56" s="260" t="s">
        <v>749</v>
      </c>
      <c r="C56" s="190">
        <v>45726</v>
      </c>
      <c r="D56" s="197">
        <v>99.7</v>
      </c>
      <c r="E56" s="260" t="s">
        <v>564</v>
      </c>
      <c r="F56" s="260" t="s">
        <v>793</v>
      </c>
      <c r="G56" s="196">
        <v>0</v>
      </c>
      <c r="H56" s="202">
        <v>46302</v>
      </c>
      <c r="I56" s="260" t="s">
        <v>588</v>
      </c>
      <c r="J56" s="196">
        <v>1</v>
      </c>
      <c r="K56" s="196">
        <v>0</v>
      </c>
      <c r="L56" s="260" t="s">
        <v>239</v>
      </c>
      <c r="M56" s="260" t="s">
        <v>514</v>
      </c>
    </row>
    <row r="57" spans="1:13" ht="14.5" x14ac:dyDescent="0.35">
      <c r="A57" s="260" t="s">
        <v>843</v>
      </c>
      <c r="B57" s="260" t="s">
        <v>749</v>
      </c>
      <c r="C57" s="190">
        <v>45727</v>
      </c>
      <c r="D57" s="197">
        <v>100</v>
      </c>
      <c r="E57" s="260" t="s">
        <v>564</v>
      </c>
      <c r="F57" s="260" t="s">
        <v>793</v>
      </c>
      <c r="G57" s="196">
        <v>0</v>
      </c>
      <c r="H57" s="202">
        <v>46302</v>
      </c>
      <c r="I57" s="260" t="s">
        <v>588</v>
      </c>
      <c r="J57" s="196">
        <v>1</v>
      </c>
      <c r="K57" s="196">
        <v>0</v>
      </c>
      <c r="L57" s="260" t="s">
        <v>239</v>
      </c>
      <c r="M57" s="260" t="s">
        <v>514</v>
      </c>
    </row>
    <row r="58" spans="1:13" ht="14.5" x14ac:dyDescent="0.35">
      <c r="A58" s="260" t="s">
        <v>844</v>
      </c>
      <c r="B58" s="260" t="s">
        <v>749</v>
      </c>
      <c r="C58" s="190">
        <v>45728</v>
      </c>
      <c r="D58" s="197">
        <v>100.3</v>
      </c>
      <c r="E58" s="260" t="s">
        <v>564</v>
      </c>
      <c r="F58" s="260" t="s">
        <v>793</v>
      </c>
      <c r="G58" s="196">
        <v>0</v>
      </c>
      <c r="H58" s="202">
        <v>46302</v>
      </c>
      <c r="I58" s="260" t="s">
        <v>588</v>
      </c>
      <c r="J58" s="196">
        <v>1</v>
      </c>
      <c r="K58" s="196">
        <v>0</v>
      </c>
      <c r="L58" s="260" t="s">
        <v>239</v>
      </c>
      <c r="M58" s="260" t="s">
        <v>514</v>
      </c>
    </row>
    <row r="59" spans="1:13" ht="14.5" x14ac:dyDescent="0.35">
      <c r="A59" s="260" t="s">
        <v>845</v>
      </c>
      <c r="B59" s="260" t="s">
        <v>749</v>
      </c>
      <c r="C59" s="190">
        <v>45729</v>
      </c>
      <c r="D59" s="197">
        <v>100.6</v>
      </c>
      <c r="E59" s="260" t="s">
        <v>564</v>
      </c>
      <c r="F59" s="260" t="s">
        <v>793</v>
      </c>
      <c r="G59" s="196">
        <v>0</v>
      </c>
      <c r="H59" s="202">
        <v>46302</v>
      </c>
      <c r="I59" s="260" t="s">
        <v>588</v>
      </c>
      <c r="J59" s="196">
        <v>1</v>
      </c>
      <c r="K59" s="196">
        <v>0</v>
      </c>
      <c r="L59" s="260" t="s">
        <v>239</v>
      </c>
      <c r="M59" s="260" t="s">
        <v>514</v>
      </c>
    </row>
    <row r="60" spans="1:13" ht="14.5" x14ac:dyDescent="0.35">
      <c r="A60" s="260" t="s">
        <v>846</v>
      </c>
      <c r="B60" s="260" t="s">
        <v>749</v>
      </c>
      <c r="C60" s="190">
        <v>45730</v>
      </c>
      <c r="D60" s="197">
        <v>100.9</v>
      </c>
      <c r="E60" s="260" t="s">
        <v>564</v>
      </c>
      <c r="F60" s="260" t="s">
        <v>793</v>
      </c>
      <c r="G60" s="196">
        <v>0</v>
      </c>
      <c r="H60" s="202">
        <v>46302</v>
      </c>
      <c r="I60" s="260" t="s">
        <v>588</v>
      </c>
      <c r="J60" s="196">
        <v>1</v>
      </c>
      <c r="K60" s="196">
        <v>0</v>
      </c>
      <c r="L60" s="260" t="s">
        <v>239</v>
      </c>
      <c r="M60" s="260" t="s">
        <v>514</v>
      </c>
    </row>
    <row r="61" spans="1:13" ht="14.5" x14ac:dyDescent="0.35">
      <c r="A61" s="260" t="s">
        <v>847</v>
      </c>
      <c r="B61" s="260" t="s">
        <v>749</v>
      </c>
      <c r="C61" s="190">
        <v>45733</v>
      </c>
      <c r="D61" s="197">
        <v>101.8</v>
      </c>
      <c r="E61" s="260" t="s">
        <v>564</v>
      </c>
      <c r="F61" s="260" t="s">
        <v>793</v>
      </c>
      <c r="G61" s="196">
        <v>0</v>
      </c>
      <c r="H61" s="202">
        <v>46302</v>
      </c>
      <c r="I61" s="260" t="s">
        <v>588</v>
      </c>
      <c r="J61" s="196">
        <v>1</v>
      </c>
      <c r="K61" s="196">
        <v>0</v>
      </c>
      <c r="L61" s="260" t="s">
        <v>239</v>
      </c>
      <c r="M61" s="260" t="s">
        <v>514</v>
      </c>
    </row>
    <row r="62" spans="1:13" ht="14.5" x14ac:dyDescent="0.35">
      <c r="A62" s="260" t="s">
        <v>848</v>
      </c>
      <c r="B62" s="260" t="s">
        <v>749</v>
      </c>
      <c r="C62" s="190">
        <v>45734</v>
      </c>
      <c r="D62" s="197">
        <v>102.1</v>
      </c>
      <c r="E62" s="260" t="s">
        <v>564</v>
      </c>
      <c r="F62" s="260" t="s">
        <v>793</v>
      </c>
      <c r="G62" s="196">
        <v>0</v>
      </c>
      <c r="H62" s="202">
        <v>46302</v>
      </c>
      <c r="I62" s="260" t="s">
        <v>588</v>
      </c>
      <c r="J62" s="196">
        <v>1</v>
      </c>
      <c r="K62" s="196">
        <v>0</v>
      </c>
      <c r="L62" s="260" t="s">
        <v>239</v>
      </c>
      <c r="M62" s="260" t="s">
        <v>514</v>
      </c>
    </row>
    <row r="63" spans="1:13" ht="14.5" x14ac:dyDescent="0.35">
      <c r="A63" s="260" t="s">
        <v>849</v>
      </c>
      <c r="B63" s="260" t="s">
        <v>749</v>
      </c>
      <c r="C63" s="190">
        <v>45735</v>
      </c>
      <c r="D63" s="197">
        <v>102.4</v>
      </c>
      <c r="E63" s="260" t="s">
        <v>564</v>
      </c>
      <c r="F63" s="260" t="s">
        <v>793</v>
      </c>
      <c r="G63" s="196">
        <v>0</v>
      </c>
      <c r="H63" s="202">
        <v>46302</v>
      </c>
      <c r="I63" s="260" t="s">
        <v>588</v>
      </c>
      <c r="J63" s="196">
        <v>1</v>
      </c>
      <c r="K63" s="196">
        <v>0</v>
      </c>
      <c r="L63" s="260" t="s">
        <v>239</v>
      </c>
      <c r="M63" s="260" t="s">
        <v>514</v>
      </c>
    </row>
    <row r="64" spans="1:13" ht="14.5" x14ac:dyDescent="0.35">
      <c r="A64" s="260" t="s">
        <v>850</v>
      </c>
      <c r="B64" s="260" t="s">
        <v>749</v>
      </c>
      <c r="C64" s="190">
        <v>45736</v>
      </c>
      <c r="D64" s="197">
        <v>102.7</v>
      </c>
      <c r="E64" s="260" t="s">
        <v>564</v>
      </c>
      <c r="F64" s="260" t="s">
        <v>793</v>
      </c>
      <c r="G64" s="196">
        <v>0</v>
      </c>
      <c r="H64" s="202">
        <v>46302</v>
      </c>
      <c r="I64" s="260" t="s">
        <v>588</v>
      </c>
      <c r="J64" s="196">
        <v>1</v>
      </c>
      <c r="K64" s="196">
        <v>0</v>
      </c>
      <c r="L64" s="260" t="s">
        <v>239</v>
      </c>
      <c r="M64" s="260" t="s">
        <v>514</v>
      </c>
    </row>
    <row r="65" spans="1:13" ht="14.5" x14ac:dyDescent="0.35">
      <c r="A65" s="260" t="s">
        <v>851</v>
      </c>
      <c r="B65" s="260" t="s">
        <v>749</v>
      </c>
      <c r="C65" s="190">
        <v>45737</v>
      </c>
      <c r="D65" s="197">
        <v>103</v>
      </c>
      <c r="E65" s="260" t="s">
        <v>564</v>
      </c>
      <c r="F65" s="260" t="s">
        <v>793</v>
      </c>
      <c r="G65" s="196">
        <v>0</v>
      </c>
      <c r="H65" s="202">
        <v>46302</v>
      </c>
      <c r="I65" s="260" t="s">
        <v>588</v>
      </c>
      <c r="J65" s="196">
        <v>1</v>
      </c>
      <c r="K65" s="196">
        <v>0</v>
      </c>
      <c r="L65" s="260" t="s">
        <v>239</v>
      </c>
      <c r="M65" s="260" t="s">
        <v>514</v>
      </c>
    </row>
    <row r="66" spans="1:13" ht="14.5" x14ac:dyDescent="0.35">
      <c r="A66" s="260" t="s">
        <v>852</v>
      </c>
      <c r="B66" s="260" t="s">
        <v>749</v>
      </c>
      <c r="C66" s="190">
        <v>45740</v>
      </c>
      <c r="D66" s="197">
        <v>103.9</v>
      </c>
      <c r="E66" s="260" t="s">
        <v>564</v>
      </c>
      <c r="F66" s="260" t="s">
        <v>793</v>
      </c>
      <c r="G66" s="196">
        <v>0</v>
      </c>
      <c r="H66" s="202">
        <v>46302</v>
      </c>
      <c r="I66" s="260" t="s">
        <v>588</v>
      </c>
      <c r="J66" s="196">
        <v>1</v>
      </c>
      <c r="K66" s="196">
        <v>0</v>
      </c>
      <c r="L66" s="260" t="s">
        <v>239</v>
      </c>
      <c r="M66" s="260" t="s">
        <v>514</v>
      </c>
    </row>
    <row r="67" spans="1:13" ht="14.5" x14ac:dyDescent="0.35">
      <c r="A67" s="260" t="s">
        <v>853</v>
      </c>
      <c r="B67" s="260" t="s">
        <v>749</v>
      </c>
      <c r="C67" s="190">
        <v>45741</v>
      </c>
      <c r="D67" s="197">
        <v>104.2</v>
      </c>
      <c r="E67" s="260" t="s">
        <v>564</v>
      </c>
      <c r="F67" s="260" t="s">
        <v>793</v>
      </c>
      <c r="G67" s="196">
        <v>0</v>
      </c>
      <c r="H67" s="202">
        <v>46302</v>
      </c>
      <c r="I67" s="260" t="s">
        <v>588</v>
      </c>
      <c r="J67" s="196">
        <v>1</v>
      </c>
      <c r="K67" s="196">
        <v>0</v>
      </c>
      <c r="L67" s="260" t="s">
        <v>239</v>
      </c>
      <c r="M67" s="260" t="s">
        <v>514</v>
      </c>
    </row>
    <row r="68" spans="1:13" ht="14.5" x14ac:dyDescent="0.35">
      <c r="A68" s="260" t="s">
        <v>854</v>
      </c>
      <c r="B68" s="260" t="s">
        <v>749</v>
      </c>
      <c r="C68" s="190">
        <v>45742</v>
      </c>
      <c r="D68" s="197">
        <v>104.5</v>
      </c>
      <c r="E68" s="260" t="s">
        <v>564</v>
      </c>
      <c r="F68" s="260" t="s">
        <v>793</v>
      </c>
      <c r="G68" s="196">
        <v>0</v>
      </c>
      <c r="H68" s="202">
        <v>46302</v>
      </c>
      <c r="I68" s="260" t="s">
        <v>588</v>
      </c>
      <c r="J68" s="196">
        <v>1</v>
      </c>
      <c r="K68" s="196">
        <v>0</v>
      </c>
      <c r="L68" s="260" t="s">
        <v>239</v>
      </c>
      <c r="M68" s="260" t="s">
        <v>514</v>
      </c>
    </row>
    <row r="69" spans="1:13" ht="14.5" x14ac:dyDescent="0.35">
      <c r="A69" s="260" t="s">
        <v>855</v>
      </c>
      <c r="B69" s="260" t="s">
        <v>749</v>
      </c>
      <c r="C69" s="190">
        <v>45743</v>
      </c>
      <c r="D69" s="197">
        <v>104.8</v>
      </c>
      <c r="E69" s="260" t="s">
        <v>564</v>
      </c>
      <c r="F69" s="260" t="s">
        <v>793</v>
      </c>
      <c r="G69" s="196">
        <v>0</v>
      </c>
      <c r="H69" s="202">
        <v>46302</v>
      </c>
      <c r="I69" s="260" t="s">
        <v>588</v>
      </c>
      <c r="J69" s="196">
        <v>1</v>
      </c>
      <c r="K69" s="196">
        <v>0</v>
      </c>
      <c r="L69" s="260" t="s">
        <v>239</v>
      </c>
      <c r="M69" s="260" t="s">
        <v>514</v>
      </c>
    </row>
    <row r="70" spans="1:13" ht="14.5" x14ac:dyDescent="0.35">
      <c r="A70" s="260" t="s">
        <v>856</v>
      </c>
      <c r="B70" s="260" t="s">
        <v>749</v>
      </c>
      <c r="C70" s="190">
        <v>45744</v>
      </c>
      <c r="D70" s="197">
        <v>105.1</v>
      </c>
      <c r="E70" s="260" t="s">
        <v>564</v>
      </c>
      <c r="F70" s="260" t="s">
        <v>793</v>
      </c>
      <c r="G70" s="196">
        <v>0</v>
      </c>
      <c r="H70" s="202">
        <v>46302</v>
      </c>
      <c r="I70" s="260" t="s">
        <v>588</v>
      </c>
      <c r="J70" s="196">
        <v>1</v>
      </c>
      <c r="K70" s="196">
        <v>0</v>
      </c>
      <c r="L70" s="260" t="s">
        <v>239</v>
      </c>
      <c r="M70" s="260" t="s">
        <v>514</v>
      </c>
    </row>
    <row r="71" spans="1:13" ht="14.5" x14ac:dyDescent="0.35">
      <c r="A71" s="260" t="s">
        <v>857</v>
      </c>
      <c r="B71" s="260" t="s">
        <v>749</v>
      </c>
      <c r="C71" s="190">
        <v>45747</v>
      </c>
      <c r="D71" s="197">
        <v>106</v>
      </c>
      <c r="E71" s="260" t="s">
        <v>564</v>
      </c>
      <c r="F71" s="260" t="s">
        <v>793</v>
      </c>
      <c r="G71" s="196">
        <v>0</v>
      </c>
      <c r="H71" s="202">
        <v>46302</v>
      </c>
      <c r="I71" s="260" t="s">
        <v>588</v>
      </c>
      <c r="J71" s="196">
        <v>1</v>
      </c>
      <c r="K71" s="196">
        <v>0</v>
      </c>
      <c r="L71" s="260" t="s">
        <v>239</v>
      </c>
      <c r="M71" s="260" t="s">
        <v>514</v>
      </c>
    </row>
    <row r="72" spans="1:13" ht="14.5" x14ac:dyDescent="0.35">
      <c r="A72" s="260" t="s">
        <v>858</v>
      </c>
      <c r="B72" s="260" t="s">
        <v>749</v>
      </c>
      <c r="C72" s="190">
        <v>45748</v>
      </c>
      <c r="D72" s="197">
        <v>106</v>
      </c>
      <c r="E72" s="260" t="s">
        <v>564</v>
      </c>
      <c r="F72" s="260" t="s">
        <v>793</v>
      </c>
      <c r="G72" s="196">
        <v>0</v>
      </c>
      <c r="H72" s="202">
        <v>46302</v>
      </c>
      <c r="I72" s="260" t="s">
        <v>588</v>
      </c>
      <c r="J72" s="196">
        <v>1</v>
      </c>
      <c r="K72" s="196">
        <v>0</v>
      </c>
      <c r="L72" s="260" t="s">
        <v>239</v>
      </c>
      <c r="M72" s="260" t="s">
        <v>514</v>
      </c>
    </row>
    <row r="73" spans="1:13" ht="14.5" x14ac:dyDescent="0.35">
      <c r="A73" s="260" t="s">
        <v>859</v>
      </c>
      <c r="B73" s="260" t="s">
        <v>749</v>
      </c>
      <c r="C73" s="190">
        <v>45749</v>
      </c>
      <c r="D73" s="197">
        <v>105.83</v>
      </c>
      <c r="E73" s="260" t="s">
        <v>564</v>
      </c>
      <c r="F73" s="260" t="s">
        <v>793</v>
      </c>
      <c r="G73" s="196">
        <v>0</v>
      </c>
      <c r="H73" s="202">
        <v>46302</v>
      </c>
      <c r="I73" s="260" t="s">
        <v>588</v>
      </c>
      <c r="J73" s="196">
        <v>1</v>
      </c>
      <c r="K73" s="196">
        <v>0</v>
      </c>
      <c r="L73" s="260" t="s">
        <v>239</v>
      </c>
      <c r="M73" s="260" t="s">
        <v>514</v>
      </c>
    </row>
    <row r="74" spans="1:13" ht="14.5" x14ac:dyDescent="0.35">
      <c r="A74" s="260" t="s">
        <v>860</v>
      </c>
      <c r="B74" s="260" t="s">
        <v>749</v>
      </c>
      <c r="C74" s="190">
        <v>45750</v>
      </c>
      <c r="D74" s="197">
        <v>105.66</v>
      </c>
      <c r="E74" s="260" t="s">
        <v>564</v>
      </c>
      <c r="F74" s="260" t="s">
        <v>793</v>
      </c>
      <c r="G74" s="196">
        <v>0</v>
      </c>
      <c r="H74" s="202">
        <v>46302</v>
      </c>
      <c r="I74" s="260" t="s">
        <v>588</v>
      </c>
      <c r="J74" s="196">
        <v>1</v>
      </c>
      <c r="K74" s="196">
        <v>0</v>
      </c>
      <c r="L74" s="260" t="s">
        <v>239</v>
      </c>
      <c r="M74" s="260" t="s">
        <v>514</v>
      </c>
    </row>
    <row r="75" spans="1:13" ht="14.5" x14ac:dyDescent="0.35">
      <c r="A75" s="260" t="s">
        <v>861</v>
      </c>
      <c r="B75" s="260" t="s">
        <v>749</v>
      </c>
      <c r="C75" s="190">
        <v>45751</v>
      </c>
      <c r="D75" s="197">
        <v>105.48</v>
      </c>
      <c r="E75" s="260" t="s">
        <v>564</v>
      </c>
      <c r="F75" s="260" t="s">
        <v>793</v>
      </c>
      <c r="G75" s="196">
        <v>0</v>
      </c>
      <c r="H75" s="202">
        <v>46302</v>
      </c>
      <c r="I75" s="260" t="s">
        <v>588</v>
      </c>
      <c r="J75" s="196">
        <v>1</v>
      </c>
      <c r="K75" s="196">
        <v>0</v>
      </c>
      <c r="L75" s="260" t="s">
        <v>239</v>
      </c>
      <c r="M75" s="260" t="s">
        <v>514</v>
      </c>
    </row>
    <row r="76" spans="1:13" ht="14.5" x14ac:dyDescent="0.35">
      <c r="A76" s="260" t="s">
        <v>862</v>
      </c>
      <c r="B76" s="260" t="s">
        <v>749</v>
      </c>
      <c r="C76" s="190">
        <v>45754</v>
      </c>
      <c r="D76" s="197">
        <v>104.97</v>
      </c>
      <c r="E76" s="260" t="s">
        <v>564</v>
      </c>
      <c r="F76" s="260" t="s">
        <v>793</v>
      </c>
      <c r="G76" s="196">
        <v>0</v>
      </c>
      <c r="H76" s="202">
        <v>46302</v>
      </c>
      <c r="I76" s="260" t="s">
        <v>588</v>
      </c>
      <c r="J76" s="196">
        <v>1</v>
      </c>
      <c r="K76" s="196">
        <v>0</v>
      </c>
      <c r="L76" s="260" t="s">
        <v>239</v>
      </c>
      <c r="M76" s="260" t="s">
        <v>514</v>
      </c>
    </row>
    <row r="77" spans="1:13" ht="14.5" x14ac:dyDescent="0.35">
      <c r="A77" s="260" t="s">
        <v>863</v>
      </c>
      <c r="B77" s="260" t="s">
        <v>749</v>
      </c>
      <c r="C77" s="190">
        <v>45755</v>
      </c>
      <c r="D77" s="197">
        <v>104.79</v>
      </c>
      <c r="E77" s="260" t="s">
        <v>564</v>
      </c>
      <c r="F77" s="260" t="s">
        <v>793</v>
      </c>
      <c r="G77" s="196">
        <v>0</v>
      </c>
      <c r="H77" s="202">
        <v>46302</v>
      </c>
      <c r="I77" s="260" t="s">
        <v>588</v>
      </c>
      <c r="J77" s="196">
        <v>1</v>
      </c>
      <c r="K77" s="196">
        <v>0</v>
      </c>
      <c r="L77" s="260" t="s">
        <v>239</v>
      </c>
      <c r="M77" s="260" t="s">
        <v>514</v>
      </c>
    </row>
    <row r="78" spans="1:13" ht="14.5" x14ac:dyDescent="0.35">
      <c r="A78" s="260" t="s">
        <v>864</v>
      </c>
      <c r="B78" s="260" t="s">
        <v>749</v>
      </c>
      <c r="C78" s="190">
        <v>45756</v>
      </c>
      <c r="D78" s="197">
        <v>104.62</v>
      </c>
      <c r="E78" s="260" t="s">
        <v>564</v>
      </c>
      <c r="F78" s="260" t="s">
        <v>793</v>
      </c>
      <c r="G78" s="196">
        <v>0</v>
      </c>
      <c r="H78" s="202">
        <v>46302</v>
      </c>
      <c r="I78" s="260" t="s">
        <v>588</v>
      </c>
      <c r="J78" s="196">
        <v>1</v>
      </c>
      <c r="K78" s="196">
        <v>0</v>
      </c>
      <c r="L78" s="260" t="s">
        <v>239</v>
      </c>
      <c r="M78" s="260" t="s">
        <v>514</v>
      </c>
    </row>
    <row r="79" spans="1:13" ht="14.5" x14ac:dyDescent="0.35">
      <c r="A79" s="260" t="s">
        <v>865</v>
      </c>
      <c r="B79" s="260" t="s">
        <v>749</v>
      </c>
      <c r="C79" s="190">
        <v>45757</v>
      </c>
      <c r="D79" s="197">
        <v>104.45</v>
      </c>
      <c r="E79" s="260" t="s">
        <v>564</v>
      </c>
      <c r="F79" s="260" t="s">
        <v>793</v>
      </c>
      <c r="G79" s="196">
        <v>0</v>
      </c>
      <c r="H79" s="202">
        <v>46302</v>
      </c>
      <c r="I79" s="260" t="s">
        <v>588</v>
      </c>
      <c r="J79" s="196">
        <v>1</v>
      </c>
      <c r="K79" s="196">
        <v>0</v>
      </c>
      <c r="L79" s="260" t="s">
        <v>239</v>
      </c>
      <c r="M79" s="260" t="s">
        <v>514</v>
      </c>
    </row>
    <row r="80" spans="1:13" ht="14.5" x14ac:dyDescent="0.35">
      <c r="A80" s="260" t="s">
        <v>866</v>
      </c>
      <c r="B80" s="260" t="s">
        <v>749</v>
      </c>
      <c r="C80" s="190">
        <v>45758</v>
      </c>
      <c r="D80" s="197">
        <v>104.28</v>
      </c>
      <c r="E80" s="260" t="s">
        <v>564</v>
      </c>
      <c r="F80" s="260" t="s">
        <v>793</v>
      </c>
      <c r="G80" s="196">
        <v>0</v>
      </c>
      <c r="H80" s="202">
        <v>46302</v>
      </c>
      <c r="I80" s="260" t="s">
        <v>588</v>
      </c>
      <c r="J80" s="196">
        <v>1</v>
      </c>
      <c r="K80" s="196">
        <v>0</v>
      </c>
      <c r="L80" s="260" t="s">
        <v>239</v>
      </c>
      <c r="M80" s="260" t="s">
        <v>514</v>
      </c>
    </row>
    <row r="81" spans="1:13" ht="14.5" x14ac:dyDescent="0.35">
      <c r="A81" s="260" t="s">
        <v>867</v>
      </c>
      <c r="B81" s="260" t="s">
        <v>749</v>
      </c>
      <c r="C81" s="190">
        <v>45761</v>
      </c>
      <c r="D81" s="197">
        <v>103.76</v>
      </c>
      <c r="E81" s="260" t="s">
        <v>564</v>
      </c>
      <c r="F81" s="260" t="s">
        <v>793</v>
      </c>
      <c r="G81" s="196">
        <v>0</v>
      </c>
      <c r="H81" s="202">
        <v>46302</v>
      </c>
      <c r="I81" s="260" t="s">
        <v>588</v>
      </c>
      <c r="J81" s="196">
        <v>1</v>
      </c>
      <c r="K81" s="196">
        <v>0</v>
      </c>
      <c r="L81" s="260" t="s">
        <v>239</v>
      </c>
      <c r="M81" s="260" t="s">
        <v>514</v>
      </c>
    </row>
    <row r="82" spans="1:13" ht="14.5" x14ac:dyDescent="0.35">
      <c r="A82" s="260" t="s">
        <v>868</v>
      </c>
      <c r="B82" s="260" t="s">
        <v>749</v>
      </c>
      <c r="C82" s="190">
        <v>45762</v>
      </c>
      <c r="D82" s="197">
        <v>103.59</v>
      </c>
      <c r="E82" s="260" t="s">
        <v>564</v>
      </c>
      <c r="F82" s="260" t="s">
        <v>793</v>
      </c>
      <c r="G82" s="196">
        <v>0</v>
      </c>
      <c r="H82" s="202">
        <v>46302</v>
      </c>
      <c r="I82" s="260" t="s">
        <v>588</v>
      </c>
      <c r="J82" s="196">
        <v>1</v>
      </c>
      <c r="K82" s="196">
        <v>0</v>
      </c>
      <c r="L82" s="260" t="s">
        <v>239</v>
      </c>
      <c r="M82" s="260" t="s">
        <v>514</v>
      </c>
    </row>
    <row r="83" spans="1:13" ht="14.5" x14ac:dyDescent="0.35">
      <c r="A83" s="260" t="s">
        <v>869</v>
      </c>
      <c r="B83" s="260" t="s">
        <v>749</v>
      </c>
      <c r="C83" s="190">
        <v>45763</v>
      </c>
      <c r="D83" s="197">
        <v>103.41</v>
      </c>
      <c r="E83" s="260" t="s">
        <v>564</v>
      </c>
      <c r="F83" s="260" t="s">
        <v>793</v>
      </c>
      <c r="G83" s="196">
        <v>0</v>
      </c>
      <c r="H83" s="202">
        <v>46302</v>
      </c>
      <c r="I83" s="260" t="s">
        <v>588</v>
      </c>
      <c r="J83" s="196">
        <v>1</v>
      </c>
      <c r="K83" s="196">
        <v>0</v>
      </c>
      <c r="L83" s="260" t="s">
        <v>239</v>
      </c>
      <c r="M83" s="260" t="s">
        <v>514</v>
      </c>
    </row>
    <row r="84" spans="1:13" ht="14.5" x14ac:dyDescent="0.35">
      <c r="A84" s="260" t="s">
        <v>870</v>
      </c>
      <c r="B84" s="260" t="s">
        <v>749</v>
      </c>
      <c r="C84" s="190">
        <v>45764</v>
      </c>
      <c r="D84" s="197">
        <v>103.24</v>
      </c>
      <c r="E84" s="260" t="s">
        <v>564</v>
      </c>
      <c r="F84" s="260" t="s">
        <v>793</v>
      </c>
      <c r="G84" s="196">
        <v>0</v>
      </c>
      <c r="H84" s="202">
        <v>46302</v>
      </c>
      <c r="I84" s="260" t="s">
        <v>588</v>
      </c>
      <c r="J84" s="196">
        <v>1</v>
      </c>
      <c r="K84" s="196">
        <v>0</v>
      </c>
      <c r="L84" s="260" t="s">
        <v>239</v>
      </c>
      <c r="M84" s="260" t="s">
        <v>514</v>
      </c>
    </row>
    <row r="85" spans="1:13" ht="14.5" x14ac:dyDescent="0.35">
      <c r="A85" s="260" t="s">
        <v>871</v>
      </c>
      <c r="B85" s="260" t="s">
        <v>749</v>
      </c>
      <c r="C85" s="190">
        <v>45765</v>
      </c>
      <c r="D85" s="197">
        <v>103.07</v>
      </c>
      <c r="E85" s="260" t="s">
        <v>564</v>
      </c>
      <c r="F85" s="260" t="s">
        <v>793</v>
      </c>
      <c r="G85" s="196">
        <v>0</v>
      </c>
      <c r="H85" s="202">
        <v>46302</v>
      </c>
      <c r="I85" s="260" t="s">
        <v>588</v>
      </c>
      <c r="J85" s="196">
        <v>1</v>
      </c>
      <c r="K85" s="196">
        <v>0</v>
      </c>
      <c r="L85" s="260" t="s">
        <v>239</v>
      </c>
      <c r="M85" s="260" t="s">
        <v>514</v>
      </c>
    </row>
    <row r="86" spans="1:13" ht="14.5" x14ac:dyDescent="0.35">
      <c r="A86" s="260" t="s">
        <v>872</v>
      </c>
      <c r="B86" s="260" t="s">
        <v>749</v>
      </c>
      <c r="C86" s="190">
        <v>45768</v>
      </c>
      <c r="D86" s="197">
        <v>102.55</v>
      </c>
      <c r="E86" s="260" t="s">
        <v>564</v>
      </c>
      <c r="F86" s="260" t="s">
        <v>793</v>
      </c>
      <c r="G86" s="196">
        <v>0</v>
      </c>
      <c r="H86" s="202">
        <v>46302</v>
      </c>
      <c r="I86" s="260" t="s">
        <v>588</v>
      </c>
      <c r="J86" s="196">
        <v>1</v>
      </c>
      <c r="K86" s="196">
        <v>0</v>
      </c>
      <c r="L86" s="260" t="s">
        <v>239</v>
      </c>
      <c r="M86" s="260" t="s">
        <v>514</v>
      </c>
    </row>
    <row r="87" spans="1:13" ht="14.5" x14ac:dyDescent="0.35">
      <c r="A87" s="260" t="s">
        <v>873</v>
      </c>
      <c r="B87" s="260" t="s">
        <v>749</v>
      </c>
      <c r="C87" s="190">
        <v>45769</v>
      </c>
      <c r="D87" s="197">
        <v>102.38</v>
      </c>
      <c r="E87" s="260" t="s">
        <v>564</v>
      </c>
      <c r="F87" s="260" t="s">
        <v>793</v>
      </c>
      <c r="G87" s="196">
        <v>0</v>
      </c>
      <c r="H87" s="202">
        <v>46302</v>
      </c>
      <c r="I87" s="260" t="s">
        <v>588</v>
      </c>
      <c r="J87" s="196">
        <v>1</v>
      </c>
      <c r="K87" s="196">
        <v>0</v>
      </c>
      <c r="L87" s="260" t="s">
        <v>239</v>
      </c>
      <c r="M87" s="260" t="s">
        <v>514</v>
      </c>
    </row>
    <row r="88" spans="1:13" ht="14.5" x14ac:dyDescent="0.35">
      <c r="A88" s="260" t="s">
        <v>874</v>
      </c>
      <c r="B88" s="260" t="s">
        <v>749</v>
      </c>
      <c r="C88" s="190">
        <v>45770</v>
      </c>
      <c r="D88" s="197">
        <v>102.21</v>
      </c>
      <c r="E88" s="260" t="s">
        <v>564</v>
      </c>
      <c r="F88" s="260" t="s">
        <v>793</v>
      </c>
      <c r="G88" s="196">
        <v>0</v>
      </c>
      <c r="H88" s="202">
        <v>46302</v>
      </c>
      <c r="I88" s="260" t="s">
        <v>588</v>
      </c>
      <c r="J88" s="196">
        <v>1</v>
      </c>
      <c r="K88" s="196">
        <v>0</v>
      </c>
      <c r="L88" s="260" t="s">
        <v>239</v>
      </c>
      <c r="M88" s="260" t="s">
        <v>514</v>
      </c>
    </row>
    <row r="89" spans="1:13" ht="14.5" x14ac:dyDescent="0.35">
      <c r="A89" s="260" t="s">
        <v>875</v>
      </c>
      <c r="B89" s="260" t="s">
        <v>749</v>
      </c>
      <c r="C89" s="190">
        <v>45771</v>
      </c>
      <c r="D89" s="197">
        <v>102.03</v>
      </c>
      <c r="E89" s="260" t="s">
        <v>564</v>
      </c>
      <c r="F89" s="260" t="s">
        <v>793</v>
      </c>
      <c r="G89" s="196">
        <v>0</v>
      </c>
      <c r="H89" s="202">
        <v>46302</v>
      </c>
      <c r="I89" s="260" t="s">
        <v>588</v>
      </c>
      <c r="J89" s="196">
        <v>1</v>
      </c>
      <c r="K89" s="196">
        <v>0</v>
      </c>
      <c r="L89" s="260" t="s">
        <v>239</v>
      </c>
      <c r="M89" s="260" t="s">
        <v>514</v>
      </c>
    </row>
    <row r="90" spans="1:13" ht="14.5" x14ac:dyDescent="0.35">
      <c r="A90" s="260" t="s">
        <v>876</v>
      </c>
      <c r="B90" s="260" t="s">
        <v>749</v>
      </c>
      <c r="C90" s="190">
        <v>45772</v>
      </c>
      <c r="D90" s="197">
        <v>101.86</v>
      </c>
      <c r="E90" s="260" t="s">
        <v>564</v>
      </c>
      <c r="F90" s="260" t="s">
        <v>793</v>
      </c>
      <c r="G90" s="196">
        <v>0</v>
      </c>
      <c r="H90" s="202">
        <v>46302</v>
      </c>
      <c r="I90" s="260" t="s">
        <v>588</v>
      </c>
      <c r="J90" s="196">
        <v>1</v>
      </c>
      <c r="K90" s="196">
        <v>0</v>
      </c>
      <c r="L90" s="260" t="s">
        <v>239</v>
      </c>
      <c r="M90" s="260" t="s">
        <v>514</v>
      </c>
    </row>
    <row r="91" spans="1:13" ht="14.5" x14ac:dyDescent="0.35">
      <c r="A91" s="260" t="s">
        <v>877</v>
      </c>
      <c r="B91" s="260" t="s">
        <v>749</v>
      </c>
      <c r="C91" s="190">
        <v>45775</v>
      </c>
      <c r="D91" s="197">
        <v>101.34</v>
      </c>
      <c r="E91" s="260" t="s">
        <v>564</v>
      </c>
      <c r="F91" s="260" t="s">
        <v>793</v>
      </c>
      <c r="G91" s="196">
        <v>0</v>
      </c>
      <c r="H91" s="202">
        <v>46302</v>
      </c>
      <c r="I91" s="260" t="s">
        <v>588</v>
      </c>
      <c r="J91" s="196">
        <v>1</v>
      </c>
      <c r="K91" s="196">
        <v>0</v>
      </c>
      <c r="L91" s="260" t="s">
        <v>239</v>
      </c>
      <c r="M91" s="260" t="s">
        <v>514</v>
      </c>
    </row>
    <row r="92" spans="1:13" ht="14.5" x14ac:dyDescent="0.35">
      <c r="A92" s="260" t="s">
        <v>878</v>
      </c>
      <c r="B92" s="260" t="s">
        <v>749</v>
      </c>
      <c r="C92" s="190">
        <v>45776</v>
      </c>
      <c r="D92" s="197">
        <v>101.17</v>
      </c>
      <c r="E92" s="260" t="s">
        <v>564</v>
      </c>
      <c r="F92" s="260" t="s">
        <v>793</v>
      </c>
      <c r="G92" s="196">
        <v>0</v>
      </c>
      <c r="H92" s="202">
        <v>46302</v>
      </c>
      <c r="I92" s="260" t="s">
        <v>588</v>
      </c>
      <c r="J92" s="196">
        <v>1</v>
      </c>
      <c r="K92" s="196">
        <v>0</v>
      </c>
      <c r="L92" s="260" t="s">
        <v>239</v>
      </c>
      <c r="M92" s="260" t="s">
        <v>514</v>
      </c>
    </row>
    <row r="93" spans="1:13" ht="14.5" x14ac:dyDescent="0.35">
      <c r="A93" s="260" t="s">
        <v>879</v>
      </c>
      <c r="B93" s="260" t="s">
        <v>749</v>
      </c>
      <c r="C93" s="190">
        <v>45777</v>
      </c>
      <c r="D93" s="197">
        <v>101</v>
      </c>
      <c r="E93" s="260" t="s">
        <v>564</v>
      </c>
      <c r="F93" s="260" t="s">
        <v>793</v>
      </c>
      <c r="G93" s="196">
        <v>0</v>
      </c>
      <c r="H93" s="202">
        <v>46302</v>
      </c>
      <c r="I93" s="260" t="s">
        <v>588</v>
      </c>
      <c r="J93" s="196">
        <v>1</v>
      </c>
      <c r="K93" s="196">
        <v>0</v>
      </c>
      <c r="L93" s="260" t="s">
        <v>239</v>
      </c>
      <c r="M93" s="260" t="s">
        <v>514</v>
      </c>
    </row>
    <row r="94" spans="1:13" ht="14.5" x14ac:dyDescent="0.35">
      <c r="A94" s="260" t="s">
        <v>880</v>
      </c>
      <c r="B94" s="260" t="s">
        <v>749</v>
      </c>
      <c r="C94" s="190">
        <v>45778</v>
      </c>
      <c r="D94" s="197">
        <v>101</v>
      </c>
      <c r="E94" s="260" t="s">
        <v>564</v>
      </c>
      <c r="F94" s="260" t="s">
        <v>793</v>
      </c>
      <c r="G94" s="196">
        <v>0</v>
      </c>
      <c r="H94" s="202">
        <v>46302</v>
      </c>
      <c r="I94" s="260" t="s">
        <v>588</v>
      </c>
      <c r="J94" s="196">
        <v>1</v>
      </c>
      <c r="K94" s="196">
        <v>0</v>
      </c>
      <c r="L94" s="260" t="s">
        <v>239</v>
      </c>
      <c r="M94" s="260" t="s">
        <v>514</v>
      </c>
    </row>
    <row r="95" spans="1:13" ht="14.5" x14ac:dyDescent="0.35">
      <c r="A95" s="260" t="s">
        <v>881</v>
      </c>
      <c r="B95" s="260" t="s">
        <v>749</v>
      </c>
      <c r="C95" s="190">
        <v>45779</v>
      </c>
      <c r="D95" s="197">
        <v>100.93</v>
      </c>
      <c r="E95" s="260" t="s">
        <v>564</v>
      </c>
      <c r="F95" s="260" t="s">
        <v>793</v>
      </c>
      <c r="G95" s="196">
        <v>0</v>
      </c>
      <c r="H95" s="202">
        <v>46302</v>
      </c>
      <c r="I95" s="260" t="s">
        <v>588</v>
      </c>
      <c r="J95" s="196">
        <v>1</v>
      </c>
      <c r="K95" s="196">
        <v>0</v>
      </c>
      <c r="L95" s="260" t="s">
        <v>239</v>
      </c>
      <c r="M95" s="260" t="s">
        <v>514</v>
      </c>
    </row>
    <row r="96" spans="1:13" ht="14.5" x14ac:dyDescent="0.35">
      <c r="A96" s="260" t="s">
        <v>882</v>
      </c>
      <c r="B96" s="260" t="s">
        <v>749</v>
      </c>
      <c r="C96" s="190">
        <v>45782</v>
      </c>
      <c r="D96" s="197">
        <v>100.73</v>
      </c>
      <c r="E96" s="260" t="s">
        <v>564</v>
      </c>
      <c r="F96" s="260" t="s">
        <v>793</v>
      </c>
      <c r="G96" s="196">
        <v>0</v>
      </c>
      <c r="H96" s="202">
        <v>46302</v>
      </c>
      <c r="I96" s="260" t="s">
        <v>588</v>
      </c>
      <c r="J96" s="196">
        <v>1</v>
      </c>
      <c r="K96" s="196">
        <v>0</v>
      </c>
      <c r="L96" s="260" t="s">
        <v>239</v>
      </c>
      <c r="M96" s="260" t="s">
        <v>514</v>
      </c>
    </row>
    <row r="97" spans="1:13" ht="14.5" x14ac:dyDescent="0.35">
      <c r="A97" s="260" t="s">
        <v>883</v>
      </c>
      <c r="B97" s="260" t="s">
        <v>749</v>
      </c>
      <c r="C97" s="190">
        <v>45783</v>
      </c>
      <c r="D97" s="197">
        <v>100.67</v>
      </c>
      <c r="E97" s="260" t="s">
        <v>564</v>
      </c>
      <c r="F97" s="260" t="s">
        <v>793</v>
      </c>
      <c r="G97" s="196">
        <v>0</v>
      </c>
      <c r="H97" s="202">
        <v>46302</v>
      </c>
      <c r="I97" s="260" t="s">
        <v>588</v>
      </c>
      <c r="J97" s="196">
        <v>1</v>
      </c>
      <c r="K97" s="196">
        <v>0</v>
      </c>
      <c r="L97" s="260" t="s">
        <v>239</v>
      </c>
      <c r="M97" s="260" t="s">
        <v>514</v>
      </c>
    </row>
    <row r="98" spans="1:13" ht="14.5" x14ac:dyDescent="0.35">
      <c r="A98" s="260" t="s">
        <v>884</v>
      </c>
      <c r="B98" s="260" t="s">
        <v>749</v>
      </c>
      <c r="C98" s="190">
        <v>45784</v>
      </c>
      <c r="D98" s="197">
        <v>100.6</v>
      </c>
      <c r="E98" s="260" t="s">
        <v>564</v>
      </c>
      <c r="F98" s="260" t="s">
        <v>793</v>
      </c>
      <c r="G98" s="196">
        <v>0</v>
      </c>
      <c r="H98" s="202">
        <v>46302</v>
      </c>
      <c r="I98" s="260" t="s">
        <v>588</v>
      </c>
      <c r="J98" s="196">
        <v>1</v>
      </c>
      <c r="K98" s="196">
        <v>0</v>
      </c>
      <c r="L98" s="260" t="s">
        <v>239</v>
      </c>
      <c r="M98" s="260" t="s">
        <v>514</v>
      </c>
    </row>
    <row r="99" spans="1:13" ht="14.5" x14ac:dyDescent="0.35">
      <c r="A99" s="260" t="s">
        <v>885</v>
      </c>
      <c r="B99" s="260" t="s">
        <v>749</v>
      </c>
      <c r="C99" s="190">
        <v>45785</v>
      </c>
      <c r="D99" s="197">
        <v>100.53</v>
      </c>
      <c r="E99" s="260" t="s">
        <v>564</v>
      </c>
      <c r="F99" s="260" t="s">
        <v>793</v>
      </c>
      <c r="G99" s="196">
        <v>0</v>
      </c>
      <c r="H99" s="202">
        <v>46302</v>
      </c>
      <c r="I99" s="260" t="s">
        <v>588</v>
      </c>
      <c r="J99" s="196">
        <v>1</v>
      </c>
      <c r="K99" s="196">
        <v>0</v>
      </c>
      <c r="L99" s="260" t="s">
        <v>239</v>
      </c>
      <c r="M99" s="260" t="s">
        <v>514</v>
      </c>
    </row>
    <row r="100" spans="1:13" ht="14.5" x14ac:dyDescent="0.35">
      <c r="A100" s="260" t="s">
        <v>886</v>
      </c>
      <c r="B100" s="260" t="s">
        <v>749</v>
      </c>
      <c r="C100" s="190">
        <v>45786</v>
      </c>
      <c r="D100" s="197">
        <v>100.47</v>
      </c>
      <c r="E100" s="260" t="s">
        <v>564</v>
      </c>
      <c r="F100" s="260" t="s">
        <v>793</v>
      </c>
      <c r="G100" s="196">
        <v>0</v>
      </c>
      <c r="H100" s="202">
        <v>46302</v>
      </c>
      <c r="I100" s="260" t="s">
        <v>588</v>
      </c>
      <c r="J100" s="196">
        <v>1</v>
      </c>
      <c r="K100" s="196">
        <v>0</v>
      </c>
      <c r="L100" s="260" t="s">
        <v>239</v>
      </c>
      <c r="M100" s="260" t="s">
        <v>514</v>
      </c>
    </row>
    <row r="101" spans="1:13" ht="14.5" x14ac:dyDescent="0.35">
      <c r="A101" s="260" t="s">
        <v>887</v>
      </c>
      <c r="B101" s="260" t="s">
        <v>749</v>
      </c>
      <c r="C101" s="190">
        <v>45789</v>
      </c>
      <c r="D101" s="197">
        <v>100.27</v>
      </c>
      <c r="E101" s="260" t="s">
        <v>564</v>
      </c>
      <c r="F101" s="260" t="s">
        <v>793</v>
      </c>
      <c r="G101" s="196">
        <v>0</v>
      </c>
      <c r="H101" s="202">
        <v>46302</v>
      </c>
      <c r="I101" s="260" t="s">
        <v>588</v>
      </c>
      <c r="J101" s="196">
        <v>1</v>
      </c>
      <c r="K101" s="196">
        <v>0</v>
      </c>
      <c r="L101" s="260" t="s">
        <v>239</v>
      </c>
      <c r="M101" s="260" t="s">
        <v>514</v>
      </c>
    </row>
    <row r="102" spans="1:13" ht="14.5" x14ac:dyDescent="0.35">
      <c r="A102" s="260" t="s">
        <v>888</v>
      </c>
      <c r="B102" s="260" t="s">
        <v>749</v>
      </c>
      <c r="C102" s="190">
        <v>45790</v>
      </c>
      <c r="D102" s="197">
        <v>100.2</v>
      </c>
      <c r="E102" s="260" t="s">
        <v>564</v>
      </c>
      <c r="F102" s="260" t="s">
        <v>793</v>
      </c>
      <c r="G102" s="196">
        <v>0</v>
      </c>
      <c r="H102" s="202">
        <v>46302</v>
      </c>
      <c r="I102" s="260" t="s">
        <v>588</v>
      </c>
      <c r="J102" s="196">
        <v>1</v>
      </c>
      <c r="K102" s="196">
        <v>0</v>
      </c>
      <c r="L102" s="260" t="s">
        <v>239</v>
      </c>
      <c r="M102" s="260" t="s">
        <v>514</v>
      </c>
    </row>
    <row r="103" spans="1:13" ht="14.5" x14ac:dyDescent="0.35">
      <c r="A103" s="260" t="s">
        <v>889</v>
      </c>
      <c r="B103" s="260" t="s">
        <v>749</v>
      </c>
      <c r="C103" s="190">
        <v>45791</v>
      </c>
      <c r="D103" s="197">
        <v>100.13</v>
      </c>
      <c r="E103" s="260" t="s">
        <v>564</v>
      </c>
      <c r="F103" s="260" t="s">
        <v>793</v>
      </c>
      <c r="G103" s="196">
        <v>0</v>
      </c>
      <c r="H103" s="202">
        <v>46302</v>
      </c>
      <c r="I103" s="260" t="s">
        <v>588</v>
      </c>
      <c r="J103" s="196">
        <v>1</v>
      </c>
      <c r="K103" s="196">
        <v>0</v>
      </c>
      <c r="L103" s="260" t="s">
        <v>239</v>
      </c>
      <c r="M103" s="260" t="s">
        <v>514</v>
      </c>
    </row>
    <row r="104" spans="1:13" ht="14.5" x14ac:dyDescent="0.35">
      <c r="A104" s="260" t="s">
        <v>890</v>
      </c>
      <c r="B104" s="260" t="s">
        <v>749</v>
      </c>
      <c r="C104" s="190">
        <v>45792</v>
      </c>
      <c r="D104" s="197">
        <v>100.07</v>
      </c>
      <c r="E104" s="260" t="s">
        <v>564</v>
      </c>
      <c r="F104" s="260" t="s">
        <v>793</v>
      </c>
      <c r="G104" s="196">
        <v>0</v>
      </c>
      <c r="H104" s="202">
        <v>46302</v>
      </c>
      <c r="I104" s="260" t="s">
        <v>588</v>
      </c>
      <c r="J104" s="196">
        <v>1</v>
      </c>
      <c r="K104" s="196">
        <v>0</v>
      </c>
      <c r="L104" s="260" t="s">
        <v>239</v>
      </c>
      <c r="M104" s="260" t="s">
        <v>514</v>
      </c>
    </row>
    <row r="105" spans="1:13" ht="14.5" x14ac:dyDescent="0.35">
      <c r="A105" s="260" t="s">
        <v>891</v>
      </c>
      <c r="B105" s="260" t="s">
        <v>749</v>
      </c>
      <c r="C105" s="190">
        <v>45793</v>
      </c>
      <c r="D105" s="197">
        <v>100</v>
      </c>
      <c r="E105" s="260" t="s">
        <v>564</v>
      </c>
      <c r="F105" s="260" t="s">
        <v>793</v>
      </c>
      <c r="G105" s="196">
        <v>0</v>
      </c>
      <c r="H105" s="202">
        <v>46302</v>
      </c>
      <c r="I105" s="260" t="s">
        <v>588</v>
      </c>
      <c r="J105" s="196">
        <v>1</v>
      </c>
      <c r="K105" s="196">
        <v>0</v>
      </c>
      <c r="L105" s="260" t="s">
        <v>239</v>
      </c>
      <c r="M105" s="260" t="s">
        <v>514</v>
      </c>
    </row>
    <row r="106" spans="1:13" ht="14.5" x14ac:dyDescent="0.35">
      <c r="A106" s="260" t="s">
        <v>892</v>
      </c>
      <c r="B106" s="260" t="s">
        <v>749</v>
      </c>
      <c r="C106" s="190">
        <v>45796</v>
      </c>
      <c r="D106" s="197">
        <v>99.8</v>
      </c>
      <c r="E106" s="260" t="s">
        <v>564</v>
      </c>
      <c r="F106" s="260" t="s">
        <v>793</v>
      </c>
      <c r="G106" s="196">
        <v>0</v>
      </c>
      <c r="H106" s="202">
        <v>46302</v>
      </c>
      <c r="I106" s="260" t="s">
        <v>588</v>
      </c>
      <c r="J106" s="196">
        <v>1</v>
      </c>
      <c r="K106" s="196">
        <v>0</v>
      </c>
      <c r="L106" s="260" t="s">
        <v>239</v>
      </c>
      <c r="M106" s="260" t="s">
        <v>514</v>
      </c>
    </row>
    <row r="107" spans="1:13" ht="14.5" x14ac:dyDescent="0.35">
      <c r="A107" s="260" t="s">
        <v>893</v>
      </c>
      <c r="B107" s="260" t="s">
        <v>749</v>
      </c>
      <c r="C107" s="190">
        <v>45797</v>
      </c>
      <c r="D107" s="197">
        <v>99.73</v>
      </c>
      <c r="E107" s="260" t="s">
        <v>564</v>
      </c>
      <c r="F107" s="260" t="s">
        <v>793</v>
      </c>
      <c r="G107" s="196">
        <v>0</v>
      </c>
      <c r="H107" s="202">
        <v>46302</v>
      </c>
      <c r="I107" s="260" t="s">
        <v>588</v>
      </c>
      <c r="J107" s="196">
        <v>1</v>
      </c>
      <c r="K107" s="196">
        <v>0</v>
      </c>
      <c r="L107" s="260" t="s">
        <v>239</v>
      </c>
      <c r="M107" s="260" t="s">
        <v>514</v>
      </c>
    </row>
    <row r="108" spans="1:13" ht="14.5" x14ac:dyDescent="0.35">
      <c r="A108" s="260" t="s">
        <v>894</v>
      </c>
      <c r="B108" s="260" t="s">
        <v>749</v>
      </c>
      <c r="C108" s="190">
        <v>45798</v>
      </c>
      <c r="D108" s="197">
        <v>99.67</v>
      </c>
      <c r="E108" s="260" t="s">
        <v>564</v>
      </c>
      <c r="F108" s="260" t="s">
        <v>793</v>
      </c>
      <c r="G108" s="196">
        <v>0</v>
      </c>
      <c r="H108" s="202">
        <v>46302</v>
      </c>
      <c r="I108" s="260" t="s">
        <v>588</v>
      </c>
      <c r="J108" s="196">
        <v>1</v>
      </c>
      <c r="K108" s="196">
        <v>0</v>
      </c>
      <c r="L108" s="260" t="s">
        <v>239</v>
      </c>
      <c r="M108" s="260" t="s">
        <v>514</v>
      </c>
    </row>
    <row r="109" spans="1:13" ht="14.5" x14ac:dyDescent="0.35">
      <c r="A109" s="260" t="s">
        <v>895</v>
      </c>
      <c r="B109" s="260" t="s">
        <v>749</v>
      </c>
      <c r="C109" s="190">
        <v>45799</v>
      </c>
      <c r="D109" s="197">
        <v>99.6</v>
      </c>
      <c r="E109" s="260" t="s">
        <v>564</v>
      </c>
      <c r="F109" s="260" t="s">
        <v>793</v>
      </c>
      <c r="G109" s="196">
        <v>0</v>
      </c>
      <c r="H109" s="202">
        <v>46302</v>
      </c>
      <c r="I109" s="260" t="s">
        <v>588</v>
      </c>
      <c r="J109" s="196">
        <v>1</v>
      </c>
      <c r="K109" s="196">
        <v>0</v>
      </c>
      <c r="L109" s="260" t="s">
        <v>239</v>
      </c>
      <c r="M109" s="260" t="s">
        <v>514</v>
      </c>
    </row>
    <row r="110" spans="1:13" ht="14.5" x14ac:dyDescent="0.35">
      <c r="A110" s="260" t="s">
        <v>896</v>
      </c>
      <c r="B110" s="260" t="s">
        <v>749</v>
      </c>
      <c r="C110" s="190">
        <v>45800</v>
      </c>
      <c r="D110" s="197">
        <v>99.53</v>
      </c>
      <c r="E110" s="260" t="s">
        <v>564</v>
      </c>
      <c r="F110" s="260" t="s">
        <v>793</v>
      </c>
      <c r="G110" s="196">
        <v>0</v>
      </c>
      <c r="H110" s="202">
        <v>46302</v>
      </c>
      <c r="I110" s="260" t="s">
        <v>588</v>
      </c>
      <c r="J110" s="196">
        <v>1</v>
      </c>
      <c r="K110" s="196">
        <v>0</v>
      </c>
      <c r="L110" s="260" t="s">
        <v>239</v>
      </c>
      <c r="M110" s="260" t="s">
        <v>514</v>
      </c>
    </row>
    <row r="111" spans="1:13" ht="14.5" x14ac:dyDescent="0.35">
      <c r="A111" s="260" t="s">
        <v>897</v>
      </c>
      <c r="B111" s="260" t="s">
        <v>749</v>
      </c>
      <c r="C111" s="190">
        <v>45803</v>
      </c>
      <c r="D111" s="197">
        <v>99.33</v>
      </c>
      <c r="E111" s="260" t="s">
        <v>564</v>
      </c>
      <c r="F111" s="260" t="s">
        <v>793</v>
      </c>
      <c r="G111" s="196">
        <v>0</v>
      </c>
      <c r="H111" s="202">
        <v>46302</v>
      </c>
      <c r="I111" s="260" t="s">
        <v>588</v>
      </c>
      <c r="J111" s="196">
        <v>1</v>
      </c>
      <c r="K111" s="196">
        <v>0</v>
      </c>
      <c r="L111" s="260" t="s">
        <v>239</v>
      </c>
      <c r="M111" s="260" t="s">
        <v>514</v>
      </c>
    </row>
    <row r="112" spans="1:13" ht="14.5" x14ac:dyDescent="0.35">
      <c r="A112" s="260" t="s">
        <v>898</v>
      </c>
      <c r="B112" s="260" t="s">
        <v>749</v>
      </c>
      <c r="C112" s="190">
        <v>45804</v>
      </c>
      <c r="D112" s="197">
        <v>99.27</v>
      </c>
      <c r="E112" s="260" t="s">
        <v>564</v>
      </c>
      <c r="F112" s="260" t="s">
        <v>793</v>
      </c>
      <c r="G112" s="196">
        <v>0</v>
      </c>
      <c r="H112" s="202">
        <v>46302</v>
      </c>
      <c r="I112" s="260" t="s">
        <v>588</v>
      </c>
      <c r="J112" s="196">
        <v>1</v>
      </c>
      <c r="K112" s="196">
        <v>0</v>
      </c>
      <c r="L112" s="260" t="s">
        <v>239</v>
      </c>
      <c r="M112" s="260" t="s">
        <v>514</v>
      </c>
    </row>
    <row r="113" spans="1:13" ht="14.5" x14ac:dyDescent="0.35">
      <c r="A113" s="260" t="s">
        <v>899</v>
      </c>
      <c r="B113" s="260" t="s">
        <v>749</v>
      </c>
      <c r="C113" s="190">
        <v>45805</v>
      </c>
      <c r="D113" s="197">
        <v>99.2</v>
      </c>
      <c r="E113" s="260" t="s">
        <v>564</v>
      </c>
      <c r="F113" s="260" t="s">
        <v>793</v>
      </c>
      <c r="G113" s="196">
        <v>0</v>
      </c>
      <c r="H113" s="202">
        <v>46302</v>
      </c>
      <c r="I113" s="260" t="s">
        <v>588</v>
      </c>
      <c r="J113" s="196">
        <v>1</v>
      </c>
      <c r="K113" s="196">
        <v>0</v>
      </c>
      <c r="L113" s="260" t="s">
        <v>239</v>
      </c>
      <c r="M113" s="260" t="s">
        <v>514</v>
      </c>
    </row>
    <row r="114" spans="1:13" ht="14.5" x14ac:dyDescent="0.35">
      <c r="A114" s="260" t="s">
        <v>900</v>
      </c>
      <c r="B114" s="260" t="s">
        <v>749</v>
      </c>
      <c r="C114" s="190">
        <v>45806</v>
      </c>
      <c r="D114" s="197">
        <v>99.13</v>
      </c>
      <c r="E114" s="260" t="s">
        <v>564</v>
      </c>
      <c r="F114" s="260" t="s">
        <v>793</v>
      </c>
      <c r="G114" s="196">
        <v>0</v>
      </c>
      <c r="H114" s="202">
        <v>46302</v>
      </c>
      <c r="I114" s="260" t="s">
        <v>588</v>
      </c>
      <c r="J114" s="196">
        <v>1</v>
      </c>
      <c r="K114" s="196">
        <v>0</v>
      </c>
      <c r="L114" s="260" t="s">
        <v>239</v>
      </c>
      <c r="M114" s="260" t="s">
        <v>514</v>
      </c>
    </row>
    <row r="115" spans="1:13" ht="14.5" x14ac:dyDescent="0.35">
      <c r="A115" s="260" t="s">
        <v>901</v>
      </c>
      <c r="B115" s="260" t="s">
        <v>749</v>
      </c>
      <c r="C115" s="190">
        <v>45807</v>
      </c>
      <c r="D115" s="197">
        <v>99.07</v>
      </c>
      <c r="E115" s="260" t="s">
        <v>564</v>
      </c>
      <c r="F115" s="260" t="s">
        <v>793</v>
      </c>
      <c r="G115" s="196">
        <v>0</v>
      </c>
      <c r="H115" s="202">
        <v>46302</v>
      </c>
      <c r="I115" s="260" t="s">
        <v>588</v>
      </c>
      <c r="J115" s="196">
        <v>1</v>
      </c>
      <c r="K115" s="196">
        <v>0</v>
      </c>
      <c r="L115" s="260" t="s">
        <v>239</v>
      </c>
      <c r="M115" s="260" t="s">
        <v>514</v>
      </c>
    </row>
    <row r="116" spans="1:13" ht="14.5" x14ac:dyDescent="0.35">
      <c r="A116" s="260" t="s">
        <v>902</v>
      </c>
      <c r="B116" s="260" t="s">
        <v>749</v>
      </c>
      <c r="C116" s="190">
        <v>45810</v>
      </c>
      <c r="D116" s="197">
        <v>99.41</v>
      </c>
      <c r="E116" s="260" t="s">
        <v>564</v>
      </c>
      <c r="F116" s="260" t="s">
        <v>793</v>
      </c>
      <c r="G116" s="196">
        <v>0</v>
      </c>
      <c r="H116" s="202">
        <v>46302</v>
      </c>
      <c r="I116" s="260" t="s">
        <v>588</v>
      </c>
      <c r="J116" s="196">
        <v>1</v>
      </c>
      <c r="K116" s="196">
        <v>0</v>
      </c>
      <c r="L116" s="260" t="s">
        <v>239</v>
      </c>
      <c r="M116" s="260" t="s">
        <v>514</v>
      </c>
    </row>
    <row r="117" spans="1:13" ht="14.5" x14ac:dyDescent="0.35">
      <c r="A117" s="260" t="s">
        <v>903</v>
      </c>
      <c r="B117" s="260" t="s">
        <v>749</v>
      </c>
      <c r="C117" s="190">
        <v>45811</v>
      </c>
      <c r="D117" s="197">
        <v>99.83</v>
      </c>
      <c r="E117" s="260" t="s">
        <v>564</v>
      </c>
      <c r="F117" s="260" t="s">
        <v>793</v>
      </c>
      <c r="G117" s="196">
        <v>0</v>
      </c>
      <c r="H117" s="202">
        <v>46302</v>
      </c>
      <c r="I117" s="260" t="s">
        <v>588</v>
      </c>
      <c r="J117" s="196">
        <v>1</v>
      </c>
      <c r="K117" s="196">
        <v>0</v>
      </c>
      <c r="L117" s="260" t="s">
        <v>239</v>
      </c>
      <c r="M117" s="260" t="s">
        <v>514</v>
      </c>
    </row>
    <row r="118" spans="1:13" ht="14.5" x14ac:dyDescent="0.35">
      <c r="A118" s="260" t="s">
        <v>904</v>
      </c>
      <c r="B118" s="260" t="s">
        <v>749</v>
      </c>
      <c r="C118" s="190">
        <v>45812</v>
      </c>
      <c r="D118" s="197">
        <v>100.24</v>
      </c>
      <c r="E118" s="260" t="s">
        <v>564</v>
      </c>
      <c r="F118" s="260" t="s">
        <v>793</v>
      </c>
      <c r="G118" s="196">
        <v>0</v>
      </c>
      <c r="H118" s="202">
        <v>46302</v>
      </c>
      <c r="I118" s="260" t="s">
        <v>588</v>
      </c>
      <c r="J118" s="196">
        <v>1</v>
      </c>
      <c r="K118" s="196">
        <v>0</v>
      </c>
      <c r="L118" s="260" t="s">
        <v>239</v>
      </c>
      <c r="M118" s="260" t="s">
        <v>514</v>
      </c>
    </row>
    <row r="119" spans="1:13" ht="14.5" x14ac:dyDescent="0.35">
      <c r="A119" s="260" t="s">
        <v>905</v>
      </c>
      <c r="B119" s="260" t="s">
        <v>749</v>
      </c>
      <c r="C119" s="190">
        <v>45813</v>
      </c>
      <c r="D119" s="197">
        <v>100.66</v>
      </c>
      <c r="E119" s="260" t="s">
        <v>564</v>
      </c>
      <c r="F119" s="260" t="s">
        <v>793</v>
      </c>
      <c r="G119" s="196">
        <v>0</v>
      </c>
      <c r="H119" s="202">
        <v>46302</v>
      </c>
      <c r="I119" s="260" t="s">
        <v>588</v>
      </c>
      <c r="J119" s="196">
        <v>1</v>
      </c>
      <c r="K119" s="196">
        <v>0</v>
      </c>
      <c r="L119" s="260" t="s">
        <v>239</v>
      </c>
      <c r="M119" s="260" t="s">
        <v>514</v>
      </c>
    </row>
    <row r="120" spans="1:13" ht="14.5" x14ac:dyDescent="0.35">
      <c r="A120" s="260" t="s">
        <v>906</v>
      </c>
      <c r="B120" s="260" t="s">
        <v>749</v>
      </c>
      <c r="C120" s="190">
        <v>45814</v>
      </c>
      <c r="D120" s="197">
        <v>101.07</v>
      </c>
      <c r="E120" s="260" t="s">
        <v>564</v>
      </c>
      <c r="F120" s="260" t="s">
        <v>793</v>
      </c>
      <c r="G120" s="196">
        <v>0</v>
      </c>
      <c r="H120" s="202">
        <v>46302</v>
      </c>
      <c r="I120" s="260" t="s">
        <v>588</v>
      </c>
      <c r="J120" s="196">
        <v>1</v>
      </c>
      <c r="K120" s="196">
        <v>0</v>
      </c>
      <c r="L120" s="260" t="s">
        <v>239</v>
      </c>
      <c r="M120" s="260" t="s">
        <v>514</v>
      </c>
    </row>
    <row r="121" spans="1:13" ht="14.5" x14ac:dyDescent="0.35">
      <c r="A121" s="260" t="s">
        <v>907</v>
      </c>
      <c r="B121" s="260" t="s">
        <v>749</v>
      </c>
      <c r="C121" s="190">
        <v>45817</v>
      </c>
      <c r="D121" s="197">
        <v>102.31</v>
      </c>
      <c r="E121" s="260" t="s">
        <v>564</v>
      </c>
      <c r="F121" s="260" t="s">
        <v>793</v>
      </c>
      <c r="G121" s="196">
        <v>0</v>
      </c>
      <c r="H121" s="202">
        <v>46302</v>
      </c>
      <c r="I121" s="260" t="s">
        <v>588</v>
      </c>
      <c r="J121" s="196">
        <v>1</v>
      </c>
      <c r="K121" s="196">
        <v>0</v>
      </c>
      <c r="L121" s="260" t="s">
        <v>239</v>
      </c>
      <c r="M121" s="260" t="s">
        <v>514</v>
      </c>
    </row>
    <row r="122" spans="1:13" ht="14.5" x14ac:dyDescent="0.35">
      <c r="A122" s="260" t="s">
        <v>908</v>
      </c>
      <c r="B122" s="260" t="s">
        <v>749</v>
      </c>
      <c r="C122" s="190">
        <v>45818</v>
      </c>
      <c r="D122" s="197">
        <v>102.72</v>
      </c>
      <c r="E122" s="260" t="s">
        <v>564</v>
      </c>
      <c r="F122" s="260" t="s">
        <v>793</v>
      </c>
      <c r="G122" s="196">
        <v>0</v>
      </c>
      <c r="H122" s="202">
        <v>46302</v>
      </c>
      <c r="I122" s="260" t="s">
        <v>588</v>
      </c>
      <c r="J122" s="196">
        <v>1</v>
      </c>
      <c r="K122" s="196">
        <v>0</v>
      </c>
      <c r="L122" s="260" t="s">
        <v>239</v>
      </c>
      <c r="M122" s="260" t="s">
        <v>514</v>
      </c>
    </row>
    <row r="123" spans="1:13" ht="14.5" x14ac:dyDescent="0.35">
      <c r="A123" s="260" t="s">
        <v>909</v>
      </c>
      <c r="B123" s="260" t="s">
        <v>749</v>
      </c>
      <c r="C123" s="190">
        <v>45819</v>
      </c>
      <c r="D123" s="197">
        <v>103.14</v>
      </c>
      <c r="E123" s="260" t="s">
        <v>564</v>
      </c>
      <c r="F123" s="260" t="s">
        <v>793</v>
      </c>
      <c r="G123" s="196">
        <v>0</v>
      </c>
      <c r="H123" s="202">
        <v>46302</v>
      </c>
      <c r="I123" s="260" t="s">
        <v>588</v>
      </c>
      <c r="J123" s="196">
        <v>1</v>
      </c>
      <c r="K123" s="196">
        <v>0</v>
      </c>
      <c r="L123" s="260" t="s">
        <v>239</v>
      </c>
      <c r="M123" s="260" t="s">
        <v>514</v>
      </c>
    </row>
    <row r="124" spans="1:13" ht="14.5" x14ac:dyDescent="0.35">
      <c r="A124" s="260" t="s">
        <v>910</v>
      </c>
      <c r="B124" s="260" t="s">
        <v>749</v>
      </c>
      <c r="C124" s="190">
        <v>45820</v>
      </c>
      <c r="D124" s="197">
        <v>103.55</v>
      </c>
      <c r="E124" s="260" t="s">
        <v>564</v>
      </c>
      <c r="F124" s="260" t="s">
        <v>793</v>
      </c>
      <c r="G124" s="196">
        <v>0</v>
      </c>
      <c r="H124" s="202">
        <v>46302</v>
      </c>
      <c r="I124" s="260" t="s">
        <v>588</v>
      </c>
      <c r="J124" s="196">
        <v>1</v>
      </c>
      <c r="K124" s="196">
        <v>0</v>
      </c>
      <c r="L124" s="260" t="s">
        <v>239</v>
      </c>
      <c r="M124" s="260" t="s">
        <v>514</v>
      </c>
    </row>
    <row r="125" spans="1:13" ht="14.5" x14ac:dyDescent="0.35">
      <c r="A125" s="260" t="s">
        <v>911</v>
      </c>
      <c r="B125" s="260" t="s">
        <v>749</v>
      </c>
      <c r="C125" s="190">
        <v>45821</v>
      </c>
      <c r="D125" s="197">
        <v>103.97</v>
      </c>
      <c r="E125" s="260" t="s">
        <v>564</v>
      </c>
      <c r="F125" s="260" t="s">
        <v>793</v>
      </c>
      <c r="G125" s="196">
        <v>0</v>
      </c>
      <c r="H125" s="202">
        <v>46302</v>
      </c>
      <c r="I125" s="260" t="s">
        <v>588</v>
      </c>
      <c r="J125" s="196">
        <v>1</v>
      </c>
      <c r="K125" s="196">
        <v>0</v>
      </c>
      <c r="L125" s="260" t="s">
        <v>239</v>
      </c>
      <c r="M125" s="260" t="s">
        <v>514</v>
      </c>
    </row>
    <row r="126" spans="1:13" ht="14.5" x14ac:dyDescent="0.35">
      <c r="A126" s="260" t="s">
        <v>912</v>
      </c>
      <c r="B126" s="260" t="s">
        <v>749</v>
      </c>
      <c r="C126" s="190">
        <v>45824</v>
      </c>
      <c r="D126" s="197">
        <v>52.6</v>
      </c>
      <c r="E126" s="260" t="s">
        <v>564</v>
      </c>
      <c r="F126" s="260" t="s">
        <v>793</v>
      </c>
      <c r="G126" s="196">
        <v>0</v>
      </c>
      <c r="H126" s="202">
        <v>46302</v>
      </c>
      <c r="I126" s="260" t="s">
        <v>588</v>
      </c>
      <c r="J126" s="196">
        <v>1</v>
      </c>
      <c r="K126" s="196">
        <v>0</v>
      </c>
      <c r="L126" s="260" t="s">
        <v>239</v>
      </c>
      <c r="M126" s="260" t="s">
        <v>514</v>
      </c>
    </row>
    <row r="127" spans="1:13" ht="14.5" x14ac:dyDescent="0.35">
      <c r="A127" s="260" t="s">
        <v>913</v>
      </c>
      <c r="B127" s="260" t="s">
        <v>749</v>
      </c>
      <c r="C127" s="190">
        <v>45825</v>
      </c>
      <c r="D127" s="197">
        <v>52.81</v>
      </c>
      <c r="E127" s="260" t="s">
        <v>564</v>
      </c>
      <c r="F127" s="260" t="s">
        <v>793</v>
      </c>
      <c r="G127" s="196">
        <v>0</v>
      </c>
      <c r="H127" s="202">
        <v>46302</v>
      </c>
      <c r="I127" s="260" t="s">
        <v>588</v>
      </c>
      <c r="J127" s="196">
        <v>1</v>
      </c>
      <c r="K127" s="196">
        <v>0</v>
      </c>
      <c r="L127" s="260" t="s">
        <v>239</v>
      </c>
      <c r="M127" s="260" t="s">
        <v>514</v>
      </c>
    </row>
    <row r="128" spans="1:13" ht="14.5" x14ac:dyDescent="0.35">
      <c r="A128" s="260" t="s">
        <v>914</v>
      </c>
      <c r="B128" s="260" t="s">
        <v>749</v>
      </c>
      <c r="C128" s="190">
        <v>45826</v>
      </c>
      <c r="D128" s="197">
        <v>53.02</v>
      </c>
      <c r="E128" s="260" t="s">
        <v>564</v>
      </c>
      <c r="F128" s="260" t="s">
        <v>793</v>
      </c>
      <c r="G128" s="196">
        <v>0</v>
      </c>
      <c r="H128" s="202">
        <v>46302</v>
      </c>
      <c r="I128" s="260" t="s">
        <v>588</v>
      </c>
      <c r="J128" s="196">
        <v>1</v>
      </c>
      <c r="K128" s="196">
        <v>0</v>
      </c>
      <c r="L128" s="260" t="s">
        <v>239</v>
      </c>
      <c r="M128" s="260" t="s">
        <v>514</v>
      </c>
    </row>
    <row r="129" spans="1:13" ht="14.5" x14ac:dyDescent="0.35">
      <c r="A129" s="260" t="s">
        <v>915</v>
      </c>
      <c r="B129" s="260" t="s">
        <v>749</v>
      </c>
      <c r="C129" s="190">
        <v>45827</v>
      </c>
      <c r="D129" s="197">
        <v>53.22</v>
      </c>
      <c r="E129" s="260" t="s">
        <v>564</v>
      </c>
      <c r="F129" s="260" t="s">
        <v>793</v>
      </c>
      <c r="G129" s="196">
        <v>0</v>
      </c>
      <c r="H129" s="202">
        <v>46302</v>
      </c>
      <c r="I129" s="260" t="s">
        <v>588</v>
      </c>
      <c r="J129" s="196">
        <v>1</v>
      </c>
      <c r="K129" s="196">
        <v>0</v>
      </c>
      <c r="L129" s="260" t="s">
        <v>239</v>
      </c>
      <c r="M129" s="260" t="s">
        <v>514</v>
      </c>
    </row>
    <row r="130" spans="1:13" ht="14.5" x14ac:dyDescent="0.35">
      <c r="A130" s="260" t="s">
        <v>916</v>
      </c>
      <c r="B130" s="260" t="s">
        <v>749</v>
      </c>
      <c r="C130" s="190">
        <v>45828</v>
      </c>
      <c r="D130" s="197">
        <v>53.43</v>
      </c>
      <c r="E130" s="260" t="s">
        <v>564</v>
      </c>
      <c r="F130" s="260" t="s">
        <v>793</v>
      </c>
      <c r="G130" s="196">
        <v>0</v>
      </c>
      <c r="H130" s="202">
        <v>46302</v>
      </c>
      <c r="I130" s="260" t="s">
        <v>588</v>
      </c>
      <c r="J130" s="196">
        <v>1</v>
      </c>
      <c r="K130" s="196">
        <v>0</v>
      </c>
      <c r="L130" s="260" t="s">
        <v>239</v>
      </c>
      <c r="M130" s="260" t="s">
        <v>514</v>
      </c>
    </row>
    <row r="131" spans="1:13" ht="14.5" x14ac:dyDescent="0.35">
      <c r="A131" s="260" t="s">
        <v>917</v>
      </c>
      <c r="B131" s="260" t="s">
        <v>749</v>
      </c>
      <c r="C131" s="190">
        <v>45831</v>
      </c>
      <c r="D131" s="197">
        <v>54.05</v>
      </c>
      <c r="E131" s="260" t="s">
        <v>564</v>
      </c>
      <c r="F131" s="260" t="s">
        <v>793</v>
      </c>
      <c r="G131" s="196">
        <v>0</v>
      </c>
      <c r="H131" s="202">
        <v>46302</v>
      </c>
      <c r="I131" s="260" t="s">
        <v>588</v>
      </c>
      <c r="J131" s="196">
        <v>1</v>
      </c>
      <c r="K131" s="196">
        <v>0</v>
      </c>
      <c r="L131" s="260" t="s">
        <v>239</v>
      </c>
      <c r="M131" s="260" t="s">
        <v>514</v>
      </c>
    </row>
    <row r="132" spans="1:13" ht="14.5" x14ac:dyDescent="0.35">
      <c r="A132" s="260" t="s">
        <v>918</v>
      </c>
      <c r="B132" s="260" t="s">
        <v>749</v>
      </c>
      <c r="C132" s="190">
        <v>45832</v>
      </c>
      <c r="D132" s="197">
        <v>54.26</v>
      </c>
      <c r="E132" s="260" t="s">
        <v>564</v>
      </c>
      <c r="F132" s="260" t="s">
        <v>793</v>
      </c>
      <c r="G132" s="196">
        <v>0</v>
      </c>
      <c r="H132" s="202">
        <v>46302</v>
      </c>
      <c r="I132" s="260" t="s">
        <v>588</v>
      </c>
      <c r="J132" s="196">
        <v>1</v>
      </c>
      <c r="K132" s="196">
        <v>0</v>
      </c>
      <c r="L132" s="260" t="s">
        <v>239</v>
      </c>
      <c r="M132" s="260" t="s">
        <v>514</v>
      </c>
    </row>
    <row r="133" spans="1:13" ht="14.5" x14ac:dyDescent="0.35">
      <c r="A133" s="260" t="s">
        <v>919</v>
      </c>
      <c r="B133" s="260" t="s">
        <v>749</v>
      </c>
      <c r="C133" s="190">
        <v>45833</v>
      </c>
      <c r="D133" s="197">
        <v>54.47</v>
      </c>
      <c r="E133" s="260" t="s">
        <v>564</v>
      </c>
      <c r="F133" s="260" t="s">
        <v>793</v>
      </c>
      <c r="G133" s="196">
        <v>0</v>
      </c>
      <c r="H133" s="202">
        <v>46302</v>
      </c>
      <c r="I133" s="260" t="s">
        <v>588</v>
      </c>
      <c r="J133" s="196">
        <v>1</v>
      </c>
      <c r="K133" s="196">
        <v>0</v>
      </c>
      <c r="L133" s="260" t="s">
        <v>239</v>
      </c>
      <c r="M133" s="260" t="s">
        <v>514</v>
      </c>
    </row>
    <row r="134" spans="1:13" ht="14.5" x14ac:dyDescent="0.35">
      <c r="A134" s="260" t="s">
        <v>920</v>
      </c>
      <c r="B134" s="260" t="s">
        <v>749</v>
      </c>
      <c r="C134" s="190">
        <v>45834</v>
      </c>
      <c r="D134" s="197">
        <v>54.67</v>
      </c>
      <c r="E134" s="260" t="s">
        <v>564</v>
      </c>
      <c r="F134" s="260" t="s">
        <v>793</v>
      </c>
      <c r="G134" s="196">
        <v>0</v>
      </c>
      <c r="H134" s="202">
        <v>46302</v>
      </c>
      <c r="I134" s="260" t="s">
        <v>588</v>
      </c>
      <c r="J134" s="196">
        <v>1</v>
      </c>
      <c r="K134" s="196">
        <v>0</v>
      </c>
      <c r="L134" s="260" t="s">
        <v>239</v>
      </c>
      <c r="M134" s="260" t="s">
        <v>514</v>
      </c>
    </row>
    <row r="135" spans="1:13" ht="14.5" x14ac:dyDescent="0.35">
      <c r="A135" s="260" t="s">
        <v>921</v>
      </c>
      <c r="B135" s="260" t="s">
        <v>749</v>
      </c>
      <c r="C135" s="190">
        <v>45835</v>
      </c>
      <c r="D135" s="197">
        <v>54.88</v>
      </c>
      <c r="E135" s="260" t="s">
        <v>564</v>
      </c>
      <c r="F135" s="260" t="s">
        <v>793</v>
      </c>
      <c r="G135" s="196">
        <v>0</v>
      </c>
      <c r="H135" s="202">
        <v>46302</v>
      </c>
      <c r="I135" s="260" t="s">
        <v>588</v>
      </c>
      <c r="J135" s="196">
        <v>1</v>
      </c>
      <c r="K135" s="196">
        <v>0</v>
      </c>
      <c r="L135" s="260" t="s">
        <v>239</v>
      </c>
      <c r="M135" s="260" t="s">
        <v>514</v>
      </c>
    </row>
    <row r="136" spans="1:13" ht="14.5" x14ac:dyDescent="0.35">
      <c r="A136" s="260" t="s">
        <v>922</v>
      </c>
      <c r="B136" s="260" t="s">
        <v>749</v>
      </c>
      <c r="C136" s="190">
        <v>45838</v>
      </c>
      <c r="D136" s="197">
        <v>55.5</v>
      </c>
      <c r="E136" s="260" t="s">
        <v>564</v>
      </c>
      <c r="F136" s="260" t="s">
        <v>793</v>
      </c>
      <c r="G136" s="196">
        <v>0</v>
      </c>
      <c r="H136" s="202">
        <v>46302</v>
      </c>
      <c r="I136" s="260" t="s">
        <v>588</v>
      </c>
      <c r="J136" s="196">
        <v>1</v>
      </c>
      <c r="K136" s="196">
        <v>0</v>
      </c>
      <c r="L136" s="260" t="s">
        <v>239</v>
      </c>
      <c r="M136" s="260" t="s">
        <v>514</v>
      </c>
    </row>
    <row r="137" spans="1:13" ht="14.5" x14ac:dyDescent="0.35">
      <c r="A137" s="260" t="s">
        <v>923</v>
      </c>
      <c r="B137" s="260" t="s">
        <v>749</v>
      </c>
      <c r="C137" s="190">
        <v>45839</v>
      </c>
      <c r="D137" s="197">
        <v>55.5</v>
      </c>
      <c r="E137" s="260" t="s">
        <v>564</v>
      </c>
      <c r="F137" s="260" t="s">
        <v>793</v>
      </c>
      <c r="G137" s="196">
        <v>0</v>
      </c>
      <c r="H137" s="202">
        <v>46302</v>
      </c>
      <c r="I137" s="260" t="s">
        <v>588</v>
      </c>
      <c r="J137" s="196">
        <v>1</v>
      </c>
      <c r="K137" s="196">
        <v>0</v>
      </c>
      <c r="L137" s="260" t="s">
        <v>239</v>
      </c>
      <c r="M137" s="260" t="s">
        <v>514</v>
      </c>
    </row>
    <row r="138" spans="1:13" ht="14.5" x14ac:dyDescent="0.35">
      <c r="A138" s="260" t="s">
        <v>924</v>
      </c>
      <c r="B138" s="260" t="s">
        <v>749</v>
      </c>
      <c r="C138" s="190">
        <v>45840</v>
      </c>
      <c r="D138" s="197">
        <v>55.38</v>
      </c>
      <c r="E138" s="260" t="s">
        <v>564</v>
      </c>
      <c r="F138" s="260" t="s">
        <v>793</v>
      </c>
      <c r="G138" s="196">
        <v>0</v>
      </c>
      <c r="H138" s="202">
        <v>46302</v>
      </c>
      <c r="I138" s="260" t="s">
        <v>588</v>
      </c>
      <c r="J138" s="196">
        <v>1</v>
      </c>
      <c r="K138" s="196">
        <v>0</v>
      </c>
      <c r="L138" s="260" t="s">
        <v>239</v>
      </c>
      <c r="M138" s="260" t="s">
        <v>514</v>
      </c>
    </row>
    <row r="139" spans="1:13" ht="14.5" x14ac:dyDescent="0.35">
      <c r="A139" s="260" t="s">
        <v>925</v>
      </c>
      <c r="B139" s="260" t="s">
        <v>749</v>
      </c>
      <c r="C139" s="190">
        <v>45841</v>
      </c>
      <c r="D139" s="197">
        <v>55.27</v>
      </c>
      <c r="E139" s="260" t="s">
        <v>564</v>
      </c>
      <c r="F139" s="260" t="s">
        <v>793</v>
      </c>
      <c r="G139" s="196">
        <v>0</v>
      </c>
      <c r="H139" s="202">
        <v>46302</v>
      </c>
      <c r="I139" s="260" t="s">
        <v>588</v>
      </c>
      <c r="J139" s="196">
        <v>1</v>
      </c>
      <c r="K139" s="196">
        <v>0</v>
      </c>
      <c r="L139" s="260" t="s">
        <v>239</v>
      </c>
      <c r="M139" s="260" t="s">
        <v>514</v>
      </c>
    </row>
    <row r="140" spans="1:13" ht="14.5" x14ac:dyDescent="0.35">
      <c r="A140" s="260" t="s">
        <v>926</v>
      </c>
      <c r="B140" s="260" t="s">
        <v>749</v>
      </c>
      <c r="C140" s="190">
        <v>45842</v>
      </c>
      <c r="D140" s="197">
        <v>55.15</v>
      </c>
      <c r="E140" s="260" t="s">
        <v>564</v>
      </c>
      <c r="F140" s="260" t="s">
        <v>793</v>
      </c>
      <c r="G140" s="196">
        <v>0</v>
      </c>
      <c r="H140" s="202">
        <v>46302</v>
      </c>
      <c r="I140" s="260" t="s">
        <v>588</v>
      </c>
      <c r="J140" s="196">
        <v>1</v>
      </c>
      <c r="K140" s="196">
        <v>0</v>
      </c>
      <c r="L140" s="260" t="s">
        <v>239</v>
      </c>
      <c r="M140" s="260" t="s">
        <v>514</v>
      </c>
    </row>
    <row r="141" spans="1:13" ht="14.5" x14ac:dyDescent="0.35">
      <c r="A141" s="260" t="s">
        <v>927</v>
      </c>
      <c r="B141" s="260" t="s">
        <v>749</v>
      </c>
      <c r="C141" s="190">
        <v>45845</v>
      </c>
      <c r="D141" s="197">
        <v>54.8</v>
      </c>
      <c r="E141" s="260" t="s">
        <v>564</v>
      </c>
      <c r="F141" s="260" t="s">
        <v>793</v>
      </c>
      <c r="G141" s="196">
        <v>0</v>
      </c>
      <c r="H141" s="202">
        <v>46302</v>
      </c>
      <c r="I141" s="260" t="s">
        <v>588</v>
      </c>
      <c r="J141" s="196">
        <v>1</v>
      </c>
      <c r="K141" s="196">
        <v>0</v>
      </c>
      <c r="L141" s="260" t="s">
        <v>239</v>
      </c>
      <c r="M141" s="260" t="s">
        <v>514</v>
      </c>
    </row>
    <row r="142" spans="1:13" ht="14.5" x14ac:dyDescent="0.35">
      <c r="A142" s="260" t="s">
        <v>928</v>
      </c>
      <c r="B142" s="260" t="s">
        <v>749</v>
      </c>
      <c r="C142" s="190">
        <v>45846</v>
      </c>
      <c r="D142" s="197">
        <v>54.68</v>
      </c>
      <c r="E142" s="260" t="s">
        <v>564</v>
      </c>
      <c r="F142" s="260" t="s">
        <v>793</v>
      </c>
      <c r="G142" s="196">
        <v>0</v>
      </c>
      <c r="H142" s="202">
        <v>46302</v>
      </c>
      <c r="I142" s="260" t="s">
        <v>588</v>
      </c>
      <c r="J142" s="196">
        <v>1</v>
      </c>
      <c r="K142" s="196">
        <v>0</v>
      </c>
      <c r="L142" s="260" t="s">
        <v>239</v>
      </c>
      <c r="M142" s="260" t="s">
        <v>514</v>
      </c>
    </row>
    <row r="143" spans="1:13" ht="14.5" x14ac:dyDescent="0.35">
      <c r="A143" s="260" t="s">
        <v>929</v>
      </c>
      <c r="B143" s="260" t="s">
        <v>749</v>
      </c>
      <c r="C143" s="190">
        <v>45847</v>
      </c>
      <c r="D143" s="197">
        <v>54.57</v>
      </c>
      <c r="E143" s="260" t="s">
        <v>564</v>
      </c>
      <c r="F143" s="260" t="s">
        <v>793</v>
      </c>
      <c r="G143" s="196">
        <v>0</v>
      </c>
      <c r="H143" s="202">
        <v>46302</v>
      </c>
      <c r="I143" s="260" t="s">
        <v>588</v>
      </c>
      <c r="J143" s="196">
        <v>1</v>
      </c>
      <c r="K143" s="196">
        <v>0</v>
      </c>
      <c r="L143" s="260" t="s">
        <v>239</v>
      </c>
      <c r="M143" s="260" t="s">
        <v>514</v>
      </c>
    </row>
    <row r="144" spans="1:13" ht="14.5" x14ac:dyDescent="0.35">
      <c r="A144" s="260" t="s">
        <v>930</v>
      </c>
      <c r="B144" s="260" t="s">
        <v>749</v>
      </c>
      <c r="C144" s="190">
        <v>45848</v>
      </c>
      <c r="D144" s="197">
        <v>54.45</v>
      </c>
      <c r="E144" s="260" t="s">
        <v>564</v>
      </c>
      <c r="F144" s="260" t="s">
        <v>793</v>
      </c>
      <c r="G144" s="196">
        <v>0</v>
      </c>
      <c r="H144" s="202">
        <v>46302</v>
      </c>
      <c r="I144" s="260" t="s">
        <v>588</v>
      </c>
      <c r="J144" s="196">
        <v>1</v>
      </c>
      <c r="K144" s="196">
        <v>0</v>
      </c>
      <c r="L144" s="260" t="s">
        <v>239</v>
      </c>
      <c r="M144" s="260" t="s">
        <v>514</v>
      </c>
    </row>
    <row r="145" spans="1:13" ht="14.5" x14ac:dyDescent="0.35">
      <c r="A145" s="260" t="s">
        <v>931</v>
      </c>
      <c r="B145" s="260" t="s">
        <v>749</v>
      </c>
      <c r="C145" s="190">
        <v>45849</v>
      </c>
      <c r="D145" s="197">
        <v>54.33</v>
      </c>
      <c r="E145" s="260" t="s">
        <v>564</v>
      </c>
      <c r="F145" s="260" t="s">
        <v>793</v>
      </c>
      <c r="G145" s="196">
        <v>0</v>
      </c>
      <c r="H145" s="202">
        <v>46302</v>
      </c>
      <c r="I145" s="260" t="s">
        <v>588</v>
      </c>
      <c r="J145" s="196">
        <v>1</v>
      </c>
      <c r="K145" s="196">
        <v>0</v>
      </c>
      <c r="L145" s="260" t="s">
        <v>239</v>
      </c>
      <c r="M145" s="260" t="s">
        <v>514</v>
      </c>
    </row>
    <row r="146" spans="1:13" ht="14.5" x14ac:dyDescent="0.35">
      <c r="A146" s="260" t="s">
        <v>932</v>
      </c>
      <c r="B146" s="260" t="s">
        <v>749</v>
      </c>
      <c r="C146" s="190">
        <v>45852</v>
      </c>
      <c r="D146" s="197">
        <v>53.98</v>
      </c>
      <c r="E146" s="260" t="s">
        <v>564</v>
      </c>
      <c r="F146" s="260" t="s">
        <v>793</v>
      </c>
      <c r="G146" s="196">
        <v>0</v>
      </c>
      <c r="H146" s="202">
        <v>46302</v>
      </c>
      <c r="I146" s="260" t="s">
        <v>588</v>
      </c>
      <c r="J146" s="196">
        <v>1</v>
      </c>
      <c r="K146" s="196">
        <v>0</v>
      </c>
      <c r="L146" s="260" t="s">
        <v>239</v>
      </c>
      <c r="M146" s="260" t="s">
        <v>514</v>
      </c>
    </row>
    <row r="147" spans="1:13" ht="14.5" x14ac:dyDescent="0.35">
      <c r="A147" s="260" t="s">
        <v>933</v>
      </c>
      <c r="B147" s="260" t="s">
        <v>749</v>
      </c>
      <c r="C147" s="190">
        <v>45853</v>
      </c>
      <c r="D147" s="197">
        <v>53.87</v>
      </c>
      <c r="E147" s="260" t="s">
        <v>564</v>
      </c>
      <c r="F147" s="260" t="s">
        <v>793</v>
      </c>
      <c r="G147" s="196">
        <v>0</v>
      </c>
      <c r="H147" s="202">
        <v>46302</v>
      </c>
      <c r="I147" s="260" t="s">
        <v>588</v>
      </c>
      <c r="J147" s="196">
        <v>1</v>
      </c>
      <c r="K147" s="196">
        <v>0</v>
      </c>
      <c r="L147" s="260" t="s">
        <v>239</v>
      </c>
      <c r="M147" s="260" t="s">
        <v>514</v>
      </c>
    </row>
    <row r="148" spans="1:13" ht="14.5" x14ac:dyDescent="0.35">
      <c r="A148" s="260" t="s">
        <v>934</v>
      </c>
      <c r="B148" s="260" t="s">
        <v>749</v>
      </c>
      <c r="C148" s="190">
        <v>45854</v>
      </c>
      <c r="D148" s="197">
        <v>53.75</v>
      </c>
      <c r="E148" s="260" t="s">
        <v>564</v>
      </c>
      <c r="F148" s="260" t="s">
        <v>793</v>
      </c>
      <c r="G148" s="196">
        <v>0</v>
      </c>
      <c r="H148" s="202">
        <v>46302</v>
      </c>
      <c r="I148" s="260" t="s">
        <v>588</v>
      </c>
      <c r="J148" s="196">
        <v>1</v>
      </c>
      <c r="K148" s="196">
        <v>0</v>
      </c>
      <c r="L148" s="260" t="s">
        <v>239</v>
      </c>
      <c r="M148" s="260" t="s">
        <v>514</v>
      </c>
    </row>
    <row r="149" spans="1:13" ht="14.5" x14ac:dyDescent="0.35">
      <c r="A149" s="260" t="s">
        <v>935</v>
      </c>
      <c r="B149" s="260" t="s">
        <v>749</v>
      </c>
      <c r="C149" s="190">
        <v>45855</v>
      </c>
      <c r="D149" s="197">
        <v>53.63</v>
      </c>
      <c r="E149" s="260" t="s">
        <v>564</v>
      </c>
      <c r="F149" s="260" t="s">
        <v>793</v>
      </c>
      <c r="G149" s="196">
        <v>0</v>
      </c>
      <c r="H149" s="202">
        <v>46302</v>
      </c>
      <c r="I149" s="260" t="s">
        <v>588</v>
      </c>
      <c r="J149" s="196">
        <v>1</v>
      </c>
      <c r="K149" s="196">
        <v>0</v>
      </c>
      <c r="L149" s="260" t="s">
        <v>239</v>
      </c>
      <c r="M149" s="260" t="s">
        <v>514</v>
      </c>
    </row>
    <row r="150" spans="1:13" ht="14.5" x14ac:dyDescent="0.35">
      <c r="A150" s="260" t="s">
        <v>936</v>
      </c>
      <c r="B150" s="260" t="s">
        <v>749</v>
      </c>
      <c r="C150" s="190">
        <v>45856</v>
      </c>
      <c r="D150" s="197">
        <v>53.52</v>
      </c>
      <c r="E150" s="260" t="s">
        <v>564</v>
      </c>
      <c r="F150" s="260" t="s">
        <v>793</v>
      </c>
      <c r="G150" s="196">
        <v>0</v>
      </c>
      <c r="H150" s="202">
        <v>46302</v>
      </c>
      <c r="I150" s="260" t="s">
        <v>588</v>
      </c>
      <c r="J150" s="196">
        <v>1</v>
      </c>
      <c r="K150" s="196">
        <v>0</v>
      </c>
      <c r="L150" s="260" t="s">
        <v>239</v>
      </c>
      <c r="M150" s="260" t="s">
        <v>514</v>
      </c>
    </row>
    <row r="151" spans="1:13" ht="14.5" x14ac:dyDescent="0.35">
      <c r="A151" s="260" t="s">
        <v>937</v>
      </c>
      <c r="B151" s="260" t="s">
        <v>749</v>
      </c>
      <c r="C151" s="190">
        <v>45859</v>
      </c>
      <c r="D151" s="197">
        <v>53.17</v>
      </c>
      <c r="E151" s="260" t="s">
        <v>564</v>
      </c>
      <c r="F151" s="260" t="s">
        <v>793</v>
      </c>
      <c r="G151" s="196">
        <v>0</v>
      </c>
      <c r="H151" s="202">
        <v>46302</v>
      </c>
      <c r="I151" s="260" t="s">
        <v>588</v>
      </c>
      <c r="J151" s="196">
        <v>1</v>
      </c>
      <c r="K151" s="196">
        <v>0</v>
      </c>
      <c r="L151" s="260" t="s">
        <v>239</v>
      </c>
      <c r="M151" s="260" t="s">
        <v>514</v>
      </c>
    </row>
    <row r="152" spans="1:13" ht="14.5" x14ac:dyDescent="0.35">
      <c r="A152" s="260" t="s">
        <v>938</v>
      </c>
      <c r="B152" s="260" t="s">
        <v>749</v>
      </c>
      <c r="C152" s="190">
        <v>45860</v>
      </c>
      <c r="D152" s="197">
        <v>53.05</v>
      </c>
      <c r="E152" s="260" t="s">
        <v>564</v>
      </c>
      <c r="F152" s="260" t="s">
        <v>793</v>
      </c>
      <c r="G152" s="196">
        <v>0</v>
      </c>
      <c r="H152" s="202">
        <v>46302</v>
      </c>
      <c r="I152" s="260" t="s">
        <v>588</v>
      </c>
      <c r="J152" s="196">
        <v>1</v>
      </c>
      <c r="K152" s="196">
        <v>0</v>
      </c>
      <c r="L152" s="260" t="s">
        <v>239</v>
      </c>
      <c r="M152" s="260" t="s">
        <v>514</v>
      </c>
    </row>
    <row r="153" spans="1:13" ht="14.5" x14ac:dyDescent="0.35">
      <c r="A153" s="260" t="s">
        <v>939</v>
      </c>
      <c r="B153" s="260" t="s">
        <v>749</v>
      </c>
      <c r="C153" s="190">
        <v>45861</v>
      </c>
      <c r="D153" s="197">
        <v>52.93</v>
      </c>
      <c r="E153" s="260" t="s">
        <v>564</v>
      </c>
      <c r="F153" s="260" t="s">
        <v>793</v>
      </c>
      <c r="G153" s="196">
        <v>0</v>
      </c>
      <c r="H153" s="202">
        <v>46302</v>
      </c>
      <c r="I153" s="260" t="s">
        <v>588</v>
      </c>
      <c r="J153" s="196">
        <v>1</v>
      </c>
      <c r="K153" s="196">
        <v>0</v>
      </c>
      <c r="L153" s="260" t="s">
        <v>239</v>
      </c>
      <c r="M153" s="260" t="s">
        <v>514</v>
      </c>
    </row>
    <row r="154" spans="1:13" ht="14.5" x14ac:dyDescent="0.35">
      <c r="A154" s="260" t="s">
        <v>940</v>
      </c>
      <c r="B154" s="260" t="s">
        <v>749</v>
      </c>
      <c r="C154" s="190">
        <v>45862</v>
      </c>
      <c r="D154" s="197">
        <v>52.82</v>
      </c>
      <c r="E154" s="260" t="s">
        <v>564</v>
      </c>
      <c r="F154" s="260" t="s">
        <v>793</v>
      </c>
      <c r="G154" s="196">
        <v>0</v>
      </c>
      <c r="H154" s="202">
        <v>46302</v>
      </c>
      <c r="I154" s="260" t="s">
        <v>588</v>
      </c>
      <c r="J154" s="196">
        <v>1</v>
      </c>
      <c r="K154" s="196">
        <v>0</v>
      </c>
      <c r="L154" s="260" t="s">
        <v>239</v>
      </c>
      <c r="M154" s="260" t="s">
        <v>514</v>
      </c>
    </row>
    <row r="155" spans="1:13" ht="14.5" x14ac:dyDescent="0.35">
      <c r="A155" s="260" t="s">
        <v>941</v>
      </c>
      <c r="B155" s="260" t="s">
        <v>749</v>
      </c>
      <c r="C155" s="190">
        <v>45863</v>
      </c>
      <c r="D155" s="197">
        <v>52.7</v>
      </c>
      <c r="E155" s="260" t="s">
        <v>564</v>
      </c>
      <c r="F155" s="260" t="s">
        <v>793</v>
      </c>
      <c r="G155" s="196">
        <v>0</v>
      </c>
      <c r="H155" s="202">
        <v>46302</v>
      </c>
      <c r="I155" s="260" t="s">
        <v>588</v>
      </c>
      <c r="J155" s="196">
        <v>1</v>
      </c>
      <c r="K155" s="196">
        <v>0</v>
      </c>
      <c r="L155" s="260" t="s">
        <v>239</v>
      </c>
      <c r="M155" s="260" t="s">
        <v>514</v>
      </c>
    </row>
    <row r="156" spans="1:13" ht="14.5" x14ac:dyDescent="0.35">
      <c r="A156" s="260" t="s">
        <v>942</v>
      </c>
      <c r="B156" s="260" t="s">
        <v>749</v>
      </c>
      <c r="C156" s="190">
        <v>45866</v>
      </c>
      <c r="D156" s="197">
        <v>52.35</v>
      </c>
      <c r="E156" s="260" t="s">
        <v>564</v>
      </c>
      <c r="F156" s="260" t="s">
        <v>793</v>
      </c>
      <c r="G156" s="196">
        <v>0</v>
      </c>
      <c r="H156" s="202">
        <v>46302</v>
      </c>
      <c r="I156" s="260" t="s">
        <v>588</v>
      </c>
      <c r="J156" s="196">
        <v>1</v>
      </c>
      <c r="K156" s="196">
        <v>0</v>
      </c>
      <c r="L156" s="260" t="s">
        <v>239</v>
      </c>
      <c r="M156" s="260" t="s">
        <v>514</v>
      </c>
    </row>
    <row r="157" spans="1:13" ht="14.5" x14ac:dyDescent="0.35">
      <c r="A157" s="260" t="s">
        <v>943</v>
      </c>
      <c r="B157" s="260" t="s">
        <v>749</v>
      </c>
      <c r="C157" s="190">
        <v>45867</v>
      </c>
      <c r="D157" s="197">
        <v>52.23</v>
      </c>
      <c r="E157" s="260" t="s">
        <v>564</v>
      </c>
      <c r="F157" s="260" t="s">
        <v>793</v>
      </c>
      <c r="G157" s="196">
        <v>0</v>
      </c>
      <c r="H157" s="202">
        <v>46302</v>
      </c>
      <c r="I157" s="260" t="s">
        <v>588</v>
      </c>
      <c r="J157" s="196">
        <v>1</v>
      </c>
      <c r="K157" s="196">
        <v>0</v>
      </c>
      <c r="L157" s="260" t="s">
        <v>239</v>
      </c>
      <c r="M157" s="260" t="s">
        <v>514</v>
      </c>
    </row>
    <row r="158" spans="1:13" ht="14.5" x14ac:dyDescent="0.35">
      <c r="A158" s="260" t="s">
        <v>944</v>
      </c>
      <c r="B158" s="260" t="s">
        <v>749</v>
      </c>
      <c r="C158" s="190">
        <v>45868</v>
      </c>
      <c r="D158" s="197">
        <v>52.12</v>
      </c>
      <c r="E158" s="260" t="s">
        <v>564</v>
      </c>
      <c r="F158" s="260" t="s">
        <v>793</v>
      </c>
      <c r="G158" s="196">
        <v>0</v>
      </c>
      <c r="H158" s="202">
        <v>46302</v>
      </c>
      <c r="I158" s="260" t="s">
        <v>588</v>
      </c>
      <c r="J158" s="196">
        <v>1</v>
      </c>
      <c r="K158" s="196">
        <v>0</v>
      </c>
      <c r="L158" s="260" t="s">
        <v>239</v>
      </c>
      <c r="M158" s="260" t="s">
        <v>514</v>
      </c>
    </row>
    <row r="159" spans="1:13" ht="14.5" x14ac:dyDescent="0.35">
      <c r="A159" s="260" t="s">
        <v>945</v>
      </c>
      <c r="B159" s="260" t="s">
        <v>749</v>
      </c>
      <c r="C159" s="190">
        <v>45869</v>
      </c>
      <c r="D159" s="197">
        <v>52</v>
      </c>
      <c r="E159" s="260" t="s">
        <v>564</v>
      </c>
      <c r="F159" s="260" t="s">
        <v>793</v>
      </c>
      <c r="G159" s="196">
        <v>0</v>
      </c>
      <c r="H159" s="202">
        <v>46302</v>
      </c>
      <c r="I159" s="260" t="s">
        <v>588</v>
      </c>
      <c r="J159" s="196">
        <v>1</v>
      </c>
      <c r="K159" s="196">
        <v>0</v>
      </c>
      <c r="L159" s="260" t="s">
        <v>239</v>
      </c>
      <c r="M159" s="260" t="s">
        <v>514</v>
      </c>
    </row>
    <row r="160" spans="1:13" ht="14.5" x14ac:dyDescent="0.35">
      <c r="A160" s="260" t="s">
        <v>946</v>
      </c>
      <c r="B160" s="260" t="s">
        <v>749</v>
      </c>
      <c r="C160" s="190">
        <v>45870</v>
      </c>
      <c r="D160" s="197">
        <v>52</v>
      </c>
      <c r="E160" s="260" t="s">
        <v>564</v>
      </c>
      <c r="F160" s="260" t="s">
        <v>793</v>
      </c>
      <c r="G160" s="196">
        <v>0</v>
      </c>
      <c r="H160" s="202">
        <v>46302</v>
      </c>
      <c r="I160" s="260" t="s">
        <v>588</v>
      </c>
      <c r="J160" s="196">
        <v>1</v>
      </c>
      <c r="K160" s="196">
        <v>0</v>
      </c>
      <c r="L160" s="260" t="s">
        <v>239</v>
      </c>
      <c r="M160" s="260" t="s">
        <v>514</v>
      </c>
    </row>
    <row r="161" spans="1:13" ht="14.5" x14ac:dyDescent="0.35">
      <c r="A161" s="260" t="s">
        <v>947</v>
      </c>
      <c r="B161" s="260" t="s">
        <v>749</v>
      </c>
      <c r="C161" s="190">
        <v>45873</v>
      </c>
      <c r="D161" s="197">
        <v>51.7</v>
      </c>
      <c r="E161" s="260" t="s">
        <v>564</v>
      </c>
      <c r="F161" s="260" t="s">
        <v>793</v>
      </c>
      <c r="G161" s="196">
        <v>0</v>
      </c>
      <c r="H161" s="202">
        <v>46302</v>
      </c>
      <c r="I161" s="260" t="s">
        <v>588</v>
      </c>
      <c r="J161" s="196">
        <v>1</v>
      </c>
      <c r="K161" s="196">
        <v>0</v>
      </c>
      <c r="L161" s="260" t="s">
        <v>239</v>
      </c>
      <c r="M161" s="260" t="s">
        <v>514</v>
      </c>
    </row>
    <row r="162" spans="1:13" ht="14.5" x14ac:dyDescent="0.35">
      <c r="A162" s="260" t="s">
        <v>948</v>
      </c>
      <c r="B162" s="260" t="s">
        <v>749</v>
      </c>
      <c r="C162" s="190">
        <v>45874</v>
      </c>
      <c r="D162" s="197">
        <v>51.6</v>
      </c>
      <c r="E162" s="260" t="s">
        <v>564</v>
      </c>
      <c r="F162" s="260" t="s">
        <v>793</v>
      </c>
      <c r="G162" s="196">
        <v>0</v>
      </c>
      <c r="H162" s="202">
        <v>46302</v>
      </c>
      <c r="I162" s="260" t="s">
        <v>588</v>
      </c>
      <c r="J162" s="196">
        <v>1</v>
      </c>
      <c r="K162" s="196">
        <v>0</v>
      </c>
      <c r="L162" s="260" t="s">
        <v>239</v>
      </c>
      <c r="M162" s="260" t="s">
        <v>514</v>
      </c>
    </row>
    <row r="163" spans="1:13" ht="14.5" x14ac:dyDescent="0.35">
      <c r="A163" s="260" t="s">
        <v>949</v>
      </c>
      <c r="B163" s="260" t="s">
        <v>749</v>
      </c>
      <c r="C163" s="190">
        <v>45875</v>
      </c>
      <c r="D163" s="197">
        <v>51.5</v>
      </c>
      <c r="E163" s="260" t="s">
        <v>564</v>
      </c>
      <c r="F163" s="260" t="s">
        <v>793</v>
      </c>
      <c r="G163" s="196">
        <v>0</v>
      </c>
      <c r="H163" s="202">
        <v>46302</v>
      </c>
      <c r="I163" s="260" t="s">
        <v>588</v>
      </c>
      <c r="J163" s="196">
        <v>1</v>
      </c>
      <c r="K163" s="196">
        <v>0</v>
      </c>
      <c r="L163" s="260" t="s">
        <v>239</v>
      </c>
      <c r="M163" s="260" t="s">
        <v>514</v>
      </c>
    </row>
    <row r="164" spans="1:13" ht="14.5" x14ac:dyDescent="0.35">
      <c r="A164" s="260" t="s">
        <v>950</v>
      </c>
      <c r="B164" s="260" t="s">
        <v>749</v>
      </c>
      <c r="C164" s="190">
        <v>45876</v>
      </c>
      <c r="D164" s="197">
        <v>51.4</v>
      </c>
      <c r="E164" s="260" t="s">
        <v>564</v>
      </c>
      <c r="F164" s="260" t="s">
        <v>793</v>
      </c>
      <c r="G164" s="196">
        <v>0</v>
      </c>
      <c r="H164" s="202">
        <v>46302</v>
      </c>
      <c r="I164" s="260" t="s">
        <v>588</v>
      </c>
      <c r="J164" s="196">
        <v>1</v>
      </c>
      <c r="K164" s="196">
        <v>0</v>
      </c>
      <c r="L164" s="260" t="s">
        <v>239</v>
      </c>
      <c r="M164" s="260" t="s">
        <v>514</v>
      </c>
    </row>
    <row r="165" spans="1:13" ht="14.5" x14ac:dyDescent="0.35">
      <c r="A165" s="260" t="s">
        <v>951</v>
      </c>
      <c r="B165" s="260" t="s">
        <v>749</v>
      </c>
      <c r="C165" s="190">
        <v>45877</v>
      </c>
      <c r="D165" s="197">
        <v>51.3</v>
      </c>
      <c r="E165" s="260" t="s">
        <v>564</v>
      </c>
      <c r="F165" s="260" t="s">
        <v>793</v>
      </c>
      <c r="G165" s="196">
        <v>0</v>
      </c>
      <c r="H165" s="202">
        <v>46302</v>
      </c>
      <c r="I165" s="260" t="s">
        <v>588</v>
      </c>
      <c r="J165" s="196">
        <v>1</v>
      </c>
      <c r="K165" s="196">
        <v>0</v>
      </c>
      <c r="L165" s="260" t="s">
        <v>239</v>
      </c>
      <c r="M165" s="260" t="s">
        <v>514</v>
      </c>
    </row>
    <row r="166" spans="1:13" ht="14.5" x14ac:dyDescent="0.35">
      <c r="A166" s="260" t="s">
        <v>952</v>
      </c>
      <c r="B166" s="260" t="s">
        <v>749</v>
      </c>
      <c r="C166" s="190">
        <v>45880</v>
      </c>
      <c r="D166" s="197">
        <v>51</v>
      </c>
      <c r="E166" s="260" t="s">
        <v>564</v>
      </c>
      <c r="F166" s="260" t="s">
        <v>793</v>
      </c>
      <c r="G166" s="196">
        <v>0</v>
      </c>
      <c r="H166" s="202">
        <v>46302</v>
      </c>
      <c r="I166" s="260" t="s">
        <v>588</v>
      </c>
      <c r="J166" s="196">
        <v>1</v>
      </c>
      <c r="K166" s="196">
        <v>0</v>
      </c>
      <c r="L166" s="260" t="s">
        <v>239</v>
      </c>
      <c r="M166" s="260" t="s">
        <v>514</v>
      </c>
    </row>
    <row r="167" spans="1:13" ht="14.5" x14ac:dyDescent="0.35">
      <c r="A167" s="260" t="s">
        <v>953</v>
      </c>
      <c r="B167" s="260" t="s">
        <v>749</v>
      </c>
      <c r="C167" s="190">
        <v>45881</v>
      </c>
      <c r="D167" s="197">
        <v>50.9</v>
      </c>
      <c r="E167" s="260" t="s">
        <v>564</v>
      </c>
      <c r="F167" s="260" t="s">
        <v>793</v>
      </c>
      <c r="G167" s="196">
        <v>0</v>
      </c>
      <c r="H167" s="202">
        <v>46302</v>
      </c>
      <c r="I167" s="260" t="s">
        <v>588</v>
      </c>
      <c r="J167" s="196">
        <v>1</v>
      </c>
      <c r="K167" s="196">
        <v>0</v>
      </c>
      <c r="L167" s="260" t="s">
        <v>239</v>
      </c>
      <c r="M167" s="260" t="s">
        <v>514</v>
      </c>
    </row>
    <row r="168" spans="1:13" ht="14.5" x14ac:dyDescent="0.35">
      <c r="A168" s="260" t="s">
        <v>954</v>
      </c>
      <c r="B168" s="260" t="s">
        <v>749</v>
      </c>
      <c r="C168" s="190">
        <v>45882</v>
      </c>
      <c r="D168" s="197">
        <v>50.8</v>
      </c>
      <c r="E168" s="260" t="s">
        <v>564</v>
      </c>
      <c r="F168" s="260" t="s">
        <v>793</v>
      </c>
      <c r="G168" s="196">
        <v>0</v>
      </c>
      <c r="H168" s="202">
        <v>46302</v>
      </c>
      <c r="I168" s="260" t="s">
        <v>588</v>
      </c>
      <c r="J168" s="196">
        <v>1</v>
      </c>
      <c r="K168" s="196">
        <v>0</v>
      </c>
      <c r="L168" s="260" t="s">
        <v>239</v>
      </c>
      <c r="M168" s="260" t="s">
        <v>514</v>
      </c>
    </row>
    <row r="169" spans="1:13" ht="14.5" x14ac:dyDescent="0.35">
      <c r="A169" s="260" t="s">
        <v>955</v>
      </c>
      <c r="B169" s="260" t="s">
        <v>749</v>
      </c>
      <c r="C169" s="190">
        <v>45883</v>
      </c>
      <c r="D169" s="197">
        <v>50.7</v>
      </c>
      <c r="E169" s="260" t="s">
        <v>564</v>
      </c>
      <c r="F169" s="260" t="s">
        <v>793</v>
      </c>
      <c r="G169" s="196">
        <v>0</v>
      </c>
      <c r="H169" s="202">
        <v>46302</v>
      </c>
      <c r="I169" s="260" t="s">
        <v>588</v>
      </c>
      <c r="J169" s="196">
        <v>1</v>
      </c>
      <c r="K169" s="196">
        <v>0</v>
      </c>
      <c r="L169" s="260" t="s">
        <v>239</v>
      </c>
      <c r="M169" s="260" t="s">
        <v>514</v>
      </c>
    </row>
    <row r="170" spans="1:13" ht="14.5" x14ac:dyDescent="0.35">
      <c r="A170" s="260" t="s">
        <v>956</v>
      </c>
      <c r="B170" s="260" t="s">
        <v>749</v>
      </c>
      <c r="C170" s="190">
        <v>45884</v>
      </c>
      <c r="D170" s="197">
        <v>50.6</v>
      </c>
      <c r="E170" s="260" t="s">
        <v>564</v>
      </c>
      <c r="F170" s="260" t="s">
        <v>793</v>
      </c>
      <c r="G170" s="196">
        <v>0</v>
      </c>
      <c r="H170" s="202">
        <v>46302</v>
      </c>
      <c r="I170" s="260" t="s">
        <v>588</v>
      </c>
      <c r="J170" s="196">
        <v>1</v>
      </c>
      <c r="K170" s="196">
        <v>0</v>
      </c>
      <c r="L170" s="260" t="s">
        <v>239</v>
      </c>
      <c r="M170" s="260" t="s">
        <v>514</v>
      </c>
    </row>
    <row r="171" spans="1:13" ht="14.5" x14ac:dyDescent="0.35">
      <c r="A171" s="260" t="s">
        <v>957</v>
      </c>
      <c r="B171" s="260" t="s">
        <v>749</v>
      </c>
      <c r="C171" s="190">
        <v>45887</v>
      </c>
      <c r="D171" s="197">
        <v>50.3</v>
      </c>
      <c r="E171" s="260" t="s">
        <v>564</v>
      </c>
      <c r="F171" s="260" t="s">
        <v>793</v>
      </c>
      <c r="G171" s="196">
        <v>0</v>
      </c>
      <c r="H171" s="202">
        <v>46302</v>
      </c>
      <c r="I171" s="260" t="s">
        <v>588</v>
      </c>
      <c r="J171" s="196">
        <v>1</v>
      </c>
      <c r="K171" s="196">
        <v>0</v>
      </c>
      <c r="L171" s="260" t="s">
        <v>239</v>
      </c>
      <c r="M171" s="260" t="s">
        <v>514</v>
      </c>
    </row>
    <row r="172" spans="1:13" ht="14.5" x14ac:dyDescent="0.35">
      <c r="A172" s="260" t="s">
        <v>958</v>
      </c>
      <c r="B172" s="260" t="s">
        <v>749</v>
      </c>
      <c r="C172" s="190">
        <v>45888</v>
      </c>
      <c r="D172" s="197">
        <v>50.2</v>
      </c>
      <c r="E172" s="260" t="s">
        <v>564</v>
      </c>
      <c r="F172" s="260" t="s">
        <v>793</v>
      </c>
      <c r="G172" s="196">
        <v>0</v>
      </c>
      <c r="H172" s="202">
        <v>46302</v>
      </c>
      <c r="I172" s="260" t="s">
        <v>588</v>
      </c>
      <c r="J172" s="196">
        <v>1</v>
      </c>
      <c r="K172" s="196">
        <v>0</v>
      </c>
      <c r="L172" s="260" t="s">
        <v>239</v>
      </c>
      <c r="M172" s="260" t="s">
        <v>514</v>
      </c>
    </row>
    <row r="173" spans="1:13" ht="14.5" x14ac:dyDescent="0.35">
      <c r="A173" s="260" t="s">
        <v>959</v>
      </c>
      <c r="B173" s="260" t="s">
        <v>749</v>
      </c>
      <c r="C173" s="190">
        <v>45889</v>
      </c>
      <c r="D173" s="197">
        <v>50.1</v>
      </c>
      <c r="E173" s="260" t="s">
        <v>564</v>
      </c>
      <c r="F173" s="260" t="s">
        <v>793</v>
      </c>
      <c r="G173" s="196">
        <v>0</v>
      </c>
      <c r="H173" s="202">
        <v>46302</v>
      </c>
      <c r="I173" s="260" t="s">
        <v>588</v>
      </c>
      <c r="J173" s="196">
        <v>1</v>
      </c>
      <c r="K173" s="196">
        <v>0</v>
      </c>
      <c r="L173" s="260" t="s">
        <v>239</v>
      </c>
      <c r="M173" s="260" t="s">
        <v>514</v>
      </c>
    </row>
    <row r="174" spans="1:13" ht="14.5" x14ac:dyDescent="0.35">
      <c r="A174" s="260" t="s">
        <v>960</v>
      </c>
      <c r="B174" s="260" t="s">
        <v>749</v>
      </c>
      <c r="C174" s="190">
        <v>45890</v>
      </c>
      <c r="D174" s="197">
        <v>50</v>
      </c>
      <c r="E174" s="260" t="s">
        <v>564</v>
      </c>
      <c r="F174" s="260" t="s">
        <v>793</v>
      </c>
      <c r="G174" s="196">
        <v>0</v>
      </c>
      <c r="H174" s="202">
        <v>46302</v>
      </c>
      <c r="I174" s="260" t="s">
        <v>588</v>
      </c>
      <c r="J174" s="196">
        <v>1</v>
      </c>
      <c r="K174" s="196">
        <v>0</v>
      </c>
      <c r="L174" s="260" t="s">
        <v>239</v>
      </c>
      <c r="M174" s="260" t="s">
        <v>514</v>
      </c>
    </row>
    <row r="175" spans="1:13" ht="14.5" x14ac:dyDescent="0.35">
      <c r="A175" s="260" t="s">
        <v>961</v>
      </c>
      <c r="B175" s="260" t="s">
        <v>749</v>
      </c>
      <c r="C175" s="190">
        <v>45891</v>
      </c>
      <c r="D175" s="197">
        <v>49.9</v>
      </c>
      <c r="E175" s="260" t="s">
        <v>564</v>
      </c>
      <c r="F175" s="260" t="s">
        <v>793</v>
      </c>
      <c r="G175" s="196">
        <v>0</v>
      </c>
      <c r="H175" s="202">
        <v>46302</v>
      </c>
      <c r="I175" s="260" t="s">
        <v>588</v>
      </c>
      <c r="J175" s="196">
        <v>1</v>
      </c>
      <c r="K175" s="196">
        <v>0</v>
      </c>
      <c r="L175" s="260" t="s">
        <v>239</v>
      </c>
      <c r="M175" s="260" t="s">
        <v>514</v>
      </c>
    </row>
    <row r="176" spans="1:13" ht="14.5" x14ac:dyDescent="0.35">
      <c r="A176" s="260" t="s">
        <v>962</v>
      </c>
      <c r="B176" s="260" t="s">
        <v>749</v>
      </c>
      <c r="C176" s="190">
        <v>45894</v>
      </c>
      <c r="D176" s="197">
        <v>49.6</v>
      </c>
      <c r="E176" s="260" t="s">
        <v>564</v>
      </c>
      <c r="F176" s="260" t="s">
        <v>793</v>
      </c>
      <c r="G176" s="196">
        <v>0</v>
      </c>
      <c r="H176" s="202">
        <v>46302</v>
      </c>
      <c r="I176" s="260" t="s">
        <v>588</v>
      </c>
      <c r="J176" s="196">
        <v>1</v>
      </c>
      <c r="K176" s="196">
        <v>0</v>
      </c>
      <c r="L176" s="260" t="s">
        <v>239</v>
      </c>
      <c r="M176" s="260" t="s">
        <v>514</v>
      </c>
    </row>
    <row r="177" spans="1:13" ht="14.5" x14ac:dyDescent="0.35">
      <c r="A177" s="260" t="s">
        <v>963</v>
      </c>
      <c r="B177" s="260" t="s">
        <v>749</v>
      </c>
      <c r="C177" s="190">
        <v>45895</v>
      </c>
      <c r="D177" s="197">
        <v>49.5</v>
      </c>
      <c r="E177" s="260" t="s">
        <v>564</v>
      </c>
      <c r="F177" s="260" t="s">
        <v>793</v>
      </c>
      <c r="G177" s="196">
        <v>0</v>
      </c>
      <c r="H177" s="202">
        <v>46302</v>
      </c>
      <c r="I177" s="260" t="s">
        <v>588</v>
      </c>
      <c r="J177" s="196">
        <v>1</v>
      </c>
      <c r="K177" s="196">
        <v>0</v>
      </c>
      <c r="L177" s="260" t="s">
        <v>239</v>
      </c>
      <c r="M177" s="260" t="s">
        <v>514</v>
      </c>
    </row>
    <row r="178" spans="1:13" ht="14.5" x14ac:dyDescent="0.35">
      <c r="A178" s="260" t="s">
        <v>964</v>
      </c>
      <c r="B178" s="260" t="s">
        <v>749</v>
      </c>
      <c r="C178" s="190">
        <v>45896</v>
      </c>
      <c r="D178" s="197">
        <v>49.4</v>
      </c>
      <c r="E178" s="260" t="s">
        <v>564</v>
      </c>
      <c r="F178" s="260" t="s">
        <v>793</v>
      </c>
      <c r="G178" s="196">
        <v>0</v>
      </c>
      <c r="H178" s="202">
        <v>46302</v>
      </c>
      <c r="I178" s="260" t="s">
        <v>588</v>
      </c>
      <c r="J178" s="196">
        <v>1</v>
      </c>
      <c r="K178" s="196">
        <v>0</v>
      </c>
      <c r="L178" s="260" t="s">
        <v>239</v>
      </c>
      <c r="M178" s="260" t="s">
        <v>514</v>
      </c>
    </row>
    <row r="179" spans="1:13" ht="14.5" x14ac:dyDescent="0.35">
      <c r="A179" s="260" t="s">
        <v>965</v>
      </c>
      <c r="B179" s="260" t="s">
        <v>749</v>
      </c>
      <c r="C179" s="190">
        <v>45897</v>
      </c>
      <c r="D179" s="197">
        <v>49.3</v>
      </c>
      <c r="E179" s="260" t="s">
        <v>564</v>
      </c>
      <c r="F179" s="260" t="s">
        <v>793</v>
      </c>
      <c r="G179" s="196">
        <v>0</v>
      </c>
      <c r="H179" s="202">
        <v>46302</v>
      </c>
      <c r="I179" s="260" t="s">
        <v>588</v>
      </c>
      <c r="J179" s="196">
        <v>1</v>
      </c>
      <c r="K179" s="196">
        <v>0</v>
      </c>
      <c r="L179" s="260" t="s">
        <v>239</v>
      </c>
      <c r="M179" s="260" t="s">
        <v>514</v>
      </c>
    </row>
    <row r="180" spans="1:13" ht="14.5" x14ac:dyDescent="0.35">
      <c r="A180" s="260" t="s">
        <v>966</v>
      </c>
      <c r="B180" s="260" t="s">
        <v>749</v>
      </c>
      <c r="C180" s="190">
        <v>45898</v>
      </c>
      <c r="D180" s="197">
        <v>49.2</v>
      </c>
      <c r="E180" s="260" t="s">
        <v>564</v>
      </c>
      <c r="F180" s="260" t="s">
        <v>793</v>
      </c>
      <c r="G180" s="196">
        <v>0</v>
      </c>
      <c r="H180" s="202">
        <v>46302</v>
      </c>
      <c r="I180" s="260" t="s">
        <v>588</v>
      </c>
      <c r="J180" s="196">
        <v>1</v>
      </c>
      <c r="K180" s="196">
        <v>0</v>
      </c>
      <c r="L180" s="260" t="s">
        <v>239</v>
      </c>
      <c r="M180" s="260" t="s">
        <v>514</v>
      </c>
    </row>
    <row r="181" spans="1:13" ht="14.5" x14ac:dyDescent="0.35">
      <c r="A181" s="260" t="s">
        <v>967</v>
      </c>
      <c r="B181" s="260" t="s">
        <v>749</v>
      </c>
      <c r="C181" s="190">
        <v>45901</v>
      </c>
      <c r="D181" s="197">
        <v>49</v>
      </c>
      <c r="E181" s="260" t="s">
        <v>564</v>
      </c>
      <c r="F181" s="260" t="s">
        <v>793</v>
      </c>
      <c r="G181" s="196">
        <v>0</v>
      </c>
      <c r="H181" s="202">
        <v>46302</v>
      </c>
      <c r="I181" s="260" t="s">
        <v>588</v>
      </c>
      <c r="J181" s="196">
        <v>1</v>
      </c>
      <c r="K181" s="196">
        <v>0</v>
      </c>
      <c r="L181" s="260" t="s">
        <v>239</v>
      </c>
      <c r="M181" s="260" t="s">
        <v>514</v>
      </c>
    </row>
    <row r="182" spans="1:13" ht="14.5" x14ac:dyDescent="0.35">
      <c r="A182" s="260" t="s">
        <v>968</v>
      </c>
      <c r="B182" s="260" t="s">
        <v>749</v>
      </c>
      <c r="C182" s="190">
        <v>45902</v>
      </c>
      <c r="D182" s="197">
        <v>49.17</v>
      </c>
      <c r="E182" s="260" t="s">
        <v>564</v>
      </c>
      <c r="F182" s="260" t="s">
        <v>793</v>
      </c>
      <c r="G182" s="196">
        <v>0</v>
      </c>
      <c r="H182" s="202">
        <v>46302</v>
      </c>
      <c r="I182" s="260" t="s">
        <v>588</v>
      </c>
      <c r="J182" s="196">
        <v>1</v>
      </c>
      <c r="K182" s="196">
        <v>0</v>
      </c>
      <c r="L182" s="260" t="s">
        <v>239</v>
      </c>
      <c r="M182" s="260" t="s">
        <v>514</v>
      </c>
    </row>
    <row r="183" spans="1:13" ht="14.5" x14ac:dyDescent="0.35">
      <c r="A183" s="260" t="s">
        <v>969</v>
      </c>
      <c r="B183" s="260" t="s">
        <v>749</v>
      </c>
      <c r="C183" s="190">
        <v>45903</v>
      </c>
      <c r="D183" s="197">
        <v>49.34</v>
      </c>
      <c r="E183" s="260" t="s">
        <v>564</v>
      </c>
      <c r="F183" s="260" t="s">
        <v>793</v>
      </c>
      <c r="G183" s="196">
        <v>0</v>
      </c>
      <c r="H183" s="202">
        <v>46302</v>
      </c>
      <c r="I183" s="260" t="s">
        <v>588</v>
      </c>
      <c r="J183" s="196">
        <v>1</v>
      </c>
      <c r="K183" s="196">
        <v>0</v>
      </c>
      <c r="L183" s="260" t="s">
        <v>239</v>
      </c>
      <c r="M183" s="260" t="s">
        <v>514</v>
      </c>
    </row>
    <row r="184" spans="1:13" ht="14.5" x14ac:dyDescent="0.35">
      <c r="A184" s="260" t="s">
        <v>970</v>
      </c>
      <c r="B184" s="260" t="s">
        <v>749</v>
      </c>
      <c r="C184" s="190">
        <v>45904</v>
      </c>
      <c r="D184" s="197">
        <v>49.52</v>
      </c>
      <c r="E184" s="260" t="s">
        <v>564</v>
      </c>
      <c r="F184" s="260" t="s">
        <v>793</v>
      </c>
      <c r="G184" s="196">
        <v>0</v>
      </c>
      <c r="H184" s="202">
        <v>46302</v>
      </c>
      <c r="I184" s="260" t="s">
        <v>588</v>
      </c>
      <c r="J184" s="196">
        <v>1</v>
      </c>
      <c r="K184" s="196">
        <v>0</v>
      </c>
      <c r="L184" s="260" t="s">
        <v>239</v>
      </c>
      <c r="M184" s="260" t="s">
        <v>514</v>
      </c>
    </row>
    <row r="185" spans="1:13" ht="14.5" x14ac:dyDescent="0.35">
      <c r="A185" s="260" t="s">
        <v>971</v>
      </c>
      <c r="B185" s="260" t="s">
        <v>749</v>
      </c>
      <c r="C185" s="190">
        <v>45905</v>
      </c>
      <c r="D185" s="197">
        <v>49.69</v>
      </c>
      <c r="E185" s="260" t="s">
        <v>564</v>
      </c>
      <c r="F185" s="260" t="s">
        <v>793</v>
      </c>
      <c r="G185" s="196">
        <v>0</v>
      </c>
      <c r="H185" s="202">
        <v>46302</v>
      </c>
      <c r="I185" s="260" t="s">
        <v>588</v>
      </c>
      <c r="J185" s="196">
        <v>1</v>
      </c>
      <c r="K185" s="196">
        <v>0</v>
      </c>
      <c r="L185" s="260" t="s">
        <v>239</v>
      </c>
      <c r="M185" s="260" t="s">
        <v>514</v>
      </c>
    </row>
    <row r="186" spans="1:13" ht="14.5" x14ac:dyDescent="0.35">
      <c r="A186" s="260" t="s">
        <v>972</v>
      </c>
      <c r="B186" s="260" t="s">
        <v>749</v>
      </c>
      <c r="C186" s="190">
        <v>45908</v>
      </c>
      <c r="D186" s="197">
        <v>50.21</v>
      </c>
      <c r="E186" s="260" t="s">
        <v>564</v>
      </c>
      <c r="F186" s="260" t="s">
        <v>793</v>
      </c>
      <c r="G186" s="196">
        <v>0</v>
      </c>
      <c r="H186" s="202">
        <v>46302</v>
      </c>
      <c r="I186" s="260" t="s">
        <v>588</v>
      </c>
      <c r="J186" s="196">
        <v>1</v>
      </c>
      <c r="K186" s="196">
        <v>0</v>
      </c>
      <c r="L186" s="260" t="s">
        <v>239</v>
      </c>
      <c r="M186" s="260" t="s">
        <v>514</v>
      </c>
    </row>
    <row r="187" spans="1:13" ht="14.5" x14ac:dyDescent="0.35">
      <c r="A187" s="260" t="s">
        <v>973</v>
      </c>
      <c r="B187" s="260" t="s">
        <v>749</v>
      </c>
      <c r="C187" s="190">
        <v>45909</v>
      </c>
      <c r="D187" s="197">
        <v>50.38</v>
      </c>
      <c r="E187" s="260" t="s">
        <v>564</v>
      </c>
      <c r="F187" s="260" t="s">
        <v>793</v>
      </c>
      <c r="G187" s="196">
        <v>0</v>
      </c>
      <c r="H187" s="202">
        <v>46302</v>
      </c>
      <c r="I187" s="260" t="s">
        <v>588</v>
      </c>
      <c r="J187" s="196">
        <v>1</v>
      </c>
      <c r="K187" s="196">
        <v>0</v>
      </c>
      <c r="L187" s="260" t="s">
        <v>239</v>
      </c>
      <c r="M187" s="260" t="s">
        <v>514</v>
      </c>
    </row>
    <row r="188" spans="1:13" ht="14.5" x14ac:dyDescent="0.35">
      <c r="A188" s="260" t="s">
        <v>974</v>
      </c>
      <c r="B188" s="260" t="s">
        <v>749</v>
      </c>
      <c r="C188" s="190">
        <v>45910</v>
      </c>
      <c r="D188" s="197">
        <v>50.55</v>
      </c>
      <c r="E188" s="260" t="s">
        <v>564</v>
      </c>
      <c r="F188" s="260" t="s">
        <v>793</v>
      </c>
      <c r="G188" s="196">
        <v>0</v>
      </c>
      <c r="H188" s="202">
        <v>46302</v>
      </c>
      <c r="I188" s="260" t="s">
        <v>588</v>
      </c>
      <c r="J188" s="196">
        <v>1</v>
      </c>
      <c r="K188" s="196">
        <v>0</v>
      </c>
      <c r="L188" s="260" t="s">
        <v>239</v>
      </c>
      <c r="M188" s="260" t="s">
        <v>514</v>
      </c>
    </row>
    <row r="189" spans="1:13" ht="14.5" x14ac:dyDescent="0.35">
      <c r="A189" s="260" t="s">
        <v>975</v>
      </c>
      <c r="B189" s="260" t="s">
        <v>749</v>
      </c>
      <c r="C189" s="190">
        <v>45911</v>
      </c>
      <c r="D189" s="197">
        <v>50.72</v>
      </c>
      <c r="E189" s="260" t="s">
        <v>564</v>
      </c>
      <c r="F189" s="260" t="s">
        <v>793</v>
      </c>
      <c r="G189" s="196">
        <v>0</v>
      </c>
      <c r="H189" s="202">
        <v>46302</v>
      </c>
      <c r="I189" s="260" t="s">
        <v>588</v>
      </c>
      <c r="J189" s="196">
        <v>1</v>
      </c>
      <c r="K189" s="196">
        <v>0</v>
      </c>
      <c r="L189" s="260" t="s">
        <v>239</v>
      </c>
      <c r="M189" s="260" t="s">
        <v>514</v>
      </c>
    </row>
    <row r="190" spans="1:13" ht="14.5" x14ac:dyDescent="0.35">
      <c r="A190" s="260" t="s">
        <v>976</v>
      </c>
      <c r="B190" s="260" t="s">
        <v>749</v>
      </c>
      <c r="C190" s="190">
        <v>45912</v>
      </c>
      <c r="D190" s="197">
        <v>50.9</v>
      </c>
      <c r="E190" s="260" t="s">
        <v>564</v>
      </c>
      <c r="F190" s="260" t="s">
        <v>793</v>
      </c>
      <c r="G190" s="196">
        <v>0</v>
      </c>
      <c r="H190" s="202">
        <v>46302</v>
      </c>
      <c r="I190" s="260" t="s">
        <v>588</v>
      </c>
      <c r="J190" s="196">
        <v>1</v>
      </c>
      <c r="K190" s="196">
        <v>0</v>
      </c>
      <c r="L190" s="260" t="s">
        <v>239</v>
      </c>
      <c r="M190" s="260" t="s">
        <v>514</v>
      </c>
    </row>
    <row r="191" spans="1:13" ht="14.5" x14ac:dyDescent="0.35">
      <c r="A191" s="260" t="s">
        <v>977</v>
      </c>
      <c r="B191" s="260" t="s">
        <v>749</v>
      </c>
      <c r="C191" s="190">
        <v>45915</v>
      </c>
      <c r="D191" s="197">
        <v>51.41</v>
      </c>
      <c r="E191" s="260" t="s">
        <v>564</v>
      </c>
      <c r="F191" s="260" t="s">
        <v>793</v>
      </c>
      <c r="G191" s="196">
        <v>0</v>
      </c>
      <c r="H191" s="202">
        <v>46302</v>
      </c>
      <c r="I191" s="260" t="s">
        <v>588</v>
      </c>
      <c r="J191" s="196">
        <v>1</v>
      </c>
      <c r="K191" s="196">
        <v>0</v>
      </c>
      <c r="L191" s="260" t="s">
        <v>239</v>
      </c>
      <c r="M191" s="260" t="s">
        <v>514</v>
      </c>
    </row>
    <row r="192" spans="1:13" ht="14.5" x14ac:dyDescent="0.35">
      <c r="A192" s="260" t="s">
        <v>978</v>
      </c>
      <c r="B192" s="260" t="s">
        <v>749</v>
      </c>
      <c r="C192" s="190">
        <v>45916</v>
      </c>
      <c r="D192" s="197">
        <v>51.59</v>
      </c>
      <c r="E192" s="260" t="s">
        <v>564</v>
      </c>
      <c r="F192" s="260" t="s">
        <v>793</v>
      </c>
      <c r="G192" s="196">
        <v>0</v>
      </c>
      <c r="H192" s="202">
        <v>46302</v>
      </c>
      <c r="I192" s="260" t="s">
        <v>588</v>
      </c>
      <c r="J192" s="196">
        <v>1</v>
      </c>
      <c r="K192" s="196">
        <v>0</v>
      </c>
      <c r="L192" s="260" t="s">
        <v>239</v>
      </c>
      <c r="M192" s="260" t="s">
        <v>514</v>
      </c>
    </row>
    <row r="193" spans="1:13" ht="14.5" x14ac:dyDescent="0.35">
      <c r="A193" s="260" t="s">
        <v>979</v>
      </c>
      <c r="B193" s="260" t="s">
        <v>749</v>
      </c>
      <c r="C193" s="190">
        <v>45917</v>
      </c>
      <c r="D193" s="197">
        <v>51.76</v>
      </c>
      <c r="E193" s="260" t="s">
        <v>564</v>
      </c>
      <c r="F193" s="260" t="s">
        <v>793</v>
      </c>
      <c r="G193" s="196">
        <v>0</v>
      </c>
      <c r="H193" s="202">
        <v>46302</v>
      </c>
      <c r="I193" s="260" t="s">
        <v>588</v>
      </c>
      <c r="J193" s="196">
        <v>1</v>
      </c>
      <c r="K193" s="196">
        <v>0</v>
      </c>
      <c r="L193" s="260" t="s">
        <v>239</v>
      </c>
      <c r="M193" s="260" t="s">
        <v>514</v>
      </c>
    </row>
    <row r="194" spans="1:13" ht="14.5" x14ac:dyDescent="0.35">
      <c r="A194" s="260" t="s">
        <v>980</v>
      </c>
      <c r="B194" s="260" t="s">
        <v>749</v>
      </c>
      <c r="C194" s="190">
        <v>45918</v>
      </c>
      <c r="D194" s="197">
        <v>51.93</v>
      </c>
      <c r="E194" s="260" t="s">
        <v>564</v>
      </c>
      <c r="F194" s="260" t="s">
        <v>793</v>
      </c>
      <c r="G194" s="196">
        <v>0</v>
      </c>
      <c r="H194" s="202">
        <v>46302</v>
      </c>
      <c r="I194" s="260" t="s">
        <v>588</v>
      </c>
      <c r="J194" s="196">
        <v>1</v>
      </c>
      <c r="K194" s="196">
        <v>0</v>
      </c>
      <c r="L194" s="260" t="s">
        <v>239</v>
      </c>
      <c r="M194" s="260" t="s">
        <v>514</v>
      </c>
    </row>
    <row r="195" spans="1:13" ht="14.5" x14ac:dyDescent="0.35">
      <c r="A195" s="260" t="s">
        <v>981</v>
      </c>
      <c r="B195" s="260" t="s">
        <v>749</v>
      </c>
      <c r="C195" s="190">
        <v>45919</v>
      </c>
      <c r="D195" s="197">
        <v>52.1</v>
      </c>
      <c r="E195" s="260" t="s">
        <v>564</v>
      </c>
      <c r="F195" s="260" t="s">
        <v>793</v>
      </c>
      <c r="G195" s="196">
        <v>0</v>
      </c>
      <c r="H195" s="202">
        <v>46302</v>
      </c>
      <c r="I195" s="260" t="s">
        <v>588</v>
      </c>
      <c r="J195" s="196">
        <v>1</v>
      </c>
      <c r="K195" s="196">
        <v>0</v>
      </c>
      <c r="L195" s="260" t="s">
        <v>239</v>
      </c>
      <c r="M195" s="260" t="s">
        <v>514</v>
      </c>
    </row>
    <row r="196" spans="1:13" ht="14.5" x14ac:dyDescent="0.35">
      <c r="A196" s="260" t="s">
        <v>982</v>
      </c>
      <c r="B196" s="260" t="s">
        <v>749</v>
      </c>
      <c r="C196" s="190">
        <v>45922</v>
      </c>
      <c r="D196" s="197">
        <v>52.62</v>
      </c>
      <c r="E196" s="260" t="s">
        <v>564</v>
      </c>
      <c r="F196" s="260" t="s">
        <v>793</v>
      </c>
      <c r="G196" s="196">
        <v>0</v>
      </c>
      <c r="H196" s="202">
        <v>46302</v>
      </c>
      <c r="I196" s="260" t="s">
        <v>588</v>
      </c>
      <c r="J196" s="196">
        <v>1</v>
      </c>
      <c r="K196" s="196">
        <v>0</v>
      </c>
      <c r="L196" s="260" t="s">
        <v>239</v>
      </c>
      <c r="M196" s="260" t="s">
        <v>514</v>
      </c>
    </row>
    <row r="197" spans="1:13" ht="14.5" x14ac:dyDescent="0.35">
      <c r="A197" s="260" t="s">
        <v>983</v>
      </c>
      <c r="B197" s="260" t="s">
        <v>749</v>
      </c>
      <c r="C197" s="190">
        <v>45923</v>
      </c>
      <c r="D197" s="197">
        <v>52.79</v>
      </c>
      <c r="E197" s="260" t="s">
        <v>564</v>
      </c>
      <c r="F197" s="260" t="s">
        <v>793</v>
      </c>
      <c r="G197" s="196">
        <v>0</v>
      </c>
      <c r="H197" s="202">
        <v>46302</v>
      </c>
      <c r="I197" s="260" t="s">
        <v>588</v>
      </c>
      <c r="J197" s="196">
        <v>1</v>
      </c>
      <c r="K197" s="196">
        <v>0</v>
      </c>
      <c r="L197" s="260" t="s">
        <v>239</v>
      </c>
      <c r="M197" s="260" t="s">
        <v>514</v>
      </c>
    </row>
    <row r="198" spans="1:13" ht="14.5" x14ac:dyDescent="0.35">
      <c r="A198" s="260" t="s">
        <v>984</v>
      </c>
      <c r="B198" s="260" t="s">
        <v>749</v>
      </c>
      <c r="C198" s="190">
        <v>45924</v>
      </c>
      <c r="D198" s="197">
        <v>52.97</v>
      </c>
      <c r="E198" s="260" t="s">
        <v>564</v>
      </c>
      <c r="F198" s="260" t="s">
        <v>793</v>
      </c>
      <c r="G198" s="196">
        <v>0</v>
      </c>
      <c r="H198" s="202">
        <v>46302</v>
      </c>
      <c r="I198" s="260" t="s">
        <v>588</v>
      </c>
      <c r="J198" s="196">
        <v>1</v>
      </c>
      <c r="K198" s="196">
        <v>0</v>
      </c>
      <c r="L198" s="260" t="s">
        <v>239</v>
      </c>
      <c r="M198" s="260" t="s">
        <v>514</v>
      </c>
    </row>
    <row r="199" spans="1:13" ht="14.5" x14ac:dyDescent="0.35">
      <c r="A199" s="260" t="s">
        <v>985</v>
      </c>
      <c r="B199" s="260" t="s">
        <v>749</v>
      </c>
      <c r="C199" s="190">
        <v>45925</v>
      </c>
      <c r="D199" s="197">
        <v>53.14</v>
      </c>
      <c r="E199" s="260" t="s">
        <v>564</v>
      </c>
      <c r="F199" s="260" t="s">
        <v>793</v>
      </c>
      <c r="G199" s="196">
        <v>0</v>
      </c>
      <c r="H199" s="202">
        <v>46302</v>
      </c>
      <c r="I199" s="260" t="s">
        <v>588</v>
      </c>
      <c r="J199" s="196">
        <v>1</v>
      </c>
      <c r="K199" s="196">
        <v>0</v>
      </c>
      <c r="L199" s="260" t="s">
        <v>239</v>
      </c>
      <c r="M199" s="260" t="s">
        <v>514</v>
      </c>
    </row>
    <row r="200" spans="1:13" ht="14.5" x14ac:dyDescent="0.35">
      <c r="A200" s="260" t="s">
        <v>986</v>
      </c>
      <c r="B200" s="260" t="s">
        <v>749</v>
      </c>
      <c r="C200" s="190">
        <v>45926</v>
      </c>
      <c r="D200" s="197">
        <v>53.31</v>
      </c>
      <c r="E200" s="260" t="s">
        <v>564</v>
      </c>
      <c r="F200" s="260" t="s">
        <v>793</v>
      </c>
      <c r="G200" s="196">
        <v>0</v>
      </c>
      <c r="H200" s="202">
        <v>46302</v>
      </c>
      <c r="I200" s="260" t="s">
        <v>588</v>
      </c>
      <c r="J200" s="196">
        <v>1</v>
      </c>
      <c r="K200" s="196">
        <v>0</v>
      </c>
      <c r="L200" s="260" t="s">
        <v>239</v>
      </c>
      <c r="M200" s="260" t="s">
        <v>514</v>
      </c>
    </row>
    <row r="201" spans="1:13" ht="14.5" x14ac:dyDescent="0.35">
      <c r="A201" s="260" t="s">
        <v>987</v>
      </c>
      <c r="B201" s="260" t="s">
        <v>749</v>
      </c>
      <c r="C201" s="190">
        <v>45929</v>
      </c>
      <c r="D201" s="197">
        <v>53.83</v>
      </c>
      <c r="E201" s="260" t="s">
        <v>564</v>
      </c>
      <c r="F201" s="260" t="s">
        <v>793</v>
      </c>
      <c r="G201" s="196">
        <v>0</v>
      </c>
      <c r="H201" s="202">
        <v>46302</v>
      </c>
      <c r="I201" s="260" t="s">
        <v>588</v>
      </c>
      <c r="J201" s="196">
        <v>1</v>
      </c>
      <c r="K201" s="196">
        <v>0</v>
      </c>
      <c r="L201" s="260" t="s">
        <v>239</v>
      </c>
      <c r="M201" s="260" t="s">
        <v>514</v>
      </c>
    </row>
    <row r="202" spans="1:13" ht="14.5" x14ac:dyDescent="0.35">
      <c r="A202" s="260" t="s">
        <v>988</v>
      </c>
      <c r="B202" s="260" t="s">
        <v>749</v>
      </c>
      <c r="C202" s="190">
        <v>45930</v>
      </c>
      <c r="D202" s="197">
        <v>54</v>
      </c>
      <c r="E202" s="260" t="s">
        <v>564</v>
      </c>
      <c r="F202" s="260" t="s">
        <v>793</v>
      </c>
      <c r="G202" s="196">
        <v>0</v>
      </c>
      <c r="H202" s="202">
        <v>46302</v>
      </c>
      <c r="I202" s="260" t="s">
        <v>588</v>
      </c>
      <c r="J202" s="196">
        <v>1</v>
      </c>
      <c r="K202" s="196">
        <v>0</v>
      </c>
      <c r="L202" s="260" t="s">
        <v>239</v>
      </c>
      <c r="M202" s="260" t="s">
        <v>514</v>
      </c>
    </row>
    <row r="203" spans="1:13" ht="14.5" x14ac:dyDescent="0.35">
      <c r="A203" s="260" t="s">
        <v>989</v>
      </c>
      <c r="B203" s="260" t="s">
        <v>749</v>
      </c>
      <c r="C203" s="190">
        <v>45931</v>
      </c>
      <c r="D203" s="197">
        <v>54</v>
      </c>
      <c r="E203" s="260" t="s">
        <v>564</v>
      </c>
      <c r="F203" s="260" t="s">
        <v>793</v>
      </c>
      <c r="G203" s="196">
        <v>0</v>
      </c>
      <c r="H203" s="202">
        <v>46302</v>
      </c>
      <c r="I203" s="260" t="s">
        <v>588</v>
      </c>
      <c r="J203" s="196">
        <v>1</v>
      </c>
      <c r="K203" s="196">
        <v>0</v>
      </c>
      <c r="L203" s="260" t="s">
        <v>239</v>
      </c>
      <c r="M203" s="260" t="s">
        <v>514</v>
      </c>
    </row>
    <row r="204" spans="1:13" ht="14.5" x14ac:dyDescent="0.35">
      <c r="A204" s="260" t="s">
        <v>990</v>
      </c>
      <c r="B204" s="260" t="s">
        <v>749</v>
      </c>
      <c r="C204" s="190">
        <v>45932</v>
      </c>
      <c r="D204" s="197">
        <v>53.9</v>
      </c>
      <c r="E204" s="260" t="s">
        <v>564</v>
      </c>
      <c r="F204" s="260" t="s">
        <v>793</v>
      </c>
      <c r="G204" s="196">
        <v>0</v>
      </c>
      <c r="H204" s="202">
        <v>46302</v>
      </c>
      <c r="I204" s="260" t="s">
        <v>588</v>
      </c>
      <c r="J204" s="196">
        <v>1</v>
      </c>
      <c r="K204" s="196">
        <v>0</v>
      </c>
      <c r="L204" s="260" t="s">
        <v>239</v>
      </c>
      <c r="M204" s="260" t="s">
        <v>514</v>
      </c>
    </row>
    <row r="205" spans="1:13" ht="14.5" x14ac:dyDescent="0.35">
      <c r="A205" s="260" t="s">
        <v>991</v>
      </c>
      <c r="B205" s="260" t="s">
        <v>749</v>
      </c>
      <c r="C205" s="190">
        <v>45933</v>
      </c>
      <c r="D205" s="197">
        <v>53.8</v>
      </c>
      <c r="E205" s="260" t="s">
        <v>564</v>
      </c>
      <c r="F205" s="260" t="s">
        <v>793</v>
      </c>
      <c r="G205" s="196">
        <v>0</v>
      </c>
      <c r="H205" s="202">
        <v>46302</v>
      </c>
      <c r="I205" s="260" t="s">
        <v>588</v>
      </c>
      <c r="J205" s="196">
        <v>1</v>
      </c>
      <c r="K205" s="196">
        <v>0</v>
      </c>
      <c r="L205" s="260" t="s">
        <v>239</v>
      </c>
      <c r="M205" s="260" t="s">
        <v>514</v>
      </c>
    </row>
    <row r="206" spans="1:13" ht="14.5" x14ac:dyDescent="0.35">
      <c r="A206" s="260" t="s">
        <v>992</v>
      </c>
      <c r="B206" s="260" t="s">
        <v>749</v>
      </c>
      <c r="C206" s="190">
        <v>45936</v>
      </c>
      <c r="D206" s="197">
        <v>53.5</v>
      </c>
      <c r="E206" s="260" t="s">
        <v>564</v>
      </c>
      <c r="F206" s="260" t="s">
        <v>793</v>
      </c>
      <c r="G206" s="196">
        <v>0</v>
      </c>
      <c r="H206" s="202">
        <v>46302</v>
      </c>
      <c r="I206" s="260" t="s">
        <v>588</v>
      </c>
      <c r="J206" s="196">
        <v>1</v>
      </c>
      <c r="K206" s="196">
        <v>0</v>
      </c>
      <c r="L206" s="260" t="s">
        <v>239</v>
      </c>
      <c r="M206" s="260" t="s">
        <v>514</v>
      </c>
    </row>
    <row r="207" spans="1:13" ht="14.5" x14ac:dyDescent="0.35">
      <c r="A207" s="260" t="s">
        <v>993</v>
      </c>
      <c r="B207" s="260" t="s">
        <v>749</v>
      </c>
      <c r="C207" s="190">
        <v>45937</v>
      </c>
      <c r="D207" s="197">
        <v>53.4</v>
      </c>
      <c r="E207" s="260" t="s">
        <v>564</v>
      </c>
      <c r="F207" s="260" t="s">
        <v>793</v>
      </c>
      <c r="G207" s="196">
        <v>0</v>
      </c>
      <c r="H207" s="202">
        <v>46302</v>
      </c>
      <c r="I207" s="260" t="s">
        <v>588</v>
      </c>
      <c r="J207" s="196">
        <v>1</v>
      </c>
      <c r="K207" s="196">
        <v>0</v>
      </c>
      <c r="L207" s="260" t="s">
        <v>239</v>
      </c>
      <c r="M207" s="260" t="s">
        <v>514</v>
      </c>
    </row>
    <row r="208" spans="1:13" ht="14.5" x14ac:dyDescent="0.35">
      <c r="A208" s="260" t="s">
        <v>994</v>
      </c>
      <c r="B208" s="260" t="s">
        <v>749</v>
      </c>
      <c r="C208" s="190">
        <v>45938</v>
      </c>
      <c r="D208" s="197">
        <v>53.3</v>
      </c>
      <c r="E208" s="260" t="s">
        <v>564</v>
      </c>
      <c r="F208" s="260" t="s">
        <v>793</v>
      </c>
      <c r="G208" s="196">
        <v>0</v>
      </c>
      <c r="H208" s="202">
        <v>46302</v>
      </c>
      <c r="I208" s="260" t="s">
        <v>588</v>
      </c>
      <c r="J208" s="196">
        <v>1</v>
      </c>
      <c r="K208" s="196">
        <v>0</v>
      </c>
      <c r="L208" s="260" t="s">
        <v>239</v>
      </c>
      <c r="M208" s="260" t="s">
        <v>514</v>
      </c>
    </row>
    <row r="209" spans="1:13" ht="14.5" x14ac:dyDescent="0.35">
      <c r="A209" s="260" t="s">
        <v>995</v>
      </c>
      <c r="B209" s="260" t="s">
        <v>749</v>
      </c>
      <c r="C209" s="190">
        <v>45939</v>
      </c>
      <c r="D209" s="197">
        <v>53.2</v>
      </c>
      <c r="E209" s="260" t="s">
        <v>564</v>
      </c>
      <c r="F209" s="260" t="s">
        <v>793</v>
      </c>
      <c r="G209" s="196">
        <v>0</v>
      </c>
      <c r="H209" s="202">
        <v>46302</v>
      </c>
      <c r="I209" s="260" t="s">
        <v>588</v>
      </c>
      <c r="J209" s="196">
        <v>1</v>
      </c>
      <c r="K209" s="196">
        <v>0</v>
      </c>
      <c r="L209" s="260" t="s">
        <v>239</v>
      </c>
      <c r="M209" s="260" t="s">
        <v>514</v>
      </c>
    </row>
    <row r="210" spans="1:13" ht="14.5" x14ac:dyDescent="0.35">
      <c r="A210" s="260" t="s">
        <v>996</v>
      </c>
      <c r="B210" s="260" t="s">
        <v>749</v>
      </c>
      <c r="C210" s="190">
        <v>45940</v>
      </c>
      <c r="D210" s="197">
        <v>53.1</v>
      </c>
      <c r="E210" s="260" t="s">
        <v>564</v>
      </c>
      <c r="F210" s="260" t="s">
        <v>793</v>
      </c>
      <c r="G210" s="196">
        <v>0</v>
      </c>
      <c r="H210" s="202">
        <v>46302</v>
      </c>
      <c r="I210" s="260" t="s">
        <v>588</v>
      </c>
      <c r="J210" s="196">
        <v>1</v>
      </c>
      <c r="K210" s="196">
        <v>0</v>
      </c>
      <c r="L210" s="260" t="s">
        <v>239</v>
      </c>
      <c r="M210" s="260" t="s">
        <v>514</v>
      </c>
    </row>
    <row r="211" spans="1:13" ht="14.5" x14ac:dyDescent="0.35">
      <c r="A211" s="260" t="s">
        <v>997</v>
      </c>
      <c r="B211" s="260" t="s">
        <v>749</v>
      </c>
      <c r="C211" s="190">
        <v>45943</v>
      </c>
      <c r="D211" s="197">
        <v>52.8</v>
      </c>
      <c r="E211" s="260" t="s">
        <v>564</v>
      </c>
      <c r="F211" s="260" t="s">
        <v>793</v>
      </c>
      <c r="G211" s="196">
        <v>0</v>
      </c>
      <c r="H211" s="202">
        <v>46302</v>
      </c>
      <c r="I211" s="260" t="s">
        <v>588</v>
      </c>
      <c r="J211" s="196">
        <v>1</v>
      </c>
      <c r="K211" s="196">
        <v>0</v>
      </c>
      <c r="L211" s="260" t="s">
        <v>239</v>
      </c>
      <c r="M211" s="260" t="s">
        <v>514</v>
      </c>
    </row>
    <row r="212" spans="1:13" ht="14.5" x14ac:dyDescent="0.35">
      <c r="A212" s="260" t="s">
        <v>998</v>
      </c>
      <c r="B212" s="260" t="s">
        <v>749</v>
      </c>
      <c r="C212" s="190">
        <v>45944</v>
      </c>
      <c r="D212" s="197">
        <v>52.7</v>
      </c>
      <c r="E212" s="260" t="s">
        <v>564</v>
      </c>
      <c r="F212" s="260" t="s">
        <v>793</v>
      </c>
      <c r="G212" s="196">
        <v>0</v>
      </c>
      <c r="H212" s="202">
        <v>46302</v>
      </c>
      <c r="I212" s="260" t="s">
        <v>588</v>
      </c>
      <c r="J212" s="196">
        <v>1</v>
      </c>
      <c r="K212" s="196">
        <v>0</v>
      </c>
      <c r="L212" s="260" t="s">
        <v>239</v>
      </c>
      <c r="M212" s="260" t="s">
        <v>514</v>
      </c>
    </row>
    <row r="213" spans="1:13" ht="14.5" x14ac:dyDescent="0.35">
      <c r="A213" s="260" t="s">
        <v>999</v>
      </c>
      <c r="B213" s="260" t="s">
        <v>749</v>
      </c>
      <c r="C213" s="190">
        <v>45945</v>
      </c>
      <c r="D213" s="197">
        <v>52.6</v>
      </c>
      <c r="E213" s="260" t="s">
        <v>564</v>
      </c>
      <c r="F213" s="260" t="s">
        <v>793</v>
      </c>
      <c r="G213" s="196">
        <v>0</v>
      </c>
      <c r="H213" s="202">
        <v>46302</v>
      </c>
      <c r="I213" s="260" t="s">
        <v>588</v>
      </c>
      <c r="J213" s="196">
        <v>1</v>
      </c>
      <c r="K213" s="196">
        <v>0</v>
      </c>
      <c r="L213" s="260" t="s">
        <v>239</v>
      </c>
      <c r="M213" s="260" t="s">
        <v>514</v>
      </c>
    </row>
    <row r="214" spans="1:13" ht="14.5" x14ac:dyDescent="0.35">
      <c r="A214" s="260" t="s">
        <v>1000</v>
      </c>
      <c r="B214" s="260" t="s">
        <v>749</v>
      </c>
      <c r="C214" s="190">
        <v>45946</v>
      </c>
      <c r="D214" s="197">
        <v>52.5</v>
      </c>
      <c r="E214" s="260" t="s">
        <v>564</v>
      </c>
      <c r="F214" s="260" t="s">
        <v>793</v>
      </c>
      <c r="G214" s="196">
        <v>0</v>
      </c>
      <c r="H214" s="202">
        <v>46302</v>
      </c>
      <c r="I214" s="260" t="s">
        <v>588</v>
      </c>
      <c r="J214" s="196">
        <v>1</v>
      </c>
      <c r="K214" s="196">
        <v>0</v>
      </c>
      <c r="L214" s="260" t="s">
        <v>239</v>
      </c>
      <c r="M214" s="260" t="s">
        <v>514</v>
      </c>
    </row>
    <row r="215" spans="1:13" ht="14.5" x14ac:dyDescent="0.35">
      <c r="A215" s="260" t="s">
        <v>1001</v>
      </c>
      <c r="B215" s="260" t="s">
        <v>749</v>
      </c>
      <c r="C215" s="190">
        <v>45947</v>
      </c>
      <c r="D215" s="197">
        <v>52.4</v>
      </c>
      <c r="E215" s="260" t="s">
        <v>564</v>
      </c>
      <c r="F215" s="260" t="s">
        <v>793</v>
      </c>
      <c r="G215" s="196">
        <v>0</v>
      </c>
      <c r="H215" s="202">
        <v>46302</v>
      </c>
      <c r="I215" s="260" t="s">
        <v>588</v>
      </c>
      <c r="J215" s="196">
        <v>1</v>
      </c>
      <c r="K215" s="196">
        <v>0</v>
      </c>
      <c r="L215" s="260" t="s">
        <v>239</v>
      </c>
      <c r="M215" s="260" t="s">
        <v>514</v>
      </c>
    </row>
    <row r="216" spans="1:13" ht="14.5" x14ac:dyDescent="0.35">
      <c r="A216" s="260" t="s">
        <v>1002</v>
      </c>
      <c r="B216" s="260" t="s">
        <v>749</v>
      </c>
      <c r="C216" s="190">
        <v>45950</v>
      </c>
      <c r="D216" s="197">
        <v>52.1</v>
      </c>
      <c r="E216" s="260" t="s">
        <v>564</v>
      </c>
      <c r="F216" s="260" t="s">
        <v>793</v>
      </c>
      <c r="G216" s="196">
        <v>0</v>
      </c>
      <c r="H216" s="202">
        <v>46302</v>
      </c>
      <c r="I216" s="260" t="s">
        <v>588</v>
      </c>
      <c r="J216" s="196">
        <v>1</v>
      </c>
      <c r="K216" s="196">
        <v>0</v>
      </c>
      <c r="L216" s="260" t="s">
        <v>239</v>
      </c>
      <c r="M216" s="260" t="s">
        <v>514</v>
      </c>
    </row>
    <row r="217" spans="1:13" ht="14.5" x14ac:dyDescent="0.35">
      <c r="A217" s="260" t="s">
        <v>1003</v>
      </c>
      <c r="B217" s="260" t="s">
        <v>749</v>
      </c>
      <c r="C217" s="190">
        <v>45951</v>
      </c>
      <c r="D217" s="197">
        <v>52</v>
      </c>
      <c r="E217" s="260" t="s">
        <v>564</v>
      </c>
      <c r="F217" s="260" t="s">
        <v>793</v>
      </c>
      <c r="G217" s="196">
        <v>0</v>
      </c>
      <c r="H217" s="202">
        <v>46302</v>
      </c>
      <c r="I217" s="260" t="s">
        <v>588</v>
      </c>
      <c r="J217" s="196">
        <v>1</v>
      </c>
      <c r="K217" s="196">
        <v>0</v>
      </c>
      <c r="L217" s="260" t="s">
        <v>239</v>
      </c>
      <c r="M217" s="260" t="s">
        <v>514</v>
      </c>
    </row>
    <row r="218" spans="1:13" ht="14.5" x14ac:dyDescent="0.35">
      <c r="A218" s="260" t="s">
        <v>1004</v>
      </c>
      <c r="B218" s="260" t="s">
        <v>749</v>
      </c>
      <c r="C218" s="190">
        <v>45952</v>
      </c>
      <c r="D218" s="197">
        <v>51.9</v>
      </c>
      <c r="E218" s="260" t="s">
        <v>564</v>
      </c>
      <c r="F218" s="260" t="s">
        <v>793</v>
      </c>
      <c r="G218" s="196">
        <v>0</v>
      </c>
      <c r="H218" s="202">
        <v>46302</v>
      </c>
      <c r="I218" s="260" t="s">
        <v>588</v>
      </c>
      <c r="J218" s="196">
        <v>1</v>
      </c>
      <c r="K218" s="196">
        <v>0</v>
      </c>
      <c r="L218" s="260" t="s">
        <v>239</v>
      </c>
      <c r="M218" s="260" t="s">
        <v>514</v>
      </c>
    </row>
    <row r="219" spans="1:13" ht="14.5" x14ac:dyDescent="0.35">
      <c r="A219" s="260" t="s">
        <v>1005</v>
      </c>
      <c r="B219" s="260" t="s">
        <v>749</v>
      </c>
      <c r="C219" s="190">
        <v>45953</v>
      </c>
      <c r="D219" s="197">
        <v>51.8</v>
      </c>
      <c r="E219" s="260" t="s">
        <v>564</v>
      </c>
      <c r="F219" s="260" t="s">
        <v>793</v>
      </c>
      <c r="G219" s="196">
        <v>0</v>
      </c>
      <c r="H219" s="202">
        <v>46302</v>
      </c>
      <c r="I219" s="260" t="s">
        <v>588</v>
      </c>
      <c r="J219" s="196">
        <v>1</v>
      </c>
      <c r="K219" s="196">
        <v>0</v>
      </c>
      <c r="L219" s="260" t="s">
        <v>239</v>
      </c>
      <c r="M219" s="260" t="s">
        <v>514</v>
      </c>
    </row>
    <row r="220" spans="1:13" ht="14.5" x14ac:dyDescent="0.35">
      <c r="A220" s="260" t="s">
        <v>1006</v>
      </c>
      <c r="B220" s="260" t="s">
        <v>749</v>
      </c>
      <c r="C220" s="190">
        <v>45954</v>
      </c>
      <c r="D220" s="197">
        <v>51.7</v>
      </c>
      <c r="E220" s="260" t="s">
        <v>564</v>
      </c>
      <c r="F220" s="260" t="s">
        <v>793</v>
      </c>
      <c r="G220" s="196">
        <v>0</v>
      </c>
      <c r="H220" s="202">
        <v>46302</v>
      </c>
      <c r="I220" s="260" t="s">
        <v>588</v>
      </c>
      <c r="J220" s="196">
        <v>1</v>
      </c>
      <c r="K220" s="196">
        <v>0</v>
      </c>
      <c r="L220" s="260" t="s">
        <v>239</v>
      </c>
      <c r="M220" s="260" t="s">
        <v>514</v>
      </c>
    </row>
    <row r="221" spans="1:13" ht="14.5" x14ac:dyDescent="0.35">
      <c r="A221" s="260" t="s">
        <v>1007</v>
      </c>
      <c r="B221" s="260" t="s">
        <v>749</v>
      </c>
      <c r="C221" s="190">
        <v>45957</v>
      </c>
      <c r="D221" s="197">
        <v>51.4</v>
      </c>
      <c r="E221" s="260" t="s">
        <v>564</v>
      </c>
      <c r="F221" s="260" t="s">
        <v>793</v>
      </c>
      <c r="G221" s="196">
        <v>0</v>
      </c>
      <c r="H221" s="202">
        <v>46302</v>
      </c>
      <c r="I221" s="260" t="s">
        <v>588</v>
      </c>
      <c r="J221" s="196">
        <v>1</v>
      </c>
      <c r="K221" s="196">
        <v>0</v>
      </c>
      <c r="L221" s="260" t="s">
        <v>239</v>
      </c>
      <c r="M221" s="260" t="s">
        <v>514</v>
      </c>
    </row>
    <row r="222" spans="1:13" ht="14.5" x14ac:dyDescent="0.35">
      <c r="A222" s="260" t="s">
        <v>1008</v>
      </c>
      <c r="B222" s="260" t="s">
        <v>749</v>
      </c>
      <c r="C222" s="190">
        <v>45958</v>
      </c>
      <c r="D222" s="197">
        <v>51.3</v>
      </c>
      <c r="E222" s="260" t="s">
        <v>564</v>
      </c>
      <c r="F222" s="260" t="s">
        <v>793</v>
      </c>
      <c r="G222" s="196">
        <v>0</v>
      </c>
      <c r="H222" s="202">
        <v>46302</v>
      </c>
      <c r="I222" s="260" t="s">
        <v>588</v>
      </c>
      <c r="J222" s="196">
        <v>1</v>
      </c>
      <c r="K222" s="196">
        <v>0</v>
      </c>
      <c r="L222" s="260" t="s">
        <v>239</v>
      </c>
      <c r="M222" s="260" t="s">
        <v>514</v>
      </c>
    </row>
    <row r="223" spans="1:13" ht="14.5" x14ac:dyDescent="0.35">
      <c r="A223" s="260" t="s">
        <v>1009</v>
      </c>
      <c r="B223" s="260" t="s">
        <v>749</v>
      </c>
      <c r="C223" s="190">
        <v>45959</v>
      </c>
      <c r="D223" s="197">
        <v>51.2</v>
      </c>
      <c r="E223" s="260" t="s">
        <v>564</v>
      </c>
      <c r="F223" s="260" t="s">
        <v>793</v>
      </c>
      <c r="G223" s="196">
        <v>0</v>
      </c>
      <c r="H223" s="202">
        <v>46302</v>
      </c>
      <c r="I223" s="260" t="s">
        <v>588</v>
      </c>
      <c r="J223" s="196">
        <v>1</v>
      </c>
      <c r="K223" s="196">
        <v>0</v>
      </c>
      <c r="L223" s="260" t="s">
        <v>239</v>
      </c>
      <c r="M223" s="260" t="s">
        <v>514</v>
      </c>
    </row>
    <row r="224" spans="1:13" ht="14.5" x14ac:dyDescent="0.35">
      <c r="A224" s="260" t="s">
        <v>1010</v>
      </c>
      <c r="B224" s="260" t="s">
        <v>749</v>
      </c>
      <c r="C224" s="190">
        <v>45960</v>
      </c>
      <c r="D224" s="197">
        <v>51.1</v>
      </c>
      <c r="E224" s="260" t="s">
        <v>564</v>
      </c>
      <c r="F224" s="260" t="s">
        <v>793</v>
      </c>
      <c r="G224" s="196">
        <v>0</v>
      </c>
      <c r="H224" s="202">
        <v>46302</v>
      </c>
      <c r="I224" s="260" t="s">
        <v>588</v>
      </c>
      <c r="J224" s="196">
        <v>1</v>
      </c>
      <c r="K224" s="196">
        <v>0</v>
      </c>
      <c r="L224" s="260" t="s">
        <v>239</v>
      </c>
      <c r="M224" s="260" t="s">
        <v>514</v>
      </c>
    </row>
    <row r="225" spans="1:13" ht="14.5" x14ac:dyDescent="0.35">
      <c r="A225" s="260" t="s">
        <v>1011</v>
      </c>
      <c r="B225" s="260" t="s">
        <v>749</v>
      </c>
      <c r="C225" s="190">
        <v>45961</v>
      </c>
      <c r="D225" s="197">
        <v>51</v>
      </c>
      <c r="E225" s="260" t="s">
        <v>564</v>
      </c>
      <c r="F225" s="260" t="s">
        <v>793</v>
      </c>
      <c r="G225" s="196">
        <v>0</v>
      </c>
      <c r="H225" s="202">
        <v>46302</v>
      </c>
      <c r="I225" s="260" t="s">
        <v>588</v>
      </c>
      <c r="J225" s="196">
        <v>1</v>
      </c>
      <c r="K225" s="196">
        <v>0</v>
      </c>
      <c r="L225" s="260" t="s">
        <v>239</v>
      </c>
      <c r="M225" s="260" t="s">
        <v>514</v>
      </c>
    </row>
    <row r="226" spans="1:13" ht="14.5" x14ac:dyDescent="0.35">
      <c r="A226" s="260" t="s">
        <v>1012</v>
      </c>
      <c r="B226" s="260" t="s">
        <v>749</v>
      </c>
      <c r="C226" s="190">
        <v>45964</v>
      </c>
      <c r="D226" s="197">
        <v>50.79</v>
      </c>
      <c r="E226" s="260" t="s">
        <v>564</v>
      </c>
      <c r="F226" s="260" t="s">
        <v>793</v>
      </c>
      <c r="G226" s="196">
        <v>0</v>
      </c>
      <c r="H226" s="202">
        <v>46302</v>
      </c>
      <c r="I226" s="260" t="s">
        <v>588</v>
      </c>
      <c r="J226" s="196">
        <v>1</v>
      </c>
      <c r="K226" s="196">
        <v>0</v>
      </c>
      <c r="L226" s="260" t="s">
        <v>239</v>
      </c>
      <c r="M226" s="260" t="s">
        <v>514</v>
      </c>
    </row>
    <row r="227" spans="1:13" ht="14.5" x14ac:dyDescent="0.35">
      <c r="A227" s="260" t="s">
        <v>1013</v>
      </c>
      <c r="B227" s="260" t="s">
        <v>749</v>
      </c>
      <c r="C227" s="190">
        <v>45965</v>
      </c>
      <c r="D227" s="197">
        <v>50.69</v>
      </c>
      <c r="E227" s="260" t="s">
        <v>564</v>
      </c>
      <c r="F227" s="260" t="s">
        <v>793</v>
      </c>
      <c r="G227" s="196">
        <v>0</v>
      </c>
      <c r="H227" s="202">
        <v>46302</v>
      </c>
      <c r="I227" s="260" t="s">
        <v>588</v>
      </c>
      <c r="J227" s="196">
        <v>1</v>
      </c>
      <c r="K227" s="196">
        <v>0</v>
      </c>
      <c r="L227" s="260" t="s">
        <v>239</v>
      </c>
      <c r="M227" s="260" t="s">
        <v>514</v>
      </c>
    </row>
    <row r="228" spans="1:13" ht="14.5" x14ac:dyDescent="0.35">
      <c r="A228" s="260" t="s">
        <v>1014</v>
      </c>
      <c r="B228" s="260" t="s">
        <v>749</v>
      </c>
      <c r="C228" s="190">
        <v>45966</v>
      </c>
      <c r="D228" s="197">
        <v>50.59</v>
      </c>
      <c r="E228" s="260" t="s">
        <v>564</v>
      </c>
      <c r="F228" s="260" t="s">
        <v>793</v>
      </c>
      <c r="G228" s="196">
        <v>0</v>
      </c>
      <c r="H228" s="202">
        <v>46302</v>
      </c>
      <c r="I228" s="260" t="s">
        <v>588</v>
      </c>
      <c r="J228" s="196">
        <v>1</v>
      </c>
      <c r="K228" s="196">
        <v>0</v>
      </c>
      <c r="L228" s="260" t="s">
        <v>239</v>
      </c>
      <c r="M228" s="260" t="s">
        <v>514</v>
      </c>
    </row>
    <row r="229" spans="1:13" ht="14.5" x14ac:dyDescent="0.35">
      <c r="A229" s="260" t="s">
        <v>1015</v>
      </c>
      <c r="B229" s="260" t="s">
        <v>749</v>
      </c>
      <c r="C229" s="190">
        <v>45967</v>
      </c>
      <c r="D229" s="197">
        <v>50.48</v>
      </c>
      <c r="E229" s="260" t="s">
        <v>564</v>
      </c>
      <c r="F229" s="260" t="s">
        <v>793</v>
      </c>
      <c r="G229" s="196">
        <v>0</v>
      </c>
      <c r="H229" s="202">
        <v>46302</v>
      </c>
      <c r="I229" s="260" t="s">
        <v>588</v>
      </c>
      <c r="J229" s="196">
        <v>1</v>
      </c>
      <c r="K229" s="196">
        <v>0</v>
      </c>
      <c r="L229" s="260" t="s">
        <v>239</v>
      </c>
      <c r="M229" s="260" t="s">
        <v>514</v>
      </c>
    </row>
    <row r="230" spans="1:13" ht="14.5" x14ac:dyDescent="0.35">
      <c r="A230" s="260" t="s">
        <v>1016</v>
      </c>
      <c r="B230" s="260" t="s">
        <v>749</v>
      </c>
      <c r="C230" s="190">
        <v>45968</v>
      </c>
      <c r="D230" s="197">
        <v>50.38</v>
      </c>
      <c r="E230" s="260" t="s">
        <v>564</v>
      </c>
      <c r="F230" s="260" t="s">
        <v>793</v>
      </c>
      <c r="G230" s="196">
        <v>0</v>
      </c>
      <c r="H230" s="202">
        <v>46302</v>
      </c>
      <c r="I230" s="260" t="s">
        <v>588</v>
      </c>
      <c r="J230" s="196">
        <v>1</v>
      </c>
      <c r="K230" s="196">
        <v>0</v>
      </c>
      <c r="L230" s="260" t="s">
        <v>239</v>
      </c>
      <c r="M230" s="260" t="s">
        <v>514</v>
      </c>
    </row>
    <row r="231" spans="1:13" ht="14.5" x14ac:dyDescent="0.35">
      <c r="A231" s="260" t="s">
        <v>1017</v>
      </c>
      <c r="B231" s="260" t="s">
        <v>749</v>
      </c>
      <c r="C231" s="190">
        <v>45971</v>
      </c>
      <c r="D231" s="197">
        <v>50.07</v>
      </c>
      <c r="E231" s="260" t="s">
        <v>564</v>
      </c>
      <c r="F231" s="260" t="s">
        <v>793</v>
      </c>
      <c r="G231" s="196">
        <v>0</v>
      </c>
      <c r="H231" s="202">
        <v>46302</v>
      </c>
      <c r="I231" s="260" t="s">
        <v>588</v>
      </c>
      <c r="J231" s="196">
        <v>1</v>
      </c>
      <c r="K231" s="196">
        <v>0</v>
      </c>
      <c r="L231" s="260" t="s">
        <v>239</v>
      </c>
      <c r="M231" s="260" t="s">
        <v>514</v>
      </c>
    </row>
    <row r="232" spans="1:13" ht="14.5" x14ac:dyDescent="0.35">
      <c r="A232" s="260" t="s">
        <v>1018</v>
      </c>
      <c r="B232" s="260" t="s">
        <v>749</v>
      </c>
      <c r="C232" s="190">
        <v>45972</v>
      </c>
      <c r="D232" s="197">
        <v>49.97</v>
      </c>
      <c r="E232" s="260" t="s">
        <v>564</v>
      </c>
      <c r="F232" s="260" t="s">
        <v>793</v>
      </c>
      <c r="G232" s="196">
        <v>0</v>
      </c>
      <c r="H232" s="202">
        <v>46302</v>
      </c>
      <c r="I232" s="260" t="s">
        <v>588</v>
      </c>
      <c r="J232" s="196">
        <v>1</v>
      </c>
      <c r="K232" s="196">
        <v>0</v>
      </c>
      <c r="L232" s="260" t="s">
        <v>239</v>
      </c>
      <c r="M232" s="260" t="s">
        <v>514</v>
      </c>
    </row>
    <row r="233" spans="1:13" ht="14.5" x14ac:dyDescent="0.35">
      <c r="A233" s="260" t="s">
        <v>1019</v>
      </c>
      <c r="B233" s="260" t="s">
        <v>749</v>
      </c>
      <c r="C233" s="190">
        <v>45973</v>
      </c>
      <c r="D233" s="197">
        <v>49.86</v>
      </c>
      <c r="E233" s="260" t="s">
        <v>564</v>
      </c>
      <c r="F233" s="260" t="s">
        <v>793</v>
      </c>
      <c r="G233" s="196">
        <v>0</v>
      </c>
      <c r="H233" s="202">
        <v>46302</v>
      </c>
      <c r="I233" s="260" t="s">
        <v>588</v>
      </c>
      <c r="J233" s="196">
        <v>1</v>
      </c>
      <c r="K233" s="196">
        <v>0</v>
      </c>
      <c r="L233" s="260" t="s">
        <v>239</v>
      </c>
      <c r="M233" s="260" t="s">
        <v>514</v>
      </c>
    </row>
    <row r="234" spans="1:13" ht="14.5" x14ac:dyDescent="0.35">
      <c r="A234" s="260" t="s">
        <v>1020</v>
      </c>
      <c r="B234" s="260" t="s">
        <v>749</v>
      </c>
      <c r="C234" s="190">
        <v>45974</v>
      </c>
      <c r="D234" s="197">
        <v>49.76</v>
      </c>
      <c r="E234" s="260" t="s">
        <v>564</v>
      </c>
      <c r="F234" s="260" t="s">
        <v>793</v>
      </c>
      <c r="G234" s="196">
        <v>0</v>
      </c>
      <c r="H234" s="202">
        <v>46302</v>
      </c>
      <c r="I234" s="260" t="s">
        <v>588</v>
      </c>
      <c r="J234" s="196">
        <v>1</v>
      </c>
      <c r="K234" s="196">
        <v>0</v>
      </c>
      <c r="L234" s="260" t="s">
        <v>239</v>
      </c>
      <c r="M234" s="260" t="s">
        <v>514</v>
      </c>
    </row>
    <row r="235" spans="1:13" ht="14.5" x14ac:dyDescent="0.35">
      <c r="A235" s="260" t="s">
        <v>1021</v>
      </c>
      <c r="B235" s="260" t="s">
        <v>749</v>
      </c>
      <c r="C235" s="190">
        <v>45975</v>
      </c>
      <c r="D235" s="197">
        <v>49.66</v>
      </c>
      <c r="E235" s="260" t="s">
        <v>564</v>
      </c>
      <c r="F235" s="260" t="s">
        <v>793</v>
      </c>
      <c r="G235" s="196">
        <v>0</v>
      </c>
      <c r="H235" s="202">
        <v>46302</v>
      </c>
      <c r="I235" s="260" t="s">
        <v>588</v>
      </c>
      <c r="J235" s="196">
        <v>1</v>
      </c>
      <c r="K235" s="196">
        <v>0</v>
      </c>
      <c r="L235" s="260" t="s">
        <v>239</v>
      </c>
      <c r="M235" s="260" t="s">
        <v>514</v>
      </c>
    </row>
    <row r="236" spans="1:13" ht="14.5" x14ac:dyDescent="0.35">
      <c r="A236" s="260" t="s">
        <v>1022</v>
      </c>
      <c r="B236" s="260" t="s">
        <v>749</v>
      </c>
      <c r="C236" s="190">
        <v>45978</v>
      </c>
      <c r="D236" s="197">
        <v>49.34</v>
      </c>
      <c r="E236" s="260" t="s">
        <v>564</v>
      </c>
      <c r="F236" s="260" t="s">
        <v>793</v>
      </c>
      <c r="G236" s="196">
        <v>0</v>
      </c>
      <c r="H236" s="202">
        <v>46302</v>
      </c>
      <c r="I236" s="260" t="s">
        <v>588</v>
      </c>
      <c r="J236" s="196">
        <v>1</v>
      </c>
      <c r="K236" s="196">
        <v>0</v>
      </c>
      <c r="L236" s="260" t="s">
        <v>239</v>
      </c>
      <c r="M236" s="260" t="s">
        <v>514</v>
      </c>
    </row>
    <row r="237" spans="1:13" ht="14.5" x14ac:dyDescent="0.35">
      <c r="A237" s="260" t="s">
        <v>1023</v>
      </c>
      <c r="B237" s="260" t="s">
        <v>749</v>
      </c>
      <c r="C237" s="190">
        <v>45979</v>
      </c>
      <c r="D237" s="197">
        <v>49.24</v>
      </c>
      <c r="E237" s="260" t="s">
        <v>564</v>
      </c>
      <c r="F237" s="260" t="s">
        <v>793</v>
      </c>
      <c r="G237" s="196">
        <v>0</v>
      </c>
      <c r="H237" s="202">
        <v>46302</v>
      </c>
      <c r="I237" s="260" t="s">
        <v>588</v>
      </c>
      <c r="J237" s="196">
        <v>1</v>
      </c>
      <c r="K237" s="196">
        <v>0</v>
      </c>
      <c r="L237" s="260" t="s">
        <v>239</v>
      </c>
      <c r="M237" s="260" t="s">
        <v>514</v>
      </c>
    </row>
    <row r="238" spans="1:13" ht="14.5" x14ac:dyDescent="0.35">
      <c r="A238" s="260" t="s">
        <v>1024</v>
      </c>
      <c r="B238" s="260" t="s">
        <v>749</v>
      </c>
      <c r="C238" s="190">
        <v>45980</v>
      </c>
      <c r="D238" s="197">
        <v>49.14</v>
      </c>
      <c r="E238" s="260" t="s">
        <v>564</v>
      </c>
      <c r="F238" s="260" t="s">
        <v>793</v>
      </c>
      <c r="G238" s="196">
        <v>0</v>
      </c>
      <c r="H238" s="202">
        <v>46302</v>
      </c>
      <c r="I238" s="260" t="s">
        <v>588</v>
      </c>
      <c r="J238" s="196">
        <v>1</v>
      </c>
      <c r="K238" s="196">
        <v>0</v>
      </c>
      <c r="L238" s="260" t="s">
        <v>239</v>
      </c>
      <c r="M238" s="260" t="s">
        <v>514</v>
      </c>
    </row>
    <row r="239" spans="1:13" ht="14.5" x14ac:dyDescent="0.35">
      <c r="A239" s="260" t="s">
        <v>1025</v>
      </c>
      <c r="B239" s="260" t="s">
        <v>749</v>
      </c>
      <c r="C239" s="190">
        <v>45981</v>
      </c>
      <c r="D239" s="197">
        <v>49.03</v>
      </c>
      <c r="E239" s="260" t="s">
        <v>564</v>
      </c>
      <c r="F239" s="260" t="s">
        <v>793</v>
      </c>
      <c r="G239" s="196">
        <v>0</v>
      </c>
      <c r="H239" s="202">
        <v>46302</v>
      </c>
      <c r="I239" s="260" t="s">
        <v>588</v>
      </c>
      <c r="J239" s="196">
        <v>1</v>
      </c>
      <c r="K239" s="196">
        <v>0</v>
      </c>
      <c r="L239" s="260" t="s">
        <v>239</v>
      </c>
      <c r="M239" s="260" t="s">
        <v>514</v>
      </c>
    </row>
    <row r="240" spans="1:13" ht="14.5" x14ac:dyDescent="0.35">
      <c r="A240" s="260" t="s">
        <v>1026</v>
      </c>
      <c r="B240" s="260" t="s">
        <v>749</v>
      </c>
      <c r="C240" s="190">
        <v>45982</v>
      </c>
      <c r="D240" s="197">
        <v>48.93</v>
      </c>
      <c r="E240" s="260" t="s">
        <v>564</v>
      </c>
      <c r="F240" s="260" t="s">
        <v>793</v>
      </c>
      <c r="G240" s="196">
        <v>0</v>
      </c>
      <c r="H240" s="202">
        <v>46302</v>
      </c>
      <c r="I240" s="260" t="s">
        <v>588</v>
      </c>
      <c r="J240" s="196">
        <v>1</v>
      </c>
      <c r="K240" s="196">
        <v>0</v>
      </c>
      <c r="L240" s="260" t="s">
        <v>239</v>
      </c>
      <c r="M240" s="260" t="s">
        <v>514</v>
      </c>
    </row>
    <row r="241" spans="1:13" ht="14.5" x14ac:dyDescent="0.35">
      <c r="A241" s="260" t="s">
        <v>1027</v>
      </c>
      <c r="B241" s="260" t="s">
        <v>749</v>
      </c>
      <c r="C241" s="190">
        <v>45985</v>
      </c>
      <c r="D241" s="197">
        <v>48.62</v>
      </c>
      <c r="E241" s="260" t="s">
        <v>564</v>
      </c>
      <c r="F241" s="260" t="s">
        <v>793</v>
      </c>
      <c r="G241" s="196">
        <v>0</v>
      </c>
      <c r="H241" s="202">
        <v>46302</v>
      </c>
      <c r="I241" s="260" t="s">
        <v>588</v>
      </c>
      <c r="J241" s="196">
        <v>1</v>
      </c>
      <c r="K241" s="196">
        <v>0</v>
      </c>
      <c r="L241" s="260" t="s">
        <v>239</v>
      </c>
      <c r="M241" s="260" t="s">
        <v>514</v>
      </c>
    </row>
    <row r="242" spans="1:13" ht="14.5" x14ac:dyDescent="0.35">
      <c r="A242" s="260" t="s">
        <v>1028</v>
      </c>
      <c r="B242" s="260" t="s">
        <v>749</v>
      </c>
      <c r="C242" s="190">
        <v>45986</v>
      </c>
      <c r="D242" s="197">
        <v>48.52</v>
      </c>
      <c r="E242" s="260" t="s">
        <v>564</v>
      </c>
      <c r="F242" s="260" t="s">
        <v>793</v>
      </c>
      <c r="G242" s="196">
        <v>0</v>
      </c>
      <c r="H242" s="202">
        <v>46302</v>
      </c>
      <c r="I242" s="260" t="s">
        <v>588</v>
      </c>
      <c r="J242" s="196">
        <v>1</v>
      </c>
      <c r="K242" s="196">
        <v>0</v>
      </c>
      <c r="L242" s="260" t="s">
        <v>239</v>
      </c>
      <c r="M242" s="260" t="s">
        <v>514</v>
      </c>
    </row>
    <row r="243" spans="1:13" ht="14.5" x14ac:dyDescent="0.35">
      <c r="A243" s="260" t="s">
        <v>1029</v>
      </c>
      <c r="B243" s="260" t="s">
        <v>749</v>
      </c>
      <c r="C243" s="190">
        <v>45987</v>
      </c>
      <c r="D243" s="197">
        <v>48.41</v>
      </c>
      <c r="E243" s="260" t="s">
        <v>564</v>
      </c>
      <c r="F243" s="260" t="s">
        <v>793</v>
      </c>
      <c r="G243" s="196">
        <v>0</v>
      </c>
      <c r="H243" s="202">
        <v>46302</v>
      </c>
      <c r="I243" s="260" t="s">
        <v>588</v>
      </c>
      <c r="J243" s="196">
        <v>1</v>
      </c>
      <c r="K243" s="196">
        <v>0</v>
      </c>
      <c r="L243" s="260" t="s">
        <v>239</v>
      </c>
      <c r="M243" s="260" t="s">
        <v>514</v>
      </c>
    </row>
    <row r="244" spans="1:13" ht="14.5" x14ac:dyDescent="0.35">
      <c r="A244" s="260" t="s">
        <v>1030</v>
      </c>
      <c r="B244" s="260" t="s">
        <v>749</v>
      </c>
      <c r="C244" s="190">
        <v>45988</v>
      </c>
      <c r="D244" s="197">
        <v>48.31</v>
      </c>
      <c r="E244" s="260" t="s">
        <v>564</v>
      </c>
      <c r="F244" s="260" t="s">
        <v>793</v>
      </c>
      <c r="G244" s="196">
        <v>0</v>
      </c>
      <c r="H244" s="202">
        <v>46302</v>
      </c>
      <c r="I244" s="260" t="s">
        <v>588</v>
      </c>
      <c r="J244" s="196">
        <v>1</v>
      </c>
      <c r="K244" s="196">
        <v>0</v>
      </c>
      <c r="L244" s="260" t="s">
        <v>239</v>
      </c>
      <c r="M244" s="260" t="s">
        <v>514</v>
      </c>
    </row>
    <row r="245" spans="1:13" ht="14.5" x14ac:dyDescent="0.35">
      <c r="A245" s="260" t="s">
        <v>1031</v>
      </c>
      <c r="B245" s="260" t="s">
        <v>749</v>
      </c>
      <c r="C245" s="190">
        <v>45989</v>
      </c>
      <c r="D245" s="197">
        <v>48.21</v>
      </c>
      <c r="E245" s="260" t="s">
        <v>564</v>
      </c>
      <c r="F245" s="260" t="s">
        <v>793</v>
      </c>
      <c r="G245" s="196">
        <v>0</v>
      </c>
      <c r="H245" s="202">
        <v>46302</v>
      </c>
      <c r="I245" s="260" t="s">
        <v>588</v>
      </c>
      <c r="J245" s="196">
        <v>1</v>
      </c>
      <c r="K245" s="196">
        <v>0</v>
      </c>
      <c r="L245" s="260" t="s">
        <v>239</v>
      </c>
      <c r="M245" s="260" t="s">
        <v>514</v>
      </c>
    </row>
    <row r="246" spans="1:13" ht="14.5" x14ac:dyDescent="0.35">
      <c r="A246" s="260" t="s">
        <v>1032</v>
      </c>
      <c r="B246" s="260" t="s">
        <v>749</v>
      </c>
      <c r="C246" s="190">
        <v>45992</v>
      </c>
      <c r="D246" s="197">
        <v>48</v>
      </c>
      <c r="E246" s="260" t="s">
        <v>564</v>
      </c>
      <c r="F246" s="260" t="s">
        <v>793</v>
      </c>
      <c r="G246" s="196">
        <v>0</v>
      </c>
      <c r="H246" s="202">
        <v>46302</v>
      </c>
      <c r="I246" s="260" t="s">
        <v>588</v>
      </c>
      <c r="J246" s="196">
        <v>1</v>
      </c>
      <c r="K246" s="196">
        <v>0</v>
      </c>
      <c r="L246" s="260" t="s">
        <v>239</v>
      </c>
      <c r="M246" s="260" t="s">
        <v>514</v>
      </c>
    </row>
    <row r="247" spans="1:13" ht="14.5" x14ac:dyDescent="0.35">
      <c r="A247" s="260" t="s">
        <v>1033</v>
      </c>
      <c r="B247" s="260" t="s">
        <v>749</v>
      </c>
      <c r="C247" s="190">
        <v>45993</v>
      </c>
      <c r="D247" s="197">
        <v>47.98</v>
      </c>
      <c r="E247" s="260" t="s">
        <v>564</v>
      </c>
      <c r="F247" s="260" t="s">
        <v>793</v>
      </c>
      <c r="G247" s="196">
        <v>0</v>
      </c>
      <c r="H247" s="202">
        <v>46302</v>
      </c>
      <c r="I247" s="260" t="s">
        <v>588</v>
      </c>
      <c r="J247" s="196">
        <v>1</v>
      </c>
      <c r="K247" s="196">
        <v>0</v>
      </c>
      <c r="L247" s="260" t="s">
        <v>239</v>
      </c>
      <c r="M247" s="260" t="s">
        <v>514</v>
      </c>
    </row>
    <row r="248" spans="1:13" ht="14.5" x14ac:dyDescent="0.35">
      <c r="A248" s="260" t="s">
        <v>1034</v>
      </c>
      <c r="B248" s="260" t="s">
        <v>749</v>
      </c>
      <c r="C248" s="190">
        <v>45994</v>
      </c>
      <c r="D248" s="197">
        <v>47.97</v>
      </c>
      <c r="E248" s="260" t="s">
        <v>564</v>
      </c>
      <c r="F248" s="260" t="s">
        <v>793</v>
      </c>
      <c r="G248" s="196">
        <v>0</v>
      </c>
      <c r="H248" s="202">
        <v>46302</v>
      </c>
      <c r="I248" s="260" t="s">
        <v>588</v>
      </c>
      <c r="J248" s="196">
        <v>1</v>
      </c>
      <c r="K248" s="196">
        <v>0</v>
      </c>
      <c r="L248" s="260" t="s">
        <v>239</v>
      </c>
      <c r="M248" s="260" t="s">
        <v>514</v>
      </c>
    </row>
    <row r="249" spans="1:13" ht="14.5" x14ac:dyDescent="0.35">
      <c r="A249" s="260" t="s">
        <v>1035</v>
      </c>
      <c r="B249" s="260" t="s">
        <v>749</v>
      </c>
      <c r="C249" s="190">
        <v>45995</v>
      </c>
      <c r="D249" s="197">
        <v>47.95</v>
      </c>
      <c r="E249" s="260" t="s">
        <v>564</v>
      </c>
      <c r="F249" s="260" t="s">
        <v>793</v>
      </c>
      <c r="G249" s="196">
        <v>0</v>
      </c>
      <c r="H249" s="202">
        <v>46302</v>
      </c>
      <c r="I249" s="260" t="s">
        <v>588</v>
      </c>
      <c r="J249" s="196">
        <v>1</v>
      </c>
      <c r="K249" s="196">
        <v>0</v>
      </c>
      <c r="L249" s="260" t="s">
        <v>239</v>
      </c>
      <c r="M249" s="260" t="s">
        <v>514</v>
      </c>
    </row>
    <row r="250" spans="1:13" ht="14.5" x14ac:dyDescent="0.35">
      <c r="A250" s="260" t="s">
        <v>1036</v>
      </c>
      <c r="B250" s="260" t="s">
        <v>749</v>
      </c>
      <c r="C250" s="190">
        <v>45996</v>
      </c>
      <c r="D250" s="197">
        <v>47.93</v>
      </c>
      <c r="E250" s="260" t="s">
        <v>564</v>
      </c>
      <c r="F250" s="260" t="s">
        <v>793</v>
      </c>
      <c r="G250" s="196">
        <v>0</v>
      </c>
      <c r="H250" s="202">
        <v>46302</v>
      </c>
      <c r="I250" s="260" t="s">
        <v>588</v>
      </c>
      <c r="J250" s="196">
        <v>1</v>
      </c>
      <c r="K250" s="196">
        <v>0</v>
      </c>
      <c r="L250" s="260" t="s">
        <v>239</v>
      </c>
      <c r="M250" s="260" t="s">
        <v>514</v>
      </c>
    </row>
    <row r="251" spans="1:13" ht="14.5" x14ac:dyDescent="0.35">
      <c r="A251" s="260" t="s">
        <v>1037</v>
      </c>
      <c r="B251" s="260" t="s">
        <v>749</v>
      </c>
      <c r="C251" s="190">
        <v>45999</v>
      </c>
      <c r="D251" s="197">
        <v>47.88</v>
      </c>
      <c r="E251" s="260" t="s">
        <v>564</v>
      </c>
      <c r="F251" s="260" t="s">
        <v>793</v>
      </c>
      <c r="G251" s="196">
        <v>0</v>
      </c>
      <c r="H251" s="202">
        <v>46302</v>
      </c>
      <c r="I251" s="260" t="s">
        <v>588</v>
      </c>
      <c r="J251" s="196">
        <v>1</v>
      </c>
      <c r="K251" s="196">
        <v>0</v>
      </c>
      <c r="L251" s="260" t="s">
        <v>239</v>
      </c>
      <c r="M251" s="260" t="s">
        <v>514</v>
      </c>
    </row>
    <row r="252" spans="1:13" ht="14.5" x14ac:dyDescent="0.35">
      <c r="A252" s="260" t="s">
        <v>1038</v>
      </c>
      <c r="B252" s="260" t="s">
        <v>749</v>
      </c>
      <c r="C252" s="190">
        <v>46000</v>
      </c>
      <c r="D252" s="197">
        <v>47.87</v>
      </c>
      <c r="E252" s="260" t="s">
        <v>564</v>
      </c>
      <c r="F252" s="260" t="s">
        <v>793</v>
      </c>
      <c r="G252" s="196">
        <v>0</v>
      </c>
      <c r="H252" s="202">
        <v>46302</v>
      </c>
      <c r="I252" s="260" t="s">
        <v>588</v>
      </c>
      <c r="J252" s="196">
        <v>1</v>
      </c>
      <c r="K252" s="196">
        <v>0</v>
      </c>
      <c r="L252" s="260" t="s">
        <v>239</v>
      </c>
      <c r="M252" s="260" t="s">
        <v>514</v>
      </c>
    </row>
    <row r="253" spans="1:13" ht="14.5" x14ac:dyDescent="0.35">
      <c r="A253" s="260" t="s">
        <v>1039</v>
      </c>
      <c r="B253" s="260" t="s">
        <v>749</v>
      </c>
      <c r="C253" s="190">
        <v>46001</v>
      </c>
      <c r="D253" s="197">
        <v>47.85</v>
      </c>
      <c r="E253" s="260" t="s">
        <v>564</v>
      </c>
      <c r="F253" s="260" t="s">
        <v>793</v>
      </c>
      <c r="G253" s="196">
        <v>0</v>
      </c>
      <c r="H253" s="202">
        <v>46302</v>
      </c>
      <c r="I253" s="260" t="s">
        <v>588</v>
      </c>
      <c r="J253" s="196">
        <v>1</v>
      </c>
      <c r="K253" s="196">
        <v>0</v>
      </c>
      <c r="L253" s="260" t="s">
        <v>239</v>
      </c>
      <c r="M253" s="260" t="s">
        <v>514</v>
      </c>
    </row>
    <row r="254" spans="1:13" ht="14.5" x14ac:dyDescent="0.35">
      <c r="A254" s="260" t="s">
        <v>1040</v>
      </c>
      <c r="B254" s="260" t="s">
        <v>749</v>
      </c>
      <c r="C254" s="190">
        <v>46002</v>
      </c>
      <c r="D254" s="197">
        <v>47.83</v>
      </c>
      <c r="E254" s="260" t="s">
        <v>564</v>
      </c>
      <c r="F254" s="260" t="s">
        <v>793</v>
      </c>
      <c r="G254" s="196">
        <v>0</v>
      </c>
      <c r="H254" s="202">
        <v>46302</v>
      </c>
      <c r="I254" s="260" t="s">
        <v>588</v>
      </c>
      <c r="J254" s="196">
        <v>1</v>
      </c>
      <c r="K254" s="196">
        <v>0</v>
      </c>
      <c r="L254" s="260" t="s">
        <v>239</v>
      </c>
      <c r="M254" s="260" t="s">
        <v>514</v>
      </c>
    </row>
    <row r="255" spans="1:13" ht="14.5" x14ac:dyDescent="0.35">
      <c r="A255" s="260" t="s">
        <v>1041</v>
      </c>
      <c r="B255" s="260" t="s">
        <v>749</v>
      </c>
      <c r="C255" s="190">
        <v>46003</v>
      </c>
      <c r="D255" s="197">
        <v>47.82</v>
      </c>
      <c r="E255" s="260" t="s">
        <v>564</v>
      </c>
      <c r="F255" s="260" t="s">
        <v>793</v>
      </c>
      <c r="G255" s="196">
        <v>0</v>
      </c>
      <c r="H255" s="202">
        <v>46302</v>
      </c>
      <c r="I255" s="260" t="s">
        <v>588</v>
      </c>
      <c r="J255" s="196">
        <v>1</v>
      </c>
      <c r="K255" s="196">
        <v>0</v>
      </c>
      <c r="L255" s="260" t="s">
        <v>239</v>
      </c>
      <c r="M255" s="260" t="s">
        <v>514</v>
      </c>
    </row>
    <row r="256" spans="1:13" ht="14.5" x14ac:dyDescent="0.35">
      <c r="A256" s="260" t="s">
        <v>1042</v>
      </c>
      <c r="B256" s="260" t="s">
        <v>749</v>
      </c>
      <c r="C256" s="190">
        <v>46006</v>
      </c>
      <c r="D256" s="197">
        <v>47.77</v>
      </c>
      <c r="E256" s="260" t="s">
        <v>564</v>
      </c>
      <c r="F256" s="260" t="s">
        <v>793</v>
      </c>
      <c r="G256" s="196">
        <v>0</v>
      </c>
      <c r="H256" s="202">
        <v>46302</v>
      </c>
      <c r="I256" s="260" t="s">
        <v>588</v>
      </c>
      <c r="J256" s="196">
        <v>1</v>
      </c>
      <c r="K256" s="196">
        <v>0</v>
      </c>
      <c r="L256" s="260" t="s">
        <v>239</v>
      </c>
      <c r="M256" s="260" t="s">
        <v>514</v>
      </c>
    </row>
    <row r="257" spans="1:13" ht="14.5" x14ac:dyDescent="0.35">
      <c r="A257" s="260" t="s">
        <v>1043</v>
      </c>
      <c r="B257" s="260" t="s">
        <v>749</v>
      </c>
      <c r="C257" s="190">
        <v>46007</v>
      </c>
      <c r="D257" s="197">
        <v>47.75</v>
      </c>
      <c r="E257" s="260" t="s">
        <v>564</v>
      </c>
      <c r="F257" s="260" t="s">
        <v>793</v>
      </c>
      <c r="G257" s="196">
        <v>0</v>
      </c>
      <c r="H257" s="202">
        <v>46302</v>
      </c>
      <c r="I257" s="260" t="s">
        <v>588</v>
      </c>
      <c r="J257" s="196">
        <v>1</v>
      </c>
      <c r="K257" s="196">
        <v>0</v>
      </c>
      <c r="L257" s="260" t="s">
        <v>239</v>
      </c>
      <c r="M257" s="260" t="s">
        <v>514</v>
      </c>
    </row>
    <row r="258" spans="1:13" ht="14.5" x14ac:dyDescent="0.35">
      <c r="A258" s="260" t="s">
        <v>1044</v>
      </c>
      <c r="B258" s="260" t="s">
        <v>749</v>
      </c>
      <c r="C258" s="190">
        <v>46008</v>
      </c>
      <c r="D258" s="197">
        <v>47.73</v>
      </c>
      <c r="E258" s="260" t="s">
        <v>564</v>
      </c>
      <c r="F258" s="260" t="s">
        <v>793</v>
      </c>
      <c r="G258" s="196">
        <v>0</v>
      </c>
      <c r="H258" s="202">
        <v>46302</v>
      </c>
      <c r="I258" s="260" t="s">
        <v>588</v>
      </c>
      <c r="J258" s="196">
        <v>1</v>
      </c>
      <c r="K258" s="196">
        <v>0</v>
      </c>
      <c r="L258" s="260" t="s">
        <v>239</v>
      </c>
      <c r="M258" s="260" t="s">
        <v>514</v>
      </c>
    </row>
    <row r="259" spans="1:13" ht="14.5" x14ac:dyDescent="0.35">
      <c r="A259" s="260" t="s">
        <v>1045</v>
      </c>
      <c r="B259" s="260" t="s">
        <v>749</v>
      </c>
      <c r="C259" s="190">
        <v>46009</v>
      </c>
      <c r="D259" s="197">
        <v>47.72</v>
      </c>
      <c r="E259" s="260" t="s">
        <v>564</v>
      </c>
      <c r="F259" s="260" t="s">
        <v>793</v>
      </c>
      <c r="G259" s="196">
        <v>0</v>
      </c>
      <c r="H259" s="202">
        <v>46302</v>
      </c>
      <c r="I259" s="260" t="s">
        <v>588</v>
      </c>
      <c r="J259" s="196">
        <v>1</v>
      </c>
      <c r="K259" s="196">
        <v>0</v>
      </c>
      <c r="L259" s="260" t="s">
        <v>239</v>
      </c>
      <c r="M259" s="260" t="s">
        <v>514</v>
      </c>
    </row>
    <row r="260" spans="1:13" ht="14.5" x14ac:dyDescent="0.35">
      <c r="A260" s="260" t="s">
        <v>1046</v>
      </c>
      <c r="B260" s="260" t="s">
        <v>749</v>
      </c>
      <c r="C260" s="190">
        <v>46010</v>
      </c>
      <c r="D260" s="197">
        <v>47.7</v>
      </c>
      <c r="E260" s="260" t="s">
        <v>564</v>
      </c>
      <c r="F260" s="260" t="s">
        <v>793</v>
      </c>
      <c r="G260" s="196">
        <v>0</v>
      </c>
      <c r="H260" s="202">
        <v>46302</v>
      </c>
      <c r="I260" s="260" t="s">
        <v>588</v>
      </c>
      <c r="J260" s="196">
        <v>1</v>
      </c>
      <c r="K260" s="196">
        <v>0</v>
      </c>
      <c r="L260" s="260" t="s">
        <v>239</v>
      </c>
      <c r="M260" s="260" t="s">
        <v>514</v>
      </c>
    </row>
    <row r="261" spans="1:13" ht="14.5" x14ac:dyDescent="0.35">
      <c r="A261" s="260" t="s">
        <v>1047</v>
      </c>
      <c r="B261" s="260" t="s">
        <v>749</v>
      </c>
      <c r="C261" s="190">
        <v>46013</v>
      </c>
      <c r="D261" s="197">
        <v>47.65</v>
      </c>
      <c r="E261" s="260" t="s">
        <v>564</v>
      </c>
      <c r="F261" s="260" t="s">
        <v>793</v>
      </c>
      <c r="G261" s="196">
        <v>0</v>
      </c>
      <c r="H261" s="202">
        <v>46302</v>
      </c>
      <c r="I261" s="260" t="s">
        <v>588</v>
      </c>
      <c r="J261" s="196">
        <v>1</v>
      </c>
      <c r="K261" s="196">
        <v>0</v>
      </c>
      <c r="L261" s="260" t="s">
        <v>239</v>
      </c>
      <c r="M261" s="260" t="s">
        <v>514</v>
      </c>
    </row>
    <row r="262" spans="1:13" ht="14.5" x14ac:dyDescent="0.35">
      <c r="A262" s="260" t="s">
        <v>1048</v>
      </c>
      <c r="B262" s="260" t="s">
        <v>749</v>
      </c>
      <c r="C262" s="190">
        <v>46014</v>
      </c>
      <c r="D262" s="197">
        <v>47.63</v>
      </c>
      <c r="E262" s="260" t="s">
        <v>564</v>
      </c>
      <c r="F262" s="260" t="s">
        <v>793</v>
      </c>
      <c r="G262" s="196">
        <v>0</v>
      </c>
      <c r="H262" s="202">
        <v>46302</v>
      </c>
      <c r="I262" s="260" t="s">
        <v>588</v>
      </c>
      <c r="J262" s="196">
        <v>1</v>
      </c>
      <c r="K262" s="196">
        <v>0</v>
      </c>
      <c r="L262" s="260" t="s">
        <v>239</v>
      </c>
      <c r="M262" s="260" t="s">
        <v>514</v>
      </c>
    </row>
    <row r="263" spans="1:13" ht="14.5" x14ac:dyDescent="0.35">
      <c r="A263" s="260" t="s">
        <v>1049</v>
      </c>
      <c r="B263" s="260" t="s">
        <v>749</v>
      </c>
      <c r="C263" s="190">
        <v>46015</v>
      </c>
      <c r="D263" s="197">
        <v>47.62</v>
      </c>
      <c r="E263" s="260" t="s">
        <v>564</v>
      </c>
      <c r="F263" s="260" t="s">
        <v>793</v>
      </c>
      <c r="G263" s="196">
        <v>0</v>
      </c>
      <c r="H263" s="202">
        <v>46302</v>
      </c>
      <c r="I263" s="260" t="s">
        <v>588</v>
      </c>
      <c r="J263" s="196">
        <v>1</v>
      </c>
      <c r="K263" s="196">
        <v>0</v>
      </c>
      <c r="L263" s="260" t="s">
        <v>239</v>
      </c>
      <c r="M263" s="260" t="s">
        <v>514</v>
      </c>
    </row>
    <row r="264" spans="1:13" ht="14.5" x14ac:dyDescent="0.35">
      <c r="A264" s="260" t="s">
        <v>1050</v>
      </c>
      <c r="B264" s="260" t="s">
        <v>749</v>
      </c>
      <c r="C264" s="190">
        <v>46016</v>
      </c>
      <c r="D264" s="197">
        <v>47.6</v>
      </c>
      <c r="E264" s="260" t="s">
        <v>564</v>
      </c>
      <c r="F264" s="260" t="s">
        <v>793</v>
      </c>
      <c r="G264" s="196">
        <v>0</v>
      </c>
      <c r="H264" s="202">
        <v>46302</v>
      </c>
      <c r="I264" s="260" t="s">
        <v>588</v>
      </c>
      <c r="J264" s="196">
        <v>1</v>
      </c>
      <c r="K264" s="196">
        <v>0</v>
      </c>
      <c r="L264" s="260" t="s">
        <v>239</v>
      </c>
      <c r="M264" s="260" t="s">
        <v>514</v>
      </c>
    </row>
    <row r="265" spans="1:13" ht="14.5" x14ac:dyDescent="0.35">
      <c r="A265" s="260" t="s">
        <v>1051</v>
      </c>
      <c r="B265" s="260" t="s">
        <v>749</v>
      </c>
      <c r="C265" s="190">
        <v>46017</v>
      </c>
      <c r="D265" s="197">
        <v>47.58</v>
      </c>
      <c r="E265" s="260" t="s">
        <v>564</v>
      </c>
      <c r="F265" s="260" t="s">
        <v>793</v>
      </c>
      <c r="G265" s="196">
        <v>0</v>
      </c>
      <c r="H265" s="202">
        <v>46302</v>
      </c>
      <c r="I265" s="260" t="s">
        <v>588</v>
      </c>
      <c r="J265" s="196">
        <v>1</v>
      </c>
      <c r="K265" s="196">
        <v>0</v>
      </c>
      <c r="L265" s="260" t="s">
        <v>239</v>
      </c>
      <c r="M265" s="260" t="s">
        <v>514</v>
      </c>
    </row>
    <row r="266" spans="1:13" ht="14.5" x14ac:dyDescent="0.35">
      <c r="A266" s="260" t="s">
        <v>1052</v>
      </c>
      <c r="B266" s="260" t="s">
        <v>749</v>
      </c>
      <c r="C266" s="190">
        <v>46020</v>
      </c>
      <c r="D266" s="197">
        <v>47.53</v>
      </c>
      <c r="E266" s="260" t="s">
        <v>564</v>
      </c>
      <c r="F266" s="260" t="s">
        <v>793</v>
      </c>
      <c r="G266" s="196">
        <v>0</v>
      </c>
      <c r="H266" s="202">
        <v>46302</v>
      </c>
      <c r="I266" s="260" t="s">
        <v>588</v>
      </c>
      <c r="J266" s="196">
        <v>1</v>
      </c>
      <c r="K266" s="196">
        <v>0</v>
      </c>
      <c r="L266" s="260" t="s">
        <v>239</v>
      </c>
      <c r="M266" s="260" t="s">
        <v>514</v>
      </c>
    </row>
    <row r="267" spans="1:13" ht="14.5" x14ac:dyDescent="0.35">
      <c r="A267" s="260" t="s">
        <v>1053</v>
      </c>
      <c r="B267" s="260" t="s">
        <v>749</v>
      </c>
      <c r="C267" s="190">
        <v>46021</v>
      </c>
      <c r="D267" s="197">
        <v>47.52</v>
      </c>
      <c r="E267" s="260" t="s">
        <v>564</v>
      </c>
      <c r="F267" s="260" t="s">
        <v>793</v>
      </c>
      <c r="G267" s="196">
        <v>0</v>
      </c>
      <c r="H267" s="202">
        <v>46302</v>
      </c>
      <c r="I267" s="260" t="s">
        <v>588</v>
      </c>
      <c r="J267" s="196">
        <v>1</v>
      </c>
      <c r="K267" s="196">
        <v>0</v>
      </c>
      <c r="L267" s="260" t="s">
        <v>239</v>
      </c>
      <c r="M267" s="260" t="s">
        <v>514</v>
      </c>
    </row>
    <row r="268" spans="1:13" ht="14.5" x14ac:dyDescent="0.35">
      <c r="A268" s="260" t="s">
        <v>1054</v>
      </c>
      <c r="B268" s="260" t="s">
        <v>749</v>
      </c>
      <c r="C268" s="190">
        <v>46022</v>
      </c>
      <c r="D268" s="197">
        <v>47.5</v>
      </c>
      <c r="E268" s="260" t="s">
        <v>564</v>
      </c>
      <c r="F268" s="260" t="s">
        <v>793</v>
      </c>
      <c r="G268" s="196">
        <v>0</v>
      </c>
      <c r="H268" s="202">
        <v>46302</v>
      </c>
      <c r="I268" s="260" t="s">
        <v>588</v>
      </c>
      <c r="J268" s="196">
        <v>1</v>
      </c>
      <c r="K268" s="196">
        <v>0</v>
      </c>
      <c r="L268" s="260" t="s">
        <v>239</v>
      </c>
      <c r="M268" s="260" t="s">
        <v>514</v>
      </c>
    </row>
    <row r="269" spans="1:13" ht="14.5" x14ac:dyDescent="0.35">
      <c r="A269" s="260" t="s">
        <v>1055</v>
      </c>
      <c r="B269" s="260" t="s">
        <v>752</v>
      </c>
      <c r="C269" s="190">
        <v>45657</v>
      </c>
      <c r="D269" s="197">
        <v>200</v>
      </c>
      <c r="E269" s="260" t="s">
        <v>564</v>
      </c>
      <c r="F269" s="260" t="s">
        <v>793</v>
      </c>
      <c r="G269" s="196">
        <v>0</v>
      </c>
      <c r="H269" s="202">
        <v>46302</v>
      </c>
      <c r="I269" s="260" t="s">
        <v>588</v>
      </c>
      <c r="J269" s="196">
        <v>1</v>
      </c>
      <c r="K269" s="196">
        <v>0</v>
      </c>
      <c r="L269" s="260" t="s">
        <v>239</v>
      </c>
      <c r="M269" s="260" t="s">
        <v>514</v>
      </c>
    </row>
    <row r="270" spans="1:13" ht="14.5" x14ac:dyDescent="0.35">
      <c r="A270" s="260" t="s">
        <v>1056</v>
      </c>
      <c r="B270" s="260" t="s">
        <v>752</v>
      </c>
      <c r="C270" s="190">
        <v>45658</v>
      </c>
      <c r="D270" s="197">
        <v>200</v>
      </c>
      <c r="E270" s="260" t="s">
        <v>564</v>
      </c>
      <c r="F270" s="260" t="s">
        <v>793</v>
      </c>
      <c r="G270" s="196">
        <v>0</v>
      </c>
      <c r="H270" s="202">
        <v>46302</v>
      </c>
      <c r="I270" s="260" t="s">
        <v>588</v>
      </c>
      <c r="J270" s="196">
        <v>1</v>
      </c>
      <c r="K270" s="196">
        <v>0</v>
      </c>
      <c r="L270" s="260" t="s">
        <v>239</v>
      </c>
      <c r="M270" s="260" t="s">
        <v>514</v>
      </c>
    </row>
    <row r="271" spans="1:13" ht="14.5" x14ac:dyDescent="0.35">
      <c r="A271" s="260" t="s">
        <v>1057</v>
      </c>
      <c r="B271" s="260" t="s">
        <v>752</v>
      </c>
      <c r="C271" s="190">
        <v>45659</v>
      </c>
      <c r="D271" s="197">
        <v>199.83</v>
      </c>
      <c r="E271" s="260" t="s">
        <v>564</v>
      </c>
      <c r="F271" s="260" t="s">
        <v>793</v>
      </c>
      <c r="G271" s="196">
        <v>0</v>
      </c>
      <c r="H271" s="202">
        <v>46302</v>
      </c>
      <c r="I271" s="260" t="s">
        <v>588</v>
      </c>
      <c r="J271" s="196">
        <v>1</v>
      </c>
      <c r="K271" s="196">
        <v>0</v>
      </c>
      <c r="L271" s="260" t="s">
        <v>239</v>
      </c>
      <c r="M271" s="260" t="s">
        <v>514</v>
      </c>
    </row>
    <row r="272" spans="1:13" ht="14.5" x14ac:dyDescent="0.35">
      <c r="A272" s="260" t="s">
        <v>1058</v>
      </c>
      <c r="B272" s="260" t="s">
        <v>752</v>
      </c>
      <c r="C272" s="190">
        <v>45660</v>
      </c>
      <c r="D272" s="197">
        <v>199.67</v>
      </c>
      <c r="E272" s="260" t="s">
        <v>564</v>
      </c>
      <c r="F272" s="260" t="s">
        <v>793</v>
      </c>
      <c r="G272" s="196">
        <v>0</v>
      </c>
      <c r="H272" s="202">
        <v>46302</v>
      </c>
      <c r="I272" s="260" t="s">
        <v>588</v>
      </c>
      <c r="J272" s="196">
        <v>1</v>
      </c>
      <c r="K272" s="196">
        <v>0</v>
      </c>
      <c r="L272" s="260" t="s">
        <v>239</v>
      </c>
      <c r="M272" s="260" t="s">
        <v>514</v>
      </c>
    </row>
    <row r="273" spans="1:13" ht="14.5" x14ac:dyDescent="0.35">
      <c r="A273" s="260" t="s">
        <v>1059</v>
      </c>
      <c r="B273" s="260" t="s">
        <v>752</v>
      </c>
      <c r="C273" s="190">
        <v>45663</v>
      </c>
      <c r="D273" s="197">
        <v>199.17</v>
      </c>
      <c r="E273" s="260" t="s">
        <v>564</v>
      </c>
      <c r="F273" s="260" t="s">
        <v>793</v>
      </c>
      <c r="G273" s="196">
        <v>0</v>
      </c>
      <c r="H273" s="202">
        <v>46302</v>
      </c>
      <c r="I273" s="260" t="s">
        <v>588</v>
      </c>
      <c r="J273" s="196">
        <v>1</v>
      </c>
      <c r="K273" s="196">
        <v>0</v>
      </c>
      <c r="L273" s="260" t="s">
        <v>239</v>
      </c>
      <c r="M273" s="260" t="s">
        <v>514</v>
      </c>
    </row>
    <row r="274" spans="1:13" ht="14.5" x14ac:dyDescent="0.35">
      <c r="A274" s="260" t="s">
        <v>1060</v>
      </c>
      <c r="B274" s="260" t="s">
        <v>752</v>
      </c>
      <c r="C274" s="190">
        <v>45664</v>
      </c>
      <c r="D274" s="197">
        <v>199</v>
      </c>
      <c r="E274" s="260" t="s">
        <v>564</v>
      </c>
      <c r="F274" s="260" t="s">
        <v>793</v>
      </c>
      <c r="G274" s="196">
        <v>0</v>
      </c>
      <c r="H274" s="202">
        <v>46302</v>
      </c>
      <c r="I274" s="260" t="s">
        <v>588</v>
      </c>
      <c r="J274" s="196">
        <v>1</v>
      </c>
      <c r="K274" s="196">
        <v>0</v>
      </c>
      <c r="L274" s="260" t="s">
        <v>239</v>
      </c>
      <c r="M274" s="260" t="s">
        <v>514</v>
      </c>
    </row>
    <row r="275" spans="1:13" ht="14.5" x14ac:dyDescent="0.35">
      <c r="A275" s="260" t="s">
        <v>1061</v>
      </c>
      <c r="B275" s="260" t="s">
        <v>752</v>
      </c>
      <c r="C275" s="190">
        <v>45665</v>
      </c>
      <c r="D275" s="197">
        <v>198.83</v>
      </c>
      <c r="E275" s="260" t="s">
        <v>564</v>
      </c>
      <c r="F275" s="260" t="s">
        <v>793</v>
      </c>
      <c r="G275" s="196">
        <v>0</v>
      </c>
      <c r="H275" s="202">
        <v>46302</v>
      </c>
      <c r="I275" s="260" t="s">
        <v>588</v>
      </c>
      <c r="J275" s="196">
        <v>1</v>
      </c>
      <c r="K275" s="196">
        <v>0</v>
      </c>
      <c r="L275" s="260" t="s">
        <v>239</v>
      </c>
      <c r="M275" s="260" t="s">
        <v>514</v>
      </c>
    </row>
    <row r="276" spans="1:13" ht="14.5" x14ac:dyDescent="0.35">
      <c r="A276" s="260" t="s">
        <v>1062</v>
      </c>
      <c r="B276" s="260" t="s">
        <v>752</v>
      </c>
      <c r="C276" s="190">
        <v>45666</v>
      </c>
      <c r="D276" s="197">
        <v>198.67</v>
      </c>
      <c r="E276" s="260" t="s">
        <v>564</v>
      </c>
      <c r="F276" s="260" t="s">
        <v>793</v>
      </c>
      <c r="G276" s="196">
        <v>0</v>
      </c>
      <c r="H276" s="202">
        <v>46302</v>
      </c>
      <c r="I276" s="260" t="s">
        <v>588</v>
      </c>
      <c r="J276" s="196">
        <v>1</v>
      </c>
      <c r="K276" s="196">
        <v>0</v>
      </c>
      <c r="L276" s="260" t="s">
        <v>239</v>
      </c>
      <c r="M276" s="260" t="s">
        <v>514</v>
      </c>
    </row>
    <row r="277" spans="1:13" ht="14.5" x14ac:dyDescent="0.35">
      <c r="A277" s="260" t="s">
        <v>1063</v>
      </c>
      <c r="B277" s="260" t="s">
        <v>752</v>
      </c>
      <c r="C277" s="190">
        <v>45667</v>
      </c>
      <c r="D277" s="197">
        <v>198.5</v>
      </c>
      <c r="E277" s="260" t="s">
        <v>564</v>
      </c>
      <c r="F277" s="260" t="s">
        <v>793</v>
      </c>
      <c r="G277" s="196">
        <v>0</v>
      </c>
      <c r="H277" s="202">
        <v>46302</v>
      </c>
      <c r="I277" s="260" t="s">
        <v>588</v>
      </c>
      <c r="J277" s="196">
        <v>1</v>
      </c>
      <c r="K277" s="196">
        <v>0</v>
      </c>
      <c r="L277" s="260" t="s">
        <v>239</v>
      </c>
      <c r="M277" s="260" t="s">
        <v>514</v>
      </c>
    </row>
    <row r="278" spans="1:13" ht="14.5" x14ac:dyDescent="0.35">
      <c r="A278" s="260" t="s">
        <v>1064</v>
      </c>
      <c r="B278" s="260" t="s">
        <v>752</v>
      </c>
      <c r="C278" s="190">
        <v>45670</v>
      </c>
      <c r="D278" s="197">
        <v>198</v>
      </c>
      <c r="E278" s="260" t="s">
        <v>564</v>
      </c>
      <c r="F278" s="260" t="s">
        <v>793</v>
      </c>
      <c r="G278" s="196">
        <v>0</v>
      </c>
      <c r="H278" s="202">
        <v>46302</v>
      </c>
      <c r="I278" s="260" t="s">
        <v>588</v>
      </c>
      <c r="J278" s="196">
        <v>1</v>
      </c>
      <c r="K278" s="196">
        <v>0</v>
      </c>
      <c r="L278" s="260" t="s">
        <v>239</v>
      </c>
      <c r="M278" s="260" t="s">
        <v>514</v>
      </c>
    </row>
    <row r="279" spans="1:13" ht="14.5" x14ac:dyDescent="0.35">
      <c r="A279" s="260" t="s">
        <v>1065</v>
      </c>
      <c r="B279" s="260" t="s">
        <v>752</v>
      </c>
      <c r="C279" s="190">
        <v>45671</v>
      </c>
      <c r="D279" s="197">
        <v>197.83</v>
      </c>
      <c r="E279" s="260" t="s">
        <v>564</v>
      </c>
      <c r="F279" s="260" t="s">
        <v>793</v>
      </c>
      <c r="G279" s="196">
        <v>0</v>
      </c>
      <c r="H279" s="202">
        <v>46302</v>
      </c>
      <c r="I279" s="260" t="s">
        <v>588</v>
      </c>
      <c r="J279" s="196">
        <v>1</v>
      </c>
      <c r="K279" s="196">
        <v>0</v>
      </c>
      <c r="L279" s="260" t="s">
        <v>239</v>
      </c>
      <c r="M279" s="260" t="s">
        <v>514</v>
      </c>
    </row>
    <row r="280" spans="1:13" ht="14.5" x14ac:dyDescent="0.35">
      <c r="A280" s="260" t="s">
        <v>1066</v>
      </c>
      <c r="B280" s="260" t="s">
        <v>752</v>
      </c>
      <c r="C280" s="190">
        <v>45672</v>
      </c>
      <c r="D280" s="197">
        <v>197.67</v>
      </c>
      <c r="E280" s="260" t="s">
        <v>564</v>
      </c>
      <c r="F280" s="260" t="s">
        <v>793</v>
      </c>
      <c r="G280" s="196">
        <v>0</v>
      </c>
      <c r="H280" s="202">
        <v>46302</v>
      </c>
      <c r="I280" s="260" t="s">
        <v>588</v>
      </c>
      <c r="J280" s="196">
        <v>1</v>
      </c>
      <c r="K280" s="196">
        <v>0</v>
      </c>
      <c r="L280" s="260" t="s">
        <v>239</v>
      </c>
      <c r="M280" s="260" t="s">
        <v>514</v>
      </c>
    </row>
    <row r="281" spans="1:13" ht="14.5" x14ac:dyDescent="0.35">
      <c r="A281" s="260" t="s">
        <v>1067</v>
      </c>
      <c r="B281" s="260" t="s">
        <v>752</v>
      </c>
      <c r="C281" s="190">
        <v>45673</v>
      </c>
      <c r="D281" s="197">
        <v>197.5</v>
      </c>
      <c r="E281" s="260" t="s">
        <v>564</v>
      </c>
      <c r="F281" s="260" t="s">
        <v>793</v>
      </c>
      <c r="G281" s="196">
        <v>0</v>
      </c>
      <c r="H281" s="202">
        <v>46302</v>
      </c>
      <c r="I281" s="260" t="s">
        <v>588</v>
      </c>
      <c r="J281" s="196">
        <v>1</v>
      </c>
      <c r="K281" s="196">
        <v>0</v>
      </c>
      <c r="L281" s="260" t="s">
        <v>239</v>
      </c>
      <c r="M281" s="260" t="s">
        <v>514</v>
      </c>
    </row>
    <row r="282" spans="1:13" ht="14.5" x14ac:dyDescent="0.35">
      <c r="A282" s="260" t="s">
        <v>1068</v>
      </c>
      <c r="B282" s="260" t="s">
        <v>752</v>
      </c>
      <c r="C282" s="190">
        <v>45674</v>
      </c>
      <c r="D282" s="197">
        <v>197.33</v>
      </c>
      <c r="E282" s="260" t="s">
        <v>564</v>
      </c>
      <c r="F282" s="260" t="s">
        <v>793</v>
      </c>
      <c r="G282" s="196">
        <v>0</v>
      </c>
      <c r="H282" s="202">
        <v>46302</v>
      </c>
      <c r="I282" s="260" t="s">
        <v>588</v>
      </c>
      <c r="J282" s="196">
        <v>1</v>
      </c>
      <c r="K282" s="196">
        <v>0</v>
      </c>
      <c r="L282" s="260" t="s">
        <v>239</v>
      </c>
      <c r="M282" s="260" t="s">
        <v>514</v>
      </c>
    </row>
    <row r="283" spans="1:13" ht="14.5" x14ac:dyDescent="0.35">
      <c r="A283" s="260" t="s">
        <v>1069</v>
      </c>
      <c r="B283" s="260" t="s">
        <v>752</v>
      </c>
      <c r="C283" s="190">
        <v>45677</v>
      </c>
      <c r="D283" s="197">
        <v>196.83</v>
      </c>
      <c r="E283" s="260" t="s">
        <v>564</v>
      </c>
      <c r="F283" s="260" t="s">
        <v>793</v>
      </c>
      <c r="G283" s="196">
        <v>0</v>
      </c>
      <c r="H283" s="202">
        <v>46302</v>
      </c>
      <c r="I283" s="260" t="s">
        <v>588</v>
      </c>
      <c r="J283" s="196">
        <v>1</v>
      </c>
      <c r="K283" s="196">
        <v>0</v>
      </c>
      <c r="L283" s="260" t="s">
        <v>239</v>
      </c>
      <c r="M283" s="260" t="s">
        <v>514</v>
      </c>
    </row>
    <row r="284" spans="1:13" ht="14.5" x14ac:dyDescent="0.35">
      <c r="A284" s="260" t="s">
        <v>1070</v>
      </c>
      <c r="B284" s="260" t="s">
        <v>752</v>
      </c>
      <c r="C284" s="190">
        <v>45678</v>
      </c>
      <c r="D284" s="197">
        <v>196.67</v>
      </c>
      <c r="E284" s="260" t="s">
        <v>564</v>
      </c>
      <c r="F284" s="260" t="s">
        <v>793</v>
      </c>
      <c r="G284" s="196">
        <v>0</v>
      </c>
      <c r="H284" s="202">
        <v>46302</v>
      </c>
      <c r="I284" s="260" t="s">
        <v>588</v>
      </c>
      <c r="J284" s="196">
        <v>1</v>
      </c>
      <c r="K284" s="196">
        <v>0</v>
      </c>
      <c r="L284" s="260" t="s">
        <v>239</v>
      </c>
      <c r="M284" s="260" t="s">
        <v>514</v>
      </c>
    </row>
    <row r="285" spans="1:13" ht="14.5" x14ac:dyDescent="0.35">
      <c r="A285" s="260" t="s">
        <v>1071</v>
      </c>
      <c r="B285" s="260" t="s">
        <v>752</v>
      </c>
      <c r="C285" s="190">
        <v>45679</v>
      </c>
      <c r="D285" s="197">
        <v>196.5</v>
      </c>
      <c r="E285" s="260" t="s">
        <v>564</v>
      </c>
      <c r="F285" s="260" t="s">
        <v>793</v>
      </c>
      <c r="G285" s="196">
        <v>0</v>
      </c>
      <c r="H285" s="202">
        <v>46302</v>
      </c>
      <c r="I285" s="260" t="s">
        <v>588</v>
      </c>
      <c r="J285" s="196">
        <v>1</v>
      </c>
      <c r="K285" s="196">
        <v>0</v>
      </c>
      <c r="L285" s="260" t="s">
        <v>239</v>
      </c>
      <c r="M285" s="260" t="s">
        <v>514</v>
      </c>
    </row>
    <row r="286" spans="1:13" ht="14.5" x14ac:dyDescent="0.35">
      <c r="A286" s="260" t="s">
        <v>1072</v>
      </c>
      <c r="B286" s="260" t="s">
        <v>752</v>
      </c>
      <c r="C286" s="190">
        <v>45680</v>
      </c>
      <c r="D286" s="197">
        <v>196.33</v>
      </c>
      <c r="E286" s="260" t="s">
        <v>564</v>
      </c>
      <c r="F286" s="260" t="s">
        <v>793</v>
      </c>
      <c r="G286" s="196">
        <v>0</v>
      </c>
      <c r="H286" s="202">
        <v>46302</v>
      </c>
      <c r="I286" s="260" t="s">
        <v>588</v>
      </c>
      <c r="J286" s="196">
        <v>1</v>
      </c>
      <c r="K286" s="196">
        <v>0</v>
      </c>
      <c r="L286" s="260" t="s">
        <v>239</v>
      </c>
      <c r="M286" s="260" t="s">
        <v>514</v>
      </c>
    </row>
    <row r="287" spans="1:13" ht="14.5" x14ac:dyDescent="0.35">
      <c r="A287" s="260" t="s">
        <v>1073</v>
      </c>
      <c r="B287" s="260" t="s">
        <v>752</v>
      </c>
      <c r="C287" s="190">
        <v>45681</v>
      </c>
      <c r="D287" s="197">
        <v>196.17</v>
      </c>
      <c r="E287" s="260" t="s">
        <v>564</v>
      </c>
      <c r="F287" s="260" t="s">
        <v>793</v>
      </c>
      <c r="G287" s="196">
        <v>0</v>
      </c>
      <c r="H287" s="202">
        <v>46302</v>
      </c>
      <c r="I287" s="260" t="s">
        <v>588</v>
      </c>
      <c r="J287" s="196">
        <v>1</v>
      </c>
      <c r="K287" s="196">
        <v>0</v>
      </c>
      <c r="L287" s="260" t="s">
        <v>239</v>
      </c>
      <c r="M287" s="260" t="s">
        <v>514</v>
      </c>
    </row>
    <row r="288" spans="1:13" ht="14.5" x14ac:dyDescent="0.35">
      <c r="A288" s="260" t="s">
        <v>1074</v>
      </c>
      <c r="B288" s="260" t="s">
        <v>752</v>
      </c>
      <c r="C288" s="190">
        <v>45684</v>
      </c>
      <c r="D288" s="197">
        <v>195.67</v>
      </c>
      <c r="E288" s="260" t="s">
        <v>564</v>
      </c>
      <c r="F288" s="260" t="s">
        <v>793</v>
      </c>
      <c r="G288" s="196">
        <v>0</v>
      </c>
      <c r="H288" s="202">
        <v>46302</v>
      </c>
      <c r="I288" s="260" t="s">
        <v>588</v>
      </c>
      <c r="J288" s="196">
        <v>1</v>
      </c>
      <c r="K288" s="196">
        <v>0</v>
      </c>
      <c r="L288" s="260" t="s">
        <v>239</v>
      </c>
      <c r="M288" s="260" t="s">
        <v>514</v>
      </c>
    </row>
    <row r="289" spans="1:13" ht="14.5" x14ac:dyDescent="0.35">
      <c r="A289" s="260" t="s">
        <v>1075</v>
      </c>
      <c r="B289" s="260" t="s">
        <v>752</v>
      </c>
      <c r="C289" s="190">
        <v>45685</v>
      </c>
      <c r="D289" s="197">
        <v>195.5</v>
      </c>
      <c r="E289" s="260" t="s">
        <v>564</v>
      </c>
      <c r="F289" s="260" t="s">
        <v>793</v>
      </c>
      <c r="G289" s="196">
        <v>0</v>
      </c>
      <c r="H289" s="202">
        <v>46302</v>
      </c>
      <c r="I289" s="260" t="s">
        <v>588</v>
      </c>
      <c r="J289" s="196">
        <v>1</v>
      </c>
      <c r="K289" s="196">
        <v>0</v>
      </c>
      <c r="L289" s="260" t="s">
        <v>239</v>
      </c>
      <c r="M289" s="260" t="s">
        <v>514</v>
      </c>
    </row>
    <row r="290" spans="1:13" ht="14.5" x14ac:dyDescent="0.35">
      <c r="A290" s="260" t="s">
        <v>1076</v>
      </c>
      <c r="B290" s="260" t="s">
        <v>752</v>
      </c>
      <c r="C290" s="190">
        <v>45686</v>
      </c>
      <c r="D290" s="197">
        <v>195.33</v>
      </c>
      <c r="E290" s="260" t="s">
        <v>564</v>
      </c>
      <c r="F290" s="260" t="s">
        <v>793</v>
      </c>
      <c r="G290" s="196">
        <v>0</v>
      </c>
      <c r="H290" s="202">
        <v>46302</v>
      </c>
      <c r="I290" s="260" t="s">
        <v>588</v>
      </c>
      <c r="J290" s="196">
        <v>1</v>
      </c>
      <c r="K290" s="196">
        <v>0</v>
      </c>
      <c r="L290" s="260" t="s">
        <v>239</v>
      </c>
      <c r="M290" s="260" t="s">
        <v>514</v>
      </c>
    </row>
    <row r="291" spans="1:13" ht="14.5" x14ac:dyDescent="0.35">
      <c r="A291" s="260" t="s">
        <v>1077</v>
      </c>
      <c r="B291" s="260" t="s">
        <v>752</v>
      </c>
      <c r="C291" s="190">
        <v>45687</v>
      </c>
      <c r="D291" s="197">
        <v>195.17</v>
      </c>
      <c r="E291" s="260" t="s">
        <v>564</v>
      </c>
      <c r="F291" s="260" t="s">
        <v>793</v>
      </c>
      <c r="G291" s="196">
        <v>0</v>
      </c>
      <c r="H291" s="202">
        <v>46302</v>
      </c>
      <c r="I291" s="260" t="s">
        <v>588</v>
      </c>
      <c r="J291" s="196">
        <v>1</v>
      </c>
      <c r="K291" s="196">
        <v>0</v>
      </c>
      <c r="L291" s="260" t="s">
        <v>239</v>
      </c>
      <c r="M291" s="260" t="s">
        <v>514</v>
      </c>
    </row>
    <row r="292" spans="1:13" ht="14.5" x14ac:dyDescent="0.35">
      <c r="A292" s="260" t="s">
        <v>1078</v>
      </c>
      <c r="B292" s="260" t="s">
        <v>752</v>
      </c>
      <c r="C292" s="190">
        <v>45688</v>
      </c>
      <c r="D292" s="197">
        <v>195</v>
      </c>
      <c r="E292" s="260" t="s">
        <v>564</v>
      </c>
      <c r="F292" s="260" t="s">
        <v>793</v>
      </c>
      <c r="G292" s="196">
        <v>0</v>
      </c>
      <c r="H292" s="202">
        <v>46302</v>
      </c>
      <c r="I292" s="260" t="s">
        <v>588</v>
      </c>
      <c r="J292" s="196">
        <v>1</v>
      </c>
      <c r="K292" s="196">
        <v>0</v>
      </c>
      <c r="L292" s="260" t="s">
        <v>239</v>
      </c>
      <c r="M292" s="260" t="s">
        <v>514</v>
      </c>
    </row>
    <row r="293" spans="1:13" ht="14.5" x14ac:dyDescent="0.35">
      <c r="A293" s="260" t="s">
        <v>1079</v>
      </c>
      <c r="B293" s="260" t="s">
        <v>752</v>
      </c>
      <c r="C293" s="190">
        <v>45691</v>
      </c>
      <c r="D293" s="197">
        <v>195.44</v>
      </c>
      <c r="E293" s="260" t="s">
        <v>564</v>
      </c>
      <c r="F293" s="260" t="s">
        <v>793</v>
      </c>
      <c r="G293" s="196">
        <v>0</v>
      </c>
      <c r="H293" s="202">
        <v>46302</v>
      </c>
      <c r="I293" s="260" t="s">
        <v>588</v>
      </c>
      <c r="J293" s="196">
        <v>1</v>
      </c>
      <c r="K293" s="196">
        <v>0</v>
      </c>
      <c r="L293" s="260" t="s">
        <v>239</v>
      </c>
      <c r="M293" s="260" t="s">
        <v>514</v>
      </c>
    </row>
    <row r="294" spans="1:13" ht="14.5" x14ac:dyDescent="0.35">
      <c r="A294" s="260" t="s">
        <v>1080</v>
      </c>
      <c r="B294" s="260" t="s">
        <v>752</v>
      </c>
      <c r="C294" s="190">
        <v>45692</v>
      </c>
      <c r="D294" s="197">
        <v>195.67</v>
      </c>
      <c r="E294" s="260" t="s">
        <v>564</v>
      </c>
      <c r="F294" s="260" t="s">
        <v>793</v>
      </c>
      <c r="G294" s="196">
        <v>0</v>
      </c>
      <c r="H294" s="202">
        <v>46302</v>
      </c>
      <c r="I294" s="260" t="s">
        <v>588</v>
      </c>
      <c r="J294" s="196">
        <v>1</v>
      </c>
      <c r="K294" s="196">
        <v>0</v>
      </c>
      <c r="L294" s="260" t="s">
        <v>239</v>
      </c>
      <c r="M294" s="260" t="s">
        <v>514</v>
      </c>
    </row>
    <row r="295" spans="1:13" ht="14.5" x14ac:dyDescent="0.35">
      <c r="A295" s="260" t="s">
        <v>1081</v>
      </c>
      <c r="B295" s="260" t="s">
        <v>752</v>
      </c>
      <c r="C295" s="190">
        <v>45693</v>
      </c>
      <c r="D295" s="197">
        <v>195.89</v>
      </c>
      <c r="E295" s="260" t="s">
        <v>564</v>
      </c>
      <c r="F295" s="260" t="s">
        <v>793</v>
      </c>
      <c r="G295" s="196">
        <v>0</v>
      </c>
      <c r="H295" s="202">
        <v>46302</v>
      </c>
      <c r="I295" s="260" t="s">
        <v>588</v>
      </c>
      <c r="J295" s="196">
        <v>1</v>
      </c>
      <c r="K295" s="196">
        <v>0</v>
      </c>
      <c r="L295" s="260" t="s">
        <v>239</v>
      </c>
      <c r="M295" s="260" t="s">
        <v>514</v>
      </c>
    </row>
    <row r="296" spans="1:13" ht="14.5" x14ac:dyDescent="0.35">
      <c r="A296" s="260" t="s">
        <v>1082</v>
      </c>
      <c r="B296" s="260" t="s">
        <v>752</v>
      </c>
      <c r="C296" s="190">
        <v>45694</v>
      </c>
      <c r="D296" s="197">
        <v>196.11</v>
      </c>
      <c r="E296" s="260" t="s">
        <v>564</v>
      </c>
      <c r="F296" s="260" t="s">
        <v>793</v>
      </c>
      <c r="G296" s="196">
        <v>0</v>
      </c>
      <c r="H296" s="202">
        <v>46302</v>
      </c>
      <c r="I296" s="260" t="s">
        <v>588</v>
      </c>
      <c r="J296" s="196">
        <v>1</v>
      </c>
      <c r="K296" s="196">
        <v>0</v>
      </c>
      <c r="L296" s="260" t="s">
        <v>239</v>
      </c>
      <c r="M296" s="260" t="s">
        <v>514</v>
      </c>
    </row>
    <row r="297" spans="1:13" ht="14.5" x14ac:dyDescent="0.35">
      <c r="A297" s="260" t="s">
        <v>1083</v>
      </c>
      <c r="B297" s="260" t="s">
        <v>752</v>
      </c>
      <c r="C297" s="190">
        <v>45695</v>
      </c>
      <c r="D297" s="197">
        <v>196.33</v>
      </c>
      <c r="E297" s="260" t="s">
        <v>564</v>
      </c>
      <c r="F297" s="260" t="s">
        <v>793</v>
      </c>
      <c r="G297" s="196">
        <v>0</v>
      </c>
      <c r="H297" s="202">
        <v>46302</v>
      </c>
      <c r="I297" s="260" t="s">
        <v>588</v>
      </c>
      <c r="J297" s="196">
        <v>1</v>
      </c>
      <c r="K297" s="196">
        <v>0</v>
      </c>
      <c r="L297" s="260" t="s">
        <v>239</v>
      </c>
      <c r="M297" s="260" t="s">
        <v>514</v>
      </c>
    </row>
    <row r="298" spans="1:13" ht="14.5" x14ac:dyDescent="0.35">
      <c r="A298" s="260" t="s">
        <v>1084</v>
      </c>
      <c r="B298" s="260" t="s">
        <v>752</v>
      </c>
      <c r="C298" s="190">
        <v>45698</v>
      </c>
      <c r="D298" s="197">
        <v>197</v>
      </c>
      <c r="E298" s="260" t="s">
        <v>564</v>
      </c>
      <c r="F298" s="260" t="s">
        <v>793</v>
      </c>
      <c r="G298" s="196">
        <v>0</v>
      </c>
      <c r="H298" s="202">
        <v>46302</v>
      </c>
      <c r="I298" s="260" t="s">
        <v>588</v>
      </c>
      <c r="J298" s="196">
        <v>1</v>
      </c>
      <c r="K298" s="196">
        <v>0</v>
      </c>
      <c r="L298" s="260" t="s">
        <v>239</v>
      </c>
      <c r="M298" s="260" t="s">
        <v>514</v>
      </c>
    </row>
    <row r="299" spans="1:13" ht="14.5" x14ac:dyDescent="0.35">
      <c r="A299" s="260" t="s">
        <v>1085</v>
      </c>
      <c r="B299" s="260" t="s">
        <v>752</v>
      </c>
      <c r="C299" s="190">
        <v>45699</v>
      </c>
      <c r="D299" s="197">
        <v>197.22</v>
      </c>
      <c r="E299" s="260" t="s">
        <v>564</v>
      </c>
      <c r="F299" s="260" t="s">
        <v>793</v>
      </c>
      <c r="G299" s="196">
        <v>0</v>
      </c>
      <c r="H299" s="202">
        <v>46302</v>
      </c>
      <c r="I299" s="260" t="s">
        <v>588</v>
      </c>
      <c r="J299" s="196">
        <v>1</v>
      </c>
      <c r="K299" s="196">
        <v>0</v>
      </c>
      <c r="L299" s="260" t="s">
        <v>239</v>
      </c>
      <c r="M299" s="260" t="s">
        <v>514</v>
      </c>
    </row>
    <row r="300" spans="1:13" ht="14.5" x14ac:dyDescent="0.35">
      <c r="A300" s="260" t="s">
        <v>1086</v>
      </c>
      <c r="B300" s="260" t="s">
        <v>752</v>
      </c>
      <c r="C300" s="190">
        <v>45700</v>
      </c>
      <c r="D300" s="197">
        <v>197.44</v>
      </c>
      <c r="E300" s="260" t="s">
        <v>564</v>
      </c>
      <c r="F300" s="260" t="s">
        <v>793</v>
      </c>
      <c r="G300" s="196">
        <v>0</v>
      </c>
      <c r="H300" s="202">
        <v>46302</v>
      </c>
      <c r="I300" s="260" t="s">
        <v>588</v>
      </c>
      <c r="J300" s="196">
        <v>1</v>
      </c>
      <c r="K300" s="196">
        <v>0</v>
      </c>
      <c r="L300" s="260" t="s">
        <v>239</v>
      </c>
      <c r="M300" s="260" t="s">
        <v>514</v>
      </c>
    </row>
    <row r="301" spans="1:13" ht="14.5" x14ac:dyDescent="0.35">
      <c r="A301" s="260" t="s">
        <v>1087</v>
      </c>
      <c r="B301" s="260" t="s">
        <v>752</v>
      </c>
      <c r="C301" s="190">
        <v>45701</v>
      </c>
      <c r="D301" s="197">
        <v>197.67</v>
      </c>
      <c r="E301" s="260" t="s">
        <v>564</v>
      </c>
      <c r="F301" s="260" t="s">
        <v>793</v>
      </c>
      <c r="G301" s="196">
        <v>0</v>
      </c>
      <c r="H301" s="202">
        <v>46302</v>
      </c>
      <c r="I301" s="260" t="s">
        <v>588</v>
      </c>
      <c r="J301" s="196">
        <v>1</v>
      </c>
      <c r="K301" s="196">
        <v>0</v>
      </c>
      <c r="L301" s="260" t="s">
        <v>239</v>
      </c>
      <c r="M301" s="260" t="s">
        <v>514</v>
      </c>
    </row>
    <row r="302" spans="1:13" ht="14.5" x14ac:dyDescent="0.35">
      <c r="A302" s="260" t="s">
        <v>1088</v>
      </c>
      <c r="B302" s="260" t="s">
        <v>752</v>
      </c>
      <c r="C302" s="190">
        <v>45702</v>
      </c>
      <c r="D302" s="197">
        <v>197.89</v>
      </c>
      <c r="E302" s="260" t="s">
        <v>564</v>
      </c>
      <c r="F302" s="260" t="s">
        <v>793</v>
      </c>
      <c r="G302" s="196">
        <v>0</v>
      </c>
      <c r="H302" s="202">
        <v>46302</v>
      </c>
      <c r="I302" s="260" t="s">
        <v>588</v>
      </c>
      <c r="J302" s="196">
        <v>1</v>
      </c>
      <c r="K302" s="196">
        <v>0</v>
      </c>
      <c r="L302" s="260" t="s">
        <v>239</v>
      </c>
      <c r="M302" s="260" t="s">
        <v>514</v>
      </c>
    </row>
    <row r="303" spans="1:13" ht="14.5" x14ac:dyDescent="0.35">
      <c r="A303" s="260" t="s">
        <v>1089</v>
      </c>
      <c r="B303" s="260" t="s">
        <v>752</v>
      </c>
      <c r="C303" s="190">
        <v>45705</v>
      </c>
      <c r="D303" s="197">
        <v>198.56</v>
      </c>
      <c r="E303" s="260" t="s">
        <v>564</v>
      </c>
      <c r="F303" s="260" t="s">
        <v>793</v>
      </c>
      <c r="G303" s="196">
        <v>0</v>
      </c>
      <c r="H303" s="202">
        <v>46302</v>
      </c>
      <c r="I303" s="260" t="s">
        <v>588</v>
      </c>
      <c r="J303" s="196">
        <v>1</v>
      </c>
      <c r="K303" s="196">
        <v>0</v>
      </c>
      <c r="L303" s="260" t="s">
        <v>239</v>
      </c>
      <c r="M303" s="260" t="s">
        <v>514</v>
      </c>
    </row>
    <row r="304" spans="1:13" ht="14.5" x14ac:dyDescent="0.35">
      <c r="A304" s="260" t="s">
        <v>1090</v>
      </c>
      <c r="B304" s="260" t="s">
        <v>752</v>
      </c>
      <c r="C304" s="190">
        <v>45706</v>
      </c>
      <c r="D304" s="197">
        <v>198.78</v>
      </c>
      <c r="E304" s="260" t="s">
        <v>564</v>
      </c>
      <c r="F304" s="260" t="s">
        <v>793</v>
      </c>
      <c r="G304" s="196">
        <v>0</v>
      </c>
      <c r="H304" s="202">
        <v>46302</v>
      </c>
      <c r="I304" s="260" t="s">
        <v>588</v>
      </c>
      <c r="J304" s="196">
        <v>1</v>
      </c>
      <c r="K304" s="196">
        <v>0</v>
      </c>
      <c r="L304" s="260" t="s">
        <v>239</v>
      </c>
      <c r="M304" s="260" t="s">
        <v>514</v>
      </c>
    </row>
    <row r="305" spans="1:13" ht="14.5" x14ac:dyDescent="0.35">
      <c r="A305" s="260" t="s">
        <v>1091</v>
      </c>
      <c r="B305" s="260" t="s">
        <v>752</v>
      </c>
      <c r="C305" s="190">
        <v>45707</v>
      </c>
      <c r="D305" s="197">
        <v>199</v>
      </c>
      <c r="E305" s="260" t="s">
        <v>564</v>
      </c>
      <c r="F305" s="260" t="s">
        <v>793</v>
      </c>
      <c r="G305" s="196">
        <v>0</v>
      </c>
      <c r="H305" s="202">
        <v>46302</v>
      </c>
      <c r="I305" s="260" t="s">
        <v>588</v>
      </c>
      <c r="J305" s="196">
        <v>1</v>
      </c>
      <c r="K305" s="196">
        <v>0</v>
      </c>
      <c r="L305" s="260" t="s">
        <v>239</v>
      </c>
      <c r="M305" s="260" t="s">
        <v>514</v>
      </c>
    </row>
    <row r="306" spans="1:13" ht="14.5" x14ac:dyDescent="0.35">
      <c r="A306" s="260" t="s">
        <v>1092</v>
      </c>
      <c r="B306" s="260" t="s">
        <v>752</v>
      </c>
      <c r="C306" s="190">
        <v>45708</v>
      </c>
      <c r="D306" s="197">
        <v>199.22</v>
      </c>
      <c r="E306" s="260" t="s">
        <v>564</v>
      </c>
      <c r="F306" s="260" t="s">
        <v>793</v>
      </c>
      <c r="G306" s="196">
        <v>0</v>
      </c>
      <c r="H306" s="202">
        <v>46302</v>
      </c>
      <c r="I306" s="260" t="s">
        <v>588</v>
      </c>
      <c r="J306" s="196">
        <v>1</v>
      </c>
      <c r="K306" s="196">
        <v>0</v>
      </c>
      <c r="L306" s="260" t="s">
        <v>239</v>
      </c>
      <c r="M306" s="260" t="s">
        <v>514</v>
      </c>
    </row>
    <row r="307" spans="1:13" ht="14.5" x14ac:dyDescent="0.35">
      <c r="A307" s="260" t="s">
        <v>1093</v>
      </c>
      <c r="B307" s="260" t="s">
        <v>752</v>
      </c>
      <c r="C307" s="190">
        <v>45709</v>
      </c>
      <c r="D307" s="197">
        <v>199.44</v>
      </c>
      <c r="E307" s="260" t="s">
        <v>564</v>
      </c>
      <c r="F307" s="260" t="s">
        <v>793</v>
      </c>
      <c r="G307" s="196">
        <v>0</v>
      </c>
      <c r="H307" s="202">
        <v>46302</v>
      </c>
      <c r="I307" s="260" t="s">
        <v>588</v>
      </c>
      <c r="J307" s="196">
        <v>1</v>
      </c>
      <c r="K307" s="196">
        <v>0</v>
      </c>
      <c r="L307" s="260" t="s">
        <v>239</v>
      </c>
      <c r="M307" s="260" t="s">
        <v>514</v>
      </c>
    </row>
    <row r="308" spans="1:13" ht="14.5" x14ac:dyDescent="0.35">
      <c r="A308" s="260" t="s">
        <v>1094</v>
      </c>
      <c r="B308" s="260" t="s">
        <v>752</v>
      </c>
      <c r="C308" s="190">
        <v>45712</v>
      </c>
      <c r="D308" s="197">
        <v>200.11</v>
      </c>
      <c r="E308" s="260" t="s">
        <v>564</v>
      </c>
      <c r="F308" s="260" t="s">
        <v>793</v>
      </c>
      <c r="G308" s="196">
        <v>0</v>
      </c>
      <c r="H308" s="202">
        <v>46302</v>
      </c>
      <c r="I308" s="260" t="s">
        <v>588</v>
      </c>
      <c r="J308" s="196">
        <v>1</v>
      </c>
      <c r="K308" s="196">
        <v>0</v>
      </c>
      <c r="L308" s="260" t="s">
        <v>239</v>
      </c>
      <c r="M308" s="260" t="s">
        <v>514</v>
      </c>
    </row>
    <row r="309" spans="1:13" ht="14.5" x14ac:dyDescent="0.35">
      <c r="A309" s="260" t="s">
        <v>1095</v>
      </c>
      <c r="B309" s="260" t="s">
        <v>752</v>
      </c>
      <c r="C309" s="190">
        <v>45713</v>
      </c>
      <c r="D309" s="197">
        <v>200.33</v>
      </c>
      <c r="E309" s="260" t="s">
        <v>564</v>
      </c>
      <c r="F309" s="260" t="s">
        <v>793</v>
      </c>
      <c r="G309" s="196">
        <v>0</v>
      </c>
      <c r="H309" s="202">
        <v>46302</v>
      </c>
      <c r="I309" s="260" t="s">
        <v>588</v>
      </c>
      <c r="J309" s="196">
        <v>1</v>
      </c>
      <c r="K309" s="196">
        <v>0</v>
      </c>
      <c r="L309" s="260" t="s">
        <v>239</v>
      </c>
      <c r="M309" s="260" t="s">
        <v>514</v>
      </c>
    </row>
    <row r="310" spans="1:13" ht="14.5" x14ac:dyDescent="0.35">
      <c r="A310" s="260" t="s">
        <v>1096</v>
      </c>
      <c r="B310" s="260" t="s">
        <v>752</v>
      </c>
      <c r="C310" s="190">
        <v>45714</v>
      </c>
      <c r="D310" s="197">
        <v>200.56</v>
      </c>
      <c r="E310" s="260" t="s">
        <v>564</v>
      </c>
      <c r="F310" s="260" t="s">
        <v>793</v>
      </c>
      <c r="G310" s="196">
        <v>0</v>
      </c>
      <c r="H310" s="202">
        <v>46302</v>
      </c>
      <c r="I310" s="260" t="s">
        <v>588</v>
      </c>
      <c r="J310" s="196">
        <v>1</v>
      </c>
      <c r="K310" s="196">
        <v>0</v>
      </c>
      <c r="L310" s="260" t="s">
        <v>239</v>
      </c>
      <c r="M310" s="260" t="s">
        <v>514</v>
      </c>
    </row>
    <row r="311" spans="1:13" ht="14.5" x14ac:dyDescent="0.35">
      <c r="A311" s="260" t="s">
        <v>1097</v>
      </c>
      <c r="B311" s="260" t="s">
        <v>752</v>
      </c>
      <c r="C311" s="190">
        <v>45715</v>
      </c>
      <c r="D311" s="197">
        <v>200.78</v>
      </c>
      <c r="E311" s="260" t="s">
        <v>564</v>
      </c>
      <c r="F311" s="260" t="s">
        <v>793</v>
      </c>
      <c r="G311" s="196">
        <v>0</v>
      </c>
      <c r="H311" s="202">
        <v>46302</v>
      </c>
      <c r="I311" s="260" t="s">
        <v>588</v>
      </c>
      <c r="J311" s="196">
        <v>1</v>
      </c>
      <c r="K311" s="196">
        <v>0</v>
      </c>
      <c r="L311" s="260" t="s">
        <v>239</v>
      </c>
      <c r="M311" s="260" t="s">
        <v>514</v>
      </c>
    </row>
    <row r="312" spans="1:13" ht="14.5" x14ac:dyDescent="0.35">
      <c r="A312" s="260" t="s">
        <v>1098</v>
      </c>
      <c r="B312" s="260" t="s">
        <v>752</v>
      </c>
      <c r="C312" s="190">
        <v>45716</v>
      </c>
      <c r="D312" s="197">
        <v>201</v>
      </c>
      <c r="E312" s="260" t="s">
        <v>564</v>
      </c>
      <c r="F312" s="260" t="s">
        <v>793</v>
      </c>
      <c r="G312" s="196">
        <v>0</v>
      </c>
      <c r="H312" s="202">
        <v>46302</v>
      </c>
      <c r="I312" s="260" t="s">
        <v>588</v>
      </c>
      <c r="J312" s="196">
        <v>1</v>
      </c>
      <c r="K312" s="196">
        <v>0</v>
      </c>
      <c r="L312" s="260" t="s">
        <v>239</v>
      </c>
      <c r="M312" s="260" t="s">
        <v>514</v>
      </c>
    </row>
    <row r="313" spans="1:13" ht="14.5" x14ac:dyDescent="0.35">
      <c r="A313" s="260" t="s">
        <v>1099</v>
      </c>
      <c r="B313" s="260" t="s">
        <v>752</v>
      </c>
      <c r="C313" s="190">
        <v>45719</v>
      </c>
      <c r="D313" s="197">
        <v>200.8</v>
      </c>
      <c r="E313" s="260" t="s">
        <v>564</v>
      </c>
      <c r="F313" s="260" t="s">
        <v>793</v>
      </c>
      <c r="G313" s="196">
        <v>0</v>
      </c>
      <c r="H313" s="202">
        <v>46302</v>
      </c>
      <c r="I313" s="260" t="s">
        <v>588</v>
      </c>
      <c r="J313" s="196">
        <v>1</v>
      </c>
      <c r="K313" s="196">
        <v>0</v>
      </c>
      <c r="L313" s="260" t="s">
        <v>239</v>
      </c>
      <c r="M313" s="260" t="s">
        <v>514</v>
      </c>
    </row>
    <row r="314" spans="1:13" ht="14.5" x14ac:dyDescent="0.35">
      <c r="A314" s="260" t="s">
        <v>1100</v>
      </c>
      <c r="B314" s="260" t="s">
        <v>752</v>
      </c>
      <c r="C314" s="190">
        <v>45720</v>
      </c>
      <c r="D314" s="197">
        <v>200.7</v>
      </c>
      <c r="E314" s="260" t="s">
        <v>564</v>
      </c>
      <c r="F314" s="260" t="s">
        <v>793</v>
      </c>
      <c r="G314" s="196">
        <v>0</v>
      </c>
      <c r="H314" s="202">
        <v>46302</v>
      </c>
      <c r="I314" s="260" t="s">
        <v>588</v>
      </c>
      <c r="J314" s="196">
        <v>1</v>
      </c>
      <c r="K314" s="196">
        <v>0</v>
      </c>
      <c r="L314" s="260" t="s">
        <v>239</v>
      </c>
      <c r="M314" s="260" t="s">
        <v>514</v>
      </c>
    </row>
    <row r="315" spans="1:13" ht="14.5" x14ac:dyDescent="0.35">
      <c r="A315" s="260" t="s">
        <v>1101</v>
      </c>
      <c r="B315" s="260" t="s">
        <v>752</v>
      </c>
      <c r="C315" s="190">
        <v>45721</v>
      </c>
      <c r="D315" s="197">
        <v>200.6</v>
      </c>
      <c r="E315" s="260" t="s">
        <v>564</v>
      </c>
      <c r="F315" s="260" t="s">
        <v>793</v>
      </c>
      <c r="G315" s="196">
        <v>0</v>
      </c>
      <c r="H315" s="202">
        <v>46302</v>
      </c>
      <c r="I315" s="260" t="s">
        <v>588</v>
      </c>
      <c r="J315" s="196">
        <v>1</v>
      </c>
      <c r="K315" s="196">
        <v>0</v>
      </c>
      <c r="L315" s="260" t="s">
        <v>239</v>
      </c>
      <c r="M315" s="260" t="s">
        <v>514</v>
      </c>
    </row>
    <row r="316" spans="1:13" ht="14.5" x14ac:dyDescent="0.35">
      <c r="A316" s="260" t="s">
        <v>1102</v>
      </c>
      <c r="B316" s="260" t="s">
        <v>752</v>
      </c>
      <c r="C316" s="190">
        <v>45722</v>
      </c>
      <c r="D316" s="197">
        <v>200.5</v>
      </c>
      <c r="E316" s="260" t="s">
        <v>564</v>
      </c>
      <c r="F316" s="260" t="s">
        <v>793</v>
      </c>
      <c r="G316" s="196">
        <v>0</v>
      </c>
      <c r="H316" s="202">
        <v>46302</v>
      </c>
      <c r="I316" s="260" t="s">
        <v>588</v>
      </c>
      <c r="J316" s="196">
        <v>1</v>
      </c>
      <c r="K316" s="196">
        <v>0</v>
      </c>
      <c r="L316" s="260" t="s">
        <v>239</v>
      </c>
      <c r="M316" s="260" t="s">
        <v>514</v>
      </c>
    </row>
    <row r="317" spans="1:13" ht="14.5" x14ac:dyDescent="0.35">
      <c r="A317" s="260" t="s">
        <v>1103</v>
      </c>
      <c r="B317" s="260" t="s">
        <v>752</v>
      </c>
      <c r="C317" s="190">
        <v>45723</v>
      </c>
      <c r="D317" s="197">
        <v>200.4</v>
      </c>
      <c r="E317" s="260" t="s">
        <v>564</v>
      </c>
      <c r="F317" s="260" t="s">
        <v>793</v>
      </c>
      <c r="G317" s="196">
        <v>0</v>
      </c>
      <c r="H317" s="202">
        <v>46302</v>
      </c>
      <c r="I317" s="260" t="s">
        <v>588</v>
      </c>
      <c r="J317" s="196">
        <v>1</v>
      </c>
      <c r="K317" s="196">
        <v>0</v>
      </c>
      <c r="L317" s="260" t="s">
        <v>239</v>
      </c>
      <c r="M317" s="260" t="s">
        <v>514</v>
      </c>
    </row>
    <row r="318" spans="1:13" ht="14.5" x14ac:dyDescent="0.35">
      <c r="A318" s="260" t="s">
        <v>1104</v>
      </c>
      <c r="B318" s="260" t="s">
        <v>752</v>
      </c>
      <c r="C318" s="190">
        <v>45726</v>
      </c>
      <c r="D318" s="197">
        <v>200.1</v>
      </c>
      <c r="E318" s="260" t="s">
        <v>564</v>
      </c>
      <c r="F318" s="260" t="s">
        <v>793</v>
      </c>
      <c r="G318" s="196">
        <v>0</v>
      </c>
      <c r="H318" s="202">
        <v>46302</v>
      </c>
      <c r="I318" s="260" t="s">
        <v>588</v>
      </c>
      <c r="J318" s="196">
        <v>1</v>
      </c>
      <c r="K318" s="196">
        <v>0</v>
      </c>
      <c r="L318" s="260" t="s">
        <v>239</v>
      </c>
      <c r="M318" s="260" t="s">
        <v>514</v>
      </c>
    </row>
    <row r="319" spans="1:13" ht="14.5" x14ac:dyDescent="0.35">
      <c r="A319" s="260" t="s">
        <v>1105</v>
      </c>
      <c r="B319" s="260" t="s">
        <v>752</v>
      </c>
      <c r="C319" s="190">
        <v>45727</v>
      </c>
      <c r="D319" s="197">
        <v>200</v>
      </c>
      <c r="E319" s="260" t="s">
        <v>564</v>
      </c>
      <c r="F319" s="260" t="s">
        <v>793</v>
      </c>
      <c r="G319" s="196">
        <v>0</v>
      </c>
      <c r="H319" s="202">
        <v>46302</v>
      </c>
      <c r="I319" s="260" t="s">
        <v>588</v>
      </c>
      <c r="J319" s="196">
        <v>1</v>
      </c>
      <c r="K319" s="196">
        <v>0</v>
      </c>
      <c r="L319" s="260" t="s">
        <v>239</v>
      </c>
      <c r="M319" s="260" t="s">
        <v>514</v>
      </c>
    </row>
    <row r="320" spans="1:13" ht="14.5" x14ac:dyDescent="0.35">
      <c r="A320" s="260" t="s">
        <v>1106</v>
      </c>
      <c r="B320" s="260" t="s">
        <v>752</v>
      </c>
      <c r="C320" s="190">
        <v>45728</v>
      </c>
      <c r="D320" s="197">
        <v>199.9</v>
      </c>
      <c r="E320" s="260" t="s">
        <v>564</v>
      </c>
      <c r="F320" s="260" t="s">
        <v>793</v>
      </c>
      <c r="G320" s="196">
        <v>0</v>
      </c>
      <c r="H320" s="202">
        <v>46302</v>
      </c>
      <c r="I320" s="260" t="s">
        <v>588</v>
      </c>
      <c r="J320" s="196">
        <v>1</v>
      </c>
      <c r="K320" s="196">
        <v>0</v>
      </c>
      <c r="L320" s="260" t="s">
        <v>239</v>
      </c>
      <c r="M320" s="260" t="s">
        <v>514</v>
      </c>
    </row>
    <row r="321" spans="1:13" ht="14.5" x14ac:dyDescent="0.35">
      <c r="A321" s="260" t="s">
        <v>1107</v>
      </c>
      <c r="B321" s="260" t="s">
        <v>752</v>
      </c>
      <c r="C321" s="190">
        <v>45729</v>
      </c>
      <c r="D321" s="197">
        <v>199.8</v>
      </c>
      <c r="E321" s="260" t="s">
        <v>564</v>
      </c>
      <c r="F321" s="260" t="s">
        <v>793</v>
      </c>
      <c r="G321" s="196">
        <v>0</v>
      </c>
      <c r="H321" s="202">
        <v>46302</v>
      </c>
      <c r="I321" s="260" t="s">
        <v>588</v>
      </c>
      <c r="J321" s="196">
        <v>1</v>
      </c>
      <c r="K321" s="196">
        <v>0</v>
      </c>
      <c r="L321" s="260" t="s">
        <v>239</v>
      </c>
      <c r="M321" s="260" t="s">
        <v>514</v>
      </c>
    </row>
    <row r="322" spans="1:13" ht="14.5" x14ac:dyDescent="0.35">
      <c r="A322" s="260" t="s">
        <v>1108</v>
      </c>
      <c r="B322" s="260" t="s">
        <v>752</v>
      </c>
      <c r="C322" s="190">
        <v>45730</v>
      </c>
      <c r="D322" s="197">
        <v>199.7</v>
      </c>
      <c r="E322" s="260" t="s">
        <v>564</v>
      </c>
      <c r="F322" s="260" t="s">
        <v>793</v>
      </c>
      <c r="G322" s="196">
        <v>0</v>
      </c>
      <c r="H322" s="202">
        <v>46302</v>
      </c>
      <c r="I322" s="260" t="s">
        <v>588</v>
      </c>
      <c r="J322" s="196">
        <v>1</v>
      </c>
      <c r="K322" s="196">
        <v>0</v>
      </c>
      <c r="L322" s="260" t="s">
        <v>239</v>
      </c>
      <c r="M322" s="260" t="s">
        <v>514</v>
      </c>
    </row>
    <row r="323" spans="1:13" ht="14.5" x14ac:dyDescent="0.35">
      <c r="A323" s="260" t="s">
        <v>1109</v>
      </c>
      <c r="B323" s="260" t="s">
        <v>752</v>
      </c>
      <c r="C323" s="190">
        <v>45733</v>
      </c>
      <c r="D323" s="197">
        <v>199.4</v>
      </c>
      <c r="E323" s="260" t="s">
        <v>564</v>
      </c>
      <c r="F323" s="260" t="s">
        <v>793</v>
      </c>
      <c r="G323" s="196">
        <v>0</v>
      </c>
      <c r="H323" s="202">
        <v>46302</v>
      </c>
      <c r="I323" s="260" t="s">
        <v>588</v>
      </c>
      <c r="J323" s="196">
        <v>1</v>
      </c>
      <c r="K323" s="196">
        <v>0</v>
      </c>
      <c r="L323" s="260" t="s">
        <v>239</v>
      </c>
      <c r="M323" s="260" t="s">
        <v>514</v>
      </c>
    </row>
    <row r="324" spans="1:13" ht="14.5" x14ac:dyDescent="0.35">
      <c r="A324" s="260" t="s">
        <v>1110</v>
      </c>
      <c r="B324" s="260" t="s">
        <v>752</v>
      </c>
      <c r="C324" s="190">
        <v>45734</v>
      </c>
      <c r="D324" s="197">
        <v>199.3</v>
      </c>
      <c r="E324" s="260" t="s">
        <v>564</v>
      </c>
      <c r="F324" s="260" t="s">
        <v>793</v>
      </c>
      <c r="G324" s="196">
        <v>0</v>
      </c>
      <c r="H324" s="202">
        <v>46302</v>
      </c>
      <c r="I324" s="260" t="s">
        <v>588</v>
      </c>
      <c r="J324" s="196">
        <v>1</v>
      </c>
      <c r="K324" s="196">
        <v>0</v>
      </c>
      <c r="L324" s="260" t="s">
        <v>239</v>
      </c>
      <c r="M324" s="260" t="s">
        <v>514</v>
      </c>
    </row>
    <row r="325" spans="1:13" ht="14.5" x14ac:dyDescent="0.35">
      <c r="A325" s="260" t="s">
        <v>1111</v>
      </c>
      <c r="B325" s="260" t="s">
        <v>752</v>
      </c>
      <c r="C325" s="190">
        <v>45735</v>
      </c>
      <c r="D325" s="197">
        <v>199.2</v>
      </c>
      <c r="E325" s="260" t="s">
        <v>564</v>
      </c>
      <c r="F325" s="260" t="s">
        <v>793</v>
      </c>
      <c r="G325" s="196">
        <v>0</v>
      </c>
      <c r="H325" s="202">
        <v>46302</v>
      </c>
      <c r="I325" s="260" t="s">
        <v>588</v>
      </c>
      <c r="J325" s="196">
        <v>1</v>
      </c>
      <c r="K325" s="196">
        <v>0</v>
      </c>
      <c r="L325" s="260" t="s">
        <v>239</v>
      </c>
      <c r="M325" s="260" t="s">
        <v>514</v>
      </c>
    </row>
    <row r="326" spans="1:13" ht="14.5" x14ac:dyDescent="0.35">
      <c r="A326" s="260" t="s">
        <v>1112</v>
      </c>
      <c r="B326" s="260" t="s">
        <v>752</v>
      </c>
      <c r="C326" s="190">
        <v>45736</v>
      </c>
      <c r="D326" s="197">
        <v>199.1</v>
      </c>
      <c r="E326" s="260" t="s">
        <v>564</v>
      </c>
      <c r="F326" s="260" t="s">
        <v>793</v>
      </c>
      <c r="G326" s="196">
        <v>0</v>
      </c>
      <c r="H326" s="202">
        <v>46302</v>
      </c>
      <c r="I326" s="260" t="s">
        <v>588</v>
      </c>
      <c r="J326" s="196">
        <v>1</v>
      </c>
      <c r="K326" s="196">
        <v>0</v>
      </c>
      <c r="L326" s="260" t="s">
        <v>239</v>
      </c>
      <c r="M326" s="260" t="s">
        <v>514</v>
      </c>
    </row>
    <row r="327" spans="1:13" ht="14.5" x14ac:dyDescent="0.35">
      <c r="A327" s="260" t="s">
        <v>1113</v>
      </c>
      <c r="B327" s="260" t="s">
        <v>752</v>
      </c>
      <c r="C327" s="190">
        <v>45737</v>
      </c>
      <c r="D327" s="197">
        <v>199</v>
      </c>
      <c r="E327" s="260" t="s">
        <v>564</v>
      </c>
      <c r="F327" s="260" t="s">
        <v>793</v>
      </c>
      <c r="G327" s="196">
        <v>0</v>
      </c>
      <c r="H327" s="202">
        <v>46302</v>
      </c>
      <c r="I327" s="260" t="s">
        <v>588</v>
      </c>
      <c r="J327" s="196">
        <v>1</v>
      </c>
      <c r="K327" s="196">
        <v>0</v>
      </c>
      <c r="L327" s="260" t="s">
        <v>239</v>
      </c>
      <c r="M327" s="260" t="s">
        <v>514</v>
      </c>
    </row>
    <row r="328" spans="1:13" ht="14.5" x14ac:dyDescent="0.35">
      <c r="A328" s="260" t="s">
        <v>1114</v>
      </c>
      <c r="B328" s="260" t="s">
        <v>752</v>
      </c>
      <c r="C328" s="190">
        <v>45740</v>
      </c>
      <c r="D328" s="197">
        <v>198.7</v>
      </c>
      <c r="E328" s="260" t="s">
        <v>564</v>
      </c>
      <c r="F328" s="260" t="s">
        <v>793</v>
      </c>
      <c r="G328" s="196">
        <v>0</v>
      </c>
      <c r="H328" s="202">
        <v>46302</v>
      </c>
      <c r="I328" s="260" t="s">
        <v>588</v>
      </c>
      <c r="J328" s="196">
        <v>1</v>
      </c>
      <c r="K328" s="196">
        <v>0</v>
      </c>
      <c r="L328" s="260" t="s">
        <v>239</v>
      </c>
      <c r="M328" s="260" t="s">
        <v>514</v>
      </c>
    </row>
    <row r="329" spans="1:13" ht="14.5" x14ac:dyDescent="0.35">
      <c r="A329" s="260" t="s">
        <v>1115</v>
      </c>
      <c r="B329" s="260" t="s">
        <v>752</v>
      </c>
      <c r="C329" s="190">
        <v>45741</v>
      </c>
      <c r="D329" s="197">
        <v>198.6</v>
      </c>
      <c r="E329" s="260" t="s">
        <v>564</v>
      </c>
      <c r="F329" s="260" t="s">
        <v>793</v>
      </c>
      <c r="G329" s="196">
        <v>0</v>
      </c>
      <c r="H329" s="202">
        <v>46302</v>
      </c>
      <c r="I329" s="260" t="s">
        <v>588</v>
      </c>
      <c r="J329" s="196">
        <v>1</v>
      </c>
      <c r="K329" s="196">
        <v>0</v>
      </c>
      <c r="L329" s="260" t="s">
        <v>239</v>
      </c>
      <c r="M329" s="260" t="s">
        <v>514</v>
      </c>
    </row>
    <row r="330" spans="1:13" ht="14.5" x14ac:dyDescent="0.35">
      <c r="A330" s="260" t="s">
        <v>1116</v>
      </c>
      <c r="B330" s="260" t="s">
        <v>752</v>
      </c>
      <c r="C330" s="190">
        <v>45742</v>
      </c>
      <c r="D330" s="197">
        <v>198.5</v>
      </c>
      <c r="E330" s="260" t="s">
        <v>564</v>
      </c>
      <c r="F330" s="260" t="s">
        <v>793</v>
      </c>
      <c r="G330" s="196">
        <v>0</v>
      </c>
      <c r="H330" s="202">
        <v>46302</v>
      </c>
      <c r="I330" s="260" t="s">
        <v>588</v>
      </c>
      <c r="J330" s="196">
        <v>1</v>
      </c>
      <c r="K330" s="196">
        <v>0</v>
      </c>
      <c r="L330" s="260" t="s">
        <v>239</v>
      </c>
      <c r="M330" s="260" t="s">
        <v>514</v>
      </c>
    </row>
    <row r="331" spans="1:13" ht="14.5" x14ac:dyDescent="0.35">
      <c r="A331" s="260" t="s">
        <v>1117</v>
      </c>
      <c r="B331" s="260" t="s">
        <v>752</v>
      </c>
      <c r="C331" s="190">
        <v>45743</v>
      </c>
      <c r="D331" s="197">
        <v>198.4</v>
      </c>
      <c r="E331" s="260" t="s">
        <v>564</v>
      </c>
      <c r="F331" s="260" t="s">
        <v>793</v>
      </c>
      <c r="G331" s="196">
        <v>0</v>
      </c>
      <c r="H331" s="202">
        <v>46302</v>
      </c>
      <c r="I331" s="260" t="s">
        <v>588</v>
      </c>
      <c r="J331" s="196">
        <v>1</v>
      </c>
      <c r="K331" s="196">
        <v>0</v>
      </c>
      <c r="L331" s="260" t="s">
        <v>239</v>
      </c>
      <c r="M331" s="260" t="s">
        <v>514</v>
      </c>
    </row>
    <row r="332" spans="1:13" ht="14.5" x14ac:dyDescent="0.35">
      <c r="A332" s="260" t="s">
        <v>1118</v>
      </c>
      <c r="B332" s="260" t="s">
        <v>752</v>
      </c>
      <c r="C332" s="190">
        <v>45744</v>
      </c>
      <c r="D332" s="197">
        <v>198.3</v>
      </c>
      <c r="E332" s="260" t="s">
        <v>564</v>
      </c>
      <c r="F332" s="260" t="s">
        <v>793</v>
      </c>
      <c r="G332" s="196">
        <v>0</v>
      </c>
      <c r="H332" s="202">
        <v>46302</v>
      </c>
      <c r="I332" s="260" t="s">
        <v>588</v>
      </c>
      <c r="J332" s="196">
        <v>1</v>
      </c>
      <c r="K332" s="196">
        <v>0</v>
      </c>
      <c r="L332" s="260" t="s">
        <v>239</v>
      </c>
      <c r="M332" s="260" t="s">
        <v>514</v>
      </c>
    </row>
    <row r="333" spans="1:13" ht="14.5" x14ac:dyDescent="0.35">
      <c r="A333" s="260" t="s">
        <v>1119</v>
      </c>
      <c r="B333" s="260" t="s">
        <v>752</v>
      </c>
      <c r="C333" s="190">
        <v>45747</v>
      </c>
      <c r="D333" s="197">
        <v>198</v>
      </c>
      <c r="E333" s="260" t="s">
        <v>564</v>
      </c>
      <c r="F333" s="260" t="s">
        <v>793</v>
      </c>
      <c r="G333" s="196">
        <v>0</v>
      </c>
      <c r="H333" s="202">
        <v>46302</v>
      </c>
      <c r="I333" s="260" t="s">
        <v>588</v>
      </c>
      <c r="J333" s="196">
        <v>1</v>
      </c>
      <c r="K333" s="196">
        <v>0</v>
      </c>
      <c r="L333" s="260" t="s">
        <v>239</v>
      </c>
      <c r="M333" s="260" t="s">
        <v>514</v>
      </c>
    </row>
    <row r="334" spans="1:13" ht="14.5" x14ac:dyDescent="0.35">
      <c r="A334" s="260" t="s">
        <v>1120</v>
      </c>
      <c r="B334" s="260" t="s">
        <v>752</v>
      </c>
      <c r="C334" s="190">
        <v>45748</v>
      </c>
      <c r="D334" s="197">
        <v>198</v>
      </c>
      <c r="E334" s="260" t="s">
        <v>564</v>
      </c>
      <c r="F334" s="260" t="s">
        <v>793</v>
      </c>
      <c r="G334" s="196">
        <v>0</v>
      </c>
      <c r="H334" s="202">
        <v>46302</v>
      </c>
      <c r="I334" s="260" t="s">
        <v>588</v>
      </c>
      <c r="J334" s="196">
        <v>1</v>
      </c>
      <c r="K334" s="196">
        <v>0</v>
      </c>
      <c r="L334" s="260" t="s">
        <v>239</v>
      </c>
      <c r="M334" s="260" t="s">
        <v>514</v>
      </c>
    </row>
    <row r="335" spans="1:13" ht="14.5" x14ac:dyDescent="0.35">
      <c r="A335" s="260" t="s">
        <v>1121</v>
      </c>
      <c r="B335" s="260" t="s">
        <v>752</v>
      </c>
      <c r="C335" s="190">
        <v>45749</v>
      </c>
      <c r="D335" s="197">
        <v>197.62</v>
      </c>
      <c r="E335" s="260" t="s">
        <v>564</v>
      </c>
      <c r="F335" s="260" t="s">
        <v>793</v>
      </c>
      <c r="G335" s="196">
        <v>0</v>
      </c>
      <c r="H335" s="202">
        <v>46302</v>
      </c>
      <c r="I335" s="260" t="s">
        <v>588</v>
      </c>
      <c r="J335" s="196">
        <v>1</v>
      </c>
      <c r="K335" s="196">
        <v>0</v>
      </c>
      <c r="L335" s="260" t="s">
        <v>239</v>
      </c>
      <c r="M335" s="260" t="s">
        <v>514</v>
      </c>
    </row>
    <row r="336" spans="1:13" ht="14.5" x14ac:dyDescent="0.35">
      <c r="A336" s="260" t="s">
        <v>1122</v>
      </c>
      <c r="B336" s="260" t="s">
        <v>752</v>
      </c>
      <c r="C336" s="190">
        <v>45750</v>
      </c>
      <c r="D336" s="197">
        <v>197.24</v>
      </c>
      <c r="E336" s="260" t="s">
        <v>564</v>
      </c>
      <c r="F336" s="260" t="s">
        <v>793</v>
      </c>
      <c r="G336" s="196">
        <v>0</v>
      </c>
      <c r="H336" s="202">
        <v>46302</v>
      </c>
      <c r="I336" s="260" t="s">
        <v>588</v>
      </c>
      <c r="J336" s="196">
        <v>1</v>
      </c>
      <c r="K336" s="196">
        <v>0</v>
      </c>
      <c r="L336" s="260" t="s">
        <v>239</v>
      </c>
      <c r="M336" s="260" t="s">
        <v>514</v>
      </c>
    </row>
    <row r="337" spans="1:13" ht="14.5" x14ac:dyDescent="0.35">
      <c r="A337" s="260" t="s">
        <v>1123</v>
      </c>
      <c r="B337" s="260" t="s">
        <v>752</v>
      </c>
      <c r="C337" s="190">
        <v>45751</v>
      </c>
      <c r="D337" s="197">
        <v>196.86</v>
      </c>
      <c r="E337" s="260" t="s">
        <v>564</v>
      </c>
      <c r="F337" s="260" t="s">
        <v>793</v>
      </c>
      <c r="G337" s="196">
        <v>0</v>
      </c>
      <c r="H337" s="202">
        <v>46302</v>
      </c>
      <c r="I337" s="260" t="s">
        <v>588</v>
      </c>
      <c r="J337" s="196">
        <v>1</v>
      </c>
      <c r="K337" s="196">
        <v>0</v>
      </c>
      <c r="L337" s="260" t="s">
        <v>239</v>
      </c>
      <c r="M337" s="260" t="s">
        <v>514</v>
      </c>
    </row>
    <row r="338" spans="1:13" ht="14.5" x14ac:dyDescent="0.35">
      <c r="A338" s="260" t="s">
        <v>1124</v>
      </c>
      <c r="B338" s="260" t="s">
        <v>752</v>
      </c>
      <c r="C338" s="190">
        <v>45754</v>
      </c>
      <c r="D338" s="197">
        <v>195.72</v>
      </c>
      <c r="E338" s="260" t="s">
        <v>564</v>
      </c>
      <c r="F338" s="260" t="s">
        <v>793</v>
      </c>
      <c r="G338" s="196">
        <v>0</v>
      </c>
      <c r="H338" s="202">
        <v>46302</v>
      </c>
      <c r="I338" s="260" t="s">
        <v>588</v>
      </c>
      <c r="J338" s="196">
        <v>1</v>
      </c>
      <c r="K338" s="196">
        <v>0</v>
      </c>
      <c r="L338" s="260" t="s">
        <v>239</v>
      </c>
      <c r="M338" s="260" t="s">
        <v>514</v>
      </c>
    </row>
    <row r="339" spans="1:13" ht="14.5" x14ac:dyDescent="0.35">
      <c r="A339" s="260" t="s">
        <v>1125</v>
      </c>
      <c r="B339" s="260" t="s">
        <v>752</v>
      </c>
      <c r="C339" s="190">
        <v>45755</v>
      </c>
      <c r="D339" s="197">
        <v>195.34</v>
      </c>
      <c r="E339" s="260" t="s">
        <v>564</v>
      </c>
      <c r="F339" s="260" t="s">
        <v>793</v>
      </c>
      <c r="G339" s="196">
        <v>0</v>
      </c>
      <c r="H339" s="202">
        <v>46302</v>
      </c>
      <c r="I339" s="260" t="s">
        <v>588</v>
      </c>
      <c r="J339" s="196">
        <v>1</v>
      </c>
      <c r="K339" s="196">
        <v>0</v>
      </c>
      <c r="L339" s="260" t="s">
        <v>239</v>
      </c>
      <c r="M339" s="260" t="s">
        <v>514</v>
      </c>
    </row>
    <row r="340" spans="1:13" ht="14.5" x14ac:dyDescent="0.35">
      <c r="A340" s="260" t="s">
        <v>1126</v>
      </c>
      <c r="B340" s="260" t="s">
        <v>752</v>
      </c>
      <c r="C340" s="190">
        <v>45756</v>
      </c>
      <c r="D340" s="197">
        <v>194.97</v>
      </c>
      <c r="E340" s="260" t="s">
        <v>564</v>
      </c>
      <c r="F340" s="260" t="s">
        <v>793</v>
      </c>
      <c r="G340" s="196">
        <v>0</v>
      </c>
      <c r="H340" s="202">
        <v>46302</v>
      </c>
      <c r="I340" s="260" t="s">
        <v>588</v>
      </c>
      <c r="J340" s="196">
        <v>1</v>
      </c>
      <c r="K340" s="196">
        <v>0</v>
      </c>
      <c r="L340" s="260" t="s">
        <v>239</v>
      </c>
      <c r="M340" s="260" t="s">
        <v>514</v>
      </c>
    </row>
    <row r="341" spans="1:13" ht="14.5" x14ac:dyDescent="0.35">
      <c r="A341" s="260" t="s">
        <v>1127</v>
      </c>
      <c r="B341" s="260" t="s">
        <v>752</v>
      </c>
      <c r="C341" s="190">
        <v>45757</v>
      </c>
      <c r="D341" s="197">
        <v>194.59</v>
      </c>
      <c r="E341" s="260" t="s">
        <v>564</v>
      </c>
      <c r="F341" s="260" t="s">
        <v>793</v>
      </c>
      <c r="G341" s="196">
        <v>0</v>
      </c>
      <c r="H341" s="202">
        <v>46302</v>
      </c>
      <c r="I341" s="260" t="s">
        <v>588</v>
      </c>
      <c r="J341" s="196">
        <v>1</v>
      </c>
      <c r="K341" s="196">
        <v>0</v>
      </c>
      <c r="L341" s="260" t="s">
        <v>239</v>
      </c>
      <c r="M341" s="260" t="s">
        <v>514</v>
      </c>
    </row>
    <row r="342" spans="1:13" ht="14.5" x14ac:dyDescent="0.35">
      <c r="A342" s="260" t="s">
        <v>1128</v>
      </c>
      <c r="B342" s="260" t="s">
        <v>752</v>
      </c>
      <c r="C342" s="190">
        <v>45758</v>
      </c>
      <c r="D342" s="197">
        <v>194.21</v>
      </c>
      <c r="E342" s="260" t="s">
        <v>564</v>
      </c>
      <c r="F342" s="260" t="s">
        <v>793</v>
      </c>
      <c r="G342" s="196">
        <v>0</v>
      </c>
      <c r="H342" s="202">
        <v>46302</v>
      </c>
      <c r="I342" s="260" t="s">
        <v>588</v>
      </c>
      <c r="J342" s="196">
        <v>1</v>
      </c>
      <c r="K342" s="196">
        <v>0</v>
      </c>
      <c r="L342" s="260" t="s">
        <v>239</v>
      </c>
      <c r="M342" s="260" t="s">
        <v>514</v>
      </c>
    </row>
    <row r="343" spans="1:13" ht="14.5" x14ac:dyDescent="0.35">
      <c r="A343" s="260" t="s">
        <v>1129</v>
      </c>
      <c r="B343" s="260" t="s">
        <v>752</v>
      </c>
      <c r="C343" s="190">
        <v>45761</v>
      </c>
      <c r="D343" s="197">
        <v>193.07</v>
      </c>
      <c r="E343" s="260" t="s">
        <v>564</v>
      </c>
      <c r="F343" s="260" t="s">
        <v>793</v>
      </c>
      <c r="G343" s="196">
        <v>0</v>
      </c>
      <c r="H343" s="202">
        <v>46302</v>
      </c>
      <c r="I343" s="260" t="s">
        <v>588</v>
      </c>
      <c r="J343" s="196">
        <v>1</v>
      </c>
      <c r="K343" s="196">
        <v>0</v>
      </c>
      <c r="L343" s="260" t="s">
        <v>239</v>
      </c>
      <c r="M343" s="260" t="s">
        <v>514</v>
      </c>
    </row>
    <row r="344" spans="1:13" ht="14.5" x14ac:dyDescent="0.35">
      <c r="A344" s="260" t="s">
        <v>1130</v>
      </c>
      <c r="B344" s="260" t="s">
        <v>752</v>
      </c>
      <c r="C344" s="190">
        <v>45762</v>
      </c>
      <c r="D344" s="197">
        <v>192.69</v>
      </c>
      <c r="E344" s="260" t="s">
        <v>564</v>
      </c>
      <c r="F344" s="260" t="s">
        <v>793</v>
      </c>
      <c r="G344" s="196">
        <v>0</v>
      </c>
      <c r="H344" s="202">
        <v>46302</v>
      </c>
      <c r="I344" s="260" t="s">
        <v>588</v>
      </c>
      <c r="J344" s="196">
        <v>1</v>
      </c>
      <c r="K344" s="196">
        <v>0</v>
      </c>
      <c r="L344" s="260" t="s">
        <v>239</v>
      </c>
      <c r="M344" s="260" t="s">
        <v>514</v>
      </c>
    </row>
    <row r="345" spans="1:13" ht="14.5" x14ac:dyDescent="0.35">
      <c r="A345" s="260" t="s">
        <v>1131</v>
      </c>
      <c r="B345" s="260" t="s">
        <v>752</v>
      </c>
      <c r="C345" s="190">
        <v>45763</v>
      </c>
      <c r="D345" s="197">
        <v>192.31</v>
      </c>
      <c r="E345" s="260" t="s">
        <v>564</v>
      </c>
      <c r="F345" s="260" t="s">
        <v>793</v>
      </c>
      <c r="G345" s="196">
        <v>0</v>
      </c>
      <c r="H345" s="202">
        <v>46302</v>
      </c>
      <c r="I345" s="260" t="s">
        <v>588</v>
      </c>
      <c r="J345" s="196">
        <v>1</v>
      </c>
      <c r="K345" s="196">
        <v>0</v>
      </c>
      <c r="L345" s="260" t="s">
        <v>239</v>
      </c>
      <c r="M345" s="260" t="s">
        <v>514</v>
      </c>
    </row>
    <row r="346" spans="1:13" ht="14.5" x14ac:dyDescent="0.35">
      <c r="A346" s="260" t="s">
        <v>1132</v>
      </c>
      <c r="B346" s="260" t="s">
        <v>752</v>
      </c>
      <c r="C346" s="190">
        <v>45764</v>
      </c>
      <c r="D346" s="197">
        <v>191.93</v>
      </c>
      <c r="E346" s="260" t="s">
        <v>564</v>
      </c>
      <c r="F346" s="260" t="s">
        <v>793</v>
      </c>
      <c r="G346" s="196">
        <v>0</v>
      </c>
      <c r="H346" s="202">
        <v>46302</v>
      </c>
      <c r="I346" s="260" t="s">
        <v>588</v>
      </c>
      <c r="J346" s="196">
        <v>1</v>
      </c>
      <c r="K346" s="196">
        <v>0</v>
      </c>
      <c r="L346" s="260" t="s">
        <v>239</v>
      </c>
      <c r="M346" s="260" t="s">
        <v>514</v>
      </c>
    </row>
    <row r="347" spans="1:13" ht="14.5" x14ac:dyDescent="0.35">
      <c r="A347" s="260" t="s">
        <v>1133</v>
      </c>
      <c r="B347" s="260" t="s">
        <v>752</v>
      </c>
      <c r="C347" s="190">
        <v>45765</v>
      </c>
      <c r="D347" s="197">
        <v>191.55</v>
      </c>
      <c r="E347" s="260" t="s">
        <v>564</v>
      </c>
      <c r="F347" s="260" t="s">
        <v>793</v>
      </c>
      <c r="G347" s="196">
        <v>0</v>
      </c>
      <c r="H347" s="202">
        <v>46302</v>
      </c>
      <c r="I347" s="260" t="s">
        <v>588</v>
      </c>
      <c r="J347" s="196">
        <v>1</v>
      </c>
      <c r="K347" s="196">
        <v>0</v>
      </c>
      <c r="L347" s="260" t="s">
        <v>239</v>
      </c>
      <c r="M347" s="260" t="s">
        <v>514</v>
      </c>
    </row>
    <row r="348" spans="1:13" ht="14.5" x14ac:dyDescent="0.35">
      <c r="A348" s="260" t="s">
        <v>1134</v>
      </c>
      <c r="B348" s="260" t="s">
        <v>752</v>
      </c>
      <c r="C348" s="190">
        <v>45768</v>
      </c>
      <c r="D348" s="197">
        <v>190.41</v>
      </c>
      <c r="E348" s="260" t="s">
        <v>564</v>
      </c>
      <c r="F348" s="260" t="s">
        <v>793</v>
      </c>
      <c r="G348" s="196">
        <v>0</v>
      </c>
      <c r="H348" s="202">
        <v>46302</v>
      </c>
      <c r="I348" s="260" t="s">
        <v>588</v>
      </c>
      <c r="J348" s="196">
        <v>1</v>
      </c>
      <c r="K348" s="196">
        <v>0</v>
      </c>
      <c r="L348" s="260" t="s">
        <v>239</v>
      </c>
      <c r="M348" s="260" t="s">
        <v>514</v>
      </c>
    </row>
    <row r="349" spans="1:13" ht="14.5" x14ac:dyDescent="0.35">
      <c r="A349" s="260" t="s">
        <v>1135</v>
      </c>
      <c r="B349" s="260" t="s">
        <v>752</v>
      </c>
      <c r="C349" s="190">
        <v>45769</v>
      </c>
      <c r="D349" s="197">
        <v>190.03</v>
      </c>
      <c r="E349" s="260" t="s">
        <v>564</v>
      </c>
      <c r="F349" s="260" t="s">
        <v>793</v>
      </c>
      <c r="G349" s="196">
        <v>0</v>
      </c>
      <c r="H349" s="202">
        <v>46302</v>
      </c>
      <c r="I349" s="260" t="s">
        <v>588</v>
      </c>
      <c r="J349" s="196">
        <v>1</v>
      </c>
      <c r="K349" s="196">
        <v>0</v>
      </c>
      <c r="L349" s="260" t="s">
        <v>239</v>
      </c>
      <c r="M349" s="260" t="s">
        <v>514</v>
      </c>
    </row>
    <row r="350" spans="1:13" ht="14.5" x14ac:dyDescent="0.35">
      <c r="A350" s="260" t="s">
        <v>1136</v>
      </c>
      <c r="B350" s="260" t="s">
        <v>752</v>
      </c>
      <c r="C350" s="190">
        <v>45770</v>
      </c>
      <c r="D350" s="197">
        <v>189.66</v>
      </c>
      <c r="E350" s="260" t="s">
        <v>564</v>
      </c>
      <c r="F350" s="260" t="s">
        <v>793</v>
      </c>
      <c r="G350" s="196">
        <v>0</v>
      </c>
      <c r="H350" s="202">
        <v>46302</v>
      </c>
      <c r="I350" s="260" t="s">
        <v>588</v>
      </c>
      <c r="J350" s="196">
        <v>1</v>
      </c>
      <c r="K350" s="196">
        <v>0</v>
      </c>
      <c r="L350" s="260" t="s">
        <v>239</v>
      </c>
      <c r="M350" s="260" t="s">
        <v>514</v>
      </c>
    </row>
    <row r="351" spans="1:13" ht="14.5" x14ac:dyDescent="0.35">
      <c r="A351" s="260" t="s">
        <v>1137</v>
      </c>
      <c r="B351" s="260" t="s">
        <v>752</v>
      </c>
      <c r="C351" s="190">
        <v>45771</v>
      </c>
      <c r="D351" s="197">
        <v>189.28</v>
      </c>
      <c r="E351" s="260" t="s">
        <v>564</v>
      </c>
      <c r="F351" s="260" t="s">
        <v>793</v>
      </c>
      <c r="G351" s="196">
        <v>0</v>
      </c>
      <c r="H351" s="202">
        <v>46302</v>
      </c>
      <c r="I351" s="260" t="s">
        <v>588</v>
      </c>
      <c r="J351" s="196">
        <v>1</v>
      </c>
      <c r="K351" s="196">
        <v>0</v>
      </c>
      <c r="L351" s="260" t="s">
        <v>239</v>
      </c>
      <c r="M351" s="260" t="s">
        <v>514</v>
      </c>
    </row>
    <row r="352" spans="1:13" ht="14.5" x14ac:dyDescent="0.35">
      <c r="A352" s="260" t="s">
        <v>1138</v>
      </c>
      <c r="B352" s="260" t="s">
        <v>752</v>
      </c>
      <c r="C352" s="190">
        <v>45772</v>
      </c>
      <c r="D352" s="197">
        <v>188.9</v>
      </c>
      <c r="E352" s="260" t="s">
        <v>564</v>
      </c>
      <c r="F352" s="260" t="s">
        <v>793</v>
      </c>
      <c r="G352" s="196">
        <v>0</v>
      </c>
      <c r="H352" s="202">
        <v>46302</v>
      </c>
      <c r="I352" s="260" t="s">
        <v>588</v>
      </c>
      <c r="J352" s="196">
        <v>1</v>
      </c>
      <c r="K352" s="196">
        <v>0</v>
      </c>
      <c r="L352" s="260" t="s">
        <v>239</v>
      </c>
      <c r="M352" s="260" t="s">
        <v>514</v>
      </c>
    </row>
    <row r="353" spans="1:13" ht="14.5" x14ac:dyDescent="0.35">
      <c r="A353" s="260" t="s">
        <v>1139</v>
      </c>
      <c r="B353" s="260" t="s">
        <v>752</v>
      </c>
      <c r="C353" s="190">
        <v>45775</v>
      </c>
      <c r="D353" s="197">
        <v>187.76</v>
      </c>
      <c r="E353" s="260" t="s">
        <v>564</v>
      </c>
      <c r="F353" s="260" t="s">
        <v>793</v>
      </c>
      <c r="G353" s="196">
        <v>0</v>
      </c>
      <c r="H353" s="202">
        <v>46302</v>
      </c>
      <c r="I353" s="260" t="s">
        <v>588</v>
      </c>
      <c r="J353" s="196">
        <v>1</v>
      </c>
      <c r="K353" s="196">
        <v>0</v>
      </c>
      <c r="L353" s="260" t="s">
        <v>239</v>
      </c>
      <c r="M353" s="260" t="s">
        <v>514</v>
      </c>
    </row>
    <row r="354" spans="1:13" ht="14.5" x14ac:dyDescent="0.35">
      <c r="A354" s="260" t="s">
        <v>1140</v>
      </c>
      <c r="B354" s="260" t="s">
        <v>752</v>
      </c>
      <c r="C354" s="190">
        <v>45776</v>
      </c>
      <c r="D354" s="197">
        <v>187.38</v>
      </c>
      <c r="E354" s="260" t="s">
        <v>564</v>
      </c>
      <c r="F354" s="260" t="s">
        <v>793</v>
      </c>
      <c r="G354" s="196">
        <v>0</v>
      </c>
      <c r="H354" s="202">
        <v>46302</v>
      </c>
      <c r="I354" s="260" t="s">
        <v>588</v>
      </c>
      <c r="J354" s="196">
        <v>1</v>
      </c>
      <c r="K354" s="196">
        <v>0</v>
      </c>
      <c r="L354" s="260" t="s">
        <v>239</v>
      </c>
      <c r="M354" s="260" t="s">
        <v>514</v>
      </c>
    </row>
    <row r="355" spans="1:13" ht="14.5" x14ac:dyDescent="0.35">
      <c r="A355" s="260" t="s">
        <v>1141</v>
      </c>
      <c r="B355" s="260" t="s">
        <v>752</v>
      </c>
      <c r="C355" s="190">
        <v>45777</v>
      </c>
      <c r="D355" s="197">
        <v>187</v>
      </c>
      <c r="E355" s="260" t="s">
        <v>564</v>
      </c>
      <c r="F355" s="260" t="s">
        <v>793</v>
      </c>
      <c r="G355" s="196">
        <v>0</v>
      </c>
      <c r="H355" s="202">
        <v>46302</v>
      </c>
      <c r="I355" s="260" t="s">
        <v>588</v>
      </c>
      <c r="J355" s="196">
        <v>1</v>
      </c>
      <c r="K355" s="196">
        <v>0</v>
      </c>
      <c r="L355" s="260" t="s">
        <v>239</v>
      </c>
      <c r="M355" s="260" t="s">
        <v>514</v>
      </c>
    </row>
    <row r="356" spans="1:13" ht="14.5" x14ac:dyDescent="0.35">
      <c r="A356" s="260" t="s">
        <v>1142</v>
      </c>
      <c r="B356" s="260" t="s">
        <v>752</v>
      </c>
      <c r="C356" s="190">
        <v>45778</v>
      </c>
      <c r="D356" s="197">
        <v>187</v>
      </c>
      <c r="E356" s="260" t="s">
        <v>564</v>
      </c>
      <c r="F356" s="260" t="s">
        <v>793</v>
      </c>
      <c r="G356" s="196">
        <v>0</v>
      </c>
      <c r="H356" s="202">
        <v>46302</v>
      </c>
      <c r="I356" s="260" t="s">
        <v>588</v>
      </c>
      <c r="J356" s="196">
        <v>1</v>
      </c>
      <c r="K356" s="196">
        <v>0</v>
      </c>
      <c r="L356" s="260" t="s">
        <v>239</v>
      </c>
      <c r="M356" s="260" t="s">
        <v>514</v>
      </c>
    </row>
    <row r="357" spans="1:13" ht="14.5" x14ac:dyDescent="0.35">
      <c r="A357" s="260" t="s">
        <v>1143</v>
      </c>
      <c r="B357" s="260" t="s">
        <v>752</v>
      </c>
      <c r="C357" s="190">
        <v>45779</v>
      </c>
      <c r="D357" s="197">
        <v>187.2</v>
      </c>
      <c r="E357" s="260" t="s">
        <v>564</v>
      </c>
      <c r="F357" s="260" t="s">
        <v>793</v>
      </c>
      <c r="G357" s="196">
        <v>0</v>
      </c>
      <c r="H357" s="202">
        <v>46302</v>
      </c>
      <c r="I357" s="260" t="s">
        <v>588</v>
      </c>
      <c r="J357" s="196">
        <v>1</v>
      </c>
      <c r="K357" s="196">
        <v>0</v>
      </c>
      <c r="L357" s="260" t="s">
        <v>239</v>
      </c>
      <c r="M357" s="260" t="s">
        <v>514</v>
      </c>
    </row>
    <row r="358" spans="1:13" ht="14.5" x14ac:dyDescent="0.35">
      <c r="A358" s="260" t="s">
        <v>1144</v>
      </c>
      <c r="B358" s="260" t="s">
        <v>752</v>
      </c>
      <c r="C358" s="190">
        <v>45782</v>
      </c>
      <c r="D358" s="197">
        <v>187.8</v>
      </c>
      <c r="E358" s="260" t="s">
        <v>564</v>
      </c>
      <c r="F358" s="260" t="s">
        <v>793</v>
      </c>
      <c r="G358" s="196">
        <v>0</v>
      </c>
      <c r="H358" s="202">
        <v>46302</v>
      </c>
      <c r="I358" s="260" t="s">
        <v>588</v>
      </c>
      <c r="J358" s="196">
        <v>1</v>
      </c>
      <c r="K358" s="196">
        <v>0</v>
      </c>
      <c r="L358" s="260" t="s">
        <v>239</v>
      </c>
      <c r="M358" s="260" t="s">
        <v>514</v>
      </c>
    </row>
    <row r="359" spans="1:13" ht="14.5" x14ac:dyDescent="0.35">
      <c r="A359" s="260" t="s">
        <v>1145</v>
      </c>
      <c r="B359" s="260" t="s">
        <v>752</v>
      </c>
      <c r="C359" s="190">
        <v>45783</v>
      </c>
      <c r="D359" s="197">
        <v>188</v>
      </c>
      <c r="E359" s="260" t="s">
        <v>564</v>
      </c>
      <c r="F359" s="260" t="s">
        <v>793</v>
      </c>
      <c r="G359" s="196">
        <v>0</v>
      </c>
      <c r="H359" s="202">
        <v>46302</v>
      </c>
      <c r="I359" s="260" t="s">
        <v>588</v>
      </c>
      <c r="J359" s="196">
        <v>1</v>
      </c>
      <c r="K359" s="196">
        <v>0</v>
      </c>
      <c r="L359" s="260" t="s">
        <v>239</v>
      </c>
      <c r="M359" s="260" t="s">
        <v>514</v>
      </c>
    </row>
    <row r="360" spans="1:13" ht="14.5" x14ac:dyDescent="0.35">
      <c r="A360" s="260" t="s">
        <v>1146</v>
      </c>
      <c r="B360" s="260" t="s">
        <v>752</v>
      </c>
      <c r="C360" s="190">
        <v>45784</v>
      </c>
      <c r="D360" s="197">
        <v>188.2</v>
      </c>
      <c r="E360" s="260" t="s">
        <v>564</v>
      </c>
      <c r="F360" s="260" t="s">
        <v>793</v>
      </c>
      <c r="G360" s="196">
        <v>0</v>
      </c>
      <c r="H360" s="202">
        <v>46302</v>
      </c>
      <c r="I360" s="260" t="s">
        <v>588</v>
      </c>
      <c r="J360" s="196">
        <v>1</v>
      </c>
      <c r="K360" s="196">
        <v>0</v>
      </c>
      <c r="L360" s="260" t="s">
        <v>239</v>
      </c>
      <c r="M360" s="260" t="s">
        <v>514</v>
      </c>
    </row>
    <row r="361" spans="1:13" ht="14.5" x14ac:dyDescent="0.35">
      <c r="A361" s="260" t="s">
        <v>1147</v>
      </c>
      <c r="B361" s="260" t="s">
        <v>752</v>
      </c>
      <c r="C361" s="190">
        <v>45785</v>
      </c>
      <c r="D361" s="197">
        <v>188.4</v>
      </c>
      <c r="E361" s="260" t="s">
        <v>564</v>
      </c>
      <c r="F361" s="260" t="s">
        <v>793</v>
      </c>
      <c r="G361" s="196">
        <v>0</v>
      </c>
      <c r="H361" s="202">
        <v>46302</v>
      </c>
      <c r="I361" s="260" t="s">
        <v>588</v>
      </c>
      <c r="J361" s="196">
        <v>1</v>
      </c>
      <c r="K361" s="196">
        <v>0</v>
      </c>
      <c r="L361" s="260" t="s">
        <v>239</v>
      </c>
      <c r="M361" s="260" t="s">
        <v>514</v>
      </c>
    </row>
    <row r="362" spans="1:13" ht="14.5" x14ac:dyDescent="0.35">
      <c r="A362" s="260" t="s">
        <v>1148</v>
      </c>
      <c r="B362" s="260" t="s">
        <v>752</v>
      </c>
      <c r="C362" s="190">
        <v>45786</v>
      </c>
      <c r="D362" s="197">
        <v>188.6</v>
      </c>
      <c r="E362" s="260" t="s">
        <v>564</v>
      </c>
      <c r="F362" s="260" t="s">
        <v>793</v>
      </c>
      <c r="G362" s="196">
        <v>0</v>
      </c>
      <c r="H362" s="202">
        <v>46302</v>
      </c>
      <c r="I362" s="260" t="s">
        <v>588</v>
      </c>
      <c r="J362" s="196">
        <v>1</v>
      </c>
      <c r="K362" s="196">
        <v>0</v>
      </c>
      <c r="L362" s="260" t="s">
        <v>239</v>
      </c>
      <c r="M362" s="260" t="s">
        <v>514</v>
      </c>
    </row>
    <row r="363" spans="1:13" ht="14.5" x14ac:dyDescent="0.35">
      <c r="A363" s="260" t="s">
        <v>1149</v>
      </c>
      <c r="B363" s="260" t="s">
        <v>752</v>
      </c>
      <c r="C363" s="190">
        <v>45789</v>
      </c>
      <c r="D363" s="197">
        <v>189.2</v>
      </c>
      <c r="E363" s="260" t="s">
        <v>564</v>
      </c>
      <c r="F363" s="260" t="s">
        <v>793</v>
      </c>
      <c r="G363" s="196">
        <v>0</v>
      </c>
      <c r="H363" s="202">
        <v>46302</v>
      </c>
      <c r="I363" s="260" t="s">
        <v>588</v>
      </c>
      <c r="J363" s="196">
        <v>1</v>
      </c>
      <c r="K363" s="196">
        <v>0</v>
      </c>
      <c r="L363" s="260" t="s">
        <v>239</v>
      </c>
      <c r="M363" s="260" t="s">
        <v>514</v>
      </c>
    </row>
    <row r="364" spans="1:13" ht="14.5" x14ac:dyDescent="0.35">
      <c r="A364" s="260" t="s">
        <v>1150</v>
      </c>
      <c r="B364" s="260" t="s">
        <v>752</v>
      </c>
      <c r="C364" s="190">
        <v>45790</v>
      </c>
      <c r="D364" s="197">
        <v>189.4</v>
      </c>
      <c r="E364" s="260" t="s">
        <v>564</v>
      </c>
      <c r="F364" s="260" t="s">
        <v>793</v>
      </c>
      <c r="G364" s="196">
        <v>0</v>
      </c>
      <c r="H364" s="202">
        <v>46302</v>
      </c>
      <c r="I364" s="260" t="s">
        <v>588</v>
      </c>
      <c r="J364" s="196">
        <v>1</v>
      </c>
      <c r="K364" s="196">
        <v>0</v>
      </c>
      <c r="L364" s="260" t="s">
        <v>239</v>
      </c>
      <c r="M364" s="260" t="s">
        <v>514</v>
      </c>
    </row>
    <row r="365" spans="1:13" ht="14.5" x14ac:dyDescent="0.35">
      <c r="A365" s="260" t="s">
        <v>1151</v>
      </c>
      <c r="B365" s="260" t="s">
        <v>752</v>
      </c>
      <c r="C365" s="190">
        <v>45791</v>
      </c>
      <c r="D365" s="197">
        <v>189.6</v>
      </c>
      <c r="E365" s="260" t="s">
        <v>564</v>
      </c>
      <c r="F365" s="260" t="s">
        <v>793</v>
      </c>
      <c r="G365" s="196">
        <v>0</v>
      </c>
      <c r="H365" s="202">
        <v>46302</v>
      </c>
      <c r="I365" s="260" t="s">
        <v>588</v>
      </c>
      <c r="J365" s="196">
        <v>1</v>
      </c>
      <c r="K365" s="196">
        <v>0</v>
      </c>
      <c r="L365" s="260" t="s">
        <v>239</v>
      </c>
      <c r="M365" s="260" t="s">
        <v>514</v>
      </c>
    </row>
    <row r="366" spans="1:13" ht="14.5" x14ac:dyDescent="0.35">
      <c r="A366" s="260" t="s">
        <v>1152</v>
      </c>
      <c r="B366" s="260" t="s">
        <v>752</v>
      </c>
      <c r="C366" s="190">
        <v>45792</v>
      </c>
      <c r="D366" s="197">
        <v>189.8</v>
      </c>
      <c r="E366" s="260" t="s">
        <v>564</v>
      </c>
      <c r="F366" s="260" t="s">
        <v>793</v>
      </c>
      <c r="G366" s="196">
        <v>0</v>
      </c>
      <c r="H366" s="202">
        <v>46302</v>
      </c>
      <c r="I366" s="260" t="s">
        <v>588</v>
      </c>
      <c r="J366" s="196">
        <v>1</v>
      </c>
      <c r="K366" s="196">
        <v>0</v>
      </c>
      <c r="L366" s="260" t="s">
        <v>239</v>
      </c>
      <c r="M366" s="260" t="s">
        <v>514</v>
      </c>
    </row>
    <row r="367" spans="1:13" ht="14.5" x14ac:dyDescent="0.35">
      <c r="A367" s="260" t="s">
        <v>1153</v>
      </c>
      <c r="B367" s="260" t="s">
        <v>752</v>
      </c>
      <c r="C367" s="190">
        <v>45793</v>
      </c>
      <c r="D367" s="197">
        <v>190</v>
      </c>
      <c r="E367" s="260" t="s">
        <v>564</v>
      </c>
      <c r="F367" s="260" t="s">
        <v>793</v>
      </c>
      <c r="G367" s="196">
        <v>0</v>
      </c>
      <c r="H367" s="202">
        <v>46302</v>
      </c>
      <c r="I367" s="260" t="s">
        <v>588</v>
      </c>
      <c r="J367" s="196">
        <v>1</v>
      </c>
      <c r="K367" s="196">
        <v>0</v>
      </c>
      <c r="L367" s="260" t="s">
        <v>239</v>
      </c>
      <c r="M367" s="260" t="s">
        <v>514</v>
      </c>
    </row>
    <row r="368" spans="1:13" ht="14.5" x14ac:dyDescent="0.35">
      <c r="A368" s="260" t="s">
        <v>1154</v>
      </c>
      <c r="B368" s="260" t="s">
        <v>752</v>
      </c>
      <c r="C368" s="190">
        <v>45796</v>
      </c>
      <c r="D368" s="197">
        <v>190.6</v>
      </c>
      <c r="E368" s="260" t="s">
        <v>564</v>
      </c>
      <c r="F368" s="260" t="s">
        <v>793</v>
      </c>
      <c r="G368" s="196">
        <v>0</v>
      </c>
      <c r="H368" s="202">
        <v>46302</v>
      </c>
      <c r="I368" s="260" t="s">
        <v>588</v>
      </c>
      <c r="J368" s="196">
        <v>1</v>
      </c>
      <c r="K368" s="196">
        <v>0</v>
      </c>
      <c r="L368" s="260" t="s">
        <v>239</v>
      </c>
      <c r="M368" s="260" t="s">
        <v>514</v>
      </c>
    </row>
    <row r="369" spans="1:13" ht="14.5" x14ac:dyDescent="0.35">
      <c r="A369" s="260" t="s">
        <v>1155</v>
      </c>
      <c r="B369" s="260" t="s">
        <v>752</v>
      </c>
      <c r="C369" s="190">
        <v>45797</v>
      </c>
      <c r="D369" s="197">
        <v>190.8</v>
      </c>
      <c r="E369" s="260" t="s">
        <v>564</v>
      </c>
      <c r="F369" s="260" t="s">
        <v>793</v>
      </c>
      <c r="G369" s="196">
        <v>0</v>
      </c>
      <c r="H369" s="202">
        <v>46302</v>
      </c>
      <c r="I369" s="260" t="s">
        <v>588</v>
      </c>
      <c r="J369" s="196">
        <v>1</v>
      </c>
      <c r="K369" s="196">
        <v>0</v>
      </c>
      <c r="L369" s="260" t="s">
        <v>239</v>
      </c>
      <c r="M369" s="260" t="s">
        <v>514</v>
      </c>
    </row>
    <row r="370" spans="1:13" ht="14.5" x14ac:dyDescent="0.35">
      <c r="A370" s="260" t="s">
        <v>1156</v>
      </c>
      <c r="B370" s="260" t="s">
        <v>752</v>
      </c>
      <c r="C370" s="190">
        <v>45798</v>
      </c>
      <c r="D370" s="197">
        <v>191</v>
      </c>
      <c r="E370" s="260" t="s">
        <v>564</v>
      </c>
      <c r="F370" s="260" t="s">
        <v>793</v>
      </c>
      <c r="G370" s="196">
        <v>0</v>
      </c>
      <c r="H370" s="202">
        <v>46302</v>
      </c>
      <c r="I370" s="260" t="s">
        <v>588</v>
      </c>
      <c r="J370" s="196">
        <v>1</v>
      </c>
      <c r="K370" s="196">
        <v>0</v>
      </c>
      <c r="L370" s="260" t="s">
        <v>239</v>
      </c>
      <c r="M370" s="260" t="s">
        <v>514</v>
      </c>
    </row>
    <row r="371" spans="1:13" ht="14.5" x14ac:dyDescent="0.35">
      <c r="A371" s="260" t="s">
        <v>1157</v>
      </c>
      <c r="B371" s="260" t="s">
        <v>752</v>
      </c>
      <c r="C371" s="190">
        <v>45799</v>
      </c>
      <c r="D371" s="197">
        <v>191.2</v>
      </c>
      <c r="E371" s="260" t="s">
        <v>564</v>
      </c>
      <c r="F371" s="260" t="s">
        <v>793</v>
      </c>
      <c r="G371" s="196">
        <v>0</v>
      </c>
      <c r="H371" s="202">
        <v>46302</v>
      </c>
      <c r="I371" s="260" t="s">
        <v>588</v>
      </c>
      <c r="J371" s="196">
        <v>1</v>
      </c>
      <c r="K371" s="196">
        <v>0</v>
      </c>
      <c r="L371" s="260" t="s">
        <v>239</v>
      </c>
      <c r="M371" s="260" t="s">
        <v>514</v>
      </c>
    </row>
    <row r="372" spans="1:13" ht="14.5" x14ac:dyDescent="0.35">
      <c r="A372" s="260" t="s">
        <v>1158</v>
      </c>
      <c r="B372" s="260" t="s">
        <v>752</v>
      </c>
      <c r="C372" s="190">
        <v>45800</v>
      </c>
      <c r="D372" s="197">
        <v>191.4</v>
      </c>
      <c r="E372" s="260" t="s">
        <v>564</v>
      </c>
      <c r="F372" s="260" t="s">
        <v>793</v>
      </c>
      <c r="G372" s="196">
        <v>0</v>
      </c>
      <c r="H372" s="202">
        <v>46302</v>
      </c>
      <c r="I372" s="260" t="s">
        <v>588</v>
      </c>
      <c r="J372" s="196">
        <v>1</v>
      </c>
      <c r="K372" s="196">
        <v>0</v>
      </c>
      <c r="L372" s="260" t="s">
        <v>239</v>
      </c>
      <c r="M372" s="260" t="s">
        <v>514</v>
      </c>
    </row>
    <row r="373" spans="1:13" ht="14.5" x14ac:dyDescent="0.35">
      <c r="A373" s="260" t="s">
        <v>1159</v>
      </c>
      <c r="B373" s="260" t="s">
        <v>752</v>
      </c>
      <c r="C373" s="190">
        <v>45803</v>
      </c>
      <c r="D373" s="197">
        <v>192</v>
      </c>
      <c r="E373" s="260" t="s">
        <v>564</v>
      </c>
      <c r="F373" s="260" t="s">
        <v>793</v>
      </c>
      <c r="G373" s="196">
        <v>0</v>
      </c>
      <c r="H373" s="202">
        <v>46302</v>
      </c>
      <c r="I373" s="260" t="s">
        <v>588</v>
      </c>
      <c r="J373" s="196">
        <v>1</v>
      </c>
      <c r="K373" s="196">
        <v>0</v>
      </c>
      <c r="L373" s="260" t="s">
        <v>239</v>
      </c>
      <c r="M373" s="260" t="s">
        <v>514</v>
      </c>
    </row>
    <row r="374" spans="1:13" ht="14.5" x14ac:dyDescent="0.35">
      <c r="A374" s="260" t="s">
        <v>1160</v>
      </c>
      <c r="B374" s="260" t="s">
        <v>752</v>
      </c>
      <c r="C374" s="190">
        <v>45804</v>
      </c>
      <c r="D374" s="197">
        <v>192.2</v>
      </c>
      <c r="E374" s="260" t="s">
        <v>564</v>
      </c>
      <c r="F374" s="260" t="s">
        <v>793</v>
      </c>
      <c r="G374" s="196">
        <v>0</v>
      </c>
      <c r="H374" s="202">
        <v>46302</v>
      </c>
      <c r="I374" s="260" t="s">
        <v>588</v>
      </c>
      <c r="J374" s="196">
        <v>1</v>
      </c>
      <c r="K374" s="196">
        <v>0</v>
      </c>
      <c r="L374" s="260" t="s">
        <v>239</v>
      </c>
      <c r="M374" s="260" t="s">
        <v>514</v>
      </c>
    </row>
    <row r="375" spans="1:13" ht="14.5" x14ac:dyDescent="0.35">
      <c r="A375" s="260" t="s">
        <v>1161</v>
      </c>
      <c r="B375" s="260" t="s">
        <v>752</v>
      </c>
      <c r="C375" s="190">
        <v>45805</v>
      </c>
      <c r="D375" s="197">
        <v>192.4</v>
      </c>
      <c r="E375" s="260" t="s">
        <v>564</v>
      </c>
      <c r="F375" s="260" t="s">
        <v>793</v>
      </c>
      <c r="G375" s="196">
        <v>0</v>
      </c>
      <c r="H375" s="202">
        <v>46302</v>
      </c>
      <c r="I375" s="260" t="s">
        <v>588</v>
      </c>
      <c r="J375" s="196">
        <v>1</v>
      </c>
      <c r="K375" s="196">
        <v>0</v>
      </c>
      <c r="L375" s="260" t="s">
        <v>239</v>
      </c>
      <c r="M375" s="260" t="s">
        <v>514</v>
      </c>
    </row>
    <row r="376" spans="1:13" ht="14.5" x14ac:dyDescent="0.35">
      <c r="A376" s="260" t="s">
        <v>1162</v>
      </c>
      <c r="B376" s="260" t="s">
        <v>752</v>
      </c>
      <c r="C376" s="190">
        <v>45806</v>
      </c>
      <c r="D376" s="197">
        <v>192.6</v>
      </c>
      <c r="E376" s="260" t="s">
        <v>564</v>
      </c>
      <c r="F376" s="260" t="s">
        <v>793</v>
      </c>
      <c r="G376" s="196">
        <v>0</v>
      </c>
      <c r="H376" s="202">
        <v>46302</v>
      </c>
      <c r="I376" s="260" t="s">
        <v>588</v>
      </c>
      <c r="J376" s="196">
        <v>1</v>
      </c>
      <c r="K376" s="196">
        <v>0</v>
      </c>
      <c r="L376" s="260" t="s">
        <v>239</v>
      </c>
      <c r="M376" s="260" t="s">
        <v>514</v>
      </c>
    </row>
    <row r="377" spans="1:13" ht="14.5" x14ac:dyDescent="0.35">
      <c r="A377" s="260" t="s">
        <v>1163</v>
      </c>
      <c r="B377" s="260" t="s">
        <v>752</v>
      </c>
      <c r="C377" s="190">
        <v>45807</v>
      </c>
      <c r="D377" s="197">
        <v>192.8</v>
      </c>
      <c r="E377" s="260" t="s">
        <v>564</v>
      </c>
      <c r="F377" s="260" t="s">
        <v>793</v>
      </c>
      <c r="G377" s="196">
        <v>0</v>
      </c>
      <c r="H377" s="202">
        <v>46302</v>
      </c>
      <c r="I377" s="260" t="s">
        <v>588</v>
      </c>
      <c r="J377" s="196">
        <v>1</v>
      </c>
      <c r="K377" s="196">
        <v>0</v>
      </c>
      <c r="L377" s="260" t="s">
        <v>239</v>
      </c>
      <c r="M377" s="260" t="s">
        <v>514</v>
      </c>
    </row>
    <row r="378" spans="1:13" ht="14.5" x14ac:dyDescent="0.35">
      <c r="A378" s="260" t="s">
        <v>1164</v>
      </c>
      <c r="B378" s="260" t="s">
        <v>752</v>
      </c>
      <c r="C378" s="190">
        <v>45810</v>
      </c>
      <c r="D378" s="197">
        <v>192.62</v>
      </c>
      <c r="E378" s="260" t="s">
        <v>564</v>
      </c>
      <c r="F378" s="260" t="s">
        <v>793</v>
      </c>
      <c r="G378" s="196">
        <v>0</v>
      </c>
      <c r="H378" s="202">
        <v>46302</v>
      </c>
      <c r="I378" s="260" t="s">
        <v>588</v>
      </c>
      <c r="J378" s="196">
        <v>1</v>
      </c>
      <c r="K378" s="196">
        <v>0</v>
      </c>
      <c r="L378" s="260" t="s">
        <v>239</v>
      </c>
      <c r="M378" s="260" t="s">
        <v>514</v>
      </c>
    </row>
    <row r="379" spans="1:13" ht="14.5" x14ac:dyDescent="0.35">
      <c r="A379" s="260" t="s">
        <v>1165</v>
      </c>
      <c r="B379" s="260" t="s">
        <v>752</v>
      </c>
      <c r="C379" s="190">
        <v>45811</v>
      </c>
      <c r="D379" s="197">
        <v>192.24</v>
      </c>
      <c r="E379" s="260" t="s">
        <v>564</v>
      </c>
      <c r="F379" s="260" t="s">
        <v>793</v>
      </c>
      <c r="G379" s="196">
        <v>0</v>
      </c>
      <c r="H379" s="202">
        <v>46302</v>
      </c>
      <c r="I379" s="260" t="s">
        <v>588</v>
      </c>
      <c r="J379" s="196">
        <v>1</v>
      </c>
      <c r="K379" s="196">
        <v>0</v>
      </c>
      <c r="L379" s="260" t="s">
        <v>239</v>
      </c>
      <c r="M379" s="260" t="s">
        <v>514</v>
      </c>
    </row>
    <row r="380" spans="1:13" ht="14.5" x14ac:dyDescent="0.35">
      <c r="A380" s="260" t="s">
        <v>1166</v>
      </c>
      <c r="B380" s="260" t="s">
        <v>752</v>
      </c>
      <c r="C380" s="190">
        <v>45812</v>
      </c>
      <c r="D380" s="197">
        <v>191.86</v>
      </c>
      <c r="E380" s="260" t="s">
        <v>564</v>
      </c>
      <c r="F380" s="260" t="s">
        <v>793</v>
      </c>
      <c r="G380" s="196">
        <v>0</v>
      </c>
      <c r="H380" s="202">
        <v>46302</v>
      </c>
      <c r="I380" s="260" t="s">
        <v>588</v>
      </c>
      <c r="J380" s="196">
        <v>1</v>
      </c>
      <c r="K380" s="196">
        <v>0</v>
      </c>
      <c r="L380" s="260" t="s">
        <v>239</v>
      </c>
      <c r="M380" s="260" t="s">
        <v>514</v>
      </c>
    </row>
    <row r="381" spans="1:13" ht="14.5" x14ac:dyDescent="0.35">
      <c r="A381" s="260" t="s">
        <v>1167</v>
      </c>
      <c r="B381" s="260" t="s">
        <v>752</v>
      </c>
      <c r="C381" s="190">
        <v>45813</v>
      </c>
      <c r="D381" s="197">
        <v>191.48</v>
      </c>
      <c r="E381" s="260" t="s">
        <v>564</v>
      </c>
      <c r="F381" s="260" t="s">
        <v>793</v>
      </c>
      <c r="G381" s="196">
        <v>0</v>
      </c>
      <c r="H381" s="202">
        <v>46302</v>
      </c>
      <c r="I381" s="260" t="s">
        <v>588</v>
      </c>
      <c r="J381" s="196">
        <v>1</v>
      </c>
      <c r="K381" s="196">
        <v>0</v>
      </c>
      <c r="L381" s="260" t="s">
        <v>239</v>
      </c>
      <c r="M381" s="260" t="s">
        <v>514</v>
      </c>
    </row>
    <row r="382" spans="1:13" ht="14.5" x14ac:dyDescent="0.35">
      <c r="A382" s="260" t="s">
        <v>1168</v>
      </c>
      <c r="B382" s="260" t="s">
        <v>752</v>
      </c>
      <c r="C382" s="190">
        <v>45814</v>
      </c>
      <c r="D382" s="197">
        <v>191.1</v>
      </c>
      <c r="E382" s="260" t="s">
        <v>564</v>
      </c>
      <c r="F382" s="260" t="s">
        <v>793</v>
      </c>
      <c r="G382" s="196">
        <v>0</v>
      </c>
      <c r="H382" s="202">
        <v>46302</v>
      </c>
      <c r="I382" s="260" t="s">
        <v>588</v>
      </c>
      <c r="J382" s="196">
        <v>1</v>
      </c>
      <c r="K382" s="196">
        <v>0</v>
      </c>
      <c r="L382" s="260" t="s">
        <v>239</v>
      </c>
      <c r="M382" s="260" t="s">
        <v>514</v>
      </c>
    </row>
    <row r="383" spans="1:13" ht="14.5" x14ac:dyDescent="0.35">
      <c r="A383" s="260" t="s">
        <v>1169</v>
      </c>
      <c r="B383" s="260" t="s">
        <v>752</v>
      </c>
      <c r="C383" s="190">
        <v>45817</v>
      </c>
      <c r="D383" s="197">
        <v>189.97</v>
      </c>
      <c r="E383" s="260" t="s">
        <v>564</v>
      </c>
      <c r="F383" s="260" t="s">
        <v>793</v>
      </c>
      <c r="G383" s="196">
        <v>0</v>
      </c>
      <c r="H383" s="202">
        <v>46302</v>
      </c>
      <c r="I383" s="260" t="s">
        <v>588</v>
      </c>
      <c r="J383" s="196">
        <v>1</v>
      </c>
      <c r="K383" s="196">
        <v>0</v>
      </c>
      <c r="L383" s="260" t="s">
        <v>239</v>
      </c>
      <c r="M383" s="260" t="s">
        <v>514</v>
      </c>
    </row>
    <row r="384" spans="1:13" ht="14.5" x14ac:dyDescent="0.35">
      <c r="A384" s="260" t="s">
        <v>1170</v>
      </c>
      <c r="B384" s="260" t="s">
        <v>752</v>
      </c>
      <c r="C384" s="190">
        <v>45818</v>
      </c>
      <c r="D384" s="197">
        <v>189.59</v>
      </c>
      <c r="E384" s="260" t="s">
        <v>564</v>
      </c>
      <c r="F384" s="260" t="s">
        <v>793</v>
      </c>
      <c r="G384" s="196">
        <v>0</v>
      </c>
      <c r="H384" s="202">
        <v>46302</v>
      </c>
      <c r="I384" s="260" t="s">
        <v>588</v>
      </c>
      <c r="J384" s="196">
        <v>1</v>
      </c>
      <c r="K384" s="196">
        <v>0</v>
      </c>
      <c r="L384" s="260" t="s">
        <v>239</v>
      </c>
      <c r="M384" s="260" t="s">
        <v>514</v>
      </c>
    </row>
    <row r="385" spans="1:13" ht="14.5" x14ac:dyDescent="0.35">
      <c r="A385" s="260" t="s">
        <v>1171</v>
      </c>
      <c r="B385" s="260" t="s">
        <v>752</v>
      </c>
      <c r="C385" s="190">
        <v>45819</v>
      </c>
      <c r="D385" s="197">
        <v>189.21</v>
      </c>
      <c r="E385" s="260" t="s">
        <v>564</v>
      </c>
      <c r="F385" s="260" t="s">
        <v>793</v>
      </c>
      <c r="G385" s="196">
        <v>0</v>
      </c>
      <c r="H385" s="202">
        <v>46302</v>
      </c>
      <c r="I385" s="260" t="s">
        <v>588</v>
      </c>
      <c r="J385" s="196">
        <v>1</v>
      </c>
      <c r="K385" s="196">
        <v>0</v>
      </c>
      <c r="L385" s="260" t="s">
        <v>239</v>
      </c>
      <c r="M385" s="260" t="s">
        <v>514</v>
      </c>
    </row>
    <row r="386" spans="1:13" ht="14.5" x14ac:dyDescent="0.35">
      <c r="A386" s="260" t="s">
        <v>1172</v>
      </c>
      <c r="B386" s="260" t="s">
        <v>752</v>
      </c>
      <c r="C386" s="190">
        <v>45820</v>
      </c>
      <c r="D386" s="197">
        <v>188.83</v>
      </c>
      <c r="E386" s="260" t="s">
        <v>564</v>
      </c>
      <c r="F386" s="260" t="s">
        <v>793</v>
      </c>
      <c r="G386" s="196">
        <v>0</v>
      </c>
      <c r="H386" s="202">
        <v>46302</v>
      </c>
      <c r="I386" s="260" t="s">
        <v>588</v>
      </c>
      <c r="J386" s="196">
        <v>1</v>
      </c>
      <c r="K386" s="196">
        <v>0</v>
      </c>
      <c r="L386" s="260" t="s">
        <v>239</v>
      </c>
      <c r="M386" s="260" t="s">
        <v>514</v>
      </c>
    </row>
    <row r="387" spans="1:13" ht="14.5" x14ac:dyDescent="0.35">
      <c r="A387" s="260" t="s">
        <v>1173</v>
      </c>
      <c r="B387" s="260" t="s">
        <v>752</v>
      </c>
      <c r="C387" s="190">
        <v>45821</v>
      </c>
      <c r="D387" s="197">
        <v>188.45</v>
      </c>
      <c r="E387" s="260" t="s">
        <v>564</v>
      </c>
      <c r="F387" s="260" t="s">
        <v>793</v>
      </c>
      <c r="G387" s="196">
        <v>0</v>
      </c>
      <c r="H387" s="202">
        <v>46302</v>
      </c>
      <c r="I387" s="260" t="s">
        <v>588</v>
      </c>
      <c r="J387" s="196">
        <v>1</v>
      </c>
      <c r="K387" s="196">
        <v>0</v>
      </c>
      <c r="L387" s="260" t="s">
        <v>239</v>
      </c>
      <c r="M387" s="260" t="s">
        <v>514</v>
      </c>
    </row>
    <row r="388" spans="1:13" ht="14.5" x14ac:dyDescent="0.35">
      <c r="A388" s="260" t="s">
        <v>1174</v>
      </c>
      <c r="B388" s="260" t="s">
        <v>752</v>
      </c>
      <c r="C388" s="190">
        <v>45824</v>
      </c>
      <c r="D388" s="197">
        <v>187.31</v>
      </c>
      <c r="E388" s="260" t="s">
        <v>564</v>
      </c>
      <c r="F388" s="260" t="s">
        <v>793</v>
      </c>
      <c r="G388" s="196">
        <v>0</v>
      </c>
      <c r="H388" s="202">
        <v>46302</v>
      </c>
      <c r="I388" s="260" t="s">
        <v>588</v>
      </c>
      <c r="J388" s="196">
        <v>1</v>
      </c>
      <c r="K388" s="196">
        <v>0</v>
      </c>
      <c r="L388" s="260" t="s">
        <v>239</v>
      </c>
      <c r="M388" s="260" t="s">
        <v>514</v>
      </c>
    </row>
    <row r="389" spans="1:13" ht="14.5" x14ac:dyDescent="0.35">
      <c r="A389" s="260" t="s">
        <v>1175</v>
      </c>
      <c r="B389" s="260" t="s">
        <v>752</v>
      </c>
      <c r="C389" s="190">
        <v>45825</v>
      </c>
      <c r="D389" s="197">
        <v>186.93</v>
      </c>
      <c r="E389" s="260" t="s">
        <v>564</v>
      </c>
      <c r="F389" s="260" t="s">
        <v>793</v>
      </c>
      <c r="G389" s="196">
        <v>0</v>
      </c>
      <c r="H389" s="202">
        <v>46302</v>
      </c>
      <c r="I389" s="260" t="s">
        <v>588</v>
      </c>
      <c r="J389" s="196">
        <v>1</v>
      </c>
      <c r="K389" s="196">
        <v>0</v>
      </c>
      <c r="L389" s="260" t="s">
        <v>239</v>
      </c>
      <c r="M389" s="260" t="s">
        <v>514</v>
      </c>
    </row>
    <row r="390" spans="1:13" ht="14.5" x14ac:dyDescent="0.35">
      <c r="A390" s="260" t="s">
        <v>1176</v>
      </c>
      <c r="B390" s="260" t="s">
        <v>752</v>
      </c>
      <c r="C390" s="190">
        <v>45826</v>
      </c>
      <c r="D390" s="197">
        <v>186.55</v>
      </c>
      <c r="E390" s="260" t="s">
        <v>564</v>
      </c>
      <c r="F390" s="260" t="s">
        <v>793</v>
      </c>
      <c r="G390" s="196">
        <v>0</v>
      </c>
      <c r="H390" s="202">
        <v>46302</v>
      </c>
      <c r="I390" s="260" t="s">
        <v>588</v>
      </c>
      <c r="J390" s="196">
        <v>1</v>
      </c>
      <c r="K390" s="196">
        <v>0</v>
      </c>
      <c r="L390" s="260" t="s">
        <v>239</v>
      </c>
      <c r="M390" s="260" t="s">
        <v>514</v>
      </c>
    </row>
    <row r="391" spans="1:13" ht="14.5" x14ac:dyDescent="0.35">
      <c r="A391" s="260" t="s">
        <v>1177</v>
      </c>
      <c r="B391" s="260" t="s">
        <v>752</v>
      </c>
      <c r="C391" s="190">
        <v>45827</v>
      </c>
      <c r="D391" s="197">
        <v>186.17</v>
      </c>
      <c r="E391" s="260" t="s">
        <v>564</v>
      </c>
      <c r="F391" s="260" t="s">
        <v>793</v>
      </c>
      <c r="G391" s="196">
        <v>0</v>
      </c>
      <c r="H391" s="202">
        <v>46302</v>
      </c>
      <c r="I391" s="260" t="s">
        <v>588</v>
      </c>
      <c r="J391" s="196">
        <v>1</v>
      </c>
      <c r="K391" s="196">
        <v>0</v>
      </c>
      <c r="L391" s="260" t="s">
        <v>239</v>
      </c>
      <c r="M391" s="260" t="s">
        <v>514</v>
      </c>
    </row>
    <row r="392" spans="1:13" ht="14.5" x14ac:dyDescent="0.35">
      <c r="A392" s="260" t="s">
        <v>1178</v>
      </c>
      <c r="B392" s="260" t="s">
        <v>752</v>
      </c>
      <c r="C392" s="190">
        <v>45828</v>
      </c>
      <c r="D392" s="197">
        <v>185.79</v>
      </c>
      <c r="E392" s="260" t="s">
        <v>564</v>
      </c>
      <c r="F392" s="260" t="s">
        <v>793</v>
      </c>
      <c r="G392" s="196">
        <v>0</v>
      </c>
      <c r="H392" s="202">
        <v>46302</v>
      </c>
      <c r="I392" s="260" t="s">
        <v>588</v>
      </c>
      <c r="J392" s="196">
        <v>1</v>
      </c>
      <c r="K392" s="196">
        <v>0</v>
      </c>
      <c r="L392" s="260" t="s">
        <v>239</v>
      </c>
      <c r="M392" s="260" t="s">
        <v>514</v>
      </c>
    </row>
    <row r="393" spans="1:13" ht="14.5" x14ac:dyDescent="0.35">
      <c r="A393" s="260" t="s">
        <v>1179</v>
      </c>
      <c r="B393" s="260" t="s">
        <v>752</v>
      </c>
      <c r="C393" s="190">
        <v>45831</v>
      </c>
      <c r="D393" s="197">
        <v>184.66</v>
      </c>
      <c r="E393" s="260" t="s">
        <v>564</v>
      </c>
      <c r="F393" s="260" t="s">
        <v>793</v>
      </c>
      <c r="G393" s="196">
        <v>0</v>
      </c>
      <c r="H393" s="202">
        <v>46302</v>
      </c>
      <c r="I393" s="260" t="s">
        <v>588</v>
      </c>
      <c r="J393" s="196">
        <v>1</v>
      </c>
      <c r="K393" s="196">
        <v>0</v>
      </c>
      <c r="L393" s="260" t="s">
        <v>239</v>
      </c>
      <c r="M393" s="260" t="s">
        <v>514</v>
      </c>
    </row>
    <row r="394" spans="1:13" ht="14.5" x14ac:dyDescent="0.35">
      <c r="A394" s="260" t="s">
        <v>1180</v>
      </c>
      <c r="B394" s="260" t="s">
        <v>752</v>
      </c>
      <c r="C394" s="190">
        <v>45832</v>
      </c>
      <c r="D394" s="197">
        <v>184.28</v>
      </c>
      <c r="E394" s="260" t="s">
        <v>564</v>
      </c>
      <c r="F394" s="260" t="s">
        <v>793</v>
      </c>
      <c r="G394" s="196">
        <v>0</v>
      </c>
      <c r="H394" s="202">
        <v>46302</v>
      </c>
      <c r="I394" s="260" t="s">
        <v>588</v>
      </c>
      <c r="J394" s="196">
        <v>1</v>
      </c>
      <c r="K394" s="196">
        <v>0</v>
      </c>
      <c r="L394" s="260" t="s">
        <v>239</v>
      </c>
      <c r="M394" s="260" t="s">
        <v>514</v>
      </c>
    </row>
    <row r="395" spans="1:13" ht="14.5" x14ac:dyDescent="0.35">
      <c r="A395" s="260" t="s">
        <v>1181</v>
      </c>
      <c r="B395" s="260" t="s">
        <v>752</v>
      </c>
      <c r="C395" s="190">
        <v>45833</v>
      </c>
      <c r="D395" s="197">
        <v>183.9</v>
      </c>
      <c r="E395" s="260" t="s">
        <v>564</v>
      </c>
      <c r="F395" s="260" t="s">
        <v>793</v>
      </c>
      <c r="G395" s="196">
        <v>0</v>
      </c>
      <c r="H395" s="202">
        <v>46302</v>
      </c>
      <c r="I395" s="260" t="s">
        <v>588</v>
      </c>
      <c r="J395" s="196">
        <v>1</v>
      </c>
      <c r="K395" s="196">
        <v>0</v>
      </c>
      <c r="L395" s="260" t="s">
        <v>239</v>
      </c>
      <c r="M395" s="260" t="s">
        <v>514</v>
      </c>
    </row>
    <row r="396" spans="1:13" ht="14.5" x14ac:dyDescent="0.35">
      <c r="A396" s="260" t="s">
        <v>1182</v>
      </c>
      <c r="B396" s="260" t="s">
        <v>752</v>
      </c>
      <c r="C396" s="190">
        <v>45834</v>
      </c>
      <c r="D396" s="197">
        <v>183.52</v>
      </c>
      <c r="E396" s="260" t="s">
        <v>564</v>
      </c>
      <c r="F396" s="260" t="s">
        <v>793</v>
      </c>
      <c r="G396" s="196">
        <v>0</v>
      </c>
      <c r="H396" s="202">
        <v>46302</v>
      </c>
      <c r="I396" s="260" t="s">
        <v>588</v>
      </c>
      <c r="J396" s="196">
        <v>1</v>
      </c>
      <c r="K396" s="196">
        <v>0</v>
      </c>
      <c r="L396" s="260" t="s">
        <v>239</v>
      </c>
      <c r="M396" s="260" t="s">
        <v>514</v>
      </c>
    </row>
    <row r="397" spans="1:13" ht="14.5" x14ac:dyDescent="0.35">
      <c r="A397" s="260" t="s">
        <v>1183</v>
      </c>
      <c r="B397" s="260" t="s">
        <v>752</v>
      </c>
      <c r="C397" s="190">
        <v>45835</v>
      </c>
      <c r="D397" s="197">
        <v>183.14</v>
      </c>
      <c r="E397" s="260" t="s">
        <v>564</v>
      </c>
      <c r="F397" s="260" t="s">
        <v>793</v>
      </c>
      <c r="G397" s="196">
        <v>0</v>
      </c>
      <c r="H397" s="202">
        <v>46302</v>
      </c>
      <c r="I397" s="260" t="s">
        <v>588</v>
      </c>
      <c r="J397" s="196">
        <v>1</v>
      </c>
      <c r="K397" s="196">
        <v>0</v>
      </c>
      <c r="L397" s="260" t="s">
        <v>239</v>
      </c>
      <c r="M397" s="260" t="s">
        <v>514</v>
      </c>
    </row>
    <row r="398" spans="1:13" ht="14.5" x14ac:dyDescent="0.35">
      <c r="A398" s="260" t="s">
        <v>1184</v>
      </c>
      <c r="B398" s="260" t="s">
        <v>752</v>
      </c>
      <c r="C398" s="190">
        <v>45838</v>
      </c>
      <c r="D398" s="197">
        <v>182</v>
      </c>
      <c r="E398" s="260" t="s">
        <v>564</v>
      </c>
      <c r="F398" s="260" t="s">
        <v>793</v>
      </c>
      <c r="G398" s="196">
        <v>0</v>
      </c>
      <c r="H398" s="202">
        <v>46302</v>
      </c>
      <c r="I398" s="260" t="s">
        <v>588</v>
      </c>
      <c r="J398" s="196">
        <v>1</v>
      </c>
      <c r="K398" s="196">
        <v>0</v>
      </c>
      <c r="L398" s="260" t="s">
        <v>239</v>
      </c>
      <c r="M398" s="260" t="s">
        <v>514</v>
      </c>
    </row>
    <row r="399" spans="1:13" ht="14.5" x14ac:dyDescent="0.35">
      <c r="A399" s="260" t="s">
        <v>1185</v>
      </c>
      <c r="B399" s="260" t="s">
        <v>752</v>
      </c>
      <c r="C399" s="190">
        <v>45839</v>
      </c>
      <c r="D399" s="197">
        <v>182</v>
      </c>
      <c r="E399" s="260" t="s">
        <v>564</v>
      </c>
      <c r="F399" s="260" t="s">
        <v>793</v>
      </c>
      <c r="G399" s="196">
        <v>0</v>
      </c>
      <c r="H399" s="202">
        <v>46302</v>
      </c>
      <c r="I399" s="260" t="s">
        <v>588</v>
      </c>
      <c r="J399" s="196">
        <v>1</v>
      </c>
      <c r="K399" s="196">
        <v>0</v>
      </c>
      <c r="L399" s="260" t="s">
        <v>239</v>
      </c>
      <c r="M399" s="260" t="s">
        <v>514</v>
      </c>
    </row>
    <row r="400" spans="1:13" ht="14.5" x14ac:dyDescent="0.35">
      <c r="A400" s="260" t="s">
        <v>1186</v>
      </c>
      <c r="B400" s="260" t="s">
        <v>752</v>
      </c>
      <c r="C400" s="190">
        <v>45840</v>
      </c>
      <c r="D400" s="197">
        <v>181.87</v>
      </c>
      <c r="E400" s="260" t="s">
        <v>564</v>
      </c>
      <c r="F400" s="260" t="s">
        <v>793</v>
      </c>
      <c r="G400" s="196">
        <v>0</v>
      </c>
      <c r="H400" s="202">
        <v>46302</v>
      </c>
      <c r="I400" s="260" t="s">
        <v>588</v>
      </c>
      <c r="J400" s="196">
        <v>1</v>
      </c>
      <c r="K400" s="196">
        <v>0</v>
      </c>
      <c r="L400" s="260" t="s">
        <v>239</v>
      </c>
      <c r="M400" s="260" t="s">
        <v>514</v>
      </c>
    </row>
    <row r="401" spans="1:13" ht="14.5" x14ac:dyDescent="0.35">
      <c r="A401" s="260" t="s">
        <v>1187</v>
      </c>
      <c r="B401" s="260" t="s">
        <v>752</v>
      </c>
      <c r="C401" s="190">
        <v>45841</v>
      </c>
      <c r="D401" s="197">
        <v>181.73</v>
      </c>
      <c r="E401" s="260" t="s">
        <v>564</v>
      </c>
      <c r="F401" s="260" t="s">
        <v>793</v>
      </c>
      <c r="G401" s="196">
        <v>0</v>
      </c>
      <c r="H401" s="202">
        <v>46302</v>
      </c>
      <c r="I401" s="260" t="s">
        <v>588</v>
      </c>
      <c r="J401" s="196">
        <v>1</v>
      </c>
      <c r="K401" s="196">
        <v>0</v>
      </c>
      <c r="L401" s="260" t="s">
        <v>239</v>
      </c>
      <c r="M401" s="260" t="s">
        <v>514</v>
      </c>
    </row>
    <row r="402" spans="1:13" ht="14.5" x14ac:dyDescent="0.35">
      <c r="A402" s="260" t="s">
        <v>1188</v>
      </c>
      <c r="B402" s="260" t="s">
        <v>752</v>
      </c>
      <c r="C402" s="190">
        <v>45842</v>
      </c>
      <c r="D402" s="197">
        <v>181.6</v>
      </c>
      <c r="E402" s="260" t="s">
        <v>564</v>
      </c>
      <c r="F402" s="260" t="s">
        <v>793</v>
      </c>
      <c r="G402" s="196">
        <v>0</v>
      </c>
      <c r="H402" s="202">
        <v>46302</v>
      </c>
      <c r="I402" s="260" t="s">
        <v>588</v>
      </c>
      <c r="J402" s="196">
        <v>1</v>
      </c>
      <c r="K402" s="196">
        <v>0</v>
      </c>
      <c r="L402" s="260" t="s">
        <v>239</v>
      </c>
      <c r="M402" s="260" t="s">
        <v>514</v>
      </c>
    </row>
    <row r="403" spans="1:13" ht="14.5" x14ac:dyDescent="0.35">
      <c r="A403" s="260" t="s">
        <v>1189</v>
      </c>
      <c r="B403" s="260" t="s">
        <v>752</v>
      </c>
      <c r="C403" s="190">
        <v>45845</v>
      </c>
      <c r="D403" s="197">
        <v>181.2</v>
      </c>
      <c r="E403" s="260" t="s">
        <v>564</v>
      </c>
      <c r="F403" s="260" t="s">
        <v>793</v>
      </c>
      <c r="G403" s="196">
        <v>0</v>
      </c>
      <c r="H403" s="202">
        <v>46302</v>
      </c>
      <c r="I403" s="260" t="s">
        <v>588</v>
      </c>
      <c r="J403" s="196">
        <v>1</v>
      </c>
      <c r="K403" s="196">
        <v>0</v>
      </c>
      <c r="L403" s="260" t="s">
        <v>239</v>
      </c>
      <c r="M403" s="260" t="s">
        <v>514</v>
      </c>
    </row>
    <row r="404" spans="1:13" ht="14.5" x14ac:dyDescent="0.35">
      <c r="A404" s="260" t="s">
        <v>1190</v>
      </c>
      <c r="B404" s="260" t="s">
        <v>752</v>
      </c>
      <c r="C404" s="190">
        <v>45846</v>
      </c>
      <c r="D404" s="197">
        <v>181.07</v>
      </c>
      <c r="E404" s="260" t="s">
        <v>564</v>
      </c>
      <c r="F404" s="260" t="s">
        <v>793</v>
      </c>
      <c r="G404" s="196">
        <v>0</v>
      </c>
      <c r="H404" s="202">
        <v>46302</v>
      </c>
      <c r="I404" s="260" t="s">
        <v>588</v>
      </c>
      <c r="J404" s="196">
        <v>1</v>
      </c>
      <c r="K404" s="196">
        <v>0</v>
      </c>
      <c r="L404" s="260" t="s">
        <v>239</v>
      </c>
      <c r="M404" s="260" t="s">
        <v>514</v>
      </c>
    </row>
    <row r="405" spans="1:13" ht="14.5" x14ac:dyDescent="0.35">
      <c r="A405" s="260" t="s">
        <v>1191</v>
      </c>
      <c r="B405" s="260" t="s">
        <v>752</v>
      </c>
      <c r="C405" s="190">
        <v>45847</v>
      </c>
      <c r="D405" s="197">
        <v>180.93</v>
      </c>
      <c r="E405" s="260" t="s">
        <v>564</v>
      </c>
      <c r="F405" s="260" t="s">
        <v>793</v>
      </c>
      <c r="G405" s="196">
        <v>0</v>
      </c>
      <c r="H405" s="202">
        <v>46302</v>
      </c>
      <c r="I405" s="260" t="s">
        <v>588</v>
      </c>
      <c r="J405" s="196">
        <v>1</v>
      </c>
      <c r="K405" s="196">
        <v>0</v>
      </c>
      <c r="L405" s="260" t="s">
        <v>239</v>
      </c>
      <c r="M405" s="260" t="s">
        <v>514</v>
      </c>
    </row>
    <row r="406" spans="1:13" ht="14.5" x14ac:dyDescent="0.35">
      <c r="A406" s="260" t="s">
        <v>1192</v>
      </c>
      <c r="B406" s="260" t="s">
        <v>752</v>
      </c>
      <c r="C406" s="190">
        <v>45848</v>
      </c>
      <c r="D406" s="197">
        <v>180.8</v>
      </c>
      <c r="E406" s="260" t="s">
        <v>564</v>
      </c>
      <c r="F406" s="260" t="s">
        <v>793</v>
      </c>
      <c r="G406" s="196">
        <v>0</v>
      </c>
      <c r="H406" s="202">
        <v>46302</v>
      </c>
      <c r="I406" s="260" t="s">
        <v>588</v>
      </c>
      <c r="J406" s="196">
        <v>1</v>
      </c>
      <c r="K406" s="196">
        <v>0</v>
      </c>
      <c r="L406" s="260" t="s">
        <v>239</v>
      </c>
      <c r="M406" s="260" t="s">
        <v>514</v>
      </c>
    </row>
    <row r="407" spans="1:13" ht="14.5" x14ac:dyDescent="0.35">
      <c r="A407" s="260" t="s">
        <v>1193</v>
      </c>
      <c r="B407" s="260" t="s">
        <v>752</v>
      </c>
      <c r="C407" s="190">
        <v>45849</v>
      </c>
      <c r="D407" s="197">
        <v>180.67</v>
      </c>
      <c r="E407" s="260" t="s">
        <v>564</v>
      </c>
      <c r="F407" s="260" t="s">
        <v>793</v>
      </c>
      <c r="G407" s="196">
        <v>0</v>
      </c>
      <c r="H407" s="202">
        <v>46302</v>
      </c>
      <c r="I407" s="260" t="s">
        <v>588</v>
      </c>
      <c r="J407" s="196">
        <v>1</v>
      </c>
      <c r="K407" s="196">
        <v>0</v>
      </c>
      <c r="L407" s="260" t="s">
        <v>239</v>
      </c>
      <c r="M407" s="260" t="s">
        <v>514</v>
      </c>
    </row>
    <row r="408" spans="1:13" ht="14.5" x14ac:dyDescent="0.35">
      <c r="A408" s="260" t="s">
        <v>1194</v>
      </c>
      <c r="B408" s="260" t="s">
        <v>752</v>
      </c>
      <c r="C408" s="190">
        <v>45852</v>
      </c>
      <c r="D408" s="197">
        <v>180.27</v>
      </c>
      <c r="E408" s="260" t="s">
        <v>564</v>
      </c>
      <c r="F408" s="260" t="s">
        <v>793</v>
      </c>
      <c r="G408" s="196">
        <v>0</v>
      </c>
      <c r="H408" s="202">
        <v>46302</v>
      </c>
      <c r="I408" s="260" t="s">
        <v>588</v>
      </c>
      <c r="J408" s="196">
        <v>1</v>
      </c>
      <c r="K408" s="196">
        <v>0</v>
      </c>
      <c r="L408" s="260" t="s">
        <v>239</v>
      </c>
      <c r="M408" s="260" t="s">
        <v>514</v>
      </c>
    </row>
    <row r="409" spans="1:13" ht="14.5" x14ac:dyDescent="0.35">
      <c r="A409" s="260" t="s">
        <v>1195</v>
      </c>
      <c r="B409" s="260" t="s">
        <v>752</v>
      </c>
      <c r="C409" s="190">
        <v>45853</v>
      </c>
      <c r="D409" s="197">
        <v>180.13</v>
      </c>
      <c r="E409" s="260" t="s">
        <v>564</v>
      </c>
      <c r="F409" s="260" t="s">
        <v>793</v>
      </c>
      <c r="G409" s="196">
        <v>0</v>
      </c>
      <c r="H409" s="202">
        <v>46302</v>
      </c>
      <c r="I409" s="260" t="s">
        <v>588</v>
      </c>
      <c r="J409" s="196">
        <v>1</v>
      </c>
      <c r="K409" s="196">
        <v>0</v>
      </c>
      <c r="L409" s="260" t="s">
        <v>239</v>
      </c>
      <c r="M409" s="260" t="s">
        <v>514</v>
      </c>
    </row>
    <row r="410" spans="1:13" ht="14.5" x14ac:dyDescent="0.35">
      <c r="A410" s="260" t="s">
        <v>1196</v>
      </c>
      <c r="B410" s="260" t="s">
        <v>752</v>
      </c>
      <c r="C410" s="190">
        <v>45854</v>
      </c>
      <c r="D410" s="197">
        <v>180</v>
      </c>
      <c r="E410" s="260" t="s">
        <v>564</v>
      </c>
      <c r="F410" s="260" t="s">
        <v>793</v>
      </c>
      <c r="G410" s="196">
        <v>0</v>
      </c>
      <c r="H410" s="202">
        <v>46302</v>
      </c>
      <c r="I410" s="260" t="s">
        <v>588</v>
      </c>
      <c r="J410" s="196">
        <v>1</v>
      </c>
      <c r="K410" s="196">
        <v>0</v>
      </c>
      <c r="L410" s="260" t="s">
        <v>239</v>
      </c>
      <c r="M410" s="260" t="s">
        <v>514</v>
      </c>
    </row>
    <row r="411" spans="1:13" ht="14.5" x14ac:dyDescent="0.35">
      <c r="A411" s="260" t="s">
        <v>1197</v>
      </c>
      <c r="B411" s="260" t="s">
        <v>752</v>
      </c>
      <c r="C411" s="190">
        <v>45855</v>
      </c>
      <c r="D411" s="197">
        <v>179.87</v>
      </c>
      <c r="E411" s="260" t="s">
        <v>564</v>
      </c>
      <c r="F411" s="260" t="s">
        <v>793</v>
      </c>
      <c r="G411" s="196">
        <v>0</v>
      </c>
      <c r="H411" s="202">
        <v>46302</v>
      </c>
      <c r="I411" s="260" t="s">
        <v>588</v>
      </c>
      <c r="J411" s="196">
        <v>1</v>
      </c>
      <c r="K411" s="196">
        <v>0</v>
      </c>
      <c r="L411" s="260" t="s">
        <v>239</v>
      </c>
      <c r="M411" s="260" t="s">
        <v>514</v>
      </c>
    </row>
    <row r="412" spans="1:13" ht="14.5" x14ac:dyDescent="0.35">
      <c r="A412" s="260" t="s">
        <v>1198</v>
      </c>
      <c r="B412" s="260" t="s">
        <v>752</v>
      </c>
      <c r="C412" s="190">
        <v>45856</v>
      </c>
      <c r="D412" s="197">
        <v>179.73</v>
      </c>
      <c r="E412" s="260" t="s">
        <v>564</v>
      </c>
      <c r="F412" s="260" t="s">
        <v>793</v>
      </c>
      <c r="G412" s="196">
        <v>0</v>
      </c>
      <c r="H412" s="202">
        <v>46302</v>
      </c>
      <c r="I412" s="260" t="s">
        <v>588</v>
      </c>
      <c r="J412" s="196">
        <v>1</v>
      </c>
      <c r="K412" s="196">
        <v>0</v>
      </c>
      <c r="L412" s="260" t="s">
        <v>239</v>
      </c>
      <c r="M412" s="260" t="s">
        <v>514</v>
      </c>
    </row>
    <row r="413" spans="1:13" ht="14.5" x14ac:dyDescent="0.35">
      <c r="A413" s="260" t="s">
        <v>1199</v>
      </c>
      <c r="B413" s="260" t="s">
        <v>752</v>
      </c>
      <c r="C413" s="190">
        <v>45859</v>
      </c>
      <c r="D413" s="197">
        <v>179.33</v>
      </c>
      <c r="E413" s="260" t="s">
        <v>564</v>
      </c>
      <c r="F413" s="260" t="s">
        <v>793</v>
      </c>
      <c r="G413" s="196">
        <v>0</v>
      </c>
      <c r="H413" s="202">
        <v>46302</v>
      </c>
      <c r="I413" s="260" t="s">
        <v>588</v>
      </c>
      <c r="J413" s="196">
        <v>1</v>
      </c>
      <c r="K413" s="196">
        <v>0</v>
      </c>
      <c r="L413" s="260" t="s">
        <v>239</v>
      </c>
      <c r="M413" s="260" t="s">
        <v>514</v>
      </c>
    </row>
    <row r="414" spans="1:13" ht="14.5" x14ac:dyDescent="0.35">
      <c r="A414" s="260" t="s">
        <v>1200</v>
      </c>
      <c r="B414" s="260" t="s">
        <v>752</v>
      </c>
      <c r="C414" s="190">
        <v>45860</v>
      </c>
      <c r="D414" s="197">
        <v>179.2</v>
      </c>
      <c r="E414" s="260" t="s">
        <v>564</v>
      </c>
      <c r="F414" s="260" t="s">
        <v>793</v>
      </c>
      <c r="G414" s="196">
        <v>0</v>
      </c>
      <c r="H414" s="202">
        <v>46302</v>
      </c>
      <c r="I414" s="260" t="s">
        <v>588</v>
      </c>
      <c r="J414" s="196">
        <v>1</v>
      </c>
      <c r="K414" s="196">
        <v>0</v>
      </c>
      <c r="L414" s="260" t="s">
        <v>239</v>
      </c>
      <c r="M414" s="260" t="s">
        <v>514</v>
      </c>
    </row>
    <row r="415" spans="1:13" ht="14.5" x14ac:dyDescent="0.35">
      <c r="A415" s="260" t="s">
        <v>1201</v>
      </c>
      <c r="B415" s="260" t="s">
        <v>752</v>
      </c>
      <c r="C415" s="190">
        <v>45861</v>
      </c>
      <c r="D415" s="197">
        <v>179.07</v>
      </c>
      <c r="E415" s="260" t="s">
        <v>564</v>
      </c>
      <c r="F415" s="260" t="s">
        <v>793</v>
      </c>
      <c r="G415" s="196">
        <v>0</v>
      </c>
      <c r="H415" s="202">
        <v>46302</v>
      </c>
      <c r="I415" s="260" t="s">
        <v>588</v>
      </c>
      <c r="J415" s="196">
        <v>1</v>
      </c>
      <c r="K415" s="196">
        <v>0</v>
      </c>
      <c r="L415" s="260" t="s">
        <v>239</v>
      </c>
      <c r="M415" s="260" t="s">
        <v>514</v>
      </c>
    </row>
    <row r="416" spans="1:13" ht="14.5" x14ac:dyDescent="0.35">
      <c r="A416" s="260" t="s">
        <v>1202</v>
      </c>
      <c r="B416" s="260" t="s">
        <v>752</v>
      </c>
      <c r="C416" s="190">
        <v>45862</v>
      </c>
      <c r="D416" s="197">
        <v>178.93</v>
      </c>
      <c r="E416" s="260" t="s">
        <v>564</v>
      </c>
      <c r="F416" s="260" t="s">
        <v>793</v>
      </c>
      <c r="G416" s="196">
        <v>0</v>
      </c>
      <c r="H416" s="202">
        <v>46302</v>
      </c>
      <c r="I416" s="260" t="s">
        <v>588</v>
      </c>
      <c r="J416" s="196">
        <v>1</v>
      </c>
      <c r="K416" s="196">
        <v>0</v>
      </c>
      <c r="L416" s="260" t="s">
        <v>239</v>
      </c>
      <c r="M416" s="260" t="s">
        <v>514</v>
      </c>
    </row>
    <row r="417" spans="1:13" ht="14.5" x14ac:dyDescent="0.35">
      <c r="A417" s="260" t="s">
        <v>1203</v>
      </c>
      <c r="B417" s="260" t="s">
        <v>752</v>
      </c>
      <c r="C417" s="190">
        <v>45863</v>
      </c>
      <c r="D417" s="197">
        <v>178.8</v>
      </c>
      <c r="E417" s="260" t="s">
        <v>564</v>
      </c>
      <c r="F417" s="260" t="s">
        <v>793</v>
      </c>
      <c r="G417" s="196">
        <v>0</v>
      </c>
      <c r="H417" s="202">
        <v>46302</v>
      </c>
      <c r="I417" s="260" t="s">
        <v>588</v>
      </c>
      <c r="J417" s="196">
        <v>1</v>
      </c>
      <c r="K417" s="196">
        <v>0</v>
      </c>
      <c r="L417" s="260" t="s">
        <v>239</v>
      </c>
      <c r="M417" s="260" t="s">
        <v>514</v>
      </c>
    </row>
    <row r="418" spans="1:13" ht="14.5" x14ac:dyDescent="0.35">
      <c r="A418" s="260" t="s">
        <v>1204</v>
      </c>
      <c r="B418" s="260" t="s">
        <v>752</v>
      </c>
      <c r="C418" s="190">
        <v>45866</v>
      </c>
      <c r="D418" s="197">
        <v>178.4</v>
      </c>
      <c r="E418" s="260" t="s">
        <v>564</v>
      </c>
      <c r="F418" s="260" t="s">
        <v>793</v>
      </c>
      <c r="G418" s="196">
        <v>0</v>
      </c>
      <c r="H418" s="202">
        <v>46302</v>
      </c>
      <c r="I418" s="260" t="s">
        <v>588</v>
      </c>
      <c r="J418" s="196">
        <v>1</v>
      </c>
      <c r="K418" s="196">
        <v>0</v>
      </c>
      <c r="L418" s="260" t="s">
        <v>239</v>
      </c>
      <c r="M418" s="260" t="s">
        <v>514</v>
      </c>
    </row>
    <row r="419" spans="1:13" ht="14.5" x14ac:dyDescent="0.35">
      <c r="A419" s="260" t="s">
        <v>1205</v>
      </c>
      <c r="B419" s="260" t="s">
        <v>752</v>
      </c>
      <c r="C419" s="190">
        <v>45867</v>
      </c>
      <c r="D419" s="197">
        <v>178.27</v>
      </c>
      <c r="E419" s="260" t="s">
        <v>564</v>
      </c>
      <c r="F419" s="260" t="s">
        <v>793</v>
      </c>
      <c r="G419" s="196">
        <v>0</v>
      </c>
      <c r="H419" s="202">
        <v>46302</v>
      </c>
      <c r="I419" s="260" t="s">
        <v>588</v>
      </c>
      <c r="J419" s="196">
        <v>1</v>
      </c>
      <c r="K419" s="196">
        <v>0</v>
      </c>
      <c r="L419" s="260" t="s">
        <v>239</v>
      </c>
      <c r="M419" s="260" t="s">
        <v>514</v>
      </c>
    </row>
    <row r="420" spans="1:13" ht="14.5" x14ac:dyDescent="0.35">
      <c r="A420" s="260" t="s">
        <v>1206</v>
      </c>
      <c r="B420" s="260" t="s">
        <v>752</v>
      </c>
      <c r="C420" s="190">
        <v>45868</v>
      </c>
      <c r="D420" s="197">
        <v>178.13</v>
      </c>
      <c r="E420" s="260" t="s">
        <v>564</v>
      </c>
      <c r="F420" s="260" t="s">
        <v>793</v>
      </c>
      <c r="G420" s="196">
        <v>0</v>
      </c>
      <c r="H420" s="202">
        <v>46302</v>
      </c>
      <c r="I420" s="260" t="s">
        <v>588</v>
      </c>
      <c r="J420" s="196">
        <v>1</v>
      </c>
      <c r="K420" s="196">
        <v>0</v>
      </c>
      <c r="L420" s="260" t="s">
        <v>239</v>
      </c>
      <c r="M420" s="260" t="s">
        <v>514</v>
      </c>
    </row>
    <row r="421" spans="1:13" ht="14.5" x14ac:dyDescent="0.35">
      <c r="A421" s="260" t="s">
        <v>1207</v>
      </c>
      <c r="B421" s="260" t="s">
        <v>752</v>
      </c>
      <c r="C421" s="190">
        <v>45869</v>
      </c>
      <c r="D421" s="197">
        <v>178</v>
      </c>
      <c r="E421" s="260" t="s">
        <v>564</v>
      </c>
      <c r="F421" s="260" t="s">
        <v>793</v>
      </c>
      <c r="G421" s="196">
        <v>0</v>
      </c>
      <c r="H421" s="202">
        <v>46302</v>
      </c>
      <c r="I421" s="260" t="s">
        <v>588</v>
      </c>
      <c r="J421" s="196">
        <v>1</v>
      </c>
      <c r="K421" s="196">
        <v>0</v>
      </c>
      <c r="L421" s="260" t="s">
        <v>239</v>
      </c>
      <c r="M421" s="260" t="s">
        <v>514</v>
      </c>
    </row>
    <row r="422" spans="1:13" ht="14.5" x14ac:dyDescent="0.35">
      <c r="A422" s="260" t="s">
        <v>1208</v>
      </c>
      <c r="B422" s="260" t="s">
        <v>752</v>
      </c>
      <c r="C422" s="190">
        <v>45870</v>
      </c>
      <c r="D422" s="197">
        <v>178</v>
      </c>
      <c r="E422" s="260" t="s">
        <v>564</v>
      </c>
      <c r="F422" s="260" t="s">
        <v>793</v>
      </c>
      <c r="G422" s="196">
        <v>0</v>
      </c>
      <c r="H422" s="202">
        <v>46302</v>
      </c>
      <c r="I422" s="260" t="s">
        <v>588</v>
      </c>
      <c r="J422" s="196">
        <v>1</v>
      </c>
      <c r="K422" s="196">
        <v>0</v>
      </c>
      <c r="L422" s="260" t="s">
        <v>239</v>
      </c>
      <c r="M422" s="260" t="s">
        <v>514</v>
      </c>
    </row>
    <row r="423" spans="1:13" ht="14.5" x14ac:dyDescent="0.35">
      <c r="A423" s="260" t="s">
        <v>1209</v>
      </c>
      <c r="B423" s="260" t="s">
        <v>752</v>
      </c>
      <c r="C423" s="190">
        <v>45873</v>
      </c>
      <c r="D423" s="197">
        <v>179.1</v>
      </c>
      <c r="E423" s="260" t="s">
        <v>564</v>
      </c>
      <c r="F423" s="260" t="s">
        <v>793</v>
      </c>
      <c r="G423" s="196">
        <v>0</v>
      </c>
      <c r="H423" s="202">
        <v>46302</v>
      </c>
      <c r="I423" s="260" t="s">
        <v>588</v>
      </c>
      <c r="J423" s="196">
        <v>1</v>
      </c>
      <c r="K423" s="196">
        <v>0</v>
      </c>
      <c r="L423" s="260" t="s">
        <v>239</v>
      </c>
      <c r="M423" s="260" t="s">
        <v>514</v>
      </c>
    </row>
    <row r="424" spans="1:13" ht="14.5" x14ac:dyDescent="0.35">
      <c r="A424" s="260" t="s">
        <v>1210</v>
      </c>
      <c r="B424" s="260" t="s">
        <v>752</v>
      </c>
      <c r="C424" s="190">
        <v>45874</v>
      </c>
      <c r="D424" s="197">
        <v>179.47</v>
      </c>
      <c r="E424" s="260" t="s">
        <v>564</v>
      </c>
      <c r="F424" s="260" t="s">
        <v>793</v>
      </c>
      <c r="G424" s="196">
        <v>0</v>
      </c>
      <c r="H424" s="202">
        <v>46302</v>
      </c>
      <c r="I424" s="260" t="s">
        <v>588</v>
      </c>
      <c r="J424" s="196">
        <v>1</v>
      </c>
      <c r="K424" s="196">
        <v>0</v>
      </c>
      <c r="L424" s="260" t="s">
        <v>239</v>
      </c>
      <c r="M424" s="260" t="s">
        <v>514</v>
      </c>
    </row>
    <row r="425" spans="1:13" ht="14.5" x14ac:dyDescent="0.35">
      <c r="A425" s="260" t="s">
        <v>1211</v>
      </c>
      <c r="B425" s="260" t="s">
        <v>752</v>
      </c>
      <c r="C425" s="190">
        <v>45875</v>
      </c>
      <c r="D425" s="197">
        <v>179.83</v>
      </c>
      <c r="E425" s="260" t="s">
        <v>564</v>
      </c>
      <c r="F425" s="260" t="s">
        <v>793</v>
      </c>
      <c r="G425" s="196">
        <v>0</v>
      </c>
      <c r="H425" s="202">
        <v>46302</v>
      </c>
      <c r="I425" s="260" t="s">
        <v>588</v>
      </c>
      <c r="J425" s="196">
        <v>1</v>
      </c>
      <c r="K425" s="196">
        <v>0</v>
      </c>
      <c r="L425" s="260" t="s">
        <v>239</v>
      </c>
      <c r="M425" s="260" t="s">
        <v>514</v>
      </c>
    </row>
    <row r="426" spans="1:13" ht="14.5" x14ac:dyDescent="0.35">
      <c r="A426" s="260" t="s">
        <v>1212</v>
      </c>
      <c r="B426" s="260" t="s">
        <v>752</v>
      </c>
      <c r="C426" s="190">
        <v>45876</v>
      </c>
      <c r="D426" s="197">
        <v>180.2</v>
      </c>
      <c r="E426" s="260" t="s">
        <v>564</v>
      </c>
      <c r="F426" s="260" t="s">
        <v>793</v>
      </c>
      <c r="G426" s="196">
        <v>0</v>
      </c>
      <c r="H426" s="202">
        <v>46302</v>
      </c>
      <c r="I426" s="260" t="s">
        <v>588</v>
      </c>
      <c r="J426" s="196">
        <v>1</v>
      </c>
      <c r="K426" s="196">
        <v>0</v>
      </c>
      <c r="L426" s="260" t="s">
        <v>239</v>
      </c>
      <c r="M426" s="260" t="s">
        <v>514</v>
      </c>
    </row>
    <row r="427" spans="1:13" ht="14.5" x14ac:dyDescent="0.35">
      <c r="A427" s="260" t="s">
        <v>1213</v>
      </c>
      <c r="B427" s="260" t="s">
        <v>752</v>
      </c>
      <c r="C427" s="190">
        <v>45877</v>
      </c>
      <c r="D427" s="197">
        <v>180.57</v>
      </c>
      <c r="E427" s="260" t="s">
        <v>564</v>
      </c>
      <c r="F427" s="260" t="s">
        <v>793</v>
      </c>
      <c r="G427" s="196">
        <v>0</v>
      </c>
      <c r="H427" s="202">
        <v>46302</v>
      </c>
      <c r="I427" s="260" t="s">
        <v>588</v>
      </c>
      <c r="J427" s="196">
        <v>1</v>
      </c>
      <c r="K427" s="196">
        <v>0</v>
      </c>
      <c r="L427" s="260" t="s">
        <v>239</v>
      </c>
      <c r="M427" s="260" t="s">
        <v>514</v>
      </c>
    </row>
    <row r="428" spans="1:13" ht="14.5" x14ac:dyDescent="0.35">
      <c r="A428" s="260" t="s">
        <v>1214</v>
      </c>
      <c r="B428" s="260" t="s">
        <v>752</v>
      </c>
      <c r="C428" s="190">
        <v>45880</v>
      </c>
      <c r="D428" s="197">
        <v>181.67</v>
      </c>
      <c r="E428" s="260" t="s">
        <v>564</v>
      </c>
      <c r="F428" s="260" t="s">
        <v>793</v>
      </c>
      <c r="G428" s="196">
        <v>0</v>
      </c>
      <c r="H428" s="202">
        <v>46302</v>
      </c>
      <c r="I428" s="260" t="s">
        <v>588</v>
      </c>
      <c r="J428" s="196">
        <v>1</v>
      </c>
      <c r="K428" s="196">
        <v>0</v>
      </c>
      <c r="L428" s="260" t="s">
        <v>239</v>
      </c>
      <c r="M428" s="260" t="s">
        <v>514</v>
      </c>
    </row>
    <row r="429" spans="1:13" ht="14.5" x14ac:dyDescent="0.35">
      <c r="A429" s="260" t="s">
        <v>1215</v>
      </c>
      <c r="B429" s="260" t="s">
        <v>752</v>
      </c>
      <c r="C429" s="190">
        <v>45881</v>
      </c>
      <c r="D429" s="197">
        <v>182.03</v>
      </c>
      <c r="E429" s="260" t="s">
        <v>564</v>
      </c>
      <c r="F429" s="260" t="s">
        <v>793</v>
      </c>
      <c r="G429" s="196">
        <v>0</v>
      </c>
      <c r="H429" s="202">
        <v>46302</v>
      </c>
      <c r="I429" s="260" t="s">
        <v>588</v>
      </c>
      <c r="J429" s="196">
        <v>1</v>
      </c>
      <c r="K429" s="196">
        <v>0</v>
      </c>
      <c r="L429" s="260" t="s">
        <v>239</v>
      </c>
      <c r="M429" s="260" t="s">
        <v>514</v>
      </c>
    </row>
    <row r="430" spans="1:13" ht="14.5" x14ac:dyDescent="0.35">
      <c r="A430" s="260" t="s">
        <v>1216</v>
      </c>
      <c r="B430" s="260" t="s">
        <v>752</v>
      </c>
      <c r="C430" s="190">
        <v>45882</v>
      </c>
      <c r="D430" s="197">
        <v>182.4</v>
      </c>
      <c r="E430" s="260" t="s">
        <v>564</v>
      </c>
      <c r="F430" s="260" t="s">
        <v>793</v>
      </c>
      <c r="G430" s="196">
        <v>0</v>
      </c>
      <c r="H430" s="202">
        <v>46302</v>
      </c>
      <c r="I430" s="260" t="s">
        <v>588</v>
      </c>
      <c r="J430" s="196">
        <v>1</v>
      </c>
      <c r="K430" s="196">
        <v>0</v>
      </c>
      <c r="L430" s="260" t="s">
        <v>239</v>
      </c>
      <c r="M430" s="260" t="s">
        <v>514</v>
      </c>
    </row>
    <row r="431" spans="1:13" ht="14.5" x14ac:dyDescent="0.35">
      <c r="A431" s="260" t="s">
        <v>1217</v>
      </c>
      <c r="B431" s="260" t="s">
        <v>752</v>
      </c>
      <c r="C431" s="190">
        <v>45883</v>
      </c>
      <c r="D431" s="197">
        <v>182.77</v>
      </c>
      <c r="E431" s="260" t="s">
        <v>564</v>
      </c>
      <c r="F431" s="260" t="s">
        <v>793</v>
      </c>
      <c r="G431" s="196">
        <v>0</v>
      </c>
      <c r="H431" s="202">
        <v>46302</v>
      </c>
      <c r="I431" s="260" t="s">
        <v>588</v>
      </c>
      <c r="J431" s="196">
        <v>1</v>
      </c>
      <c r="K431" s="196">
        <v>0</v>
      </c>
      <c r="L431" s="260" t="s">
        <v>239</v>
      </c>
      <c r="M431" s="260" t="s">
        <v>514</v>
      </c>
    </row>
    <row r="432" spans="1:13" ht="14.5" x14ac:dyDescent="0.35">
      <c r="A432" s="260" t="s">
        <v>1218</v>
      </c>
      <c r="B432" s="260" t="s">
        <v>752</v>
      </c>
      <c r="C432" s="190">
        <v>45884</v>
      </c>
      <c r="D432" s="197">
        <v>183.13</v>
      </c>
      <c r="E432" s="260" t="s">
        <v>564</v>
      </c>
      <c r="F432" s="260" t="s">
        <v>793</v>
      </c>
      <c r="G432" s="196">
        <v>0</v>
      </c>
      <c r="H432" s="202">
        <v>46302</v>
      </c>
      <c r="I432" s="260" t="s">
        <v>588</v>
      </c>
      <c r="J432" s="196">
        <v>1</v>
      </c>
      <c r="K432" s="196">
        <v>0</v>
      </c>
      <c r="L432" s="260" t="s">
        <v>239</v>
      </c>
      <c r="M432" s="260" t="s">
        <v>514</v>
      </c>
    </row>
    <row r="433" spans="1:13" ht="14.5" x14ac:dyDescent="0.35">
      <c r="A433" s="260" t="s">
        <v>1219</v>
      </c>
      <c r="B433" s="260" t="s">
        <v>752</v>
      </c>
      <c r="C433" s="190">
        <v>45887</v>
      </c>
      <c r="D433" s="197">
        <v>184.23</v>
      </c>
      <c r="E433" s="260" t="s">
        <v>564</v>
      </c>
      <c r="F433" s="260" t="s">
        <v>793</v>
      </c>
      <c r="G433" s="196">
        <v>0</v>
      </c>
      <c r="H433" s="202">
        <v>46302</v>
      </c>
      <c r="I433" s="260" t="s">
        <v>588</v>
      </c>
      <c r="J433" s="196">
        <v>1</v>
      </c>
      <c r="K433" s="196">
        <v>0</v>
      </c>
      <c r="L433" s="260" t="s">
        <v>239</v>
      </c>
      <c r="M433" s="260" t="s">
        <v>514</v>
      </c>
    </row>
    <row r="434" spans="1:13" ht="14.5" x14ac:dyDescent="0.35">
      <c r="A434" s="260" t="s">
        <v>1220</v>
      </c>
      <c r="B434" s="260" t="s">
        <v>752</v>
      </c>
      <c r="C434" s="190">
        <v>45888</v>
      </c>
      <c r="D434" s="197">
        <v>184.6</v>
      </c>
      <c r="E434" s="260" t="s">
        <v>564</v>
      </c>
      <c r="F434" s="260" t="s">
        <v>793</v>
      </c>
      <c r="G434" s="196">
        <v>0</v>
      </c>
      <c r="H434" s="202">
        <v>46302</v>
      </c>
      <c r="I434" s="260" t="s">
        <v>588</v>
      </c>
      <c r="J434" s="196">
        <v>1</v>
      </c>
      <c r="K434" s="196">
        <v>0</v>
      </c>
      <c r="L434" s="260" t="s">
        <v>239</v>
      </c>
      <c r="M434" s="260" t="s">
        <v>514</v>
      </c>
    </row>
    <row r="435" spans="1:13" ht="14.5" x14ac:dyDescent="0.35">
      <c r="A435" s="260" t="s">
        <v>1221</v>
      </c>
      <c r="B435" s="260" t="s">
        <v>752</v>
      </c>
      <c r="C435" s="190">
        <v>45889</v>
      </c>
      <c r="D435" s="197">
        <v>184.97</v>
      </c>
      <c r="E435" s="260" t="s">
        <v>564</v>
      </c>
      <c r="F435" s="260" t="s">
        <v>793</v>
      </c>
      <c r="G435" s="196">
        <v>0</v>
      </c>
      <c r="H435" s="202">
        <v>46302</v>
      </c>
      <c r="I435" s="260" t="s">
        <v>588</v>
      </c>
      <c r="J435" s="196">
        <v>1</v>
      </c>
      <c r="K435" s="196">
        <v>0</v>
      </c>
      <c r="L435" s="260" t="s">
        <v>239</v>
      </c>
      <c r="M435" s="260" t="s">
        <v>514</v>
      </c>
    </row>
    <row r="436" spans="1:13" ht="14.5" x14ac:dyDescent="0.35">
      <c r="A436" s="260" t="s">
        <v>1222</v>
      </c>
      <c r="B436" s="260" t="s">
        <v>752</v>
      </c>
      <c r="C436" s="190">
        <v>45890</v>
      </c>
      <c r="D436" s="197">
        <v>185.33</v>
      </c>
      <c r="E436" s="260" t="s">
        <v>564</v>
      </c>
      <c r="F436" s="260" t="s">
        <v>793</v>
      </c>
      <c r="G436" s="196">
        <v>0</v>
      </c>
      <c r="H436" s="202">
        <v>46302</v>
      </c>
      <c r="I436" s="260" t="s">
        <v>588</v>
      </c>
      <c r="J436" s="196">
        <v>1</v>
      </c>
      <c r="K436" s="196">
        <v>0</v>
      </c>
      <c r="L436" s="260" t="s">
        <v>239</v>
      </c>
      <c r="M436" s="260" t="s">
        <v>514</v>
      </c>
    </row>
    <row r="437" spans="1:13" ht="14.5" x14ac:dyDescent="0.35">
      <c r="A437" s="260" t="s">
        <v>1223</v>
      </c>
      <c r="B437" s="260" t="s">
        <v>752</v>
      </c>
      <c r="C437" s="190">
        <v>45891</v>
      </c>
      <c r="D437" s="197">
        <v>185.7</v>
      </c>
      <c r="E437" s="260" t="s">
        <v>564</v>
      </c>
      <c r="F437" s="260" t="s">
        <v>793</v>
      </c>
      <c r="G437" s="196">
        <v>0</v>
      </c>
      <c r="H437" s="202">
        <v>46302</v>
      </c>
      <c r="I437" s="260" t="s">
        <v>588</v>
      </c>
      <c r="J437" s="196">
        <v>1</v>
      </c>
      <c r="K437" s="196">
        <v>0</v>
      </c>
      <c r="L437" s="260" t="s">
        <v>239</v>
      </c>
      <c r="M437" s="260" t="s">
        <v>514</v>
      </c>
    </row>
    <row r="438" spans="1:13" ht="14.5" x14ac:dyDescent="0.35">
      <c r="A438" s="260" t="s">
        <v>1224</v>
      </c>
      <c r="B438" s="260" t="s">
        <v>752</v>
      </c>
      <c r="C438" s="190">
        <v>45894</v>
      </c>
      <c r="D438" s="197">
        <v>186.8</v>
      </c>
      <c r="E438" s="260" t="s">
        <v>564</v>
      </c>
      <c r="F438" s="260" t="s">
        <v>793</v>
      </c>
      <c r="G438" s="196">
        <v>0</v>
      </c>
      <c r="H438" s="202">
        <v>46302</v>
      </c>
      <c r="I438" s="260" t="s">
        <v>588</v>
      </c>
      <c r="J438" s="196">
        <v>1</v>
      </c>
      <c r="K438" s="196">
        <v>0</v>
      </c>
      <c r="L438" s="260" t="s">
        <v>239</v>
      </c>
      <c r="M438" s="260" t="s">
        <v>514</v>
      </c>
    </row>
    <row r="439" spans="1:13" ht="14.5" x14ac:dyDescent="0.35">
      <c r="A439" s="260" t="s">
        <v>1225</v>
      </c>
      <c r="B439" s="260" t="s">
        <v>752</v>
      </c>
      <c r="C439" s="190">
        <v>45895</v>
      </c>
      <c r="D439" s="197">
        <v>187.17</v>
      </c>
      <c r="E439" s="260" t="s">
        <v>564</v>
      </c>
      <c r="F439" s="260" t="s">
        <v>793</v>
      </c>
      <c r="G439" s="196">
        <v>0</v>
      </c>
      <c r="H439" s="202">
        <v>46302</v>
      </c>
      <c r="I439" s="260" t="s">
        <v>588</v>
      </c>
      <c r="J439" s="196">
        <v>1</v>
      </c>
      <c r="K439" s="196">
        <v>0</v>
      </c>
      <c r="L439" s="260" t="s">
        <v>239</v>
      </c>
      <c r="M439" s="260" t="s">
        <v>514</v>
      </c>
    </row>
    <row r="440" spans="1:13" ht="14.5" x14ac:dyDescent="0.35">
      <c r="A440" s="260" t="s">
        <v>1226</v>
      </c>
      <c r="B440" s="260" t="s">
        <v>752</v>
      </c>
      <c r="C440" s="190">
        <v>45896</v>
      </c>
      <c r="D440" s="197">
        <v>187.53</v>
      </c>
      <c r="E440" s="260" t="s">
        <v>564</v>
      </c>
      <c r="F440" s="260" t="s">
        <v>793</v>
      </c>
      <c r="G440" s="196">
        <v>0</v>
      </c>
      <c r="H440" s="202">
        <v>46302</v>
      </c>
      <c r="I440" s="260" t="s">
        <v>588</v>
      </c>
      <c r="J440" s="196">
        <v>1</v>
      </c>
      <c r="K440" s="196">
        <v>0</v>
      </c>
      <c r="L440" s="260" t="s">
        <v>239</v>
      </c>
      <c r="M440" s="260" t="s">
        <v>514</v>
      </c>
    </row>
    <row r="441" spans="1:13" ht="14.5" x14ac:dyDescent="0.35">
      <c r="A441" s="260" t="s">
        <v>1227</v>
      </c>
      <c r="B441" s="260" t="s">
        <v>752</v>
      </c>
      <c r="C441" s="190">
        <v>45897</v>
      </c>
      <c r="D441" s="197">
        <v>187.9</v>
      </c>
      <c r="E441" s="260" t="s">
        <v>564</v>
      </c>
      <c r="F441" s="260" t="s">
        <v>793</v>
      </c>
      <c r="G441" s="196">
        <v>0</v>
      </c>
      <c r="H441" s="202">
        <v>46302</v>
      </c>
      <c r="I441" s="260" t="s">
        <v>588</v>
      </c>
      <c r="J441" s="196">
        <v>1</v>
      </c>
      <c r="K441" s="196">
        <v>0</v>
      </c>
      <c r="L441" s="260" t="s">
        <v>239</v>
      </c>
      <c r="M441" s="260" t="s">
        <v>514</v>
      </c>
    </row>
    <row r="442" spans="1:13" ht="14.5" x14ac:dyDescent="0.35">
      <c r="A442" s="260" t="s">
        <v>1228</v>
      </c>
      <c r="B442" s="260" t="s">
        <v>752</v>
      </c>
      <c r="C442" s="190">
        <v>45898</v>
      </c>
      <c r="D442" s="197">
        <v>188.27</v>
      </c>
      <c r="E442" s="260" t="s">
        <v>564</v>
      </c>
      <c r="F442" s="260" t="s">
        <v>793</v>
      </c>
      <c r="G442" s="196">
        <v>0</v>
      </c>
      <c r="H442" s="202">
        <v>46302</v>
      </c>
      <c r="I442" s="260" t="s">
        <v>588</v>
      </c>
      <c r="J442" s="196">
        <v>1</v>
      </c>
      <c r="K442" s="196">
        <v>0</v>
      </c>
      <c r="L442" s="260" t="s">
        <v>239</v>
      </c>
      <c r="M442" s="260" t="s">
        <v>514</v>
      </c>
    </row>
    <row r="443" spans="1:13" ht="14.5" x14ac:dyDescent="0.35">
      <c r="A443" s="260" t="s">
        <v>1229</v>
      </c>
      <c r="B443" s="260" t="s">
        <v>752</v>
      </c>
      <c r="C443" s="190">
        <v>45901</v>
      </c>
      <c r="D443" s="197">
        <v>186</v>
      </c>
      <c r="E443" s="260" t="s">
        <v>564</v>
      </c>
      <c r="F443" s="260" t="s">
        <v>793</v>
      </c>
      <c r="G443" s="196">
        <v>0</v>
      </c>
      <c r="H443" s="202">
        <v>46302</v>
      </c>
      <c r="I443" s="260" t="s">
        <v>588</v>
      </c>
      <c r="J443" s="196">
        <v>1</v>
      </c>
      <c r="K443" s="196">
        <v>0</v>
      </c>
      <c r="L443" s="260" t="s">
        <v>239</v>
      </c>
      <c r="M443" s="260" t="s">
        <v>514</v>
      </c>
    </row>
    <row r="444" spans="1:13" ht="14.5" x14ac:dyDescent="0.35">
      <c r="A444" s="260" t="s">
        <v>1230</v>
      </c>
      <c r="B444" s="260" t="s">
        <v>752</v>
      </c>
      <c r="C444" s="190">
        <v>45902</v>
      </c>
      <c r="D444" s="197">
        <v>185.69</v>
      </c>
      <c r="E444" s="260" t="s">
        <v>564</v>
      </c>
      <c r="F444" s="260" t="s">
        <v>793</v>
      </c>
      <c r="G444" s="196">
        <v>0</v>
      </c>
      <c r="H444" s="202">
        <v>46302</v>
      </c>
      <c r="I444" s="260" t="s">
        <v>588</v>
      </c>
      <c r="J444" s="196">
        <v>1</v>
      </c>
      <c r="K444" s="196">
        <v>0</v>
      </c>
      <c r="L444" s="260" t="s">
        <v>239</v>
      </c>
      <c r="M444" s="260" t="s">
        <v>514</v>
      </c>
    </row>
    <row r="445" spans="1:13" ht="14.5" x14ac:dyDescent="0.35">
      <c r="A445" s="260" t="s">
        <v>1231</v>
      </c>
      <c r="B445" s="260" t="s">
        <v>752</v>
      </c>
      <c r="C445" s="190">
        <v>45903</v>
      </c>
      <c r="D445" s="197">
        <v>185.38</v>
      </c>
      <c r="E445" s="260" t="s">
        <v>564</v>
      </c>
      <c r="F445" s="260" t="s">
        <v>793</v>
      </c>
      <c r="G445" s="196">
        <v>0</v>
      </c>
      <c r="H445" s="202">
        <v>46302</v>
      </c>
      <c r="I445" s="260" t="s">
        <v>588</v>
      </c>
      <c r="J445" s="196">
        <v>1</v>
      </c>
      <c r="K445" s="196">
        <v>0</v>
      </c>
      <c r="L445" s="260" t="s">
        <v>239</v>
      </c>
      <c r="M445" s="260" t="s">
        <v>514</v>
      </c>
    </row>
    <row r="446" spans="1:13" ht="14.5" x14ac:dyDescent="0.35">
      <c r="A446" s="260" t="s">
        <v>1232</v>
      </c>
      <c r="B446" s="260" t="s">
        <v>752</v>
      </c>
      <c r="C446" s="190">
        <v>45904</v>
      </c>
      <c r="D446" s="197">
        <v>185.07</v>
      </c>
      <c r="E446" s="260" t="s">
        <v>564</v>
      </c>
      <c r="F446" s="260" t="s">
        <v>793</v>
      </c>
      <c r="G446" s="196">
        <v>0</v>
      </c>
      <c r="H446" s="202">
        <v>46302</v>
      </c>
      <c r="I446" s="260" t="s">
        <v>588</v>
      </c>
      <c r="J446" s="196">
        <v>1</v>
      </c>
      <c r="K446" s="196">
        <v>0</v>
      </c>
      <c r="L446" s="260" t="s">
        <v>239</v>
      </c>
      <c r="M446" s="260" t="s">
        <v>514</v>
      </c>
    </row>
    <row r="447" spans="1:13" ht="14.5" x14ac:dyDescent="0.35">
      <c r="A447" s="260" t="s">
        <v>1233</v>
      </c>
      <c r="B447" s="260" t="s">
        <v>752</v>
      </c>
      <c r="C447" s="190">
        <v>45905</v>
      </c>
      <c r="D447" s="197">
        <v>184.76</v>
      </c>
      <c r="E447" s="260" t="s">
        <v>564</v>
      </c>
      <c r="F447" s="260" t="s">
        <v>793</v>
      </c>
      <c r="G447" s="196">
        <v>0</v>
      </c>
      <c r="H447" s="202">
        <v>46302</v>
      </c>
      <c r="I447" s="260" t="s">
        <v>588</v>
      </c>
      <c r="J447" s="196">
        <v>1</v>
      </c>
      <c r="K447" s="196">
        <v>0</v>
      </c>
      <c r="L447" s="260" t="s">
        <v>239</v>
      </c>
      <c r="M447" s="260" t="s">
        <v>514</v>
      </c>
    </row>
    <row r="448" spans="1:13" ht="14.5" x14ac:dyDescent="0.35">
      <c r="A448" s="260" t="s">
        <v>1234</v>
      </c>
      <c r="B448" s="260" t="s">
        <v>752</v>
      </c>
      <c r="C448" s="190">
        <v>45908</v>
      </c>
      <c r="D448" s="197">
        <v>183.83</v>
      </c>
      <c r="E448" s="260" t="s">
        <v>564</v>
      </c>
      <c r="F448" s="260" t="s">
        <v>793</v>
      </c>
      <c r="G448" s="196">
        <v>0</v>
      </c>
      <c r="H448" s="202">
        <v>46302</v>
      </c>
      <c r="I448" s="260" t="s">
        <v>588</v>
      </c>
      <c r="J448" s="196">
        <v>1</v>
      </c>
      <c r="K448" s="196">
        <v>0</v>
      </c>
      <c r="L448" s="260" t="s">
        <v>239</v>
      </c>
      <c r="M448" s="260" t="s">
        <v>514</v>
      </c>
    </row>
    <row r="449" spans="1:13" ht="14.5" x14ac:dyDescent="0.35">
      <c r="A449" s="260" t="s">
        <v>1235</v>
      </c>
      <c r="B449" s="260" t="s">
        <v>752</v>
      </c>
      <c r="C449" s="190">
        <v>45909</v>
      </c>
      <c r="D449" s="197">
        <v>183.52</v>
      </c>
      <c r="E449" s="260" t="s">
        <v>564</v>
      </c>
      <c r="F449" s="260" t="s">
        <v>793</v>
      </c>
      <c r="G449" s="196">
        <v>0</v>
      </c>
      <c r="H449" s="202">
        <v>46302</v>
      </c>
      <c r="I449" s="260" t="s">
        <v>588</v>
      </c>
      <c r="J449" s="196">
        <v>1</v>
      </c>
      <c r="K449" s="196">
        <v>0</v>
      </c>
      <c r="L449" s="260" t="s">
        <v>239</v>
      </c>
      <c r="M449" s="260" t="s">
        <v>514</v>
      </c>
    </row>
    <row r="450" spans="1:13" ht="14.5" x14ac:dyDescent="0.35">
      <c r="A450" s="260" t="s">
        <v>1236</v>
      </c>
      <c r="B450" s="260" t="s">
        <v>752</v>
      </c>
      <c r="C450" s="190">
        <v>45910</v>
      </c>
      <c r="D450" s="197">
        <v>183.21</v>
      </c>
      <c r="E450" s="260" t="s">
        <v>564</v>
      </c>
      <c r="F450" s="260" t="s">
        <v>793</v>
      </c>
      <c r="G450" s="196">
        <v>0</v>
      </c>
      <c r="H450" s="202">
        <v>46302</v>
      </c>
      <c r="I450" s="260" t="s">
        <v>588</v>
      </c>
      <c r="J450" s="196">
        <v>1</v>
      </c>
      <c r="K450" s="196">
        <v>0</v>
      </c>
      <c r="L450" s="260" t="s">
        <v>239</v>
      </c>
      <c r="M450" s="260" t="s">
        <v>514</v>
      </c>
    </row>
    <row r="451" spans="1:13" ht="14.5" x14ac:dyDescent="0.35">
      <c r="A451" s="260" t="s">
        <v>1237</v>
      </c>
      <c r="B451" s="260" t="s">
        <v>752</v>
      </c>
      <c r="C451" s="190">
        <v>45911</v>
      </c>
      <c r="D451" s="197">
        <v>182.9</v>
      </c>
      <c r="E451" s="260" t="s">
        <v>564</v>
      </c>
      <c r="F451" s="260" t="s">
        <v>793</v>
      </c>
      <c r="G451" s="196">
        <v>0</v>
      </c>
      <c r="H451" s="202">
        <v>46302</v>
      </c>
      <c r="I451" s="260" t="s">
        <v>588</v>
      </c>
      <c r="J451" s="196">
        <v>1</v>
      </c>
      <c r="K451" s="196">
        <v>0</v>
      </c>
      <c r="L451" s="260" t="s">
        <v>239</v>
      </c>
      <c r="M451" s="260" t="s">
        <v>514</v>
      </c>
    </row>
    <row r="452" spans="1:13" ht="14.5" x14ac:dyDescent="0.35">
      <c r="A452" s="260" t="s">
        <v>1238</v>
      </c>
      <c r="B452" s="260" t="s">
        <v>752</v>
      </c>
      <c r="C452" s="190">
        <v>45912</v>
      </c>
      <c r="D452" s="197">
        <v>182.59</v>
      </c>
      <c r="E452" s="260" t="s">
        <v>564</v>
      </c>
      <c r="F452" s="260" t="s">
        <v>793</v>
      </c>
      <c r="G452" s="196">
        <v>0</v>
      </c>
      <c r="H452" s="202">
        <v>46302</v>
      </c>
      <c r="I452" s="260" t="s">
        <v>588</v>
      </c>
      <c r="J452" s="196">
        <v>1</v>
      </c>
      <c r="K452" s="196">
        <v>0</v>
      </c>
      <c r="L452" s="260" t="s">
        <v>239</v>
      </c>
      <c r="M452" s="260" t="s">
        <v>514</v>
      </c>
    </row>
    <row r="453" spans="1:13" ht="14.5" x14ac:dyDescent="0.35">
      <c r="A453" s="260" t="s">
        <v>1239</v>
      </c>
      <c r="B453" s="260" t="s">
        <v>752</v>
      </c>
      <c r="C453" s="190">
        <v>45915</v>
      </c>
      <c r="D453" s="197">
        <v>181.66</v>
      </c>
      <c r="E453" s="260" t="s">
        <v>564</v>
      </c>
      <c r="F453" s="260" t="s">
        <v>793</v>
      </c>
      <c r="G453" s="196">
        <v>0</v>
      </c>
      <c r="H453" s="202">
        <v>46302</v>
      </c>
      <c r="I453" s="260" t="s">
        <v>588</v>
      </c>
      <c r="J453" s="196">
        <v>1</v>
      </c>
      <c r="K453" s="196">
        <v>0</v>
      </c>
      <c r="L453" s="260" t="s">
        <v>239</v>
      </c>
      <c r="M453" s="260" t="s">
        <v>514</v>
      </c>
    </row>
    <row r="454" spans="1:13" ht="14.5" x14ac:dyDescent="0.35">
      <c r="A454" s="260" t="s">
        <v>1240</v>
      </c>
      <c r="B454" s="260" t="s">
        <v>752</v>
      </c>
      <c r="C454" s="190">
        <v>45916</v>
      </c>
      <c r="D454" s="197">
        <v>181.34</v>
      </c>
      <c r="E454" s="260" t="s">
        <v>564</v>
      </c>
      <c r="F454" s="260" t="s">
        <v>793</v>
      </c>
      <c r="G454" s="196">
        <v>0</v>
      </c>
      <c r="H454" s="202">
        <v>46302</v>
      </c>
      <c r="I454" s="260" t="s">
        <v>588</v>
      </c>
      <c r="J454" s="196">
        <v>1</v>
      </c>
      <c r="K454" s="196">
        <v>0</v>
      </c>
      <c r="L454" s="260" t="s">
        <v>239</v>
      </c>
      <c r="M454" s="260" t="s">
        <v>514</v>
      </c>
    </row>
    <row r="455" spans="1:13" ht="14.5" x14ac:dyDescent="0.35">
      <c r="A455" s="260" t="s">
        <v>1241</v>
      </c>
      <c r="B455" s="260" t="s">
        <v>752</v>
      </c>
      <c r="C455" s="190">
        <v>45917</v>
      </c>
      <c r="D455" s="197">
        <v>181.03</v>
      </c>
      <c r="E455" s="260" t="s">
        <v>564</v>
      </c>
      <c r="F455" s="260" t="s">
        <v>793</v>
      </c>
      <c r="G455" s="196">
        <v>0</v>
      </c>
      <c r="H455" s="202">
        <v>46302</v>
      </c>
      <c r="I455" s="260" t="s">
        <v>588</v>
      </c>
      <c r="J455" s="196">
        <v>1</v>
      </c>
      <c r="K455" s="196">
        <v>0</v>
      </c>
      <c r="L455" s="260" t="s">
        <v>239</v>
      </c>
      <c r="M455" s="260" t="s">
        <v>514</v>
      </c>
    </row>
    <row r="456" spans="1:13" ht="14.5" x14ac:dyDescent="0.35">
      <c r="A456" s="260" t="s">
        <v>1242</v>
      </c>
      <c r="B456" s="260" t="s">
        <v>752</v>
      </c>
      <c r="C456" s="190">
        <v>45918</v>
      </c>
      <c r="D456" s="197">
        <v>180.72</v>
      </c>
      <c r="E456" s="260" t="s">
        <v>564</v>
      </c>
      <c r="F456" s="260" t="s">
        <v>793</v>
      </c>
      <c r="G456" s="196">
        <v>0</v>
      </c>
      <c r="H456" s="202">
        <v>46302</v>
      </c>
      <c r="I456" s="260" t="s">
        <v>588</v>
      </c>
      <c r="J456" s="196">
        <v>1</v>
      </c>
      <c r="K456" s="196">
        <v>0</v>
      </c>
      <c r="L456" s="260" t="s">
        <v>239</v>
      </c>
      <c r="M456" s="260" t="s">
        <v>514</v>
      </c>
    </row>
    <row r="457" spans="1:13" ht="14.5" x14ac:dyDescent="0.35">
      <c r="A457" s="260" t="s">
        <v>1243</v>
      </c>
      <c r="B457" s="260" t="s">
        <v>752</v>
      </c>
      <c r="C457" s="190">
        <v>45919</v>
      </c>
      <c r="D457" s="197">
        <v>180.41</v>
      </c>
      <c r="E457" s="260" t="s">
        <v>564</v>
      </c>
      <c r="F457" s="260" t="s">
        <v>793</v>
      </c>
      <c r="G457" s="196">
        <v>0</v>
      </c>
      <c r="H457" s="202">
        <v>46302</v>
      </c>
      <c r="I457" s="260" t="s">
        <v>588</v>
      </c>
      <c r="J457" s="196">
        <v>1</v>
      </c>
      <c r="K457" s="196">
        <v>0</v>
      </c>
      <c r="L457" s="260" t="s">
        <v>239</v>
      </c>
      <c r="M457" s="260" t="s">
        <v>514</v>
      </c>
    </row>
    <row r="458" spans="1:13" ht="14.5" x14ac:dyDescent="0.35">
      <c r="A458" s="260" t="s">
        <v>1244</v>
      </c>
      <c r="B458" s="260" t="s">
        <v>752</v>
      </c>
      <c r="C458" s="190">
        <v>45922</v>
      </c>
      <c r="D458" s="197">
        <v>179.48</v>
      </c>
      <c r="E458" s="260" t="s">
        <v>564</v>
      </c>
      <c r="F458" s="260" t="s">
        <v>793</v>
      </c>
      <c r="G458" s="196">
        <v>0</v>
      </c>
      <c r="H458" s="202">
        <v>46302</v>
      </c>
      <c r="I458" s="260" t="s">
        <v>588</v>
      </c>
      <c r="J458" s="196">
        <v>1</v>
      </c>
      <c r="K458" s="196">
        <v>0</v>
      </c>
      <c r="L458" s="260" t="s">
        <v>239</v>
      </c>
      <c r="M458" s="260" t="s">
        <v>514</v>
      </c>
    </row>
    <row r="459" spans="1:13" ht="14.5" x14ac:dyDescent="0.35">
      <c r="A459" s="260" t="s">
        <v>1245</v>
      </c>
      <c r="B459" s="260" t="s">
        <v>752</v>
      </c>
      <c r="C459" s="190">
        <v>45923</v>
      </c>
      <c r="D459" s="197">
        <v>179.17</v>
      </c>
      <c r="E459" s="260" t="s">
        <v>564</v>
      </c>
      <c r="F459" s="260" t="s">
        <v>793</v>
      </c>
      <c r="G459" s="196">
        <v>0</v>
      </c>
      <c r="H459" s="202">
        <v>46302</v>
      </c>
      <c r="I459" s="260" t="s">
        <v>588</v>
      </c>
      <c r="J459" s="196">
        <v>1</v>
      </c>
      <c r="K459" s="196">
        <v>0</v>
      </c>
      <c r="L459" s="260" t="s">
        <v>239</v>
      </c>
      <c r="M459" s="260" t="s">
        <v>514</v>
      </c>
    </row>
    <row r="460" spans="1:13" ht="14.5" x14ac:dyDescent="0.35">
      <c r="A460" s="260" t="s">
        <v>1246</v>
      </c>
      <c r="B460" s="260" t="s">
        <v>752</v>
      </c>
      <c r="C460" s="190">
        <v>45924</v>
      </c>
      <c r="D460" s="197">
        <v>178.86</v>
      </c>
      <c r="E460" s="260" t="s">
        <v>564</v>
      </c>
      <c r="F460" s="260" t="s">
        <v>793</v>
      </c>
      <c r="G460" s="196">
        <v>0</v>
      </c>
      <c r="H460" s="202">
        <v>46302</v>
      </c>
      <c r="I460" s="260" t="s">
        <v>588</v>
      </c>
      <c r="J460" s="196">
        <v>1</v>
      </c>
      <c r="K460" s="196">
        <v>0</v>
      </c>
      <c r="L460" s="260" t="s">
        <v>239</v>
      </c>
      <c r="M460" s="260" t="s">
        <v>514</v>
      </c>
    </row>
    <row r="461" spans="1:13" ht="14.5" x14ac:dyDescent="0.35">
      <c r="A461" s="260" t="s">
        <v>1247</v>
      </c>
      <c r="B461" s="260" t="s">
        <v>752</v>
      </c>
      <c r="C461" s="190">
        <v>45925</v>
      </c>
      <c r="D461" s="197">
        <v>178.55</v>
      </c>
      <c r="E461" s="260" t="s">
        <v>564</v>
      </c>
      <c r="F461" s="260" t="s">
        <v>793</v>
      </c>
      <c r="G461" s="196">
        <v>0</v>
      </c>
      <c r="H461" s="202">
        <v>46302</v>
      </c>
      <c r="I461" s="260" t="s">
        <v>588</v>
      </c>
      <c r="J461" s="196">
        <v>1</v>
      </c>
      <c r="K461" s="196">
        <v>0</v>
      </c>
      <c r="L461" s="260" t="s">
        <v>239</v>
      </c>
      <c r="M461" s="260" t="s">
        <v>514</v>
      </c>
    </row>
    <row r="462" spans="1:13" ht="14.5" x14ac:dyDescent="0.35">
      <c r="A462" s="260" t="s">
        <v>1248</v>
      </c>
      <c r="B462" s="260" t="s">
        <v>752</v>
      </c>
      <c r="C462" s="190">
        <v>45926</v>
      </c>
      <c r="D462" s="197">
        <v>178.24</v>
      </c>
      <c r="E462" s="260" t="s">
        <v>564</v>
      </c>
      <c r="F462" s="260" t="s">
        <v>793</v>
      </c>
      <c r="G462" s="196">
        <v>0</v>
      </c>
      <c r="H462" s="202">
        <v>46302</v>
      </c>
      <c r="I462" s="260" t="s">
        <v>588</v>
      </c>
      <c r="J462" s="196">
        <v>1</v>
      </c>
      <c r="K462" s="196">
        <v>0</v>
      </c>
      <c r="L462" s="260" t="s">
        <v>239</v>
      </c>
      <c r="M462" s="260" t="s">
        <v>514</v>
      </c>
    </row>
    <row r="463" spans="1:13" ht="14.5" x14ac:dyDescent="0.35">
      <c r="A463" s="260" t="s">
        <v>1249</v>
      </c>
      <c r="B463" s="260" t="s">
        <v>752</v>
      </c>
      <c r="C463" s="190">
        <v>45929</v>
      </c>
      <c r="D463" s="197">
        <v>177.31</v>
      </c>
      <c r="E463" s="260" t="s">
        <v>564</v>
      </c>
      <c r="F463" s="260" t="s">
        <v>793</v>
      </c>
      <c r="G463" s="196">
        <v>0</v>
      </c>
      <c r="H463" s="202">
        <v>46302</v>
      </c>
      <c r="I463" s="260" t="s">
        <v>588</v>
      </c>
      <c r="J463" s="196">
        <v>1</v>
      </c>
      <c r="K463" s="196">
        <v>0</v>
      </c>
      <c r="L463" s="260" t="s">
        <v>239</v>
      </c>
      <c r="M463" s="260" t="s">
        <v>514</v>
      </c>
    </row>
    <row r="464" spans="1:13" ht="14.5" x14ac:dyDescent="0.35">
      <c r="A464" s="260" t="s">
        <v>1250</v>
      </c>
      <c r="B464" s="260" t="s">
        <v>752</v>
      </c>
      <c r="C464" s="190">
        <v>45930</v>
      </c>
      <c r="D464" s="197">
        <v>177</v>
      </c>
      <c r="E464" s="260" t="s">
        <v>564</v>
      </c>
      <c r="F464" s="260" t="s">
        <v>793</v>
      </c>
      <c r="G464" s="196">
        <v>0</v>
      </c>
      <c r="H464" s="202">
        <v>46302</v>
      </c>
      <c r="I464" s="260" t="s">
        <v>588</v>
      </c>
      <c r="J464" s="196">
        <v>1</v>
      </c>
      <c r="K464" s="196">
        <v>0</v>
      </c>
      <c r="L464" s="260" t="s">
        <v>239</v>
      </c>
      <c r="M464" s="260" t="s">
        <v>514</v>
      </c>
    </row>
    <row r="465" spans="1:13" ht="14.5" x14ac:dyDescent="0.35">
      <c r="A465" s="260" t="s">
        <v>1251</v>
      </c>
      <c r="B465" s="260" t="s">
        <v>752</v>
      </c>
      <c r="C465" s="190">
        <v>45931</v>
      </c>
      <c r="D465" s="197">
        <v>177</v>
      </c>
      <c r="E465" s="260" t="s">
        <v>564</v>
      </c>
      <c r="F465" s="260" t="s">
        <v>793</v>
      </c>
      <c r="G465" s="196">
        <v>0</v>
      </c>
      <c r="H465" s="202">
        <v>46302</v>
      </c>
      <c r="I465" s="260" t="s">
        <v>588</v>
      </c>
      <c r="J465" s="196">
        <v>1</v>
      </c>
      <c r="K465" s="196">
        <v>0</v>
      </c>
      <c r="L465" s="260" t="s">
        <v>239</v>
      </c>
      <c r="M465" s="260" t="s">
        <v>514</v>
      </c>
    </row>
    <row r="466" spans="1:13" ht="14.5" x14ac:dyDescent="0.35">
      <c r="A466" s="260" t="s">
        <v>1252</v>
      </c>
      <c r="B466" s="260" t="s">
        <v>752</v>
      </c>
      <c r="C466" s="190">
        <v>45932</v>
      </c>
      <c r="D466" s="197">
        <v>177.13</v>
      </c>
      <c r="E466" s="260" t="s">
        <v>564</v>
      </c>
      <c r="F466" s="260" t="s">
        <v>793</v>
      </c>
      <c r="G466" s="196">
        <v>0</v>
      </c>
      <c r="H466" s="202">
        <v>46302</v>
      </c>
      <c r="I466" s="260" t="s">
        <v>588</v>
      </c>
      <c r="J466" s="196">
        <v>1</v>
      </c>
      <c r="K466" s="196">
        <v>0</v>
      </c>
      <c r="L466" s="260" t="s">
        <v>239</v>
      </c>
      <c r="M466" s="260" t="s">
        <v>514</v>
      </c>
    </row>
    <row r="467" spans="1:13" ht="14.5" x14ac:dyDescent="0.35">
      <c r="A467" s="260" t="s">
        <v>1253</v>
      </c>
      <c r="B467" s="260" t="s">
        <v>752</v>
      </c>
      <c r="C467" s="190">
        <v>45933</v>
      </c>
      <c r="D467" s="197">
        <v>177.27</v>
      </c>
      <c r="E467" s="260" t="s">
        <v>564</v>
      </c>
      <c r="F467" s="260" t="s">
        <v>793</v>
      </c>
      <c r="G467" s="196">
        <v>0</v>
      </c>
      <c r="H467" s="202">
        <v>46302</v>
      </c>
      <c r="I467" s="260" t="s">
        <v>588</v>
      </c>
      <c r="J467" s="196">
        <v>1</v>
      </c>
      <c r="K467" s="196">
        <v>0</v>
      </c>
      <c r="L467" s="260" t="s">
        <v>239</v>
      </c>
      <c r="M467" s="260" t="s">
        <v>514</v>
      </c>
    </row>
    <row r="468" spans="1:13" ht="14.5" x14ac:dyDescent="0.35">
      <c r="A468" s="260" t="s">
        <v>1254</v>
      </c>
      <c r="B468" s="260" t="s">
        <v>752</v>
      </c>
      <c r="C468" s="190">
        <v>45936</v>
      </c>
      <c r="D468" s="197">
        <v>177.67</v>
      </c>
      <c r="E468" s="260" t="s">
        <v>564</v>
      </c>
      <c r="F468" s="260" t="s">
        <v>793</v>
      </c>
      <c r="G468" s="196">
        <v>0</v>
      </c>
      <c r="H468" s="202">
        <v>46302</v>
      </c>
      <c r="I468" s="260" t="s">
        <v>588</v>
      </c>
      <c r="J468" s="196">
        <v>1</v>
      </c>
      <c r="K468" s="196">
        <v>0</v>
      </c>
      <c r="L468" s="260" t="s">
        <v>239</v>
      </c>
      <c r="M468" s="260" t="s">
        <v>514</v>
      </c>
    </row>
    <row r="469" spans="1:13" ht="14.5" x14ac:dyDescent="0.35">
      <c r="A469" s="260" t="s">
        <v>1255</v>
      </c>
      <c r="B469" s="260" t="s">
        <v>752</v>
      </c>
      <c r="C469" s="190">
        <v>45937</v>
      </c>
      <c r="D469" s="197">
        <v>177.8</v>
      </c>
      <c r="E469" s="260" t="s">
        <v>564</v>
      </c>
      <c r="F469" s="260" t="s">
        <v>793</v>
      </c>
      <c r="G469" s="196">
        <v>0</v>
      </c>
      <c r="H469" s="202">
        <v>46302</v>
      </c>
      <c r="I469" s="260" t="s">
        <v>588</v>
      </c>
      <c r="J469" s="196">
        <v>1</v>
      </c>
      <c r="K469" s="196">
        <v>0</v>
      </c>
      <c r="L469" s="260" t="s">
        <v>239</v>
      </c>
      <c r="M469" s="260" t="s">
        <v>514</v>
      </c>
    </row>
    <row r="470" spans="1:13" ht="14.5" x14ac:dyDescent="0.35">
      <c r="A470" s="260" t="s">
        <v>1256</v>
      </c>
      <c r="B470" s="260" t="s">
        <v>752</v>
      </c>
      <c r="C470" s="190">
        <v>45938</v>
      </c>
      <c r="D470" s="197">
        <v>177.93</v>
      </c>
      <c r="E470" s="260" t="s">
        <v>564</v>
      </c>
      <c r="F470" s="260" t="s">
        <v>793</v>
      </c>
      <c r="G470" s="196">
        <v>0</v>
      </c>
      <c r="H470" s="202">
        <v>46302</v>
      </c>
      <c r="I470" s="260" t="s">
        <v>588</v>
      </c>
      <c r="J470" s="196">
        <v>1</v>
      </c>
      <c r="K470" s="196">
        <v>0</v>
      </c>
      <c r="L470" s="260" t="s">
        <v>239</v>
      </c>
      <c r="M470" s="260" t="s">
        <v>514</v>
      </c>
    </row>
    <row r="471" spans="1:13" ht="14.5" x14ac:dyDescent="0.35">
      <c r="A471" s="260" t="s">
        <v>1257</v>
      </c>
      <c r="B471" s="260" t="s">
        <v>752</v>
      </c>
      <c r="C471" s="190">
        <v>45939</v>
      </c>
      <c r="D471" s="197">
        <v>178.07</v>
      </c>
      <c r="E471" s="260" t="s">
        <v>564</v>
      </c>
      <c r="F471" s="260" t="s">
        <v>793</v>
      </c>
      <c r="G471" s="196">
        <v>0</v>
      </c>
      <c r="H471" s="202">
        <v>46302</v>
      </c>
      <c r="I471" s="260" t="s">
        <v>588</v>
      </c>
      <c r="J471" s="196">
        <v>1</v>
      </c>
      <c r="K471" s="196">
        <v>0</v>
      </c>
      <c r="L471" s="260" t="s">
        <v>239</v>
      </c>
      <c r="M471" s="260" t="s">
        <v>514</v>
      </c>
    </row>
    <row r="472" spans="1:13" ht="14.5" x14ac:dyDescent="0.35">
      <c r="A472" s="260" t="s">
        <v>1258</v>
      </c>
      <c r="B472" s="260" t="s">
        <v>752</v>
      </c>
      <c r="C472" s="190">
        <v>45940</v>
      </c>
      <c r="D472" s="197">
        <v>178.2</v>
      </c>
      <c r="E472" s="260" t="s">
        <v>564</v>
      </c>
      <c r="F472" s="260" t="s">
        <v>793</v>
      </c>
      <c r="G472" s="196">
        <v>0</v>
      </c>
      <c r="H472" s="202">
        <v>46302</v>
      </c>
      <c r="I472" s="260" t="s">
        <v>588</v>
      </c>
      <c r="J472" s="196">
        <v>1</v>
      </c>
      <c r="K472" s="196">
        <v>0</v>
      </c>
      <c r="L472" s="260" t="s">
        <v>239</v>
      </c>
      <c r="M472" s="260" t="s">
        <v>514</v>
      </c>
    </row>
    <row r="473" spans="1:13" ht="14.5" x14ac:dyDescent="0.35">
      <c r="A473" s="260" t="s">
        <v>1259</v>
      </c>
      <c r="B473" s="260" t="s">
        <v>752</v>
      </c>
      <c r="C473" s="190">
        <v>45943</v>
      </c>
      <c r="D473" s="197">
        <v>178.6</v>
      </c>
      <c r="E473" s="260" t="s">
        <v>564</v>
      </c>
      <c r="F473" s="260" t="s">
        <v>793</v>
      </c>
      <c r="G473" s="196">
        <v>0</v>
      </c>
      <c r="H473" s="202">
        <v>46302</v>
      </c>
      <c r="I473" s="260" t="s">
        <v>588</v>
      </c>
      <c r="J473" s="196">
        <v>1</v>
      </c>
      <c r="K473" s="196">
        <v>0</v>
      </c>
      <c r="L473" s="260" t="s">
        <v>239</v>
      </c>
      <c r="M473" s="260" t="s">
        <v>514</v>
      </c>
    </row>
    <row r="474" spans="1:13" ht="14.5" x14ac:dyDescent="0.35">
      <c r="A474" s="260" t="s">
        <v>1260</v>
      </c>
      <c r="B474" s="260" t="s">
        <v>752</v>
      </c>
      <c r="C474" s="190">
        <v>45944</v>
      </c>
      <c r="D474" s="197">
        <v>178.73</v>
      </c>
      <c r="E474" s="260" t="s">
        <v>564</v>
      </c>
      <c r="F474" s="260" t="s">
        <v>793</v>
      </c>
      <c r="G474" s="196">
        <v>0</v>
      </c>
      <c r="H474" s="202">
        <v>46302</v>
      </c>
      <c r="I474" s="260" t="s">
        <v>588</v>
      </c>
      <c r="J474" s="196">
        <v>1</v>
      </c>
      <c r="K474" s="196">
        <v>0</v>
      </c>
      <c r="L474" s="260" t="s">
        <v>239</v>
      </c>
      <c r="M474" s="260" t="s">
        <v>514</v>
      </c>
    </row>
    <row r="475" spans="1:13" ht="14.5" x14ac:dyDescent="0.35">
      <c r="A475" s="260" t="s">
        <v>1261</v>
      </c>
      <c r="B475" s="260" t="s">
        <v>752</v>
      </c>
      <c r="C475" s="190">
        <v>45945</v>
      </c>
      <c r="D475" s="197">
        <v>178.87</v>
      </c>
      <c r="E475" s="260" t="s">
        <v>564</v>
      </c>
      <c r="F475" s="260" t="s">
        <v>793</v>
      </c>
      <c r="G475" s="196">
        <v>0</v>
      </c>
      <c r="H475" s="202">
        <v>46302</v>
      </c>
      <c r="I475" s="260" t="s">
        <v>588</v>
      </c>
      <c r="J475" s="196">
        <v>1</v>
      </c>
      <c r="K475" s="196">
        <v>0</v>
      </c>
      <c r="L475" s="260" t="s">
        <v>239</v>
      </c>
      <c r="M475" s="260" t="s">
        <v>514</v>
      </c>
    </row>
    <row r="476" spans="1:13" ht="14.5" x14ac:dyDescent="0.35">
      <c r="A476" s="260" t="s">
        <v>1262</v>
      </c>
      <c r="B476" s="260" t="s">
        <v>752</v>
      </c>
      <c r="C476" s="190">
        <v>45946</v>
      </c>
      <c r="D476" s="197">
        <v>179</v>
      </c>
      <c r="E476" s="260" t="s">
        <v>564</v>
      </c>
      <c r="F476" s="260" t="s">
        <v>793</v>
      </c>
      <c r="G476" s="196">
        <v>0</v>
      </c>
      <c r="H476" s="202">
        <v>46302</v>
      </c>
      <c r="I476" s="260" t="s">
        <v>588</v>
      </c>
      <c r="J476" s="196">
        <v>1</v>
      </c>
      <c r="K476" s="196">
        <v>0</v>
      </c>
      <c r="L476" s="260" t="s">
        <v>239</v>
      </c>
      <c r="M476" s="260" t="s">
        <v>514</v>
      </c>
    </row>
    <row r="477" spans="1:13" ht="14.5" x14ac:dyDescent="0.35">
      <c r="A477" s="260" t="s">
        <v>1263</v>
      </c>
      <c r="B477" s="260" t="s">
        <v>752</v>
      </c>
      <c r="C477" s="190">
        <v>45947</v>
      </c>
      <c r="D477" s="197">
        <v>179.13</v>
      </c>
      <c r="E477" s="260" t="s">
        <v>564</v>
      </c>
      <c r="F477" s="260" t="s">
        <v>793</v>
      </c>
      <c r="G477" s="196">
        <v>0</v>
      </c>
      <c r="H477" s="202">
        <v>46302</v>
      </c>
      <c r="I477" s="260" t="s">
        <v>588</v>
      </c>
      <c r="J477" s="196">
        <v>1</v>
      </c>
      <c r="K477" s="196">
        <v>0</v>
      </c>
      <c r="L477" s="260" t="s">
        <v>239</v>
      </c>
      <c r="M477" s="260" t="s">
        <v>514</v>
      </c>
    </row>
    <row r="478" spans="1:13" ht="14.5" x14ac:dyDescent="0.35">
      <c r="A478" s="260" t="s">
        <v>1264</v>
      </c>
      <c r="B478" s="260" t="s">
        <v>752</v>
      </c>
      <c r="C478" s="190">
        <v>45950</v>
      </c>
      <c r="D478" s="197">
        <v>179.53</v>
      </c>
      <c r="E478" s="260" t="s">
        <v>564</v>
      </c>
      <c r="F478" s="260" t="s">
        <v>793</v>
      </c>
      <c r="G478" s="196">
        <v>0</v>
      </c>
      <c r="H478" s="202">
        <v>46302</v>
      </c>
      <c r="I478" s="260" t="s">
        <v>588</v>
      </c>
      <c r="J478" s="196">
        <v>1</v>
      </c>
      <c r="K478" s="196">
        <v>0</v>
      </c>
      <c r="L478" s="260" t="s">
        <v>239</v>
      </c>
      <c r="M478" s="260" t="s">
        <v>514</v>
      </c>
    </row>
    <row r="479" spans="1:13" ht="14.5" x14ac:dyDescent="0.35">
      <c r="A479" s="260" t="s">
        <v>1265</v>
      </c>
      <c r="B479" s="260" t="s">
        <v>752</v>
      </c>
      <c r="C479" s="190">
        <v>45951</v>
      </c>
      <c r="D479" s="197">
        <v>179.67</v>
      </c>
      <c r="E479" s="260" t="s">
        <v>564</v>
      </c>
      <c r="F479" s="260" t="s">
        <v>793</v>
      </c>
      <c r="G479" s="196">
        <v>0</v>
      </c>
      <c r="H479" s="202">
        <v>46302</v>
      </c>
      <c r="I479" s="260" t="s">
        <v>588</v>
      </c>
      <c r="J479" s="196">
        <v>1</v>
      </c>
      <c r="K479" s="196">
        <v>0</v>
      </c>
      <c r="L479" s="260" t="s">
        <v>239</v>
      </c>
      <c r="M479" s="260" t="s">
        <v>514</v>
      </c>
    </row>
    <row r="480" spans="1:13" ht="14.5" x14ac:dyDescent="0.35">
      <c r="A480" s="260" t="s">
        <v>1266</v>
      </c>
      <c r="B480" s="260" t="s">
        <v>752</v>
      </c>
      <c r="C480" s="190">
        <v>45952</v>
      </c>
      <c r="D480" s="197">
        <v>179.8</v>
      </c>
      <c r="E480" s="260" t="s">
        <v>564</v>
      </c>
      <c r="F480" s="260" t="s">
        <v>793</v>
      </c>
      <c r="G480" s="196">
        <v>0</v>
      </c>
      <c r="H480" s="202">
        <v>46302</v>
      </c>
      <c r="I480" s="260" t="s">
        <v>588</v>
      </c>
      <c r="J480" s="196">
        <v>1</v>
      </c>
      <c r="K480" s="196">
        <v>0</v>
      </c>
      <c r="L480" s="260" t="s">
        <v>239</v>
      </c>
      <c r="M480" s="260" t="s">
        <v>514</v>
      </c>
    </row>
    <row r="481" spans="1:13" ht="14.5" x14ac:dyDescent="0.35">
      <c r="A481" s="260" t="s">
        <v>1267</v>
      </c>
      <c r="B481" s="260" t="s">
        <v>752</v>
      </c>
      <c r="C481" s="190">
        <v>45953</v>
      </c>
      <c r="D481" s="197">
        <v>179.93</v>
      </c>
      <c r="E481" s="260" t="s">
        <v>564</v>
      </c>
      <c r="F481" s="260" t="s">
        <v>793</v>
      </c>
      <c r="G481" s="196">
        <v>0</v>
      </c>
      <c r="H481" s="202">
        <v>46302</v>
      </c>
      <c r="I481" s="260" t="s">
        <v>588</v>
      </c>
      <c r="J481" s="196">
        <v>1</v>
      </c>
      <c r="K481" s="196">
        <v>0</v>
      </c>
      <c r="L481" s="260" t="s">
        <v>239</v>
      </c>
      <c r="M481" s="260" t="s">
        <v>514</v>
      </c>
    </row>
    <row r="482" spans="1:13" ht="14.5" x14ac:dyDescent="0.35">
      <c r="A482" s="260" t="s">
        <v>1268</v>
      </c>
      <c r="B482" s="260" t="s">
        <v>752</v>
      </c>
      <c r="C482" s="190">
        <v>45954</v>
      </c>
      <c r="D482" s="197">
        <v>180.07</v>
      </c>
      <c r="E482" s="260" t="s">
        <v>564</v>
      </c>
      <c r="F482" s="260" t="s">
        <v>793</v>
      </c>
      <c r="G482" s="196">
        <v>0</v>
      </c>
      <c r="H482" s="202">
        <v>46302</v>
      </c>
      <c r="I482" s="260" t="s">
        <v>588</v>
      </c>
      <c r="J482" s="196">
        <v>1</v>
      </c>
      <c r="K482" s="196">
        <v>0</v>
      </c>
      <c r="L482" s="260" t="s">
        <v>239</v>
      </c>
      <c r="M482" s="260" t="s">
        <v>514</v>
      </c>
    </row>
    <row r="483" spans="1:13" ht="14.5" x14ac:dyDescent="0.35">
      <c r="A483" s="260" t="s">
        <v>1269</v>
      </c>
      <c r="B483" s="260" t="s">
        <v>752</v>
      </c>
      <c r="C483" s="190">
        <v>45957</v>
      </c>
      <c r="D483" s="197">
        <v>180.47</v>
      </c>
      <c r="E483" s="260" t="s">
        <v>564</v>
      </c>
      <c r="F483" s="260" t="s">
        <v>793</v>
      </c>
      <c r="G483" s="196">
        <v>0</v>
      </c>
      <c r="H483" s="202">
        <v>46302</v>
      </c>
      <c r="I483" s="260" t="s">
        <v>588</v>
      </c>
      <c r="J483" s="196">
        <v>1</v>
      </c>
      <c r="K483" s="196">
        <v>0</v>
      </c>
      <c r="L483" s="260" t="s">
        <v>239</v>
      </c>
      <c r="M483" s="260" t="s">
        <v>514</v>
      </c>
    </row>
    <row r="484" spans="1:13" ht="14.5" x14ac:dyDescent="0.35">
      <c r="A484" s="260" t="s">
        <v>1270</v>
      </c>
      <c r="B484" s="260" t="s">
        <v>752</v>
      </c>
      <c r="C484" s="190">
        <v>45958</v>
      </c>
      <c r="D484" s="197">
        <v>180.6</v>
      </c>
      <c r="E484" s="260" t="s">
        <v>564</v>
      </c>
      <c r="F484" s="260" t="s">
        <v>793</v>
      </c>
      <c r="G484" s="196">
        <v>0</v>
      </c>
      <c r="H484" s="202">
        <v>46302</v>
      </c>
      <c r="I484" s="260" t="s">
        <v>588</v>
      </c>
      <c r="J484" s="196">
        <v>1</v>
      </c>
      <c r="K484" s="196">
        <v>0</v>
      </c>
      <c r="L484" s="260" t="s">
        <v>239</v>
      </c>
      <c r="M484" s="260" t="s">
        <v>514</v>
      </c>
    </row>
    <row r="485" spans="1:13" ht="14.5" x14ac:dyDescent="0.35">
      <c r="A485" s="260" t="s">
        <v>1271</v>
      </c>
      <c r="B485" s="260" t="s">
        <v>752</v>
      </c>
      <c r="C485" s="190">
        <v>45959</v>
      </c>
      <c r="D485" s="197">
        <v>180.73</v>
      </c>
      <c r="E485" s="260" t="s">
        <v>564</v>
      </c>
      <c r="F485" s="260" t="s">
        <v>793</v>
      </c>
      <c r="G485" s="196">
        <v>0</v>
      </c>
      <c r="H485" s="202">
        <v>46302</v>
      </c>
      <c r="I485" s="260" t="s">
        <v>588</v>
      </c>
      <c r="J485" s="196">
        <v>1</v>
      </c>
      <c r="K485" s="196">
        <v>0</v>
      </c>
      <c r="L485" s="260" t="s">
        <v>239</v>
      </c>
      <c r="M485" s="260" t="s">
        <v>514</v>
      </c>
    </row>
    <row r="486" spans="1:13" ht="14.5" x14ac:dyDescent="0.35">
      <c r="A486" s="260" t="s">
        <v>1272</v>
      </c>
      <c r="B486" s="260" t="s">
        <v>752</v>
      </c>
      <c r="C486" s="190">
        <v>45960</v>
      </c>
      <c r="D486" s="197">
        <v>180.87</v>
      </c>
      <c r="E486" s="260" t="s">
        <v>564</v>
      </c>
      <c r="F486" s="260" t="s">
        <v>793</v>
      </c>
      <c r="G486" s="196">
        <v>0</v>
      </c>
      <c r="H486" s="202">
        <v>46302</v>
      </c>
      <c r="I486" s="260" t="s">
        <v>588</v>
      </c>
      <c r="J486" s="196">
        <v>1</v>
      </c>
      <c r="K486" s="196">
        <v>0</v>
      </c>
      <c r="L486" s="260" t="s">
        <v>239</v>
      </c>
      <c r="M486" s="260" t="s">
        <v>514</v>
      </c>
    </row>
    <row r="487" spans="1:13" ht="14.5" x14ac:dyDescent="0.35">
      <c r="A487" s="260" t="s">
        <v>1273</v>
      </c>
      <c r="B487" s="260" t="s">
        <v>752</v>
      </c>
      <c r="C487" s="190">
        <v>45961</v>
      </c>
      <c r="D487" s="197">
        <v>181</v>
      </c>
      <c r="E487" s="260" t="s">
        <v>564</v>
      </c>
      <c r="F487" s="260" t="s">
        <v>793</v>
      </c>
      <c r="G487" s="196">
        <v>0</v>
      </c>
      <c r="H487" s="202">
        <v>46302</v>
      </c>
      <c r="I487" s="260" t="s">
        <v>588</v>
      </c>
      <c r="J487" s="196">
        <v>1</v>
      </c>
      <c r="K487" s="196">
        <v>0</v>
      </c>
      <c r="L487" s="260" t="s">
        <v>239</v>
      </c>
      <c r="M487" s="260" t="s">
        <v>514</v>
      </c>
    </row>
    <row r="488" spans="1:13" ht="14.5" x14ac:dyDescent="0.35">
      <c r="A488" s="260" t="s">
        <v>1274</v>
      </c>
      <c r="B488" s="260" t="s">
        <v>752</v>
      </c>
      <c r="C488" s="190">
        <v>45964</v>
      </c>
      <c r="D488" s="197">
        <v>180.24</v>
      </c>
      <c r="E488" s="260" t="s">
        <v>564</v>
      </c>
      <c r="F488" s="260" t="s">
        <v>793</v>
      </c>
      <c r="G488" s="196">
        <v>0</v>
      </c>
      <c r="H488" s="202">
        <v>46302</v>
      </c>
      <c r="I488" s="260" t="s">
        <v>588</v>
      </c>
      <c r="J488" s="196">
        <v>1</v>
      </c>
      <c r="K488" s="196">
        <v>0</v>
      </c>
      <c r="L488" s="260" t="s">
        <v>239</v>
      </c>
      <c r="M488" s="260" t="s">
        <v>514</v>
      </c>
    </row>
    <row r="489" spans="1:13" ht="14.5" x14ac:dyDescent="0.35">
      <c r="A489" s="260" t="s">
        <v>1275</v>
      </c>
      <c r="B489" s="260" t="s">
        <v>752</v>
      </c>
      <c r="C489" s="190">
        <v>45965</v>
      </c>
      <c r="D489" s="197">
        <v>179.86</v>
      </c>
      <c r="E489" s="260" t="s">
        <v>564</v>
      </c>
      <c r="F489" s="260" t="s">
        <v>793</v>
      </c>
      <c r="G489" s="196">
        <v>0</v>
      </c>
      <c r="H489" s="202">
        <v>46302</v>
      </c>
      <c r="I489" s="260" t="s">
        <v>588</v>
      </c>
      <c r="J489" s="196">
        <v>1</v>
      </c>
      <c r="K489" s="196">
        <v>0</v>
      </c>
      <c r="L489" s="260" t="s">
        <v>239</v>
      </c>
      <c r="M489" s="260" t="s">
        <v>514</v>
      </c>
    </row>
    <row r="490" spans="1:13" ht="14.5" x14ac:dyDescent="0.35">
      <c r="A490" s="260" t="s">
        <v>1276</v>
      </c>
      <c r="B490" s="260" t="s">
        <v>752</v>
      </c>
      <c r="C490" s="190">
        <v>45966</v>
      </c>
      <c r="D490" s="197">
        <v>179.48</v>
      </c>
      <c r="E490" s="260" t="s">
        <v>564</v>
      </c>
      <c r="F490" s="260" t="s">
        <v>793</v>
      </c>
      <c r="G490" s="196">
        <v>0</v>
      </c>
      <c r="H490" s="202">
        <v>46302</v>
      </c>
      <c r="I490" s="260" t="s">
        <v>588</v>
      </c>
      <c r="J490" s="196">
        <v>1</v>
      </c>
      <c r="K490" s="196">
        <v>0</v>
      </c>
      <c r="L490" s="260" t="s">
        <v>239</v>
      </c>
      <c r="M490" s="260" t="s">
        <v>514</v>
      </c>
    </row>
    <row r="491" spans="1:13" ht="14.5" x14ac:dyDescent="0.35">
      <c r="A491" s="260" t="s">
        <v>1277</v>
      </c>
      <c r="B491" s="260" t="s">
        <v>752</v>
      </c>
      <c r="C491" s="190">
        <v>45967</v>
      </c>
      <c r="D491" s="197">
        <v>179.1</v>
      </c>
      <c r="E491" s="260" t="s">
        <v>564</v>
      </c>
      <c r="F491" s="260" t="s">
        <v>793</v>
      </c>
      <c r="G491" s="196">
        <v>0</v>
      </c>
      <c r="H491" s="202">
        <v>46302</v>
      </c>
      <c r="I491" s="260" t="s">
        <v>588</v>
      </c>
      <c r="J491" s="196">
        <v>1</v>
      </c>
      <c r="K491" s="196">
        <v>0</v>
      </c>
      <c r="L491" s="260" t="s">
        <v>239</v>
      </c>
      <c r="M491" s="260" t="s">
        <v>514</v>
      </c>
    </row>
    <row r="492" spans="1:13" ht="14.5" x14ac:dyDescent="0.35">
      <c r="A492" s="260" t="s">
        <v>1278</v>
      </c>
      <c r="B492" s="260" t="s">
        <v>752</v>
      </c>
      <c r="C492" s="190">
        <v>45968</v>
      </c>
      <c r="D492" s="197">
        <v>178.72</v>
      </c>
      <c r="E492" s="260" t="s">
        <v>564</v>
      </c>
      <c r="F492" s="260" t="s">
        <v>793</v>
      </c>
      <c r="G492" s="196">
        <v>0</v>
      </c>
      <c r="H492" s="202">
        <v>46302</v>
      </c>
      <c r="I492" s="260" t="s">
        <v>588</v>
      </c>
      <c r="J492" s="196">
        <v>1</v>
      </c>
      <c r="K492" s="196">
        <v>0</v>
      </c>
      <c r="L492" s="260" t="s">
        <v>239</v>
      </c>
      <c r="M492" s="260" t="s">
        <v>514</v>
      </c>
    </row>
    <row r="493" spans="1:13" ht="14.5" x14ac:dyDescent="0.35">
      <c r="A493" s="260" t="s">
        <v>1279</v>
      </c>
      <c r="B493" s="260" t="s">
        <v>752</v>
      </c>
      <c r="C493" s="190">
        <v>45971</v>
      </c>
      <c r="D493" s="197">
        <v>177.59</v>
      </c>
      <c r="E493" s="260" t="s">
        <v>564</v>
      </c>
      <c r="F493" s="260" t="s">
        <v>793</v>
      </c>
      <c r="G493" s="196">
        <v>0</v>
      </c>
      <c r="H493" s="202">
        <v>46302</v>
      </c>
      <c r="I493" s="260" t="s">
        <v>588</v>
      </c>
      <c r="J493" s="196">
        <v>1</v>
      </c>
      <c r="K493" s="196">
        <v>0</v>
      </c>
      <c r="L493" s="260" t="s">
        <v>239</v>
      </c>
      <c r="M493" s="260" t="s">
        <v>514</v>
      </c>
    </row>
    <row r="494" spans="1:13" ht="14.5" x14ac:dyDescent="0.35">
      <c r="A494" s="260" t="s">
        <v>1280</v>
      </c>
      <c r="B494" s="260" t="s">
        <v>752</v>
      </c>
      <c r="C494" s="190">
        <v>45972</v>
      </c>
      <c r="D494" s="197">
        <v>177.21</v>
      </c>
      <c r="E494" s="260" t="s">
        <v>564</v>
      </c>
      <c r="F494" s="260" t="s">
        <v>793</v>
      </c>
      <c r="G494" s="196">
        <v>0</v>
      </c>
      <c r="H494" s="202">
        <v>46302</v>
      </c>
      <c r="I494" s="260" t="s">
        <v>588</v>
      </c>
      <c r="J494" s="196">
        <v>1</v>
      </c>
      <c r="K494" s="196">
        <v>0</v>
      </c>
      <c r="L494" s="260" t="s">
        <v>239</v>
      </c>
      <c r="M494" s="260" t="s">
        <v>514</v>
      </c>
    </row>
    <row r="495" spans="1:13" ht="14.5" x14ac:dyDescent="0.35">
      <c r="A495" s="260" t="s">
        <v>1281</v>
      </c>
      <c r="B495" s="260" t="s">
        <v>752</v>
      </c>
      <c r="C495" s="190">
        <v>45973</v>
      </c>
      <c r="D495" s="197">
        <v>176.83</v>
      </c>
      <c r="E495" s="260" t="s">
        <v>564</v>
      </c>
      <c r="F495" s="260" t="s">
        <v>793</v>
      </c>
      <c r="G495" s="196">
        <v>0</v>
      </c>
      <c r="H495" s="202">
        <v>46302</v>
      </c>
      <c r="I495" s="260" t="s">
        <v>588</v>
      </c>
      <c r="J495" s="196">
        <v>1</v>
      </c>
      <c r="K495" s="196">
        <v>0</v>
      </c>
      <c r="L495" s="260" t="s">
        <v>239</v>
      </c>
      <c r="M495" s="260" t="s">
        <v>514</v>
      </c>
    </row>
    <row r="496" spans="1:13" ht="14.5" x14ac:dyDescent="0.35">
      <c r="A496" s="260" t="s">
        <v>1282</v>
      </c>
      <c r="B496" s="260" t="s">
        <v>752</v>
      </c>
      <c r="C496" s="190">
        <v>45974</v>
      </c>
      <c r="D496" s="197">
        <v>176.45</v>
      </c>
      <c r="E496" s="260" t="s">
        <v>564</v>
      </c>
      <c r="F496" s="260" t="s">
        <v>793</v>
      </c>
      <c r="G496" s="196">
        <v>0</v>
      </c>
      <c r="H496" s="202">
        <v>46302</v>
      </c>
      <c r="I496" s="260" t="s">
        <v>588</v>
      </c>
      <c r="J496" s="196">
        <v>1</v>
      </c>
      <c r="K496" s="196">
        <v>0</v>
      </c>
      <c r="L496" s="260" t="s">
        <v>239</v>
      </c>
      <c r="M496" s="260" t="s">
        <v>514</v>
      </c>
    </row>
    <row r="497" spans="1:13" ht="14.5" x14ac:dyDescent="0.35">
      <c r="A497" s="260" t="s">
        <v>1283</v>
      </c>
      <c r="B497" s="260" t="s">
        <v>752</v>
      </c>
      <c r="C497" s="190">
        <v>45975</v>
      </c>
      <c r="D497" s="197">
        <v>176.07</v>
      </c>
      <c r="E497" s="260" t="s">
        <v>564</v>
      </c>
      <c r="F497" s="260" t="s">
        <v>793</v>
      </c>
      <c r="G497" s="196">
        <v>0</v>
      </c>
      <c r="H497" s="202">
        <v>46302</v>
      </c>
      <c r="I497" s="260" t="s">
        <v>588</v>
      </c>
      <c r="J497" s="196">
        <v>1</v>
      </c>
      <c r="K497" s="196">
        <v>0</v>
      </c>
      <c r="L497" s="260" t="s">
        <v>239</v>
      </c>
      <c r="M497" s="260" t="s">
        <v>514</v>
      </c>
    </row>
    <row r="498" spans="1:13" ht="14.5" x14ac:dyDescent="0.35">
      <c r="A498" s="260" t="s">
        <v>1284</v>
      </c>
      <c r="B498" s="260" t="s">
        <v>752</v>
      </c>
      <c r="C498" s="190">
        <v>45978</v>
      </c>
      <c r="D498" s="197">
        <v>174.93</v>
      </c>
      <c r="E498" s="260" t="s">
        <v>564</v>
      </c>
      <c r="F498" s="260" t="s">
        <v>793</v>
      </c>
      <c r="G498" s="196">
        <v>0</v>
      </c>
      <c r="H498" s="202">
        <v>46302</v>
      </c>
      <c r="I498" s="260" t="s">
        <v>588</v>
      </c>
      <c r="J498" s="196">
        <v>1</v>
      </c>
      <c r="K498" s="196">
        <v>0</v>
      </c>
      <c r="L498" s="260" t="s">
        <v>239</v>
      </c>
      <c r="M498" s="260" t="s">
        <v>514</v>
      </c>
    </row>
    <row r="499" spans="1:13" ht="14.5" x14ac:dyDescent="0.35">
      <c r="A499" s="260" t="s">
        <v>1285</v>
      </c>
      <c r="B499" s="260" t="s">
        <v>752</v>
      </c>
      <c r="C499" s="190">
        <v>45979</v>
      </c>
      <c r="D499" s="197">
        <v>174.55</v>
      </c>
      <c r="E499" s="260" t="s">
        <v>564</v>
      </c>
      <c r="F499" s="260" t="s">
        <v>793</v>
      </c>
      <c r="G499" s="196">
        <v>0</v>
      </c>
      <c r="H499" s="202">
        <v>46302</v>
      </c>
      <c r="I499" s="260" t="s">
        <v>588</v>
      </c>
      <c r="J499" s="196">
        <v>1</v>
      </c>
      <c r="K499" s="196">
        <v>0</v>
      </c>
      <c r="L499" s="260" t="s">
        <v>239</v>
      </c>
      <c r="M499" s="260" t="s">
        <v>514</v>
      </c>
    </row>
    <row r="500" spans="1:13" ht="14.5" x14ac:dyDescent="0.35">
      <c r="A500" s="260" t="s">
        <v>1286</v>
      </c>
      <c r="B500" s="260" t="s">
        <v>752</v>
      </c>
      <c r="C500" s="190">
        <v>45980</v>
      </c>
      <c r="D500" s="197">
        <v>174.17</v>
      </c>
      <c r="E500" s="260" t="s">
        <v>564</v>
      </c>
      <c r="F500" s="260" t="s">
        <v>793</v>
      </c>
      <c r="G500" s="196">
        <v>0</v>
      </c>
      <c r="H500" s="202">
        <v>46302</v>
      </c>
      <c r="I500" s="260" t="s">
        <v>588</v>
      </c>
      <c r="J500" s="196">
        <v>1</v>
      </c>
      <c r="K500" s="196">
        <v>0</v>
      </c>
      <c r="L500" s="260" t="s">
        <v>239</v>
      </c>
      <c r="M500" s="260" t="s">
        <v>514</v>
      </c>
    </row>
    <row r="501" spans="1:13" ht="14.5" x14ac:dyDescent="0.35">
      <c r="A501" s="260" t="s">
        <v>1287</v>
      </c>
      <c r="B501" s="260" t="s">
        <v>752</v>
      </c>
      <c r="C501" s="190">
        <v>45981</v>
      </c>
      <c r="D501" s="197">
        <v>173.79</v>
      </c>
      <c r="E501" s="260" t="s">
        <v>564</v>
      </c>
      <c r="F501" s="260" t="s">
        <v>793</v>
      </c>
      <c r="G501" s="196">
        <v>0</v>
      </c>
      <c r="H501" s="202">
        <v>46302</v>
      </c>
      <c r="I501" s="260" t="s">
        <v>588</v>
      </c>
      <c r="J501" s="196">
        <v>1</v>
      </c>
      <c r="K501" s="196">
        <v>0</v>
      </c>
      <c r="L501" s="260" t="s">
        <v>239</v>
      </c>
      <c r="M501" s="260" t="s">
        <v>514</v>
      </c>
    </row>
    <row r="502" spans="1:13" ht="14.5" x14ac:dyDescent="0.35">
      <c r="A502" s="260" t="s">
        <v>1288</v>
      </c>
      <c r="B502" s="260" t="s">
        <v>752</v>
      </c>
      <c r="C502" s="190">
        <v>45982</v>
      </c>
      <c r="D502" s="197">
        <v>173.41</v>
      </c>
      <c r="E502" s="260" t="s">
        <v>564</v>
      </c>
      <c r="F502" s="260" t="s">
        <v>793</v>
      </c>
      <c r="G502" s="196">
        <v>0</v>
      </c>
      <c r="H502" s="202">
        <v>46302</v>
      </c>
      <c r="I502" s="260" t="s">
        <v>588</v>
      </c>
      <c r="J502" s="196">
        <v>1</v>
      </c>
      <c r="K502" s="196">
        <v>0</v>
      </c>
      <c r="L502" s="260" t="s">
        <v>239</v>
      </c>
      <c r="M502" s="260" t="s">
        <v>514</v>
      </c>
    </row>
    <row r="503" spans="1:13" ht="14.5" x14ac:dyDescent="0.35">
      <c r="A503" s="260" t="s">
        <v>1289</v>
      </c>
      <c r="B503" s="260" t="s">
        <v>752</v>
      </c>
      <c r="C503" s="190">
        <v>45985</v>
      </c>
      <c r="D503" s="197">
        <v>172.28</v>
      </c>
      <c r="E503" s="260" t="s">
        <v>564</v>
      </c>
      <c r="F503" s="260" t="s">
        <v>793</v>
      </c>
      <c r="G503" s="196">
        <v>0</v>
      </c>
      <c r="H503" s="202">
        <v>46302</v>
      </c>
      <c r="I503" s="260" t="s">
        <v>588</v>
      </c>
      <c r="J503" s="196">
        <v>1</v>
      </c>
      <c r="K503" s="196">
        <v>0</v>
      </c>
      <c r="L503" s="260" t="s">
        <v>239</v>
      </c>
      <c r="M503" s="260" t="s">
        <v>514</v>
      </c>
    </row>
    <row r="504" spans="1:13" ht="14.5" x14ac:dyDescent="0.35">
      <c r="A504" s="260" t="s">
        <v>1290</v>
      </c>
      <c r="B504" s="260" t="s">
        <v>752</v>
      </c>
      <c r="C504" s="190">
        <v>45986</v>
      </c>
      <c r="D504" s="197">
        <v>171.9</v>
      </c>
      <c r="E504" s="260" t="s">
        <v>564</v>
      </c>
      <c r="F504" s="260" t="s">
        <v>793</v>
      </c>
      <c r="G504" s="196">
        <v>0</v>
      </c>
      <c r="H504" s="202">
        <v>46302</v>
      </c>
      <c r="I504" s="260" t="s">
        <v>588</v>
      </c>
      <c r="J504" s="196">
        <v>1</v>
      </c>
      <c r="K504" s="196">
        <v>0</v>
      </c>
      <c r="L504" s="260" t="s">
        <v>239</v>
      </c>
      <c r="M504" s="260" t="s">
        <v>514</v>
      </c>
    </row>
    <row r="505" spans="1:13" ht="14.5" x14ac:dyDescent="0.35">
      <c r="A505" s="260" t="s">
        <v>1291</v>
      </c>
      <c r="B505" s="260" t="s">
        <v>752</v>
      </c>
      <c r="C505" s="190">
        <v>45987</v>
      </c>
      <c r="D505" s="197">
        <v>171.52</v>
      </c>
      <c r="E505" s="260" t="s">
        <v>564</v>
      </c>
      <c r="F505" s="260" t="s">
        <v>793</v>
      </c>
      <c r="G505" s="196">
        <v>0</v>
      </c>
      <c r="H505" s="202">
        <v>46302</v>
      </c>
      <c r="I505" s="260" t="s">
        <v>588</v>
      </c>
      <c r="J505" s="196">
        <v>1</v>
      </c>
      <c r="K505" s="196">
        <v>0</v>
      </c>
      <c r="L505" s="260" t="s">
        <v>239</v>
      </c>
      <c r="M505" s="260" t="s">
        <v>514</v>
      </c>
    </row>
    <row r="506" spans="1:13" ht="14.5" x14ac:dyDescent="0.35">
      <c r="A506" s="260" t="s">
        <v>1292</v>
      </c>
      <c r="B506" s="260" t="s">
        <v>752</v>
      </c>
      <c r="C506" s="190">
        <v>45988</v>
      </c>
      <c r="D506" s="197">
        <v>171.14</v>
      </c>
      <c r="E506" s="260" t="s">
        <v>564</v>
      </c>
      <c r="F506" s="260" t="s">
        <v>793</v>
      </c>
      <c r="G506" s="196">
        <v>0</v>
      </c>
      <c r="H506" s="202">
        <v>46302</v>
      </c>
      <c r="I506" s="260" t="s">
        <v>588</v>
      </c>
      <c r="J506" s="196">
        <v>1</v>
      </c>
      <c r="K506" s="196">
        <v>0</v>
      </c>
      <c r="L506" s="260" t="s">
        <v>239</v>
      </c>
      <c r="M506" s="260" t="s">
        <v>514</v>
      </c>
    </row>
    <row r="507" spans="1:13" ht="14.5" x14ac:dyDescent="0.35">
      <c r="A507" s="260" t="s">
        <v>1293</v>
      </c>
      <c r="B507" s="260" t="s">
        <v>752</v>
      </c>
      <c r="C507" s="190">
        <v>45989</v>
      </c>
      <c r="D507" s="197">
        <v>170.76</v>
      </c>
      <c r="E507" s="260" t="s">
        <v>564</v>
      </c>
      <c r="F507" s="260" t="s">
        <v>793</v>
      </c>
      <c r="G507" s="196">
        <v>0</v>
      </c>
      <c r="H507" s="202">
        <v>46302</v>
      </c>
      <c r="I507" s="260" t="s">
        <v>588</v>
      </c>
      <c r="J507" s="196">
        <v>1</v>
      </c>
      <c r="K507" s="196">
        <v>0</v>
      </c>
      <c r="L507" s="260" t="s">
        <v>239</v>
      </c>
      <c r="M507" s="260" t="s">
        <v>514</v>
      </c>
    </row>
    <row r="508" spans="1:13" ht="14.5" x14ac:dyDescent="0.35">
      <c r="A508" s="260" t="s">
        <v>1294</v>
      </c>
      <c r="B508" s="260" t="s">
        <v>752</v>
      </c>
      <c r="C508" s="190">
        <v>45992</v>
      </c>
      <c r="D508" s="197">
        <v>170</v>
      </c>
      <c r="E508" s="260" t="s">
        <v>564</v>
      </c>
      <c r="F508" s="260" t="s">
        <v>793</v>
      </c>
      <c r="G508" s="196">
        <v>0</v>
      </c>
      <c r="H508" s="202">
        <v>46302</v>
      </c>
      <c r="I508" s="260" t="s">
        <v>588</v>
      </c>
      <c r="J508" s="196">
        <v>1</v>
      </c>
      <c r="K508" s="196">
        <v>0</v>
      </c>
      <c r="L508" s="260" t="s">
        <v>239</v>
      </c>
      <c r="M508" s="260" t="s">
        <v>514</v>
      </c>
    </row>
    <row r="509" spans="1:13" ht="14.5" x14ac:dyDescent="0.35">
      <c r="A509" s="260" t="s">
        <v>1295</v>
      </c>
      <c r="B509" s="260" t="s">
        <v>752</v>
      </c>
      <c r="C509" s="190">
        <v>45993</v>
      </c>
      <c r="D509" s="197">
        <v>169.97</v>
      </c>
      <c r="E509" s="260" t="s">
        <v>564</v>
      </c>
      <c r="F509" s="260" t="s">
        <v>793</v>
      </c>
      <c r="G509" s="196">
        <v>0</v>
      </c>
      <c r="H509" s="202">
        <v>46302</v>
      </c>
      <c r="I509" s="260" t="s">
        <v>588</v>
      </c>
      <c r="J509" s="196">
        <v>1</v>
      </c>
      <c r="K509" s="196">
        <v>0</v>
      </c>
      <c r="L509" s="260" t="s">
        <v>239</v>
      </c>
      <c r="M509" s="260" t="s">
        <v>514</v>
      </c>
    </row>
    <row r="510" spans="1:13" ht="14.5" x14ac:dyDescent="0.35">
      <c r="A510" s="260" t="s">
        <v>1296</v>
      </c>
      <c r="B510" s="260" t="s">
        <v>752</v>
      </c>
      <c r="C510" s="190">
        <v>45994</v>
      </c>
      <c r="D510" s="197">
        <v>169.93</v>
      </c>
      <c r="E510" s="260" t="s">
        <v>564</v>
      </c>
      <c r="F510" s="260" t="s">
        <v>793</v>
      </c>
      <c r="G510" s="196">
        <v>0</v>
      </c>
      <c r="H510" s="202">
        <v>46302</v>
      </c>
      <c r="I510" s="260" t="s">
        <v>588</v>
      </c>
      <c r="J510" s="196">
        <v>1</v>
      </c>
      <c r="K510" s="196">
        <v>0</v>
      </c>
      <c r="L510" s="260" t="s">
        <v>239</v>
      </c>
      <c r="M510" s="260" t="s">
        <v>514</v>
      </c>
    </row>
    <row r="511" spans="1:13" ht="14.5" x14ac:dyDescent="0.35">
      <c r="A511" s="260" t="s">
        <v>1297</v>
      </c>
      <c r="B511" s="260" t="s">
        <v>752</v>
      </c>
      <c r="C511" s="190">
        <v>45995</v>
      </c>
      <c r="D511" s="197">
        <v>169.9</v>
      </c>
      <c r="E511" s="260" t="s">
        <v>564</v>
      </c>
      <c r="F511" s="260" t="s">
        <v>793</v>
      </c>
      <c r="G511" s="196">
        <v>0</v>
      </c>
      <c r="H511" s="202">
        <v>46302</v>
      </c>
      <c r="I511" s="260" t="s">
        <v>588</v>
      </c>
      <c r="J511" s="196">
        <v>1</v>
      </c>
      <c r="K511" s="196">
        <v>0</v>
      </c>
      <c r="L511" s="260" t="s">
        <v>239</v>
      </c>
      <c r="M511" s="260" t="s">
        <v>514</v>
      </c>
    </row>
    <row r="512" spans="1:13" ht="14.5" x14ac:dyDescent="0.35">
      <c r="A512" s="260" t="s">
        <v>1298</v>
      </c>
      <c r="B512" s="260" t="s">
        <v>752</v>
      </c>
      <c r="C512" s="190">
        <v>45996</v>
      </c>
      <c r="D512" s="197">
        <v>169.87</v>
      </c>
      <c r="E512" s="260" t="s">
        <v>564</v>
      </c>
      <c r="F512" s="260" t="s">
        <v>793</v>
      </c>
      <c r="G512" s="196">
        <v>0</v>
      </c>
      <c r="H512" s="202">
        <v>46302</v>
      </c>
      <c r="I512" s="260" t="s">
        <v>588</v>
      </c>
      <c r="J512" s="196">
        <v>1</v>
      </c>
      <c r="K512" s="196">
        <v>0</v>
      </c>
      <c r="L512" s="260" t="s">
        <v>239</v>
      </c>
      <c r="M512" s="260" t="s">
        <v>514</v>
      </c>
    </row>
    <row r="513" spans="1:13" ht="14.5" x14ac:dyDescent="0.35">
      <c r="A513" s="260" t="s">
        <v>1299</v>
      </c>
      <c r="B513" s="260" t="s">
        <v>752</v>
      </c>
      <c r="C513" s="190">
        <v>45999</v>
      </c>
      <c r="D513" s="197">
        <v>169.77</v>
      </c>
      <c r="E513" s="260" t="s">
        <v>564</v>
      </c>
      <c r="F513" s="260" t="s">
        <v>793</v>
      </c>
      <c r="G513" s="196">
        <v>0</v>
      </c>
      <c r="H513" s="202">
        <v>46302</v>
      </c>
      <c r="I513" s="260" t="s">
        <v>588</v>
      </c>
      <c r="J513" s="196">
        <v>1</v>
      </c>
      <c r="K513" s="196">
        <v>0</v>
      </c>
      <c r="L513" s="260" t="s">
        <v>239</v>
      </c>
      <c r="M513" s="260" t="s">
        <v>514</v>
      </c>
    </row>
    <row r="514" spans="1:13" ht="14.5" x14ac:dyDescent="0.35">
      <c r="A514" s="260" t="s">
        <v>1300</v>
      </c>
      <c r="B514" s="260" t="s">
        <v>752</v>
      </c>
      <c r="C514" s="190">
        <v>46000</v>
      </c>
      <c r="D514" s="197">
        <v>169.73</v>
      </c>
      <c r="E514" s="260" t="s">
        <v>564</v>
      </c>
      <c r="F514" s="260" t="s">
        <v>793</v>
      </c>
      <c r="G514" s="196">
        <v>0</v>
      </c>
      <c r="H514" s="202">
        <v>46302</v>
      </c>
      <c r="I514" s="260" t="s">
        <v>588</v>
      </c>
      <c r="J514" s="196">
        <v>1</v>
      </c>
      <c r="K514" s="196">
        <v>0</v>
      </c>
      <c r="L514" s="260" t="s">
        <v>239</v>
      </c>
      <c r="M514" s="260" t="s">
        <v>514</v>
      </c>
    </row>
    <row r="515" spans="1:13" ht="14.5" x14ac:dyDescent="0.35">
      <c r="A515" s="260" t="s">
        <v>1301</v>
      </c>
      <c r="B515" s="260" t="s">
        <v>752</v>
      </c>
      <c r="C515" s="190">
        <v>46001</v>
      </c>
      <c r="D515" s="197">
        <v>169.7</v>
      </c>
      <c r="E515" s="260" t="s">
        <v>564</v>
      </c>
      <c r="F515" s="260" t="s">
        <v>793</v>
      </c>
      <c r="G515" s="196">
        <v>0</v>
      </c>
      <c r="H515" s="202">
        <v>46302</v>
      </c>
      <c r="I515" s="260" t="s">
        <v>588</v>
      </c>
      <c r="J515" s="196">
        <v>1</v>
      </c>
      <c r="K515" s="196">
        <v>0</v>
      </c>
      <c r="L515" s="260" t="s">
        <v>239</v>
      </c>
      <c r="M515" s="260" t="s">
        <v>514</v>
      </c>
    </row>
    <row r="516" spans="1:13" ht="14.5" x14ac:dyDescent="0.35">
      <c r="A516" s="260" t="s">
        <v>1302</v>
      </c>
      <c r="B516" s="260" t="s">
        <v>752</v>
      </c>
      <c r="C516" s="190">
        <v>46002</v>
      </c>
      <c r="D516" s="197">
        <v>169.67</v>
      </c>
      <c r="E516" s="260" t="s">
        <v>564</v>
      </c>
      <c r="F516" s="260" t="s">
        <v>793</v>
      </c>
      <c r="G516" s="196">
        <v>0</v>
      </c>
      <c r="H516" s="202">
        <v>46302</v>
      </c>
      <c r="I516" s="260" t="s">
        <v>588</v>
      </c>
      <c r="J516" s="196">
        <v>1</v>
      </c>
      <c r="K516" s="196">
        <v>0</v>
      </c>
      <c r="L516" s="260" t="s">
        <v>239</v>
      </c>
      <c r="M516" s="260" t="s">
        <v>514</v>
      </c>
    </row>
    <row r="517" spans="1:13" ht="14.5" x14ac:dyDescent="0.35">
      <c r="A517" s="260" t="s">
        <v>1303</v>
      </c>
      <c r="B517" s="260" t="s">
        <v>752</v>
      </c>
      <c r="C517" s="190">
        <v>46003</v>
      </c>
      <c r="D517" s="197">
        <v>169.63</v>
      </c>
      <c r="E517" s="260" t="s">
        <v>564</v>
      </c>
      <c r="F517" s="260" t="s">
        <v>793</v>
      </c>
      <c r="G517" s="196">
        <v>0</v>
      </c>
      <c r="H517" s="202">
        <v>46302</v>
      </c>
      <c r="I517" s="260" t="s">
        <v>588</v>
      </c>
      <c r="J517" s="196">
        <v>1</v>
      </c>
      <c r="K517" s="196">
        <v>0</v>
      </c>
      <c r="L517" s="260" t="s">
        <v>239</v>
      </c>
      <c r="M517" s="260" t="s">
        <v>514</v>
      </c>
    </row>
    <row r="518" spans="1:13" ht="14.5" x14ac:dyDescent="0.35">
      <c r="A518" s="260" t="s">
        <v>1304</v>
      </c>
      <c r="B518" s="260" t="s">
        <v>752</v>
      </c>
      <c r="C518" s="190">
        <v>46006</v>
      </c>
      <c r="D518" s="197">
        <v>169.53</v>
      </c>
      <c r="E518" s="260" t="s">
        <v>564</v>
      </c>
      <c r="F518" s="260" t="s">
        <v>793</v>
      </c>
      <c r="G518" s="196">
        <v>0</v>
      </c>
      <c r="H518" s="202">
        <v>46302</v>
      </c>
      <c r="I518" s="260" t="s">
        <v>588</v>
      </c>
      <c r="J518" s="196">
        <v>1</v>
      </c>
      <c r="K518" s="196">
        <v>0</v>
      </c>
      <c r="L518" s="260" t="s">
        <v>239</v>
      </c>
      <c r="M518" s="260" t="s">
        <v>514</v>
      </c>
    </row>
    <row r="519" spans="1:13" ht="14.5" x14ac:dyDescent="0.35">
      <c r="A519" s="260" t="s">
        <v>1305</v>
      </c>
      <c r="B519" s="260" t="s">
        <v>752</v>
      </c>
      <c r="C519" s="190">
        <v>46007</v>
      </c>
      <c r="D519" s="197">
        <v>169.5</v>
      </c>
      <c r="E519" s="260" t="s">
        <v>564</v>
      </c>
      <c r="F519" s="260" t="s">
        <v>793</v>
      </c>
      <c r="G519" s="196">
        <v>0</v>
      </c>
      <c r="H519" s="202">
        <v>46302</v>
      </c>
      <c r="I519" s="260" t="s">
        <v>588</v>
      </c>
      <c r="J519" s="196">
        <v>1</v>
      </c>
      <c r="K519" s="196">
        <v>0</v>
      </c>
      <c r="L519" s="260" t="s">
        <v>239</v>
      </c>
      <c r="M519" s="260" t="s">
        <v>514</v>
      </c>
    </row>
    <row r="520" spans="1:13" ht="14.5" x14ac:dyDescent="0.35">
      <c r="A520" s="260" t="s">
        <v>1306</v>
      </c>
      <c r="B520" s="260" t="s">
        <v>752</v>
      </c>
      <c r="C520" s="190">
        <v>46008</v>
      </c>
      <c r="D520" s="197">
        <v>169.47</v>
      </c>
      <c r="E520" s="260" t="s">
        <v>564</v>
      </c>
      <c r="F520" s="260" t="s">
        <v>793</v>
      </c>
      <c r="G520" s="196">
        <v>0</v>
      </c>
      <c r="H520" s="202">
        <v>46302</v>
      </c>
      <c r="I520" s="260" t="s">
        <v>588</v>
      </c>
      <c r="J520" s="196">
        <v>1</v>
      </c>
      <c r="K520" s="196">
        <v>0</v>
      </c>
      <c r="L520" s="260" t="s">
        <v>239</v>
      </c>
      <c r="M520" s="260" t="s">
        <v>514</v>
      </c>
    </row>
    <row r="521" spans="1:13" ht="14.5" x14ac:dyDescent="0.35">
      <c r="A521" s="260" t="s">
        <v>1307</v>
      </c>
      <c r="B521" s="260" t="s">
        <v>752</v>
      </c>
      <c r="C521" s="190">
        <v>46009</v>
      </c>
      <c r="D521" s="197">
        <v>169.43</v>
      </c>
      <c r="E521" s="260" t="s">
        <v>564</v>
      </c>
      <c r="F521" s="260" t="s">
        <v>793</v>
      </c>
      <c r="G521" s="196">
        <v>0</v>
      </c>
      <c r="H521" s="202">
        <v>46302</v>
      </c>
      <c r="I521" s="260" t="s">
        <v>588</v>
      </c>
      <c r="J521" s="196">
        <v>1</v>
      </c>
      <c r="K521" s="196">
        <v>0</v>
      </c>
      <c r="L521" s="260" t="s">
        <v>239</v>
      </c>
      <c r="M521" s="260" t="s">
        <v>514</v>
      </c>
    </row>
    <row r="522" spans="1:13" ht="14.5" x14ac:dyDescent="0.35">
      <c r="A522" s="260" t="s">
        <v>1308</v>
      </c>
      <c r="B522" s="260" t="s">
        <v>752</v>
      </c>
      <c r="C522" s="190">
        <v>46010</v>
      </c>
      <c r="D522" s="197">
        <v>169.4</v>
      </c>
      <c r="E522" s="260" t="s">
        <v>564</v>
      </c>
      <c r="F522" s="260" t="s">
        <v>793</v>
      </c>
      <c r="G522" s="196">
        <v>0</v>
      </c>
      <c r="H522" s="202">
        <v>46302</v>
      </c>
      <c r="I522" s="260" t="s">
        <v>588</v>
      </c>
      <c r="J522" s="196">
        <v>1</v>
      </c>
      <c r="K522" s="196">
        <v>0</v>
      </c>
      <c r="L522" s="260" t="s">
        <v>239</v>
      </c>
      <c r="M522" s="260" t="s">
        <v>514</v>
      </c>
    </row>
    <row r="523" spans="1:13" ht="14.5" x14ac:dyDescent="0.35">
      <c r="A523" s="260" t="s">
        <v>1309</v>
      </c>
      <c r="B523" s="260" t="s">
        <v>752</v>
      </c>
      <c r="C523" s="190">
        <v>46013</v>
      </c>
      <c r="D523" s="197">
        <v>169.3</v>
      </c>
      <c r="E523" s="260" t="s">
        <v>564</v>
      </c>
      <c r="F523" s="260" t="s">
        <v>793</v>
      </c>
      <c r="G523" s="196">
        <v>0</v>
      </c>
      <c r="H523" s="202">
        <v>46302</v>
      </c>
      <c r="I523" s="260" t="s">
        <v>588</v>
      </c>
      <c r="J523" s="196">
        <v>1</v>
      </c>
      <c r="K523" s="196">
        <v>0</v>
      </c>
      <c r="L523" s="260" t="s">
        <v>239</v>
      </c>
      <c r="M523" s="260" t="s">
        <v>514</v>
      </c>
    </row>
    <row r="524" spans="1:13" ht="14.5" x14ac:dyDescent="0.35">
      <c r="A524" s="260" t="s">
        <v>1310</v>
      </c>
      <c r="B524" s="260" t="s">
        <v>752</v>
      </c>
      <c r="C524" s="190">
        <v>46014</v>
      </c>
      <c r="D524" s="197">
        <v>169.27</v>
      </c>
      <c r="E524" s="260" t="s">
        <v>564</v>
      </c>
      <c r="F524" s="260" t="s">
        <v>793</v>
      </c>
      <c r="G524" s="196">
        <v>0</v>
      </c>
      <c r="H524" s="202">
        <v>46302</v>
      </c>
      <c r="I524" s="260" t="s">
        <v>588</v>
      </c>
      <c r="J524" s="196">
        <v>1</v>
      </c>
      <c r="K524" s="196">
        <v>0</v>
      </c>
      <c r="L524" s="260" t="s">
        <v>239</v>
      </c>
      <c r="M524" s="260" t="s">
        <v>514</v>
      </c>
    </row>
    <row r="525" spans="1:13" ht="14.5" x14ac:dyDescent="0.35">
      <c r="A525" s="260" t="s">
        <v>1311</v>
      </c>
      <c r="B525" s="260" t="s">
        <v>752</v>
      </c>
      <c r="C525" s="190">
        <v>46015</v>
      </c>
      <c r="D525" s="197">
        <v>169.23</v>
      </c>
      <c r="E525" s="260" t="s">
        <v>564</v>
      </c>
      <c r="F525" s="260" t="s">
        <v>793</v>
      </c>
      <c r="G525" s="196">
        <v>0</v>
      </c>
      <c r="H525" s="202">
        <v>46302</v>
      </c>
      <c r="I525" s="260" t="s">
        <v>588</v>
      </c>
      <c r="J525" s="196">
        <v>1</v>
      </c>
      <c r="K525" s="196">
        <v>0</v>
      </c>
      <c r="L525" s="260" t="s">
        <v>239</v>
      </c>
      <c r="M525" s="260" t="s">
        <v>514</v>
      </c>
    </row>
    <row r="526" spans="1:13" ht="14.5" x14ac:dyDescent="0.35">
      <c r="A526" s="260" t="s">
        <v>1312</v>
      </c>
      <c r="B526" s="260" t="s">
        <v>752</v>
      </c>
      <c r="C526" s="190">
        <v>46016</v>
      </c>
      <c r="D526" s="197">
        <v>169.2</v>
      </c>
      <c r="E526" s="260" t="s">
        <v>564</v>
      </c>
      <c r="F526" s="260" t="s">
        <v>793</v>
      </c>
      <c r="G526" s="196">
        <v>0</v>
      </c>
      <c r="H526" s="202">
        <v>46302</v>
      </c>
      <c r="I526" s="260" t="s">
        <v>588</v>
      </c>
      <c r="J526" s="196">
        <v>1</v>
      </c>
      <c r="K526" s="196">
        <v>0</v>
      </c>
      <c r="L526" s="260" t="s">
        <v>239</v>
      </c>
      <c r="M526" s="260" t="s">
        <v>514</v>
      </c>
    </row>
    <row r="527" spans="1:13" ht="14.5" x14ac:dyDescent="0.35">
      <c r="A527" s="260" t="s">
        <v>1313</v>
      </c>
      <c r="B527" s="260" t="s">
        <v>752</v>
      </c>
      <c r="C527" s="190">
        <v>46017</v>
      </c>
      <c r="D527" s="197">
        <v>169.17</v>
      </c>
      <c r="E527" s="260" t="s">
        <v>564</v>
      </c>
      <c r="F527" s="260" t="s">
        <v>793</v>
      </c>
      <c r="G527" s="196">
        <v>0</v>
      </c>
      <c r="H527" s="202">
        <v>46302</v>
      </c>
      <c r="I527" s="260" t="s">
        <v>588</v>
      </c>
      <c r="J527" s="196">
        <v>1</v>
      </c>
      <c r="K527" s="196">
        <v>0</v>
      </c>
      <c r="L527" s="260" t="s">
        <v>239</v>
      </c>
      <c r="M527" s="260" t="s">
        <v>514</v>
      </c>
    </row>
    <row r="528" spans="1:13" ht="14.5" x14ac:dyDescent="0.35">
      <c r="A528" s="260" t="s">
        <v>1314</v>
      </c>
      <c r="B528" s="260" t="s">
        <v>752</v>
      </c>
      <c r="C528" s="190">
        <v>46020</v>
      </c>
      <c r="D528" s="197">
        <v>169.07</v>
      </c>
      <c r="E528" s="260" t="s">
        <v>564</v>
      </c>
      <c r="F528" s="260" t="s">
        <v>793</v>
      </c>
      <c r="G528" s="196">
        <v>0</v>
      </c>
      <c r="H528" s="202">
        <v>46302</v>
      </c>
      <c r="I528" s="260" t="s">
        <v>588</v>
      </c>
      <c r="J528" s="196">
        <v>1</v>
      </c>
      <c r="K528" s="196">
        <v>0</v>
      </c>
      <c r="L528" s="260" t="s">
        <v>239</v>
      </c>
      <c r="M528" s="260" t="s">
        <v>514</v>
      </c>
    </row>
    <row r="529" spans="1:13" ht="14.5" x14ac:dyDescent="0.35">
      <c r="A529" s="260" t="s">
        <v>1315</v>
      </c>
      <c r="B529" s="260" t="s">
        <v>752</v>
      </c>
      <c r="C529" s="190">
        <v>46021</v>
      </c>
      <c r="D529" s="197">
        <v>169.03</v>
      </c>
      <c r="E529" s="260" t="s">
        <v>564</v>
      </c>
      <c r="F529" s="260" t="s">
        <v>793</v>
      </c>
      <c r="G529" s="196">
        <v>0</v>
      </c>
      <c r="H529" s="202">
        <v>46302</v>
      </c>
      <c r="I529" s="260" t="s">
        <v>588</v>
      </c>
      <c r="J529" s="196">
        <v>1</v>
      </c>
      <c r="K529" s="196">
        <v>0</v>
      </c>
      <c r="L529" s="260" t="s">
        <v>239</v>
      </c>
      <c r="M529" s="260" t="s">
        <v>514</v>
      </c>
    </row>
    <row r="530" spans="1:13" ht="14.5" x14ac:dyDescent="0.35">
      <c r="A530" s="260" t="s">
        <v>1316</v>
      </c>
      <c r="B530" s="260" t="s">
        <v>752</v>
      </c>
      <c r="C530" s="190">
        <v>46022</v>
      </c>
      <c r="D530" s="197">
        <v>169</v>
      </c>
      <c r="E530" s="260" t="s">
        <v>564</v>
      </c>
      <c r="F530" s="260" t="s">
        <v>793</v>
      </c>
      <c r="G530" s="196">
        <v>0</v>
      </c>
      <c r="H530" s="202">
        <v>46302</v>
      </c>
      <c r="I530" s="260" t="s">
        <v>588</v>
      </c>
      <c r="J530" s="196">
        <v>1</v>
      </c>
      <c r="K530" s="196">
        <v>0</v>
      </c>
      <c r="L530" s="260" t="s">
        <v>239</v>
      </c>
      <c r="M530" s="260" t="s">
        <v>514</v>
      </c>
    </row>
    <row r="531" spans="1:13" ht="14.5" x14ac:dyDescent="0.35">
      <c r="A531" s="260" t="s">
        <v>1317</v>
      </c>
      <c r="B531" s="260" t="s">
        <v>754</v>
      </c>
      <c r="C531" s="190">
        <v>45657</v>
      </c>
      <c r="D531" s="197">
        <v>80</v>
      </c>
      <c r="E531" s="260" t="s">
        <v>564</v>
      </c>
      <c r="F531" s="260" t="s">
        <v>793</v>
      </c>
      <c r="G531" s="196">
        <v>0</v>
      </c>
      <c r="H531" s="202">
        <v>46302</v>
      </c>
      <c r="I531" s="260" t="s">
        <v>588</v>
      </c>
      <c r="J531" s="196">
        <v>1</v>
      </c>
      <c r="K531" s="196">
        <v>0</v>
      </c>
      <c r="L531" s="260" t="s">
        <v>239</v>
      </c>
      <c r="M531" s="260" t="s">
        <v>514</v>
      </c>
    </row>
    <row r="532" spans="1:13" ht="14.5" x14ac:dyDescent="0.35">
      <c r="A532" s="260" t="s">
        <v>1318</v>
      </c>
      <c r="B532" s="260" t="s">
        <v>754</v>
      </c>
      <c r="C532" s="190">
        <v>45658</v>
      </c>
      <c r="D532" s="197">
        <v>80</v>
      </c>
      <c r="E532" s="260" t="s">
        <v>564</v>
      </c>
      <c r="F532" s="260" t="s">
        <v>793</v>
      </c>
      <c r="G532" s="196">
        <v>0</v>
      </c>
      <c r="H532" s="202">
        <v>46302</v>
      </c>
      <c r="I532" s="260" t="s">
        <v>588</v>
      </c>
      <c r="J532" s="196">
        <v>1</v>
      </c>
      <c r="K532" s="196">
        <v>0</v>
      </c>
      <c r="L532" s="260" t="s">
        <v>239</v>
      </c>
      <c r="M532" s="260" t="s">
        <v>514</v>
      </c>
    </row>
    <row r="533" spans="1:13" ht="14.5" x14ac:dyDescent="0.35">
      <c r="A533" s="260" t="s">
        <v>1319</v>
      </c>
      <c r="B533" s="260" t="s">
        <v>754</v>
      </c>
      <c r="C533" s="190">
        <v>45659</v>
      </c>
      <c r="D533" s="197">
        <v>80.069999999999993</v>
      </c>
      <c r="E533" s="260" t="s">
        <v>564</v>
      </c>
      <c r="F533" s="260" t="s">
        <v>793</v>
      </c>
      <c r="G533" s="196">
        <v>0</v>
      </c>
      <c r="H533" s="202">
        <v>46302</v>
      </c>
      <c r="I533" s="260" t="s">
        <v>588</v>
      </c>
      <c r="J533" s="196">
        <v>1</v>
      </c>
      <c r="K533" s="196">
        <v>0</v>
      </c>
      <c r="L533" s="260" t="s">
        <v>239</v>
      </c>
      <c r="M533" s="260" t="s">
        <v>514</v>
      </c>
    </row>
    <row r="534" spans="1:13" ht="14.5" x14ac:dyDescent="0.35">
      <c r="A534" s="260" t="s">
        <v>1320</v>
      </c>
      <c r="B534" s="260" t="s">
        <v>754</v>
      </c>
      <c r="C534" s="190">
        <v>45660</v>
      </c>
      <c r="D534" s="197">
        <v>80.13</v>
      </c>
      <c r="E534" s="260" t="s">
        <v>564</v>
      </c>
      <c r="F534" s="260" t="s">
        <v>793</v>
      </c>
      <c r="G534" s="196">
        <v>0</v>
      </c>
      <c r="H534" s="202">
        <v>46302</v>
      </c>
      <c r="I534" s="260" t="s">
        <v>588</v>
      </c>
      <c r="J534" s="196">
        <v>1</v>
      </c>
      <c r="K534" s="196">
        <v>0</v>
      </c>
      <c r="L534" s="260" t="s">
        <v>239</v>
      </c>
      <c r="M534" s="260" t="s">
        <v>514</v>
      </c>
    </row>
    <row r="535" spans="1:13" ht="14.5" x14ac:dyDescent="0.35">
      <c r="A535" s="260" t="s">
        <v>1321</v>
      </c>
      <c r="B535" s="260" t="s">
        <v>754</v>
      </c>
      <c r="C535" s="190">
        <v>45663</v>
      </c>
      <c r="D535" s="197">
        <v>80.33</v>
      </c>
      <c r="E535" s="260" t="s">
        <v>564</v>
      </c>
      <c r="F535" s="260" t="s">
        <v>793</v>
      </c>
      <c r="G535" s="196">
        <v>0</v>
      </c>
      <c r="H535" s="202">
        <v>46302</v>
      </c>
      <c r="I535" s="260" t="s">
        <v>588</v>
      </c>
      <c r="J535" s="196">
        <v>1</v>
      </c>
      <c r="K535" s="196">
        <v>0</v>
      </c>
      <c r="L535" s="260" t="s">
        <v>239</v>
      </c>
      <c r="M535" s="260" t="s">
        <v>514</v>
      </c>
    </row>
    <row r="536" spans="1:13" ht="14.5" x14ac:dyDescent="0.35">
      <c r="A536" s="260" t="s">
        <v>1322</v>
      </c>
      <c r="B536" s="260" t="s">
        <v>754</v>
      </c>
      <c r="C536" s="190">
        <v>45664</v>
      </c>
      <c r="D536" s="197">
        <v>80.400000000000006</v>
      </c>
      <c r="E536" s="260" t="s">
        <v>564</v>
      </c>
      <c r="F536" s="260" t="s">
        <v>793</v>
      </c>
      <c r="G536" s="196">
        <v>0</v>
      </c>
      <c r="H536" s="202">
        <v>46302</v>
      </c>
      <c r="I536" s="260" t="s">
        <v>588</v>
      </c>
      <c r="J536" s="196">
        <v>1</v>
      </c>
      <c r="K536" s="196">
        <v>0</v>
      </c>
      <c r="L536" s="260" t="s">
        <v>239</v>
      </c>
      <c r="M536" s="260" t="s">
        <v>514</v>
      </c>
    </row>
    <row r="537" spans="1:13" ht="14.5" x14ac:dyDescent="0.35">
      <c r="A537" s="260" t="s">
        <v>1323</v>
      </c>
      <c r="B537" s="260" t="s">
        <v>754</v>
      </c>
      <c r="C537" s="190">
        <v>45665</v>
      </c>
      <c r="D537" s="197">
        <v>80.47</v>
      </c>
      <c r="E537" s="260" t="s">
        <v>564</v>
      </c>
      <c r="F537" s="260" t="s">
        <v>793</v>
      </c>
      <c r="G537" s="196">
        <v>0</v>
      </c>
      <c r="H537" s="202">
        <v>46302</v>
      </c>
      <c r="I537" s="260" t="s">
        <v>588</v>
      </c>
      <c r="J537" s="196">
        <v>1</v>
      </c>
      <c r="K537" s="196">
        <v>0</v>
      </c>
      <c r="L537" s="260" t="s">
        <v>239</v>
      </c>
      <c r="M537" s="260" t="s">
        <v>514</v>
      </c>
    </row>
    <row r="538" spans="1:13" ht="14.5" x14ac:dyDescent="0.35">
      <c r="A538" s="260" t="s">
        <v>1324</v>
      </c>
      <c r="B538" s="260" t="s">
        <v>754</v>
      </c>
      <c r="C538" s="190">
        <v>45666</v>
      </c>
      <c r="D538" s="197">
        <v>80.53</v>
      </c>
      <c r="E538" s="260" t="s">
        <v>564</v>
      </c>
      <c r="F538" s="260" t="s">
        <v>793</v>
      </c>
      <c r="G538" s="196">
        <v>0</v>
      </c>
      <c r="H538" s="202">
        <v>46302</v>
      </c>
      <c r="I538" s="260" t="s">
        <v>588</v>
      </c>
      <c r="J538" s="196">
        <v>1</v>
      </c>
      <c r="K538" s="196">
        <v>0</v>
      </c>
      <c r="L538" s="260" t="s">
        <v>239</v>
      </c>
      <c r="M538" s="260" t="s">
        <v>514</v>
      </c>
    </row>
    <row r="539" spans="1:13" ht="14.5" x14ac:dyDescent="0.35">
      <c r="A539" s="260" t="s">
        <v>1325</v>
      </c>
      <c r="B539" s="260" t="s">
        <v>754</v>
      </c>
      <c r="C539" s="190">
        <v>45667</v>
      </c>
      <c r="D539" s="197">
        <v>80.599999999999994</v>
      </c>
      <c r="E539" s="260" t="s">
        <v>564</v>
      </c>
      <c r="F539" s="260" t="s">
        <v>793</v>
      </c>
      <c r="G539" s="196">
        <v>0</v>
      </c>
      <c r="H539" s="202">
        <v>46302</v>
      </c>
      <c r="I539" s="260" t="s">
        <v>588</v>
      </c>
      <c r="J539" s="196">
        <v>1</v>
      </c>
      <c r="K539" s="196">
        <v>0</v>
      </c>
      <c r="L539" s="260" t="s">
        <v>239</v>
      </c>
      <c r="M539" s="260" t="s">
        <v>514</v>
      </c>
    </row>
    <row r="540" spans="1:13" ht="14.5" x14ac:dyDescent="0.35">
      <c r="A540" s="260" t="s">
        <v>1326</v>
      </c>
      <c r="B540" s="260" t="s">
        <v>754</v>
      </c>
      <c r="C540" s="190">
        <v>45670</v>
      </c>
      <c r="D540" s="197">
        <v>80.8</v>
      </c>
      <c r="E540" s="260" t="s">
        <v>564</v>
      </c>
      <c r="F540" s="260" t="s">
        <v>793</v>
      </c>
      <c r="G540" s="196">
        <v>0</v>
      </c>
      <c r="H540" s="202">
        <v>46302</v>
      </c>
      <c r="I540" s="260" t="s">
        <v>588</v>
      </c>
      <c r="J540" s="196">
        <v>1</v>
      </c>
      <c r="K540" s="196">
        <v>0</v>
      </c>
      <c r="L540" s="260" t="s">
        <v>239</v>
      </c>
      <c r="M540" s="260" t="s">
        <v>514</v>
      </c>
    </row>
    <row r="541" spans="1:13" ht="14.5" x14ac:dyDescent="0.35">
      <c r="A541" s="260" t="s">
        <v>1327</v>
      </c>
      <c r="B541" s="260" t="s">
        <v>754</v>
      </c>
      <c r="C541" s="190">
        <v>45671</v>
      </c>
      <c r="D541" s="197">
        <v>80.87</v>
      </c>
      <c r="E541" s="260" t="s">
        <v>564</v>
      </c>
      <c r="F541" s="260" t="s">
        <v>793</v>
      </c>
      <c r="G541" s="196">
        <v>0</v>
      </c>
      <c r="H541" s="202">
        <v>46302</v>
      </c>
      <c r="I541" s="260" t="s">
        <v>588</v>
      </c>
      <c r="J541" s="196">
        <v>1</v>
      </c>
      <c r="K541" s="196">
        <v>0</v>
      </c>
      <c r="L541" s="260" t="s">
        <v>239</v>
      </c>
      <c r="M541" s="260" t="s">
        <v>514</v>
      </c>
    </row>
    <row r="542" spans="1:13" ht="14.5" x14ac:dyDescent="0.35">
      <c r="A542" s="260" t="s">
        <v>1328</v>
      </c>
      <c r="B542" s="260" t="s">
        <v>754</v>
      </c>
      <c r="C542" s="190">
        <v>45672</v>
      </c>
      <c r="D542" s="197">
        <v>80.930000000000007</v>
      </c>
      <c r="E542" s="260" t="s">
        <v>564</v>
      </c>
      <c r="F542" s="260" t="s">
        <v>793</v>
      </c>
      <c r="G542" s="196">
        <v>0</v>
      </c>
      <c r="H542" s="202">
        <v>46302</v>
      </c>
      <c r="I542" s="260" t="s">
        <v>588</v>
      </c>
      <c r="J542" s="196">
        <v>1</v>
      </c>
      <c r="K542" s="196">
        <v>0</v>
      </c>
      <c r="L542" s="260" t="s">
        <v>239</v>
      </c>
      <c r="M542" s="260" t="s">
        <v>514</v>
      </c>
    </row>
    <row r="543" spans="1:13" ht="14.5" x14ac:dyDescent="0.35">
      <c r="A543" s="260" t="s">
        <v>1329</v>
      </c>
      <c r="B543" s="260" t="s">
        <v>754</v>
      </c>
      <c r="C543" s="190">
        <v>45673</v>
      </c>
      <c r="D543" s="197">
        <v>81</v>
      </c>
      <c r="E543" s="260" t="s">
        <v>564</v>
      </c>
      <c r="F543" s="260" t="s">
        <v>793</v>
      </c>
      <c r="G543" s="196">
        <v>0</v>
      </c>
      <c r="H543" s="202">
        <v>46302</v>
      </c>
      <c r="I543" s="260" t="s">
        <v>588</v>
      </c>
      <c r="J543" s="196">
        <v>1</v>
      </c>
      <c r="K543" s="196">
        <v>0</v>
      </c>
      <c r="L543" s="260" t="s">
        <v>239</v>
      </c>
      <c r="M543" s="260" t="s">
        <v>514</v>
      </c>
    </row>
    <row r="544" spans="1:13" ht="14.5" x14ac:dyDescent="0.35">
      <c r="A544" s="260" t="s">
        <v>1330</v>
      </c>
      <c r="B544" s="260" t="s">
        <v>754</v>
      </c>
      <c r="C544" s="190">
        <v>45674</v>
      </c>
      <c r="D544" s="197">
        <v>81.069999999999993</v>
      </c>
      <c r="E544" s="260" t="s">
        <v>564</v>
      </c>
      <c r="F544" s="260" t="s">
        <v>793</v>
      </c>
      <c r="G544" s="196">
        <v>0</v>
      </c>
      <c r="H544" s="202">
        <v>46302</v>
      </c>
      <c r="I544" s="260" t="s">
        <v>588</v>
      </c>
      <c r="J544" s="196">
        <v>1</v>
      </c>
      <c r="K544" s="196">
        <v>0</v>
      </c>
      <c r="L544" s="260" t="s">
        <v>239</v>
      </c>
      <c r="M544" s="260" t="s">
        <v>514</v>
      </c>
    </row>
    <row r="545" spans="1:13" ht="14.5" x14ac:dyDescent="0.35">
      <c r="A545" s="260" t="s">
        <v>1331</v>
      </c>
      <c r="B545" s="260" t="s">
        <v>754</v>
      </c>
      <c r="C545" s="190">
        <v>45677</v>
      </c>
      <c r="D545" s="197">
        <v>81.27</v>
      </c>
      <c r="E545" s="260" t="s">
        <v>564</v>
      </c>
      <c r="F545" s="260" t="s">
        <v>793</v>
      </c>
      <c r="G545" s="196">
        <v>0</v>
      </c>
      <c r="H545" s="202">
        <v>46302</v>
      </c>
      <c r="I545" s="260" t="s">
        <v>588</v>
      </c>
      <c r="J545" s="196">
        <v>1</v>
      </c>
      <c r="K545" s="196">
        <v>0</v>
      </c>
      <c r="L545" s="260" t="s">
        <v>239</v>
      </c>
      <c r="M545" s="260" t="s">
        <v>514</v>
      </c>
    </row>
    <row r="546" spans="1:13" ht="14.5" x14ac:dyDescent="0.35">
      <c r="A546" s="260" t="s">
        <v>1332</v>
      </c>
      <c r="B546" s="260" t="s">
        <v>754</v>
      </c>
      <c r="C546" s="190">
        <v>45678</v>
      </c>
      <c r="D546" s="197">
        <v>81.33</v>
      </c>
      <c r="E546" s="260" t="s">
        <v>564</v>
      </c>
      <c r="F546" s="260" t="s">
        <v>793</v>
      </c>
      <c r="G546" s="196">
        <v>0</v>
      </c>
      <c r="H546" s="202">
        <v>46302</v>
      </c>
      <c r="I546" s="260" t="s">
        <v>588</v>
      </c>
      <c r="J546" s="196">
        <v>1</v>
      </c>
      <c r="K546" s="196">
        <v>0</v>
      </c>
      <c r="L546" s="260" t="s">
        <v>239</v>
      </c>
      <c r="M546" s="260" t="s">
        <v>514</v>
      </c>
    </row>
    <row r="547" spans="1:13" ht="14.5" x14ac:dyDescent="0.35">
      <c r="A547" s="260" t="s">
        <v>1333</v>
      </c>
      <c r="B547" s="260" t="s">
        <v>754</v>
      </c>
      <c r="C547" s="190">
        <v>45679</v>
      </c>
      <c r="D547" s="197">
        <v>81.400000000000006</v>
      </c>
      <c r="E547" s="260" t="s">
        <v>564</v>
      </c>
      <c r="F547" s="260" t="s">
        <v>793</v>
      </c>
      <c r="G547" s="196">
        <v>0</v>
      </c>
      <c r="H547" s="202">
        <v>46302</v>
      </c>
      <c r="I547" s="260" t="s">
        <v>588</v>
      </c>
      <c r="J547" s="196">
        <v>1</v>
      </c>
      <c r="K547" s="196">
        <v>0</v>
      </c>
      <c r="L547" s="260" t="s">
        <v>239</v>
      </c>
      <c r="M547" s="260" t="s">
        <v>514</v>
      </c>
    </row>
    <row r="548" spans="1:13" ht="14.5" x14ac:dyDescent="0.35">
      <c r="A548" s="260" t="s">
        <v>1334</v>
      </c>
      <c r="B548" s="260" t="s">
        <v>754</v>
      </c>
      <c r="C548" s="190">
        <v>45680</v>
      </c>
      <c r="D548" s="197">
        <v>81.47</v>
      </c>
      <c r="E548" s="260" t="s">
        <v>564</v>
      </c>
      <c r="F548" s="260" t="s">
        <v>793</v>
      </c>
      <c r="G548" s="196">
        <v>0</v>
      </c>
      <c r="H548" s="202">
        <v>46302</v>
      </c>
      <c r="I548" s="260" t="s">
        <v>588</v>
      </c>
      <c r="J548" s="196">
        <v>1</v>
      </c>
      <c r="K548" s="196">
        <v>0</v>
      </c>
      <c r="L548" s="260" t="s">
        <v>239</v>
      </c>
      <c r="M548" s="260" t="s">
        <v>514</v>
      </c>
    </row>
    <row r="549" spans="1:13" ht="14.5" x14ac:dyDescent="0.35">
      <c r="A549" s="260" t="s">
        <v>1335</v>
      </c>
      <c r="B549" s="260" t="s">
        <v>754</v>
      </c>
      <c r="C549" s="190">
        <v>45681</v>
      </c>
      <c r="D549" s="197">
        <v>81.53</v>
      </c>
      <c r="E549" s="260" t="s">
        <v>564</v>
      </c>
      <c r="F549" s="260" t="s">
        <v>793</v>
      </c>
      <c r="G549" s="196">
        <v>0</v>
      </c>
      <c r="H549" s="202">
        <v>46302</v>
      </c>
      <c r="I549" s="260" t="s">
        <v>588</v>
      </c>
      <c r="J549" s="196">
        <v>1</v>
      </c>
      <c r="K549" s="196">
        <v>0</v>
      </c>
      <c r="L549" s="260" t="s">
        <v>239</v>
      </c>
      <c r="M549" s="260" t="s">
        <v>514</v>
      </c>
    </row>
    <row r="550" spans="1:13" ht="14.5" x14ac:dyDescent="0.35">
      <c r="A550" s="260" t="s">
        <v>1336</v>
      </c>
      <c r="B550" s="260" t="s">
        <v>754</v>
      </c>
      <c r="C550" s="190">
        <v>45684</v>
      </c>
      <c r="D550" s="197">
        <v>81.73</v>
      </c>
      <c r="E550" s="260" t="s">
        <v>564</v>
      </c>
      <c r="F550" s="260" t="s">
        <v>793</v>
      </c>
      <c r="G550" s="196">
        <v>0</v>
      </c>
      <c r="H550" s="202">
        <v>46302</v>
      </c>
      <c r="I550" s="260" t="s">
        <v>588</v>
      </c>
      <c r="J550" s="196">
        <v>1</v>
      </c>
      <c r="K550" s="196">
        <v>0</v>
      </c>
      <c r="L550" s="260" t="s">
        <v>239</v>
      </c>
      <c r="M550" s="260" t="s">
        <v>514</v>
      </c>
    </row>
    <row r="551" spans="1:13" ht="14.5" x14ac:dyDescent="0.35">
      <c r="A551" s="260" t="s">
        <v>1337</v>
      </c>
      <c r="B551" s="260" t="s">
        <v>754</v>
      </c>
      <c r="C551" s="190">
        <v>45685</v>
      </c>
      <c r="D551" s="197">
        <v>81.8</v>
      </c>
      <c r="E551" s="260" t="s">
        <v>564</v>
      </c>
      <c r="F551" s="260" t="s">
        <v>793</v>
      </c>
      <c r="G551" s="196">
        <v>0</v>
      </c>
      <c r="H551" s="202">
        <v>46302</v>
      </c>
      <c r="I551" s="260" t="s">
        <v>588</v>
      </c>
      <c r="J551" s="196">
        <v>1</v>
      </c>
      <c r="K551" s="196">
        <v>0</v>
      </c>
      <c r="L551" s="260" t="s">
        <v>239</v>
      </c>
      <c r="M551" s="260" t="s">
        <v>514</v>
      </c>
    </row>
    <row r="552" spans="1:13" ht="14.5" x14ac:dyDescent="0.35">
      <c r="A552" s="260" t="s">
        <v>1338</v>
      </c>
      <c r="B552" s="260" t="s">
        <v>754</v>
      </c>
      <c r="C552" s="190">
        <v>45686</v>
      </c>
      <c r="D552" s="197">
        <v>81.87</v>
      </c>
      <c r="E552" s="260" t="s">
        <v>564</v>
      </c>
      <c r="F552" s="260" t="s">
        <v>793</v>
      </c>
      <c r="G552" s="196">
        <v>0</v>
      </c>
      <c r="H552" s="202">
        <v>46302</v>
      </c>
      <c r="I552" s="260" t="s">
        <v>588</v>
      </c>
      <c r="J552" s="196">
        <v>1</v>
      </c>
      <c r="K552" s="196">
        <v>0</v>
      </c>
      <c r="L552" s="260" t="s">
        <v>239</v>
      </c>
      <c r="M552" s="260" t="s">
        <v>514</v>
      </c>
    </row>
    <row r="553" spans="1:13" ht="14.5" x14ac:dyDescent="0.35">
      <c r="A553" s="260" t="s">
        <v>1339</v>
      </c>
      <c r="B553" s="260" t="s">
        <v>754</v>
      </c>
      <c r="C553" s="190">
        <v>45687</v>
      </c>
      <c r="D553" s="197">
        <v>81.93</v>
      </c>
      <c r="E553" s="260" t="s">
        <v>564</v>
      </c>
      <c r="F553" s="260" t="s">
        <v>793</v>
      </c>
      <c r="G553" s="196">
        <v>0</v>
      </c>
      <c r="H553" s="202">
        <v>46302</v>
      </c>
      <c r="I553" s="260" t="s">
        <v>588</v>
      </c>
      <c r="J553" s="196">
        <v>1</v>
      </c>
      <c r="K553" s="196">
        <v>0</v>
      </c>
      <c r="L553" s="260" t="s">
        <v>239</v>
      </c>
      <c r="M553" s="260" t="s">
        <v>514</v>
      </c>
    </row>
    <row r="554" spans="1:13" ht="14.5" x14ac:dyDescent="0.35">
      <c r="A554" s="260" t="s">
        <v>1340</v>
      </c>
      <c r="B554" s="260" t="s">
        <v>754</v>
      </c>
      <c r="C554" s="190">
        <v>45688</v>
      </c>
      <c r="D554" s="197">
        <v>82</v>
      </c>
      <c r="E554" s="260" t="s">
        <v>564</v>
      </c>
      <c r="F554" s="260" t="s">
        <v>793</v>
      </c>
      <c r="G554" s="196">
        <v>0</v>
      </c>
      <c r="H554" s="202">
        <v>46302</v>
      </c>
      <c r="I554" s="260" t="s">
        <v>588</v>
      </c>
      <c r="J554" s="196">
        <v>1</v>
      </c>
      <c r="K554" s="196">
        <v>0</v>
      </c>
      <c r="L554" s="260" t="s">
        <v>239</v>
      </c>
      <c r="M554" s="260" t="s">
        <v>514</v>
      </c>
    </row>
    <row r="555" spans="1:13" ht="14.5" x14ac:dyDescent="0.35">
      <c r="A555" s="260" t="s">
        <v>1341</v>
      </c>
      <c r="B555" s="260" t="s">
        <v>754</v>
      </c>
      <c r="C555" s="190">
        <v>45691</v>
      </c>
      <c r="D555" s="197">
        <v>81.7</v>
      </c>
      <c r="E555" s="260" t="s">
        <v>564</v>
      </c>
      <c r="F555" s="260" t="s">
        <v>793</v>
      </c>
      <c r="G555" s="196">
        <v>0</v>
      </c>
      <c r="H555" s="202">
        <v>46302</v>
      </c>
      <c r="I555" s="260" t="s">
        <v>588</v>
      </c>
      <c r="J555" s="196">
        <v>1</v>
      </c>
      <c r="K555" s="196">
        <v>0</v>
      </c>
      <c r="L555" s="260" t="s">
        <v>239</v>
      </c>
      <c r="M555" s="260" t="s">
        <v>514</v>
      </c>
    </row>
    <row r="556" spans="1:13" ht="14.5" x14ac:dyDescent="0.35">
      <c r="A556" s="260" t="s">
        <v>1342</v>
      </c>
      <c r="B556" s="260" t="s">
        <v>754</v>
      </c>
      <c r="C556" s="190">
        <v>45692</v>
      </c>
      <c r="D556" s="197">
        <v>81.56</v>
      </c>
      <c r="E556" s="260" t="s">
        <v>564</v>
      </c>
      <c r="F556" s="260" t="s">
        <v>793</v>
      </c>
      <c r="G556" s="196">
        <v>0</v>
      </c>
      <c r="H556" s="202">
        <v>46302</v>
      </c>
      <c r="I556" s="260" t="s">
        <v>588</v>
      </c>
      <c r="J556" s="196">
        <v>1</v>
      </c>
      <c r="K556" s="196">
        <v>0</v>
      </c>
      <c r="L556" s="260" t="s">
        <v>239</v>
      </c>
      <c r="M556" s="260" t="s">
        <v>514</v>
      </c>
    </row>
    <row r="557" spans="1:13" ht="14.5" x14ac:dyDescent="0.35">
      <c r="A557" s="260" t="s">
        <v>1343</v>
      </c>
      <c r="B557" s="260" t="s">
        <v>754</v>
      </c>
      <c r="C557" s="190">
        <v>45693</v>
      </c>
      <c r="D557" s="197">
        <v>81.41</v>
      </c>
      <c r="E557" s="260" t="s">
        <v>564</v>
      </c>
      <c r="F557" s="260" t="s">
        <v>793</v>
      </c>
      <c r="G557" s="196">
        <v>0</v>
      </c>
      <c r="H557" s="202">
        <v>46302</v>
      </c>
      <c r="I557" s="260" t="s">
        <v>588</v>
      </c>
      <c r="J557" s="196">
        <v>1</v>
      </c>
      <c r="K557" s="196">
        <v>0</v>
      </c>
      <c r="L557" s="260" t="s">
        <v>239</v>
      </c>
      <c r="M557" s="260" t="s">
        <v>514</v>
      </c>
    </row>
    <row r="558" spans="1:13" ht="14.5" x14ac:dyDescent="0.35">
      <c r="A558" s="260" t="s">
        <v>1344</v>
      </c>
      <c r="B558" s="260" t="s">
        <v>754</v>
      </c>
      <c r="C558" s="190">
        <v>45694</v>
      </c>
      <c r="D558" s="197">
        <v>81.260000000000005</v>
      </c>
      <c r="E558" s="260" t="s">
        <v>564</v>
      </c>
      <c r="F558" s="260" t="s">
        <v>793</v>
      </c>
      <c r="G558" s="196">
        <v>0</v>
      </c>
      <c r="H558" s="202">
        <v>46302</v>
      </c>
      <c r="I558" s="260" t="s">
        <v>588</v>
      </c>
      <c r="J558" s="196">
        <v>1</v>
      </c>
      <c r="K558" s="196">
        <v>0</v>
      </c>
      <c r="L558" s="260" t="s">
        <v>239</v>
      </c>
      <c r="M558" s="260" t="s">
        <v>514</v>
      </c>
    </row>
    <row r="559" spans="1:13" ht="14.5" x14ac:dyDescent="0.35">
      <c r="A559" s="260" t="s">
        <v>1345</v>
      </c>
      <c r="B559" s="260" t="s">
        <v>754</v>
      </c>
      <c r="C559" s="190">
        <v>45695</v>
      </c>
      <c r="D559" s="197">
        <v>81.11</v>
      </c>
      <c r="E559" s="260" t="s">
        <v>564</v>
      </c>
      <c r="F559" s="260" t="s">
        <v>793</v>
      </c>
      <c r="G559" s="196">
        <v>0</v>
      </c>
      <c r="H559" s="202">
        <v>46302</v>
      </c>
      <c r="I559" s="260" t="s">
        <v>588</v>
      </c>
      <c r="J559" s="196">
        <v>1</v>
      </c>
      <c r="K559" s="196">
        <v>0</v>
      </c>
      <c r="L559" s="260" t="s">
        <v>239</v>
      </c>
      <c r="M559" s="260" t="s">
        <v>514</v>
      </c>
    </row>
    <row r="560" spans="1:13" ht="14.5" x14ac:dyDescent="0.35">
      <c r="A560" s="260" t="s">
        <v>1346</v>
      </c>
      <c r="B560" s="260" t="s">
        <v>754</v>
      </c>
      <c r="C560" s="190">
        <v>45698</v>
      </c>
      <c r="D560" s="197">
        <v>80.67</v>
      </c>
      <c r="E560" s="260" t="s">
        <v>564</v>
      </c>
      <c r="F560" s="260" t="s">
        <v>793</v>
      </c>
      <c r="G560" s="196">
        <v>0</v>
      </c>
      <c r="H560" s="202">
        <v>46302</v>
      </c>
      <c r="I560" s="260" t="s">
        <v>588</v>
      </c>
      <c r="J560" s="196">
        <v>1</v>
      </c>
      <c r="K560" s="196">
        <v>0</v>
      </c>
      <c r="L560" s="260" t="s">
        <v>239</v>
      </c>
      <c r="M560" s="260" t="s">
        <v>514</v>
      </c>
    </row>
    <row r="561" spans="1:13" ht="14.5" x14ac:dyDescent="0.35">
      <c r="A561" s="260" t="s">
        <v>1347</v>
      </c>
      <c r="B561" s="260" t="s">
        <v>754</v>
      </c>
      <c r="C561" s="190">
        <v>45699</v>
      </c>
      <c r="D561" s="197">
        <v>80.52</v>
      </c>
      <c r="E561" s="260" t="s">
        <v>564</v>
      </c>
      <c r="F561" s="260" t="s">
        <v>793</v>
      </c>
      <c r="G561" s="196">
        <v>0</v>
      </c>
      <c r="H561" s="202">
        <v>46302</v>
      </c>
      <c r="I561" s="260" t="s">
        <v>588</v>
      </c>
      <c r="J561" s="196">
        <v>1</v>
      </c>
      <c r="K561" s="196">
        <v>0</v>
      </c>
      <c r="L561" s="260" t="s">
        <v>239</v>
      </c>
      <c r="M561" s="260" t="s">
        <v>514</v>
      </c>
    </row>
    <row r="562" spans="1:13" ht="14.5" x14ac:dyDescent="0.35">
      <c r="A562" s="260" t="s">
        <v>1348</v>
      </c>
      <c r="B562" s="260" t="s">
        <v>754</v>
      </c>
      <c r="C562" s="190">
        <v>45700</v>
      </c>
      <c r="D562" s="197">
        <v>80.37</v>
      </c>
      <c r="E562" s="260" t="s">
        <v>564</v>
      </c>
      <c r="F562" s="260" t="s">
        <v>793</v>
      </c>
      <c r="G562" s="196">
        <v>0</v>
      </c>
      <c r="H562" s="202">
        <v>46302</v>
      </c>
      <c r="I562" s="260" t="s">
        <v>588</v>
      </c>
      <c r="J562" s="196">
        <v>1</v>
      </c>
      <c r="K562" s="196">
        <v>0</v>
      </c>
      <c r="L562" s="260" t="s">
        <v>239</v>
      </c>
      <c r="M562" s="260" t="s">
        <v>514</v>
      </c>
    </row>
    <row r="563" spans="1:13" ht="14.5" x14ac:dyDescent="0.35">
      <c r="A563" s="260" t="s">
        <v>1349</v>
      </c>
      <c r="B563" s="260" t="s">
        <v>754</v>
      </c>
      <c r="C563" s="190">
        <v>45701</v>
      </c>
      <c r="D563" s="197">
        <v>80.22</v>
      </c>
      <c r="E563" s="260" t="s">
        <v>564</v>
      </c>
      <c r="F563" s="260" t="s">
        <v>793</v>
      </c>
      <c r="G563" s="196">
        <v>0</v>
      </c>
      <c r="H563" s="202">
        <v>46302</v>
      </c>
      <c r="I563" s="260" t="s">
        <v>588</v>
      </c>
      <c r="J563" s="196">
        <v>1</v>
      </c>
      <c r="K563" s="196">
        <v>0</v>
      </c>
      <c r="L563" s="260" t="s">
        <v>239</v>
      </c>
      <c r="M563" s="260" t="s">
        <v>514</v>
      </c>
    </row>
    <row r="564" spans="1:13" ht="14.5" x14ac:dyDescent="0.35">
      <c r="A564" s="260" t="s">
        <v>1350</v>
      </c>
      <c r="B564" s="260" t="s">
        <v>754</v>
      </c>
      <c r="C564" s="190">
        <v>45702</v>
      </c>
      <c r="D564" s="197">
        <v>80.069999999999993</v>
      </c>
      <c r="E564" s="260" t="s">
        <v>564</v>
      </c>
      <c r="F564" s="260" t="s">
        <v>793</v>
      </c>
      <c r="G564" s="196">
        <v>0</v>
      </c>
      <c r="H564" s="202">
        <v>46302</v>
      </c>
      <c r="I564" s="260" t="s">
        <v>588</v>
      </c>
      <c r="J564" s="196">
        <v>1</v>
      </c>
      <c r="K564" s="196">
        <v>0</v>
      </c>
      <c r="L564" s="260" t="s">
        <v>239</v>
      </c>
      <c r="M564" s="260" t="s">
        <v>514</v>
      </c>
    </row>
    <row r="565" spans="1:13" ht="14.5" x14ac:dyDescent="0.35">
      <c r="A565" s="260" t="s">
        <v>1351</v>
      </c>
      <c r="B565" s="260" t="s">
        <v>754</v>
      </c>
      <c r="C565" s="190">
        <v>45705</v>
      </c>
      <c r="D565" s="197">
        <v>79.63</v>
      </c>
      <c r="E565" s="260" t="s">
        <v>564</v>
      </c>
      <c r="F565" s="260" t="s">
        <v>793</v>
      </c>
      <c r="G565" s="196">
        <v>0</v>
      </c>
      <c r="H565" s="202">
        <v>46302</v>
      </c>
      <c r="I565" s="260" t="s">
        <v>588</v>
      </c>
      <c r="J565" s="196">
        <v>1</v>
      </c>
      <c r="K565" s="196">
        <v>0</v>
      </c>
      <c r="L565" s="260" t="s">
        <v>239</v>
      </c>
      <c r="M565" s="260" t="s">
        <v>514</v>
      </c>
    </row>
    <row r="566" spans="1:13" ht="14.5" x14ac:dyDescent="0.35">
      <c r="A566" s="260" t="s">
        <v>1352</v>
      </c>
      <c r="B566" s="260" t="s">
        <v>754</v>
      </c>
      <c r="C566" s="190">
        <v>45706</v>
      </c>
      <c r="D566" s="197">
        <v>79.48</v>
      </c>
      <c r="E566" s="260" t="s">
        <v>564</v>
      </c>
      <c r="F566" s="260" t="s">
        <v>793</v>
      </c>
      <c r="G566" s="196">
        <v>0</v>
      </c>
      <c r="H566" s="202">
        <v>46302</v>
      </c>
      <c r="I566" s="260" t="s">
        <v>588</v>
      </c>
      <c r="J566" s="196">
        <v>1</v>
      </c>
      <c r="K566" s="196">
        <v>0</v>
      </c>
      <c r="L566" s="260" t="s">
        <v>239</v>
      </c>
      <c r="M566" s="260" t="s">
        <v>514</v>
      </c>
    </row>
    <row r="567" spans="1:13" ht="14.5" x14ac:dyDescent="0.35">
      <c r="A567" s="260" t="s">
        <v>1353</v>
      </c>
      <c r="B567" s="260" t="s">
        <v>754</v>
      </c>
      <c r="C567" s="190">
        <v>45707</v>
      </c>
      <c r="D567" s="197">
        <v>79.33</v>
      </c>
      <c r="E567" s="260" t="s">
        <v>564</v>
      </c>
      <c r="F567" s="260" t="s">
        <v>793</v>
      </c>
      <c r="G567" s="196">
        <v>0</v>
      </c>
      <c r="H567" s="202">
        <v>46302</v>
      </c>
      <c r="I567" s="260" t="s">
        <v>588</v>
      </c>
      <c r="J567" s="196">
        <v>1</v>
      </c>
      <c r="K567" s="196">
        <v>0</v>
      </c>
      <c r="L567" s="260" t="s">
        <v>239</v>
      </c>
      <c r="M567" s="260" t="s">
        <v>514</v>
      </c>
    </row>
    <row r="568" spans="1:13" ht="14.5" x14ac:dyDescent="0.35">
      <c r="A568" s="260" t="s">
        <v>1354</v>
      </c>
      <c r="B568" s="260" t="s">
        <v>754</v>
      </c>
      <c r="C568" s="190">
        <v>45708</v>
      </c>
      <c r="D568" s="197">
        <v>79.19</v>
      </c>
      <c r="E568" s="260" t="s">
        <v>564</v>
      </c>
      <c r="F568" s="260" t="s">
        <v>793</v>
      </c>
      <c r="G568" s="196">
        <v>0</v>
      </c>
      <c r="H568" s="202">
        <v>46302</v>
      </c>
      <c r="I568" s="260" t="s">
        <v>588</v>
      </c>
      <c r="J568" s="196">
        <v>1</v>
      </c>
      <c r="K568" s="196">
        <v>0</v>
      </c>
      <c r="L568" s="260" t="s">
        <v>239</v>
      </c>
      <c r="M568" s="260" t="s">
        <v>514</v>
      </c>
    </row>
    <row r="569" spans="1:13" ht="14.5" x14ac:dyDescent="0.35">
      <c r="A569" s="260" t="s">
        <v>1355</v>
      </c>
      <c r="B569" s="260" t="s">
        <v>754</v>
      </c>
      <c r="C569" s="190">
        <v>45709</v>
      </c>
      <c r="D569" s="197">
        <v>79.040000000000006</v>
      </c>
      <c r="E569" s="260" t="s">
        <v>564</v>
      </c>
      <c r="F569" s="260" t="s">
        <v>793</v>
      </c>
      <c r="G569" s="196">
        <v>0</v>
      </c>
      <c r="H569" s="202">
        <v>46302</v>
      </c>
      <c r="I569" s="260" t="s">
        <v>588</v>
      </c>
      <c r="J569" s="196">
        <v>1</v>
      </c>
      <c r="K569" s="196">
        <v>0</v>
      </c>
      <c r="L569" s="260" t="s">
        <v>239</v>
      </c>
      <c r="M569" s="260" t="s">
        <v>514</v>
      </c>
    </row>
    <row r="570" spans="1:13" ht="14.5" x14ac:dyDescent="0.35">
      <c r="A570" s="260" t="s">
        <v>1356</v>
      </c>
      <c r="B570" s="260" t="s">
        <v>754</v>
      </c>
      <c r="C570" s="190">
        <v>45712</v>
      </c>
      <c r="D570" s="197">
        <v>78.59</v>
      </c>
      <c r="E570" s="260" t="s">
        <v>564</v>
      </c>
      <c r="F570" s="260" t="s">
        <v>793</v>
      </c>
      <c r="G570" s="196">
        <v>0</v>
      </c>
      <c r="H570" s="202">
        <v>46302</v>
      </c>
      <c r="I570" s="260" t="s">
        <v>588</v>
      </c>
      <c r="J570" s="196">
        <v>1</v>
      </c>
      <c r="K570" s="196">
        <v>0</v>
      </c>
      <c r="L570" s="260" t="s">
        <v>239</v>
      </c>
      <c r="M570" s="260" t="s">
        <v>514</v>
      </c>
    </row>
    <row r="571" spans="1:13" ht="14.5" x14ac:dyDescent="0.35">
      <c r="A571" s="260" t="s">
        <v>1357</v>
      </c>
      <c r="B571" s="260" t="s">
        <v>754</v>
      </c>
      <c r="C571" s="190">
        <v>45713</v>
      </c>
      <c r="D571" s="197">
        <v>78.44</v>
      </c>
      <c r="E571" s="260" t="s">
        <v>564</v>
      </c>
      <c r="F571" s="260" t="s">
        <v>793</v>
      </c>
      <c r="G571" s="196">
        <v>0</v>
      </c>
      <c r="H571" s="202">
        <v>46302</v>
      </c>
      <c r="I571" s="260" t="s">
        <v>588</v>
      </c>
      <c r="J571" s="196">
        <v>1</v>
      </c>
      <c r="K571" s="196">
        <v>0</v>
      </c>
      <c r="L571" s="260" t="s">
        <v>239</v>
      </c>
      <c r="M571" s="260" t="s">
        <v>514</v>
      </c>
    </row>
    <row r="572" spans="1:13" ht="14.5" x14ac:dyDescent="0.35">
      <c r="A572" s="260" t="s">
        <v>1358</v>
      </c>
      <c r="B572" s="260" t="s">
        <v>754</v>
      </c>
      <c r="C572" s="190">
        <v>45714</v>
      </c>
      <c r="D572" s="197">
        <v>78.3</v>
      </c>
      <c r="E572" s="260" t="s">
        <v>564</v>
      </c>
      <c r="F572" s="260" t="s">
        <v>793</v>
      </c>
      <c r="G572" s="196">
        <v>0</v>
      </c>
      <c r="H572" s="202">
        <v>46302</v>
      </c>
      <c r="I572" s="260" t="s">
        <v>588</v>
      </c>
      <c r="J572" s="196">
        <v>1</v>
      </c>
      <c r="K572" s="196">
        <v>0</v>
      </c>
      <c r="L572" s="260" t="s">
        <v>239</v>
      </c>
      <c r="M572" s="260" t="s">
        <v>514</v>
      </c>
    </row>
    <row r="573" spans="1:13" ht="14.5" x14ac:dyDescent="0.35">
      <c r="A573" s="260" t="s">
        <v>1359</v>
      </c>
      <c r="B573" s="260" t="s">
        <v>754</v>
      </c>
      <c r="C573" s="190">
        <v>45715</v>
      </c>
      <c r="D573" s="197">
        <v>78.150000000000006</v>
      </c>
      <c r="E573" s="260" t="s">
        <v>564</v>
      </c>
      <c r="F573" s="260" t="s">
        <v>793</v>
      </c>
      <c r="G573" s="196">
        <v>0</v>
      </c>
      <c r="H573" s="202">
        <v>46302</v>
      </c>
      <c r="I573" s="260" t="s">
        <v>588</v>
      </c>
      <c r="J573" s="196">
        <v>1</v>
      </c>
      <c r="K573" s="196">
        <v>0</v>
      </c>
      <c r="L573" s="260" t="s">
        <v>239</v>
      </c>
      <c r="M573" s="260" t="s">
        <v>514</v>
      </c>
    </row>
    <row r="574" spans="1:13" ht="14.5" x14ac:dyDescent="0.35">
      <c r="A574" s="260" t="s">
        <v>1360</v>
      </c>
      <c r="B574" s="260" t="s">
        <v>754</v>
      </c>
      <c r="C574" s="190">
        <v>45716</v>
      </c>
      <c r="D574" s="197">
        <v>78</v>
      </c>
      <c r="E574" s="260" t="s">
        <v>564</v>
      </c>
      <c r="F574" s="260" t="s">
        <v>793</v>
      </c>
      <c r="G574" s="196">
        <v>0</v>
      </c>
      <c r="H574" s="202">
        <v>46302</v>
      </c>
      <c r="I574" s="260" t="s">
        <v>588</v>
      </c>
      <c r="J574" s="196">
        <v>1</v>
      </c>
      <c r="K574" s="196">
        <v>0</v>
      </c>
      <c r="L574" s="260" t="s">
        <v>239</v>
      </c>
      <c r="M574" s="260" t="s">
        <v>514</v>
      </c>
    </row>
    <row r="575" spans="1:13" ht="14.5" x14ac:dyDescent="0.35">
      <c r="A575" s="260" t="s">
        <v>1361</v>
      </c>
      <c r="B575" s="260" t="s">
        <v>754</v>
      </c>
      <c r="C575" s="190">
        <v>45719</v>
      </c>
      <c r="D575" s="197">
        <v>77.8</v>
      </c>
      <c r="E575" s="260" t="s">
        <v>564</v>
      </c>
      <c r="F575" s="260" t="s">
        <v>793</v>
      </c>
      <c r="G575" s="196">
        <v>0</v>
      </c>
      <c r="H575" s="202">
        <v>46302</v>
      </c>
      <c r="I575" s="260" t="s">
        <v>588</v>
      </c>
      <c r="J575" s="196">
        <v>1</v>
      </c>
      <c r="K575" s="196">
        <v>0</v>
      </c>
      <c r="L575" s="260" t="s">
        <v>239</v>
      </c>
      <c r="M575" s="260" t="s">
        <v>514</v>
      </c>
    </row>
    <row r="576" spans="1:13" ht="14.5" x14ac:dyDescent="0.35">
      <c r="A576" s="260" t="s">
        <v>1362</v>
      </c>
      <c r="B576" s="260" t="s">
        <v>754</v>
      </c>
      <c r="C576" s="190">
        <v>45720</v>
      </c>
      <c r="D576" s="197">
        <v>77.7</v>
      </c>
      <c r="E576" s="260" t="s">
        <v>564</v>
      </c>
      <c r="F576" s="260" t="s">
        <v>793</v>
      </c>
      <c r="G576" s="196">
        <v>0</v>
      </c>
      <c r="H576" s="202">
        <v>46302</v>
      </c>
      <c r="I576" s="260" t="s">
        <v>588</v>
      </c>
      <c r="J576" s="196">
        <v>1</v>
      </c>
      <c r="K576" s="196">
        <v>0</v>
      </c>
      <c r="L576" s="260" t="s">
        <v>239</v>
      </c>
      <c r="M576" s="260" t="s">
        <v>514</v>
      </c>
    </row>
    <row r="577" spans="1:13" ht="14.5" x14ac:dyDescent="0.35">
      <c r="A577" s="260" t="s">
        <v>1363</v>
      </c>
      <c r="B577" s="260" t="s">
        <v>754</v>
      </c>
      <c r="C577" s="190">
        <v>45721</v>
      </c>
      <c r="D577" s="197">
        <v>77.599999999999994</v>
      </c>
      <c r="E577" s="260" t="s">
        <v>564</v>
      </c>
      <c r="F577" s="260" t="s">
        <v>793</v>
      </c>
      <c r="G577" s="196">
        <v>0</v>
      </c>
      <c r="H577" s="202">
        <v>46302</v>
      </c>
      <c r="I577" s="260" t="s">
        <v>588</v>
      </c>
      <c r="J577" s="196">
        <v>1</v>
      </c>
      <c r="K577" s="196">
        <v>0</v>
      </c>
      <c r="L577" s="260" t="s">
        <v>239</v>
      </c>
      <c r="M577" s="260" t="s">
        <v>514</v>
      </c>
    </row>
    <row r="578" spans="1:13" ht="14.5" x14ac:dyDescent="0.35">
      <c r="A578" s="260" t="s">
        <v>1364</v>
      </c>
      <c r="B578" s="260" t="s">
        <v>754</v>
      </c>
      <c r="C578" s="190">
        <v>45722</v>
      </c>
      <c r="D578" s="197">
        <v>77.5</v>
      </c>
      <c r="E578" s="260" t="s">
        <v>564</v>
      </c>
      <c r="F578" s="260" t="s">
        <v>793</v>
      </c>
      <c r="G578" s="196">
        <v>0</v>
      </c>
      <c r="H578" s="202">
        <v>46302</v>
      </c>
      <c r="I578" s="260" t="s">
        <v>588</v>
      </c>
      <c r="J578" s="196">
        <v>1</v>
      </c>
      <c r="K578" s="196">
        <v>0</v>
      </c>
      <c r="L578" s="260" t="s">
        <v>239</v>
      </c>
      <c r="M578" s="260" t="s">
        <v>514</v>
      </c>
    </row>
    <row r="579" spans="1:13" ht="14.5" x14ac:dyDescent="0.35">
      <c r="A579" s="260" t="s">
        <v>1365</v>
      </c>
      <c r="B579" s="260" t="s">
        <v>754</v>
      </c>
      <c r="C579" s="190">
        <v>45723</v>
      </c>
      <c r="D579" s="197">
        <v>77.400000000000006</v>
      </c>
      <c r="E579" s="260" t="s">
        <v>564</v>
      </c>
      <c r="F579" s="260" t="s">
        <v>793</v>
      </c>
      <c r="G579" s="196">
        <v>0</v>
      </c>
      <c r="H579" s="202">
        <v>46302</v>
      </c>
      <c r="I579" s="260" t="s">
        <v>588</v>
      </c>
      <c r="J579" s="196">
        <v>1</v>
      </c>
      <c r="K579" s="196">
        <v>0</v>
      </c>
      <c r="L579" s="260" t="s">
        <v>239</v>
      </c>
      <c r="M579" s="260" t="s">
        <v>514</v>
      </c>
    </row>
    <row r="580" spans="1:13" ht="14.5" x14ac:dyDescent="0.35">
      <c r="A580" s="260" t="s">
        <v>1366</v>
      </c>
      <c r="B580" s="260" t="s">
        <v>754</v>
      </c>
      <c r="C580" s="190">
        <v>45726</v>
      </c>
      <c r="D580" s="197">
        <v>77.099999999999994</v>
      </c>
      <c r="E580" s="260" t="s">
        <v>564</v>
      </c>
      <c r="F580" s="260" t="s">
        <v>793</v>
      </c>
      <c r="G580" s="196">
        <v>0</v>
      </c>
      <c r="H580" s="202">
        <v>46302</v>
      </c>
      <c r="I580" s="260" t="s">
        <v>588</v>
      </c>
      <c r="J580" s="196">
        <v>1</v>
      </c>
      <c r="K580" s="196">
        <v>0</v>
      </c>
      <c r="L580" s="260" t="s">
        <v>239</v>
      </c>
      <c r="M580" s="260" t="s">
        <v>514</v>
      </c>
    </row>
    <row r="581" spans="1:13" ht="14.5" x14ac:dyDescent="0.35">
      <c r="A581" s="260" t="s">
        <v>1367</v>
      </c>
      <c r="B581" s="260" t="s">
        <v>754</v>
      </c>
      <c r="C581" s="190">
        <v>45727</v>
      </c>
      <c r="D581" s="197">
        <v>77</v>
      </c>
      <c r="E581" s="260" t="s">
        <v>564</v>
      </c>
      <c r="F581" s="260" t="s">
        <v>793</v>
      </c>
      <c r="G581" s="196">
        <v>0</v>
      </c>
      <c r="H581" s="202">
        <v>46302</v>
      </c>
      <c r="I581" s="260" t="s">
        <v>588</v>
      </c>
      <c r="J581" s="196">
        <v>1</v>
      </c>
      <c r="K581" s="196">
        <v>0</v>
      </c>
      <c r="L581" s="260" t="s">
        <v>239</v>
      </c>
      <c r="M581" s="260" t="s">
        <v>514</v>
      </c>
    </row>
    <row r="582" spans="1:13" ht="14.5" x14ac:dyDescent="0.35">
      <c r="A582" s="260" t="s">
        <v>1368</v>
      </c>
      <c r="B582" s="260" t="s">
        <v>754</v>
      </c>
      <c r="C582" s="190">
        <v>45728</v>
      </c>
      <c r="D582" s="197">
        <v>76.900000000000006</v>
      </c>
      <c r="E582" s="260" t="s">
        <v>564</v>
      </c>
      <c r="F582" s="260" t="s">
        <v>793</v>
      </c>
      <c r="G582" s="196">
        <v>0</v>
      </c>
      <c r="H582" s="202">
        <v>46302</v>
      </c>
      <c r="I582" s="260" t="s">
        <v>588</v>
      </c>
      <c r="J582" s="196">
        <v>1</v>
      </c>
      <c r="K582" s="196">
        <v>0</v>
      </c>
      <c r="L582" s="260" t="s">
        <v>239</v>
      </c>
      <c r="M582" s="260" t="s">
        <v>514</v>
      </c>
    </row>
    <row r="583" spans="1:13" ht="14.5" x14ac:dyDescent="0.35">
      <c r="A583" s="260" t="s">
        <v>1369</v>
      </c>
      <c r="B583" s="260" t="s">
        <v>754</v>
      </c>
      <c r="C583" s="190">
        <v>45729</v>
      </c>
      <c r="D583" s="197">
        <v>76.8</v>
      </c>
      <c r="E583" s="260" t="s">
        <v>564</v>
      </c>
      <c r="F583" s="260" t="s">
        <v>793</v>
      </c>
      <c r="G583" s="196">
        <v>0</v>
      </c>
      <c r="H583" s="202">
        <v>46302</v>
      </c>
      <c r="I583" s="260" t="s">
        <v>588</v>
      </c>
      <c r="J583" s="196">
        <v>1</v>
      </c>
      <c r="K583" s="196">
        <v>0</v>
      </c>
      <c r="L583" s="260" t="s">
        <v>239</v>
      </c>
      <c r="M583" s="260" t="s">
        <v>514</v>
      </c>
    </row>
    <row r="584" spans="1:13" ht="14.5" x14ac:dyDescent="0.35">
      <c r="A584" s="260" t="s">
        <v>1370</v>
      </c>
      <c r="B584" s="260" t="s">
        <v>754</v>
      </c>
      <c r="C584" s="190">
        <v>45730</v>
      </c>
      <c r="D584" s="197">
        <v>76.7</v>
      </c>
      <c r="E584" s="260" t="s">
        <v>564</v>
      </c>
      <c r="F584" s="260" t="s">
        <v>793</v>
      </c>
      <c r="G584" s="196">
        <v>0</v>
      </c>
      <c r="H584" s="202">
        <v>46302</v>
      </c>
      <c r="I584" s="260" t="s">
        <v>588</v>
      </c>
      <c r="J584" s="196">
        <v>1</v>
      </c>
      <c r="K584" s="196">
        <v>0</v>
      </c>
      <c r="L584" s="260" t="s">
        <v>239</v>
      </c>
      <c r="M584" s="260" t="s">
        <v>514</v>
      </c>
    </row>
    <row r="585" spans="1:13" ht="14.5" x14ac:dyDescent="0.35">
      <c r="A585" s="260" t="s">
        <v>1371</v>
      </c>
      <c r="B585" s="260" t="s">
        <v>754</v>
      </c>
      <c r="C585" s="190">
        <v>45733</v>
      </c>
      <c r="D585" s="197">
        <v>76.400000000000006</v>
      </c>
      <c r="E585" s="260" t="s">
        <v>564</v>
      </c>
      <c r="F585" s="260" t="s">
        <v>793</v>
      </c>
      <c r="G585" s="196">
        <v>0</v>
      </c>
      <c r="H585" s="202">
        <v>46302</v>
      </c>
      <c r="I585" s="260" t="s">
        <v>588</v>
      </c>
      <c r="J585" s="196">
        <v>1</v>
      </c>
      <c r="K585" s="196">
        <v>0</v>
      </c>
      <c r="L585" s="260" t="s">
        <v>239</v>
      </c>
      <c r="M585" s="260" t="s">
        <v>514</v>
      </c>
    </row>
    <row r="586" spans="1:13" ht="14.5" x14ac:dyDescent="0.35">
      <c r="A586" s="260" t="s">
        <v>1372</v>
      </c>
      <c r="B586" s="260" t="s">
        <v>754</v>
      </c>
      <c r="C586" s="190">
        <v>45734</v>
      </c>
      <c r="D586" s="197">
        <v>76.3</v>
      </c>
      <c r="E586" s="260" t="s">
        <v>564</v>
      </c>
      <c r="F586" s="260" t="s">
        <v>793</v>
      </c>
      <c r="G586" s="196">
        <v>0</v>
      </c>
      <c r="H586" s="202">
        <v>46302</v>
      </c>
      <c r="I586" s="260" t="s">
        <v>588</v>
      </c>
      <c r="J586" s="196">
        <v>1</v>
      </c>
      <c r="K586" s="196">
        <v>0</v>
      </c>
      <c r="L586" s="260" t="s">
        <v>239</v>
      </c>
      <c r="M586" s="260" t="s">
        <v>514</v>
      </c>
    </row>
    <row r="587" spans="1:13" ht="14.5" x14ac:dyDescent="0.35">
      <c r="A587" s="260" t="s">
        <v>1373</v>
      </c>
      <c r="B587" s="260" t="s">
        <v>754</v>
      </c>
      <c r="C587" s="190">
        <v>45735</v>
      </c>
      <c r="D587" s="197">
        <v>76.2</v>
      </c>
      <c r="E587" s="260" t="s">
        <v>564</v>
      </c>
      <c r="F587" s="260" t="s">
        <v>793</v>
      </c>
      <c r="G587" s="196">
        <v>0</v>
      </c>
      <c r="H587" s="202">
        <v>46302</v>
      </c>
      <c r="I587" s="260" t="s">
        <v>588</v>
      </c>
      <c r="J587" s="196">
        <v>1</v>
      </c>
      <c r="K587" s="196">
        <v>0</v>
      </c>
      <c r="L587" s="260" t="s">
        <v>239</v>
      </c>
      <c r="M587" s="260" t="s">
        <v>514</v>
      </c>
    </row>
    <row r="588" spans="1:13" ht="14.5" x14ac:dyDescent="0.35">
      <c r="A588" s="260" t="s">
        <v>1374</v>
      </c>
      <c r="B588" s="260" t="s">
        <v>754</v>
      </c>
      <c r="C588" s="190">
        <v>45736</v>
      </c>
      <c r="D588" s="197">
        <v>76.099999999999994</v>
      </c>
      <c r="E588" s="260" t="s">
        <v>564</v>
      </c>
      <c r="F588" s="260" t="s">
        <v>793</v>
      </c>
      <c r="G588" s="196">
        <v>0</v>
      </c>
      <c r="H588" s="202">
        <v>46302</v>
      </c>
      <c r="I588" s="260" t="s">
        <v>588</v>
      </c>
      <c r="J588" s="196">
        <v>1</v>
      </c>
      <c r="K588" s="196">
        <v>0</v>
      </c>
      <c r="L588" s="260" t="s">
        <v>239</v>
      </c>
      <c r="M588" s="260" t="s">
        <v>514</v>
      </c>
    </row>
    <row r="589" spans="1:13" ht="14.5" x14ac:dyDescent="0.35">
      <c r="A589" s="260" t="s">
        <v>1375</v>
      </c>
      <c r="B589" s="260" t="s">
        <v>754</v>
      </c>
      <c r="C589" s="190">
        <v>45737</v>
      </c>
      <c r="D589" s="197">
        <v>76</v>
      </c>
      <c r="E589" s="260" t="s">
        <v>564</v>
      </c>
      <c r="F589" s="260" t="s">
        <v>793</v>
      </c>
      <c r="G589" s="196">
        <v>0</v>
      </c>
      <c r="H589" s="202">
        <v>46302</v>
      </c>
      <c r="I589" s="260" t="s">
        <v>588</v>
      </c>
      <c r="J589" s="196">
        <v>1</v>
      </c>
      <c r="K589" s="196">
        <v>0</v>
      </c>
      <c r="L589" s="260" t="s">
        <v>239</v>
      </c>
      <c r="M589" s="260" t="s">
        <v>514</v>
      </c>
    </row>
    <row r="590" spans="1:13" ht="14.5" x14ac:dyDescent="0.35">
      <c r="A590" s="260" t="s">
        <v>1376</v>
      </c>
      <c r="B590" s="260" t="s">
        <v>754</v>
      </c>
      <c r="C590" s="190">
        <v>45740</v>
      </c>
      <c r="D590" s="197">
        <v>75.7</v>
      </c>
      <c r="E590" s="260" t="s">
        <v>564</v>
      </c>
      <c r="F590" s="260" t="s">
        <v>793</v>
      </c>
      <c r="G590" s="196">
        <v>0</v>
      </c>
      <c r="H590" s="202">
        <v>46302</v>
      </c>
      <c r="I590" s="260" t="s">
        <v>588</v>
      </c>
      <c r="J590" s="196">
        <v>1</v>
      </c>
      <c r="K590" s="196">
        <v>0</v>
      </c>
      <c r="L590" s="260" t="s">
        <v>239</v>
      </c>
      <c r="M590" s="260" t="s">
        <v>514</v>
      </c>
    </row>
    <row r="591" spans="1:13" ht="14.5" x14ac:dyDescent="0.35">
      <c r="A591" s="260" t="s">
        <v>1377</v>
      </c>
      <c r="B591" s="260" t="s">
        <v>754</v>
      </c>
      <c r="C591" s="190">
        <v>45741</v>
      </c>
      <c r="D591" s="197">
        <v>75.599999999999994</v>
      </c>
      <c r="E591" s="260" t="s">
        <v>564</v>
      </c>
      <c r="F591" s="260" t="s">
        <v>793</v>
      </c>
      <c r="G591" s="196">
        <v>0</v>
      </c>
      <c r="H591" s="202">
        <v>46302</v>
      </c>
      <c r="I591" s="260" t="s">
        <v>588</v>
      </c>
      <c r="J591" s="196">
        <v>1</v>
      </c>
      <c r="K591" s="196">
        <v>0</v>
      </c>
      <c r="L591" s="260" t="s">
        <v>239</v>
      </c>
      <c r="M591" s="260" t="s">
        <v>514</v>
      </c>
    </row>
    <row r="592" spans="1:13" ht="14.5" x14ac:dyDescent="0.35">
      <c r="A592" s="260" t="s">
        <v>1378</v>
      </c>
      <c r="B592" s="260" t="s">
        <v>754</v>
      </c>
      <c r="C592" s="190">
        <v>45742</v>
      </c>
      <c r="D592" s="197">
        <v>75.5</v>
      </c>
      <c r="E592" s="260" t="s">
        <v>564</v>
      </c>
      <c r="F592" s="260" t="s">
        <v>793</v>
      </c>
      <c r="G592" s="196">
        <v>0</v>
      </c>
      <c r="H592" s="202">
        <v>46302</v>
      </c>
      <c r="I592" s="260" t="s">
        <v>588</v>
      </c>
      <c r="J592" s="196">
        <v>1</v>
      </c>
      <c r="K592" s="196">
        <v>0</v>
      </c>
      <c r="L592" s="260" t="s">
        <v>239</v>
      </c>
      <c r="M592" s="260" t="s">
        <v>514</v>
      </c>
    </row>
    <row r="593" spans="1:13" ht="14.5" x14ac:dyDescent="0.35">
      <c r="A593" s="260" t="s">
        <v>1379</v>
      </c>
      <c r="B593" s="260" t="s">
        <v>754</v>
      </c>
      <c r="C593" s="190">
        <v>45743</v>
      </c>
      <c r="D593" s="197">
        <v>75.400000000000006</v>
      </c>
      <c r="E593" s="260" t="s">
        <v>564</v>
      </c>
      <c r="F593" s="260" t="s">
        <v>793</v>
      </c>
      <c r="G593" s="196">
        <v>0</v>
      </c>
      <c r="H593" s="202">
        <v>46302</v>
      </c>
      <c r="I593" s="260" t="s">
        <v>588</v>
      </c>
      <c r="J593" s="196">
        <v>1</v>
      </c>
      <c r="K593" s="196">
        <v>0</v>
      </c>
      <c r="L593" s="260" t="s">
        <v>239</v>
      </c>
      <c r="M593" s="260" t="s">
        <v>514</v>
      </c>
    </row>
    <row r="594" spans="1:13" ht="14.5" x14ac:dyDescent="0.35">
      <c r="A594" s="260" t="s">
        <v>1380</v>
      </c>
      <c r="B594" s="260" t="s">
        <v>754</v>
      </c>
      <c r="C594" s="190">
        <v>45744</v>
      </c>
      <c r="D594" s="197">
        <v>75.3</v>
      </c>
      <c r="E594" s="260" t="s">
        <v>564</v>
      </c>
      <c r="F594" s="260" t="s">
        <v>793</v>
      </c>
      <c r="G594" s="196">
        <v>0</v>
      </c>
      <c r="H594" s="202">
        <v>46302</v>
      </c>
      <c r="I594" s="260" t="s">
        <v>588</v>
      </c>
      <c r="J594" s="196">
        <v>1</v>
      </c>
      <c r="K594" s="196">
        <v>0</v>
      </c>
      <c r="L594" s="260" t="s">
        <v>239</v>
      </c>
      <c r="M594" s="260" t="s">
        <v>514</v>
      </c>
    </row>
    <row r="595" spans="1:13" ht="14.5" x14ac:dyDescent="0.35">
      <c r="A595" s="260" t="s">
        <v>1381</v>
      </c>
      <c r="B595" s="260" t="s">
        <v>754</v>
      </c>
      <c r="C595" s="190">
        <v>45747</v>
      </c>
      <c r="D595" s="197">
        <v>75</v>
      </c>
      <c r="E595" s="260" t="s">
        <v>564</v>
      </c>
      <c r="F595" s="260" t="s">
        <v>793</v>
      </c>
      <c r="G595" s="196">
        <v>0</v>
      </c>
      <c r="H595" s="202">
        <v>46302</v>
      </c>
      <c r="I595" s="260" t="s">
        <v>588</v>
      </c>
      <c r="J595" s="196">
        <v>1</v>
      </c>
      <c r="K595" s="196">
        <v>0</v>
      </c>
      <c r="L595" s="260" t="s">
        <v>239</v>
      </c>
      <c r="M595" s="260" t="s">
        <v>514</v>
      </c>
    </row>
    <row r="596" spans="1:13" ht="14.5" x14ac:dyDescent="0.35">
      <c r="A596" s="260" t="s">
        <v>1382</v>
      </c>
      <c r="B596" s="260" t="s">
        <v>754</v>
      </c>
      <c r="C596" s="190">
        <v>45748</v>
      </c>
      <c r="D596" s="197">
        <v>75</v>
      </c>
      <c r="E596" s="260" t="s">
        <v>564</v>
      </c>
      <c r="F596" s="260" t="s">
        <v>793</v>
      </c>
      <c r="G596" s="196">
        <v>0</v>
      </c>
      <c r="H596" s="202">
        <v>46302</v>
      </c>
      <c r="I596" s="260" t="s">
        <v>588</v>
      </c>
      <c r="J596" s="196">
        <v>1</v>
      </c>
      <c r="K596" s="196">
        <v>0</v>
      </c>
      <c r="L596" s="260" t="s">
        <v>239</v>
      </c>
      <c r="M596" s="260" t="s">
        <v>514</v>
      </c>
    </row>
    <row r="597" spans="1:13" ht="14.5" x14ac:dyDescent="0.35">
      <c r="A597" s="260" t="s">
        <v>1383</v>
      </c>
      <c r="B597" s="260" t="s">
        <v>754</v>
      </c>
      <c r="C597" s="190">
        <v>45749</v>
      </c>
      <c r="D597" s="197">
        <v>75.14</v>
      </c>
      <c r="E597" s="260" t="s">
        <v>564</v>
      </c>
      <c r="F597" s="260" t="s">
        <v>793</v>
      </c>
      <c r="G597" s="196">
        <v>0</v>
      </c>
      <c r="H597" s="202">
        <v>46302</v>
      </c>
      <c r="I597" s="260" t="s">
        <v>588</v>
      </c>
      <c r="J597" s="196">
        <v>1</v>
      </c>
      <c r="K597" s="196">
        <v>0</v>
      </c>
      <c r="L597" s="260" t="s">
        <v>239</v>
      </c>
      <c r="M597" s="260" t="s">
        <v>514</v>
      </c>
    </row>
    <row r="598" spans="1:13" ht="14.5" x14ac:dyDescent="0.35">
      <c r="A598" s="260" t="s">
        <v>1384</v>
      </c>
      <c r="B598" s="260" t="s">
        <v>754</v>
      </c>
      <c r="C598" s="190">
        <v>45750</v>
      </c>
      <c r="D598" s="197">
        <v>75.28</v>
      </c>
      <c r="E598" s="260" t="s">
        <v>564</v>
      </c>
      <c r="F598" s="260" t="s">
        <v>793</v>
      </c>
      <c r="G598" s="196">
        <v>0</v>
      </c>
      <c r="H598" s="202">
        <v>46302</v>
      </c>
      <c r="I598" s="260" t="s">
        <v>588</v>
      </c>
      <c r="J598" s="196">
        <v>1</v>
      </c>
      <c r="K598" s="196">
        <v>0</v>
      </c>
      <c r="L598" s="260" t="s">
        <v>239</v>
      </c>
      <c r="M598" s="260" t="s">
        <v>514</v>
      </c>
    </row>
    <row r="599" spans="1:13" ht="14.5" x14ac:dyDescent="0.35">
      <c r="A599" s="260" t="s">
        <v>1385</v>
      </c>
      <c r="B599" s="260" t="s">
        <v>754</v>
      </c>
      <c r="C599" s="190">
        <v>45751</v>
      </c>
      <c r="D599" s="197">
        <v>75.41</v>
      </c>
      <c r="E599" s="260" t="s">
        <v>564</v>
      </c>
      <c r="F599" s="260" t="s">
        <v>793</v>
      </c>
      <c r="G599" s="196">
        <v>0</v>
      </c>
      <c r="H599" s="202">
        <v>46302</v>
      </c>
      <c r="I599" s="260" t="s">
        <v>588</v>
      </c>
      <c r="J599" s="196">
        <v>1</v>
      </c>
      <c r="K599" s="196">
        <v>0</v>
      </c>
      <c r="L599" s="260" t="s">
        <v>239</v>
      </c>
      <c r="M599" s="260" t="s">
        <v>514</v>
      </c>
    </row>
    <row r="600" spans="1:13" ht="14.5" x14ac:dyDescent="0.35">
      <c r="A600" s="260" t="s">
        <v>1386</v>
      </c>
      <c r="B600" s="260" t="s">
        <v>754</v>
      </c>
      <c r="C600" s="190">
        <v>45754</v>
      </c>
      <c r="D600" s="197">
        <v>75.83</v>
      </c>
      <c r="E600" s="260" t="s">
        <v>564</v>
      </c>
      <c r="F600" s="260" t="s">
        <v>793</v>
      </c>
      <c r="G600" s="196">
        <v>0</v>
      </c>
      <c r="H600" s="202">
        <v>46302</v>
      </c>
      <c r="I600" s="260" t="s">
        <v>588</v>
      </c>
      <c r="J600" s="196">
        <v>1</v>
      </c>
      <c r="K600" s="196">
        <v>0</v>
      </c>
      <c r="L600" s="260" t="s">
        <v>239</v>
      </c>
      <c r="M600" s="260" t="s">
        <v>514</v>
      </c>
    </row>
    <row r="601" spans="1:13" ht="14.5" x14ac:dyDescent="0.35">
      <c r="A601" s="260" t="s">
        <v>1387</v>
      </c>
      <c r="B601" s="260" t="s">
        <v>754</v>
      </c>
      <c r="C601" s="190">
        <v>45755</v>
      </c>
      <c r="D601" s="197">
        <v>75.97</v>
      </c>
      <c r="E601" s="260" t="s">
        <v>564</v>
      </c>
      <c r="F601" s="260" t="s">
        <v>793</v>
      </c>
      <c r="G601" s="196">
        <v>0</v>
      </c>
      <c r="H601" s="202">
        <v>46302</v>
      </c>
      <c r="I601" s="260" t="s">
        <v>588</v>
      </c>
      <c r="J601" s="196">
        <v>1</v>
      </c>
      <c r="K601" s="196">
        <v>0</v>
      </c>
      <c r="L601" s="260" t="s">
        <v>239</v>
      </c>
      <c r="M601" s="260" t="s">
        <v>514</v>
      </c>
    </row>
    <row r="602" spans="1:13" ht="14.5" x14ac:dyDescent="0.35">
      <c r="A602" s="260" t="s">
        <v>1388</v>
      </c>
      <c r="B602" s="260" t="s">
        <v>754</v>
      </c>
      <c r="C602" s="190">
        <v>45756</v>
      </c>
      <c r="D602" s="197">
        <v>76.099999999999994</v>
      </c>
      <c r="E602" s="260" t="s">
        <v>564</v>
      </c>
      <c r="F602" s="260" t="s">
        <v>793</v>
      </c>
      <c r="G602" s="196">
        <v>0</v>
      </c>
      <c r="H602" s="202">
        <v>46302</v>
      </c>
      <c r="I602" s="260" t="s">
        <v>588</v>
      </c>
      <c r="J602" s="196">
        <v>1</v>
      </c>
      <c r="K602" s="196">
        <v>0</v>
      </c>
      <c r="L602" s="260" t="s">
        <v>239</v>
      </c>
      <c r="M602" s="260" t="s">
        <v>514</v>
      </c>
    </row>
    <row r="603" spans="1:13" ht="14.5" x14ac:dyDescent="0.35">
      <c r="A603" s="260" t="s">
        <v>1389</v>
      </c>
      <c r="B603" s="260" t="s">
        <v>754</v>
      </c>
      <c r="C603" s="190">
        <v>45757</v>
      </c>
      <c r="D603" s="197">
        <v>76.239999999999995</v>
      </c>
      <c r="E603" s="260" t="s">
        <v>564</v>
      </c>
      <c r="F603" s="260" t="s">
        <v>793</v>
      </c>
      <c r="G603" s="196">
        <v>0</v>
      </c>
      <c r="H603" s="202">
        <v>46302</v>
      </c>
      <c r="I603" s="260" t="s">
        <v>588</v>
      </c>
      <c r="J603" s="196">
        <v>1</v>
      </c>
      <c r="K603" s="196">
        <v>0</v>
      </c>
      <c r="L603" s="260" t="s">
        <v>239</v>
      </c>
      <c r="M603" s="260" t="s">
        <v>514</v>
      </c>
    </row>
    <row r="604" spans="1:13" ht="14.5" x14ac:dyDescent="0.35">
      <c r="A604" s="260" t="s">
        <v>1390</v>
      </c>
      <c r="B604" s="260" t="s">
        <v>754</v>
      </c>
      <c r="C604" s="190">
        <v>45758</v>
      </c>
      <c r="D604" s="197">
        <v>76.38</v>
      </c>
      <c r="E604" s="260" t="s">
        <v>564</v>
      </c>
      <c r="F604" s="260" t="s">
        <v>793</v>
      </c>
      <c r="G604" s="196">
        <v>0</v>
      </c>
      <c r="H604" s="202">
        <v>46302</v>
      </c>
      <c r="I604" s="260" t="s">
        <v>588</v>
      </c>
      <c r="J604" s="196">
        <v>1</v>
      </c>
      <c r="K604" s="196">
        <v>0</v>
      </c>
      <c r="L604" s="260" t="s">
        <v>239</v>
      </c>
      <c r="M604" s="260" t="s">
        <v>514</v>
      </c>
    </row>
    <row r="605" spans="1:13" ht="14.5" x14ac:dyDescent="0.35">
      <c r="A605" s="260" t="s">
        <v>1391</v>
      </c>
      <c r="B605" s="260" t="s">
        <v>754</v>
      </c>
      <c r="C605" s="190">
        <v>45761</v>
      </c>
      <c r="D605" s="197">
        <v>76.790000000000006</v>
      </c>
      <c r="E605" s="260" t="s">
        <v>564</v>
      </c>
      <c r="F605" s="260" t="s">
        <v>793</v>
      </c>
      <c r="G605" s="196">
        <v>0</v>
      </c>
      <c r="H605" s="202">
        <v>46302</v>
      </c>
      <c r="I605" s="260" t="s">
        <v>588</v>
      </c>
      <c r="J605" s="196">
        <v>1</v>
      </c>
      <c r="K605" s="196">
        <v>0</v>
      </c>
      <c r="L605" s="260" t="s">
        <v>239</v>
      </c>
      <c r="M605" s="260" t="s">
        <v>514</v>
      </c>
    </row>
    <row r="606" spans="1:13" ht="14.5" x14ac:dyDescent="0.35">
      <c r="A606" s="260" t="s">
        <v>1392</v>
      </c>
      <c r="B606" s="260" t="s">
        <v>754</v>
      </c>
      <c r="C606" s="190">
        <v>45762</v>
      </c>
      <c r="D606" s="197">
        <v>76.930000000000007</v>
      </c>
      <c r="E606" s="260" t="s">
        <v>564</v>
      </c>
      <c r="F606" s="260" t="s">
        <v>793</v>
      </c>
      <c r="G606" s="196">
        <v>0</v>
      </c>
      <c r="H606" s="202">
        <v>46302</v>
      </c>
      <c r="I606" s="260" t="s">
        <v>588</v>
      </c>
      <c r="J606" s="196">
        <v>1</v>
      </c>
      <c r="K606" s="196">
        <v>0</v>
      </c>
      <c r="L606" s="260" t="s">
        <v>239</v>
      </c>
      <c r="M606" s="260" t="s">
        <v>514</v>
      </c>
    </row>
    <row r="607" spans="1:13" ht="14.5" x14ac:dyDescent="0.35">
      <c r="A607" s="260" t="s">
        <v>1393</v>
      </c>
      <c r="B607" s="260" t="s">
        <v>754</v>
      </c>
      <c r="C607" s="190">
        <v>45763</v>
      </c>
      <c r="D607" s="197">
        <v>77.069999999999993</v>
      </c>
      <c r="E607" s="260" t="s">
        <v>564</v>
      </c>
      <c r="F607" s="260" t="s">
        <v>793</v>
      </c>
      <c r="G607" s="196">
        <v>0</v>
      </c>
      <c r="H607" s="202">
        <v>46302</v>
      </c>
      <c r="I607" s="260" t="s">
        <v>588</v>
      </c>
      <c r="J607" s="196">
        <v>1</v>
      </c>
      <c r="K607" s="196">
        <v>0</v>
      </c>
      <c r="L607" s="260" t="s">
        <v>239</v>
      </c>
      <c r="M607" s="260" t="s">
        <v>514</v>
      </c>
    </row>
    <row r="608" spans="1:13" ht="14.5" x14ac:dyDescent="0.35">
      <c r="A608" s="260" t="s">
        <v>1394</v>
      </c>
      <c r="B608" s="260" t="s">
        <v>754</v>
      </c>
      <c r="C608" s="190">
        <v>45764</v>
      </c>
      <c r="D608" s="197">
        <v>77.209999999999994</v>
      </c>
      <c r="E608" s="260" t="s">
        <v>564</v>
      </c>
      <c r="F608" s="260" t="s">
        <v>793</v>
      </c>
      <c r="G608" s="196">
        <v>0</v>
      </c>
      <c r="H608" s="202">
        <v>46302</v>
      </c>
      <c r="I608" s="260" t="s">
        <v>588</v>
      </c>
      <c r="J608" s="196">
        <v>1</v>
      </c>
      <c r="K608" s="196">
        <v>0</v>
      </c>
      <c r="L608" s="260" t="s">
        <v>239</v>
      </c>
      <c r="M608" s="260" t="s">
        <v>514</v>
      </c>
    </row>
    <row r="609" spans="1:13" ht="14.5" x14ac:dyDescent="0.35">
      <c r="A609" s="260" t="s">
        <v>1395</v>
      </c>
      <c r="B609" s="260" t="s">
        <v>754</v>
      </c>
      <c r="C609" s="190">
        <v>45765</v>
      </c>
      <c r="D609" s="197">
        <v>77.34</v>
      </c>
      <c r="E609" s="260" t="s">
        <v>564</v>
      </c>
      <c r="F609" s="260" t="s">
        <v>793</v>
      </c>
      <c r="G609" s="196">
        <v>0</v>
      </c>
      <c r="H609" s="202">
        <v>46302</v>
      </c>
      <c r="I609" s="260" t="s">
        <v>588</v>
      </c>
      <c r="J609" s="196">
        <v>1</v>
      </c>
      <c r="K609" s="196">
        <v>0</v>
      </c>
      <c r="L609" s="260" t="s">
        <v>239</v>
      </c>
      <c r="M609" s="260" t="s">
        <v>514</v>
      </c>
    </row>
    <row r="610" spans="1:13" ht="14.5" x14ac:dyDescent="0.35">
      <c r="A610" s="260" t="s">
        <v>1396</v>
      </c>
      <c r="B610" s="260" t="s">
        <v>754</v>
      </c>
      <c r="C610" s="190">
        <v>45768</v>
      </c>
      <c r="D610" s="197">
        <v>77.760000000000005</v>
      </c>
      <c r="E610" s="260" t="s">
        <v>564</v>
      </c>
      <c r="F610" s="260" t="s">
        <v>793</v>
      </c>
      <c r="G610" s="196">
        <v>0</v>
      </c>
      <c r="H610" s="202">
        <v>46302</v>
      </c>
      <c r="I610" s="260" t="s">
        <v>588</v>
      </c>
      <c r="J610" s="196">
        <v>1</v>
      </c>
      <c r="K610" s="196">
        <v>0</v>
      </c>
      <c r="L610" s="260" t="s">
        <v>239</v>
      </c>
      <c r="M610" s="260" t="s">
        <v>514</v>
      </c>
    </row>
    <row r="611" spans="1:13" ht="14.5" x14ac:dyDescent="0.35">
      <c r="A611" s="260" t="s">
        <v>1397</v>
      </c>
      <c r="B611" s="260" t="s">
        <v>754</v>
      </c>
      <c r="C611" s="190">
        <v>45769</v>
      </c>
      <c r="D611" s="197">
        <v>77.900000000000006</v>
      </c>
      <c r="E611" s="260" t="s">
        <v>564</v>
      </c>
      <c r="F611" s="260" t="s">
        <v>793</v>
      </c>
      <c r="G611" s="196">
        <v>0</v>
      </c>
      <c r="H611" s="202">
        <v>46302</v>
      </c>
      <c r="I611" s="260" t="s">
        <v>588</v>
      </c>
      <c r="J611" s="196">
        <v>1</v>
      </c>
      <c r="K611" s="196">
        <v>0</v>
      </c>
      <c r="L611" s="260" t="s">
        <v>239</v>
      </c>
      <c r="M611" s="260" t="s">
        <v>514</v>
      </c>
    </row>
    <row r="612" spans="1:13" ht="14.5" x14ac:dyDescent="0.35">
      <c r="A612" s="260" t="s">
        <v>1398</v>
      </c>
      <c r="B612" s="260" t="s">
        <v>754</v>
      </c>
      <c r="C612" s="190">
        <v>45770</v>
      </c>
      <c r="D612" s="197">
        <v>78.03</v>
      </c>
      <c r="E612" s="260" t="s">
        <v>564</v>
      </c>
      <c r="F612" s="260" t="s">
        <v>793</v>
      </c>
      <c r="G612" s="196">
        <v>0</v>
      </c>
      <c r="H612" s="202">
        <v>46302</v>
      </c>
      <c r="I612" s="260" t="s">
        <v>588</v>
      </c>
      <c r="J612" s="196">
        <v>1</v>
      </c>
      <c r="K612" s="196">
        <v>0</v>
      </c>
      <c r="L612" s="260" t="s">
        <v>239</v>
      </c>
      <c r="M612" s="260" t="s">
        <v>514</v>
      </c>
    </row>
    <row r="613" spans="1:13" ht="14.5" x14ac:dyDescent="0.35">
      <c r="A613" s="260" t="s">
        <v>1399</v>
      </c>
      <c r="B613" s="260" t="s">
        <v>754</v>
      </c>
      <c r="C613" s="190">
        <v>45771</v>
      </c>
      <c r="D613" s="197">
        <v>78.17</v>
      </c>
      <c r="E613" s="260" t="s">
        <v>564</v>
      </c>
      <c r="F613" s="260" t="s">
        <v>793</v>
      </c>
      <c r="G613" s="196">
        <v>0</v>
      </c>
      <c r="H613" s="202">
        <v>46302</v>
      </c>
      <c r="I613" s="260" t="s">
        <v>588</v>
      </c>
      <c r="J613" s="196">
        <v>1</v>
      </c>
      <c r="K613" s="196">
        <v>0</v>
      </c>
      <c r="L613" s="260" t="s">
        <v>239</v>
      </c>
      <c r="M613" s="260" t="s">
        <v>514</v>
      </c>
    </row>
    <row r="614" spans="1:13" ht="14.5" x14ac:dyDescent="0.35">
      <c r="A614" s="260" t="s">
        <v>1400</v>
      </c>
      <c r="B614" s="260" t="s">
        <v>754</v>
      </c>
      <c r="C614" s="190">
        <v>45772</v>
      </c>
      <c r="D614" s="197">
        <v>78.31</v>
      </c>
      <c r="E614" s="260" t="s">
        <v>564</v>
      </c>
      <c r="F614" s="260" t="s">
        <v>793</v>
      </c>
      <c r="G614" s="196">
        <v>0</v>
      </c>
      <c r="H614" s="202">
        <v>46302</v>
      </c>
      <c r="I614" s="260" t="s">
        <v>588</v>
      </c>
      <c r="J614" s="196">
        <v>1</v>
      </c>
      <c r="K614" s="196">
        <v>0</v>
      </c>
      <c r="L614" s="260" t="s">
        <v>239</v>
      </c>
      <c r="M614" s="260" t="s">
        <v>514</v>
      </c>
    </row>
    <row r="615" spans="1:13" ht="14.5" x14ac:dyDescent="0.35">
      <c r="A615" s="260" t="s">
        <v>1401</v>
      </c>
      <c r="B615" s="260" t="s">
        <v>754</v>
      </c>
      <c r="C615" s="190">
        <v>45775</v>
      </c>
      <c r="D615" s="197">
        <v>78.72</v>
      </c>
      <c r="E615" s="260" t="s">
        <v>564</v>
      </c>
      <c r="F615" s="260" t="s">
        <v>793</v>
      </c>
      <c r="G615" s="196">
        <v>0</v>
      </c>
      <c r="H615" s="202">
        <v>46302</v>
      </c>
      <c r="I615" s="260" t="s">
        <v>588</v>
      </c>
      <c r="J615" s="196">
        <v>1</v>
      </c>
      <c r="K615" s="196">
        <v>0</v>
      </c>
      <c r="L615" s="260" t="s">
        <v>239</v>
      </c>
      <c r="M615" s="260" t="s">
        <v>514</v>
      </c>
    </row>
    <row r="616" spans="1:13" ht="14.5" x14ac:dyDescent="0.35">
      <c r="A616" s="260" t="s">
        <v>1402</v>
      </c>
      <c r="B616" s="260" t="s">
        <v>754</v>
      </c>
      <c r="C616" s="190">
        <v>45776</v>
      </c>
      <c r="D616" s="197">
        <v>78.86</v>
      </c>
      <c r="E616" s="260" t="s">
        <v>564</v>
      </c>
      <c r="F616" s="260" t="s">
        <v>793</v>
      </c>
      <c r="G616" s="196">
        <v>0</v>
      </c>
      <c r="H616" s="202">
        <v>46302</v>
      </c>
      <c r="I616" s="260" t="s">
        <v>588</v>
      </c>
      <c r="J616" s="196">
        <v>1</v>
      </c>
      <c r="K616" s="196">
        <v>0</v>
      </c>
      <c r="L616" s="260" t="s">
        <v>239</v>
      </c>
      <c r="M616" s="260" t="s">
        <v>514</v>
      </c>
    </row>
    <row r="617" spans="1:13" ht="14.5" x14ac:dyDescent="0.35">
      <c r="A617" s="260" t="s">
        <v>1403</v>
      </c>
      <c r="B617" s="260" t="s">
        <v>754</v>
      </c>
      <c r="C617" s="190">
        <v>45777</v>
      </c>
      <c r="D617" s="197">
        <v>79</v>
      </c>
      <c r="E617" s="260" t="s">
        <v>564</v>
      </c>
      <c r="F617" s="260" t="s">
        <v>793</v>
      </c>
      <c r="G617" s="196">
        <v>0</v>
      </c>
      <c r="H617" s="202">
        <v>46302</v>
      </c>
      <c r="I617" s="260" t="s">
        <v>588</v>
      </c>
      <c r="J617" s="196">
        <v>1</v>
      </c>
      <c r="K617" s="196">
        <v>0</v>
      </c>
      <c r="L617" s="260" t="s">
        <v>239</v>
      </c>
      <c r="M617" s="260" t="s">
        <v>514</v>
      </c>
    </row>
    <row r="618" spans="1:13" ht="14.5" x14ac:dyDescent="0.35">
      <c r="A618" s="260" t="s">
        <v>1404</v>
      </c>
      <c r="B618" s="260" t="s">
        <v>754</v>
      </c>
      <c r="C618" s="190">
        <v>45778</v>
      </c>
      <c r="D618" s="197">
        <v>79</v>
      </c>
      <c r="E618" s="260" t="s">
        <v>564</v>
      </c>
      <c r="F618" s="260" t="s">
        <v>793</v>
      </c>
      <c r="G618" s="196">
        <v>0</v>
      </c>
      <c r="H618" s="202">
        <v>46302</v>
      </c>
      <c r="I618" s="260" t="s">
        <v>588</v>
      </c>
      <c r="J618" s="196">
        <v>1</v>
      </c>
      <c r="K618" s="196">
        <v>0</v>
      </c>
      <c r="L618" s="260" t="s">
        <v>239</v>
      </c>
      <c r="M618" s="260" t="s">
        <v>514</v>
      </c>
    </row>
    <row r="619" spans="1:13" ht="14.5" x14ac:dyDescent="0.35">
      <c r="A619" s="260" t="s">
        <v>1405</v>
      </c>
      <c r="B619" s="260" t="s">
        <v>754</v>
      </c>
      <c r="C619" s="190">
        <v>45779</v>
      </c>
      <c r="D619" s="197">
        <v>79.2</v>
      </c>
      <c r="E619" s="260" t="s">
        <v>564</v>
      </c>
      <c r="F619" s="260" t="s">
        <v>793</v>
      </c>
      <c r="G619" s="196">
        <v>0</v>
      </c>
      <c r="H619" s="202">
        <v>46302</v>
      </c>
      <c r="I619" s="260" t="s">
        <v>588</v>
      </c>
      <c r="J619" s="196">
        <v>1</v>
      </c>
      <c r="K619" s="196">
        <v>0</v>
      </c>
      <c r="L619" s="260" t="s">
        <v>239</v>
      </c>
      <c r="M619" s="260" t="s">
        <v>514</v>
      </c>
    </row>
    <row r="620" spans="1:13" ht="14.5" x14ac:dyDescent="0.35">
      <c r="A620" s="260" t="s">
        <v>1406</v>
      </c>
      <c r="B620" s="260" t="s">
        <v>754</v>
      </c>
      <c r="C620" s="190">
        <v>45782</v>
      </c>
      <c r="D620" s="197">
        <v>79.8</v>
      </c>
      <c r="E620" s="260" t="s">
        <v>564</v>
      </c>
      <c r="F620" s="260" t="s">
        <v>793</v>
      </c>
      <c r="G620" s="196">
        <v>0</v>
      </c>
      <c r="H620" s="202">
        <v>46302</v>
      </c>
      <c r="I620" s="260" t="s">
        <v>588</v>
      </c>
      <c r="J620" s="196">
        <v>1</v>
      </c>
      <c r="K620" s="196">
        <v>0</v>
      </c>
      <c r="L620" s="260" t="s">
        <v>239</v>
      </c>
      <c r="M620" s="260" t="s">
        <v>514</v>
      </c>
    </row>
    <row r="621" spans="1:13" ht="14.5" x14ac:dyDescent="0.35">
      <c r="A621" s="260" t="s">
        <v>1407</v>
      </c>
      <c r="B621" s="260" t="s">
        <v>754</v>
      </c>
      <c r="C621" s="190">
        <v>45783</v>
      </c>
      <c r="D621" s="197">
        <v>80</v>
      </c>
      <c r="E621" s="260" t="s">
        <v>564</v>
      </c>
      <c r="F621" s="260" t="s">
        <v>793</v>
      </c>
      <c r="G621" s="196">
        <v>0</v>
      </c>
      <c r="H621" s="202">
        <v>46302</v>
      </c>
      <c r="I621" s="260" t="s">
        <v>588</v>
      </c>
      <c r="J621" s="196">
        <v>1</v>
      </c>
      <c r="K621" s="196">
        <v>0</v>
      </c>
      <c r="L621" s="260" t="s">
        <v>239</v>
      </c>
      <c r="M621" s="260" t="s">
        <v>514</v>
      </c>
    </row>
    <row r="622" spans="1:13" ht="14.5" x14ac:dyDescent="0.35">
      <c r="A622" s="260" t="s">
        <v>1408</v>
      </c>
      <c r="B622" s="260" t="s">
        <v>754</v>
      </c>
      <c r="C622" s="190">
        <v>45784</v>
      </c>
      <c r="D622" s="197">
        <v>80.2</v>
      </c>
      <c r="E622" s="260" t="s">
        <v>564</v>
      </c>
      <c r="F622" s="260" t="s">
        <v>793</v>
      </c>
      <c r="G622" s="196">
        <v>0</v>
      </c>
      <c r="H622" s="202">
        <v>46302</v>
      </c>
      <c r="I622" s="260" t="s">
        <v>588</v>
      </c>
      <c r="J622" s="196">
        <v>1</v>
      </c>
      <c r="K622" s="196">
        <v>0</v>
      </c>
      <c r="L622" s="260" t="s">
        <v>239</v>
      </c>
      <c r="M622" s="260" t="s">
        <v>514</v>
      </c>
    </row>
    <row r="623" spans="1:13" ht="14.5" x14ac:dyDescent="0.35">
      <c r="A623" s="260" t="s">
        <v>1409</v>
      </c>
      <c r="B623" s="260" t="s">
        <v>754</v>
      </c>
      <c r="C623" s="190">
        <v>45785</v>
      </c>
      <c r="D623" s="197">
        <v>80.400000000000006</v>
      </c>
      <c r="E623" s="260" t="s">
        <v>564</v>
      </c>
      <c r="F623" s="260" t="s">
        <v>793</v>
      </c>
      <c r="G623" s="196">
        <v>0</v>
      </c>
      <c r="H623" s="202">
        <v>46302</v>
      </c>
      <c r="I623" s="260" t="s">
        <v>588</v>
      </c>
      <c r="J623" s="196">
        <v>1</v>
      </c>
      <c r="K623" s="196">
        <v>0</v>
      </c>
      <c r="L623" s="260" t="s">
        <v>239</v>
      </c>
      <c r="M623" s="260" t="s">
        <v>514</v>
      </c>
    </row>
    <row r="624" spans="1:13" ht="14.5" x14ac:dyDescent="0.35">
      <c r="A624" s="260" t="s">
        <v>1410</v>
      </c>
      <c r="B624" s="260" t="s">
        <v>754</v>
      </c>
      <c r="C624" s="190">
        <v>45786</v>
      </c>
      <c r="D624" s="197">
        <v>80.599999999999994</v>
      </c>
      <c r="E624" s="260" t="s">
        <v>564</v>
      </c>
      <c r="F624" s="260" t="s">
        <v>793</v>
      </c>
      <c r="G624" s="196">
        <v>0</v>
      </c>
      <c r="H624" s="202">
        <v>46302</v>
      </c>
      <c r="I624" s="260" t="s">
        <v>588</v>
      </c>
      <c r="J624" s="196">
        <v>1</v>
      </c>
      <c r="K624" s="196">
        <v>0</v>
      </c>
      <c r="L624" s="260" t="s">
        <v>239</v>
      </c>
      <c r="M624" s="260" t="s">
        <v>514</v>
      </c>
    </row>
    <row r="625" spans="1:13" ht="14.5" x14ac:dyDescent="0.35">
      <c r="A625" s="260" t="s">
        <v>1411</v>
      </c>
      <c r="B625" s="260" t="s">
        <v>754</v>
      </c>
      <c r="C625" s="190">
        <v>45789</v>
      </c>
      <c r="D625" s="197">
        <v>81.2</v>
      </c>
      <c r="E625" s="260" t="s">
        <v>564</v>
      </c>
      <c r="F625" s="260" t="s">
        <v>793</v>
      </c>
      <c r="G625" s="196">
        <v>0</v>
      </c>
      <c r="H625" s="202">
        <v>46302</v>
      </c>
      <c r="I625" s="260" t="s">
        <v>588</v>
      </c>
      <c r="J625" s="196">
        <v>1</v>
      </c>
      <c r="K625" s="196">
        <v>0</v>
      </c>
      <c r="L625" s="260" t="s">
        <v>239</v>
      </c>
      <c r="M625" s="260" t="s">
        <v>514</v>
      </c>
    </row>
    <row r="626" spans="1:13" ht="14.5" x14ac:dyDescent="0.35">
      <c r="A626" s="260" t="s">
        <v>1412</v>
      </c>
      <c r="B626" s="260" t="s">
        <v>754</v>
      </c>
      <c r="C626" s="190">
        <v>45790</v>
      </c>
      <c r="D626" s="197">
        <v>81.400000000000006</v>
      </c>
      <c r="E626" s="260" t="s">
        <v>564</v>
      </c>
      <c r="F626" s="260" t="s">
        <v>793</v>
      </c>
      <c r="G626" s="196">
        <v>0</v>
      </c>
      <c r="H626" s="202">
        <v>46302</v>
      </c>
      <c r="I626" s="260" t="s">
        <v>588</v>
      </c>
      <c r="J626" s="196">
        <v>1</v>
      </c>
      <c r="K626" s="196">
        <v>0</v>
      </c>
      <c r="L626" s="260" t="s">
        <v>239</v>
      </c>
      <c r="M626" s="260" t="s">
        <v>514</v>
      </c>
    </row>
    <row r="627" spans="1:13" ht="14.5" x14ac:dyDescent="0.35">
      <c r="A627" s="260" t="s">
        <v>1413</v>
      </c>
      <c r="B627" s="260" t="s">
        <v>754</v>
      </c>
      <c r="C627" s="190">
        <v>45791</v>
      </c>
      <c r="D627" s="197">
        <v>81.599999999999994</v>
      </c>
      <c r="E627" s="260" t="s">
        <v>564</v>
      </c>
      <c r="F627" s="260" t="s">
        <v>793</v>
      </c>
      <c r="G627" s="196">
        <v>0</v>
      </c>
      <c r="H627" s="202">
        <v>46302</v>
      </c>
      <c r="I627" s="260" t="s">
        <v>588</v>
      </c>
      <c r="J627" s="196">
        <v>1</v>
      </c>
      <c r="K627" s="196">
        <v>0</v>
      </c>
      <c r="L627" s="260" t="s">
        <v>239</v>
      </c>
      <c r="M627" s="260" t="s">
        <v>514</v>
      </c>
    </row>
    <row r="628" spans="1:13" ht="14.5" x14ac:dyDescent="0.35">
      <c r="A628" s="260" t="s">
        <v>1414</v>
      </c>
      <c r="B628" s="260" t="s">
        <v>754</v>
      </c>
      <c r="C628" s="190">
        <v>45792</v>
      </c>
      <c r="D628" s="197">
        <v>81.8</v>
      </c>
      <c r="E628" s="260" t="s">
        <v>564</v>
      </c>
      <c r="F628" s="260" t="s">
        <v>793</v>
      </c>
      <c r="G628" s="196">
        <v>0</v>
      </c>
      <c r="H628" s="202">
        <v>46302</v>
      </c>
      <c r="I628" s="260" t="s">
        <v>588</v>
      </c>
      <c r="J628" s="196">
        <v>1</v>
      </c>
      <c r="K628" s="196">
        <v>0</v>
      </c>
      <c r="L628" s="260" t="s">
        <v>239</v>
      </c>
      <c r="M628" s="260" t="s">
        <v>514</v>
      </c>
    </row>
    <row r="629" spans="1:13" ht="14.5" x14ac:dyDescent="0.35">
      <c r="A629" s="260" t="s">
        <v>1415</v>
      </c>
      <c r="B629" s="260" t="s">
        <v>754</v>
      </c>
      <c r="C629" s="190">
        <v>45793</v>
      </c>
      <c r="D629" s="197">
        <v>82</v>
      </c>
      <c r="E629" s="260" t="s">
        <v>564</v>
      </c>
      <c r="F629" s="260" t="s">
        <v>793</v>
      </c>
      <c r="G629" s="196">
        <v>0</v>
      </c>
      <c r="H629" s="202">
        <v>46302</v>
      </c>
      <c r="I629" s="260" t="s">
        <v>588</v>
      </c>
      <c r="J629" s="196">
        <v>1</v>
      </c>
      <c r="K629" s="196">
        <v>0</v>
      </c>
      <c r="L629" s="260" t="s">
        <v>239</v>
      </c>
      <c r="M629" s="260" t="s">
        <v>514</v>
      </c>
    </row>
    <row r="630" spans="1:13" ht="14.5" x14ac:dyDescent="0.35">
      <c r="A630" s="260" t="s">
        <v>1416</v>
      </c>
      <c r="B630" s="260" t="s">
        <v>754</v>
      </c>
      <c r="C630" s="190">
        <v>45796</v>
      </c>
      <c r="D630" s="197">
        <v>82.6</v>
      </c>
      <c r="E630" s="260" t="s">
        <v>564</v>
      </c>
      <c r="F630" s="260" t="s">
        <v>793</v>
      </c>
      <c r="G630" s="196">
        <v>0</v>
      </c>
      <c r="H630" s="202">
        <v>46302</v>
      </c>
      <c r="I630" s="260" t="s">
        <v>588</v>
      </c>
      <c r="J630" s="196">
        <v>1</v>
      </c>
      <c r="K630" s="196">
        <v>0</v>
      </c>
      <c r="L630" s="260" t="s">
        <v>239</v>
      </c>
      <c r="M630" s="260" t="s">
        <v>514</v>
      </c>
    </row>
    <row r="631" spans="1:13" ht="14.5" x14ac:dyDescent="0.35">
      <c r="A631" s="260" t="s">
        <v>1417</v>
      </c>
      <c r="B631" s="260" t="s">
        <v>754</v>
      </c>
      <c r="C631" s="190">
        <v>45797</v>
      </c>
      <c r="D631" s="197">
        <v>82.8</v>
      </c>
      <c r="E631" s="260" t="s">
        <v>564</v>
      </c>
      <c r="F631" s="260" t="s">
        <v>793</v>
      </c>
      <c r="G631" s="196">
        <v>0</v>
      </c>
      <c r="H631" s="202">
        <v>46302</v>
      </c>
      <c r="I631" s="260" t="s">
        <v>588</v>
      </c>
      <c r="J631" s="196">
        <v>1</v>
      </c>
      <c r="K631" s="196">
        <v>0</v>
      </c>
      <c r="L631" s="260" t="s">
        <v>239</v>
      </c>
      <c r="M631" s="260" t="s">
        <v>514</v>
      </c>
    </row>
    <row r="632" spans="1:13" ht="14.5" x14ac:dyDescent="0.35">
      <c r="A632" s="260" t="s">
        <v>1418</v>
      </c>
      <c r="B632" s="260" t="s">
        <v>754</v>
      </c>
      <c r="C632" s="190">
        <v>45798</v>
      </c>
      <c r="D632" s="197">
        <v>83</v>
      </c>
      <c r="E632" s="260" t="s">
        <v>564</v>
      </c>
      <c r="F632" s="260" t="s">
        <v>793</v>
      </c>
      <c r="G632" s="196">
        <v>0</v>
      </c>
      <c r="H632" s="202">
        <v>46302</v>
      </c>
      <c r="I632" s="260" t="s">
        <v>588</v>
      </c>
      <c r="J632" s="196">
        <v>1</v>
      </c>
      <c r="K632" s="196">
        <v>0</v>
      </c>
      <c r="L632" s="260" t="s">
        <v>239</v>
      </c>
      <c r="M632" s="260" t="s">
        <v>514</v>
      </c>
    </row>
    <row r="633" spans="1:13" ht="14.5" x14ac:dyDescent="0.35">
      <c r="A633" s="260" t="s">
        <v>1419</v>
      </c>
      <c r="B633" s="260" t="s">
        <v>754</v>
      </c>
      <c r="C633" s="190">
        <v>45799</v>
      </c>
      <c r="D633" s="197">
        <v>83.2</v>
      </c>
      <c r="E633" s="260" t="s">
        <v>564</v>
      </c>
      <c r="F633" s="260" t="s">
        <v>793</v>
      </c>
      <c r="G633" s="196">
        <v>0</v>
      </c>
      <c r="H633" s="202">
        <v>46302</v>
      </c>
      <c r="I633" s="260" t="s">
        <v>588</v>
      </c>
      <c r="J633" s="196">
        <v>1</v>
      </c>
      <c r="K633" s="196">
        <v>0</v>
      </c>
      <c r="L633" s="260" t="s">
        <v>239</v>
      </c>
      <c r="M633" s="260" t="s">
        <v>514</v>
      </c>
    </row>
    <row r="634" spans="1:13" ht="14.5" x14ac:dyDescent="0.35">
      <c r="A634" s="260" t="s">
        <v>1420</v>
      </c>
      <c r="B634" s="260" t="s">
        <v>754</v>
      </c>
      <c r="C634" s="190">
        <v>45800</v>
      </c>
      <c r="D634" s="197">
        <v>83.4</v>
      </c>
      <c r="E634" s="260" t="s">
        <v>564</v>
      </c>
      <c r="F634" s="260" t="s">
        <v>793</v>
      </c>
      <c r="G634" s="196">
        <v>0</v>
      </c>
      <c r="H634" s="202">
        <v>46302</v>
      </c>
      <c r="I634" s="260" t="s">
        <v>588</v>
      </c>
      <c r="J634" s="196">
        <v>1</v>
      </c>
      <c r="K634" s="196">
        <v>0</v>
      </c>
      <c r="L634" s="260" t="s">
        <v>239</v>
      </c>
      <c r="M634" s="260" t="s">
        <v>514</v>
      </c>
    </row>
    <row r="635" spans="1:13" ht="14.5" x14ac:dyDescent="0.35">
      <c r="A635" s="260" t="s">
        <v>1421</v>
      </c>
      <c r="B635" s="260" t="s">
        <v>754</v>
      </c>
      <c r="C635" s="190">
        <v>45803</v>
      </c>
      <c r="D635" s="197">
        <v>84</v>
      </c>
      <c r="E635" s="260" t="s">
        <v>564</v>
      </c>
      <c r="F635" s="260" t="s">
        <v>793</v>
      </c>
      <c r="G635" s="196">
        <v>0</v>
      </c>
      <c r="H635" s="202">
        <v>46302</v>
      </c>
      <c r="I635" s="260" t="s">
        <v>588</v>
      </c>
      <c r="J635" s="196">
        <v>1</v>
      </c>
      <c r="K635" s="196">
        <v>0</v>
      </c>
      <c r="L635" s="260" t="s">
        <v>239</v>
      </c>
      <c r="M635" s="260" t="s">
        <v>514</v>
      </c>
    </row>
    <row r="636" spans="1:13" ht="14.5" x14ac:dyDescent="0.35">
      <c r="A636" s="260" t="s">
        <v>1422</v>
      </c>
      <c r="B636" s="260" t="s">
        <v>754</v>
      </c>
      <c r="C636" s="190">
        <v>45804</v>
      </c>
      <c r="D636" s="197">
        <v>84.2</v>
      </c>
      <c r="E636" s="260" t="s">
        <v>564</v>
      </c>
      <c r="F636" s="260" t="s">
        <v>793</v>
      </c>
      <c r="G636" s="196">
        <v>0</v>
      </c>
      <c r="H636" s="202">
        <v>46302</v>
      </c>
      <c r="I636" s="260" t="s">
        <v>588</v>
      </c>
      <c r="J636" s="196">
        <v>1</v>
      </c>
      <c r="K636" s="196">
        <v>0</v>
      </c>
      <c r="L636" s="260" t="s">
        <v>239</v>
      </c>
      <c r="M636" s="260" t="s">
        <v>514</v>
      </c>
    </row>
    <row r="637" spans="1:13" ht="14.5" x14ac:dyDescent="0.35">
      <c r="A637" s="260" t="s">
        <v>1423</v>
      </c>
      <c r="B637" s="260" t="s">
        <v>754</v>
      </c>
      <c r="C637" s="190">
        <v>45805</v>
      </c>
      <c r="D637" s="197">
        <v>84.4</v>
      </c>
      <c r="E637" s="260" t="s">
        <v>564</v>
      </c>
      <c r="F637" s="260" t="s">
        <v>793</v>
      </c>
      <c r="G637" s="196">
        <v>0</v>
      </c>
      <c r="H637" s="202">
        <v>46302</v>
      </c>
      <c r="I637" s="260" t="s">
        <v>588</v>
      </c>
      <c r="J637" s="196">
        <v>1</v>
      </c>
      <c r="K637" s="196">
        <v>0</v>
      </c>
      <c r="L637" s="260" t="s">
        <v>239</v>
      </c>
      <c r="M637" s="260" t="s">
        <v>514</v>
      </c>
    </row>
    <row r="638" spans="1:13" ht="14.5" x14ac:dyDescent="0.35">
      <c r="A638" s="260" t="s">
        <v>1424</v>
      </c>
      <c r="B638" s="260" t="s">
        <v>754</v>
      </c>
      <c r="C638" s="190">
        <v>45806</v>
      </c>
      <c r="D638" s="197">
        <v>84.6</v>
      </c>
      <c r="E638" s="260" t="s">
        <v>564</v>
      </c>
      <c r="F638" s="260" t="s">
        <v>793</v>
      </c>
      <c r="G638" s="196">
        <v>0</v>
      </c>
      <c r="H638" s="202">
        <v>46302</v>
      </c>
      <c r="I638" s="260" t="s">
        <v>588</v>
      </c>
      <c r="J638" s="196">
        <v>1</v>
      </c>
      <c r="K638" s="196">
        <v>0</v>
      </c>
      <c r="L638" s="260" t="s">
        <v>239</v>
      </c>
      <c r="M638" s="260" t="s">
        <v>514</v>
      </c>
    </row>
    <row r="639" spans="1:13" ht="14.5" x14ac:dyDescent="0.35">
      <c r="A639" s="260" t="s">
        <v>1425</v>
      </c>
      <c r="B639" s="260" t="s">
        <v>754</v>
      </c>
      <c r="C639" s="190">
        <v>45807</v>
      </c>
      <c r="D639" s="197">
        <v>84.8</v>
      </c>
      <c r="E639" s="260" t="s">
        <v>564</v>
      </c>
      <c r="F639" s="260" t="s">
        <v>793</v>
      </c>
      <c r="G639" s="196">
        <v>0</v>
      </c>
      <c r="H639" s="202">
        <v>46302</v>
      </c>
      <c r="I639" s="260" t="s">
        <v>588</v>
      </c>
      <c r="J639" s="196">
        <v>1</v>
      </c>
      <c r="K639" s="196">
        <v>0</v>
      </c>
      <c r="L639" s="260" t="s">
        <v>239</v>
      </c>
      <c r="M639" s="260" t="s">
        <v>514</v>
      </c>
    </row>
    <row r="640" spans="1:13" ht="14.5" x14ac:dyDescent="0.35">
      <c r="A640" s="260" t="s">
        <v>1426</v>
      </c>
      <c r="B640" s="260" t="s">
        <v>754</v>
      </c>
      <c r="C640" s="190">
        <v>45810</v>
      </c>
      <c r="D640" s="197">
        <v>84.86</v>
      </c>
      <c r="E640" s="260" t="s">
        <v>564</v>
      </c>
      <c r="F640" s="260" t="s">
        <v>793</v>
      </c>
      <c r="G640" s="196">
        <v>0</v>
      </c>
      <c r="H640" s="202">
        <v>46302</v>
      </c>
      <c r="I640" s="260" t="s">
        <v>588</v>
      </c>
      <c r="J640" s="196">
        <v>1</v>
      </c>
      <c r="K640" s="196">
        <v>0</v>
      </c>
      <c r="L640" s="260" t="s">
        <v>239</v>
      </c>
      <c r="M640" s="260" t="s">
        <v>514</v>
      </c>
    </row>
    <row r="641" spans="1:13" ht="14.5" x14ac:dyDescent="0.35">
      <c r="A641" s="260" t="s">
        <v>1427</v>
      </c>
      <c r="B641" s="260" t="s">
        <v>754</v>
      </c>
      <c r="C641" s="190">
        <v>45811</v>
      </c>
      <c r="D641" s="197">
        <v>84.72</v>
      </c>
      <c r="E641" s="260" t="s">
        <v>564</v>
      </c>
      <c r="F641" s="260" t="s">
        <v>793</v>
      </c>
      <c r="G641" s="196">
        <v>0</v>
      </c>
      <c r="H641" s="202">
        <v>46302</v>
      </c>
      <c r="I641" s="260" t="s">
        <v>588</v>
      </c>
      <c r="J641" s="196">
        <v>1</v>
      </c>
      <c r="K641" s="196">
        <v>0</v>
      </c>
      <c r="L641" s="260" t="s">
        <v>239</v>
      </c>
      <c r="M641" s="260" t="s">
        <v>514</v>
      </c>
    </row>
    <row r="642" spans="1:13" ht="14.5" x14ac:dyDescent="0.35">
      <c r="A642" s="260" t="s">
        <v>1428</v>
      </c>
      <c r="B642" s="260" t="s">
        <v>754</v>
      </c>
      <c r="C642" s="190">
        <v>45812</v>
      </c>
      <c r="D642" s="197">
        <v>84.59</v>
      </c>
      <c r="E642" s="260" t="s">
        <v>564</v>
      </c>
      <c r="F642" s="260" t="s">
        <v>793</v>
      </c>
      <c r="G642" s="196">
        <v>0</v>
      </c>
      <c r="H642" s="202">
        <v>46302</v>
      </c>
      <c r="I642" s="260" t="s">
        <v>588</v>
      </c>
      <c r="J642" s="196">
        <v>1</v>
      </c>
      <c r="K642" s="196">
        <v>0</v>
      </c>
      <c r="L642" s="260" t="s">
        <v>239</v>
      </c>
      <c r="M642" s="260" t="s">
        <v>514</v>
      </c>
    </row>
    <row r="643" spans="1:13" ht="14.5" x14ac:dyDescent="0.35">
      <c r="A643" s="260" t="s">
        <v>1429</v>
      </c>
      <c r="B643" s="260" t="s">
        <v>754</v>
      </c>
      <c r="C643" s="190">
        <v>45813</v>
      </c>
      <c r="D643" s="197">
        <v>84.45</v>
      </c>
      <c r="E643" s="260" t="s">
        <v>564</v>
      </c>
      <c r="F643" s="260" t="s">
        <v>793</v>
      </c>
      <c r="G643" s="196">
        <v>0</v>
      </c>
      <c r="H643" s="202">
        <v>46302</v>
      </c>
      <c r="I643" s="260" t="s">
        <v>588</v>
      </c>
      <c r="J643" s="196">
        <v>1</v>
      </c>
      <c r="K643" s="196">
        <v>0</v>
      </c>
      <c r="L643" s="260" t="s">
        <v>239</v>
      </c>
      <c r="M643" s="260" t="s">
        <v>514</v>
      </c>
    </row>
    <row r="644" spans="1:13" ht="14.5" x14ac:dyDescent="0.35">
      <c r="A644" s="260" t="s">
        <v>1430</v>
      </c>
      <c r="B644" s="260" t="s">
        <v>754</v>
      </c>
      <c r="C644" s="190">
        <v>45814</v>
      </c>
      <c r="D644" s="197">
        <v>84.31</v>
      </c>
      <c r="E644" s="260" t="s">
        <v>564</v>
      </c>
      <c r="F644" s="260" t="s">
        <v>793</v>
      </c>
      <c r="G644" s="196">
        <v>0</v>
      </c>
      <c r="H644" s="202">
        <v>46302</v>
      </c>
      <c r="I644" s="260" t="s">
        <v>588</v>
      </c>
      <c r="J644" s="196">
        <v>1</v>
      </c>
      <c r="K644" s="196">
        <v>0</v>
      </c>
      <c r="L644" s="260" t="s">
        <v>239</v>
      </c>
      <c r="M644" s="260" t="s">
        <v>514</v>
      </c>
    </row>
    <row r="645" spans="1:13" ht="14.5" x14ac:dyDescent="0.35">
      <c r="A645" s="260" t="s">
        <v>1431</v>
      </c>
      <c r="B645" s="260" t="s">
        <v>754</v>
      </c>
      <c r="C645" s="190">
        <v>45817</v>
      </c>
      <c r="D645" s="197">
        <v>83.9</v>
      </c>
      <c r="E645" s="260" t="s">
        <v>564</v>
      </c>
      <c r="F645" s="260" t="s">
        <v>793</v>
      </c>
      <c r="G645" s="196">
        <v>0</v>
      </c>
      <c r="H645" s="202">
        <v>46302</v>
      </c>
      <c r="I645" s="260" t="s">
        <v>588</v>
      </c>
      <c r="J645" s="196">
        <v>1</v>
      </c>
      <c r="K645" s="196">
        <v>0</v>
      </c>
      <c r="L645" s="260" t="s">
        <v>239</v>
      </c>
      <c r="M645" s="260" t="s">
        <v>514</v>
      </c>
    </row>
    <row r="646" spans="1:13" ht="14.5" x14ac:dyDescent="0.35">
      <c r="A646" s="260" t="s">
        <v>1432</v>
      </c>
      <c r="B646" s="260" t="s">
        <v>754</v>
      </c>
      <c r="C646" s="190">
        <v>45818</v>
      </c>
      <c r="D646" s="197">
        <v>83.76</v>
      </c>
      <c r="E646" s="260" t="s">
        <v>564</v>
      </c>
      <c r="F646" s="260" t="s">
        <v>793</v>
      </c>
      <c r="G646" s="196">
        <v>0</v>
      </c>
      <c r="H646" s="202">
        <v>46302</v>
      </c>
      <c r="I646" s="260" t="s">
        <v>588</v>
      </c>
      <c r="J646" s="196">
        <v>1</v>
      </c>
      <c r="K646" s="196">
        <v>0</v>
      </c>
      <c r="L646" s="260" t="s">
        <v>239</v>
      </c>
      <c r="M646" s="260" t="s">
        <v>514</v>
      </c>
    </row>
    <row r="647" spans="1:13" ht="14.5" x14ac:dyDescent="0.35">
      <c r="A647" s="260" t="s">
        <v>1433</v>
      </c>
      <c r="B647" s="260" t="s">
        <v>754</v>
      </c>
      <c r="C647" s="190">
        <v>45819</v>
      </c>
      <c r="D647" s="197">
        <v>83.62</v>
      </c>
      <c r="E647" s="260" t="s">
        <v>564</v>
      </c>
      <c r="F647" s="260" t="s">
        <v>793</v>
      </c>
      <c r="G647" s="196">
        <v>0</v>
      </c>
      <c r="H647" s="202">
        <v>46302</v>
      </c>
      <c r="I647" s="260" t="s">
        <v>588</v>
      </c>
      <c r="J647" s="196">
        <v>1</v>
      </c>
      <c r="K647" s="196">
        <v>0</v>
      </c>
      <c r="L647" s="260" t="s">
        <v>239</v>
      </c>
      <c r="M647" s="260" t="s">
        <v>514</v>
      </c>
    </row>
    <row r="648" spans="1:13" ht="14.5" x14ac:dyDescent="0.35">
      <c r="A648" s="260" t="s">
        <v>1434</v>
      </c>
      <c r="B648" s="260" t="s">
        <v>754</v>
      </c>
      <c r="C648" s="190">
        <v>45820</v>
      </c>
      <c r="D648" s="197">
        <v>83.48</v>
      </c>
      <c r="E648" s="260" t="s">
        <v>564</v>
      </c>
      <c r="F648" s="260" t="s">
        <v>793</v>
      </c>
      <c r="G648" s="196">
        <v>0</v>
      </c>
      <c r="H648" s="202">
        <v>46302</v>
      </c>
      <c r="I648" s="260" t="s">
        <v>588</v>
      </c>
      <c r="J648" s="196">
        <v>1</v>
      </c>
      <c r="K648" s="196">
        <v>0</v>
      </c>
      <c r="L648" s="260" t="s">
        <v>239</v>
      </c>
      <c r="M648" s="260" t="s">
        <v>514</v>
      </c>
    </row>
    <row r="649" spans="1:13" ht="14.5" x14ac:dyDescent="0.35">
      <c r="A649" s="260" t="s">
        <v>1435</v>
      </c>
      <c r="B649" s="260" t="s">
        <v>754</v>
      </c>
      <c r="C649" s="190">
        <v>45821</v>
      </c>
      <c r="D649" s="197">
        <v>83.34</v>
      </c>
      <c r="E649" s="260" t="s">
        <v>564</v>
      </c>
      <c r="F649" s="260" t="s">
        <v>793</v>
      </c>
      <c r="G649" s="196">
        <v>0</v>
      </c>
      <c r="H649" s="202">
        <v>46302</v>
      </c>
      <c r="I649" s="260" t="s">
        <v>588</v>
      </c>
      <c r="J649" s="196">
        <v>1</v>
      </c>
      <c r="K649" s="196">
        <v>0</v>
      </c>
      <c r="L649" s="260" t="s">
        <v>239</v>
      </c>
      <c r="M649" s="260" t="s">
        <v>514</v>
      </c>
    </row>
    <row r="650" spans="1:13" ht="14.5" x14ac:dyDescent="0.35">
      <c r="A650" s="260" t="s">
        <v>1436</v>
      </c>
      <c r="B650" s="260" t="s">
        <v>754</v>
      </c>
      <c r="C650" s="190">
        <v>45824</v>
      </c>
      <c r="D650" s="197">
        <v>82.93</v>
      </c>
      <c r="E650" s="260" t="s">
        <v>564</v>
      </c>
      <c r="F650" s="260" t="s">
        <v>793</v>
      </c>
      <c r="G650" s="196">
        <v>0</v>
      </c>
      <c r="H650" s="202">
        <v>46302</v>
      </c>
      <c r="I650" s="260" t="s">
        <v>588</v>
      </c>
      <c r="J650" s="196">
        <v>1</v>
      </c>
      <c r="K650" s="196">
        <v>0</v>
      </c>
      <c r="L650" s="260" t="s">
        <v>239</v>
      </c>
      <c r="M650" s="260" t="s">
        <v>514</v>
      </c>
    </row>
    <row r="651" spans="1:13" ht="14.5" x14ac:dyDescent="0.35">
      <c r="A651" s="260" t="s">
        <v>1437</v>
      </c>
      <c r="B651" s="260" t="s">
        <v>754</v>
      </c>
      <c r="C651" s="190">
        <v>45825</v>
      </c>
      <c r="D651" s="197">
        <v>82.79</v>
      </c>
      <c r="E651" s="260" t="s">
        <v>564</v>
      </c>
      <c r="F651" s="260" t="s">
        <v>793</v>
      </c>
      <c r="G651" s="196">
        <v>0</v>
      </c>
      <c r="H651" s="202">
        <v>46302</v>
      </c>
      <c r="I651" s="260" t="s">
        <v>588</v>
      </c>
      <c r="J651" s="196">
        <v>1</v>
      </c>
      <c r="K651" s="196">
        <v>0</v>
      </c>
      <c r="L651" s="260" t="s">
        <v>239</v>
      </c>
      <c r="M651" s="260" t="s">
        <v>514</v>
      </c>
    </row>
    <row r="652" spans="1:13" ht="14.5" x14ac:dyDescent="0.35">
      <c r="A652" s="260" t="s">
        <v>1438</v>
      </c>
      <c r="B652" s="260" t="s">
        <v>754</v>
      </c>
      <c r="C652" s="190">
        <v>45826</v>
      </c>
      <c r="D652" s="197">
        <v>82.66</v>
      </c>
      <c r="E652" s="260" t="s">
        <v>564</v>
      </c>
      <c r="F652" s="260" t="s">
        <v>793</v>
      </c>
      <c r="G652" s="196">
        <v>0</v>
      </c>
      <c r="H652" s="202">
        <v>46302</v>
      </c>
      <c r="I652" s="260" t="s">
        <v>588</v>
      </c>
      <c r="J652" s="196">
        <v>1</v>
      </c>
      <c r="K652" s="196">
        <v>0</v>
      </c>
      <c r="L652" s="260" t="s">
        <v>239</v>
      </c>
      <c r="M652" s="260" t="s">
        <v>514</v>
      </c>
    </row>
    <row r="653" spans="1:13" ht="14.5" x14ac:dyDescent="0.35">
      <c r="A653" s="260" t="s">
        <v>1439</v>
      </c>
      <c r="B653" s="260" t="s">
        <v>754</v>
      </c>
      <c r="C653" s="190">
        <v>45827</v>
      </c>
      <c r="D653" s="197">
        <v>82.52</v>
      </c>
      <c r="E653" s="260" t="s">
        <v>564</v>
      </c>
      <c r="F653" s="260" t="s">
        <v>793</v>
      </c>
      <c r="G653" s="196">
        <v>0</v>
      </c>
      <c r="H653" s="202">
        <v>46302</v>
      </c>
      <c r="I653" s="260" t="s">
        <v>588</v>
      </c>
      <c r="J653" s="196">
        <v>1</v>
      </c>
      <c r="K653" s="196">
        <v>0</v>
      </c>
      <c r="L653" s="260" t="s">
        <v>239</v>
      </c>
      <c r="M653" s="260" t="s">
        <v>514</v>
      </c>
    </row>
    <row r="654" spans="1:13" ht="14.5" x14ac:dyDescent="0.35">
      <c r="A654" s="260" t="s">
        <v>1440</v>
      </c>
      <c r="B654" s="260" t="s">
        <v>754</v>
      </c>
      <c r="C654" s="190">
        <v>45828</v>
      </c>
      <c r="D654" s="197">
        <v>82.38</v>
      </c>
      <c r="E654" s="260" t="s">
        <v>564</v>
      </c>
      <c r="F654" s="260" t="s">
        <v>793</v>
      </c>
      <c r="G654" s="196">
        <v>0</v>
      </c>
      <c r="H654" s="202">
        <v>46302</v>
      </c>
      <c r="I654" s="260" t="s">
        <v>588</v>
      </c>
      <c r="J654" s="196">
        <v>1</v>
      </c>
      <c r="K654" s="196">
        <v>0</v>
      </c>
      <c r="L654" s="260" t="s">
        <v>239</v>
      </c>
      <c r="M654" s="260" t="s">
        <v>514</v>
      </c>
    </row>
    <row r="655" spans="1:13" ht="14.5" x14ac:dyDescent="0.35">
      <c r="A655" s="260" t="s">
        <v>1441</v>
      </c>
      <c r="B655" s="260" t="s">
        <v>754</v>
      </c>
      <c r="C655" s="190">
        <v>45831</v>
      </c>
      <c r="D655" s="197">
        <v>81.97</v>
      </c>
      <c r="E655" s="260" t="s">
        <v>564</v>
      </c>
      <c r="F655" s="260" t="s">
        <v>793</v>
      </c>
      <c r="G655" s="196">
        <v>0</v>
      </c>
      <c r="H655" s="202">
        <v>46302</v>
      </c>
      <c r="I655" s="260" t="s">
        <v>588</v>
      </c>
      <c r="J655" s="196">
        <v>1</v>
      </c>
      <c r="K655" s="196">
        <v>0</v>
      </c>
      <c r="L655" s="260" t="s">
        <v>239</v>
      </c>
      <c r="M655" s="260" t="s">
        <v>514</v>
      </c>
    </row>
    <row r="656" spans="1:13" ht="14.5" x14ac:dyDescent="0.35">
      <c r="A656" s="260" t="s">
        <v>1442</v>
      </c>
      <c r="B656" s="260" t="s">
        <v>754</v>
      </c>
      <c r="C656" s="190">
        <v>45832</v>
      </c>
      <c r="D656" s="197">
        <v>81.83</v>
      </c>
      <c r="E656" s="260" t="s">
        <v>564</v>
      </c>
      <c r="F656" s="260" t="s">
        <v>793</v>
      </c>
      <c r="G656" s="196">
        <v>0</v>
      </c>
      <c r="H656" s="202">
        <v>46302</v>
      </c>
      <c r="I656" s="260" t="s">
        <v>588</v>
      </c>
      <c r="J656" s="196">
        <v>1</v>
      </c>
      <c r="K656" s="196">
        <v>0</v>
      </c>
      <c r="L656" s="260" t="s">
        <v>239</v>
      </c>
      <c r="M656" s="260" t="s">
        <v>514</v>
      </c>
    </row>
    <row r="657" spans="1:13" ht="14.5" x14ac:dyDescent="0.35">
      <c r="A657" s="260" t="s">
        <v>1443</v>
      </c>
      <c r="B657" s="260" t="s">
        <v>754</v>
      </c>
      <c r="C657" s="190">
        <v>45833</v>
      </c>
      <c r="D657" s="197">
        <v>81.69</v>
      </c>
      <c r="E657" s="260" t="s">
        <v>564</v>
      </c>
      <c r="F657" s="260" t="s">
        <v>793</v>
      </c>
      <c r="G657" s="196">
        <v>0</v>
      </c>
      <c r="H657" s="202">
        <v>46302</v>
      </c>
      <c r="I657" s="260" t="s">
        <v>588</v>
      </c>
      <c r="J657" s="196">
        <v>1</v>
      </c>
      <c r="K657" s="196">
        <v>0</v>
      </c>
      <c r="L657" s="260" t="s">
        <v>239</v>
      </c>
      <c r="M657" s="260" t="s">
        <v>514</v>
      </c>
    </row>
    <row r="658" spans="1:13" ht="14.5" x14ac:dyDescent="0.35">
      <c r="A658" s="260" t="s">
        <v>1444</v>
      </c>
      <c r="B658" s="260" t="s">
        <v>754</v>
      </c>
      <c r="C658" s="190">
        <v>45834</v>
      </c>
      <c r="D658" s="197">
        <v>81.55</v>
      </c>
      <c r="E658" s="260" t="s">
        <v>564</v>
      </c>
      <c r="F658" s="260" t="s">
        <v>793</v>
      </c>
      <c r="G658" s="196">
        <v>0</v>
      </c>
      <c r="H658" s="202">
        <v>46302</v>
      </c>
      <c r="I658" s="260" t="s">
        <v>588</v>
      </c>
      <c r="J658" s="196">
        <v>1</v>
      </c>
      <c r="K658" s="196">
        <v>0</v>
      </c>
      <c r="L658" s="260" t="s">
        <v>239</v>
      </c>
      <c r="M658" s="260" t="s">
        <v>514</v>
      </c>
    </row>
    <row r="659" spans="1:13" ht="14.5" x14ac:dyDescent="0.35">
      <c r="A659" s="260" t="s">
        <v>1445</v>
      </c>
      <c r="B659" s="260" t="s">
        <v>754</v>
      </c>
      <c r="C659" s="190">
        <v>45835</v>
      </c>
      <c r="D659" s="197">
        <v>81.41</v>
      </c>
      <c r="E659" s="260" t="s">
        <v>564</v>
      </c>
      <c r="F659" s="260" t="s">
        <v>793</v>
      </c>
      <c r="G659" s="196">
        <v>0</v>
      </c>
      <c r="H659" s="202">
        <v>46302</v>
      </c>
      <c r="I659" s="260" t="s">
        <v>588</v>
      </c>
      <c r="J659" s="196">
        <v>1</v>
      </c>
      <c r="K659" s="196">
        <v>0</v>
      </c>
      <c r="L659" s="260" t="s">
        <v>239</v>
      </c>
      <c r="M659" s="260" t="s">
        <v>514</v>
      </c>
    </row>
    <row r="660" spans="1:13" ht="14.5" x14ac:dyDescent="0.35">
      <c r="A660" s="260" t="s">
        <v>1446</v>
      </c>
      <c r="B660" s="260" t="s">
        <v>754</v>
      </c>
      <c r="C660" s="190">
        <v>45838</v>
      </c>
      <c r="D660" s="197">
        <v>81</v>
      </c>
      <c r="E660" s="260" t="s">
        <v>564</v>
      </c>
      <c r="F660" s="260" t="s">
        <v>793</v>
      </c>
      <c r="G660" s="196">
        <v>0</v>
      </c>
      <c r="H660" s="202">
        <v>46302</v>
      </c>
      <c r="I660" s="260" t="s">
        <v>588</v>
      </c>
      <c r="J660" s="196">
        <v>1</v>
      </c>
      <c r="K660" s="196">
        <v>0</v>
      </c>
      <c r="L660" s="260" t="s">
        <v>239</v>
      </c>
      <c r="M660" s="260" t="s">
        <v>514</v>
      </c>
    </row>
    <row r="661" spans="1:13" ht="14.5" x14ac:dyDescent="0.35">
      <c r="A661" s="260" t="s">
        <v>1447</v>
      </c>
      <c r="B661" s="260" t="s">
        <v>754</v>
      </c>
      <c r="C661" s="190">
        <v>45839</v>
      </c>
      <c r="D661" s="197">
        <v>81</v>
      </c>
      <c r="E661" s="260" t="s">
        <v>564</v>
      </c>
      <c r="F661" s="260" t="s">
        <v>793</v>
      </c>
      <c r="G661" s="196">
        <v>0</v>
      </c>
      <c r="H661" s="202">
        <v>46302</v>
      </c>
      <c r="I661" s="260" t="s">
        <v>588</v>
      </c>
      <c r="J661" s="196">
        <v>1</v>
      </c>
      <c r="K661" s="196">
        <v>0</v>
      </c>
      <c r="L661" s="260" t="s">
        <v>239</v>
      </c>
      <c r="M661" s="260" t="s">
        <v>514</v>
      </c>
    </row>
    <row r="662" spans="1:13" ht="14.5" x14ac:dyDescent="0.35">
      <c r="A662" s="260" t="s">
        <v>1448</v>
      </c>
      <c r="B662" s="260" t="s">
        <v>754</v>
      </c>
      <c r="C662" s="190">
        <v>45840</v>
      </c>
      <c r="D662" s="197">
        <v>80.87</v>
      </c>
      <c r="E662" s="260" t="s">
        <v>564</v>
      </c>
      <c r="F662" s="260" t="s">
        <v>793</v>
      </c>
      <c r="G662" s="196">
        <v>0</v>
      </c>
      <c r="H662" s="202">
        <v>46302</v>
      </c>
      <c r="I662" s="260" t="s">
        <v>588</v>
      </c>
      <c r="J662" s="196">
        <v>1</v>
      </c>
      <c r="K662" s="196">
        <v>0</v>
      </c>
      <c r="L662" s="260" t="s">
        <v>239</v>
      </c>
      <c r="M662" s="260" t="s">
        <v>514</v>
      </c>
    </row>
    <row r="663" spans="1:13" ht="14.5" x14ac:dyDescent="0.35">
      <c r="A663" s="260" t="s">
        <v>1449</v>
      </c>
      <c r="B663" s="260" t="s">
        <v>754</v>
      </c>
      <c r="C663" s="190">
        <v>45841</v>
      </c>
      <c r="D663" s="197">
        <v>80.73</v>
      </c>
      <c r="E663" s="260" t="s">
        <v>564</v>
      </c>
      <c r="F663" s="260" t="s">
        <v>793</v>
      </c>
      <c r="G663" s="196">
        <v>0</v>
      </c>
      <c r="H663" s="202">
        <v>46302</v>
      </c>
      <c r="I663" s="260" t="s">
        <v>588</v>
      </c>
      <c r="J663" s="196">
        <v>1</v>
      </c>
      <c r="K663" s="196">
        <v>0</v>
      </c>
      <c r="L663" s="260" t="s">
        <v>239</v>
      </c>
      <c r="M663" s="260" t="s">
        <v>514</v>
      </c>
    </row>
    <row r="664" spans="1:13" ht="14.5" x14ac:dyDescent="0.35">
      <c r="A664" s="260" t="s">
        <v>1450</v>
      </c>
      <c r="B664" s="260" t="s">
        <v>754</v>
      </c>
      <c r="C664" s="190">
        <v>45842</v>
      </c>
      <c r="D664" s="197">
        <v>80.599999999999994</v>
      </c>
      <c r="E664" s="260" t="s">
        <v>564</v>
      </c>
      <c r="F664" s="260" t="s">
        <v>793</v>
      </c>
      <c r="G664" s="196">
        <v>0</v>
      </c>
      <c r="H664" s="202">
        <v>46302</v>
      </c>
      <c r="I664" s="260" t="s">
        <v>588</v>
      </c>
      <c r="J664" s="196">
        <v>1</v>
      </c>
      <c r="K664" s="196">
        <v>0</v>
      </c>
      <c r="L664" s="260" t="s">
        <v>239</v>
      </c>
      <c r="M664" s="260" t="s">
        <v>514</v>
      </c>
    </row>
    <row r="665" spans="1:13" ht="14.5" x14ac:dyDescent="0.35">
      <c r="A665" s="260" t="s">
        <v>1451</v>
      </c>
      <c r="B665" s="260" t="s">
        <v>754</v>
      </c>
      <c r="C665" s="190">
        <v>45845</v>
      </c>
      <c r="D665" s="197">
        <v>80.2</v>
      </c>
      <c r="E665" s="260" t="s">
        <v>564</v>
      </c>
      <c r="F665" s="260" t="s">
        <v>793</v>
      </c>
      <c r="G665" s="196">
        <v>0</v>
      </c>
      <c r="H665" s="202">
        <v>46302</v>
      </c>
      <c r="I665" s="260" t="s">
        <v>588</v>
      </c>
      <c r="J665" s="196">
        <v>1</v>
      </c>
      <c r="K665" s="196">
        <v>0</v>
      </c>
      <c r="L665" s="260" t="s">
        <v>239</v>
      </c>
      <c r="M665" s="260" t="s">
        <v>514</v>
      </c>
    </row>
    <row r="666" spans="1:13" ht="14.5" x14ac:dyDescent="0.35">
      <c r="A666" s="260" t="s">
        <v>1452</v>
      </c>
      <c r="B666" s="260" t="s">
        <v>754</v>
      </c>
      <c r="C666" s="190">
        <v>45846</v>
      </c>
      <c r="D666" s="197">
        <v>80.069999999999993</v>
      </c>
      <c r="E666" s="260" t="s">
        <v>564</v>
      </c>
      <c r="F666" s="260" t="s">
        <v>793</v>
      </c>
      <c r="G666" s="196">
        <v>0</v>
      </c>
      <c r="H666" s="202">
        <v>46302</v>
      </c>
      <c r="I666" s="260" t="s">
        <v>588</v>
      </c>
      <c r="J666" s="196">
        <v>1</v>
      </c>
      <c r="K666" s="196">
        <v>0</v>
      </c>
      <c r="L666" s="260" t="s">
        <v>239</v>
      </c>
      <c r="M666" s="260" t="s">
        <v>514</v>
      </c>
    </row>
    <row r="667" spans="1:13" ht="14.5" x14ac:dyDescent="0.35">
      <c r="A667" s="260" t="s">
        <v>1453</v>
      </c>
      <c r="B667" s="260" t="s">
        <v>754</v>
      </c>
      <c r="C667" s="190">
        <v>45847</v>
      </c>
      <c r="D667" s="197">
        <v>79.930000000000007</v>
      </c>
      <c r="E667" s="260" t="s">
        <v>564</v>
      </c>
      <c r="F667" s="260" t="s">
        <v>793</v>
      </c>
      <c r="G667" s="196">
        <v>0</v>
      </c>
      <c r="H667" s="202">
        <v>46302</v>
      </c>
      <c r="I667" s="260" t="s">
        <v>588</v>
      </c>
      <c r="J667" s="196">
        <v>1</v>
      </c>
      <c r="K667" s="196">
        <v>0</v>
      </c>
      <c r="L667" s="260" t="s">
        <v>239</v>
      </c>
      <c r="M667" s="260" t="s">
        <v>514</v>
      </c>
    </row>
    <row r="668" spans="1:13" ht="14.5" x14ac:dyDescent="0.35">
      <c r="A668" s="260" t="s">
        <v>1454</v>
      </c>
      <c r="B668" s="260" t="s">
        <v>754</v>
      </c>
      <c r="C668" s="190">
        <v>45848</v>
      </c>
      <c r="D668" s="197">
        <v>79.8</v>
      </c>
      <c r="E668" s="260" t="s">
        <v>564</v>
      </c>
      <c r="F668" s="260" t="s">
        <v>793</v>
      </c>
      <c r="G668" s="196">
        <v>0</v>
      </c>
      <c r="H668" s="202">
        <v>46302</v>
      </c>
      <c r="I668" s="260" t="s">
        <v>588</v>
      </c>
      <c r="J668" s="196">
        <v>1</v>
      </c>
      <c r="K668" s="196">
        <v>0</v>
      </c>
      <c r="L668" s="260" t="s">
        <v>239</v>
      </c>
      <c r="M668" s="260" t="s">
        <v>514</v>
      </c>
    </row>
    <row r="669" spans="1:13" ht="14.5" x14ac:dyDescent="0.35">
      <c r="A669" s="260" t="s">
        <v>1455</v>
      </c>
      <c r="B669" s="260" t="s">
        <v>754</v>
      </c>
      <c r="C669" s="190">
        <v>45849</v>
      </c>
      <c r="D669" s="197">
        <v>79.67</v>
      </c>
      <c r="E669" s="260" t="s">
        <v>564</v>
      </c>
      <c r="F669" s="260" t="s">
        <v>793</v>
      </c>
      <c r="G669" s="196">
        <v>0</v>
      </c>
      <c r="H669" s="202">
        <v>46302</v>
      </c>
      <c r="I669" s="260" t="s">
        <v>588</v>
      </c>
      <c r="J669" s="196">
        <v>1</v>
      </c>
      <c r="K669" s="196">
        <v>0</v>
      </c>
      <c r="L669" s="260" t="s">
        <v>239</v>
      </c>
      <c r="M669" s="260" t="s">
        <v>514</v>
      </c>
    </row>
    <row r="670" spans="1:13" ht="14.5" x14ac:dyDescent="0.35">
      <c r="A670" s="260" t="s">
        <v>1456</v>
      </c>
      <c r="B670" s="260" t="s">
        <v>754</v>
      </c>
      <c r="C670" s="190">
        <v>45852</v>
      </c>
      <c r="D670" s="197">
        <v>79.27</v>
      </c>
      <c r="E670" s="260" t="s">
        <v>564</v>
      </c>
      <c r="F670" s="260" t="s">
        <v>793</v>
      </c>
      <c r="G670" s="196">
        <v>0</v>
      </c>
      <c r="H670" s="202">
        <v>46302</v>
      </c>
      <c r="I670" s="260" t="s">
        <v>588</v>
      </c>
      <c r="J670" s="196">
        <v>1</v>
      </c>
      <c r="K670" s="196">
        <v>0</v>
      </c>
      <c r="L670" s="260" t="s">
        <v>239</v>
      </c>
      <c r="M670" s="260" t="s">
        <v>514</v>
      </c>
    </row>
    <row r="671" spans="1:13" ht="14.5" x14ac:dyDescent="0.35">
      <c r="A671" s="260" t="s">
        <v>1457</v>
      </c>
      <c r="B671" s="260" t="s">
        <v>754</v>
      </c>
      <c r="C671" s="190">
        <v>45853</v>
      </c>
      <c r="D671" s="197">
        <v>79.13</v>
      </c>
      <c r="E671" s="260" t="s">
        <v>564</v>
      </c>
      <c r="F671" s="260" t="s">
        <v>793</v>
      </c>
      <c r="G671" s="196">
        <v>0</v>
      </c>
      <c r="H671" s="202">
        <v>46302</v>
      </c>
      <c r="I671" s="260" t="s">
        <v>588</v>
      </c>
      <c r="J671" s="196">
        <v>1</v>
      </c>
      <c r="K671" s="196">
        <v>0</v>
      </c>
      <c r="L671" s="260" t="s">
        <v>239</v>
      </c>
      <c r="M671" s="260" t="s">
        <v>514</v>
      </c>
    </row>
    <row r="672" spans="1:13" ht="14.5" x14ac:dyDescent="0.35">
      <c r="A672" s="260" t="s">
        <v>1458</v>
      </c>
      <c r="B672" s="260" t="s">
        <v>754</v>
      </c>
      <c r="C672" s="190">
        <v>45854</v>
      </c>
      <c r="D672" s="197">
        <v>79</v>
      </c>
      <c r="E672" s="260" t="s">
        <v>564</v>
      </c>
      <c r="F672" s="260" t="s">
        <v>793</v>
      </c>
      <c r="G672" s="196">
        <v>0</v>
      </c>
      <c r="H672" s="202">
        <v>46302</v>
      </c>
      <c r="I672" s="260" t="s">
        <v>588</v>
      </c>
      <c r="J672" s="196">
        <v>1</v>
      </c>
      <c r="K672" s="196">
        <v>0</v>
      </c>
      <c r="L672" s="260" t="s">
        <v>239</v>
      </c>
      <c r="M672" s="260" t="s">
        <v>514</v>
      </c>
    </row>
    <row r="673" spans="1:13" ht="14.5" x14ac:dyDescent="0.35">
      <c r="A673" s="260" t="s">
        <v>1459</v>
      </c>
      <c r="B673" s="260" t="s">
        <v>754</v>
      </c>
      <c r="C673" s="190">
        <v>45855</v>
      </c>
      <c r="D673" s="197">
        <v>78.87</v>
      </c>
      <c r="E673" s="260" t="s">
        <v>564</v>
      </c>
      <c r="F673" s="260" t="s">
        <v>793</v>
      </c>
      <c r="G673" s="196">
        <v>0</v>
      </c>
      <c r="H673" s="202">
        <v>46302</v>
      </c>
      <c r="I673" s="260" t="s">
        <v>588</v>
      </c>
      <c r="J673" s="196">
        <v>1</v>
      </c>
      <c r="K673" s="196">
        <v>0</v>
      </c>
      <c r="L673" s="260" t="s">
        <v>239</v>
      </c>
      <c r="M673" s="260" t="s">
        <v>514</v>
      </c>
    </row>
    <row r="674" spans="1:13" ht="14.5" x14ac:dyDescent="0.35">
      <c r="A674" s="260" t="s">
        <v>1460</v>
      </c>
      <c r="B674" s="260" t="s">
        <v>754</v>
      </c>
      <c r="C674" s="190">
        <v>45856</v>
      </c>
      <c r="D674" s="197">
        <v>78.73</v>
      </c>
      <c r="E674" s="260" t="s">
        <v>564</v>
      </c>
      <c r="F674" s="260" t="s">
        <v>793</v>
      </c>
      <c r="G674" s="196">
        <v>0</v>
      </c>
      <c r="H674" s="202">
        <v>46302</v>
      </c>
      <c r="I674" s="260" t="s">
        <v>588</v>
      </c>
      <c r="J674" s="196">
        <v>1</v>
      </c>
      <c r="K674" s="196">
        <v>0</v>
      </c>
      <c r="L674" s="260" t="s">
        <v>239</v>
      </c>
      <c r="M674" s="260" t="s">
        <v>514</v>
      </c>
    </row>
    <row r="675" spans="1:13" ht="14.5" x14ac:dyDescent="0.35">
      <c r="A675" s="260" t="s">
        <v>1461</v>
      </c>
      <c r="B675" s="260" t="s">
        <v>754</v>
      </c>
      <c r="C675" s="190">
        <v>45859</v>
      </c>
      <c r="D675" s="197">
        <v>78.33</v>
      </c>
      <c r="E675" s="260" t="s">
        <v>564</v>
      </c>
      <c r="F675" s="260" t="s">
        <v>793</v>
      </c>
      <c r="G675" s="196">
        <v>0</v>
      </c>
      <c r="H675" s="202">
        <v>46302</v>
      </c>
      <c r="I675" s="260" t="s">
        <v>588</v>
      </c>
      <c r="J675" s="196">
        <v>1</v>
      </c>
      <c r="K675" s="196">
        <v>0</v>
      </c>
      <c r="L675" s="260" t="s">
        <v>239</v>
      </c>
      <c r="M675" s="260" t="s">
        <v>514</v>
      </c>
    </row>
    <row r="676" spans="1:13" ht="14.5" x14ac:dyDescent="0.35">
      <c r="A676" s="260" t="s">
        <v>1462</v>
      </c>
      <c r="B676" s="260" t="s">
        <v>754</v>
      </c>
      <c r="C676" s="190">
        <v>45860</v>
      </c>
      <c r="D676" s="197">
        <v>78.2</v>
      </c>
      <c r="E676" s="260" t="s">
        <v>564</v>
      </c>
      <c r="F676" s="260" t="s">
        <v>793</v>
      </c>
      <c r="G676" s="196">
        <v>0</v>
      </c>
      <c r="H676" s="202">
        <v>46302</v>
      </c>
      <c r="I676" s="260" t="s">
        <v>588</v>
      </c>
      <c r="J676" s="196">
        <v>1</v>
      </c>
      <c r="K676" s="196">
        <v>0</v>
      </c>
      <c r="L676" s="260" t="s">
        <v>239</v>
      </c>
      <c r="M676" s="260" t="s">
        <v>514</v>
      </c>
    </row>
    <row r="677" spans="1:13" ht="14.5" x14ac:dyDescent="0.35">
      <c r="A677" s="260" t="s">
        <v>1463</v>
      </c>
      <c r="B677" s="260" t="s">
        <v>754</v>
      </c>
      <c r="C677" s="190">
        <v>45861</v>
      </c>
      <c r="D677" s="197">
        <v>78.069999999999993</v>
      </c>
      <c r="E677" s="260" t="s">
        <v>564</v>
      </c>
      <c r="F677" s="260" t="s">
        <v>793</v>
      </c>
      <c r="G677" s="196">
        <v>0</v>
      </c>
      <c r="H677" s="202">
        <v>46302</v>
      </c>
      <c r="I677" s="260" t="s">
        <v>588</v>
      </c>
      <c r="J677" s="196">
        <v>1</v>
      </c>
      <c r="K677" s="196">
        <v>0</v>
      </c>
      <c r="L677" s="260" t="s">
        <v>239</v>
      </c>
      <c r="M677" s="260" t="s">
        <v>514</v>
      </c>
    </row>
    <row r="678" spans="1:13" ht="14.5" x14ac:dyDescent="0.35">
      <c r="A678" s="260" t="s">
        <v>1464</v>
      </c>
      <c r="B678" s="260" t="s">
        <v>754</v>
      </c>
      <c r="C678" s="190">
        <v>45862</v>
      </c>
      <c r="D678" s="197">
        <v>77.930000000000007</v>
      </c>
      <c r="E678" s="260" t="s">
        <v>564</v>
      </c>
      <c r="F678" s="260" t="s">
        <v>793</v>
      </c>
      <c r="G678" s="196">
        <v>0</v>
      </c>
      <c r="H678" s="202">
        <v>46302</v>
      </c>
      <c r="I678" s="260" t="s">
        <v>588</v>
      </c>
      <c r="J678" s="196">
        <v>1</v>
      </c>
      <c r="K678" s="196">
        <v>0</v>
      </c>
      <c r="L678" s="260" t="s">
        <v>239</v>
      </c>
      <c r="M678" s="260" t="s">
        <v>514</v>
      </c>
    </row>
    <row r="679" spans="1:13" ht="14.5" x14ac:dyDescent="0.35">
      <c r="A679" s="260" t="s">
        <v>1465</v>
      </c>
      <c r="B679" s="260" t="s">
        <v>754</v>
      </c>
      <c r="C679" s="190">
        <v>45863</v>
      </c>
      <c r="D679" s="197">
        <v>77.8</v>
      </c>
      <c r="E679" s="260" t="s">
        <v>564</v>
      </c>
      <c r="F679" s="260" t="s">
        <v>793</v>
      </c>
      <c r="G679" s="196">
        <v>0</v>
      </c>
      <c r="H679" s="202">
        <v>46302</v>
      </c>
      <c r="I679" s="260" t="s">
        <v>588</v>
      </c>
      <c r="J679" s="196">
        <v>1</v>
      </c>
      <c r="K679" s="196">
        <v>0</v>
      </c>
      <c r="L679" s="260" t="s">
        <v>239</v>
      </c>
      <c r="M679" s="260" t="s">
        <v>514</v>
      </c>
    </row>
    <row r="680" spans="1:13" ht="14.5" x14ac:dyDescent="0.35">
      <c r="A680" s="260" t="s">
        <v>1466</v>
      </c>
      <c r="B680" s="260" t="s">
        <v>754</v>
      </c>
      <c r="C680" s="190">
        <v>45866</v>
      </c>
      <c r="D680" s="197">
        <v>77.400000000000006</v>
      </c>
      <c r="E680" s="260" t="s">
        <v>564</v>
      </c>
      <c r="F680" s="260" t="s">
        <v>793</v>
      </c>
      <c r="G680" s="196">
        <v>0</v>
      </c>
      <c r="H680" s="202">
        <v>46302</v>
      </c>
      <c r="I680" s="260" t="s">
        <v>588</v>
      </c>
      <c r="J680" s="196">
        <v>1</v>
      </c>
      <c r="K680" s="196">
        <v>0</v>
      </c>
      <c r="L680" s="260" t="s">
        <v>239</v>
      </c>
      <c r="M680" s="260" t="s">
        <v>514</v>
      </c>
    </row>
    <row r="681" spans="1:13" ht="14.5" x14ac:dyDescent="0.35">
      <c r="A681" s="260" t="s">
        <v>1467</v>
      </c>
      <c r="B681" s="260" t="s">
        <v>754</v>
      </c>
      <c r="C681" s="190">
        <v>45867</v>
      </c>
      <c r="D681" s="197">
        <v>77.27</v>
      </c>
      <c r="E681" s="260" t="s">
        <v>564</v>
      </c>
      <c r="F681" s="260" t="s">
        <v>793</v>
      </c>
      <c r="G681" s="196">
        <v>0</v>
      </c>
      <c r="H681" s="202">
        <v>46302</v>
      </c>
      <c r="I681" s="260" t="s">
        <v>588</v>
      </c>
      <c r="J681" s="196">
        <v>1</v>
      </c>
      <c r="K681" s="196">
        <v>0</v>
      </c>
      <c r="L681" s="260" t="s">
        <v>239</v>
      </c>
      <c r="M681" s="260" t="s">
        <v>514</v>
      </c>
    </row>
    <row r="682" spans="1:13" ht="14.5" x14ac:dyDescent="0.35">
      <c r="A682" s="260" t="s">
        <v>1468</v>
      </c>
      <c r="B682" s="260" t="s">
        <v>754</v>
      </c>
      <c r="C682" s="190">
        <v>45868</v>
      </c>
      <c r="D682" s="197">
        <v>77.13</v>
      </c>
      <c r="E682" s="260" t="s">
        <v>564</v>
      </c>
      <c r="F682" s="260" t="s">
        <v>793</v>
      </c>
      <c r="G682" s="196">
        <v>0</v>
      </c>
      <c r="H682" s="202">
        <v>46302</v>
      </c>
      <c r="I682" s="260" t="s">
        <v>588</v>
      </c>
      <c r="J682" s="196">
        <v>1</v>
      </c>
      <c r="K682" s="196">
        <v>0</v>
      </c>
      <c r="L682" s="260" t="s">
        <v>239</v>
      </c>
      <c r="M682" s="260" t="s">
        <v>514</v>
      </c>
    </row>
    <row r="683" spans="1:13" ht="14.5" x14ac:dyDescent="0.35">
      <c r="A683" s="260" t="s">
        <v>1469</v>
      </c>
      <c r="B683" s="260" t="s">
        <v>754</v>
      </c>
      <c r="C683" s="190">
        <v>45869</v>
      </c>
      <c r="D683" s="197">
        <v>77</v>
      </c>
      <c r="E683" s="260" t="s">
        <v>564</v>
      </c>
      <c r="F683" s="260" t="s">
        <v>793</v>
      </c>
      <c r="G683" s="196">
        <v>0</v>
      </c>
      <c r="H683" s="202">
        <v>46302</v>
      </c>
      <c r="I683" s="260" t="s">
        <v>588</v>
      </c>
      <c r="J683" s="196">
        <v>1</v>
      </c>
      <c r="K683" s="196">
        <v>0</v>
      </c>
      <c r="L683" s="260" t="s">
        <v>239</v>
      </c>
      <c r="M683" s="260" t="s">
        <v>514</v>
      </c>
    </row>
    <row r="684" spans="1:13" ht="14.5" x14ac:dyDescent="0.35">
      <c r="A684" s="260" t="s">
        <v>1470</v>
      </c>
      <c r="B684" s="260" t="s">
        <v>754</v>
      </c>
      <c r="C684" s="190">
        <v>45870</v>
      </c>
      <c r="D684" s="197">
        <v>77</v>
      </c>
      <c r="E684" s="260" t="s">
        <v>564</v>
      </c>
      <c r="F684" s="260" t="s">
        <v>793</v>
      </c>
      <c r="G684" s="196">
        <v>0</v>
      </c>
      <c r="H684" s="202">
        <v>46302</v>
      </c>
      <c r="I684" s="260" t="s">
        <v>588</v>
      </c>
      <c r="J684" s="196">
        <v>1</v>
      </c>
      <c r="K684" s="196">
        <v>0</v>
      </c>
      <c r="L684" s="260" t="s">
        <v>239</v>
      </c>
      <c r="M684" s="260" t="s">
        <v>514</v>
      </c>
    </row>
    <row r="685" spans="1:13" ht="14.5" x14ac:dyDescent="0.35">
      <c r="A685" s="260" t="s">
        <v>1471</v>
      </c>
      <c r="B685" s="260" t="s">
        <v>754</v>
      </c>
      <c r="C685" s="190">
        <v>45873</v>
      </c>
      <c r="D685" s="197">
        <v>77.900000000000006</v>
      </c>
      <c r="E685" s="260" t="s">
        <v>564</v>
      </c>
      <c r="F685" s="260" t="s">
        <v>793</v>
      </c>
      <c r="G685" s="196">
        <v>0</v>
      </c>
      <c r="H685" s="202">
        <v>46302</v>
      </c>
      <c r="I685" s="260" t="s">
        <v>588</v>
      </c>
      <c r="J685" s="196">
        <v>1</v>
      </c>
      <c r="K685" s="196">
        <v>0</v>
      </c>
      <c r="L685" s="260" t="s">
        <v>239</v>
      </c>
      <c r="M685" s="260" t="s">
        <v>514</v>
      </c>
    </row>
    <row r="686" spans="1:13" ht="14.5" x14ac:dyDescent="0.35">
      <c r="A686" s="260" t="s">
        <v>1472</v>
      </c>
      <c r="B686" s="260" t="s">
        <v>754</v>
      </c>
      <c r="C686" s="190">
        <v>45874</v>
      </c>
      <c r="D686" s="197">
        <v>78.2</v>
      </c>
      <c r="E686" s="260" t="s">
        <v>564</v>
      </c>
      <c r="F686" s="260" t="s">
        <v>793</v>
      </c>
      <c r="G686" s="196">
        <v>0</v>
      </c>
      <c r="H686" s="202">
        <v>46302</v>
      </c>
      <c r="I686" s="260" t="s">
        <v>588</v>
      </c>
      <c r="J686" s="196">
        <v>1</v>
      </c>
      <c r="K686" s="196">
        <v>0</v>
      </c>
      <c r="L686" s="260" t="s">
        <v>239</v>
      </c>
      <c r="M686" s="260" t="s">
        <v>514</v>
      </c>
    </row>
    <row r="687" spans="1:13" ht="14.5" x14ac:dyDescent="0.35">
      <c r="A687" s="260" t="s">
        <v>1473</v>
      </c>
      <c r="B687" s="260" t="s">
        <v>754</v>
      </c>
      <c r="C687" s="190">
        <v>45875</v>
      </c>
      <c r="D687" s="197">
        <v>78.5</v>
      </c>
      <c r="E687" s="260" t="s">
        <v>564</v>
      </c>
      <c r="F687" s="260" t="s">
        <v>793</v>
      </c>
      <c r="G687" s="196">
        <v>0</v>
      </c>
      <c r="H687" s="202">
        <v>46302</v>
      </c>
      <c r="I687" s="260" t="s">
        <v>588</v>
      </c>
      <c r="J687" s="196">
        <v>1</v>
      </c>
      <c r="K687" s="196">
        <v>0</v>
      </c>
      <c r="L687" s="260" t="s">
        <v>239</v>
      </c>
      <c r="M687" s="260" t="s">
        <v>514</v>
      </c>
    </row>
    <row r="688" spans="1:13" ht="14.5" x14ac:dyDescent="0.35">
      <c r="A688" s="260" t="s">
        <v>1474</v>
      </c>
      <c r="B688" s="260" t="s">
        <v>754</v>
      </c>
      <c r="C688" s="190">
        <v>45876</v>
      </c>
      <c r="D688" s="197">
        <v>78.8</v>
      </c>
      <c r="E688" s="260" t="s">
        <v>564</v>
      </c>
      <c r="F688" s="260" t="s">
        <v>793</v>
      </c>
      <c r="G688" s="196">
        <v>0</v>
      </c>
      <c r="H688" s="202">
        <v>46302</v>
      </c>
      <c r="I688" s="260" t="s">
        <v>588</v>
      </c>
      <c r="J688" s="196">
        <v>1</v>
      </c>
      <c r="K688" s="196">
        <v>0</v>
      </c>
      <c r="L688" s="260" t="s">
        <v>239</v>
      </c>
      <c r="M688" s="260" t="s">
        <v>514</v>
      </c>
    </row>
    <row r="689" spans="1:13" ht="14.5" x14ac:dyDescent="0.35">
      <c r="A689" s="260" t="s">
        <v>1475</v>
      </c>
      <c r="B689" s="260" t="s">
        <v>754</v>
      </c>
      <c r="C689" s="190">
        <v>45877</v>
      </c>
      <c r="D689" s="197">
        <v>79.099999999999994</v>
      </c>
      <c r="E689" s="260" t="s">
        <v>564</v>
      </c>
      <c r="F689" s="260" t="s">
        <v>793</v>
      </c>
      <c r="G689" s="196">
        <v>0</v>
      </c>
      <c r="H689" s="202">
        <v>46302</v>
      </c>
      <c r="I689" s="260" t="s">
        <v>588</v>
      </c>
      <c r="J689" s="196">
        <v>1</v>
      </c>
      <c r="K689" s="196">
        <v>0</v>
      </c>
      <c r="L689" s="260" t="s">
        <v>239</v>
      </c>
      <c r="M689" s="260" t="s">
        <v>514</v>
      </c>
    </row>
    <row r="690" spans="1:13" ht="14.5" x14ac:dyDescent="0.35">
      <c r="A690" s="260" t="s">
        <v>1476</v>
      </c>
      <c r="B690" s="260" t="s">
        <v>754</v>
      </c>
      <c r="C690" s="190">
        <v>45880</v>
      </c>
      <c r="D690" s="197">
        <v>80</v>
      </c>
      <c r="E690" s="260" t="s">
        <v>564</v>
      </c>
      <c r="F690" s="260" t="s">
        <v>793</v>
      </c>
      <c r="G690" s="196">
        <v>0</v>
      </c>
      <c r="H690" s="202">
        <v>46302</v>
      </c>
      <c r="I690" s="260" t="s">
        <v>588</v>
      </c>
      <c r="J690" s="196">
        <v>1</v>
      </c>
      <c r="K690" s="196">
        <v>0</v>
      </c>
      <c r="L690" s="260" t="s">
        <v>239</v>
      </c>
      <c r="M690" s="260" t="s">
        <v>514</v>
      </c>
    </row>
    <row r="691" spans="1:13" ht="14.5" x14ac:dyDescent="0.35">
      <c r="A691" s="260" t="s">
        <v>1477</v>
      </c>
      <c r="B691" s="260" t="s">
        <v>754</v>
      </c>
      <c r="C691" s="190">
        <v>45881</v>
      </c>
      <c r="D691" s="197">
        <v>80.3</v>
      </c>
      <c r="E691" s="260" t="s">
        <v>564</v>
      </c>
      <c r="F691" s="260" t="s">
        <v>793</v>
      </c>
      <c r="G691" s="196">
        <v>0</v>
      </c>
      <c r="H691" s="202">
        <v>46302</v>
      </c>
      <c r="I691" s="260" t="s">
        <v>588</v>
      </c>
      <c r="J691" s="196">
        <v>1</v>
      </c>
      <c r="K691" s="196">
        <v>0</v>
      </c>
      <c r="L691" s="260" t="s">
        <v>239</v>
      </c>
      <c r="M691" s="260" t="s">
        <v>514</v>
      </c>
    </row>
    <row r="692" spans="1:13" ht="14.5" x14ac:dyDescent="0.35">
      <c r="A692" s="260" t="s">
        <v>1478</v>
      </c>
      <c r="B692" s="260" t="s">
        <v>754</v>
      </c>
      <c r="C692" s="190">
        <v>45882</v>
      </c>
      <c r="D692" s="197">
        <v>80.599999999999994</v>
      </c>
      <c r="E692" s="260" t="s">
        <v>564</v>
      </c>
      <c r="F692" s="260" t="s">
        <v>793</v>
      </c>
      <c r="G692" s="196">
        <v>0</v>
      </c>
      <c r="H692" s="202">
        <v>46302</v>
      </c>
      <c r="I692" s="260" t="s">
        <v>588</v>
      </c>
      <c r="J692" s="196">
        <v>1</v>
      </c>
      <c r="K692" s="196">
        <v>0</v>
      </c>
      <c r="L692" s="260" t="s">
        <v>239</v>
      </c>
      <c r="M692" s="260" t="s">
        <v>514</v>
      </c>
    </row>
    <row r="693" spans="1:13" ht="14.5" x14ac:dyDescent="0.35">
      <c r="A693" s="260" t="s">
        <v>1479</v>
      </c>
      <c r="B693" s="260" t="s">
        <v>754</v>
      </c>
      <c r="C693" s="190">
        <v>45883</v>
      </c>
      <c r="D693" s="197">
        <v>80.900000000000006</v>
      </c>
      <c r="E693" s="260" t="s">
        <v>564</v>
      </c>
      <c r="F693" s="260" t="s">
        <v>793</v>
      </c>
      <c r="G693" s="196">
        <v>0</v>
      </c>
      <c r="H693" s="202">
        <v>46302</v>
      </c>
      <c r="I693" s="260" t="s">
        <v>588</v>
      </c>
      <c r="J693" s="196">
        <v>1</v>
      </c>
      <c r="K693" s="196">
        <v>0</v>
      </c>
      <c r="L693" s="260" t="s">
        <v>239</v>
      </c>
      <c r="M693" s="260" t="s">
        <v>514</v>
      </c>
    </row>
    <row r="694" spans="1:13" ht="14.5" x14ac:dyDescent="0.35">
      <c r="A694" s="260" t="s">
        <v>1480</v>
      </c>
      <c r="B694" s="260" t="s">
        <v>754</v>
      </c>
      <c r="C694" s="190">
        <v>45884</v>
      </c>
      <c r="D694" s="197">
        <v>81.2</v>
      </c>
      <c r="E694" s="260" t="s">
        <v>564</v>
      </c>
      <c r="F694" s="260" t="s">
        <v>793</v>
      </c>
      <c r="G694" s="196">
        <v>0</v>
      </c>
      <c r="H694" s="202">
        <v>46302</v>
      </c>
      <c r="I694" s="260" t="s">
        <v>588</v>
      </c>
      <c r="J694" s="196">
        <v>1</v>
      </c>
      <c r="K694" s="196">
        <v>0</v>
      </c>
      <c r="L694" s="260" t="s">
        <v>239</v>
      </c>
      <c r="M694" s="260" t="s">
        <v>514</v>
      </c>
    </row>
    <row r="695" spans="1:13" ht="14.5" x14ac:dyDescent="0.35">
      <c r="A695" s="260" t="s">
        <v>1481</v>
      </c>
      <c r="B695" s="260" t="s">
        <v>754</v>
      </c>
      <c r="C695" s="190">
        <v>45887</v>
      </c>
      <c r="D695" s="197">
        <v>82.1</v>
      </c>
      <c r="E695" s="260" t="s">
        <v>564</v>
      </c>
      <c r="F695" s="260" t="s">
        <v>793</v>
      </c>
      <c r="G695" s="196">
        <v>0</v>
      </c>
      <c r="H695" s="202">
        <v>46302</v>
      </c>
      <c r="I695" s="260" t="s">
        <v>588</v>
      </c>
      <c r="J695" s="196">
        <v>1</v>
      </c>
      <c r="K695" s="196">
        <v>0</v>
      </c>
      <c r="L695" s="260" t="s">
        <v>239</v>
      </c>
      <c r="M695" s="260" t="s">
        <v>514</v>
      </c>
    </row>
    <row r="696" spans="1:13" ht="14.5" x14ac:dyDescent="0.35">
      <c r="A696" s="260" t="s">
        <v>1482</v>
      </c>
      <c r="B696" s="260" t="s">
        <v>754</v>
      </c>
      <c r="C696" s="190">
        <v>45888</v>
      </c>
      <c r="D696" s="197">
        <v>82.4</v>
      </c>
      <c r="E696" s="260" t="s">
        <v>564</v>
      </c>
      <c r="F696" s="260" t="s">
        <v>793</v>
      </c>
      <c r="G696" s="196">
        <v>0</v>
      </c>
      <c r="H696" s="202">
        <v>46302</v>
      </c>
      <c r="I696" s="260" t="s">
        <v>588</v>
      </c>
      <c r="J696" s="196">
        <v>1</v>
      </c>
      <c r="K696" s="196">
        <v>0</v>
      </c>
      <c r="L696" s="260" t="s">
        <v>239</v>
      </c>
      <c r="M696" s="260" t="s">
        <v>514</v>
      </c>
    </row>
    <row r="697" spans="1:13" ht="14.5" x14ac:dyDescent="0.35">
      <c r="A697" s="260" t="s">
        <v>1483</v>
      </c>
      <c r="B697" s="260" t="s">
        <v>754</v>
      </c>
      <c r="C697" s="190">
        <v>45889</v>
      </c>
      <c r="D697" s="197">
        <v>82.7</v>
      </c>
      <c r="E697" s="260" t="s">
        <v>564</v>
      </c>
      <c r="F697" s="260" t="s">
        <v>793</v>
      </c>
      <c r="G697" s="196">
        <v>0</v>
      </c>
      <c r="H697" s="202">
        <v>46302</v>
      </c>
      <c r="I697" s="260" t="s">
        <v>588</v>
      </c>
      <c r="J697" s="196">
        <v>1</v>
      </c>
      <c r="K697" s="196">
        <v>0</v>
      </c>
      <c r="L697" s="260" t="s">
        <v>239</v>
      </c>
      <c r="M697" s="260" t="s">
        <v>514</v>
      </c>
    </row>
    <row r="698" spans="1:13" ht="14.5" x14ac:dyDescent="0.35">
      <c r="A698" s="260" t="s">
        <v>1484</v>
      </c>
      <c r="B698" s="260" t="s">
        <v>754</v>
      </c>
      <c r="C698" s="190">
        <v>45890</v>
      </c>
      <c r="D698" s="197">
        <v>83</v>
      </c>
      <c r="E698" s="260" t="s">
        <v>564</v>
      </c>
      <c r="F698" s="260" t="s">
        <v>793</v>
      </c>
      <c r="G698" s="196">
        <v>0</v>
      </c>
      <c r="H698" s="202">
        <v>46302</v>
      </c>
      <c r="I698" s="260" t="s">
        <v>588</v>
      </c>
      <c r="J698" s="196">
        <v>1</v>
      </c>
      <c r="K698" s="196">
        <v>0</v>
      </c>
      <c r="L698" s="260" t="s">
        <v>239</v>
      </c>
      <c r="M698" s="260" t="s">
        <v>514</v>
      </c>
    </row>
    <row r="699" spans="1:13" ht="14.5" x14ac:dyDescent="0.35">
      <c r="A699" s="260" t="s">
        <v>1485</v>
      </c>
      <c r="B699" s="260" t="s">
        <v>754</v>
      </c>
      <c r="C699" s="190">
        <v>45891</v>
      </c>
      <c r="D699" s="197">
        <v>83.3</v>
      </c>
      <c r="E699" s="260" t="s">
        <v>564</v>
      </c>
      <c r="F699" s="260" t="s">
        <v>793</v>
      </c>
      <c r="G699" s="196">
        <v>0</v>
      </c>
      <c r="H699" s="202">
        <v>46302</v>
      </c>
      <c r="I699" s="260" t="s">
        <v>588</v>
      </c>
      <c r="J699" s="196">
        <v>1</v>
      </c>
      <c r="K699" s="196">
        <v>0</v>
      </c>
      <c r="L699" s="260" t="s">
        <v>239</v>
      </c>
      <c r="M699" s="260" t="s">
        <v>514</v>
      </c>
    </row>
    <row r="700" spans="1:13" ht="14.5" x14ac:dyDescent="0.35">
      <c r="A700" s="260" t="s">
        <v>1486</v>
      </c>
      <c r="B700" s="260" t="s">
        <v>754</v>
      </c>
      <c r="C700" s="190">
        <v>45894</v>
      </c>
      <c r="D700" s="197">
        <v>84.2</v>
      </c>
      <c r="E700" s="260" t="s">
        <v>564</v>
      </c>
      <c r="F700" s="260" t="s">
        <v>793</v>
      </c>
      <c r="G700" s="196">
        <v>0</v>
      </c>
      <c r="H700" s="202">
        <v>46302</v>
      </c>
      <c r="I700" s="260" t="s">
        <v>588</v>
      </c>
      <c r="J700" s="196">
        <v>1</v>
      </c>
      <c r="K700" s="196">
        <v>0</v>
      </c>
      <c r="L700" s="260" t="s">
        <v>239</v>
      </c>
      <c r="M700" s="260" t="s">
        <v>514</v>
      </c>
    </row>
    <row r="701" spans="1:13" ht="14.5" x14ac:dyDescent="0.35">
      <c r="A701" s="260" t="s">
        <v>1487</v>
      </c>
      <c r="B701" s="260" t="s">
        <v>754</v>
      </c>
      <c r="C701" s="190">
        <v>45895</v>
      </c>
      <c r="D701" s="197">
        <v>84.5</v>
      </c>
      <c r="E701" s="260" t="s">
        <v>564</v>
      </c>
      <c r="F701" s="260" t="s">
        <v>793</v>
      </c>
      <c r="G701" s="196">
        <v>0</v>
      </c>
      <c r="H701" s="202">
        <v>46302</v>
      </c>
      <c r="I701" s="260" t="s">
        <v>588</v>
      </c>
      <c r="J701" s="196">
        <v>1</v>
      </c>
      <c r="K701" s="196">
        <v>0</v>
      </c>
      <c r="L701" s="260" t="s">
        <v>239</v>
      </c>
      <c r="M701" s="260" t="s">
        <v>514</v>
      </c>
    </row>
    <row r="702" spans="1:13" ht="14.5" x14ac:dyDescent="0.35">
      <c r="A702" s="260" t="s">
        <v>1488</v>
      </c>
      <c r="B702" s="260" t="s">
        <v>754</v>
      </c>
      <c r="C702" s="190">
        <v>45896</v>
      </c>
      <c r="D702" s="197">
        <v>84.8</v>
      </c>
      <c r="E702" s="260" t="s">
        <v>564</v>
      </c>
      <c r="F702" s="260" t="s">
        <v>793</v>
      </c>
      <c r="G702" s="196">
        <v>0</v>
      </c>
      <c r="H702" s="202">
        <v>46302</v>
      </c>
      <c r="I702" s="260" t="s">
        <v>588</v>
      </c>
      <c r="J702" s="196">
        <v>1</v>
      </c>
      <c r="K702" s="196">
        <v>0</v>
      </c>
      <c r="L702" s="260" t="s">
        <v>239</v>
      </c>
      <c r="M702" s="260" t="s">
        <v>514</v>
      </c>
    </row>
    <row r="703" spans="1:13" ht="14.5" x14ac:dyDescent="0.35">
      <c r="A703" s="260" t="s">
        <v>1489</v>
      </c>
      <c r="B703" s="260" t="s">
        <v>754</v>
      </c>
      <c r="C703" s="190">
        <v>45897</v>
      </c>
      <c r="D703" s="197">
        <v>85.1</v>
      </c>
      <c r="E703" s="260" t="s">
        <v>564</v>
      </c>
      <c r="F703" s="260" t="s">
        <v>793</v>
      </c>
      <c r="G703" s="196">
        <v>0</v>
      </c>
      <c r="H703" s="202">
        <v>46302</v>
      </c>
      <c r="I703" s="260" t="s">
        <v>588</v>
      </c>
      <c r="J703" s="196">
        <v>1</v>
      </c>
      <c r="K703" s="196">
        <v>0</v>
      </c>
      <c r="L703" s="260" t="s">
        <v>239</v>
      </c>
      <c r="M703" s="260" t="s">
        <v>514</v>
      </c>
    </row>
    <row r="704" spans="1:13" ht="14.5" x14ac:dyDescent="0.35">
      <c r="A704" s="260" t="s">
        <v>1490</v>
      </c>
      <c r="B704" s="260" t="s">
        <v>754</v>
      </c>
      <c r="C704" s="190">
        <v>45898</v>
      </c>
      <c r="D704" s="197">
        <v>85.4</v>
      </c>
      <c r="E704" s="260" t="s">
        <v>564</v>
      </c>
      <c r="F704" s="260" t="s">
        <v>793</v>
      </c>
      <c r="G704" s="196">
        <v>0</v>
      </c>
      <c r="H704" s="202">
        <v>46302</v>
      </c>
      <c r="I704" s="260" t="s">
        <v>588</v>
      </c>
      <c r="J704" s="196">
        <v>1</v>
      </c>
      <c r="K704" s="196">
        <v>0</v>
      </c>
      <c r="L704" s="260" t="s">
        <v>239</v>
      </c>
      <c r="M704" s="260" t="s">
        <v>514</v>
      </c>
    </row>
    <row r="705" spans="1:13" ht="14.5" x14ac:dyDescent="0.35">
      <c r="A705" s="260" t="s">
        <v>1491</v>
      </c>
      <c r="B705" s="260" t="s">
        <v>754</v>
      </c>
      <c r="C705" s="190">
        <v>45901</v>
      </c>
      <c r="D705" s="197">
        <v>86</v>
      </c>
      <c r="E705" s="260" t="s">
        <v>564</v>
      </c>
      <c r="F705" s="260" t="s">
        <v>793</v>
      </c>
      <c r="G705" s="196">
        <v>0</v>
      </c>
      <c r="H705" s="202">
        <v>46302</v>
      </c>
      <c r="I705" s="260" t="s">
        <v>588</v>
      </c>
      <c r="J705" s="196">
        <v>1</v>
      </c>
      <c r="K705" s="196">
        <v>0</v>
      </c>
      <c r="L705" s="260" t="s">
        <v>239</v>
      </c>
      <c r="M705" s="260" t="s">
        <v>514</v>
      </c>
    </row>
    <row r="706" spans="1:13" ht="14.5" x14ac:dyDescent="0.35">
      <c r="A706" s="260" t="s">
        <v>1492</v>
      </c>
      <c r="B706" s="260" t="s">
        <v>754</v>
      </c>
      <c r="C706" s="190">
        <v>45902</v>
      </c>
      <c r="D706" s="197">
        <v>85.86</v>
      </c>
      <c r="E706" s="260" t="s">
        <v>564</v>
      </c>
      <c r="F706" s="260" t="s">
        <v>793</v>
      </c>
      <c r="G706" s="196">
        <v>0</v>
      </c>
      <c r="H706" s="202">
        <v>46302</v>
      </c>
      <c r="I706" s="260" t="s">
        <v>588</v>
      </c>
      <c r="J706" s="196">
        <v>1</v>
      </c>
      <c r="K706" s="196">
        <v>0</v>
      </c>
      <c r="L706" s="260" t="s">
        <v>239</v>
      </c>
      <c r="M706" s="260" t="s">
        <v>514</v>
      </c>
    </row>
    <row r="707" spans="1:13" ht="14.5" x14ac:dyDescent="0.35">
      <c r="A707" s="260" t="s">
        <v>1493</v>
      </c>
      <c r="B707" s="260" t="s">
        <v>754</v>
      </c>
      <c r="C707" s="190">
        <v>45903</v>
      </c>
      <c r="D707" s="197">
        <v>85.72</v>
      </c>
      <c r="E707" s="260" t="s">
        <v>564</v>
      </c>
      <c r="F707" s="260" t="s">
        <v>793</v>
      </c>
      <c r="G707" s="196">
        <v>0</v>
      </c>
      <c r="H707" s="202">
        <v>46302</v>
      </c>
      <c r="I707" s="260" t="s">
        <v>588</v>
      </c>
      <c r="J707" s="196">
        <v>1</v>
      </c>
      <c r="K707" s="196">
        <v>0</v>
      </c>
      <c r="L707" s="260" t="s">
        <v>239</v>
      </c>
      <c r="M707" s="260" t="s">
        <v>514</v>
      </c>
    </row>
    <row r="708" spans="1:13" ht="14.5" x14ac:dyDescent="0.35">
      <c r="A708" s="260" t="s">
        <v>1494</v>
      </c>
      <c r="B708" s="260" t="s">
        <v>754</v>
      </c>
      <c r="C708" s="190">
        <v>45904</v>
      </c>
      <c r="D708" s="197">
        <v>85.59</v>
      </c>
      <c r="E708" s="260" t="s">
        <v>564</v>
      </c>
      <c r="F708" s="260" t="s">
        <v>793</v>
      </c>
      <c r="G708" s="196">
        <v>0</v>
      </c>
      <c r="H708" s="202">
        <v>46302</v>
      </c>
      <c r="I708" s="260" t="s">
        <v>588</v>
      </c>
      <c r="J708" s="196">
        <v>1</v>
      </c>
      <c r="K708" s="196">
        <v>0</v>
      </c>
      <c r="L708" s="260" t="s">
        <v>239</v>
      </c>
      <c r="M708" s="260" t="s">
        <v>514</v>
      </c>
    </row>
    <row r="709" spans="1:13" ht="14.5" x14ac:dyDescent="0.35">
      <c r="A709" s="260" t="s">
        <v>1495</v>
      </c>
      <c r="B709" s="260" t="s">
        <v>754</v>
      </c>
      <c r="C709" s="190">
        <v>45905</v>
      </c>
      <c r="D709" s="197">
        <v>85.45</v>
      </c>
      <c r="E709" s="260" t="s">
        <v>564</v>
      </c>
      <c r="F709" s="260" t="s">
        <v>793</v>
      </c>
      <c r="G709" s="196">
        <v>0</v>
      </c>
      <c r="H709" s="202">
        <v>46302</v>
      </c>
      <c r="I709" s="260" t="s">
        <v>588</v>
      </c>
      <c r="J709" s="196">
        <v>1</v>
      </c>
      <c r="K709" s="196">
        <v>0</v>
      </c>
      <c r="L709" s="260" t="s">
        <v>239</v>
      </c>
      <c r="M709" s="260" t="s">
        <v>514</v>
      </c>
    </row>
    <row r="710" spans="1:13" ht="14.5" x14ac:dyDescent="0.35">
      <c r="A710" s="260" t="s">
        <v>1496</v>
      </c>
      <c r="B710" s="260" t="s">
        <v>754</v>
      </c>
      <c r="C710" s="190">
        <v>45908</v>
      </c>
      <c r="D710" s="197">
        <v>85.03</v>
      </c>
      <c r="E710" s="260" t="s">
        <v>564</v>
      </c>
      <c r="F710" s="260" t="s">
        <v>793</v>
      </c>
      <c r="G710" s="196">
        <v>0</v>
      </c>
      <c r="H710" s="202">
        <v>46302</v>
      </c>
      <c r="I710" s="260" t="s">
        <v>588</v>
      </c>
      <c r="J710" s="196">
        <v>1</v>
      </c>
      <c r="K710" s="196">
        <v>0</v>
      </c>
      <c r="L710" s="260" t="s">
        <v>239</v>
      </c>
      <c r="M710" s="260" t="s">
        <v>514</v>
      </c>
    </row>
    <row r="711" spans="1:13" ht="14.5" x14ac:dyDescent="0.35">
      <c r="A711" s="260" t="s">
        <v>1497</v>
      </c>
      <c r="B711" s="260" t="s">
        <v>754</v>
      </c>
      <c r="C711" s="190">
        <v>45909</v>
      </c>
      <c r="D711" s="197">
        <v>84.9</v>
      </c>
      <c r="E711" s="260" t="s">
        <v>564</v>
      </c>
      <c r="F711" s="260" t="s">
        <v>793</v>
      </c>
      <c r="G711" s="196">
        <v>0</v>
      </c>
      <c r="H711" s="202">
        <v>46302</v>
      </c>
      <c r="I711" s="260" t="s">
        <v>588</v>
      </c>
      <c r="J711" s="196">
        <v>1</v>
      </c>
      <c r="K711" s="196">
        <v>0</v>
      </c>
      <c r="L711" s="260" t="s">
        <v>239</v>
      </c>
      <c r="M711" s="260" t="s">
        <v>514</v>
      </c>
    </row>
    <row r="712" spans="1:13" ht="14.5" x14ac:dyDescent="0.35">
      <c r="A712" s="260" t="s">
        <v>1498</v>
      </c>
      <c r="B712" s="260" t="s">
        <v>754</v>
      </c>
      <c r="C712" s="190">
        <v>45910</v>
      </c>
      <c r="D712" s="197">
        <v>84.76</v>
      </c>
      <c r="E712" s="260" t="s">
        <v>564</v>
      </c>
      <c r="F712" s="260" t="s">
        <v>793</v>
      </c>
      <c r="G712" s="196">
        <v>0</v>
      </c>
      <c r="H712" s="202">
        <v>46302</v>
      </c>
      <c r="I712" s="260" t="s">
        <v>588</v>
      </c>
      <c r="J712" s="196">
        <v>1</v>
      </c>
      <c r="K712" s="196">
        <v>0</v>
      </c>
      <c r="L712" s="260" t="s">
        <v>239</v>
      </c>
      <c r="M712" s="260" t="s">
        <v>514</v>
      </c>
    </row>
    <row r="713" spans="1:13" ht="14.5" x14ac:dyDescent="0.35">
      <c r="A713" s="260" t="s">
        <v>1499</v>
      </c>
      <c r="B713" s="260" t="s">
        <v>754</v>
      </c>
      <c r="C713" s="190">
        <v>45911</v>
      </c>
      <c r="D713" s="197">
        <v>84.62</v>
      </c>
      <c r="E713" s="260" t="s">
        <v>564</v>
      </c>
      <c r="F713" s="260" t="s">
        <v>793</v>
      </c>
      <c r="G713" s="196">
        <v>0</v>
      </c>
      <c r="H713" s="202">
        <v>46302</v>
      </c>
      <c r="I713" s="260" t="s">
        <v>588</v>
      </c>
      <c r="J713" s="196">
        <v>1</v>
      </c>
      <c r="K713" s="196">
        <v>0</v>
      </c>
      <c r="L713" s="260" t="s">
        <v>239</v>
      </c>
      <c r="M713" s="260" t="s">
        <v>514</v>
      </c>
    </row>
    <row r="714" spans="1:13" ht="14.5" x14ac:dyDescent="0.35">
      <c r="A714" s="260" t="s">
        <v>1500</v>
      </c>
      <c r="B714" s="260" t="s">
        <v>754</v>
      </c>
      <c r="C714" s="190">
        <v>45912</v>
      </c>
      <c r="D714" s="197">
        <v>84.48</v>
      </c>
      <c r="E714" s="260" t="s">
        <v>564</v>
      </c>
      <c r="F714" s="260" t="s">
        <v>793</v>
      </c>
      <c r="G714" s="196">
        <v>0</v>
      </c>
      <c r="H714" s="202">
        <v>46302</v>
      </c>
      <c r="I714" s="260" t="s">
        <v>588</v>
      </c>
      <c r="J714" s="196">
        <v>1</v>
      </c>
      <c r="K714" s="196">
        <v>0</v>
      </c>
      <c r="L714" s="260" t="s">
        <v>239</v>
      </c>
      <c r="M714" s="260" t="s">
        <v>514</v>
      </c>
    </row>
    <row r="715" spans="1:13" ht="14.5" x14ac:dyDescent="0.35">
      <c r="A715" s="260" t="s">
        <v>1501</v>
      </c>
      <c r="B715" s="260" t="s">
        <v>754</v>
      </c>
      <c r="C715" s="190">
        <v>45915</v>
      </c>
      <c r="D715" s="197">
        <v>84.07</v>
      </c>
      <c r="E715" s="260" t="s">
        <v>564</v>
      </c>
      <c r="F715" s="260" t="s">
        <v>793</v>
      </c>
      <c r="G715" s="196">
        <v>0</v>
      </c>
      <c r="H715" s="202">
        <v>46302</v>
      </c>
      <c r="I715" s="260" t="s">
        <v>588</v>
      </c>
      <c r="J715" s="196">
        <v>1</v>
      </c>
      <c r="K715" s="196">
        <v>0</v>
      </c>
      <c r="L715" s="260" t="s">
        <v>239</v>
      </c>
      <c r="M715" s="260" t="s">
        <v>514</v>
      </c>
    </row>
    <row r="716" spans="1:13" ht="14.5" x14ac:dyDescent="0.35">
      <c r="A716" s="260" t="s">
        <v>1502</v>
      </c>
      <c r="B716" s="260" t="s">
        <v>754</v>
      </c>
      <c r="C716" s="190">
        <v>45916</v>
      </c>
      <c r="D716" s="197">
        <v>83.93</v>
      </c>
      <c r="E716" s="260" t="s">
        <v>564</v>
      </c>
      <c r="F716" s="260" t="s">
        <v>793</v>
      </c>
      <c r="G716" s="196">
        <v>0</v>
      </c>
      <c r="H716" s="202">
        <v>46302</v>
      </c>
      <c r="I716" s="260" t="s">
        <v>588</v>
      </c>
      <c r="J716" s="196">
        <v>1</v>
      </c>
      <c r="K716" s="196">
        <v>0</v>
      </c>
      <c r="L716" s="260" t="s">
        <v>239</v>
      </c>
      <c r="M716" s="260" t="s">
        <v>514</v>
      </c>
    </row>
    <row r="717" spans="1:13" ht="14.5" x14ac:dyDescent="0.35">
      <c r="A717" s="260" t="s">
        <v>1503</v>
      </c>
      <c r="B717" s="260" t="s">
        <v>754</v>
      </c>
      <c r="C717" s="190">
        <v>45917</v>
      </c>
      <c r="D717" s="197">
        <v>83.79</v>
      </c>
      <c r="E717" s="260" t="s">
        <v>564</v>
      </c>
      <c r="F717" s="260" t="s">
        <v>793</v>
      </c>
      <c r="G717" s="196">
        <v>0</v>
      </c>
      <c r="H717" s="202">
        <v>46302</v>
      </c>
      <c r="I717" s="260" t="s">
        <v>588</v>
      </c>
      <c r="J717" s="196">
        <v>1</v>
      </c>
      <c r="K717" s="196">
        <v>0</v>
      </c>
      <c r="L717" s="260" t="s">
        <v>239</v>
      </c>
      <c r="M717" s="260" t="s">
        <v>514</v>
      </c>
    </row>
    <row r="718" spans="1:13" ht="14.5" x14ac:dyDescent="0.35">
      <c r="A718" s="260" t="s">
        <v>1504</v>
      </c>
      <c r="B718" s="260" t="s">
        <v>754</v>
      </c>
      <c r="C718" s="190">
        <v>45918</v>
      </c>
      <c r="D718" s="197">
        <v>83.66</v>
      </c>
      <c r="E718" s="260" t="s">
        <v>564</v>
      </c>
      <c r="F718" s="260" t="s">
        <v>793</v>
      </c>
      <c r="G718" s="196">
        <v>0</v>
      </c>
      <c r="H718" s="202">
        <v>46302</v>
      </c>
      <c r="I718" s="260" t="s">
        <v>588</v>
      </c>
      <c r="J718" s="196">
        <v>1</v>
      </c>
      <c r="K718" s="196">
        <v>0</v>
      </c>
      <c r="L718" s="260" t="s">
        <v>239</v>
      </c>
      <c r="M718" s="260" t="s">
        <v>514</v>
      </c>
    </row>
    <row r="719" spans="1:13" ht="14.5" x14ac:dyDescent="0.35">
      <c r="A719" s="260" t="s">
        <v>1505</v>
      </c>
      <c r="B719" s="260" t="s">
        <v>754</v>
      </c>
      <c r="C719" s="190">
        <v>45919</v>
      </c>
      <c r="D719" s="197">
        <v>83.52</v>
      </c>
      <c r="E719" s="260" t="s">
        <v>564</v>
      </c>
      <c r="F719" s="260" t="s">
        <v>793</v>
      </c>
      <c r="G719" s="196">
        <v>0</v>
      </c>
      <c r="H719" s="202">
        <v>46302</v>
      </c>
      <c r="I719" s="260" t="s">
        <v>588</v>
      </c>
      <c r="J719" s="196">
        <v>1</v>
      </c>
      <c r="K719" s="196">
        <v>0</v>
      </c>
      <c r="L719" s="260" t="s">
        <v>239</v>
      </c>
      <c r="M719" s="260" t="s">
        <v>514</v>
      </c>
    </row>
    <row r="720" spans="1:13" ht="14.5" x14ac:dyDescent="0.35">
      <c r="A720" s="260" t="s">
        <v>1506</v>
      </c>
      <c r="B720" s="260" t="s">
        <v>754</v>
      </c>
      <c r="C720" s="190">
        <v>45922</v>
      </c>
      <c r="D720" s="197">
        <v>83.1</v>
      </c>
      <c r="E720" s="260" t="s">
        <v>564</v>
      </c>
      <c r="F720" s="260" t="s">
        <v>793</v>
      </c>
      <c r="G720" s="196">
        <v>0</v>
      </c>
      <c r="H720" s="202">
        <v>46302</v>
      </c>
      <c r="I720" s="260" t="s">
        <v>588</v>
      </c>
      <c r="J720" s="196">
        <v>1</v>
      </c>
      <c r="K720" s="196">
        <v>0</v>
      </c>
      <c r="L720" s="260" t="s">
        <v>239</v>
      </c>
      <c r="M720" s="260" t="s">
        <v>514</v>
      </c>
    </row>
    <row r="721" spans="1:13" ht="14.5" x14ac:dyDescent="0.35">
      <c r="A721" s="260" t="s">
        <v>1507</v>
      </c>
      <c r="B721" s="260" t="s">
        <v>754</v>
      </c>
      <c r="C721" s="190">
        <v>45923</v>
      </c>
      <c r="D721" s="197">
        <v>82.97</v>
      </c>
      <c r="E721" s="260" t="s">
        <v>564</v>
      </c>
      <c r="F721" s="260" t="s">
        <v>793</v>
      </c>
      <c r="G721" s="196">
        <v>0</v>
      </c>
      <c r="H721" s="202">
        <v>46302</v>
      </c>
      <c r="I721" s="260" t="s">
        <v>588</v>
      </c>
      <c r="J721" s="196">
        <v>1</v>
      </c>
      <c r="K721" s="196">
        <v>0</v>
      </c>
      <c r="L721" s="260" t="s">
        <v>239</v>
      </c>
      <c r="M721" s="260" t="s">
        <v>514</v>
      </c>
    </row>
    <row r="722" spans="1:13" ht="14.5" x14ac:dyDescent="0.35">
      <c r="A722" s="260" t="s">
        <v>1508</v>
      </c>
      <c r="B722" s="260" t="s">
        <v>754</v>
      </c>
      <c r="C722" s="190">
        <v>45924</v>
      </c>
      <c r="D722" s="197">
        <v>82.83</v>
      </c>
      <c r="E722" s="260" t="s">
        <v>564</v>
      </c>
      <c r="F722" s="260" t="s">
        <v>793</v>
      </c>
      <c r="G722" s="196">
        <v>0</v>
      </c>
      <c r="H722" s="202">
        <v>46302</v>
      </c>
      <c r="I722" s="260" t="s">
        <v>588</v>
      </c>
      <c r="J722" s="196">
        <v>1</v>
      </c>
      <c r="K722" s="196">
        <v>0</v>
      </c>
      <c r="L722" s="260" t="s">
        <v>239</v>
      </c>
      <c r="M722" s="260" t="s">
        <v>514</v>
      </c>
    </row>
    <row r="723" spans="1:13" ht="14.5" x14ac:dyDescent="0.35">
      <c r="A723" s="260" t="s">
        <v>1509</v>
      </c>
      <c r="B723" s="260" t="s">
        <v>754</v>
      </c>
      <c r="C723" s="190">
        <v>45925</v>
      </c>
      <c r="D723" s="197">
        <v>82.69</v>
      </c>
      <c r="E723" s="260" t="s">
        <v>564</v>
      </c>
      <c r="F723" s="260" t="s">
        <v>793</v>
      </c>
      <c r="G723" s="196">
        <v>0</v>
      </c>
      <c r="H723" s="202">
        <v>46302</v>
      </c>
      <c r="I723" s="260" t="s">
        <v>588</v>
      </c>
      <c r="J723" s="196">
        <v>1</v>
      </c>
      <c r="K723" s="196">
        <v>0</v>
      </c>
      <c r="L723" s="260" t="s">
        <v>239</v>
      </c>
      <c r="M723" s="260" t="s">
        <v>514</v>
      </c>
    </row>
    <row r="724" spans="1:13" ht="14.5" x14ac:dyDescent="0.35">
      <c r="A724" s="260" t="s">
        <v>1510</v>
      </c>
      <c r="B724" s="260" t="s">
        <v>754</v>
      </c>
      <c r="C724" s="190">
        <v>45926</v>
      </c>
      <c r="D724" s="197">
        <v>82.55</v>
      </c>
      <c r="E724" s="260" t="s">
        <v>564</v>
      </c>
      <c r="F724" s="260" t="s">
        <v>793</v>
      </c>
      <c r="G724" s="196">
        <v>0</v>
      </c>
      <c r="H724" s="202">
        <v>46302</v>
      </c>
      <c r="I724" s="260" t="s">
        <v>588</v>
      </c>
      <c r="J724" s="196">
        <v>1</v>
      </c>
      <c r="K724" s="196">
        <v>0</v>
      </c>
      <c r="L724" s="260" t="s">
        <v>239</v>
      </c>
      <c r="M724" s="260" t="s">
        <v>514</v>
      </c>
    </row>
    <row r="725" spans="1:13" ht="14.5" x14ac:dyDescent="0.35">
      <c r="A725" s="260" t="s">
        <v>1511</v>
      </c>
      <c r="B725" s="260" t="s">
        <v>754</v>
      </c>
      <c r="C725" s="190">
        <v>45929</v>
      </c>
      <c r="D725" s="197">
        <v>82.14</v>
      </c>
      <c r="E725" s="260" t="s">
        <v>564</v>
      </c>
      <c r="F725" s="260" t="s">
        <v>793</v>
      </c>
      <c r="G725" s="196">
        <v>0</v>
      </c>
      <c r="H725" s="202">
        <v>46302</v>
      </c>
      <c r="I725" s="260" t="s">
        <v>588</v>
      </c>
      <c r="J725" s="196">
        <v>1</v>
      </c>
      <c r="K725" s="196">
        <v>0</v>
      </c>
      <c r="L725" s="260" t="s">
        <v>239</v>
      </c>
      <c r="M725" s="260" t="s">
        <v>514</v>
      </c>
    </row>
    <row r="726" spans="1:13" ht="14.5" x14ac:dyDescent="0.35">
      <c r="A726" s="260" t="s">
        <v>1512</v>
      </c>
      <c r="B726" s="260" t="s">
        <v>754</v>
      </c>
      <c r="C726" s="190">
        <v>45930</v>
      </c>
      <c r="D726" s="197">
        <v>82</v>
      </c>
      <c r="E726" s="260" t="s">
        <v>564</v>
      </c>
      <c r="F726" s="260" t="s">
        <v>793</v>
      </c>
      <c r="G726" s="196">
        <v>0</v>
      </c>
      <c r="H726" s="202">
        <v>46302</v>
      </c>
      <c r="I726" s="260" t="s">
        <v>588</v>
      </c>
      <c r="J726" s="196">
        <v>1</v>
      </c>
      <c r="K726" s="196">
        <v>0</v>
      </c>
      <c r="L726" s="260" t="s">
        <v>239</v>
      </c>
      <c r="M726" s="260" t="s">
        <v>514</v>
      </c>
    </row>
    <row r="727" spans="1:13" ht="14.5" x14ac:dyDescent="0.35">
      <c r="A727" s="260" t="s">
        <v>1513</v>
      </c>
      <c r="B727" s="260" t="s">
        <v>754</v>
      </c>
      <c r="C727" s="190">
        <v>45931</v>
      </c>
      <c r="D727" s="197">
        <v>82</v>
      </c>
      <c r="E727" s="260" t="s">
        <v>564</v>
      </c>
      <c r="F727" s="260" t="s">
        <v>793</v>
      </c>
      <c r="G727" s="196">
        <v>0</v>
      </c>
      <c r="H727" s="202">
        <v>46302</v>
      </c>
      <c r="I727" s="260" t="s">
        <v>588</v>
      </c>
      <c r="J727" s="196">
        <v>1</v>
      </c>
      <c r="K727" s="196">
        <v>0</v>
      </c>
      <c r="L727" s="260" t="s">
        <v>239</v>
      </c>
      <c r="M727" s="260" t="s">
        <v>514</v>
      </c>
    </row>
    <row r="728" spans="1:13" ht="14.5" x14ac:dyDescent="0.35">
      <c r="A728" s="260" t="s">
        <v>1514</v>
      </c>
      <c r="B728" s="260" t="s">
        <v>754</v>
      </c>
      <c r="C728" s="190">
        <v>45932</v>
      </c>
      <c r="D728" s="197">
        <v>81.83</v>
      </c>
      <c r="E728" s="260" t="s">
        <v>564</v>
      </c>
      <c r="F728" s="260" t="s">
        <v>793</v>
      </c>
      <c r="G728" s="196">
        <v>0</v>
      </c>
      <c r="H728" s="202">
        <v>46302</v>
      </c>
      <c r="I728" s="260" t="s">
        <v>588</v>
      </c>
      <c r="J728" s="196">
        <v>1</v>
      </c>
      <c r="K728" s="196">
        <v>0</v>
      </c>
      <c r="L728" s="260" t="s">
        <v>239</v>
      </c>
      <c r="M728" s="260" t="s">
        <v>514</v>
      </c>
    </row>
    <row r="729" spans="1:13" ht="14.5" x14ac:dyDescent="0.35">
      <c r="A729" s="260" t="s">
        <v>1515</v>
      </c>
      <c r="B729" s="260" t="s">
        <v>754</v>
      </c>
      <c r="C729" s="190">
        <v>45933</v>
      </c>
      <c r="D729" s="197">
        <v>81.67</v>
      </c>
      <c r="E729" s="260" t="s">
        <v>564</v>
      </c>
      <c r="F729" s="260" t="s">
        <v>793</v>
      </c>
      <c r="G729" s="196">
        <v>0</v>
      </c>
      <c r="H729" s="202">
        <v>46302</v>
      </c>
      <c r="I729" s="260" t="s">
        <v>588</v>
      </c>
      <c r="J729" s="196">
        <v>1</v>
      </c>
      <c r="K729" s="196">
        <v>0</v>
      </c>
      <c r="L729" s="260" t="s">
        <v>239</v>
      </c>
      <c r="M729" s="260" t="s">
        <v>514</v>
      </c>
    </row>
    <row r="730" spans="1:13" ht="14.5" x14ac:dyDescent="0.35">
      <c r="A730" s="260" t="s">
        <v>1516</v>
      </c>
      <c r="B730" s="260" t="s">
        <v>754</v>
      </c>
      <c r="C730" s="190">
        <v>45936</v>
      </c>
      <c r="D730" s="197">
        <v>81.17</v>
      </c>
      <c r="E730" s="260" t="s">
        <v>564</v>
      </c>
      <c r="F730" s="260" t="s">
        <v>793</v>
      </c>
      <c r="G730" s="196">
        <v>0</v>
      </c>
      <c r="H730" s="202">
        <v>46302</v>
      </c>
      <c r="I730" s="260" t="s">
        <v>588</v>
      </c>
      <c r="J730" s="196">
        <v>1</v>
      </c>
      <c r="K730" s="196">
        <v>0</v>
      </c>
      <c r="L730" s="260" t="s">
        <v>239</v>
      </c>
      <c r="M730" s="260" t="s">
        <v>514</v>
      </c>
    </row>
    <row r="731" spans="1:13" ht="14.5" x14ac:dyDescent="0.35">
      <c r="A731" s="260" t="s">
        <v>1517</v>
      </c>
      <c r="B731" s="260" t="s">
        <v>754</v>
      </c>
      <c r="C731" s="190">
        <v>45937</v>
      </c>
      <c r="D731" s="197">
        <v>81</v>
      </c>
      <c r="E731" s="260" t="s">
        <v>564</v>
      </c>
      <c r="F731" s="260" t="s">
        <v>793</v>
      </c>
      <c r="G731" s="196">
        <v>0</v>
      </c>
      <c r="H731" s="202">
        <v>46302</v>
      </c>
      <c r="I731" s="260" t="s">
        <v>588</v>
      </c>
      <c r="J731" s="196">
        <v>1</v>
      </c>
      <c r="K731" s="196">
        <v>0</v>
      </c>
      <c r="L731" s="260" t="s">
        <v>239</v>
      </c>
      <c r="M731" s="260" t="s">
        <v>514</v>
      </c>
    </row>
    <row r="732" spans="1:13" ht="14.5" x14ac:dyDescent="0.35">
      <c r="A732" s="260" t="s">
        <v>1518</v>
      </c>
      <c r="B732" s="260" t="s">
        <v>754</v>
      </c>
      <c r="C732" s="190">
        <v>45938</v>
      </c>
      <c r="D732" s="197">
        <v>80.83</v>
      </c>
      <c r="E732" s="260" t="s">
        <v>564</v>
      </c>
      <c r="F732" s="260" t="s">
        <v>793</v>
      </c>
      <c r="G732" s="196">
        <v>0</v>
      </c>
      <c r="H732" s="202">
        <v>46302</v>
      </c>
      <c r="I732" s="260" t="s">
        <v>588</v>
      </c>
      <c r="J732" s="196">
        <v>1</v>
      </c>
      <c r="K732" s="196">
        <v>0</v>
      </c>
      <c r="L732" s="260" t="s">
        <v>239</v>
      </c>
      <c r="M732" s="260" t="s">
        <v>514</v>
      </c>
    </row>
    <row r="733" spans="1:13" ht="14.5" x14ac:dyDescent="0.35">
      <c r="A733" s="260" t="s">
        <v>1519</v>
      </c>
      <c r="B733" s="260" t="s">
        <v>754</v>
      </c>
      <c r="C733" s="190">
        <v>45939</v>
      </c>
      <c r="D733" s="197">
        <v>80.67</v>
      </c>
      <c r="E733" s="260" t="s">
        <v>564</v>
      </c>
      <c r="F733" s="260" t="s">
        <v>793</v>
      </c>
      <c r="G733" s="196">
        <v>0</v>
      </c>
      <c r="H733" s="202">
        <v>46302</v>
      </c>
      <c r="I733" s="260" t="s">
        <v>588</v>
      </c>
      <c r="J733" s="196">
        <v>1</v>
      </c>
      <c r="K733" s="196">
        <v>0</v>
      </c>
      <c r="L733" s="260" t="s">
        <v>239</v>
      </c>
      <c r="M733" s="260" t="s">
        <v>514</v>
      </c>
    </row>
    <row r="734" spans="1:13" ht="14.5" x14ac:dyDescent="0.35">
      <c r="A734" s="260" t="s">
        <v>1520</v>
      </c>
      <c r="B734" s="260" t="s">
        <v>754</v>
      </c>
      <c r="C734" s="190">
        <v>45940</v>
      </c>
      <c r="D734" s="197">
        <v>80.5</v>
      </c>
      <c r="E734" s="260" t="s">
        <v>564</v>
      </c>
      <c r="F734" s="260" t="s">
        <v>793</v>
      </c>
      <c r="G734" s="196">
        <v>0</v>
      </c>
      <c r="H734" s="202">
        <v>46302</v>
      </c>
      <c r="I734" s="260" t="s">
        <v>588</v>
      </c>
      <c r="J734" s="196">
        <v>1</v>
      </c>
      <c r="K734" s="196">
        <v>0</v>
      </c>
      <c r="L734" s="260" t="s">
        <v>239</v>
      </c>
      <c r="M734" s="260" t="s">
        <v>514</v>
      </c>
    </row>
    <row r="735" spans="1:13" ht="14.5" x14ac:dyDescent="0.35">
      <c r="A735" s="260" t="s">
        <v>1521</v>
      </c>
      <c r="B735" s="260" t="s">
        <v>754</v>
      </c>
      <c r="C735" s="190">
        <v>45943</v>
      </c>
      <c r="D735" s="197">
        <v>80</v>
      </c>
      <c r="E735" s="260" t="s">
        <v>564</v>
      </c>
      <c r="F735" s="260" t="s">
        <v>793</v>
      </c>
      <c r="G735" s="196">
        <v>0</v>
      </c>
      <c r="H735" s="202">
        <v>46302</v>
      </c>
      <c r="I735" s="260" t="s">
        <v>588</v>
      </c>
      <c r="J735" s="196">
        <v>1</v>
      </c>
      <c r="K735" s="196">
        <v>0</v>
      </c>
      <c r="L735" s="260" t="s">
        <v>239</v>
      </c>
      <c r="M735" s="260" t="s">
        <v>514</v>
      </c>
    </row>
    <row r="736" spans="1:13" ht="14.5" x14ac:dyDescent="0.35">
      <c r="A736" s="260" t="s">
        <v>1522</v>
      </c>
      <c r="B736" s="260" t="s">
        <v>754</v>
      </c>
      <c r="C736" s="190">
        <v>45944</v>
      </c>
      <c r="D736" s="197">
        <v>79.83</v>
      </c>
      <c r="E736" s="260" t="s">
        <v>564</v>
      </c>
      <c r="F736" s="260" t="s">
        <v>793</v>
      </c>
      <c r="G736" s="196">
        <v>0</v>
      </c>
      <c r="H736" s="202">
        <v>46302</v>
      </c>
      <c r="I736" s="260" t="s">
        <v>588</v>
      </c>
      <c r="J736" s="196">
        <v>1</v>
      </c>
      <c r="K736" s="196">
        <v>0</v>
      </c>
      <c r="L736" s="260" t="s">
        <v>239</v>
      </c>
      <c r="M736" s="260" t="s">
        <v>514</v>
      </c>
    </row>
    <row r="737" spans="1:13" ht="14.5" x14ac:dyDescent="0.35">
      <c r="A737" s="260" t="s">
        <v>1523</v>
      </c>
      <c r="B737" s="260" t="s">
        <v>754</v>
      </c>
      <c r="C737" s="190">
        <v>45945</v>
      </c>
      <c r="D737" s="197">
        <v>79.67</v>
      </c>
      <c r="E737" s="260" t="s">
        <v>564</v>
      </c>
      <c r="F737" s="260" t="s">
        <v>793</v>
      </c>
      <c r="G737" s="196">
        <v>0</v>
      </c>
      <c r="H737" s="202">
        <v>46302</v>
      </c>
      <c r="I737" s="260" t="s">
        <v>588</v>
      </c>
      <c r="J737" s="196">
        <v>1</v>
      </c>
      <c r="K737" s="196">
        <v>0</v>
      </c>
      <c r="L737" s="260" t="s">
        <v>239</v>
      </c>
      <c r="M737" s="260" t="s">
        <v>514</v>
      </c>
    </row>
    <row r="738" spans="1:13" ht="14.5" x14ac:dyDescent="0.35">
      <c r="A738" s="260" t="s">
        <v>1524</v>
      </c>
      <c r="B738" s="260" t="s">
        <v>754</v>
      </c>
      <c r="C738" s="190">
        <v>45946</v>
      </c>
      <c r="D738" s="197">
        <v>79.5</v>
      </c>
      <c r="E738" s="260" t="s">
        <v>564</v>
      </c>
      <c r="F738" s="260" t="s">
        <v>793</v>
      </c>
      <c r="G738" s="196">
        <v>0</v>
      </c>
      <c r="H738" s="202">
        <v>46302</v>
      </c>
      <c r="I738" s="260" t="s">
        <v>588</v>
      </c>
      <c r="J738" s="196">
        <v>1</v>
      </c>
      <c r="K738" s="196">
        <v>0</v>
      </c>
      <c r="L738" s="260" t="s">
        <v>239</v>
      </c>
      <c r="M738" s="260" t="s">
        <v>514</v>
      </c>
    </row>
    <row r="739" spans="1:13" ht="14.5" x14ac:dyDescent="0.35">
      <c r="A739" s="260" t="s">
        <v>1525</v>
      </c>
      <c r="B739" s="260" t="s">
        <v>754</v>
      </c>
      <c r="C739" s="190">
        <v>45947</v>
      </c>
      <c r="D739" s="197">
        <v>79.33</v>
      </c>
      <c r="E739" s="260" t="s">
        <v>564</v>
      </c>
      <c r="F739" s="260" t="s">
        <v>793</v>
      </c>
      <c r="G739" s="196">
        <v>0</v>
      </c>
      <c r="H739" s="202">
        <v>46302</v>
      </c>
      <c r="I739" s="260" t="s">
        <v>588</v>
      </c>
      <c r="J739" s="196">
        <v>1</v>
      </c>
      <c r="K739" s="196">
        <v>0</v>
      </c>
      <c r="L739" s="260" t="s">
        <v>239</v>
      </c>
      <c r="M739" s="260" t="s">
        <v>514</v>
      </c>
    </row>
    <row r="740" spans="1:13" ht="14.5" x14ac:dyDescent="0.35">
      <c r="A740" s="260" t="s">
        <v>1526</v>
      </c>
      <c r="B740" s="260" t="s">
        <v>754</v>
      </c>
      <c r="C740" s="190">
        <v>45950</v>
      </c>
      <c r="D740" s="197">
        <v>78.83</v>
      </c>
      <c r="E740" s="260" t="s">
        <v>564</v>
      </c>
      <c r="F740" s="260" t="s">
        <v>793</v>
      </c>
      <c r="G740" s="196">
        <v>0</v>
      </c>
      <c r="H740" s="202">
        <v>46302</v>
      </c>
      <c r="I740" s="260" t="s">
        <v>588</v>
      </c>
      <c r="J740" s="196">
        <v>1</v>
      </c>
      <c r="K740" s="196">
        <v>0</v>
      </c>
      <c r="L740" s="260" t="s">
        <v>239</v>
      </c>
      <c r="M740" s="260" t="s">
        <v>514</v>
      </c>
    </row>
    <row r="741" spans="1:13" ht="14.5" x14ac:dyDescent="0.35">
      <c r="A741" s="260" t="s">
        <v>1527</v>
      </c>
      <c r="B741" s="260" t="s">
        <v>754</v>
      </c>
      <c r="C741" s="190">
        <v>45951</v>
      </c>
      <c r="D741" s="197">
        <v>78.67</v>
      </c>
      <c r="E741" s="260" t="s">
        <v>564</v>
      </c>
      <c r="F741" s="260" t="s">
        <v>793</v>
      </c>
      <c r="G741" s="196">
        <v>0</v>
      </c>
      <c r="H741" s="202">
        <v>46302</v>
      </c>
      <c r="I741" s="260" t="s">
        <v>588</v>
      </c>
      <c r="J741" s="196">
        <v>1</v>
      </c>
      <c r="K741" s="196">
        <v>0</v>
      </c>
      <c r="L741" s="260" t="s">
        <v>239</v>
      </c>
      <c r="M741" s="260" t="s">
        <v>514</v>
      </c>
    </row>
    <row r="742" spans="1:13" ht="14.5" x14ac:dyDescent="0.35">
      <c r="A742" s="260" t="s">
        <v>1528</v>
      </c>
      <c r="B742" s="260" t="s">
        <v>754</v>
      </c>
      <c r="C742" s="190">
        <v>45952</v>
      </c>
      <c r="D742" s="197">
        <v>78.5</v>
      </c>
      <c r="E742" s="260" t="s">
        <v>564</v>
      </c>
      <c r="F742" s="260" t="s">
        <v>793</v>
      </c>
      <c r="G742" s="196">
        <v>0</v>
      </c>
      <c r="H742" s="202">
        <v>46302</v>
      </c>
      <c r="I742" s="260" t="s">
        <v>588</v>
      </c>
      <c r="J742" s="196">
        <v>1</v>
      </c>
      <c r="K742" s="196">
        <v>0</v>
      </c>
      <c r="L742" s="260" t="s">
        <v>239</v>
      </c>
      <c r="M742" s="260" t="s">
        <v>514</v>
      </c>
    </row>
    <row r="743" spans="1:13" ht="14.5" x14ac:dyDescent="0.35">
      <c r="A743" s="260" t="s">
        <v>1529</v>
      </c>
      <c r="B743" s="260" t="s">
        <v>754</v>
      </c>
      <c r="C743" s="190">
        <v>45953</v>
      </c>
      <c r="D743" s="197">
        <v>78.33</v>
      </c>
      <c r="E743" s="260" t="s">
        <v>564</v>
      </c>
      <c r="F743" s="260" t="s">
        <v>793</v>
      </c>
      <c r="G743" s="196">
        <v>0</v>
      </c>
      <c r="H743" s="202">
        <v>46302</v>
      </c>
      <c r="I743" s="260" t="s">
        <v>588</v>
      </c>
      <c r="J743" s="196">
        <v>1</v>
      </c>
      <c r="K743" s="196">
        <v>0</v>
      </c>
      <c r="L743" s="260" t="s">
        <v>239</v>
      </c>
      <c r="M743" s="260" t="s">
        <v>514</v>
      </c>
    </row>
    <row r="744" spans="1:13" ht="14.5" x14ac:dyDescent="0.35">
      <c r="A744" s="260" t="s">
        <v>1530</v>
      </c>
      <c r="B744" s="260" t="s">
        <v>754</v>
      </c>
      <c r="C744" s="190">
        <v>45954</v>
      </c>
      <c r="D744" s="197">
        <v>78.17</v>
      </c>
      <c r="E744" s="260" t="s">
        <v>564</v>
      </c>
      <c r="F744" s="260" t="s">
        <v>793</v>
      </c>
      <c r="G744" s="196">
        <v>0</v>
      </c>
      <c r="H744" s="202">
        <v>46302</v>
      </c>
      <c r="I744" s="260" t="s">
        <v>588</v>
      </c>
      <c r="J744" s="196">
        <v>1</v>
      </c>
      <c r="K744" s="196">
        <v>0</v>
      </c>
      <c r="L744" s="260" t="s">
        <v>239</v>
      </c>
      <c r="M744" s="260" t="s">
        <v>514</v>
      </c>
    </row>
    <row r="745" spans="1:13" ht="14.5" x14ac:dyDescent="0.35">
      <c r="A745" s="260" t="s">
        <v>1531</v>
      </c>
      <c r="B745" s="260" t="s">
        <v>754</v>
      </c>
      <c r="C745" s="190">
        <v>45957</v>
      </c>
      <c r="D745" s="197">
        <v>77.67</v>
      </c>
      <c r="E745" s="260" t="s">
        <v>564</v>
      </c>
      <c r="F745" s="260" t="s">
        <v>793</v>
      </c>
      <c r="G745" s="196">
        <v>0</v>
      </c>
      <c r="H745" s="202">
        <v>46302</v>
      </c>
      <c r="I745" s="260" t="s">
        <v>588</v>
      </c>
      <c r="J745" s="196">
        <v>1</v>
      </c>
      <c r="K745" s="196">
        <v>0</v>
      </c>
      <c r="L745" s="260" t="s">
        <v>239</v>
      </c>
      <c r="M745" s="260" t="s">
        <v>514</v>
      </c>
    </row>
    <row r="746" spans="1:13" ht="14.5" x14ac:dyDescent="0.35">
      <c r="A746" s="260" t="s">
        <v>1532</v>
      </c>
      <c r="B746" s="260" t="s">
        <v>754</v>
      </c>
      <c r="C746" s="190">
        <v>45958</v>
      </c>
      <c r="D746" s="197">
        <v>77.5</v>
      </c>
      <c r="E746" s="260" t="s">
        <v>564</v>
      </c>
      <c r="F746" s="260" t="s">
        <v>793</v>
      </c>
      <c r="G746" s="196">
        <v>0</v>
      </c>
      <c r="H746" s="202">
        <v>46302</v>
      </c>
      <c r="I746" s="260" t="s">
        <v>588</v>
      </c>
      <c r="J746" s="196">
        <v>1</v>
      </c>
      <c r="K746" s="196">
        <v>0</v>
      </c>
      <c r="L746" s="260" t="s">
        <v>239</v>
      </c>
      <c r="M746" s="260" t="s">
        <v>514</v>
      </c>
    </row>
    <row r="747" spans="1:13" ht="14.5" x14ac:dyDescent="0.35">
      <c r="A747" s="260" t="s">
        <v>1533</v>
      </c>
      <c r="B747" s="260" t="s">
        <v>754</v>
      </c>
      <c r="C747" s="190">
        <v>45959</v>
      </c>
      <c r="D747" s="197">
        <v>77.33</v>
      </c>
      <c r="E747" s="260" t="s">
        <v>564</v>
      </c>
      <c r="F747" s="260" t="s">
        <v>793</v>
      </c>
      <c r="G747" s="196">
        <v>0</v>
      </c>
      <c r="H747" s="202">
        <v>46302</v>
      </c>
      <c r="I747" s="260" t="s">
        <v>588</v>
      </c>
      <c r="J747" s="196">
        <v>1</v>
      </c>
      <c r="K747" s="196">
        <v>0</v>
      </c>
      <c r="L747" s="260" t="s">
        <v>239</v>
      </c>
      <c r="M747" s="260" t="s">
        <v>514</v>
      </c>
    </row>
    <row r="748" spans="1:13" ht="14.5" x14ac:dyDescent="0.35">
      <c r="A748" s="260" t="s">
        <v>1534</v>
      </c>
      <c r="B748" s="260" t="s">
        <v>754</v>
      </c>
      <c r="C748" s="190">
        <v>45960</v>
      </c>
      <c r="D748" s="197">
        <v>77.17</v>
      </c>
      <c r="E748" s="260" t="s">
        <v>564</v>
      </c>
      <c r="F748" s="260" t="s">
        <v>793</v>
      </c>
      <c r="G748" s="196">
        <v>0</v>
      </c>
      <c r="H748" s="202">
        <v>46302</v>
      </c>
      <c r="I748" s="260" t="s">
        <v>588</v>
      </c>
      <c r="J748" s="196">
        <v>1</v>
      </c>
      <c r="K748" s="196">
        <v>0</v>
      </c>
      <c r="L748" s="260" t="s">
        <v>239</v>
      </c>
      <c r="M748" s="260" t="s">
        <v>514</v>
      </c>
    </row>
    <row r="749" spans="1:13" ht="14.5" x14ac:dyDescent="0.35">
      <c r="A749" s="260" t="s">
        <v>1535</v>
      </c>
      <c r="B749" s="260" t="s">
        <v>754</v>
      </c>
      <c r="C749" s="190">
        <v>45961</v>
      </c>
      <c r="D749" s="197">
        <v>77</v>
      </c>
      <c r="E749" s="260" t="s">
        <v>564</v>
      </c>
      <c r="F749" s="260" t="s">
        <v>793</v>
      </c>
      <c r="G749" s="196">
        <v>0</v>
      </c>
      <c r="H749" s="202">
        <v>46302</v>
      </c>
      <c r="I749" s="260" t="s">
        <v>588</v>
      </c>
      <c r="J749" s="196">
        <v>1</v>
      </c>
      <c r="K749" s="196">
        <v>0</v>
      </c>
      <c r="L749" s="260" t="s">
        <v>239</v>
      </c>
      <c r="M749" s="260" t="s">
        <v>514</v>
      </c>
    </row>
    <row r="750" spans="1:13" ht="14.5" x14ac:dyDescent="0.35">
      <c r="A750" s="260" t="s">
        <v>1536</v>
      </c>
      <c r="B750" s="260" t="s">
        <v>754</v>
      </c>
      <c r="C750" s="190">
        <v>45964</v>
      </c>
      <c r="D750" s="197">
        <v>76.010000000000005</v>
      </c>
      <c r="E750" s="260" t="s">
        <v>564</v>
      </c>
      <c r="F750" s="260" t="s">
        <v>793</v>
      </c>
      <c r="G750" s="196">
        <v>0</v>
      </c>
      <c r="H750" s="202">
        <v>46302</v>
      </c>
      <c r="I750" s="260" t="s">
        <v>588</v>
      </c>
      <c r="J750" s="196">
        <v>1</v>
      </c>
      <c r="K750" s="196">
        <v>0</v>
      </c>
      <c r="L750" s="260" t="s">
        <v>239</v>
      </c>
      <c r="M750" s="260" t="s">
        <v>514</v>
      </c>
    </row>
    <row r="751" spans="1:13" ht="14.5" x14ac:dyDescent="0.35">
      <c r="A751" s="260" t="s">
        <v>1537</v>
      </c>
      <c r="B751" s="260" t="s">
        <v>754</v>
      </c>
      <c r="C751" s="190">
        <v>45965</v>
      </c>
      <c r="D751" s="197">
        <v>76.11</v>
      </c>
      <c r="E751" s="260" t="s">
        <v>564</v>
      </c>
      <c r="F751" s="260" t="s">
        <v>793</v>
      </c>
      <c r="G751" s="196">
        <v>0</v>
      </c>
      <c r="H751" s="202">
        <v>46302</v>
      </c>
      <c r="I751" s="260" t="s">
        <v>588</v>
      </c>
      <c r="J751" s="196">
        <v>1</v>
      </c>
      <c r="K751" s="196">
        <v>0</v>
      </c>
      <c r="L751" s="260" t="s">
        <v>239</v>
      </c>
      <c r="M751" s="260" t="s">
        <v>514</v>
      </c>
    </row>
    <row r="752" spans="1:13" ht="14.5" x14ac:dyDescent="0.35">
      <c r="A752" s="260" t="s">
        <v>1538</v>
      </c>
      <c r="B752" s="260" t="s">
        <v>754</v>
      </c>
      <c r="C752" s="190">
        <v>45966</v>
      </c>
      <c r="D752" s="197">
        <v>76.209999999999994</v>
      </c>
      <c r="E752" s="260" t="s">
        <v>564</v>
      </c>
      <c r="F752" s="260" t="s">
        <v>793</v>
      </c>
      <c r="G752" s="196">
        <v>0</v>
      </c>
      <c r="H752" s="202">
        <v>46302</v>
      </c>
      <c r="I752" s="260" t="s">
        <v>588</v>
      </c>
      <c r="J752" s="196">
        <v>1</v>
      </c>
      <c r="K752" s="196">
        <v>0</v>
      </c>
      <c r="L752" s="260" t="s">
        <v>239</v>
      </c>
      <c r="M752" s="260" t="s">
        <v>514</v>
      </c>
    </row>
    <row r="753" spans="1:13" ht="14.5" x14ac:dyDescent="0.35">
      <c r="A753" s="260" t="s">
        <v>1539</v>
      </c>
      <c r="B753" s="260" t="s">
        <v>754</v>
      </c>
      <c r="C753" s="190">
        <v>45967</v>
      </c>
      <c r="D753" s="197">
        <v>76.319999999999993</v>
      </c>
      <c r="E753" s="260" t="s">
        <v>564</v>
      </c>
      <c r="F753" s="260" t="s">
        <v>793</v>
      </c>
      <c r="G753" s="196">
        <v>0</v>
      </c>
      <c r="H753" s="202">
        <v>46302</v>
      </c>
      <c r="I753" s="260" t="s">
        <v>588</v>
      </c>
      <c r="J753" s="196">
        <v>1</v>
      </c>
      <c r="K753" s="196">
        <v>0</v>
      </c>
      <c r="L753" s="260" t="s">
        <v>239</v>
      </c>
      <c r="M753" s="260" t="s">
        <v>514</v>
      </c>
    </row>
    <row r="754" spans="1:13" ht="14.5" x14ac:dyDescent="0.35">
      <c r="A754" s="260" t="s">
        <v>1540</v>
      </c>
      <c r="B754" s="260" t="s">
        <v>754</v>
      </c>
      <c r="C754" s="190">
        <v>45968</v>
      </c>
      <c r="D754" s="197">
        <v>76.42</v>
      </c>
      <c r="E754" s="260" t="s">
        <v>564</v>
      </c>
      <c r="F754" s="260" t="s">
        <v>793</v>
      </c>
      <c r="G754" s="196">
        <v>0</v>
      </c>
      <c r="H754" s="202">
        <v>46302</v>
      </c>
      <c r="I754" s="260" t="s">
        <v>588</v>
      </c>
      <c r="J754" s="196">
        <v>1</v>
      </c>
      <c r="K754" s="196">
        <v>0</v>
      </c>
      <c r="L754" s="260" t="s">
        <v>239</v>
      </c>
      <c r="M754" s="260" t="s">
        <v>514</v>
      </c>
    </row>
    <row r="755" spans="1:13" ht="14.5" x14ac:dyDescent="0.35">
      <c r="A755" s="260" t="s">
        <v>1541</v>
      </c>
      <c r="B755" s="260" t="s">
        <v>754</v>
      </c>
      <c r="C755" s="190">
        <v>45971</v>
      </c>
      <c r="D755" s="197">
        <v>76.73</v>
      </c>
      <c r="E755" s="260" t="s">
        <v>564</v>
      </c>
      <c r="F755" s="260" t="s">
        <v>793</v>
      </c>
      <c r="G755" s="196">
        <v>0</v>
      </c>
      <c r="H755" s="202">
        <v>46302</v>
      </c>
      <c r="I755" s="260" t="s">
        <v>588</v>
      </c>
      <c r="J755" s="196">
        <v>1</v>
      </c>
      <c r="K755" s="196">
        <v>0</v>
      </c>
      <c r="L755" s="260" t="s">
        <v>239</v>
      </c>
      <c r="M755" s="260" t="s">
        <v>514</v>
      </c>
    </row>
    <row r="756" spans="1:13" ht="14.5" x14ac:dyDescent="0.35">
      <c r="A756" s="260" t="s">
        <v>1542</v>
      </c>
      <c r="B756" s="260" t="s">
        <v>754</v>
      </c>
      <c r="C756" s="190">
        <v>45972</v>
      </c>
      <c r="D756" s="197">
        <v>76.83</v>
      </c>
      <c r="E756" s="260" t="s">
        <v>564</v>
      </c>
      <c r="F756" s="260" t="s">
        <v>793</v>
      </c>
      <c r="G756" s="196">
        <v>0</v>
      </c>
      <c r="H756" s="202">
        <v>46302</v>
      </c>
      <c r="I756" s="260" t="s">
        <v>588</v>
      </c>
      <c r="J756" s="196">
        <v>1</v>
      </c>
      <c r="K756" s="196">
        <v>0</v>
      </c>
      <c r="L756" s="260" t="s">
        <v>239</v>
      </c>
      <c r="M756" s="260" t="s">
        <v>514</v>
      </c>
    </row>
    <row r="757" spans="1:13" ht="14.5" x14ac:dyDescent="0.35">
      <c r="A757" s="260" t="s">
        <v>1543</v>
      </c>
      <c r="B757" s="260" t="s">
        <v>754</v>
      </c>
      <c r="C757" s="190">
        <v>45973</v>
      </c>
      <c r="D757" s="197">
        <v>76.94</v>
      </c>
      <c r="E757" s="260" t="s">
        <v>564</v>
      </c>
      <c r="F757" s="260" t="s">
        <v>793</v>
      </c>
      <c r="G757" s="196">
        <v>0</v>
      </c>
      <c r="H757" s="202">
        <v>46302</v>
      </c>
      <c r="I757" s="260" t="s">
        <v>588</v>
      </c>
      <c r="J757" s="196">
        <v>1</v>
      </c>
      <c r="K757" s="196">
        <v>0</v>
      </c>
      <c r="L757" s="260" t="s">
        <v>239</v>
      </c>
      <c r="M757" s="260" t="s">
        <v>514</v>
      </c>
    </row>
    <row r="758" spans="1:13" ht="14.5" x14ac:dyDescent="0.35">
      <c r="A758" s="260" t="s">
        <v>1544</v>
      </c>
      <c r="B758" s="260" t="s">
        <v>754</v>
      </c>
      <c r="C758" s="190">
        <v>45974</v>
      </c>
      <c r="D758" s="197">
        <v>77.040000000000006</v>
      </c>
      <c r="E758" s="260" t="s">
        <v>564</v>
      </c>
      <c r="F758" s="260" t="s">
        <v>793</v>
      </c>
      <c r="G758" s="196">
        <v>0</v>
      </c>
      <c r="H758" s="202">
        <v>46302</v>
      </c>
      <c r="I758" s="260" t="s">
        <v>588</v>
      </c>
      <c r="J758" s="196">
        <v>1</v>
      </c>
      <c r="K758" s="196">
        <v>0</v>
      </c>
      <c r="L758" s="260" t="s">
        <v>239</v>
      </c>
      <c r="M758" s="260" t="s">
        <v>514</v>
      </c>
    </row>
    <row r="759" spans="1:13" ht="14.5" x14ac:dyDescent="0.35">
      <c r="A759" s="260" t="s">
        <v>1545</v>
      </c>
      <c r="B759" s="260" t="s">
        <v>754</v>
      </c>
      <c r="C759" s="190">
        <v>45975</v>
      </c>
      <c r="D759" s="197">
        <v>77.14</v>
      </c>
      <c r="E759" s="260" t="s">
        <v>564</v>
      </c>
      <c r="F759" s="260" t="s">
        <v>793</v>
      </c>
      <c r="G759" s="196">
        <v>0</v>
      </c>
      <c r="H759" s="202">
        <v>46302</v>
      </c>
      <c r="I759" s="260" t="s">
        <v>588</v>
      </c>
      <c r="J759" s="196">
        <v>1</v>
      </c>
      <c r="K759" s="196">
        <v>0</v>
      </c>
      <c r="L759" s="260" t="s">
        <v>239</v>
      </c>
      <c r="M759" s="260" t="s">
        <v>514</v>
      </c>
    </row>
    <row r="760" spans="1:13" ht="14.5" x14ac:dyDescent="0.35">
      <c r="A760" s="260" t="s">
        <v>1546</v>
      </c>
      <c r="B760" s="260" t="s">
        <v>754</v>
      </c>
      <c r="C760" s="190">
        <v>45978</v>
      </c>
      <c r="D760" s="197">
        <v>77.459999999999994</v>
      </c>
      <c r="E760" s="260" t="s">
        <v>564</v>
      </c>
      <c r="F760" s="260" t="s">
        <v>793</v>
      </c>
      <c r="G760" s="196">
        <v>0</v>
      </c>
      <c r="H760" s="202">
        <v>46302</v>
      </c>
      <c r="I760" s="260" t="s">
        <v>588</v>
      </c>
      <c r="J760" s="196">
        <v>1</v>
      </c>
      <c r="K760" s="196">
        <v>0</v>
      </c>
      <c r="L760" s="260" t="s">
        <v>239</v>
      </c>
      <c r="M760" s="260" t="s">
        <v>514</v>
      </c>
    </row>
    <row r="761" spans="1:13" ht="14.5" x14ac:dyDescent="0.35">
      <c r="A761" s="260" t="s">
        <v>1547</v>
      </c>
      <c r="B761" s="260" t="s">
        <v>754</v>
      </c>
      <c r="C761" s="190">
        <v>45979</v>
      </c>
      <c r="D761" s="197">
        <v>77.56</v>
      </c>
      <c r="E761" s="260" t="s">
        <v>564</v>
      </c>
      <c r="F761" s="260" t="s">
        <v>793</v>
      </c>
      <c r="G761" s="196">
        <v>0</v>
      </c>
      <c r="H761" s="202">
        <v>46302</v>
      </c>
      <c r="I761" s="260" t="s">
        <v>588</v>
      </c>
      <c r="J761" s="196">
        <v>1</v>
      </c>
      <c r="K761" s="196">
        <v>0</v>
      </c>
      <c r="L761" s="260" t="s">
        <v>239</v>
      </c>
      <c r="M761" s="260" t="s">
        <v>514</v>
      </c>
    </row>
    <row r="762" spans="1:13" ht="14.5" x14ac:dyDescent="0.35">
      <c r="A762" s="260" t="s">
        <v>1548</v>
      </c>
      <c r="B762" s="260" t="s">
        <v>754</v>
      </c>
      <c r="C762" s="190">
        <v>45980</v>
      </c>
      <c r="D762" s="197">
        <v>77.66</v>
      </c>
      <c r="E762" s="260" t="s">
        <v>564</v>
      </c>
      <c r="F762" s="260" t="s">
        <v>793</v>
      </c>
      <c r="G762" s="196">
        <v>0</v>
      </c>
      <c r="H762" s="202">
        <v>46302</v>
      </c>
      <c r="I762" s="260" t="s">
        <v>588</v>
      </c>
      <c r="J762" s="196">
        <v>1</v>
      </c>
      <c r="K762" s="196">
        <v>0</v>
      </c>
      <c r="L762" s="260" t="s">
        <v>239</v>
      </c>
      <c r="M762" s="260" t="s">
        <v>514</v>
      </c>
    </row>
    <row r="763" spans="1:13" ht="14.5" x14ac:dyDescent="0.35">
      <c r="A763" s="260" t="s">
        <v>1549</v>
      </c>
      <c r="B763" s="260" t="s">
        <v>754</v>
      </c>
      <c r="C763" s="190">
        <v>45981</v>
      </c>
      <c r="D763" s="197">
        <v>77.77</v>
      </c>
      <c r="E763" s="260" t="s">
        <v>564</v>
      </c>
      <c r="F763" s="260" t="s">
        <v>793</v>
      </c>
      <c r="G763" s="196">
        <v>0</v>
      </c>
      <c r="H763" s="202">
        <v>46302</v>
      </c>
      <c r="I763" s="260" t="s">
        <v>588</v>
      </c>
      <c r="J763" s="196">
        <v>1</v>
      </c>
      <c r="K763" s="196">
        <v>0</v>
      </c>
      <c r="L763" s="260" t="s">
        <v>239</v>
      </c>
      <c r="M763" s="260" t="s">
        <v>514</v>
      </c>
    </row>
    <row r="764" spans="1:13" ht="14.5" x14ac:dyDescent="0.35">
      <c r="A764" s="260" t="s">
        <v>1550</v>
      </c>
      <c r="B764" s="260" t="s">
        <v>754</v>
      </c>
      <c r="C764" s="190">
        <v>45982</v>
      </c>
      <c r="D764" s="197">
        <v>77.87</v>
      </c>
      <c r="E764" s="260" t="s">
        <v>564</v>
      </c>
      <c r="F764" s="260" t="s">
        <v>793</v>
      </c>
      <c r="G764" s="196">
        <v>0</v>
      </c>
      <c r="H764" s="202">
        <v>46302</v>
      </c>
      <c r="I764" s="260" t="s">
        <v>588</v>
      </c>
      <c r="J764" s="196">
        <v>1</v>
      </c>
      <c r="K764" s="196">
        <v>0</v>
      </c>
      <c r="L764" s="260" t="s">
        <v>239</v>
      </c>
      <c r="M764" s="260" t="s">
        <v>514</v>
      </c>
    </row>
    <row r="765" spans="1:13" ht="14.5" x14ac:dyDescent="0.35">
      <c r="A765" s="260" t="s">
        <v>1551</v>
      </c>
      <c r="B765" s="260" t="s">
        <v>754</v>
      </c>
      <c r="C765" s="190">
        <v>45985</v>
      </c>
      <c r="D765" s="197">
        <v>78.180000000000007</v>
      </c>
      <c r="E765" s="260" t="s">
        <v>564</v>
      </c>
      <c r="F765" s="260" t="s">
        <v>793</v>
      </c>
      <c r="G765" s="196">
        <v>0</v>
      </c>
      <c r="H765" s="202">
        <v>46302</v>
      </c>
      <c r="I765" s="260" t="s">
        <v>588</v>
      </c>
      <c r="J765" s="196">
        <v>1</v>
      </c>
      <c r="K765" s="196">
        <v>0</v>
      </c>
      <c r="L765" s="260" t="s">
        <v>239</v>
      </c>
      <c r="M765" s="260" t="s">
        <v>514</v>
      </c>
    </row>
    <row r="766" spans="1:13" ht="14.5" x14ac:dyDescent="0.35">
      <c r="A766" s="260" t="s">
        <v>1552</v>
      </c>
      <c r="B766" s="260" t="s">
        <v>754</v>
      </c>
      <c r="C766" s="190">
        <v>45986</v>
      </c>
      <c r="D766" s="197">
        <v>78.28</v>
      </c>
      <c r="E766" s="260" t="s">
        <v>564</v>
      </c>
      <c r="F766" s="260" t="s">
        <v>793</v>
      </c>
      <c r="G766" s="196">
        <v>0</v>
      </c>
      <c r="H766" s="202">
        <v>46302</v>
      </c>
      <c r="I766" s="260" t="s">
        <v>588</v>
      </c>
      <c r="J766" s="196">
        <v>1</v>
      </c>
      <c r="K766" s="196">
        <v>0</v>
      </c>
      <c r="L766" s="260" t="s">
        <v>239</v>
      </c>
      <c r="M766" s="260" t="s">
        <v>514</v>
      </c>
    </row>
    <row r="767" spans="1:13" ht="14.5" x14ac:dyDescent="0.35">
      <c r="A767" s="260" t="s">
        <v>1553</v>
      </c>
      <c r="B767" s="260" t="s">
        <v>754</v>
      </c>
      <c r="C767" s="190">
        <v>45987</v>
      </c>
      <c r="D767" s="197">
        <v>78.39</v>
      </c>
      <c r="E767" s="260" t="s">
        <v>564</v>
      </c>
      <c r="F767" s="260" t="s">
        <v>793</v>
      </c>
      <c r="G767" s="196">
        <v>0</v>
      </c>
      <c r="H767" s="202">
        <v>46302</v>
      </c>
      <c r="I767" s="260" t="s">
        <v>588</v>
      </c>
      <c r="J767" s="196">
        <v>1</v>
      </c>
      <c r="K767" s="196">
        <v>0</v>
      </c>
      <c r="L767" s="260" t="s">
        <v>239</v>
      </c>
      <c r="M767" s="260" t="s">
        <v>514</v>
      </c>
    </row>
    <row r="768" spans="1:13" ht="14.5" x14ac:dyDescent="0.35">
      <c r="A768" s="260" t="s">
        <v>1554</v>
      </c>
      <c r="B768" s="260" t="s">
        <v>754</v>
      </c>
      <c r="C768" s="190">
        <v>45988</v>
      </c>
      <c r="D768" s="197">
        <v>78.489999999999995</v>
      </c>
      <c r="E768" s="260" t="s">
        <v>564</v>
      </c>
      <c r="F768" s="260" t="s">
        <v>793</v>
      </c>
      <c r="G768" s="196">
        <v>0</v>
      </c>
      <c r="H768" s="202">
        <v>46302</v>
      </c>
      <c r="I768" s="260" t="s">
        <v>588</v>
      </c>
      <c r="J768" s="196">
        <v>1</v>
      </c>
      <c r="K768" s="196">
        <v>0</v>
      </c>
      <c r="L768" s="260" t="s">
        <v>239</v>
      </c>
      <c r="M768" s="260" t="s">
        <v>514</v>
      </c>
    </row>
    <row r="769" spans="1:13" ht="14.5" x14ac:dyDescent="0.35">
      <c r="A769" s="260" t="s">
        <v>1555</v>
      </c>
      <c r="B769" s="260" t="s">
        <v>754</v>
      </c>
      <c r="C769" s="190">
        <v>45989</v>
      </c>
      <c r="D769" s="197">
        <v>78.59</v>
      </c>
      <c r="E769" s="260" t="s">
        <v>564</v>
      </c>
      <c r="F769" s="260" t="s">
        <v>793</v>
      </c>
      <c r="G769" s="196">
        <v>0</v>
      </c>
      <c r="H769" s="202">
        <v>46302</v>
      </c>
      <c r="I769" s="260" t="s">
        <v>588</v>
      </c>
      <c r="J769" s="196">
        <v>1</v>
      </c>
      <c r="K769" s="196">
        <v>0</v>
      </c>
      <c r="L769" s="260" t="s">
        <v>239</v>
      </c>
      <c r="M769" s="260" t="s">
        <v>514</v>
      </c>
    </row>
    <row r="770" spans="1:13" ht="14.5" x14ac:dyDescent="0.35">
      <c r="A770" s="260" t="s">
        <v>1556</v>
      </c>
      <c r="B770" s="260" t="s">
        <v>754</v>
      </c>
      <c r="C770" s="190">
        <v>45992</v>
      </c>
      <c r="D770" s="197">
        <v>78.8</v>
      </c>
      <c r="E770" s="260" t="s">
        <v>564</v>
      </c>
      <c r="F770" s="260" t="s">
        <v>793</v>
      </c>
      <c r="G770" s="196">
        <v>0</v>
      </c>
      <c r="H770" s="202">
        <v>46302</v>
      </c>
      <c r="I770" s="260" t="s">
        <v>588</v>
      </c>
      <c r="J770" s="196">
        <v>1</v>
      </c>
      <c r="K770" s="196">
        <v>0</v>
      </c>
      <c r="L770" s="260" t="s">
        <v>239</v>
      </c>
      <c r="M770" s="260" t="s">
        <v>514</v>
      </c>
    </row>
    <row r="771" spans="1:13" ht="14.5" x14ac:dyDescent="0.35">
      <c r="A771" s="260" t="s">
        <v>1557</v>
      </c>
      <c r="B771" s="260" t="s">
        <v>754</v>
      </c>
      <c r="C771" s="190">
        <v>45993</v>
      </c>
      <c r="D771" s="197">
        <v>78.77</v>
      </c>
      <c r="E771" s="260" t="s">
        <v>564</v>
      </c>
      <c r="F771" s="260" t="s">
        <v>793</v>
      </c>
      <c r="G771" s="196">
        <v>0</v>
      </c>
      <c r="H771" s="202">
        <v>46302</v>
      </c>
      <c r="I771" s="260" t="s">
        <v>588</v>
      </c>
      <c r="J771" s="196">
        <v>1</v>
      </c>
      <c r="K771" s="196">
        <v>0</v>
      </c>
      <c r="L771" s="260" t="s">
        <v>239</v>
      </c>
      <c r="M771" s="260" t="s">
        <v>514</v>
      </c>
    </row>
    <row r="772" spans="1:13" ht="14.5" x14ac:dyDescent="0.35">
      <c r="A772" s="260" t="s">
        <v>1558</v>
      </c>
      <c r="B772" s="260" t="s">
        <v>754</v>
      </c>
      <c r="C772" s="190">
        <v>45994</v>
      </c>
      <c r="D772" s="197">
        <v>78.73</v>
      </c>
      <c r="E772" s="260" t="s">
        <v>564</v>
      </c>
      <c r="F772" s="260" t="s">
        <v>793</v>
      </c>
      <c r="G772" s="196">
        <v>0</v>
      </c>
      <c r="H772" s="202">
        <v>46302</v>
      </c>
      <c r="I772" s="260" t="s">
        <v>588</v>
      </c>
      <c r="J772" s="196">
        <v>1</v>
      </c>
      <c r="K772" s="196">
        <v>0</v>
      </c>
      <c r="L772" s="260" t="s">
        <v>239</v>
      </c>
      <c r="M772" s="260" t="s">
        <v>514</v>
      </c>
    </row>
    <row r="773" spans="1:13" ht="14.5" x14ac:dyDescent="0.35">
      <c r="A773" s="260" t="s">
        <v>1559</v>
      </c>
      <c r="B773" s="260" t="s">
        <v>754</v>
      </c>
      <c r="C773" s="190">
        <v>45995</v>
      </c>
      <c r="D773" s="197">
        <v>78.7</v>
      </c>
      <c r="E773" s="260" t="s">
        <v>564</v>
      </c>
      <c r="F773" s="260" t="s">
        <v>793</v>
      </c>
      <c r="G773" s="196">
        <v>0</v>
      </c>
      <c r="H773" s="202">
        <v>46302</v>
      </c>
      <c r="I773" s="260" t="s">
        <v>588</v>
      </c>
      <c r="J773" s="196">
        <v>1</v>
      </c>
      <c r="K773" s="196">
        <v>0</v>
      </c>
      <c r="L773" s="260" t="s">
        <v>239</v>
      </c>
      <c r="M773" s="260" t="s">
        <v>514</v>
      </c>
    </row>
    <row r="774" spans="1:13" ht="14.5" x14ac:dyDescent="0.35">
      <c r="A774" s="260" t="s">
        <v>1560</v>
      </c>
      <c r="B774" s="260" t="s">
        <v>754</v>
      </c>
      <c r="C774" s="190">
        <v>45996</v>
      </c>
      <c r="D774" s="197">
        <v>78.67</v>
      </c>
      <c r="E774" s="260" t="s">
        <v>564</v>
      </c>
      <c r="F774" s="260" t="s">
        <v>793</v>
      </c>
      <c r="G774" s="196">
        <v>0</v>
      </c>
      <c r="H774" s="202">
        <v>46302</v>
      </c>
      <c r="I774" s="260" t="s">
        <v>588</v>
      </c>
      <c r="J774" s="196">
        <v>1</v>
      </c>
      <c r="K774" s="196">
        <v>0</v>
      </c>
      <c r="L774" s="260" t="s">
        <v>239</v>
      </c>
      <c r="M774" s="260" t="s">
        <v>514</v>
      </c>
    </row>
    <row r="775" spans="1:13" ht="14.5" x14ac:dyDescent="0.35">
      <c r="A775" s="260" t="s">
        <v>1561</v>
      </c>
      <c r="B775" s="260" t="s">
        <v>754</v>
      </c>
      <c r="C775" s="190">
        <v>45999</v>
      </c>
      <c r="D775" s="197">
        <v>78.569999999999993</v>
      </c>
      <c r="E775" s="260" t="s">
        <v>564</v>
      </c>
      <c r="F775" s="260" t="s">
        <v>793</v>
      </c>
      <c r="G775" s="196">
        <v>0</v>
      </c>
      <c r="H775" s="202">
        <v>46302</v>
      </c>
      <c r="I775" s="260" t="s">
        <v>588</v>
      </c>
      <c r="J775" s="196">
        <v>1</v>
      </c>
      <c r="K775" s="196">
        <v>0</v>
      </c>
      <c r="L775" s="260" t="s">
        <v>239</v>
      </c>
      <c r="M775" s="260" t="s">
        <v>514</v>
      </c>
    </row>
    <row r="776" spans="1:13" ht="14.5" x14ac:dyDescent="0.35">
      <c r="A776" s="260" t="s">
        <v>1562</v>
      </c>
      <c r="B776" s="260" t="s">
        <v>754</v>
      </c>
      <c r="C776" s="190">
        <v>46000</v>
      </c>
      <c r="D776" s="197">
        <v>78.53</v>
      </c>
      <c r="E776" s="260" t="s">
        <v>564</v>
      </c>
      <c r="F776" s="260" t="s">
        <v>793</v>
      </c>
      <c r="G776" s="196">
        <v>0</v>
      </c>
      <c r="H776" s="202">
        <v>46302</v>
      </c>
      <c r="I776" s="260" t="s">
        <v>588</v>
      </c>
      <c r="J776" s="196">
        <v>1</v>
      </c>
      <c r="K776" s="196">
        <v>0</v>
      </c>
      <c r="L776" s="260" t="s">
        <v>239</v>
      </c>
      <c r="M776" s="260" t="s">
        <v>514</v>
      </c>
    </row>
    <row r="777" spans="1:13" ht="14.5" x14ac:dyDescent="0.35">
      <c r="A777" s="260" t="s">
        <v>1563</v>
      </c>
      <c r="B777" s="260" t="s">
        <v>754</v>
      </c>
      <c r="C777" s="190">
        <v>46001</v>
      </c>
      <c r="D777" s="197">
        <v>78.5</v>
      </c>
      <c r="E777" s="260" t="s">
        <v>564</v>
      </c>
      <c r="F777" s="260" t="s">
        <v>793</v>
      </c>
      <c r="G777" s="196">
        <v>0</v>
      </c>
      <c r="H777" s="202">
        <v>46302</v>
      </c>
      <c r="I777" s="260" t="s">
        <v>588</v>
      </c>
      <c r="J777" s="196">
        <v>1</v>
      </c>
      <c r="K777" s="196">
        <v>0</v>
      </c>
      <c r="L777" s="260" t="s">
        <v>239</v>
      </c>
      <c r="M777" s="260" t="s">
        <v>514</v>
      </c>
    </row>
    <row r="778" spans="1:13" ht="14.5" x14ac:dyDescent="0.35">
      <c r="A778" s="260" t="s">
        <v>1564</v>
      </c>
      <c r="B778" s="260" t="s">
        <v>754</v>
      </c>
      <c r="C778" s="190">
        <v>46002</v>
      </c>
      <c r="D778" s="197">
        <v>78.47</v>
      </c>
      <c r="E778" s="260" t="s">
        <v>564</v>
      </c>
      <c r="F778" s="260" t="s">
        <v>793</v>
      </c>
      <c r="G778" s="196">
        <v>0</v>
      </c>
      <c r="H778" s="202">
        <v>46302</v>
      </c>
      <c r="I778" s="260" t="s">
        <v>588</v>
      </c>
      <c r="J778" s="196">
        <v>1</v>
      </c>
      <c r="K778" s="196">
        <v>0</v>
      </c>
      <c r="L778" s="260" t="s">
        <v>239</v>
      </c>
      <c r="M778" s="260" t="s">
        <v>514</v>
      </c>
    </row>
    <row r="779" spans="1:13" ht="14.5" x14ac:dyDescent="0.35">
      <c r="A779" s="260" t="s">
        <v>1565</v>
      </c>
      <c r="B779" s="260" t="s">
        <v>754</v>
      </c>
      <c r="C779" s="190">
        <v>46003</v>
      </c>
      <c r="D779" s="197">
        <v>78.430000000000007</v>
      </c>
      <c r="E779" s="260" t="s">
        <v>564</v>
      </c>
      <c r="F779" s="260" t="s">
        <v>793</v>
      </c>
      <c r="G779" s="196">
        <v>0</v>
      </c>
      <c r="H779" s="202">
        <v>46302</v>
      </c>
      <c r="I779" s="260" t="s">
        <v>588</v>
      </c>
      <c r="J779" s="196">
        <v>1</v>
      </c>
      <c r="K779" s="196">
        <v>0</v>
      </c>
      <c r="L779" s="260" t="s">
        <v>239</v>
      </c>
      <c r="M779" s="260" t="s">
        <v>514</v>
      </c>
    </row>
    <row r="780" spans="1:13" ht="14.5" x14ac:dyDescent="0.35">
      <c r="A780" s="260" t="s">
        <v>1566</v>
      </c>
      <c r="B780" s="260" t="s">
        <v>754</v>
      </c>
      <c r="C780" s="190">
        <v>46006</v>
      </c>
      <c r="D780" s="197">
        <v>78.33</v>
      </c>
      <c r="E780" s="260" t="s">
        <v>564</v>
      </c>
      <c r="F780" s="260" t="s">
        <v>793</v>
      </c>
      <c r="G780" s="196">
        <v>0</v>
      </c>
      <c r="H780" s="202">
        <v>46302</v>
      </c>
      <c r="I780" s="260" t="s">
        <v>588</v>
      </c>
      <c r="J780" s="196">
        <v>1</v>
      </c>
      <c r="K780" s="196">
        <v>0</v>
      </c>
      <c r="L780" s="260" t="s">
        <v>239</v>
      </c>
      <c r="M780" s="260" t="s">
        <v>514</v>
      </c>
    </row>
    <row r="781" spans="1:13" ht="14.5" x14ac:dyDescent="0.35">
      <c r="A781" s="260" t="s">
        <v>1567</v>
      </c>
      <c r="B781" s="260" t="s">
        <v>754</v>
      </c>
      <c r="C781" s="190">
        <v>46007</v>
      </c>
      <c r="D781" s="197">
        <v>78.3</v>
      </c>
      <c r="E781" s="260" t="s">
        <v>564</v>
      </c>
      <c r="F781" s="260" t="s">
        <v>793</v>
      </c>
      <c r="G781" s="196">
        <v>0</v>
      </c>
      <c r="H781" s="202">
        <v>46302</v>
      </c>
      <c r="I781" s="260" t="s">
        <v>588</v>
      </c>
      <c r="J781" s="196">
        <v>1</v>
      </c>
      <c r="K781" s="196">
        <v>0</v>
      </c>
      <c r="L781" s="260" t="s">
        <v>239</v>
      </c>
      <c r="M781" s="260" t="s">
        <v>514</v>
      </c>
    </row>
    <row r="782" spans="1:13" ht="14.5" x14ac:dyDescent="0.35">
      <c r="A782" s="260" t="s">
        <v>1568</v>
      </c>
      <c r="B782" s="260" t="s">
        <v>754</v>
      </c>
      <c r="C782" s="190">
        <v>46008</v>
      </c>
      <c r="D782" s="197">
        <v>78.27</v>
      </c>
      <c r="E782" s="260" t="s">
        <v>564</v>
      </c>
      <c r="F782" s="260" t="s">
        <v>793</v>
      </c>
      <c r="G782" s="196">
        <v>0</v>
      </c>
      <c r="H782" s="202">
        <v>46302</v>
      </c>
      <c r="I782" s="260" t="s">
        <v>588</v>
      </c>
      <c r="J782" s="196">
        <v>1</v>
      </c>
      <c r="K782" s="196">
        <v>0</v>
      </c>
      <c r="L782" s="260" t="s">
        <v>239</v>
      </c>
      <c r="M782" s="260" t="s">
        <v>514</v>
      </c>
    </row>
    <row r="783" spans="1:13" ht="14.5" x14ac:dyDescent="0.35">
      <c r="A783" s="260" t="s">
        <v>1569</v>
      </c>
      <c r="B783" s="260" t="s">
        <v>754</v>
      </c>
      <c r="C783" s="190">
        <v>46009</v>
      </c>
      <c r="D783" s="197">
        <v>78.23</v>
      </c>
      <c r="E783" s="260" t="s">
        <v>564</v>
      </c>
      <c r="F783" s="260" t="s">
        <v>793</v>
      </c>
      <c r="G783" s="196">
        <v>0</v>
      </c>
      <c r="H783" s="202">
        <v>46302</v>
      </c>
      <c r="I783" s="260" t="s">
        <v>588</v>
      </c>
      <c r="J783" s="196">
        <v>1</v>
      </c>
      <c r="K783" s="196">
        <v>0</v>
      </c>
      <c r="L783" s="260" t="s">
        <v>239</v>
      </c>
      <c r="M783" s="260" t="s">
        <v>514</v>
      </c>
    </row>
    <row r="784" spans="1:13" ht="14.5" x14ac:dyDescent="0.35">
      <c r="A784" s="260" t="s">
        <v>1570</v>
      </c>
      <c r="B784" s="260" t="s">
        <v>754</v>
      </c>
      <c r="C784" s="190">
        <v>46010</v>
      </c>
      <c r="D784" s="197">
        <v>78.2</v>
      </c>
      <c r="E784" s="260" t="s">
        <v>564</v>
      </c>
      <c r="F784" s="260" t="s">
        <v>793</v>
      </c>
      <c r="G784" s="196">
        <v>0</v>
      </c>
      <c r="H784" s="202">
        <v>46302</v>
      </c>
      <c r="I784" s="260" t="s">
        <v>588</v>
      </c>
      <c r="J784" s="196">
        <v>1</v>
      </c>
      <c r="K784" s="196">
        <v>0</v>
      </c>
      <c r="L784" s="260" t="s">
        <v>239</v>
      </c>
      <c r="M784" s="260" t="s">
        <v>514</v>
      </c>
    </row>
    <row r="785" spans="1:13" ht="14.5" x14ac:dyDescent="0.35">
      <c r="A785" s="260" t="s">
        <v>1571</v>
      </c>
      <c r="B785" s="260" t="s">
        <v>754</v>
      </c>
      <c r="C785" s="190">
        <v>46013</v>
      </c>
      <c r="D785" s="197">
        <v>78.099999999999994</v>
      </c>
      <c r="E785" s="260" t="s">
        <v>564</v>
      </c>
      <c r="F785" s="260" t="s">
        <v>793</v>
      </c>
      <c r="G785" s="196">
        <v>0</v>
      </c>
      <c r="H785" s="202">
        <v>46302</v>
      </c>
      <c r="I785" s="260" t="s">
        <v>588</v>
      </c>
      <c r="J785" s="196">
        <v>1</v>
      </c>
      <c r="K785" s="196">
        <v>0</v>
      </c>
      <c r="L785" s="260" t="s">
        <v>239</v>
      </c>
      <c r="M785" s="260" t="s">
        <v>514</v>
      </c>
    </row>
    <row r="786" spans="1:13" ht="14.5" x14ac:dyDescent="0.35">
      <c r="A786" s="260" t="s">
        <v>1572</v>
      </c>
      <c r="B786" s="260" t="s">
        <v>754</v>
      </c>
      <c r="C786" s="190">
        <v>46014</v>
      </c>
      <c r="D786" s="197">
        <v>78.069999999999993</v>
      </c>
      <c r="E786" s="260" t="s">
        <v>564</v>
      </c>
      <c r="F786" s="260" t="s">
        <v>793</v>
      </c>
      <c r="G786" s="196">
        <v>0</v>
      </c>
      <c r="H786" s="202">
        <v>46302</v>
      </c>
      <c r="I786" s="260" t="s">
        <v>588</v>
      </c>
      <c r="J786" s="196">
        <v>1</v>
      </c>
      <c r="K786" s="196">
        <v>0</v>
      </c>
      <c r="L786" s="260" t="s">
        <v>239</v>
      </c>
      <c r="M786" s="260" t="s">
        <v>514</v>
      </c>
    </row>
    <row r="787" spans="1:13" ht="14.5" x14ac:dyDescent="0.35">
      <c r="A787" s="260" t="s">
        <v>1573</v>
      </c>
      <c r="B787" s="260" t="s">
        <v>754</v>
      </c>
      <c r="C787" s="190">
        <v>46015</v>
      </c>
      <c r="D787" s="197">
        <v>78.03</v>
      </c>
      <c r="E787" s="260" t="s">
        <v>564</v>
      </c>
      <c r="F787" s="260" t="s">
        <v>793</v>
      </c>
      <c r="G787" s="196">
        <v>0</v>
      </c>
      <c r="H787" s="202">
        <v>46302</v>
      </c>
      <c r="I787" s="260" t="s">
        <v>588</v>
      </c>
      <c r="J787" s="196">
        <v>1</v>
      </c>
      <c r="K787" s="196">
        <v>0</v>
      </c>
      <c r="L787" s="260" t="s">
        <v>239</v>
      </c>
      <c r="M787" s="260" t="s">
        <v>514</v>
      </c>
    </row>
    <row r="788" spans="1:13" ht="14.5" x14ac:dyDescent="0.35">
      <c r="A788" s="260" t="s">
        <v>1574</v>
      </c>
      <c r="B788" s="260" t="s">
        <v>754</v>
      </c>
      <c r="C788" s="190">
        <v>46016</v>
      </c>
      <c r="D788" s="197">
        <v>78</v>
      </c>
      <c r="E788" s="260" t="s">
        <v>564</v>
      </c>
      <c r="F788" s="260" t="s">
        <v>793</v>
      </c>
      <c r="G788" s="196">
        <v>0</v>
      </c>
      <c r="H788" s="202">
        <v>46302</v>
      </c>
      <c r="I788" s="260" t="s">
        <v>588</v>
      </c>
      <c r="J788" s="196">
        <v>1</v>
      </c>
      <c r="K788" s="196">
        <v>0</v>
      </c>
      <c r="L788" s="260" t="s">
        <v>239</v>
      </c>
      <c r="M788" s="260" t="s">
        <v>514</v>
      </c>
    </row>
    <row r="789" spans="1:13" ht="14.5" x14ac:dyDescent="0.35">
      <c r="A789" s="260" t="s">
        <v>1575</v>
      </c>
      <c r="B789" s="260" t="s">
        <v>754</v>
      </c>
      <c r="C789" s="190">
        <v>46017</v>
      </c>
      <c r="D789" s="197">
        <v>77.97</v>
      </c>
      <c r="E789" s="260" t="s">
        <v>564</v>
      </c>
      <c r="F789" s="260" t="s">
        <v>793</v>
      </c>
      <c r="G789" s="196">
        <v>0</v>
      </c>
      <c r="H789" s="202">
        <v>46302</v>
      </c>
      <c r="I789" s="260" t="s">
        <v>588</v>
      </c>
      <c r="J789" s="196">
        <v>1</v>
      </c>
      <c r="K789" s="196">
        <v>0</v>
      </c>
      <c r="L789" s="260" t="s">
        <v>239</v>
      </c>
      <c r="M789" s="260" t="s">
        <v>514</v>
      </c>
    </row>
    <row r="790" spans="1:13" ht="14.5" x14ac:dyDescent="0.35">
      <c r="A790" s="260" t="s">
        <v>1576</v>
      </c>
      <c r="B790" s="260" t="s">
        <v>754</v>
      </c>
      <c r="C790" s="190">
        <v>46020</v>
      </c>
      <c r="D790" s="197">
        <v>77.87</v>
      </c>
      <c r="E790" s="260" t="s">
        <v>564</v>
      </c>
      <c r="F790" s="260" t="s">
        <v>793</v>
      </c>
      <c r="G790" s="196">
        <v>0</v>
      </c>
      <c r="H790" s="202">
        <v>46302</v>
      </c>
      <c r="I790" s="260" t="s">
        <v>588</v>
      </c>
      <c r="J790" s="196">
        <v>1</v>
      </c>
      <c r="K790" s="196">
        <v>0</v>
      </c>
      <c r="L790" s="260" t="s">
        <v>239</v>
      </c>
      <c r="M790" s="260" t="s">
        <v>514</v>
      </c>
    </row>
    <row r="791" spans="1:13" ht="14.5" x14ac:dyDescent="0.35">
      <c r="A791" s="260" t="s">
        <v>1577</v>
      </c>
      <c r="B791" s="260" t="s">
        <v>754</v>
      </c>
      <c r="C791" s="190">
        <v>46021</v>
      </c>
      <c r="D791" s="197">
        <v>77.83</v>
      </c>
      <c r="E791" s="260" t="s">
        <v>564</v>
      </c>
      <c r="F791" s="260" t="s">
        <v>793</v>
      </c>
      <c r="G791" s="196">
        <v>0</v>
      </c>
      <c r="H791" s="202">
        <v>46302</v>
      </c>
      <c r="I791" s="260" t="s">
        <v>588</v>
      </c>
      <c r="J791" s="196">
        <v>1</v>
      </c>
      <c r="K791" s="196">
        <v>0</v>
      </c>
      <c r="L791" s="260" t="s">
        <v>239</v>
      </c>
      <c r="M791" s="260" t="s">
        <v>514</v>
      </c>
    </row>
    <row r="792" spans="1:13" ht="14.5" x14ac:dyDescent="0.35">
      <c r="A792" s="260" t="s">
        <v>1578</v>
      </c>
      <c r="B792" s="260" t="s">
        <v>754</v>
      </c>
      <c r="C792" s="190">
        <v>46022</v>
      </c>
      <c r="D792" s="197">
        <v>77.8</v>
      </c>
      <c r="E792" s="260" t="s">
        <v>564</v>
      </c>
      <c r="F792" s="260" t="s">
        <v>793</v>
      </c>
      <c r="G792" s="196">
        <v>0</v>
      </c>
      <c r="H792" s="202">
        <v>46302</v>
      </c>
      <c r="I792" s="260" t="s">
        <v>588</v>
      </c>
      <c r="J792" s="196">
        <v>1</v>
      </c>
      <c r="K792" s="196">
        <v>0</v>
      </c>
      <c r="L792" s="260" t="s">
        <v>239</v>
      </c>
      <c r="M792" s="260" t="s">
        <v>514</v>
      </c>
    </row>
  </sheetData>
  <mergeCells count="2">
    <mergeCell ref="A1:P2"/>
    <mergeCell ref="A3:P4"/>
  </mergeCells>
  <phoneticPr fontId="136" type="noConversion"/>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9C3FD-ACC8-4635-9ABF-1349FBFED830}">
  <dimension ref="A1:P24"/>
  <sheetViews>
    <sheetView showGridLines="0" workbookViewId="0">
      <pane ySplit="6" topLeftCell="A7" activePane="bottomLeft" state="frozenSplit"/>
      <selection pane="bottomLeft" sqref="A1:P2"/>
    </sheetView>
  </sheetViews>
  <sheetFormatPr defaultColWidth="18.6328125" defaultRowHeight="20" customHeight="1" x14ac:dyDescent="0.35"/>
  <cols>
    <col min="1" max="1" width="11.90625" style="184" bestFit="1" customWidth="1"/>
    <col min="2" max="2" width="10.08984375" style="187" bestFit="1" customWidth="1"/>
    <col min="3" max="3" width="26.36328125" style="184" bestFit="1" customWidth="1"/>
    <col min="4" max="4" width="13.6328125" style="184" bestFit="1" customWidth="1"/>
    <col min="5" max="5" width="8.54296875" style="184" bestFit="1" customWidth="1"/>
    <col min="6" max="6" width="13.81640625" style="193" bestFit="1" customWidth="1"/>
    <col min="7" max="7" width="13.7265625" style="193" bestFit="1" customWidth="1"/>
    <col min="8" max="8" width="22.36328125" style="184" bestFit="1" customWidth="1"/>
    <col min="9" max="16384" width="18.6328125" style="184"/>
  </cols>
  <sheetData>
    <row r="1" spans="1:16" ht="20" customHeight="1" x14ac:dyDescent="0.35">
      <c r="A1" s="224" t="s">
        <v>655</v>
      </c>
      <c r="B1" s="224"/>
      <c r="C1" s="224"/>
      <c r="D1" s="224"/>
      <c r="E1" s="224"/>
      <c r="F1" s="224"/>
      <c r="G1" s="224"/>
      <c r="H1" s="224"/>
      <c r="I1" s="224"/>
      <c r="J1" s="224"/>
      <c r="K1" s="224"/>
      <c r="L1" s="224"/>
      <c r="M1" s="224"/>
      <c r="N1" s="224"/>
      <c r="O1" s="224"/>
      <c r="P1" s="224"/>
    </row>
    <row r="2" spans="1:16" ht="20" customHeight="1" x14ac:dyDescent="0.35">
      <c r="A2" s="224"/>
      <c r="B2" s="224"/>
      <c r="C2" s="224"/>
      <c r="D2" s="224"/>
      <c r="E2" s="224"/>
      <c r="F2" s="224"/>
      <c r="G2" s="224"/>
      <c r="H2" s="224"/>
      <c r="I2" s="224"/>
      <c r="J2" s="224"/>
      <c r="K2" s="224"/>
      <c r="L2" s="224"/>
      <c r="M2" s="224"/>
      <c r="N2" s="224"/>
      <c r="O2" s="224"/>
      <c r="P2" s="224"/>
    </row>
    <row r="3" spans="1:16" ht="20" customHeight="1" x14ac:dyDescent="0.35">
      <c r="A3" s="225" t="s">
        <v>622</v>
      </c>
      <c r="B3" s="225"/>
      <c r="C3" s="225"/>
      <c r="D3" s="225"/>
      <c r="E3" s="225"/>
      <c r="F3" s="225"/>
      <c r="G3" s="225"/>
      <c r="H3" s="225"/>
      <c r="I3" s="225"/>
      <c r="J3" s="225"/>
      <c r="K3" s="225"/>
      <c r="L3" s="225"/>
      <c r="M3" s="225"/>
      <c r="N3" s="225"/>
      <c r="O3" s="225"/>
      <c r="P3" s="225"/>
    </row>
    <row r="4" spans="1:16" ht="20" customHeight="1" x14ac:dyDescent="0.35">
      <c r="A4" s="225"/>
      <c r="B4" s="225"/>
      <c r="C4" s="225"/>
      <c r="D4" s="225"/>
      <c r="E4" s="225"/>
      <c r="F4" s="225"/>
      <c r="G4" s="225"/>
      <c r="H4" s="225"/>
      <c r="I4" s="225"/>
      <c r="J4" s="225"/>
      <c r="K4" s="225"/>
      <c r="L4" s="225"/>
      <c r="M4" s="225"/>
      <c r="N4" s="225"/>
      <c r="O4" s="225"/>
      <c r="P4" s="225"/>
    </row>
    <row r="6" spans="1:16" ht="14.5" x14ac:dyDescent="0.35">
      <c r="A6" s="194" t="s">
        <v>557</v>
      </c>
      <c r="B6" s="189" t="s">
        <v>72</v>
      </c>
      <c r="C6" s="194" t="s">
        <v>71</v>
      </c>
      <c r="D6" s="194" t="s">
        <v>73</v>
      </c>
      <c r="E6" s="194" t="s">
        <v>578</v>
      </c>
      <c r="F6" s="195" t="s">
        <v>79</v>
      </c>
      <c r="G6" s="195" t="s">
        <v>656</v>
      </c>
      <c r="H6" s="194" t="s">
        <v>577</v>
      </c>
    </row>
    <row r="7" spans="1:16" ht="14.5" x14ac:dyDescent="0.35">
      <c r="A7" s="260" t="s">
        <v>563</v>
      </c>
      <c r="B7" s="190">
        <v>45658</v>
      </c>
      <c r="C7" s="260" t="s">
        <v>756</v>
      </c>
      <c r="D7" s="260" t="s">
        <v>90</v>
      </c>
      <c r="E7" s="260" t="s">
        <v>628</v>
      </c>
      <c r="F7" s="197">
        <v>100000</v>
      </c>
      <c r="G7" s="197">
        <v>-100000</v>
      </c>
      <c r="H7" s="260"/>
    </row>
    <row r="8" spans="1:16" ht="14.5" x14ac:dyDescent="0.35">
      <c r="A8" s="260" t="s">
        <v>563</v>
      </c>
      <c r="B8" s="190">
        <v>45778</v>
      </c>
      <c r="C8" s="260" t="s">
        <v>771</v>
      </c>
      <c r="D8" s="260" t="s">
        <v>90</v>
      </c>
      <c r="E8" s="260" t="s">
        <v>629</v>
      </c>
      <c r="F8" s="197">
        <v>10000</v>
      </c>
      <c r="G8" s="197">
        <v>-10000</v>
      </c>
      <c r="H8" s="260"/>
    </row>
    <row r="9" spans="1:16" ht="14.5" x14ac:dyDescent="0.35">
      <c r="A9" s="260" t="s">
        <v>563</v>
      </c>
      <c r="B9" s="190">
        <v>45887</v>
      </c>
      <c r="C9" s="260" t="s">
        <v>775</v>
      </c>
      <c r="D9" s="260" t="s">
        <v>581</v>
      </c>
      <c r="E9" s="260" t="s">
        <v>629</v>
      </c>
      <c r="F9" s="197">
        <v>5000</v>
      </c>
      <c r="G9" s="197">
        <v>-5000</v>
      </c>
      <c r="H9" s="260" t="s">
        <v>776</v>
      </c>
    </row>
    <row r="10" spans="1:16" ht="14.5" x14ac:dyDescent="0.35">
      <c r="A10" s="260" t="s">
        <v>563</v>
      </c>
      <c r="B10" s="190">
        <v>46009</v>
      </c>
      <c r="C10" s="260" t="s">
        <v>785</v>
      </c>
      <c r="D10" s="260" t="s">
        <v>128</v>
      </c>
      <c r="E10" s="260" t="s">
        <v>629</v>
      </c>
      <c r="F10" s="197">
        <v>-5000</v>
      </c>
      <c r="G10" s="197">
        <v>5000</v>
      </c>
      <c r="H10" s="260"/>
    </row>
    <row r="11" spans="1:16" ht="14.5" x14ac:dyDescent="0.35">
      <c r="A11" s="260" t="s">
        <v>565</v>
      </c>
      <c r="B11" s="190">
        <v>45658</v>
      </c>
      <c r="C11" s="260" t="s">
        <v>757</v>
      </c>
      <c r="D11" s="260" t="s">
        <v>90</v>
      </c>
      <c r="E11" s="260" t="s">
        <v>628</v>
      </c>
      <c r="F11" s="197">
        <v>80000</v>
      </c>
      <c r="G11" s="197">
        <v>-80000</v>
      </c>
      <c r="H11" s="260"/>
    </row>
    <row r="12" spans="1:16" ht="14.5" x14ac:dyDescent="0.35">
      <c r="A12" s="260" t="s">
        <v>565</v>
      </c>
      <c r="B12" s="190">
        <v>45719</v>
      </c>
      <c r="C12" s="260" t="s">
        <v>769</v>
      </c>
      <c r="D12" s="260" t="s">
        <v>90</v>
      </c>
      <c r="E12" s="260" t="s">
        <v>629</v>
      </c>
      <c r="F12" s="197">
        <v>5000</v>
      </c>
      <c r="G12" s="197">
        <v>-5000</v>
      </c>
      <c r="H12" s="260"/>
    </row>
    <row r="13" spans="1:16" ht="14.5" x14ac:dyDescent="0.35">
      <c r="A13" s="260" t="s">
        <v>565</v>
      </c>
      <c r="B13" s="190">
        <v>45887</v>
      </c>
      <c r="C13" s="260" t="s">
        <v>777</v>
      </c>
      <c r="D13" s="260" t="s">
        <v>580</v>
      </c>
      <c r="E13" s="260" t="s">
        <v>629</v>
      </c>
      <c r="F13" s="197">
        <v>-5000</v>
      </c>
      <c r="G13" s="197">
        <v>5000</v>
      </c>
      <c r="H13" s="260" t="s">
        <v>776</v>
      </c>
    </row>
    <row r="14" spans="1:16" ht="14.5" x14ac:dyDescent="0.35">
      <c r="A14" s="260" t="s">
        <v>565</v>
      </c>
      <c r="B14" s="190">
        <v>46009</v>
      </c>
      <c r="C14" s="260" t="s">
        <v>786</v>
      </c>
      <c r="D14" s="260" t="s">
        <v>128</v>
      </c>
      <c r="E14" s="260" t="s">
        <v>629</v>
      </c>
      <c r="F14" s="197">
        <v>-3000</v>
      </c>
      <c r="G14" s="197">
        <v>3000</v>
      </c>
      <c r="H14" s="260"/>
    </row>
    <row r="15" spans="1:16" ht="14.5" x14ac:dyDescent="0.35">
      <c r="A15" s="260" t="s">
        <v>566</v>
      </c>
      <c r="B15" s="190">
        <v>45658</v>
      </c>
      <c r="C15" s="260" t="s">
        <v>758</v>
      </c>
      <c r="D15" s="260" t="s">
        <v>90</v>
      </c>
      <c r="E15" s="260" t="s">
        <v>628</v>
      </c>
      <c r="F15" s="197">
        <v>40000</v>
      </c>
      <c r="G15" s="197">
        <v>-40000</v>
      </c>
      <c r="H15" s="260"/>
    </row>
    <row r="16" spans="1:16" ht="14.5" x14ac:dyDescent="0.35">
      <c r="A16" s="260" t="s">
        <v>566</v>
      </c>
      <c r="B16" s="190">
        <v>45748</v>
      </c>
      <c r="C16" s="260" t="s">
        <v>770</v>
      </c>
      <c r="D16" s="260" t="s">
        <v>90</v>
      </c>
      <c r="E16" s="260" t="s">
        <v>629</v>
      </c>
      <c r="F16" s="197">
        <v>2000</v>
      </c>
      <c r="G16" s="197">
        <v>-2000</v>
      </c>
      <c r="H16" s="260"/>
    </row>
    <row r="17" spans="1:8" ht="14.5" x14ac:dyDescent="0.35">
      <c r="A17" s="260" t="s">
        <v>566</v>
      </c>
      <c r="B17" s="190">
        <v>46009</v>
      </c>
      <c r="C17" s="260" t="s">
        <v>787</v>
      </c>
      <c r="D17" s="260" t="s">
        <v>128</v>
      </c>
      <c r="E17" s="260" t="s">
        <v>629</v>
      </c>
      <c r="F17" s="197">
        <v>-1000</v>
      </c>
      <c r="G17" s="197">
        <v>1000</v>
      </c>
      <c r="H17" s="260"/>
    </row>
    <row r="18" spans="1:8" ht="14.5" x14ac:dyDescent="0.35">
      <c r="A18" s="260" t="s">
        <v>747</v>
      </c>
      <c r="B18" s="190">
        <v>45658</v>
      </c>
      <c r="C18" s="260" t="s">
        <v>759</v>
      </c>
      <c r="D18" s="260" t="s">
        <v>90</v>
      </c>
      <c r="E18" s="260" t="s">
        <v>628</v>
      </c>
      <c r="F18" s="197">
        <v>60000</v>
      </c>
      <c r="G18" s="197">
        <v>-60000</v>
      </c>
      <c r="H18" s="260"/>
    </row>
    <row r="19" spans="1:8" ht="14.5" x14ac:dyDescent="0.35">
      <c r="A19" s="260" t="s">
        <v>747</v>
      </c>
      <c r="B19" s="190">
        <v>45810</v>
      </c>
      <c r="C19" s="260" t="s">
        <v>772</v>
      </c>
      <c r="D19" s="260" t="s">
        <v>90</v>
      </c>
      <c r="E19" s="260" t="s">
        <v>629</v>
      </c>
      <c r="F19" s="197">
        <v>3000</v>
      </c>
      <c r="G19" s="197">
        <v>-3000</v>
      </c>
      <c r="H19" s="260"/>
    </row>
    <row r="20" spans="1:8" ht="14.5" x14ac:dyDescent="0.35">
      <c r="A20" s="260" t="s">
        <v>649</v>
      </c>
      <c r="B20" s="190">
        <v>45658</v>
      </c>
      <c r="C20" s="260" t="s">
        <v>657</v>
      </c>
      <c r="D20" s="260" t="s">
        <v>658</v>
      </c>
      <c r="E20" s="260" t="s">
        <v>628</v>
      </c>
      <c r="F20" s="197">
        <v>220000</v>
      </c>
      <c r="G20" s="197">
        <v>-220000</v>
      </c>
      <c r="H20" s="260"/>
    </row>
    <row r="21" spans="1:8" ht="14.5" x14ac:dyDescent="0.35">
      <c r="A21" s="260" t="s">
        <v>649</v>
      </c>
      <c r="B21" s="190">
        <v>45719</v>
      </c>
      <c r="C21" s="260" t="s">
        <v>1596</v>
      </c>
      <c r="D21" s="260" t="s">
        <v>658</v>
      </c>
      <c r="E21" s="260" t="s">
        <v>629</v>
      </c>
      <c r="F21" s="197">
        <v>5000</v>
      </c>
      <c r="G21" s="197">
        <v>-5000</v>
      </c>
      <c r="H21" s="260"/>
    </row>
    <row r="22" spans="1:8" ht="14.5" x14ac:dyDescent="0.35">
      <c r="A22" s="260" t="s">
        <v>649</v>
      </c>
      <c r="B22" s="190">
        <v>45748</v>
      </c>
      <c r="C22" s="260" t="s">
        <v>1597</v>
      </c>
      <c r="D22" s="260" t="s">
        <v>658</v>
      </c>
      <c r="E22" s="260" t="s">
        <v>629</v>
      </c>
      <c r="F22" s="197">
        <v>2000</v>
      </c>
      <c r="G22" s="197">
        <v>-2000</v>
      </c>
      <c r="H22" s="260"/>
    </row>
    <row r="23" spans="1:8" ht="14.5" x14ac:dyDescent="0.35">
      <c r="A23" s="260" t="s">
        <v>649</v>
      </c>
      <c r="B23" s="190">
        <v>45778</v>
      </c>
      <c r="C23" s="260" t="s">
        <v>1598</v>
      </c>
      <c r="D23" s="260" t="s">
        <v>658</v>
      </c>
      <c r="E23" s="260" t="s">
        <v>629</v>
      </c>
      <c r="F23" s="197">
        <v>10000</v>
      </c>
      <c r="G23" s="197">
        <v>-10000</v>
      </c>
      <c r="H23" s="260"/>
    </row>
    <row r="24" spans="1:8" ht="14.5" x14ac:dyDescent="0.35">
      <c r="A24" s="260" t="s">
        <v>649</v>
      </c>
      <c r="B24" s="190">
        <v>46009</v>
      </c>
      <c r="C24" s="260" t="s">
        <v>1599</v>
      </c>
      <c r="D24" s="260" t="s">
        <v>658</v>
      </c>
      <c r="E24" s="260" t="s">
        <v>629</v>
      </c>
      <c r="F24" s="197">
        <v>-9000</v>
      </c>
      <c r="G24" s="197">
        <v>9000</v>
      </c>
      <c r="H24" s="260"/>
    </row>
  </sheetData>
  <mergeCells count="2">
    <mergeCell ref="A1:P2"/>
    <mergeCell ref="A3:P4"/>
  </mergeCells>
  <phoneticPr fontId="136" type="noConversion"/>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651CE-61D5-4447-9028-E7FA19F6F682}">
  <dimension ref="A1:P7"/>
  <sheetViews>
    <sheetView showGridLines="0" workbookViewId="0">
      <pane ySplit="6" topLeftCell="A7" activePane="bottomLeft" state="frozenSplit"/>
      <selection pane="bottomLeft" sqref="A1:P2"/>
    </sheetView>
  </sheetViews>
  <sheetFormatPr defaultColWidth="18.6328125" defaultRowHeight="20" customHeight="1" x14ac:dyDescent="0.35"/>
  <cols>
    <col min="1" max="1" width="6.90625" style="184" bestFit="1" customWidth="1"/>
    <col min="2" max="2" width="9.7265625" style="184" bestFit="1" customWidth="1"/>
    <col min="3" max="3" width="11.90625" style="184" bestFit="1" customWidth="1"/>
    <col min="4" max="4" width="14.1796875" style="184" bestFit="1" customWidth="1"/>
    <col min="5" max="5" width="7" style="187" bestFit="1" customWidth="1"/>
    <col min="6" max="6" width="10.81640625" style="184" bestFit="1" customWidth="1"/>
    <col min="7" max="7" width="9.26953125" style="184" bestFit="1" customWidth="1"/>
    <col min="8" max="8" width="15.6328125" style="184" bestFit="1" customWidth="1"/>
    <col min="9" max="16384" width="18.6328125" style="184"/>
  </cols>
  <sheetData>
    <row r="1" spans="1:16" ht="20" customHeight="1" x14ac:dyDescent="0.35">
      <c r="A1" s="224" t="s">
        <v>650</v>
      </c>
      <c r="B1" s="224"/>
      <c r="C1" s="224"/>
      <c r="D1" s="224"/>
      <c r="E1" s="224"/>
      <c r="F1" s="224"/>
      <c r="G1" s="224"/>
      <c r="H1" s="224"/>
      <c r="I1" s="224"/>
      <c r="J1" s="224"/>
      <c r="K1" s="224"/>
      <c r="L1" s="224"/>
      <c r="M1" s="224"/>
      <c r="N1" s="224"/>
      <c r="O1" s="224"/>
      <c r="P1" s="224"/>
    </row>
    <row r="2" spans="1:16" ht="20" customHeight="1" x14ac:dyDescent="0.35">
      <c r="A2" s="224"/>
      <c r="B2" s="224"/>
      <c r="C2" s="224"/>
      <c r="D2" s="224"/>
      <c r="E2" s="224"/>
      <c r="F2" s="224"/>
      <c r="G2" s="224"/>
      <c r="H2" s="224"/>
      <c r="I2" s="224"/>
      <c r="J2" s="224"/>
      <c r="K2" s="224"/>
      <c r="L2" s="224"/>
      <c r="M2" s="224"/>
      <c r="N2" s="224"/>
      <c r="O2" s="224"/>
      <c r="P2" s="224"/>
    </row>
    <row r="3" spans="1:16" ht="20" customHeight="1" x14ac:dyDescent="0.35">
      <c r="A3" s="225" t="s">
        <v>622</v>
      </c>
      <c r="B3" s="225"/>
      <c r="C3" s="225"/>
      <c r="D3" s="225"/>
      <c r="E3" s="225"/>
      <c r="F3" s="225"/>
      <c r="G3" s="225"/>
      <c r="H3" s="225"/>
      <c r="I3" s="225"/>
      <c r="J3" s="225"/>
      <c r="K3" s="225"/>
      <c r="L3" s="225"/>
      <c r="M3" s="225"/>
      <c r="N3" s="225"/>
      <c r="O3" s="225"/>
      <c r="P3" s="225"/>
    </row>
    <row r="4" spans="1:16" ht="20" customHeight="1" x14ac:dyDescent="0.35">
      <c r="A4" s="225"/>
      <c r="B4" s="225"/>
      <c r="C4" s="225"/>
      <c r="D4" s="225"/>
      <c r="E4" s="225"/>
      <c r="F4" s="225"/>
      <c r="G4" s="225"/>
      <c r="H4" s="225"/>
      <c r="I4" s="225"/>
      <c r="J4" s="225"/>
      <c r="K4" s="225"/>
      <c r="L4" s="225"/>
      <c r="M4" s="225"/>
      <c r="N4" s="225"/>
      <c r="O4" s="225"/>
      <c r="P4" s="225"/>
    </row>
    <row r="6" spans="1:16" ht="14.5" x14ac:dyDescent="0.35">
      <c r="A6" s="194" t="s">
        <v>651</v>
      </c>
      <c r="B6" s="194" t="s">
        <v>652</v>
      </c>
      <c r="C6" s="194" t="s">
        <v>557</v>
      </c>
      <c r="D6" s="194" t="s">
        <v>568</v>
      </c>
      <c r="E6" s="189" t="s">
        <v>72</v>
      </c>
      <c r="F6" s="194" t="s">
        <v>653</v>
      </c>
      <c r="G6" s="194" t="s">
        <v>624</v>
      </c>
      <c r="H6" s="194" t="s">
        <v>654</v>
      </c>
    </row>
    <row r="7" spans="1:16" ht="14.5" x14ac:dyDescent="0.35">
      <c r="A7" s="196"/>
      <c r="B7" s="196"/>
      <c r="C7" s="196"/>
      <c r="D7" s="196"/>
      <c r="E7" s="190"/>
      <c r="F7" s="196"/>
      <c r="G7" s="196"/>
      <c r="H7" s="196"/>
    </row>
  </sheetData>
  <mergeCells count="2">
    <mergeCell ref="A1:P2"/>
    <mergeCell ref="A3:P4"/>
  </mergeCells>
  <phoneticPr fontId="136" type="noConversion"/>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C4D02-5F49-4019-9D5B-BC5A794B8D50}">
  <dimension ref="A1:U1831"/>
  <sheetViews>
    <sheetView showGridLines="0" workbookViewId="0">
      <pane ySplit="6" topLeftCell="A7" activePane="bottomLeft" state="frozenSplit"/>
      <selection pane="bottomLeft" sqref="A1:P2"/>
    </sheetView>
  </sheetViews>
  <sheetFormatPr defaultColWidth="18.6328125" defaultRowHeight="20" customHeight="1" x14ac:dyDescent="0.35"/>
  <cols>
    <col min="1" max="1" width="11.90625" style="184" bestFit="1" customWidth="1"/>
    <col min="2" max="2" width="10.08984375" style="187" bestFit="1" customWidth="1"/>
    <col min="3" max="3" width="14.81640625" style="193" bestFit="1" customWidth="1"/>
    <col min="4" max="4" width="11.54296875" style="193" bestFit="1" customWidth="1"/>
    <col min="5" max="5" width="11.7265625" style="193" bestFit="1" customWidth="1"/>
    <col min="6" max="6" width="16.81640625" style="193" bestFit="1" customWidth="1"/>
    <col min="7" max="7" width="10.453125" style="193" bestFit="1" customWidth="1"/>
    <col min="8" max="8" width="12.54296875" style="193" bestFit="1" customWidth="1"/>
    <col min="9" max="9" width="19.81640625" style="193" bestFit="1" customWidth="1"/>
    <col min="10" max="10" width="14" style="193" bestFit="1" customWidth="1"/>
    <col min="11" max="11" width="17" style="193" bestFit="1" customWidth="1"/>
    <col min="12" max="12" width="8.90625" style="193" bestFit="1" customWidth="1"/>
    <col min="13" max="13" width="13.26953125" style="193" bestFit="1" customWidth="1"/>
    <col min="14" max="14" width="7" style="193" bestFit="1" customWidth="1"/>
    <col min="15" max="15" width="16.36328125" style="193" bestFit="1" customWidth="1"/>
    <col min="16" max="16" width="10.6328125" style="193" bestFit="1" customWidth="1"/>
    <col min="17" max="17" width="12.90625" style="193" bestFit="1" customWidth="1"/>
    <col min="18" max="18" width="8.453125" style="184" bestFit="1" customWidth="1"/>
    <col min="19" max="19" width="9.26953125" style="184" bestFit="1" customWidth="1"/>
    <col min="20" max="20" width="14.08984375" style="184" bestFit="1" customWidth="1"/>
    <col min="21" max="21" width="14.90625" style="184" bestFit="1" customWidth="1"/>
    <col min="22" max="16384" width="18.6328125" style="184"/>
  </cols>
  <sheetData>
    <row r="1" spans="1:21" ht="20" customHeight="1" x14ac:dyDescent="0.35">
      <c r="A1" s="224" t="s">
        <v>637</v>
      </c>
      <c r="B1" s="224"/>
      <c r="C1" s="224"/>
      <c r="D1" s="224"/>
      <c r="E1" s="224"/>
      <c r="F1" s="224"/>
      <c r="G1" s="224"/>
      <c r="H1" s="224"/>
      <c r="I1" s="224"/>
      <c r="J1" s="224"/>
      <c r="K1" s="224"/>
      <c r="L1" s="224"/>
      <c r="M1" s="224"/>
      <c r="N1" s="224"/>
      <c r="O1" s="224"/>
      <c r="P1" s="224"/>
    </row>
    <row r="2" spans="1:21" ht="20" customHeight="1" x14ac:dyDescent="0.35">
      <c r="A2" s="224"/>
      <c r="B2" s="224"/>
      <c r="C2" s="224"/>
      <c r="D2" s="224"/>
      <c r="E2" s="224"/>
      <c r="F2" s="224"/>
      <c r="G2" s="224"/>
      <c r="H2" s="224"/>
      <c r="I2" s="224"/>
      <c r="J2" s="224"/>
      <c r="K2" s="224"/>
      <c r="L2" s="224"/>
      <c r="M2" s="224"/>
      <c r="N2" s="224"/>
      <c r="O2" s="224"/>
      <c r="P2" s="224"/>
    </row>
    <row r="3" spans="1:21" ht="20" customHeight="1" x14ac:dyDescent="0.35">
      <c r="A3" s="225" t="s">
        <v>622</v>
      </c>
      <c r="B3" s="225"/>
      <c r="C3" s="225"/>
      <c r="D3" s="225"/>
      <c r="E3" s="225"/>
      <c r="F3" s="225"/>
      <c r="G3" s="225"/>
      <c r="H3" s="225"/>
      <c r="I3" s="225"/>
      <c r="J3" s="225"/>
      <c r="K3" s="225"/>
      <c r="L3" s="225"/>
      <c r="M3" s="225"/>
      <c r="N3" s="225"/>
      <c r="O3" s="225"/>
      <c r="P3" s="225"/>
    </row>
    <row r="4" spans="1:21" ht="20" customHeight="1" x14ac:dyDescent="0.35">
      <c r="A4" s="225"/>
      <c r="B4" s="225"/>
      <c r="C4" s="225"/>
      <c r="D4" s="225"/>
      <c r="E4" s="225"/>
      <c r="F4" s="225"/>
      <c r="G4" s="225"/>
      <c r="H4" s="225"/>
      <c r="I4" s="225"/>
      <c r="J4" s="225"/>
      <c r="K4" s="225"/>
      <c r="L4" s="225"/>
      <c r="M4" s="225"/>
      <c r="N4" s="225"/>
      <c r="O4" s="225"/>
      <c r="P4" s="225"/>
    </row>
    <row r="6" spans="1:21" ht="14.5" x14ac:dyDescent="0.35">
      <c r="A6" s="194" t="s">
        <v>557</v>
      </c>
      <c r="B6" s="189" t="s">
        <v>72</v>
      </c>
      <c r="C6" s="195" t="s">
        <v>638</v>
      </c>
      <c r="D6" s="195" t="s">
        <v>639</v>
      </c>
      <c r="E6" s="195" t="s">
        <v>640</v>
      </c>
      <c r="F6" s="195" t="s">
        <v>641</v>
      </c>
      <c r="G6" s="195" t="s">
        <v>10</v>
      </c>
      <c r="H6" s="195" t="s">
        <v>642</v>
      </c>
      <c r="I6" s="195" t="s">
        <v>635</v>
      </c>
      <c r="J6" s="195" t="s">
        <v>643</v>
      </c>
      <c r="K6" s="195" t="s">
        <v>634</v>
      </c>
      <c r="L6" s="195" t="s">
        <v>27</v>
      </c>
      <c r="M6" s="195" t="s">
        <v>83</v>
      </c>
      <c r="N6" s="195" t="s">
        <v>67</v>
      </c>
      <c r="O6" s="195" t="s">
        <v>644</v>
      </c>
      <c r="P6" s="195" t="s">
        <v>645</v>
      </c>
      <c r="Q6" s="195" t="s">
        <v>646</v>
      </c>
      <c r="R6" s="194" t="s">
        <v>236</v>
      </c>
      <c r="S6" s="194" t="s">
        <v>624</v>
      </c>
      <c r="T6" s="194" t="s">
        <v>647</v>
      </c>
      <c r="U6" s="194" t="s">
        <v>648</v>
      </c>
    </row>
    <row r="7" spans="1:21" ht="14.5" x14ac:dyDescent="0.35">
      <c r="A7" s="260" t="s">
        <v>563</v>
      </c>
      <c r="B7" s="190">
        <v>45658</v>
      </c>
      <c r="C7" s="197">
        <v>0</v>
      </c>
      <c r="D7" s="197">
        <v>100000</v>
      </c>
      <c r="E7" s="197">
        <v>0</v>
      </c>
      <c r="F7" s="197">
        <v>100000</v>
      </c>
      <c r="G7" s="197">
        <v>100000</v>
      </c>
      <c r="H7" s="197">
        <v>0</v>
      </c>
      <c r="I7" s="197">
        <v>0</v>
      </c>
      <c r="J7" s="197">
        <v>100000</v>
      </c>
      <c r="K7" s="197">
        <v>100000</v>
      </c>
      <c r="L7" s="197">
        <v>0</v>
      </c>
      <c r="M7" s="197">
        <v>0</v>
      </c>
      <c r="N7" s="197">
        <v>0</v>
      </c>
      <c r="O7" s="197">
        <v>0</v>
      </c>
      <c r="P7" s="197">
        <v>0</v>
      </c>
      <c r="Q7" s="197">
        <v>0</v>
      </c>
      <c r="R7" s="260" t="s">
        <v>239</v>
      </c>
      <c r="S7" s="260" t="s">
        <v>514</v>
      </c>
      <c r="T7" s="260" t="s">
        <v>239</v>
      </c>
      <c r="U7" s="260" t="s">
        <v>514</v>
      </c>
    </row>
    <row r="8" spans="1:21" ht="14.5" x14ac:dyDescent="0.35">
      <c r="A8" s="260" t="s">
        <v>563</v>
      </c>
      <c r="B8" s="190">
        <v>45659</v>
      </c>
      <c r="C8" s="197">
        <v>100000</v>
      </c>
      <c r="D8" s="197">
        <v>0</v>
      </c>
      <c r="E8" s="197">
        <v>0</v>
      </c>
      <c r="F8" s="197">
        <v>0</v>
      </c>
      <c r="G8" s="197">
        <v>71972</v>
      </c>
      <c r="H8" s="197">
        <v>28005.5</v>
      </c>
      <c r="I8" s="197">
        <v>0</v>
      </c>
      <c r="J8" s="197">
        <v>99977.5</v>
      </c>
      <c r="K8" s="197">
        <v>99977.5</v>
      </c>
      <c r="L8" s="197">
        <v>28028</v>
      </c>
      <c r="M8" s="197">
        <v>0</v>
      </c>
      <c r="N8" s="197">
        <v>28</v>
      </c>
      <c r="O8" s="197">
        <v>0</v>
      </c>
      <c r="P8" s="197">
        <v>-22.5</v>
      </c>
      <c r="Q8" s="197">
        <v>-2.2500000000003073E-4</v>
      </c>
      <c r="R8" s="260" t="s">
        <v>239</v>
      </c>
      <c r="S8" s="260" t="s">
        <v>514</v>
      </c>
      <c r="T8" s="260" t="s">
        <v>239</v>
      </c>
      <c r="U8" s="260" t="s">
        <v>514</v>
      </c>
    </row>
    <row r="9" spans="1:21" ht="14.5" x14ac:dyDescent="0.35">
      <c r="A9" s="260" t="s">
        <v>563</v>
      </c>
      <c r="B9" s="190">
        <v>45660</v>
      </c>
      <c r="C9" s="197">
        <v>99977.5</v>
      </c>
      <c r="D9" s="197">
        <v>0</v>
      </c>
      <c r="E9" s="197">
        <v>0</v>
      </c>
      <c r="F9" s="197">
        <v>0</v>
      </c>
      <c r="G9" s="197">
        <v>71972</v>
      </c>
      <c r="H9" s="197">
        <v>28009.5</v>
      </c>
      <c r="I9" s="197">
        <v>0</v>
      </c>
      <c r="J9" s="197">
        <v>99981.5</v>
      </c>
      <c r="K9" s="197">
        <v>99981.5</v>
      </c>
      <c r="L9" s="197">
        <v>28028</v>
      </c>
      <c r="M9" s="197">
        <v>0</v>
      </c>
      <c r="N9" s="197">
        <v>0</v>
      </c>
      <c r="O9" s="197">
        <v>0</v>
      </c>
      <c r="P9" s="197">
        <v>4</v>
      </c>
      <c r="Q9" s="197">
        <v>4.0009002025387375E-5</v>
      </c>
      <c r="R9" s="260" t="s">
        <v>239</v>
      </c>
      <c r="S9" s="260" t="s">
        <v>514</v>
      </c>
      <c r="T9" s="260" t="s">
        <v>239</v>
      </c>
      <c r="U9" s="260" t="s">
        <v>514</v>
      </c>
    </row>
    <row r="10" spans="1:21" ht="14.5" x14ac:dyDescent="0.35">
      <c r="A10" s="260" t="s">
        <v>563</v>
      </c>
      <c r="B10" s="190">
        <v>45661</v>
      </c>
      <c r="C10" s="197">
        <v>99981.5</v>
      </c>
      <c r="D10" s="197">
        <v>0</v>
      </c>
      <c r="E10" s="197">
        <v>0</v>
      </c>
      <c r="F10" s="197">
        <v>0</v>
      </c>
      <c r="G10" s="197">
        <v>71972</v>
      </c>
      <c r="H10" s="197">
        <v>28009.5</v>
      </c>
      <c r="I10" s="197">
        <v>0</v>
      </c>
      <c r="J10" s="197">
        <v>99981.5</v>
      </c>
      <c r="K10" s="197">
        <v>99981.5</v>
      </c>
      <c r="L10" s="197">
        <v>28028</v>
      </c>
      <c r="M10" s="197">
        <v>0</v>
      </c>
      <c r="N10" s="197">
        <v>0</v>
      </c>
      <c r="O10" s="197">
        <v>0</v>
      </c>
      <c r="P10" s="197">
        <v>0</v>
      </c>
      <c r="Q10" s="197">
        <v>0</v>
      </c>
      <c r="R10" s="260" t="s">
        <v>239</v>
      </c>
      <c r="S10" s="260" t="s">
        <v>514</v>
      </c>
      <c r="T10" s="260" t="s">
        <v>239</v>
      </c>
      <c r="U10" s="260" t="s">
        <v>514</v>
      </c>
    </row>
    <row r="11" spans="1:21" ht="14.5" x14ac:dyDescent="0.35">
      <c r="A11" s="260" t="s">
        <v>563</v>
      </c>
      <c r="B11" s="190">
        <v>45662</v>
      </c>
      <c r="C11" s="197">
        <v>99981.5</v>
      </c>
      <c r="D11" s="197">
        <v>0</v>
      </c>
      <c r="E11" s="197">
        <v>0</v>
      </c>
      <c r="F11" s="197">
        <v>0</v>
      </c>
      <c r="G11" s="197">
        <v>71972</v>
      </c>
      <c r="H11" s="197">
        <v>28009.5</v>
      </c>
      <c r="I11" s="197">
        <v>0</v>
      </c>
      <c r="J11" s="197">
        <v>99981.5</v>
      </c>
      <c r="K11" s="197">
        <v>99981.5</v>
      </c>
      <c r="L11" s="197">
        <v>28028</v>
      </c>
      <c r="M11" s="197">
        <v>0</v>
      </c>
      <c r="N11" s="197">
        <v>0</v>
      </c>
      <c r="O11" s="197">
        <v>0</v>
      </c>
      <c r="P11" s="197">
        <v>0</v>
      </c>
      <c r="Q11" s="197">
        <v>0</v>
      </c>
      <c r="R11" s="260" t="s">
        <v>239</v>
      </c>
      <c r="S11" s="260" t="s">
        <v>514</v>
      </c>
      <c r="T11" s="260" t="s">
        <v>239</v>
      </c>
      <c r="U11" s="260" t="s">
        <v>514</v>
      </c>
    </row>
    <row r="12" spans="1:21" ht="14.5" x14ac:dyDescent="0.35">
      <c r="A12" s="260" t="s">
        <v>563</v>
      </c>
      <c r="B12" s="190">
        <v>45663</v>
      </c>
      <c r="C12" s="197">
        <v>99981.5</v>
      </c>
      <c r="D12" s="197">
        <v>0</v>
      </c>
      <c r="E12" s="197">
        <v>0</v>
      </c>
      <c r="F12" s="197">
        <v>0</v>
      </c>
      <c r="G12" s="197">
        <v>71972</v>
      </c>
      <c r="H12" s="197">
        <v>28024.5</v>
      </c>
      <c r="I12" s="197">
        <v>0</v>
      </c>
      <c r="J12" s="197">
        <v>99996.5</v>
      </c>
      <c r="K12" s="197">
        <v>99996.5</v>
      </c>
      <c r="L12" s="197">
        <v>28028</v>
      </c>
      <c r="M12" s="197">
        <v>0</v>
      </c>
      <c r="N12" s="197">
        <v>0</v>
      </c>
      <c r="O12" s="197">
        <v>0</v>
      </c>
      <c r="P12" s="197">
        <v>15</v>
      </c>
      <c r="Q12" s="197">
        <v>1.5002775513472955E-4</v>
      </c>
      <c r="R12" s="260" t="s">
        <v>239</v>
      </c>
      <c r="S12" s="260" t="s">
        <v>514</v>
      </c>
      <c r="T12" s="260" t="s">
        <v>239</v>
      </c>
      <c r="U12" s="260" t="s">
        <v>514</v>
      </c>
    </row>
    <row r="13" spans="1:21" ht="14.5" x14ac:dyDescent="0.35">
      <c r="A13" s="260" t="s">
        <v>563</v>
      </c>
      <c r="B13" s="190">
        <v>45664</v>
      </c>
      <c r="C13" s="197">
        <v>99996.5</v>
      </c>
      <c r="D13" s="197">
        <v>0</v>
      </c>
      <c r="E13" s="197">
        <v>0</v>
      </c>
      <c r="F13" s="197">
        <v>0</v>
      </c>
      <c r="G13" s="197">
        <v>71972</v>
      </c>
      <c r="H13" s="197">
        <v>28030</v>
      </c>
      <c r="I13" s="197">
        <v>0</v>
      </c>
      <c r="J13" s="197">
        <v>100002</v>
      </c>
      <c r="K13" s="197">
        <v>100002</v>
      </c>
      <c r="L13" s="197">
        <v>28028</v>
      </c>
      <c r="M13" s="197">
        <v>0</v>
      </c>
      <c r="N13" s="197">
        <v>0</v>
      </c>
      <c r="O13" s="197">
        <v>0</v>
      </c>
      <c r="P13" s="197">
        <v>5.5</v>
      </c>
      <c r="Q13" s="197">
        <v>5.5001925067355018E-5</v>
      </c>
      <c r="R13" s="260" t="s">
        <v>239</v>
      </c>
      <c r="S13" s="260" t="s">
        <v>514</v>
      </c>
      <c r="T13" s="260" t="s">
        <v>239</v>
      </c>
      <c r="U13" s="260" t="s">
        <v>514</v>
      </c>
    </row>
    <row r="14" spans="1:21" ht="14.5" x14ac:dyDescent="0.35">
      <c r="A14" s="260" t="s">
        <v>563</v>
      </c>
      <c r="B14" s="190">
        <v>45665</v>
      </c>
      <c r="C14" s="197">
        <v>100002</v>
      </c>
      <c r="D14" s="197">
        <v>0</v>
      </c>
      <c r="E14" s="197">
        <v>0</v>
      </c>
      <c r="F14" s="197">
        <v>0</v>
      </c>
      <c r="G14" s="197">
        <v>71972</v>
      </c>
      <c r="H14" s="197">
        <v>28035.5</v>
      </c>
      <c r="I14" s="197">
        <v>0</v>
      </c>
      <c r="J14" s="197">
        <v>100007.5</v>
      </c>
      <c r="K14" s="197">
        <v>100007.5</v>
      </c>
      <c r="L14" s="197">
        <v>28028</v>
      </c>
      <c r="M14" s="197">
        <v>0</v>
      </c>
      <c r="N14" s="197">
        <v>0</v>
      </c>
      <c r="O14" s="197">
        <v>0</v>
      </c>
      <c r="P14" s="197">
        <v>5.5</v>
      </c>
      <c r="Q14" s="197">
        <v>5.4998900022029673E-5</v>
      </c>
      <c r="R14" s="260" t="s">
        <v>239</v>
      </c>
      <c r="S14" s="260" t="s">
        <v>514</v>
      </c>
      <c r="T14" s="260" t="s">
        <v>239</v>
      </c>
      <c r="U14" s="260" t="s">
        <v>514</v>
      </c>
    </row>
    <row r="15" spans="1:21" ht="14.5" x14ac:dyDescent="0.35">
      <c r="A15" s="260" t="s">
        <v>563</v>
      </c>
      <c r="B15" s="190">
        <v>45666</v>
      </c>
      <c r="C15" s="197">
        <v>100007.5</v>
      </c>
      <c r="D15" s="197">
        <v>0</v>
      </c>
      <c r="E15" s="197">
        <v>0</v>
      </c>
      <c r="F15" s="197">
        <v>0</v>
      </c>
      <c r="G15" s="197">
        <v>71972</v>
      </c>
      <c r="H15" s="197">
        <v>28039.5</v>
      </c>
      <c r="I15" s="197">
        <v>0</v>
      </c>
      <c r="J15" s="197">
        <v>100011.5</v>
      </c>
      <c r="K15" s="197">
        <v>100011.5</v>
      </c>
      <c r="L15" s="197">
        <v>28028</v>
      </c>
      <c r="M15" s="197">
        <v>0</v>
      </c>
      <c r="N15" s="197">
        <v>0</v>
      </c>
      <c r="O15" s="197">
        <v>0</v>
      </c>
      <c r="P15" s="197">
        <v>4</v>
      </c>
      <c r="Q15" s="197">
        <v>3.9997000224945012E-5</v>
      </c>
      <c r="R15" s="260" t="s">
        <v>239</v>
      </c>
      <c r="S15" s="260" t="s">
        <v>514</v>
      </c>
      <c r="T15" s="260" t="s">
        <v>239</v>
      </c>
      <c r="U15" s="260" t="s">
        <v>514</v>
      </c>
    </row>
    <row r="16" spans="1:21" ht="14.5" x14ac:dyDescent="0.35">
      <c r="A16" s="260" t="s">
        <v>563</v>
      </c>
      <c r="B16" s="190">
        <v>45667</v>
      </c>
      <c r="C16" s="197">
        <v>100011.5</v>
      </c>
      <c r="D16" s="197">
        <v>0</v>
      </c>
      <c r="E16" s="197">
        <v>0</v>
      </c>
      <c r="F16" s="197">
        <v>0</v>
      </c>
      <c r="G16" s="197">
        <v>71972</v>
      </c>
      <c r="H16" s="197">
        <v>28045</v>
      </c>
      <c r="I16" s="197">
        <v>0</v>
      </c>
      <c r="J16" s="197">
        <v>100017</v>
      </c>
      <c r="K16" s="197">
        <v>100017</v>
      </c>
      <c r="L16" s="197">
        <v>28028</v>
      </c>
      <c r="M16" s="197">
        <v>0</v>
      </c>
      <c r="N16" s="197">
        <v>0</v>
      </c>
      <c r="O16" s="197">
        <v>0</v>
      </c>
      <c r="P16" s="197">
        <v>5.5</v>
      </c>
      <c r="Q16" s="197">
        <v>5.4993675727255109E-5</v>
      </c>
      <c r="R16" s="260" t="s">
        <v>239</v>
      </c>
      <c r="S16" s="260" t="s">
        <v>514</v>
      </c>
      <c r="T16" s="260" t="s">
        <v>239</v>
      </c>
      <c r="U16" s="260" t="s">
        <v>514</v>
      </c>
    </row>
    <row r="17" spans="1:21" ht="14.5" x14ac:dyDescent="0.35">
      <c r="A17" s="260" t="s">
        <v>563</v>
      </c>
      <c r="B17" s="190">
        <v>45668</v>
      </c>
      <c r="C17" s="197">
        <v>100017</v>
      </c>
      <c r="D17" s="197">
        <v>0</v>
      </c>
      <c r="E17" s="197">
        <v>0</v>
      </c>
      <c r="F17" s="197">
        <v>0</v>
      </c>
      <c r="G17" s="197">
        <v>71972</v>
      </c>
      <c r="H17" s="197">
        <v>28045</v>
      </c>
      <c r="I17" s="197">
        <v>0</v>
      </c>
      <c r="J17" s="197">
        <v>100017</v>
      </c>
      <c r="K17" s="197">
        <v>100017</v>
      </c>
      <c r="L17" s="197">
        <v>28028</v>
      </c>
      <c r="M17" s="197">
        <v>0</v>
      </c>
      <c r="N17" s="197">
        <v>0</v>
      </c>
      <c r="O17" s="197">
        <v>0</v>
      </c>
      <c r="P17" s="197">
        <v>0</v>
      </c>
      <c r="Q17" s="197">
        <v>0</v>
      </c>
      <c r="R17" s="260" t="s">
        <v>239</v>
      </c>
      <c r="S17" s="260" t="s">
        <v>514</v>
      </c>
      <c r="T17" s="260" t="s">
        <v>239</v>
      </c>
      <c r="U17" s="260" t="s">
        <v>514</v>
      </c>
    </row>
    <row r="18" spans="1:21" ht="14.5" x14ac:dyDescent="0.35">
      <c r="A18" s="260" t="s">
        <v>563</v>
      </c>
      <c r="B18" s="190">
        <v>45669</v>
      </c>
      <c r="C18" s="197">
        <v>100017</v>
      </c>
      <c r="D18" s="197">
        <v>0</v>
      </c>
      <c r="E18" s="197">
        <v>0</v>
      </c>
      <c r="F18" s="197">
        <v>0</v>
      </c>
      <c r="G18" s="197">
        <v>71972</v>
      </c>
      <c r="H18" s="197">
        <v>28045</v>
      </c>
      <c r="I18" s="197">
        <v>0</v>
      </c>
      <c r="J18" s="197">
        <v>100017</v>
      </c>
      <c r="K18" s="197">
        <v>100017</v>
      </c>
      <c r="L18" s="197">
        <v>28028</v>
      </c>
      <c r="M18" s="197">
        <v>0</v>
      </c>
      <c r="N18" s="197">
        <v>0</v>
      </c>
      <c r="O18" s="197">
        <v>0</v>
      </c>
      <c r="P18" s="197">
        <v>0</v>
      </c>
      <c r="Q18" s="197">
        <v>0</v>
      </c>
      <c r="R18" s="260" t="s">
        <v>239</v>
      </c>
      <c r="S18" s="260" t="s">
        <v>514</v>
      </c>
      <c r="T18" s="260" t="s">
        <v>239</v>
      </c>
      <c r="U18" s="260" t="s">
        <v>514</v>
      </c>
    </row>
    <row r="19" spans="1:21" ht="14.5" x14ac:dyDescent="0.35">
      <c r="A19" s="260" t="s">
        <v>563</v>
      </c>
      <c r="B19" s="190">
        <v>45670</v>
      </c>
      <c r="C19" s="197">
        <v>100017</v>
      </c>
      <c r="D19" s="197">
        <v>0</v>
      </c>
      <c r="E19" s="197">
        <v>0</v>
      </c>
      <c r="F19" s="197">
        <v>0</v>
      </c>
      <c r="G19" s="197">
        <v>71972</v>
      </c>
      <c r="H19" s="197">
        <v>28060</v>
      </c>
      <c r="I19" s="197">
        <v>0</v>
      </c>
      <c r="J19" s="197">
        <v>100032</v>
      </c>
      <c r="K19" s="197">
        <v>100032</v>
      </c>
      <c r="L19" s="197">
        <v>28028</v>
      </c>
      <c r="M19" s="197">
        <v>0</v>
      </c>
      <c r="N19" s="197">
        <v>0</v>
      </c>
      <c r="O19" s="197">
        <v>0</v>
      </c>
      <c r="P19" s="197">
        <v>15</v>
      </c>
      <c r="Q19" s="197">
        <v>1.4997450433429371E-4</v>
      </c>
      <c r="R19" s="260" t="s">
        <v>239</v>
      </c>
      <c r="S19" s="260" t="s">
        <v>514</v>
      </c>
      <c r="T19" s="260" t="s">
        <v>239</v>
      </c>
      <c r="U19" s="260" t="s">
        <v>514</v>
      </c>
    </row>
    <row r="20" spans="1:21" ht="14.5" x14ac:dyDescent="0.35">
      <c r="A20" s="260" t="s">
        <v>563</v>
      </c>
      <c r="B20" s="190">
        <v>45671</v>
      </c>
      <c r="C20" s="197">
        <v>100032</v>
      </c>
      <c r="D20" s="197">
        <v>0</v>
      </c>
      <c r="E20" s="197">
        <v>0</v>
      </c>
      <c r="F20" s="197">
        <v>0</v>
      </c>
      <c r="G20" s="197">
        <v>71972</v>
      </c>
      <c r="H20" s="197">
        <v>28065.5</v>
      </c>
      <c r="I20" s="197">
        <v>0</v>
      </c>
      <c r="J20" s="197">
        <v>100037.5</v>
      </c>
      <c r="K20" s="197">
        <v>100037.5</v>
      </c>
      <c r="L20" s="197">
        <v>28028</v>
      </c>
      <c r="M20" s="197">
        <v>0</v>
      </c>
      <c r="N20" s="197">
        <v>0</v>
      </c>
      <c r="O20" s="197">
        <v>0</v>
      </c>
      <c r="P20" s="197">
        <v>5.5</v>
      </c>
      <c r="Q20" s="197">
        <v>5.4982405630177311E-5</v>
      </c>
      <c r="R20" s="260" t="s">
        <v>239</v>
      </c>
      <c r="S20" s="260" t="s">
        <v>514</v>
      </c>
      <c r="T20" s="260" t="s">
        <v>239</v>
      </c>
      <c r="U20" s="260" t="s">
        <v>514</v>
      </c>
    </row>
    <row r="21" spans="1:21" ht="14.5" x14ac:dyDescent="0.35">
      <c r="A21" s="260" t="s">
        <v>563</v>
      </c>
      <c r="B21" s="190">
        <v>45672</v>
      </c>
      <c r="C21" s="197">
        <v>100037.5</v>
      </c>
      <c r="D21" s="197">
        <v>0</v>
      </c>
      <c r="E21" s="197">
        <v>0</v>
      </c>
      <c r="F21" s="197">
        <v>0</v>
      </c>
      <c r="G21" s="197">
        <v>71972</v>
      </c>
      <c r="H21" s="197">
        <v>28069.5</v>
      </c>
      <c r="I21" s="197">
        <v>0</v>
      </c>
      <c r="J21" s="197">
        <v>100041.5</v>
      </c>
      <c r="K21" s="197">
        <v>100041.5</v>
      </c>
      <c r="L21" s="197">
        <v>28028</v>
      </c>
      <c r="M21" s="197">
        <v>0</v>
      </c>
      <c r="N21" s="197">
        <v>0</v>
      </c>
      <c r="O21" s="197">
        <v>0</v>
      </c>
      <c r="P21" s="197">
        <v>4</v>
      </c>
      <c r="Q21" s="197">
        <v>3.9985005622966696E-5</v>
      </c>
      <c r="R21" s="260" t="s">
        <v>239</v>
      </c>
      <c r="S21" s="260" t="s">
        <v>514</v>
      </c>
      <c r="T21" s="260" t="s">
        <v>239</v>
      </c>
      <c r="U21" s="260" t="s">
        <v>514</v>
      </c>
    </row>
    <row r="22" spans="1:21" ht="14.5" x14ac:dyDescent="0.35">
      <c r="A22" s="260" t="s">
        <v>563</v>
      </c>
      <c r="B22" s="190">
        <v>45673</v>
      </c>
      <c r="C22" s="197">
        <v>100041.5</v>
      </c>
      <c r="D22" s="197">
        <v>0</v>
      </c>
      <c r="E22" s="197">
        <v>0</v>
      </c>
      <c r="F22" s="197">
        <v>0</v>
      </c>
      <c r="G22" s="197">
        <v>71972</v>
      </c>
      <c r="H22" s="197">
        <v>28075</v>
      </c>
      <c r="I22" s="197">
        <v>0</v>
      </c>
      <c r="J22" s="197">
        <v>100047</v>
      </c>
      <c r="K22" s="197">
        <v>100047</v>
      </c>
      <c r="L22" s="197">
        <v>28028</v>
      </c>
      <c r="M22" s="197">
        <v>0</v>
      </c>
      <c r="N22" s="197">
        <v>0</v>
      </c>
      <c r="O22" s="197">
        <v>0</v>
      </c>
      <c r="P22" s="197">
        <v>5.5</v>
      </c>
      <c r="Q22" s="197">
        <v>5.4977184468452123E-5</v>
      </c>
      <c r="R22" s="260" t="s">
        <v>239</v>
      </c>
      <c r="S22" s="260" t="s">
        <v>514</v>
      </c>
      <c r="T22" s="260" t="s">
        <v>239</v>
      </c>
      <c r="U22" s="260" t="s">
        <v>514</v>
      </c>
    </row>
    <row r="23" spans="1:21" ht="14.5" x14ac:dyDescent="0.35">
      <c r="A23" s="260" t="s">
        <v>563</v>
      </c>
      <c r="B23" s="190">
        <v>45674</v>
      </c>
      <c r="C23" s="197">
        <v>100047</v>
      </c>
      <c r="D23" s="197">
        <v>0</v>
      </c>
      <c r="E23" s="197">
        <v>0</v>
      </c>
      <c r="F23" s="197">
        <v>0</v>
      </c>
      <c r="G23" s="197">
        <v>71972</v>
      </c>
      <c r="H23" s="197">
        <v>28080.5</v>
      </c>
      <c r="I23" s="197">
        <v>0</v>
      </c>
      <c r="J23" s="197">
        <v>100052.5</v>
      </c>
      <c r="K23" s="197">
        <v>100052.5</v>
      </c>
      <c r="L23" s="197">
        <v>28028</v>
      </c>
      <c r="M23" s="197">
        <v>0</v>
      </c>
      <c r="N23" s="197">
        <v>0</v>
      </c>
      <c r="O23" s="197">
        <v>0</v>
      </c>
      <c r="P23" s="197">
        <v>5.5</v>
      </c>
      <c r="Q23" s="197">
        <v>5.4974162143839322E-5</v>
      </c>
      <c r="R23" s="260" t="s">
        <v>239</v>
      </c>
      <c r="S23" s="260" t="s">
        <v>514</v>
      </c>
      <c r="T23" s="260" t="s">
        <v>239</v>
      </c>
      <c r="U23" s="260" t="s">
        <v>514</v>
      </c>
    </row>
    <row r="24" spans="1:21" ht="14.5" x14ac:dyDescent="0.35">
      <c r="A24" s="260" t="s">
        <v>563</v>
      </c>
      <c r="B24" s="190">
        <v>45675</v>
      </c>
      <c r="C24" s="197">
        <v>100052.5</v>
      </c>
      <c r="D24" s="197">
        <v>0</v>
      </c>
      <c r="E24" s="197">
        <v>0</v>
      </c>
      <c r="F24" s="197">
        <v>0</v>
      </c>
      <c r="G24" s="197">
        <v>71972</v>
      </c>
      <c r="H24" s="197">
        <v>28080.5</v>
      </c>
      <c r="I24" s="197">
        <v>0</v>
      </c>
      <c r="J24" s="197">
        <v>100052.5</v>
      </c>
      <c r="K24" s="197">
        <v>100052.5</v>
      </c>
      <c r="L24" s="197">
        <v>28028</v>
      </c>
      <c r="M24" s="197">
        <v>0</v>
      </c>
      <c r="N24" s="197">
        <v>0</v>
      </c>
      <c r="O24" s="197">
        <v>0</v>
      </c>
      <c r="P24" s="197">
        <v>0</v>
      </c>
      <c r="Q24" s="197">
        <v>0</v>
      </c>
      <c r="R24" s="260" t="s">
        <v>239</v>
      </c>
      <c r="S24" s="260" t="s">
        <v>514</v>
      </c>
      <c r="T24" s="260" t="s">
        <v>239</v>
      </c>
      <c r="U24" s="260" t="s">
        <v>514</v>
      </c>
    </row>
    <row r="25" spans="1:21" ht="14.5" x14ac:dyDescent="0.35">
      <c r="A25" s="260" t="s">
        <v>563</v>
      </c>
      <c r="B25" s="190">
        <v>45676</v>
      </c>
      <c r="C25" s="197">
        <v>100052.5</v>
      </c>
      <c r="D25" s="197">
        <v>0</v>
      </c>
      <c r="E25" s="197">
        <v>0</v>
      </c>
      <c r="F25" s="197">
        <v>0</v>
      </c>
      <c r="G25" s="197">
        <v>71972</v>
      </c>
      <c r="H25" s="197">
        <v>28080.5</v>
      </c>
      <c r="I25" s="197">
        <v>0</v>
      </c>
      <c r="J25" s="197">
        <v>100052.5</v>
      </c>
      <c r="K25" s="197">
        <v>100052.5</v>
      </c>
      <c r="L25" s="197">
        <v>28028</v>
      </c>
      <c r="M25" s="197">
        <v>0</v>
      </c>
      <c r="N25" s="197">
        <v>0</v>
      </c>
      <c r="O25" s="197">
        <v>0</v>
      </c>
      <c r="P25" s="197">
        <v>0</v>
      </c>
      <c r="Q25" s="197">
        <v>0</v>
      </c>
      <c r="R25" s="260" t="s">
        <v>239</v>
      </c>
      <c r="S25" s="260" t="s">
        <v>514</v>
      </c>
      <c r="T25" s="260" t="s">
        <v>239</v>
      </c>
      <c r="U25" s="260" t="s">
        <v>514</v>
      </c>
    </row>
    <row r="26" spans="1:21" ht="14.5" x14ac:dyDescent="0.35">
      <c r="A26" s="260" t="s">
        <v>563</v>
      </c>
      <c r="B26" s="190">
        <v>45677</v>
      </c>
      <c r="C26" s="197">
        <v>100052.5</v>
      </c>
      <c r="D26" s="197">
        <v>0</v>
      </c>
      <c r="E26" s="197">
        <v>0</v>
      </c>
      <c r="F26" s="197">
        <v>0</v>
      </c>
      <c r="G26" s="197">
        <v>71972</v>
      </c>
      <c r="H26" s="197">
        <v>28095.5</v>
      </c>
      <c r="I26" s="197">
        <v>0</v>
      </c>
      <c r="J26" s="197">
        <v>100067.5</v>
      </c>
      <c r="K26" s="197">
        <v>100067.5</v>
      </c>
      <c r="L26" s="197">
        <v>28028</v>
      </c>
      <c r="M26" s="197">
        <v>0</v>
      </c>
      <c r="N26" s="197">
        <v>0</v>
      </c>
      <c r="O26" s="197">
        <v>0</v>
      </c>
      <c r="P26" s="197">
        <v>15</v>
      </c>
      <c r="Q26" s="197">
        <v>1.4992129132207488E-4</v>
      </c>
      <c r="R26" s="260" t="s">
        <v>239</v>
      </c>
      <c r="S26" s="260" t="s">
        <v>514</v>
      </c>
      <c r="T26" s="260" t="s">
        <v>239</v>
      </c>
      <c r="U26" s="260" t="s">
        <v>514</v>
      </c>
    </row>
    <row r="27" spans="1:21" ht="14.5" x14ac:dyDescent="0.35">
      <c r="A27" s="260" t="s">
        <v>563</v>
      </c>
      <c r="B27" s="190">
        <v>45678</v>
      </c>
      <c r="C27" s="197">
        <v>100067.5</v>
      </c>
      <c r="D27" s="197">
        <v>0</v>
      </c>
      <c r="E27" s="197">
        <v>0</v>
      </c>
      <c r="F27" s="197">
        <v>0</v>
      </c>
      <c r="G27" s="197">
        <v>71972</v>
      </c>
      <c r="H27" s="197">
        <v>28099.5</v>
      </c>
      <c r="I27" s="197">
        <v>0</v>
      </c>
      <c r="J27" s="197">
        <v>100071.5</v>
      </c>
      <c r="K27" s="197">
        <v>100071.5</v>
      </c>
      <c r="L27" s="197">
        <v>28028</v>
      </c>
      <c r="M27" s="197">
        <v>0</v>
      </c>
      <c r="N27" s="197">
        <v>0</v>
      </c>
      <c r="O27" s="197">
        <v>0</v>
      </c>
      <c r="P27" s="197">
        <v>4</v>
      </c>
      <c r="Q27" s="197">
        <v>3.9973018212791089E-5</v>
      </c>
      <c r="R27" s="260" t="s">
        <v>239</v>
      </c>
      <c r="S27" s="260" t="s">
        <v>514</v>
      </c>
      <c r="T27" s="260" t="s">
        <v>239</v>
      </c>
      <c r="U27" s="260" t="s">
        <v>514</v>
      </c>
    </row>
    <row r="28" spans="1:21" ht="14.5" x14ac:dyDescent="0.35">
      <c r="A28" s="260" t="s">
        <v>563</v>
      </c>
      <c r="B28" s="190">
        <v>45679</v>
      </c>
      <c r="C28" s="197">
        <v>100071.5</v>
      </c>
      <c r="D28" s="197">
        <v>0</v>
      </c>
      <c r="E28" s="197">
        <v>0</v>
      </c>
      <c r="F28" s="197">
        <v>0</v>
      </c>
      <c r="G28" s="197">
        <v>71972</v>
      </c>
      <c r="H28" s="197">
        <v>28105</v>
      </c>
      <c r="I28" s="197">
        <v>0</v>
      </c>
      <c r="J28" s="197">
        <v>100077</v>
      </c>
      <c r="K28" s="197">
        <v>100077</v>
      </c>
      <c r="L28" s="197">
        <v>28028</v>
      </c>
      <c r="M28" s="197">
        <v>0</v>
      </c>
      <c r="N28" s="197">
        <v>0</v>
      </c>
      <c r="O28" s="197">
        <v>0</v>
      </c>
      <c r="P28" s="197">
        <v>5.5</v>
      </c>
      <c r="Q28" s="197">
        <v>5.4960703097295394E-5</v>
      </c>
      <c r="R28" s="260" t="s">
        <v>239</v>
      </c>
      <c r="S28" s="260" t="s">
        <v>514</v>
      </c>
      <c r="T28" s="260" t="s">
        <v>239</v>
      </c>
      <c r="U28" s="260" t="s">
        <v>514</v>
      </c>
    </row>
    <row r="29" spans="1:21" ht="14.5" x14ac:dyDescent="0.35">
      <c r="A29" s="260" t="s">
        <v>563</v>
      </c>
      <c r="B29" s="190">
        <v>45680</v>
      </c>
      <c r="C29" s="197">
        <v>100077</v>
      </c>
      <c r="D29" s="197">
        <v>0</v>
      </c>
      <c r="E29" s="197">
        <v>0</v>
      </c>
      <c r="F29" s="197">
        <v>0</v>
      </c>
      <c r="G29" s="197">
        <v>71972</v>
      </c>
      <c r="H29" s="197">
        <v>28110.5</v>
      </c>
      <c r="I29" s="197">
        <v>0</v>
      </c>
      <c r="J29" s="197">
        <v>100082.5</v>
      </c>
      <c r="K29" s="197">
        <v>100082.5</v>
      </c>
      <c r="L29" s="197">
        <v>28028</v>
      </c>
      <c r="M29" s="197">
        <v>0</v>
      </c>
      <c r="N29" s="197">
        <v>0</v>
      </c>
      <c r="O29" s="197">
        <v>0</v>
      </c>
      <c r="P29" s="197">
        <v>5.5</v>
      </c>
      <c r="Q29" s="197">
        <v>5.4957682584344525E-5</v>
      </c>
      <c r="R29" s="260" t="s">
        <v>239</v>
      </c>
      <c r="S29" s="260" t="s">
        <v>514</v>
      </c>
      <c r="T29" s="260" t="s">
        <v>239</v>
      </c>
      <c r="U29" s="260" t="s">
        <v>514</v>
      </c>
    </row>
    <row r="30" spans="1:21" ht="14.5" x14ac:dyDescent="0.35">
      <c r="A30" s="260" t="s">
        <v>563</v>
      </c>
      <c r="B30" s="190">
        <v>45681</v>
      </c>
      <c r="C30" s="197">
        <v>100082.5</v>
      </c>
      <c r="D30" s="197">
        <v>0</v>
      </c>
      <c r="E30" s="197">
        <v>0</v>
      </c>
      <c r="F30" s="197">
        <v>0</v>
      </c>
      <c r="G30" s="197">
        <v>71972</v>
      </c>
      <c r="H30" s="197">
        <v>28114.5</v>
      </c>
      <c r="I30" s="197">
        <v>0</v>
      </c>
      <c r="J30" s="197">
        <v>100086.5</v>
      </c>
      <c r="K30" s="197">
        <v>100086.5</v>
      </c>
      <c r="L30" s="197">
        <v>28028</v>
      </c>
      <c r="M30" s="197">
        <v>0</v>
      </c>
      <c r="N30" s="197">
        <v>0</v>
      </c>
      <c r="O30" s="197">
        <v>0</v>
      </c>
      <c r="P30" s="197">
        <v>4</v>
      </c>
      <c r="Q30" s="197">
        <v>3.9967027202658656E-5</v>
      </c>
      <c r="R30" s="260" t="s">
        <v>239</v>
      </c>
      <c r="S30" s="260" t="s">
        <v>514</v>
      </c>
      <c r="T30" s="260" t="s">
        <v>239</v>
      </c>
      <c r="U30" s="260" t="s">
        <v>514</v>
      </c>
    </row>
    <row r="31" spans="1:21" ht="14.5" x14ac:dyDescent="0.35">
      <c r="A31" s="260" t="s">
        <v>563</v>
      </c>
      <c r="B31" s="190">
        <v>45682</v>
      </c>
      <c r="C31" s="197">
        <v>100086.5</v>
      </c>
      <c r="D31" s="197">
        <v>0</v>
      </c>
      <c r="E31" s="197">
        <v>0</v>
      </c>
      <c r="F31" s="197">
        <v>0</v>
      </c>
      <c r="G31" s="197">
        <v>71972</v>
      </c>
      <c r="H31" s="197">
        <v>28114.5</v>
      </c>
      <c r="I31" s="197">
        <v>0</v>
      </c>
      <c r="J31" s="197">
        <v>100086.5</v>
      </c>
      <c r="K31" s="197">
        <v>100086.5</v>
      </c>
      <c r="L31" s="197">
        <v>28028</v>
      </c>
      <c r="M31" s="197">
        <v>0</v>
      </c>
      <c r="N31" s="197">
        <v>0</v>
      </c>
      <c r="O31" s="197">
        <v>0</v>
      </c>
      <c r="P31" s="197">
        <v>0</v>
      </c>
      <c r="Q31" s="197">
        <v>0</v>
      </c>
      <c r="R31" s="260" t="s">
        <v>239</v>
      </c>
      <c r="S31" s="260" t="s">
        <v>514</v>
      </c>
      <c r="T31" s="260" t="s">
        <v>239</v>
      </c>
      <c r="U31" s="260" t="s">
        <v>514</v>
      </c>
    </row>
    <row r="32" spans="1:21" ht="14.5" x14ac:dyDescent="0.35">
      <c r="A32" s="260" t="s">
        <v>563</v>
      </c>
      <c r="B32" s="190">
        <v>45683</v>
      </c>
      <c r="C32" s="197">
        <v>100086.5</v>
      </c>
      <c r="D32" s="197">
        <v>0</v>
      </c>
      <c r="E32" s="197">
        <v>0</v>
      </c>
      <c r="F32" s="197">
        <v>0</v>
      </c>
      <c r="G32" s="197">
        <v>71972</v>
      </c>
      <c r="H32" s="197">
        <v>28114.5</v>
      </c>
      <c r="I32" s="197">
        <v>0</v>
      </c>
      <c r="J32" s="197">
        <v>100086.5</v>
      </c>
      <c r="K32" s="197">
        <v>100086.5</v>
      </c>
      <c r="L32" s="197">
        <v>28028</v>
      </c>
      <c r="M32" s="197">
        <v>0</v>
      </c>
      <c r="N32" s="197">
        <v>0</v>
      </c>
      <c r="O32" s="197">
        <v>0</v>
      </c>
      <c r="P32" s="197">
        <v>0</v>
      </c>
      <c r="Q32" s="197">
        <v>0</v>
      </c>
      <c r="R32" s="260" t="s">
        <v>239</v>
      </c>
      <c r="S32" s="260" t="s">
        <v>514</v>
      </c>
      <c r="T32" s="260" t="s">
        <v>239</v>
      </c>
      <c r="U32" s="260" t="s">
        <v>514</v>
      </c>
    </row>
    <row r="33" spans="1:21" ht="14.5" x14ac:dyDescent="0.35">
      <c r="A33" s="260" t="s">
        <v>563</v>
      </c>
      <c r="B33" s="190">
        <v>45684</v>
      </c>
      <c r="C33" s="197">
        <v>100086.5</v>
      </c>
      <c r="D33" s="197">
        <v>0</v>
      </c>
      <c r="E33" s="197">
        <v>0</v>
      </c>
      <c r="F33" s="197">
        <v>0</v>
      </c>
      <c r="G33" s="197">
        <v>71972</v>
      </c>
      <c r="H33" s="197">
        <v>28129.5</v>
      </c>
      <c r="I33" s="197">
        <v>0</v>
      </c>
      <c r="J33" s="197">
        <v>100101.5</v>
      </c>
      <c r="K33" s="197">
        <v>100101.5</v>
      </c>
      <c r="L33" s="197">
        <v>28028</v>
      </c>
      <c r="M33" s="197">
        <v>0</v>
      </c>
      <c r="N33" s="197">
        <v>0</v>
      </c>
      <c r="O33" s="197">
        <v>0</v>
      </c>
      <c r="P33" s="197">
        <v>15</v>
      </c>
      <c r="Q33" s="197">
        <v>1.4987036213676141E-4</v>
      </c>
      <c r="R33" s="260" t="s">
        <v>239</v>
      </c>
      <c r="S33" s="260" t="s">
        <v>514</v>
      </c>
      <c r="T33" s="260" t="s">
        <v>239</v>
      </c>
      <c r="U33" s="260" t="s">
        <v>514</v>
      </c>
    </row>
    <row r="34" spans="1:21" ht="14.5" x14ac:dyDescent="0.35">
      <c r="A34" s="260" t="s">
        <v>563</v>
      </c>
      <c r="B34" s="190">
        <v>45685</v>
      </c>
      <c r="C34" s="197">
        <v>100101.5</v>
      </c>
      <c r="D34" s="197">
        <v>0</v>
      </c>
      <c r="E34" s="197">
        <v>0</v>
      </c>
      <c r="F34" s="197">
        <v>0</v>
      </c>
      <c r="G34" s="197">
        <v>71972</v>
      </c>
      <c r="H34" s="197">
        <v>28135</v>
      </c>
      <c r="I34" s="197">
        <v>0</v>
      </c>
      <c r="J34" s="197">
        <v>100107</v>
      </c>
      <c r="K34" s="197">
        <v>100107</v>
      </c>
      <c r="L34" s="197">
        <v>28028</v>
      </c>
      <c r="M34" s="197">
        <v>0</v>
      </c>
      <c r="N34" s="197">
        <v>0</v>
      </c>
      <c r="O34" s="197">
        <v>0</v>
      </c>
      <c r="P34" s="197">
        <v>5.5</v>
      </c>
      <c r="Q34" s="197">
        <v>5.4944231604903138E-5</v>
      </c>
      <c r="R34" s="260" t="s">
        <v>239</v>
      </c>
      <c r="S34" s="260" t="s">
        <v>514</v>
      </c>
      <c r="T34" s="260" t="s">
        <v>239</v>
      </c>
      <c r="U34" s="260" t="s">
        <v>514</v>
      </c>
    </row>
    <row r="35" spans="1:21" ht="14.5" x14ac:dyDescent="0.35">
      <c r="A35" s="260" t="s">
        <v>563</v>
      </c>
      <c r="B35" s="190">
        <v>45686</v>
      </c>
      <c r="C35" s="197">
        <v>100107</v>
      </c>
      <c r="D35" s="197">
        <v>0</v>
      </c>
      <c r="E35" s="197">
        <v>0</v>
      </c>
      <c r="F35" s="197">
        <v>0</v>
      </c>
      <c r="G35" s="197">
        <v>71972</v>
      </c>
      <c r="H35" s="197">
        <v>28140.5</v>
      </c>
      <c r="I35" s="197">
        <v>0</v>
      </c>
      <c r="J35" s="197">
        <v>100112.5</v>
      </c>
      <c r="K35" s="197">
        <v>100112.5</v>
      </c>
      <c r="L35" s="197">
        <v>28028</v>
      </c>
      <c r="M35" s="197">
        <v>0</v>
      </c>
      <c r="N35" s="197">
        <v>0</v>
      </c>
      <c r="O35" s="197">
        <v>0</v>
      </c>
      <c r="P35" s="197">
        <v>5.5</v>
      </c>
      <c r="Q35" s="197">
        <v>5.4941212902281933E-5</v>
      </c>
      <c r="R35" s="260" t="s">
        <v>239</v>
      </c>
      <c r="S35" s="260" t="s">
        <v>514</v>
      </c>
      <c r="T35" s="260" t="s">
        <v>239</v>
      </c>
      <c r="U35" s="260" t="s">
        <v>514</v>
      </c>
    </row>
    <row r="36" spans="1:21" ht="14.5" x14ac:dyDescent="0.35">
      <c r="A36" s="260" t="s">
        <v>563</v>
      </c>
      <c r="B36" s="190">
        <v>45687</v>
      </c>
      <c r="C36" s="197">
        <v>100112.5</v>
      </c>
      <c r="D36" s="197">
        <v>0</v>
      </c>
      <c r="E36" s="197">
        <v>0</v>
      </c>
      <c r="F36" s="197">
        <v>0</v>
      </c>
      <c r="G36" s="197">
        <v>71972</v>
      </c>
      <c r="H36" s="197">
        <v>28144.5</v>
      </c>
      <c r="I36" s="197">
        <v>0</v>
      </c>
      <c r="J36" s="197">
        <v>100116.5</v>
      </c>
      <c r="K36" s="197">
        <v>100116.5</v>
      </c>
      <c r="L36" s="197">
        <v>28028</v>
      </c>
      <c r="M36" s="197">
        <v>0</v>
      </c>
      <c r="N36" s="197">
        <v>0</v>
      </c>
      <c r="O36" s="197">
        <v>0</v>
      </c>
      <c r="P36" s="197">
        <v>4</v>
      </c>
      <c r="Q36" s="197">
        <v>3.9955050568085682E-5</v>
      </c>
      <c r="R36" s="260" t="s">
        <v>239</v>
      </c>
      <c r="S36" s="260" t="s">
        <v>514</v>
      </c>
      <c r="T36" s="260" t="s">
        <v>239</v>
      </c>
      <c r="U36" s="260" t="s">
        <v>514</v>
      </c>
    </row>
    <row r="37" spans="1:21" ht="14.5" x14ac:dyDescent="0.35">
      <c r="A37" s="260" t="s">
        <v>563</v>
      </c>
      <c r="B37" s="190">
        <v>45688</v>
      </c>
      <c r="C37" s="197">
        <v>100116.5</v>
      </c>
      <c r="D37" s="197">
        <v>0</v>
      </c>
      <c r="E37" s="197">
        <v>0</v>
      </c>
      <c r="F37" s="197">
        <v>0</v>
      </c>
      <c r="G37" s="197">
        <v>71972</v>
      </c>
      <c r="H37" s="197">
        <v>28150</v>
      </c>
      <c r="I37" s="197">
        <v>0</v>
      </c>
      <c r="J37" s="197">
        <v>100122</v>
      </c>
      <c r="K37" s="197">
        <v>100122</v>
      </c>
      <c r="L37" s="197">
        <v>28028</v>
      </c>
      <c r="M37" s="197">
        <v>0</v>
      </c>
      <c r="N37" s="197">
        <v>0</v>
      </c>
      <c r="O37" s="197">
        <v>0</v>
      </c>
      <c r="P37" s="197">
        <v>5.5</v>
      </c>
      <c r="Q37" s="197">
        <v>5.4935999560523641E-5</v>
      </c>
      <c r="R37" s="260" t="s">
        <v>239</v>
      </c>
      <c r="S37" s="260" t="s">
        <v>514</v>
      </c>
      <c r="T37" s="260" t="s">
        <v>239</v>
      </c>
      <c r="U37" s="260" t="s">
        <v>514</v>
      </c>
    </row>
    <row r="38" spans="1:21" ht="14.5" x14ac:dyDescent="0.35">
      <c r="A38" s="260" t="s">
        <v>563</v>
      </c>
      <c r="B38" s="190">
        <v>45689</v>
      </c>
      <c r="C38" s="197">
        <v>100122</v>
      </c>
      <c r="D38" s="197">
        <v>0</v>
      </c>
      <c r="E38" s="197">
        <v>0</v>
      </c>
      <c r="F38" s="197">
        <v>0</v>
      </c>
      <c r="G38" s="197">
        <v>71972</v>
      </c>
      <c r="H38" s="197">
        <v>28150</v>
      </c>
      <c r="I38" s="197">
        <v>0</v>
      </c>
      <c r="J38" s="197">
        <v>100122</v>
      </c>
      <c r="K38" s="197">
        <v>100122</v>
      </c>
      <c r="L38" s="197">
        <v>28028</v>
      </c>
      <c r="M38" s="197">
        <v>0</v>
      </c>
      <c r="N38" s="197">
        <v>0</v>
      </c>
      <c r="O38" s="197">
        <v>0</v>
      </c>
      <c r="P38" s="197">
        <v>0</v>
      </c>
      <c r="Q38" s="197">
        <v>0</v>
      </c>
      <c r="R38" s="260" t="s">
        <v>239</v>
      </c>
      <c r="S38" s="260" t="s">
        <v>514</v>
      </c>
      <c r="T38" s="260" t="s">
        <v>239</v>
      </c>
      <c r="U38" s="260" t="s">
        <v>514</v>
      </c>
    </row>
    <row r="39" spans="1:21" ht="14.5" x14ac:dyDescent="0.35">
      <c r="A39" s="260" t="s">
        <v>563</v>
      </c>
      <c r="B39" s="190">
        <v>45690</v>
      </c>
      <c r="C39" s="197">
        <v>100122</v>
      </c>
      <c r="D39" s="197">
        <v>0</v>
      </c>
      <c r="E39" s="197">
        <v>0</v>
      </c>
      <c r="F39" s="197">
        <v>0</v>
      </c>
      <c r="G39" s="197">
        <v>71972</v>
      </c>
      <c r="H39" s="197">
        <v>28150</v>
      </c>
      <c r="I39" s="197">
        <v>0</v>
      </c>
      <c r="J39" s="197">
        <v>100122</v>
      </c>
      <c r="K39" s="197">
        <v>100122</v>
      </c>
      <c r="L39" s="197">
        <v>28028</v>
      </c>
      <c r="M39" s="197">
        <v>0</v>
      </c>
      <c r="N39" s="197">
        <v>0</v>
      </c>
      <c r="O39" s="197">
        <v>0</v>
      </c>
      <c r="P39" s="197">
        <v>0</v>
      </c>
      <c r="Q39" s="197">
        <v>0</v>
      </c>
      <c r="R39" s="260" t="s">
        <v>239</v>
      </c>
      <c r="S39" s="260" t="s">
        <v>514</v>
      </c>
      <c r="T39" s="260" t="s">
        <v>239</v>
      </c>
      <c r="U39" s="260" t="s">
        <v>514</v>
      </c>
    </row>
    <row r="40" spans="1:21" ht="14.5" x14ac:dyDescent="0.35">
      <c r="A40" s="260" t="s">
        <v>563</v>
      </c>
      <c r="B40" s="190">
        <v>45691</v>
      </c>
      <c r="C40" s="197">
        <v>100122</v>
      </c>
      <c r="D40" s="197">
        <v>0</v>
      </c>
      <c r="E40" s="197">
        <v>0</v>
      </c>
      <c r="F40" s="197">
        <v>0</v>
      </c>
      <c r="G40" s="197">
        <v>71972</v>
      </c>
      <c r="H40" s="197">
        <v>28105</v>
      </c>
      <c r="I40" s="197">
        <v>0</v>
      </c>
      <c r="J40" s="197">
        <v>100077</v>
      </c>
      <c r="K40" s="197">
        <v>100077</v>
      </c>
      <c r="L40" s="197">
        <v>28028</v>
      </c>
      <c r="M40" s="197">
        <v>0</v>
      </c>
      <c r="N40" s="197">
        <v>0</v>
      </c>
      <c r="O40" s="197">
        <v>0</v>
      </c>
      <c r="P40" s="197">
        <v>-45</v>
      </c>
      <c r="Q40" s="197">
        <v>-4.4945166896381838E-4</v>
      </c>
      <c r="R40" s="260" t="s">
        <v>239</v>
      </c>
      <c r="S40" s="260" t="s">
        <v>514</v>
      </c>
      <c r="T40" s="260" t="s">
        <v>239</v>
      </c>
      <c r="U40" s="260" t="s">
        <v>514</v>
      </c>
    </row>
    <row r="41" spans="1:21" ht="14.5" x14ac:dyDescent="0.35">
      <c r="A41" s="260" t="s">
        <v>563</v>
      </c>
      <c r="B41" s="190">
        <v>45692</v>
      </c>
      <c r="C41" s="197">
        <v>100077</v>
      </c>
      <c r="D41" s="197">
        <v>0</v>
      </c>
      <c r="E41" s="197">
        <v>0</v>
      </c>
      <c r="F41" s="197">
        <v>0</v>
      </c>
      <c r="G41" s="197">
        <v>71972</v>
      </c>
      <c r="H41" s="197">
        <v>28083.5</v>
      </c>
      <c r="I41" s="197">
        <v>0</v>
      </c>
      <c r="J41" s="197">
        <v>100055.5</v>
      </c>
      <c r="K41" s="197">
        <v>100055.5</v>
      </c>
      <c r="L41" s="197">
        <v>28028</v>
      </c>
      <c r="M41" s="197">
        <v>0</v>
      </c>
      <c r="N41" s="197">
        <v>0</v>
      </c>
      <c r="O41" s="197">
        <v>0</v>
      </c>
      <c r="P41" s="197">
        <v>-21.5</v>
      </c>
      <c r="Q41" s="197">
        <v>-2.1483457737536682E-4</v>
      </c>
      <c r="R41" s="260" t="s">
        <v>239</v>
      </c>
      <c r="S41" s="260" t="s">
        <v>514</v>
      </c>
      <c r="T41" s="260" t="s">
        <v>239</v>
      </c>
      <c r="U41" s="260" t="s">
        <v>514</v>
      </c>
    </row>
    <row r="42" spans="1:21" ht="14.5" x14ac:dyDescent="0.35">
      <c r="A42" s="260" t="s">
        <v>563</v>
      </c>
      <c r="B42" s="190">
        <v>45693</v>
      </c>
      <c r="C42" s="197">
        <v>100055.5</v>
      </c>
      <c r="D42" s="197">
        <v>0</v>
      </c>
      <c r="E42" s="197">
        <v>0</v>
      </c>
      <c r="F42" s="197">
        <v>0</v>
      </c>
      <c r="G42" s="197">
        <v>71972</v>
      </c>
      <c r="H42" s="197">
        <v>28061.5</v>
      </c>
      <c r="I42" s="197">
        <v>0</v>
      </c>
      <c r="J42" s="197">
        <v>100033.5</v>
      </c>
      <c r="K42" s="197">
        <v>100033.5</v>
      </c>
      <c r="L42" s="197">
        <v>28028</v>
      </c>
      <c r="M42" s="197">
        <v>0</v>
      </c>
      <c r="N42" s="197">
        <v>0</v>
      </c>
      <c r="O42" s="197">
        <v>0</v>
      </c>
      <c r="P42" s="197">
        <v>-22</v>
      </c>
      <c r="Q42" s="197">
        <v>-2.1987796772793278E-4</v>
      </c>
      <c r="R42" s="260" t="s">
        <v>239</v>
      </c>
      <c r="S42" s="260" t="s">
        <v>514</v>
      </c>
      <c r="T42" s="260" t="s">
        <v>239</v>
      </c>
      <c r="U42" s="260" t="s">
        <v>514</v>
      </c>
    </row>
    <row r="43" spans="1:21" ht="14.5" x14ac:dyDescent="0.35">
      <c r="A43" s="260" t="s">
        <v>563</v>
      </c>
      <c r="B43" s="190">
        <v>45694</v>
      </c>
      <c r="C43" s="197">
        <v>100033.5</v>
      </c>
      <c r="D43" s="197">
        <v>0</v>
      </c>
      <c r="E43" s="197">
        <v>0</v>
      </c>
      <c r="F43" s="197">
        <v>0</v>
      </c>
      <c r="G43" s="197">
        <v>71972</v>
      </c>
      <c r="H43" s="197">
        <v>28038.5</v>
      </c>
      <c r="I43" s="197">
        <v>0</v>
      </c>
      <c r="J43" s="197">
        <v>100010.5</v>
      </c>
      <c r="K43" s="197">
        <v>100010.5</v>
      </c>
      <c r="L43" s="197">
        <v>28028</v>
      </c>
      <c r="M43" s="197">
        <v>0</v>
      </c>
      <c r="N43" s="197">
        <v>0</v>
      </c>
      <c r="O43" s="197">
        <v>0</v>
      </c>
      <c r="P43" s="197">
        <v>-23</v>
      </c>
      <c r="Q43" s="197">
        <v>-2.2992297580315402E-4</v>
      </c>
      <c r="R43" s="260" t="s">
        <v>239</v>
      </c>
      <c r="S43" s="260" t="s">
        <v>514</v>
      </c>
      <c r="T43" s="260" t="s">
        <v>239</v>
      </c>
      <c r="U43" s="260" t="s">
        <v>514</v>
      </c>
    </row>
    <row r="44" spans="1:21" ht="14.5" x14ac:dyDescent="0.35">
      <c r="A44" s="260" t="s">
        <v>563</v>
      </c>
      <c r="B44" s="190">
        <v>45695</v>
      </c>
      <c r="C44" s="197">
        <v>100010.5</v>
      </c>
      <c r="D44" s="197">
        <v>0</v>
      </c>
      <c r="E44" s="197">
        <v>0</v>
      </c>
      <c r="F44" s="197">
        <v>0</v>
      </c>
      <c r="G44" s="197">
        <v>71972</v>
      </c>
      <c r="H44" s="197">
        <v>28016.5</v>
      </c>
      <c r="I44" s="197">
        <v>0</v>
      </c>
      <c r="J44" s="197">
        <v>99988.5</v>
      </c>
      <c r="K44" s="197">
        <v>99988.5</v>
      </c>
      <c r="L44" s="197">
        <v>28028</v>
      </c>
      <c r="M44" s="197">
        <v>0</v>
      </c>
      <c r="N44" s="197">
        <v>0</v>
      </c>
      <c r="O44" s="197">
        <v>0</v>
      </c>
      <c r="P44" s="197">
        <v>-22</v>
      </c>
      <c r="Q44" s="197">
        <v>-2.1997690242525625E-4</v>
      </c>
      <c r="R44" s="260" t="s">
        <v>239</v>
      </c>
      <c r="S44" s="260" t="s">
        <v>514</v>
      </c>
      <c r="T44" s="260" t="s">
        <v>239</v>
      </c>
      <c r="U44" s="260" t="s">
        <v>514</v>
      </c>
    </row>
    <row r="45" spans="1:21" ht="14.5" x14ac:dyDescent="0.35">
      <c r="A45" s="260" t="s">
        <v>563</v>
      </c>
      <c r="B45" s="190">
        <v>45696</v>
      </c>
      <c r="C45" s="197">
        <v>99988.5</v>
      </c>
      <c r="D45" s="197">
        <v>0</v>
      </c>
      <c r="E45" s="197">
        <v>0</v>
      </c>
      <c r="F45" s="197">
        <v>0</v>
      </c>
      <c r="G45" s="197">
        <v>71972</v>
      </c>
      <c r="H45" s="197">
        <v>28016.5</v>
      </c>
      <c r="I45" s="197">
        <v>0</v>
      </c>
      <c r="J45" s="197">
        <v>99988.5</v>
      </c>
      <c r="K45" s="197">
        <v>99988.5</v>
      </c>
      <c r="L45" s="197">
        <v>28028</v>
      </c>
      <c r="M45" s="197">
        <v>0</v>
      </c>
      <c r="N45" s="197">
        <v>0</v>
      </c>
      <c r="O45" s="197">
        <v>0</v>
      </c>
      <c r="P45" s="197">
        <v>0</v>
      </c>
      <c r="Q45" s="197">
        <v>0</v>
      </c>
      <c r="R45" s="260" t="s">
        <v>239</v>
      </c>
      <c r="S45" s="260" t="s">
        <v>514</v>
      </c>
      <c r="T45" s="260" t="s">
        <v>239</v>
      </c>
      <c r="U45" s="260" t="s">
        <v>514</v>
      </c>
    </row>
    <row r="46" spans="1:21" ht="14.5" x14ac:dyDescent="0.35">
      <c r="A46" s="260" t="s">
        <v>563</v>
      </c>
      <c r="B46" s="190">
        <v>45697</v>
      </c>
      <c r="C46" s="197">
        <v>99988.5</v>
      </c>
      <c r="D46" s="197">
        <v>0</v>
      </c>
      <c r="E46" s="197">
        <v>0</v>
      </c>
      <c r="F46" s="197">
        <v>0</v>
      </c>
      <c r="G46" s="197">
        <v>71972</v>
      </c>
      <c r="H46" s="197">
        <v>28016.5</v>
      </c>
      <c r="I46" s="197">
        <v>0</v>
      </c>
      <c r="J46" s="197">
        <v>99988.5</v>
      </c>
      <c r="K46" s="197">
        <v>99988.5</v>
      </c>
      <c r="L46" s="197">
        <v>28028</v>
      </c>
      <c r="M46" s="197">
        <v>0</v>
      </c>
      <c r="N46" s="197">
        <v>0</v>
      </c>
      <c r="O46" s="197">
        <v>0</v>
      </c>
      <c r="P46" s="197">
        <v>0</v>
      </c>
      <c r="Q46" s="197">
        <v>0</v>
      </c>
      <c r="R46" s="260" t="s">
        <v>239</v>
      </c>
      <c r="S46" s="260" t="s">
        <v>514</v>
      </c>
      <c r="T46" s="260" t="s">
        <v>239</v>
      </c>
      <c r="U46" s="260" t="s">
        <v>514</v>
      </c>
    </row>
    <row r="47" spans="1:21" ht="14.5" x14ac:dyDescent="0.35">
      <c r="A47" s="260" t="s">
        <v>563</v>
      </c>
      <c r="B47" s="190">
        <v>45698</v>
      </c>
      <c r="C47" s="197">
        <v>99988.5</v>
      </c>
      <c r="D47" s="197">
        <v>0</v>
      </c>
      <c r="E47" s="197">
        <v>0</v>
      </c>
      <c r="F47" s="197">
        <v>0</v>
      </c>
      <c r="G47" s="197">
        <v>71972</v>
      </c>
      <c r="H47" s="197">
        <v>27950</v>
      </c>
      <c r="I47" s="197">
        <v>0</v>
      </c>
      <c r="J47" s="197">
        <v>99922</v>
      </c>
      <c r="K47" s="197">
        <v>99922</v>
      </c>
      <c r="L47" s="197">
        <v>28028</v>
      </c>
      <c r="M47" s="197">
        <v>0</v>
      </c>
      <c r="N47" s="197">
        <v>0</v>
      </c>
      <c r="O47" s="197">
        <v>0</v>
      </c>
      <c r="P47" s="197">
        <v>-66.5</v>
      </c>
      <c r="Q47" s="197">
        <v>-6.6507648379565687E-4</v>
      </c>
      <c r="R47" s="260" t="s">
        <v>239</v>
      </c>
      <c r="S47" s="260" t="s">
        <v>514</v>
      </c>
      <c r="T47" s="260" t="s">
        <v>239</v>
      </c>
      <c r="U47" s="260" t="s">
        <v>514</v>
      </c>
    </row>
    <row r="48" spans="1:21" ht="14.5" x14ac:dyDescent="0.35">
      <c r="A48" s="260" t="s">
        <v>563</v>
      </c>
      <c r="B48" s="190">
        <v>45699</v>
      </c>
      <c r="C48" s="197">
        <v>99922</v>
      </c>
      <c r="D48" s="197">
        <v>0</v>
      </c>
      <c r="E48" s="197">
        <v>0</v>
      </c>
      <c r="F48" s="197">
        <v>0</v>
      </c>
      <c r="G48" s="197">
        <v>71972</v>
      </c>
      <c r="H48" s="197">
        <v>27928</v>
      </c>
      <c r="I48" s="197">
        <v>0</v>
      </c>
      <c r="J48" s="197">
        <v>99900</v>
      </c>
      <c r="K48" s="197">
        <v>99900</v>
      </c>
      <c r="L48" s="197">
        <v>28028</v>
      </c>
      <c r="M48" s="197">
        <v>0</v>
      </c>
      <c r="N48" s="197">
        <v>0</v>
      </c>
      <c r="O48" s="197">
        <v>0</v>
      </c>
      <c r="P48" s="197">
        <v>-22</v>
      </c>
      <c r="Q48" s="197">
        <v>-2.2017173395250111E-4</v>
      </c>
      <c r="R48" s="260" t="s">
        <v>239</v>
      </c>
      <c r="S48" s="260" t="s">
        <v>514</v>
      </c>
      <c r="T48" s="260" t="s">
        <v>239</v>
      </c>
      <c r="U48" s="260" t="s">
        <v>514</v>
      </c>
    </row>
    <row r="49" spans="1:21" ht="14.5" x14ac:dyDescent="0.35">
      <c r="A49" s="260" t="s">
        <v>563</v>
      </c>
      <c r="B49" s="190">
        <v>45700</v>
      </c>
      <c r="C49" s="197">
        <v>99900</v>
      </c>
      <c r="D49" s="197">
        <v>0</v>
      </c>
      <c r="E49" s="197">
        <v>0</v>
      </c>
      <c r="F49" s="197">
        <v>0</v>
      </c>
      <c r="G49" s="197">
        <v>71972</v>
      </c>
      <c r="H49" s="197">
        <v>27905</v>
      </c>
      <c r="I49" s="197">
        <v>0</v>
      </c>
      <c r="J49" s="197">
        <v>99877</v>
      </c>
      <c r="K49" s="197">
        <v>99877</v>
      </c>
      <c r="L49" s="197">
        <v>28028</v>
      </c>
      <c r="M49" s="197">
        <v>0</v>
      </c>
      <c r="N49" s="197">
        <v>0</v>
      </c>
      <c r="O49" s="197">
        <v>0</v>
      </c>
      <c r="P49" s="197">
        <v>-23</v>
      </c>
      <c r="Q49" s="197">
        <v>-2.3023023023027722E-4</v>
      </c>
      <c r="R49" s="260" t="s">
        <v>239</v>
      </c>
      <c r="S49" s="260" t="s">
        <v>514</v>
      </c>
      <c r="T49" s="260" t="s">
        <v>239</v>
      </c>
      <c r="U49" s="260" t="s">
        <v>514</v>
      </c>
    </row>
    <row r="50" spans="1:21" ht="14.5" x14ac:dyDescent="0.35">
      <c r="A50" s="260" t="s">
        <v>563</v>
      </c>
      <c r="B50" s="190">
        <v>45701</v>
      </c>
      <c r="C50" s="197">
        <v>99877</v>
      </c>
      <c r="D50" s="197">
        <v>0</v>
      </c>
      <c r="E50" s="197">
        <v>0</v>
      </c>
      <c r="F50" s="197">
        <v>0</v>
      </c>
      <c r="G50" s="197">
        <v>71972</v>
      </c>
      <c r="H50" s="197">
        <v>27883.5</v>
      </c>
      <c r="I50" s="197">
        <v>0</v>
      </c>
      <c r="J50" s="197">
        <v>99855.5</v>
      </c>
      <c r="K50" s="197">
        <v>99855.5</v>
      </c>
      <c r="L50" s="197">
        <v>28028</v>
      </c>
      <c r="M50" s="197">
        <v>0</v>
      </c>
      <c r="N50" s="197">
        <v>0</v>
      </c>
      <c r="O50" s="197">
        <v>0</v>
      </c>
      <c r="P50" s="197">
        <v>-21.5</v>
      </c>
      <c r="Q50" s="197">
        <v>-2.1526477567412883E-4</v>
      </c>
      <c r="R50" s="260" t="s">
        <v>239</v>
      </c>
      <c r="S50" s="260" t="s">
        <v>514</v>
      </c>
      <c r="T50" s="260" t="s">
        <v>239</v>
      </c>
      <c r="U50" s="260" t="s">
        <v>514</v>
      </c>
    </row>
    <row r="51" spans="1:21" ht="14.5" x14ac:dyDescent="0.35">
      <c r="A51" s="260" t="s">
        <v>563</v>
      </c>
      <c r="B51" s="190">
        <v>45702</v>
      </c>
      <c r="C51" s="197">
        <v>99855.5</v>
      </c>
      <c r="D51" s="197">
        <v>0</v>
      </c>
      <c r="E51" s="197">
        <v>0</v>
      </c>
      <c r="F51" s="197">
        <v>0</v>
      </c>
      <c r="G51" s="197">
        <v>71972</v>
      </c>
      <c r="H51" s="197">
        <v>27860.5</v>
      </c>
      <c r="I51" s="197">
        <v>0</v>
      </c>
      <c r="J51" s="197">
        <v>99832.5</v>
      </c>
      <c r="K51" s="197">
        <v>99832.5</v>
      </c>
      <c r="L51" s="197">
        <v>28028</v>
      </c>
      <c r="M51" s="197">
        <v>0</v>
      </c>
      <c r="N51" s="197">
        <v>0</v>
      </c>
      <c r="O51" s="197">
        <v>0</v>
      </c>
      <c r="P51" s="197">
        <v>-23</v>
      </c>
      <c r="Q51" s="197">
        <v>-2.303328309407604E-4</v>
      </c>
      <c r="R51" s="260" t="s">
        <v>239</v>
      </c>
      <c r="S51" s="260" t="s">
        <v>514</v>
      </c>
      <c r="T51" s="260" t="s">
        <v>239</v>
      </c>
      <c r="U51" s="260" t="s">
        <v>514</v>
      </c>
    </row>
    <row r="52" spans="1:21" ht="14.5" x14ac:dyDescent="0.35">
      <c r="A52" s="260" t="s">
        <v>563</v>
      </c>
      <c r="B52" s="190">
        <v>45703</v>
      </c>
      <c r="C52" s="197">
        <v>99832.5</v>
      </c>
      <c r="D52" s="197">
        <v>0</v>
      </c>
      <c r="E52" s="197">
        <v>0</v>
      </c>
      <c r="F52" s="197">
        <v>0</v>
      </c>
      <c r="G52" s="197">
        <v>71972</v>
      </c>
      <c r="H52" s="197">
        <v>27860.5</v>
      </c>
      <c r="I52" s="197">
        <v>0</v>
      </c>
      <c r="J52" s="197">
        <v>99832.5</v>
      </c>
      <c r="K52" s="197">
        <v>99832.5</v>
      </c>
      <c r="L52" s="197">
        <v>28028</v>
      </c>
      <c r="M52" s="197">
        <v>0</v>
      </c>
      <c r="N52" s="197">
        <v>0</v>
      </c>
      <c r="O52" s="197">
        <v>0</v>
      </c>
      <c r="P52" s="197">
        <v>0</v>
      </c>
      <c r="Q52" s="197">
        <v>0</v>
      </c>
      <c r="R52" s="260" t="s">
        <v>239</v>
      </c>
      <c r="S52" s="260" t="s">
        <v>514</v>
      </c>
      <c r="T52" s="260" t="s">
        <v>239</v>
      </c>
      <c r="U52" s="260" t="s">
        <v>514</v>
      </c>
    </row>
    <row r="53" spans="1:21" ht="14.5" x14ac:dyDescent="0.35">
      <c r="A53" s="260" t="s">
        <v>563</v>
      </c>
      <c r="B53" s="190">
        <v>45704</v>
      </c>
      <c r="C53" s="197">
        <v>99832.5</v>
      </c>
      <c r="D53" s="197">
        <v>0</v>
      </c>
      <c r="E53" s="197">
        <v>0</v>
      </c>
      <c r="F53" s="197">
        <v>0</v>
      </c>
      <c r="G53" s="197">
        <v>71972</v>
      </c>
      <c r="H53" s="197">
        <v>27860.5</v>
      </c>
      <c r="I53" s="197">
        <v>0</v>
      </c>
      <c r="J53" s="197">
        <v>99832.5</v>
      </c>
      <c r="K53" s="197">
        <v>99832.5</v>
      </c>
      <c r="L53" s="197">
        <v>28028</v>
      </c>
      <c r="M53" s="197">
        <v>0</v>
      </c>
      <c r="N53" s="197">
        <v>0</v>
      </c>
      <c r="O53" s="197">
        <v>0</v>
      </c>
      <c r="P53" s="197">
        <v>0</v>
      </c>
      <c r="Q53" s="197">
        <v>0</v>
      </c>
      <c r="R53" s="260" t="s">
        <v>239</v>
      </c>
      <c r="S53" s="260" t="s">
        <v>514</v>
      </c>
      <c r="T53" s="260" t="s">
        <v>239</v>
      </c>
      <c r="U53" s="260" t="s">
        <v>514</v>
      </c>
    </row>
    <row r="54" spans="1:21" ht="14.5" x14ac:dyDescent="0.35">
      <c r="A54" s="260" t="s">
        <v>563</v>
      </c>
      <c r="B54" s="190">
        <v>45705</v>
      </c>
      <c r="C54" s="197">
        <v>99832.5</v>
      </c>
      <c r="D54" s="197">
        <v>0</v>
      </c>
      <c r="E54" s="197">
        <v>0</v>
      </c>
      <c r="F54" s="197">
        <v>0</v>
      </c>
      <c r="G54" s="197">
        <v>71972</v>
      </c>
      <c r="H54" s="197">
        <v>27795</v>
      </c>
      <c r="I54" s="197">
        <v>0</v>
      </c>
      <c r="J54" s="197">
        <v>99767</v>
      </c>
      <c r="K54" s="197">
        <v>99767</v>
      </c>
      <c r="L54" s="197">
        <v>28028</v>
      </c>
      <c r="M54" s="197">
        <v>0</v>
      </c>
      <c r="N54" s="197">
        <v>0</v>
      </c>
      <c r="O54" s="197">
        <v>0</v>
      </c>
      <c r="P54" s="197">
        <v>-65.5</v>
      </c>
      <c r="Q54" s="197">
        <v>-6.560989657676819E-4</v>
      </c>
      <c r="R54" s="260" t="s">
        <v>239</v>
      </c>
      <c r="S54" s="260" t="s">
        <v>514</v>
      </c>
      <c r="T54" s="260" t="s">
        <v>239</v>
      </c>
      <c r="U54" s="260" t="s">
        <v>514</v>
      </c>
    </row>
    <row r="55" spans="1:21" ht="14.5" x14ac:dyDescent="0.35">
      <c r="A55" s="260" t="s">
        <v>563</v>
      </c>
      <c r="B55" s="190">
        <v>45706</v>
      </c>
      <c r="C55" s="197">
        <v>99767</v>
      </c>
      <c r="D55" s="197">
        <v>0</v>
      </c>
      <c r="E55" s="197">
        <v>0</v>
      </c>
      <c r="F55" s="197">
        <v>0</v>
      </c>
      <c r="G55" s="197">
        <v>71972</v>
      </c>
      <c r="H55" s="197">
        <v>27772</v>
      </c>
      <c r="I55" s="197">
        <v>0</v>
      </c>
      <c r="J55" s="197">
        <v>99744</v>
      </c>
      <c r="K55" s="197">
        <v>99744</v>
      </c>
      <c r="L55" s="197">
        <v>28028</v>
      </c>
      <c r="M55" s="197">
        <v>0</v>
      </c>
      <c r="N55" s="197">
        <v>0</v>
      </c>
      <c r="O55" s="197">
        <v>0</v>
      </c>
      <c r="P55" s="197">
        <v>-23</v>
      </c>
      <c r="Q55" s="197">
        <v>-2.3053715156318155E-4</v>
      </c>
      <c r="R55" s="260" t="s">
        <v>239</v>
      </c>
      <c r="S55" s="260" t="s">
        <v>514</v>
      </c>
      <c r="T55" s="260" t="s">
        <v>239</v>
      </c>
      <c r="U55" s="260" t="s">
        <v>514</v>
      </c>
    </row>
    <row r="56" spans="1:21" ht="14.5" x14ac:dyDescent="0.35">
      <c r="A56" s="260" t="s">
        <v>563</v>
      </c>
      <c r="B56" s="190">
        <v>45707</v>
      </c>
      <c r="C56" s="197">
        <v>99744</v>
      </c>
      <c r="D56" s="197">
        <v>0</v>
      </c>
      <c r="E56" s="197">
        <v>0</v>
      </c>
      <c r="F56" s="197">
        <v>0</v>
      </c>
      <c r="G56" s="197">
        <v>71972</v>
      </c>
      <c r="H56" s="197">
        <v>27750</v>
      </c>
      <c r="I56" s="197">
        <v>0</v>
      </c>
      <c r="J56" s="197">
        <v>99722</v>
      </c>
      <c r="K56" s="197">
        <v>99722</v>
      </c>
      <c r="L56" s="197">
        <v>28028</v>
      </c>
      <c r="M56" s="197">
        <v>0</v>
      </c>
      <c r="N56" s="197">
        <v>0</v>
      </c>
      <c r="O56" s="197">
        <v>0</v>
      </c>
      <c r="P56" s="197">
        <v>-22</v>
      </c>
      <c r="Q56" s="197">
        <v>-2.2056464549247146E-4</v>
      </c>
      <c r="R56" s="260" t="s">
        <v>239</v>
      </c>
      <c r="S56" s="260" t="s">
        <v>514</v>
      </c>
      <c r="T56" s="260" t="s">
        <v>239</v>
      </c>
      <c r="U56" s="260" t="s">
        <v>514</v>
      </c>
    </row>
    <row r="57" spans="1:21" ht="14.5" x14ac:dyDescent="0.35">
      <c r="A57" s="260" t="s">
        <v>563</v>
      </c>
      <c r="B57" s="190">
        <v>45708</v>
      </c>
      <c r="C57" s="197">
        <v>99722</v>
      </c>
      <c r="D57" s="197">
        <v>0</v>
      </c>
      <c r="E57" s="197">
        <v>0</v>
      </c>
      <c r="F57" s="197">
        <v>0</v>
      </c>
      <c r="G57" s="197">
        <v>71972</v>
      </c>
      <c r="H57" s="197">
        <v>27728</v>
      </c>
      <c r="I57" s="197">
        <v>0</v>
      </c>
      <c r="J57" s="197">
        <v>99700</v>
      </c>
      <c r="K57" s="197">
        <v>99700</v>
      </c>
      <c r="L57" s="197">
        <v>28028</v>
      </c>
      <c r="M57" s="197">
        <v>0</v>
      </c>
      <c r="N57" s="197">
        <v>0</v>
      </c>
      <c r="O57" s="197">
        <v>0</v>
      </c>
      <c r="P57" s="197">
        <v>-22</v>
      </c>
      <c r="Q57" s="197">
        <v>-2.2061330498790443E-4</v>
      </c>
      <c r="R57" s="260" t="s">
        <v>239</v>
      </c>
      <c r="S57" s="260" t="s">
        <v>514</v>
      </c>
      <c r="T57" s="260" t="s">
        <v>239</v>
      </c>
      <c r="U57" s="260" t="s">
        <v>514</v>
      </c>
    </row>
    <row r="58" spans="1:21" ht="14.5" x14ac:dyDescent="0.35">
      <c r="A58" s="260" t="s">
        <v>563</v>
      </c>
      <c r="B58" s="190">
        <v>45709</v>
      </c>
      <c r="C58" s="197">
        <v>99700</v>
      </c>
      <c r="D58" s="197">
        <v>0</v>
      </c>
      <c r="E58" s="197">
        <v>0</v>
      </c>
      <c r="F58" s="197">
        <v>0</v>
      </c>
      <c r="G58" s="197">
        <v>71972</v>
      </c>
      <c r="H58" s="197">
        <v>27706</v>
      </c>
      <c r="I58" s="197">
        <v>0</v>
      </c>
      <c r="J58" s="197">
        <v>99678</v>
      </c>
      <c r="K58" s="197">
        <v>99678</v>
      </c>
      <c r="L58" s="197">
        <v>28028</v>
      </c>
      <c r="M58" s="197">
        <v>0</v>
      </c>
      <c r="N58" s="197">
        <v>0</v>
      </c>
      <c r="O58" s="197">
        <v>0</v>
      </c>
      <c r="P58" s="197">
        <v>-22</v>
      </c>
      <c r="Q58" s="197">
        <v>-2.2066198595782627E-4</v>
      </c>
      <c r="R58" s="260" t="s">
        <v>239</v>
      </c>
      <c r="S58" s="260" t="s">
        <v>514</v>
      </c>
      <c r="T58" s="260" t="s">
        <v>239</v>
      </c>
      <c r="U58" s="260" t="s">
        <v>514</v>
      </c>
    </row>
    <row r="59" spans="1:21" ht="14.5" x14ac:dyDescent="0.35">
      <c r="A59" s="260" t="s">
        <v>563</v>
      </c>
      <c r="B59" s="190">
        <v>45710</v>
      </c>
      <c r="C59" s="197">
        <v>99678</v>
      </c>
      <c r="D59" s="197">
        <v>0</v>
      </c>
      <c r="E59" s="197">
        <v>0</v>
      </c>
      <c r="F59" s="197">
        <v>0</v>
      </c>
      <c r="G59" s="197">
        <v>71972</v>
      </c>
      <c r="H59" s="197">
        <v>27706</v>
      </c>
      <c r="I59" s="197">
        <v>0</v>
      </c>
      <c r="J59" s="197">
        <v>99678</v>
      </c>
      <c r="K59" s="197">
        <v>99678</v>
      </c>
      <c r="L59" s="197">
        <v>28028</v>
      </c>
      <c r="M59" s="197">
        <v>0</v>
      </c>
      <c r="N59" s="197">
        <v>0</v>
      </c>
      <c r="O59" s="197">
        <v>0</v>
      </c>
      <c r="P59" s="197">
        <v>0</v>
      </c>
      <c r="Q59" s="197">
        <v>0</v>
      </c>
      <c r="R59" s="260" t="s">
        <v>239</v>
      </c>
      <c r="S59" s="260" t="s">
        <v>514</v>
      </c>
      <c r="T59" s="260" t="s">
        <v>239</v>
      </c>
      <c r="U59" s="260" t="s">
        <v>514</v>
      </c>
    </row>
    <row r="60" spans="1:21" ht="14.5" x14ac:dyDescent="0.35">
      <c r="A60" s="260" t="s">
        <v>563</v>
      </c>
      <c r="B60" s="190">
        <v>45711</v>
      </c>
      <c r="C60" s="197">
        <v>99678</v>
      </c>
      <c r="D60" s="197">
        <v>0</v>
      </c>
      <c r="E60" s="197">
        <v>0</v>
      </c>
      <c r="F60" s="197">
        <v>0</v>
      </c>
      <c r="G60" s="197">
        <v>71972</v>
      </c>
      <c r="H60" s="197">
        <v>27706</v>
      </c>
      <c r="I60" s="197">
        <v>0</v>
      </c>
      <c r="J60" s="197">
        <v>99678</v>
      </c>
      <c r="K60" s="197">
        <v>99678</v>
      </c>
      <c r="L60" s="197">
        <v>28028</v>
      </c>
      <c r="M60" s="197">
        <v>0</v>
      </c>
      <c r="N60" s="197">
        <v>0</v>
      </c>
      <c r="O60" s="197">
        <v>0</v>
      </c>
      <c r="P60" s="197">
        <v>0</v>
      </c>
      <c r="Q60" s="197">
        <v>0</v>
      </c>
      <c r="R60" s="260" t="s">
        <v>239</v>
      </c>
      <c r="S60" s="260" t="s">
        <v>514</v>
      </c>
      <c r="T60" s="260" t="s">
        <v>239</v>
      </c>
      <c r="U60" s="260" t="s">
        <v>514</v>
      </c>
    </row>
    <row r="61" spans="1:21" ht="14.5" x14ac:dyDescent="0.35">
      <c r="A61" s="260" t="s">
        <v>563</v>
      </c>
      <c r="B61" s="190">
        <v>45712</v>
      </c>
      <c r="C61" s="197">
        <v>99678</v>
      </c>
      <c r="D61" s="197">
        <v>0</v>
      </c>
      <c r="E61" s="197">
        <v>0</v>
      </c>
      <c r="F61" s="197">
        <v>0</v>
      </c>
      <c r="G61" s="197">
        <v>71972</v>
      </c>
      <c r="H61" s="197">
        <v>27638.5</v>
      </c>
      <c r="I61" s="197">
        <v>0</v>
      </c>
      <c r="J61" s="197">
        <v>99610.5</v>
      </c>
      <c r="K61" s="197">
        <v>99610.5</v>
      </c>
      <c r="L61" s="197">
        <v>28028</v>
      </c>
      <c r="M61" s="197">
        <v>0</v>
      </c>
      <c r="N61" s="197">
        <v>0</v>
      </c>
      <c r="O61" s="197">
        <v>0</v>
      </c>
      <c r="P61" s="197">
        <v>-67.5</v>
      </c>
      <c r="Q61" s="197">
        <v>-6.771805212785198E-4</v>
      </c>
      <c r="R61" s="260" t="s">
        <v>239</v>
      </c>
      <c r="S61" s="260" t="s">
        <v>514</v>
      </c>
      <c r="T61" s="260" t="s">
        <v>239</v>
      </c>
      <c r="U61" s="260" t="s">
        <v>514</v>
      </c>
    </row>
    <row r="62" spans="1:21" ht="14.5" x14ac:dyDescent="0.35">
      <c r="A62" s="260" t="s">
        <v>563</v>
      </c>
      <c r="B62" s="190">
        <v>45713</v>
      </c>
      <c r="C62" s="197">
        <v>99610.5</v>
      </c>
      <c r="D62" s="197">
        <v>0</v>
      </c>
      <c r="E62" s="197">
        <v>0</v>
      </c>
      <c r="F62" s="197">
        <v>0</v>
      </c>
      <c r="G62" s="197">
        <v>71972</v>
      </c>
      <c r="H62" s="197">
        <v>27616.5</v>
      </c>
      <c r="I62" s="197">
        <v>0</v>
      </c>
      <c r="J62" s="197">
        <v>99588.5</v>
      </c>
      <c r="K62" s="197">
        <v>99588.5</v>
      </c>
      <c r="L62" s="197">
        <v>28028</v>
      </c>
      <c r="M62" s="197">
        <v>0</v>
      </c>
      <c r="N62" s="197">
        <v>0</v>
      </c>
      <c r="O62" s="197">
        <v>0</v>
      </c>
      <c r="P62" s="197">
        <v>-22</v>
      </c>
      <c r="Q62" s="197">
        <v>-2.2086025067635795E-4</v>
      </c>
      <c r="R62" s="260" t="s">
        <v>239</v>
      </c>
      <c r="S62" s="260" t="s">
        <v>514</v>
      </c>
      <c r="T62" s="260" t="s">
        <v>239</v>
      </c>
      <c r="U62" s="260" t="s">
        <v>514</v>
      </c>
    </row>
    <row r="63" spans="1:21" ht="14.5" x14ac:dyDescent="0.35">
      <c r="A63" s="260" t="s">
        <v>563</v>
      </c>
      <c r="B63" s="190">
        <v>45714</v>
      </c>
      <c r="C63" s="197">
        <v>99588.5</v>
      </c>
      <c r="D63" s="197">
        <v>0</v>
      </c>
      <c r="E63" s="197">
        <v>0</v>
      </c>
      <c r="F63" s="197">
        <v>0</v>
      </c>
      <c r="G63" s="197">
        <v>71972</v>
      </c>
      <c r="H63" s="197">
        <v>27595</v>
      </c>
      <c r="I63" s="197">
        <v>0</v>
      </c>
      <c r="J63" s="197">
        <v>99567</v>
      </c>
      <c r="K63" s="197">
        <v>99567</v>
      </c>
      <c r="L63" s="197">
        <v>28028</v>
      </c>
      <c r="M63" s="197">
        <v>0</v>
      </c>
      <c r="N63" s="197">
        <v>0</v>
      </c>
      <c r="O63" s="197">
        <v>0</v>
      </c>
      <c r="P63" s="197">
        <v>-21.5</v>
      </c>
      <c r="Q63" s="197">
        <v>-2.1588838068653526E-4</v>
      </c>
      <c r="R63" s="260" t="s">
        <v>239</v>
      </c>
      <c r="S63" s="260" t="s">
        <v>514</v>
      </c>
      <c r="T63" s="260" t="s">
        <v>239</v>
      </c>
      <c r="U63" s="260" t="s">
        <v>514</v>
      </c>
    </row>
    <row r="64" spans="1:21" ht="14.5" x14ac:dyDescent="0.35">
      <c r="A64" s="260" t="s">
        <v>563</v>
      </c>
      <c r="B64" s="190">
        <v>45715</v>
      </c>
      <c r="C64" s="197">
        <v>99567</v>
      </c>
      <c r="D64" s="197">
        <v>0</v>
      </c>
      <c r="E64" s="197">
        <v>0</v>
      </c>
      <c r="F64" s="197">
        <v>0</v>
      </c>
      <c r="G64" s="197">
        <v>71972</v>
      </c>
      <c r="H64" s="197">
        <v>27573</v>
      </c>
      <c r="I64" s="197">
        <v>0</v>
      </c>
      <c r="J64" s="197">
        <v>99545</v>
      </c>
      <c r="K64" s="197">
        <v>99545</v>
      </c>
      <c r="L64" s="197">
        <v>28028</v>
      </c>
      <c r="M64" s="197">
        <v>0</v>
      </c>
      <c r="N64" s="197">
        <v>0</v>
      </c>
      <c r="O64" s="197">
        <v>0</v>
      </c>
      <c r="P64" s="197">
        <v>-22</v>
      </c>
      <c r="Q64" s="197">
        <v>-2.2095674269584364E-4</v>
      </c>
      <c r="R64" s="260" t="s">
        <v>239</v>
      </c>
      <c r="S64" s="260" t="s">
        <v>514</v>
      </c>
      <c r="T64" s="260" t="s">
        <v>239</v>
      </c>
      <c r="U64" s="260" t="s">
        <v>514</v>
      </c>
    </row>
    <row r="65" spans="1:21" ht="14.5" x14ac:dyDescent="0.35">
      <c r="A65" s="260" t="s">
        <v>563</v>
      </c>
      <c r="B65" s="190">
        <v>45716</v>
      </c>
      <c r="C65" s="197">
        <v>99545</v>
      </c>
      <c r="D65" s="197">
        <v>0</v>
      </c>
      <c r="E65" s="197">
        <v>0</v>
      </c>
      <c r="F65" s="197">
        <v>0</v>
      </c>
      <c r="G65" s="197">
        <v>71972</v>
      </c>
      <c r="H65" s="197">
        <v>27550</v>
      </c>
      <c r="I65" s="197">
        <v>0</v>
      </c>
      <c r="J65" s="197">
        <v>99522</v>
      </c>
      <c r="K65" s="197">
        <v>99522</v>
      </c>
      <c r="L65" s="197">
        <v>28028</v>
      </c>
      <c r="M65" s="197">
        <v>0</v>
      </c>
      <c r="N65" s="197">
        <v>0</v>
      </c>
      <c r="O65" s="197">
        <v>0</v>
      </c>
      <c r="P65" s="197">
        <v>-23</v>
      </c>
      <c r="Q65" s="197">
        <v>-2.3105128333922309E-4</v>
      </c>
      <c r="R65" s="260" t="s">
        <v>239</v>
      </c>
      <c r="S65" s="260" t="s">
        <v>514</v>
      </c>
      <c r="T65" s="260" t="s">
        <v>239</v>
      </c>
      <c r="U65" s="260" t="s">
        <v>514</v>
      </c>
    </row>
    <row r="66" spans="1:21" ht="14.5" x14ac:dyDescent="0.35">
      <c r="A66" s="260" t="s">
        <v>563</v>
      </c>
      <c r="B66" s="190">
        <v>45717</v>
      </c>
      <c r="C66" s="197">
        <v>99522</v>
      </c>
      <c r="D66" s="197">
        <v>0</v>
      </c>
      <c r="E66" s="197">
        <v>0</v>
      </c>
      <c r="F66" s="197">
        <v>0</v>
      </c>
      <c r="G66" s="197">
        <v>71972</v>
      </c>
      <c r="H66" s="197">
        <v>27550</v>
      </c>
      <c r="I66" s="197">
        <v>0</v>
      </c>
      <c r="J66" s="197">
        <v>99522</v>
      </c>
      <c r="K66" s="197">
        <v>99522</v>
      </c>
      <c r="L66" s="197">
        <v>28028</v>
      </c>
      <c r="M66" s="197">
        <v>0</v>
      </c>
      <c r="N66" s="197">
        <v>0</v>
      </c>
      <c r="O66" s="197">
        <v>0</v>
      </c>
      <c r="P66" s="197">
        <v>0</v>
      </c>
      <c r="Q66" s="197">
        <v>0</v>
      </c>
      <c r="R66" s="260" t="s">
        <v>239</v>
      </c>
      <c r="S66" s="260" t="s">
        <v>514</v>
      </c>
      <c r="T66" s="260" t="s">
        <v>239</v>
      </c>
      <c r="U66" s="260" t="s">
        <v>514</v>
      </c>
    </row>
    <row r="67" spans="1:21" ht="14.5" x14ac:dyDescent="0.35">
      <c r="A67" s="260" t="s">
        <v>563</v>
      </c>
      <c r="B67" s="190">
        <v>45718</v>
      </c>
      <c r="C67" s="197">
        <v>99522</v>
      </c>
      <c r="D67" s="197">
        <v>0</v>
      </c>
      <c r="E67" s="197">
        <v>0</v>
      </c>
      <c r="F67" s="197">
        <v>0</v>
      </c>
      <c r="G67" s="197">
        <v>71972</v>
      </c>
      <c r="H67" s="197">
        <v>27550</v>
      </c>
      <c r="I67" s="197">
        <v>0</v>
      </c>
      <c r="J67" s="197">
        <v>99522</v>
      </c>
      <c r="K67" s="197">
        <v>99522</v>
      </c>
      <c r="L67" s="197">
        <v>28028</v>
      </c>
      <c r="M67" s="197">
        <v>0</v>
      </c>
      <c r="N67" s="197">
        <v>0</v>
      </c>
      <c r="O67" s="197">
        <v>0</v>
      </c>
      <c r="P67" s="197">
        <v>0</v>
      </c>
      <c r="Q67" s="197">
        <v>0</v>
      </c>
      <c r="R67" s="260" t="s">
        <v>239</v>
      </c>
      <c r="S67" s="260" t="s">
        <v>514</v>
      </c>
      <c r="T67" s="260" t="s">
        <v>239</v>
      </c>
      <c r="U67" s="260" t="s">
        <v>514</v>
      </c>
    </row>
    <row r="68" spans="1:21" ht="14.5" x14ac:dyDescent="0.35">
      <c r="A68" s="260" t="s">
        <v>563</v>
      </c>
      <c r="B68" s="190">
        <v>45719</v>
      </c>
      <c r="C68" s="197">
        <v>99522</v>
      </c>
      <c r="D68" s="197">
        <v>0</v>
      </c>
      <c r="E68" s="197">
        <v>0</v>
      </c>
      <c r="F68" s="197">
        <v>0</v>
      </c>
      <c r="G68" s="197">
        <v>67067</v>
      </c>
      <c r="H68" s="197">
        <v>32460</v>
      </c>
      <c r="I68" s="197">
        <v>0</v>
      </c>
      <c r="J68" s="197">
        <v>99527</v>
      </c>
      <c r="K68" s="197">
        <v>99527</v>
      </c>
      <c r="L68" s="197">
        <v>32933</v>
      </c>
      <c r="M68" s="197">
        <v>0</v>
      </c>
      <c r="N68" s="197">
        <v>5</v>
      </c>
      <c r="O68" s="197">
        <v>0</v>
      </c>
      <c r="P68" s="197">
        <v>5</v>
      </c>
      <c r="Q68" s="197">
        <v>5.0240147906999155E-5</v>
      </c>
      <c r="R68" s="260" t="s">
        <v>239</v>
      </c>
      <c r="S68" s="260" t="s">
        <v>514</v>
      </c>
      <c r="T68" s="260" t="s">
        <v>239</v>
      </c>
      <c r="U68" s="260" t="s">
        <v>514</v>
      </c>
    </row>
    <row r="69" spans="1:21" ht="14.5" x14ac:dyDescent="0.35">
      <c r="A69" s="260" t="s">
        <v>563</v>
      </c>
      <c r="B69" s="190">
        <v>45720</v>
      </c>
      <c r="C69" s="197">
        <v>99527</v>
      </c>
      <c r="D69" s="197">
        <v>0</v>
      </c>
      <c r="E69" s="197">
        <v>0</v>
      </c>
      <c r="F69" s="197">
        <v>0</v>
      </c>
      <c r="G69" s="197">
        <v>67067</v>
      </c>
      <c r="H69" s="197">
        <v>32490</v>
      </c>
      <c r="I69" s="197">
        <v>0</v>
      </c>
      <c r="J69" s="197">
        <v>99557</v>
      </c>
      <c r="K69" s="197">
        <v>99557</v>
      </c>
      <c r="L69" s="197">
        <v>32933</v>
      </c>
      <c r="M69" s="197">
        <v>0</v>
      </c>
      <c r="N69" s="197">
        <v>0</v>
      </c>
      <c r="O69" s="197">
        <v>0</v>
      </c>
      <c r="P69" s="197">
        <v>30</v>
      </c>
      <c r="Q69" s="197">
        <v>3.0142574376812448E-4</v>
      </c>
      <c r="R69" s="260" t="s">
        <v>239</v>
      </c>
      <c r="S69" s="260" t="s">
        <v>514</v>
      </c>
      <c r="T69" s="260" t="s">
        <v>239</v>
      </c>
      <c r="U69" s="260" t="s">
        <v>514</v>
      </c>
    </row>
    <row r="70" spans="1:21" ht="14.5" x14ac:dyDescent="0.35">
      <c r="A70" s="260" t="s">
        <v>563</v>
      </c>
      <c r="B70" s="190">
        <v>45721</v>
      </c>
      <c r="C70" s="197">
        <v>99557</v>
      </c>
      <c r="D70" s="197">
        <v>0</v>
      </c>
      <c r="E70" s="197">
        <v>0</v>
      </c>
      <c r="F70" s="197">
        <v>0</v>
      </c>
      <c r="G70" s="197">
        <v>67067</v>
      </c>
      <c r="H70" s="197">
        <v>32520</v>
      </c>
      <c r="I70" s="197">
        <v>0</v>
      </c>
      <c r="J70" s="197">
        <v>99587</v>
      </c>
      <c r="K70" s="197">
        <v>99587</v>
      </c>
      <c r="L70" s="197">
        <v>32933</v>
      </c>
      <c r="M70" s="197">
        <v>0</v>
      </c>
      <c r="N70" s="197">
        <v>0</v>
      </c>
      <c r="O70" s="197">
        <v>0</v>
      </c>
      <c r="P70" s="197">
        <v>30</v>
      </c>
      <c r="Q70" s="197">
        <v>3.0133491366757248E-4</v>
      </c>
      <c r="R70" s="260" t="s">
        <v>239</v>
      </c>
      <c r="S70" s="260" t="s">
        <v>514</v>
      </c>
      <c r="T70" s="260" t="s">
        <v>239</v>
      </c>
      <c r="U70" s="260" t="s">
        <v>514</v>
      </c>
    </row>
    <row r="71" spans="1:21" ht="14.5" x14ac:dyDescent="0.35">
      <c r="A71" s="260" t="s">
        <v>563</v>
      </c>
      <c r="B71" s="190">
        <v>45722</v>
      </c>
      <c r="C71" s="197">
        <v>99587</v>
      </c>
      <c r="D71" s="197">
        <v>0</v>
      </c>
      <c r="E71" s="197">
        <v>0</v>
      </c>
      <c r="F71" s="197">
        <v>0</v>
      </c>
      <c r="G71" s="197">
        <v>67067</v>
      </c>
      <c r="H71" s="197">
        <v>32550</v>
      </c>
      <c r="I71" s="197">
        <v>0</v>
      </c>
      <c r="J71" s="197">
        <v>99617</v>
      </c>
      <c r="K71" s="197">
        <v>99617</v>
      </c>
      <c r="L71" s="197">
        <v>32933</v>
      </c>
      <c r="M71" s="197">
        <v>0</v>
      </c>
      <c r="N71" s="197">
        <v>0</v>
      </c>
      <c r="O71" s="197">
        <v>0</v>
      </c>
      <c r="P71" s="197">
        <v>30</v>
      </c>
      <c r="Q71" s="197">
        <v>3.0124413829124563E-4</v>
      </c>
      <c r="R71" s="260" t="s">
        <v>239</v>
      </c>
      <c r="S71" s="260" t="s">
        <v>514</v>
      </c>
      <c r="T71" s="260" t="s">
        <v>239</v>
      </c>
      <c r="U71" s="260" t="s">
        <v>514</v>
      </c>
    </row>
    <row r="72" spans="1:21" ht="14.5" x14ac:dyDescent="0.35">
      <c r="A72" s="260" t="s">
        <v>563</v>
      </c>
      <c r="B72" s="190">
        <v>45723</v>
      </c>
      <c r="C72" s="197">
        <v>99617</v>
      </c>
      <c r="D72" s="197">
        <v>0</v>
      </c>
      <c r="E72" s="197">
        <v>0</v>
      </c>
      <c r="F72" s="197">
        <v>0</v>
      </c>
      <c r="G72" s="197">
        <v>67067</v>
      </c>
      <c r="H72" s="197">
        <v>32580</v>
      </c>
      <c r="I72" s="197">
        <v>0</v>
      </c>
      <c r="J72" s="197">
        <v>99647</v>
      </c>
      <c r="K72" s="197">
        <v>99647</v>
      </c>
      <c r="L72" s="197">
        <v>32933</v>
      </c>
      <c r="M72" s="197">
        <v>0</v>
      </c>
      <c r="N72" s="197">
        <v>0</v>
      </c>
      <c r="O72" s="197">
        <v>0</v>
      </c>
      <c r="P72" s="197">
        <v>30</v>
      </c>
      <c r="Q72" s="197">
        <v>3.0115341758940595E-4</v>
      </c>
      <c r="R72" s="260" t="s">
        <v>239</v>
      </c>
      <c r="S72" s="260" t="s">
        <v>514</v>
      </c>
      <c r="T72" s="260" t="s">
        <v>239</v>
      </c>
      <c r="U72" s="260" t="s">
        <v>514</v>
      </c>
    </row>
    <row r="73" spans="1:21" ht="14.5" x14ac:dyDescent="0.35">
      <c r="A73" s="260" t="s">
        <v>563</v>
      </c>
      <c r="B73" s="190">
        <v>45724</v>
      </c>
      <c r="C73" s="197">
        <v>99647</v>
      </c>
      <c r="D73" s="197">
        <v>0</v>
      </c>
      <c r="E73" s="197">
        <v>0</v>
      </c>
      <c r="F73" s="197">
        <v>0</v>
      </c>
      <c r="G73" s="197">
        <v>67067</v>
      </c>
      <c r="H73" s="197">
        <v>32580</v>
      </c>
      <c r="I73" s="197">
        <v>0</v>
      </c>
      <c r="J73" s="197">
        <v>99647</v>
      </c>
      <c r="K73" s="197">
        <v>99647</v>
      </c>
      <c r="L73" s="197">
        <v>32933</v>
      </c>
      <c r="M73" s="197">
        <v>0</v>
      </c>
      <c r="N73" s="197">
        <v>0</v>
      </c>
      <c r="O73" s="197">
        <v>0</v>
      </c>
      <c r="P73" s="197">
        <v>0</v>
      </c>
      <c r="Q73" s="197">
        <v>0</v>
      </c>
      <c r="R73" s="260" t="s">
        <v>239</v>
      </c>
      <c r="S73" s="260" t="s">
        <v>514</v>
      </c>
      <c r="T73" s="260" t="s">
        <v>239</v>
      </c>
      <c r="U73" s="260" t="s">
        <v>514</v>
      </c>
    </row>
    <row r="74" spans="1:21" ht="14.5" x14ac:dyDescent="0.35">
      <c r="A74" s="260" t="s">
        <v>563</v>
      </c>
      <c r="B74" s="190">
        <v>45725</v>
      </c>
      <c r="C74" s="197">
        <v>99647</v>
      </c>
      <c r="D74" s="197">
        <v>0</v>
      </c>
      <c r="E74" s="197">
        <v>0</v>
      </c>
      <c r="F74" s="197">
        <v>0</v>
      </c>
      <c r="G74" s="197">
        <v>67067</v>
      </c>
      <c r="H74" s="197">
        <v>32580</v>
      </c>
      <c r="I74" s="197">
        <v>0</v>
      </c>
      <c r="J74" s="197">
        <v>99647</v>
      </c>
      <c r="K74" s="197">
        <v>99647</v>
      </c>
      <c r="L74" s="197">
        <v>32933</v>
      </c>
      <c r="M74" s="197">
        <v>0</v>
      </c>
      <c r="N74" s="197">
        <v>0</v>
      </c>
      <c r="O74" s="197">
        <v>0</v>
      </c>
      <c r="P74" s="197">
        <v>0</v>
      </c>
      <c r="Q74" s="197">
        <v>0</v>
      </c>
      <c r="R74" s="260" t="s">
        <v>239</v>
      </c>
      <c r="S74" s="260" t="s">
        <v>514</v>
      </c>
      <c r="T74" s="260" t="s">
        <v>239</v>
      </c>
      <c r="U74" s="260" t="s">
        <v>514</v>
      </c>
    </row>
    <row r="75" spans="1:21" ht="14.5" x14ac:dyDescent="0.35">
      <c r="A75" s="260" t="s">
        <v>563</v>
      </c>
      <c r="B75" s="190">
        <v>45726</v>
      </c>
      <c r="C75" s="197">
        <v>99647</v>
      </c>
      <c r="D75" s="197">
        <v>0</v>
      </c>
      <c r="E75" s="197">
        <v>0</v>
      </c>
      <c r="F75" s="197">
        <v>0</v>
      </c>
      <c r="G75" s="197">
        <v>67067</v>
      </c>
      <c r="H75" s="197">
        <v>32670</v>
      </c>
      <c r="I75" s="197">
        <v>0</v>
      </c>
      <c r="J75" s="197">
        <v>99737</v>
      </c>
      <c r="K75" s="197">
        <v>99737</v>
      </c>
      <c r="L75" s="197">
        <v>32933</v>
      </c>
      <c r="M75" s="197">
        <v>0</v>
      </c>
      <c r="N75" s="197">
        <v>0</v>
      </c>
      <c r="O75" s="197">
        <v>0</v>
      </c>
      <c r="P75" s="197">
        <v>90</v>
      </c>
      <c r="Q75" s="197">
        <v>9.031882545385006E-4</v>
      </c>
      <c r="R75" s="260" t="s">
        <v>239</v>
      </c>
      <c r="S75" s="260" t="s">
        <v>514</v>
      </c>
      <c r="T75" s="260" t="s">
        <v>239</v>
      </c>
      <c r="U75" s="260" t="s">
        <v>514</v>
      </c>
    </row>
    <row r="76" spans="1:21" ht="14.5" x14ac:dyDescent="0.35">
      <c r="A76" s="260" t="s">
        <v>563</v>
      </c>
      <c r="B76" s="190">
        <v>45727</v>
      </c>
      <c r="C76" s="197">
        <v>99737</v>
      </c>
      <c r="D76" s="197">
        <v>0</v>
      </c>
      <c r="E76" s="197">
        <v>0</v>
      </c>
      <c r="F76" s="197">
        <v>0</v>
      </c>
      <c r="G76" s="197">
        <v>67067</v>
      </c>
      <c r="H76" s="197">
        <v>32700</v>
      </c>
      <c r="I76" s="197">
        <v>0</v>
      </c>
      <c r="J76" s="197">
        <v>99767</v>
      </c>
      <c r="K76" s="197">
        <v>99767</v>
      </c>
      <c r="L76" s="197">
        <v>32933</v>
      </c>
      <c r="M76" s="197">
        <v>0</v>
      </c>
      <c r="N76" s="197">
        <v>0</v>
      </c>
      <c r="O76" s="197">
        <v>0</v>
      </c>
      <c r="P76" s="197">
        <v>30</v>
      </c>
      <c r="Q76" s="197">
        <v>3.0079108054192893E-4</v>
      </c>
      <c r="R76" s="260" t="s">
        <v>239</v>
      </c>
      <c r="S76" s="260" t="s">
        <v>514</v>
      </c>
      <c r="T76" s="260" t="s">
        <v>239</v>
      </c>
      <c r="U76" s="260" t="s">
        <v>514</v>
      </c>
    </row>
    <row r="77" spans="1:21" ht="14.5" x14ac:dyDescent="0.35">
      <c r="A77" s="260" t="s">
        <v>563</v>
      </c>
      <c r="B77" s="190">
        <v>45728</v>
      </c>
      <c r="C77" s="197">
        <v>99767</v>
      </c>
      <c r="D77" s="197">
        <v>0</v>
      </c>
      <c r="E77" s="197">
        <v>0</v>
      </c>
      <c r="F77" s="197">
        <v>0</v>
      </c>
      <c r="G77" s="197">
        <v>67067</v>
      </c>
      <c r="H77" s="197">
        <v>32730</v>
      </c>
      <c r="I77" s="197">
        <v>0</v>
      </c>
      <c r="J77" s="197">
        <v>99797</v>
      </c>
      <c r="K77" s="197">
        <v>99797</v>
      </c>
      <c r="L77" s="197">
        <v>32933</v>
      </c>
      <c r="M77" s="197">
        <v>0</v>
      </c>
      <c r="N77" s="197">
        <v>0</v>
      </c>
      <c r="O77" s="197">
        <v>0</v>
      </c>
      <c r="P77" s="197">
        <v>30</v>
      </c>
      <c r="Q77" s="197">
        <v>3.007006324735606E-4</v>
      </c>
      <c r="R77" s="260" t="s">
        <v>239</v>
      </c>
      <c r="S77" s="260" t="s">
        <v>514</v>
      </c>
      <c r="T77" s="260" t="s">
        <v>239</v>
      </c>
      <c r="U77" s="260" t="s">
        <v>514</v>
      </c>
    </row>
    <row r="78" spans="1:21" ht="14.5" x14ac:dyDescent="0.35">
      <c r="A78" s="260" t="s">
        <v>563</v>
      </c>
      <c r="B78" s="190">
        <v>45729</v>
      </c>
      <c r="C78" s="197">
        <v>99797</v>
      </c>
      <c r="D78" s="197">
        <v>0</v>
      </c>
      <c r="E78" s="197">
        <v>0</v>
      </c>
      <c r="F78" s="197">
        <v>0</v>
      </c>
      <c r="G78" s="197">
        <v>67067</v>
      </c>
      <c r="H78" s="197">
        <v>32760</v>
      </c>
      <c r="I78" s="197">
        <v>0</v>
      </c>
      <c r="J78" s="197">
        <v>99827</v>
      </c>
      <c r="K78" s="197">
        <v>99827</v>
      </c>
      <c r="L78" s="197">
        <v>32933</v>
      </c>
      <c r="M78" s="197">
        <v>0</v>
      </c>
      <c r="N78" s="197">
        <v>0</v>
      </c>
      <c r="O78" s="197">
        <v>0</v>
      </c>
      <c r="P78" s="197">
        <v>30</v>
      </c>
      <c r="Q78" s="197">
        <v>3.006102387848042E-4</v>
      </c>
      <c r="R78" s="260" t="s">
        <v>239</v>
      </c>
      <c r="S78" s="260" t="s">
        <v>514</v>
      </c>
      <c r="T78" s="260" t="s">
        <v>239</v>
      </c>
      <c r="U78" s="260" t="s">
        <v>514</v>
      </c>
    </row>
    <row r="79" spans="1:21" ht="14.5" x14ac:dyDescent="0.35">
      <c r="A79" s="260" t="s">
        <v>563</v>
      </c>
      <c r="B79" s="190">
        <v>45730</v>
      </c>
      <c r="C79" s="197">
        <v>99827</v>
      </c>
      <c r="D79" s="197">
        <v>0</v>
      </c>
      <c r="E79" s="197">
        <v>0</v>
      </c>
      <c r="F79" s="197">
        <v>0</v>
      </c>
      <c r="G79" s="197">
        <v>67067</v>
      </c>
      <c r="H79" s="197">
        <v>32790</v>
      </c>
      <c r="I79" s="197">
        <v>0</v>
      </c>
      <c r="J79" s="197">
        <v>99857</v>
      </c>
      <c r="K79" s="197">
        <v>99857</v>
      </c>
      <c r="L79" s="197">
        <v>32933</v>
      </c>
      <c r="M79" s="197">
        <v>0</v>
      </c>
      <c r="N79" s="197">
        <v>0</v>
      </c>
      <c r="O79" s="197">
        <v>0</v>
      </c>
      <c r="P79" s="197">
        <v>30</v>
      </c>
      <c r="Q79" s="197">
        <v>3.0051989942592172E-4</v>
      </c>
      <c r="R79" s="260" t="s">
        <v>239</v>
      </c>
      <c r="S79" s="260" t="s">
        <v>514</v>
      </c>
      <c r="T79" s="260" t="s">
        <v>239</v>
      </c>
      <c r="U79" s="260" t="s">
        <v>514</v>
      </c>
    </row>
    <row r="80" spans="1:21" ht="14.5" x14ac:dyDescent="0.35">
      <c r="A80" s="260" t="s">
        <v>563</v>
      </c>
      <c r="B80" s="190">
        <v>45731</v>
      </c>
      <c r="C80" s="197">
        <v>99857</v>
      </c>
      <c r="D80" s="197">
        <v>0</v>
      </c>
      <c r="E80" s="197">
        <v>0</v>
      </c>
      <c r="F80" s="197">
        <v>0</v>
      </c>
      <c r="G80" s="197">
        <v>67067</v>
      </c>
      <c r="H80" s="197">
        <v>32790</v>
      </c>
      <c r="I80" s="197">
        <v>0</v>
      </c>
      <c r="J80" s="197">
        <v>99857</v>
      </c>
      <c r="K80" s="197">
        <v>99857</v>
      </c>
      <c r="L80" s="197">
        <v>32933</v>
      </c>
      <c r="M80" s="197">
        <v>0</v>
      </c>
      <c r="N80" s="197">
        <v>0</v>
      </c>
      <c r="O80" s="197">
        <v>0</v>
      </c>
      <c r="P80" s="197">
        <v>0</v>
      </c>
      <c r="Q80" s="197">
        <v>0</v>
      </c>
      <c r="R80" s="260" t="s">
        <v>239</v>
      </c>
      <c r="S80" s="260" t="s">
        <v>514</v>
      </c>
      <c r="T80" s="260" t="s">
        <v>239</v>
      </c>
      <c r="U80" s="260" t="s">
        <v>514</v>
      </c>
    </row>
    <row r="81" spans="1:21" ht="14.5" x14ac:dyDescent="0.35">
      <c r="A81" s="260" t="s">
        <v>563</v>
      </c>
      <c r="B81" s="190">
        <v>45732</v>
      </c>
      <c r="C81" s="197">
        <v>99857</v>
      </c>
      <c r="D81" s="197">
        <v>0</v>
      </c>
      <c r="E81" s="197">
        <v>0</v>
      </c>
      <c r="F81" s="197">
        <v>0</v>
      </c>
      <c r="G81" s="197">
        <v>67067</v>
      </c>
      <c r="H81" s="197">
        <v>32790</v>
      </c>
      <c r="I81" s="197">
        <v>0</v>
      </c>
      <c r="J81" s="197">
        <v>99857</v>
      </c>
      <c r="K81" s="197">
        <v>99857</v>
      </c>
      <c r="L81" s="197">
        <v>32933</v>
      </c>
      <c r="M81" s="197">
        <v>0</v>
      </c>
      <c r="N81" s="197">
        <v>0</v>
      </c>
      <c r="O81" s="197">
        <v>0</v>
      </c>
      <c r="P81" s="197">
        <v>0</v>
      </c>
      <c r="Q81" s="197">
        <v>0</v>
      </c>
      <c r="R81" s="260" t="s">
        <v>239</v>
      </c>
      <c r="S81" s="260" t="s">
        <v>514</v>
      </c>
      <c r="T81" s="260" t="s">
        <v>239</v>
      </c>
      <c r="U81" s="260" t="s">
        <v>514</v>
      </c>
    </row>
    <row r="82" spans="1:21" ht="14.5" x14ac:dyDescent="0.35">
      <c r="A82" s="260" t="s">
        <v>563</v>
      </c>
      <c r="B82" s="190">
        <v>45733</v>
      </c>
      <c r="C82" s="197">
        <v>99857</v>
      </c>
      <c r="D82" s="197">
        <v>0</v>
      </c>
      <c r="E82" s="197">
        <v>0</v>
      </c>
      <c r="F82" s="197">
        <v>0</v>
      </c>
      <c r="G82" s="197">
        <v>67067</v>
      </c>
      <c r="H82" s="197">
        <v>32880</v>
      </c>
      <c r="I82" s="197">
        <v>0</v>
      </c>
      <c r="J82" s="197">
        <v>99947</v>
      </c>
      <c r="K82" s="197">
        <v>99947</v>
      </c>
      <c r="L82" s="197">
        <v>32933</v>
      </c>
      <c r="M82" s="197">
        <v>0</v>
      </c>
      <c r="N82" s="197">
        <v>0</v>
      </c>
      <c r="O82" s="197">
        <v>0</v>
      </c>
      <c r="P82" s="197">
        <v>90</v>
      </c>
      <c r="Q82" s="197">
        <v>9.0128884304552237E-4</v>
      </c>
      <c r="R82" s="260" t="s">
        <v>239</v>
      </c>
      <c r="S82" s="260" t="s">
        <v>514</v>
      </c>
      <c r="T82" s="260" t="s">
        <v>239</v>
      </c>
      <c r="U82" s="260" t="s">
        <v>514</v>
      </c>
    </row>
    <row r="83" spans="1:21" ht="14.5" x14ac:dyDescent="0.35">
      <c r="A83" s="260" t="s">
        <v>563</v>
      </c>
      <c r="B83" s="190">
        <v>45734</v>
      </c>
      <c r="C83" s="197">
        <v>99947</v>
      </c>
      <c r="D83" s="197">
        <v>0</v>
      </c>
      <c r="E83" s="197">
        <v>0</v>
      </c>
      <c r="F83" s="197">
        <v>0</v>
      </c>
      <c r="G83" s="197">
        <v>67067</v>
      </c>
      <c r="H83" s="197">
        <v>32910</v>
      </c>
      <c r="I83" s="197">
        <v>0</v>
      </c>
      <c r="J83" s="197">
        <v>99977</v>
      </c>
      <c r="K83" s="197">
        <v>99977</v>
      </c>
      <c r="L83" s="197">
        <v>32933</v>
      </c>
      <c r="M83" s="197">
        <v>0</v>
      </c>
      <c r="N83" s="197">
        <v>0</v>
      </c>
      <c r="O83" s="197">
        <v>0</v>
      </c>
      <c r="P83" s="197">
        <v>30</v>
      </c>
      <c r="Q83" s="197">
        <v>3.0015908431457738E-4</v>
      </c>
      <c r="R83" s="260" t="s">
        <v>239</v>
      </c>
      <c r="S83" s="260" t="s">
        <v>514</v>
      </c>
      <c r="T83" s="260" t="s">
        <v>239</v>
      </c>
      <c r="U83" s="260" t="s">
        <v>514</v>
      </c>
    </row>
    <row r="84" spans="1:21" ht="14.5" x14ac:dyDescent="0.35">
      <c r="A84" s="260" t="s">
        <v>563</v>
      </c>
      <c r="B84" s="190">
        <v>45735</v>
      </c>
      <c r="C84" s="197">
        <v>99977</v>
      </c>
      <c r="D84" s="197">
        <v>0</v>
      </c>
      <c r="E84" s="197">
        <v>0</v>
      </c>
      <c r="F84" s="197">
        <v>0</v>
      </c>
      <c r="G84" s="197">
        <v>67067</v>
      </c>
      <c r="H84" s="197">
        <v>32940</v>
      </c>
      <c r="I84" s="197">
        <v>0</v>
      </c>
      <c r="J84" s="197">
        <v>100007</v>
      </c>
      <c r="K84" s="197">
        <v>100007</v>
      </c>
      <c r="L84" s="197">
        <v>32933</v>
      </c>
      <c r="M84" s="197">
        <v>0</v>
      </c>
      <c r="N84" s="197">
        <v>0</v>
      </c>
      <c r="O84" s="197">
        <v>0</v>
      </c>
      <c r="P84" s="197">
        <v>30</v>
      </c>
      <c r="Q84" s="197">
        <v>3.0006901587364965E-4</v>
      </c>
      <c r="R84" s="260" t="s">
        <v>239</v>
      </c>
      <c r="S84" s="260" t="s">
        <v>514</v>
      </c>
      <c r="T84" s="260" t="s">
        <v>239</v>
      </c>
      <c r="U84" s="260" t="s">
        <v>514</v>
      </c>
    </row>
    <row r="85" spans="1:21" ht="14.5" x14ac:dyDescent="0.35">
      <c r="A85" s="260" t="s">
        <v>563</v>
      </c>
      <c r="B85" s="190">
        <v>45736</v>
      </c>
      <c r="C85" s="197">
        <v>100007</v>
      </c>
      <c r="D85" s="197">
        <v>0</v>
      </c>
      <c r="E85" s="197">
        <v>0</v>
      </c>
      <c r="F85" s="197">
        <v>0</v>
      </c>
      <c r="G85" s="197">
        <v>67067</v>
      </c>
      <c r="H85" s="197">
        <v>32970</v>
      </c>
      <c r="I85" s="197">
        <v>0</v>
      </c>
      <c r="J85" s="197">
        <v>100037</v>
      </c>
      <c r="K85" s="197">
        <v>100037</v>
      </c>
      <c r="L85" s="197">
        <v>32933</v>
      </c>
      <c r="M85" s="197">
        <v>0</v>
      </c>
      <c r="N85" s="197">
        <v>0</v>
      </c>
      <c r="O85" s="197">
        <v>0</v>
      </c>
      <c r="P85" s="197">
        <v>30</v>
      </c>
      <c r="Q85" s="197">
        <v>2.9997900146994105E-4</v>
      </c>
      <c r="R85" s="260" t="s">
        <v>239</v>
      </c>
      <c r="S85" s="260" t="s">
        <v>514</v>
      </c>
      <c r="T85" s="260" t="s">
        <v>239</v>
      </c>
      <c r="U85" s="260" t="s">
        <v>514</v>
      </c>
    </row>
    <row r="86" spans="1:21" ht="14.5" x14ac:dyDescent="0.35">
      <c r="A86" s="260" t="s">
        <v>563</v>
      </c>
      <c r="B86" s="190">
        <v>45737</v>
      </c>
      <c r="C86" s="197">
        <v>100037</v>
      </c>
      <c r="D86" s="197">
        <v>0</v>
      </c>
      <c r="E86" s="197">
        <v>0</v>
      </c>
      <c r="F86" s="197">
        <v>0</v>
      </c>
      <c r="G86" s="197">
        <v>67067</v>
      </c>
      <c r="H86" s="197">
        <v>33000</v>
      </c>
      <c r="I86" s="197">
        <v>0</v>
      </c>
      <c r="J86" s="197">
        <v>100067</v>
      </c>
      <c r="K86" s="197">
        <v>100067</v>
      </c>
      <c r="L86" s="197">
        <v>32933</v>
      </c>
      <c r="M86" s="197">
        <v>0</v>
      </c>
      <c r="N86" s="197">
        <v>0</v>
      </c>
      <c r="O86" s="197">
        <v>0</v>
      </c>
      <c r="P86" s="197">
        <v>30</v>
      </c>
      <c r="Q86" s="197">
        <v>2.9988904105482383E-4</v>
      </c>
      <c r="R86" s="260" t="s">
        <v>239</v>
      </c>
      <c r="S86" s="260" t="s">
        <v>514</v>
      </c>
      <c r="T86" s="260" t="s">
        <v>239</v>
      </c>
      <c r="U86" s="260" t="s">
        <v>514</v>
      </c>
    </row>
    <row r="87" spans="1:21" ht="14.5" x14ac:dyDescent="0.35">
      <c r="A87" s="260" t="s">
        <v>563</v>
      </c>
      <c r="B87" s="190">
        <v>45738</v>
      </c>
      <c r="C87" s="197">
        <v>100067</v>
      </c>
      <c r="D87" s="197">
        <v>0</v>
      </c>
      <c r="E87" s="197">
        <v>0</v>
      </c>
      <c r="F87" s="197">
        <v>0</v>
      </c>
      <c r="G87" s="197">
        <v>67067</v>
      </c>
      <c r="H87" s="197">
        <v>33000</v>
      </c>
      <c r="I87" s="197">
        <v>0</v>
      </c>
      <c r="J87" s="197">
        <v>100067</v>
      </c>
      <c r="K87" s="197">
        <v>100067</v>
      </c>
      <c r="L87" s="197">
        <v>32933</v>
      </c>
      <c r="M87" s="197">
        <v>0</v>
      </c>
      <c r="N87" s="197">
        <v>0</v>
      </c>
      <c r="O87" s="197">
        <v>0</v>
      </c>
      <c r="P87" s="197">
        <v>0</v>
      </c>
      <c r="Q87" s="197">
        <v>0</v>
      </c>
      <c r="R87" s="260" t="s">
        <v>239</v>
      </c>
      <c r="S87" s="260" t="s">
        <v>514</v>
      </c>
      <c r="T87" s="260" t="s">
        <v>239</v>
      </c>
      <c r="U87" s="260" t="s">
        <v>514</v>
      </c>
    </row>
    <row r="88" spans="1:21" ht="14.5" x14ac:dyDescent="0.35">
      <c r="A88" s="260" t="s">
        <v>563</v>
      </c>
      <c r="B88" s="190">
        <v>45739</v>
      </c>
      <c r="C88" s="197">
        <v>100067</v>
      </c>
      <c r="D88" s="197">
        <v>0</v>
      </c>
      <c r="E88" s="197">
        <v>0</v>
      </c>
      <c r="F88" s="197">
        <v>0</v>
      </c>
      <c r="G88" s="197">
        <v>67067</v>
      </c>
      <c r="H88" s="197">
        <v>33000</v>
      </c>
      <c r="I88" s="197">
        <v>0</v>
      </c>
      <c r="J88" s="197">
        <v>100067</v>
      </c>
      <c r="K88" s="197">
        <v>100067</v>
      </c>
      <c r="L88" s="197">
        <v>32933</v>
      </c>
      <c r="M88" s="197">
        <v>0</v>
      </c>
      <c r="N88" s="197">
        <v>0</v>
      </c>
      <c r="O88" s="197">
        <v>0</v>
      </c>
      <c r="P88" s="197">
        <v>0</v>
      </c>
      <c r="Q88" s="197">
        <v>0</v>
      </c>
      <c r="R88" s="260" t="s">
        <v>239</v>
      </c>
      <c r="S88" s="260" t="s">
        <v>514</v>
      </c>
      <c r="T88" s="260" t="s">
        <v>239</v>
      </c>
      <c r="U88" s="260" t="s">
        <v>514</v>
      </c>
    </row>
    <row r="89" spans="1:21" ht="14.5" x14ac:dyDescent="0.35">
      <c r="A89" s="260" t="s">
        <v>563</v>
      </c>
      <c r="B89" s="190">
        <v>45740</v>
      </c>
      <c r="C89" s="197">
        <v>100067</v>
      </c>
      <c r="D89" s="197">
        <v>0</v>
      </c>
      <c r="E89" s="197">
        <v>0</v>
      </c>
      <c r="F89" s="197">
        <v>0</v>
      </c>
      <c r="G89" s="197">
        <v>67067</v>
      </c>
      <c r="H89" s="197">
        <v>33090</v>
      </c>
      <c r="I89" s="197">
        <v>0</v>
      </c>
      <c r="J89" s="197">
        <v>100157</v>
      </c>
      <c r="K89" s="197">
        <v>100157</v>
      </c>
      <c r="L89" s="197">
        <v>32933</v>
      </c>
      <c r="M89" s="197">
        <v>0</v>
      </c>
      <c r="N89" s="197">
        <v>0</v>
      </c>
      <c r="O89" s="197">
        <v>0</v>
      </c>
      <c r="P89" s="197">
        <v>90</v>
      </c>
      <c r="Q89" s="197">
        <v>8.9939740373945476E-4</v>
      </c>
      <c r="R89" s="260" t="s">
        <v>239</v>
      </c>
      <c r="S89" s="260" t="s">
        <v>514</v>
      </c>
      <c r="T89" s="260" t="s">
        <v>239</v>
      </c>
      <c r="U89" s="260" t="s">
        <v>514</v>
      </c>
    </row>
    <row r="90" spans="1:21" ht="14.5" x14ac:dyDescent="0.35">
      <c r="A90" s="260" t="s">
        <v>563</v>
      </c>
      <c r="B90" s="190">
        <v>45741</v>
      </c>
      <c r="C90" s="197">
        <v>100157</v>
      </c>
      <c r="D90" s="197">
        <v>0</v>
      </c>
      <c r="E90" s="197">
        <v>0</v>
      </c>
      <c r="F90" s="197">
        <v>0</v>
      </c>
      <c r="G90" s="197">
        <v>67067</v>
      </c>
      <c r="H90" s="197">
        <v>33120</v>
      </c>
      <c r="I90" s="197">
        <v>0</v>
      </c>
      <c r="J90" s="197">
        <v>100187</v>
      </c>
      <c r="K90" s="197">
        <v>100187</v>
      </c>
      <c r="L90" s="197">
        <v>32933</v>
      </c>
      <c r="M90" s="197">
        <v>0</v>
      </c>
      <c r="N90" s="197">
        <v>0</v>
      </c>
      <c r="O90" s="197">
        <v>0</v>
      </c>
      <c r="P90" s="197">
        <v>30</v>
      </c>
      <c r="Q90" s="197">
        <v>2.9952973831082197E-4</v>
      </c>
      <c r="R90" s="260" t="s">
        <v>239</v>
      </c>
      <c r="S90" s="260" t="s">
        <v>514</v>
      </c>
      <c r="T90" s="260" t="s">
        <v>239</v>
      </c>
      <c r="U90" s="260" t="s">
        <v>514</v>
      </c>
    </row>
    <row r="91" spans="1:21" ht="14.5" x14ac:dyDescent="0.35">
      <c r="A91" s="260" t="s">
        <v>563</v>
      </c>
      <c r="B91" s="190">
        <v>45742</v>
      </c>
      <c r="C91" s="197">
        <v>100187</v>
      </c>
      <c r="D91" s="197">
        <v>0</v>
      </c>
      <c r="E91" s="197">
        <v>0</v>
      </c>
      <c r="F91" s="197">
        <v>0</v>
      </c>
      <c r="G91" s="197">
        <v>67067</v>
      </c>
      <c r="H91" s="197">
        <v>33150</v>
      </c>
      <c r="I91" s="197">
        <v>0</v>
      </c>
      <c r="J91" s="197">
        <v>100217</v>
      </c>
      <c r="K91" s="197">
        <v>100217</v>
      </c>
      <c r="L91" s="197">
        <v>32933</v>
      </c>
      <c r="M91" s="197">
        <v>0</v>
      </c>
      <c r="N91" s="197">
        <v>0</v>
      </c>
      <c r="O91" s="197">
        <v>0</v>
      </c>
      <c r="P91" s="197">
        <v>30</v>
      </c>
      <c r="Q91" s="197">
        <v>2.9944004711190964E-4</v>
      </c>
      <c r="R91" s="260" t="s">
        <v>239</v>
      </c>
      <c r="S91" s="260" t="s">
        <v>514</v>
      </c>
      <c r="T91" s="260" t="s">
        <v>239</v>
      </c>
      <c r="U91" s="260" t="s">
        <v>514</v>
      </c>
    </row>
    <row r="92" spans="1:21" ht="14.5" x14ac:dyDescent="0.35">
      <c r="A92" s="260" t="s">
        <v>563</v>
      </c>
      <c r="B92" s="190">
        <v>45743</v>
      </c>
      <c r="C92" s="197">
        <v>100217</v>
      </c>
      <c r="D92" s="197">
        <v>0</v>
      </c>
      <c r="E92" s="197">
        <v>0</v>
      </c>
      <c r="F92" s="197">
        <v>0</v>
      </c>
      <c r="G92" s="197">
        <v>67067</v>
      </c>
      <c r="H92" s="197">
        <v>33180</v>
      </c>
      <c r="I92" s="197">
        <v>0</v>
      </c>
      <c r="J92" s="197">
        <v>100247</v>
      </c>
      <c r="K92" s="197">
        <v>100247</v>
      </c>
      <c r="L92" s="197">
        <v>32933</v>
      </c>
      <c r="M92" s="197">
        <v>0</v>
      </c>
      <c r="N92" s="197">
        <v>0</v>
      </c>
      <c r="O92" s="197">
        <v>0</v>
      </c>
      <c r="P92" s="197">
        <v>30</v>
      </c>
      <c r="Q92" s="197">
        <v>2.9935040961115433E-4</v>
      </c>
      <c r="R92" s="260" t="s">
        <v>239</v>
      </c>
      <c r="S92" s="260" t="s">
        <v>514</v>
      </c>
      <c r="T92" s="260" t="s">
        <v>239</v>
      </c>
      <c r="U92" s="260" t="s">
        <v>514</v>
      </c>
    </row>
    <row r="93" spans="1:21" ht="14.5" x14ac:dyDescent="0.35">
      <c r="A93" s="260" t="s">
        <v>563</v>
      </c>
      <c r="B93" s="190">
        <v>45744</v>
      </c>
      <c r="C93" s="197">
        <v>100247</v>
      </c>
      <c r="D93" s="197">
        <v>0</v>
      </c>
      <c r="E93" s="197">
        <v>0</v>
      </c>
      <c r="F93" s="197">
        <v>0</v>
      </c>
      <c r="G93" s="197">
        <v>67067</v>
      </c>
      <c r="H93" s="197">
        <v>33210</v>
      </c>
      <c r="I93" s="197">
        <v>0</v>
      </c>
      <c r="J93" s="197">
        <v>100277</v>
      </c>
      <c r="K93" s="197">
        <v>100277</v>
      </c>
      <c r="L93" s="197">
        <v>32933</v>
      </c>
      <c r="M93" s="197">
        <v>0</v>
      </c>
      <c r="N93" s="197">
        <v>0</v>
      </c>
      <c r="O93" s="197">
        <v>0</v>
      </c>
      <c r="P93" s="197">
        <v>30</v>
      </c>
      <c r="Q93" s="197">
        <v>2.9926082576037238E-4</v>
      </c>
      <c r="R93" s="260" t="s">
        <v>239</v>
      </c>
      <c r="S93" s="260" t="s">
        <v>514</v>
      </c>
      <c r="T93" s="260" t="s">
        <v>239</v>
      </c>
      <c r="U93" s="260" t="s">
        <v>514</v>
      </c>
    </row>
    <row r="94" spans="1:21" ht="14.5" x14ac:dyDescent="0.35">
      <c r="A94" s="260" t="s">
        <v>563</v>
      </c>
      <c r="B94" s="190">
        <v>45745</v>
      </c>
      <c r="C94" s="197">
        <v>100277</v>
      </c>
      <c r="D94" s="197">
        <v>0</v>
      </c>
      <c r="E94" s="197">
        <v>0</v>
      </c>
      <c r="F94" s="197">
        <v>0</v>
      </c>
      <c r="G94" s="197">
        <v>67067</v>
      </c>
      <c r="H94" s="197">
        <v>33210</v>
      </c>
      <c r="I94" s="197">
        <v>0</v>
      </c>
      <c r="J94" s="197">
        <v>100277</v>
      </c>
      <c r="K94" s="197">
        <v>100277</v>
      </c>
      <c r="L94" s="197">
        <v>32933</v>
      </c>
      <c r="M94" s="197">
        <v>0</v>
      </c>
      <c r="N94" s="197">
        <v>0</v>
      </c>
      <c r="O94" s="197">
        <v>0</v>
      </c>
      <c r="P94" s="197">
        <v>0</v>
      </c>
      <c r="Q94" s="197">
        <v>0</v>
      </c>
      <c r="R94" s="260" t="s">
        <v>239</v>
      </c>
      <c r="S94" s="260" t="s">
        <v>514</v>
      </c>
      <c r="T94" s="260" t="s">
        <v>239</v>
      </c>
      <c r="U94" s="260" t="s">
        <v>514</v>
      </c>
    </row>
    <row r="95" spans="1:21" ht="14.5" x14ac:dyDescent="0.35">
      <c r="A95" s="260" t="s">
        <v>563</v>
      </c>
      <c r="B95" s="190">
        <v>45746</v>
      </c>
      <c r="C95" s="197">
        <v>100277</v>
      </c>
      <c r="D95" s="197">
        <v>0</v>
      </c>
      <c r="E95" s="197">
        <v>0</v>
      </c>
      <c r="F95" s="197">
        <v>0</v>
      </c>
      <c r="G95" s="197">
        <v>67067</v>
      </c>
      <c r="H95" s="197">
        <v>33210</v>
      </c>
      <c r="I95" s="197">
        <v>0</v>
      </c>
      <c r="J95" s="197">
        <v>100277</v>
      </c>
      <c r="K95" s="197">
        <v>100277</v>
      </c>
      <c r="L95" s="197">
        <v>32933</v>
      </c>
      <c r="M95" s="197">
        <v>0</v>
      </c>
      <c r="N95" s="197">
        <v>0</v>
      </c>
      <c r="O95" s="197">
        <v>0</v>
      </c>
      <c r="P95" s="197">
        <v>0</v>
      </c>
      <c r="Q95" s="197">
        <v>0</v>
      </c>
      <c r="R95" s="260" t="s">
        <v>239</v>
      </c>
      <c r="S95" s="260" t="s">
        <v>514</v>
      </c>
      <c r="T95" s="260" t="s">
        <v>239</v>
      </c>
      <c r="U95" s="260" t="s">
        <v>514</v>
      </c>
    </row>
    <row r="96" spans="1:21" ht="14.5" x14ac:dyDescent="0.35">
      <c r="A96" s="260" t="s">
        <v>563</v>
      </c>
      <c r="B96" s="190">
        <v>45747</v>
      </c>
      <c r="C96" s="197">
        <v>100277</v>
      </c>
      <c r="D96" s="197">
        <v>0</v>
      </c>
      <c r="E96" s="197">
        <v>0</v>
      </c>
      <c r="F96" s="197">
        <v>0</v>
      </c>
      <c r="G96" s="197">
        <v>67067</v>
      </c>
      <c r="H96" s="197">
        <v>33300</v>
      </c>
      <c r="I96" s="197">
        <v>0</v>
      </c>
      <c r="J96" s="197">
        <v>100367</v>
      </c>
      <c r="K96" s="197">
        <v>100367</v>
      </c>
      <c r="L96" s="197">
        <v>32933</v>
      </c>
      <c r="M96" s="197">
        <v>0</v>
      </c>
      <c r="N96" s="197">
        <v>0</v>
      </c>
      <c r="O96" s="197">
        <v>0</v>
      </c>
      <c r="P96" s="197">
        <v>90</v>
      </c>
      <c r="Q96" s="197">
        <v>8.9751388653436237E-4</v>
      </c>
      <c r="R96" s="260" t="s">
        <v>239</v>
      </c>
      <c r="S96" s="260" t="s">
        <v>514</v>
      </c>
      <c r="T96" s="260" t="s">
        <v>239</v>
      </c>
      <c r="U96" s="260" t="s">
        <v>514</v>
      </c>
    </row>
    <row r="97" spans="1:21" ht="14.5" x14ac:dyDescent="0.35">
      <c r="A97" s="260" t="s">
        <v>563</v>
      </c>
      <c r="B97" s="190">
        <v>45748</v>
      </c>
      <c r="C97" s="197">
        <v>100367</v>
      </c>
      <c r="D97" s="197">
        <v>0</v>
      </c>
      <c r="E97" s="197">
        <v>0</v>
      </c>
      <c r="F97" s="197">
        <v>0</v>
      </c>
      <c r="G97" s="197">
        <v>67067</v>
      </c>
      <c r="H97" s="197">
        <v>33300</v>
      </c>
      <c r="I97" s="197">
        <v>0</v>
      </c>
      <c r="J97" s="197">
        <v>100367</v>
      </c>
      <c r="K97" s="197">
        <v>100367</v>
      </c>
      <c r="L97" s="197">
        <v>32933</v>
      </c>
      <c r="M97" s="197">
        <v>0</v>
      </c>
      <c r="N97" s="197">
        <v>0</v>
      </c>
      <c r="O97" s="197">
        <v>0</v>
      </c>
      <c r="P97" s="197">
        <v>0</v>
      </c>
      <c r="Q97" s="197">
        <v>0</v>
      </c>
      <c r="R97" s="260" t="s">
        <v>239</v>
      </c>
      <c r="S97" s="260" t="s">
        <v>514</v>
      </c>
      <c r="T97" s="260" t="s">
        <v>239</v>
      </c>
      <c r="U97" s="260" t="s">
        <v>514</v>
      </c>
    </row>
    <row r="98" spans="1:21" ht="14.5" x14ac:dyDescent="0.35">
      <c r="A98" s="260" t="s">
        <v>563</v>
      </c>
      <c r="B98" s="190">
        <v>45749</v>
      </c>
      <c r="C98" s="197">
        <v>100367</v>
      </c>
      <c r="D98" s="197">
        <v>0</v>
      </c>
      <c r="E98" s="197">
        <v>0</v>
      </c>
      <c r="F98" s="197">
        <v>0</v>
      </c>
      <c r="G98" s="197">
        <v>67067</v>
      </c>
      <c r="H98" s="197">
        <v>33269.5</v>
      </c>
      <c r="I98" s="197">
        <v>0</v>
      </c>
      <c r="J98" s="197">
        <v>100336.5</v>
      </c>
      <c r="K98" s="197">
        <v>100336.5</v>
      </c>
      <c r="L98" s="197">
        <v>32933</v>
      </c>
      <c r="M98" s="197">
        <v>0</v>
      </c>
      <c r="N98" s="197">
        <v>0</v>
      </c>
      <c r="O98" s="197">
        <v>0</v>
      </c>
      <c r="P98" s="197">
        <v>-30.5</v>
      </c>
      <c r="Q98" s="197">
        <v>-3.0388474299325452E-4</v>
      </c>
      <c r="R98" s="260" t="s">
        <v>239</v>
      </c>
      <c r="S98" s="260" t="s">
        <v>514</v>
      </c>
      <c r="T98" s="260" t="s">
        <v>239</v>
      </c>
      <c r="U98" s="260" t="s">
        <v>514</v>
      </c>
    </row>
    <row r="99" spans="1:21" ht="14.5" x14ac:dyDescent="0.35">
      <c r="A99" s="260" t="s">
        <v>563</v>
      </c>
      <c r="B99" s="190">
        <v>45750</v>
      </c>
      <c r="C99" s="197">
        <v>100336.5</v>
      </c>
      <c r="D99" s="197">
        <v>0</v>
      </c>
      <c r="E99" s="197">
        <v>0</v>
      </c>
      <c r="F99" s="197">
        <v>0</v>
      </c>
      <c r="G99" s="197">
        <v>67067</v>
      </c>
      <c r="H99" s="197">
        <v>33239</v>
      </c>
      <c r="I99" s="197">
        <v>0</v>
      </c>
      <c r="J99" s="197">
        <v>100306</v>
      </c>
      <c r="K99" s="197">
        <v>100306</v>
      </c>
      <c r="L99" s="197">
        <v>32933</v>
      </c>
      <c r="M99" s="197">
        <v>0</v>
      </c>
      <c r="N99" s="197">
        <v>0</v>
      </c>
      <c r="O99" s="197">
        <v>0</v>
      </c>
      <c r="P99" s="197">
        <v>-30.5</v>
      </c>
      <c r="Q99" s="197">
        <v>-3.0397711700125285E-4</v>
      </c>
      <c r="R99" s="260" t="s">
        <v>239</v>
      </c>
      <c r="S99" s="260" t="s">
        <v>514</v>
      </c>
      <c r="T99" s="260" t="s">
        <v>239</v>
      </c>
      <c r="U99" s="260" t="s">
        <v>514</v>
      </c>
    </row>
    <row r="100" spans="1:21" ht="14.5" x14ac:dyDescent="0.35">
      <c r="A100" s="260" t="s">
        <v>563</v>
      </c>
      <c r="B100" s="190">
        <v>45751</v>
      </c>
      <c r="C100" s="197">
        <v>100306</v>
      </c>
      <c r="D100" s="197">
        <v>0</v>
      </c>
      <c r="E100" s="197">
        <v>0</v>
      </c>
      <c r="F100" s="197">
        <v>0</v>
      </c>
      <c r="G100" s="197">
        <v>67067</v>
      </c>
      <c r="H100" s="197">
        <v>33206</v>
      </c>
      <c r="I100" s="197">
        <v>0</v>
      </c>
      <c r="J100" s="197">
        <v>100273</v>
      </c>
      <c r="K100" s="197">
        <v>100273</v>
      </c>
      <c r="L100" s="197">
        <v>32933</v>
      </c>
      <c r="M100" s="197">
        <v>0</v>
      </c>
      <c r="N100" s="197">
        <v>0</v>
      </c>
      <c r="O100" s="197">
        <v>0</v>
      </c>
      <c r="P100" s="197">
        <v>-33</v>
      </c>
      <c r="Q100" s="197">
        <v>-3.289932805614626E-4</v>
      </c>
      <c r="R100" s="260" t="s">
        <v>239</v>
      </c>
      <c r="S100" s="260" t="s">
        <v>514</v>
      </c>
      <c r="T100" s="260" t="s">
        <v>239</v>
      </c>
      <c r="U100" s="260" t="s">
        <v>514</v>
      </c>
    </row>
    <row r="101" spans="1:21" ht="14.5" x14ac:dyDescent="0.35">
      <c r="A101" s="260" t="s">
        <v>563</v>
      </c>
      <c r="B101" s="190">
        <v>45752</v>
      </c>
      <c r="C101" s="197">
        <v>100273</v>
      </c>
      <c r="D101" s="197">
        <v>0</v>
      </c>
      <c r="E101" s="197">
        <v>0</v>
      </c>
      <c r="F101" s="197">
        <v>0</v>
      </c>
      <c r="G101" s="197">
        <v>67067</v>
      </c>
      <c r="H101" s="197">
        <v>33206</v>
      </c>
      <c r="I101" s="197">
        <v>0</v>
      </c>
      <c r="J101" s="197">
        <v>100273</v>
      </c>
      <c r="K101" s="197">
        <v>100273</v>
      </c>
      <c r="L101" s="197">
        <v>32933</v>
      </c>
      <c r="M101" s="197">
        <v>0</v>
      </c>
      <c r="N101" s="197">
        <v>0</v>
      </c>
      <c r="O101" s="197">
        <v>0</v>
      </c>
      <c r="P101" s="197">
        <v>0</v>
      </c>
      <c r="Q101" s="197">
        <v>0</v>
      </c>
      <c r="R101" s="260" t="s">
        <v>239</v>
      </c>
      <c r="S101" s="260" t="s">
        <v>514</v>
      </c>
      <c r="T101" s="260" t="s">
        <v>239</v>
      </c>
      <c r="U101" s="260" t="s">
        <v>514</v>
      </c>
    </row>
    <row r="102" spans="1:21" ht="14.5" x14ac:dyDescent="0.35">
      <c r="A102" s="260" t="s">
        <v>563</v>
      </c>
      <c r="B102" s="190">
        <v>45753</v>
      </c>
      <c r="C102" s="197">
        <v>100273</v>
      </c>
      <c r="D102" s="197">
        <v>0</v>
      </c>
      <c r="E102" s="197">
        <v>0</v>
      </c>
      <c r="F102" s="197">
        <v>0</v>
      </c>
      <c r="G102" s="197">
        <v>67067</v>
      </c>
      <c r="H102" s="197">
        <v>33206</v>
      </c>
      <c r="I102" s="197">
        <v>0</v>
      </c>
      <c r="J102" s="197">
        <v>100273</v>
      </c>
      <c r="K102" s="197">
        <v>100273</v>
      </c>
      <c r="L102" s="197">
        <v>32933</v>
      </c>
      <c r="M102" s="197">
        <v>0</v>
      </c>
      <c r="N102" s="197">
        <v>0</v>
      </c>
      <c r="O102" s="197">
        <v>0</v>
      </c>
      <c r="P102" s="197">
        <v>0</v>
      </c>
      <c r="Q102" s="197">
        <v>0</v>
      </c>
      <c r="R102" s="260" t="s">
        <v>239</v>
      </c>
      <c r="S102" s="260" t="s">
        <v>514</v>
      </c>
      <c r="T102" s="260" t="s">
        <v>239</v>
      </c>
      <c r="U102" s="260" t="s">
        <v>514</v>
      </c>
    </row>
    <row r="103" spans="1:21" ht="14.5" x14ac:dyDescent="0.35">
      <c r="A103" s="260" t="s">
        <v>563</v>
      </c>
      <c r="B103" s="190">
        <v>45754</v>
      </c>
      <c r="C103" s="197">
        <v>100273</v>
      </c>
      <c r="D103" s="197">
        <v>0</v>
      </c>
      <c r="E103" s="197">
        <v>0</v>
      </c>
      <c r="F103" s="197">
        <v>0</v>
      </c>
      <c r="G103" s="197">
        <v>67067</v>
      </c>
      <c r="H103" s="197">
        <v>33114.5</v>
      </c>
      <c r="I103" s="197">
        <v>0</v>
      </c>
      <c r="J103" s="197">
        <v>100181.5</v>
      </c>
      <c r="K103" s="197">
        <v>100181.5</v>
      </c>
      <c r="L103" s="197">
        <v>32933</v>
      </c>
      <c r="M103" s="197">
        <v>0</v>
      </c>
      <c r="N103" s="197">
        <v>0</v>
      </c>
      <c r="O103" s="197">
        <v>0</v>
      </c>
      <c r="P103" s="197">
        <v>-91.5</v>
      </c>
      <c r="Q103" s="197">
        <v>-9.1250885083726807E-4</v>
      </c>
      <c r="R103" s="260" t="s">
        <v>239</v>
      </c>
      <c r="S103" s="260" t="s">
        <v>514</v>
      </c>
      <c r="T103" s="260" t="s">
        <v>239</v>
      </c>
      <c r="U103" s="260" t="s">
        <v>514</v>
      </c>
    </row>
    <row r="104" spans="1:21" ht="14.5" x14ac:dyDescent="0.35">
      <c r="A104" s="260" t="s">
        <v>563</v>
      </c>
      <c r="B104" s="190">
        <v>45755</v>
      </c>
      <c r="C104" s="197">
        <v>100181.5</v>
      </c>
      <c r="D104" s="197">
        <v>0</v>
      </c>
      <c r="E104" s="197">
        <v>0</v>
      </c>
      <c r="F104" s="197">
        <v>0</v>
      </c>
      <c r="G104" s="197">
        <v>67067</v>
      </c>
      <c r="H104" s="197">
        <v>33082.5</v>
      </c>
      <c r="I104" s="197">
        <v>0</v>
      </c>
      <c r="J104" s="197">
        <v>100149.5</v>
      </c>
      <c r="K104" s="197">
        <v>100149.5</v>
      </c>
      <c r="L104" s="197">
        <v>32933</v>
      </c>
      <c r="M104" s="197">
        <v>0</v>
      </c>
      <c r="N104" s="197">
        <v>0</v>
      </c>
      <c r="O104" s="197">
        <v>0</v>
      </c>
      <c r="P104" s="197">
        <v>-32</v>
      </c>
      <c r="Q104" s="197">
        <v>-3.1942025224218629E-4</v>
      </c>
      <c r="R104" s="260" t="s">
        <v>239</v>
      </c>
      <c r="S104" s="260" t="s">
        <v>514</v>
      </c>
      <c r="T104" s="260" t="s">
        <v>239</v>
      </c>
      <c r="U104" s="260" t="s">
        <v>514</v>
      </c>
    </row>
    <row r="105" spans="1:21" ht="14.5" x14ac:dyDescent="0.35">
      <c r="A105" s="260" t="s">
        <v>563</v>
      </c>
      <c r="B105" s="190">
        <v>45756</v>
      </c>
      <c r="C105" s="197">
        <v>100149.5</v>
      </c>
      <c r="D105" s="197">
        <v>0</v>
      </c>
      <c r="E105" s="197">
        <v>0</v>
      </c>
      <c r="F105" s="197">
        <v>0</v>
      </c>
      <c r="G105" s="197">
        <v>67067</v>
      </c>
      <c r="H105" s="197">
        <v>33051.5</v>
      </c>
      <c r="I105" s="197">
        <v>0</v>
      </c>
      <c r="J105" s="197">
        <v>100118.5</v>
      </c>
      <c r="K105" s="197">
        <v>100118.5</v>
      </c>
      <c r="L105" s="197">
        <v>32933</v>
      </c>
      <c r="M105" s="197">
        <v>0</v>
      </c>
      <c r="N105" s="197">
        <v>0</v>
      </c>
      <c r="O105" s="197">
        <v>0</v>
      </c>
      <c r="P105" s="197">
        <v>-31</v>
      </c>
      <c r="Q105" s="197">
        <v>-3.0953724182347653E-4</v>
      </c>
      <c r="R105" s="260" t="s">
        <v>239</v>
      </c>
      <c r="S105" s="260" t="s">
        <v>514</v>
      </c>
      <c r="T105" s="260" t="s">
        <v>239</v>
      </c>
      <c r="U105" s="260" t="s">
        <v>514</v>
      </c>
    </row>
    <row r="106" spans="1:21" ht="14.5" x14ac:dyDescent="0.35">
      <c r="A106" s="260" t="s">
        <v>563</v>
      </c>
      <c r="B106" s="190">
        <v>45757</v>
      </c>
      <c r="C106" s="197">
        <v>100118.5</v>
      </c>
      <c r="D106" s="197">
        <v>0</v>
      </c>
      <c r="E106" s="197">
        <v>0</v>
      </c>
      <c r="F106" s="197">
        <v>0</v>
      </c>
      <c r="G106" s="197">
        <v>67067</v>
      </c>
      <c r="H106" s="197">
        <v>33021</v>
      </c>
      <c r="I106" s="197">
        <v>0</v>
      </c>
      <c r="J106" s="197">
        <v>100088</v>
      </c>
      <c r="K106" s="197">
        <v>100088</v>
      </c>
      <c r="L106" s="197">
        <v>32933</v>
      </c>
      <c r="M106" s="197">
        <v>0</v>
      </c>
      <c r="N106" s="197">
        <v>0</v>
      </c>
      <c r="O106" s="197">
        <v>0</v>
      </c>
      <c r="P106" s="197">
        <v>-30.5</v>
      </c>
      <c r="Q106" s="197">
        <v>-3.0463900278165923E-4</v>
      </c>
      <c r="R106" s="260" t="s">
        <v>239</v>
      </c>
      <c r="S106" s="260" t="s">
        <v>514</v>
      </c>
      <c r="T106" s="260" t="s">
        <v>239</v>
      </c>
      <c r="U106" s="260" t="s">
        <v>514</v>
      </c>
    </row>
    <row r="107" spans="1:21" ht="14.5" x14ac:dyDescent="0.35">
      <c r="A107" s="260" t="s">
        <v>563</v>
      </c>
      <c r="B107" s="190">
        <v>45758</v>
      </c>
      <c r="C107" s="197">
        <v>100088</v>
      </c>
      <c r="D107" s="197">
        <v>0</v>
      </c>
      <c r="E107" s="197">
        <v>0</v>
      </c>
      <c r="F107" s="197">
        <v>0</v>
      </c>
      <c r="G107" s="197">
        <v>67067</v>
      </c>
      <c r="H107" s="197">
        <v>32990.5</v>
      </c>
      <c r="I107" s="197">
        <v>0</v>
      </c>
      <c r="J107" s="197">
        <v>100057.5</v>
      </c>
      <c r="K107" s="197">
        <v>100057.5</v>
      </c>
      <c r="L107" s="197">
        <v>32933</v>
      </c>
      <c r="M107" s="197">
        <v>0</v>
      </c>
      <c r="N107" s="197">
        <v>0</v>
      </c>
      <c r="O107" s="197">
        <v>0</v>
      </c>
      <c r="P107" s="197">
        <v>-30.5</v>
      </c>
      <c r="Q107" s="197">
        <v>-3.0473183598433984E-4</v>
      </c>
      <c r="R107" s="260" t="s">
        <v>239</v>
      </c>
      <c r="S107" s="260" t="s">
        <v>514</v>
      </c>
      <c r="T107" s="260" t="s">
        <v>239</v>
      </c>
      <c r="U107" s="260" t="s">
        <v>514</v>
      </c>
    </row>
    <row r="108" spans="1:21" ht="14.5" x14ac:dyDescent="0.35">
      <c r="A108" s="260" t="s">
        <v>563</v>
      </c>
      <c r="B108" s="190">
        <v>45759</v>
      </c>
      <c r="C108" s="197">
        <v>100057.5</v>
      </c>
      <c r="D108" s="197">
        <v>0</v>
      </c>
      <c r="E108" s="197">
        <v>0</v>
      </c>
      <c r="F108" s="197">
        <v>0</v>
      </c>
      <c r="G108" s="197">
        <v>67067</v>
      </c>
      <c r="H108" s="197">
        <v>32990.5</v>
      </c>
      <c r="I108" s="197">
        <v>0</v>
      </c>
      <c r="J108" s="197">
        <v>100057.5</v>
      </c>
      <c r="K108" s="197">
        <v>100057.5</v>
      </c>
      <c r="L108" s="197">
        <v>32933</v>
      </c>
      <c r="M108" s="197">
        <v>0</v>
      </c>
      <c r="N108" s="197">
        <v>0</v>
      </c>
      <c r="O108" s="197">
        <v>0</v>
      </c>
      <c r="P108" s="197">
        <v>0</v>
      </c>
      <c r="Q108" s="197">
        <v>0</v>
      </c>
      <c r="R108" s="260" t="s">
        <v>239</v>
      </c>
      <c r="S108" s="260" t="s">
        <v>514</v>
      </c>
      <c r="T108" s="260" t="s">
        <v>239</v>
      </c>
      <c r="U108" s="260" t="s">
        <v>514</v>
      </c>
    </row>
    <row r="109" spans="1:21" ht="14.5" x14ac:dyDescent="0.35">
      <c r="A109" s="260" t="s">
        <v>563</v>
      </c>
      <c r="B109" s="190">
        <v>45760</v>
      </c>
      <c r="C109" s="197">
        <v>100057.5</v>
      </c>
      <c r="D109" s="197">
        <v>0</v>
      </c>
      <c r="E109" s="197">
        <v>0</v>
      </c>
      <c r="F109" s="197">
        <v>0</v>
      </c>
      <c r="G109" s="197">
        <v>67067</v>
      </c>
      <c r="H109" s="197">
        <v>32990.5</v>
      </c>
      <c r="I109" s="197">
        <v>0</v>
      </c>
      <c r="J109" s="197">
        <v>100057.5</v>
      </c>
      <c r="K109" s="197">
        <v>100057.5</v>
      </c>
      <c r="L109" s="197">
        <v>32933</v>
      </c>
      <c r="M109" s="197">
        <v>0</v>
      </c>
      <c r="N109" s="197">
        <v>0</v>
      </c>
      <c r="O109" s="197">
        <v>0</v>
      </c>
      <c r="P109" s="197">
        <v>0</v>
      </c>
      <c r="Q109" s="197">
        <v>0</v>
      </c>
      <c r="R109" s="260" t="s">
        <v>239</v>
      </c>
      <c r="S109" s="260" t="s">
        <v>514</v>
      </c>
      <c r="T109" s="260" t="s">
        <v>239</v>
      </c>
      <c r="U109" s="260" t="s">
        <v>514</v>
      </c>
    </row>
    <row r="110" spans="1:21" ht="14.5" x14ac:dyDescent="0.35">
      <c r="A110" s="260" t="s">
        <v>563</v>
      </c>
      <c r="B110" s="190">
        <v>45761</v>
      </c>
      <c r="C110" s="197">
        <v>100057.5</v>
      </c>
      <c r="D110" s="197">
        <v>0</v>
      </c>
      <c r="E110" s="197">
        <v>0</v>
      </c>
      <c r="F110" s="197">
        <v>0</v>
      </c>
      <c r="G110" s="197">
        <v>67067</v>
      </c>
      <c r="H110" s="197">
        <v>32896.5</v>
      </c>
      <c r="I110" s="197">
        <v>0</v>
      </c>
      <c r="J110" s="197">
        <v>99963.5</v>
      </c>
      <c r="K110" s="197">
        <v>99963.5</v>
      </c>
      <c r="L110" s="197">
        <v>32933</v>
      </c>
      <c r="M110" s="197">
        <v>0</v>
      </c>
      <c r="N110" s="197">
        <v>0</v>
      </c>
      <c r="O110" s="197">
        <v>0</v>
      </c>
      <c r="P110" s="197">
        <v>-94</v>
      </c>
      <c r="Q110" s="197">
        <v>-9.3945981060894468E-4</v>
      </c>
      <c r="R110" s="260" t="s">
        <v>239</v>
      </c>
      <c r="S110" s="260" t="s">
        <v>514</v>
      </c>
      <c r="T110" s="260" t="s">
        <v>239</v>
      </c>
      <c r="U110" s="260" t="s">
        <v>514</v>
      </c>
    </row>
    <row r="111" spans="1:21" ht="14.5" x14ac:dyDescent="0.35">
      <c r="A111" s="260" t="s">
        <v>563</v>
      </c>
      <c r="B111" s="190">
        <v>45762</v>
      </c>
      <c r="C111" s="197">
        <v>99963.5</v>
      </c>
      <c r="D111" s="197">
        <v>0</v>
      </c>
      <c r="E111" s="197">
        <v>0</v>
      </c>
      <c r="F111" s="197">
        <v>0</v>
      </c>
      <c r="G111" s="197">
        <v>67067</v>
      </c>
      <c r="H111" s="197">
        <v>32866</v>
      </c>
      <c r="I111" s="197">
        <v>0</v>
      </c>
      <c r="J111" s="197">
        <v>99933</v>
      </c>
      <c r="K111" s="197">
        <v>99933</v>
      </c>
      <c r="L111" s="197">
        <v>32933</v>
      </c>
      <c r="M111" s="197">
        <v>0</v>
      </c>
      <c r="N111" s="197">
        <v>0</v>
      </c>
      <c r="O111" s="197">
        <v>0</v>
      </c>
      <c r="P111" s="197">
        <v>-30.5</v>
      </c>
      <c r="Q111" s="197">
        <v>-3.0511136564848051E-4</v>
      </c>
      <c r="R111" s="260" t="s">
        <v>239</v>
      </c>
      <c r="S111" s="260" t="s">
        <v>514</v>
      </c>
      <c r="T111" s="260" t="s">
        <v>239</v>
      </c>
      <c r="U111" s="260" t="s">
        <v>514</v>
      </c>
    </row>
    <row r="112" spans="1:21" ht="14.5" x14ac:dyDescent="0.35">
      <c r="A112" s="260" t="s">
        <v>563</v>
      </c>
      <c r="B112" s="190">
        <v>45763</v>
      </c>
      <c r="C112" s="197">
        <v>99933</v>
      </c>
      <c r="D112" s="197">
        <v>0</v>
      </c>
      <c r="E112" s="197">
        <v>0</v>
      </c>
      <c r="F112" s="197">
        <v>0</v>
      </c>
      <c r="G112" s="197">
        <v>67067</v>
      </c>
      <c r="H112" s="197">
        <v>32834</v>
      </c>
      <c r="I112" s="197">
        <v>0</v>
      </c>
      <c r="J112" s="197">
        <v>99901</v>
      </c>
      <c r="K112" s="197">
        <v>99901</v>
      </c>
      <c r="L112" s="197">
        <v>32933</v>
      </c>
      <c r="M112" s="197">
        <v>0</v>
      </c>
      <c r="N112" s="197">
        <v>0</v>
      </c>
      <c r="O112" s="197">
        <v>0</v>
      </c>
      <c r="P112" s="197">
        <v>-32</v>
      </c>
      <c r="Q112" s="197">
        <v>-3.2021454374431269E-4</v>
      </c>
      <c r="R112" s="260" t="s">
        <v>239</v>
      </c>
      <c r="S112" s="260" t="s">
        <v>514</v>
      </c>
      <c r="T112" s="260" t="s">
        <v>239</v>
      </c>
      <c r="U112" s="260" t="s">
        <v>514</v>
      </c>
    </row>
    <row r="113" spans="1:21" ht="14.5" x14ac:dyDescent="0.35">
      <c r="A113" s="260" t="s">
        <v>563</v>
      </c>
      <c r="B113" s="190">
        <v>45764</v>
      </c>
      <c r="C113" s="197">
        <v>99901</v>
      </c>
      <c r="D113" s="197">
        <v>0</v>
      </c>
      <c r="E113" s="197">
        <v>0</v>
      </c>
      <c r="F113" s="197">
        <v>0</v>
      </c>
      <c r="G113" s="197">
        <v>67067</v>
      </c>
      <c r="H113" s="197">
        <v>32803.5</v>
      </c>
      <c r="I113" s="197">
        <v>0</v>
      </c>
      <c r="J113" s="197">
        <v>99870.5</v>
      </c>
      <c r="K113" s="197">
        <v>99870.5</v>
      </c>
      <c r="L113" s="197">
        <v>32933</v>
      </c>
      <c r="M113" s="197">
        <v>0</v>
      </c>
      <c r="N113" s="197">
        <v>0</v>
      </c>
      <c r="O113" s="197">
        <v>0</v>
      </c>
      <c r="P113" s="197">
        <v>-30.5</v>
      </c>
      <c r="Q113" s="197">
        <v>-3.0530224922675764E-4</v>
      </c>
      <c r="R113" s="260" t="s">
        <v>239</v>
      </c>
      <c r="S113" s="260" t="s">
        <v>514</v>
      </c>
      <c r="T113" s="260" t="s">
        <v>239</v>
      </c>
      <c r="U113" s="260" t="s">
        <v>514</v>
      </c>
    </row>
    <row r="114" spans="1:21" ht="14.5" x14ac:dyDescent="0.35">
      <c r="A114" s="260" t="s">
        <v>563</v>
      </c>
      <c r="B114" s="190">
        <v>45765</v>
      </c>
      <c r="C114" s="197">
        <v>99870.5</v>
      </c>
      <c r="D114" s="197">
        <v>0</v>
      </c>
      <c r="E114" s="197">
        <v>0</v>
      </c>
      <c r="F114" s="197">
        <v>0</v>
      </c>
      <c r="G114" s="197">
        <v>67067</v>
      </c>
      <c r="H114" s="197">
        <v>32772</v>
      </c>
      <c r="I114" s="197">
        <v>0</v>
      </c>
      <c r="J114" s="197">
        <v>99839</v>
      </c>
      <c r="K114" s="197">
        <v>99839</v>
      </c>
      <c r="L114" s="197">
        <v>32933</v>
      </c>
      <c r="M114" s="197">
        <v>0</v>
      </c>
      <c r="N114" s="197">
        <v>0</v>
      </c>
      <c r="O114" s="197">
        <v>0</v>
      </c>
      <c r="P114" s="197">
        <v>-31.5</v>
      </c>
      <c r="Q114" s="197">
        <v>-3.1540845394784078E-4</v>
      </c>
      <c r="R114" s="260" t="s">
        <v>239</v>
      </c>
      <c r="S114" s="260" t="s">
        <v>514</v>
      </c>
      <c r="T114" s="260" t="s">
        <v>239</v>
      </c>
      <c r="U114" s="260" t="s">
        <v>514</v>
      </c>
    </row>
    <row r="115" spans="1:21" ht="14.5" x14ac:dyDescent="0.35">
      <c r="A115" s="260" t="s">
        <v>563</v>
      </c>
      <c r="B115" s="190">
        <v>45766</v>
      </c>
      <c r="C115" s="197">
        <v>99839</v>
      </c>
      <c r="D115" s="197">
        <v>0</v>
      </c>
      <c r="E115" s="197">
        <v>0</v>
      </c>
      <c r="F115" s="197">
        <v>0</v>
      </c>
      <c r="G115" s="197">
        <v>67067</v>
      </c>
      <c r="H115" s="197">
        <v>32772</v>
      </c>
      <c r="I115" s="197">
        <v>0</v>
      </c>
      <c r="J115" s="197">
        <v>99839</v>
      </c>
      <c r="K115" s="197">
        <v>99839</v>
      </c>
      <c r="L115" s="197">
        <v>32933</v>
      </c>
      <c r="M115" s="197">
        <v>0</v>
      </c>
      <c r="N115" s="197">
        <v>0</v>
      </c>
      <c r="O115" s="197">
        <v>0</v>
      </c>
      <c r="P115" s="197">
        <v>0</v>
      </c>
      <c r="Q115" s="197">
        <v>0</v>
      </c>
      <c r="R115" s="260" t="s">
        <v>239</v>
      </c>
      <c r="S115" s="260" t="s">
        <v>514</v>
      </c>
      <c r="T115" s="260" t="s">
        <v>239</v>
      </c>
      <c r="U115" s="260" t="s">
        <v>514</v>
      </c>
    </row>
    <row r="116" spans="1:21" ht="14.5" x14ac:dyDescent="0.35">
      <c r="A116" s="260" t="s">
        <v>563</v>
      </c>
      <c r="B116" s="190">
        <v>45767</v>
      </c>
      <c r="C116" s="197">
        <v>99839</v>
      </c>
      <c r="D116" s="197">
        <v>0</v>
      </c>
      <c r="E116" s="197">
        <v>0</v>
      </c>
      <c r="F116" s="197">
        <v>0</v>
      </c>
      <c r="G116" s="197">
        <v>67067</v>
      </c>
      <c r="H116" s="197">
        <v>32772</v>
      </c>
      <c r="I116" s="197">
        <v>0</v>
      </c>
      <c r="J116" s="197">
        <v>99839</v>
      </c>
      <c r="K116" s="197">
        <v>99839</v>
      </c>
      <c r="L116" s="197">
        <v>32933</v>
      </c>
      <c r="M116" s="197">
        <v>0</v>
      </c>
      <c r="N116" s="197">
        <v>0</v>
      </c>
      <c r="O116" s="197">
        <v>0</v>
      </c>
      <c r="P116" s="197">
        <v>0</v>
      </c>
      <c r="Q116" s="197">
        <v>0</v>
      </c>
      <c r="R116" s="260" t="s">
        <v>239</v>
      </c>
      <c r="S116" s="260" t="s">
        <v>514</v>
      </c>
      <c r="T116" s="260" t="s">
        <v>239</v>
      </c>
      <c r="U116" s="260" t="s">
        <v>514</v>
      </c>
    </row>
    <row r="117" spans="1:21" ht="14.5" x14ac:dyDescent="0.35">
      <c r="A117" s="260" t="s">
        <v>563</v>
      </c>
      <c r="B117" s="190">
        <v>45768</v>
      </c>
      <c r="C117" s="197">
        <v>99839</v>
      </c>
      <c r="D117" s="197">
        <v>0</v>
      </c>
      <c r="E117" s="197">
        <v>0</v>
      </c>
      <c r="F117" s="197">
        <v>0</v>
      </c>
      <c r="G117" s="197">
        <v>67067</v>
      </c>
      <c r="H117" s="197">
        <v>32679</v>
      </c>
      <c r="I117" s="197">
        <v>0</v>
      </c>
      <c r="J117" s="197">
        <v>99746</v>
      </c>
      <c r="K117" s="197">
        <v>99746</v>
      </c>
      <c r="L117" s="197">
        <v>32933</v>
      </c>
      <c r="M117" s="197">
        <v>0</v>
      </c>
      <c r="N117" s="197">
        <v>0</v>
      </c>
      <c r="O117" s="197">
        <v>0</v>
      </c>
      <c r="P117" s="197">
        <v>-93</v>
      </c>
      <c r="Q117" s="197">
        <v>-9.3149971454042912E-4</v>
      </c>
      <c r="R117" s="260" t="s">
        <v>239</v>
      </c>
      <c r="S117" s="260" t="s">
        <v>514</v>
      </c>
      <c r="T117" s="260" t="s">
        <v>239</v>
      </c>
      <c r="U117" s="260" t="s">
        <v>514</v>
      </c>
    </row>
    <row r="118" spans="1:21" ht="14.5" x14ac:dyDescent="0.35">
      <c r="A118" s="260" t="s">
        <v>563</v>
      </c>
      <c r="B118" s="190">
        <v>45769</v>
      </c>
      <c r="C118" s="197">
        <v>99746</v>
      </c>
      <c r="D118" s="197">
        <v>0</v>
      </c>
      <c r="E118" s="197">
        <v>0</v>
      </c>
      <c r="F118" s="197">
        <v>0</v>
      </c>
      <c r="G118" s="197">
        <v>67067</v>
      </c>
      <c r="H118" s="197">
        <v>32648.5</v>
      </c>
      <c r="I118" s="197">
        <v>0</v>
      </c>
      <c r="J118" s="197">
        <v>99715.5</v>
      </c>
      <c r="K118" s="197">
        <v>99715.5</v>
      </c>
      <c r="L118" s="197">
        <v>32933</v>
      </c>
      <c r="M118" s="197">
        <v>0</v>
      </c>
      <c r="N118" s="197">
        <v>0</v>
      </c>
      <c r="O118" s="197">
        <v>0</v>
      </c>
      <c r="P118" s="197">
        <v>-30.5</v>
      </c>
      <c r="Q118" s="197">
        <v>-3.0577667274878095E-4</v>
      </c>
      <c r="R118" s="260" t="s">
        <v>239</v>
      </c>
      <c r="S118" s="260" t="s">
        <v>514</v>
      </c>
      <c r="T118" s="260" t="s">
        <v>239</v>
      </c>
      <c r="U118" s="260" t="s">
        <v>514</v>
      </c>
    </row>
    <row r="119" spans="1:21" ht="14.5" x14ac:dyDescent="0.35">
      <c r="A119" s="260" t="s">
        <v>563</v>
      </c>
      <c r="B119" s="190">
        <v>45770</v>
      </c>
      <c r="C119" s="197">
        <v>99715.5</v>
      </c>
      <c r="D119" s="197">
        <v>0</v>
      </c>
      <c r="E119" s="197">
        <v>0</v>
      </c>
      <c r="F119" s="197">
        <v>0</v>
      </c>
      <c r="G119" s="197">
        <v>67067</v>
      </c>
      <c r="H119" s="197">
        <v>32617.5</v>
      </c>
      <c r="I119" s="197">
        <v>0</v>
      </c>
      <c r="J119" s="197">
        <v>99684.5</v>
      </c>
      <c r="K119" s="197">
        <v>99684.5</v>
      </c>
      <c r="L119" s="197">
        <v>32933</v>
      </c>
      <c r="M119" s="197">
        <v>0</v>
      </c>
      <c r="N119" s="197">
        <v>0</v>
      </c>
      <c r="O119" s="197">
        <v>0</v>
      </c>
      <c r="P119" s="197">
        <v>-31</v>
      </c>
      <c r="Q119" s="197">
        <v>-3.1088446630667121E-4</v>
      </c>
      <c r="R119" s="260" t="s">
        <v>239</v>
      </c>
      <c r="S119" s="260" t="s">
        <v>514</v>
      </c>
      <c r="T119" s="260" t="s">
        <v>239</v>
      </c>
      <c r="U119" s="260" t="s">
        <v>514</v>
      </c>
    </row>
    <row r="120" spans="1:21" ht="14.5" x14ac:dyDescent="0.35">
      <c r="A120" s="260" t="s">
        <v>563</v>
      </c>
      <c r="B120" s="190">
        <v>45771</v>
      </c>
      <c r="C120" s="197">
        <v>99684.5</v>
      </c>
      <c r="D120" s="197">
        <v>0</v>
      </c>
      <c r="E120" s="197">
        <v>0</v>
      </c>
      <c r="F120" s="197">
        <v>0</v>
      </c>
      <c r="G120" s="197">
        <v>67067</v>
      </c>
      <c r="H120" s="197">
        <v>32585.5</v>
      </c>
      <c r="I120" s="197">
        <v>0</v>
      </c>
      <c r="J120" s="197">
        <v>99652.5</v>
      </c>
      <c r="K120" s="197">
        <v>99652.5</v>
      </c>
      <c r="L120" s="197">
        <v>32933</v>
      </c>
      <c r="M120" s="197">
        <v>0</v>
      </c>
      <c r="N120" s="197">
        <v>0</v>
      </c>
      <c r="O120" s="197">
        <v>0</v>
      </c>
      <c r="P120" s="197">
        <v>-32</v>
      </c>
      <c r="Q120" s="197">
        <v>-3.2101279536933536E-4</v>
      </c>
      <c r="R120" s="260" t="s">
        <v>239</v>
      </c>
      <c r="S120" s="260" t="s">
        <v>514</v>
      </c>
      <c r="T120" s="260" t="s">
        <v>239</v>
      </c>
      <c r="U120" s="260" t="s">
        <v>514</v>
      </c>
    </row>
    <row r="121" spans="1:21" ht="14.5" x14ac:dyDescent="0.35">
      <c r="A121" s="260" t="s">
        <v>563</v>
      </c>
      <c r="B121" s="190">
        <v>45772</v>
      </c>
      <c r="C121" s="197">
        <v>99652.5</v>
      </c>
      <c r="D121" s="197">
        <v>0</v>
      </c>
      <c r="E121" s="197">
        <v>0</v>
      </c>
      <c r="F121" s="197">
        <v>0</v>
      </c>
      <c r="G121" s="197">
        <v>67067</v>
      </c>
      <c r="H121" s="197">
        <v>32555</v>
      </c>
      <c r="I121" s="197">
        <v>0</v>
      </c>
      <c r="J121" s="197">
        <v>99622</v>
      </c>
      <c r="K121" s="197">
        <v>99622</v>
      </c>
      <c r="L121" s="197">
        <v>32933</v>
      </c>
      <c r="M121" s="197">
        <v>0</v>
      </c>
      <c r="N121" s="197">
        <v>0</v>
      </c>
      <c r="O121" s="197">
        <v>0</v>
      </c>
      <c r="P121" s="197">
        <v>-30.5</v>
      </c>
      <c r="Q121" s="197">
        <v>-3.060635709088988E-4</v>
      </c>
      <c r="R121" s="260" t="s">
        <v>239</v>
      </c>
      <c r="S121" s="260" t="s">
        <v>514</v>
      </c>
      <c r="T121" s="260" t="s">
        <v>239</v>
      </c>
      <c r="U121" s="260" t="s">
        <v>514</v>
      </c>
    </row>
    <row r="122" spans="1:21" ht="14.5" x14ac:dyDescent="0.35">
      <c r="A122" s="260" t="s">
        <v>563</v>
      </c>
      <c r="B122" s="190">
        <v>45773</v>
      </c>
      <c r="C122" s="197">
        <v>99622</v>
      </c>
      <c r="D122" s="197">
        <v>0</v>
      </c>
      <c r="E122" s="197">
        <v>0</v>
      </c>
      <c r="F122" s="197">
        <v>0</v>
      </c>
      <c r="G122" s="197">
        <v>67067</v>
      </c>
      <c r="H122" s="197">
        <v>32555</v>
      </c>
      <c r="I122" s="197">
        <v>0</v>
      </c>
      <c r="J122" s="197">
        <v>99622</v>
      </c>
      <c r="K122" s="197">
        <v>99622</v>
      </c>
      <c r="L122" s="197">
        <v>32933</v>
      </c>
      <c r="M122" s="197">
        <v>0</v>
      </c>
      <c r="N122" s="197">
        <v>0</v>
      </c>
      <c r="O122" s="197">
        <v>0</v>
      </c>
      <c r="P122" s="197">
        <v>0</v>
      </c>
      <c r="Q122" s="197">
        <v>0</v>
      </c>
      <c r="R122" s="260" t="s">
        <v>239</v>
      </c>
      <c r="S122" s="260" t="s">
        <v>514</v>
      </c>
      <c r="T122" s="260" t="s">
        <v>239</v>
      </c>
      <c r="U122" s="260" t="s">
        <v>514</v>
      </c>
    </row>
    <row r="123" spans="1:21" ht="14.5" x14ac:dyDescent="0.35">
      <c r="A123" s="260" t="s">
        <v>563</v>
      </c>
      <c r="B123" s="190">
        <v>45774</v>
      </c>
      <c r="C123" s="197">
        <v>99622</v>
      </c>
      <c r="D123" s="197">
        <v>0</v>
      </c>
      <c r="E123" s="197">
        <v>0</v>
      </c>
      <c r="F123" s="197">
        <v>0</v>
      </c>
      <c r="G123" s="197">
        <v>67067</v>
      </c>
      <c r="H123" s="197">
        <v>32555</v>
      </c>
      <c r="I123" s="197">
        <v>0</v>
      </c>
      <c r="J123" s="197">
        <v>99622</v>
      </c>
      <c r="K123" s="197">
        <v>99622</v>
      </c>
      <c r="L123" s="197">
        <v>32933</v>
      </c>
      <c r="M123" s="197">
        <v>0</v>
      </c>
      <c r="N123" s="197">
        <v>0</v>
      </c>
      <c r="O123" s="197">
        <v>0</v>
      </c>
      <c r="P123" s="197">
        <v>0</v>
      </c>
      <c r="Q123" s="197">
        <v>0</v>
      </c>
      <c r="R123" s="260" t="s">
        <v>239</v>
      </c>
      <c r="S123" s="260" t="s">
        <v>514</v>
      </c>
      <c r="T123" s="260" t="s">
        <v>239</v>
      </c>
      <c r="U123" s="260" t="s">
        <v>514</v>
      </c>
    </row>
    <row r="124" spans="1:21" ht="14.5" x14ac:dyDescent="0.35">
      <c r="A124" s="260" t="s">
        <v>563</v>
      </c>
      <c r="B124" s="190">
        <v>45775</v>
      </c>
      <c r="C124" s="197">
        <v>99622</v>
      </c>
      <c r="D124" s="197">
        <v>0</v>
      </c>
      <c r="E124" s="197">
        <v>0</v>
      </c>
      <c r="F124" s="197">
        <v>0</v>
      </c>
      <c r="G124" s="197">
        <v>67067</v>
      </c>
      <c r="H124" s="197">
        <v>32461</v>
      </c>
      <c r="I124" s="197">
        <v>0</v>
      </c>
      <c r="J124" s="197">
        <v>99528</v>
      </c>
      <c r="K124" s="197">
        <v>99528</v>
      </c>
      <c r="L124" s="197">
        <v>32933</v>
      </c>
      <c r="M124" s="197">
        <v>0</v>
      </c>
      <c r="N124" s="197">
        <v>0</v>
      </c>
      <c r="O124" s="197">
        <v>0</v>
      </c>
      <c r="P124" s="197">
        <v>-94</v>
      </c>
      <c r="Q124" s="197">
        <v>-9.4356668205819449E-4</v>
      </c>
      <c r="R124" s="260" t="s">
        <v>239</v>
      </c>
      <c r="S124" s="260" t="s">
        <v>514</v>
      </c>
      <c r="T124" s="260" t="s">
        <v>239</v>
      </c>
      <c r="U124" s="260" t="s">
        <v>514</v>
      </c>
    </row>
    <row r="125" spans="1:21" ht="14.5" x14ac:dyDescent="0.35">
      <c r="A125" s="260" t="s">
        <v>563</v>
      </c>
      <c r="B125" s="190">
        <v>45776</v>
      </c>
      <c r="C125" s="197">
        <v>99528</v>
      </c>
      <c r="D125" s="197">
        <v>0</v>
      </c>
      <c r="E125" s="197">
        <v>0</v>
      </c>
      <c r="F125" s="197">
        <v>0</v>
      </c>
      <c r="G125" s="197">
        <v>67067</v>
      </c>
      <c r="H125" s="197">
        <v>32430.5</v>
      </c>
      <c r="I125" s="197">
        <v>0</v>
      </c>
      <c r="J125" s="197">
        <v>99497.5</v>
      </c>
      <c r="K125" s="197">
        <v>99497.5</v>
      </c>
      <c r="L125" s="197">
        <v>32933</v>
      </c>
      <c r="M125" s="197">
        <v>0</v>
      </c>
      <c r="N125" s="197">
        <v>0</v>
      </c>
      <c r="O125" s="197">
        <v>0</v>
      </c>
      <c r="P125" s="197">
        <v>-30.5</v>
      </c>
      <c r="Q125" s="197">
        <v>-3.0644642713606451E-4</v>
      </c>
      <c r="R125" s="260" t="s">
        <v>239</v>
      </c>
      <c r="S125" s="260" t="s">
        <v>514</v>
      </c>
      <c r="T125" s="260" t="s">
        <v>239</v>
      </c>
      <c r="U125" s="260" t="s">
        <v>514</v>
      </c>
    </row>
    <row r="126" spans="1:21" ht="14.5" x14ac:dyDescent="0.35">
      <c r="A126" s="260" t="s">
        <v>563</v>
      </c>
      <c r="B126" s="190">
        <v>45777</v>
      </c>
      <c r="C126" s="197">
        <v>99497.5</v>
      </c>
      <c r="D126" s="197">
        <v>0</v>
      </c>
      <c r="E126" s="197">
        <v>0</v>
      </c>
      <c r="F126" s="197">
        <v>0</v>
      </c>
      <c r="G126" s="197">
        <v>67067</v>
      </c>
      <c r="H126" s="197">
        <v>32400</v>
      </c>
      <c r="I126" s="197">
        <v>0</v>
      </c>
      <c r="J126" s="197">
        <v>99467</v>
      </c>
      <c r="K126" s="197">
        <v>99467</v>
      </c>
      <c r="L126" s="197">
        <v>32933</v>
      </c>
      <c r="M126" s="197">
        <v>0</v>
      </c>
      <c r="N126" s="197">
        <v>0</v>
      </c>
      <c r="O126" s="197">
        <v>0</v>
      </c>
      <c r="P126" s="197">
        <v>-30.5</v>
      </c>
      <c r="Q126" s="197">
        <v>-3.0654036533583895E-4</v>
      </c>
      <c r="R126" s="260" t="s">
        <v>239</v>
      </c>
      <c r="S126" s="260" t="s">
        <v>514</v>
      </c>
      <c r="T126" s="260" t="s">
        <v>239</v>
      </c>
      <c r="U126" s="260" t="s">
        <v>514</v>
      </c>
    </row>
    <row r="127" spans="1:21" ht="14.5" x14ac:dyDescent="0.35">
      <c r="A127" s="260" t="s">
        <v>563</v>
      </c>
      <c r="B127" s="190">
        <v>45778</v>
      </c>
      <c r="C127" s="197">
        <v>99467</v>
      </c>
      <c r="D127" s="197">
        <v>0</v>
      </c>
      <c r="E127" s="197">
        <v>10000</v>
      </c>
      <c r="F127" s="197">
        <v>10000</v>
      </c>
      <c r="G127" s="197">
        <v>77067</v>
      </c>
      <c r="H127" s="197">
        <v>32400</v>
      </c>
      <c r="I127" s="197">
        <v>0</v>
      </c>
      <c r="J127" s="197">
        <v>109467</v>
      </c>
      <c r="K127" s="197">
        <v>109467</v>
      </c>
      <c r="L127" s="197">
        <v>32933</v>
      </c>
      <c r="M127" s="197">
        <v>0</v>
      </c>
      <c r="N127" s="197">
        <v>0</v>
      </c>
      <c r="O127" s="197">
        <v>0</v>
      </c>
      <c r="P127" s="197">
        <v>0</v>
      </c>
      <c r="Q127" s="197">
        <v>0</v>
      </c>
      <c r="R127" s="260" t="s">
        <v>239</v>
      </c>
      <c r="S127" s="260" t="s">
        <v>514</v>
      </c>
      <c r="T127" s="260" t="s">
        <v>239</v>
      </c>
      <c r="U127" s="260" t="s">
        <v>514</v>
      </c>
    </row>
    <row r="128" spans="1:21" ht="14.5" x14ac:dyDescent="0.35">
      <c r="A128" s="260" t="s">
        <v>563</v>
      </c>
      <c r="B128" s="190">
        <v>45779</v>
      </c>
      <c r="C128" s="197">
        <v>109467</v>
      </c>
      <c r="D128" s="197">
        <v>0</v>
      </c>
      <c r="E128" s="197">
        <v>0</v>
      </c>
      <c r="F128" s="197">
        <v>0</v>
      </c>
      <c r="G128" s="197">
        <v>77067</v>
      </c>
      <c r="H128" s="197">
        <v>32419.5</v>
      </c>
      <c r="I128" s="197">
        <v>0</v>
      </c>
      <c r="J128" s="197">
        <v>109486.5</v>
      </c>
      <c r="K128" s="197">
        <v>109486.5</v>
      </c>
      <c r="L128" s="197">
        <v>32933</v>
      </c>
      <c r="M128" s="197">
        <v>0</v>
      </c>
      <c r="N128" s="197">
        <v>0</v>
      </c>
      <c r="O128" s="197">
        <v>0</v>
      </c>
      <c r="P128" s="197">
        <v>19.5</v>
      </c>
      <c r="Q128" s="197">
        <v>1.7813587656556606E-4</v>
      </c>
      <c r="R128" s="260" t="s">
        <v>239</v>
      </c>
      <c r="S128" s="260" t="s">
        <v>514</v>
      </c>
      <c r="T128" s="260" t="s">
        <v>239</v>
      </c>
      <c r="U128" s="260" t="s">
        <v>514</v>
      </c>
    </row>
    <row r="129" spans="1:21" ht="14.5" x14ac:dyDescent="0.35">
      <c r="A129" s="260" t="s">
        <v>563</v>
      </c>
      <c r="B129" s="190">
        <v>45780</v>
      </c>
      <c r="C129" s="197">
        <v>109486.5</v>
      </c>
      <c r="D129" s="197">
        <v>0</v>
      </c>
      <c r="E129" s="197">
        <v>0</v>
      </c>
      <c r="F129" s="197">
        <v>0</v>
      </c>
      <c r="G129" s="197">
        <v>77067</v>
      </c>
      <c r="H129" s="197">
        <v>32419.5</v>
      </c>
      <c r="I129" s="197">
        <v>0</v>
      </c>
      <c r="J129" s="197">
        <v>109486.5</v>
      </c>
      <c r="K129" s="197">
        <v>109486.5</v>
      </c>
      <c r="L129" s="197">
        <v>32933</v>
      </c>
      <c r="M129" s="197">
        <v>0</v>
      </c>
      <c r="N129" s="197">
        <v>0</v>
      </c>
      <c r="O129" s="197">
        <v>0</v>
      </c>
      <c r="P129" s="197">
        <v>0</v>
      </c>
      <c r="Q129" s="197">
        <v>0</v>
      </c>
      <c r="R129" s="260" t="s">
        <v>239</v>
      </c>
      <c r="S129" s="260" t="s">
        <v>514</v>
      </c>
      <c r="T129" s="260" t="s">
        <v>239</v>
      </c>
      <c r="U129" s="260" t="s">
        <v>514</v>
      </c>
    </row>
    <row r="130" spans="1:21" ht="14.5" x14ac:dyDescent="0.35">
      <c r="A130" s="260" t="s">
        <v>563</v>
      </c>
      <c r="B130" s="190">
        <v>45781</v>
      </c>
      <c r="C130" s="197">
        <v>109486.5</v>
      </c>
      <c r="D130" s="197">
        <v>0</v>
      </c>
      <c r="E130" s="197">
        <v>0</v>
      </c>
      <c r="F130" s="197">
        <v>0</v>
      </c>
      <c r="G130" s="197">
        <v>77067</v>
      </c>
      <c r="H130" s="197">
        <v>32419.5</v>
      </c>
      <c r="I130" s="197">
        <v>0</v>
      </c>
      <c r="J130" s="197">
        <v>109486.5</v>
      </c>
      <c r="K130" s="197">
        <v>109486.5</v>
      </c>
      <c r="L130" s="197">
        <v>32933</v>
      </c>
      <c r="M130" s="197">
        <v>0</v>
      </c>
      <c r="N130" s="197">
        <v>0</v>
      </c>
      <c r="O130" s="197">
        <v>0</v>
      </c>
      <c r="P130" s="197">
        <v>0</v>
      </c>
      <c r="Q130" s="197">
        <v>0</v>
      </c>
      <c r="R130" s="260" t="s">
        <v>239</v>
      </c>
      <c r="S130" s="260" t="s">
        <v>514</v>
      </c>
      <c r="T130" s="260" t="s">
        <v>239</v>
      </c>
      <c r="U130" s="260" t="s">
        <v>514</v>
      </c>
    </row>
    <row r="131" spans="1:21" ht="14.5" x14ac:dyDescent="0.35">
      <c r="A131" s="260" t="s">
        <v>563</v>
      </c>
      <c r="B131" s="190">
        <v>45782</v>
      </c>
      <c r="C131" s="197">
        <v>109486.5</v>
      </c>
      <c r="D131" s="197">
        <v>0</v>
      </c>
      <c r="E131" s="197">
        <v>0</v>
      </c>
      <c r="F131" s="197">
        <v>0</v>
      </c>
      <c r="G131" s="197">
        <v>77067</v>
      </c>
      <c r="H131" s="197">
        <v>32479.5</v>
      </c>
      <c r="I131" s="197">
        <v>0</v>
      </c>
      <c r="J131" s="197">
        <v>109546.5</v>
      </c>
      <c r="K131" s="197">
        <v>109546.5</v>
      </c>
      <c r="L131" s="197">
        <v>32933</v>
      </c>
      <c r="M131" s="197">
        <v>0</v>
      </c>
      <c r="N131" s="197">
        <v>0</v>
      </c>
      <c r="O131" s="197">
        <v>0</v>
      </c>
      <c r="P131" s="197">
        <v>60</v>
      </c>
      <c r="Q131" s="197">
        <v>5.4801276869742566E-4</v>
      </c>
      <c r="R131" s="260" t="s">
        <v>239</v>
      </c>
      <c r="S131" s="260" t="s">
        <v>514</v>
      </c>
      <c r="T131" s="260" t="s">
        <v>239</v>
      </c>
      <c r="U131" s="260" t="s">
        <v>514</v>
      </c>
    </row>
    <row r="132" spans="1:21" ht="14.5" x14ac:dyDescent="0.35">
      <c r="A132" s="260" t="s">
        <v>563</v>
      </c>
      <c r="B132" s="190">
        <v>45783</v>
      </c>
      <c r="C132" s="197">
        <v>109546.5</v>
      </c>
      <c r="D132" s="197">
        <v>0</v>
      </c>
      <c r="E132" s="197">
        <v>0</v>
      </c>
      <c r="F132" s="197">
        <v>0</v>
      </c>
      <c r="G132" s="197">
        <v>77067</v>
      </c>
      <c r="H132" s="197">
        <v>32500.5</v>
      </c>
      <c r="I132" s="197">
        <v>0</v>
      </c>
      <c r="J132" s="197">
        <v>109567.5</v>
      </c>
      <c r="K132" s="197">
        <v>109567.5</v>
      </c>
      <c r="L132" s="197">
        <v>32933</v>
      </c>
      <c r="M132" s="197">
        <v>0</v>
      </c>
      <c r="N132" s="197">
        <v>0</v>
      </c>
      <c r="O132" s="197">
        <v>0</v>
      </c>
      <c r="P132" s="197">
        <v>21</v>
      </c>
      <c r="Q132" s="197">
        <v>1.9169941531682611E-4</v>
      </c>
      <c r="R132" s="260" t="s">
        <v>239</v>
      </c>
      <c r="S132" s="260" t="s">
        <v>514</v>
      </c>
      <c r="T132" s="260" t="s">
        <v>239</v>
      </c>
      <c r="U132" s="260" t="s">
        <v>514</v>
      </c>
    </row>
    <row r="133" spans="1:21" ht="14.5" x14ac:dyDescent="0.35">
      <c r="A133" s="260" t="s">
        <v>563</v>
      </c>
      <c r="B133" s="190">
        <v>45784</v>
      </c>
      <c r="C133" s="197">
        <v>109567.5</v>
      </c>
      <c r="D133" s="197">
        <v>0</v>
      </c>
      <c r="E133" s="197">
        <v>0</v>
      </c>
      <c r="F133" s="197">
        <v>0</v>
      </c>
      <c r="G133" s="197">
        <v>77067</v>
      </c>
      <c r="H133" s="197">
        <v>32520</v>
      </c>
      <c r="I133" s="197">
        <v>0</v>
      </c>
      <c r="J133" s="197">
        <v>109587</v>
      </c>
      <c r="K133" s="197">
        <v>109587</v>
      </c>
      <c r="L133" s="197">
        <v>32933</v>
      </c>
      <c r="M133" s="197">
        <v>0</v>
      </c>
      <c r="N133" s="197">
        <v>0</v>
      </c>
      <c r="O133" s="197">
        <v>0</v>
      </c>
      <c r="P133" s="197">
        <v>19.5</v>
      </c>
      <c r="Q133" s="197">
        <v>1.7797248271622657E-4</v>
      </c>
      <c r="R133" s="260" t="s">
        <v>239</v>
      </c>
      <c r="S133" s="260" t="s">
        <v>514</v>
      </c>
      <c r="T133" s="260" t="s">
        <v>239</v>
      </c>
      <c r="U133" s="260" t="s">
        <v>514</v>
      </c>
    </row>
    <row r="134" spans="1:21" ht="14.5" x14ac:dyDescent="0.35">
      <c r="A134" s="260" t="s">
        <v>563</v>
      </c>
      <c r="B134" s="190">
        <v>45785</v>
      </c>
      <c r="C134" s="197">
        <v>109587</v>
      </c>
      <c r="D134" s="197">
        <v>0</v>
      </c>
      <c r="E134" s="197">
        <v>0</v>
      </c>
      <c r="F134" s="197">
        <v>0</v>
      </c>
      <c r="G134" s="197">
        <v>77067</v>
      </c>
      <c r="H134" s="197">
        <v>32539.5</v>
      </c>
      <c r="I134" s="197">
        <v>0</v>
      </c>
      <c r="J134" s="197">
        <v>109606.5</v>
      </c>
      <c r="K134" s="197">
        <v>109606.5</v>
      </c>
      <c r="L134" s="197">
        <v>32933</v>
      </c>
      <c r="M134" s="197">
        <v>0</v>
      </c>
      <c r="N134" s="197">
        <v>0</v>
      </c>
      <c r="O134" s="197">
        <v>0</v>
      </c>
      <c r="P134" s="197">
        <v>19.5</v>
      </c>
      <c r="Q134" s="197">
        <v>1.7794081414757024E-4</v>
      </c>
      <c r="R134" s="260" t="s">
        <v>239</v>
      </c>
      <c r="S134" s="260" t="s">
        <v>514</v>
      </c>
      <c r="T134" s="260" t="s">
        <v>239</v>
      </c>
      <c r="U134" s="260" t="s">
        <v>514</v>
      </c>
    </row>
    <row r="135" spans="1:21" ht="14.5" x14ac:dyDescent="0.35">
      <c r="A135" s="260" t="s">
        <v>563</v>
      </c>
      <c r="B135" s="190">
        <v>45786</v>
      </c>
      <c r="C135" s="197">
        <v>109606.5</v>
      </c>
      <c r="D135" s="197">
        <v>0</v>
      </c>
      <c r="E135" s="197">
        <v>0</v>
      </c>
      <c r="F135" s="197">
        <v>0</v>
      </c>
      <c r="G135" s="197">
        <v>77067</v>
      </c>
      <c r="H135" s="197">
        <v>32560.5</v>
      </c>
      <c r="I135" s="197">
        <v>0</v>
      </c>
      <c r="J135" s="197">
        <v>109627.5</v>
      </c>
      <c r="K135" s="197">
        <v>109627.5</v>
      </c>
      <c r="L135" s="197">
        <v>32933</v>
      </c>
      <c r="M135" s="197">
        <v>0</v>
      </c>
      <c r="N135" s="197">
        <v>0</v>
      </c>
      <c r="O135" s="197">
        <v>0</v>
      </c>
      <c r="P135" s="197">
        <v>21</v>
      </c>
      <c r="Q135" s="197">
        <v>1.9159447660488382E-4</v>
      </c>
      <c r="R135" s="260" t="s">
        <v>239</v>
      </c>
      <c r="S135" s="260" t="s">
        <v>514</v>
      </c>
      <c r="T135" s="260" t="s">
        <v>239</v>
      </c>
      <c r="U135" s="260" t="s">
        <v>514</v>
      </c>
    </row>
    <row r="136" spans="1:21" ht="14.5" x14ac:dyDescent="0.35">
      <c r="A136" s="260" t="s">
        <v>563</v>
      </c>
      <c r="B136" s="190">
        <v>45787</v>
      </c>
      <c r="C136" s="197">
        <v>109627.5</v>
      </c>
      <c r="D136" s="197">
        <v>0</v>
      </c>
      <c r="E136" s="197">
        <v>0</v>
      </c>
      <c r="F136" s="197">
        <v>0</v>
      </c>
      <c r="G136" s="197">
        <v>77067</v>
      </c>
      <c r="H136" s="197">
        <v>32560.5</v>
      </c>
      <c r="I136" s="197">
        <v>0</v>
      </c>
      <c r="J136" s="197">
        <v>109627.5</v>
      </c>
      <c r="K136" s="197">
        <v>109627.5</v>
      </c>
      <c r="L136" s="197">
        <v>32933</v>
      </c>
      <c r="M136" s="197">
        <v>0</v>
      </c>
      <c r="N136" s="197">
        <v>0</v>
      </c>
      <c r="O136" s="197">
        <v>0</v>
      </c>
      <c r="P136" s="197">
        <v>0</v>
      </c>
      <c r="Q136" s="197">
        <v>0</v>
      </c>
      <c r="R136" s="260" t="s">
        <v>239</v>
      </c>
      <c r="S136" s="260" t="s">
        <v>514</v>
      </c>
      <c r="T136" s="260" t="s">
        <v>239</v>
      </c>
      <c r="U136" s="260" t="s">
        <v>514</v>
      </c>
    </row>
    <row r="137" spans="1:21" ht="14.5" x14ac:dyDescent="0.35">
      <c r="A137" s="260" t="s">
        <v>563</v>
      </c>
      <c r="B137" s="190">
        <v>45788</v>
      </c>
      <c r="C137" s="197">
        <v>109627.5</v>
      </c>
      <c r="D137" s="197">
        <v>0</v>
      </c>
      <c r="E137" s="197">
        <v>0</v>
      </c>
      <c r="F137" s="197">
        <v>0</v>
      </c>
      <c r="G137" s="197">
        <v>77067</v>
      </c>
      <c r="H137" s="197">
        <v>32560.5</v>
      </c>
      <c r="I137" s="197">
        <v>0</v>
      </c>
      <c r="J137" s="197">
        <v>109627.5</v>
      </c>
      <c r="K137" s="197">
        <v>109627.5</v>
      </c>
      <c r="L137" s="197">
        <v>32933</v>
      </c>
      <c r="M137" s="197">
        <v>0</v>
      </c>
      <c r="N137" s="197">
        <v>0</v>
      </c>
      <c r="O137" s="197">
        <v>0</v>
      </c>
      <c r="P137" s="197">
        <v>0</v>
      </c>
      <c r="Q137" s="197">
        <v>0</v>
      </c>
      <c r="R137" s="260" t="s">
        <v>239</v>
      </c>
      <c r="S137" s="260" t="s">
        <v>514</v>
      </c>
      <c r="T137" s="260" t="s">
        <v>239</v>
      </c>
      <c r="U137" s="260" t="s">
        <v>514</v>
      </c>
    </row>
    <row r="138" spans="1:21" ht="14.5" x14ac:dyDescent="0.35">
      <c r="A138" s="260" t="s">
        <v>563</v>
      </c>
      <c r="B138" s="190">
        <v>45789</v>
      </c>
      <c r="C138" s="197">
        <v>109627.5</v>
      </c>
      <c r="D138" s="197">
        <v>0</v>
      </c>
      <c r="E138" s="197">
        <v>0</v>
      </c>
      <c r="F138" s="197">
        <v>0</v>
      </c>
      <c r="G138" s="197">
        <v>77067</v>
      </c>
      <c r="H138" s="197">
        <v>32620.5</v>
      </c>
      <c r="I138" s="197">
        <v>0</v>
      </c>
      <c r="J138" s="197">
        <v>109687.5</v>
      </c>
      <c r="K138" s="197">
        <v>109687.5</v>
      </c>
      <c r="L138" s="197">
        <v>32933</v>
      </c>
      <c r="M138" s="197">
        <v>0</v>
      </c>
      <c r="N138" s="197">
        <v>0</v>
      </c>
      <c r="O138" s="197">
        <v>0</v>
      </c>
      <c r="P138" s="197">
        <v>60</v>
      </c>
      <c r="Q138" s="197">
        <v>5.4730792912360826E-4</v>
      </c>
      <c r="R138" s="260" t="s">
        <v>239</v>
      </c>
      <c r="S138" s="260" t="s">
        <v>514</v>
      </c>
      <c r="T138" s="260" t="s">
        <v>239</v>
      </c>
      <c r="U138" s="260" t="s">
        <v>514</v>
      </c>
    </row>
    <row r="139" spans="1:21" ht="14.5" x14ac:dyDescent="0.35">
      <c r="A139" s="260" t="s">
        <v>563</v>
      </c>
      <c r="B139" s="190">
        <v>45790</v>
      </c>
      <c r="C139" s="197">
        <v>109687.5</v>
      </c>
      <c r="D139" s="197">
        <v>0</v>
      </c>
      <c r="E139" s="197">
        <v>0</v>
      </c>
      <c r="F139" s="197">
        <v>0</v>
      </c>
      <c r="G139" s="197">
        <v>77067</v>
      </c>
      <c r="H139" s="197">
        <v>32640</v>
      </c>
      <c r="I139" s="197">
        <v>0</v>
      </c>
      <c r="J139" s="197">
        <v>109707</v>
      </c>
      <c r="K139" s="197">
        <v>109707</v>
      </c>
      <c r="L139" s="197">
        <v>32933</v>
      </c>
      <c r="M139" s="197">
        <v>0</v>
      </c>
      <c r="N139" s="197">
        <v>0</v>
      </c>
      <c r="O139" s="197">
        <v>0</v>
      </c>
      <c r="P139" s="197">
        <v>19.5</v>
      </c>
      <c r="Q139" s="197">
        <v>1.7777777777783221E-4</v>
      </c>
      <c r="R139" s="260" t="s">
        <v>239</v>
      </c>
      <c r="S139" s="260" t="s">
        <v>514</v>
      </c>
      <c r="T139" s="260" t="s">
        <v>239</v>
      </c>
      <c r="U139" s="260" t="s">
        <v>514</v>
      </c>
    </row>
    <row r="140" spans="1:21" ht="14.5" x14ac:dyDescent="0.35">
      <c r="A140" s="260" t="s">
        <v>563</v>
      </c>
      <c r="B140" s="190">
        <v>45791</v>
      </c>
      <c r="C140" s="197">
        <v>109707</v>
      </c>
      <c r="D140" s="197">
        <v>0</v>
      </c>
      <c r="E140" s="197">
        <v>0</v>
      </c>
      <c r="F140" s="197">
        <v>0</v>
      </c>
      <c r="G140" s="197">
        <v>77067</v>
      </c>
      <c r="H140" s="197">
        <v>32659.5</v>
      </c>
      <c r="I140" s="197">
        <v>0</v>
      </c>
      <c r="J140" s="197">
        <v>109726.5</v>
      </c>
      <c r="K140" s="197">
        <v>109726.5</v>
      </c>
      <c r="L140" s="197">
        <v>32933</v>
      </c>
      <c r="M140" s="197">
        <v>0</v>
      </c>
      <c r="N140" s="197">
        <v>0</v>
      </c>
      <c r="O140" s="197">
        <v>0</v>
      </c>
      <c r="P140" s="197">
        <v>19.5</v>
      </c>
      <c r="Q140" s="197">
        <v>1.777461784571166E-4</v>
      </c>
      <c r="R140" s="260" t="s">
        <v>239</v>
      </c>
      <c r="S140" s="260" t="s">
        <v>514</v>
      </c>
      <c r="T140" s="260" t="s">
        <v>239</v>
      </c>
      <c r="U140" s="260" t="s">
        <v>514</v>
      </c>
    </row>
    <row r="141" spans="1:21" ht="14.5" x14ac:dyDescent="0.35">
      <c r="A141" s="260" t="s">
        <v>563</v>
      </c>
      <c r="B141" s="190">
        <v>45792</v>
      </c>
      <c r="C141" s="197">
        <v>109726.5</v>
      </c>
      <c r="D141" s="197">
        <v>0</v>
      </c>
      <c r="E141" s="197">
        <v>0</v>
      </c>
      <c r="F141" s="197">
        <v>0</v>
      </c>
      <c r="G141" s="197">
        <v>77067</v>
      </c>
      <c r="H141" s="197">
        <v>32680.5</v>
      </c>
      <c r="I141" s="197">
        <v>0</v>
      </c>
      <c r="J141" s="197">
        <v>109747.5</v>
      </c>
      <c r="K141" s="197">
        <v>109747.5</v>
      </c>
      <c r="L141" s="197">
        <v>32933</v>
      </c>
      <c r="M141" s="197">
        <v>0</v>
      </c>
      <c r="N141" s="197">
        <v>0</v>
      </c>
      <c r="O141" s="197">
        <v>0</v>
      </c>
      <c r="P141" s="197">
        <v>21</v>
      </c>
      <c r="Q141" s="197">
        <v>1.913849434731496E-4</v>
      </c>
      <c r="R141" s="260" t="s">
        <v>239</v>
      </c>
      <c r="S141" s="260" t="s">
        <v>514</v>
      </c>
      <c r="T141" s="260" t="s">
        <v>239</v>
      </c>
      <c r="U141" s="260" t="s">
        <v>514</v>
      </c>
    </row>
    <row r="142" spans="1:21" ht="14.5" x14ac:dyDescent="0.35">
      <c r="A142" s="260" t="s">
        <v>563</v>
      </c>
      <c r="B142" s="190">
        <v>45793</v>
      </c>
      <c r="C142" s="197">
        <v>109747.5</v>
      </c>
      <c r="D142" s="197">
        <v>0</v>
      </c>
      <c r="E142" s="197">
        <v>0</v>
      </c>
      <c r="F142" s="197">
        <v>0</v>
      </c>
      <c r="G142" s="197">
        <v>77067</v>
      </c>
      <c r="H142" s="197">
        <v>32700</v>
      </c>
      <c r="I142" s="197">
        <v>0</v>
      </c>
      <c r="J142" s="197">
        <v>109767</v>
      </c>
      <c r="K142" s="197">
        <v>109767</v>
      </c>
      <c r="L142" s="197">
        <v>32933</v>
      </c>
      <c r="M142" s="197">
        <v>0</v>
      </c>
      <c r="N142" s="197">
        <v>0</v>
      </c>
      <c r="O142" s="197">
        <v>0</v>
      </c>
      <c r="P142" s="197">
        <v>19.5</v>
      </c>
      <c r="Q142" s="197">
        <v>1.7768058497913408E-4</v>
      </c>
      <c r="R142" s="260" t="s">
        <v>239</v>
      </c>
      <c r="S142" s="260" t="s">
        <v>514</v>
      </c>
      <c r="T142" s="260" t="s">
        <v>239</v>
      </c>
      <c r="U142" s="260" t="s">
        <v>514</v>
      </c>
    </row>
    <row r="143" spans="1:21" ht="14.5" x14ac:dyDescent="0.35">
      <c r="A143" s="260" t="s">
        <v>563</v>
      </c>
      <c r="B143" s="190">
        <v>45794</v>
      </c>
      <c r="C143" s="197">
        <v>109767</v>
      </c>
      <c r="D143" s="197">
        <v>0</v>
      </c>
      <c r="E143" s="197">
        <v>0</v>
      </c>
      <c r="F143" s="197">
        <v>0</v>
      </c>
      <c r="G143" s="197">
        <v>77067</v>
      </c>
      <c r="H143" s="197">
        <v>32700</v>
      </c>
      <c r="I143" s="197">
        <v>0</v>
      </c>
      <c r="J143" s="197">
        <v>109767</v>
      </c>
      <c r="K143" s="197">
        <v>109767</v>
      </c>
      <c r="L143" s="197">
        <v>32933</v>
      </c>
      <c r="M143" s="197">
        <v>0</v>
      </c>
      <c r="N143" s="197">
        <v>0</v>
      </c>
      <c r="O143" s="197">
        <v>0</v>
      </c>
      <c r="P143" s="197">
        <v>0</v>
      </c>
      <c r="Q143" s="197">
        <v>0</v>
      </c>
      <c r="R143" s="260" t="s">
        <v>239</v>
      </c>
      <c r="S143" s="260" t="s">
        <v>514</v>
      </c>
      <c r="T143" s="260" t="s">
        <v>239</v>
      </c>
      <c r="U143" s="260" t="s">
        <v>514</v>
      </c>
    </row>
    <row r="144" spans="1:21" ht="14.5" x14ac:dyDescent="0.35">
      <c r="A144" s="260" t="s">
        <v>563</v>
      </c>
      <c r="B144" s="190">
        <v>45795</v>
      </c>
      <c r="C144" s="197">
        <v>109767</v>
      </c>
      <c r="D144" s="197">
        <v>0</v>
      </c>
      <c r="E144" s="197">
        <v>0</v>
      </c>
      <c r="F144" s="197">
        <v>0</v>
      </c>
      <c r="G144" s="197">
        <v>77067</v>
      </c>
      <c r="H144" s="197">
        <v>32700</v>
      </c>
      <c r="I144" s="197">
        <v>0</v>
      </c>
      <c r="J144" s="197">
        <v>109767</v>
      </c>
      <c r="K144" s="197">
        <v>109767</v>
      </c>
      <c r="L144" s="197">
        <v>32933</v>
      </c>
      <c r="M144" s="197">
        <v>0</v>
      </c>
      <c r="N144" s="197">
        <v>0</v>
      </c>
      <c r="O144" s="197">
        <v>0</v>
      </c>
      <c r="P144" s="197">
        <v>0</v>
      </c>
      <c r="Q144" s="197">
        <v>0</v>
      </c>
      <c r="R144" s="260" t="s">
        <v>239</v>
      </c>
      <c r="S144" s="260" t="s">
        <v>514</v>
      </c>
      <c r="T144" s="260" t="s">
        <v>239</v>
      </c>
      <c r="U144" s="260" t="s">
        <v>514</v>
      </c>
    </row>
    <row r="145" spans="1:21" ht="14.5" x14ac:dyDescent="0.35">
      <c r="A145" s="260" t="s">
        <v>563</v>
      </c>
      <c r="B145" s="190">
        <v>45796</v>
      </c>
      <c r="C145" s="197">
        <v>109767</v>
      </c>
      <c r="D145" s="197">
        <v>0</v>
      </c>
      <c r="E145" s="197">
        <v>0</v>
      </c>
      <c r="F145" s="197">
        <v>0</v>
      </c>
      <c r="G145" s="197">
        <v>77067</v>
      </c>
      <c r="H145" s="197">
        <v>32760</v>
      </c>
      <c r="I145" s="197">
        <v>0</v>
      </c>
      <c r="J145" s="197">
        <v>109827</v>
      </c>
      <c r="K145" s="197">
        <v>109827</v>
      </c>
      <c r="L145" s="197">
        <v>32933</v>
      </c>
      <c r="M145" s="197">
        <v>0</v>
      </c>
      <c r="N145" s="197">
        <v>0</v>
      </c>
      <c r="O145" s="197">
        <v>0</v>
      </c>
      <c r="P145" s="197">
        <v>60</v>
      </c>
      <c r="Q145" s="197">
        <v>5.4661236983788442E-4</v>
      </c>
      <c r="R145" s="260" t="s">
        <v>239</v>
      </c>
      <c r="S145" s="260" t="s">
        <v>514</v>
      </c>
      <c r="T145" s="260" t="s">
        <v>239</v>
      </c>
      <c r="U145" s="260" t="s">
        <v>514</v>
      </c>
    </row>
    <row r="146" spans="1:21" ht="14.5" x14ac:dyDescent="0.35">
      <c r="A146" s="260" t="s">
        <v>563</v>
      </c>
      <c r="B146" s="190">
        <v>45797</v>
      </c>
      <c r="C146" s="197">
        <v>109827</v>
      </c>
      <c r="D146" s="197">
        <v>0</v>
      </c>
      <c r="E146" s="197">
        <v>0</v>
      </c>
      <c r="F146" s="197">
        <v>0</v>
      </c>
      <c r="G146" s="197">
        <v>77067</v>
      </c>
      <c r="H146" s="197">
        <v>32779.5</v>
      </c>
      <c r="I146" s="197">
        <v>0</v>
      </c>
      <c r="J146" s="197">
        <v>109846.5</v>
      </c>
      <c r="K146" s="197">
        <v>109846.5</v>
      </c>
      <c r="L146" s="197">
        <v>32933</v>
      </c>
      <c r="M146" s="197">
        <v>0</v>
      </c>
      <c r="N146" s="197">
        <v>0</v>
      </c>
      <c r="O146" s="197">
        <v>0</v>
      </c>
      <c r="P146" s="197">
        <v>19.5</v>
      </c>
      <c r="Q146" s="197">
        <v>1.7755196809532414E-4</v>
      </c>
      <c r="R146" s="260" t="s">
        <v>239</v>
      </c>
      <c r="S146" s="260" t="s">
        <v>514</v>
      </c>
      <c r="T146" s="260" t="s">
        <v>239</v>
      </c>
      <c r="U146" s="260" t="s">
        <v>514</v>
      </c>
    </row>
    <row r="147" spans="1:21" ht="14.5" x14ac:dyDescent="0.35">
      <c r="A147" s="260" t="s">
        <v>563</v>
      </c>
      <c r="B147" s="190">
        <v>45798</v>
      </c>
      <c r="C147" s="197">
        <v>109846.5</v>
      </c>
      <c r="D147" s="197">
        <v>0</v>
      </c>
      <c r="E147" s="197">
        <v>0</v>
      </c>
      <c r="F147" s="197">
        <v>0</v>
      </c>
      <c r="G147" s="197">
        <v>77067</v>
      </c>
      <c r="H147" s="197">
        <v>32800.5</v>
      </c>
      <c r="I147" s="197">
        <v>0</v>
      </c>
      <c r="J147" s="197">
        <v>109867.5</v>
      </c>
      <c r="K147" s="197">
        <v>109867.5</v>
      </c>
      <c r="L147" s="197">
        <v>32933</v>
      </c>
      <c r="M147" s="197">
        <v>0</v>
      </c>
      <c r="N147" s="197">
        <v>0</v>
      </c>
      <c r="O147" s="197">
        <v>0</v>
      </c>
      <c r="P147" s="197">
        <v>21</v>
      </c>
      <c r="Q147" s="197">
        <v>1.9117586814321186E-4</v>
      </c>
      <c r="R147" s="260" t="s">
        <v>239</v>
      </c>
      <c r="S147" s="260" t="s">
        <v>514</v>
      </c>
      <c r="T147" s="260" t="s">
        <v>239</v>
      </c>
      <c r="U147" s="260" t="s">
        <v>514</v>
      </c>
    </row>
    <row r="148" spans="1:21" ht="14.5" x14ac:dyDescent="0.35">
      <c r="A148" s="260" t="s">
        <v>563</v>
      </c>
      <c r="B148" s="190">
        <v>45799</v>
      </c>
      <c r="C148" s="197">
        <v>109867.5</v>
      </c>
      <c r="D148" s="197">
        <v>0</v>
      </c>
      <c r="E148" s="197">
        <v>0</v>
      </c>
      <c r="F148" s="197">
        <v>0</v>
      </c>
      <c r="G148" s="197">
        <v>77067</v>
      </c>
      <c r="H148" s="197">
        <v>32820</v>
      </c>
      <c r="I148" s="197">
        <v>0</v>
      </c>
      <c r="J148" s="197">
        <v>109887</v>
      </c>
      <c r="K148" s="197">
        <v>109887</v>
      </c>
      <c r="L148" s="197">
        <v>32933</v>
      </c>
      <c r="M148" s="197">
        <v>0</v>
      </c>
      <c r="N148" s="197">
        <v>0</v>
      </c>
      <c r="O148" s="197">
        <v>0</v>
      </c>
      <c r="P148" s="197">
        <v>19.5</v>
      </c>
      <c r="Q148" s="197">
        <v>1.7748651785098879E-4</v>
      </c>
      <c r="R148" s="260" t="s">
        <v>239</v>
      </c>
      <c r="S148" s="260" t="s">
        <v>514</v>
      </c>
      <c r="T148" s="260" t="s">
        <v>239</v>
      </c>
      <c r="U148" s="260" t="s">
        <v>514</v>
      </c>
    </row>
    <row r="149" spans="1:21" ht="14.5" x14ac:dyDescent="0.35">
      <c r="A149" s="260" t="s">
        <v>563</v>
      </c>
      <c r="B149" s="190">
        <v>45800</v>
      </c>
      <c r="C149" s="197">
        <v>109887</v>
      </c>
      <c r="D149" s="197">
        <v>0</v>
      </c>
      <c r="E149" s="197">
        <v>0</v>
      </c>
      <c r="F149" s="197">
        <v>0</v>
      </c>
      <c r="G149" s="197">
        <v>77067</v>
      </c>
      <c r="H149" s="197">
        <v>32839.5</v>
      </c>
      <c r="I149" s="197">
        <v>0</v>
      </c>
      <c r="J149" s="197">
        <v>109906.5</v>
      </c>
      <c r="K149" s="197">
        <v>109906.5</v>
      </c>
      <c r="L149" s="197">
        <v>32933</v>
      </c>
      <c r="M149" s="197">
        <v>0</v>
      </c>
      <c r="N149" s="197">
        <v>0</v>
      </c>
      <c r="O149" s="197">
        <v>0</v>
      </c>
      <c r="P149" s="197">
        <v>19.5</v>
      </c>
      <c r="Q149" s="197">
        <v>1.7745502197707985E-4</v>
      </c>
      <c r="R149" s="260" t="s">
        <v>239</v>
      </c>
      <c r="S149" s="260" t="s">
        <v>514</v>
      </c>
      <c r="T149" s="260" t="s">
        <v>239</v>
      </c>
      <c r="U149" s="260" t="s">
        <v>514</v>
      </c>
    </row>
    <row r="150" spans="1:21" ht="14.5" x14ac:dyDescent="0.35">
      <c r="A150" s="260" t="s">
        <v>563</v>
      </c>
      <c r="B150" s="190">
        <v>45801</v>
      </c>
      <c r="C150" s="197">
        <v>109906.5</v>
      </c>
      <c r="D150" s="197">
        <v>0</v>
      </c>
      <c r="E150" s="197">
        <v>0</v>
      </c>
      <c r="F150" s="197">
        <v>0</v>
      </c>
      <c r="G150" s="197">
        <v>77067</v>
      </c>
      <c r="H150" s="197">
        <v>32839.5</v>
      </c>
      <c r="I150" s="197">
        <v>0</v>
      </c>
      <c r="J150" s="197">
        <v>109906.5</v>
      </c>
      <c r="K150" s="197">
        <v>109906.5</v>
      </c>
      <c r="L150" s="197">
        <v>32933</v>
      </c>
      <c r="M150" s="197">
        <v>0</v>
      </c>
      <c r="N150" s="197">
        <v>0</v>
      </c>
      <c r="O150" s="197">
        <v>0</v>
      </c>
      <c r="P150" s="197">
        <v>0</v>
      </c>
      <c r="Q150" s="197">
        <v>0</v>
      </c>
      <c r="R150" s="260" t="s">
        <v>239</v>
      </c>
      <c r="S150" s="260" t="s">
        <v>514</v>
      </c>
      <c r="T150" s="260" t="s">
        <v>239</v>
      </c>
      <c r="U150" s="260" t="s">
        <v>514</v>
      </c>
    </row>
    <row r="151" spans="1:21" ht="14.5" x14ac:dyDescent="0.35">
      <c r="A151" s="260" t="s">
        <v>563</v>
      </c>
      <c r="B151" s="190">
        <v>45802</v>
      </c>
      <c r="C151" s="197">
        <v>109906.5</v>
      </c>
      <c r="D151" s="197">
        <v>0</v>
      </c>
      <c r="E151" s="197">
        <v>0</v>
      </c>
      <c r="F151" s="197">
        <v>0</v>
      </c>
      <c r="G151" s="197">
        <v>77067</v>
      </c>
      <c r="H151" s="197">
        <v>32839.5</v>
      </c>
      <c r="I151" s="197">
        <v>0</v>
      </c>
      <c r="J151" s="197">
        <v>109906.5</v>
      </c>
      <c r="K151" s="197">
        <v>109906.5</v>
      </c>
      <c r="L151" s="197">
        <v>32933</v>
      </c>
      <c r="M151" s="197">
        <v>0</v>
      </c>
      <c r="N151" s="197">
        <v>0</v>
      </c>
      <c r="O151" s="197">
        <v>0</v>
      </c>
      <c r="P151" s="197">
        <v>0</v>
      </c>
      <c r="Q151" s="197">
        <v>0</v>
      </c>
      <c r="R151" s="260" t="s">
        <v>239</v>
      </c>
      <c r="S151" s="260" t="s">
        <v>514</v>
      </c>
      <c r="T151" s="260" t="s">
        <v>239</v>
      </c>
      <c r="U151" s="260" t="s">
        <v>514</v>
      </c>
    </row>
    <row r="152" spans="1:21" ht="14.5" x14ac:dyDescent="0.35">
      <c r="A152" s="260" t="s">
        <v>563</v>
      </c>
      <c r="B152" s="190">
        <v>45803</v>
      </c>
      <c r="C152" s="197">
        <v>109906.5</v>
      </c>
      <c r="D152" s="197">
        <v>0</v>
      </c>
      <c r="E152" s="197">
        <v>0</v>
      </c>
      <c r="F152" s="197">
        <v>0</v>
      </c>
      <c r="G152" s="197">
        <v>77067</v>
      </c>
      <c r="H152" s="197">
        <v>32899.5</v>
      </c>
      <c r="I152" s="197">
        <v>0</v>
      </c>
      <c r="J152" s="197">
        <v>109966.5</v>
      </c>
      <c r="K152" s="197">
        <v>109966.5</v>
      </c>
      <c r="L152" s="197">
        <v>32933</v>
      </c>
      <c r="M152" s="197">
        <v>0</v>
      </c>
      <c r="N152" s="197">
        <v>0</v>
      </c>
      <c r="O152" s="197">
        <v>0</v>
      </c>
      <c r="P152" s="197">
        <v>60</v>
      </c>
      <c r="Q152" s="197">
        <v>5.4591857624441964E-4</v>
      </c>
      <c r="R152" s="260" t="s">
        <v>239</v>
      </c>
      <c r="S152" s="260" t="s">
        <v>514</v>
      </c>
      <c r="T152" s="260" t="s">
        <v>239</v>
      </c>
      <c r="U152" s="260" t="s">
        <v>514</v>
      </c>
    </row>
    <row r="153" spans="1:21" ht="14.5" x14ac:dyDescent="0.35">
      <c r="A153" s="260" t="s">
        <v>563</v>
      </c>
      <c r="B153" s="190">
        <v>45804</v>
      </c>
      <c r="C153" s="197">
        <v>109966.5</v>
      </c>
      <c r="D153" s="197">
        <v>0</v>
      </c>
      <c r="E153" s="197">
        <v>0</v>
      </c>
      <c r="F153" s="197">
        <v>0</v>
      </c>
      <c r="G153" s="197">
        <v>77067</v>
      </c>
      <c r="H153" s="197">
        <v>32920.5</v>
      </c>
      <c r="I153" s="197">
        <v>0</v>
      </c>
      <c r="J153" s="197">
        <v>109987.5</v>
      </c>
      <c r="K153" s="197">
        <v>109987.5</v>
      </c>
      <c r="L153" s="197">
        <v>32933</v>
      </c>
      <c r="M153" s="197">
        <v>0</v>
      </c>
      <c r="N153" s="197">
        <v>0</v>
      </c>
      <c r="O153" s="197">
        <v>0</v>
      </c>
      <c r="P153" s="197">
        <v>21</v>
      </c>
      <c r="Q153" s="197">
        <v>1.9096724911671359E-4</v>
      </c>
      <c r="R153" s="260" t="s">
        <v>239</v>
      </c>
      <c r="S153" s="260" t="s">
        <v>514</v>
      </c>
      <c r="T153" s="260" t="s">
        <v>239</v>
      </c>
      <c r="U153" s="260" t="s">
        <v>514</v>
      </c>
    </row>
    <row r="154" spans="1:21" ht="14.5" x14ac:dyDescent="0.35">
      <c r="A154" s="260" t="s">
        <v>563</v>
      </c>
      <c r="B154" s="190">
        <v>45805</v>
      </c>
      <c r="C154" s="197">
        <v>109987.5</v>
      </c>
      <c r="D154" s="197">
        <v>0</v>
      </c>
      <c r="E154" s="197">
        <v>0</v>
      </c>
      <c r="F154" s="197">
        <v>0</v>
      </c>
      <c r="G154" s="197">
        <v>77067</v>
      </c>
      <c r="H154" s="197">
        <v>32940</v>
      </c>
      <c r="I154" s="197">
        <v>0</v>
      </c>
      <c r="J154" s="197">
        <v>110007</v>
      </c>
      <c r="K154" s="197">
        <v>110007</v>
      </c>
      <c r="L154" s="197">
        <v>32933</v>
      </c>
      <c r="M154" s="197">
        <v>0</v>
      </c>
      <c r="N154" s="197">
        <v>0</v>
      </c>
      <c r="O154" s="197">
        <v>0</v>
      </c>
      <c r="P154" s="197">
        <v>19.5</v>
      </c>
      <c r="Q154" s="197">
        <v>1.772928741903268E-4</v>
      </c>
      <c r="R154" s="260" t="s">
        <v>239</v>
      </c>
      <c r="S154" s="260" t="s">
        <v>514</v>
      </c>
      <c r="T154" s="260" t="s">
        <v>239</v>
      </c>
      <c r="U154" s="260" t="s">
        <v>514</v>
      </c>
    </row>
    <row r="155" spans="1:21" ht="14.5" x14ac:dyDescent="0.35">
      <c r="A155" s="260" t="s">
        <v>563</v>
      </c>
      <c r="B155" s="190">
        <v>45806</v>
      </c>
      <c r="C155" s="197">
        <v>110007</v>
      </c>
      <c r="D155" s="197">
        <v>0</v>
      </c>
      <c r="E155" s="197">
        <v>0</v>
      </c>
      <c r="F155" s="197">
        <v>0</v>
      </c>
      <c r="G155" s="197">
        <v>77067</v>
      </c>
      <c r="H155" s="197">
        <v>32959.5</v>
      </c>
      <c r="I155" s="197">
        <v>0</v>
      </c>
      <c r="J155" s="197">
        <v>110026.5</v>
      </c>
      <c r="K155" s="197">
        <v>110026.5</v>
      </c>
      <c r="L155" s="197">
        <v>32933</v>
      </c>
      <c r="M155" s="197">
        <v>0</v>
      </c>
      <c r="N155" s="197">
        <v>0</v>
      </c>
      <c r="O155" s="197">
        <v>0</v>
      </c>
      <c r="P155" s="197">
        <v>19.5</v>
      </c>
      <c r="Q155" s="197">
        <v>1.7726144699881097E-4</v>
      </c>
      <c r="R155" s="260" t="s">
        <v>239</v>
      </c>
      <c r="S155" s="260" t="s">
        <v>514</v>
      </c>
      <c r="T155" s="260" t="s">
        <v>239</v>
      </c>
      <c r="U155" s="260" t="s">
        <v>514</v>
      </c>
    </row>
    <row r="156" spans="1:21" ht="14.5" x14ac:dyDescent="0.35">
      <c r="A156" s="260" t="s">
        <v>563</v>
      </c>
      <c r="B156" s="190">
        <v>45807</v>
      </c>
      <c r="C156" s="197">
        <v>110026.5</v>
      </c>
      <c r="D156" s="197">
        <v>0</v>
      </c>
      <c r="E156" s="197">
        <v>0</v>
      </c>
      <c r="F156" s="197">
        <v>0</v>
      </c>
      <c r="G156" s="197">
        <v>77067</v>
      </c>
      <c r="H156" s="197">
        <v>32980.5</v>
      </c>
      <c r="I156" s="197">
        <v>0</v>
      </c>
      <c r="J156" s="197">
        <v>110047.5</v>
      </c>
      <c r="K156" s="197">
        <v>110047.5</v>
      </c>
      <c r="L156" s="197">
        <v>32933</v>
      </c>
      <c r="M156" s="197">
        <v>0</v>
      </c>
      <c r="N156" s="197">
        <v>0</v>
      </c>
      <c r="O156" s="197">
        <v>0</v>
      </c>
      <c r="P156" s="197">
        <v>21</v>
      </c>
      <c r="Q156" s="197">
        <v>1.9086311025073854E-4</v>
      </c>
      <c r="R156" s="260" t="s">
        <v>239</v>
      </c>
      <c r="S156" s="260" t="s">
        <v>514</v>
      </c>
      <c r="T156" s="260" t="s">
        <v>239</v>
      </c>
      <c r="U156" s="260" t="s">
        <v>514</v>
      </c>
    </row>
    <row r="157" spans="1:21" ht="14.5" x14ac:dyDescent="0.35">
      <c r="A157" s="260" t="s">
        <v>563</v>
      </c>
      <c r="B157" s="190">
        <v>45808</v>
      </c>
      <c r="C157" s="197">
        <v>110047.5</v>
      </c>
      <c r="D157" s="197">
        <v>0</v>
      </c>
      <c r="E157" s="197">
        <v>0</v>
      </c>
      <c r="F157" s="197">
        <v>0</v>
      </c>
      <c r="G157" s="197">
        <v>77067</v>
      </c>
      <c r="H157" s="197">
        <v>32980.5</v>
      </c>
      <c r="I157" s="197">
        <v>0</v>
      </c>
      <c r="J157" s="197">
        <v>110047.5</v>
      </c>
      <c r="K157" s="197">
        <v>110047.5</v>
      </c>
      <c r="L157" s="197">
        <v>32933</v>
      </c>
      <c r="M157" s="197">
        <v>0</v>
      </c>
      <c r="N157" s="197">
        <v>0</v>
      </c>
      <c r="O157" s="197">
        <v>0</v>
      </c>
      <c r="P157" s="197">
        <v>0</v>
      </c>
      <c r="Q157" s="197">
        <v>0</v>
      </c>
      <c r="R157" s="260" t="s">
        <v>239</v>
      </c>
      <c r="S157" s="260" t="s">
        <v>514</v>
      </c>
      <c r="T157" s="260" t="s">
        <v>239</v>
      </c>
      <c r="U157" s="260" t="s">
        <v>514</v>
      </c>
    </row>
    <row r="158" spans="1:21" ht="14.5" x14ac:dyDescent="0.35">
      <c r="A158" s="260" t="s">
        <v>563</v>
      </c>
      <c r="B158" s="190">
        <v>45809</v>
      </c>
      <c r="C158" s="197">
        <v>110047.5</v>
      </c>
      <c r="D158" s="197">
        <v>0</v>
      </c>
      <c r="E158" s="197">
        <v>0</v>
      </c>
      <c r="F158" s="197">
        <v>0</v>
      </c>
      <c r="G158" s="197">
        <v>77067</v>
      </c>
      <c r="H158" s="197">
        <v>32980.5</v>
      </c>
      <c r="I158" s="197">
        <v>0</v>
      </c>
      <c r="J158" s="197">
        <v>110047.5</v>
      </c>
      <c r="K158" s="197">
        <v>110047.5</v>
      </c>
      <c r="L158" s="197">
        <v>32933</v>
      </c>
      <c r="M158" s="197">
        <v>0</v>
      </c>
      <c r="N158" s="197">
        <v>0</v>
      </c>
      <c r="O158" s="197">
        <v>0</v>
      </c>
      <c r="P158" s="197">
        <v>0</v>
      </c>
      <c r="Q158" s="197">
        <v>0</v>
      </c>
      <c r="R158" s="260" t="s">
        <v>239</v>
      </c>
      <c r="S158" s="260" t="s">
        <v>514</v>
      </c>
      <c r="T158" s="260" t="s">
        <v>239</v>
      </c>
      <c r="U158" s="260" t="s">
        <v>514</v>
      </c>
    </row>
    <row r="159" spans="1:21" ht="14.5" x14ac:dyDescent="0.35">
      <c r="A159" s="260" t="s">
        <v>563</v>
      </c>
      <c r="B159" s="190">
        <v>45810</v>
      </c>
      <c r="C159" s="197">
        <v>110047.5</v>
      </c>
      <c r="D159" s="197">
        <v>0</v>
      </c>
      <c r="E159" s="197">
        <v>0</v>
      </c>
      <c r="F159" s="197">
        <v>0</v>
      </c>
      <c r="G159" s="197">
        <v>77067</v>
      </c>
      <c r="H159" s="197">
        <v>33028.5</v>
      </c>
      <c r="I159" s="197">
        <v>0</v>
      </c>
      <c r="J159" s="197">
        <v>110095.5</v>
      </c>
      <c r="K159" s="197">
        <v>110095.5</v>
      </c>
      <c r="L159" s="197">
        <v>32933</v>
      </c>
      <c r="M159" s="197">
        <v>0</v>
      </c>
      <c r="N159" s="197">
        <v>0</v>
      </c>
      <c r="O159" s="197">
        <v>0</v>
      </c>
      <c r="P159" s="197">
        <v>48</v>
      </c>
      <c r="Q159" s="197">
        <v>4.3617528794381855E-4</v>
      </c>
      <c r="R159" s="260" t="s">
        <v>239</v>
      </c>
      <c r="S159" s="260" t="s">
        <v>514</v>
      </c>
      <c r="T159" s="260" t="s">
        <v>239</v>
      </c>
      <c r="U159" s="260" t="s">
        <v>514</v>
      </c>
    </row>
    <row r="160" spans="1:21" ht="14.5" x14ac:dyDescent="0.35">
      <c r="A160" s="260" t="s">
        <v>563</v>
      </c>
      <c r="B160" s="190">
        <v>45811</v>
      </c>
      <c r="C160" s="197">
        <v>110095.5</v>
      </c>
      <c r="D160" s="197">
        <v>0</v>
      </c>
      <c r="E160" s="197">
        <v>0</v>
      </c>
      <c r="F160" s="197">
        <v>0</v>
      </c>
      <c r="G160" s="197">
        <v>77067</v>
      </c>
      <c r="H160" s="197">
        <v>33058.5</v>
      </c>
      <c r="I160" s="197">
        <v>0</v>
      </c>
      <c r="J160" s="197">
        <v>110125.5</v>
      </c>
      <c r="K160" s="197">
        <v>110125.5</v>
      </c>
      <c r="L160" s="197">
        <v>32933</v>
      </c>
      <c r="M160" s="197">
        <v>0</v>
      </c>
      <c r="N160" s="197">
        <v>0</v>
      </c>
      <c r="O160" s="197">
        <v>0</v>
      </c>
      <c r="P160" s="197">
        <v>30</v>
      </c>
      <c r="Q160" s="197">
        <v>2.7249070125479058E-4</v>
      </c>
      <c r="R160" s="260" t="s">
        <v>239</v>
      </c>
      <c r="S160" s="260" t="s">
        <v>514</v>
      </c>
      <c r="T160" s="260" t="s">
        <v>239</v>
      </c>
      <c r="U160" s="260" t="s">
        <v>514</v>
      </c>
    </row>
    <row r="161" spans="1:21" ht="14.5" x14ac:dyDescent="0.35">
      <c r="A161" s="260" t="s">
        <v>563</v>
      </c>
      <c r="B161" s="190">
        <v>45812</v>
      </c>
      <c r="C161" s="197">
        <v>110125.5</v>
      </c>
      <c r="D161" s="197">
        <v>0</v>
      </c>
      <c r="E161" s="197">
        <v>0</v>
      </c>
      <c r="F161" s="197">
        <v>0</v>
      </c>
      <c r="G161" s="197">
        <v>77067</v>
      </c>
      <c r="H161" s="197">
        <v>33088</v>
      </c>
      <c r="I161" s="197">
        <v>0</v>
      </c>
      <c r="J161" s="197">
        <v>110155</v>
      </c>
      <c r="K161" s="197">
        <v>110155</v>
      </c>
      <c r="L161" s="197">
        <v>32933</v>
      </c>
      <c r="M161" s="197">
        <v>0</v>
      </c>
      <c r="N161" s="197">
        <v>0</v>
      </c>
      <c r="O161" s="197">
        <v>0</v>
      </c>
      <c r="P161" s="197">
        <v>29.5</v>
      </c>
      <c r="Q161" s="197">
        <v>2.6787619579482502E-4</v>
      </c>
      <c r="R161" s="260" t="s">
        <v>239</v>
      </c>
      <c r="S161" s="260" t="s">
        <v>514</v>
      </c>
      <c r="T161" s="260" t="s">
        <v>239</v>
      </c>
      <c r="U161" s="260" t="s">
        <v>514</v>
      </c>
    </row>
    <row r="162" spans="1:21" ht="14.5" x14ac:dyDescent="0.35">
      <c r="A162" s="260" t="s">
        <v>563</v>
      </c>
      <c r="B162" s="190">
        <v>45813</v>
      </c>
      <c r="C162" s="197">
        <v>110155</v>
      </c>
      <c r="D162" s="197">
        <v>0</v>
      </c>
      <c r="E162" s="197">
        <v>0</v>
      </c>
      <c r="F162" s="197">
        <v>0</v>
      </c>
      <c r="G162" s="197">
        <v>77067</v>
      </c>
      <c r="H162" s="197">
        <v>33118</v>
      </c>
      <c r="I162" s="197">
        <v>0</v>
      </c>
      <c r="J162" s="197">
        <v>110185</v>
      </c>
      <c r="K162" s="197">
        <v>110185</v>
      </c>
      <c r="L162" s="197">
        <v>32933</v>
      </c>
      <c r="M162" s="197">
        <v>0</v>
      </c>
      <c r="N162" s="197">
        <v>0</v>
      </c>
      <c r="O162" s="197">
        <v>0</v>
      </c>
      <c r="P162" s="197">
        <v>30</v>
      </c>
      <c r="Q162" s="197">
        <v>2.7234351595484263E-4</v>
      </c>
      <c r="R162" s="260" t="s">
        <v>239</v>
      </c>
      <c r="S162" s="260" t="s">
        <v>514</v>
      </c>
      <c r="T162" s="260" t="s">
        <v>239</v>
      </c>
      <c r="U162" s="260" t="s">
        <v>514</v>
      </c>
    </row>
    <row r="163" spans="1:21" ht="14.5" x14ac:dyDescent="0.35">
      <c r="A163" s="260" t="s">
        <v>563</v>
      </c>
      <c r="B163" s="190">
        <v>45814</v>
      </c>
      <c r="C163" s="197">
        <v>110185</v>
      </c>
      <c r="D163" s="197">
        <v>0</v>
      </c>
      <c r="E163" s="197">
        <v>0</v>
      </c>
      <c r="F163" s="197">
        <v>0</v>
      </c>
      <c r="G163" s="197">
        <v>77067</v>
      </c>
      <c r="H163" s="197">
        <v>33146.5</v>
      </c>
      <c r="I163" s="197">
        <v>0</v>
      </c>
      <c r="J163" s="197">
        <v>110213.5</v>
      </c>
      <c r="K163" s="197">
        <v>110213.5</v>
      </c>
      <c r="L163" s="197">
        <v>32933</v>
      </c>
      <c r="M163" s="197">
        <v>0</v>
      </c>
      <c r="N163" s="197">
        <v>0</v>
      </c>
      <c r="O163" s="197">
        <v>0</v>
      </c>
      <c r="P163" s="197">
        <v>28.5</v>
      </c>
      <c r="Q163" s="197">
        <v>2.5865589690066138E-4</v>
      </c>
      <c r="R163" s="260" t="s">
        <v>239</v>
      </c>
      <c r="S163" s="260" t="s">
        <v>514</v>
      </c>
      <c r="T163" s="260" t="s">
        <v>239</v>
      </c>
      <c r="U163" s="260" t="s">
        <v>514</v>
      </c>
    </row>
    <row r="164" spans="1:21" ht="14.5" x14ac:dyDescent="0.35">
      <c r="A164" s="260" t="s">
        <v>563</v>
      </c>
      <c r="B164" s="190">
        <v>45815</v>
      </c>
      <c r="C164" s="197">
        <v>110213.5</v>
      </c>
      <c r="D164" s="197">
        <v>0</v>
      </c>
      <c r="E164" s="197">
        <v>0</v>
      </c>
      <c r="F164" s="197">
        <v>0</v>
      </c>
      <c r="G164" s="197">
        <v>77067</v>
      </c>
      <c r="H164" s="197">
        <v>33146.5</v>
      </c>
      <c r="I164" s="197">
        <v>0</v>
      </c>
      <c r="J164" s="197">
        <v>110213.5</v>
      </c>
      <c r="K164" s="197">
        <v>110213.5</v>
      </c>
      <c r="L164" s="197">
        <v>32933</v>
      </c>
      <c r="M164" s="197">
        <v>0</v>
      </c>
      <c r="N164" s="197">
        <v>0</v>
      </c>
      <c r="O164" s="197">
        <v>0</v>
      </c>
      <c r="P164" s="197">
        <v>0</v>
      </c>
      <c r="Q164" s="197">
        <v>0</v>
      </c>
      <c r="R164" s="260" t="s">
        <v>239</v>
      </c>
      <c r="S164" s="260" t="s">
        <v>514</v>
      </c>
      <c r="T164" s="260" t="s">
        <v>239</v>
      </c>
      <c r="U164" s="260" t="s">
        <v>514</v>
      </c>
    </row>
    <row r="165" spans="1:21" ht="14.5" x14ac:dyDescent="0.35">
      <c r="A165" s="260" t="s">
        <v>563</v>
      </c>
      <c r="B165" s="190">
        <v>45816</v>
      </c>
      <c r="C165" s="197">
        <v>110213.5</v>
      </c>
      <c r="D165" s="197">
        <v>0</v>
      </c>
      <c r="E165" s="197">
        <v>0</v>
      </c>
      <c r="F165" s="197">
        <v>0</v>
      </c>
      <c r="G165" s="197">
        <v>77067</v>
      </c>
      <c r="H165" s="197">
        <v>33146.5</v>
      </c>
      <c r="I165" s="197">
        <v>0</v>
      </c>
      <c r="J165" s="197">
        <v>110213.5</v>
      </c>
      <c r="K165" s="197">
        <v>110213.5</v>
      </c>
      <c r="L165" s="197">
        <v>32933</v>
      </c>
      <c r="M165" s="197">
        <v>0</v>
      </c>
      <c r="N165" s="197">
        <v>0</v>
      </c>
      <c r="O165" s="197">
        <v>0</v>
      </c>
      <c r="P165" s="197">
        <v>0</v>
      </c>
      <c r="Q165" s="197">
        <v>0</v>
      </c>
      <c r="R165" s="260" t="s">
        <v>239</v>
      </c>
      <c r="S165" s="260" t="s">
        <v>514</v>
      </c>
      <c r="T165" s="260" t="s">
        <v>239</v>
      </c>
      <c r="U165" s="260" t="s">
        <v>514</v>
      </c>
    </row>
    <row r="166" spans="1:21" ht="14.5" x14ac:dyDescent="0.35">
      <c r="A166" s="260" t="s">
        <v>563</v>
      </c>
      <c r="B166" s="190">
        <v>45817</v>
      </c>
      <c r="C166" s="197">
        <v>110213.5</v>
      </c>
      <c r="D166" s="197">
        <v>0</v>
      </c>
      <c r="E166" s="197">
        <v>0</v>
      </c>
      <c r="F166" s="197">
        <v>0</v>
      </c>
      <c r="G166" s="197">
        <v>77067</v>
      </c>
      <c r="H166" s="197">
        <v>33235</v>
      </c>
      <c r="I166" s="197">
        <v>0</v>
      </c>
      <c r="J166" s="197">
        <v>110302</v>
      </c>
      <c r="K166" s="197">
        <v>110302</v>
      </c>
      <c r="L166" s="197">
        <v>32933</v>
      </c>
      <c r="M166" s="197">
        <v>0</v>
      </c>
      <c r="N166" s="197">
        <v>0</v>
      </c>
      <c r="O166" s="197">
        <v>0</v>
      </c>
      <c r="P166" s="197">
        <v>88.5</v>
      </c>
      <c r="Q166" s="197">
        <v>8.0298692991331855E-4</v>
      </c>
      <c r="R166" s="260" t="s">
        <v>239</v>
      </c>
      <c r="S166" s="260" t="s">
        <v>514</v>
      </c>
      <c r="T166" s="260" t="s">
        <v>239</v>
      </c>
      <c r="U166" s="260" t="s">
        <v>514</v>
      </c>
    </row>
    <row r="167" spans="1:21" ht="14.5" x14ac:dyDescent="0.35">
      <c r="A167" s="260" t="s">
        <v>563</v>
      </c>
      <c r="B167" s="190">
        <v>45818</v>
      </c>
      <c r="C167" s="197">
        <v>110302</v>
      </c>
      <c r="D167" s="197">
        <v>0</v>
      </c>
      <c r="E167" s="197">
        <v>0</v>
      </c>
      <c r="F167" s="197">
        <v>0</v>
      </c>
      <c r="G167" s="197">
        <v>77067</v>
      </c>
      <c r="H167" s="197">
        <v>33263.5</v>
      </c>
      <c r="I167" s="197">
        <v>0</v>
      </c>
      <c r="J167" s="197">
        <v>110330.5</v>
      </c>
      <c r="K167" s="197">
        <v>110330.5</v>
      </c>
      <c r="L167" s="197">
        <v>32933</v>
      </c>
      <c r="M167" s="197">
        <v>0</v>
      </c>
      <c r="N167" s="197">
        <v>0</v>
      </c>
      <c r="O167" s="197">
        <v>0</v>
      </c>
      <c r="P167" s="197">
        <v>28.5</v>
      </c>
      <c r="Q167" s="197">
        <v>2.5838153433310751E-4</v>
      </c>
      <c r="R167" s="260" t="s">
        <v>239</v>
      </c>
      <c r="S167" s="260" t="s">
        <v>514</v>
      </c>
      <c r="T167" s="260" t="s">
        <v>239</v>
      </c>
      <c r="U167" s="260" t="s">
        <v>514</v>
      </c>
    </row>
    <row r="168" spans="1:21" ht="14.5" x14ac:dyDescent="0.35">
      <c r="A168" s="260" t="s">
        <v>563</v>
      </c>
      <c r="B168" s="190">
        <v>45819</v>
      </c>
      <c r="C168" s="197">
        <v>110330.5</v>
      </c>
      <c r="D168" s="197">
        <v>0</v>
      </c>
      <c r="E168" s="197">
        <v>0</v>
      </c>
      <c r="F168" s="197">
        <v>0</v>
      </c>
      <c r="G168" s="197">
        <v>77067</v>
      </c>
      <c r="H168" s="197">
        <v>33293.5</v>
      </c>
      <c r="I168" s="197">
        <v>0</v>
      </c>
      <c r="J168" s="197">
        <v>110360.5</v>
      </c>
      <c r="K168" s="197">
        <v>110360.5</v>
      </c>
      <c r="L168" s="197">
        <v>32933</v>
      </c>
      <c r="M168" s="197">
        <v>0</v>
      </c>
      <c r="N168" s="197">
        <v>0</v>
      </c>
      <c r="O168" s="197">
        <v>0</v>
      </c>
      <c r="P168" s="197">
        <v>30</v>
      </c>
      <c r="Q168" s="197">
        <v>2.7191030585371756E-4</v>
      </c>
      <c r="R168" s="260" t="s">
        <v>239</v>
      </c>
      <c r="S168" s="260" t="s">
        <v>514</v>
      </c>
      <c r="T168" s="260" t="s">
        <v>239</v>
      </c>
      <c r="U168" s="260" t="s">
        <v>514</v>
      </c>
    </row>
    <row r="169" spans="1:21" ht="14.5" x14ac:dyDescent="0.35">
      <c r="A169" s="260" t="s">
        <v>563</v>
      </c>
      <c r="B169" s="190">
        <v>45820</v>
      </c>
      <c r="C169" s="197">
        <v>110360.5</v>
      </c>
      <c r="D169" s="197">
        <v>0</v>
      </c>
      <c r="E169" s="197">
        <v>0</v>
      </c>
      <c r="F169" s="197">
        <v>0</v>
      </c>
      <c r="G169" s="197">
        <v>77067</v>
      </c>
      <c r="H169" s="197">
        <v>33322</v>
      </c>
      <c r="I169" s="197">
        <v>0</v>
      </c>
      <c r="J169" s="197">
        <v>110389</v>
      </c>
      <c r="K169" s="197">
        <v>110389</v>
      </c>
      <c r="L169" s="197">
        <v>32933</v>
      </c>
      <c r="M169" s="197">
        <v>0</v>
      </c>
      <c r="N169" s="197">
        <v>0</v>
      </c>
      <c r="O169" s="197">
        <v>0</v>
      </c>
      <c r="P169" s="197">
        <v>28.5</v>
      </c>
      <c r="Q169" s="197">
        <v>2.5824457120071642E-4</v>
      </c>
      <c r="R169" s="260" t="s">
        <v>239</v>
      </c>
      <c r="S169" s="260" t="s">
        <v>514</v>
      </c>
      <c r="T169" s="260" t="s">
        <v>239</v>
      </c>
      <c r="U169" s="260" t="s">
        <v>514</v>
      </c>
    </row>
    <row r="170" spans="1:21" ht="14.5" x14ac:dyDescent="0.35">
      <c r="A170" s="260" t="s">
        <v>563</v>
      </c>
      <c r="B170" s="190">
        <v>45821</v>
      </c>
      <c r="C170" s="197">
        <v>110389</v>
      </c>
      <c r="D170" s="197">
        <v>0</v>
      </c>
      <c r="E170" s="197">
        <v>0</v>
      </c>
      <c r="F170" s="197">
        <v>0</v>
      </c>
      <c r="G170" s="197">
        <v>77067</v>
      </c>
      <c r="H170" s="197">
        <v>33352</v>
      </c>
      <c r="I170" s="197">
        <v>0</v>
      </c>
      <c r="J170" s="197">
        <v>110419</v>
      </c>
      <c r="K170" s="197">
        <v>110419</v>
      </c>
      <c r="L170" s="197">
        <v>32933</v>
      </c>
      <c r="M170" s="197">
        <v>0</v>
      </c>
      <c r="N170" s="197">
        <v>0</v>
      </c>
      <c r="O170" s="197">
        <v>0</v>
      </c>
      <c r="P170" s="197">
        <v>30</v>
      </c>
      <c r="Q170" s="197">
        <v>2.7176620858959666E-4</v>
      </c>
      <c r="R170" s="260" t="s">
        <v>239</v>
      </c>
      <c r="S170" s="260" t="s">
        <v>514</v>
      </c>
      <c r="T170" s="260" t="s">
        <v>239</v>
      </c>
      <c r="U170" s="260" t="s">
        <v>514</v>
      </c>
    </row>
    <row r="171" spans="1:21" ht="14.5" x14ac:dyDescent="0.35">
      <c r="A171" s="260" t="s">
        <v>563</v>
      </c>
      <c r="B171" s="190">
        <v>45822</v>
      </c>
      <c r="C171" s="197">
        <v>110419</v>
      </c>
      <c r="D171" s="197">
        <v>0</v>
      </c>
      <c r="E171" s="197">
        <v>0</v>
      </c>
      <c r="F171" s="197">
        <v>0</v>
      </c>
      <c r="G171" s="197">
        <v>77067</v>
      </c>
      <c r="H171" s="197">
        <v>33352</v>
      </c>
      <c r="I171" s="197">
        <v>0</v>
      </c>
      <c r="J171" s="197">
        <v>110419</v>
      </c>
      <c r="K171" s="197">
        <v>110419</v>
      </c>
      <c r="L171" s="197">
        <v>32933</v>
      </c>
      <c r="M171" s="197">
        <v>0</v>
      </c>
      <c r="N171" s="197">
        <v>0</v>
      </c>
      <c r="O171" s="197">
        <v>0</v>
      </c>
      <c r="P171" s="197">
        <v>0</v>
      </c>
      <c r="Q171" s="197">
        <v>0</v>
      </c>
      <c r="R171" s="260" t="s">
        <v>239</v>
      </c>
      <c r="S171" s="260" t="s">
        <v>514</v>
      </c>
      <c r="T171" s="260" t="s">
        <v>239</v>
      </c>
      <c r="U171" s="260" t="s">
        <v>514</v>
      </c>
    </row>
    <row r="172" spans="1:21" ht="14.5" x14ac:dyDescent="0.35">
      <c r="A172" s="260" t="s">
        <v>563</v>
      </c>
      <c r="B172" s="190">
        <v>45823</v>
      </c>
      <c r="C172" s="197">
        <v>110419</v>
      </c>
      <c r="D172" s="197">
        <v>0</v>
      </c>
      <c r="E172" s="197">
        <v>0</v>
      </c>
      <c r="F172" s="197">
        <v>0</v>
      </c>
      <c r="G172" s="197">
        <v>77067</v>
      </c>
      <c r="H172" s="197">
        <v>33352</v>
      </c>
      <c r="I172" s="197">
        <v>0</v>
      </c>
      <c r="J172" s="197">
        <v>110419</v>
      </c>
      <c r="K172" s="197">
        <v>110419</v>
      </c>
      <c r="L172" s="197">
        <v>32933</v>
      </c>
      <c r="M172" s="197">
        <v>0</v>
      </c>
      <c r="N172" s="197">
        <v>0</v>
      </c>
      <c r="O172" s="197">
        <v>0</v>
      </c>
      <c r="P172" s="197">
        <v>0</v>
      </c>
      <c r="Q172" s="197">
        <v>0</v>
      </c>
      <c r="R172" s="260" t="s">
        <v>239</v>
      </c>
      <c r="S172" s="260" t="s">
        <v>514</v>
      </c>
      <c r="T172" s="260" t="s">
        <v>239</v>
      </c>
      <c r="U172" s="260" t="s">
        <v>514</v>
      </c>
    </row>
    <row r="173" spans="1:21" ht="14.5" x14ac:dyDescent="0.35">
      <c r="A173" s="260" t="s">
        <v>563</v>
      </c>
      <c r="B173" s="190">
        <v>45824</v>
      </c>
      <c r="C173" s="197">
        <v>110419</v>
      </c>
      <c r="D173" s="197">
        <v>0</v>
      </c>
      <c r="E173" s="197">
        <v>0</v>
      </c>
      <c r="F173" s="197">
        <v>0</v>
      </c>
      <c r="G173" s="197">
        <v>77067</v>
      </c>
      <c r="H173" s="197">
        <v>33438.5</v>
      </c>
      <c r="I173" s="197">
        <v>0</v>
      </c>
      <c r="J173" s="197">
        <v>110505.5</v>
      </c>
      <c r="K173" s="197">
        <v>110505.5</v>
      </c>
      <c r="L173" s="197">
        <v>32933</v>
      </c>
      <c r="M173" s="197">
        <v>0</v>
      </c>
      <c r="N173" s="197">
        <v>0</v>
      </c>
      <c r="O173" s="197">
        <v>0</v>
      </c>
      <c r="P173" s="197">
        <v>86.5</v>
      </c>
      <c r="Q173" s="197">
        <v>7.8337967197672498E-4</v>
      </c>
      <c r="R173" s="260" t="s">
        <v>239</v>
      </c>
      <c r="S173" s="260" t="s">
        <v>514</v>
      </c>
      <c r="T173" s="260" t="s">
        <v>239</v>
      </c>
      <c r="U173" s="260" t="s">
        <v>514</v>
      </c>
    </row>
    <row r="174" spans="1:21" ht="14.5" x14ac:dyDescent="0.35">
      <c r="A174" s="260" t="s">
        <v>563</v>
      </c>
      <c r="B174" s="190">
        <v>45825</v>
      </c>
      <c r="C174" s="197">
        <v>110505.5</v>
      </c>
      <c r="D174" s="197">
        <v>0</v>
      </c>
      <c r="E174" s="197">
        <v>0</v>
      </c>
      <c r="F174" s="197">
        <v>0</v>
      </c>
      <c r="G174" s="197">
        <v>77067</v>
      </c>
      <c r="H174" s="197">
        <v>33468.5</v>
      </c>
      <c r="I174" s="197">
        <v>0</v>
      </c>
      <c r="J174" s="197">
        <v>110535.5</v>
      </c>
      <c r="K174" s="197">
        <v>110535.5</v>
      </c>
      <c r="L174" s="197">
        <v>32933</v>
      </c>
      <c r="M174" s="197">
        <v>0</v>
      </c>
      <c r="N174" s="197">
        <v>0</v>
      </c>
      <c r="O174" s="197">
        <v>0</v>
      </c>
      <c r="P174" s="197">
        <v>30</v>
      </c>
      <c r="Q174" s="197">
        <v>2.7147970010532596E-4</v>
      </c>
      <c r="R174" s="260" t="s">
        <v>239</v>
      </c>
      <c r="S174" s="260" t="s">
        <v>514</v>
      </c>
      <c r="T174" s="260" t="s">
        <v>239</v>
      </c>
      <c r="U174" s="260" t="s">
        <v>514</v>
      </c>
    </row>
    <row r="175" spans="1:21" ht="14.5" x14ac:dyDescent="0.35">
      <c r="A175" s="260" t="s">
        <v>563</v>
      </c>
      <c r="B175" s="190">
        <v>45826</v>
      </c>
      <c r="C175" s="197">
        <v>110535.5</v>
      </c>
      <c r="D175" s="197">
        <v>0</v>
      </c>
      <c r="E175" s="197">
        <v>0</v>
      </c>
      <c r="F175" s="197">
        <v>0</v>
      </c>
      <c r="G175" s="197">
        <v>77067</v>
      </c>
      <c r="H175" s="197">
        <v>33499.5</v>
      </c>
      <c r="I175" s="197">
        <v>0</v>
      </c>
      <c r="J175" s="197">
        <v>110566.5</v>
      </c>
      <c r="K175" s="197">
        <v>110566.5</v>
      </c>
      <c r="L175" s="197">
        <v>32933</v>
      </c>
      <c r="M175" s="197">
        <v>0</v>
      </c>
      <c r="N175" s="197">
        <v>0</v>
      </c>
      <c r="O175" s="197">
        <v>0</v>
      </c>
      <c r="P175" s="197">
        <v>31</v>
      </c>
      <c r="Q175" s="197">
        <v>2.8045288617684072E-4</v>
      </c>
      <c r="R175" s="260" t="s">
        <v>239</v>
      </c>
      <c r="S175" s="260" t="s">
        <v>514</v>
      </c>
      <c r="T175" s="260" t="s">
        <v>239</v>
      </c>
      <c r="U175" s="260" t="s">
        <v>514</v>
      </c>
    </row>
    <row r="176" spans="1:21" ht="14.5" x14ac:dyDescent="0.35">
      <c r="A176" s="260" t="s">
        <v>563</v>
      </c>
      <c r="B176" s="190">
        <v>45827</v>
      </c>
      <c r="C176" s="197">
        <v>110566.5</v>
      </c>
      <c r="D176" s="197">
        <v>0</v>
      </c>
      <c r="E176" s="197">
        <v>0</v>
      </c>
      <c r="F176" s="197">
        <v>0</v>
      </c>
      <c r="G176" s="197">
        <v>77067</v>
      </c>
      <c r="H176" s="197">
        <v>33526.5</v>
      </c>
      <c r="I176" s="197">
        <v>0</v>
      </c>
      <c r="J176" s="197">
        <v>110593.5</v>
      </c>
      <c r="K176" s="197">
        <v>110593.5</v>
      </c>
      <c r="L176" s="197">
        <v>32933</v>
      </c>
      <c r="M176" s="197">
        <v>0</v>
      </c>
      <c r="N176" s="197">
        <v>0</v>
      </c>
      <c r="O176" s="197">
        <v>0</v>
      </c>
      <c r="P176" s="197">
        <v>27</v>
      </c>
      <c r="Q176" s="197">
        <v>2.4419693125854458E-4</v>
      </c>
      <c r="R176" s="260" t="s">
        <v>239</v>
      </c>
      <c r="S176" s="260" t="s">
        <v>514</v>
      </c>
      <c r="T176" s="260" t="s">
        <v>239</v>
      </c>
      <c r="U176" s="260" t="s">
        <v>514</v>
      </c>
    </row>
    <row r="177" spans="1:21" ht="14.5" x14ac:dyDescent="0.35">
      <c r="A177" s="260" t="s">
        <v>563</v>
      </c>
      <c r="B177" s="190">
        <v>45828</v>
      </c>
      <c r="C177" s="197">
        <v>110593.5</v>
      </c>
      <c r="D177" s="197">
        <v>0</v>
      </c>
      <c r="E177" s="197">
        <v>0</v>
      </c>
      <c r="F177" s="197">
        <v>0</v>
      </c>
      <c r="G177" s="197">
        <v>77067</v>
      </c>
      <c r="H177" s="197">
        <v>33556.5</v>
      </c>
      <c r="I177" s="197">
        <v>0</v>
      </c>
      <c r="J177" s="197">
        <v>110623.5</v>
      </c>
      <c r="K177" s="197">
        <v>110623.5</v>
      </c>
      <c r="L177" s="197">
        <v>32933</v>
      </c>
      <c r="M177" s="197">
        <v>0</v>
      </c>
      <c r="N177" s="197">
        <v>0</v>
      </c>
      <c r="O177" s="197">
        <v>0</v>
      </c>
      <c r="P177" s="197">
        <v>30</v>
      </c>
      <c r="Q177" s="197">
        <v>2.7126368186203287E-4</v>
      </c>
      <c r="R177" s="260" t="s">
        <v>239</v>
      </c>
      <c r="S177" s="260" t="s">
        <v>514</v>
      </c>
      <c r="T177" s="260" t="s">
        <v>239</v>
      </c>
      <c r="U177" s="260" t="s">
        <v>514</v>
      </c>
    </row>
    <row r="178" spans="1:21" ht="14.5" x14ac:dyDescent="0.35">
      <c r="A178" s="260" t="s">
        <v>563</v>
      </c>
      <c r="B178" s="190">
        <v>45829</v>
      </c>
      <c r="C178" s="197">
        <v>110623.5</v>
      </c>
      <c r="D178" s="197">
        <v>0</v>
      </c>
      <c r="E178" s="197">
        <v>0</v>
      </c>
      <c r="F178" s="197">
        <v>0</v>
      </c>
      <c r="G178" s="197">
        <v>77067</v>
      </c>
      <c r="H178" s="197">
        <v>33556.5</v>
      </c>
      <c r="I178" s="197">
        <v>0</v>
      </c>
      <c r="J178" s="197">
        <v>110623.5</v>
      </c>
      <c r="K178" s="197">
        <v>110623.5</v>
      </c>
      <c r="L178" s="197">
        <v>32933</v>
      </c>
      <c r="M178" s="197">
        <v>0</v>
      </c>
      <c r="N178" s="197">
        <v>0</v>
      </c>
      <c r="O178" s="197">
        <v>0</v>
      </c>
      <c r="P178" s="197">
        <v>0</v>
      </c>
      <c r="Q178" s="197">
        <v>0</v>
      </c>
      <c r="R178" s="260" t="s">
        <v>239</v>
      </c>
      <c r="S178" s="260" t="s">
        <v>514</v>
      </c>
      <c r="T178" s="260" t="s">
        <v>239</v>
      </c>
      <c r="U178" s="260" t="s">
        <v>514</v>
      </c>
    </row>
    <row r="179" spans="1:21" ht="14.5" x14ac:dyDescent="0.35">
      <c r="A179" s="260" t="s">
        <v>563</v>
      </c>
      <c r="B179" s="190">
        <v>45830</v>
      </c>
      <c r="C179" s="197">
        <v>110623.5</v>
      </c>
      <c r="D179" s="197">
        <v>0</v>
      </c>
      <c r="E179" s="197">
        <v>0</v>
      </c>
      <c r="F179" s="197">
        <v>0</v>
      </c>
      <c r="G179" s="197">
        <v>77067</v>
      </c>
      <c r="H179" s="197">
        <v>33556.5</v>
      </c>
      <c r="I179" s="197">
        <v>0</v>
      </c>
      <c r="J179" s="197">
        <v>110623.5</v>
      </c>
      <c r="K179" s="197">
        <v>110623.5</v>
      </c>
      <c r="L179" s="197">
        <v>32933</v>
      </c>
      <c r="M179" s="197">
        <v>0</v>
      </c>
      <c r="N179" s="197">
        <v>0</v>
      </c>
      <c r="O179" s="197">
        <v>0</v>
      </c>
      <c r="P179" s="197">
        <v>0</v>
      </c>
      <c r="Q179" s="197">
        <v>0</v>
      </c>
      <c r="R179" s="260" t="s">
        <v>239</v>
      </c>
      <c r="S179" s="260" t="s">
        <v>514</v>
      </c>
      <c r="T179" s="260" t="s">
        <v>239</v>
      </c>
      <c r="U179" s="260" t="s">
        <v>514</v>
      </c>
    </row>
    <row r="180" spans="1:21" ht="14.5" x14ac:dyDescent="0.35">
      <c r="A180" s="260" t="s">
        <v>563</v>
      </c>
      <c r="B180" s="190">
        <v>45831</v>
      </c>
      <c r="C180" s="197">
        <v>110623.5</v>
      </c>
      <c r="D180" s="197">
        <v>0</v>
      </c>
      <c r="E180" s="197">
        <v>0</v>
      </c>
      <c r="F180" s="197">
        <v>0</v>
      </c>
      <c r="G180" s="197">
        <v>77067</v>
      </c>
      <c r="H180" s="197">
        <v>33645</v>
      </c>
      <c r="I180" s="197">
        <v>0</v>
      </c>
      <c r="J180" s="197">
        <v>110712</v>
      </c>
      <c r="K180" s="197">
        <v>110712</v>
      </c>
      <c r="L180" s="197">
        <v>32933</v>
      </c>
      <c r="M180" s="197">
        <v>0</v>
      </c>
      <c r="N180" s="197">
        <v>0</v>
      </c>
      <c r="O180" s="197">
        <v>0</v>
      </c>
      <c r="P180" s="197">
        <v>88.5</v>
      </c>
      <c r="Q180" s="197">
        <v>8.0001084760472629E-4</v>
      </c>
      <c r="R180" s="260" t="s">
        <v>239</v>
      </c>
      <c r="S180" s="260" t="s">
        <v>514</v>
      </c>
      <c r="T180" s="260" t="s">
        <v>239</v>
      </c>
      <c r="U180" s="260" t="s">
        <v>514</v>
      </c>
    </row>
    <row r="181" spans="1:21" ht="14.5" x14ac:dyDescent="0.35">
      <c r="A181" s="260" t="s">
        <v>563</v>
      </c>
      <c r="B181" s="190">
        <v>45832</v>
      </c>
      <c r="C181" s="197">
        <v>110712</v>
      </c>
      <c r="D181" s="197">
        <v>0</v>
      </c>
      <c r="E181" s="197">
        <v>0</v>
      </c>
      <c r="F181" s="197">
        <v>0</v>
      </c>
      <c r="G181" s="197">
        <v>77067</v>
      </c>
      <c r="H181" s="197">
        <v>33675</v>
      </c>
      <c r="I181" s="197">
        <v>0</v>
      </c>
      <c r="J181" s="197">
        <v>110742</v>
      </c>
      <c r="K181" s="197">
        <v>110742</v>
      </c>
      <c r="L181" s="197">
        <v>32933</v>
      </c>
      <c r="M181" s="197">
        <v>0</v>
      </c>
      <c r="N181" s="197">
        <v>0</v>
      </c>
      <c r="O181" s="197">
        <v>0</v>
      </c>
      <c r="P181" s="197">
        <v>30</v>
      </c>
      <c r="Q181" s="197">
        <v>2.7097333622361219E-4</v>
      </c>
      <c r="R181" s="260" t="s">
        <v>239</v>
      </c>
      <c r="S181" s="260" t="s">
        <v>514</v>
      </c>
      <c r="T181" s="260" t="s">
        <v>239</v>
      </c>
      <c r="U181" s="260" t="s">
        <v>514</v>
      </c>
    </row>
    <row r="182" spans="1:21" ht="14.5" x14ac:dyDescent="0.35">
      <c r="A182" s="260" t="s">
        <v>563</v>
      </c>
      <c r="B182" s="190">
        <v>45833</v>
      </c>
      <c r="C182" s="197">
        <v>110742</v>
      </c>
      <c r="D182" s="197">
        <v>0</v>
      </c>
      <c r="E182" s="197">
        <v>0</v>
      </c>
      <c r="F182" s="197">
        <v>0</v>
      </c>
      <c r="G182" s="197">
        <v>77067</v>
      </c>
      <c r="H182" s="197">
        <v>33705</v>
      </c>
      <c r="I182" s="197">
        <v>0</v>
      </c>
      <c r="J182" s="197">
        <v>110772</v>
      </c>
      <c r="K182" s="197">
        <v>110772</v>
      </c>
      <c r="L182" s="197">
        <v>32933</v>
      </c>
      <c r="M182" s="197">
        <v>0</v>
      </c>
      <c r="N182" s="197">
        <v>0</v>
      </c>
      <c r="O182" s="197">
        <v>0</v>
      </c>
      <c r="P182" s="197">
        <v>30</v>
      </c>
      <c r="Q182" s="197">
        <v>2.7089992956597087E-4</v>
      </c>
      <c r="R182" s="260" t="s">
        <v>239</v>
      </c>
      <c r="S182" s="260" t="s">
        <v>514</v>
      </c>
      <c r="T182" s="260" t="s">
        <v>239</v>
      </c>
      <c r="U182" s="260" t="s">
        <v>514</v>
      </c>
    </row>
    <row r="183" spans="1:21" ht="14.5" x14ac:dyDescent="0.35">
      <c r="A183" s="260" t="s">
        <v>563</v>
      </c>
      <c r="B183" s="190">
        <v>45834</v>
      </c>
      <c r="C183" s="197">
        <v>110772</v>
      </c>
      <c r="D183" s="197">
        <v>0</v>
      </c>
      <c r="E183" s="197">
        <v>0</v>
      </c>
      <c r="F183" s="197">
        <v>0</v>
      </c>
      <c r="G183" s="197">
        <v>77067</v>
      </c>
      <c r="H183" s="197">
        <v>33732</v>
      </c>
      <c r="I183" s="197">
        <v>0</v>
      </c>
      <c r="J183" s="197">
        <v>110799</v>
      </c>
      <c r="K183" s="197">
        <v>110799</v>
      </c>
      <c r="L183" s="197">
        <v>32933</v>
      </c>
      <c r="M183" s="197">
        <v>0</v>
      </c>
      <c r="N183" s="197">
        <v>0</v>
      </c>
      <c r="O183" s="197">
        <v>0</v>
      </c>
      <c r="P183" s="197">
        <v>27</v>
      </c>
      <c r="Q183" s="197">
        <v>2.4374390640224952E-4</v>
      </c>
      <c r="R183" s="260" t="s">
        <v>239</v>
      </c>
      <c r="S183" s="260" t="s">
        <v>514</v>
      </c>
      <c r="T183" s="260" t="s">
        <v>239</v>
      </c>
      <c r="U183" s="260" t="s">
        <v>514</v>
      </c>
    </row>
    <row r="184" spans="1:21" ht="14.5" x14ac:dyDescent="0.35">
      <c r="A184" s="260" t="s">
        <v>563</v>
      </c>
      <c r="B184" s="190">
        <v>45835</v>
      </c>
      <c r="C184" s="197">
        <v>110799</v>
      </c>
      <c r="D184" s="197">
        <v>0</v>
      </c>
      <c r="E184" s="197">
        <v>0</v>
      </c>
      <c r="F184" s="197">
        <v>0</v>
      </c>
      <c r="G184" s="197">
        <v>77067</v>
      </c>
      <c r="H184" s="197">
        <v>33762</v>
      </c>
      <c r="I184" s="197">
        <v>0</v>
      </c>
      <c r="J184" s="197">
        <v>110829</v>
      </c>
      <c r="K184" s="197">
        <v>110829</v>
      </c>
      <c r="L184" s="197">
        <v>32933</v>
      </c>
      <c r="M184" s="197">
        <v>0</v>
      </c>
      <c r="N184" s="197">
        <v>0</v>
      </c>
      <c r="O184" s="197">
        <v>0</v>
      </c>
      <c r="P184" s="197">
        <v>30</v>
      </c>
      <c r="Q184" s="197">
        <v>2.7076056643116075E-4</v>
      </c>
      <c r="R184" s="260" t="s">
        <v>239</v>
      </c>
      <c r="S184" s="260" t="s">
        <v>514</v>
      </c>
      <c r="T184" s="260" t="s">
        <v>239</v>
      </c>
      <c r="U184" s="260" t="s">
        <v>514</v>
      </c>
    </row>
    <row r="185" spans="1:21" ht="14.5" x14ac:dyDescent="0.35">
      <c r="A185" s="260" t="s">
        <v>563</v>
      </c>
      <c r="B185" s="190">
        <v>45836</v>
      </c>
      <c r="C185" s="197">
        <v>110829</v>
      </c>
      <c r="D185" s="197">
        <v>0</v>
      </c>
      <c r="E185" s="197">
        <v>0</v>
      </c>
      <c r="F185" s="197">
        <v>0</v>
      </c>
      <c r="G185" s="197">
        <v>77067</v>
      </c>
      <c r="H185" s="197">
        <v>33762</v>
      </c>
      <c r="I185" s="197">
        <v>0</v>
      </c>
      <c r="J185" s="197">
        <v>110829</v>
      </c>
      <c r="K185" s="197">
        <v>110829</v>
      </c>
      <c r="L185" s="197">
        <v>32933</v>
      </c>
      <c r="M185" s="197">
        <v>0</v>
      </c>
      <c r="N185" s="197">
        <v>0</v>
      </c>
      <c r="O185" s="197">
        <v>0</v>
      </c>
      <c r="P185" s="197">
        <v>0</v>
      </c>
      <c r="Q185" s="197">
        <v>0</v>
      </c>
      <c r="R185" s="260" t="s">
        <v>239</v>
      </c>
      <c r="S185" s="260" t="s">
        <v>514</v>
      </c>
      <c r="T185" s="260" t="s">
        <v>239</v>
      </c>
      <c r="U185" s="260" t="s">
        <v>514</v>
      </c>
    </row>
    <row r="186" spans="1:21" ht="14.5" x14ac:dyDescent="0.35">
      <c r="A186" s="260" t="s">
        <v>563</v>
      </c>
      <c r="B186" s="190">
        <v>45837</v>
      </c>
      <c r="C186" s="197">
        <v>110829</v>
      </c>
      <c r="D186" s="197">
        <v>0</v>
      </c>
      <c r="E186" s="197">
        <v>0</v>
      </c>
      <c r="F186" s="197">
        <v>0</v>
      </c>
      <c r="G186" s="197">
        <v>77067</v>
      </c>
      <c r="H186" s="197">
        <v>33762</v>
      </c>
      <c r="I186" s="197">
        <v>0</v>
      </c>
      <c r="J186" s="197">
        <v>110829</v>
      </c>
      <c r="K186" s="197">
        <v>110829</v>
      </c>
      <c r="L186" s="197">
        <v>32933</v>
      </c>
      <c r="M186" s="197">
        <v>0</v>
      </c>
      <c r="N186" s="197">
        <v>0</v>
      </c>
      <c r="O186" s="197">
        <v>0</v>
      </c>
      <c r="P186" s="197">
        <v>0</v>
      </c>
      <c r="Q186" s="197">
        <v>0</v>
      </c>
      <c r="R186" s="260" t="s">
        <v>239</v>
      </c>
      <c r="S186" s="260" t="s">
        <v>514</v>
      </c>
      <c r="T186" s="260" t="s">
        <v>239</v>
      </c>
      <c r="U186" s="260" t="s">
        <v>514</v>
      </c>
    </row>
    <row r="187" spans="1:21" ht="14.5" x14ac:dyDescent="0.35">
      <c r="A187" s="260" t="s">
        <v>563</v>
      </c>
      <c r="B187" s="190">
        <v>45838</v>
      </c>
      <c r="C187" s="197">
        <v>110829</v>
      </c>
      <c r="D187" s="197">
        <v>0</v>
      </c>
      <c r="E187" s="197">
        <v>0</v>
      </c>
      <c r="F187" s="197">
        <v>0</v>
      </c>
      <c r="G187" s="197">
        <v>77067</v>
      </c>
      <c r="H187" s="197">
        <v>33850</v>
      </c>
      <c r="I187" s="197">
        <v>0</v>
      </c>
      <c r="J187" s="197">
        <v>110917</v>
      </c>
      <c r="K187" s="197">
        <v>110917</v>
      </c>
      <c r="L187" s="197">
        <v>32933</v>
      </c>
      <c r="M187" s="197">
        <v>0</v>
      </c>
      <c r="N187" s="197">
        <v>0</v>
      </c>
      <c r="O187" s="197">
        <v>0</v>
      </c>
      <c r="P187" s="197">
        <v>88</v>
      </c>
      <c r="Q187" s="197">
        <v>7.9401600664086303E-4</v>
      </c>
      <c r="R187" s="260" t="s">
        <v>239</v>
      </c>
      <c r="S187" s="260" t="s">
        <v>514</v>
      </c>
      <c r="T187" s="260" t="s">
        <v>239</v>
      </c>
      <c r="U187" s="260" t="s">
        <v>514</v>
      </c>
    </row>
    <row r="188" spans="1:21" ht="14.5" x14ac:dyDescent="0.35">
      <c r="A188" s="260" t="s">
        <v>563</v>
      </c>
      <c r="B188" s="190">
        <v>45839</v>
      </c>
      <c r="C188" s="197">
        <v>110917</v>
      </c>
      <c r="D188" s="197">
        <v>0</v>
      </c>
      <c r="E188" s="197">
        <v>0</v>
      </c>
      <c r="F188" s="197">
        <v>0</v>
      </c>
      <c r="G188" s="197">
        <v>81459</v>
      </c>
      <c r="H188" s="197">
        <v>29410</v>
      </c>
      <c r="I188" s="197">
        <v>0</v>
      </c>
      <c r="J188" s="197">
        <v>110869</v>
      </c>
      <c r="K188" s="197">
        <v>110869</v>
      </c>
      <c r="L188" s="197">
        <v>28955.666666666664</v>
      </c>
      <c r="M188" s="197">
        <v>414.66666666666652</v>
      </c>
      <c r="N188" s="197">
        <v>8</v>
      </c>
      <c r="O188" s="197">
        <v>0</v>
      </c>
      <c r="P188" s="197">
        <v>-48</v>
      </c>
      <c r="Q188" s="197">
        <v>-4.3275602477532704E-4</v>
      </c>
      <c r="R188" s="260" t="s">
        <v>239</v>
      </c>
      <c r="S188" s="260" t="s">
        <v>514</v>
      </c>
      <c r="T188" s="260" t="s">
        <v>239</v>
      </c>
      <c r="U188" s="260" t="s">
        <v>514</v>
      </c>
    </row>
    <row r="189" spans="1:21" ht="14.5" x14ac:dyDescent="0.35">
      <c r="A189" s="260" t="s">
        <v>563</v>
      </c>
      <c r="B189" s="190">
        <v>45840</v>
      </c>
      <c r="C189" s="197">
        <v>110869</v>
      </c>
      <c r="D189" s="197">
        <v>0</v>
      </c>
      <c r="E189" s="197">
        <v>0</v>
      </c>
      <c r="F189" s="197">
        <v>0</v>
      </c>
      <c r="G189" s="197">
        <v>81459</v>
      </c>
      <c r="H189" s="197">
        <v>29364.1</v>
      </c>
      <c r="I189" s="197">
        <v>0</v>
      </c>
      <c r="J189" s="197">
        <v>110823.1</v>
      </c>
      <c r="K189" s="197">
        <v>110823.1</v>
      </c>
      <c r="L189" s="197">
        <v>28955.666666666664</v>
      </c>
      <c r="M189" s="197">
        <v>414.66666666666652</v>
      </c>
      <c r="N189" s="197">
        <v>0</v>
      </c>
      <c r="O189" s="197">
        <v>0</v>
      </c>
      <c r="P189" s="197">
        <v>-45.899999999994179</v>
      </c>
      <c r="Q189" s="197">
        <v>-4.1400211059894332E-4</v>
      </c>
      <c r="R189" s="260" t="s">
        <v>239</v>
      </c>
      <c r="S189" s="260" t="s">
        <v>514</v>
      </c>
      <c r="T189" s="260" t="s">
        <v>239</v>
      </c>
      <c r="U189" s="260" t="s">
        <v>514</v>
      </c>
    </row>
    <row r="190" spans="1:21" ht="14.5" x14ac:dyDescent="0.35">
      <c r="A190" s="260" t="s">
        <v>563</v>
      </c>
      <c r="B190" s="190">
        <v>45841</v>
      </c>
      <c r="C190" s="197">
        <v>110823.1</v>
      </c>
      <c r="D190" s="197">
        <v>0</v>
      </c>
      <c r="E190" s="197">
        <v>0</v>
      </c>
      <c r="F190" s="197">
        <v>0</v>
      </c>
      <c r="G190" s="197">
        <v>81459</v>
      </c>
      <c r="H190" s="197">
        <v>29318.9</v>
      </c>
      <c r="I190" s="197">
        <v>0</v>
      </c>
      <c r="J190" s="197">
        <v>110777.9</v>
      </c>
      <c r="K190" s="197">
        <v>110777.9</v>
      </c>
      <c r="L190" s="197">
        <v>28955.666666666664</v>
      </c>
      <c r="M190" s="197">
        <v>414.66666666666652</v>
      </c>
      <c r="N190" s="197">
        <v>0</v>
      </c>
      <c r="O190" s="197">
        <v>0</v>
      </c>
      <c r="P190" s="197">
        <v>-45.200000000011642</v>
      </c>
      <c r="Q190" s="197">
        <v>-4.0785720666547398E-4</v>
      </c>
      <c r="R190" s="260" t="s">
        <v>239</v>
      </c>
      <c r="S190" s="260" t="s">
        <v>514</v>
      </c>
      <c r="T190" s="260" t="s">
        <v>239</v>
      </c>
      <c r="U190" s="260" t="s">
        <v>514</v>
      </c>
    </row>
    <row r="191" spans="1:21" ht="14.5" x14ac:dyDescent="0.35">
      <c r="A191" s="260" t="s">
        <v>563</v>
      </c>
      <c r="B191" s="190">
        <v>45842</v>
      </c>
      <c r="C191" s="197">
        <v>110777.9</v>
      </c>
      <c r="D191" s="197">
        <v>0</v>
      </c>
      <c r="E191" s="197">
        <v>0</v>
      </c>
      <c r="F191" s="197">
        <v>0</v>
      </c>
      <c r="G191" s="197">
        <v>81459</v>
      </c>
      <c r="H191" s="197">
        <v>29273</v>
      </c>
      <c r="I191" s="197">
        <v>0</v>
      </c>
      <c r="J191" s="197">
        <v>110732</v>
      </c>
      <c r="K191" s="197">
        <v>110732</v>
      </c>
      <c r="L191" s="197">
        <v>28955.666666666664</v>
      </c>
      <c r="M191" s="197">
        <v>414.66666666666652</v>
      </c>
      <c r="N191" s="197">
        <v>0</v>
      </c>
      <c r="O191" s="197">
        <v>0</v>
      </c>
      <c r="P191" s="197">
        <v>-45.899999999994179</v>
      </c>
      <c r="Q191" s="197">
        <v>-4.1434257193895263E-4</v>
      </c>
      <c r="R191" s="260" t="s">
        <v>239</v>
      </c>
      <c r="S191" s="260" t="s">
        <v>514</v>
      </c>
      <c r="T191" s="260" t="s">
        <v>239</v>
      </c>
      <c r="U191" s="260" t="s">
        <v>514</v>
      </c>
    </row>
    <row r="192" spans="1:21" ht="14.5" x14ac:dyDescent="0.35">
      <c r="A192" s="260" t="s">
        <v>563</v>
      </c>
      <c r="B192" s="190">
        <v>45843</v>
      </c>
      <c r="C192" s="197">
        <v>110732</v>
      </c>
      <c r="D192" s="197">
        <v>0</v>
      </c>
      <c r="E192" s="197">
        <v>0</v>
      </c>
      <c r="F192" s="197">
        <v>0</v>
      </c>
      <c r="G192" s="197">
        <v>81459</v>
      </c>
      <c r="H192" s="197">
        <v>29273</v>
      </c>
      <c r="I192" s="197">
        <v>0</v>
      </c>
      <c r="J192" s="197">
        <v>110732</v>
      </c>
      <c r="K192" s="197">
        <v>110732</v>
      </c>
      <c r="L192" s="197">
        <v>28955.666666666664</v>
      </c>
      <c r="M192" s="197">
        <v>414.66666666666652</v>
      </c>
      <c r="N192" s="197">
        <v>0</v>
      </c>
      <c r="O192" s="197">
        <v>0</v>
      </c>
      <c r="P192" s="197">
        <v>0</v>
      </c>
      <c r="Q192" s="197">
        <v>0</v>
      </c>
      <c r="R192" s="260" t="s">
        <v>239</v>
      </c>
      <c r="S192" s="260" t="s">
        <v>514</v>
      </c>
      <c r="T192" s="260" t="s">
        <v>239</v>
      </c>
      <c r="U192" s="260" t="s">
        <v>514</v>
      </c>
    </row>
    <row r="193" spans="1:21" ht="14.5" x14ac:dyDescent="0.35">
      <c r="A193" s="260" t="s">
        <v>563</v>
      </c>
      <c r="B193" s="190">
        <v>45844</v>
      </c>
      <c r="C193" s="197">
        <v>110732</v>
      </c>
      <c r="D193" s="197">
        <v>0</v>
      </c>
      <c r="E193" s="197">
        <v>0</v>
      </c>
      <c r="F193" s="197">
        <v>0</v>
      </c>
      <c r="G193" s="197">
        <v>81459</v>
      </c>
      <c r="H193" s="197">
        <v>29273</v>
      </c>
      <c r="I193" s="197">
        <v>0</v>
      </c>
      <c r="J193" s="197">
        <v>110732</v>
      </c>
      <c r="K193" s="197">
        <v>110732</v>
      </c>
      <c r="L193" s="197">
        <v>28955.666666666664</v>
      </c>
      <c r="M193" s="197">
        <v>414.66666666666652</v>
      </c>
      <c r="N193" s="197">
        <v>0</v>
      </c>
      <c r="O193" s="197">
        <v>0</v>
      </c>
      <c r="P193" s="197">
        <v>0</v>
      </c>
      <c r="Q193" s="197">
        <v>0</v>
      </c>
      <c r="R193" s="260" t="s">
        <v>239</v>
      </c>
      <c r="S193" s="260" t="s">
        <v>514</v>
      </c>
      <c r="T193" s="260" t="s">
        <v>239</v>
      </c>
      <c r="U193" s="260" t="s">
        <v>514</v>
      </c>
    </row>
    <row r="194" spans="1:21" ht="14.5" x14ac:dyDescent="0.35">
      <c r="A194" s="260" t="s">
        <v>563</v>
      </c>
      <c r="B194" s="190">
        <v>45845</v>
      </c>
      <c r="C194" s="197">
        <v>110732</v>
      </c>
      <c r="D194" s="197">
        <v>0</v>
      </c>
      <c r="E194" s="197">
        <v>0</v>
      </c>
      <c r="F194" s="197">
        <v>0</v>
      </c>
      <c r="G194" s="197">
        <v>81459</v>
      </c>
      <c r="H194" s="197">
        <v>29136</v>
      </c>
      <c r="I194" s="197">
        <v>0</v>
      </c>
      <c r="J194" s="197">
        <v>110595</v>
      </c>
      <c r="K194" s="197">
        <v>110595</v>
      </c>
      <c r="L194" s="197">
        <v>28955.666666666664</v>
      </c>
      <c r="M194" s="197">
        <v>414.66666666666652</v>
      </c>
      <c r="N194" s="197">
        <v>0</v>
      </c>
      <c r="O194" s="197">
        <v>0</v>
      </c>
      <c r="P194" s="197">
        <v>-137</v>
      </c>
      <c r="Q194" s="197">
        <v>-1.2372213994148451E-3</v>
      </c>
      <c r="R194" s="260" t="s">
        <v>239</v>
      </c>
      <c r="S194" s="260" t="s">
        <v>514</v>
      </c>
      <c r="T194" s="260" t="s">
        <v>239</v>
      </c>
      <c r="U194" s="260" t="s">
        <v>514</v>
      </c>
    </row>
    <row r="195" spans="1:21" ht="14.5" x14ac:dyDescent="0.35">
      <c r="A195" s="260" t="s">
        <v>563</v>
      </c>
      <c r="B195" s="190">
        <v>45846</v>
      </c>
      <c r="C195" s="197">
        <v>110595</v>
      </c>
      <c r="D195" s="197">
        <v>0</v>
      </c>
      <c r="E195" s="197">
        <v>0</v>
      </c>
      <c r="F195" s="197">
        <v>0</v>
      </c>
      <c r="G195" s="197">
        <v>81459</v>
      </c>
      <c r="H195" s="197">
        <v>29090.1</v>
      </c>
      <c r="I195" s="197">
        <v>0</v>
      </c>
      <c r="J195" s="197">
        <v>110549.1</v>
      </c>
      <c r="K195" s="197">
        <v>110549.1</v>
      </c>
      <c r="L195" s="197">
        <v>28955.666666666664</v>
      </c>
      <c r="M195" s="197">
        <v>414.66666666666652</v>
      </c>
      <c r="N195" s="197">
        <v>0</v>
      </c>
      <c r="O195" s="197">
        <v>0</v>
      </c>
      <c r="P195" s="197">
        <v>-45.899999999994179</v>
      </c>
      <c r="Q195" s="197">
        <v>-4.1502780415025864E-4</v>
      </c>
      <c r="R195" s="260" t="s">
        <v>239</v>
      </c>
      <c r="S195" s="260" t="s">
        <v>514</v>
      </c>
      <c r="T195" s="260" t="s">
        <v>239</v>
      </c>
      <c r="U195" s="260" t="s">
        <v>514</v>
      </c>
    </row>
    <row r="196" spans="1:21" ht="14.5" x14ac:dyDescent="0.35">
      <c r="A196" s="260" t="s">
        <v>563</v>
      </c>
      <c r="B196" s="190">
        <v>45847</v>
      </c>
      <c r="C196" s="197">
        <v>110549.1</v>
      </c>
      <c r="D196" s="197">
        <v>0</v>
      </c>
      <c r="E196" s="197">
        <v>0</v>
      </c>
      <c r="F196" s="197">
        <v>0</v>
      </c>
      <c r="G196" s="197">
        <v>81459</v>
      </c>
      <c r="H196" s="197">
        <v>29044.9</v>
      </c>
      <c r="I196" s="197">
        <v>0</v>
      </c>
      <c r="J196" s="197">
        <v>110503.9</v>
      </c>
      <c r="K196" s="197">
        <v>110503.9</v>
      </c>
      <c r="L196" s="197">
        <v>28955.666666666664</v>
      </c>
      <c r="M196" s="197">
        <v>414.66666666666652</v>
      </c>
      <c r="N196" s="197">
        <v>0</v>
      </c>
      <c r="O196" s="197">
        <v>0</v>
      </c>
      <c r="P196" s="197">
        <v>-45.200000000011642</v>
      </c>
      <c r="Q196" s="197">
        <v>-4.0886809571505367E-4</v>
      </c>
      <c r="R196" s="260" t="s">
        <v>239</v>
      </c>
      <c r="S196" s="260" t="s">
        <v>514</v>
      </c>
      <c r="T196" s="260" t="s">
        <v>239</v>
      </c>
      <c r="U196" s="260" t="s">
        <v>514</v>
      </c>
    </row>
    <row r="197" spans="1:21" ht="14.5" x14ac:dyDescent="0.35">
      <c r="A197" s="260" t="s">
        <v>563</v>
      </c>
      <c r="B197" s="190">
        <v>45848</v>
      </c>
      <c r="C197" s="197">
        <v>110503.9</v>
      </c>
      <c r="D197" s="197">
        <v>0</v>
      </c>
      <c r="E197" s="197">
        <v>0</v>
      </c>
      <c r="F197" s="197">
        <v>0</v>
      </c>
      <c r="G197" s="197">
        <v>81459</v>
      </c>
      <c r="H197" s="197">
        <v>28999</v>
      </c>
      <c r="I197" s="197">
        <v>0</v>
      </c>
      <c r="J197" s="197">
        <v>110458</v>
      </c>
      <c r="K197" s="197">
        <v>110458</v>
      </c>
      <c r="L197" s="197">
        <v>28955.666666666664</v>
      </c>
      <c r="M197" s="197">
        <v>414.66666666666652</v>
      </c>
      <c r="N197" s="197">
        <v>0</v>
      </c>
      <c r="O197" s="197">
        <v>0</v>
      </c>
      <c r="P197" s="197">
        <v>-45.899999999994179</v>
      </c>
      <c r="Q197" s="197">
        <v>-4.153699552684742E-4</v>
      </c>
      <c r="R197" s="260" t="s">
        <v>239</v>
      </c>
      <c r="S197" s="260" t="s">
        <v>514</v>
      </c>
      <c r="T197" s="260" t="s">
        <v>239</v>
      </c>
      <c r="U197" s="260" t="s">
        <v>514</v>
      </c>
    </row>
    <row r="198" spans="1:21" ht="14.5" x14ac:dyDescent="0.35">
      <c r="A198" s="260" t="s">
        <v>563</v>
      </c>
      <c r="B198" s="190">
        <v>45849</v>
      </c>
      <c r="C198" s="197">
        <v>110458</v>
      </c>
      <c r="D198" s="197">
        <v>0</v>
      </c>
      <c r="E198" s="197">
        <v>0</v>
      </c>
      <c r="F198" s="197">
        <v>0</v>
      </c>
      <c r="G198" s="197">
        <v>81459</v>
      </c>
      <c r="H198" s="197">
        <v>28953.1</v>
      </c>
      <c r="I198" s="197">
        <v>0</v>
      </c>
      <c r="J198" s="197">
        <v>110412.1</v>
      </c>
      <c r="K198" s="197">
        <v>110412.1</v>
      </c>
      <c r="L198" s="197">
        <v>28955.666666666664</v>
      </c>
      <c r="M198" s="197">
        <v>414.66666666666652</v>
      </c>
      <c r="N198" s="197">
        <v>0</v>
      </c>
      <c r="O198" s="197">
        <v>0</v>
      </c>
      <c r="P198" s="197">
        <v>-45.899999999994179</v>
      </c>
      <c r="Q198" s="197">
        <v>-4.1554255916265159E-4</v>
      </c>
      <c r="R198" s="260" t="s">
        <v>239</v>
      </c>
      <c r="S198" s="260" t="s">
        <v>514</v>
      </c>
      <c r="T198" s="260" t="s">
        <v>239</v>
      </c>
      <c r="U198" s="260" t="s">
        <v>514</v>
      </c>
    </row>
    <row r="199" spans="1:21" ht="14.5" x14ac:dyDescent="0.35">
      <c r="A199" s="260" t="s">
        <v>563</v>
      </c>
      <c r="B199" s="190">
        <v>45850</v>
      </c>
      <c r="C199" s="197">
        <v>110412.1</v>
      </c>
      <c r="D199" s="197">
        <v>0</v>
      </c>
      <c r="E199" s="197">
        <v>0</v>
      </c>
      <c r="F199" s="197">
        <v>0</v>
      </c>
      <c r="G199" s="197">
        <v>81459</v>
      </c>
      <c r="H199" s="197">
        <v>28953.1</v>
      </c>
      <c r="I199" s="197">
        <v>0</v>
      </c>
      <c r="J199" s="197">
        <v>110412.1</v>
      </c>
      <c r="K199" s="197">
        <v>110412.1</v>
      </c>
      <c r="L199" s="197">
        <v>28955.666666666664</v>
      </c>
      <c r="M199" s="197">
        <v>414.66666666666652</v>
      </c>
      <c r="N199" s="197">
        <v>0</v>
      </c>
      <c r="O199" s="197">
        <v>0</v>
      </c>
      <c r="P199" s="197">
        <v>0</v>
      </c>
      <c r="Q199" s="197">
        <v>0</v>
      </c>
      <c r="R199" s="260" t="s">
        <v>239</v>
      </c>
      <c r="S199" s="260" t="s">
        <v>514</v>
      </c>
      <c r="T199" s="260" t="s">
        <v>239</v>
      </c>
      <c r="U199" s="260" t="s">
        <v>514</v>
      </c>
    </row>
    <row r="200" spans="1:21" ht="14.5" x14ac:dyDescent="0.35">
      <c r="A200" s="260" t="s">
        <v>563</v>
      </c>
      <c r="B200" s="190">
        <v>45851</v>
      </c>
      <c r="C200" s="197">
        <v>110412.1</v>
      </c>
      <c r="D200" s="197">
        <v>0</v>
      </c>
      <c r="E200" s="197">
        <v>0</v>
      </c>
      <c r="F200" s="197">
        <v>0</v>
      </c>
      <c r="G200" s="197">
        <v>81459</v>
      </c>
      <c r="H200" s="197">
        <v>28953.1</v>
      </c>
      <c r="I200" s="197">
        <v>0</v>
      </c>
      <c r="J200" s="197">
        <v>110412.1</v>
      </c>
      <c r="K200" s="197">
        <v>110412.1</v>
      </c>
      <c r="L200" s="197">
        <v>28955.666666666664</v>
      </c>
      <c r="M200" s="197">
        <v>414.66666666666652</v>
      </c>
      <c r="N200" s="197">
        <v>0</v>
      </c>
      <c r="O200" s="197">
        <v>0</v>
      </c>
      <c r="P200" s="197">
        <v>0</v>
      </c>
      <c r="Q200" s="197">
        <v>0</v>
      </c>
      <c r="R200" s="260" t="s">
        <v>239</v>
      </c>
      <c r="S200" s="260" t="s">
        <v>514</v>
      </c>
      <c r="T200" s="260" t="s">
        <v>239</v>
      </c>
      <c r="U200" s="260" t="s">
        <v>514</v>
      </c>
    </row>
    <row r="201" spans="1:21" ht="14.5" x14ac:dyDescent="0.35">
      <c r="A201" s="260" t="s">
        <v>563</v>
      </c>
      <c r="B201" s="190">
        <v>45852</v>
      </c>
      <c r="C201" s="197">
        <v>110412.1</v>
      </c>
      <c r="D201" s="197">
        <v>0</v>
      </c>
      <c r="E201" s="197">
        <v>0</v>
      </c>
      <c r="F201" s="197">
        <v>0</v>
      </c>
      <c r="G201" s="197">
        <v>81459</v>
      </c>
      <c r="H201" s="197">
        <v>28816.1</v>
      </c>
      <c r="I201" s="197">
        <v>0</v>
      </c>
      <c r="J201" s="197">
        <v>110275.1</v>
      </c>
      <c r="K201" s="197">
        <v>110275.1</v>
      </c>
      <c r="L201" s="197">
        <v>28955.666666666664</v>
      </c>
      <c r="M201" s="197">
        <v>414.66666666666652</v>
      </c>
      <c r="N201" s="197">
        <v>0</v>
      </c>
      <c r="O201" s="197">
        <v>0</v>
      </c>
      <c r="P201" s="197">
        <v>-137</v>
      </c>
      <c r="Q201" s="197">
        <v>-1.2408060348457761E-3</v>
      </c>
      <c r="R201" s="260" t="s">
        <v>239</v>
      </c>
      <c r="S201" s="260" t="s">
        <v>514</v>
      </c>
      <c r="T201" s="260" t="s">
        <v>239</v>
      </c>
      <c r="U201" s="260" t="s">
        <v>514</v>
      </c>
    </row>
    <row r="202" spans="1:21" ht="14.5" x14ac:dyDescent="0.35">
      <c r="A202" s="260" t="s">
        <v>563</v>
      </c>
      <c r="B202" s="190">
        <v>45853</v>
      </c>
      <c r="C202" s="197">
        <v>110275.1</v>
      </c>
      <c r="D202" s="197">
        <v>0</v>
      </c>
      <c r="E202" s="197">
        <v>0</v>
      </c>
      <c r="F202" s="197">
        <v>0</v>
      </c>
      <c r="G202" s="197">
        <v>81459</v>
      </c>
      <c r="H202" s="197">
        <v>28770.9</v>
      </c>
      <c r="I202" s="197">
        <v>0</v>
      </c>
      <c r="J202" s="197">
        <v>110229.9</v>
      </c>
      <c r="K202" s="197">
        <v>110229.9</v>
      </c>
      <c r="L202" s="197">
        <v>28955.666666666664</v>
      </c>
      <c r="M202" s="197">
        <v>414.66666666666652</v>
      </c>
      <c r="N202" s="197">
        <v>0</v>
      </c>
      <c r="O202" s="197">
        <v>0</v>
      </c>
      <c r="P202" s="197">
        <v>-45.200000000011642</v>
      </c>
      <c r="Q202" s="197">
        <v>-4.0988400826669213E-4</v>
      </c>
      <c r="R202" s="260" t="s">
        <v>239</v>
      </c>
      <c r="S202" s="260" t="s">
        <v>514</v>
      </c>
      <c r="T202" s="260" t="s">
        <v>239</v>
      </c>
      <c r="U202" s="260" t="s">
        <v>514</v>
      </c>
    </row>
    <row r="203" spans="1:21" ht="14.5" x14ac:dyDescent="0.35">
      <c r="A203" s="260" t="s">
        <v>563</v>
      </c>
      <c r="B203" s="190">
        <v>45854</v>
      </c>
      <c r="C203" s="197">
        <v>110229.9</v>
      </c>
      <c r="D203" s="197">
        <v>0</v>
      </c>
      <c r="E203" s="197">
        <v>0</v>
      </c>
      <c r="F203" s="197">
        <v>0</v>
      </c>
      <c r="G203" s="197">
        <v>81459</v>
      </c>
      <c r="H203" s="197">
        <v>28725</v>
      </c>
      <c r="I203" s="197">
        <v>0</v>
      </c>
      <c r="J203" s="197">
        <v>110184</v>
      </c>
      <c r="K203" s="197">
        <v>110184</v>
      </c>
      <c r="L203" s="197">
        <v>28955.666666666664</v>
      </c>
      <c r="M203" s="197">
        <v>414.66666666666652</v>
      </c>
      <c r="N203" s="197">
        <v>0</v>
      </c>
      <c r="O203" s="197">
        <v>0</v>
      </c>
      <c r="P203" s="197">
        <v>-45.899999999994179</v>
      </c>
      <c r="Q203" s="197">
        <v>-4.1640244616014677E-4</v>
      </c>
      <c r="R203" s="260" t="s">
        <v>239</v>
      </c>
      <c r="S203" s="260" t="s">
        <v>514</v>
      </c>
      <c r="T203" s="260" t="s">
        <v>239</v>
      </c>
      <c r="U203" s="260" t="s">
        <v>514</v>
      </c>
    </row>
    <row r="204" spans="1:21" ht="14.5" x14ac:dyDescent="0.35">
      <c r="A204" s="260" t="s">
        <v>563</v>
      </c>
      <c r="B204" s="190">
        <v>45855</v>
      </c>
      <c r="C204" s="197">
        <v>110184</v>
      </c>
      <c r="D204" s="197">
        <v>0</v>
      </c>
      <c r="E204" s="197">
        <v>0</v>
      </c>
      <c r="F204" s="197">
        <v>0</v>
      </c>
      <c r="G204" s="197">
        <v>81459</v>
      </c>
      <c r="H204" s="197">
        <v>28679.1</v>
      </c>
      <c r="I204" s="197">
        <v>0</v>
      </c>
      <c r="J204" s="197">
        <v>110138.1</v>
      </c>
      <c r="K204" s="197">
        <v>110138.1</v>
      </c>
      <c r="L204" s="197">
        <v>28955.666666666664</v>
      </c>
      <c r="M204" s="197">
        <v>414.66666666666652</v>
      </c>
      <c r="N204" s="197">
        <v>0</v>
      </c>
      <c r="O204" s="197">
        <v>0</v>
      </c>
      <c r="P204" s="197">
        <v>-45.899999999994179</v>
      </c>
      <c r="Q204" s="197">
        <v>-4.1657590938792843E-4</v>
      </c>
      <c r="R204" s="260" t="s">
        <v>239</v>
      </c>
      <c r="S204" s="260" t="s">
        <v>514</v>
      </c>
      <c r="T204" s="260" t="s">
        <v>239</v>
      </c>
      <c r="U204" s="260" t="s">
        <v>514</v>
      </c>
    </row>
    <row r="205" spans="1:21" ht="14.5" x14ac:dyDescent="0.35">
      <c r="A205" s="260" t="s">
        <v>563</v>
      </c>
      <c r="B205" s="190">
        <v>45856</v>
      </c>
      <c r="C205" s="197">
        <v>110138.1</v>
      </c>
      <c r="D205" s="197">
        <v>0</v>
      </c>
      <c r="E205" s="197">
        <v>0</v>
      </c>
      <c r="F205" s="197">
        <v>0</v>
      </c>
      <c r="G205" s="197">
        <v>81459</v>
      </c>
      <c r="H205" s="197">
        <v>28633.9</v>
      </c>
      <c r="I205" s="197">
        <v>0</v>
      </c>
      <c r="J205" s="197">
        <v>110092.9</v>
      </c>
      <c r="K205" s="197">
        <v>110092.9</v>
      </c>
      <c r="L205" s="197">
        <v>28955.666666666664</v>
      </c>
      <c r="M205" s="197">
        <v>414.66666666666652</v>
      </c>
      <c r="N205" s="197">
        <v>0</v>
      </c>
      <c r="O205" s="197">
        <v>0</v>
      </c>
      <c r="P205" s="197">
        <v>-45.200000000011642</v>
      </c>
      <c r="Q205" s="197">
        <v>-4.1039386007213352E-4</v>
      </c>
      <c r="R205" s="260" t="s">
        <v>239</v>
      </c>
      <c r="S205" s="260" t="s">
        <v>514</v>
      </c>
      <c r="T205" s="260" t="s">
        <v>239</v>
      </c>
      <c r="U205" s="260" t="s">
        <v>514</v>
      </c>
    </row>
    <row r="206" spans="1:21" ht="14.5" x14ac:dyDescent="0.35">
      <c r="A206" s="260" t="s">
        <v>563</v>
      </c>
      <c r="B206" s="190">
        <v>45857</v>
      </c>
      <c r="C206" s="197">
        <v>110092.9</v>
      </c>
      <c r="D206" s="197">
        <v>0</v>
      </c>
      <c r="E206" s="197">
        <v>0</v>
      </c>
      <c r="F206" s="197">
        <v>0</v>
      </c>
      <c r="G206" s="197">
        <v>81459</v>
      </c>
      <c r="H206" s="197">
        <v>28633.9</v>
      </c>
      <c r="I206" s="197">
        <v>0</v>
      </c>
      <c r="J206" s="197">
        <v>110092.9</v>
      </c>
      <c r="K206" s="197">
        <v>110092.9</v>
      </c>
      <c r="L206" s="197">
        <v>28955.666666666664</v>
      </c>
      <c r="M206" s="197">
        <v>414.66666666666652</v>
      </c>
      <c r="N206" s="197">
        <v>0</v>
      </c>
      <c r="O206" s="197">
        <v>0</v>
      </c>
      <c r="P206" s="197">
        <v>0</v>
      </c>
      <c r="Q206" s="197">
        <v>0</v>
      </c>
      <c r="R206" s="260" t="s">
        <v>239</v>
      </c>
      <c r="S206" s="260" t="s">
        <v>514</v>
      </c>
      <c r="T206" s="260" t="s">
        <v>239</v>
      </c>
      <c r="U206" s="260" t="s">
        <v>514</v>
      </c>
    </row>
    <row r="207" spans="1:21" ht="14.5" x14ac:dyDescent="0.35">
      <c r="A207" s="260" t="s">
        <v>563</v>
      </c>
      <c r="B207" s="190">
        <v>45858</v>
      </c>
      <c r="C207" s="197">
        <v>110092.9</v>
      </c>
      <c r="D207" s="197">
        <v>0</v>
      </c>
      <c r="E207" s="197">
        <v>0</v>
      </c>
      <c r="F207" s="197">
        <v>0</v>
      </c>
      <c r="G207" s="197">
        <v>81459</v>
      </c>
      <c r="H207" s="197">
        <v>28633.9</v>
      </c>
      <c r="I207" s="197">
        <v>0</v>
      </c>
      <c r="J207" s="197">
        <v>110092.9</v>
      </c>
      <c r="K207" s="197">
        <v>110092.9</v>
      </c>
      <c r="L207" s="197">
        <v>28955.666666666664</v>
      </c>
      <c r="M207" s="197">
        <v>414.66666666666652</v>
      </c>
      <c r="N207" s="197">
        <v>0</v>
      </c>
      <c r="O207" s="197">
        <v>0</v>
      </c>
      <c r="P207" s="197">
        <v>0</v>
      </c>
      <c r="Q207" s="197">
        <v>0</v>
      </c>
      <c r="R207" s="260" t="s">
        <v>239</v>
      </c>
      <c r="S207" s="260" t="s">
        <v>514</v>
      </c>
      <c r="T207" s="260" t="s">
        <v>239</v>
      </c>
      <c r="U207" s="260" t="s">
        <v>514</v>
      </c>
    </row>
    <row r="208" spans="1:21" ht="14.5" x14ac:dyDescent="0.35">
      <c r="A208" s="260" t="s">
        <v>563</v>
      </c>
      <c r="B208" s="190">
        <v>45859</v>
      </c>
      <c r="C208" s="197">
        <v>110092.9</v>
      </c>
      <c r="D208" s="197">
        <v>0</v>
      </c>
      <c r="E208" s="197">
        <v>0</v>
      </c>
      <c r="F208" s="197">
        <v>0</v>
      </c>
      <c r="G208" s="197">
        <v>81459</v>
      </c>
      <c r="H208" s="197">
        <v>28496.9</v>
      </c>
      <c r="I208" s="197">
        <v>0</v>
      </c>
      <c r="J208" s="197">
        <v>109955.9</v>
      </c>
      <c r="K208" s="197">
        <v>109955.9</v>
      </c>
      <c r="L208" s="197">
        <v>28955.666666666664</v>
      </c>
      <c r="M208" s="197">
        <v>414.66666666666652</v>
      </c>
      <c r="N208" s="197">
        <v>0</v>
      </c>
      <c r="O208" s="197">
        <v>0</v>
      </c>
      <c r="P208" s="197">
        <v>-137</v>
      </c>
      <c r="Q208" s="197">
        <v>-1.2444035900589512E-3</v>
      </c>
      <c r="R208" s="260" t="s">
        <v>239</v>
      </c>
      <c r="S208" s="260" t="s">
        <v>514</v>
      </c>
      <c r="T208" s="260" t="s">
        <v>239</v>
      </c>
      <c r="U208" s="260" t="s">
        <v>514</v>
      </c>
    </row>
    <row r="209" spans="1:21" ht="14.5" x14ac:dyDescent="0.35">
      <c r="A209" s="260" t="s">
        <v>563</v>
      </c>
      <c r="B209" s="190">
        <v>45860</v>
      </c>
      <c r="C209" s="197">
        <v>109955.9</v>
      </c>
      <c r="D209" s="197">
        <v>0</v>
      </c>
      <c r="E209" s="197">
        <v>0</v>
      </c>
      <c r="F209" s="197">
        <v>0</v>
      </c>
      <c r="G209" s="197">
        <v>81459</v>
      </c>
      <c r="H209" s="197">
        <v>28451</v>
      </c>
      <c r="I209" s="197">
        <v>0</v>
      </c>
      <c r="J209" s="197">
        <v>109910</v>
      </c>
      <c r="K209" s="197">
        <v>109910</v>
      </c>
      <c r="L209" s="197">
        <v>28955.666666666664</v>
      </c>
      <c r="M209" s="197">
        <v>414.66666666666652</v>
      </c>
      <c r="N209" s="197">
        <v>0</v>
      </c>
      <c r="O209" s="197">
        <v>0</v>
      </c>
      <c r="P209" s="197">
        <v>-45.899999999994179</v>
      </c>
      <c r="Q209" s="197">
        <v>-4.1744008279676059E-4</v>
      </c>
      <c r="R209" s="260" t="s">
        <v>239</v>
      </c>
      <c r="S209" s="260" t="s">
        <v>514</v>
      </c>
      <c r="T209" s="260" t="s">
        <v>239</v>
      </c>
      <c r="U209" s="260" t="s">
        <v>514</v>
      </c>
    </row>
    <row r="210" spans="1:21" ht="14.5" x14ac:dyDescent="0.35">
      <c r="A210" s="260" t="s">
        <v>563</v>
      </c>
      <c r="B210" s="190">
        <v>45861</v>
      </c>
      <c r="C210" s="197">
        <v>109910</v>
      </c>
      <c r="D210" s="197">
        <v>0</v>
      </c>
      <c r="E210" s="197">
        <v>0</v>
      </c>
      <c r="F210" s="197">
        <v>0</v>
      </c>
      <c r="G210" s="197">
        <v>81459</v>
      </c>
      <c r="H210" s="197">
        <v>28405.1</v>
      </c>
      <c r="I210" s="197">
        <v>0</v>
      </c>
      <c r="J210" s="197">
        <v>109864.1</v>
      </c>
      <c r="K210" s="197">
        <v>109864.1</v>
      </c>
      <c r="L210" s="197">
        <v>28955.666666666664</v>
      </c>
      <c r="M210" s="197">
        <v>414.66666666666652</v>
      </c>
      <c r="N210" s="197">
        <v>0</v>
      </c>
      <c r="O210" s="197">
        <v>0</v>
      </c>
      <c r="P210" s="197">
        <v>-45.899999999994179</v>
      </c>
      <c r="Q210" s="197">
        <v>-4.1761441179144487E-4</v>
      </c>
      <c r="R210" s="260" t="s">
        <v>239</v>
      </c>
      <c r="S210" s="260" t="s">
        <v>514</v>
      </c>
      <c r="T210" s="260" t="s">
        <v>239</v>
      </c>
      <c r="U210" s="260" t="s">
        <v>514</v>
      </c>
    </row>
    <row r="211" spans="1:21" ht="14.5" x14ac:dyDescent="0.35">
      <c r="A211" s="260" t="s">
        <v>563</v>
      </c>
      <c r="B211" s="190">
        <v>45862</v>
      </c>
      <c r="C211" s="197">
        <v>109864.1</v>
      </c>
      <c r="D211" s="197">
        <v>0</v>
      </c>
      <c r="E211" s="197">
        <v>0</v>
      </c>
      <c r="F211" s="197">
        <v>0</v>
      </c>
      <c r="G211" s="197">
        <v>81459</v>
      </c>
      <c r="H211" s="197">
        <v>28359.9</v>
      </c>
      <c r="I211" s="197">
        <v>0</v>
      </c>
      <c r="J211" s="197">
        <v>109818.9</v>
      </c>
      <c r="K211" s="197">
        <v>109818.9</v>
      </c>
      <c r="L211" s="197">
        <v>28955.666666666664</v>
      </c>
      <c r="M211" s="197">
        <v>414.66666666666652</v>
      </c>
      <c r="N211" s="197">
        <v>0</v>
      </c>
      <c r="O211" s="197">
        <v>0</v>
      </c>
      <c r="P211" s="197">
        <v>-45.200000000011642</v>
      </c>
      <c r="Q211" s="197">
        <v>-4.1141737837935288E-4</v>
      </c>
      <c r="R211" s="260" t="s">
        <v>239</v>
      </c>
      <c r="S211" s="260" t="s">
        <v>514</v>
      </c>
      <c r="T211" s="260" t="s">
        <v>239</v>
      </c>
      <c r="U211" s="260" t="s">
        <v>514</v>
      </c>
    </row>
    <row r="212" spans="1:21" ht="14.5" x14ac:dyDescent="0.35">
      <c r="A212" s="260" t="s">
        <v>563</v>
      </c>
      <c r="B212" s="190">
        <v>45863</v>
      </c>
      <c r="C212" s="197">
        <v>109818.9</v>
      </c>
      <c r="D212" s="197">
        <v>0</v>
      </c>
      <c r="E212" s="197">
        <v>0</v>
      </c>
      <c r="F212" s="197">
        <v>0</v>
      </c>
      <c r="G212" s="197">
        <v>81459</v>
      </c>
      <c r="H212" s="197">
        <v>28314</v>
      </c>
      <c r="I212" s="197">
        <v>0</v>
      </c>
      <c r="J212" s="197">
        <v>109773</v>
      </c>
      <c r="K212" s="197">
        <v>109773</v>
      </c>
      <c r="L212" s="197">
        <v>28955.666666666664</v>
      </c>
      <c r="M212" s="197">
        <v>414.66666666666652</v>
      </c>
      <c r="N212" s="197">
        <v>0</v>
      </c>
      <c r="O212" s="197">
        <v>0</v>
      </c>
      <c r="P212" s="197">
        <v>-45.899999999994179</v>
      </c>
      <c r="Q212" s="197">
        <v>-4.179608428056536E-4</v>
      </c>
      <c r="R212" s="260" t="s">
        <v>239</v>
      </c>
      <c r="S212" s="260" t="s">
        <v>514</v>
      </c>
      <c r="T212" s="260" t="s">
        <v>239</v>
      </c>
      <c r="U212" s="260" t="s">
        <v>514</v>
      </c>
    </row>
    <row r="213" spans="1:21" ht="14.5" x14ac:dyDescent="0.35">
      <c r="A213" s="260" t="s">
        <v>563</v>
      </c>
      <c r="B213" s="190">
        <v>45864</v>
      </c>
      <c r="C213" s="197">
        <v>109773</v>
      </c>
      <c r="D213" s="197">
        <v>0</v>
      </c>
      <c r="E213" s="197">
        <v>0</v>
      </c>
      <c r="F213" s="197">
        <v>0</v>
      </c>
      <c r="G213" s="197">
        <v>81459</v>
      </c>
      <c r="H213" s="197">
        <v>28314</v>
      </c>
      <c r="I213" s="197">
        <v>0</v>
      </c>
      <c r="J213" s="197">
        <v>109773</v>
      </c>
      <c r="K213" s="197">
        <v>109773</v>
      </c>
      <c r="L213" s="197">
        <v>28955.666666666664</v>
      </c>
      <c r="M213" s="197">
        <v>414.66666666666652</v>
      </c>
      <c r="N213" s="197">
        <v>0</v>
      </c>
      <c r="O213" s="197">
        <v>0</v>
      </c>
      <c r="P213" s="197">
        <v>0</v>
      </c>
      <c r="Q213" s="197">
        <v>0</v>
      </c>
      <c r="R213" s="260" t="s">
        <v>239</v>
      </c>
      <c r="S213" s="260" t="s">
        <v>514</v>
      </c>
      <c r="T213" s="260" t="s">
        <v>239</v>
      </c>
      <c r="U213" s="260" t="s">
        <v>514</v>
      </c>
    </row>
    <row r="214" spans="1:21" ht="14.5" x14ac:dyDescent="0.35">
      <c r="A214" s="260" t="s">
        <v>563</v>
      </c>
      <c r="B214" s="190">
        <v>45865</v>
      </c>
      <c r="C214" s="197">
        <v>109773</v>
      </c>
      <c r="D214" s="197">
        <v>0</v>
      </c>
      <c r="E214" s="197">
        <v>0</v>
      </c>
      <c r="F214" s="197">
        <v>0</v>
      </c>
      <c r="G214" s="197">
        <v>81459</v>
      </c>
      <c r="H214" s="197">
        <v>28314</v>
      </c>
      <c r="I214" s="197">
        <v>0</v>
      </c>
      <c r="J214" s="197">
        <v>109773</v>
      </c>
      <c r="K214" s="197">
        <v>109773</v>
      </c>
      <c r="L214" s="197">
        <v>28955.666666666664</v>
      </c>
      <c r="M214" s="197">
        <v>414.66666666666652</v>
      </c>
      <c r="N214" s="197">
        <v>0</v>
      </c>
      <c r="O214" s="197">
        <v>0</v>
      </c>
      <c r="P214" s="197">
        <v>0</v>
      </c>
      <c r="Q214" s="197">
        <v>0</v>
      </c>
      <c r="R214" s="260" t="s">
        <v>239</v>
      </c>
      <c r="S214" s="260" t="s">
        <v>514</v>
      </c>
      <c r="T214" s="260" t="s">
        <v>239</v>
      </c>
      <c r="U214" s="260" t="s">
        <v>514</v>
      </c>
    </row>
    <row r="215" spans="1:21" ht="14.5" x14ac:dyDescent="0.35">
      <c r="A215" s="260" t="s">
        <v>563</v>
      </c>
      <c r="B215" s="190">
        <v>45866</v>
      </c>
      <c r="C215" s="197">
        <v>109773</v>
      </c>
      <c r="D215" s="197">
        <v>0</v>
      </c>
      <c r="E215" s="197">
        <v>0</v>
      </c>
      <c r="F215" s="197">
        <v>0</v>
      </c>
      <c r="G215" s="197">
        <v>81459</v>
      </c>
      <c r="H215" s="197">
        <v>28177</v>
      </c>
      <c r="I215" s="197">
        <v>0</v>
      </c>
      <c r="J215" s="197">
        <v>109636</v>
      </c>
      <c r="K215" s="197">
        <v>109636</v>
      </c>
      <c r="L215" s="197">
        <v>28955.666666666664</v>
      </c>
      <c r="M215" s="197">
        <v>414.66666666666652</v>
      </c>
      <c r="N215" s="197">
        <v>0</v>
      </c>
      <c r="O215" s="197">
        <v>0</v>
      </c>
      <c r="P215" s="197">
        <v>-137</v>
      </c>
      <c r="Q215" s="197">
        <v>-1.2480300255982568E-3</v>
      </c>
      <c r="R215" s="260" t="s">
        <v>239</v>
      </c>
      <c r="S215" s="260" t="s">
        <v>514</v>
      </c>
      <c r="T215" s="260" t="s">
        <v>239</v>
      </c>
      <c r="U215" s="260" t="s">
        <v>514</v>
      </c>
    </row>
    <row r="216" spans="1:21" ht="14.5" x14ac:dyDescent="0.35">
      <c r="A216" s="260" t="s">
        <v>563</v>
      </c>
      <c r="B216" s="190">
        <v>45867</v>
      </c>
      <c r="C216" s="197">
        <v>109636</v>
      </c>
      <c r="D216" s="197">
        <v>0</v>
      </c>
      <c r="E216" s="197">
        <v>0</v>
      </c>
      <c r="F216" s="197">
        <v>0</v>
      </c>
      <c r="G216" s="197">
        <v>81459</v>
      </c>
      <c r="H216" s="197">
        <v>28131.1</v>
      </c>
      <c r="I216" s="197">
        <v>0</v>
      </c>
      <c r="J216" s="197">
        <v>109590.1</v>
      </c>
      <c r="K216" s="197">
        <v>109590.1</v>
      </c>
      <c r="L216" s="197">
        <v>28955.666666666664</v>
      </c>
      <c r="M216" s="197">
        <v>414.66666666666652</v>
      </c>
      <c r="N216" s="197">
        <v>0</v>
      </c>
      <c r="O216" s="197">
        <v>0</v>
      </c>
      <c r="P216" s="197">
        <v>-45.899999999994179</v>
      </c>
      <c r="Q216" s="197">
        <v>-4.1865810500196776E-4</v>
      </c>
      <c r="R216" s="260" t="s">
        <v>239</v>
      </c>
      <c r="S216" s="260" t="s">
        <v>514</v>
      </c>
      <c r="T216" s="260" t="s">
        <v>239</v>
      </c>
      <c r="U216" s="260" t="s">
        <v>514</v>
      </c>
    </row>
    <row r="217" spans="1:21" ht="14.5" x14ac:dyDescent="0.35">
      <c r="A217" s="260" t="s">
        <v>563</v>
      </c>
      <c r="B217" s="190">
        <v>45868</v>
      </c>
      <c r="C217" s="197">
        <v>109590.1</v>
      </c>
      <c r="D217" s="197">
        <v>0</v>
      </c>
      <c r="E217" s="197">
        <v>0</v>
      </c>
      <c r="F217" s="197">
        <v>0</v>
      </c>
      <c r="G217" s="197">
        <v>81459</v>
      </c>
      <c r="H217" s="197">
        <v>28085.9</v>
      </c>
      <c r="I217" s="197">
        <v>0</v>
      </c>
      <c r="J217" s="197">
        <v>109544.9</v>
      </c>
      <c r="K217" s="197">
        <v>109544.9</v>
      </c>
      <c r="L217" s="197">
        <v>28955.666666666664</v>
      </c>
      <c r="M217" s="197">
        <v>414.66666666666652</v>
      </c>
      <c r="N217" s="197">
        <v>0</v>
      </c>
      <c r="O217" s="197">
        <v>0</v>
      </c>
      <c r="P217" s="197">
        <v>-45.200000000011642</v>
      </c>
      <c r="Q217" s="197">
        <v>-4.1244601474044185E-4</v>
      </c>
      <c r="R217" s="260" t="s">
        <v>239</v>
      </c>
      <c r="S217" s="260" t="s">
        <v>514</v>
      </c>
      <c r="T217" s="260" t="s">
        <v>239</v>
      </c>
      <c r="U217" s="260" t="s">
        <v>514</v>
      </c>
    </row>
    <row r="218" spans="1:21" ht="14.5" x14ac:dyDescent="0.35">
      <c r="A218" s="260" t="s">
        <v>563</v>
      </c>
      <c r="B218" s="190">
        <v>45869</v>
      </c>
      <c r="C218" s="197">
        <v>109544.9</v>
      </c>
      <c r="D218" s="197">
        <v>0</v>
      </c>
      <c r="E218" s="197">
        <v>0</v>
      </c>
      <c r="F218" s="197">
        <v>0</v>
      </c>
      <c r="G218" s="197">
        <v>81459</v>
      </c>
      <c r="H218" s="197">
        <v>28040</v>
      </c>
      <c r="I218" s="197">
        <v>0</v>
      </c>
      <c r="J218" s="197">
        <v>109499</v>
      </c>
      <c r="K218" s="197">
        <v>109499</v>
      </c>
      <c r="L218" s="197">
        <v>28955.666666666664</v>
      </c>
      <c r="M218" s="197">
        <v>414.66666666666652</v>
      </c>
      <c r="N218" s="197">
        <v>0</v>
      </c>
      <c r="O218" s="197">
        <v>0</v>
      </c>
      <c r="P218" s="197">
        <v>-45.899999999994179</v>
      </c>
      <c r="Q218" s="197">
        <v>-4.1900627048807593E-4</v>
      </c>
      <c r="R218" s="260" t="s">
        <v>239</v>
      </c>
      <c r="S218" s="260" t="s">
        <v>514</v>
      </c>
      <c r="T218" s="260" t="s">
        <v>239</v>
      </c>
      <c r="U218" s="260" t="s">
        <v>514</v>
      </c>
    </row>
    <row r="219" spans="1:21" ht="14.5" x14ac:dyDescent="0.35">
      <c r="A219" s="260" t="s">
        <v>563</v>
      </c>
      <c r="B219" s="190">
        <v>45870</v>
      </c>
      <c r="C219" s="197">
        <v>109499</v>
      </c>
      <c r="D219" s="197">
        <v>0</v>
      </c>
      <c r="E219" s="197">
        <v>0</v>
      </c>
      <c r="F219" s="197">
        <v>0</v>
      </c>
      <c r="G219" s="197">
        <v>81459</v>
      </c>
      <c r="H219" s="197">
        <v>28040</v>
      </c>
      <c r="I219" s="197">
        <v>0</v>
      </c>
      <c r="J219" s="197">
        <v>109499</v>
      </c>
      <c r="K219" s="197">
        <v>109499</v>
      </c>
      <c r="L219" s="197">
        <v>28955.666666666664</v>
      </c>
      <c r="M219" s="197">
        <v>414.66666666666652</v>
      </c>
      <c r="N219" s="197">
        <v>0</v>
      </c>
      <c r="O219" s="197">
        <v>0</v>
      </c>
      <c r="P219" s="197">
        <v>0</v>
      </c>
      <c r="Q219" s="197">
        <v>0</v>
      </c>
      <c r="R219" s="260" t="s">
        <v>239</v>
      </c>
      <c r="S219" s="260" t="s">
        <v>514</v>
      </c>
      <c r="T219" s="260" t="s">
        <v>239</v>
      </c>
      <c r="U219" s="260" t="s">
        <v>514</v>
      </c>
    </row>
    <row r="220" spans="1:21" ht="14.5" x14ac:dyDescent="0.35">
      <c r="A220" s="260" t="s">
        <v>563</v>
      </c>
      <c r="B220" s="190">
        <v>45871</v>
      </c>
      <c r="C220" s="197">
        <v>109499</v>
      </c>
      <c r="D220" s="197">
        <v>0</v>
      </c>
      <c r="E220" s="197">
        <v>0</v>
      </c>
      <c r="F220" s="197">
        <v>0</v>
      </c>
      <c r="G220" s="197">
        <v>81459</v>
      </c>
      <c r="H220" s="197">
        <v>28040</v>
      </c>
      <c r="I220" s="197">
        <v>0</v>
      </c>
      <c r="J220" s="197">
        <v>109499</v>
      </c>
      <c r="K220" s="197">
        <v>109499</v>
      </c>
      <c r="L220" s="197">
        <v>28955.666666666664</v>
      </c>
      <c r="M220" s="197">
        <v>414.66666666666652</v>
      </c>
      <c r="N220" s="197">
        <v>0</v>
      </c>
      <c r="O220" s="197">
        <v>0</v>
      </c>
      <c r="P220" s="197">
        <v>0</v>
      </c>
      <c r="Q220" s="197">
        <v>0</v>
      </c>
      <c r="R220" s="260" t="s">
        <v>239</v>
      </c>
      <c r="S220" s="260" t="s">
        <v>514</v>
      </c>
      <c r="T220" s="260" t="s">
        <v>239</v>
      </c>
      <c r="U220" s="260" t="s">
        <v>514</v>
      </c>
    </row>
    <row r="221" spans="1:21" ht="14.5" x14ac:dyDescent="0.35">
      <c r="A221" s="260" t="s">
        <v>563</v>
      </c>
      <c r="B221" s="190">
        <v>45872</v>
      </c>
      <c r="C221" s="197">
        <v>109499</v>
      </c>
      <c r="D221" s="197">
        <v>0</v>
      </c>
      <c r="E221" s="197">
        <v>0</v>
      </c>
      <c r="F221" s="197">
        <v>0</v>
      </c>
      <c r="G221" s="197">
        <v>81459</v>
      </c>
      <c r="H221" s="197">
        <v>28040</v>
      </c>
      <c r="I221" s="197">
        <v>0</v>
      </c>
      <c r="J221" s="197">
        <v>109499</v>
      </c>
      <c r="K221" s="197">
        <v>109499</v>
      </c>
      <c r="L221" s="197">
        <v>28955.666666666664</v>
      </c>
      <c r="M221" s="197">
        <v>414.66666666666652</v>
      </c>
      <c r="N221" s="197">
        <v>0</v>
      </c>
      <c r="O221" s="197">
        <v>0</v>
      </c>
      <c r="P221" s="197">
        <v>0</v>
      </c>
      <c r="Q221" s="197">
        <v>0</v>
      </c>
      <c r="R221" s="260" t="s">
        <v>239</v>
      </c>
      <c r="S221" s="260" t="s">
        <v>514</v>
      </c>
      <c r="T221" s="260" t="s">
        <v>239</v>
      </c>
      <c r="U221" s="260" t="s">
        <v>514</v>
      </c>
    </row>
    <row r="222" spans="1:21" ht="14.5" x14ac:dyDescent="0.35">
      <c r="A222" s="260" t="s">
        <v>563</v>
      </c>
      <c r="B222" s="190">
        <v>45873</v>
      </c>
      <c r="C222" s="197">
        <v>109499</v>
      </c>
      <c r="D222" s="197">
        <v>0</v>
      </c>
      <c r="E222" s="197">
        <v>0</v>
      </c>
      <c r="F222" s="197">
        <v>0</v>
      </c>
      <c r="G222" s="197">
        <v>81459</v>
      </c>
      <c r="H222" s="197">
        <v>28119</v>
      </c>
      <c r="I222" s="197">
        <v>0</v>
      </c>
      <c r="J222" s="197">
        <v>109578</v>
      </c>
      <c r="K222" s="197">
        <v>109578</v>
      </c>
      <c r="L222" s="197">
        <v>28955.666666666664</v>
      </c>
      <c r="M222" s="197">
        <v>414.66666666666652</v>
      </c>
      <c r="N222" s="197">
        <v>0</v>
      </c>
      <c r="O222" s="197">
        <v>0</v>
      </c>
      <c r="P222" s="197">
        <v>79</v>
      </c>
      <c r="Q222" s="197">
        <v>7.2146777596149292E-4</v>
      </c>
      <c r="R222" s="260" t="s">
        <v>239</v>
      </c>
      <c r="S222" s="260" t="s">
        <v>514</v>
      </c>
      <c r="T222" s="260" t="s">
        <v>239</v>
      </c>
      <c r="U222" s="260" t="s">
        <v>514</v>
      </c>
    </row>
    <row r="223" spans="1:21" ht="14.5" x14ac:dyDescent="0.35">
      <c r="A223" s="260" t="s">
        <v>563</v>
      </c>
      <c r="B223" s="190">
        <v>45874</v>
      </c>
      <c r="C223" s="197">
        <v>109578</v>
      </c>
      <c r="D223" s="197">
        <v>0</v>
      </c>
      <c r="E223" s="197">
        <v>0</v>
      </c>
      <c r="F223" s="197">
        <v>0</v>
      </c>
      <c r="G223" s="197">
        <v>81459</v>
      </c>
      <c r="H223" s="197">
        <v>28145.5</v>
      </c>
      <c r="I223" s="197">
        <v>0</v>
      </c>
      <c r="J223" s="197">
        <v>109604.5</v>
      </c>
      <c r="K223" s="197">
        <v>109604.5</v>
      </c>
      <c r="L223" s="197">
        <v>28955.666666666664</v>
      </c>
      <c r="M223" s="197">
        <v>414.66666666666652</v>
      </c>
      <c r="N223" s="197">
        <v>0</v>
      </c>
      <c r="O223" s="197">
        <v>0</v>
      </c>
      <c r="P223" s="197">
        <v>26.5</v>
      </c>
      <c r="Q223" s="197">
        <v>2.418368650640712E-4</v>
      </c>
      <c r="R223" s="260" t="s">
        <v>239</v>
      </c>
      <c r="S223" s="260" t="s">
        <v>514</v>
      </c>
      <c r="T223" s="260" t="s">
        <v>239</v>
      </c>
      <c r="U223" s="260" t="s">
        <v>514</v>
      </c>
    </row>
    <row r="224" spans="1:21" ht="14.5" x14ac:dyDescent="0.35">
      <c r="A224" s="260" t="s">
        <v>563</v>
      </c>
      <c r="B224" s="190">
        <v>45875</v>
      </c>
      <c r="C224" s="197">
        <v>109604.5</v>
      </c>
      <c r="D224" s="197">
        <v>0</v>
      </c>
      <c r="E224" s="197">
        <v>0</v>
      </c>
      <c r="F224" s="197">
        <v>0</v>
      </c>
      <c r="G224" s="197">
        <v>81459</v>
      </c>
      <c r="H224" s="197">
        <v>28171.5</v>
      </c>
      <c r="I224" s="197">
        <v>0</v>
      </c>
      <c r="J224" s="197">
        <v>109630.5</v>
      </c>
      <c r="K224" s="197">
        <v>109630.5</v>
      </c>
      <c r="L224" s="197">
        <v>28955.666666666664</v>
      </c>
      <c r="M224" s="197">
        <v>414.66666666666652</v>
      </c>
      <c r="N224" s="197">
        <v>0</v>
      </c>
      <c r="O224" s="197">
        <v>0</v>
      </c>
      <c r="P224" s="197">
        <v>26</v>
      </c>
      <c r="Q224" s="197">
        <v>2.3721653764208206E-4</v>
      </c>
      <c r="R224" s="260" t="s">
        <v>239</v>
      </c>
      <c r="S224" s="260" t="s">
        <v>514</v>
      </c>
      <c r="T224" s="260" t="s">
        <v>239</v>
      </c>
      <c r="U224" s="260" t="s">
        <v>514</v>
      </c>
    </row>
    <row r="225" spans="1:21" ht="14.5" x14ac:dyDescent="0.35">
      <c r="A225" s="260" t="s">
        <v>563</v>
      </c>
      <c r="B225" s="190">
        <v>45876</v>
      </c>
      <c r="C225" s="197">
        <v>109630.5</v>
      </c>
      <c r="D225" s="197">
        <v>0</v>
      </c>
      <c r="E225" s="197">
        <v>0</v>
      </c>
      <c r="F225" s="197">
        <v>0</v>
      </c>
      <c r="G225" s="197">
        <v>81459</v>
      </c>
      <c r="H225" s="197">
        <v>28198</v>
      </c>
      <c r="I225" s="197">
        <v>0</v>
      </c>
      <c r="J225" s="197">
        <v>109657</v>
      </c>
      <c r="K225" s="197">
        <v>109657</v>
      </c>
      <c r="L225" s="197">
        <v>28955.666666666664</v>
      </c>
      <c r="M225" s="197">
        <v>414.66666666666652</v>
      </c>
      <c r="N225" s="197">
        <v>0</v>
      </c>
      <c r="O225" s="197">
        <v>0</v>
      </c>
      <c r="P225" s="197">
        <v>26.5</v>
      </c>
      <c r="Q225" s="197">
        <v>2.417210539038539E-4</v>
      </c>
      <c r="R225" s="260" t="s">
        <v>239</v>
      </c>
      <c r="S225" s="260" t="s">
        <v>514</v>
      </c>
      <c r="T225" s="260" t="s">
        <v>239</v>
      </c>
      <c r="U225" s="260" t="s">
        <v>514</v>
      </c>
    </row>
    <row r="226" spans="1:21" ht="14.5" x14ac:dyDescent="0.35">
      <c r="A226" s="260" t="s">
        <v>563</v>
      </c>
      <c r="B226" s="190">
        <v>45877</v>
      </c>
      <c r="C226" s="197">
        <v>109657</v>
      </c>
      <c r="D226" s="197">
        <v>0</v>
      </c>
      <c r="E226" s="197">
        <v>0</v>
      </c>
      <c r="F226" s="197">
        <v>0</v>
      </c>
      <c r="G226" s="197">
        <v>81459</v>
      </c>
      <c r="H226" s="197">
        <v>28224.5</v>
      </c>
      <c r="I226" s="197">
        <v>0</v>
      </c>
      <c r="J226" s="197">
        <v>109683.5</v>
      </c>
      <c r="K226" s="197">
        <v>109683.5</v>
      </c>
      <c r="L226" s="197">
        <v>28955.666666666664</v>
      </c>
      <c r="M226" s="197">
        <v>414.66666666666652</v>
      </c>
      <c r="N226" s="197">
        <v>0</v>
      </c>
      <c r="O226" s="197">
        <v>0</v>
      </c>
      <c r="P226" s="197">
        <v>26.5</v>
      </c>
      <c r="Q226" s="197">
        <v>2.4166263895608608E-4</v>
      </c>
      <c r="R226" s="260" t="s">
        <v>239</v>
      </c>
      <c r="S226" s="260" t="s">
        <v>514</v>
      </c>
      <c r="T226" s="260" t="s">
        <v>239</v>
      </c>
      <c r="U226" s="260" t="s">
        <v>514</v>
      </c>
    </row>
    <row r="227" spans="1:21" ht="14.5" x14ac:dyDescent="0.35">
      <c r="A227" s="260" t="s">
        <v>563</v>
      </c>
      <c r="B227" s="190">
        <v>45878</v>
      </c>
      <c r="C227" s="197">
        <v>109683.5</v>
      </c>
      <c r="D227" s="197">
        <v>0</v>
      </c>
      <c r="E227" s="197">
        <v>0</v>
      </c>
      <c r="F227" s="197">
        <v>0</v>
      </c>
      <c r="G227" s="197">
        <v>81459</v>
      </c>
      <c r="H227" s="197">
        <v>28224.5</v>
      </c>
      <c r="I227" s="197">
        <v>0</v>
      </c>
      <c r="J227" s="197">
        <v>109683.5</v>
      </c>
      <c r="K227" s="197">
        <v>109683.5</v>
      </c>
      <c r="L227" s="197">
        <v>28955.666666666664</v>
      </c>
      <c r="M227" s="197">
        <v>414.66666666666652</v>
      </c>
      <c r="N227" s="197">
        <v>0</v>
      </c>
      <c r="O227" s="197">
        <v>0</v>
      </c>
      <c r="P227" s="197">
        <v>0</v>
      </c>
      <c r="Q227" s="197">
        <v>0</v>
      </c>
      <c r="R227" s="260" t="s">
        <v>239</v>
      </c>
      <c r="S227" s="260" t="s">
        <v>514</v>
      </c>
      <c r="T227" s="260" t="s">
        <v>239</v>
      </c>
      <c r="U227" s="260" t="s">
        <v>514</v>
      </c>
    </row>
    <row r="228" spans="1:21" ht="14.5" x14ac:dyDescent="0.35">
      <c r="A228" s="260" t="s">
        <v>563</v>
      </c>
      <c r="B228" s="190">
        <v>45879</v>
      </c>
      <c r="C228" s="197">
        <v>109683.5</v>
      </c>
      <c r="D228" s="197">
        <v>0</v>
      </c>
      <c r="E228" s="197">
        <v>0</v>
      </c>
      <c r="F228" s="197">
        <v>0</v>
      </c>
      <c r="G228" s="197">
        <v>81459</v>
      </c>
      <c r="H228" s="197">
        <v>28224.5</v>
      </c>
      <c r="I228" s="197">
        <v>0</v>
      </c>
      <c r="J228" s="197">
        <v>109683.5</v>
      </c>
      <c r="K228" s="197">
        <v>109683.5</v>
      </c>
      <c r="L228" s="197">
        <v>28955.666666666664</v>
      </c>
      <c r="M228" s="197">
        <v>414.66666666666652</v>
      </c>
      <c r="N228" s="197">
        <v>0</v>
      </c>
      <c r="O228" s="197">
        <v>0</v>
      </c>
      <c r="P228" s="197">
        <v>0</v>
      </c>
      <c r="Q228" s="197">
        <v>0</v>
      </c>
      <c r="R228" s="260" t="s">
        <v>239</v>
      </c>
      <c r="S228" s="260" t="s">
        <v>514</v>
      </c>
      <c r="T228" s="260" t="s">
        <v>239</v>
      </c>
      <c r="U228" s="260" t="s">
        <v>514</v>
      </c>
    </row>
    <row r="229" spans="1:21" ht="14.5" x14ac:dyDescent="0.35">
      <c r="A229" s="260" t="s">
        <v>563</v>
      </c>
      <c r="B229" s="190">
        <v>45880</v>
      </c>
      <c r="C229" s="197">
        <v>109683.5</v>
      </c>
      <c r="D229" s="197">
        <v>0</v>
      </c>
      <c r="E229" s="197">
        <v>0</v>
      </c>
      <c r="F229" s="197">
        <v>0</v>
      </c>
      <c r="G229" s="197">
        <v>81459</v>
      </c>
      <c r="H229" s="197">
        <v>28303.5</v>
      </c>
      <c r="I229" s="197">
        <v>0</v>
      </c>
      <c r="J229" s="197">
        <v>109762.5</v>
      </c>
      <c r="K229" s="197">
        <v>109762.5</v>
      </c>
      <c r="L229" s="197">
        <v>28955.666666666664</v>
      </c>
      <c r="M229" s="197">
        <v>414.66666666666652</v>
      </c>
      <c r="N229" s="197">
        <v>0</v>
      </c>
      <c r="O229" s="197">
        <v>0</v>
      </c>
      <c r="P229" s="197">
        <v>79</v>
      </c>
      <c r="Q229" s="197">
        <v>7.202541859077094E-4</v>
      </c>
      <c r="R229" s="260" t="s">
        <v>239</v>
      </c>
      <c r="S229" s="260" t="s">
        <v>514</v>
      </c>
      <c r="T229" s="260" t="s">
        <v>239</v>
      </c>
      <c r="U229" s="260" t="s">
        <v>514</v>
      </c>
    </row>
    <row r="230" spans="1:21" ht="14.5" x14ac:dyDescent="0.35">
      <c r="A230" s="260" t="s">
        <v>563</v>
      </c>
      <c r="B230" s="190">
        <v>45881</v>
      </c>
      <c r="C230" s="197">
        <v>109762.5</v>
      </c>
      <c r="D230" s="197">
        <v>0</v>
      </c>
      <c r="E230" s="197">
        <v>0</v>
      </c>
      <c r="F230" s="197">
        <v>0</v>
      </c>
      <c r="G230" s="197">
        <v>81459</v>
      </c>
      <c r="H230" s="197">
        <v>28329.5</v>
      </c>
      <c r="I230" s="197">
        <v>0</v>
      </c>
      <c r="J230" s="197">
        <v>109788.5</v>
      </c>
      <c r="K230" s="197">
        <v>109788.5</v>
      </c>
      <c r="L230" s="197">
        <v>28955.666666666664</v>
      </c>
      <c r="M230" s="197">
        <v>414.66666666666652</v>
      </c>
      <c r="N230" s="197">
        <v>0</v>
      </c>
      <c r="O230" s="197">
        <v>0</v>
      </c>
      <c r="P230" s="197">
        <v>26</v>
      </c>
      <c r="Q230" s="197">
        <v>2.3687507117631235E-4</v>
      </c>
      <c r="R230" s="260" t="s">
        <v>239</v>
      </c>
      <c r="S230" s="260" t="s">
        <v>514</v>
      </c>
      <c r="T230" s="260" t="s">
        <v>239</v>
      </c>
      <c r="U230" s="260" t="s">
        <v>514</v>
      </c>
    </row>
    <row r="231" spans="1:21" ht="14.5" x14ac:dyDescent="0.35">
      <c r="A231" s="260" t="s">
        <v>563</v>
      </c>
      <c r="B231" s="190">
        <v>45882</v>
      </c>
      <c r="C231" s="197">
        <v>109788.5</v>
      </c>
      <c r="D231" s="197">
        <v>0</v>
      </c>
      <c r="E231" s="197">
        <v>0</v>
      </c>
      <c r="F231" s="197">
        <v>0</v>
      </c>
      <c r="G231" s="197">
        <v>81459</v>
      </c>
      <c r="H231" s="197">
        <v>28356</v>
      </c>
      <c r="I231" s="197">
        <v>0</v>
      </c>
      <c r="J231" s="197">
        <v>109815</v>
      </c>
      <c r="K231" s="197">
        <v>109815</v>
      </c>
      <c r="L231" s="197">
        <v>28955.666666666664</v>
      </c>
      <c r="M231" s="197">
        <v>414.66666666666652</v>
      </c>
      <c r="N231" s="197">
        <v>0</v>
      </c>
      <c r="O231" s="197">
        <v>0</v>
      </c>
      <c r="P231" s="197">
        <v>26.5</v>
      </c>
      <c r="Q231" s="197">
        <v>2.4137318571626487E-4</v>
      </c>
      <c r="R231" s="260" t="s">
        <v>239</v>
      </c>
      <c r="S231" s="260" t="s">
        <v>514</v>
      </c>
      <c r="T231" s="260" t="s">
        <v>239</v>
      </c>
      <c r="U231" s="260" t="s">
        <v>514</v>
      </c>
    </row>
    <row r="232" spans="1:21" ht="14.5" x14ac:dyDescent="0.35">
      <c r="A232" s="260" t="s">
        <v>563</v>
      </c>
      <c r="B232" s="190">
        <v>45883</v>
      </c>
      <c r="C232" s="197">
        <v>109815</v>
      </c>
      <c r="D232" s="197">
        <v>0</v>
      </c>
      <c r="E232" s="197">
        <v>0</v>
      </c>
      <c r="F232" s="197">
        <v>0</v>
      </c>
      <c r="G232" s="197">
        <v>81459</v>
      </c>
      <c r="H232" s="197">
        <v>28382.5</v>
      </c>
      <c r="I232" s="197">
        <v>0</v>
      </c>
      <c r="J232" s="197">
        <v>109841.5</v>
      </c>
      <c r="K232" s="197">
        <v>109841.5</v>
      </c>
      <c r="L232" s="197">
        <v>28955.666666666664</v>
      </c>
      <c r="M232" s="197">
        <v>414.66666666666652</v>
      </c>
      <c r="N232" s="197">
        <v>0</v>
      </c>
      <c r="O232" s="197">
        <v>0</v>
      </c>
      <c r="P232" s="197">
        <v>26.5</v>
      </c>
      <c r="Q232" s="197">
        <v>2.4131493876056176E-4</v>
      </c>
      <c r="R232" s="260" t="s">
        <v>239</v>
      </c>
      <c r="S232" s="260" t="s">
        <v>514</v>
      </c>
      <c r="T232" s="260" t="s">
        <v>239</v>
      </c>
      <c r="U232" s="260" t="s">
        <v>514</v>
      </c>
    </row>
    <row r="233" spans="1:21" ht="14.5" x14ac:dyDescent="0.35">
      <c r="A233" s="260" t="s">
        <v>563</v>
      </c>
      <c r="B233" s="190">
        <v>45884</v>
      </c>
      <c r="C233" s="197">
        <v>109841.5</v>
      </c>
      <c r="D233" s="197">
        <v>0</v>
      </c>
      <c r="E233" s="197">
        <v>0</v>
      </c>
      <c r="F233" s="197">
        <v>0</v>
      </c>
      <c r="G233" s="197">
        <v>81459</v>
      </c>
      <c r="H233" s="197">
        <v>28408.5</v>
      </c>
      <c r="I233" s="197">
        <v>0</v>
      </c>
      <c r="J233" s="197">
        <v>109867.5</v>
      </c>
      <c r="K233" s="197">
        <v>109867.5</v>
      </c>
      <c r="L233" s="197">
        <v>28955.666666666664</v>
      </c>
      <c r="M233" s="197">
        <v>414.66666666666652</v>
      </c>
      <c r="N233" s="197">
        <v>0</v>
      </c>
      <c r="O233" s="197">
        <v>0</v>
      </c>
      <c r="P233" s="197">
        <v>26</v>
      </c>
      <c r="Q233" s="197">
        <v>2.3670470632675134E-4</v>
      </c>
      <c r="R233" s="260" t="s">
        <v>239</v>
      </c>
      <c r="S233" s="260" t="s">
        <v>514</v>
      </c>
      <c r="T233" s="260" t="s">
        <v>239</v>
      </c>
      <c r="U233" s="260" t="s">
        <v>514</v>
      </c>
    </row>
    <row r="234" spans="1:21" ht="14.5" x14ac:dyDescent="0.35">
      <c r="A234" s="260" t="s">
        <v>563</v>
      </c>
      <c r="B234" s="190">
        <v>45885</v>
      </c>
      <c r="C234" s="197">
        <v>109867.5</v>
      </c>
      <c r="D234" s="197">
        <v>0</v>
      </c>
      <c r="E234" s="197">
        <v>0</v>
      </c>
      <c r="F234" s="197">
        <v>0</v>
      </c>
      <c r="G234" s="197">
        <v>81459</v>
      </c>
      <c r="H234" s="197">
        <v>28408.5</v>
      </c>
      <c r="I234" s="197">
        <v>0</v>
      </c>
      <c r="J234" s="197">
        <v>109867.5</v>
      </c>
      <c r="K234" s="197">
        <v>109867.5</v>
      </c>
      <c r="L234" s="197">
        <v>28955.666666666664</v>
      </c>
      <c r="M234" s="197">
        <v>414.66666666666652</v>
      </c>
      <c r="N234" s="197">
        <v>0</v>
      </c>
      <c r="O234" s="197">
        <v>0</v>
      </c>
      <c r="P234" s="197">
        <v>0</v>
      </c>
      <c r="Q234" s="197">
        <v>0</v>
      </c>
      <c r="R234" s="260" t="s">
        <v>239</v>
      </c>
      <c r="S234" s="260" t="s">
        <v>514</v>
      </c>
      <c r="T234" s="260" t="s">
        <v>239</v>
      </c>
      <c r="U234" s="260" t="s">
        <v>514</v>
      </c>
    </row>
    <row r="235" spans="1:21" ht="14.5" x14ac:dyDescent="0.35">
      <c r="A235" s="260" t="s">
        <v>563</v>
      </c>
      <c r="B235" s="190">
        <v>45886</v>
      </c>
      <c r="C235" s="197">
        <v>109867.5</v>
      </c>
      <c r="D235" s="197">
        <v>0</v>
      </c>
      <c r="E235" s="197">
        <v>0</v>
      </c>
      <c r="F235" s="197">
        <v>0</v>
      </c>
      <c r="G235" s="197">
        <v>81459</v>
      </c>
      <c r="H235" s="197">
        <v>28408.5</v>
      </c>
      <c r="I235" s="197">
        <v>0</v>
      </c>
      <c r="J235" s="197">
        <v>109867.5</v>
      </c>
      <c r="K235" s="197">
        <v>109867.5</v>
      </c>
      <c r="L235" s="197">
        <v>28955.666666666664</v>
      </c>
      <c r="M235" s="197">
        <v>414.66666666666652</v>
      </c>
      <c r="N235" s="197">
        <v>0</v>
      </c>
      <c r="O235" s="197">
        <v>0</v>
      </c>
      <c r="P235" s="197">
        <v>0</v>
      </c>
      <c r="Q235" s="197">
        <v>0</v>
      </c>
      <c r="R235" s="260" t="s">
        <v>239</v>
      </c>
      <c r="S235" s="260" t="s">
        <v>514</v>
      </c>
      <c r="T235" s="260" t="s">
        <v>239</v>
      </c>
      <c r="U235" s="260" t="s">
        <v>514</v>
      </c>
    </row>
    <row r="236" spans="1:21" ht="14.5" x14ac:dyDescent="0.35">
      <c r="A236" s="260" t="s">
        <v>563</v>
      </c>
      <c r="B236" s="190">
        <v>45887</v>
      </c>
      <c r="C236" s="197">
        <v>109867.5</v>
      </c>
      <c r="D236" s="197">
        <v>0</v>
      </c>
      <c r="E236" s="197">
        <v>5000</v>
      </c>
      <c r="F236" s="197">
        <v>5000</v>
      </c>
      <c r="G236" s="197">
        <v>86459</v>
      </c>
      <c r="H236" s="197">
        <v>28487.5</v>
      </c>
      <c r="I236" s="197">
        <v>0</v>
      </c>
      <c r="J236" s="197">
        <v>114946.5</v>
      </c>
      <c r="K236" s="197">
        <v>114946.5</v>
      </c>
      <c r="L236" s="197">
        <v>28955.666666666664</v>
      </c>
      <c r="M236" s="197">
        <v>414.66666666666652</v>
      </c>
      <c r="N236" s="197">
        <v>0</v>
      </c>
      <c r="O236" s="197">
        <v>0</v>
      </c>
      <c r="P236" s="197">
        <v>79</v>
      </c>
      <c r="Q236" s="197">
        <v>7.190479441145925E-4</v>
      </c>
      <c r="R236" s="260" t="s">
        <v>239</v>
      </c>
      <c r="S236" s="260" t="s">
        <v>514</v>
      </c>
      <c r="T236" s="260" t="s">
        <v>239</v>
      </c>
      <c r="U236" s="260" t="s">
        <v>514</v>
      </c>
    </row>
    <row r="237" spans="1:21" ht="14.5" x14ac:dyDescent="0.35">
      <c r="A237" s="260" t="s">
        <v>563</v>
      </c>
      <c r="B237" s="190">
        <v>45888</v>
      </c>
      <c r="C237" s="197">
        <v>114946.5</v>
      </c>
      <c r="D237" s="197">
        <v>0</v>
      </c>
      <c r="E237" s="197">
        <v>0</v>
      </c>
      <c r="F237" s="197">
        <v>0</v>
      </c>
      <c r="G237" s="197">
        <v>86459</v>
      </c>
      <c r="H237" s="197">
        <v>28514</v>
      </c>
      <c r="I237" s="197">
        <v>0</v>
      </c>
      <c r="J237" s="197">
        <v>114973</v>
      </c>
      <c r="K237" s="197">
        <v>114973</v>
      </c>
      <c r="L237" s="197">
        <v>28955.666666666664</v>
      </c>
      <c r="M237" s="197">
        <v>414.66666666666652</v>
      </c>
      <c r="N237" s="197">
        <v>0</v>
      </c>
      <c r="O237" s="197">
        <v>0</v>
      </c>
      <c r="P237" s="197">
        <v>26.5</v>
      </c>
      <c r="Q237" s="197">
        <v>2.30542034772796E-4</v>
      </c>
      <c r="R237" s="260" t="s">
        <v>239</v>
      </c>
      <c r="S237" s="260" t="s">
        <v>514</v>
      </c>
      <c r="T237" s="260" t="s">
        <v>239</v>
      </c>
      <c r="U237" s="260" t="s">
        <v>514</v>
      </c>
    </row>
    <row r="238" spans="1:21" ht="14.5" x14ac:dyDescent="0.35">
      <c r="A238" s="260" t="s">
        <v>563</v>
      </c>
      <c r="B238" s="190">
        <v>45889</v>
      </c>
      <c r="C238" s="197">
        <v>114973</v>
      </c>
      <c r="D238" s="197">
        <v>0</v>
      </c>
      <c r="E238" s="197">
        <v>0</v>
      </c>
      <c r="F238" s="197">
        <v>0</v>
      </c>
      <c r="G238" s="197">
        <v>86459</v>
      </c>
      <c r="H238" s="197">
        <v>28540.5</v>
      </c>
      <c r="I238" s="197">
        <v>0</v>
      </c>
      <c r="J238" s="197">
        <v>114999.5</v>
      </c>
      <c r="K238" s="197">
        <v>114999.5</v>
      </c>
      <c r="L238" s="197">
        <v>28955.666666666664</v>
      </c>
      <c r="M238" s="197">
        <v>414.66666666666652</v>
      </c>
      <c r="N238" s="197">
        <v>0</v>
      </c>
      <c r="O238" s="197">
        <v>0</v>
      </c>
      <c r="P238" s="197">
        <v>26.5</v>
      </c>
      <c r="Q238" s="197">
        <v>2.304888973934105E-4</v>
      </c>
      <c r="R238" s="260" t="s">
        <v>239</v>
      </c>
      <c r="S238" s="260" t="s">
        <v>514</v>
      </c>
      <c r="T238" s="260" t="s">
        <v>239</v>
      </c>
      <c r="U238" s="260" t="s">
        <v>514</v>
      </c>
    </row>
    <row r="239" spans="1:21" ht="14.5" x14ac:dyDescent="0.35">
      <c r="A239" s="260" t="s">
        <v>563</v>
      </c>
      <c r="B239" s="190">
        <v>45890</v>
      </c>
      <c r="C239" s="197">
        <v>114999.5</v>
      </c>
      <c r="D239" s="197">
        <v>0</v>
      </c>
      <c r="E239" s="197">
        <v>0</v>
      </c>
      <c r="F239" s="197">
        <v>0</v>
      </c>
      <c r="G239" s="197">
        <v>86459</v>
      </c>
      <c r="H239" s="197">
        <v>28566.5</v>
      </c>
      <c r="I239" s="197">
        <v>0</v>
      </c>
      <c r="J239" s="197">
        <v>115025.5</v>
      </c>
      <c r="K239" s="197">
        <v>115025.5</v>
      </c>
      <c r="L239" s="197">
        <v>28955.666666666664</v>
      </c>
      <c r="M239" s="197">
        <v>414.66666666666652</v>
      </c>
      <c r="N239" s="197">
        <v>0</v>
      </c>
      <c r="O239" s="197">
        <v>0</v>
      </c>
      <c r="P239" s="197">
        <v>26</v>
      </c>
      <c r="Q239" s="197">
        <v>2.2608793951284234E-4</v>
      </c>
      <c r="R239" s="260" t="s">
        <v>239</v>
      </c>
      <c r="S239" s="260" t="s">
        <v>514</v>
      </c>
      <c r="T239" s="260" t="s">
        <v>239</v>
      </c>
      <c r="U239" s="260" t="s">
        <v>514</v>
      </c>
    </row>
    <row r="240" spans="1:21" ht="14.5" x14ac:dyDescent="0.35">
      <c r="A240" s="260" t="s">
        <v>563</v>
      </c>
      <c r="B240" s="190">
        <v>45891</v>
      </c>
      <c r="C240" s="197">
        <v>115025.5</v>
      </c>
      <c r="D240" s="197">
        <v>0</v>
      </c>
      <c r="E240" s="197">
        <v>0</v>
      </c>
      <c r="F240" s="197">
        <v>0</v>
      </c>
      <c r="G240" s="197">
        <v>86459</v>
      </c>
      <c r="H240" s="197">
        <v>28593</v>
      </c>
      <c r="I240" s="197">
        <v>0</v>
      </c>
      <c r="J240" s="197">
        <v>115052</v>
      </c>
      <c r="K240" s="197">
        <v>115052</v>
      </c>
      <c r="L240" s="197">
        <v>28955.666666666664</v>
      </c>
      <c r="M240" s="197">
        <v>414.66666666666652</v>
      </c>
      <c r="N240" s="197">
        <v>0</v>
      </c>
      <c r="O240" s="197">
        <v>0</v>
      </c>
      <c r="P240" s="197">
        <v>26.5</v>
      </c>
      <c r="Q240" s="197">
        <v>2.3038369752792498E-4</v>
      </c>
      <c r="R240" s="260" t="s">
        <v>239</v>
      </c>
      <c r="S240" s="260" t="s">
        <v>514</v>
      </c>
      <c r="T240" s="260" t="s">
        <v>239</v>
      </c>
      <c r="U240" s="260" t="s">
        <v>514</v>
      </c>
    </row>
    <row r="241" spans="1:21" ht="14.5" x14ac:dyDescent="0.35">
      <c r="A241" s="260" t="s">
        <v>563</v>
      </c>
      <c r="B241" s="190">
        <v>45892</v>
      </c>
      <c r="C241" s="197">
        <v>115052</v>
      </c>
      <c r="D241" s="197">
        <v>0</v>
      </c>
      <c r="E241" s="197">
        <v>0</v>
      </c>
      <c r="F241" s="197">
        <v>0</v>
      </c>
      <c r="G241" s="197">
        <v>86459</v>
      </c>
      <c r="H241" s="197">
        <v>28593</v>
      </c>
      <c r="I241" s="197">
        <v>0</v>
      </c>
      <c r="J241" s="197">
        <v>115052</v>
      </c>
      <c r="K241" s="197">
        <v>115052</v>
      </c>
      <c r="L241" s="197">
        <v>28955.666666666664</v>
      </c>
      <c r="M241" s="197">
        <v>414.66666666666652</v>
      </c>
      <c r="N241" s="197">
        <v>0</v>
      </c>
      <c r="O241" s="197">
        <v>0</v>
      </c>
      <c r="P241" s="197">
        <v>0</v>
      </c>
      <c r="Q241" s="197">
        <v>0</v>
      </c>
      <c r="R241" s="260" t="s">
        <v>239</v>
      </c>
      <c r="S241" s="260" t="s">
        <v>514</v>
      </c>
      <c r="T241" s="260" t="s">
        <v>239</v>
      </c>
      <c r="U241" s="260" t="s">
        <v>514</v>
      </c>
    </row>
    <row r="242" spans="1:21" ht="14.5" x14ac:dyDescent="0.35">
      <c r="A242" s="260" t="s">
        <v>563</v>
      </c>
      <c r="B242" s="190">
        <v>45893</v>
      </c>
      <c r="C242" s="197">
        <v>115052</v>
      </c>
      <c r="D242" s="197">
        <v>0</v>
      </c>
      <c r="E242" s="197">
        <v>0</v>
      </c>
      <c r="F242" s="197">
        <v>0</v>
      </c>
      <c r="G242" s="197">
        <v>86459</v>
      </c>
      <c r="H242" s="197">
        <v>28593</v>
      </c>
      <c r="I242" s="197">
        <v>0</v>
      </c>
      <c r="J242" s="197">
        <v>115052</v>
      </c>
      <c r="K242" s="197">
        <v>115052</v>
      </c>
      <c r="L242" s="197">
        <v>28955.666666666664</v>
      </c>
      <c r="M242" s="197">
        <v>414.66666666666652</v>
      </c>
      <c r="N242" s="197">
        <v>0</v>
      </c>
      <c r="O242" s="197">
        <v>0</v>
      </c>
      <c r="P242" s="197">
        <v>0</v>
      </c>
      <c r="Q242" s="197">
        <v>0</v>
      </c>
      <c r="R242" s="260" t="s">
        <v>239</v>
      </c>
      <c r="S242" s="260" t="s">
        <v>514</v>
      </c>
      <c r="T242" s="260" t="s">
        <v>239</v>
      </c>
      <c r="U242" s="260" t="s">
        <v>514</v>
      </c>
    </row>
    <row r="243" spans="1:21" ht="14.5" x14ac:dyDescent="0.35">
      <c r="A243" s="260" t="s">
        <v>563</v>
      </c>
      <c r="B243" s="190">
        <v>45894</v>
      </c>
      <c r="C243" s="197">
        <v>115052</v>
      </c>
      <c r="D243" s="197">
        <v>0</v>
      </c>
      <c r="E243" s="197">
        <v>0</v>
      </c>
      <c r="F243" s="197">
        <v>0</v>
      </c>
      <c r="G243" s="197">
        <v>86459</v>
      </c>
      <c r="H243" s="197">
        <v>28672</v>
      </c>
      <c r="I243" s="197">
        <v>0</v>
      </c>
      <c r="J243" s="197">
        <v>115131</v>
      </c>
      <c r="K243" s="197">
        <v>115131</v>
      </c>
      <c r="L243" s="197">
        <v>28955.666666666664</v>
      </c>
      <c r="M243" s="197">
        <v>414.66666666666652</v>
      </c>
      <c r="N243" s="197">
        <v>0</v>
      </c>
      <c r="O243" s="197">
        <v>0</v>
      </c>
      <c r="P243" s="197">
        <v>79</v>
      </c>
      <c r="Q243" s="197">
        <v>6.8664603831303239E-4</v>
      </c>
      <c r="R243" s="260" t="s">
        <v>239</v>
      </c>
      <c r="S243" s="260" t="s">
        <v>514</v>
      </c>
      <c r="T243" s="260" t="s">
        <v>239</v>
      </c>
      <c r="U243" s="260" t="s">
        <v>514</v>
      </c>
    </row>
    <row r="244" spans="1:21" ht="14.5" x14ac:dyDescent="0.35">
      <c r="A244" s="260" t="s">
        <v>563</v>
      </c>
      <c r="B244" s="190">
        <v>45895</v>
      </c>
      <c r="C244" s="197">
        <v>115131</v>
      </c>
      <c r="D244" s="197">
        <v>0</v>
      </c>
      <c r="E244" s="197">
        <v>0</v>
      </c>
      <c r="F244" s="197">
        <v>0</v>
      </c>
      <c r="G244" s="197">
        <v>86459</v>
      </c>
      <c r="H244" s="197">
        <v>28698.5</v>
      </c>
      <c r="I244" s="197">
        <v>0</v>
      </c>
      <c r="J244" s="197">
        <v>115157.5</v>
      </c>
      <c r="K244" s="197">
        <v>115157.5</v>
      </c>
      <c r="L244" s="197">
        <v>28955.666666666664</v>
      </c>
      <c r="M244" s="197">
        <v>414.66666666666652</v>
      </c>
      <c r="N244" s="197">
        <v>0</v>
      </c>
      <c r="O244" s="197">
        <v>0</v>
      </c>
      <c r="P244" s="197">
        <v>26.5</v>
      </c>
      <c r="Q244" s="197">
        <v>2.301725860107684E-4</v>
      </c>
      <c r="R244" s="260" t="s">
        <v>239</v>
      </c>
      <c r="S244" s="260" t="s">
        <v>514</v>
      </c>
      <c r="T244" s="260" t="s">
        <v>239</v>
      </c>
      <c r="U244" s="260" t="s">
        <v>514</v>
      </c>
    </row>
    <row r="245" spans="1:21" ht="14.5" x14ac:dyDescent="0.35">
      <c r="A245" s="260" t="s">
        <v>563</v>
      </c>
      <c r="B245" s="190">
        <v>45896</v>
      </c>
      <c r="C245" s="197">
        <v>115157.5</v>
      </c>
      <c r="D245" s="197">
        <v>0</v>
      </c>
      <c r="E245" s="197">
        <v>0</v>
      </c>
      <c r="F245" s="197">
        <v>0</v>
      </c>
      <c r="G245" s="197">
        <v>86459</v>
      </c>
      <c r="H245" s="197">
        <v>28724.5</v>
      </c>
      <c r="I245" s="197">
        <v>0</v>
      </c>
      <c r="J245" s="197">
        <v>115183.5</v>
      </c>
      <c r="K245" s="197">
        <v>115183.5</v>
      </c>
      <c r="L245" s="197">
        <v>28955.666666666664</v>
      </c>
      <c r="M245" s="197">
        <v>414.66666666666652</v>
      </c>
      <c r="N245" s="197">
        <v>0</v>
      </c>
      <c r="O245" s="197">
        <v>0</v>
      </c>
      <c r="P245" s="197">
        <v>26</v>
      </c>
      <c r="Q245" s="197">
        <v>2.2577773918319721E-4</v>
      </c>
      <c r="R245" s="260" t="s">
        <v>239</v>
      </c>
      <c r="S245" s="260" t="s">
        <v>514</v>
      </c>
      <c r="T245" s="260" t="s">
        <v>239</v>
      </c>
      <c r="U245" s="260" t="s">
        <v>514</v>
      </c>
    </row>
    <row r="246" spans="1:21" ht="14.5" x14ac:dyDescent="0.35">
      <c r="A246" s="260" t="s">
        <v>563</v>
      </c>
      <c r="B246" s="190">
        <v>45897</v>
      </c>
      <c r="C246" s="197">
        <v>115183.5</v>
      </c>
      <c r="D246" s="197">
        <v>0</v>
      </c>
      <c r="E246" s="197">
        <v>0</v>
      </c>
      <c r="F246" s="197">
        <v>0</v>
      </c>
      <c r="G246" s="197">
        <v>86459</v>
      </c>
      <c r="H246" s="197">
        <v>28751</v>
      </c>
      <c r="I246" s="197">
        <v>0</v>
      </c>
      <c r="J246" s="197">
        <v>115210</v>
      </c>
      <c r="K246" s="197">
        <v>115210</v>
      </c>
      <c r="L246" s="197">
        <v>28955.666666666664</v>
      </c>
      <c r="M246" s="197">
        <v>414.66666666666652</v>
      </c>
      <c r="N246" s="197">
        <v>0</v>
      </c>
      <c r="O246" s="197">
        <v>0</v>
      </c>
      <c r="P246" s="197">
        <v>26.5</v>
      </c>
      <c r="Q246" s="197">
        <v>2.300676746236352E-4</v>
      </c>
      <c r="R246" s="260" t="s">
        <v>239</v>
      </c>
      <c r="S246" s="260" t="s">
        <v>514</v>
      </c>
      <c r="T246" s="260" t="s">
        <v>239</v>
      </c>
      <c r="U246" s="260" t="s">
        <v>514</v>
      </c>
    </row>
    <row r="247" spans="1:21" ht="14.5" x14ac:dyDescent="0.35">
      <c r="A247" s="260" t="s">
        <v>563</v>
      </c>
      <c r="B247" s="190">
        <v>45898</v>
      </c>
      <c r="C247" s="197">
        <v>115210</v>
      </c>
      <c r="D247" s="197">
        <v>0</v>
      </c>
      <c r="E247" s="197">
        <v>0</v>
      </c>
      <c r="F247" s="197">
        <v>0</v>
      </c>
      <c r="G247" s="197">
        <v>86459</v>
      </c>
      <c r="H247" s="197">
        <v>28777.5</v>
      </c>
      <c r="I247" s="197">
        <v>0</v>
      </c>
      <c r="J247" s="197">
        <v>115236.5</v>
      </c>
      <c r="K247" s="197">
        <v>115236.5</v>
      </c>
      <c r="L247" s="197">
        <v>28955.666666666664</v>
      </c>
      <c r="M247" s="197">
        <v>414.66666666666652</v>
      </c>
      <c r="N247" s="197">
        <v>0</v>
      </c>
      <c r="O247" s="197">
        <v>0</v>
      </c>
      <c r="P247" s="197">
        <v>26.5</v>
      </c>
      <c r="Q247" s="197">
        <v>2.3001475566353236E-4</v>
      </c>
      <c r="R247" s="260" t="s">
        <v>239</v>
      </c>
      <c r="S247" s="260" t="s">
        <v>514</v>
      </c>
      <c r="T247" s="260" t="s">
        <v>239</v>
      </c>
      <c r="U247" s="260" t="s">
        <v>514</v>
      </c>
    </row>
    <row r="248" spans="1:21" ht="14.5" x14ac:dyDescent="0.35">
      <c r="A248" s="260" t="s">
        <v>563</v>
      </c>
      <c r="B248" s="190">
        <v>45899</v>
      </c>
      <c r="C248" s="197">
        <v>115236.5</v>
      </c>
      <c r="D248" s="197">
        <v>0</v>
      </c>
      <c r="E248" s="197">
        <v>0</v>
      </c>
      <c r="F248" s="197">
        <v>0</v>
      </c>
      <c r="G248" s="197">
        <v>86459</v>
      </c>
      <c r="H248" s="197">
        <v>28777.5</v>
      </c>
      <c r="I248" s="197">
        <v>0</v>
      </c>
      <c r="J248" s="197">
        <v>115236.5</v>
      </c>
      <c r="K248" s="197">
        <v>115236.5</v>
      </c>
      <c r="L248" s="197">
        <v>28955.666666666664</v>
      </c>
      <c r="M248" s="197">
        <v>414.66666666666652</v>
      </c>
      <c r="N248" s="197">
        <v>0</v>
      </c>
      <c r="O248" s="197">
        <v>0</v>
      </c>
      <c r="P248" s="197">
        <v>0</v>
      </c>
      <c r="Q248" s="197">
        <v>0</v>
      </c>
      <c r="R248" s="260" t="s">
        <v>239</v>
      </c>
      <c r="S248" s="260" t="s">
        <v>514</v>
      </c>
      <c r="T248" s="260" t="s">
        <v>239</v>
      </c>
      <c r="U248" s="260" t="s">
        <v>514</v>
      </c>
    </row>
    <row r="249" spans="1:21" ht="14.5" x14ac:dyDescent="0.35">
      <c r="A249" s="260" t="s">
        <v>563</v>
      </c>
      <c r="B249" s="190">
        <v>45900</v>
      </c>
      <c r="C249" s="197">
        <v>115236.5</v>
      </c>
      <c r="D249" s="197">
        <v>0</v>
      </c>
      <c r="E249" s="197">
        <v>0</v>
      </c>
      <c r="F249" s="197">
        <v>0</v>
      </c>
      <c r="G249" s="197">
        <v>86459</v>
      </c>
      <c r="H249" s="197">
        <v>28777.5</v>
      </c>
      <c r="I249" s="197">
        <v>0</v>
      </c>
      <c r="J249" s="197">
        <v>115236.5</v>
      </c>
      <c r="K249" s="197">
        <v>115236.5</v>
      </c>
      <c r="L249" s="197">
        <v>28955.666666666664</v>
      </c>
      <c r="M249" s="197">
        <v>414.66666666666652</v>
      </c>
      <c r="N249" s="197">
        <v>0</v>
      </c>
      <c r="O249" s="197">
        <v>0</v>
      </c>
      <c r="P249" s="197">
        <v>0</v>
      </c>
      <c r="Q249" s="197">
        <v>0</v>
      </c>
      <c r="R249" s="260" t="s">
        <v>239</v>
      </c>
      <c r="S249" s="260" t="s">
        <v>514</v>
      </c>
      <c r="T249" s="260" t="s">
        <v>239</v>
      </c>
      <c r="U249" s="260" t="s">
        <v>514</v>
      </c>
    </row>
    <row r="250" spans="1:21" ht="14.5" x14ac:dyDescent="0.35">
      <c r="A250" s="260" t="s">
        <v>563</v>
      </c>
      <c r="B250" s="190">
        <v>45901</v>
      </c>
      <c r="C250" s="197">
        <v>115236.5</v>
      </c>
      <c r="D250" s="197">
        <v>0</v>
      </c>
      <c r="E250" s="197">
        <v>0</v>
      </c>
      <c r="F250" s="197">
        <v>0</v>
      </c>
      <c r="G250" s="197">
        <v>86459</v>
      </c>
      <c r="H250" s="197">
        <v>28680</v>
      </c>
      <c r="I250" s="197">
        <v>150</v>
      </c>
      <c r="J250" s="197">
        <v>115289</v>
      </c>
      <c r="K250" s="197">
        <v>115289</v>
      </c>
      <c r="L250" s="197">
        <v>28955.666666666664</v>
      </c>
      <c r="M250" s="197">
        <v>414.66666666666652</v>
      </c>
      <c r="N250" s="197">
        <v>0</v>
      </c>
      <c r="O250" s="197">
        <v>150</v>
      </c>
      <c r="P250" s="197">
        <v>52.5</v>
      </c>
      <c r="Q250" s="197">
        <v>4.5558481904595105E-4</v>
      </c>
      <c r="R250" s="260" t="s">
        <v>239</v>
      </c>
      <c r="S250" s="260" t="s">
        <v>514</v>
      </c>
      <c r="T250" s="260" t="s">
        <v>239</v>
      </c>
      <c r="U250" s="260" t="s">
        <v>514</v>
      </c>
    </row>
    <row r="251" spans="1:21" ht="14.5" x14ac:dyDescent="0.35">
      <c r="A251" s="260" t="s">
        <v>563</v>
      </c>
      <c r="B251" s="190">
        <v>45902</v>
      </c>
      <c r="C251" s="197">
        <v>115289</v>
      </c>
      <c r="D251" s="197">
        <v>0</v>
      </c>
      <c r="E251" s="197">
        <v>0</v>
      </c>
      <c r="F251" s="197">
        <v>0</v>
      </c>
      <c r="G251" s="197">
        <v>86459</v>
      </c>
      <c r="H251" s="197">
        <v>28687.9</v>
      </c>
      <c r="I251" s="197">
        <v>150</v>
      </c>
      <c r="J251" s="197">
        <v>115296.9</v>
      </c>
      <c r="K251" s="197">
        <v>115296.9</v>
      </c>
      <c r="L251" s="197">
        <v>28955.666666666664</v>
      </c>
      <c r="M251" s="197">
        <v>414.66666666666652</v>
      </c>
      <c r="N251" s="197">
        <v>0</v>
      </c>
      <c r="O251" s="197">
        <v>0</v>
      </c>
      <c r="P251" s="197">
        <v>7.8999999999941792</v>
      </c>
      <c r="Q251" s="197">
        <v>6.8523449765267586E-5</v>
      </c>
      <c r="R251" s="260" t="s">
        <v>239</v>
      </c>
      <c r="S251" s="260" t="s">
        <v>514</v>
      </c>
      <c r="T251" s="260" t="s">
        <v>239</v>
      </c>
      <c r="U251" s="260" t="s">
        <v>514</v>
      </c>
    </row>
    <row r="252" spans="1:21" ht="14.5" x14ac:dyDescent="0.35">
      <c r="A252" s="260" t="s">
        <v>563</v>
      </c>
      <c r="B252" s="190">
        <v>45903</v>
      </c>
      <c r="C252" s="197">
        <v>115296.9</v>
      </c>
      <c r="D252" s="197">
        <v>0</v>
      </c>
      <c r="E252" s="197">
        <v>0</v>
      </c>
      <c r="F252" s="197">
        <v>0</v>
      </c>
      <c r="G252" s="197">
        <v>86459</v>
      </c>
      <c r="H252" s="197">
        <v>28695.800000000003</v>
      </c>
      <c r="I252" s="197">
        <v>150</v>
      </c>
      <c r="J252" s="197">
        <v>115304.8</v>
      </c>
      <c r="K252" s="197">
        <v>115304.8</v>
      </c>
      <c r="L252" s="197">
        <v>28955.666666666664</v>
      </c>
      <c r="M252" s="197">
        <v>414.66666666666652</v>
      </c>
      <c r="N252" s="197">
        <v>0</v>
      </c>
      <c r="O252" s="197">
        <v>0</v>
      </c>
      <c r="P252" s="197">
        <v>7.9000000000087311</v>
      </c>
      <c r="Q252" s="197">
        <v>6.851875462410284E-5</v>
      </c>
      <c r="R252" s="260" t="s">
        <v>239</v>
      </c>
      <c r="S252" s="260" t="s">
        <v>514</v>
      </c>
      <c r="T252" s="260" t="s">
        <v>239</v>
      </c>
      <c r="U252" s="260" t="s">
        <v>514</v>
      </c>
    </row>
    <row r="253" spans="1:21" ht="14.5" x14ac:dyDescent="0.35">
      <c r="A253" s="260" t="s">
        <v>563</v>
      </c>
      <c r="B253" s="190">
        <v>45904</v>
      </c>
      <c r="C253" s="197">
        <v>115304.8</v>
      </c>
      <c r="D253" s="197">
        <v>0</v>
      </c>
      <c r="E253" s="197">
        <v>0</v>
      </c>
      <c r="F253" s="197">
        <v>0</v>
      </c>
      <c r="G253" s="197">
        <v>86459</v>
      </c>
      <c r="H253" s="197">
        <v>28706.9</v>
      </c>
      <c r="I253" s="197">
        <v>150</v>
      </c>
      <c r="J253" s="197">
        <v>115315.9</v>
      </c>
      <c r="K253" s="197">
        <v>115315.9</v>
      </c>
      <c r="L253" s="197">
        <v>28955.666666666664</v>
      </c>
      <c r="M253" s="197">
        <v>414.66666666666652</v>
      </c>
      <c r="N253" s="197">
        <v>0</v>
      </c>
      <c r="O253" s="197">
        <v>0</v>
      </c>
      <c r="P253" s="197">
        <v>11.099999999991269</v>
      </c>
      <c r="Q253" s="197">
        <v>9.6266590809745978E-5</v>
      </c>
      <c r="R253" s="260" t="s">
        <v>239</v>
      </c>
      <c r="S253" s="260" t="s">
        <v>514</v>
      </c>
      <c r="T253" s="260" t="s">
        <v>239</v>
      </c>
      <c r="U253" s="260" t="s">
        <v>514</v>
      </c>
    </row>
    <row r="254" spans="1:21" ht="14.5" x14ac:dyDescent="0.35">
      <c r="A254" s="260" t="s">
        <v>563</v>
      </c>
      <c r="B254" s="190">
        <v>45905</v>
      </c>
      <c r="C254" s="197">
        <v>115315.9</v>
      </c>
      <c r="D254" s="197">
        <v>0</v>
      </c>
      <c r="E254" s="197">
        <v>0</v>
      </c>
      <c r="F254" s="197">
        <v>0</v>
      </c>
      <c r="G254" s="197">
        <v>86459</v>
      </c>
      <c r="H254" s="197">
        <v>28714.799999999999</v>
      </c>
      <c r="I254" s="197">
        <v>150</v>
      </c>
      <c r="J254" s="197">
        <v>115323.8</v>
      </c>
      <c r="K254" s="197">
        <v>115323.8</v>
      </c>
      <c r="L254" s="197">
        <v>28955.666666666664</v>
      </c>
      <c r="M254" s="197">
        <v>414.66666666666652</v>
      </c>
      <c r="N254" s="197">
        <v>0</v>
      </c>
      <c r="O254" s="197">
        <v>0</v>
      </c>
      <c r="P254" s="197">
        <v>7.9000000000087311</v>
      </c>
      <c r="Q254" s="197">
        <v>6.8507465145861701E-5</v>
      </c>
      <c r="R254" s="260" t="s">
        <v>239</v>
      </c>
      <c r="S254" s="260" t="s">
        <v>514</v>
      </c>
      <c r="T254" s="260" t="s">
        <v>239</v>
      </c>
      <c r="U254" s="260" t="s">
        <v>514</v>
      </c>
    </row>
    <row r="255" spans="1:21" ht="14.5" x14ac:dyDescent="0.35">
      <c r="A255" s="260" t="s">
        <v>563</v>
      </c>
      <c r="B255" s="190">
        <v>45906</v>
      </c>
      <c r="C255" s="197">
        <v>115323.8</v>
      </c>
      <c r="D255" s="197">
        <v>0</v>
      </c>
      <c r="E255" s="197">
        <v>0</v>
      </c>
      <c r="F255" s="197">
        <v>0</v>
      </c>
      <c r="G255" s="197">
        <v>86459</v>
      </c>
      <c r="H255" s="197">
        <v>28714.799999999999</v>
      </c>
      <c r="I255" s="197">
        <v>150</v>
      </c>
      <c r="J255" s="197">
        <v>115323.8</v>
      </c>
      <c r="K255" s="197">
        <v>115323.8</v>
      </c>
      <c r="L255" s="197">
        <v>28955.666666666664</v>
      </c>
      <c r="M255" s="197">
        <v>414.66666666666652</v>
      </c>
      <c r="N255" s="197">
        <v>0</v>
      </c>
      <c r="O255" s="197">
        <v>0</v>
      </c>
      <c r="P255" s="197">
        <v>0</v>
      </c>
      <c r="Q255" s="197">
        <v>0</v>
      </c>
      <c r="R255" s="260" t="s">
        <v>239</v>
      </c>
      <c r="S255" s="260" t="s">
        <v>514</v>
      </c>
      <c r="T255" s="260" t="s">
        <v>239</v>
      </c>
      <c r="U255" s="260" t="s">
        <v>514</v>
      </c>
    </row>
    <row r="256" spans="1:21" ht="14.5" x14ac:dyDescent="0.35">
      <c r="A256" s="260" t="s">
        <v>563</v>
      </c>
      <c r="B256" s="190">
        <v>45907</v>
      </c>
      <c r="C256" s="197">
        <v>115323.8</v>
      </c>
      <c r="D256" s="197">
        <v>0</v>
      </c>
      <c r="E256" s="197">
        <v>0</v>
      </c>
      <c r="F256" s="197">
        <v>0</v>
      </c>
      <c r="G256" s="197">
        <v>86459</v>
      </c>
      <c r="H256" s="197">
        <v>28714.799999999999</v>
      </c>
      <c r="I256" s="197">
        <v>150</v>
      </c>
      <c r="J256" s="197">
        <v>115323.8</v>
      </c>
      <c r="K256" s="197">
        <v>115323.8</v>
      </c>
      <c r="L256" s="197">
        <v>28955.666666666664</v>
      </c>
      <c r="M256" s="197">
        <v>414.66666666666652</v>
      </c>
      <c r="N256" s="197">
        <v>0</v>
      </c>
      <c r="O256" s="197">
        <v>0</v>
      </c>
      <c r="P256" s="197">
        <v>0</v>
      </c>
      <c r="Q256" s="197">
        <v>0</v>
      </c>
      <c r="R256" s="260" t="s">
        <v>239</v>
      </c>
      <c r="S256" s="260" t="s">
        <v>514</v>
      </c>
      <c r="T256" s="260" t="s">
        <v>239</v>
      </c>
      <c r="U256" s="260" t="s">
        <v>514</v>
      </c>
    </row>
    <row r="257" spans="1:21" ht="14.5" x14ac:dyDescent="0.35">
      <c r="A257" s="260" t="s">
        <v>563</v>
      </c>
      <c r="B257" s="190">
        <v>45908</v>
      </c>
      <c r="C257" s="197">
        <v>115323.8</v>
      </c>
      <c r="D257" s="197">
        <v>0</v>
      </c>
      <c r="E257" s="197">
        <v>0</v>
      </c>
      <c r="F257" s="197">
        <v>0</v>
      </c>
      <c r="G257" s="197">
        <v>86459</v>
      </c>
      <c r="H257" s="197">
        <v>28740.7</v>
      </c>
      <c r="I257" s="197">
        <v>150</v>
      </c>
      <c r="J257" s="197">
        <v>115349.7</v>
      </c>
      <c r="K257" s="197">
        <v>115349.7</v>
      </c>
      <c r="L257" s="197">
        <v>28955.666666666664</v>
      </c>
      <c r="M257" s="197">
        <v>414.66666666666652</v>
      </c>
      <c r="N257" s="197">
        <v>0</v>
      </c>
      <c r="O257" s="197">
        <v>0</v>
      </c>
      <c r="P257" s="197">
        <v>25.899999999994179</v>
      </c>
      <c r="Q257" s="197">
        <v>2.2458503795386164E-4</v>
      </c>
      <c r="R257" s="260" t="s">
        <v>239</v>
      </c>
      <c r="S257" s="260" t="s">
        <v>514</v>
      </c>
      <c r="T257" s="260" t="s">
        <v>239</v>
      </c>
      <c r="U257" s="260" t="s">
        <v>514</v>
      </c>
    </row>
    <row r="258" spans="1:21" ht="14.5" x14ac:dyDescent="0.35">
      <c r="A258" s="260" t="s">
        <v>563</v>
      </c>
      <c r="B258" s="190">
        <v>45909</v>
      </c>
      <c r="C258" s="197">
        <v>115349.7</v>
      </c>
      <c r="D258" s="197">
        <v>0</v>
      </c>
      <c r="E258" s="197">
        <v>0</v>
      </c>
      <c r="F258" s="197">
        <v>0</v>
      </c>
      <c r="G258" s="197">
        <v>86459</v>
      </c>
      <c r="H258" s="197">
        <v>28749.599999999999</v>
      </c>
      <c r="I258" s="197">
        <v>150</v>
      </c>
      <c r="J258" s="197">
        <v>115358.6</v>
      </c>
      <c r="K258" s="197">
        <v>115358.6</v>
      </c>
      <c r="L258" s="197">
        <v>28955.666666666664</v>
      </c>
      <c r="M258" s="197">
        <v>414.66666666666652</v>
      </c>
      <c r="N258" s="197">
        <v>0</v>
      </c>
      <c r="O258" s="197">
        <v>0</v>
      </c>
      <c r="P258" s="197">
        <v>8.9000000000087311</v>
      </c>
      <c r="Q258" s="197">
        <v>7.7156680944989731E-5</v>
      </c>
      <c r="R258" s="260" t="s">
        <v>239</v>
      </c>
      <c r="S258" s="260" t="s">
        <v>514</v>
      </c>
      <c r="T258" s="260" t="s">
        <v>239</v>
      </c>
      <c r="U258" s="260" t="s">
        <v>514</v>
      </c>
    </row>
    <row r="259" spans="1:21" ht="14.5" x14ac:dyDescent="0.35">
      <c r="A259" s="260" t="s">
        <v>563</v>
      </c>
      <c r="B259" s="190">
        <v>45910</v>
      </c>
      <c r="C259" s="197">
        <v>115358.6</v>
      </c>
      <c r="D259" s="197">
        <v>0</v>
      </c>
      <c r="E259" s="197">
        <v>0</v>
      </c>
      <c r="F259" s="197">
        <v>0</v>
      </c>
      <c r="G259" s="197">
        <v>90154</v>
      </c>
      <c r="H259" s="197">
        <v>25093.3</v>
      </c>
      <c r="I259" s="197">
        <v>150</v>
      </c>
      <c r="J259" s="197">
        <v>115397.3</v>
      </c>
      <c r="K259" s="197">
        <v>115397.3</v>
      </c>
      <c r="L259" s="197">
        <v>24951.666666666664</v>
      </c>
      <c r="M259" s="197">
        <v>105.66666666666652</v>
      </c>
      <c r="N259" s="197">
        <v>5</v>
      </c>
      <c r="O259" s="197">
        <v>0</v>
      </c>
      <c r="P259" s="197">
        <v>38.69999999999709</v>
      </c>
      <c r="Q259" s="197">
        <v>3.3547563857405649E-4</v>
      </c>
      <c r="R259" s="260" t="s">
        <v>239</v>
      </c>
      <c r="S259" s="260" t="s">
        <v>514</v>
      </c>
      <c r="T259" s="260" t="s">
        <v>239</v>
      </c>
      <c r="U259" s="260" t="s">
        <v>514</v>
      </c>
    </row>
    <row r="260" spans="1:21" ht="14.5" x14ac:dyDescent="0.35">
      <c r="A260" s="260" t="s">
        <v>563</v>
      </c>
      <c r="B260" s="190">
        <v>45911</v>
      </c>
      <c r="C260" s="197">
        <v>115397.3</v>
      </c>
      <c r="D260" s="197">
        <v>0</v>
      </c>
      <c r="E260" s="197">
        <v>0</v>
      </c>
      <c r="F260" s="197">
        <v>0</v>
      </c>
      <c r="G260" s="197">
        <v>90154</v>
      </c>
      <c r="H260" s="197">
        <v>25107.4</v>
      </c>
      <c r="I260" s="197">
        <v>150</v>
      </c>
      <c r="J260" s="197">
        <v>115411.4</v>
      </c>
      <c r="K260" s="197">
        <v>115411.4</v>
      </c>
      <c r="L260" s="197">
        <v>24951.666666666664</v>
      </c>
      <c r="M260" s="197">
        <v>105.66666666666652</v>
      </c>
      <c r="N260" s="197">
        <v>0</v>
      </c>
      <c r="O260" s="197">
        <v>0</v>
      </c>
      <c r="P260" s="197">
        <v>14.099999999991269</v>
      </c>
      <c r="Q260" s="197">
        <v>1.2218656762330582E-4</v>
      </c>
      <c r="R260" s="260" t="s">
        <v>239</v>
      </c>
      <c r="S260" s="260" t="s">
        <v>514</v>
      </c>
      <c r="T260" s="260" t="s">
        <v>239</v>
      </c>
      <c r="U260" s="260" t="s">
        <v>514</v>
      </c>
    </row>
    <row r="261" spans="1:21" ht="14.5" x14ac:dyDescent="0.35">
      <c r="A261" s="260" t="s">
        <v>563</v>
      </c>
      <c r="B261" s="190">
        <v>45912</v>
      </c>
      <c r="C261" s="197">
        <v>115411.4</v>
      </c>
      <c r="D261" s="197">
        <v>0</v>
      </c>
      <c r="E261" s="197">
        <v>0</v>
      </c>
      <c r="F261" s="197">
        <v>0</v>
      </c>
      <c r="G261" s="197">
        <v>90154</v>
      </c>
      <c r="H261" s="197">
        <v>25123.7</v>
      </c>
      <c r="I261" s="197">
        <v>150</v>
      </c>
      <c r="J261" s="197">
        <v>115427.7</v>
      </c>
      <c r="K261" s="197">
        <v>115427.7</v>
      </c>
      <c r="L261" s="197">
        <v>24951.666666666664</v>
      </c>
      <c r="M261" s="197">
        <v>105.66666666666652</v>
      </c>
      <c r="N261" s="197">
        <v>0</v>
      </c>
      <c r="O261" s="197">
        <v>0</v>
      </c>
      <c r="P261" s="197">
        <v>16.30000000000291</v>
      </c>
      <c r="Q261" s="197">
        <v>1.4123388157494254E-4</v>
      </c>
      <c r="R261" s="260" t="s">
        <v>239</v>
      </c>
      <c r="S261" s="260" t="s">
        <v>514</v>
      </c>
      <c r="T261" s="260" t="s">
        <v>239</v>
      </c>
      <c r="U261" s="260" t="s">
        <v>514</v>
      </c>
    </row>
    <row r="262" spans="1:21" ht="14.5" x14ac:dyDescent="0.35">
      <c r="A262" s="260" t="s">
        <v>563</v>
      </c>
      <c r="B262" s="190">
        <v>45913</v>
      </c>
      <c r="C262" s="197">
        <v>115427.7</v>
      </c>
      <c r="D262" s="197">
        <v>0</v>
      </c>
      <c r="E262" s="197">
        <v>0</v>
      </c>
      <c r="F262" s="197">
        <v>0</v>
      </c>
      <c r="G262" s="197">
        <v>90154</v>
      </c>
      <c r="H262" s="197">
        <v>25123.7</v>
      </c>
      <c r="I262" s="197">
        <v>150</v>
      </c>
      <c r="J262" s="197">
        <v>115427.7</v>
      </c>
      <c r="K262" s="197">
        <v>115427.7</v>
      </c>
      <c r="L262" s="197">
        <v>24951.666666666664</v>
      </c>
      <c r="M262" s="197">
        <v>105.66666666666652</v>
      </c>
      <c r="N262" s="197">
        <v>0</v>
      </c>
      <c r="O262" s="197">
        <v>0</v>
      </c>
      <c r="P262" s="197">
        <v>0</v>
      </c>
      <c r="Q262" s="197">
        <v>0</v>
      </c>
      <c r="R262" s="260" t="s">
        <v>239</v>
      </c>
      <c r="S262" s="260" t="s">
        <v>514</v>
      </c>
      <c r="T262" s="260" t="s">
        <v>239</v>
      </c>
      <c r="U262" s="260" t="s">
        <v>514</v>
      </c>
    </row>
    <row r="263" spans="1:21" ht="14.5" x14ac:dyDescent="0.35">
      <c r="A263" s="260" t="s">
        <v>563</v>
      </c>
      <c r="B263" s="190">
        <v>45914</v>
      </c>
      <c r="C263" s="197">
        <v>115427.7</v>
      </c>
      <c r="D263" s="197">
        <v>0</v>
      </c>
      <c r="E263" s="197">
        <v>0</v>
      </c>
      <c r="F263" s="197">
        <v>0</v>
      </c>
      <c r="G263" s="197">
        <v>90154</v>
      </c>
      <c r="H263" s="197">
        <v>25123.7</v>
      </c>
      <c r="I263" s="197">
        <v>150</v>
      </c>
      <c r="J263" s="197">
        <v>115427.7</v>
      </c>
      <c r="K263" s="197">
        <v>115427.7</v>
      </c>
      <c r="L263" s="197">
        <v>24951.666666666664</v>
      </c>
      <c r="M263" s="197">
        <v>105.66666666666652</v>
      </c>
      <c r="N263" s="197">
        <v>0</v>
      </c>
      <c r="O263" s="197">
        <v>0</v>
      </c>
      <c r="P263" s="197">
        <v>0</v>
      </c>
      <c r="Q263" s="197">
        <v>0</v>
      </c>
      <c r="R263" s="260" t="s">
        <v>239</v>
      </c>
      <c r="S263" s="260" t="s">
        <v>514</v>
      </c>
      <c r="T263" s="260" t="s">
        <v>239</v>
      </c>
      <c r="U263" s="260" t="s">
        <v>514</v>
      </c>
    </row>
    <row r="264" spans="1:21" ht="14.5" x14ac:dyDescent="0.35">
      <c r="A264" s="260" t="s">
        <v>563</v>
      </c>
      <c r="B264" s="190">
        <v>45915</v>
      </c>
      <c r="C264" s="197">
        <v>115427.7</v>
      </c>
      <c r="D264" s="197">
        <v>0</v>
      </c>
      <c r="E264" s="197">
        <v>0</v>
      </c>
      <c r="F264" s="197">
        <v>0</v>
      </c>
      <c r="G264" s="197">
        <v>90304</v>
      </c>
      <c r="H264" s="197">
        <v>25167</v>
      </c>
      <c r="I264" s="197">
        <v>0</v>
      </c>
      <c r="J264" s="197">
        <v>115471</v>
      </c>
      <c r="K264" s="197">
        <v>115471</v>
      </c>
      <c r="L264" s="197">
        <v>24951.666666666664</v>
      </c>
      <c r="M264" s="197">
        <v>105.66666666666652</v>
      </c>
      <c r="N264" s="197">
        <v>0</v>
      </c>
      <c r="O264" s="197">
        <v>0</v>
      </c>
      <c r="P264" s="197">
        <v>43.30000000000291</v>
      </c>
      <c r="Q264" s="197">
        <v>3.7512659439631335E-4</v>
      </c>
      <c r="R264" s="260" t="s">
        <v>239</v>
      </c>
      <c r="S264" s="260" t="s">
        <v>514</v>
      </c>
      <c r="T264" s="260" t="s">
        <v>239</v>
      </c>
      <c r="U264" s="260" t="s">
        <v>514</v>
      </c>
    </row>
    <row r="265" spans="1:21" ht="14.5" x14ac:dyDescent="0.35">
      <c r="A265" s="260" t="s">
        <v>563</v>
      </c>
      <c r="B265" s="190">
        <v>45916</v>
      </c>
      <c r="C265" s="197">
        <v>115471</v>
      </c>
      <c r="D265" s="197">
        <v>0</v>
      </c>
      <c r="E265" s="197">
        <v>0</v>
      </c>
      <c r="F265" s="197">
        <v>0</v>
      </c>
      <c r="G265" s="197">
        <v>90304</v>
      </c>
      <c r="H265" s="197">
        <v>25183</v>
      </c>
      <c r="I265" s="197">
        <v>0</v>
      </c>
      <c r="J265" s="197">
        <v>115487</v>
      </c>
      <c r="K265" s="197">
        <v>115487</v>
      </c>
      <c r="L265" s="197">
        <v>24951.666666666664</v>
      </c>
      <c r="M265" s="197">
        <v>105.66666666666652</v>
      </c>
      <c r="N265" s="197">
        <v>0</v>
      </c>
      <c r="O265" s="197">
        <v>0</v>
      </c>
      <c r="P265" s="197">
        <v>16</v>
      </c>
      <c r="Q265" s="197">
        <v>1.3856292922032054E-4</v>
      </c>
      <c r="R265" s="260" t="s">
        <v>239</v>
      </c>
      <c r="S265" s="260" t="s">
        <v>514</v>
      </c>
      <c r="T265" s="260" t="s">
        <v>239</v>
      </c>
      <c r="U265" s="260" t="s">
        <v>514</v>
      </c>
    </row>
    <row r="266" spans="1:21" ht="14.5" x14ac:dyDescent="0.35">
      <c r="A266" s="260" t="s">
        <v>563</v>
      </c>
      <c r="B266" s="190">
        <v>45917</v>
      </c>
      <c r="C266" s="197">
        <v>115487</v>
      </c>
      <c r="D266" s="197">
        <v>0</v>
      </c>
      <c r="E266" s="197">
        <v>0</v>
      </c>
      <c r="F266" s="197">
        <v>0</v>
      </c>
      <c r="G266" s="197">
        <v>90304</v>
      </c>
      <c r="H266" s="197">
        <v>25197.1</v>
      </c>
      <c r="I266" s="197">
        <v>0</v>
      </c>
      <c r="J266" s="197">
        <v>115501.1</v>
      </c>
      <c r="K266" s="197">
        <v>115501.1</v>
      </c>
      <c r="L266" s="197">
        <v>24951.666666666664</v>
      </c>
      <c r="M266" s="197">
        <v>105.66666666666652</v>
      </c>
      <c r="N266" s="197">
        <v>0</v>
      </c>
      <c r="O266" s="197">
        <v>0</v>
      </c>
      <c r="P266" s="197">
        <v>14.100000000005821</v>
      </c>
      <c r="Q266" s="197">
        <v>1.2209166399679283E-4</v>
      </c>
      <c r="R266" s="260" t="s">
        <v>239</v>
      </c>
      <c r="S266" s="260" t="s">
        <v>514</v>
      </c>
      <c r="T266" s="260" t="s">
        <v>239</v>
      </c>
      <c r="U266" s="260" t="s">
        <v>514</v>
      </c>
    </row>
    <row r="267" spans="1:21" ht="14.5" x14ac:dyDescent="0.35">
      <c r="A267" s="260" t="s">
        <v>563</v>
      </c>
      <c r="B267" s="190">
        <v>45918</v>
      </c>
      <c r="C267" s="197">
        <v>115501.1</v>
      </c>
      <c r="D267" s="197">
        <v>0</v>
      </c>
      <c r="E267" s="197">
        <v>0</v>
      </c>
      <c r="F267" s="197">
        <v>0</v>
      </c>
      <c r="G267" s="197">
        <v>90304</v>
      </c>
      <c r="H267" s="197">
        <v>25212.2</v>
      </c>
      <c r="I267" s="197">
        <v>0</v>
      </c>
      <c r="J267" s="197">
        <v>115516.2</v>
      </c>
      <c r="K267" s="197">
        <v>115516.2</v>
      </c>
      <c r="L267" s="197">
        <v>24951.666666666664</v>
      </c>
      <c r="M267" s="197">
        <v>105.66666666666652</v>
      </c>
      <c r="N267" s="197">
        <v>0</v>
      </c>
      <c r="O267" s="197">
        <v>0</v>
      </c>
      <c r="P267" s="197">
        <v>15.099999999991269</v>
      </c>
      <c r="Q267" s="197">
        <v>1.3073468564361868E-4</v>
      </c>
      <c r="R267" s="260" t="s">
        <v>239</v>
      </c>
      <c r="S267" s="260" t="s">
        <v>514</v>
      </c>
      <c r="T267" s="260" t="s">
        <v>239</v>
      </c>
      <c r="U267" s="260" t="s">
        <v>514</v>
      </c>
    </row>
    <row r="268" spans="1:21" ht="14.5" x14ac:dyDescent="0.35">
      <c r="A268" s="260" t="s">
        <v>563</v>
      </c>
      <c r="B268" s="190">
        <v>45919</v>
      </c>
      <c r="C268" s="197">
        <v>115516.2</v>
      </c>
      <c r="D268" s="197">
        <v>0</v>
      </c>
      <c r="E268" s="197">
        <v>0</v>
      </c>
      <c r="F268" s="197">
        <v>0</v>
      </c>
      <c r="G268" s="197">
        <v>90304</v>
      </c>
      <c r="H268" s="197">
        <v>25226.3</v>
      </c>
      <c r="I268" s="197">
        <v>0</v>
      </c>
      <c r="J268" s="197">
        <v>115530.3</v>
      </c>
      <c r="K268" s="197">
        <v>115530.3</v>
      </c>
      <c r="L268" s="197">
        <v>24951.666666666664</v>
      </c>
      <c r="M268" s="197">
        <v>105.66666666666652</v>
      </c>
      <c r="N268" s="197">
        <v>0</v>
      </c>
      <c r="O268" s="197">
        <v>0</v>
      </c>
      <c r="P268" s="197">
        <v>14.100000000005821</v>
      </c>
      <c r="Q268" s="197">
        <v>1.2206080186150103E-4</v>
      </c>
      <c r="R268" s="260" t="s">
        <v>239</v>
      </c>
      <c r="S268" s="260" t="s">
        <v>514</v>
      </c>
      <c r="T268" s="260" t="s">
        <v>239</v>
      </c>
      <c r="U268" s="260" t="s">
        <v>514</v>
      </c>
    </row>
    <row r="269" spans="1:21" ht="14.5" x14ac:dyDescent="0.35">
      <c r="A269" s="260" t="s">
        <v>563</v>
      </c>
      <c r="B269" s="190">
        <v>45920</v>
      </c>
      <c r="C269" s="197">
        <v>115530.3</v>
      </c>
      <c r="D269" s="197">
        <v>0</v>
      </c>
      <c r="E269" s="197">
        <v>0</v>
      </c>
      <c r="F269" s="197">
        <v>0</v>
      </c>
      <c r="G269" s="197">
        <v>90304</v>
      </c>
      <c r="H269" s="197">
        <v>25226.3</v>
      </c>
      <c r="I269" s="197">
        <v>0</v>
      </c>
      <c r="J269" s="197">
        <v>115530.3</v>
      </c>
      <c r="K269" s="197">
        <v>115530.3</v>
      </c>
      <c r="L269" s="197">
        <v>24951.666666666664</v>
      </c>
      <c r="M269" s="197">
        <v>105.66666666666652</v>
      </c>
      <c r="N269" s="197">
        <v>0</v>
      </c>
      <c r="O269" s="197">
        <v>0</v>
      </c>
      <c r="P269" s="197">
        <v>0</v>
      </c>
      <c r="Q269" s="197">
        <v>0</v>
      </c>
      <c r="R269" s="260" t="s">
        <v>239</v>
      </c>
      <c r="S269" s="260" t="s">
        <v>514</v>
      </c>
      <c r="T269" s="260" t="s">
        <v>239</v>
      </c>
      <c r="U269" s="260" t="s">
        <v>514</v>
      </c>
    </row>
    <row r="270" spans="1:21" ht="14.5" x14ac:dyDescent="0.35">
      <c r="A270" s="260" t="s">
        <v>563</v>
      </c>
      <c r="B270" s="190">
        <v>45921</v>
      </c>
      <c r="C270" s="197">
        <v>115530.3</v>
      </c>
      <c r="D270" s="197">
        <v>0</v>
      </c>
      <c r="E270" s="197">
        <v>0</v>
      </c>
      <c r="F270" s="197">
        <v>0</v>
      </c>
      <c r="G270" s="197">
        <v>90304</v>
      </c>
      <c r="H270" s="197">
        <v>25226.3</v>
      </c>
      <c r="I270" s="197">
        <v>0</v>
      </c>
      <c r="J270" s="197">
        <v>115530.3</v>
      </c>
      <c r="K270" s="197">
        <v>115530.3</v>
      </c>
      <c r="L270" s="197">
        <v>24951.666666666664</v>
      </c>
      <c r="M270" s="197">
        <v>105.66666666666652</v>
      </c>
      <c r="N270" s="197">
        <v>0</v>
      </c>
      <c r="O270" s="197">
        <v>0</v>
      </c>
      <c r="P270" s="197">
        <v>0</v>
      </c>
      <c r="Q270" s="197">
        <v>0</v>
      </c>
      <c r="R270" s="260" t="s">
        <v>239</v>
      </c>
      <c r="S270" s="260" t="s">
        <v>514</v>
      </c>
      <c r="T270" s="260" t="s">
        <v>239</v>
      </c>
      <c r="U270" s="260" t="s">
        <v>514</v>
      </c>
    </row>
    <row r="271" spans="1:21" ht="14.5" x14ac:dyDescent="0.35">
      <c r="A271" s="260" t="s">
        <v>563</v>
      </c>
      <c r="B271" s="190">
        <v>45922</v>
      </c>
      <c r="C271" s="197">
        <v>115530.3</v>
      </c>
      <c r="D271" s="197">
        <v>0</v>
      </c>
      <c r="E271" s="197">
        <v>0</v>
      </c>
      <c r="F271" s="197">
        <v>0</v>
      </c>
      <c r="G271" s="197">
        <v>90304</v>
      </c>
      <c r="H271" s="197">
        <v>25270.799999999999</v>
      </c>
      <c r="I271" s="197">
        <v>0</v>
      </c>
      <c r="J271" s="197">
        <v>115574.8</v>
      </c>
      <c r="K271" s="197">
        <v>115574.8</v>
      </c>
      <c r="L271" s="197">
        <v>24951.666666666664</v>
      </c>
      <c r="M271" s="197">
        <v>105.66666666666652</v>
      </c>
      <c r="N271" s="197">
        <v>0</v>
      </c>
      <c r="O271" s="197">
        <v>0</v>
      </c>
      <c r="P271" s="197">
        <v>44.5</v>
      </c>
      <c r="Q271" s="197">
        <v>3.8518033797196871E-4</v>
      </c>
      <c r="R271" s="260" t="s">
        <v>239</v>
      </c>
      <c r="S271" s="260" t="s">
        <v>514</v>
      </c>
      <c r="T271" s="260" t="s">
        <v>239</v>
      </c>
      <c r="U271" s="260" t="s">
        <v>514</v>
      </c>
    </row>
    <row r="272" spans="1:21" ht="14.5" x14ac:dyDescent="0.35">
      <c r="A272" s="260" t="s">
        <v>563</v>
      </c>
      <c r="B272" s="190">
        <v>45923</v>
      </c>
      <c r="C272" s="197">
        <v>115574.8</v>
      </c>
      <c r="D272" s="197">
        <v>0</v>
      </c>
      <c r="E272" s="197">
        <v>0</v>
      </c>
      <c r="F272" s="197">
        <v>0</v>
      </c>
      <c r="G272" s="197">
        <v>90304</v>
      </c>
      <c r="H272" s="197">
        <v>25285.899999999998</v>
      </c>
      <c r="I272" s="197">
        <v>0</v>
      </c>
      <c r="J272" s="197">
        <v>115589.9</v>
      </c>
      <c r="K272" s="197">
        <v>115589.9</v>
      </c>
      <c r="L272" s="197">
        <v>24951.666666666664</v>
      </c>
      <c r="M272" s="197">
        <v>105.66666666666652</v>
      </c>
      <c r="N272" s="197">
        <v>0</v>
      </c>
      <c r="O272" s="197">
        <v>0</v>
      </c>
      <c r="P272" s="197">
        <v>15.099999999991269</v>
      </c>
      <c r="Q272" s="197">
        <v>1.3065131845335642E-4</v>
      </c>
      <c r="R272" s="260" t="s">
        <v>239</v>
      </c>
      <c r="S272" s="260" t="s">
        <v>514</v>
      </c>
      <c r="T272" s="260" t="s">
        <v>239</v>
      </c>
      <c r="U272" s="260" t="s">
        <v>514</v>
      </c>
    </row>
    <row r="273" spans="1:21" ht="14.5" x14ac:dyDescent="0.35">
      <c r="A273" s="260" t="s">
        <v>563</v>
      </c>
      <c r="B273" s="190">
        <v>45924</v>
      </c>
      <c r="C273" s="197">
        <v>115589.9</v>
      </c>
      <c r="D273" s="197">
        <v>0</v>
      </c>
      <c r="E273" s="197">
        <v>0</v>
      </c>
      <c r="F273" s="197">
        <v>0</v>
      </c>
      <c r="G273" s="197">
        <v>90304</v>
      </c>
      <c r="H273" s="197">
        <v>25302.2</v>
      </c>
      <c r="I273" s="197">
        <v>0</v>
      </c>
      <c r="J273" s="197">
        <v>115606.2</v>
      </c>
      <c r="K273" s="197">
        <v>115606.2</v>
      </c>
      <c r="L273" s="197">
        <v>24951.666666666664</v>
      </c>
      <c r="M273" s="197">
        <v>105.66666666666652</v>
      </c>
      <c r="N273" s="197">
        <v>0</v>
      </c>
      <c r="O273" s="197">
        <v>0</v>
      </c>
      <c r="P273" s="197">
        <v>16.30000000000291</v>
      </c>
      <c r="Q273" s="197">
        <v>1.4101578079062094E-4</v>
      </c>
      <c r="R273" s="260" t="s">
        <v>239</v>
      </c>
      <c r="S273" s="260" t="s">
        <v>514</v>
      </c>
      <c r="T273" s="260" t="s">
        <v>239</v>
      </c>
      <c r="U273" s="260" t="s">
        <v>514</v>
      </c>
    </row>
    <row r="274" spans="1:21" ht="14.5" x14ac:dyDescent="0.35">
      <c r="A274" s="260" t="s">
        <v>563</v>
      </c>
      <c r="B274" s="190">
        <v>45925</v>
      </c>
      <c r="C274" s="197">
        <v>115606.2</v>
      </c>
      <c r="D274" s="197">
        <v>0</v>
      </c>
      <c r="E274" s="197">
        <v>0</v>
      </c>
      <c r="F274" s="197">
        <v>0</v>
      </c>
      <c r="G274" s="197">
        <v>90304</v>
      </c>
      <c r="H274" s="197">
        <v>25316.3</v>
      </c>
      <c r="I274" s="197">
        <v>0</v>
      </c>
      <c r="J274" s="197">
        <v>115620.3</v>
      </c>
      <c r="K274" s="197">
        <v>115620.3</v>
      </c>
      <c r="L274" s="197">
        <v>24951.666666666664</v>
      </c>
      <c r="M274" s="197">
        <v>105.66666666666652</v>
      </c>
      <c r="N274" s="197">
        <v>0</v>
      </c>
      <c r="O274" s="197">
        <v>0</v>
      </c>
      <c r="P274" s="197">
        <v>14.100000000005821</v>
      </c>
      <c r="Q274" s="197">
        <v>1.2196577692202837E-4</v>
      </c>
      <c r="R274" s="260" t="s">
        <v>239</v>
      </c>
      <c r="S274" s="260" t="s">
        <v>514</v>
      </c>
      <c r="T274" s="260" t="s">
        <v>239</v>
      </c>
      <c r="U274" s="260" t="s">
        <v>514</v>
      </c>
    </row>
    <row r="275" spans="1:21" ht="14.5" x14ac:dyDescent="0.35">
      <c r="A275" s="260" t="s">
        <v>563</v>
      </c>
      <c r="B275" s="190">
        <v>45926</v>
      </c>
      <c r="C275" s="197">
        <v>115620.3</v>
      </c>
      <c r="D275" s="197">
        <v>0</v>
      </c>
      <c r="E275" s="197">
        <v>0</v>
      </c>
      <c r="F275" s="197">
        <v>0</v>
      </c>
      <c r="G275" s="197">
        <v>90304</v>
      </c>
      <c r="H275" s="197">
        <v>25330.400000000001</v>
      </c>
      <c r="I275" s="197">
        <v>0</v>
      </c>
      <c r="J275" s="197">
        <v>115634.4</v>
      </c>
      <c r="K275" s="197">
        <v>115634.4</v>
      </c>
      <c r="L275" s="197">
        <v>24951.666666666664</v>
      </c>
      <c r="M275" s="197">
        <v>105.66666666666652</v>
      </c>
      <c r="N275" s="197">
        <v>0</v>
      </c>
      <c r="O275" s="197">
        <v>0</v>
      </c>
      <c r="P275" s="197">
        <v>14.099999999991269</v>
      </c>
      <c r="Q275" s="197">
        <v>1.2195090308519951E-4</v>
      </c>
      <c r="R275" s="260" t="s">
        <v>239</v>
      </c>
      <c r="S275" s="260" t="s">
        <v>514</v>
      </c>
      <c r="T275" s="260" t="s">
        <v>239</v>
      </c>
      <c r="U275" s="260" t="s">
        <v>514</v>
      </c>
    </row>
    <row r="276" spans="1:21" ht="14.5" x14ac:dyDescent="0.35">
      <c r="A276" s="260" t="s">
        <v>563</v>
      </c>
      <c r="B276" s="190">
        <v>45927</v>
      </c>
      <c r="C276" s="197">
        <v>115634.4</v>
      </c>
      <c r="D276" s="197">
        <v>0</v>
      </c>
      <c r="E276" s="197">
        <v>0</v>
      </c>
      <c r="F276" s="197">
        <v>0</v>
      </c>
      <c r="G276" s="197">
        <v>90304</v>
      </c>
      <c r="H276" s="197">
        <v>25330.400000000001</v>
      </c>
      <c r="I276" s="197">
        <v>0</v>
      </c>
      <c r="J276" s="197">
        <v>115634.4</v>
      </c>
      <c r="K276" s="197">
        <v>115634.4</v>
      </c>
      <c r="L276" s="197">
        <v>24951.666666666664</v>
      </c>
      <c r="M276" s="197">
        <v>105.66666666666652</v>
      </c>
      <c r="N276" s="197">
        <v>0</v>
      </c>
      <c r="O276" s="197">
        <v>0</v>
      </c>
      <c r="P276" s="197">
        <v>0</v>
      </c>
      <c r="Q276" s="197">
        <v>0</v>
      </c>
      <c r="R276" s="260" t="s">
        <v>239</v>
      </c>
      <c r="S276" s="260" t="s">
        <v>514</v>
      </c>
      <c r="T276" s="260" t="s">
        <v>239</v>
      </c>
      <c r="U276" s="260" t="s">
        <v>514</v>
      </c>
    </row>
    <row r="277" spans="1:21" ht="14.5" x14ac:dyDescent="0.35">
      <c r="A277" s="260" t="s">
        <v>563</v>
      </c>
      <c r="B277" s="190">
        <v>45928</v>
      </c>
      <c r="C277" s="197">
        <v>115634.4</v>
      </c>
      <c r="D277" s="197">
        <v>0</v>
      </c>
      <c r="E277" s="197">
        <v>0</v>
      </c>
      <c r="F277" s="197">
        <v>0</v>
      </c>
      <c r="G277" s="197">
        <v>90304</v>
      </c>
      <c r="H277" s="197">
        <v>25330.400000000001</v>
      </c>
      <c r="I277" s="197">
        <v>0</v>
      </c>
      <c r="J277" s="197">
        <v>115634.4</v>
      </c>
      <c r="K277" s="197">
        <v>115634.4</v>
      </c>
      <c r="L277" s="197">
        <v>24951.666666666664</v>
      </c>
      <c r="M277" s="197">
        <v>105.66666666666652</v>
      </c>
      <c r="N277" s="197">
        <v>0</v>
      </c>
      <c r="O277" s="197">
        <v>0</v>
      </c>
      <c r="P277" s="197">
        <v>0</v>
      </c>
      <c r="Q277" s="197">
        <v>0</v>
      </c>
      <c r="R277" s="260" t="s">
        <v>239</v>
      </c>
      <c r="S277" s="260" t="s">
        <v>514</v>
      </c>
      <c r="T277" s="260" t="s">
        <v>239</v>
      </c>
      <c r="U277" s="260" t="s">
        <v>514</v>
      </c>
    </row>
    <row r="278" spans="1:21" ht="14.5" x14ac:dyDescent="0.35">
      <c r="A278" s="260" t="s">
        <v>563</v>
      </c>
      <c r="B278" s="190">
        <v>45929</v>
      </c>
      <c r="C278" s="197">
        <v>115634.4</v>
      </c>
      <c r="D278" s="197">
        <v>0</v>
      </c>
      <c r="E278" s="197">
        <v>0</v>
      </c>
      <c r="F278" s="197">
        <v>0</v>
      </c>
      <c r="G278" s="197">
        <v>90304</v>
      </c>
      <c r="H278" s="197">
        <v>25375.9</v>
      </c>
      <c r="I278" s="197">
        <v>0</v>
      </c>
      <c r="J278" s="197">
        <v>115679.9</v>
      </c>
      <c r="K278" s="197">
        <v>115679.9</v>
      </c>
      <c r="L278" s="197">
        <v>24951.666666666664</v>
      </c>
      <c r="M278" s="197">
        <v>105.66666666666652</v>
      </c>
      <c r="N278" s="197">
        <v>0</v>
      </c>
      <c r="O278" s="197">
        <v>0</v>
      </c>
      <c r="P278" s="197">
        <v>45.5</v>
      </c>
      <c r="Q278" s="197">
        <v>3.9348152452900464E-4</v>
      </c>
      <c r="R278" s="260" t="s">
        <v>239</v>
      </c>
      <c r="S278" s="260" t="s">
        <v>514</v>
      </c>
      <c r="T278" s="260" t="s">
        <v>239</v>
      </c>
      <c r="U278" s="260" t="s">
        <v>514</v>
      </c>
    </row>
    <row r="279" spans="1:21" ht="14.5" x14ac:dyDescent="0.35">
      <c r="A279" s="260" t="s">
        <v>563</v>
      </c>
      <c r="B279" s="190">
        <v>45930</v>
      </c>
      <c r="C279" s="197">
        <v>115679.9</v>
      </c>
      <c r="D279" s="197">
        <v>0</v>
      </c>
      <c r="E279" s="197">
        <v>0</v>
      </c>
      <c r="F279" s="197">
        <v>0</v>
      </c>
      <c r="G279" s="197">
        <v>90304</v>
      </c>
      <c r="H279" s="197">
        <v>25390</v>
      </c>
      <c r="I279" s="197">
        <v>0</v>
      </c>
      <c r="J279" s="197">
        <v>115694</v>
      </c>
      <c r="K279" s="197">
        <v>115694</v>
      </c>
      <c r="L279" s="197">
        <v>24951.666666666664</v>
      </c>
      <c r="M279" s="197">
        <v>105.66666666666652</v>
      </c>
      <c r="N279" s="197">
        <v>0</v>
      </c>
      <c r="O279" s="197">
        <v>0</v>
      </c>
      <c r="P279" s="197">
        <v>14.100000000005821</v>
      </c>
      <c r="Q279" s="197">
        <v>1.2188807217161646E-4</v>
      </c>
      <c r="R279" s="260" t="s">
        <v>239</v>
      </c>
      <c r="S279" s="260" t="s">
        <v>514</v>
      </c>
      <c r="T279" s="260" t="s">
        <v>239</v>
      </c>
      <c r="U279" s="260" t="s">
        <v>514</v>
      </c>
    </row>
    <row r="280" spans="1:21" ht="14.5" x14ac:dyDescent="0.35">
      <c r="A280" s="260" t="s">
        <v>563</v>
      </c>
      <c r="B280" s="190">
        <v>45931</v>
      </c>
      <c r="C280" s="197">
        <v>115694</v>
      </c>
      <c r="D280" s="197">
        <v>0</v>
      </c>
      <c r="E280" s="197">
        <v>0</v>
      </c>
      <c r="F280" s="197">
        <v>0</v>
      </c>
      <c r="G280" s="197">
        <v>90304</v>
      </c>
      <c r="H280" s="197">
        <v>25390</v>
      </c>
      <c r="I280" s="197">
        <v>0</v>
      </c>
      <c r="J280" s="197">
        <v>115694</v>
      </c>
      <c r="K280" s="197">
        <v>115694</v>
      </c>
      <c r="L280" s="197">
        <v>24951.666666666664</v>
      </c>
      <c r="M280" s="197">
        <v>105.66666666666652</v>
      </c>
      <c r="N280" s="197">
        <v>0</v>
      </c>
      <c r="O280" s="197">
        <v>0</v>
      </c>
      <c r="P280" s="197">
        <v>0</v>
      </c>
      <c r="Q280" s="197">
        <v>0</v>
      </c>
      <c r="R280" s="260" t="s">
        <v>239</v>
      </c>
      <c r="S280" s="260" t="s">
        <v>514</v>
      </c>
      <c r="T280" s="260" t="s">
        <v>239</v>
      </c>
      <c r="U280" s="260" t="s">
        <v>514</v>
      </c>
    </row>
    <row r="281" spans="1:21" ht="14.5" x14ac:dyDescent="0.35">
      <c r="A281" s="260" t="s">
        <v>563</v>
      </c>
      <c r="B281" s="190">
        <v>45932</v>
      </c>
      <c r="C281" s="197">
        <v>115694</v>
      </c>
      <c r="D281" s="197">
        <v>0</v>
      </c>
      <c r="E281" s="197">
        <v>0</v>
      </c>
      <c r="F281" s="197">
        <v>0</v>
      </c>
      <c r="G281" s="197">
        <v>90304</v>
      </c>
      <c r="H281" s="197">
        <v>25354.9</v>
      </c>
      <c r="I281" s="197">
        <v>0</v>
      </c>
      <c r="J281" s="197">
        <v>115658.9</v>
      </c>
      <c r="K281" s="197">
        <v>115658.9</v>
      </c>
      <c r="L281" s="197">
        <v>24951.666666666664</v>
      </c>
      <c r="M281" s="197">
        <v>105.66666666666652</v>
      </c>
      <c r="N281" s="197">
        <v>0</v>
      </c>
      <c r="O281" s="197">
        <v>0</v>
      </c>
      <c r="P281" s="197">
        <v>-35.100000000005821</v>
      </c>
      <c r="Q281" s="197">
        <v>-3.0338651961214769E-4</v>
      </c>
      <c r="R281" s="260" t="s">
        <v>239</v>
      </c>
      <c r="S281" s="260" t="s">
        <v>514</v>
      </c>
      <c r="T281" s="260" t="s">
        <v>239</v>
      </c>
      <c r="U281" s="260" t="s">
        <v>514</v>
      </c>
    </row>
    <row r="282" spans="1:21" ht="14.5" x14ac:dyDescent="0.35">
      <c r="A282" s="260" t="s">
        <v>563</v>
      </c>
      <c r="B282" s="190">
        <v>45933</v>
      </c>
      <c r="C282" s="197">
        <v>115658.9</v>
      </c>
      <c r="D282" s="197">
        <v>0</v>
      </c>
      <c r="E282" s="197">
        <v>0</v>
      </c>
      <c r="F282" s="197">
        <v>0</v>
      </c>
      <c r="G282" s="197">
        <v>90304</v>
      </c>
      <c r="H282" s="197">
        <v>25321.1</v>
      </c>
      <c r="I282" s="197">
        <v>0</v>
      </c>
      <c r="J282" s="197">
        <v>115625.1</v>
      </c>
      <c r="K282" s="197">
        <v>115625.1</v>
      </c>
      <c r="L282" s="197">
        <v>24951.666666666664</v>
      </c>
      <c r="M282" s="197">
        <v>105.66666666666652</v>
      </c>
      <c r="N282" s="197">
        <v>0</v>
      </c>
      <c r="O282" s="197">
        <v>0</v>
      </c>
      <c r="P282" s="197">
        <v>-33.799999999988358</v>
      </c>
      <c r="Q282" s="197">
        <v>-2.922386431134516E-4</v>
      </c>
      <c r="R282" s="260" t="s">
        <v>239</v>
      </c>
      <c r="S282" s="260" t="s">
        <v>514</v>
      </c>
      <c r="T282" s="260" t="s">
        <v>239</v>
      </c>
      <c r="U282" s="260" t="s">
        <v>514</v>
      </c>
    </row>
    <row r="283" spans="1:21" ht="14.5" x14ac:dyDescent="0.35">
      <c r="A283" s="260" t="s">
        <v>563</v>
      </c>
      <c r="B283" s="190">
        <v>45934</v>
      </c>
      <c r="C283" s="197">
        <v>115625.1</v>
      </c>
      <c r="D283" s="197">
        <v>0</v>
      </c>
      <c r="E283" s="197">
        <v>0</v>
      </c>
      <c r="F283" s="197">
        <v>0</v>
      </c>
      <c r="G283" s="197">
        <v>90304</v>
      </c>
      <c r="H283" s="197">
        <v>25321.1</v>
      </c>
      <c r="I283" s="197">
        <v>0</v>
      </c>
      <c r="J283" s="197">
        <v>115625.1</v>
      </c>
      <c r="K283" s="197">
        <v>115625.1</v>
      </c>
      <c r="L283" s="197">
        <v>24951.666666666664</v>
      </c>
      <c r="M283" s="197">
        <v>105.66666666666652</v>
      </c>
      <c r="N283" s="197">
        <v>0</v>
      </c>
      <c r="O283" s="197">
        <v>0</v>
      </c>
      <c r="P283" s="197">
        <v>0</v>
      </c>
      <c r="Q283" s="197">
        <v>0</v>
      </c>
      <c r="R283" s="260" t="s">
        <v>239</v>
      </c>
      <c r="S283" s="260" t="s">
        <v>514</v>
      </c>
      <c r="T283" s="260" t="s">
        <v>239</v>
      </c>
      <c r="U283" s="260" t="s">
        <v>514</v>
      </c>
    </row>
    <row r="284" spans="1:21" ht="14.5" x14ac:dyDescent="0.35">
      <c r="A284" s="260" t="s">
        <v>563</v>
      </c>
      <c r="B284" s="190">
        <v>45935</v>
      </c>
      <c r="C284" s="197">
        <v>115625.1</v>
      </c>
      <c r="D284" s="197">
        <v>0</v>
      </c>
      <c r="E284" s="197">
        <v>0</v>
      </c>
      <c r="F284" s="197">
        <v>0</v>
      </c>
      <c r="G284" s="197">
        <v>90304</v>
      </c>
      <c r="H284" s="197">
        <v>25321.1</v>
      </c>
      <c r="I284" s="197">
        <v>0</v>
      </c>
      <c r="J284" s="197">
        <v>115625.1</v>
      </c>
      <c r="K284" s="197">
        <v>115625.1</v>
      </c>
      <c r="L284" s="197">
        <v>24951.666666666664</v>
      </c>
      <c r="M284" s="197">
        <v>105.66666666666652</v>
      </c>
      <c r="N284" s="197">
        <v>0</v>
      </c>
      <c r="O284" s="197">
        <v>0</v>
      </c>
      <c r="P284" s="197">
        <v>0</v>
      </c>
      <c r="Q284" s="197">
        <v>0</v>
      </c>
      <c r="R284" s="260" t="s">
        <v>239</v>
      </c>
      <c r="S284" s="260" t="s">
        <v>514</v>
      </c>
      <c r="T284" s="260" t="s">
        <v>239</v>
      </c>
      <c r="U284" s="260" t="s">
        <v>514</v>
      </c>
    </row>
    <row r="285" spans="1:21" ht="14.5" x14ac:dyDescent="0.35">
      <c r="A285" s="260" t="s">
        <v>563</v>
      </c>
      <c r="B285" s="190">
        <v>45936</v>
      </c>
      <c r="C285" s="197">
        <v>115625.1</v>
      </c>
      <c r="D285" s="197">
        <v>0</v>
      </c>
      <c r="E285" s="197">
        <v>0</v>
      </c>
      <c r="F285" s="197">
        <v>0</v>
      </c>
      <c r="G285" s="197">
        <v>90304</v>
      </c>
      <c r="H285" s="197">
        <v>25217.1</v>
      </c>
      <c r="I285" s="197">
        <v>0</v>
      </c>
      <c r="J285" s="197">
        <v>115521.1</v>
      </c>
      <c r="K285" s="197">
        <v>115521.1</v>
      </c>
      <c r="L285" s="197">
        <v>24951.666666666664</v>
      </c>
      <c r="M285" s="197">
        <v>105.66666666666652</v>
      </c>
      <c r="N285" s="197">
        <v>0</v>
      </c>
      <c r="O285" s="197">
        <v>0</v>
      </c>
      <c r="P285" s="197">
        <v>-104</v>
      </c>
      <c r="Q285" s="197">
        <v>-8.994586815492811E-4</v>
      </c>
      <c r="R285" s="260" t="s">
        <v>239</v>
      </c>
      <c r="S285" s="260" t="s">
        <v>514</v>
      </c>
      <c r="T285" s="260" t="s">
        <v>239</v>
      </c>
      <c r="U285" s="260" t="s">
        <v>514</v>
      </c>
    </row>
    <row r="286" spans="1:21" ht="14.5" x14ac:dyDescent="0.35">
      <c r="A286" s="260" t="s">
        <v>563</v>
      </c>
      <c r="B286" s="190">
        <v>45937</v>
      </c>
      <c r="C286" s="197">
        <v>115521.1</v>
      </c>
      <c r="D286" s="197">
        <v>0</v>
      </c>
      <c r="E286" s="197">
        <v>0</v>
      </c>
      <c r="F286" s="197">
        <v>0</v>
      </c>
      <c r="G286" s="197">
        <v>90304</v>
      </c>
      <c r="H286" s="197">
        <v>25182</v>
      </c>
      <c r="I286" s="197">
        <v>0</v>
      </c>
      <c r="J286" s="197">
        <v>115486</v>
      </c>
      <c r="K286" s="197">
        <v>115486</v>
      </c>
      <c r="L286" s="197">
        <v>24951.666666666664</v>
      </c>
      <c r="M286" s="197">
        <v>105.66666666666652</v>
      </c>
      <c r="N286" s="197">
        <v>0</v>
      </c>
      <c r="O286" s="197">
        <v>0</v>
      </c>
      <c r="P286" s="197">
        <v>-35.100000000005821</v>
      </c>
      <c r="Q286" s="197">
        <v>-3.0384059708576938E-4</v>
      </c>
      <c r="R286" s="260" t="s">
        <v>239</v>
      </c>
      <c r="S286" s="260" t="s">
        <v>514</v>
      </c>
      <c r="T286" s="260" t="s">
        <v>239</v>
      </c>
      <c r="U286" s="260" t="s">
        <v>514</v>
      </c>
    </row>
    <row r="287" spans="1:21" ht="14.5" x14ac:dyDescent="0.35">
      <c r="A287" s="260" t="s">
        <v>563</v>
      </c>
      <c r="B287" s="190">
        <v>45938</v>
      </c>
      <c r="C287" s="197">
        <v>115486</v>
      </c>
      <c r="D287" s="197">
        <v>0</v>
      </c>
      <c r="E287" s="197">
        <v>0</v>
      </c>
      <c r="F287" s="197">
        <v>0</v>
      </c>
      <c r="G287" s="197">
        <v>90304</v>
      </c>
      <c r="H287" s="197">
        <v>25146.9</v>
      </c>
      <c r="I287" s="197">
        <v>0</v>
      </c>
      <c r="J287" s="197">
        <v>115450.9</v>
      </c>
      <c r="K287" s="197">
        <v>115450.9</v>
      </c>
      <c r="L287" s="197">
        <v>24951.666666666664</v>
      </c>
      <c r="M287" s="197">
        <v>105.66666666666652</v>
      </c>
      <c r="N287" s="197">
        <v>0</v>
      </c>
      <c r="O287" s="197">
        <v>0</v>
      </c>
      <c r="P287" s="197">
        <v>-35.100000000005821</v>
      </c>
      <c r="Q287" s="197">
        <v>-3.0393294425301587E-4</v>
      </c>
      <c r="R287" s="260" t="s">
        <v>239</v>
      </c>
      <c r="S287" s="260" t="s">
        <v>514</v>
      </c>
      <c r="T287" s="260" t="s">
        <v>239</v>
      </c>
      <c r="U287" s="260" t="s">
        <v>514</v>
      </c>
    </row>
    <row r="288" spans="1:21" ht="14.5" x14ac:dyDescent="0.35">
      <c r="A288" s="260" t="s">
        <v>563</v>
      </c>
      <c r="B288" s="190">
        <v>45939</v>
      </c>
      <c r="C288" s="197">
        <v>115450.9</v>
      </c>
      <c r="D288" s="197">
        <v>0</v>
      </c>
      <c r="E288" s="197">
        <v>0</v>
      </c>
      <c r="F288" s="197">
        <v>0</v>
      </c>
      <c r="G288" s="197">
        <v>90304</v>
      </c>
      <c r="H288" s="197">
        <v>25113.1</v>
      </c>
      <c r="I288" s="197">
        <v>0</v>
      </c>
      <c r="J288" s="197">
        <v>115417.1</v>
      </c>
      <c r="K288" s="197">
        <v>115417.1</v>
      </c>
      <c r="L288" s="197">
        <v>24951.666666666664</v>
      </c>
      <c r="M288" s="197">
        <v>105.66666666666652</v>
      </c>
      <c r="N288" s="197">
        <v>0</v>
      </c>
      <c r="O288" s="197">
        <v>0</v>
      </c>
      <c r="P288" s="197">
        <v>-33.799999999988358</v>
      </c>
      <c r="Q288" s="197">
        <v>-2.9276514951370736E-4</v>
      </c>
      <c r="R288" s="260" t="s">
        <v>239</v>
      </c>
      <c r="S288" s="260" t="s">
        <v>514</v>
      </c>
      <c r="T288" s="260" t="s">
        <v>239</v>
      </c>
      <c r="U288" s="260" t="s">
        <v>514</v>
      </c>
    </row>
    <row r="289" spans="1:21" ht="14.5" x14ac:dyDescent="0.35">
      <c r="A289" s="260" t="s">
        <v>563</v>
      </c>
      <c r="B289" s="190">
        <v>45940</v>
      </c>
      <c r="C289" s="197">
        <v>115417.1</v>
      </c>
      <c r="D289" s="197">
        <v>0</v>
      </c>
      <c r="E289" s="197">
        <v>0</v>
      </c>
      <c r="F289" s="197">
        <v>0</v>
      </c>
      <c r="G289" s="197">
        <v>90304</v>
      </c>
      <c r="H289" s="197">
        <v>25078</v>
      </c>
      <c r="I289" s="197">
        <v>0</v>
      </c>
      <c r="J289" s="197">
        <v>115382</v>
      </c>
      <c r="K289" s="197">
        <v>115382</v>
      </c>
      <c r="L289" s="197">
        <v>24951.666666666664</v>
      </c>
      <c r="M289" s="197">
        <v>105.66666666666652</v>
      </c>
      <c r="N289" s="197">
        <v>0</v>
      </c>
      <c r="O289" s="197">
        <v>0</v>
      </c>
      <c r="P289" s="197">
        <v>-35.100000000005821</v>
      </c>
      <c r="Q289" s="197">
        <v>-3.0411438166444427E-4</v>
      </c>
      <c r="R289" s="260" t="s">
        <v>239</v>
      </c>
      <c r="S289" s="260" t="s">
        <v>514</v>
      </c>
      <c r="T289" s="260" t="s">
        <v>239</v>
      </c>
      <c r="U289" s="260" t="s">
        <v>514</v>
      </c>
    </row>
    <row r="290" spans="1:21" ht="14.5" x14ac:dyDescent="0.35">
      <c r="A290" s="260" t="s">
        <v>563</v>
      </c>
      <c r="B290" s="190">
        <v>45941</v>
      </c>
      <c r="C290" s="197">
        <v>115382</v>
      </c>
      <c r="D290" s="197">
        <v>0</v>
      </c>
      <c r="E290" s="197">
        <v>0</v>
      </c>
      <c r="F290" s="197">
        <v>0</v>
      </c>
      <c r="G290" s="197">
        <v>90304</v>
      </c>
      <c r="H290" s="197">
        <v>25078</v>
      </c>
      <c r="I290" s="197">
        <v>0</v>
      </c>
      <c r="J290" s="197">
        <v>115382</v>
      </c>
      <c r="K290" s="197">
        <v>115382</v>
      </c>
      <c r="L290" s="197">
        <v>24951.666666666664</v>
      </c>
      <c r="M290" s="197">
        <v>105.66666666666652</v>
      </c>
      <c r="N290" s="197">
        <v>0</v>
      </c>
      <c r="O290" s="197">
        <v>0</v>
      </c>
      <c r="P290" s="197">
        <v>0</v>
      </c>
      <c r="Q290" s="197">
        <v>0</v>
      </c>
      <c r="R290" s="260" t="s">
        <v>239</v>
      </c>
      <c r="S290" s="260" t="s">
        <v>514</v>
      </c>
      <c r="T290" s="260" t="s">
        <v>239</v>
      </c>
      <c r="U290" s="260" t="s">
        <v>514</v>
      </c>
    </row>
    <row r="291" spans="1:21" ht="14.5" x14ac:dyDescent="0.35">
      <c r="A291" s="260" t="s">
        <v>563</v>
      </c>
      <c r="B291" s="190">
        <v>45942</v>
      </c>
      <c r="C291" s="197">
        <v>115382</v>
      </c>
      <c r="D291" s="197">
        <v>0</v>
      </c>
      <c r="E291" s="197">
        <v>0</v>
      </c>
      <c r="F291" s="197">
        <v>0</v>
      </c>
      <c r="G291" s="197">
        <v>90304</v>
      </c>
      <c r="H291" s="197">
        <v>25078</v>
      </c>
      <c r="I291" s="197">
        <v>0</v>
      </c>
      <c r="J291" s="197">
        <v>115382</v>
      </c>
      <c r="K291" s="197">
        <v>115382</v>
      </c>
      <c r="L291" s="197">
        <v>24951.666666666664</v>
      </c>
      <c r="M291" s="197">
        <v>105.66666666666652</v>
      </c>
      <c r="N291" s="197">
        <v>0</v>
      </c>
      <c r="O291" s="197">
        <v>0</v>
      </c>
      <c r="P291" s="197">
        <v>0</v>
      </c>
      <c r="Q291" s="197">
        <v>0</v>
      </c>
      <c r="R291" s="260" t="s">
        <v>239</v>
      </c>
      <c r="S291" s="260" t="s">
        <v>514</v>
      </c>
      <c r="T291" s="260" t="s">
        <v>239</v>
      </c>
      <c r="U291" s="260" t="s">
        <v>514</v>
      </c>
    </row>
    <row r="292" spans="1:21" ht="14.5" x14ac:dyDescent="0.35">
      <c r="A292" s="260" t="s">
        <v>563</v>
      </c>
      <c r="B292" s="190">
        <v>45943</v>
      </c>
      <c r="C292" s="197">
        <v>115382</v>
      </c>
      <c r="D292" s="197">
        <v>0</v>
      </c>
      <c r="E292" s="197">
        <v>0</v>
      </c>
      <c r="F292" s="197">
        <v>0</v>
      </c>
      <c r="G292" s="197">
        <v>90304</v>
      </c>
      <c r="H292" s="197">
        <v>24974</v>
      </c>
      <c r="I292" s="197">
        <v>0</v>
      </c>
      <c r="J292" s="197">
        <v>115278</v>
      </c>
      <c r="K292" s="197">
        <v>115278</v>
      </c>
      <c r="L292" s="197">
        <v>24951.666666666664</v>
      </c>
      <c r="M292" s="197">
        <v>105.66666666666652</v>
      </c>
      <c r="N292" s="197">
        <v>0</v>
      </c>
      <c r="O292" s="197">
        <v>0</v>
      </c>
      <c r="P292" s="197">
        <v>-104</v>
      </c>
      <c r="Q292" s="197">
        <v>-9.0135376401867529E-4</v>
      </c>
      <c r="R292" s="260" t="s">
        <v>239</v>
      </c>
      <c r="S292" s="260" t="s">
        <v>514</v>
      </c>
      <c r="T292" s="260" t="s">
        <v>239</v>
      </c>
      <c r="U292" s="260" t="s">
        <v>514</v>
      </c>
    </row>
    <row r="293" spans="1:21" ht="14.5" x14ac:dyDescent="0.35">
      <c r="A293" s="260" t="s">
        <v>563</v>
      </c>
      <c r="B293" s="190">
        <v>45944</v>
      </c>
      <c r="C293" s="197">
        <v>115278</v>
      </c>
      <c r="D293" s="197">
        <v>0</v>
      </c>
      <c r="E293" s="197">
        <v>0</v>
      </c>
      <c r="F293" s="197">
        <v>0</v>
      </c>
      <c r="G293" s="197">
        <v>90304</v>
      </c>
      <c r="H293" s="197">
        <v>24938.9</v>
      </c>
      <c r="I293" s="197">
        <v>0</v>
      </c>
      <c r="J293" s="197">
        <v>115242.9</v>
      </c>
      <c r="K293" s="197">
        <v>115242.9</v>
      </c>
      <c r="L293" s="197">
        <v>24951.666666666664</v>
      </c>
      <c r="M293" s="197">
        <v>105.66666666666652</v>
      </c>
      <c r="N293" s="197">
        <v>0</v>
      </c>
      <c r="O293" s="197">
        <v>0</v>
      </c>
      <c r="P293" s="197">
        <v>-35.100000000005821</v>
      </c>
      <c r="Q293" s="197">
        <v>-3.0448134075888866E-4</v>
      </c>
      <c r="R293" s="260" t="s">
        <v>239</v>
      </c>
      <c r="S293" s="260" t="s">
        <v>514</v>
      </c>
      <c r="T293" s="260" t="s">
        <v>239</v>
      </c>
      <c r="U293" s="260" t="s">
        <v>514</v>
      </c>
    </row>
    <row r="294" spans="1:21" ht="14.5" x14ac:dyDescent="0.35">
      <c r="A294" s="260" t="s">
        <v>563</v>
      </c>
      <c r="B294" s="190">
        <v>45945</v>
      </c>
      <c r="C294" s="197">
        <v>115242.9</v>
      </c>
      <c r="D294" s="197">
        <v>0</v>
      </c>
      <c r="E294" s="197">
        <v>0</v>
      </c>
      <c r="F294" s="197">
        <v>0</v>
      </c>
      <c r="G294" s="197">
        <v>90304</v>
      </c>
      <c r="H294" s="197">
        <v>24905.1</v>
      </c>
      <c r="I294" s="197">
        <v>0</v>
      </c>
      <c r="J294" s="197">
        <v>115209.1</v>
      </c>
      <c r="K294" s="197">
        <v>115209.1</v>
      </c>
      <c r="L294" s="197">
        <v>24951.666666666664</v>
      </c>
      <c r="M294" s="197">
        <v>105.66666666666652</v>
      </c>
      <c r="N294" s="197">
        <v>0</v>
      </c>
      <c r="O294" s="197">
        <v>0</v>
      </c>
      <c r="P294" s="197">
        <v>-33.799999999988358</v>
      </c>
      <c r="Q294" s="197">
        <v>-2.9329355647933486E-4</v>
      </c>
      <c r="R294" s="260" t="s">
        <v>239</v>
      </c>
      <c r="S294" s="260" t="s">
        <v>514</v>
      </c>
      <c r="T294" s="260" t="s">
        <v>239</v>
      </c>
      <c r="U294" s="260" t="s">
        <v>514</v>
      </c>
    </row>
    <row r="295" spans="1:21" ht="14.5" x14ac:dyDescent="0.35">
      <c r="A295" s="260" t="s">
        <v>563</v>
      </c>
      <c r="B295" s="190">
        <v>45946</v>
      </c>
      <c r="C295" s="197">
        <v>115209.1</v>
      </c>
      <c r="D295" s="197">
        <v>0</v>
      </c>
      <c r="E295" s="197">
        <v>0</v>
      </c>
      <c r="F295" s="197">
        <v>0</v>
      </c>
      <c r="G295" s="197">
        <v>90304</v>
      </c>
      <c r="H295" s="197">
        <v>24870</v>
      </c>
      <c r="I295" s="197">
        <v>0</v>
      </c>
      <c r="J295" s="197">
        <v>115174</v>
      </c>
      <c r="K295" s="197">
        <v>115174</v>
      </c>
      <c r="L295" s="197">
        <v>24951.666666666664</v>
      </c>
      <c r="M295" s="197">
        <v>105.66666666666652</v>
      </c>
      <c r="N295" s="197">
        <v>0</v>
      </c>
      <c r="O295" s="197">
        <v>0</v>
      </c>
      <c r="P295" s="197">
        <v>-35.100000000005821</v>
      </c>
      <c r="Q295" s="197">
        <v>-3.0466343370449955E-4</v>
      </c>
      <c r="R295" s="260" t="s">
        <v>239</v>
      </c>
      <c r="S295" s="260" t="s">
        <v>514</v>
      </c>
      <c r="T295" s="260" t="s">
        <v>239</v>
      </c>
      <c r="U295" s="260" t="s">
        <v>514</v>
      </c>
    </row>
    <row r="296" spans="1:21" ht="14.5" x14ac:dyDescent="0.35">
      <c r="A296" s="260" t="s">
        <v>563</v>
      </c>
      <c r="B296" s="190">
        <v>45947</v>
      </c>
      <c r="C296" s="197">
        <v>115174</v>
      </c>
      <c r="D296" s="197">
        <v>0</v>
      </c>
      <c r="E296" s="197">
        <v>0</v>
      </c>
      <c r="F296" s="197">
        <v>0</v>
      </c>
      <c r="G296" s="197">
        <v>90304</v>
      </c>
      <c r="H296" s="197">
        <v>24834.9</v>
      </c>
      <c r="I296" s="197">
        <v>0</v>
      </c>
      <c r="J296" s="197">
        <v>115138.9</v>
      </c>
      <c r="K296" s="197">
        <v>115138.9</v>
      </c>
      <c r="L296" s="197">
        <v>24951.666666666664</v>
      </c>
      <c r="M296" s="197">
        <v>105.66666666666652</v>
      </c>
      <c r="N296" s="197">
        <v>0</v>
      </c>
      <c r="O296" s="197">
        <v>0</v>
      </c>
      <c r="P296" s="197">
        <v>-35.100000000005821</v>
      </c>
      <c r="Q296" s="197">
        <v>-3.0475628179971181E-4</v>
      </c>
      <c r="R296" s="260" t="s">
        <v>239</v>
      </c>
      <c r="S296" s="260" t="s">
        <v>514</v>
      </c>
      <c r="T296" s="260" t="s">
        <v>239</v>
      </c>
      <c r="U296" s="260" t="s">
        <v>514</v>
      </c>
    </row>
    <row r="297" spans="1:21" ht="14.5" x14ac:dyDescent="0.35">
      <c r="A297" s="260" t="s">
        <v>563</v>
      </c>
      <c r="B297" s="190">
        <v>45948</v>
      </c>
      <c r="C297" s="197">
        <v>115138.9</v>
      </c>
      <c r="D297" s="197">
        <v>0</v>
      </c>
      <c r="E297" s="197">
        <v>0</v>
      </c>
      <c r="F297" s="197">
        <v>0</v>
      </c>
      <c r="G297" s="197">
        <v>90304</v>
      </c>
      <c r="H297" s="197">
        <v>24834.9</v>
      </c>
      <c r="I297" s="197">
        <v>0</v>
      </c>
      <c r="J297" s="197">
        <v>115138.9</v>
      </c>
      <c r="K297" s="197">
        <v>115138.9</v>
      </c>
      <c r="L297" s="197">
        <v>24951.666666666664</v>
      </c>
      <c r="M297" s="197">
        <v>105.66666666666652</v>
      </c>
      <c r="N297" s="197">
        <v>0</v>
      </c>
      <c r="O297" s="197">
        <v>0</v>
      </c>
      <c r="P297" s="197">
        <v>0</v>
      </c>
      <c r="Q297" s="197">
        <v>0</v>
      </c>
      <c r="R297" s="260" t="s">
        <v>239</v>
      </c>
      <c r="S297" s="260" t="s">
        <v>514</v>
      </c>
      <c r="T297" s="260" t="s">
        <v>239</v>
      </c>
      <c r="U297" s="260" t="s">
        <v>514</v>
      </c>
    </row>
    <row r="298" spans="1:21" ht="14.5" x14ac:dyDescent="0.35">
      <c r="A298" s="260" t="s">
        <v>563</v>
      </c>
      <c r="B298" s="190">
        <v>45949</v>
      </c>
      <c r="C298" s="197">
        <v>115138.9</v>
      </c>
      <c r="D298" s="197">
        <v>0</v>
      </c>
      <c r="E298" s="197">
        <v>0</v>
      </c>
      <c r="F298" s="197">
        <v>0</v>
      </c>
      <c r="G298" s="197">
        <v>90304</v>
      </c>
      <c r="H298" s="197">
        <v>24834.9</v>
      </c>
      <c r="I298" s="197">
        <v>0</v>
      </c>
      <c r="J298" s="197">
        <v>115138.9</v>
      </c>
      <c r="K298" s="197">
        <v>115138.9</v>
      </c>
      <c r="L298" s="197">
        <v>24951.666666666664</v>
      </c>
      <c r="M298" s="197">
        <v>105.66666666666652</v>
      </c>
      <c r="N298" s="197">
        <v>0</v>
      </c>
      <c r="O298" s="197">
        <v>0</v>
      </c>
      <c r="P298" s="197">
        <v>0</v>
      </c>
      <c r="Q298" s="197">
        <v>0</v>
      </c>
      <c r="R298" s="260" t="s">
        <v>239</v>
      </c>
      <c r="S298" s="260" t="s">
        <v>514</v>
      </c>
      <c r="T298" s="260" t="s">
        <v>239</v>
      </c>
      <c r="U298" s="260" t="s">
        <v>514</v>
      </c>
    </row>
    <row r="299" spans="1:21" ht="14.5" x14ac:dyDescent="0.35">
      <c r="A299" s="260" t="s">
        <v>563</v>
      </c>
      <c r="B299" s="190">
        <v>45950</v>
      </c>
      <c r="C299" s="197">
        <v>115138.9</v>
      </c>
      <c r="D299" s="197">
        <v>0</v>
      </c>
      <c r="E299" s="197">
        <v>0</v>
      </c>
      <c r="F299" s="197">
        <v>0</v>
      </c>
      <c r="G299" s="197">
        <v>90304</v>
      </c>
      <c r="H299" s="197">
        <v>24730.9</v>
      </c>
      <c r="I299" s="197">
        <v>0</v>
      </c>
      <c r="J299" s="197">
        <v>115034.9</v>
      </c>
      <c r="K299" s="197">
        <v>115034.9</v>
      </c>
      <c r="L299" s="197">
        <v>24951.666666666664</v>
      </c>
      <c r="M299" s="197">
        <v>105.66666666666652</v>
      </c>
      <c r="N299" s="197">
        <v>0</v>
      </c>
      <c r="O299" s="197">
        <v>0</v>
      </c>
      <c r="P299" s="197">
        <v>-104</v>
      </c>
      <c r="Q299" s="197">
        <v>-9.0325684890157909E-4</v>
      </c>
      <c r="R299" s="260" t="s">
        <v>239</v>
      </c>
      <c r="S299" s="260" t="s">
        <v>514</v>
      </c>
      <c r="T299" s="260" t="s">
        <v>239</v>
      </c>
      <c r="U299" s="260" t="s">
        <v>514</v>
      </c>
    </row>
    <row r="300" spans="1:21" ht="14.5" x14ac:dyDescent="0.35">
      <c r="A300" s="260" t="s">
        <v>563</v>
      </c>
      <c r="B300" s="190">
        <v>45951</v>
      </c>
      <c r="C300" s="197">
        <v>115034.9</v>
      </c>
      <c r="D300" s="197">
        <v>0</v>
      </c>
      <c r="E300" s="197">
        <v>0</v>
      </c>
      <c r="F300" s="197">
        <v>0</v>
      </c>
      <c r="G300" s="197">
        <v>90304</v>
      </c>
      <c r="H300" s="197">
        <v>24697.1</v>
      </c>
      <c r="I300" s="197">
        <v>0</v>
      </c>
      <c r="J300" s="197">
        <v>115001.1</v>
      </c>
      <c r="K300" s="197">
        <v>115001.1</v>
      </c>
      <c r="L300" s="197">
        <v>24951.666666666664</v>
      </c>
      <c r="M300" s="197">
        <v>105.66666666666652</v>
      </c>
      <c r="N300" s="197">
        <v>0</v>
      </c>
      <c r="O300" s="197">
        <v>0</v>
      </c>
      <c r="P300" s="197">
        <v>-33.799999999988358</v>
      </c>
      <c r="Q300" s="197">
        <v>-2.938238743197541E-4</v>
      </c>
      <c r="R300" s="260" t="s">
        <v>239</v>
      </c>
      <c r="S300" s="260" t="s">
        <v>514</v>
      </c>
      <c r="T300" s="260" t="s">
        <v>239</v>
      </c>
      <c r="U300" s="260" t="s">
        <v>514</v>
      </c>
    </row>
    <row r="301" spans="1:21" ht="14.5" x14ac:dyDescent="0.35">
      <c r="A301" s="260" t="s">
        <v>563</v>
      </c>
      <c r="B301" s="190">
        <v>45952</v>
      </c>
      <c r="C301" s="197">
        <v>115001.1</v>
      </c>
      <c r="D301" s="197">
        <v>0</v>
      </c>
      <c r="E301" s="197">
        <v>0</v>
      </c>
      <c r="F301" s="197">
        <v>0</v>
      </c>
      <c r="G301" s="197">
        <v>90304</v>
      </c>
      <c r="H301" s="197">
        <v>24662</v>
      </c>
      <c r="I301" s="197">
        <v>0</v>
      </c>
      <c r="J301" s="197">
        <v>114966</v>
      </c>
      <c r="K301" s="197">
        <v>114966</v>
      </c>
      <c r="L301" s="197">
        <v>24951.666666666664</v>
      </c>
      <c r="M301" s="197">
        <v>105.66666666666652</v>
      </c>
      <c r="N301" s="197">
        <v>0</v>
      </c>
      <c r="O301" s="197">
        <v>0</v>
      </c>
      <c r="P301" s="197">
        <v>-35.100000000005821</v>
      </c>
      <c r="Q301" s="197">
        <v>-3.0521447186160344E-4</v>
      </c>
      <c r="R301" s="260" t="s">
        <v>239</v>
      </c>
      <c r="S301" s="260" t="s">
        <v>514</v>
      </c>
      <c r="T301" s="260" t="s">
        <v>239</v>
      </c>
      <c r="U301" s="260" t="s">
        <v>514</v>
      </c>
    </row>
    <row r="302" spans="1:21" ht="14.5" x14ac:dyDescent="0.35">
      <c r="A302" s="260" t="s">
        <v>563</v>
      </c>
      <c r="B302" s="190">
        <v>45953</v>
      </c>
      <c r="C302" s="197">
        <v>114966</v>
      </c>
      <c r="D302" s="197">
        <v>0</v>
      </c>
      <c r="E302" s="197">
        <v>0</v>
      </c>
      <c r="F302" s="197">
        <v>0</v>
      </c>
      <c r="G302" s="197">
        <v>90304</v>
      </c>
      <c r="H302" s="197">
        <v>24626.9</v>
      </c>
      <c r="I302" s="197">
        <v>0</v>
      </c>
      <c r="J302" s="197">
        <v>114930.9</v>
      </c>
      <c r="K302" s="197">
        <v>114930.9</v>
      </c>
      <c r="L302" s="197">
        <v>24951.666666666664</v>
      </c>
      <c r="M302" s="197">
        <v>105.66666666666652</v>
      </c>
      <c r="N302" s="197">
        <v>0</v>
      </c>
      <c r="O302" s="197">
        <v>0</v>
      </c>
      <c r="P302" s="197">
        <v>-35.100000000005821</v>
      </c>
      <c r="Q302" s="197">
        <v>-3.0530765617664546E-4</v>
      </c>
      <c r="R302" s="260" t="s">
        <v>239</v>
      </c>
      <c r="S302" s="260" t="s">
        <v>514</v>
      </c>
      <c r="T302" s="260" t="s">
        <v>239</v>
      </c>
      <c r="U302" s="260" t="s">
        <v>514</v>
      </c>
    </row>
    <row r="303" spans="1:21" ht="14.5" x14ac:dyDescent="0.35">
      <c r="A303" s="260" t="s">
        <v>563</v>
      </c>
      <c r="B303" s="190">
        <v>45954</v>
      </c>
      <c r="C303" s="197">
        <v>114930.9</v>
      </c>
      <c r="D303" s="197">
        <v>0</v>
      </c>
      <c r="E303" s="197">
        <v>0</v>
      </c>
      <c r="F303" s="197">
        <v>0</v>
      </c>
      <c r="G303" s="197">
        <v>90304</v>
      </c>
      <c r="H303" s="197">
        <v>24593.1</v>
      </c>
      <c r="I303" s="197">
        <v>0</v>
      </c>
      <c r="J303" s="197">
        <v>114897.1</v>
      </c>
      <c r="K303" s="197">
        <v>114897.1</v>
      </c>
      <c r="L303" s="197">
        <v>24951.666666666664</v>
      </c>
      <c r="M303" s="197">
        <v>105.66666666666652</v>
      </c>
      <c r="N303" s="197">
        <v>0</v>
      </c>
      <c r="O303" s="197">
        <v>0</v>
      </c>
      <c r="P303" s="197">
        <v>-33.799999999988358</v>
      </c>
      <c r="Q303" s="197">
        <v>-2.9408975306022267E-4</v>
      </c>
      <c r="R303" s="260" t="s">
        <v>239</v>
      </c>
      <c r="S303" s="260" t="s">
        <v>514</v>
      </c>
      <c r="T303" s="260" t="s">
        <v>239</v>
      </c>
      <c r="U303" s="260" t="s">
        <v>514</v>
      </c>
    </row>
    <row r="304" spans="1:21" ht="14.5" x14ac:dyDescent="0.35">
      <c r="A304" s="260" t="s">
        <v>563</v>
      </c>
      <c r="B304" s="190">
        <v>45955</v>
      </c>
      <c r="C304" s="197">
        <v>114897.1</v>
      </c>
      <c r="D304" s="197">
        <v>0</v>
      </c>
      <c r="E304" s="197">
        <v>0</v>
      </c>
      <c r="F304" s="197">
        <v>0</v>
      </c>
      <c r="G304" s="197">
        <v>90304</v>
      </c>
      <c r="H304" s="197">
        <v>24593.1</v>
      </c>
      <c r="I304" s="197">
        <v>0</v>
      </c>
      <c r="J304" s="197">
        <v>114897.1</v>
      </c>
      <c r="K304" s="197">
        <v>114897.1</v>
      </c>
      <c r="L304" s="197">
        <v>24951.666666666664</v>
      </c>
      <c r="M304" s="197">
        <v>105.66666666666652</v>
      </c>
      <c r="N304" s="197">
        <v>0</v>
      </c>
      <c r="O304" s="197">
        <v>0</v>
      </c>
      <c r="P304" s="197">
        <v>0</v>
      </c>
      <c r="Q304" s="197">
        <v>0</v>
      </c>
      <c r="R304" s="260" t="s">
        <v>239</v>
      </c>
      <c r="S304" s="260" t="s">
        <v>514</v>
      </c>
      <c r="T304" s="260" t="s">
        <v>239</v>
      </c>
      <c r="U304" s="260" t="s">
        <v>514</v>
      </c>
    </row>
    <row r="305" spans="1:21" ht="14.5" x14ac:dyDescent="0.35">
      <c r="A305" s="260" t="s">
        <v>563</v>
      </c>
      <c r="B305" s="190">
        <v>45956</v>
      </c>
      <c r="C305" s="197">
        <v>114897.1</v>
      </c>
      <c r="D305" s="197">
        <v>0</v>
      </c>
      <c r="E305" s="197">
        <v>0</v>
      </c>
      <c r="F305" s="197">
        <v>0</v>
      </c>
      <c r="G305" s="197">
        <v>90304</v>
      </c>
      <c r="H305" s="197">
        <v>24593.1</v>
      </c>
      <c r="I305" s="197">
        <v>0</v>
      </c>
      <c r="J305" s="197">
        <v>114897.1</v>
      </c>
      <c r="K305" s="197">
        <v>114897.1</v>
      </c>
      <c r="L305" s="197">
        <v>24951.666666666664</v>
      </c>
      <c r="M305" s="197">
        <v>105.66666666666652</v>
      </c>
      <c r="N305" s="197">
        <v>0</v>
      </c>
      <c r="O305" s="197">
        <v>0</v>
      </c>
      <c r="P305" s="197">
        <v>0</v>
      </c>
      <c r="Q305" s="197">
        <v>0</v>
      </c>
      <c r="R305" s="260" t="s">
        <v>239</v>
      </c>
      <c r="S305" s="260" t="s">
        <v>514</v>
      </c>
      <c r="T305" s="260" t="s">
        <v>239</v>
      </c>
      <c r="U305" s="260" t="s">
        <v>514</v>
      </c>
    </row>
    <row r="306" spans="1:21" ht="14.5" x14ac:dyDescent="0.35">
      <c r="A306" s="260" t="s">
        <v>563</v>
      </c>
      <c r="B306" s="190">
        <v>45957</v>
      </c>
      <c r="C306" s="197">
        <v>114897.1</v>
      </c>
      <c r="D306" s="197">
        <v>0</v>
      </c>
      <c r="E306" s="197">
        <v>0</v>
      </c>
      <c r="F306" s="197">
        <v>0</v>
      </c>
      <c r="G306" s="197">
        <v>90304</v>
      </c>
      <c r="H306" s="197">
        <v>24489.1</v>
      </c>
      <c r="I306" s="197">
        <v>0</v>
      </c>
      <c r="J306" s="197">
        <v>114793.1</v>
      </c>
      <c r="K306" s="197">
        <v>114793.1</v>
      </c>
      <c r="L306" s="197">
        <v>24951.666666666664</v>
      </c>
      <c r="M306" s="197">
        <v>105.66666666666652</v>
      </c>
      <c r="N306" s="197">
        <v>0</v>
      </c>
      <c r="O306" s="197">
        <v>0</v>
      </c>
      <c r="P306" s="197">
        <v>-104</v>
      </c>
      <c r="Q306" s="197">
        <v>-9.0515774549571049E-4</v>
      </c>
      <c r="R306" s="260" t="s">
        <v>239</v>
      </c>
      <c r="S306" s="260" t="s">
        <v>514</v>
      </c>
      <c r="T306" s="260" t="s">
        <v>239</v>
      </c>
      <c r="U306" s="260" t="s">
        <v>514</v>
      </c>
    </row>
    <row r="307" spans="1:21" ht="14.5" x14ac:dyDescent="0.35">
      <c r="A307" s="260" t="s">
        <v>563</v>
      </c>
      <c r="B307" s="190">
        <v>45958</v>
      </c>
      <c r="C307" s="197">
        <v>114793.1</v>
      </c>
      <c r="D307" s="197">
        <v>0</v>
      </c>
      <c r="E307" s="197">
        <v>0</v>
      </c>
      <c r="F307" s="197">
        <v>0</v>
      </c>
      <c r="G307" s="197">
        <v>90304</v>
      </c>
      <c r="H307" s="197">
        <v>24454</v>
      </c>
      <c r="I307" s="197">
        <v>0</v>
      </c>
      <c r="J307" s="197">
        <v>114758</v>
      </c>
      <c r="K307" s="197">
        <v>114758</v>
      </c>
      <c r="L307" s="197">
        <v>24951.666666666664</v>
      </c>
      <c r="M307" s="197">
        <v>105.66666666666652</v>
      </c>
      <c r="N307" s="197">
        <v>0</v>
      </c>
      <c r="O307" s="197">
        <v>0</v>
      </c>
      <c r="P307" s="197">
        <v>-35.100000000005821</v>
      </c>
      <c r="Q307" s="197">
        <v>-3.0576750693211974E-4</v>
      </c>
      <c r="R307" s="260" t="s">
        <v>239</v>
      </c>
      <c r="S307" s="260" t="s">
        <v>514</v>
      </c>
      <c r="T307" s="260" t="s">
        <v>239</v>
      </c>
      <c r="U307" s="260" t="s">
        <v>514</v>
      </c>
    </row>
    <row r="308" spans="1:21" ht="14.5" x14ac:dyDescent="0.35">
      <c r="A308" s="260" t="s">
        <v>563</v>
      </c>
      <c r="B308" s="190">
        <v>45959</v>
      </c>
      <c r="C308" s="197">
        <v>114758</v>
      </c>
      <c r="D308" s="197">
        <v>0</v>
      </c>
      <c r="E308" s="197">
        <v>0</v>
      </c>
      <c r="F308" s="197">
        <v>0</v>
      </c>
      <c r="G308" s="197">
        <v>90304</v>
      </c>
      <c r="H308" s="197">
        <v>24418.9</v>
      </c>
      <c r="I308" s="197">
        <v>0</v>
      </c>
      <c r="J308" s="197">
        <v>114722.9</v>
      </c>
      <c r="K308" s="197">
        <v>114722.9</v>
      </c>
      <c r="L308" s="197">
        <v>24951.666666666664</v>
      </c>
      <c r="M308" s="197">
        <v>105.66666666666652</v>
      </c>
      <c r="N308" s="197">
        <v>0</v>
      </c>
      <c r="O308" s="197">
        <v>0</v>
      </c>
      <c r="P308" s="197">
        <v>-35.100000000005821</v>
      </c>
      <c r="Q308" s="197">
        <v>-3.0586102929652803E-4</v>
      </c>
      <c r="R308" s="260" t="s">
        <v>239</v>
      </c>
      <c r="S308" s="260" t="s">
        <v>514</v>
      </c>
      <c r="T308" s="260" t="s">
        <v>239</v>
      </c>
      <c r="U308" s="260" t="s">
        <v>514</v>
      </c>
    </row>
    <row r="309" spans="1:21" ht="14.5" x14ac:dyDescent="0.35">
      <c r="A309" s="260" t="s">
        <v>563</v>
      </c>
      <c r="B309" s="190">
        <v>45960</v>
      </c>
      <c r="C309" s="197">
        <v>114722.9</v>
      </c>
      <c r="D309" s="197">
        <v>0</v>
      </c>
      <c r="E309" s="197">
        <v>0</v>
      </c>
      <c r="F309" s="197">
        <v>0</v>
      </c>
      <c r="G309" s="197">
        <v>90304</v>
      </c>
      <c r="H309" s="197">
        <v>24385.1</v>
      </c>
      <c r="I309" s="197">
        <v>0</v>
      </c>
      <c r="J309" s="197">
        <v>114689.1</v>
      </c>
      <c r="K309" s="197">
        <v>114689.1</v>
      </c>
      <c r="L309" s="197">
        <v>24951.666666666664</v>
      </c>
      <c r="M309" s="197">
        <v>105.66666666666652</v>
      </c>
      <c r="N309" s="197">
        <v>0</v>
      </c>
      <c r="O309" s="197">
        <v>0</v>
      </c>
      <c r="P309" s="197">
        <v>-33.799999999988358</v>
      </c>
      <c r="Q309" s="197">
        <v>-2.9462295670690253E-4</v>
      </c>
      <c r="R309" s="260" t="s">
        <v>239</v>
      </c>
      <c r="S309" s="260" t="s">
        <v>514</v>
      </c>
      <c r="T309" s="260" t="s">
        <v>239</v>
      </c>
      <c r="U309" s="260" t="s">
        <v>514</v>
      </c>
    </row>
    <row r="310" spans="1:21" ht="14.5" x14ac:dyDescent="0.35">
      <c r="A310" s="260" t="s">
        <v>563</v>
      </c>
      <c r="B310" s="190">
        <v>45961</v>
      </c>
      <c r="C310" s="197">
        <v>114689.1</v>
      </c>
      <c r="D310" s="197">
        <v>0</v>
      </c>
      <c r="E310" s="197">
        <v>0</v>
      </c>
      <c r="F310" s="197">
        <v>0</v>
      </c>
      <c r="G310" s="197">
        <v>90304</v>
      </c>
      <c r="H310" s="197">
        <v>24350</v>
      </c>
      <c r="I310" s="197">
        <v>0</v>
      </c>
      <c r="J310" s="197">
        <v>114654</v>
      </c>
      <c r="K310" s="197">
        <v>114654</v>
      </c>
      <c r="L310" s="197">
        <v>24951.666666666664</v>
      </c>
      <c r="M310" s="197">
        <v>105.66666666666652</v>
      </c>
      <c r="N310" s="197">
        <v>0</v>
      </c>
      <c r="O310" s="197">
        <v>0</v>
      </c>
      <c r="P310" s="197">
        <v>-35.100000000005821</v>
      </c>
      <c r="Q310" s="197">
        <v>-3.0604477670503893E-4</v>
      </c>
      <c r="R310" s="260" t="s">
        <v>239</v>
      </c>
      <c r="S310" s="260" t="s">
        <v>514</v>
      </c>
      <c r="T310" s="260" t="s">
        <v>239</v>
      </c>
      <c r="U310" s="260" t="s">
        <v>514</v>
      </c>
    </row>
    <row r="311" spans="1:21" ht="14.5" x14ac:dyDescent="0.35">
      <c r="A311" s="260" t="s">
        <v>563</v>
      </c>
      <c r="B311" s="190">
        <v>45962</v>
      </c>
      <c r="C311" s="197">
        <v>114654</v>
      </c>
      <c r="D311" s="197">
        <v>0</v>
      </c>
      <c r="E311" s="197">
        <v>0</v>
      </c>
      <c r="F311" s="197">
        <v>0</v>
      </c>
      <c r="G311" s="197">
        <v>90304</v>
      </c>
      <c r="H311" s="197">
        <v>24350</v>
      </c>
      <c r="I311" s="197">
        <v>0</v>
      </c>
      <c r="J311" s="197">
        <v>114654</v>
      </c>
      <c r="K311" s="197">
        <v>114654</v>
      </c>
      <c r="L311" s="197">
        <v>24951.666666666664</v>
      </c>
      <c r="M311" s="197">
        <v>105.66666666666652</v>
      </c>
      <c r="N311" s="197">
        <v>0</v>
      </c>
      <c r="O311" s="197">
        <v>0</v>
      </c>
      <c r="P311" s="197">
        <v>0</v>
      </c>
      <c r="Q311" s="197">
        <v>0</v>
      </c>
      <c r="R311" s="260" t="s">
        <v>239</v>
      </c>
      <c r="S311" s="260" t="s">
        <v>514</v>
      </c>
      <c r="T311" s="260" t="s">
        <v>239</v>
      </c>
      <c r="U311" s="260" t="s">
        <v>514</v>
      </c>
    </row>
    <row r="312" spans="1:21" ht="14.5" x14ac:dyDescent="0.35">
      <c r="A312" s="260" t="s">
        <v>563</v>
      </c>
      <c r="B312" s="190">
        <v>45963</v>
      </c>
      <c r="C312" s="197">
        <v>114654</v>
      </c>
      <c r="D312" s="197">
        <v>0</v>
      </c>
      <c r="E312" s="197">
        <v>0</v>
      </c>
      <c r="F312" s="197">
        <v>0</v>
      </c>
      <c r="G312" s="197">
        <v>90304</v>
      </c>
      <c r="H312" s="197">
        <v>24350</v>
      </c>
      <c r="I312" s="197">
        <v>0</v>
      </c>
      <c r="J312" s="197">
        <v>114654</v>
      </c>
      <c r="K312" s="197">
        <v>114654</v>
      </c>
      <c r="L312" s="197">
        <v>24951.666666666664</v>
      </c>
      <c r="M312" s="197">
        <v>105.66666666666652</v>
      </c>
      <c r="N312" s="197">
        <v>0</v>
      </c>
      <c r="O312" s="197">
        <v>0</v>
      </c>
      <c r="P312" s="197">
        <v>0</v>
      </c>
      <c r="Q312" s="197">
        <v>0</v>
      </c>
      <c r="R312" s="260" t="s">
        <v>239</v>
      </c>
      <c r="S312" s="260" t="s">
        <v>514</v>
      </c>
      <c r="T312" s="260" t="s">
        <v>239</v>
      </c>
      <c r="U312" s="260" t="s">
        <v>514</v>
      </c>
    </row>
    <row r="313" spans="1:21" ht="14.5" x14ac:dyDescent="0.35">
      <c r="A313" s="260" t="s">
        <v>563</v>
      </c>
      <c r="B313" s="190">
        <v>45964</v>
      </c>
      <c r="C313" s="197">
        <v>114654</v>
      </c>
      <c r="D313" s="197">
        <v>0</v>
      </c>
      <c r="E313" s="197">
        <v>0</v>
      </c>
      <c r="F313" s="197">
        <v>0</v>
      </c>
      <c r="G313" s="197">
        <v>90304</v>
      </c>
      <c r="H313" s="197">
        <v>24182</v>
      </c>
      <c r="I313" s="197">
        <v>120</v>
      </c>
      <c r="J313" s="197">
        <v>114606</v>
      </c>
      <c r="K313" s="197">
        <v>114606</v>
      </c>
      <c r="L313" s="197">
        <v>24951.666666666664</v>
      </c>
      <c r="M313" s="197">
        <v>105.66666666666652</v>
      </c>
      <c r="N313" s="197">
        <v>0</v>
      </c>
      <c r="O313" s="197">
        <v>120</v>
      </c>
      <c r="P313" s="197">
        <v>-48</v>
      </c>
      <c r="Q313" s="197">
        <v>-4.1865089748283069E-4</v>
      </c>
      <c r="R313" s="260" t="s">
        <v>239</v>
      </c>
      <c r="S313" s="260" t="s">
        <v>514</v>
      </c>
      <c r="T313" s="260" t="s">
        <v>239</v>
      </c>
      <c r="U313" s="260" t="s">
        <v>514</v>
      </c>
    </row>
    <row r="314" spans="1:21" ht="14.5" x14ac:dyDescent="0.35">
      <c r="A314" s="260" t="s">
        <v>563</v>
      </c>
      <c r="B314" s="190">
        <v>45965</v>
      </c>
      <c r="C314" s="197">
        <v>114606</v>
      </c>
      <c r="D314" s="197">
        <v>0</v>
      </c>
      <c r="E314" s="197">
        <v>0</v>
      </c>
      <c r="F314" s="197">
        <v>0</v>
      </c>
      <c r="G314" s="197">
        <v>90304</v>
      </c>
      <c r="H314" s="197">
        <v>24158.6</v>
      </c>
      <c r="I314" s="197">
        <v>120</v>
      </c>
      <c r="J314" s="197">
        <v>114582.6</v>
      </c>
      <c r="K314" s="197">
        <v>114582.6</v>
      </c>
      <c r="L314" s="197">
        <v>24951.666666666664</v>
      </c>
      <c r="M314" s="197">
        <v>105.66666666666652</v>
      </c>
      <c r="N314" s="197">
        <v>0</v>
      </c>
      <c r="O314" s="197">
        <v>0</v>
      </c>
      <c r="P314" s="197">
        <v>-23.399999999994179</v>
      </c>
      <c r="Q314" s="197">
        <v>-2.041777917386467E-4</v>
      </c>
      <c r="R314" s="260" t="s">
        <v>239</v>
      </c>
      <c r="S314" s="260" t="s">
        <v>514</v>
      </c>
      <c r="T314" s="260" t="s">
        <v>239</v>
      </c>
      <c r="U314" s="260" t="s">
        <v>514</v>
      </c>
    </row>
    <row r="315" spans="1:21" ht="14.5" x14ac:dyDescent="0.35">
      <c r="A315" s="260" t="s">
        <v>563</v>
      </c>
      <c r="B315" s="190">
        <v>45966</v>
      </c>
      <c r="C315" s="197">
        <v>114582.6</v>
      </c>
      <c r="D315" s="197">
        <v>0</v>
      </c>
      <c r="E315" s="197">
        <v>0</v>
      </c>
      <c r="F315" s="197">
        <v>0</v>
      </c>
      <c r="G315" s="197">
        <v>90304</v>
      </c>
      <c r="H315" s="197">
        <v>24135.200000000001</v>
      </c>
      <c r="I315" s="197">
        <v>120</v>
      </c>
      <c r="J315" s="197">
        <v>114559.2</v>
      </c>
      <c r="K315" s="197">
        <v>114559.2</v>
      </c>
      <c r="L315" s="197">
        <v>24951.666666666664</v>
      </c>
      <c r="M315" s="197">
        <v>105.66666666666652</v>
      </c>
      <c r="N315" s="197">
        <v>0</v>
      </c>
      <c r="O315" s="197">
        <v>0</v>
      </c>
      <c r="P315" s="197">
        <v>-23.400000000008731</v>
      </c>
      <c r="Q315" s="197">
        <v>-2.0421948882298757E-4</v>
      </c>
      <c r="R315" s="260" t="s">
        <v>239</v>
      </c>
      <c r="S315" s="260" t="s">
        <v>514</v>
      </c>
      <c r="T315" s="260" t="s">
        <v>239</v>
      </c>
      <c r="U315" s="260" t="s">
        <v>514</v>
      </c>
    </row>
    <row r="316" spans="1:21" ht="14.5" x14ac:dyDescent="0.35">
      <c r="A316" s="260" t="s">
        <v>563</v>
      </c>
      <c r="B316" s="190">
        <v>45967</v>
      </c>
      <c r="C316" s="197">
        <v>114559.2</v>
      </c>
      <c r="D316" s="197">
        <v>0</v>
      </c>
      <c r="E316" s="197">
        <v>0</v>
      </c>
      <c r="F316" s="197">
        <v>0</v>
      </c>
      <c r="G316" s="197">
        <v>90304</v>
      </c>
      <c r="H316" s="197">
        <v>24110.6</v>
      </c>
      <c r="I316" s="197">
        <v>120</v>
      </c>
      <c r="J316" s="197">
        <v>114534.6</v>
      </c>
      <c r="K316" s="197">
        <v>114534.6</v>
      </c>
      <c r="L316" s="197">
        <v>24951.666666666664</v>
      </c>
      <c r="M316" s="197">
        <v>105.66666666666652</v>
      </c>
      <c r="N316" s="197">
        <v>0</v>
      </c>
      <c r="O316" s="197">
        <v>0</v>
      </c>
      <c r="P316" s="197">
        <v>-24.599999999991269</v>
      </c>
      <c r="Q316" s="197">
        <v>-2.1473613642541967E-4</v>
      </c>
      <c r="R316" s="260" t="s">
        <v>239</v>
      </c>
      <c r="S316" s="260" t="s">
        <v>514</v>
      </c>
      <c r="T316" s="260" t="s">
        <v>239</v>
      </c>
      <c r="U316" s="260" t="s">
        <v>514</v>
      </c>
    </row>
    <row r="317" spans="1:21" ht="14.5" x14ac:dyDescent="0.35">
      <c r="A317" s="260" t="s">
        <v>563</v>
      </c>
      <c r="B317" s="190">
        <v>45968</v>
      </c>
      <c r="C317" s="197">
        <v>114534.6</v>
      </c>
      <c r="D317" s="197">
        <v>0</v>
      </c>
      <c r="E317" s="197">
        <v>0</v>
      </c>
      <c r="F317" s="197">
        <v>0</v>
      </c>
      <c r="G317" s="197">
        <v>90304</v>
      </c>
      <c r="H317" s="197">
        <v>24087.200000000001</v>
      </c>
      <c r="I317" s="197">
        <v>120</v>
      </c>
      <c r="J317" s="197">
        <v>114511.2</v>
      </c>
      <c r="K317" s="197">
        <v>114511.2</v>
      </c>
      <c r="L317" s="197">
        <v>24951.666666666664</v>
      </c>
      <c r="M317" s="197">
        <v>105.66666666666652</v>
      </c>
      <c r="N317" s="197">
        <v>0</v>
      </c>
      <c r="O317" s="197">
        <v>0</v>
      </c>
      <c r="P317" s="197">
        <v>-23.400000000008731</v>
      </c>
      <c r="Q317" s="197">
        <v>-2.0430507462376735E-4</v>
      </c>
      <c r="R317" s="260" t="s">
        <v>239</v>
      </c>
      <c r="S317" s="260" t="s">
        <v>514</v>
      </c>
      <c r="T317" s="260" t="s">
        <v>239</v>
      </c>
      <c r="U317" s="260" t="s">
        <v>514</v>
      </c>
    </row>
    <row r="318" spans="1:21" ht="14.5" x14ac:dyDescent="0.35">
      <c r="A318" s="260" t="s">
        <v>563</v>
      </c>
      <c r="B318" s="190">
        <v>45969</v>
      </c>
      <c r="C318" s="197">
        <v>114511.2</v>
      </c>
      <c r="D318" s="197">
        <v>0</v>
      </c>
      <c r="E318" s="197">
        <v>0</v>
      </c>
      <c r="F318" s="197">
        <v>0</v>
      </c>
      <c r="G318" s="197">
        <v>90304</v>
      </c>
      <c r="H318" s="197">
        <v>24087.200000000001</v>
      </c>
      <c r="I318" s="197">
        <v>120</v>
      </c>
      <c r="J318" s="197">
        <v>114511.2</v>
      </c>
      <c r="K318" s="197">
        <v>114511.2</v>
      </c>
      <c r="L318" s="197">
        <v>24951.666666666664</v>
      </c>
      <c r="M318" s="197">
        <v>105.66666666666652</v>
      </c>
      <c r="N318" s="197">
        <v>0</v>
      </c>
      <c r="O318" s="197">
        <v>0</v>
      </c>
      <c r="P318" s="197">
        <v>0</v>
      </c>
      <c r="Q318" s="197">
        <v>0</v>
      </c>
      <c r="R318" s="260" t="s">
        <v>239</v>
      </c>
      <c r="S318" s="260" t="s">
        <v>514</v>
      </c>
      <c r="T318" s="260" t="s">
        <v>239</v>
      </c>
      <c r="U318" s="260" t="s">
        <v>514</v>
      </c>
    </row>
    <row r="319" spans="1:21" ht="14.5" x14ac:dyDescent="0.35">
      <c r="A319" s="260" t="s">
        <v>563</v>
      </c>
      <c r="B319" s="190">
        <v>45970</v>
      </c>
      <c r="C319" s="197">
        <v>114511.2</v>
      </c>
      <c r="D319" s="197">
        <v>0</v>
      </c>
      <c r="E319" s="197">
        <v>0</v>
      </c>
      <c r="F319" s="197">
        <v>0</v>
      </c>
      <c r="G319" s="197">
        <v>90304</v>
      </c>
      <c r="H319" s="197">
        <v>24087.200000000001</v>
      </c>
      <c r="I319" s="197">
        <v>120</v>
      </c>
      <c r="J319" s="197">
        <v>114511.2</v>
      </c>
      <c r="K319" s="197">
        <v>114511.2</v>
      </c>
      <c r="L319" s="197">
        <v>24951.666666666664</v>
      </c>
      <c r="M319" s="197">
        <v>105.66666666666652</v>
      </c>
      <c r="N319" s="197">
        <v>0</v>
      </c>
      <c r="O319" s="197">
        <v>0</v>
      </c>
      <c r="P319" s="197">
        <v>0</v>
      </c>
      <c r="Q319" s="197">
        <v>0</v>
      </c>
      <c r="R319" s="260" t="s">
        <v>239</v>
      </c>
      <c r="S319" s="260" t="s">
        <v>514</v>
      </c>
      <c r="T319" s="260" t="s">
        <v>239</v>
      </c>
      <c r="U319" s="260" t="s">
        <v>514</v>
      </c>
    </row>
    <row r="320" spans="1:21" ht="14.5" x14ac:dyDescent="0.35">
      <c r="A320" s="260" t="s">
        <v>563</v>
      </c>
      <c r="B320" s="190">
        <v>45971</v>
      </c>
      <c r="C320" s="197">
        <v>114511.2</v>
      </c>
      <c r="D320" s="197">
        <v>0</v>
      </c>
      <c r="E320" s="197">
        <v>0</v>
      </c>
      <c r="F320" s="197">
        <v>0</v>
      </c>
      <c r="G320" s="197">
        <v>97996</v>
      </c>
      <c r="H320" s="197">
        <v>16343.099999999999</v>
      </c>
      <c r="I320" s="197">
        <v>120</v>
      </c>
      <c r="J320" s="197">
        <v>114459.1</v>
      </c>
      <c r="K320" s="197">
        <v>114459.1</v>
      </c>
      <c r="L320" s="197">
        <v>16943.666666666664</v>
      </c>
      <c r="M320" s="197">
        <v>-210.33333333333348</v>
      </c>
      <c r="N320" s="197">
        <v>8</v>
      </c>
      <c r="O320" s="197">
        <v>0</v>
      </c>
      <c r="P320" s="197">
        <v>-52.099999999991269</v>
      </c>
      <c r="Q320" s="197">
        <v>-4.5497732972832328E-4</v>
      </c>
      <c r="R320" s="260" t="s">
        <v>239</v>
      </c>
      <c r="S320" s="260" t="s">
        <v>514</v>
      </c>
      <c r="T320" s="260" t="s">
        <v>239</v>
      </c>
      <c r="U320" s="260" t="s">
        <v>514</v>
      </c>
    </row>
    <row r="321" spans="1:21" ht="14.5" x14ac:dyDescent="0.35">
      <c r="A321" s="260" t="s">
        <v>563</v>
      </c>
      <c r="B321" s="190">
        <v>45972</v>
      </c>
      <c r="C321" s="197">
        <v>114459.1</v>
      </c>
      <c r="D321" s="197">
        <v>0</v>
      </c>
      <c r="E321" s="197">
        <v>0</v>
      </c>
      <c r="F321" s="197">
        <v>0</v>
      </c>
      <c r="G321" s="197">
        <v>97996</v>
      </c>
      <c r="H321" s="197">
        <v>16309.7</v>
      </c>
      <c r="I321" s="197">
        <v>120</v>
      </c>
      <c r="J321" s="197">
        <v>114425.7</v>
      </c>
      <c r="K321" s="197">
        <v>114425.7</v>
      </c>
      <c r="L321" s="197">
        <v>16943.666666666664</v>
      </c>
      <c r="M321" s="197">
        <v>-210.33333333333348</v>
      </c>
      <c r="N321" s="197">
        <v>0</v>
      </c>
      <c r="O321" s="197">
        <v>0</v>
      </c>
      <c r="P321" s="197">
        <v>-33.400000000008731</v>
      </c>
      <c r="Q321" s="197">
        <v>-2.918072918624004E-4</v>
      </c>
      <c r="R321" s="260" t="s">
        <v>239</v>
      </c>
      <c r="S321" s="260" t="s">
        <v>514</v>
      </c>
      <c r="T321" s="260" t="s">
        <v>239</v>
      </c>
      <c r="U321" s="260" t="s">
        <v>514</v>
      </c>
    </row>
    <row r="322" spans="1:21" ht="14.5" x14ac:dyDescent="0.35">
      <c r="A322" s="260" t="s">
        <v>563</v>
      </c>
      <c r="B322" s="190">
        <v>45973</v>
      </c>
      <c r="C322" s="197">
        <v>114425.7</v>
      </c>
      <c r="D322" s="197">
        <v>0</v>
      </c>
      <c r="E322" s="197">
        <v>0</v>
      </c>
      <c r="F322" s="197">
        <v>0</v>
      </c>
      <c r="G322" s="197">
        <v>97996</v>
      </c>
      <c r="H322" s="197">
        <v>16274.100000000002</v>
      </c>
      <c r="I322" s="197">
        <v>120</v>
      </c>
      <c r="J322" s="197">
        <v>114390.1</v>
      </c>
      <c r="K322" s="197">
        <v>114390.1</v>
      </c>
      <c r="L322" s="197">
        <v>16943.666666666664</v>
      </c>
      <c r="M322" s="197">
        <v>-210.33333333333348</v>
      </c>
      <c r="N322" s="197">
        <v>0</v>
      </c>
      <c r="O322" s="197">
        <v>0</v>
      </c>
      <c r="P322" s="197">
        <v>-35.599999999991269</v>
      </c>
      <c r="Q322" s="197">
        <v>-3.1111891821500315E-4</v>
      </c>
      <c r="R322" s="260" t="s">
        <v>239</v>
      </c>
      <c r="S322" s="260" t="s">
        <v>514</v>
      </c>
      <c r="T322" s="260" t="s">
        <v>239</v>
      </c>
      <c r="U322" s="260" t="s">
        <v>514</v>
      </c>
    </row>
    <row r="323" spans="1:21" ht="14.5" x14ac:dyDescent="0.35">
      <c r="A323" s="260" t="s">
        <v>563</v>
      </c>
      <c r="B323" s="190">
        <v>45974</v>
      </c>
      <c r="C323" s="197">
        <v>114390.1</v>
      </c>
      <c r="D323" s="197">
        <v>0</v>
      </c>
      <c r="E323" s="197">
        <v>0</v>
      </c>
      <c r="F323" s="197">
        <v>0</v>
      </c>
      <c r="G323" s="197">
        <v>97996</v>
      </c>
      <c r="H323" s="197">
        <v>16240.699999999999</v>
      </c>
      <c r="I323" s="197">
        <v>120</v>
      </c>
      <c r="J323" s="197">
        <v>114356.7</v>
      </c>
      <c r="K323" s="197">
        <v>114356.7</v>
      </c>
      <c r="L323" s="197">
        <v>16943.666666666664</v>
      </c>
      <c r="M323" s="197">
        <v>-210.33333333333348</v>
      </c>
      <c r="N323" s="197">
        <v>0</v>
      </c>
      <c r="O323" s="197">
        <v>0</v>
      </c>
      <c r="P323" s="197">
        <v>-33.400000000008731</v>
      </c>
      <c r="Q323" s="197">
        <v>-2.9198330974455899E-4</v>
      </c>
      <c r="R323" s="260" t="s">
        <v>239</v>
      </c>
      <c r="S323" s="260" t="s">
        <v>514</v>
      </c>
      <c r="T323" s="260" t="s">
        <v>239</v>
      </c>
      <c r="U323" s="260" t="s">
        <v>514</v>
      </c>
    </row>
    <row r="324" spans="1:21" ht="14.5" x14ac:dyDescent="0.35">
      <c r="A324" s="260" t="s">
        <v>563</v>
      </c>
      <c r="B324" s="190">
        <v>45975</v>
      </c>
      <c r="C324" s="197">
        <v>114356.7</v>
      </c>
      <c r="D324" s="197">
        <v>0</v>
      </c>
      <c r="E324" s="197">
        <v>0</v>
      </c>
      <c r="F324" s="197">
        <v>0</v>
      </c>
      <c r="G324" s="197">
        <v>97996</v>
      </c>
      <c r="H324" s="197">
        <v>16207.3</v>
      </c>
      <c r="I324" s="197">
        <v>120</v>
      </c>
      <c r="J324" s="197">
        <v>114323.3</v>
      </c>
      <c r="K324" s="197">
        <v>114323.3</v>
      </c>
      <c r="L324" s="197">
        <v>16943.666666666664</v>
      </c>
      <c r="M324" s="197">
        <v>-210.33333333333348</v>
      </c>
      <c r="N324" s="197">
        <v>0</v>
      </c>
      <c r="O324" s="197">
        <v>0</v>
      </c>
      <c r="P324" s="197">
        <v>-33.399999999994179</v>
      </c>
      <c r="Q324" s="197">
        <v>-2.9206858889763154E-4</v>
      </c>
      <c r="R324" s="260" t="s">
        <v>239</v>
      </c>
      <c r="S324" s="260" t="s">
        <v>514</v>
      </c>
      <c r="T324" s="260" t="s">
        <v>239</v>
      </c>
      <c r="U324" s="260" t="s">
        <v>514</v>
      </c>
    </row>
    <row r="325" spans="1:21" ht="14.5" x14ac:dyDescent="0.35">
      <c r="A325" s="260" t="s">
        <v>563</v>
      </c>
      <c r="B325" s="190">
        <v>45976</v>
      </c>
      <c r="C325" s="197">
        <v>114323.3</v>
      </c>
      <c r="D325" s="197">
        <v>0</v>
      </c>
      <c r="E325" s="197">
        <v>0</v>
      </c>
      <c r="F325" s="197">
        <v>0</v>
      </c>
      <c r="G325" s="197">
        <v>97996</v>
      </c>
      <c r="H325" s="197">
        <v>16207.3</v>
      </c>
      <c r="I325" s="197">
        <v>120</v>
      </c>
      <c r="J325" s="197">
        <v>114323.3</v>
      </c>
      <c r="K325" s="197">
        <v>114323.3</v>
      </c>
      <c r="L325" s="197">
        <v>16943.666666666664</v>
      </c>
      <c r="M325" s="197">
        <v>-210.33333333333348</v>
      </c>
      <c r="N325" s="197">
        <v>0</v>
      </c>
      <c r="O325" s="197">
        <v>0</v>
      </c>
      <c r="P325" s="197">
        <v>0</v>
      </c>
      <c r="Q325" s="197">
        <v>0</v>
      </c>
      <c r="R325" s="260" t="s">
        <v>239</v>
      </c>
      <c r="S325" s="260" t="s">
        <v>514</v>
      </c>
      <c r="T325" s="260" t="s">
        <v>239</v>
      </c>
      <c r="U325" s="260" t="s">
        <v>514</v>
      </c>
    </row>
    <row r="326" spans="1:21" ht="14.5" x14ac:dyDescent="0.35">
      <c r="A326" s="260" t="s">
        <v>563</v>
      </c>
      <c r="B326" s="190">
        <v>45977</v>
      </c>
      <c r="C326" s="197">
        <v>114323.3</v>
      </c>
      <c r="D326" s="197">
        <v>0</v>
      </c>
      <c r="E326" s="197">
        <v>0</v>
      </c>
      <c r="F326" s="197">
        <v>0</v>
      </c>
      <c r="G326" s="197">
        <v>97996</v>
      </c>
      <c r="H326" s="197">
        <v>16207.3</v>
      </c>
      <c r="I326" s="197">
        <v>120</v>
      </c>
      <c r="J326" s="197">
        <v>114323.3</v>
      </c>
      <c r="K326" s="197">
        <v>114323.3</v>
      </c>
      <c r="L326" s="197">
        <v>16943.666666666664</v>
      </c>
      <c r="M326" s="197">
        <v>-210.33333333333348</v>
      </c>
      <c r="N326" s="197">
        <v>0</v>
      </c>
      <c r="O326" s="197">
        <v>0</v>
      </c>
      <c r="P326" s="197">
        <v>0</v>
      </c>
      <c r="Q326" s="197">
        <v>0</v>
      </c>
      <c r="R326" s="260" t="s">
        <v>239</v>
      </c>
      <c r="S326" s="260" t="s">
        <v>514</v>
      </c>
      <c r="T326" s="260" t="s">
        <v>239</v>
      </c>
      <c r="U326" s="260" t="s">
        <v>514</v>
      </c>
    </row>
    <row r="327" spans="1:21" ht="14.5" x14ac:dyDescent="0.35">
      <c r="A327" s="260" t="s">
        <v>563</v>
      </c>
      <c r="B327" s="190">
        <v>45978</v>
      </c>
      <c r="C327" s="197">
        <v>114323.3</v>
      </c>
      <c r="D327" s="197">
        <v>0</v>
      </c>
      <c r="E327" s="197">
        <v>0</v>
      </c>
      <c r="F327" s="197">
        <v>0</v>
      </c>
      <c r="G327" s="197">
        <v>97996</v>
      </c>
      <c r="H327" s="197">
        <v>16102.7</v>
      </c>
      <c r="I327" s="197">
        <v>120</v>
      </c>
      <c r="J327" s="197">
        <v>114218.7</v>
      </c>
      <c r="K327" s="197">
        <v>114218.7</v>
      </c>
      <c r="L327" s="197">
        <v>16943.666666666664</v>
      </c>
      <c r="M327" s="197">
        <v>-210.33333333333348</v>
      </c>
      <c r="N327" s="197">
        <v>0</v>
      </c>
      <c r="O327" s="197">
        <v>0</v>
      </c>
      <c r="P327" s="197">
        <v>-104.60000000000582</v>
      </c>
      <c r="Q327" s="197">
        <v>-9.149490961161133E-4</v>
      </c>
      <c r="R327" s="260" t="s">
        <v>239</v>
      </c>
      <c r="S327" s="260" t="s">
        <v>514</v>
      </c>
      <c r="T327" s="260" t="s">
        <v>239</v>
      </c>
      <c r="U327" s="260" t="s">
        <v>514</v>
      </c>
    </row>
    <row r="328" spans="1:21" ht="14.5" x14ac:dyDescent="0.35">
      <c r="A328" s="260" t="s">
        <v>563</v>
      </c>
      <c r="B328" s="190">
        <v>45979</v>
      </c>
      <c r="C328" s="197">
        <v>114218.7</v>
      </c>
      <c r="D328" s="197">
        <v>0</v>
      </c>
      <c r="E328" s="197">
        <v>0</v>
      </c>
      <c r="F328" s="197">
        <v>0</v>
      </c>
      <c r="G328" s="197">
        <v>97996</v>
      </c>
      <c r="H328" s="197">
        <v>16069.300000000001</v>
      </c>
      <c r="I328" s="197">
        <v>120</v>
      </c>
      <c r="J328" s="197">
        <v>114185.3</v>
      </c>
      <c r="K328" s="197">
        <v>114185.3</v>
      </c>
      <c r="L328" s="197">
        <v>16943.666666666664</v>
      </c>
      <c r="M328" s="197">
        <v>-210.33333333333348</v>
      </c>
      <c r="N328" s="197">
        <v>0</v>
      </c>
      <c r="O328" s="197">
        <v>0</v>
      </c>
      <c r="P328" s="197">
        <v>-33.399999999994179</v>
      </c>
      <c r="Q328" s="197">
        <v>-2.9242146863861507E-4</v>
      </c>
      <c r="R328" s="260" t="s">
        <v>239</v>
      </c>
      <c r="S328" s="260" t="s">
        <v>514</v>
      </c>
      <c r="T328" s="260" t="s">
        <v>239</v>
      </c>
      <c r="U328" s="260" t="s">
        <v>514</v>
      </c>
    </row>
    <row r="329" spans="1:21" ht="14.5" x14ac:dyDescent="0.35">
      <c r="A329" s="260" t="s">
        <v>563</v>
      </c>
      <c r="B329" s="190">
        <v>45980</v>
      </c>
      <c r="C329" s="197">
        <v>114185.3</v>
      </c>
      <c r="D329" s="197">
        <v>0</v>
      </c>
      <c r="E329" s="197">
        <v>0</v>
      </c>
      <c r="F329" s="197">
        <v>0</v>
      </c>
      <c r="G329" s="197">
        <v>97996</v>
      </c>
      <c r="H329" s="197">
        <v>16035.899999999998</v>
      </c>
      <c r="I329" s="197">
        <v>120</v>
      </c>
      <c r="J329" s="197">
        <v>114151.9</v>
      </c>
      <c r="K329" s="197">
        <v>114151.9</v>
      </c>
      <c r="L329" s="197">
        <v>16943.666666666664</v>
      </c>
      <c r="M329" s="197">
        <v>-210.33333333333348</v>
      </c>
      <c r="N329" s="197">
        <v>0</v>
      </c>
      <c r="O329" s="197">
        <v>0</v>
      </c>
      <c r="P329" s="197">
        <v>-33.400000000008731</v>
      </c>
      <c r="Q329" s="197">
        <v>-2.925070039664357E-4</v>
      </c>
      <c r="R329" s="260" t="s">
        <v>239</v>
      </c>
      <c r="S329" s="260" t="s">
        <v>514</v>
      </c>
      <c r="T329" s="260" t="s">
        <v>239</v>
      </c>
      <c r="U329" s="260" t="s">
        <v>514</v>
      </c>
    </row>
    <row r="330" spans="1:21" ht="14.5" x14ac:dyDescent="0.35">
      <c r="A330" s="260" t="s">
        <v>563</v>
      </c>
      <c r="B330" s="190">
        <v>45981</v>
      </c>
      <c r="C330" s="197">
        <v>114151.9</v>
      </c>
      <c r="D330" s="197">
        <v>0</v>
      </c>
      <c r="E330" s="197">
        <v>0</v>
      </c>
      <c r="F330" s="197">
        <v>0</v>
      </c>
      <c r="G330" s="197">
        <v>97996</v>
      </c>
      <c r="H330" s="197">
        <v>16000.3</v>
      </c>
      <c r="I330" s="197">
        <v>120</v>
      </c>
      <c r="J330" s="197">
        <v>114116.3</v>
      </c>
      <c r="K330" s="197">
        <v>114116.3</v>
      </c>
      <c r="L330" s="197">
        <v>16943.666666666664</v>
      </c>
      <c r="M330" s="197">
        <v>-210.33333333333348</v>
      </c>
      <c r="N330" s="197">
        <v>0</v>
      </c>
      <c r="O330" s="197">
        <v>0</v>
      </c>
      <c r="P330" s="197">
        <v>-35.599999999991269</v>
      </c>
      <c r="Q330" s="197">
        <v>-3.1186515511338886E-4</v>
      </c>
      <c r="R330" s="260" t="s">
        <v>239</v>
      </c>
      <c r="S330" s="260" t="s">
        <v>514</v>
      </c>
      <c r="T330" s="260" t="s">
        <v>239</v>
      </c>
      <c r="U330" s="260" t="s">
        <v>514</v>
      </c>
    </row>
    <row r="331" spans="1:21" ht="14.5" x14ac:dyDescent="0.35">
      <c r="A331" s="260" t="s">
        <v>563</v>
      </c>
      <c r="B331" s="190">
        <v>45982</v>
      </c>
      <c r="C331" s="197">
        <v>114116.3</v>
      </c>
      <c r="D331" s="197">
        <v>0</v>
      </c>
      <c r="E331" s="197">
        <v>0</v>
      </c>
      <c r="F331" s="197">
        <v>0</v>
      </c>
      <c r="G331" s="197">
        <v>97996</v>
      </c>
      <c r="H331" s="197">
        <v>15966.900000000001</v>
      </c>
      <c r="I331" s="197">
        <v>120</v>
      </c>
      <c r="J331" s="197">
        <v>114082.9</v>
      </c>
      <c r="K331" s="197">
        <v>114082.9</v>
      </c>
      <c r="L331" s="197">
        <v>16943.666666666664</v>
      </c>
      <c r="M331" s="197">
        <v>-210.33333333333348</v>
      </c>
      <c r="N331" s="197">
        <v>0</v>
      </c>
      <c r="O331" s="197">
        <v>0</v>
      </c>
      <c r="P331" s="197">
        <v>-33.400000000008731</v>
      </c>
      <c r="Q331" s="197">
        <v>-2.9268386724778939E-4</v>
      </c>
      <c r="R331" s="260" t="s">
        <v>239</v>
      </c>
      <c r="S331" s="260" t="s">
        <v>514</v>
      </c>
      <c r="T331" s="260" t="s">
        <v>239</v>
      </c>
      <c r="U331" s="260" t="s">
        <v>514</v>
      </c>
    </row>
    <row r="332" spans="1:21" ht="14.5" x14ac:dyDescent="0.35">
      <c r="A332" s="260" t="s">
        <v>563</v>
      </c>
      <c r="B332" s="190">
        <v>45983</v>
      </c>
      <c r="C332" s="197">
        <v>114082.9</v>
      </c>
      <c r="D332" s="197">
        <v>0</v>
      </c>
      <c r="E332" s="197">
        <v>0</v>
      </c>
      <c r="F332" s="197">
        <v>0</v>
      </c>
      <c r="G332" s="197">
        <v>97996</v>
      </c>
      <c r="H332" s="197">
        <v>15966.900000000001</v>
      </c>
      <c r="I332" s="197">
        <v>120</v>
      </c>
      <c r="J332" s="197">
        <v>114082.9</v>
      </c>
      <c r="K332" s="197">
        <v>114082.9</v>
      </c>
      <c r="L332" s="197">
        <v>16943.666666666664</v>
      </c>
      <c r="M332" s="197">
        <v>-210.33333333333348</v>
      </c>
      <c r="N332" s="197">
        <v>0</v>
      </c>
      <c r="O332" s="197">
        <v>0</v>
      </c>
      <c r="P332" s="197">
        <v>0</v>
      </c>
      <c r="Q332" s="197">
        <v>0</v>
      </c>
      <c r="R332" s="260" t="s">
        <v>239</v>
      </c>
      <c r="S332" s="260" t="s">
        <v>514</v>
      </c>
      <c r="T332" s="260" t="s">
        <v>239</v>
      </c>
      <c r="U332" s="260" t="s">
        <v>514</v>
      </c>
    </row>
    <row r="333" spans="1:21" ht="14.5" x14ac:dyDescent="0.35">
      <c r="A333" s="260" t="s">
        <v>563</v>
      </c>
      <c r="B333" s="190">
        <v>45984</v>
      </c>
      <c r="C333" s="197">
        <v>114082.9</v>
      </c>
      <c r="D333" s="197">
        <v>0</v>
      </c>
      <c r="E333" s="197">
        <v>0</v>
      </c>
      <c r="F333" s="197">
        <v>0</v>
      </c>
      <c r="G333" s="197">
        <v>97996</v>
      </c>
      <c r="H333" s="197">
        <v>15966.900000000001</v>
      </c>
      <c r="I333" s="197">
        <v>120</v>
      </c>
      <c r="J333" s="197">
        <v>114082.9</v>
      </c>
      <c r="K333" s="197">
        <v>114082.9</v>
      </c>
      <c r="L333" s="197">
        <v>16943.666666666664</v>
      </c>
      <c r="M333" s="197">
        <v>-210.33333333333348</v>
      </c>
      <c r="N333" s="197">
        <v>0</v>
      </c>
      <c r="O333" s="197">
        <v>0</v>
      </c>
      <c r="P333" s="197">
        <v>0</v>
      </c>
      <c r="Q333" s="197">
        <v>0</v>
      </c>
      <c r="R333" s="260" t="s">
        <v>239</v>
      </c>
      <c r="S333" s="260" t="s">
        <v>514</v>
      </c>
      <c r="T333" s="260" t="s">
        <v>239</v>
      </c>
      <c r="U333" s="260" t="s">
        <v>514</v>
      </c>
    </row>
    <row r="334" spans="1:21" ht="14.5" x14ac:dyDescent="0.35">
      <c r="A334" s="260" t="s">
        <v>563</v>
      </c>
      <c r="B334" s="190">
        <v>45985</v>
      </c>
      <c r="C334" s="197">
        <v>114082.9</v>
      </c>
      <c r="D334" s="197">
        <v>0</v>
      </c>
      <c r="E334" s="197">
        <v>0</v>
      </c>
      <c r="F334" s="197">
        <v>0</v>
      </c>
      <c r="G334" s="197">
        <v>97996</v>
      </c>
      <c r="H334" s="197">
        <v>15864.8</v>
      </c>
      <c r="I334" s="197">
        <v>120</v>
      </c>
      <c r="J334" s="197">
        <v>113980.8</v>
      </c>
      <c r="K334" s="197">
        <v>113980.8</v>
      </c>
      <c r="L334" s="197">
        <v>16943.666666666664</v>
      </c>
      <c r="M334" s="197">
        <v>-210.33333333333348</v>
      </c>
      <c r="N334" s="197">
        <v>0</v>
      </c>
      <c r="O334" s="197">
        <v>0</v>
      </c>
      <c r="P334" s="197">
        <v>-102.09999999999127</v>
      </c>
      <c r="Q334" s="197">
        <v>-8.9496322411153351E-4</v>
      </c>
      <c r="R334" s="260" t="s">
        <v>239</v>
      </c>
      <c r="S334" s="260" t="s">
        <v>514</v>
      </c>
      <c r="T334" s="260" t="s">
        <v>239</v>
      </c>
      <c r="U334" s="260" t="s">
        <v>514</v>
      </c>
    </row>
    <row r="335" spans="1:21" ht="14.5" x14ac:dyDescent="0.35">
      <c r="A335" s="260" t="s">
        <v>563</v>
      </c>
      <c r="B335" s="190">
        <v>45986</v>
      </c>
      <c r="C335" s="197">
        <v>113980.8</v>
      </c>
      <c r="D335" s="197">
        <v>0</v>
      </c>
      <c r="E335" s="197">
        <v>0</v>
      </c>
      <c r="F335" s="197">
        <v>0</v>
      </c>
      <c r="G335" s="197">
        <v>97996</v>
      </c>
      <c r="H335" s="197">
        <v>15831.400000000001</v>
      </c>
      <c r="I335" s="197">
        <v>120</v>
      </c>
      <c r="J335" s="197">
        <v>113947.4</v>
      </c>
      <c r="K335" s="197">
        <v>113947.4</v>
      </c>
      <c r="L335" s="197">
        <v>16943.666666666664</v>
      </c>
      <c r="M335" s="197">
        <v>-210.33333333333348</v>
      </c>
      <c r="N335" s="197">
        <v>0</v>
      </c>
      <c r="O335" s="197">
        <v>0</v>
      </c>
      <c r="P335" s="197">
        <v>-33.400000000008731</v>
      </c>
      <c r="Q335" s="197">
        <v>-2.9303180886608438E-4</v>
      </c>
      <c r="R335" s="260" t="s">
        <v>239</v>
      </c>
      <c r="S335" s="260" t="s">
        <v>514</v>
      </c>
      <c r="T335" s="260" t="s">
        <v>239</v>
      </c>
      <c r="U335" s="260" t="s">
        <v>514</v>
      </c>
    </row>
    <row r="336" spans="1:21" ht="14.5" x14ac:dyDescent="0.35">
      <c r="A336" s="260" t="s">
        <v>563</v>
      </c>
      <c r="B336" s="190">
        <v>45987</v>
      </c>
      <c r="C336" s="197">
        <v>113947.4</v>
      </c>
      <c r="D336" s="197">
        <v>0</v>
      </c>
      <c r="E336" s="197">
        <v>0</v>
      </c>
      <c r="F336" s="197">
        <v>0</v>
      </c>
      <c r="G336" s="197">
        <v>97996</v>
      </c>
      <c r="H336" s="197">
        <v>15795.8</v>
      </c>
      <c r="I336" s="197">
        <v>120</v>
      </c>
      <c r="J336" s="197">
        <v>113911.8</v>
      </c>
      <c r="K336" s="197">
        <v>113911.8</v>
      </c>
      <c r="L336" s="197">
        <v>16943.666666666664</v>
      </c>
      <c r="M336" s="197">
        <v>-210.33333333333348</v>
      </c>
      <c r="N336" s="197">
        <v>0</v>
      </c>
      <c r="O336" s="197">
        <v>0</v>
      </c>
      <c r="P336" s="197">
        <v>-35.599999999991269</v>
      </c>
      <c r="Q336" s="197">
        <v>-3.1242485567894995E-4</v>
      </c>
      <c r="R336" s="260" t="s">
        <v>239</v>
      </c>
      <c r="S336" s="260" t="s">
        <v>514</v>
      </c>
      <c r="T336" s="260" t="s">
        <v>239</v>
      </c>
      <c r="U336" s="260" t="s">
        <v>514</v>
      </c>
    </row>
    <row r="337" spans="1:21" ht="14.5" x14ac:dyDescent="0.35">
      <c r="A337" s="260" t="s">
        <v>563</v>
      </c>
      <c r="B337" s="190">
        <v>45988</v>
      </c>
      <c r="C337" s="197">
        <v>113911.8</v>
      </c>
      <c r="D337" s="197">
        <v>0</v>
      </c>
      <c r="E337" s="197">
        <v>0</v>
      </c>
      <c r="F337" s="197">
        <v>0</v>
      </c>
      <c r="G337" s="197">
        <v>97996</v>
      </c>
      <c r="H337" s="197">
        <v>15762.400000000001</v>
      </c>
      <c r="I337" s="197">
        <v>120</v>
      </c>
      <c r="J337" s="197">
        <v>113878.39999999999</v>
      </c>
      <c r="K337" s="197">
        <v>113878.39999999999</v>
      </c>
      <c r="L337" s="197">
        <v>16943.666666666664</v>
      </c>
      <c r="M337" s="197">
        <v>-210.33333333333348</v>
      </c>
      <c r="N337" s="197">
        <v>0</v>
      </c>
      <c r="O337" s="197">
        <v>0</v>
      </c>
      <c r="P337" s="197">
        <v>-33.400000000008731</v>
      </c>
      <c r="Q337" s="197">
        <v>-2.9320930755205588E-4</v>
      </c>
      <c r="R337" s="260" t="s">
        <v>239</v>
      </c>
      <c r="S337" s="260" t="s">
        <v>514</v>
      </c>
      <c r="T337" s="260" t="s">
        <v>239</v>
      </c>
      <c r="U337" s="260" t="s">
        <v>514</v>
      </c>
    </row>
    <row r="338" spans="1:21" ht="14.5" x14ac:dyDescent="0.35">
      <c r="A338" s="260" t="s">
        <v>563</v>
      </c>
      <c r="B338" s="190">
        <v>45989</v>
      </c>
      <c r="C338" s="197">
        <v>113878.39999999999</v>
      </c>
      <c r="D338" s="197">
        <v>0</v>
      </c>
      <c r="E338" s="197">
        <v>0</v>
      </c>
      <c r="F338" s="197">
        <v>0</v>
      </c>
      <c r="G338" s="197">
        <v>97996</v>
      </c>
      <c r="H338" s="197">
        <v>15729</v>
      </c>
      <c r="I338" s="197">
        <v>120</v>
      </c>
      <c r="J338" s="197">
        <v>113845</v>
      </c>
      <c r="K338" s="197">
        <v>113845</v>
      </c>
      <c r="L338" s="197">
        <v>16943.666666666664</v>
      </c>
      <c r="M338" s="197">
        <v>-210.33333333333348</v>
      </c>
      <c r="N338" s="197">
        <v>0</v>
      </c>
      <c r="O338" s="197">
        <v>0</v>
      </c>
      <c r="P338" s="197">
        <v>-33.399999999994179</v>
      </c>
      <c r="Q338" s="197">
        <v>-2.93295304465091E-4</v>
      </c>
      <c r="R338" s="260" t="s">
        <v>239</v>
      </c>
      <c r="S338" s="260" t="s">
        <v>514</v>
      </c>
      <c r="T338" s="260" t="s">
        <v>239</v>
      </c>
      <c r="U338" s="260" t="s">
        <v>514</v>
      </c>
    </row>
    <row r="339" spans="1:21" ht="14.5" x14ac:dyDescent="0.35">
      <c r="A339" s="260" t="s">
        <v>563</v>
      </c>
      <c r="B339" s="190">
        <v>45990</v>
      </c>
      <c r="C339" s="197">
        <v>113845</v>
      </c>
      <c r="D339" s="197">
        <v>0</v>
      </c>
      <c r="E339" s="197">
        <v>0</v>
      </c>
      <c r="F339" s="197">
        <v>0</v>
      </c>
      <c r="G339" s="197">
        <v>97996</v>
      </c>
      <c r="H339" s="197">
        <v>15729</v>
      </c>
      <c r="I339" s="197">
        <v>120</v>
      </c>
      <c r="J339" s="197">
        <v>113845</v>
      </c>
      <c r="K339" s="197">
        <v>113845</v>
      </c>
      <c r="L339" s="197">
        <v>16943.666666666664</v>
      </c>
      <c r="M339" s="197">
        <v>-210.33333333333348</v>
      </c>
      <c r="N339" s="197">
        <v>0</v>
      </c>
      <c r="O339" s="197">
        <v>0</v>
      </c>
      <c r="P339" s="197">
        <v>0</v>
      </c>
      <c r="Q339" s="197">
        <v>0</v>
      </c>
      <c r="R339" s="260" t="s">
        <v>239</v>
      </c>
      <c r="S339" s="260" t="s">
        <v>514</v>
      </c>
      <c r="T339" s="260" t="s">
        <v>239</v>
      </c>
      <c r="U339" s="260" t="s">
        <v>514</v>
      </c>
    </row>
    <row r="340" spans="1:21" ht="14.5" x14ac:dyDescent="0.35">
      <c r="A340" s="260" t="s">
        <v>563</v>
      </c>
      <c r="B340" s="190">
        <v>45991</v>
      </c>
      <c r="C340" s="197">
        <v>113845</v>
      </c>
      <c r="D340" s="197">
        <v>0</v>
      </c>
      <c r="E340" s="197">
        <v>0</v>
      </c>
      <c r="F340" s="197">
        <v>0</v>
      </c>
      <c r="G340" s="197">
        <v>97996</v>
      </c>
      <c r="H340" s="197">
        <v>15729</v>
      </c>
      <c r="I340" s="197">
        <v>120</v>
      </c>
      <c r="J340" s="197">
        <v>113845</v>
      </c>
      <c r="K340" s="197">
        <v>113845</v>
      </c>
      <c r="L340" s="197">
        <v>16943.666666666664</v>
      </c>
      <c r="M340" s="197">
        <v>-210.33333333333348</v>
      </c>
      <c r="N340" s="197">
        <v>0</v>
      </c>
      <c r="O340" s="197">
        <v>0</v>
      </c>
      <c r="P340" s="197">
        <v>0</v>
      </c>
      <c r="Q340" s="197">
        <v>0</v>
      </c>
      <c r="R340" s="260" t="s">
        <v>239</v>
      </c>
      <c r="S340" s="260" t="s">
        <v>514</v>
      </c>
      <c r="T340" s="260" t="s">
        <v>239</v>
      </c>
      <c r="U340" s="260" t="s">
        <v>514</v>
      </c>
    </row>
    <row r="341" spans="1:21" ht="14.5" x14ac:dyDescent="0.35">
      <c r="A341" s="260" t="s">
        <v>563</v>
      </c>
      <c r="B341" s="190">
        <v>45992</v>
      </c>
      <c r="C341" s="197">
        <v>113845</v>
      </c>
      <c r="D341" s="197">
        <v>0</v>
      </c>
      <c r="E341" s="197">
        <v>0</v>
      </c>
      <c r="F341" s="197">
        <v>0</v>
      </c>
      <c r="G341" s="197">
        <v>97996</v>
      </c>
      <c r="H341" s="197">
        <v>15660</v>
      </c>
      <c r="I341" s="197">
        <v>120</v>
      </c>
      <c r="J341" s="197">
        <v>113776</v>
      </c>
      <c r="K341" s="197">
        <v>113776</v>
      </c>
      <c r="L341" s="197">
        <v>16943.666666666664</v>
      </c>
      <c r="M341" s="197">
        <v>-210.33333333333348</v>
      </c>
      <c r="N341" s="197">
        <v>0</v>
      </c>
      <c r="O341" s="197">
        <v>0</v>
      </c>
      <c r="P341" s="197">
        <v>-69</v>
      </c>
      <c r="Q341" s="197">
        <v>-6.0608722385702141E-4</v>
      </c>
      <c r="R341" s="260" t="s">
        <v>239</v>
      </c>
      <c r="S341" s="260" t="s">
        <v>514</v>
      </c>
      <c r="T341" s="260" t="s">
        <v>239</v>
      </c>
      <c r="U341" s="260" t="s">
        <v>514</v>
      </c>
    </row>
    <row r="342" spans="1:21" ht="14.5" x14ac:dyDescent="0.35">
      <c r="A342" s="260" t="s">
        <v>563</v>
      </c>
      <c r="B342" s="190">
        <v>45993</v>
      </c>
      <c r="C342" s="197">
        <v>113776</v>
      </c>
      <c r="D342" s="197">
        <v>0</v>
      </c>
      <c r="E342" s="197">
        <v>0</v>
      </c>
      <c r="F342" s="197">
        <v>0</v>
      </c>
      <c r="G342" s="197">
        <v>97996</v>
      </c>
      <c r="H342" s="197">
        <v>15654.699999999999</v>
      </c>
      <c r="I342" s="197">
        <v>120</v>
      </c>
      <c r="J342" s="197">
        <v>113770.7</v>
      </c>
      <c r="K342" s="197">
        <v>113770.7</v>
      </c>
      <c r="L342" s="197">
        <v>16943.666666666664</v>
      </c>
      <c r="M342" s="197">
        <v>-210.33333333333348</v>
      </c>
      <c r="N342" s="197">
        <v>0</v>
      </c>
      <c r="O342" s="197">
        <v>0</v>
      </c>
      <c r="P342" s="197">
        <v>-5.3000000000029104</v>
      </c>
      <c r="Q342" s="197">
        <v>-4.6582759105628924E-5</v>
      </c>
      <c r="R342" s="260" t="s">
        <v>239</v>
      </c>
      <c r="S342" s="260" t="s">
        <v>514</v>
      </c>
      <c r="T342" s="260" t="s">
        <v>239</v>
      </c>
      <c r="U342" s="260" t="s">
        <v>514</v>
      </c>
    </row>
    <row r="343" spans="1:21" ht="14.5" x14ac:dyDescent="0.35">
      <c r="A343" s="260" t="s">
        <v>563</v>
      </c>
      <c r="B343" s="190">
        <v>45994</v>
      </c>
      <c r="C343" s="197">
        <v>113770.7</v>
      </c>
      <c r="D343" s="197">
        <v>0</v>
      </c>
      <c r="E343" s="197">
        <v>0</v>
      </c>
      <c r="F343" s="197">
        <v>0</v>
      </c>
      <c r="G343" s="197">
        <v>97996</v>
      </c>
      <c r="H343" s="197">
        <v>15651.3</v>
      </c>
      <c r="I343" s="197">
        <v>120</v>
      </c>
      <c r="J343" s="197">
        <v>113767.3</v>
      </c>
      <c r="K343" s="197">
        <v>113767.3</v>
      </c>
      <c r="L343" s="197">
        <v>16943.666666666664</v>
      </c>
      <c r="M343" s="197">
        <v>-210.33333333333348</v>
      </c>
      <c r="N343" s="197">
        <v>0</v>
      </c>
      <c r="O343" s="197">
        <v>0</v>
      </c>
      <c r="P343" s="197">
        <v>-3.3999999999941792</v>
      </c>
      <c r="Q343" s="197">
        <v>-2.9884671536639651E-5</v>
      </c>
      <c r="R343" s="260" t="s">
        <v>239</v>
      </c>
      <c r="S343" s="260" t="s">
        <v>514</v>
      </c>
      <c r="T343" s="260" t="s">
        <v>239</v>
      </c>
      <c r="U343" s="260" t="s">
        <v>514</v>
      </c>
    </row>
    <row r="344" spans="1:21" ht="14.5" x14ac:dyDescent="0.35">
      <c r="A344" s="260" t="s">
        <v>563</v>
      </c>
      <c r="B344" s="190">
        <v>45995</v>
      </c>
      <c r="C344" s="197">
        <v>113767.3</v>
      </c>
      <c r="D344" s="197">
        <v>0</v>
      </c>
      <c r="E344" s="197">
        <v>0</v>
      </c>
      <c r="F344" s="197">
        <v>0</v>
      </c>
      <c r="G344" s="197">
        <v>97996</v>
      </c>
      <c r="H344" s="197">
        <v>15646</v>
      </c>
      <c r="I344" s="197">
        <v>120</v>
      </c>
      <c r="J344" s="197">
        <v>113762</v>
      </c>
      <c r="K344" s="197">
        <v>113762</v>
      </c>
      <c r="L344" s="197">
        <v>16943.666666666664</v>
      </c>
      <c r="M344" s="197">
        <v>-210.33333333333348</v>
      </c>
      <c r="N344" s="197">
        <v>0</v>
      </c>
      <c r="O344" s="197">
        <v>0</v>
      </c>
      <c r="P344" s="197">
        <v>-5.3000000000029104</v>
      </c>
      <c r="Q344" s="197">
        <v>-4.6586321377106721E-5</v>
      </c>
      <c r="R344" s="260" t="s">
        <v>239</v>
      </c>
      <c r="S344" s="260" t="s">
        <v>514</v>
      </c>
      <c r="T344" s="260" t="s">
        <v>239</v>
      </c>
      <c r="U344" s="260" t="s">
        <v>514</v>
      </c>
    </row>
    <row r="345" spans="1:21" ht="14.5" x14ac:dyDescent="0.35">
      <c r="A345" s="260" t="s">
        <v>563</v>
      </c>
      <c r="B345" s="190">
        <v>45996</v>
      </c>
      <c r="C345" s="197">
        <v>113762</v>
      </c>
      <c r="D345" s="197">
        <v>0</v>
      </c>
      <c r="E345" s="197">
        <v>0</v>
      </c>
      <c r="F345" s="197">
        <v>0</v>
      </c>
      <c r="G345" s="197">
        <v>97996</v>
      </c>
      <c r="H345" s="197">
        <v>15640.7</v>
      </c>
      <c r="I345" s="197">
        <v>120</v>
      </c>
      <c r="J345" s="197">
        <v>113756.7</v>
      </c>
      <c r="K345" s="197">
        <v>113756.7</v>
      </c>
      <c r="L345" s="197">
        <v>16943.666666666664</v>
      </c>
      <c r="M345" s="197">
        <v>-210.33333333333348</v>
      </c>
      <c r="N345" s="197">
        <v>0</v>
      </c>
      <c r="O345" s="197">
        <v>0</v>
      </c>
      <c r="P345" s="197">
        <v>-5.3000000000029104</v>
      </c>
      <c r="Q345" s="197">
        <v>-4.6588491763532858E-5</v>
      </c>
      <c r="R345" s="260" t="s">
        <v>239</v>
      </c>
      <c r="S345" s="260" t="s">
        <v>514</v>
      </c>
      <c r="T345" s="260" t="s">
        <v>239</v>
      </c>
      <c r="U345" s="260" t="s">
        <v>514</v>
      </c>
    </row>
    <row r="346" spans="1:21" ht="14.5" x14ac:dyDescent="0.35">
      <c r="A346" s="260" t="s">
        <v>563</v>
      </c>
      <c r="B346" s="190">
        <v>45997</v>
      </c>
      <c r="C346" s="197">
        <v>113756.7</v>
      </c>
      <c r="D346" s="197">
        <v>0</v>
      </c>
      <c r="E346" s="197">
        <v>0</v>
      </c>
      <c r="F346" s="197">
        <v>0</v>
      </c>
      <c r="G346" s="197">
        <v>97996</v>
      </c>
      <c r="H346" s="197">
        <v>15640.7</v>
      </c>
      <c r="I346" s="197">
        <v>120</v>
      </c>
      <c r="J346" s="197">
        <v>113756.7</v>
      </c>
      <c r="K346" s="197">
        <v>113756.7</v>
      </c>
      <c r="L346" s="197">
        <v>16943.666666666664</v>
      </c>
      <c r="M346" s="197">
        <v>-210.33333333333348</v>
      </c>
      <c r="N346" s="197">
        <v>0</v>
      </c>
      <c r="O346" s="197">
        <v>0</v>
      </c>
      <c r="P346" s="197">
        <v>0</v>
      </c>
      <c r="Q346" s="197">
        <v>0</v>
      </c>
      <c r="R346" s="260" t="s">
        <v>239</v>
      </c>
      <c r="S346" s="260" t="s">
        <v>514</v>
      </c>
      <c r="T346" s="260" t="s">
        <v>239</v>
      </c>
      <c r="U346" s="260" t="s">
        <v>514</v>
      </c>
    </row>
    <row r="347" spans="1:21" ht="14.5" x14ac:dyDescent="0.35">
      <c r="A347" s="260" t="s">
        <v>563</v>
      </c>
      <c r="B347" s="190">
        <v>45998</v>
      </c>
      <c r="C347" s="197">
        <v>113756.7</v>
      </c>
      <c r="D347" s="197">
        <v>0</v>
      </c>
      <c r="E347" s="197">
        <v>0</v>
      </c>
      <c r="F347" s="197">
        <v>0</v>
      </c>
      <c r="G347" s="197">
        <v>97996</v>
      </c>
      <c r="H347" s="197">
        <v>15640.7</v>
      </c>
      <c r="I347" s="197">
        <v>120</v>
      </c>
      <c r="J347" s="197">
        <v>113756.7</v>
      </c>
      <c r="K347" s="197">
        <v>113756.7</v>
      </c>
      <c r="L347" s="197">
        <v>16943.666666666664</v>
      </c>
      <c r="M347" s="197">
        <v>-210.33333333333348</v>
      </c>
      <c r="N347" s="197">
        <v>0</v>
      </c>
      <c r="O347" s="197">
        <v>0</v>
      </c>
      <c r="P347" s="197">
        <v>0</v>
      </c>
      <c r="Q347" s="197">
        <v>0</v>
      </c>
      <c r="R347" s="260" t="s">
        <v>239</v>
      </c>
      <c r="S347" s="260" t="s">
        <v>514</v>
      </c>
      <c r="T347" s="260" t="s">
        <v>239</v>
      </c>
      <c r="U347" s="260" t="s">
        <v>514</v>
      </c>
    </row>
    <row r="348" spans="1:21" ht="14.5" x14ac:dyDescent="0.35">
      <c r="A348" s="260" t="s">
        <v>563</v>
      </c>
      <c r="B348" s="190">
        <v>45999</v>
      </c>
      <c r="C348" s="197">
        <v>113756.7</v>
      </c>
      <c r="D348" s="197">
        <v>0</v>
      </c>
      <c r="E348" s="197">
        <v>0</v>
      </c>
      <c r="F348" s="197">
        <v>0</v>
      </c>
      <c r="G348" s="197">
        <v>97996</v>
      </c>
      <c r="H348" s="197">
        <v>15626.7</v>
      </c>
      <c r="I348" s="197">
        <v>120</v>
      </c>
      <c r="J348" s="197">
        <v>113742.7</v>
      </c>
      <c r="K348" s="197">
        <v>113742.7</v>
      </c>
      <c r="L348" s="197">
        <v>16943.666666666664</v>
      </c>
      <c r="M348" s="197">
        <v>-210.33333333333348</v>
      </c>
      <c r="N348" s="197">
        <v>0</v>
      </c>
      <c r="O348" s="197">
        <v>0</v>
      </c>
      <c r="P348" s="197">
        <v>-14</v>
      </c>
      <c r="Q348" s="197">
        <v>-1.2306967413788783E-4</v>
      </c>
      <c r="R348" s="260" t="s">
        <v>239</v>
      </c>
      <c r="S348" s="260" t="s">
        <v>514</v>
      </c>
      <c r="T348" s="260" t="s">
        <v>239</v>
      </c>
      <c r="U348" s="260" t="s">
        <v>514</v>
      </c>
    </row>
    <row r="349" spans="1:21" ht="14.5" x14ac:dyDescent="0.35">
      <c r="A349" s="260" t="s">
        <v>563</v>
      </c>
      <c r="B349" s="190">
        <v>46000</v>
      </c>
      <c r="C349" s="197">
        <v>113742.7</v>
      </c>
      <c r="D349" s="197">
        <v>0</v>
      </c>
      <c r="E349" s="197">
        <v>0</v>
      </c>
      <c r="F349" s="197">
        <v>0</v>
      </c>
      <c r="G349" s="197">
        <v>97996</v>
      </c>
      <c r="H349" s="197">
        <v>15623.3</v>
      </c>
      <c r="I349" s="197">
        <v>120</v>
      </c>
      <c r="J349" s="197">
        <v>113739.3</v>
      </c>
      <c r="K349" s="197">
        <v>113739.3</v>
      </c>
      <c r="L349" s="197">
        <v>16943.666666666664</v>
      </c>
      <c r="M349" s="197">
        <v>-210.33333333333348</v>
      </c>
      <c r="N349" s="197">
        <v>0</v>
      </c>
      <c r="O349" s="197">
        <v>0</v>
      </c>
      <c r="P349" s="197">
        <v>-3.3999999999941792</v>
      </c>
      <c r="Q349" s="197">
        <v>-2.9892028235556367E-5</v>
      </c>
      <c r="R349" s="260" t="s">
        <v>239</v>
      </c>
      <c r="S349" s="260" t="s">
        <v>514</v>
      </c>
      <c r="T349" s="260" t="s">
        <v>239</v>
      </c>
      <c r="U349" s="260" t="s">
        <v>514</v>
      </c>
    </row>
    <row r="350" spans="1:21" ht="14.5" x14ac:dyDescent="0.35">
      <c r="A350" s="260" t="s">
        <v>563</v>
      </c>
      <c r="B350" s="190">
        <v>46001</v>
      </c>
      <c r="C350" s="197">
        <v>113739.3</v>
      </c>
      <c r="D350" s="197">
        <v>0</v>
      </c>
      <c r="E350" s="197">
        <v>0</v>
      </c>
      <c r="F350" s="197">
        <v>0</v>
      </c>
      <c r="G350" s="197">
        <v>97996</v>
      </c>
      <c r="H350" s="197">
        <v>15618</v>
      </c>
      <c r="I350" s="197">
        <v>120</v>
      </c>
      <c r="J350" s="197">
        <v>113734</v>
      </c>
      <c r="K350" s="197">
        <v>113734</v>
      </c>
      <c r="L350" s="197">
        <v>16943.666666666664</v>
      </c>
      <c r="M350" s="197">
        <v>-210.33333333333348</v>
      </c>
      <c r="N350" s="197">
        <v>0</v>
      </c>
      <c r="O350" s="197">
        <v>0</v>
      </c>
      <c r="P350" s="197">
        <v>-5.3000000000029104</v>
      </c>
      <c r="Q350" s="197">
        <v>-4.659778985804941E-5</v>
      </c>
      <c r="R350" s="260" t="s">
        <v>239</v>
      </c>
      <c r="S350" s="260" t="s">
        <v>514</v>
      </c>
      <c r="T350" s="260" t="s">
        <v>239</v>
      </c>
      <c r="U350" s="260" t="s">
        <v>514</v>
      </c>
    </row>
    <row r="351" spans="1:21" ht="14.5" x14ac:dyDescent="0.35">
      <c r="A351" s="260" t="s">
        <v>563</v>
      </c>
      <c r="B351" s="190">
        <v>46002</v>
      </c>
      <c r="C351" s="197">
        <v>113734</v>
      </c>
      <c r="D351" s="197">
        <v>0</v>
      </c>
      <c r="E351" s="197">
        <v>0</v>
      </c>
      <c r="F351" s="197">
        <v>0</v>
      </c>
      <c r="G351" s="197">
        <v>97996</v>
      </c>
      <c r="H351" s="197">
        <v>15612.7</v>
      </c>
      <c r="I351" s="197">
        <v>120</v>
      </c>
      <c r="J351" s="197">
        <v>113728.7</v>
      </c>
      <c r="K351" s="197">
        <v>113728.7</v>
      </c>
      <c r="L351" s="197">
        <v>16943.666666666664</v>
      </c>
      <c r="M351" s="197">
        <v>-210.33333333333348</v>
      </c>
      <c r="N351" s="197">
        <v>0</v>
      </c>
      <c r="O351" s="197">
        <v>0</v>
      </c>
      <c r="P351" s="197">
        <v>-5.3000000000029104</v>
      </c>
      <c r="Q351" s="197">
        <v>-4.6599961313287253E-5</v>
      </c>
      <c r="R351" s="260" t="s">
        <v>239</v>
      </c>
      <c r="S351" s="260" t="s">
        <v>514</v>
      </c>
      <c r="T351" s="260" t="s">
        <v>239</v>
      </c>
      <c r="U351" s="260" t="s">
        <v>514</v>
      </c>
    </row>
    <row r="352" spans="1:21" ht="14.5" x14ac:dyDescent="0.35">
      <c r="A352" s="260" t="s">
        <v>563</v>
      </c>
      <c r="B352" s="190">
        <v>46003</v>
      </c>
      <c r="C352" s="197">
        <v>113728.7</v>
      </c>
      <c r="D352" s="197">
        <v>0</v>
      </c>
      <c r="E352" s="197">
        <v>0</v>
      </c>
      <c r="F352" s="197">
        <v>0</v>
      </c>
      <c r="G352" s="197">
        <v>97996</v>
      </c>
      <c r="H352" s="197">
        <v>15609.3</v>
      </c>
      <c r="I352" s="197">
        <v>120</v>
      </c>
      <c r="J352" s="197">
        <v>113725.3</v>
      </c>
      <c r="K352" s="197">
        <v>113725.3</v>
      </c>
      <c r="L352" s="197">
        <v>16943.666666666664</v>
      </c>
      <c r="M352" s="197">
        <v>-210.33333333333348</v>
      </c>
      <c r="N352" s="197">
        <v>0</v>
      </c>
      <c r="O352" s="197">
        <v>0</v>
      </c>
      <c r="P352" s="197">
        <v>-3.3999999999941792</v>
      </c>
      <c r="Q352" s="197">
        <v>-2.9895707943539129E-5</v>
      </c>
      <c r="R352" s="260" t="s">
        <v>239</v>
      </c>
      <c r="S352" s="260" t="s">
        <v>514</v>
      </c>
      <c r="T352" s="260" t="s">
        <v>239</v>
      </c>
      <c r="U352" s="260" t="s">
        <v>514</v>
      </c>
    </row>
    <row r="353" spans="1:21" ht="14.5" x14ac:dyDescent="0.35">
      <c r="A353" s="260" t="s">
        <v>563</v>
      </c>
      <c r="B353" s="190">
        <v>46004</v>
      </c>
      <c r="C353" s="197">
        <v>113725.3</v>
      </c>
      <c r="D353" s="197">
        <v>0</v>
      </c>
      <c r="E353" s="197">
        <v>0</v>
      </c>
      <c r="F353" s="197">
        <v>0</v>
      </c>
      <c r="G353" s="197">
        <v>97996</v>
      </c>
      <c r="H353" s="197">
        <v>15609.3</v>
      </c>
      <c r="I353" s="197">
        <v>120</v>
      </c>
      <c r="J353" s="197">
        <v>113725.3</v>
      </c>
      <c r="K353" s="197">
        <v>113725.3</v>
      </c>
      <c r="L353" s="197">
        <v>16943.666666666664</v>
      </c>
      <c r="M353" s="197">
        <v>-210.33333333333348</v>
      </c>
      <c r="N353" s="197">
        <v>0</v>
      </c>
      <c r="O353" s="197">
        <v>0</v>
      </c>
      <c r="P353" s="197">
        <v>0</v>
      </c>
      <c r="Q353" s="197">
        <v>0</v>
      </c>
      <c r="R353" s="260" t="s">
        <v>239</v>
      </c>
      <c r="S353" s="260" t="s">
        <v>514</v>
      </c>
      <c r="T353" s="260" t="s">
        <v>239</v>
      </c>
      <c r="U353" s="260" t="s">
        <v>514</v>
      </c>
    </row>
    <row r="354" spans="1:21" ht="14.5" x14ac:dyDescent="0.35">
      <c r="A354" s="260" t="s">
        <v>563</v>
      </c>
      <c r="B354" s="190">
        <v>46005</v>
      </c>
      <c r="C354" s="197">
        <v>113725.3</v>
      </c>
      <c r="D354" s="197">
        <v>0</v>
      </c>
      <c r="E354" s="197">
        <v>0</v>
      </c>
      <c r="F354" s="197">
        <v>0</v>
      </c>
      <c r="G354" s="197">
        <v>97996</v>
      </c>
      <c r="H354" s="197">
        <v>15609.3</v>
      </c>
      <c r="I354" s="197">
        <v>120</v>
      </c>
      <c r="J354" s="197">
        <v>113725.3</v>
      </c>
      <c r="K354" s="197">
        <v>113725.3</v>
      </c>
      <c r="L354" s="197">
        <v>16943.666666666664</v>
      </c>
      <c r="M354" s="197">
        <v>-210.33333333333348</v>
      </c>
      <c r="N354" s="197">
        <v>0</v>
      </c>
      <c r="O354" s="197">
        <v>0</v>
      </c>
      <c r="P354" s="197">
        <v>0</v>
      </c>
      <c r="Q354" s="197">
        <v>0</v>
      </c>
      <c r="R354" s="260" t="s">
        <v>239</v>
      </c>
      <c r="S354" s="260" t="s">
        <v>514</v>
      </c>
      <c r="T354" s="260" t="s">
        <v>239</v>
      </c>
      <c r="U354" s="260" t="s">
        <v>514</v>
      </c>
    </row>
    <row r="355" spans="1:21" ht="14.5" x14ac:dyDescent="0.35">
      <c r="A355" s="260" t="s">
        <v>563</v>
      </c>
      <c r="B355" s="190">
        <v>46006</v>
      </c>
      <c r="C355" s="197">
        <v>113725.3</v>
      </c>
      <c r="D355" s="197">
        <v>0</v>
      </c>
      <c r="E355" s="197">
        <v>0</v>
      </c>
      <c r="F355" s="197">
        <v>0</v>
      </c>
      <c r="G355" s="197">
        <v>98116</v>
      </c>
      <c r="H355" s="197">
        <v>15595.300000000001</v>
      </c>
      <c r="I355" s="197">
        <v>0</v>
      </c>
      <c r="J355" s="197">
        <v>113711.3</v>
      </c>
      <c r="K355" s="197">
        <v>113711.3</v>
      </c>
      <c r="L355" s="197">
        <v>16943.666666666664</v>
      </c>
      <c r="M355" s="197">
        <v>-210.33333333333348</v>
      </c>
      <c r="N355" s="197">
        <v>0</v>
      </c>
      <c r="O355" s="197">
        <v>0</v>
      </c>
      <c r="P355" s="197">
        <v>-14</v>
      </c>
      <c r="Q355" s="197">
        <v>-1.2310365415613145E-4</v>
      </c>
      <c r="R355" s="260" t="s">
        <v>239</v>
      </c>
      <c r="S355" s="260" t="s">
        <v>514</v>
      </c>
      <c r="T355" s="260" t="s">
        <v>239</v>
      </c>
      <c r="U355" s="260" t="s">
        <v>514</v>
      </c>
    </row>
    <row r="356" spans="1:21" ht="14.5" x14ac:dyDescent="0.35">
      <c r="A356" s="260" t="s">
        <v>563</v>
      </c>
      <c r="B356" s="190">
        <v>46007</v>
      </c>
      <c r="C356" s="197">
        <v>113711.3</v>
      </c>
      <c r="D356" s="197">
        <v>0</v>
      </c>
      <c r="E356" s="197">
        <v>0</v>
      </c>
      <c r="F356" s="197">
        <v>0</v>
      </c>
      <c r="G356" s="197">
        <v>98116</v>
      </c>
      <c r="H356" s="197">
        <v>15590</v>
      </c>
      <c r="I356" s="197">
        <v>0</v>
      </c>
      <c r="J356" s="197">
        <v>113706</v>
      </c>
      <c r="K356" s="197">
        <v>113706</v>
      </c>
      <c r="L356" s="197">
        <v>16943.666666666664</v>
      </c>
      <c r="M356" s="197">
        <v>-210.33333333333348</v>
      </c>
      <c r="N356" s="197">
        <v>0</v>
      </c>
      <c r="O356" s="197">
        <v>0</v>
      </c>
      <c r="P356" s="197">
        <v>-5.3000000000029104</v>
      </c>
      <c r="Q356" s="197">
        <v>-4.6609263987029692E-5</v>
      </c>
      <c r="R356" s="260" t="s">
        <v>239</v>
      </c>
      <c r="S356" s="260" t="s">
        <v>514</v>
      </c>
      <c r="T356" s="260" t="s">
        <v>239</v>
      </c>
      <c r="U356" s="260" t="s">
        <v>514</v>
      </c>
    </row>
    <row r="357" spans="1:21" ht="14.5" x14ac:dyDescent="0.35">
      <c r="A357" s="260" t="s">
        <v>563</v>
      </c>
      <c r="B357" s="190">
        <v>46008</v>
      </c>
      <c r="C357" s="197">
        <v>113706</v>
      </c>
      <c r="D357" s="197">
        <v>0</v>
      </c>
      <c r="E357" s="197">
        <v>0</v>
      </c>
      <c r="F357" s="197">
        <v>0</v>
      </c>
      <c r="G357" s="197">
        <v>98116</v>
      </c>
      <c r="H357" s="197">
        <v>15584.699999999999</v>
      </c>
      <c r="I357" s="197">
        <v>0</v>
      </c>
      <c r="J357" s="197">
        <v>113700.7</v>
      </c>
      <c r="K357" s="197">
        <v>113700.7</v>
      </c>
      <c r="L357" s="197">
        <v>16943.666666666664</v>
      </c>
      <c r="M357" s="197">
        <v>-210.33333333333348</v>
      </c>
      <c r="N357" s="197">
        <v>0</v>
      </c>
      <c r="O357" s="197">
        <v>0</v>
      </c>
      <c r="P357" s="197">
        <v>-5.3000000000029104</v>
      </c>
      <c r="Q357" s="197">
        <v>-4.6611436511745374E-5</v>
      </c>
      <c r="R357" s="260" t="s">
        <v>239</v>
      </c>
      <c r="S357" s="260" t="s">
        <v>514</v>
      </c>
      <c r="T357" s="260" t="s">
        <v>239</v>
      </c>
      <c r="U357" s="260" t="s">
        <v>514</v>
      </c>
    </row>
    <row r="358" spans="1:21" ht="14.5" x14ac:dyDescent="0.35">
      <c r="A358" s="260" t="s">
        <v>563</v>
      </c>
      <c r="B358" s="190">
        <v>46009</v>
      </c>
      <c r="C358" s="197">
        <v>113700.7</v>
      </c>
      <c r="D358" s="197">
        <v>0</v>
      </c>
      <c r="E358" s="197">
        <v>-5000</v>
      </c>
      <c r="F358" s="197">
        <v>-5000</v>
      </c>
      <c r="G358" s="197">
        <v>93116</v>
      </c>
      <c r="H358" s="197">
        <v>15581.3</v>
      </c>
      <c r="I358" s="197">
        <v>0</v>
      </c>
      <c r="J358" s="197">
        <v>108697.3</v>
      </c>
      <c r="K358" s="197">
        <v>108697.3</v>
      </c>
      <c r="L358" s="197">
        <v>16943.666666666664</v>
      </c>
      <c r="M358" s="197">
        <v>-210.33333333333348</v>
      </c>
      <c r="N358" s="197">
        <v>0</v>
      </c>
      <c r="O358" s="197">
        <v>0</v>
      </c>
      <c r="P358" s="197">
        <v>-3.3999999999941792</v>
      </c>
      <c r="Q358" s="197">
        <v>-2.9903070077774707E-5</v>
      </c>
      <c r="R358" s="260" t="s">
        <v>239</v>
      </c>
      <c r="S358" s="260" t="s">
        <v>514</v>
      </c>
      <c r="T358" s="260" t="s">
        <v>239</v>
      </c>
      <c r="U358" s="260" t="s">
        <v>514</v>
      </c>
    </row>
    <row r="359" spans="1:21" ht="14.5" x14ac:dyDescent="0.35">
      <c r="A359" s="260" t="s">
        <v>563</v>
      </c>
      <c r="B359" s="190">
        <v>46010</v>
      </c>
      <c r="C359" s="197">
        <v>108697.3</v>
      </c>
      <c r="D359" s="197">
        <v>0</v>
      </c>
      <c r="E359" s="197">
        <v>0</v>
      </c>
      <c r="F359" s="197">
        <v>0</v>
      </c>
      <c r="G359" s="197">
        <v>93116</v>
      </c>
      <c r="H359" s="197">
        <v>15576</v>
      </c>
      <c r="I359" s="197">
        <v>0</v>
      </c>
      <c r="J359" s="197">
        <v>108692</v>
      </c>
      <c r="K359" s="197">
        <v>108692</v>
      </c>
      <c r="L359" s="197">
        <v>16943.666666666664</v>
      </c>
      <c r="M359" s="197">
        <v>-210.33333333333348</v>
      </c>
      <c r="N359" s="197">
        <v>0</v>
      </c>
      <c r="O359" s="197">
        <v>0</v>
      </c>
      <c r="P359" s="197">
        <v>-5.3000000000029104</v>
      </c>
      <c r="Q359" s="197">
        <v>-4.8759260809605465E-5</v>
      </c>
      <c r="R359" s="260" t="s">
        <v>239</v>
      </c>
      <c r="S359" s="260" t="s">
        <v>514</v>
      </c>
      <c r="T359" s="260" t="s">
        <v>239</v>
      </c>
      <c r="U359" s="260" t="s">
        <v>514</v>
      </c>
    </row>
    <row r="360" spans="1:21" ht="14.5" x14ac:dyDescent="0.35">
      <c r="A360" s="260" t="s">
        <v>563</v>
      </c>
      <c r="B360" s="190">
        <v>46011</v>
      </c>
      <c r="C360" s="197">
        <v>108692</v>
      </c>
      <c r="D360" s="197">
        <v>0</v>
      </c>
      <c r="E360" s="197">
        <v>0</v>
      </c>
      <c r="F360" s="197">
        <v>0</v>
      </c>
      <c r="G360" s="197">
        <v>93116</v>
      </c>
      <c r="H360" s="197">
        <v>15576</v>
      </c>
      <c r="I360" s="197">
        <v>0</v>
      </c>
      <c r="J360" s="197">
        <v>108692</v>
      </c>
      <c r="K360" s="197">
        <v>108692</v>
      </c>
      <c r="L360" s="197">
        <v>16943.666666666664</v>
      </c>
      <c r="M360" s="197">
        <v>-210.33333333333348</v>
      </c>
      <c r="N360" s="197">
        <v>0</v>
      </c>
      <c r="O360" s="197">
        <v>0</v>
      </c>
      <c r="P360" s="197">
        <v>0</v>
      </c>
      <c r="Q360" s="197">
        <v>0</v>
      </c>
      <c r="R360" s="260" t="s">
        <v>239</v>
      </c>
      <c r="S360" s="260" t="s">
        <v>514</v>
      </c>
      <c r="T360" s="260" t="s">
        <v>239</v>
      </c>
      <c r="U360" s="260" t="s">
        <v>514</v>
      </c>
    </row>
    <row r="361" spans="1:21" ht="14.5" x14ac:dyDescent="0.35">
      <c r="A361" s="260" t="s">
        <v>563</v>
      </c>
      <c r="B361" s="190">
        <v>46012</v>
      </c>
      <c r="C361" s="197">
        <v>108692</v>
      </c>
      <c r="D361" s="197">
        <v>0</v>
      </c>
      <c r="E361" s="197">
        <v>0</v>
      </c>
      <c r="F361" s="197">
        <v>0</v>
      </c>
      <c r="G361" s="197">
        <v>93116</v>
      </c>
      <c r="H361" s="197">
        <v>15576</v>
      </c>
      <c r="I361" s="197">
        <v>0</v>
      </c>
      <c r="J361" s="197">
        <v>108692</v>
      </c>
      <c r="K361" s="197">
        <v>108692</v>
      </c>
      <c r="L361" s="197">
        <v>16943.666666666664</v>
      </c>
      <c r="M361" s="197">
        <v>-210.33333333333348</v>
      </c>
      <c r="N361" s="197">
        <v>0</v>
      </c>
      <c r="O361" s="197">
        <v>0</v>
      </c>
      <c r="P361" s="197">
        <v>0</v>
      </c>
      <c r="Q361" s="197">
        <v>0</v>
      </c>
      <c r="R361" s="260" t="s">
        <v>239</v>
      </c>
      <c r="S361" s="260" t="s">
        <v>514</v>
      </c>
      <c r="T361" s="260" t="s">
        <v>239</v>
      </c>
      <c r="U361" s="260" t="s">
        <v>514</v>
      </c>
    </row>
    <row r="362" spans="1:21" ht="14.5" x14ac:dyDescent="0.35">
      <c r="A362" s="260" t="s">
        <v>563</v>
      </c>
      <c r="B362" s="190">
        <v>46013</v>
      </c>
      <c r="C362" s="197">
        <v>108692</v>
      </c>
      <c r="D362" s="197">
        <v>0</v>
      </c>
      <c r="E362" s="197">
        <v>0</v>
      </c>
      <c r="F362" s="197">
        <v>0</v>
      </c>
      <c r="G362" s="197">
        <v>93116</v>
      </c>
      <c r="H362" s="197">
        <v>15562</v>
      </c>
      <c r="I362" s="197">
        <v>0</v>
      </c>
      <c r="J362" s="197">
        <v>108678</v>
      </c>
      <c r="K362" s="197">
        <v>108678</v>
      </c>
      <c r="L362" s="197">
        <v>16943.666666666664</v>
      </c>
      <c r="M362" s="197">
        <v>-210.33333333333348</v>
      </c>
      <c r="N362" s="197">
        <v>0</v>
      </c>
      <c r="O362" s="197">
        <v>0</v>
      </c>
      <c r="P362" s="197">
        <v>-14</v>
      </c>
      <c r="Q362" s="197">
        <v>-1.2880432782536033E-4</v>
      </c>
      <c r="R362" s="260" t="s">
        <v>239</v>
      </c>
      <c r="S362" s="260" t="s">
        <v>514</v>
      </c>
      <c r="T362" s="260" t="s">
        <v>239</v>
      </c>
      <c r="U362" s="260" t="s">
        <v>514</v>
      </c>
    </row>
    <row r="363" spans="1:21" ht="14.5" x14ac:dyDescent="0.35">
      <c r="A363" s="260" t="s">
        <v>563</v>
      </c>
      <c r="B363" s="190">
        <v>46014</v>
      </c>
      <c r="C363" s="197">
        <v>108678</v>
      </c>
      <c r="D363" s="197">
        <v>0</v>
      </c>
      <c r="E363" s="197">
        <v>0</v>
      </c>
      <c r="F363" s="197">
        <v>0</v>
      </c>
      <c r="G363" s="197">
        <v>93116</v>
      </c>
      <c r="H363" s="197">
        <v>15556.7</v>
      </c>
      <c r="I363" s="197">
        <v>0</v>
      </c>
      <c r="J363" s="197">
        <v>108672.7</v>
      </c>
      <c r="K363" s="197">
        <v>108672.7</v>
      </c>
      <c r="L363" s="197">
        <v>16943.666666666664</v>
      </c>
      <c r="M363" s="197">
        <v>-210.33333333333348</v>
      </c>
      <c r="N363" s="197">
        <v>0</v>
      </c>
      <c r="O363" s="197">
        <v>0</v>
      </c>
      <c r="P363" s="197">
        <v>-5.3000000000029104</v>
      </c>
      <c r="Q363" s="197">
        <v>-4.876791991026419E-5</v>
      </c>
      <c r="R363" s="260" t="s">
        <v>239</v>
      </c>
      <c r="S363" s="260" t="s">
        <v>514</v>
      </c>
      <c r="T363" s="260" t="s">
        <v>239</v>
      </c>
      <c r="U363" s="260" t="s">
        <v>514</v>
      </c>
    </row>
    <row r="364" spans="1:21" ht="14.5" x14ac:dyDescent="0.35">
      <c r="A364" s="260" t="s">
        <v>563</v>
      </c>
      <c r="B364" s="190">
        <v>46015</v>
      </c>
      <c r="C364" s="197">
        <v>108672.7</v>
      </c>
      <c r="D364" s="197">
        <v>0</v>
      </c>
      <c r="E364" s="197">
        <v>0</v>
      </c>
      <c r="F364" s="197">
        <v>0</v>
      </c>
      <c r="G364" s="197">
        <v>93116</v>
      </c>
      <c r="H364" s="197">
        <v>15553.3</v>
      </c>
      <c r="I364" s="197">
        <v>0</v>
      </c>
      <c r="J364" s="197">
        <v>108669.3</v>
      </c>
      <c r="K364" s="197">
        <v>108669.3</v>
      </c>
      <c r="L364" s="197">
        <v>16943.666666666664</v>
      </c>
      <c r="M364" s="197">
        <v>-210.33333333333348</v>
      </c>
      <c r="N364" s="197">
        <v>0</v>
      </c>
      <c r="O364" s="197">
        <v>0</v>
      </c>
      <c r="P364" s="197">
        <v>-3.3999999999941792</v>
      </c>
      <c r="Q364" s="197">
        <v>-3.1286606479774548E-5</v>
      </c>
      <c r="R364" s="260" t="s">
        <v>239</v>
      </c>
      <c r="S364" s="260" t="s">
        <v>514</v>
      </c>
      <c r="T364" s="260" t="s">
        <v>239</v>
      </c>
      <c r="U364" s="260" t="s">
        <v>514</v>
      </c>
    </row>
    <row r="365" spans="1:21" ht="14.5" x14ac:dyDescent="0.35">
      <c r="A365" s="260" t="s">
        <v>563</v>
      </c>
      <c r="B365" s="190">
        <v>46016</v>
      </c>
      <c r="C365" s="197">
        <v>108669.3</v>
      </c>
      <c r="D365" s="197">
        <v>0</v>
      </c>
      <c r="E365" s="197">
        <v>0</v>
      </c>
      <c r="F365" s="197">
        <v>0</v>
      </c>
      <c r="G365" s="197">
        <v>93116</v>
      </c>
      <c r="H365" s="197">
        <v>15548</v>
      </c>
      <c r="I365" s="197">
        <v>0</v>
      </c>
      <c r="J365" s="197">
        <v>108664</v>
      </c>
      <c r="K365" s="197">
        <v>108664</v>
      </c>
      <c r="L365" s="197">
        <v>16943.666666666664</v>
      </c>
      <c r="M365" s="197">
        <v>-210.33333333333348</v>
      </c>
      <c r="N365" s="197">
        <v>0</v>
      </c>
      <c r="O365" s="197">
        <v>0</v>
      </c>
      <c r="P365" s="197">
        <v>-5.3000000000029104</v>
      </c>
      <c r="Q365" s="197">
        <v>-4.8771824241122808E-5</v>
      </c>
      <c r="R365" s="260" t="s">
        <v>239</v>
      </c>
      <c r="S365" s="260" t="s">
        <v>514</v>
      </c>
      <c r="T365" s="260" t="s">
        <v>239</v>
      </c>
      <c r="U365" s="260" t="s">
        <v>514</v>
      </c>
    </row>
    <row r="366" spans="1:21" ht="14.5" x14ac:dyDescent="0.35">
      <c r="A366" s="260" t="s">
        <v>563</v>
      </c>
      <c r="B366" s="190">
        <v>46017</v>
      </c>
      <c r="C366" s="197">
        <v>108664</v>
      </c>
      <c r="D366" s="197">
        <v>0</v>
      </c>
      <c r="E366" s="197">
        <v>0</v>
      </c>
      <c r="F366" s="197">
        <v>0</v>
      </c>
      <c r="G366" s="197">
        <v>93116</v>
      </c>
      <c r="H366" s="197">
        <v>15542.7</v>
      </c>
      <c r="I366" s="197">
        <v>0</v>
      </c>
      <c r="J366" s="197">
        <v>108658.7</v>
      </c>
      <c r="K366" s="197">
        <v>108658.7</v>
      </c>
      <c r="L366" s="197">
        <v>16943.666666666664</v>
      </c>
      <c r="M366" s="197">
        <v>-210.33333333333348</v>
      </c>
      <c r="N366" s="197">
        <v>0</v>
      </c>
      <c r="O366" s="197">
        <v>0</v>
      </c>
      <c r="P366" s="197">
        <v>-5.3000000000029104</v>
      </c>
      <c r="Q366" s="197">
        <v>-4.8774203047941E-5</v>
      </c>
      <c r="R366" s="260" t="s">
        <v>239</v>
      </c>
      <c r="S366" s="260" t="s">
        <v>514</v>
      </c>
      <c r="T366" s="260" t="s">
        <v>239</v>
      </c>
      <c r="U366" s="260" t="s">
        <v>514</v>
      </c>
    </row>
    <row r="367" spans="1:21" ht="14.5" x14ac:dyDescent="0.35">
      <c r="A367" s="260" t="s">
        <v>563</v>
      </c>
      <c r="B367" s="190">
        <v>46018</v>
      </c>
      <c r="C367" s="197">
        <v>108658.7</v>
      </c>
      <c r="D367" s="197">
        <v>0</v>
      </c>
      <c r="E367" s="197">
        <v>0</v>
      </c>
      <c r="F367" s="197">
        <v>0</v>
      </c>
      <c r="G367" s="197">
        <v>93116</v>
      </c>
      <c r="H367" s="197">
        <v>15542.7</v>
      </c>
      <c r="I367" s="197">
        <v>0</v>
      </c>
      <c r="J367" s="197">
        <v>108658.7</v>
      </c>
      <c r="K367" s="197">
        <v>108658.7</v>
      </c>
      <c r="L367" s="197">
        <v>16943.666666666664</v>
      </c>
      <c r="M367" s="197">
        <v>-210.33333333333348</v>
      </c>
      <c r="N367" s="197">
        <v>0</v>
      </c>
      <c r="O367" s="197">
        <v>0</v>
      </c>
      <c r="P367" s="197">
        <v>0</v>
      </c>
      <c r="Q367" s="197">
        <v>0</v>
      </c>
      <c r="R367" s="260" t="s">
        <v>239</v>
      </c>
      <c r="S367" s="260" t="s">
        <v>514</v>
      </c>
      <c r="T367" s="260" t="s">
        <v>239</v>
      </c>
      <c r="U367" s="260" t="s">
        <v>514</v>
      </c>
    </row>
    <row r="368" spans="1:21" ht="14.5" x14ac:dyDescent="0.35">
      <c r="A368" s="260" t="s">
        <v>563</v>
      </c>
      <c r="B368" s="190">
        <v>46019</v>
      </c>
      <c r="C368" s="197">
        <v>108658.7</v>
      </c>
      <c r="D368" s="197">
        <v>0</v>
      </c>
      <c r="E368" s="197">
        <v>0</v>
      </c>
      <c r="F368" s="197">
        <v>0</v>
      </c>
      <c r="G368" s="197">
        <v>93116</v>
      </c>
      <c r="H368" s="197">
        <v>15542.7</v>
      </c>
      <c r="I368" s="197">
        <v>0</v>
      </c>
      <c r="J368" s="197">
        <v>108658.7</v>
      </c>
      <c r="K368" s="197">
        <v>108658.7</v>
      </c>
      <c r="L368" s="197">
        <v>16943.666666666664</v>
      </c>
      <c r="M368" s="197">
        <v>-210.33333333333348</v>
      </c>
      <c r="N368" s="197">
        <v>0</v>
      </c>
      <c r="O368" s="197">
        <v>0</v>
      </c>
      <c r="P368" s="197">
        <v>0</v>
      </c>
      <c r="Q368" s="197">
        <v>0</v>
      </c>
      <c r="R368" s="260" t="s">
        <v>239</v>
      </c>
      <c r="S368" s="260" t="s">
        <v>514</v>
      </c>
      <c r="T368" s="260" t="s">
        <v>239</v>
      </c>
      <c r="U368" s="260" t="s">
        <v>514</v>
      </c>
    </row>
    <row r="369" spans="1:21" ht="14.5" x14ac:dyDescent="0.35">
      <c r="A369" s="260" t="s">
        <v>563</v>
      </c>
      <c r="B369" s="190">
        <v>46020</v>
      </c>
      <c r="C369" s="197">
        <v>108658.7</v>
      </c>
      <c r="D369" s="197">
        <v>0</v>
      </c>
      <c r="E369" s="197">
        <v>0</v>
      </c>
      <c r="F369" s="197">
        <v>0</v>
      </c>
      <c r="G369" s="197">
        <v>93116</v>
      </c>
      <c r="H369" s="197">
        <v>15528.7</v>
      </c>
      <c r="I369" s="197">
        <v>0</v>
      </c>
      <c r="J369" s="197">
        <v>108644.7</v>
      </c>
      <c r="K369" s="197">
        <v>108644.7</v>
      </c>
      <c r="L369" s="197">
        <v>16943.666666666664</v>
      </c>
      <c r="M369" s="197">
        <v>-210.33333333333348</v>
      </c>
      <c r="N369" s="197">
        <v>0</v>
      </c>
      <c r="O369" s="197">
        <v>0</v>
      </c>
      <c r="P369" s="197">
        <v>-14</v>
      </c>
      <c r="Q369" s="197">
        <v>-1.2884380173883159E-4</v>
      </c>
      <c r="R369" s="260" t="s">
        <v>239</v>
      </c>
      <c r="S369" s="260" t="s">
        <v>514</v>
      </c>
      <c r="T369" s="260" t="s">
        <v>239</v>
      </c>
      <c r="U369" s="260" t="s">
        <v>514</v>
      </c>
    </row>
    <row r="370" spans="1:21" ht="14.5" x14ac:dyDescent="0.35">
      <c r="A370" s="260" t="s">
        <v>563</v>
      </c>
      <c r="B370" s="190">
        <v>46021</v>
      </c>
      <c r="C370" s="197">
        <v>108644.7</v>
      </c>
      <c r="D370" s="197">
        <v>0</v>
      </c>
      <c r="E370" s="197">
        <v>0</v>
      </c>
      <c r="F370" s="197">
        <v>0</v>
      </c>
      <c r="G370" s="197">
        <v>93116</v>
      </c>
      <c r="H370" s="197">
        <v>15525.300000000001</v>
      </c>
      <c r="I370" s="197">
        <v>0</v>
      </c>
      <c r="J370" s="197">
        <v>108641.3</v>
      </c>
      <c r="K370" s="197">
        <v>108641.3</v>
      </c>
      <c r="L370" s="197">
        <v>16943.666666666664</v>
      </c>
      <c r="M370" s="197">
        <v>-210.33333333333348</v>
      </c>
      <c r="N370" s="197">
        <v>0</v>
      </c>
      <c r="O370" s="197">
        <v>0</v>
      </c>
      <c r="P370" s="197">
        <v>-3.3999999999941792</v>
      </c>
      <c r="Q370" s="197">
        <v>-3.1294669689319043E-5</v>
      </c>
      <c r="R370" s="260" t="s">
        <v>239</v>
      </c>
      <c r="S370" s="260" t="s">
        <v>514</v>
      </c>
      <c r="T370" s="260" t="s">
        <v>239</v>
      </c>
      <c r="U370" s="260" t="s">
        <v>514</v>
      </c>
    </row>
    <row r="371" spans="1:21" ht="14.5" x14ac:dyDescent="0.35">
      <c r="A371" s="260" t="s">
        <v>563</v>
      </c>
      <c r="B371" s="190">
        <v>46022</v>
      </c>
      <c r="C371" s="197">
        <v>108641.3</v>
      </c>
      <c r="D371" s="197">
        <v>0</v>
      </c>
      <c r="E371" s="197">
        <v>0</v>
      </c>
      <c r="F371" s="197">
        <v>0</v>
      </c>
      <c r="G371" s="197">
        <v>93091</v>
      </c>
      <c r="H371" s="197">
        <v>15520</v>
      </c>
      <c r="I371" s="197">
        <v>0</v>
      </c>
      <c r="J371" s="197">
        <v>108611</v>
      </c>
      <c r="K371" s="197">
        <v>108611</v>
      </c>
      <c r="L371" s="197">
        <v>16943.666666666664</v>
      </c>
      <c r="M371" s="197">
        <v>-210.33333333333348</v>
      </c>
      <c r="N371" s="197">
        <v>25</v>
      </c>
      <c r="O371" s="197">
        <v>0</v>
      </c>
      <c r="P371" s="197">
        <v>-30.30000000000291</v>
      </c>
      <c r="Q371" s="197">
        <v>-2.7889946088643924E-4</v>
      </c>
      <c r="R371" s="260" t="s">
        <v>239</v>
      </c>
      <c r="S371" s="260" t="s">
        <v>514</v>
      </c>
      <c r="T371" s="260" t="s">
        <v>239</v>
      </c>
      <c r="U371" s="260" t="s">
        <v>514</v>
      </c>
    </row>
    <row r="372" spans="1:21" ht="14.5" x14ac:dyDescent="0.35">
      <c r="A372" s="260" t="s">
        <v>565</v>
      </c>
      <c r="B372" s="190">
        <v>45658</v>
      </c>
      <c r="C372" s="197">
        <v>0</v>
      </c>
      <c r="D372" s="197">
        <v>80000</v>
      </c>
      <c r="E372" s="197">
        <v>0</v>
      </c>
      <c r="F372" s="197">
        <v>80000</v>
      </c>
      <c r="G372" s="197">
        <v>80000</v>
      </c>
      <c r="H372" s="197">
        <v>0</v>
      </c>
      <c r="I372" s="197">
        <v>0</v>
      </c>
      <c r="J372" s="197">
        <v>80000</v>
      </c>
      <c r="K372" s="197">
        <v>80000</v>
      </c>
      <c r="L372" s="197">
        <v>0</v>
      </c>
      <c r="M372" s="197">
        <v>0</v>
      </c>
      <c r="N372" s="197">
        <v>0</v>
      </c>
      <c r="O372" s="197">
        <v>0</v>
      </c>
      <c r="P372" s="197">
        <v>0</v>
      </c>
      <c r="Q372" s="197">
        <v>0</v>
      </c>
      <c r="R372" s="260" t="s">
        <v>239</v>
      </c>
      <c r="S372" s="260" t="s">
        <v>514</v>
      </c>
      <c r="T372" s="260" t="s">
        <v>239</v>
      </c>
      <c r="U372" s="260" t="s">
        <v>514</v>
      </c>
    </row>
    <row r="373" spans="1:21" ht="14.5" x14ac:dyDescent="0.35">
      <c r="A373" s="260" t="s">
        <v>565</v>
      </c>
      <c r="B373" s="190">
        <v>45659</v>
      </c>
      <c r="C373" s="197">
        <v>80000</v>
      </c>
      <c r="D373" s="197">
        <v>0</v>
      </c>
      <c r="E373" s="197">
        <v>0</v>
      </c>
      <c r="F373" s="197">
        <v>0</v>
      </c>
      <c r="G373" s="197">
        <v>51972</v>
      </c>
      <c r="H373" s="197">
        <v>27988.6</v>
      </c>
      <c r="I373" s="197">
        <v>0</v>
      </c>
      <c r="J373" s="197">
        <v>79960.600000000006</v>
      </c>
      <c r="K373" s="197">
        <v>79960.600000000006</v>
      </c>
      <c r="L373" s="197">
        <v>28028</v>
      </c>
      <c r="M373" s="197">
        <v>0</v>
      </c>
      <c r="N373" s="197">
        <v>28</v>
      </c>
      <c r="O373" s="197">
        <v>0</v>
      </c>
      <c r="P373" s="197">
        <v>-39.399999999994179</v>
      </c>
      <c r="Q373" s="197">
        <v>-4.924999999998958E-4</v>
      </c>
      <c r="R373" s="260" t="s">
        <v>239</v>
      </c>
      <c r="S373" s="260" t="s">
        <v>514</v>
      </c>
      <c r="T373" s="260" t="s">
        <v>239</v>
      </c>
      <c r="U373" s="260" t="s">
        <v>514</v>
      </c>
    </row>
    <row r="374" spans="1:21" ht="14.5" x14ac:dyDescent="0.35">
      <c r="A374" s="260" t="s">
        <v>565</v>
      </c>
      <c r="B374" s="190">
        <v>45660</v>
      </c>
      <c r="C374" s="197">
        <v>79960.600000000006</v>
      </c>
      <c r="D374" s="197">
        <v>0</v>
      </c>
      <c r="E374" s="197">
        <v>0</v>
      </c>
      <c r="F374" s="197">
        <v>0</v>
      </c>
      <c r="G374" s="197">
        <v>51972</v>
      </c>
      <c r="H374" s="197">
        <v>27977.4</v>
      </c>
      <c r="I374" s="197">
        <v>0</v>
      </c>
      <c r="J374" s="197">
        <v>79949.399999999994</v>
      </c>
      <c r="K374" s="197">
        <v>79949.399999999994</v>
      </c>
      <c r="L374" s="197">
        <v>28028</v>
      </c>
      <c r="M374" s="197">
        <v>0</v>
      </c>
      <c r="N374" s="197">
        <v>0</v>
      </c>
      <c r="O374" s="197">
        <v>0</v>
      </c>
      <c r="P374" s="197">
        <v>-11.200000000011642</v>
      </c>
      <c r="Q374" s="197">
        <v>-1.4006898397478373E-4</v>
      </c>
      <c r="R374" s="260" t="s">
        <v>239</v>
      </c>
      <c r="S374" s="260" t="s">
        <v>514</v>
      </c>
      <c r="T374" s="260" t="s">
        <v>239</v>
      </c>
      <c r="U374" s="260" t="s">
        <v>514</v>
      </c>
    </row>
    <row r="375" spans="1:21" ht="14.5" x14ac:dyDescent="0.35">
      <c r="A375" s="260" t="s">
        <v>565</v>
      </c>
      <c r="B375" s="190">
        <v>45661</v>
      </c>
      <c r="C375" s="197">
        <v>79949.399999999994</v>
      </c>
      <c r="D375" s="197">
        <v>0</v>
      </c>
      <c r="E375" s="197">
        <v>0</v>
      </c>
      <c r="F375" s="197">
        <v>0</v>
      </c>
      <c r="G375" s="197">
        <v>51972</v>
      </c>
      <c r="H375" s="197">
        <v>27977.4</v>
      </c>
      <c r="I375" s="197">
        <v>0</v>
      </c>
      <c r="J375" s="197">
        <v>79949.399999999994</v>
      </c>
      <c r="K375" s="197">
        <v>79949.399999999994</v>
      </c>
      <c r="L375" s="197">
        <v>28028</v>
      </c>
      <c r="M375" s="197">
        <v>0</v>
      </c>
      <c r="N375" s="197">
        <v>0</v>
      </c>
      <c r="O375" s="197">
        <v>0</v>
      </c>
      <c r="P375" s="197">
        <v>0</v>
      </c>
      <c r="Q375" s="197">
        <v>0</v>
      </c>
      <c r="R375" s="260" t="s">
        <v>239</v>
      </c>
      <c r="S375" s="260" t="s">
        <v>514</v>
      </c>
      <c r="T375" s="260" t="s">
        <v>239</v>
      </c>
      <c r="U375" s="260" t="s">
        <v>514</v>
      </c>
    </row>
    <row r="376" spans="1:21" ht="14.5" x14ac:dyDescent="0.35">
      <c r="A376" s="260" t="s">
        <v>565</v>
      </c>
      <c r="B376" s="190">
        <v>45662</v>
      </c>
      <c r="C376" s="197">
        <v>79949.399999999994</v>
      </c>
      <c r="D376" s="197">
        <v>0</v>
      </c>
      <c r="E376" s="197">
        <v>0</v>
      </c>
      <c r="F376" s="197">
        <v>0</v>
      </c>
      <c r="G376" s="197">
        <v>51972</v>
      </c>
      <c r="H376" s="197">
        <v>27977.4</v>
      </c>
      <c r="I376" s="197">
        <v>0</v>
      </c>
      <c r="J376" s="197">
        <v>79949.399999999994</v>
      </c>
      <c r="K376" s="197">
        <v>79949.399999999994</v>
      </c>
      <c r="L376" s="197">
        <v>28028</v>
      </c>
      <c r="M376" s="197">
        <v>0</v>
      </c>
      <c r="N376" s="197">
        <v>0</v>
      </c>
      <c r="O376" s="197">
        <v>0</v>
      </c>
      <c r="P376" s="197">
        <v>0</v>
      </c>
      <c r="Q376" s="197">
        <v>0</v>
      </c>
      <c r="R376" s="260" t="s">
        <v>239</v>
      </c>
      <c r="S376" s="260" t="s">
        <v>514</v>
      </c>
      <c r="T376" s="260" t="s">
        <v>239</v>
      </c>
      <c r="U376" s="260" t="s">
        <v>514</v>
      </c>
    </row>
    <row r="377" spans="1:21" ht="14.5" x14ac:dyDescent="0.35">
      <c r="A377" s="260" t="s">
        <v>565</v>
      </c>
      <c r="B377" s="190">
        <v>45663</v>
      </c>
      <c r="C377" s="197">
        <v>79949.399999999994</v>
      </c>
      <c r="D377" s="197">
        <v>0</v>
      </c>
      <c r="E377" s="197">
        <v>0</v>
      </c>
      <c r="F377" s="197">
        <v>0</v>
      </c>
      <c r="G377" s="197">
        <v>51972</v>
      </c>
      <c r="H377" s="197">
        <v>27943.4</v>
      </c>
      <c r="I377" s="197">
        <v>0</v>
      </c>
      <c r="J377" s="197">
        <v>79915.399999999994</v>
      </c>
      <c r="K377" s="197">
        <v>79915.399999999994</v>
      </c>
      <c r="L377" s="197">
        <v>28028</v>
      </c>
      <c r="M377" s="197">
        <v>0</v>
      </c>
      <c r="N377" s="197">
        <v>0</v>
      </c>
      <c r="O377" s="197">
        <v>0</v>
      </c>
      <c r="P377" s="197">
        <v>-34</v>
      </c>
      <c r="Q377" s="197">
        <v>-4.2526898263151036E-4</v>
      </c>
      <c r="R377" s="260" t="s">
        <v>239</v>
      </c>
      <c r="S377" s="260" t="s">
        <v>514</v>
      </c>
      <c r="T377" s="260" t="s">
        <v>239</v>
      </c>
      <c r="U377" s="260" t="s">
        <v>514</v>
      </c>
    </row>
    <row r="378" spans="1:21" ht="14.5" x14ac:dyDescent="0.35">
      <c r="A378" s="260" t="s">
        <v>565</v>
      </c>
      <c r="B378" s="190">
        <v>45664</v>
      </c>
      <c r="C378" s="197">
        <v>79915.399999999994</v>
      </c>
      <c r="D378" s="197">
        <v>0</v>
      </c>
      <c r="E378" s="197">
        <v>0</v>
      </c>
      <c r="F378" s="197">
        <v>0</v>
      </c>
      <c r="G378" s="197">
        <v>51972</v>
      </c>
      <c r="H378" s="197">
        <v>27932</v>
      </c>
      <c r="I378" s="197">
        <v>0</v>
      </c>
      <c r="J378" s="197">
        <v>79904</v>
      </c>
      <c r="K378" s="197">
        <v>79904</v>
      </c>
      <c r="L378" s="197">
        <v>28028</v>
      </c>
      <c r="M378" s="197">
        <v>0</v>
      </c>
      <c r="N378" s="197">
        <v>0</v>
      </c>
      <c r="O378" s="197">
        <v>0</v>
      </c>
      <c r="P378" s="197">
        <v>-11.399999999994179</v>
      </c>
      <c r="Q378" s="197">
        <v>-1.4265085327724858E-4</v>
      </c>
      <c r="R378" s="260" t="s">
        <v>239</v>
      </c>
      <c r="S378" s="260" t="s">
        <v>514</v>
      </c>
      <c r="T378" s="260" t="s">
        <v>239</v>
      </c>
      <c r="U378" s="260" t="s">
        <v>514</v>
      </c>
    </row>
    <row r="379" spans="1:21" ht="14.5" x14ac:dyDescent="0.35">
      <c r="A379" s="260" t="s">
        <v>565</v>
      </c>
      <c r="B379" s="190">
        <v>45665</v>
      </c>
      <c r="C379" s="197">
        <v>79904</v>
      </c>
      <c r="D379" s="197">
        <v>0</v>
      </c>
      <c r="E379" s="197">
        <v>0</v>
      </c>
      <c r="F379" s="197">
        <v>0</v>
      </c>
      <c r="G379" s="197">
        <v>51972</v>
      </c>
      <c r="H379" s="197">
        <v>27920.6</v>
      </c>
      <c r="I379" s="197">
        <v>0</v>
      </c>
      <c r="J379" s="197">
        <v>79892.600000000006</v>
      </c>
      <c r="K379" s="197">
        <v>79892.600000000006</v>
      </c>
      <c r="L379" s="197">
        <v>28028</v>
      </c>
      <c r="M379" s="197">
        <v>0</v>
      </c>
      <c r="N379" s="197">
        <v>0</v>
      </c>
      <c r="O379" s="197">
        <v>0</v>
      </c>
      <c r="P379" s="197">
        <v>-11.399999999994179</v>
      </c>
      <c r="Q379" s="197">
        <v>-1.4267120544642076E-4</v>
      </c>
      <c r="R379" s="260" t="s">
        <v>239</v>
      </c>
      <c r="S379" s="260" t="s">
        <v>514</v>
      </c>
      <c r="T379" s="260" t="s">
        <v>239</v>
      </c>
      <c r="U379" s="260" t="s">
        <v>514</v>
      </c>
    </row>
    <row r="380" spans="1:21" ht="14.5" x14ac:dyDescent="0.35">
      <c r="A380" s="260" t="s">
        <v>565</v>
      </c>
      <c r="B380" s="190">
        <v>45666</v>
      </c>
      <c r="C380" s="197">
        <v>79892.600000000006</v>
      </c>
      <c r="D380" s="197">
        <v>0</v>
      </c>
      <c r="E380" s="197">
        <v>0</v>
      </c>
      <c r="F380" s="197">
        <v>0</v>
      </c>
      <c r="G380" s="197">
        <v>51972</v>
      </c>
      <c r="H380" s="197">
        <v>27909.4</v>
      </c>
      <c r="I380" s="197">
        <v>0</v>
      </c>
      <c r="J380" s="197">
        <v>79881.399999999994</v>
      </c>
      <c r="K380" s="197">
        <v>79881.399999999994</v>
      </c>
      <c r="L380" s="197">
        <v>28028</v>
      </c>
      <c r="M380" s="197">
        <v>0</v>
      </c>
      <c r="N380" s="197">
        <v>0</v>
      </c>
      <c r="O380" s="197">
        <v>0</v>
      </c>
      <c r="P380" s="197">
        <v>-11.200000000011642</v>
      </c>
      <c r="Q380" s="197">
        <v>-1.401882026622614E-4</v>
      </c>
      <c r="R380" s="260" t="s">
        <v>239</v>
      </c>
      <c r="S380" s="260" t="s">
        <v>514</v>
      </c>
      <c r="T380" s="260" t="s">
        <v>239</v>
      </c>
      <c r="U380" s="260" t="s">
        <v>514</v>
      </c>
    </row>
    <row r="381" spans="1:21" ht="14.5" x14ac:dyDescent="0.35">
      <c r="A381" s="260" t="s">
        <v>565</v>
      </c>
      <c r="B381" s="190">
        <v>45667</v>
      </c>
      <c r="C381" s="197">
        <v>79881.399999999994</v>
      </c>
      <c r="D381" s="197">
        <v>0</v>
      </c>
      <c r="E381" s="197">
        <v>0</v>
      </c>
      <c r="F381" s="197">
        <v>0</v>
      </c>
      <c r="G381" s="197">
        <v>51972</v>
      </c>
      <c r="H381" s="197">
        <v>27898</v>
      </c>
      <c r="I381" s="197">
        <v>0</v>
      </c>
      <c r="J381" s="197">
        <v>79870</v>
      </c>
      <c r="K381" s="197">
        <v>79870</v>
      </c>
      <c r="L381" s="197">
        <v>28028</v>
      </c>
      <c r="M381" s="197">
        <v>0</v>
      </c>
      <c r="N381" s="197">
        <v>0</v>
      </c>
      <c r="O381" s="197">
        <v>0</v>
      </c>
      <c r="P381" s="197">
        <v>-11.399999999994179</v>
      </c>
      <c r="Q381" s="197">
        <v>-1.427115699023096E-4</v>
      </c>
      <c r="R381" s="260" t="s">
        <v>239</v>
      </c>
      <c r="S381" s="260" t="s">
        <v>514</v>
      </c>
      <c r="T381" s="260" t="s">
        <v>239</v>
      </c>
      <c r="U381" s="260" t="s">
        <v>514</v>
      </c>
    </row>
    <row r="382" spans="1:21" ht="14.5" x14ac:dyDescent="0.35">
      <c r="A382" s="260" t="s">
        <v>565</v>
      </c>
      <c r="B382" s="190">
        <v>45668</v>
      </c>
      <c r="C382" s="197">
        <v>79870</v>
      </c>
      <c r="D382" s="197">
        <v>0</v>
      </c>
      <c r="E382" s="197">
        <v>0</v>
      </c>
      <c r="F382" s="197">
        <v>0</v>
      </c>
      <c r="G382" s="197">
        <v>51972</v>
      </c>
      <c r="H382" s="197">
        <v>27898</v>
      </c>
      <c r="I382" s="197">
        <v>0</v>
      </c>
      <c r="J382" s="197">
        <v>79870</v>
      </c>
      <c r="K382" s="197">
        <v>79870</v>
      </c>
      <c r="L382" s="197">
        <v>28028</v>
      </c>
      <c r="M382" s="197">
        <v>0</v>
      </c>
      <c r="N382" s="197">
        <v>0</v>
      </c>
      <c r="O382" s="197">
        <v>0</v>
      </c>
      <c r="P382" s="197">
        <v>0</v>
      </c>
      <c r="Q382" s="197">
        <v>0</v>
      </c>
      <c r="R382" s="260" t="s">
        <v>239</v>
      </c>
      <c r="S382" s="260" t="s">
        <v>514</v>
      </c>
      <c r="T382" s="260" t="s">
        <v>239</v>
      </c>
      <c r="U382" s="260" t="s">
        <v>514</v>
      </c>
    </row>
    <row r="383" spans="1:21" ht="14.5" x14ac:dyDescent="0.35">
      <c r="A383" s="260" t="s">
        <v>565</v>
      </c>
      <c r="B383" s="190">
        <v>45669</v>
      </c>
      <c r="C383" s="197">
        <v>79870</v>
      </c>
      <c r="D383" s="197">
        <v>0</v>
      </c>
      <c r="E383" s="197">
        <v>0</v>
      </c>
      <c r="F383" s="197">
        <v>0</v>
      </c>
      <c r="G383" s="197">
        <v>51972</v>
      </c>
      <c r="H383" s="197">
        <v>27898</v>
      </c>
      <c r="I383" s="197">
        <v>0</v>
      </c>
      <c r="J383" s="197">
        <v>79870</v>
      </c>
      <c r="K383" s="197">
        <v>79870</v>
      </c>
      <c r="L383" s="197">
        <v>28028</v>
      </c>
      <c r="M383" s="197">
        <v>0</v>
      </c>
      <c r="N383" s="197">
        <v>0</v>
      </c>
      <c r="O383" s="197">
        <v>0</v>
      </c>
      <c r="P383" s="197">
        <v>0</v>
      </c>
      <c r="Q383" s="197">
        <v>0</v>
      </c>
      <c r="R383" s="260" t="s">
        <v>239</v>
      </c>
      <c r="S383" s="260" t="s">
        <v>514</v>
      </c>
      <c r="T383" s="260" t="s">
        <v>239</v>
      </c>
      <c r="U383" s="260" t="s">
        <v>514</v>
      </c>
    </row>
    <row r="384" spans="1:21" ht="14.5" x14ac:dyDescent="0.35">
      <c r="A384" s="260" t="s">
        <v>565</v>
      </c>
      <c r="B384" s="190">
        <v>45670</v>
      </c>
      <c r="C384" s="197">
        <v>79870</v>
      </c>
      <c r="D384" s="197">
        <v>0</v>
      </c>
      <c r="E384" s="197">
        <v>0</v>
      </c>
      <c r="F384" s="197">
        <v>0</v>
      </c>
      <c r="G384" s="197">
        <v>51972</v>
      </c>
      <c r="H384" s="197">
        <v>27864</v>
      </c>
      <c r="I384" s="197">
        <v>0</v>
      </c>
      <c r="J384" s="197">
        <v>79836</v>
      </c>
      <c r="K384" s="197">
        <v>79836</v>
      </c>
      <c r="L384" s="197">
        <v>28028</v>
      </c>
      <c r="M384" s="197">
        <v>0</v>
      </c>
      <c r="N384" s="197">
        <v>0</v>
      </c>
      <c r="O384" s="197">
        <v>0</v>
      </c>
      <c r="P384" s="197">
        <v>-34</v>
      </c>
      <c r="Q384" s="197">
        <v>-4.256917490922385E-4</v>
      </c>
      <c r="R384" s="260" t="s">
        <v>239</v>
      </c>
      <c r="S384" s="260" t="s">
        <v>514</v>
      </c>
      <c r="T384" s="260" t="s">
        <v>239</v>
      </c>
      <c r="U384" s="260" t="s">
        <v>514</v>
      </c>
    </row>
    <row r="385" spans="1:21" ht="14.5" x14ac:dyDescent="0.35">
      <c r="A385" s="260" t="s">
        <v>565</v>
      </c>
      <c r="B385" s="190">
        <v>45671</v>
      </c>
      <c r="C385" s="197">
        <v>79836</v>
      </c>
      <c r="D385" s="197">
        <v>0</v>
      </c>
      <c r="E385" s="197">
        <v>0</v>
      </c>
      <c r="F385" s="197">
        <v>0</v>
      </c>
      <c r="G385" s="197">
        <v>51972</v>
      </c>
      <c r="H385" s="197">
        <v>27852.6</v>
      </c>
      <c r="I385" s="197">
        <v>0</v>
      </c>
      <c r="J385" s="197">
        <v>79824.600000000006</v>
      </c>
      <c r="K385" s="197">
        <v>79824.600000000006</v>
      </c>
      <c r="L385" s="197">
        <v>28028</v>
      </c>
      <c r="M385" s="197">
        <v>0</v>
      </c>
      <c r="N385" s="197">
        <v>0</v>
      </c>
      <c r="O385" s="197">
        <v>0</v>
      </c>
      <c r="P385" s="197">
        <v>-11.399999999994179</v>
      </c>
      <c r="Q385" s="197">
        <v>-1.4279272508632701E-4</v>
      </c>
      <c r="R385" s="260" t="s">
        <v>239</v>
      </c>
      <c r="S385" s="260" t="s">
        <v>514</v>
      </c>
      <c r="T385" s="260" t="s">
        <v>239</v>
      </c>
      <c r="U385" s="260" t="s">
        <v>514</v>
      </c>
    </row>
    <row r="386" spans="1:21" ht="14.5" x14ac:dyDescent="0.35">
      <c r="A386" s="260" t="s">
        <v>565</v>
      </c>
      <c r="B386" s="190">
        <v>45672</v>
      </c>
      <c r="C386" s="197">
        <v>79824.600000000006</v>
      </c>
      <c r="D386" s="197">
        <v>0</v>
      </c>
      <c r="E386" s="197">
        <v>0</v>
      </c>
      <c r="F386" s="197">
        <v>0</v>
      </c>
      <c r="G386" s="197">
        <v>51972</v>
      </c>
      <c r="H386" s="197">
        <v>27841.4</v>
      </c>
      <c r="I386" s="197">
        <v>0</v>
      </c>
      <c r="J386" s="197">
        <v>79813.399999999994</v>
      </c>
      <c r="K386" s="197">
        <v>79813.399999999994</v>
      </c>
      <c r="L386" s="197">
        <v>28028</v>
      </c>
      <c r="M386" s="197">
        <v>0</v>
      </c>
      <c r="N386" s="197">
        <v>0</v>
      </c>
      <c r="O386" s="197">
        <v>0</v>
      </c>
      <c r="P386" s="197">
        <v>-11.200000000011642</v>
      </c>
      <c r="Q386" s="197">
        <v>-1.4030762446681777E-4</v>
      </c>
      <c r="R386" s="260" t="s">
        <v>239</v>
      </c>
      <c r="S386" s="260" t="s">
        <v>514</v>
      </c>
      <c r="T386" s="260" t="s">
        <v>239</v>
      </c>
      <c r="U386" s="260" t="s">
        <v>514</v>
      </c>
    </row>
    <row r="387" spans="1:21" ht="14.5" x14ac:dyDescent="0.35">
      <c r="A387" s="260" t="s">
        <v>565</v>
      </c>
      <c r="B387" s="190">
        <v>45673</v>
      </c>
      <c r="C387" s="197">
        <v>79813.399999999994</v>
      </c>
      <c r="D387" s="197">
        <v>0</v>
      </c>
      <c r="E387" s="197">
        <v>0</v>
      </c>
      <c r="F387" s="197">
        <v>0</v>
      </c>
      <c r="G387" s="197">
        <v>51972</v>
      </c>
      <c r="H387" s="197">
        <v>27830</v>
      </c>
      <c r="I387" s="197">
        <v>0</v>
      </c>
      <c r="J387" s="197">
        <v>79802</v>
      </c>
      <c r="K387" s="197">
        <v>79802</v>
      </c>
      <c r="L387" s="197">
        <v>28028</v>
      </c>
      <c r="M387" s="197">
        <v>0</v>
      </c>
      <c r="N387" s="197">
        <v>0</v>
      </c>
      <c r="O387" s="197">
        <v>0</v>
      </c>
      <c r="P387" s="197">
        <v>-11.399999999994179</v>
      </c>
      <c r="Q387" s="197">
        <v>-1.4283315834173749E-4</v>
      </c>
      <c r="R387" s="260" t="s">
        <v>239</v>
      </c>
      <c r="S387" s="260" t="s">
        <v>514</v>
      </c>
      <c r="T387" s="260" t="s">
        <v>239</v>
      </c>
      <c r="U387" s="260" t="s">
        <v>514</v>
      </c>
    </row>
    <row r="388" spans="1:21" ht="14.5" x14ac:dyDescent="0.35">
      <c r="A388" s="260" t="s">
        <v>565</v>
      </c>
      <c r="B388" s="190">
        <v>45674</v>
      </c>
      <c r="C388" s="197">
        <v>79802</v>
      </c>
      <c r="D388" s="197">
        <v>0</v>
      </c>
      <c r="E388" s="197">
        <v>0</v>
      </c>
      <c r="F388" s="197">
        <v>0</v>
      </c>
      <c r="G388" s="197">
        <v>51972</v>
      </c>
      <c r="H388" s="197">
        <v>27818.6</v>
      </c>
      <c r="I388" s="197">
        <v>0</v>
      </c>
      <c r="J388" s="197">
        <v>79790.600000000006</v>
      </c>
      <c r="K388" s="197">
        <v>79790.600000000006</v>
      </c>
      <c r="L388" s="197">
        <v>28028</v>
      </c>
      <c r="M388" s="197">
        <v>0</v>
      </c>
      <c r="N388" s="197">
        <v>0</v>
      </c>
      <c r="O388" s="197">
        <v>0</v>
      </c>
      <c r="P388" s="197">
        <v>-11.399999999994179</v>
      </c>
      <c r="Q388" s="197">
        <v>-1.4285356256726889E-4</v>
      </c>
      <c r="R388" s="260" t="s">
        <v>239</v>
      </c>
      <c r="S388" s="260" t="s">
        <v>514</v>
      </c>
      <c r="T388" s="260" t="s">
        <v>239</v>
      </c>
      <c r="U388" s="260" t="s">
        <v>514</v>
      </c>
    </row>
    <row r="389" spans="1:21" ht="14.5" x14ac:dyDescent="0.35">
      <c r="A389" s="260" t="s">
        <v>565</v>
      </c>
      <c r="B389" s="190">
        <v>45675</v>
      </c>
      <c r="C389" s="197">
        <v>79790.600000000006</v>
      </c>
      <c r="D389" s="197">
        <v>0</v>
      </c>
      <c r="E389" s="197">
        <v>0</v>
      </c>
      <c r="F389" s="197">
        <v>0</v>
      </c>
      <c r="G389" s="197">
        <v>51972</v>
      </c>
      <c r="H389" s="197">
        <v>27818.6</v>
      </c>
      <c r="I389" s="197">
        <v>0</v>
      </c>
      <c r="J389" s="197">
        <v>79790.600000000006</v>
      </c>
      <c r="K389" s="197">
        <v>79790.600000000006</v>
      </c>
      <c r="L389" s="197">
        <v>28028</v>
      </c>
      <c r="M389" s="197">
        <v>0</v>
      </c>
      <c r="N389" s="197">
        <v>0</v>
      </c>
      <c r="O389" s="197">
        <v>0</v>
      </c>
      <c r="P389" s="197">
        <v>0</v>
      </c>
      <c r="Q389" s="197">
        <v>0</v>
      </c>
      <c r="R389" s="260" t="s">
        <v>239</v>
      </c>
      <c r="S389" s="260" t="s">
        <v>514</v>
      </c>
      <c r="T389" s="260" t="s">
        <v>239</v>
      </c>
      <c r="U389" s="260" t="s">
        <v>514</v>
      </c>
    </row>
    <row r="390" spans="1:21" ht="14.5" x14ac:dyDescent="0.35">
      <c r="A390" s="260" t="s">
        <v>565</v>
      </c>
      <c r="B390" s="190">
        <v>45676</v>
      </c>
      <c r="C390" s="197">
        <v>79790.600000000006</v>
      </c>
      <c r="D390" s="197">
        <v>0</v>
      </c>
      <c r="E390" s="197">
        <v>0</v>
      </c>
      <c r="F390" s="197">
        <v>0</v>
      </c>
      <c r="G390" s="197">
        <v>51972</v>
      </c>
      <c r="H390" s="197">
        <v>27818.6</v>
      </c>
      <c r="I390" s="197">
        <v>0</v>
      </c>
      <c r="J390" s="197">
        <v>79790.600000000006</v>
      </c>
      <c r="K390" s="197">
        <v>79790.600000000006</v>
      </c>
      <c r="L390" s="197">
        <v>28028</v>
      </c>
      <c r="M390" s="197">
        <v>0</v>
      </c>
      <c r="N390" s="197">
        <v>0</v>
      </c>
      <c r="O390" s="197">
        <v>0</v>
      </c>
      <c r="P390" s="197">
        <v>0</v>
      </c>
      <c r="Q390" s="197">
        <v>0</v>
      </c>
      <c r="R390" s="260" t="s">
        <v>239</v>
      </c>
      <c r="S390" s="260" t="s">
        <v>514</v>
      </c>
      <c r="T390" s="260" t="s">
        <v>239</v>
      </c>
      <c r="U390" s="260" t="s">
        <v>514</v>
      </c>
    </row>
    <row r="391" spans="1:21" ht="14.5" x14ac:dyDescent="0.35">
      <c r="A391" s="260" t="s">
        <v>565</v>
      </c>
      <c r="B391" s="190">
        <v>45677</v>
      </c>
      <c r="C391" s="197">
        <v>79790.600000000006</v>
      </c>
      <c r="D391" s="197">
        <v>0</v>
      </c>
      <c r="E391" s="197">
        <v>0</v>
      </c>
      <c r="F391" s="197">
        <v>0</v>
      </c>
      <c r="G391" s="197">
        <v>51972</v>
      </c>
      <c r="H391" s="197">
        <v>27784.6</v>
      </c>
      <c r="I391" s="197">
        <v>0</v>
      </c>
      <c r="J391" s="197">
        <v>79756.600000000006</v>
      </c>
      <c r="K391" s="197">
        <v>79756.600000000006</v>
      </c>
      <c r="L391" s="197">
        <v>28028</v>
      </c>
      <c r="M391" s="197">
        <v>0</v>
      </c>
      <c r="N391" s="197">
        <v>0</v>
      </c>
      <c r="O391" s="197">
        <v>0</v>
      </c>
      <c r="P391" s="197">
        <v>-34</v>
      </c>
      <c r="Q391" s="197">
        <v>-4.2611535694681013E-4</v>
      </c>
      <c r="R391" s="260" t="s">
        <v>239</v>
      </c>
      <c r="S391" s="260" t="s">
        <v>514</v>
      </c>
      <c r="T391" s="260" t="s">
        <v>239</v>
      </c>
      <c r="U391" s="260" t="s">
        <v>514</v>
      </c>
    </row>
    <row r="392" spans="1:21" ht="14.5" x14ac:dyDescent="0.35">
      <c r="A392" s="260" t="s">
        <v>565</v>
      </c>
      <c r="B392" s="190">
        <v>45678</v>
      </c>
      <c r="C392" s="197">
        <v>79756.600000000006</v>
      </c>
      <c r="D392" s="197">
        <v>0</v>
      </c>
      <c r="E392" s="197">
        <v>0</v>
      </c>
      <c r="F392" s="197">
        <v>0</v>
      </c>
      <c r="G392" s="197">
        <v>51972</v>
      </c>
      <c r="H392" s="197">
        <v>27773.4</v>
      </c>
      <c r="I392" s="197">
        <v>0</v>
      </c>
      <c r="J392" s="197">
        <v>79745.399999999994</v>
      </c>
      <c r="K392" s="197">
        <v>79745.399999999994</v>
      </c>
      <c r="L392" s="197">
        <v>28028</v>
      </c>
      <c r="M392" s="197">
        <v>0</v>
      </c>
      <c r="N392" s="197">
        <v>0</v>
      </c>
      <c r="O392" s="197">
        <v>0</v>
      </c>
      <c r="P392" s="197">
        <v>-11.200000000011642</v>
      </c>
      <c r="Q392" s="197">
        <v>-1.4042724990803723E-4</v>
      </c>
      <c r="R392" s="260" t="s">
        <v>239</v>
      </c>
      <c r="S392" s="260" t="s">
        <v>514</v>
      </c>
      <c r="T392" s="260" t="s">
        <v>239</v>
      </c>
      <c r="U392" s="260" t="s">
        <v>514</v>
      </c>
    </row>
    <row r="393" spans="1:21" ht="14.5" x14ac:dyDescent="0.35">
      <c r="A393" s="260" t="s">
        <v>565</v>
      </c>
      <c r="B393" s="190">
        <v>45679</v>
      </c>
      <c r="C393" s="197">
        <v>79745.399999999994</v>
      </c>
      <c r="D393" s="197">
        <v>0</v>
      </c>
      <c r="E393" s="197">
        <v>0</v>
      </c>
      <c r="F393" s="197">
        <v>0</v>
      </c>
      <c r="G393" s="197">
        <v>51972</v>
      </c>
      <c r="H393" s="197">
        <v>27762</v>
      </c>
      <c r="I393" s="197">
        <v>0</v>
      </c>
      <c r="J393" s="197">
        <v>79734</v>
      </c>
      <c r="K393" s="197">
        <v>79734</v>
      </c>
      <c r="L393" s="197">
        <v>28028</v>
      </c>
      <c r="M393" s="197">
        <v>0</v>
      </c>
      <c r="N393" s="197">
        <v>0</v>
      </c>
      <c r="O393" s="197">
        <v>0</v>
      </c>
      <c r="P393" s="197">
        <v>-11.399999999994179</v>
      </c>
      <c r="Q393" s="197">
        <v>-1.4295495414151649E-4</v>
      </c>
      <c r="R393" s="260" t="s">
        <v>239</v>
      </c>
      <c r="S393" s="260" t="s">
        <v>514</v>
      </c>
      <c r="T393" s="260" t="s">
        <v>239</v>
      </c>
      <c r="U393" s="260" t="s">
        <v>514</v>
      </c>
    </row>
    <row r="394" spans="1:21" ht="14.5" x14ac:dyDescent="0.35">
      <c r="A394" s="260" t="s">
        <v>565</v>
      </c>
      <c r="B394" s="190">
        <v>45680</v>
      </c>
      <c r="C394" s="197">
        <v>79734</v>
      </c>
      <c r="D394" s="197">
        <v>0</v>
      </c>
      <c r="E394" s="197">
        <v>0</v>
      </c>
      <c r="F394" s="197">
        <v>0</v>
      </c>
      <c r="G394" s="197">
        <v>51972</v>
      </c>
      <c r="H394" s="197">
        <v>27750.6</v>
      </c>
      <c r="I394" s="197">
        <v>0</v>
      </c>
      <c r="J394" s="197">
        <v>79722.600000000006</v>
      </c>
      <c r="K394" s="197">
        <v>79722.600000000006</v>
      </c>
      <c r="L394" s="197">
        <v>28028</v>
      </c>
      <c r="M394" s="197">
        <v>0</v>
      </c>
      <c r="N394" s="197">
        <v>0</v>
      </c>
      <c r="O394" s="197">
        <v>0</v>
      </c>
      <c r="P394" s="197">
        <v>-11.399999999994179</v>
      </c>
      <c r="Q394" s="197">
        <v>-1.4297539318230967E-4</v>
      </c>
      <c r="R394" s="260" t="s">
        <v>239</v>
      </c>
      <c r="S394" s="260" t="s">
        <v>514</v>
      </c>
      <c r="T394" s="260" t="s">
        <v>239</v>
      </c>
      <c r="U394" s="260" t="s">
        <v>514</v>
      </c>
    </row>
    <row r="395" spans="1:21" ht="14.5" x14ac:dyDescent="0.35">
      <c r="A395" s="260" t="s">
        <v>565</v>
      </c>
      <c r="B395" s="190">
        <v>45681</v>
      </c>
      <c r="C395" s="197">
        <v>79722.600000000006</v>
      </c>
      <c r="D395" s="197">
        <v>0</v>
      </c>
      <c r="E395" s="197">
        <v>0</v>
      </c>
      <c r="F395" s="197">
        <v>0</v>
      </c>
      <c r="G395" s="197">
        <v>51972</v>
      </c>
      <c r="H395" s="197">
        <v>27739.4</v>
      </c>
      <c r="I395" s="197">
        <v>0</v>
      </c>
      <c r="J395" s="197">
        <v>79711.399999999994</v>
      </c>
      <c r="K395" s="197">
        <v>79711.399999999994</v>
      </c>
      <c r="L395" s="197">
        <v>28028</v>
      </c>
      <c r="M395" s="197">
        <v>0</v>
      </c>
      <c r="N395" s="197">
        <v>0</v>
      </c>
      <c r="O395" s="197">
        <v>0</v>
      </c>
      <c r="P395" s="197">
        <v>-11.200000000011642</v>
      </c>
      <c r="Q395" s="197">
        <v>-1.4048713915515432E-4</v>
      </c>
      <c r="R395" s="260" t="s">
        <v>239</v>
      </c>
      <c r="S395" s="260" t="s">
        <v>514</v>
      </c>
      <c r="T395" s="260" t="s">
        <v>239</v>
      </c>
      <c r="U395" s="260" t="s">
        <v>514</v>
      </c>
    </row>
    <row r="396" spans="1:21" ht="14.5" x14ac:dyDescent="0.35">
      <c r="A396" s="260" t="s">
        <v>565</v>
      </c>
      <c r="B396" s="190">
        <v>45682</v>
      </c>
      <c r="C396" s="197">
        <v>79711.399999999994</v>
      </c>
      <c r="D396" s="197">
        <v>0</v>
      </c>
      <c r="E396" s="197">
        <v>0</v>
      </c>
      <c r="F396" s="197">
        <v>0</v>
      </c>
      <c r="G396" s="197">
        <v>51972</v>
      </c>
      <c r="H396" s="197">
        <v>27739.4</v>
      </c>
      <c r="I396" s="197">
        <v>0</v>
      </c>
      <c r="J396" s="197">
        <v>79711.399999999994</v>
      </c>
      <c r="K396" s="197">
        <v>79711.399999999994</v>
      </c>
      <c r="L396" s="197">
        <v>28028</v>
      </c>
      <c r="M396" s="197">
        <v>0</v>
      </c>
      <c r="N396" s="197">
        <v>0</v>
      </c>
      <c r="O396" s="197">
        <v>0</v>
      </c>
      <c r="P396" s="197">
        <v>0</v>
      </c>
      <c r="Q396" s="197">
        <v>0</v>
      </c>
      <c r="R396" s="260" t="s">
        <v>239</v>
      </c>
      <c r="S396" s="260" t="s">
        <v>514</v>
      </c>
      <c r="T396" s="260" t="s">
        <v>239</v>
      </c>
      <c r="U396" s="260" t="s">
        <v>514</v>
      </c>
    </row>
    <row r="397" spans="1:21" ht="14.5" x14ac:dyDescent="0.35">
      <c r="A397" s="260" t="s">
        <v>565</v>
      </c>
      <c r="B397" s="190">
        <v>45683</v>
      </c>
      <c r="C397" s="197">
        <v>79711.399999999994</v>
      </c>
      <c r="D397" s="197">
        <v>0</v>
      </c>
      <c r="E397" s="197">
        <v>0</v>
      </c>
      <c r="F397" s="197">
        <v>0</v>
      </c>
      <c r="G397" s="197">
        <v>51972</v>
      </c>
      <c r="H397" s="197">
        <v>27739.4</v>
      </c>
      <c r="I397" s="197">
        <v>0</v>
      </c>
      <c r="J397" s="197">
        <v>79711.399999999994</v>
      </c>
      <c r="K397" s="197">
        <v>79711.399999999994</v>
      </c>
      <c r="L397" s="197">
        <v>28028</v>
      </c>
      <c r="M397" s="197">
        <v>0</v>
      </c>
      <c r="N397" s="197">
        <v>0</v>
      </c>
      <c r="O397" s="197">
        <v>0</v>
      </c>
      <c r="P397" s="197">
        <v>0</v>
      </c>
      <c r="Q397" s="197">
        <v>0</v>
      </c>
      <c r="R397" s="260" t="s">
        <v>239</v>
      </c>
      <c r="S397" s="260" t="s">
        <v>514</v>
      </c>
      <c r="T397" s="260" t="s">
        <v>239</v>
      </c>
      <c r="U397" s="260" t="s">
        <v>514</v>
      </c>
    </row>
    <row r="398" spans="1:21" ht="14.5" x14ac:dyDescent="0.35">
      <c r="A398" s="260" t="s">
        <v>565</v>
      </c>
      <c r="B398" s="190">
        <v>45684</v>
      </c>
      <c r="C398" s="197">
        <v>79711.399999999994</v>
      </c>
      <c r="D398" s="197">
        <v>0</v>
      </c>
      <c r="E398" s="197">
        <v>0</v>
      </c>
      <c r="F398" s="197">
        <v>0</v>
      </c>
      <c r="G398" s="197">
        <v>51972</v>
      </c>
      <c r="H398" s="197">
        <v>27705.4</v>
      </c>
      <c r="I398" s="197">
        <v>0</v>
      </c>
      <c r="J398" s="197">
        <v>79677.399999999994</v>
      </c>
      <c r="K398" s="197">
        <v>79677.399999999994</v>
      </c>
      <c r="L398" s="197">
        <v>28028</v>
      </c>
      <c r="M398" s="197">
        <v>0</v>
      </c>
      <c r="N398" s="197">
        <v>0</v>
      </c>
      <c r="O398" s="197">
        <v>0</v>
      </c>
      <c r="P398" s="197">
        <v>-34</v>
      </c>
      <c r="Q398" s="197">
        <v>-4.2653873849918256E-4</v>
      </c>
      <c r="R398" s="260" t="s">
        <v>239</v>
      </c>
      <c r="S398" s="260" t="s">
        <v>514</v>
      </c>
      <c r="T398" s="260" t="s">
        <v>239</v>
      </c>
      <c r="U398" s="260" t="s">
        <v>514</v>
      </c>
    </row>
    <row r="399" spans="1:21" ht="14.5" x14ac:dyDescent="0.35">
      <c r="A399" s="260" t="s">
        <v>565</v>
      </c>
      <c r="B399" s="190">
        <v>45685</v>
      </c>
      <c r="C399" s="197">
        <v>79677.399999999994</v>
      </c>
      <c r="D399" s="197">
        <v>0</v>
      </c>
      <c r="E399" s="197">
        <v>0</v>
      </c>
      <c r="F399" s="197">
        <v>0</v>
      </c>
      <c r="G399" s="197">
        <v>51972</v>
      </c>
      <c r="H399" s="197">
        <v>27694</v>
      </c>
      <c r="I399" s="197">
        <v>0</v>
      </c>
      <c r="J399" s="197">
        <v>79666</v>
      </c>
      <c r="K399" s="197">
        <v>79666</v>
      </c>
      <c r="L399" s="197">
        <v>28028</v>
      </c>
      <c r="M399" s="197">
        <v>0</v>
      </c>
      <c r="N399" s="197">
        <v>0</v>
      </c>
      <c r="O399" s="197">
        <v>0</v>
      </c>
      <c r="P399" s="197">
        <v>-11.399999999994179</v>
      </c>
      <c r="Q399" s="197">
        <v>-1.4307695783233321E-4</v>
      </c>
      <c r="R399" s="260" t="s">
        <v>239</v>
      </c>
      <c r="S399" s="260" t="s">
        <v>514</v>
      </c>
      <c r="T399" s="260" t="s">
        <v>239</v>
      </c>
      <c r="U399" s="260" t="s">
        <v>514</v>
      </c>
    </row>
    <row r="400" spans="1:21" ht="14.5" x14ac:dyDescent="0.35">
      <c r="A400" s="260" t="s">
        <v>565</v>
      </c>
      <c r="B400" s="190">
        <v>45686</v>
      </c>
      <c r="C400" s="197">
        <v>79666</v>
      </c>
      <c r="D400" s="197">
        <v>0</v>
      </c>
      <c r="E400" s="197">
        <v>0</v>
      </c>
      <c r="F400" s="197">
        <v>0</v>
      </c>
      <c r="G400" s="197">
        <v>51972</v>
      </c>
      <c r="H400" s="197">
        <v>27682.6</v>
      </c>
      <c r="I400" s="197">
        <v>0</v>
      </c>
      <c r="J400" s="197">
        <v>79654.600000000006</v>
      </c>
      <c r="K400" s="197">
        <v>79654.600000000006</v>
      </c>
      <c r="L400" s="197">
        <v>28028</v>
      </c>
      <c r="M400" s="197">
        <v>0</v>
      </c>
      <c r="N400" s="197">
        <v>0</v>
      </c>
      <c r="O400" s="197">
        <v>0</v>
      </c>
      <c r="P400" s="197">
        <v>-11.399999999994179</v>
      </c>
      <c r="Q400" s="197">
        <v>-1.4309743177765011E-4</v>
      </c>
      <c r="R400" s="260" t="s">
        <v>239</v>
      </c>
      <c r="S400" s="260" t="s">
        <v>514</v>
      </c>
      <c r="T400" s="260" t="s">
        <v>239</v>
      </c>
      <c r="U400" s="260" t="s">
        <v>514</v>
      </c>
    </row>
    <row r="401" spans="1:21" ht="14.5" x14ac:dyDescent="0.35">
      <c r="A401" s="260" t="s">
        <v>565</v>
      </c>
      <c r="B401" s="190">
        <v>45687</v>
      </c>
      <c r="C401" s="197">
        <v>79654.600000000006</v>
      </c>
      <c r="D401" s="197">
        <v>0</v>
      </c>
      <c r="E401" s="197">
        <v>0</v>
      </c>
      <c r="F401" s="197">
        <v>0</v>
      </c>
      <c r="G401" s="197">
        <v>51972</v>
      </c>
      <c r="H401" s="197">
        <v>27671.4</v>
      </c>
      <c r="I401" s="197">
        <v>0</v>
      </c>
      <c r="J401" s="197">
        <v>79643.399999999994</v>
      </c>
      <c r="K401" s="197">
        <v>79643.399999999994</v>
      </c>
      <c r="L401" s="197">
        <v>28028</v>
      </c>
      <c r="M401" s="197">
        <v>0</v>
      </c>
      <c r="N401" s="197">
        <v>0</v>
      </c>
      <c r="O401" s="197">
        <v>0</v>
      </c>
      <c r="P401" s="197">
        <v>-11.200000000011642</v>
      </c>
      <c r="Q401" s="197">
        <v>-1.4060707102936387E-4</v>
      </c>
      <c r="R401" s="260" t="s">
        <v>239</v>
      </c>
      <c r="S401" s="260" t="s">
        <v>514</v>
      </c>
      <c r="T401" s="260" t="s">
        <v>239</v>
      </c>
      <c r="U401" s="260" t="s">
        <v>514</v>
      </c>
    </row>
    <row r="402" spans="1:21" ht="14.5" x14ac:dyDescent="0.35">
      <c r="A402" s="260" t="s">
        <v>565</v>
      </c>
      <c r="B402" s="190">
        <v>45688</v>
      </c>
      <c r="C402" s="197">
        <v>79643.399999999994</v>
      </c>
      <c r="D402" s="197">
        <v>0</v>
      </c>
      <c r="E402" s="197">
        <v>0</v>
      </c>
      <c r="F402" s="197">
        <v>0</v>
      </c>
      <c r="G402" s="197">
        <v>51972</v>
      </c>
      <c r="H402" s="197">
        <v>27660</v>
      </c>
      <c r="I402" s="197">
        <v>0</v>
      </c>
      <c r="J402" s="197">
        <v>79632</v>
      </c>
      <c r="K402" s="197">
        <v>79632</v>
      </c>
      <c r="L402" s="197">
        <v>28028</v>
      </c>
      <c r="M402" s="197">
        <v>0</v>
      </c>
      <c r="N402" s="197">
        <v>0</v>
      </c>
      <c r="O402" s="197">
        <v>0</v>
      </c>
      <c r="P402" s="197">
        <v>-11.399999999994179</v>
      </c>
      <c r="Q402" s="197">
        <v>-1.4313803780341416E-4</v>
      </c>
      <c r="R402" s="260" t="s">
        <v>239</v>
      </c>
      <c r="S402" s="260" t="s">
        <v>514</v>
      </c>
      <c r="T402" s="260" t="s">
        <v>239</v>
      </c>
      <c r="U402" s="260" t="s">
        <v>514</v>
      </c>
    </row>
    <row r="403" spans="1:21" ht="14.5" x14ac:dyDescent="0.35">
      <c r="A403" s="260" t="s">
        <v>565</v>
      </c>
      <c r="B403" s="190">
        <v>45689</v>
      </c>
      <c r="C403" s="197">
        <v>79632</v>
      </c>
      <c r="D403" s="197">
        <v>0</v>
      </c>
      <c r="E403" s="197">
        <v>0</v>
      </c>
      <c r="F403" s="197">
        <v>0</v>
      </c>
      <c r="G403" s="197">
        <v>51972</v>
      </c>
      <c r="H403" s="197">
        <v>27660</v>
      </c>
      <c r="I403" s="197">
        <v>0</v>
      </c>
      <c r="J403" s="197">
        <v>79632</v>
      </c>
      <c r="K403" s="197">
        <v>79632</v>
      </c>
      <c r="L403" s="197">
        <v>28028</v>
      </c>
      <c r="M403" s="197">
        <v>0</v>
      </c>
      <c r="N403" s="197">
        <v>0</v>
      </c>
      <c r="O403" s="197">
        <v>0</v>
      </c>
      <c r="P403" s="197">
        <v>0</v>
      </c>
      <c r="Q403" s="197">
        <v>0</v>
      </c>
      <c r="R403" s="260" t="s">
        <v>239</v>
      </c>
      <c r="S403" s="260" t="s">
        <v>514</v>
      </c>
      <c r="T403" s="260" t="s">
        <v>239</v>
      </c>
      <c r="U403" s="260" t="s">
        <v>514</v>
      </c>
    </row>
    <row r="404" spans="1:21" ht="14.5" x14ac:dyDescent="0.35">
      <c r="A404" s="260" t="s">
        <v>565</v>
      </c>
      <c r="B404" s="190">
        <v>45690</v>
      </c>
      <c r="C404" s="197">
        <v>79632</v>
      </c>
      <c r="D404" s="197">
        <v>0</v>
      </c>
      <c r="E404" s="197">
        <v>0</v>
      </c>
      <c r="F404" s="197">
        <v>0</v>
      </c>
      <c r="G404" s="197">
        <v>51972</v>
      </c>
      <c r="H404" s="197">
        <v>27660</v>
      </c>
      <c r="I404" s="197">
        <v>0</v>
      </c>
      <c r="J404" s="197">
        <v>79632</v>
      </c>
      <c r="K404" s="197">
        <v>79632</v>
      </c>
      <c r="L404" s="197">
        <v>28028</v>
      </c>
      <c r="M404" s="197">
        <v>0</v>
      </c>
      <c r="N404" s="197">
        <v>0</v>
      </c>
      <c r="O404" s="197">
        <v>0</v>
      </c>
      <c r="P404" s="197">
        <v>0</v>
      </c>
      <c r="Q404" s="197">
        <v>0</v>
      </c>
      <c r="R404" s="260" t="s">
        <v>239</v>
      </c>
      <c r="S404" s="260" t="s">
        <v>514</v>
      </c>
      <c r="T404" s="260" t="s">
        <v>239</v>
      </c>
      <c r="U404" s="260" t="s">
        <v>514</v>
      </c>
    </row>
    <row r="405" spans="1:21" ht="14.5" x14ac:dyDescent="0.35">
      <c r="A405" s="260" t="s">
        <v>565</v>
      </c>
      <c r="B405" s="190">
        <v>45691</v>
      </c>
      <c r="C405" s="197">
        <v>79632</v>
      </c>
      <c r="D405" s="197">
        <v>0</v>
      </c>
      <c r="E405" s="197">
        <v>0</v>
      </c>
      <c r="F405" s="197">
        <v>0</v>
      </c>
      <c r="G405" s="197">
        <v>47868</v>
      </c>
      <c r="H405" s="197">
        <v>31759.4</v>
      </c>
      <c r="I405" s="197">
        <v>0</v>
      </c>
      <c r="J405" s="197">
        <v>79627.399999999994</v>
      </c>
      <c r="K405" s="197">
        <v>79627.399999999994</v>
      </c>
      <c r="L405" s="197">
        <v>32132</v>
      </c>
      <c r="M405" s="197">
        <v>0</v>
      </c>
      <c r="N405" s="197">
        <v>4</v>
      </c>
      <c r="O405" s="197">
        <v>0</v>
      </c>
      <c r="P405" s="197">
        <v>-4.6000000000058208</v>
      </c>
      <c r="Q405" s="197">
        <v>-5.7765722322744573E-5</v>
      </c>
      <c r="R405" s="260" t="s">
        <v>239</v>
      </c>
      <c r="S405" s="260" t="s">
        <v>514</v>
      </c>
      <c r="T405" s="260" t="s">
        <v>239</v>
      </c>
      <c r="U405" s="260" t="s">
        <v>514</v>
      </c>
    </row>
    <row r="406" spans="1:21" ht="14.5" x14ac:dyDescent="0.35">
      <c r="A406" s="260" t="s">
        <v>565</v>
      </c>
      <c r="B406" s="190">
        <v>45692</v>
      </c>
      <c r="C406" s="197">
        <v>79627.399999999994</v>
      </c>
      <c r="D406" s="197">
        <v>0</v>
      </c>
      <c r="E406" s="197">
        <v>0</v>
      </c>
      <c r="F406" s="197">
        <v>0</v>
      </c>
      <c r="G406" s="197">
        <v>47868</v>
      </c>
      <c r="H406" s="197">
        <v>31760.2</v>
      </c>
      <c r="I406" s="197">
        <v>0</v>
      </c>
      <c r="J406" s="197">
        <v>79628.2</v>
      </c>
      <c r="K406" s="197">
        <v>79628.2</v>
      </c>
      <c r="L406" s="197">
        <v>32132</v>
      </c>
      <c r="M406" s="197">
        <v>0</v>
      </c>
      <c r="N406" s="197">
        <v>0</v>
      </c>
      <c r="O406" s="197">
        <v>0</v>
      </c>
      <c r="P406" s="197">
        <v>0.80000000000291038</v>
      </c>
      <c r="Q406" s="197">
        <v>1.0046792938256388E-5</v>
      </c>
      <c r="R406" s="260" t="s">
        <v>239</v>
      </c>
      <c r="S406" s="260" t="s">
        <v>514</v>
      </c>
      <c r="T406" s="260" t="s">
        <v>239</v>
      </c>
      <c r="U406" s="260" t="s">
        <v>514</v>
      </c>
    </row>
    <row r="407" spans="1:21" ht="14.5" x14ac:dyDescent="0.35">
      <c r="A407" s="260" t="s">
        <v>565</v>
      </c>
      <c r="B407" s="190">
        <v>45693</v>
      </c>
      <c r="C407" s="197">
        <v>79628.2</v>
      </c>
      <c r="D407" s="197">
        <v>0</v>
      </c>
      <c r="E407" s="197">
        <v>0</v>
      </c>
      <c r="F407" s="197">
        <v>0</v>
      </c>
      <c r="G407" s="197">
        <v>47868</v>
      </c>
      <c r="H407" s="197">
        <v>31760.3</v>
      </c>
      <c r="I407" s="197">
        <v>0</v>
      </c>
      <c r="J407" s="197">
        <v>79628.3</v>
      </c>
      <c r="K407" s="197">
        <v>79628.3</v>
      </c>
      <c r="L407" s="197">
        <v>32132</v>
      </c>
      <c r="M407" s="197">
        <v>0</v>
      </c>
      <c r="N407" s="197">
        <v>0</v>
      </c>
      <c r="O407" s="197">
        <v>0</v>
      </c>
      <c r="P407" s="197">
        <v>0.10000000000582077</v>
      </c>
      <c r="Q407" s="197">
        <v>1.2558365001247296E-6</v>
      </c>
      <c r="R407" s="260" t="s">
        <v>239</v>
      </c>
      <c r="S407" s="260" t="s">
        <v>514</v>
      </c>
      <c r="T407" s="260" t="s">
        <v>239</v>
      </c>
      <c r="U407" s="260" t="s">
        <v>514</v>
      </c>
    </row>
    <row r="408" spans="1:21" ht="14.5" x14ac:dyDescent="0.35">
      <c r="A408" s="260" t="s">
        <v>565</v>
      </c>
      <c r="B408" s="190">
        <v>45694</v>
      </c>
      <c r="C408" s="197">
        <v>79628.3</v>
      </c>
      <c r="D408" s="197">
        <v>0</v>
      </c>
      <c r="E408" s="197">
        <v>0</v>
      </c>
      <c r="F408" s="197">
        <v>0</v>
      </c>
      <c r="G408" s="197">
        <v>47868</v>
      </c>
      <c r="H408" s="197">
        <v>31759.599999999999</v>
      </c>
      <c r="I408" s="197">
        <v>0</v>
      </c>
      <c r="J408" s="197">
        <v>79627.600000000006</v>
      </c>
      <c r="K408" s="197">
        <v>79627.600000000006</v>
      </c>
      <c r="L408" s="197">
        <v>32132</v>
      </c>
      <c r="M408" s="197">
        <v>0</v>
      </c>
      <c r="N408" s="197">
        <v>0</v>
      </c>
      <c r="O408" s="197">
        <v>0</v>
      </c>
      <c r="P408" s="197">
        <v>-0.69999999999708962</v>
      </c>
      <c r="Q408" s="197">
        <v>-8.7908444610373948E-6</v>
      </c>
      <c r="R408" s="260" t="s">
        <v>239</v>
      </c>
      <c r="S408" s="260" t="s">
        <v>514</v>
      </c>
      <c r="T408" s="260" t="s">
        <v>239</v>
      </c>
      <c r="U408" s="260" t="s">
        <v>514</v>
      </c>
    </row>
    <row r="409" spans="1:21" ht="14.5" x14ac:dyDescent="0.35">
      <c r="A409" s="260" t="s">
        <v>565</v>
      </c>
      <c r="B409" s="190">
        <v>45695</v>
      </c>
      <c r="C409" s="197">
        <v>79627.600000000006</v>
      </c>
      <c r="D409" s="197">
        <v>0</v>
      </c>
      <c r="E409" s="197">
        <v>0</v>
      </c>
      <c r="F409" s="197">
        <v>0</v>
      </c>
      <c r="G409" s="197">
        <v>47868</v>
      </c>
      <c r="H409" s="197">
        <v>31759.7</v>
      </c>
      <c r="I409" s="197">
        <v>0</v>
      </c>
      <c r="J409" s="197">
        <v>79627.7</v>
      </c>
      <c r="K409" s="197">
        <v>79627.7</v>
      </c>
      <c r="L409" s="197">
        <v>32132</v>
      </c>
      <c r="M409" s="197">
        <v>0</v>
      </c>
      <c r="N409" s="197">
        <v>0</v>
      </c>
      <c r="O409" s="197">
        <v>0</v>
      </c>
      <c r="P409" s="197">
        <v>9.9999999991268851E-2</v>
      </c>
      <c r="Q409" s="197">
        <v>1.2558459627776131E-6</v>
      </c>
      <c r="R409" s="260" t="s">
        <v>239</v>
      </c>
      <c r="S409" s="260" t="s">
        <v>514</v>
      </c>
      <c r="T409" s="260" t="s">
        <v>239</v>
      </c>
      <c r="U409" s="260" t="s">
        <v>514</v>
      </c>
    </row>
    <row r="410" spans="1:21" ht="14.5" x14ac:dyDescent="0.35">
      <c r="A410" s="260" t="s">
        <v>565</v>
      </c>
      <c r="B410" s="190">
        <v>45696</v>
      </c>
      <c r="C410" s="197">
        <v>79627.7</v>
      </c>
      <c r="D410" s="197">
        <v>0</v>
      </c>
      <c r="E410" s="197">
        <v>0</v>
      </c>
      <c r="F410" s="197">
        <v>0</v>
      </c>
      <c r="G410" s="197">
        <v>47868</v>
      </c>
      <c r="H410" s="197">
        <v>31759.7</v>
      </c>
      <c r="I410" s="197">
        <v>0</v>
      </c>
      <c r="J410" s="197">
        <v>79627.7</v>
      </c>
      <c r="K410" s="197">
        <v>79627.7</v>
      </c>
      <c r="L410" s="197">
        <v>32132</v>
      </c>
      <c r="M410" s="197">
        <v>0</v>
      </c>
      <c r="N410" s="197">
        <v>0</v>
      </c>
      <c r="O410" s="197">
        <v>0</v>
      </c>
      <c r="P410" s="197">
        <v>0</v>
      </c>
      <c r="Q410" s="197">
        <v>0</v>
      </c>
      <c r="R410" s="260" t="s">
        <v>239</v>
      </c>
      <c r="S410" s="260" t="s">
        <v>514</v>
      </c>
      <c r="T410" s="260" t="s">
        <v>239</v>
      </c>
      <c r="U410" s="260" t="s">
        <v>514</v>
      </c>
    </row>
    <row r="411" spans="1:21" ht="14.5" x14ac:dyDescent="0.35">
      <c r="A411" s="260" t="s">
        <v>565</v>
      </c>
      <c r="B411" s="190">
        <v>45697</v>
      </c>
      <c r="C411" s="197">
        <v>79627.7</v>
      </c>
      <c r="D411" s="197">
        <v>0</v>
      </c>
      <c r="E411" s="197">
        <v>0</v>
      </c>
      <c r="F411" s="197">
        <v>0</v>
      </c>
      <c r="G411" s="197">
        <v>47868</v>
      </c>
      <c r="H411" s="197">
        <v>31759.7</v>
      </c>
      <c r="I411" s="197">
        <v>0</v>
      </c>
      <c r="J411" s="197">
        <v>79627.7</v>
      </c>
      <c r="K411" s="197">
        <v>79627.7</v>
      </c>
      <c r="L411" s="197">
        <v>32132</v>
      </c>
      <c r="M411" s="197">
        <v>0</v>
      </c>
      <c r="N411" s="197">
        <v>0</v>
      </c>
      <c r="O411" s="197">
        <v>0</v>
      </c>
      <c r="P411" s="197">
        <v>0</v>
      </c>
      <c r="Q411" s="197">
        <v>0</v>
      </c>
      <c r="R411" s="260" t="s">
        <v>239</v>
      </c>
      <c r="S411" s="260" t="s">
        <v>514</v>
      </c>
      <c r="T411" s="260" t="s">
        <v>239</v>
      </c>
      <c r="U411" s="260" t="s">
        <v>514</v>
      </c>
    </row>
    <row r="412" spans="1:21" ht="14.5" x14ac:dyDescent="0.35">
      <c r="A412" s="260" t="s">
        <v>565</v>
      </c>
      <c r="B412" s="190">
        <v>45698</v>
      </c>
      <c r="C412" s="197">
        <v>79627.7</v>
      </c>
      <c r="D412" s="197">
        <v>0</v>
      </c>
      <c r="E412" s="197">
        <v>0</v>
      </c>
      <c r="F412" s="197">
        <v>0</v>
      </c>
      <c r="G412" s="197">
        <v>47868</v>
      </c>
      <c r="H412" s="197">
        <v>31759.9</v>
      </c>
      <c r="I412" s="197">
        <v>0</v>
      </c>
      <c r="J412" s="197">
        <v>79627.899999999994</v>
      </c>
      <c r="K412" s="197">
        <v>79627.899999999994</v>
      </c>
      <c r="L412" s="197">
        <v>32132</v>
      </c>
      <c r="M412" s="197">
        <v>0</v>
      </c>
      <c r="N412" s="197">
        <v>0</v>
      </c>
      <c r="O412" s="197">
        <v>0</v>
      </c>
      <c r="P412" s="197">
        <v>0.19999999999708962</v>
      </c>
      <c r="Q412" s="197">
        <v>2.5116887716336578E-6</v>
      </c>
      <c r="R412" s="260" t="s">
        <v>239</v>
      </c>
      <c r="S412" s="260" t="s">
        <v>514</v>
      </c>
      <c r="T412" s="260" t="s">
        <v>239</v>
      </c>
      <c r="U412" s="260" t="s">
        <v>514</v>
      </c>
    </row>
    <row r="413" spans="1:21" ht="14.5" x14ac:dyDescent="0.35">
      <c r="A413" s="260" t="s">
        <v>565</v>
      </c>
      <c r="B413" s="190">
        <v>45699</v>
      </c>
      <c r="C413" s="197">
        <v>79627.899999999994</v>
      </c>
      <c r="D413" s="197">
        <v>0</v>
      </c>
      <c r="E413" s="197">
        <v>0</v>
      </c>
      <c r="F413" s="197">
        <v>0</v>
      </c>
      <c r="G413" s="197">
        <v>47868</v>
      </c>
      <c r="H413" s="197">
        <v>31760</v>
      </c>
      <c r="I413" s="197">
        <v>0</v>
      </c>
      <c r="J413" s="197">
        <v>79628</v>
      </c>
      <c r="K413" s="197">
        <v>79628</v>
      </c>
      <c r="L413" s="197">
        <v>32132</v>
      </c>
      <c r="M413" s="197">
        <v>0</v>
      </c>
      <c r="N413" s="197">
        <v>0</v>
      </c>
      <c r="O413" s="197">
        <v>0</v>
      </c>
      <c r="P413" s="197">
        <v>0.10000000000582077</v>
      </c>
      <c r="Q413" s="197">
        <v>1.2558412316732159E-6</v>
      </c>
      <c r="R413" s="260" t="s">
        <v>239</v>
      </c>
      <c r="S413" s="260" t="s">
        <v>514</v>
      </c>
      <c r="T413" s="260" t="s">
        <v>239</v>
      </c>
      <c r="U413" s="260" t="s">
        <v>514</v>
      </c>
    </row>
    <row r="414" spans="1:21" ht="14.5" x14ac:dyDescent="0.35">
      <c r="A414" s="260" t="s">
        <v>565</v>
      </c>
      <c r="B414" s="190">
        <v>45700</v>
      </c>
      <c r="C414" s="197">
        <v>79628</v>
      </c>
      <c r="D414" s="197">
        <v>0</v>
      </c>
      <c r="E414" s="197">
        <v>0</v>
      </c>
      <c r="F414" s="197">
        <v>0</v>
      </c>
      <c r="G414" s="197">
        <v>47868</v>
      </c>
      <c r="H414" s="197">
        <v>31759.3</v>
      </c>
      <c r="I414" s="197">
        <v>0</v>
      </c>
      <c r="J414" s="197">
        <v>79627.3</v>
      </c>
      <c r="K414" s="197">
        <v>79627.3</v>
      </c>
      <c r="L414" s="197">
        <v>32132</v>
      </c>
      <c r="M414" s="197">
        <v>0</v>
      </c>
      <c r="N414" s="197">
        <v>0</v>
      </c>
      <c r="O414" s="197">
        <v>0</v>
      </c>
      <c r="P414" s="197">
        <v>-0.69999999999708962</v>
      </c>
      <c r="Q414" s="197">
        <v>-8.7908775807665762E-6</v>
      </c>
      <c r="R414" s="260" t="s">
        <v>239</v>
      </c>
      <c r="S414" s="260" t="s">
        <v>514</v>
      </c>
      <c r="T414" s="260" t="s">
        <v>239</v>
      </c>
      <c r="U414" s="260" t="s">
        <v>514</v>
      </c>
    </row>
    <row r="415" spans="1:21" ht="14.5" x14ac:dyDescent="0.35">
      <c r="A415" s="260" t="s">
        <v>565</v>
      </c>
      <c r="B415" s="190">
        <v>45701</v>
      </c>
      <c r="C415" s="197">
        <v>79627.3</v>
      </c>
      <c r="D415" s="197">
        <v>0</v>
      </c>
      <c r="E415" s="197">
        <v>0</v>
      </c>
      <c r="F415" s="197">
        <v>0</v>
      </c>
      <c r="G415" s="197">
        <v>47868</v>
      </c>
      <c r="H415" s="197">
        <v>31760.400000000001</v>
      </c>
      <c r="I415" s="197">
        <v>0</v>
      </c>
      <c r="J415" s="197">
        <v>79628.399999999994</v>
      </c>
      <c r="K415" s="197">
        <v>79628.399999999994</v>
      </c>
      <c r="L415" s="197">
        <v>32132</v>
      </c>
      <c r="M415" s="197">
        <v>0</v>
      </c>
      <c r="N415" s="197">
        <v>0</v>
      </c>
      <c r="O415" s="197">
        <v>0</v>
      </c>
      <c r="P415" s="197">
        <v>1.0999999999912689</v>
      </c>
      <c r="Q415" s="197">
        <v>1.3814357638475272E-5</v>
      </c>
      <c r="R415" s="260" t="s">
        <v>239</v>
      </c>
      <c r="S415" s="260" t="s">
        <v>514</v>
      </c>
      <c r="T415" s="260" t="s">
        <v>239</v>
      </c>
      <c r="U415" s="260" t="s">
        <v>514</v>
      </c>
    </row>
    <row r="416" spans="1:21" ht="14.5" x14ac:dyDescent="0.35">
      <c r="A416" s="260" t="s">
        <v>565</v>
      </c>
      <c r="B416" s="190">
        <v>45702</v>
      </c>
      <c r="C416" s="197">
        <v>79628.399999999994</v>
      </c>
      <c r="D416" s="197">
        <v>0</v>
      </c>
      <c r="E416" s="197">
        <v>0</v>
      </c>
      <c r="F416" s="197">
        <v>0</v>
      </c>
      <c r="G416" s="197">
        <v>47868</v>
      </c>
      <c r="H416" s="197">
        <v>31759.7</v>
      </c>
      <c r="I416" s="197">
        <v>0</v>
      </c>
      <c r="J416" s="197">
        <v>79627.7</v>
      </c>
      <c r="K416" s="197">
        <v>79627.7</v>
      </c>
      <c r="L416" s="197">
        <v>32132</v>
      </c>
      <c r="M416" s="197">
        <v>0</v>
      </c>
      <c r="N416" s="197">
        <v>0</v>
      </c>
      <c r="O416" s="197">
        <v>0</v>
      </c>
      <c r="P416" s="197">
        <v>-0.69999999999708962</v>
      </c>
      <c r="Q416" s="197">
        <v>-8.7908334212016825E-6</v>
      </c>
      <c r="R416" s="260" t="s">
        <v>239</v>
      </c>
      <c r="S416" s="260" t="s">
        <v>514</v>
      </c>
      <c r="T416" s="260" t="s">
        <v>239</v>
      </c>
      <c r="U416" s="260" t="s">
        <v>514</v>
      </c>
    </row>
    <row r="417" spans="1:21" ht="14.5" x14ac:dyDescent="0.35">
      <c r="A417" s="260" t="s">
        <v>565</v>
      </c>
      <c r="B417" s="190">
        <v>45703</v>
      </c>
      <c r="C417" s="197">
        <v>79627.7</v>
      </c>
      <c r="D417" s="197">
        <v>0</v>
      </c>
      <c r="E417" s="197">
        <v>0</v>
      </c>
      <c r="F417" s="197">
        <v>0</v>
      </c>
      <c r="G417" s="197">
        <v>47868</v>
      </c>
      <c r="H417" s="197">
        <v>31759.7</v>
      </c>
      <c r="I417" s="197">
        <v>0</v>
      </c>
      <c r="J417" s="197">
        <v>79627.7</v>
      </c>
      <c r="K417" s="197">
        <v>79627.7</v>
      </c>
      <c r="L417" s="197">
        <v>32132</v>
      </c>
      <c r="M417" s="197">
        <v>0</v>
      </c>
      <c r="N417" s="197">
        <v>0</v>
      </c>
      <c r="O417" s="197">
        <v>0</v>
      </c>
      <c r="P417" s="197">
        <v>0</v>
      </c>
      <c r="Q417" s="197">
        <v>0</v>
      </c>
      <c r="R417" s="260" t="s">
        <v>239</v>
      </c>
      <c r="S417" s="260" t="s">
        <v>514</v>
      </c>
      <c r="T417" s="260" t="s">
        <v>239</v>
      </c>
      <c r="U417" s="260" t="s">
        <v>514</v>
      </c>
    </row>
    <row r="418" spans="1:21" ht="14.5" x14ac:dyDescent="0.35">
      <c r="A418" s="260" t="s">
        <v>565</v>
      </c>
      <c r="B418" s="190">
        <v>45704</v>
      </c>
      <c r="C418" s="197">
        <v>79627.7</v>
      </c>
      <c r="D418" s="197">
        <v>0</v>
      </c>
      <c r="E418" s="197">
        <v>0</v>
      </c>
      <c r="F418" s="197">
        <v>0</v>
      </c>
      <c r="G418" s="197">
        <v>47868</v>
      </c>
      <c r="H418" s="197">
        <v>31759.7</v>
      </c>
      <c r="I418" s="197">
        <v>0</v>
      </c>
      <c r="J418" s="197">
        <v>79627.7</v>
      </c>
      <c r="K418" s="197">
        <v>79627.7</v>
      </c>
      <c r="L418" s="197">
        <v>32132</v>
      </c>
      <c r="M418" s="197">
        <v>0</v>
      </c>
      <c r="N418" s="197">
        <v>0</v>
      </c>
      <c r="O418" s="197">
        <v>0</v>
      </c>
      <c r="P418" s="197">
        <v>0</v>
      </c>
      <c r="Q418" s="197">
        <v>0</v>
      </c>
      <c r="R418" s="260" t="s">
        <v>239</v>
      </c>
      <c r="S418" s="260" t="s">
        <v>514</v>
      </c>
      <c r="T418" s="260" t="s">
        <v>239</v>
      </c>
      <c r="U418" s="260" t="s">
        <v>514</v>
      </c>
    </row>
    <row r="419" spans="1:21" ht="14.5" x14ac:dyDescent="0.35">
      <c r="A419" s="260" t="s">
        <v>565</v>
      </c>
      <c r="B419" s="190">
        <v>45705</v>
      </c>
      <c r="C419" s="197">
        <v>79627.7</v>
      </c>
      <c r="D419" s="197">
        <v>0</v>
      </c>
      <c r="E419" s="197">
        <v>0</v>
      </c>
      <c r="F419" s="197">
        <v>0</v>
      </c>
      <c r="G419" s="197">
        <v>47868</v>
      </c>
      <c r="H419" s="197">
        <v>31760.7</v>
      </c>
      <c r="I419" s="197">
        <v>0</v>
      </c>
      <c r="J419" s="197">
        <v>79628.7</v>
      </c>
      <c r="K419" s="197">
        <v>79628.7</v>
      </c>
      <c r="L419" s="197">
        <v>32132</v>
      </c>
      <c r="M419" s="197">
        <v>0</v>
      </c>
      <c r="N419" s="197">
        <v>0</v>
      </c>
      <c r="O419" s="197">
        <v>0</v>
      </c>
      <c r="P419" s="197">
        <v>1</v>
      </c>
      <c r="Q419" s="197">
        <v>1.2558443858168289E-5</v>
      </c>
      <c r="R419" s="260" t="s">
        <v>239</v>
      </c>
      <c r="S419" s="260" t="s">
        <v>514</v>
      </c>
      <c r="T419" s="260" t="s">
        <v>239</v>
      </c>
      <c r="U419" s="260" t="s">
        <v>514</v>
      </c>
    </row>
    <row r="420" spans="1:21" ht="14.5" x14ac:dyDescent="0.35">
      <c r="A420" s="260" t="s">
        <v>565</v>
      </c>
      <c r="B420" s="190">
        <v>45706</v>
      </c>
      <c r="C420" s="197">
        <v>79628.7</v>
      </c>
      <c r="D420" s="197">
        <v>0</v>
      </c>
      <c r="E420" s="197">
        <v>0</v>
      </c>
      <c r="F420" s="197">
        <v>0</v>
      </c>
      <c r="G420" s="197">
        <v>47868</v>
      </c>
      <c r="H420" s="197">
        <v>31760</v>
      </c>
      <c r="I420" s="197">
        <v>0</v>
      </c>
      <c r="J420" s="197">
        <v>79628</v>
      </c>
      <c r="K420" s="197">
        <v>79628</v>
      </c>
      <c r="L420" s="197">
        <v>32132</v>
      </c>
      <c r="M420" s="197">
        <v>0</v>
      </c>
      <c r="N420" s="197">
        <v>0</v>
      </c>
      <c r="O420" s="197">
        <v>0</v>
      </c>
      <c r="P420" s="197">
        <v>-0.69999999999708962</v>
      </c>
      <c r="Q420" s="197">
        <v>-8.7908003019165903E-6</v>
      </c>
      <c r="R420" s="260" t="s">
        <v>239</v>
      </c>
      <c r="S420" s="260" t="s">
        <v>514</v>
      </c>
      <c r="T420" s="260" t="s">
        <v>239</v>
      </c>
      <c r="U420" s="260" t="s">
        <v>514</v>
      </c>
    </row>
    <row r="421" spans="1:21" ht="14.5" x14ac:dyDescent="0.35">
      <c r="A421" s="260" t="s">
        <v>565</v>
      </c>
      <c r="B421" s="190">
        <v>45707</v>
      </c>
      <c r="C421" s="197">
        <v>79628</v>
      </c>
      <c r="D421" s="197">
        <v>0</v>
      </c>
      <c r="E421" s="197">
        <v>0</v>
      </c>
      <c r="F421" s="197">
        <v>0</v>
      </c>
      <c r="G421" s="197">
        <v>47868</v>
      </c>
      <c r="H421" s="197">
        <v>31760.1</v>
      </c>
      <c r="I421" s="197">
        <v>0</v>
      </c>
      <c r="J421" s="197">
        <v>79628.100000000006</v>
      </c>
      <c r="K421" s="197">
        <v>79628.100000000006</v>
      </c>
      <c r="L421" s="197">
        <v>32132</v>
      </c>
      <c r="M421" s="197">
        <v>0</v>
      </c>
      <c r="N421" s="197">
        <v>0</v>
      </c>
      <c r="O421" s="197">
        <v>0</v>
      </c>
      <c r="P421" s="197">
        <v>0.10000000000582077</v>
      </c>
      <c r="Q421" s="197">
        <v>1.2558396544903871E-6</v>
      </c>
      <c r="R421" s="260" t="s">
        <v>239</v>
      </c>
      <c r="S421" s="260" t="s">
        <v>514</v>
      </c>
      <c r="T421" s="260" t="s">
        <v>239</v>
      </c>
      <c r="U421" s="260" t="s">
        <v>514</v>
      </c>
    </row>
    <row r="422" spans="1:21" ht="14.5" x14ac:dyDescent="0.35">
      <c r="A422" s="260" t="s">
        <v>565</v>
      </c>
      <c r="B422" s="190">
        <v>45708</v>
      </c>
      <c r="C422" s="197">
        <v>79628.100000000006</v>
      </c>
      <c r="D422" s="197">
        <v>0</v>
      </c>
      <c r="E422" s="197">
        <v>0</v>
      </c>
      <c r="F422" s="197">
        <v>0</v>
      </c>
      <c r="G422" s="197">
        <v>47868</v>
      </c>
      <c r="H422" s="197">
        <v>31759.9</v>
      </c>
      <c r="I422" s="197">
        <v>0</v>
      </c>
      <c r="J422" s="197">
        <v>79627.899999999994</v>
      </c>
      <c r="K422" s="197">
        <v>79627.899999999994</v>
      </c>
      <c r="L422" s="197">
        <v>32132</v>
      </c>
      <c r="M422" s="197">
        <v>0</v>
      </c>
      <c r="N422" s="197">
        <v>0</v>
      </c>
      <c r="O422" s="197">
        <v>0</v>
      </c>
      <c r="P422" s="197">
        <v>-0.20000000001164153</v>
      </c>
      <c r="Q422" s="197">
        <v>-2.5116761546151167E-6</v>
      </c>
      <c r="R422" s="260" t="s">
        <v>239</v>
      </c>
      <c r="S422" s="260" t="s">
        <v>514</v>
      </c>
      <c r="T422" s="260" t="s">
        <v>239</v>
      </c>
      <c r="U422" s="260" t="s">
        <v>514</v>
      </c>
    </row>
    <row r="423" spans="1:21" ht="14.5" x14ac:dyDescent="0.35">
      <c r="A423" s="260" t="s">
        <v>565</v>
      </c>
      <c r="B423" s="190">
        <v>45709</v>
      </c>
      <c r="C423" s="197">
        <v>79627.899999999994</v>
      </c>
      <c r="D423" s="197">
        <v>0</v>
      </c>
      <c r="E423" s="197">
        <v>0</v>
      </c>
      <c r="F423" s="197">
        <v>0</v>
      </c>
      <c r="G423" s="197">
        <v>47868</v>
      </c>
      <c r="H423" s="197">
        <v>31760</v>
      </c>
      <c r="I423" s="197">
        <v>0</v>
      </c>
      <c r="J423" s="197">
        <v>79628</v>
      </c>
      <c r="K423" s="197">
        <v>79628</v>
      </c>
      <c r="L423" s="197">
        <v>32132</v>
      </c>
      <c r="M423" s="197">
        <v>0</v>
      </c>
      <c r="N423" s="197">
        <v>0</v>
      </c>
      <c r="O423" s="197">
        <v>0</v>
      </c>
      <c r="P423" s="197">
        <v>0.10000000000582077</v>
      </c>
      <c r="Q423" s="197">
        <v>1.2558412316732159E-6</v>
      </c>
      <c r="R423" s="260" t="s">
        <v>239</v>
      </c>
      <c r="S423" s="260" t="s">
        <v>514</v>
      </c>
      <c r="T423" s="260" t="s">
        <v>239</v>
      </c>
      <c r="U423" s="260" t="s">
        <v>514</v>
      </c>
    </row>
    <row r="424" spans="1:21" ht="14.5" x14ac:dyDescent="0.35">
      <c r="A424" s="260" t="s">
        <v>565</v>
      </c>
      <c r="B424" s="190">
        <v>45710</v>
      </c>
      <c r="C424" s="197">
        <v>79628</v>
      </c>
      <c r="D424" s="197">
        <v>0</v>
      </c>
      <c r="E424" s="197">
        <v>0</v>
      </c>
      <c r="F424" s="197">
        <v>0</v>
      </c>
      <c r="G424" s="197">
        <v>47868</v>
      </c>
      <c r="H424" s="197">
        <v>31760</v>
      </c>
      <c r="I424" s="197">
        <v>0</v>
      </c>
      <c r="J424" s="197">
        <v>79628</v>
      </c>
      <c r="K424" s="197">
        <v>79628</v>
      </c>
      <c r="L424" s="197">
        <v>32132</v>
      </c>
      <c r="M424" s="197">
        <v>0</v>
      </c>
      <c r="N424" s="197">
        <v>0</v>
      </c>
      <c r="O424" s="197">
        <v>0</v>
      </c>
      <c r="P424" s="197">
        <v>0</v>
      </c>
      <c r="Q424" s="197">
        <v>0</v>
      </c>
      <c r="R424" s="260" t="s">
        <v>239</v>
      </c>
      <c r="S424" s="260" t="s">
        <v>514</v>
      </c>
      <c r="T424" s="260" t="s">
        <v>239</v>
      </c>
      <c r="U424" s="260" t="s">
        <v>514</v>
      </c>
    </row>
    <row r="425" spans="1:21" ht="14.5" x14ac:dyDescent="0.35">
      <c r="A425" s="260" t="s">
        <v>565</v>
      </c>
      <c r="B425" s="190">
        <v>45711</v>
      </c>
      <c r="C425" s="197">
        <v>79628</v>
      </c>
      <c r="D425" s="197">
        <v>0</v>
      </c>
      <c r="E425" s="197">
        <v>0</v>
      </c>
      <c r="F425" s="197">
        <v>0</v>
      </c>
      <c r="G425" s="197">
        <v>47868</v>
      </c>
      <c r="H425" s="197">
        <v>31760</v>
      </c>
      <c r="I425" s="197">
        <v>0</v>
      </c>
      <c r="J425" s="197">
        <v>79628</v>
      </c>
      <c r="K425" s="197">
        <v>79628</v>
      </c>
      <c r="L425" s="197">
        <v>32132</v>
      </c>
      <c r="M425" s="197">
        <v>0</v>
      </c>
      <c r="N425" s="197">
        <v>0</v>
      </c>
      <c r="O425" s="197">
        <v>0</v>
      </c>
      <c r="P425" s="197">
        <v>0</v>
      </c>
      <c r="Q425" s="197">
        <v>0</v>
      </c>
      <c r="R425" s="260" t="s">
        <v>239</v>
      </c>
      <c r="S425" s="260" t="s">
        <v>514</v>
      </c>
      <c r="T425" s="260" t="s">
        <v>239</v>
      </c>
      <c r="U425" s="260" t="s">
        <v>514</v>
      </c>
    </row>
    <row r="426" spans="1:21" ht="14.5" x14ac:dyDescent="0.35">
      <c r="A426" s="260" t="s">
        <v>565</v>
      </c>
      <c r="B426" s="190">
        <v>45712</v>
      </c>
      <c r="C426" s="197">
        <v>79628</v>
      </c>
      <c r="D426" s="197">
        <v>0</v>
      </c>
      <c r="E426" s="197">
        <v>0</v>
      </c>
      <c r="F426" s="197">
        <v>0</v>
      </c>
      <c r="G426" s="197">
        <v>47868</v>
      </c>
      <c r="H426" s="197">
        <v>31759.7</v>
      </c>
      <c r="I426" s="197">
        <v>0</v>
      </c>
      <c r="J426" s="197">
        <v>79627.7</v>
      </c>
      <c r="K426" s="197">
        <v>79627.7</v>
      </c>
      <c r="L426" s="197">
        <v>32132</v>
      </c>
      <c r="M426" s="197">
        <v>0</v>
      </c>
      <c r="N426" s="197">
        <v>0</v>
      </c>
      <c r="O426" s="197">
        <v>0</v>
      </c>
      <c r="P426" s="197">
        <v>-0.30000000000291038</v>
      </c>
      <c r="Q426" s="197">
        <v>-3.7675189632491168E-6</v>
      </c>
      <c r="R426" s="260" t="s">
        <v>239</v>
      </c>
      <c r="S426" s="260" t="s">
        <v>514</v>
      </c>
      <c r="T426" s="260" t="s">
        <v>239</v>
      </c>
      <c r="U426" s="260" t="s">
        <v>514</v>
      </c>
    </row>
    <row r="427" spans="1:21" ht="14.5" x14ac:dyDescent="0.35">
      <c r="A427" s="260" t="s">
        <v>565</v>
      </c>
      <c r="B427" s="190">
        <v>45713</v>
      </c>
      <c r="C427" s="197">
        <v>79627.7</v>
      </c>
      <c r="D427" s="197">
        <v>0</v>
      </c>
      <c r="E427" s="197">
        <v>0</v>
      </c>
      <c r="F427" s="197">
        <v>0</v>
      </c>
      <c r="G427" s="197">
        <v>47868</v>
      </c>
      <c r="H427" s="197">
        <v>31759.8</v>
      </c>
      <c r="I427" s="197">
        <v>0</v>
      </c>
      <c r="J427" s="197">
        <v>79627.8</v>
      </c>
      <c r="K427" s="197">
        <v>79627.8</v>
      </c>
      <c r="L427" s="197">
        <v>32132</v>
      </c>
      <c r="M427" s="197">
        <v>0</v>
      </c>
      <c r="N427" s="197">
        <v>0</v>
      </c>
      <c r="O427" s="197">
        <v>0</v>
      </c>
      <c r="P427" s="197">
        <v>0.10000000000582077</v>
      </c>
      <c r="Q427" s="197">
        <v>1.2558443858168289E-6</v>
      </c>
      <c r="R427" s="260" t="s">
        <v>239</v>
      </c>
      <c r="S427" s="260" t="s">
        <v>514</v>
      </c>
      <c r="T427" s="260" t="s">
        <v>239</v>
      </c>
      <c r="U427" s="260" t="s">
        <v>514</v>
      </c>
    </row>
    <row r="428" spans="1:21" ht="14.5" x14ac:dyDescent="0.35">
      <c r="A428" s="260" t="s">
        <v>565</v>
      </c>
      <c r="B428" s="190">
        <v>45714</v>
      </c>
      <c r="C428" s="197">
        <v>79627.8</v>
      </c>
      <c r="D428" s="197">
        <v>0</v>
      </c>
      <c r="E428" s="197">
        <v>0</v>
      </c>
      <c r="F428" s="197">
        <v>0</v>
      </c>
      <c r="G428" s="197">
        <v>47868</v>
      </c>
      <c r="H428" s="197">
        <v>31760.6</v>
      </c>
      <c r="I428" s="197">
        <v>0</v>
      </c>
      <c r="J428" s="197">
        <v>79628.600000000006</v>
      </c>
      <c r="K428" s="197">
        <v>79628.600000000006</v>
      </c>
      <c r="L428" s="197">
        <v>32132</v>
      </c>
      <c r="M428" s="197">
        <v>0</v>
      </c>
      <c r="N428" s="197">
        <v>0</v>
      </c>
      <c r="O428" s="197">
        <v>0</v>
      </c>
      <c r="P428" s="197">
        <v>0.80000000000291038</v>
      </c>
      <c r="Q428" s="197">
        <v>1.0046742469294045E-5</v>
      </c>
      <c r="R428" s="260" t="s">
        <v>239</v>
      </c>
      <c r="S428" s="260" t="s">
        <v>514</v>
      </c>
      <c r="T428" s="260" t="s">
        <v>239</v>
      </c>
      <c r="U428" s="260" t="s">
        <v>514</v>
      </c>
    </row>
    <row r="429" spans="1:21" ht="14.5" x14ac:dyDescent="0.35">
      <c r="A429" s="260" t="s">
        <v>565</v>
      </c>
      <c r="B429" s="190">
        <v>45715</v>
      </c>
      <c r="C429" s="197">
        <v>79628.600000000006</v>
      </c>
      <c r="D429" s="197">
        <v>0</v>
      </c>
      <c r="E429" s="197">
        <v>0</v>
      </c>
      <c r="F429" s="197">
        <v>0</v>
      </c>
      <c r="G429" s="197">
        <v>47868</v>
      </c>
      <c r="H429" s="197">
        <v>31760.7</v>
      </c>
      <c r="I429" s="197">
        <v>0</v>
      </c>
      <c r="J429" s="197">
        <v>79628.7</v>
      </c>
      <c r="K429" s="197">
        <v>79628.7</v>
      </c>
      <c r="L429" s="197">
        <v>32132</v>
      </c>
      <c r="M429" s="197">
        <v>0</v>
      </c>
      <c r="N429" s="197">
        <v>0</v>
      </c>
      <c r="O429" s="197">
        <v>0</v>
      </c>
      <c r="P429" s="197">
        <v>9.9999999991268851E-2</v>
      </c>
      <c r="Q429" s="197">
        <v>1.2558301916154591E-6</v>
      </c>
      <c r="R429" s="260" t="s">
        <v>239</v>
      </c>
      <c r="S429" s="260" t="s">
        <v>514</v>
      </c>
      <c r="T429" s="260" t="s">
        <v>239</v>
      </c>
      <c r="U429" s="260" t="s">
        <v>514</v>
      </c>
    </row>
    <row r="430" spans="1:21" ht="14.5" x14ac:dyDescent="0.35">
      <c r="A430" s="260" t="s">
        <v>565</v>
      </c>
      <c r="B430" s="190">
        <v>45716</v>
      </c>
      <c r="C430" s="197">
        <v>79628.7</v>
      </c>
      <c r="D430" s="197">
        <v>0</v>
      </c>
      <c r="E430" s="197">
        <v>0</v>
      </c>
      <c r="F430" s="197">
        <v>0</v>
      </c>
      <c r="G430" s="197">
        <v>47868</v>
      </c>
      <c r="H430" s="197">
        <v>31760</v>
      </c>
      <c r="I430" s="197">
        <v>0</v>
      </c>
      <c r="J430" s="197">
        <v>79628</v>
      </c>
      <c r="K430" s="197">
        <v>79628</v>
      </c>
      <c r="L430" s="197">
        <v>32132</v>
      </c>
      <c r="M430" s="197">
        <v>0</v>
      </c>
      <c r="N430" s="197">
        <v>0</v>
      </c>
      <c r="O430" s="197">
        <v>0</v>
      </c>
      <c r="P430" s="197">
        <v>-0.69999999999708962</v>
      </c>
      <c r="Q430" s="197">
        <v>-8.7908003019165903E-6</v>
      </c>
      <c r="R430" s="260" t="s">
        <v>239</v>
      </c>
      <c r="S430" s="260" t="s">
        <v>514</v>
      </c>
      <c r="T430" s="260" t="s">
        <v>239</v>
      </c>
      <c r="U430" s="260" t="s">
        <v>514</v>
      </c>
    </row>
    <row r="431" spans="1:21" ht="14.5" x14ac:dyDescent="0.35">
      <c r="A431" s="260" t="s">
        <v>565</v>
      </c>
      <c r="B431" s="190">
        <v>45717</v>
      </c>
      <c r="C431" s="197">
        <v>79628</v>
      </c>
      <c r="D431" s="197">
        <v>0</v>
      </c>
      <c r="E431" s="197">
        <v>0</v>
      </c>
      <c r="F431" s="197">
        <v>0</v>
      </c>
      <c r="G431" s="197">
        <v>47868</v>
      </c>
      <c r="H431" s="197">
        <v>31760</v>
      </c>
      <c r="I431" s="197">
        <v>0</v>
      </c>
      <c r="J431" s="197">
        <v>79628</v>
      </c>
      <c r="K431" s="197">
        <v>79628</v>
      </c>
      <c r="L431" s="197">
        <v>32132</v>
      </c>
      <c r="M431" s="197">
        <v>0</v>
      </c>
      <c r="N431" s="197">
        <v>0</v>
      </c>
      <c r="O431" s="197">
        <v>0</v>
      </c>
      <c r="P431" s="197">
        <v>0</v>
      </c>
      <c r="Q431" s="197">
        <v>0</v>
      </c>
      <c r="R431" s="260" t="s">
        <v>239</v>
      </c>
      <c r="S431" s="260" t="s">
        <v>514</v>
      </c>
      <c r="T431" s="260" t="s">
        <v>239</v>
      </c>
      <c r="U431" s="260" t="s">
        <v>514</v>
      </c>
    </row>
    <row r="432" spans="1:21" ht="14.5" x14ac:dyDescent="0.35">
      <c r="A432" s="260" t="s">
        <v>565</v>
      </c>
      <c r="B432" s="190">
        <v>45718</v>
      </c>
      <c r="C432" s="197">
        <v>79628</v>
      </c>
      <c r="D432" s="197">
        <v>0</v>
      </c>
      <c r="E432" s="197">
        <v>0</v>
      </c>
      <c r="F432" s="197">
        <v>0</v>
      </c>
      <c r="G432" s="197">
        <v>47868</v>
      </c>
      <c r="H432" s="197">
        <v>31760</v>
      </c>
      <c r="I432" s="197">
        <v>0</v>
      </c>
      <c r="J432" s="197">
        <v>79628</v>
      </c>
      <c r="K432" s="197">
        <v>79628</v>
      </c>
      <c r="L432" s="197">
        <v>32132</v>
      </c>
      <c r="M432" s="197">
        <v>0</v>
      </c>
      <c r="N432" s="197">
        <v>0</v>
      </c>
      <c r="O432" s="197">
        <v>0</v>
      </c>
      <c r="P432" s="197">
        <v>0</v>
      </c>
      <c r="Q432" s="197">
        <v>0</v>
      </c>
      <c r="R432" s="260" t="s">
        <v>239</v>
      </c>
      <c r="S432" s="260" t="s">
        <v>514</v>
      </c>
      <c r="T432" s="260" t="s">
        <v>239</v>
      </c>
      <c r="U432" s="260" t="s">
        <v>514</v>
      </c>
    </row>
    <row r="433" spans="1:21" ht="14.5" x14ac:dyDescent="0.35">
      <c r="A433" s="260" t="s">
        <v>565</v>
      </c>
      <c r="B433" s="190">
        <v>45719</v>
      </c>
      <c r="C433" s="197">
        <v>79628</v>
      </c>
      <c r="D433" s="197">
        <v>0</v>
      </c>
      <c r="E433" s="197">
        <v>5000</v>
      </c>
      <c r="F433" s="197">
        <v>5000</v>
      </c>
      <c r="G433" s="197">
        <v>52868</v>
      </c>
      <c r="H433" s="197">
        <v>31778</v>
      </c>
      <c r="I433" s="197">
        <v>0</v>
      </c>
      <c r="J433" s="197">
        <v>84646</v>
      </c>
      <c r="K433" s="197">
        <v>84646</v>
      </c>
      <c r="L433" s="197">
        <v>32132</v>
      </c>
      <c r="M433" s="197">
        <v>0</v>
      </c>
      <c r="N433" s="197">
        <v>0</v>
      </c>
      <c r="O433" s="197">
        <v>0</v>
      </c>
      <c r="P433" s="197">
        <v>18</v>
      </c>
      <c r="Q433" s="197">
        <v>2.2605113779072816E-4</v>
      </c>
      <c r="R433" s="260" t="s">
        <v>239</v>
      </c>
      <c r="S433" s="260" t="s">
        <v>514</v>
      </c>
      <c r="T433" s="260" t="s">
        <v>239</v>
      </c>
      <c r="U433" s="260" t="s">
        <v>514</v>
      </c>
    </row>
    <row r="434" spans="1:21" ht="14.5" x14ac:dyDescent="0.35">
      <c r="A434" s="260" t="s">
        <v>565</v>
      </c>
      <c r="B434" s="190">
        <v>45720</v>
      </c>
      <c r="C434" s="197">
        <v>84646</v>
      </c>
      <c r="D434" s="197">
        <v>0</v>
      </c>
      <c r="E434" s="197">
        <v>0</v>
      </c>
      <c r="F434" s="197">
        <v>0</v>
      </c>
      <c r="G434" s="197">
        <v>52868</v>
      </c>
      <c r="H434" s="197">
        <v>31787</v>
      </c>
      <c r="I434" s="197">
        <v>0</v>
      </c>
      <c r="J434" s="197">
        <v>84655</v>
      </c>
      <c r="K434" s="197">
        <v>84655</v>
      </c>
      <c r="L434" s="197">
        <v>32132</v>
      </c>
      <c r="M434" s="197">
        <v>0</v>
      </c>
      <c r="N434" s="197">
        <v>0</v>
      </c>
      <c r="O434" s="197">
        <v>0</v>
      </c>
      <c r="P434" s="197">
        <v>9</v>
      </c>
      <c r="Q434" s="197">
        <v>1.0632516598541031E-4</v>
      </c>
      <c r="R434" s="260" t="s">
        <v>239</v>
      </c>
      <c r="S434" s="260" t="s">
        <v>514</v>
      </c>
      <c r="T434" s="260" t="s">
        <v>239</v>
      </c>
      <c r="U434" s="260" t="s">
        <v>514</v>
      </c>
    </row>
    <row r="435" spans="1:21" ht="14.5" x14ac:dyDescent="0.35">
      <c r="A435" s="260" t="s">
        <v>565</v>
      </c>
      <c r="B435" s="190">
        <v>45721</v>
      </c>
      <c r="C435" s="197">
        <v>84655</v>
      </c>
      <c r="D435" s="197">
        <v>0</v>
      </c>
      <c r="E435" s="197">
        <v>0</v>
      </c>
      <c r="F435" s="197">
        <v>0</v>
      </c>
      <c r="G435" s="197">
        <v>52868</v>
      </c>
      <c r="H435" s="197">
        <v>31796</v>
      </c>
      <c r="I435" s="197">
        <v>0</v>
      </c>
      <c r="J435" s="197">
        <v>84664</v>
      </c>
      <c r="K435" s="197">
        <v>84664</v>
      </c>
      <c r="L435" s="197">
        <v>32132</v>
      </c>
      <c r="M435" s="197">
        <v>0</v>
      </c>
      <c r="N435" s="197">
        <v>0</v>
      </c>
      <c r="O435" s="197">
        <v>0</v>
      </c>
      <c r="P435" s="197">
        <v>9</v>
      </c>
      <c r="Q435" s="197">
        <v>1.0631386214643435E-4</v>
      </c>
      <c r="R435" s="260" t="s">
        <v>239</v>
      </c>
      <c r="S435" s="260" t="s">
        <v>514</v>
      </c>
      <c r="T435" s="260" t="s">
        <v>239</v>
      </c>
      <c r="U435" s="260" t="s">
        <v>514</v>
      </c>
    </row>
    <row r="436" spans="1:21" ht="14.5" x14ac:dyDescent="0.35">
      <c r="A436" s="260" t="s">
        <v>565</v>
      </c>
      <c r="B436" s="190">
        <v>45722</v>
      </c>
      <c r="C436" s="197">
        <v>84664</v>
      </c>
      <c r="D436" s="197">
        <v>0</v>
      </c>
      <c r="E436" s="197">
        <v>0</v>
      </c>
      <c r="F436" s="197">
        <v>0</v>
      </c>
      <c r="G436" s="197">
        <v>52868</v>
      </c>
      <c r="H436" s="197">
        <v>31805</v>
      </c>
      <c r="I436" s="197">
        <v>0</v>
      </c>
      <c r="J436" s="197">
        <v>84673</v>
      </c>
      <c r="K436" s="197">
        <v>84673</v>
      </c>
      <c r="L436" s="197">
        <v>32132</v>
      </c>
      <c r="M436" s="197">
        <v>0</v>
      </c>
      <c r="N436" s="197">
        <v>0</v>
      </c>
      <c r="O436" s="197">
        <v>0</v>
      </c>
      <c r="P436" s="197">
        <v>9</v>
      </c>
      <c r="Q436" s="197">
        <v>1.0630256071064714E-4</v>
      </c>
      <c r="R436" s="260" t="s">
        <v>239</v>
      </c>
      <c r="S436" s="260" t="s">
        <v>514</v>
      </c>
      <c r="T436" s="260" t="s">
        <v>239</v>
      </c>
      <c r="U436" s="260" t="s">
        <v>514</v>
      </c>
    </row>
    <row r="437" spans="1:21" ht="14.5" x14ac:dyDescent="0.35">
      <c r="A437" s="260" t="s">
        <v>565</v>
      </c>
      <c r="B437" s="190">
        <v>45723</v>
      </c>
      <c r="C437" s="197">
        <v>84673</v>
      </c>
      <c r="D437" s="197">
        <v>0</v>
      </c>
      <c r="E437" s="197">
        <v>0</v>
      </c>
      <c r="F437" s="197">
        <v>0</v>
      </c>
      <c r="G437" s="197">
        <v>52868</v>
      </c>
      <c r="H437" s="197">
        <v>31814</v>
      </c>
      <c r="I437" s="197">
        <v>0</v>
      </c>
      <c r="J437" s="197">
        <v>84682</v>
      </c>
      <c r="K437" s="197">
        <v>84682</v>
      </c>
      <c r="L437" s="197">
        <v>32132</v>
      </c>
      <c r="M437" s="197">
        <v>0</v>
      </c>
      <c r="N437" s="197">
        <v>0</v>
      </c>
      <c r="O437" s="197">
        <v>0</v>
      </c>
      <c r="P437" s="197">
        <v>9</v>
      </c>
      <c r="Q437" s="197">
        <v>1.0629126167738256E-4</v>
      </c>
      <c r="R437" s="260" t="s">
        <v>239</v>
      </c>
      <c r="S437" s="260" t="s">
        <v>514</v>
      </c>
      <c r="T437" s="260" t="s">
        <v>239</v>
      </c>
      <c r="U437" s="260" t="s">
        <v>514</v>
      </c>
    </row>
    <row r="438" spans="1:21" ht="14.5" x14ac:dyDescent="0.35">
      <c r="A438" s="260" t="s">
        <v>565</v>
      </c>
      <c r="B438" s="190">
        <v>45724</v>
      </c>
      <c r="C438" s="197">
        <v>84682</v>
      </c>
      <c r="D438" s="197">
        <v>0</v>
      </c>
      <c r="E438" s="197">
        <v>0</v>
      </c>
      <c r="F438" s="197">
        <v>0</v>
      </c>
      <c r="G438" s="197">
        <v>52868</v>
      </c>
      <c r="H438" s="197">
        <v>31814</v>
      </c>
      <c r="I438" s="197">
        <v>0</v>
      </c>
      <c r="J438" s="197">
        <v>84682</v>
      </c>
      <c r="K438" s="197">
        <v>84682</v>
      </c>
      <c r="L438" s="197">
        <v>32132</v>
      </c>
      <c r="M438" s="197">
        <v>0</v>
      </c>
      <c r="N438" s="197">
        <v>0</v>
      </c>
      <c r="O438" s="197">
        <v>0</v>
      </c>
      <c r="P438" s="197">
        <v>0</v>
      </c>
      <c r="Q438" s="197">
        <v>0</v>
      </c>
      <c r="R438" s="260" t="s">
        <v>239</v>
      </c>
      <c r="S438" s="260" t="s">
        <v>514</v>
      </c>
      <c r="T438" s="260" t="s">
        <v>239</v>
      </c>
      <c r="U438" s="260" t="s">
        <v>514</v>
      </c>
    </row>
    <row r="439" spans="1:21" ht="14.5" x14ac:dyDescent="0.35">
      <c r="A439" s="260" t="s">
        <v>565</v>
      </c>
      <c r="B439" s="190">
        <v>45725</v>
      </c>
      <c r="C439" s="197">
        <v>84682</v>
      </c>
      <c r="D439" s="197">
        <v>0</v>
      </c>
      <c r="E439" s="197">
        <v>0</v>
      </c>
      <c r="F439" s="197">
        <v>0</v>
      </c>
      <c r="G439" s="197">
        <v>52868</v>
      </c>
      <c r="H439" s="197">
        <v>31814</v>
      </c>
      <c r="I439" s="197">
        <v>0</v>
      </c>
      <c r="J439" s="197">
        <v>84682</v>
      </c>
      <c r="K439" s="197">
        <v>84682</v>
      </c>
      <c r="L439" s="197">
        <v>32132</v>
      </c>
      <c r="M439" s="197">
        <v>0</v>
      </c>
      <c r="N439" s="197">
        <v>0</v>
      </c>
      <c r="O439" s="197">
        <v>0</v>
      </c>
      <c r="P439" s="197">
        <v>0</v>
      </c>
      <c r="Q439" s="197">
        <v>0</v>
      </c>
      <c r="R439" s="260" t="s">
        <v>239</v>
      </c>
      <c r="S439" s="260" t="s">
        <v>514</v>
      </c>
      <c r="T439" s="260" t="s">
        <v>239</v>
      </c>
      <c r="U439" s="260" t="s">
        <v>514</v>
      </c>
    </row>
    <row r="440" spans="1:21" ht="14.5" x14ac:dyDescent="0.35">
      <c r="A440" s="260" t="s">
        <v>565</v>
      </c>
      <c r="B440" s="190">
        <v>45726</v>
      </c>
      <c r="C440" s="197">
        <v>84682</v>
      </c>
      <c r="D440" s="197">
        <v>0</v>
      </c>
      <c r="E440" s="197">
        <v>0</v>
      </c>
      <c r="F440" s="197">
        <v>0</v>
      </c>
      <c r="G440" s="197">
        <v>52868</v>
      </c>
      <c r="H440" s="197">
        <v>31841</v>
      </c>
      <c r="I440" s="197">
        <v>0</v>
      </c>
      <c r="J440" s="197">
        <v>84709</v>
      </c>
      <c r="K440" s="197">
        <v>84709</v>
      </c>
      <c r="L440" s="197">
        <v>32132</v>
      </c>
      <c r="M440" s="197">
        <v>0</v>
      </c>
      <c r="N440" s="197">
        <v>0</v>
      </c>
      <c r="O440" s="197">
        <v>0</v>
      </c>
      <c r="P440" s="197">
        <v>27</v>
      </c>
      <c r="Q440" s="197">
        <v>3.1883989513703526E-4</v>
      </c>
      <c r="R440" s="260" t="s">
        <v>239</v>
      </c>
      <c r="S440" s="260" t="s">
        <v>514</v>
      </c>
      <c r="T440" s="260" t="s">
        <v>239</v>
      </c>
      <c r="U440" s="260" t="s">
        <v>514</v>
      </c>
    </row>
    <row r="441" spans="1:21" ht="14.5" x14ac:dyDescent="0.35">
      <c r="A441" s="260" t="s">
        <v>565</v>
      </c>
      <c r="B441" s="190">
        <v>45727</v>
      </c>
      <c r="C441" s="197">
        <v>84709</v>
      </c>
      <c r="D441" s="197">
        <v>0</v>
      </c>
      <c r="E441" s="197">
        <v>0</v>
      </c>
      <c r="F441" s="197">
        <v>0</v>
      </c>
      <c r="G441" s="197">
        <v>52868</v>
      </c>
      <c r="H441" s="197">
        <v>31850</v>
      </c>
      <c r="I441" s="197">
        <v>0</v>
      </c>
      <c r="J441" s="197">
        <v>84718</v>
      </c>
      <c r="K441" s="197">
        <v>84718</v>
      </c>
      <c r="L441" s="197">
        <v>32132</v>
      </c>
      <c r="M441" s="197">
        <v>0</v>
      </c>
      <c r="N441" s="197">
        <v>0</v>
      </c>
      <c r="O441" s="197">
        <v>0</v>
      </c>
      <c r="P441" s="197">
        <v>9</v>
      </c>
      <c r="Q441" s="197">
        <v>1.0624608955356329E-4</v>
      </c>
      <c r="R441" s="260" t="s">
        <v>239</v>
      </c>
      <c r="S441" s="260" t="s">
        <v>514</v>
      </c>
      <c r="T441" s="260" t="s">
        <v>239</v>
      </c>
      <c r="U441" s="260" t="s">
        <v>514</v>
      </c>
    </row>
    <row r="442" spans="1:21" ht="14.5" x14ac:dyDescent="0.35">
      <c r="A442" s="260" t="s">
        <v>565</v>
      </c>
      <c r="B442" s="190">
        <v>45728</v>
      </c>
      <c r="C442" s="197">
        <v>84718</v>
      </c>
      <c r="D442" s="197">
        <v>0</v>
      </c>
      <c r="E442" s="197">
        <v>0</v>
      </c>
      <c r="F442" s="197">
        <v>0</v>
      </c>
      <c r="G442" s="197">
        <v>52868</v>
      </c>
      <c r="H442" s="197">
        <v>31859</v>
      </c>
      <c r="I442" s="197">
        <v>0</v>
      </c>
      <c r="J442" s="197">
        <v>84727</v>
      </c>
      <c r="K442" s="197">
        <v>84727</v>
      </c>
      <c r="L442" s="197">
        <v>32132</v>
      </c>
      <c r="M442" s="197">
        <v>0</v>
      </c>
      <c r="N442" s="197">
        <v>0</v>
      </c>
      <c r="O442" s="197">
        <v>0</v>
      </c>
      <c r="P442" s="197">
        <v>9</v>
      </c>
      <c r="Q442" s="197">
        <v>1.0623480252136552E-4</v>
      </c>
      <c r="R442" s="260" t="s">
        <v>239</v>
      </c>
      <c r="S442" s="260" t="s">
        <v>514</v>
      </c>
      <c r="T442" s="260" t="s">
        <v>239</v>
      </c>
      <c r="U442" s="260" t="s">
        <v>514</v>
      </c>
    </row>
    <row r="443" spans="1:21" ht="14.5" x14ac:dyDescent="0.35">
      <c r="A443" s="260" t="s">
        <v>565</v>
      </c>
      <c r="B443" s="190">
        <v>45729</v>
      </c>
      <c r="C443" s="197">
        <v>84727</v>
      </c>
      <c r="D443" s="197">
        <v>0</v>
      </c>
      <c r="E443" s="197">
        <v>0</v>
      </c>
      <c r="F443" s="197">
        <v>0</v>
      </c>
      <c r="G443" s="197">
        <v>52868</v>
      </c>
      <c r="H443" s="197">
        <v>31868</v>
      </c>
      <c r="I443" s="197">
        <v>0</v>
      </c>
      <c r="J443" s="197">
        <v>84736</v>
      </c>
      <c r="K443" s="197">
        <v>84736</v>
      </c>
      <c r="L443" s="197">
        <v>32132</v>
      </c>
      <c r="M443" s="197">
        <v>0</v>
      </c>
      <c r="N443" s="197">
        <v>0</v>
      </c>
      <c r="O443" s="197">
        <v>0</v>
      </c>
      <c r="P443" s="197">
        <v>9</v>
      </c>
      <c r="Q443" s="197">
        <v>1.062235178868054E-4</v>
      </c>
      <c r="R443" s="260" t="s">
        <v>239</v>
      </c>
      <c r="S443" s="260" t="s">
        <v>514</v>
      </c>
      <c r="T443" s="260" t="s">
        <v>239</v>
      </c>
      <c r="U443" s="260" t="s">
        <v>514</v>
      </c>
    </row>
    <row r="444" spans="1:21" ht="14.5" x14ac:dyDescent="0.35">
      <c r="A444" s="260" t="s">
        <v>565</v>
      </c>
      <c r="B444" s="190">
        <v>45730</v>
      </c>
      <c r="C444" s="197">
        <v>84736</v>
      </c>
      <c r="D444" s="197">
        <v>0</v>
      </c>
      <c r="E444" s="197">
        <v>0</v>
      </c>
      <c r="F444" s="197">
        <v>0</v>
      </c>
      <c r="G444" s="197">
        <v>52868</v>
      </c>
      <c r="H444" s="197">
        <v>31877</v>
      </c>
      <c r="I444" s="197">
        <v>0</v>
      </c>
      <c r="J444" s="197">
        <v>84745</v>
      </c>
      <c r="K444" s="197">
        <v>84745</v>
      </c>
      <c r="L444" s="197">
        <v>32132</v>
      </c>
      <c r="M444" s="197">
        <v>0</v>
      </c>
      <c r="N444" s="197">
        <v>0</v>
      </c>
      <c r="O444" s="197">
        <v>0</v>
      </c>
      <c r="P444" s="197">
        <v>9</v>
      </c>
      <c r="Q444" s="197">
        <v>1.0621223564943882E-4</v>
      </c>
      <c r="R444" s="260" t="s">
        <v>239</v>
      </c>
      <c r="S444" s="260" t="s">
        <v>514</v>
      </c>
      <c r="T444" s="260" t="s">
        <v>239</v>
      </c>
      <c r="U444" s="260" t="s">
        <v>514</v>
      </c>
    </row>
    <row r="445" spans="1:21" ht="14.5" x14ac:dyDescent="0.35">
      <c r="A445" s="260" t="s">
        <v>565</v>
      </c>
      <c r="B445" s="190">
        <v>45731</v>
      </c>
      <c r="C445" s="197">
        <v>84745</v>
      </c>
      <c r="D445" s="197">
        <v>0</v>
      </c>
      <c r="E445" s="197">
        <v>0</v>
      </c>
      <c r="F445" s="197">
        <v>0</v>
      </c>
      <c r="G445" s="197">
        <v>52868</v>
      </c>
      <c r="H445" s="197">
        <v>31877</v>
      </c>
      <c r="I445" s="197">
        <v>0</v>
      </c>
      <c r="J445" s="197">
        <v>84745</v>
      </c>
      <c r="K445" s="197">
        <v>84745</v>
      </c>
      <c r="L445" s="197">
        <v>32132</v>
      </c>
      <c r="M445" s="197">
        <v>0</v>
      </c>
      <c r="N445" s="197">
        <v>0</v>
      </c>
      <c r="O445" s="197">
        <v>0</v>
      </c>
      <c r="P445" s="197">
        <v>0</v>
      </c>
      <c r="Q445" s="197">
        <v>0</v>
      </c>
      <c r="R445" s="260" t="s">
        <v>239</v>
      </c>
      <c r="S445" s="260" t="s">
        <v>514</v>
      </c>
      <c r="T445" s="260" t="s">
        <v>239</v>
      </c>
      <c r="U445" s="260" t="s">
        <v>514</v>
      </c>
    </row>
    <row r="446" spans="1:21" ht="14.5" x14ac:dyDescent="0.35">
      <c r="A446" s="260" t="s">
        <v>565</v>
      </c>
      <c r="B446" s="190">
        <v>45732</v>
      </c>
      <c r="C446" s="197">
        <v>84745</v>
      </c>
      <c r="D446" s="197">
        <v>0</v>
      </c>
      <c r="E446" s="197">
        <v>0</v>
      </c>
      <c r="F446" s="197">
        <v>0</v>
      </c>
      <c r="G446" s="197">
        <v>52868</v>
      </c>
      <c r="H446" s="197">
        <v>31877</v>
      </c>
      <c r="I446" s="197">
        <v>0</v>
      </c>
      <c r="J446" s="197">
        <v>84745</v>
      </c>
      <c r="K446" s="197">
        <v>84745</v>
      </c>
      <c r="L446" s="197">
        <v>32132</v>
      </c>
      <c r="M446" s="197">
        <v>0</v>
      </c>
      <c r="N446" s="197">
        <v>0</v>
      </c>
      <c r="O446" s="197">
        <v>0</v>
      </c>
      <c r="P446" s="197">
        <v>0</v>
      </c>
      <c r="Q446" s="197">
        <v>0</v>
      </c>
      <c r="R446" s="260" t="s">
        <v>239</v>
      </c>
      <c r="S446" s="260" t="s">
        <v>514</v>
      </c>
      <c r="T446" s="260" t="s">
        <v>239</v>
      </c>
      <c r="U446" s="260" t="s">
        <v>514</v>
      </c>
    </row>
    <row r="447" spans="1:21" ht="14.5" x14ac:dyDescent="0.35">
      <c r="A447" s="260" t="s">
        <v>565</v>
      </c>
      <c r="B447" s="190">
        <v>45733</v>
      </c>
      <c r="C447" s="197">
        <v>84745</v>
      </c>
      <c r="D447" s="197">
        <v>0</v>
      </c>
      <c r="E447" s="197">
        <v>0</v>
      </c>
      <c r="F447" s="197">
        <v>0</v>
      </c>
      <c r="G447" s="197">
        <v>52868</v>
      </c>
      <c r="H447" s="197">
        <v>31904</v>
      </c>
      <c r="I447" s="197">
        <v>0</v>
      </c>
      <c r="J447" s="197">
        <v>84772</v>
      </c>
      <c r="K447" s="197">
        <v>84772</v>
      </c>
      <c r="L447" s="197">
        <v>32132</v>
      </c>
      <c r="M447" s="197">
        <v>0</v>
      </c>
      <c r="N447" s="197">
        <v>0</v>
      </c>
      <c r="O447" s="197">
        <v>0</v>
      </c>
      <c r="P447" s="197">
        <v>27</v>
      </c>
      <c r="Q447" s="197">
        <v>3.1860286742579902E-4</v>
      </c>
      <c r="R447" s="260" t="s">
        <v>239</v>
      </c>
      <c r="S447" s="260" t="s">
        <v>514</v>
      </c>
      <c r="T447" s="260" t="s">
        <v>239</v>
      </c>
      <c r="U447" s="260" t="s">
        <v>514</v>
      </c>
    </row>
    <row r="448" spans="1:21" ht="14.5" x14ac:dyDescent="0.35">
      <c r="A448" s="260" t="s">
        <v>565</v>
      </c>
      <c r="B448" s="190">
        <v>45734</v>
      </c>
      <c r="C448" s="197">
        <v>84772</v>
      </c>
      <c r="D448" s="197">
        <v>0</v>
      </c>
      <c r="E448" s="197">
        <v>0</v>
      </c>
      <c r="F448" s="197">
        <v>0</v>
      </c>
      <c r="G448" s="197">
        <v>52868</v>
      </c>
      <c r="H448" s="197">
        <v>31913</v>
      </c>
      <c r="I448" s="197">
        <v>0</v>
      </c>
      <c r="J448" s="197">
        <v>84781</v>
      </c>
      <c r="K448" s="197">
        <v>84781</v>
      </c>
      <c r="L448" s="197">
        <v>32132</v>
      </c>
      <c r="M448" s="197">
        <v>0</v>
      </c>
      <c r="N448" s="197">
        <v>0</v>
      </c>
      <c r="O448" s="197">
        <v>0</v>
      </c>
      <c r="P448" s="197">
        <v>9</v>
      </c>
      <c r="Q448" s="197">
        <v>1.0616713065636496E-4</v>
      </c>
      <c r="R448" s="260" t="s">
        <v>239</v>
      </c>
      <c r="S448" s="260" t="s">
        <v>514</v>
      </c>
      <c r="T448" s="260" t="s">
        <v>239</v>
      </c>
      <c r="U448" s="260" t="s">
        <v>514</v>
      </c>
    </row>
    <row r="449" spans="1:21" ht="14.5" x14ac:dyDescent="0.35">
      <c r="A449" s="260" t="s">
        <v>565</v>
      </c>
      <c r="B449" s="190">
        <v>45735</v>
      </c>
      <c r="C449" s="197">
        <v>84781</v>
      </c>
      <c r="D449" s="197">
        <v>0</v>
      </c>
      <c r="E449" s="197">
        <v>0</v>
      </c>
      <c r="F449" s="197">
        <v>0</v>
      </c>
      <c r="G449" s="197">
        <v>52868</v>
      </c>
      <c r="H449" s="197">
        <v>31922</v>
      </c>
      <c r="I449" s="197">
        <v>0</v>
      </c>
      <c r="J449" s="197">
        <v>84790</v>
      </c>
      <c r="K449" s="197">
        <v>84790</v>
      </c>
      <c r="L449" s="197">
        <v>32132</v>
      </c>
      <c r="M449" s="197">
        <v>0</v>
      </c>
      <c r="N449" s="197">
        <v>0</v>
      </c>
      <c r="O449" s="197">
        <v>0</v>
      </c>
      <c r="P449" s="197">
        <v>9</v>
      </c>
      <c r="Q449" s="197">
        <v>1.061558603931978E-4</v>
      </c>
      <c r="R449" s="260" t="s">
        <v>239</v>
      </c>
      <c r="S449" s="260" t="s">
        <v>514</v>
      </c>
      <c r="T449" s="260" t="s">
        <v>239</v>
      </c>
      <c r="U449" s="260" t="s">
        <v>514</v>
      </c>
    </row>
    <row r="450" spans="1:21" ht="14.5" x14ac:dyDescent="0.35">
      <c r="A450" s="260" t="s">
        <v>565</v>
      </c>
      <c r="B450" s="190">
        <v>45736</v>
      </c>
      <c r="C450" s="197">
        <v>84790</v>
      </c>
      <c r="D450" s="197">
        <v>0</v>
      </c>
      <c r="E450" s="197">
        <v>0</v>
      </c>
      <c r="F450" s="197">
        <v>0</v>
      </c>
      <c r="G450" s="197">
        <v>52868</v>
      </c>
      <c r="H450" s="197">
        <v>31931</v>
      </c>
      <c r="I450" s="197">
        <v>0</v>
      </c>
      <c r="J450" s="197">
        <v>84799</v>
      </c>
      <c r="K450" s="197">
        <v>84799</v>
      </c>
      <c r="L450" s="197">
        <v>32132</v>
      </c>
      <c r="M450" s="197">
        <v>0</v>
      </c>
      <c r="N450" s="197">
        <v>0</v>
      </c>
      <c r="O450" s="197">
        <v>0</v>
      </c>
      <c r="P450" s="197">
        <v>9</v>
      </c>
      <c r="Q450" s="197">
        <v>1.061445925227833E-4</v>
      </c>
      <c r="R450" s="260" t="s">
        <v>239</v>
      </c>
      <c r="S450" s="260" t="s">
        <v>514</v>
      </c>
      <c r="T450" s="260" t="s">
        <v>239</v>
      </c>
      <c r="U450" s="260" t="s">
        <v>514</v>
      </c>
    </row>
    <row r="451" spans="1:21" ht="14.5" x14ac:dyDescent="0.35">
      <c r="A451" s="260" t="s">
        <v>565</v>
      </c>
      <c r="B451" s="190">
        <v>45737</v>
      </c>
      <c r="C451" s="197">
        <v>84799</v>
      </c>
      <c r="D451" s="197">
        <v>0</v>
      </c>
      <c r="E451" s="197">
        <v>0</v>
      </c>
      <c r="F451" s="197">
        <v>0</v>
      </c>
      <c r="G451" s="197">
        <v>52868</v>
      </c>
      <c r="H451" s="197">
        <v>31940</v>
      </c>
      <c r="I451" s="197">
        <v>0</v>
      </c>
      <c r="J451" s="197">
        <v>84808</v>
      </c>
      <c r="K451" s="197">
        <v>84808</v>
      </c>
      <c r="L451" s="197">
        <v>32132</v>
      </c>
      <c r="M451" s="197">
        <v>0</v>
      </c>
      <c r="N451" s="197">
        <v>0</v>
      </c>
      <c r="O451" s="197">
        <v>0</v>
      </c>
      <c r="P451" s="197">
        <v>9</v>
      </c>
      <c r="Q451" s="197">
        <v>1.0613332704401124E-4</v>
      </c>
      <c r="R451" s="260" t="s">
        <v>239</v>
      </c>
      <c r="S451" s="260" t="s">
        <v>514</v>
      </c>
      <c r="T451" s="260" t="s">
        <v>239</v>
      </c>
      <c r="U451" s="260" t="s">
        <v>514</v>
      </c>
    </row>
    <row r="452" spans="1:21" ht="14.5" x14ac:dyDescent="0.35">
      <c r="A452" s="260" t="s">
        <v>565</v>
      </c>
      <c r="B452" s="190">
        <v>45738</v>
      </c>
      <c r="C452" s="197">
        <v>84808</v>
      </c>
      <c r="D452" s="197">
        <v>0</v>
      </c>
      <c r="E452" s="197">
        <v>0</v>
      </c>
      <c r="F452" s="197">
        <v>0</v>
      </c>
      <c r="G452" s="197">
        <v>52868</v>
      </c>
      <c r="H452" s="197">
        <v>31940</v>
      </c>
      <c r="I452" s="197">
        <v>0</v>
      </c>
      <c r="J452" s="197">
        <v>84808</v>
      </c>
      <c r="K452" s="197">
        <v>84808</v>
      </c>
      <c r="L452" s="197">
        <v>32132</v>
      </c>
      <c r="M452" s="197">
        <v>0</v>
      </c>
      <c r="N452" s="197">
        <v>0</v>
      </c>
      <c r="O452" s="197">
        <v>0</v>
      </c>
      <c r="P452" s="197">
        <v>0</v>
      </c>
      <c r="Q452" s="197">
        <v>0</v>
      </c>
      <c r="R452" s="260" t="s">
        <v>239</v>
      </c>
      <c r="S452" s="260" t="s">
        <v>514</v>
      </c>
      <c r="T452" s="260" t="s">
        <v>239</v>
      </c>
      <c r="U452" s="260" t="s">
        <v>514</v>
      </c>
    </row>
    <row r="453" spans="1:21" ht="14.5" x14ac:dyDescent="0.35">
      <c r="A453" s="260" t="s">
        <v>565</v>
      </c>
      <c r="B453" s="190">
        <v>45739</v>
      </c>
      <c r="C453" s="197">
        <v>84808</v>
      </c>
      <c r="D453" s="197">
        <v>0</v>
      </c>
      <c r="E453" s="197">
        <v>0</v>
      </c>
      <c r="F453" s="197">
        <v>0</v>
      </c>
      <c r="G453" s="197">
        <v>52868</v>
      </c>
      <c r="H453" s="197">
        <v>31940</v>
      </c>
      <c r="I453" s="197">
        <v>0</v>
      </c>
      <c r="J453" s="197">
        <v>84808</v>
      </c>
      <c r="K453" s="197">
        <v>84808</v>
      </c>
      <c r="L453" s="197">
        <v>32132</v>
      </c>
      <c r="M453" s="197">
        <v>0</v>
      </c>
      <c r="N453" s="197">
        <v>0</v>
      </c>
      <c r="O453" s="197">
        <v>0</v>
      </c>
      <c r="P453" s="197">
        <v>0</v>
      </c>
      <c r="Q453" s="197">
        <v>0</v>
      </c>
      <c r="R453" s="260" t="s">
        <v>239</v>
      </c>
      <c r="S453" s="260" t="s">
        <v>514</v>
      </c>
      <c r="T453" s="260" t="s">
        <v>239</v>
      </c>
      <c r="U453" s="260" t="s">
        <v>514</v>
      </c>
    </row>
    <row r="454" spans="1:21" ht="14.5" x14ac:dyDescent="0.35">
      <c r="A454" s="260" t="s">
        <v>565</v>
      </c>
      <c r="B454" s="190">
        <v>45740</v>
      </c>
      <c r="C454" s="197">
        <v>84808</v>
      </c>
      <c r="D454" s="197">
        <v>0</v>
      </c>
      <c r="E454" s="197">
        <v>0</v>
      </c>
      <c r="F454" s="197">
        <v>0</v>
      </c>
      <c r="G454" s="197">
        <v>52868</v>
      </c>
      <c r="H454" s="197">
        <v>31967</v>
      </c>
      <c r="I454" s="197">
        <v>0</v>
      </c>
      <c r="J454" s="197">
        <v>84835</v>
      </c>
      <c r="K454" s="197">
        <v>84835</v>
      </c>
      <c r="L454" s="197">
        <v>32132</v>
      </c>
      <c r="M454" s="197">
        <v>0</v>
      </c>
      <c r="N454" s="197">
        <v>0</v>
      </c>
      <c r="O454" s="197">
        <v>0</v>
      </c>
      <c r="P454" s="197">
        <v>27</v>
      </c>
      <c r="Q454" s="197">
        <v>3.1836619186864645E-4</v>
      </c>
      <c r="R454" s="260" t="s">
        <v>239</v>
      </c>
      <c r="S454" s="260" t="s">
        <v>514</v>
      </c>
      <c r="T454" s="260" t="s">
        <v>239</v>
      </c>
      <c r="U454" s="260" t="s">
        <v>514</v>
      </c>
    </row>
    <row r="455" spans="1:21" ht="14.5" x14ac:dyDescent="0.35">
      <c r="A455" s="260" t="s">
        <v>565</v>
      </c>
      <c r="B455" s="190">
        <v>45741</v>
      </c>
      <c r="C455" s="197">
        <v>84835</v>
      </c>
      <c r="D455" s="197">
        <v>0</v>
      </c>
      <c r="E455" s="197">
        <v>0</v>
      </c>
      <c r="F455" s="197">
        <v>0</v>
      </c>
      <c r="G455" s="197">
        <v>52868</v>
      </c>
      <c r="H455" s="197">
        <v>31976</v>
      </c>
      <c r="I455" s="197">
        <v>0</v>
      </c>
      <c r="J455" s="197">
        <v>84844</v>
      </c>
      <c r="K455" s="197">
        <v>84844</v>
      </c>
      <c r="L455" s="197">
        <v>32132</v>
      </c>
      <c r="M455" s="197">
        <v>0</v>
      </c>
      <c r="N455" s="197">
        <v>0</v>
      </c>
      <c r="O455" s="197">
        <v>0</v>
      </c>
      <c r="P455" s="197">
        <v>9</v>
      </c>
      <c r="Q455" s="197">
        <v>1.0608828903158063E-4</v>
      </c>
      <c r="R455" s="260" t="s">
        <v>239</v>
      </c>
      <c r="S455" s="260" t="s">
        <v>514</v>
      </c>
      <c r="T455" s="260" t="s">
        <v>239</v>
      </c>
      <c r="U455" s="260" t="s">
        <v>514</v>
      </c>
    </row>
    <row r="456" spans="1:21" ht="14.5" x14ac:dyDescent="0.35">
      <c r="A456" s="260" t="s">
        <v>565</v>
      </c>
      <c r="B456" s="190">
        <v>45742</v>
      </c>
      <c r="C456" s="197">
        <v>84844</v>
      </c>
      <c r="D456" s="197">
        <v>0</v>
      </c>
      <c r="E456" s="197">
        <v>0</v>
      </c>
      <c r="F456" s="197">
        <v>0</v>
      </c>
      <c r="G456" s="197">
        <v>52868</v>
      </c>
      <c r="H456" s="197">
        <v>31985</v>
      </c>
      <c r="I456" s="197">
        <v>0</v>
      </c>
      <c r="J456" s="197">
        <v>84853</v>
      </c>
      <c r="K456" s="197">
        <v>84853</v>
      </c>
      <c r="L456" s="197">
        <v>32132</v>
      </c>
      <c r="M456" s="197">
        <v>0</v>
      </c>
      <c r="N456" s="197">
        <v>0</v>
      </c>
      <c r="O456" s="197">
        <v>0</v>
      </c>
      <c r="P456" s="197">
        <v>9</v>
      </c>
      <c r="Q456" s="197">
        <v>1.0607703550036263E-4</v>
      </c>
      <c r="R456" s="260" t="s">
        <v>239</v>
      </c>
      <c r="S456" s="260" t="s">
        <v>514</v>
      </c>
      <c r="T456" s="260" t="s">
        <v>239</v>
      </c>
      <c r="U456" s="260" t="s">
        <v>514</v>
      </c>
    </row>
    <row r="457" spans="1:21" ht="14.5" x14ac:dyDescent="0.35">
      <c r="A457" s="260" t="s">
        <v>565</v>
      </c>
      <c r="B457" s="190">
        <v>45743</v>
      </c>
      <c r="C457" s="197">
        <v>84853</v>
      </c>
      <c r="D457" s="197">
        <v>0</v>
      </c>
      <c r="E457" s="197">
        <v>0</v>
      </c>
      <c r="F457" s="197">
        <v>0</v>
      </c>
      <c r="G457" s="197">
        <v>52868</v>
      </c>
      <c r="H457" s="197">
        <v>31994</v>
      </c>
      <c r="I457" s="197">
        <v>0</v>
      </c>
      <c r="J457" s="197">
        <v>84862</v>
      </c>
      <c r="K457" s="197">
        <v>84862</v>
      </c>
      <c r="L457" s="197">
        <v>32132</v>
      </c>
      <c r="M457" s="197">
        <v>0</v>
      </c>
      <c r="N457" s="197">
        <v>0</v>
      </c>
      <c r="O457" s="197">
        <v>0</v>
      </c>
      <c r="P457" s="197">
        <v>9</v>
      </c>
      <c r="Q457" s="197">
        <v>1.0606578435656822E-4</v>
      </c>
      <c r="R457" s="260" t="s">
        <v>239</v>
      </c>
      <c r="S457" s="260" t="s">
        <v>514</v>
      </c>
      <c r="T457" s="260" t="s">
        <v>239</v>
      </c>
      <c r="U457" s="260" t="s">
        <v>514</v>
      </c>
    </row>
    <row r="458" spans="1:21" ht="14.5" x14ac:dyDescent="0.35">
      <c r="A458" s="260" t="s">
        <v>565</v>
      </c>
      <c r="B458" s="190">
        <v>45744</v>
      </c>
      <c r="C458" s="197">
        <v>84862</v>
      </c>
      <c r="D458" s="197">
        <v>0</v>
      </c>
      <c r="E458" s="197">
        <v>0</v>
      </c>
      <c r="F458" s="197">
        <v>0</v>
      </c>
      <c r="G458" s="197">
        <v>52868</v>
      </c>
      <c r="H458" s="197">
        <v>32003</v>
      </c>
      <c r="I458" s="197">
        <v>0</v>
      </c>
      <c r="J458" s="197">
        <v>84871</v>
      </c>
      <c r="K458" s="197">
        <v>84871</v>
      </c>
      <c r="L458" s="197">
        <v>32132</v>
      </c>
      <c r="M458" s="197">
        <v>0</v>
      </c>
      <c r="N458" s="197">
        <v>0</v>
      </c>
      <c r="O458" s="197">
        <v>0</v>
      </c>
      <c r="P458" s="197">
        <v>9</v>
      </c>
      <c r="Q458" s="197">
        <v>1.0605453559886513E-4</v>
      </c>
      <c r="R458" s="260" t="s">
        <v>239</v>
      </c>
      <c r="S458" s="260" t="s">
        <v>514</v>
      </c>
      <c r="T458" s="260" t="s">
        <v>239</v>
      </c>
      <c r="U458" s="260" t="s">
        <v>514</v>
      </c>
    </row>
    <row r="459" spans="1:21" ht="14.5" x14ac:dyDescent="0.35">
      <c r="A459" s="260" t="s">
        <v>565</v>
      </c>
      <c r="B459" s="190">
        <v>45745</v>
      </c>
      <c r="C459" s="197">
        <v>84871</v>
      </c>
      <c r="D459" s="197">
        <v>0</v>
      </c>
      <c r="E459" s="197">
        <v>0</v>
      </c>
      <c r="F459" s="197">
        <v>0</v>
      </c>
      <c r="G459" s="197">
        <v>52868</v>
      </c>
      <c r="H459" s="197">
        <v>32003</v>
      </c>
      <c r="I459" s="197">
        <v>0</v>
      </c>
      <c r="J459" s="197">
        <v>84871</v>
      </c>
      <c r="K459" s="197">
        <v>84871</v>
      </c>
      <c r="L459" s="197">
        <v>32132</v>
      </c>
      <c r="M459" s="197">
        <v>0</v>
      </c>
      <c r="N459" s="197">
        <v>0</v>
      </c>
      <c r="O459" s="197">
        <v>0</v>
      </c>
      <c r="P459" s="197">
        <v>0</v>
      </c>
      <c r="Q459" s="197">
        <v>0</v>
      </c>
      <c r="R459" s="260" t="s">
        <v>239</v>
      </c>
      <c r="S459" s="260" t="s">
        <v>514</v>
      </c>
      <c r="T459" s="260" t="s">
        <v>239</v>
      </c>
      <c r="U459" s="260" t="s">
        <v>514</v>
      </c>
    </row>
    <row r="460" spans="1:21" ht="14.5" x14ac:dyDescent="0.35">
      <c r="A460" s="260" t="s">
        <v>565</v>
      </c>
      <c r="B460" s="190">
        <v>45746</v>
      </c>
      <c r="C460" s="197">
        <v>84871</v>
      </c>
      <c r="D460" s="197">
        <v>0</v>
      </c>
      <c r="E460" s="197">
        <v>0</v>
      </c>
      <c r="F460" s="197">
        <v>0</v>
      </c>
      <c r="G460" s="197">
        <v>52868</v>
      </c>
      <c r="H460" s="197">
        <v>32003</v>
      </c>
      <c r="I460" s="197">
        <v>0</v>
      </c>
      <c r="J460" s="197">
        <v>84871</v>
      </c>
      <c r="K460" s="197">
        <v>84871</v>
      </c>
      <c r="L460" s="197">
        <v>32132</v>
      </c>
      <c r="M460" s="197">
        <v>0</v>
      </c>
      <c r="N460" s="197">
        <v>0</v>
      </c>
      <c r="O460" s="197">
        <v>0</v>
      </c>
      <c r="P460" s="197">
        <v>0</v>
      </c>
      <c r="Q460" s="197">
        <v>0</v>
      </c>
      <c r="R460" s="260" t="s">
        <v>239</v>
      </c>
      <c r="S460" s="260" t="s">
        <v>514</v>
      </c>
      <c r="T460" s="260" t="s">
        <v>239</v>
      </c>
      <c r="U460" s="260" t="s">
        <v>514</v>
      </c>
    </row>
    <row r="461" spans="1:21" ht="14.5" x14ac:dyDescent="0.35">
      <c r="A461" s="260" t="s">
        <v>565</v>
      </c>
      <c r="B461" s="190">
        <v>45747</v>
      </c>
      <c r="C461" s="197">
        <v>84871</v>
      </c>
      <c r="D461" s="197">
        <v>0</v>
      </c>
      <c r="E461" s="197">
        <v>0</v>
      </c>
      <c r="F461" s="197">
        <v>0</v>
      </c>
      <c r="G461" s="197">
        <v>52868</v>
      </c>
      <c r="H461" s="197">
        <v>32030</v>
      </c>
      <c r="I461" s="197">
        <v>0</v>
      </c>
      <c r="J461" s="197">
        <v>84898</v>
      </c>
      <c r="K461" s="197">
        <v>84898</v>
      </c>
      <c r="L461" s="197">
        <v>32132</v>
      </c>
      <c r="M461" s="197">
        <v>0</v>
      </c>
      <c r="N461" s="197">
        <v>0</v>
      </c>
      <c r="O461" s="197">
        <v>0</v>
      </c>
      <c r="P461" s="197">
        <v>27</v>
      </c>
      <c r="Q461" s="197">
        <v>3.1812986768153806E-4</v>
      </c>
      <c r="R461" s="260" t="s">
        <v>239</v>
      </c>
      <c r="S461" s="260" t="s">
        <v>514</v>
      </c>
      <c r="T461" s="260" t="s">
        <v>239</v>
      </c>
      <c r="U461" s="260" t="s">
        <v>514</v>
      </c>
    </row>
    <row r="462" spans="1:21" ht="14.5" x14ac:dyDescent="0.35">
      <c r="A462" s="260" t="s">
        <v>565</v>
      </c>
      <c r="B462" s="190">
        <v>45748</v>
      </c>
      <c r="C462" s="197">
        <v>84898</v>
      </c>
      <c r="D462" s="197">
        <v>0</v>
      </c>
      <c r="E462" s="197">
        <v>0</v>
      </c>
      <c r="F462" s="197">
        <v>0</v>
      </c>
      <c r="G462" s="197">
        <v>52868</v>
      </c>
      <c r="H462" s="197">
        <v>32030</v>
      </c>
      <c r="I462" s="197">
        <v>0</v>
      </c>
      <c r="J462" s="197">
        <v>84898</v>
      </c>
      <c r="K462" s="197">
        <v>84898</v>
      </c>
      <c r="L462" s="197">
        <v>32132</v>
      </c>
      <c r="M462" s="197">
        <v>0</v>
      </c>
      <c r="N462" s="197">
        <v>0</v>
      </c>
      <c r="O462" s="197">
        <v>0</v>
      </c>
      <c r="P462" s="197">
        <v>0</v>
      </c>
      <c r="Q462" s="197">
        <v>0</v>
      </c>
      <c r="R462" s="260" t="s">
        <v>239</v>
      </c>
      <c r="S462" s="260" t="s">
        <v>514</v>
      </c>
      <c r="T462" s="260" t="s">
        <v>239</v>
      </c>
      <c r="U462" s="260" t="s">
        <v>514</v>
      </c>
    </row>
    <row r="463" spans="1:21" ht="14.5" x14ac:dyDescent="0.35">
      <c r="A463" s="260" t="s">
        <v>565</v>
      </c>
      <c r="B463" s="190">
        <v>45749</v>
      </c>
      <c r="C463" s="197">
        <v>84898</v>
      </c>
      <c r="D463" s="197">
        <v>0</v>
      </c>
      <c r="E463" s="197">
        <v>0</v>
      </c>
      <c r="F463" s="197">
        <v>0</v>
      </c>
      <c r="G463" s="197">
        <v>52868</v>
      </c>
      <c r="H463" s="197">
        <v>31985.4</v>
      </c>
      <c r="I463" s="197">
        <v>0</v>
      </c>
      <c r="J463" s="197">
        <v>84853.4</v>
      </c>
      <c r="K463" s="197">
        <v>84853.4</v>
      </c>
      <c r="L463" s="197">
        <v>32132</v>
      </c>
      <c r="M463" s="197">
        <v>0</v>
      </c>
      <c r="N463" s="197">
        <v>0</v>
      </c>
      <c r="O463" s="197">
        <v>0</v>
      </c>
      <c r="P463" s="197">
        <v>-44.600000000005821</v>
      </c>
      <c r="Q463" s="197">
        <v>-5.2533628589612746E-4</v>
      </c>
      <c r="R463" s="260" t="s">
        <v>239</v>
      </c>
      <c r="S463" s="260" t="s">
        <v>514</v>
      </c>
      <c r="T463" s="260" t="s">
        <v>239</v>
      </c>
      <c r="U463" s="260" t="s">
        <v>514</v>
      </c>
    </row>
    <row r="464" spans="1:21" ht="14.5" x14ac:dyDescent="0.35">
      <c r="A464" s="260" t="s">
        <v>565</v>
      </c>
      <c r="B464" s="190">
        <v>45750</v>
      </c>
      <c r="C464" s="197">
        <v>84853.4</v>
      </c>
      <c r="D464" s="197">
        <v>0</v>
      </c>
      <c r="E464" s="197">
        <v>0</v>
      </c>
      <c r="F464" s="197">
        <v>0</v>
      </c>
      <c r="G464" s="197">
        <v>52868</v>
      </c>
      <c r="H464" s="197">
        <v>31940.799999999999</v>
      </c>
      <c r="I464" s="197">
        <v>0</v>
      </c>
      <c r="J464" s="197">
        <v>84808.8</v>
      </c>
      <c r="K464" s="197">
        <v>84808.8</v>
      </c>
      <c r="L464" s="197">
        <v>32132</v>
      </c>
      <c r="M464" s="197">
        <v>0</v>
      </c>
      <c r="N464" s="197">
        <v>0</v>
      </c>
      <c r="O464" s="197">
        <v>0</v>
      </c>
      <c r="P464" s="197">
        <v>-44.599999999991269</v>
      </c>
      <c r="Q464" s="197">
        <v>-5.2561240916682017E-4</v>
      </c>
      <c r="R464" s="260" t="s">
        <v>239</v>
      </c>
      <c r="S464" s="260" t="s">
        <v>514</v>
      </c>
      <c r="T464" s="260" t="s">
        <v>239</v>
      </c>
      <c r="U464" s="260" t="s">
        <v>514</v>
      </c>
    </row>
    <row r="465" spans="1:21" ht="14.5" x14ac:dyDescent="0.35">
      <c r="A465" s="260" t="s">
        <v>565</v>
      </c>
      <c r="B465" s="190">
        <v>45751</v>
      </c>
      <c r="C465" s="197">
        <v>84808.8</v>
      </c>
      <c r="D465" s="197">
        <v>0</v>
      </c>
      <c r="E465" s="197">
        <v>0</v>
      </c>
      <c r="F465" s="197">
        <v>0</v>
      </c>
      <c r="G465" s="197">
        <v>52868</v>
      </c>
      <c r="H465" s="197">
        <v>31894.9</v>
      </c>
      <c r="I465" s="197">
        <v>0</v>
      </c>
      <c r="J465" s="197">
        <v>84762.9</v>
      </c>
      <c r="K465" s="197">
        <v>84762.9</v>
      </c>
      <c r="L465" s="197">
        <v>32132</v>
      </c>
      <c r="M465" s="197">
        <v>0</v>
      </c>
      <c r="N465" s="197">
        <v>0</v>
      </c>
      <c r="O465" s="197">
        <v>0</v>
      </c>
      <c r="P465" s="197">
        <v>-45.900000000008731</v>
      </c>
      <c r="Q465" s="197">
        <v>-5.4121742083379498E-4</v>
      </c>
      <c r="R465" s="260" t="s">
        <v>239</v>
      </c>
      <c r="S465" s="260" t="s">
        <v>514</v>
      </c>
      <c r="T465" s="260" t="s">
        <v>239</v>
      </c>
      <c r="U465" s="260" t="s">
        <v>514</v>
      </c>
    </row>
    <row r="466" spans="1:21" ht="14.5" x14ac:dyDescent="0.35">
      <c r="A466" s="260" t="s">
        <v>565</v>
      </c>
      <c r="B466" s="190">
        <v>45752</v>
      </c>
      <c r="C466" s="197">
        <v>84762.9</v>
      </c>
      <c r="D466" s="197">
        <v>0</v>
      </c>
      <c r="E466" s="197">
        <v>0</v>
      </c>
      <c r="F466" s="197">
        <v>0</v>
      </c>
      <c r="G466" s="197">
        <v>52868</v>
      </c>
      <c r="H466" s="197">
        <v>31894.9</v>
      </c>
      <c r="I466" s="197">
        <v>0</v>
      </c>
      <c r="J466" s="197">
        <v>84762.9</v>
      </c>
      <c r="K466" s="197">
        <v>84762.9</v>
      </c>
      <c r="L466" s="197">
        <v>32132</v>
      </c>
      <c r="M466" s="197">
        <v>0</v>
      </c>
      <c r="N466" s="197">
        <v>0</v>
      </c>
      <c r="O466" s="197">
        <v>0</v>
      </c>
      <c r="P466" s="197">
        <v>0</v>
      </c>
      <c r="Q466" s="197">
        <v>0</v>
      </c>
      <c r="R466" s="260" t="s">
        <v>239</v>
      </c>
      <c r="S466" s="260" t="s">
        <v>514</v>
      </c>
      <c r="T466" s="260" t="s">
        <v>239</v>
      </c>
      <c r="U466" s="260" t="s">
        <v>514</v>
      </c>
    </row>
    <row r="467" spans="1:21" ht="14.5" x14ac:dyDescent="0.35">
      <c r="A467" s="260" t="s">
        <v>565</v>
      </c>
      <c r="B467" s="190">
        <v>45753</v>
      </c>
      <c r="C467" s="197">
        <v>84762.9</v>
      </c>
      <c r="D467" s="197">
        <v>0</v>
      </c>
      <c r="E467" s="197">
        <v>0</v>
      </c>
      <c r="F467" s="197">
        <v>0</v>
      </c>
      <c r="G467" s="197">
        <v>52868</v>
      </c>
      <c r="H467" s="197">
        <v>31894.9</v>
      </c>
      <c r="I467" s="197">
        <v>0</v>
      </c>
      <c r="J467" s="197">
        <v>84762.9</v>
      </c>
      <c r="K467" s="197">
        <v>84762.9</v>
      </c>
      <c r="L467" s="197">
        <v>32132</v>
      </c>
      <c r="M467" s="197">
        <v>0</v>
      </c>
      <c r="N467" s="197">
        <v>0</v>
      </c>
      <c r="O467" s="197">
        <v>0</v>
      </c>
      <c r="P467" s="197">
        <v>0</v>
      </c>
      <c r="Q467" s="197">
        <v>0</v>
      </c>
      <c r="R467" s="260" t="s">
        <v>239</v>
      </c>
      <c r="S467" s="260" t="s">
        <v>514</v>
      </c>
      <c r="T467" s="260" t="s">
        <v>239</v>
      </c>
      <c r="U467" s="260" t="s">
        <v>514</v>
      </c>
    </row>
    <row r="468" spans="1:21" ht="14.5" x14ac:dyDescent="0.35">
      <c r="A468" s="260" t="s">
        <v>565</v>
      </c>
      <c r="B468" s="190">
        <v>45754</v>
      </c>
      <c r="C468" s="197">
        <v>84762.9</v>
      </c>
      <c r="D468" s="197">
        <v>0</v>
      </c>
      <c r="E468" s="197">
        <v>0</v>
      </c>
      <c r="F468" s="197">
        <v>0</v>
      </c>
      <c r="G468" s="197">
        <v>52868</v>
      </c>
      <c r="H468" s="197">
        <v>31761.1</v>
      </c>
      <c r="I468" s="197">
        <v>0</v>
      </c>
      <c r="J468" s="197">
        <v>84629.1</v>
      </c>
      <c r="K468" s="197">
        <v>84629.1</v>
      </c>
      <c r="L468" s="197">
        <v>32132</v>
      </c>
      <c r="M468" s="197">
        <v>0</v>
      </c>
      <c r="N468" s="197">
        <v>0</v>
      </c>
      <c r="O468" s="197">
        <v>0</v>
      </c>
      <c r="P468" s="197">
        <v>-133.79999999998836</v>
      </c>
      <c r="Q468" s="197">
        <v>-1.5785207915254285E-3</v>
      </c>
      <c r="R468" s="260" t="s">
        <v>239</v>
      </c>
      <c r="S468" s="260" t="s">
        <v>514</v>
      </c>
      <c r="T468" s="260" t="s">
        <v>239</v>
      </c>
      <c r="U468" s="260" t="s">
        <v>514</v>
      </c>
    </row>
    <row r="469" spans="1:21" ht="14.5" x14ac:dyDescent="0.35">
      <c r="A469" s="260" t="s">
        <v>565</v>
      </c>
      <c r="B469" s="190">
        <v>45755</v>
      </c>
      <c r="C469" s="197">
        <v>84629.1</v>
      </c>
      <c r="D469" s="197">
        <v>0</v>
      </c>
      <c r="E469" s="197">
        <v>0</v>
      </c>
      <c r="F469" s="197">
        <v>0</v>
      </c>
      <c r="G469" s="197">
        <v>52868</v>
      </c>
      <c r="H469" s="197">
        <v>31715.7</v>
      </c>
      <c r="I469" s="197">
        <v>0</v>
      </c>
      <c r="J469" s="197">
        <v>84583.7</v>
      </c>
      <c r="K469" s="197">
        <v>84583.7</v>
      </c>
      <c r="L469" s="197">
        <v>32132</v>
      </c>
      <c r="M469" s="197">
        <v>0</v>
      </c>
      <c r="N469" s="197">
        <v>0</v>
      </c>
      <c r="O469" s="197">
        <v>0</v>
      </c>
      <c r="P469" s="197">
        <v>-45.400000000008731</v>
      </c>
      <c r="Q469" s="197">
        <v>-5.3645849949968127E-4</v>
      </c>
      <c r="R469" s="260" t="s">
        <v>239</v>
      </c>
      <c r="S469" s="260" t="s">
        <v>514</v>
      </c>
      <c r="T469" s="260" t="s">
        <v>239</v>
      </c>
      <c r="U469" s="260" t="s">
        <v>514</v>
      </c>
    </row>
    <row r="470" spans="1:21" ht="14.5" x14ac:dyDescent="0.35">
      <c r="A470" s="260" t="s">
        <v>565</v>
      </c>
      <c r="B470" s="190">
        <v>45756</v>
      </c>
      <c r="C470" s="197">
        <v>84583.7</v>
      </c>
      <c r="D470" s="197">
        <v>0</v>
      </c>
      <c r="E470" s="197">
        <v>0</v>
      </c>
      <c r="F470" s="197">
        <v>0</v>
      </c>
      <c r="G470" s="197">
        <v>52868</v>
      </c>
      <c r="H470" s="197">
        <v>31671.599999999999</v>
      </c>
      <c r="I470" s="197">
        <v>0</v>
      </c>
      <c r="J470" s="197">
        <v>84539.6</v>
      </c>
      <c r="K470" s="197">
        <v>84539.6</v>
      </c>
      <c r="L470" s="197">
        <v>32132</v>
      </c>
      <c r="M470" s="197">
        <v>0</v>
      </c>
      <c r="N470" s="197">
        <v>0</v>
      </c>
      <c r="O470" s="197">
        <v>0</v>
      </c>
      <c r="P470" s="197">
        <v>-44.099999999991269</v>
      </c>
      <c r="Q470" s="197">
        <v>-5.2137705018806546E-4</v>
      </c>
      <c r="R470" s="260" t="s">
        <v>239</v>
      </c>
      <c r="S470" s="260" t="s">
        <v>514</v>
      </c>
      <c r="T470" s="260" t="s">
        <v>239</v>
      </c>
      <c r="U470" s="260" t="s">
        <v>514</v>
      </c>
    </row>
    <row r="471" spans="1:21" ht="14.5" x14ac:dyDescent="0.35">
      <c r="A471" s="260" t="s">
        <v>565</v>
      </c>
      <c r="B471" s="190">
        <v>45757</v>
      </c>
      <c r="C471" s="197">
        <v>84539.6</v>
      </c>
      <c r="D471" s="197">
        <v>0</v>
      </c>
      <c r="E471" s="197">
        <v>0</v>
      </c>
      <c r="F471" s="197">
        <v>0</v>
      </c>
      <c r="G471" s="197">
        <v>52868</v>
      </c>
      <c r="H471" s="197">
        <v>31627</v>
      </c>
      <c r="I471" s="197">
        <v>0</v>
      </c>
      <c r="J471" s="197">
        <v>84495</v>
      </c>
      <c r="K471" s="197">
        <v>84495</v>
      </c>
      <c r="L471" s="197">
        <v>32132</v>
      </c>
      <c r="M471" s="197">
        <v>0</v>
      </c>
      <c r="N471" s="197">
        <v>0</v>
      </c>
      <c r="O471" s="197">
        <v>0</v>
      </c>
      <c r="P471" s="197">
        <v>-44.600000000005821</v>
      </c>
      <c r="Q471" s="197">
        <v>-5.2756341406878793E-4</v>
      </c>
      <c r="R471" s="260" t="s">
        <v>239</v>
      </c>
      <c r="S471" s="260" t="s">
        <v>514</v>
      </c>
      <c r="T471" s="260" t="s">
        <v>239</v>
      </c>
      <c r="U471" s="260" t="s">
        <v>514</v>
      </c>
    </row>
    <row r="472" spans="1:21" ht="14.5" x14ac:dyDescent="0.35">
      <c r="A472" s="260" t="s">
        <v>565</v>
      </c>
      <c r="B472" s="190">
        <v>45758</v>
      </c>
      <c r="C472" s="197">
        <v>84495</v>
      </c>
      <c r="D472" s="197">
        <v>0</v>
      </c>
      <c r="E472" s="197">
        <v>0</v>
      </c>
      <c r="F472" s="197">
        <v>0</v>
      </c>
      <c r="G472" s="197">
        <v>52868</v>
      </c>
      <c r="H472" s="197">
        <v>31582.400000000001</v>
      </c>
      <c r="I472" s="197">
        <v>0</v>
      </c>
      <c r="J472" s="197">
        <v>84450.4</v>
      </c>
      <c r="K472" s="197">
        <v>84450.4</v>
      </c>
      <c r="L472" s="197">
        <v>32132</v>
      </c>
      <c r="M472" s="197">
        <v>0</v>
      </c>
      <c r="N472" s="197">
        <v>0</v>
      </c>
      <c r="O472" s="197">
        <v>0</v>
      </c>
      <c r="P472" s="197">
        <v>-44.600000000005821</v>
      </c>
      <c r="Q472" s="197">
        <v>-5.2784188413523836E-4</v>
      </c>
      <c r="R472" s="260" t="s">
        <v>239</v>
      </c>
      <c r="S472" s="260" t="s">
        <v>514</v>
      </c>
      <c r="T472" s="260" t="s">
        <v>239</v>
      </c>
      <c r="U472" s="260" t="s">
        <v>514</v>
      </c>
    </row>
    <row r="473" spans="1:21" ht="14.5" x14ac:dyDescent="0.35">
      <c r="A473" s="260" t="s">
        <v>565</v>
      </c>
      <c r="B473" s="190">
        <v>45759</v>
      </c>
      <c r="C473" s="197">
        <v>84450.4</v>
      </c>
      <c r="D473" s="197">
        <v>0</v>
      </c>
      <c r="E473" s="197">
        <v>0</v>
      </c>
      <c r="F473" s="197">
        <v>0</v>
      </c>
      <c r="G473" s="197">
        <v>52868</v>
      </c>
      <c r="H473" s="197">
        <v>31582.400000000001</v>
      </c>
      <c r="I473" s="197">
        <v>0</v>
      </c>
      <c r="J473" s="197">
        <v>84450.4</v>
      </c>
      <c r="K473" s="197">
        <v>84450.4</v>
      </c>
      <c r="L473" s="197">
        <v>32132</v>
      </c>
      <c r="M473" s="197">
        <v>0</v>
      </c>
      <c r="N473" s="197">
        <v>0</v>
      </c>
      <c r="O473" s="197">
        <v>0</v>
      </c>
      <c r="P473" s="197">
        <v>0</v>
      </c>
      <c r="Q473" s="197">
        <v>0</v>
      </c>
      <c r="R473" s="260" t="s">
        <v>239</v>
      </c>
      <c r="S473" s="260" t="s">
        <v>514</v>
      </c>
      <c r="T473" s="260" t="s">
        <v>239</v>
      </c>
      <c r="U473" s="260" t="s">
        <v>514</v>
      </c>
    </row>
    <row r="474" spans="1:21" ht="14.5" x14ac:dyDescent="0.35">
      <c r="A474" s="260" t="s">
        <v>565</v>
      </c>
      <c r="B474" s="190">
        <v>45760</v>
      </c>
      <c r="C474" s="197">
        <v>84450.4</v>
      </c>
      <c r="D474" s="197">
        <v>0</v>
      </c>
      <c r="E474" s="197">
        <v>0</v>
      </c>
      <c r="F474" s="197">
        <v>0</v>
      </c>
      <c r="G474" s="197">
        <v>52868</v>
      </c>
      <c r="H474" s="197">
        <v>31582.400000000001</v>
      </c>
      <c r="I474" s="197">
        <v>0</v>
      </c>
      <c r="J474" s="197">
        <v>84450.4</v>
      </c>
      <c r="K474" s="197">
        <v>84450.4</v>
      </c>
      <c r="L474" s="197">
        <v>32132</v>
      </c>
      <c r="M474" s="197">
        <v>0</v>
      </c>
      <c r="N474" s="197">
        <v>0</v>
      </c>
      <c r="O474" s="197">
        <v>0</v>
      </c>
      <c r="P474" s="197">
        <v>0</v>
      </c>
      <c r="Q474" s="197">
        <v>0</v>
      </c>
      <c r="R474" s="260" t="s">
        <v>239</v>
      </c>
      <c r="S474" s="260" t="s">
        <v>514</v>
      </c>
      <c r="T474" s="260" t="s">
        <v>239</v>
      </c>
      <c r="U474" s="260" t="s">
        <v>514</v>
      </c>
    </row>
    <row r="475" spans="1:21" ht="14.5" x14ac:dyDescent="0.35">
      <c r="A475" s="260" t="s">
        <v>565</v>
      </c>
      <c r="B475" s="190">
        <v>45761</v>
      </c>
      <c r="C475" s="197">
        <v>84450.4</v>
      </c>
      <c r="D475" s="197">
        <v>0</v>
      </c>
      <c r="E475" s="197">
        <v>0</v>
      </c>
      <c r="F475" s="197">
        <v>0</v>
      </c>
      <c r="G475" s="197">
        <v>52868</v>
      </c>
      <c r="H475" s="197">
        <v>31447.300000000003</v>
      </c>
      <c r="I475" s="197">
        <v>0</v>
      </c>
      <c r="J475" s="197">
        <v>84315.3</v>
      </c>
      <c r="K475" s="197">
        <v>84315.3</v>
      </c>
      <c r="L475" s="197">
        <v>32132</v>
      </c>
      <c r="M475" s="197">
        <v>0</v>
      </c>
      <c r="N475" s="197">
        <v>0</v>
      </c>
      <c r="O475" s="197">
        <v>0</v>
      </c>
      <c r="P475" s="197">
        <v>-135.09999999999127</v>
      </c>
      <c r="Q475" s="197">
        <v>-1.5997555961841936E-3</v>
      </c>
      <c r="R475" s="260" t="s">
        <v>239</v>
      </c>
      <c r="S475" s="260" t="s">
        <v>514</v>
      </c>
      <c r="T475" s="260" t="s">
        <v>239</v>
      </c>
      <c r="U475" s="260" t="s">
        <v>514</v>
      </c>
    </row>
    <row r="476" spans="1:21" ht="14.5" x14ac:dyDescent="0.35">
      <c r="A476" s="260" t="s">
        <v>565</v>
      </c>
      <c r="B476" s="190">
        <v>45762</v>
      </c>
      <c r="C476" s="197">
        <v>84315.3</v>
      </c>
      <c r="D476" s="197">
        <v>0</v>
      </c>
      <c r="E476" s="197">
        <v>0</v>
      </c>
      <c r="F476" s="197">
        <v>0</v>
      </c>
      <c r="G476" s="197">
        <v>52868</v>
      </c>
      <c r="H476" s="197">
        <v>31402.7</v>
      </c>
      <c r="I476" s="197">
        <v>0</v>
      </c>
      <c r="J476" s="197">
        <v>84270.7</v>
      </c>
      <c r="K476" s="197">
        <v>84270.7</v>
      </c>
      <c r="L476" s="197">
        <v>32132</v>
      </c>
      <c r="M476" s="197">
        <v>0</v>
      </c>
      <c r="N476" s="197">
        <v>0</v>
      </c>
      <c r="O476" s="197">
        <v>0</v>
      </c>
      <c r="P476" s="197">
        <v>-44.600000000005821</v>
      </c>
      <c r="Q476" s="197">
        <v>-5.2896686603742804E-4</v>
      </c>
      <c r="R476" s="260" t="s">
        <v>239</v>
      </c>
      <c r="S476" s="260" t="s">
        <v>514</v>
      </c>
      <c r="T476" s="260" t="s">
        <v>239</v>
      </c>
      <c r="U476" s="260" t="s">
        <v>514</v>
      </c>
    </row>
    <row r="477" spans="1:21" ht="14.5" x14ac:dyDescent="0.35">
      <c r="A477" s="260" t="s">
        <v>565</v>
      </c>
      <c r="B477" s="190">
        <v>45763</v>
      </c>
      <c r="C477" s="197">
        <v>84270.7</v>
      </c>
      <c r="D477" s="197">
        <v>0</v>
      </c>
      <c r="E477" s="197">
        <v>0</v>
      </c>
      <c r="F477" s="197">
        <v>0</v>
      </c>
      <c r="G477" s="197">
        <v>52868</v>
      </c>
      <c r="H477" s="197">
        <v>31357.3</v>
      </c>
      <c r="I477" s="197">
        <v>0</v>
      </c>
      <c r="J477" s="197">
        <v>84225.3</v>
      </c>
      <c r="K477" s="197">
        <v>84225.3</v>
      </c>
      <c r="L477" s="197">
        <v>32132</v>
      </c>
      <c r="M477" s="197">
        <v>0</v>
      </c>
      <c r="N477" s="197">
        <v>0</v>
      </c>
      <c r="O477" s="197">
        <v>0</v>
      </c>
      <c r="P477" s="197">
        <v>-45.399999999994179</v>
      </c>
      <c r="Q477" s="197">
        <v>-5.387400365725048E-4</v>
      </c>
      <c r="R477" s="260" t="s">
        <v>239</v>
      </c>
      <c r="S477" s="260" t="s">
        <v>514</v>
      </c>
      <c r="T477" s="260" t="s">
        <v>239</v>
      </c>
      <c r="U477" s="260" t="s">
        <v>514</v>
      </c>
    </row>
    <row r="478" spans="1:21" ht="14.5" x14ac:dyDescent="0.35">
      <c r="A478" s="260" t="s">
        <v>565</v>
      </c>
      <c r="B478" s="190">
        <v>45764</v>
      </c>
      <c r="C478" s="197">
        <v>84225.3</v>
      </c>
      <c r="D478" s="197">
        <v>0</v>
      </c>
      <c r="E478" s="197">
        <v>0</v>
      </c>
      <c r="F478" s="197">
        <v>0</v>
      </c>
      <c r="G478" s="197">
        <v>52868</v>
      </c>
      <c r="H478" s="197">
        <v>31312.699999999997</v>
      </c>
      <c r="I478" s="197">
        <v>0</v>
      </c>
      <c r="J478" s="197">
        <v>84180.7</v>
      </c>
      <c r="K478" s="197">
        <v>84180.7</v>
      </c>
      <c r="L478" s="197">
        <v>32132</v>
      </c>
      <c r="M478" s="197">
        <v>0</v>
      </c>
      <c r="N478" s="197">
        <v>0</v>
      </c>
      <c r="O478" s="197">
        <v>0</v>
      </c>
      <c r="P478" s="197">
        <v>-44.600000000005821</v>
      </c>
      <c r="Q478" s="197">
        <v>-5.2953210021222663E-4</v>
      </c>
      <c r="R478" s="260" t="s">
        <v>239</v>
      </c>
      <c r="S478" s="260" t="s">
        <v>514</v>
      </c>
      <c r="T478" s="260" t="s">
        <v>239</v>
      </c>
      <c r="U478" s="260" t="s">
        <v>514</v>
      </c>
    </row>
    <row r="479" spans="1:21" ht="14.5" x14ac:dyDescent="0.35">
      <c r="A479" s="260" t="s">
        <v>565</v>
      </c>
      <c r="B479" s="190">
        <v>45765</v>
      </c>
      <c r="C479" s="197">
        <v>84180.7</v>
      </c>
      <c r="D479" s="197">
        <v>0</v>
      </c>
      <c r="E479" s="197">
        <v>0</v>
      </c>
      <c r="F479" s="197">
        <v>0</v>
      </c>
      <c r="G479" s="197">
        <v>52868</v>
      </c>
      <c r="H479" s="197">
        <v>31267.599999999999</v>
      </c>
      <c r="I479" s="197">
        <v>0</v>
      </c>
      <c r="J479" s="197">
        <v>84135.6</v>
      </c>
      <c r="K479" s="197">
        <v>84135.6</v>
      </c>
      <c r="L479" s="197">
        <v>32132</v>
      </c>
      <c r="M479" s="197">
        <v>0</v>
      </c>
      <c r="N479" s="197">
        <v>0</v>
      </c>
      <c r="O479" s="197">
        <v>0</v>
      </c>
      <c r="P479" s="197">
        <v>-45.099999999991269</v>
      </c>
      <c r="Q479" s="197">
        <v>-5.3575225675228655E-4</v>
      </c>
      <c r="R479" s="260" t="s">
        <v>239</v>
      </c>
      <c r="S479" s="260" t="s">
        <v>514</v>
      </c>
      <c r="T479" s="260" t="s">
        <v>239</v>
      </c>
      <c r="U479" s="260" t="s">
        <v>514</v>
      </c>
    </row>
    <row r="480" spans="1:21" ht="14.5" x14ac:dyDescent="0.35">
      <c r="A480" s="260" t="s">
        <v>565</v>
      </c>
      <c r="B480" s="190">
        <v>45766</v>
      </c>
      <c r="C480" s="197">
        <v>84135.6</v>
      </c>
      <c r="D480" s="197">
        <v>0</v>
      </c>
      <c r="E480" s="197">
        <v>0</v>
      </c>
      <c r="F480" s="197">
        <v>0</v>
      </c>
      <c r="G480" s="197">
        <v>52868</v>
      </c>
      <c r="H480" s="197">
        <v>31267.599999999999</v>
      </c>
      <c r="I480" s="197">
        <v>0</v>
      </c>
      <c r="J480" s="197">
        <v>84135.6</v>
      </c>
      <c r="K480" s="197">
        <v>84135.6</v>
      </c>
      <c r="L480" s="197">
        <v>32132</v>
      </c>
      <c r="M480" s="197">
        <v>0</v>
      </c>
      <c r="N480" s="197">
        <v>0</v>
      </c>
      <c r="O480" s="197">
        <v>0</v>
      </c>
      <c r="P480" s="197">
        <v>0</v>
      </c>
      <c r="Q480" s="197">
        <v>0</v>
      </c>
      <c r="R480" s="260" t="s">
        <v>239</v>
      </c>
      <c r="S480" s="260" t="s">
        <v>514</v>
      </c>
      <c r="T480" s="260" t="s">
        <v>239</v>
      </c>
      <c r="U480" s="260" t="s">
        <v>514</v>
      </c>
    </row>
    <row r="481" spans="1:21" ht="14.5" x14ac:dyDescent="0.35">
      <c r="A481" s="260" t="s">
        <v>565</v>
      </c>
      <c r="B481" s="190">
        <v>45767</v>
      </c>
      <c r="C481" s="197">
        <v>84135.6</v>
      </c>
      <c r="D481" s="197">
        <v>0</v>
      </c>
      <c r="E481" s="197">
        <v>0</v>
      </c>
      <c r="F481" s="197">
        <v>0</v>
      </c>
      <c r="G481" s="197">
        <v>52868</v>
      </c>
      <c r="H481" s="197">
        <v>31267.599999999999</v>
      </c>
      <c r="I481" s="197">
        <v>0</v>
      </c>
      <c r="J481" s="197">
        <v>84135.6</v>
      </c>
      <c r="K481" s="197">
        <v>84135.6</v>
      </c>
      <c r="L481" s="197">
        <v>32132</v>
      </c>
      <c r="M481" s="197">
        <v>0</v>
      </c>
      <c r="N481" s="197">
        <v>0</v>
      </c>
      <c r="O481" s="197">
        <v>0</v>
      </c>
      <c r="P481" s="197">
        <v>0</v>
      </c>
      <c r="Q481" s="197">
        <v>0</v>
      </c>
      <c r="R481" s="260" t="s">
        <v>239</v>
      </c>
      <c r="S481" s="260" t="s">
        <v>514</v>
      </c>
      <c r="T481" s="260" t="s">
        <v>239</v>
      </c>
      <c r="U481" s="260" t="s">
        <v>514</v>
      </c>
    </row>
    <row r="482" spans="1:21" ht="14.5" x14ac:dyDescent="0.35">
      <c r="A482" s="260" t="s">
        <v>565</v>
      </c>
      <c r="B482" s="190">
        <v>45768</v>
      </c>
      <c r="C482" s="197">
        <v>84135.6</v>
      </c>
      <c r="D482" s="197">
        <v>0</v>
      </c>
      <c r="E482" s="197">
        <v>0</v>
      </c>
      <c r="F482" s="197">
        <v>0</v>
      </c>
      <c r="G482" s="197">
        <v>52868</v>
      </c>
      <c r="H482" s="197">
        <v>31133</v>
      </c>
      <c r="I482" s="197">
        <v>0</v>
      </c>
      <c r="J482" s="197">
        <v>84001</v>
      </c>
      <c r="K482" s="197">
        <v>84001</v>
      </c>
      <c r="L482" s="197">
        <v>32132</v>
      </c>
      <c r="M482" s="197">
        <v>0</v>
      </c>
      <c r="N482" s="197">
        <v>0</v>
      </c>
      <c r="O482" s="197">
        <v>0</v>
      </c>
      <c r="P482" s="197">
        <v>-134.60000000000582</v>
      </c>
      <c r="Q482" s="197">
        <v>-1.5997984206448379E-3</v>
      </c>
      <c r="R482" s="260" t="s">
        <v>239</v>
      </c>
      <c r="S482" s="260" t="s">
        <v>514</v>
      </c>
      <c r="T482" s="260" t="s">
        <v>239</v>
      </c>
      <c r="U482" s="260" t="s">
        <v>514</v>
      </c>
    </row>
    <row r="483" spans="1:21" ht="14.5" x14ac:dyDescent="0.35">
      <c r="A483" s="260" t="s">
        <v>565</v>
      </c>
      <c r="B483" s="190">
        <v>45769</v>
      </c>
      <c r="C483" s="197">
        <v>84001</v>
      </c>
      <c r="D483" s="197">
        <v>0</v>
      </c>
      <c r="E483" s="197">
        <v>0</v>
      </c>
      <c r="F483" s="197">
        <v>0</v>
      </c>
      <c r="G483" s="197">
        <v>52868</v>
      </c>
      <c r="H483" s="197">
        <v>31088.400000000001</v>
      </c>
      <c r="I483" s="197">
        <v>0</v>
      </c>
      <c r="J483" s="197">
        <v>83956.4</v>
      </c>
      <c r="K483" s="197">
        <v>83956.4</v>
      </c>
      <c r="L483" s="197">
        <v>32132</v>
      </c>
      <c r="M483" s="197">
        <v>0</v>
      </c>
      <c r="N483" s="197">
        <v>0</v>
      </c>
      <c r="O483" s="197">
        <v>0</v>
      </c>
      <c r="P483" s="197">
        <v>-44.600000000005821</v>
      </c>
      <c r="Q483" s="197">
        <v>-5.3094606016601542E-4</v>
      </c>
      <c r="R483" s="260" t="s">
        <v>239</v>
      </c>
      <c r="S483" s="260" t="s">
        <v>514</v>
      </c>
      <c r="T483" s="260" t="s">
        <v>239</v>
      </c>
      <c r="U483" s="260" t="s">
        <v>514</v>
      </c>
    </row>
    <row r="484" spans="1:21" ht="14.5" x14ac:dyDescent="0.35">
      <c r="A484" s="260" t="s">
        <v>565</v>
      </c>
      <c r="B484" s="190">
        <v>45770</v>
      </c>
      <c r="C484" s="197">
        <v>83956.4</v>
      </c>
      <c r="D484" s="197">
        <v>0</v>
      </c>
      <c r="E484" s="197">
        <v>0</v>
      </c>
      <c r="F484" s="197">
        <v>0</v>
      </c>
      <c r="G484" s="197">
        <v>52868</v>
      </c>
      <c r="H484" s="197">
        <v>31044.3</v>
      </c>
      <c r="I484" s="197">
        <v>0</v>
      </c>
      <c r="J484" s="197">
        <v>83912.3</v>
      </c>
      <c r="K484" s="197">
        <v>83912.3</v>
      </c>
      <c r="L484" s="197">
        <v>32132</v>
      </c>
      <c r="M484" s="197">
        <v>0</v>
      </c>
      <c r="N484" s="197">
        <v>0</v>
      </c>
      <c r="O484" s="197">
        <v>0</v>
      </c>
      <c r="P484" s="197">
        <v>-44.099999999991269</v>
      </c>
      <c r="Q484" s="197">
        <v>-5.2527264151380759E-4</v>
      </c>
      <c r="R484" s="260" t="s">
        <v>239</v>
      </c>
      <c r="S484" s="260" t="s">
        <v>514</v>
      </c>
      <c r="T484" s="260" t="s">
        <v>239</v>
      </c>
      <c r="U484" s="260" t="s">
        <v>514</v>
      </c>
    </row>
    <row r="485" spans="1:21" ht="14.5" x14ac:dyDescent="0.35">
      <c r="A485" s="260" t="s">
        <v>565</v>
      </c>
      <c r="B485" s="190">
        <v>45771</v>
      </c>
      <c r="C485" s="197">
        <v>83912.3</v>
      </c>
      <c r="D485" s="197">
        <v>0</v>
      </c>
      <c r="E485" s="197">
        <v>0</v>
      </c>
      <c r="F485" s="197">
        <v>0</v>
      </c>
      <c r="G485" s="197">
        <v>52868</v>
      </c>
      <c r="H485" s="197">
        <v>30998.9</v>
      </c>
      <c r="I485" s="197">
        <v>0</v>
      </c>
      <c r="J485" s="197">
        <v>83866.899999999994</v>
      </c>
      <c r="K485" s="197">
        <v>83866.899999999994</v>
      </c>
      <c r="L485" s="197">
        <v>32132</v>
      </c>
      <c r="M485" s="197">
        <v>0</v>
      </c>
      <c r="N485" s="197">
        <v>0</v>
      </c>
      <c r="O485" s="197">
        <v>0</v>
      </c>
      <c r="P485" s="197">
        <v>-45.400000000008731</v>
      </c>
      <c r="Q485" s="197">
        <v>-5.4104106311003708E-4</v>
      </c>
      <c r="R485" s="260" t="s">
        <v>239</v>
      </c>
      <c r="S485" s="260" t="s">
        <v>514</v>
      </c>
      <c r="T485" s="260" t="s">
        <v>239</v>
      </c>
      <c r="U485" s="260" t="s">
        <v>514</v>
      </c>
    </row>
    <row r="486" spans="1:21" ht="14.5" x14ac:dyDescent="0.35">
      <c r="A486" s="260" t="s">
        <v>565</v>
      </c>
      <c r="B486" s="190">
        <v>45772</v>
      </c>
      <c r="C486" s="197">
        <v>83866.899999999994</v>
      </c>
      <c r="D486" s="197">
        <v>0</v>
      </c>
      <c r="E486" s="197">
        <v>0</v>
      </c>
      <c r="F486" s="197">
        <v>0</v>
      </c>
      <c r="G486" s="197">
        <v>52868</v>
      </c>
      <c r="H486" s="197">
        <v>30954.3</v>
      </c>
      <c r="I486" s="197">
        <v>0</v>
      </c>
      <c r="J486" s="197">
        <v>83822.3</v>
      </c>
      <c r="K486" s="197">
        <v>83822.3</v>
      </c>
      <c r="L486" s="197">
        <v>32132</v>
      </c>
      <c r="M486" s="197">
        <v>0</v>
      </c>
      <c r="N486" s="197">
        <v>0</v>
      </c>
      <c r="O486" s="197">
        <v>0</v>
      </c>
      <c r="P486" s="197">
        <v>-44.599999999991269</v>
      </c>
      <c r="Q486" s="197">
        <v>-5.3179502282774127E-4</v>
      </c>
      <c r="R486" s="260" t="s">
        <v>239</v>
      </c>
      <c r="S486" s="260" t="s">
        <v>514</v>
      </c>
      <c r="T486" s="260" t="s">
        <v>239</v>
      </c>
      <c r="U486" s="260" t="s">
        <v>514</v>
      </c>
    </row>
    <row r="487" spans="1:21" ht="14.5" x14ac:dyDescent="0.35">
      <c r="A487" s="260" t="s">
        <v>565</v>
      </c>
      <c r="B487" s="190">
        <v>45773</v>
      </c>
      <c r="C487" s="197">
        <v>83822.3</v>
      </c>
      <c r="D487" s="197">
        <v>0</v>
      </c>
      <c r="E487" s="197">
        <v>0</v>
      </c>
      <c r="F487" s="197">
        <v>0</v>
      </c>
      <c r="G487" s="197">
        <v>52868</v>
      </c>
      <c r="H487" s="197">
        <v>30954.3</v>
      </c>
      <c r="I487" s="197">
        <v>0</v>
      </c>
      <c r="J487" s="197">
        <v>83822.3</v>
      </c>
      <c r="K487" s="197">
        <v>83822.3</v>
      </c>
      <c r="L487" s="197">
        <v>32132</v>
      </c>
      <c r="M487" s="197">
        <v>0</v>
      </c>
      <c r="N487" s="197">
        <v>0</v>
      </c>
      <c r="O487" s="197">
        <v>0</v>
      </c>
      <c r="P487" s="197">
        <v>0</v>
      </c>
      <c r="Q487" s="197">
        <v>0</v>
      </c>
      <c r="R487" s="260" t="s">
        <v>239</v>
      </c>
      <c r="S487" s="260" t="s">
        <v>514</v>
      </c>
      <c r="T487" s="260" t="s">
        <v>239</v>
      </c>
      <c r="U487" s="260" t="s">
        <v>514</v>
      </c>
    </row>
    <row r="488" spans="1:21" ht="14.5" x14ac:dyDescent="0.35">
      <c r="A488" s="260" t="s">
        <v>565</v>
      </c>
      <c r="B488" s="190">
        <v>45774</v>
      </c>
      <c r="C488" s="197">
        <v>83822.3</v>
      </c>
      <c r="D488" s="197">
        <v>0</v>
      </c>
      <c r="E488" s="197">
        <v>0</v>
      </c>
      <c r="F488" s="197">
        <v>0</v>
      </c>
      <c r="G488" s="197">
        <v>52868</v>
      </c>
      <c r="H488" s="197">
        <v>30954.3</v>
      </c>
      <c r="I488" s="197">
        <v>0</v>
      </c>
      <c r="J488" s="197">
        <v>83822.3</v>
      </c>
      <c r="K488" s="197">
        <v>83822.3</v>
      </c>
      <c r="L488" s="197">
        <v>32132</v>
      </c>
      <c r="M488" s="197">
        <v>0</v>
      </c>
      <c r="N488" s="197">
        <v>0</v>
      </c>
      <c r="O488" s="197">
        <v>0</v>
      </c>
      <c r="P488" s="197">
        <v>0</v>
      </c>
      <c r="Q488" s="197">
        <v>0</v>
      </c>
      <c r="R488" s="260" t="s">
        <v>239</v>
      </c>
      <c r="S488" s="260" t="s">
        <v>514</v>
      </c>
      <c r="T488" s="260" t="s">
        <v>239</v>
      </c>
      <c r="U488" s="260" t="s">
        <v>514</v>
      </c>
    </row>
    <row r="489" spans="1:21" ht="14.5" x14ac:dyDescent="0.35">
      <c r="A489" s="260" t="s">
        <v>565</v>
      </c>
      <c r="B489" s="190">
        <v>45775</v>
      </c>
      <c r="C489" s="197">
        <v>83822.3</v>
      </c>
      <c r="D489" s="197">
        <v>0</v>
      </c>
      <c r="E489" s="197">
        <v>0</v>
      </c>
      <c r="F489" s="197">
        <v>0</v>
      </c>
      <c r="G489" s="197">
        <v>52868</v>
      </c>
      <c r="H489" s="197">
        <v>30819.200000000001</v>
      </c>
      <c r="I489" s="197">
        <v>0</v>
      </c>
      <c r="J489" s="197">
        <v>83687.199999999997</v>
      </c>
      <c r="K489" s="197">
        <v>83687.199999999997</v>
      </c>
      <c r="L489" s="197">
        <v>32132</v>
      </c>
      <c r="M489" s="197">
        <v>0</v>
      </c>
      <c r="N489" s="197">
        <v>0</v>
      </c>
      <c r="O489" s="197">
        <v>0</v>
      </c>
      <c r="P489" s="197">
        <v>-135.10000000000582</v>
      </c>
      <c r="Q489" s="197">
        <v>-1.6117429371420577E-3</v>
      </c>
      <c r="R489" s="260" t="s">
        <v>239</v>
      </c>
      <c r="S489" s="260" t="s">
        <v>514</v>
      </c>
      <c r="T489" s="260" t="s">
        <v>239</v>
      </c>
      <c r="U489" s="260" t="s">
        <v>514</v>
      </c>
    </row>
    <row r="490" spans="1:21" ht="14.5" x14ac:dyDescent="0.35">
      <c r="A490" s="260" t="s">
        <v>565</v>
      </c>
      <c r="B490" s="190">
        <v>45776</v>
      </c>
      <c r="C490" s="197">
        <v>83687.199999999997</v>
      </c>
      <c r="D490" s="197">
        <v>0</v>
      </c>
      <c r="E490" s="197">
        <v>0</v>
      </c>
      <c r="F490" s="197">
        <v>0</v>
      </c>
      <c r="G490" s="197">
        <v>52868</v>
      </c>
      <c r="H490" s="197">
        <v>30774.6</v>
      </c>
      <c r="I490" s="197">
        <v>0</v>
      </c>
      <c r="J490" s="197">
        <v>83642.600000000006</v>
      </c>
      <c r="K490" s="197">
        <v>83642.600000000006</v>
      </c>
      <c r="L490" s="197">
        <v>32132</v>
      </c>
      <c r="M490" s="197">
        <v>0</v>
      </c>
      <c r="N490" s="197">
        <v>0</v>
      </c>
      <c r="O490" s="197">
        <v>0</v>
      </c>
      <c r="P490" s="197">
        <v>-44.599999999991269</v>
      </c>
      <c r="Q490" s="197">
        <v>-5.329369365923986E-4</v>
      </c>
      <c r="R490" s="260" t="s">
        <v>239</v>
      </c>
      <c r="S490" s="260" t="s">
        <v>514</v>
      </c>
      <c r="T490" s="260" t="s">
        <v>239</v>
      </c>
      <c r="U490" s="260" t="s">
        <v>514</v>
      </c>
    </row>
    <row r="491" spans="1:21" ht="14.5" x14ac:dyDescent="0.35">
      <c r="A491" s="260" t="s">
        <v>565</v>
      </c>
      <c r="B491" s="190">
        <v>45777</v>
      </c>
      <c r="C491" s="197">
        <v>83642.600000000006</v>
      </c>
      <c r="D491" s="197">
        <v>0</v>
      </c>
      <c r="E491" s="197">
        <v>0</v>
      </c>
      <c r="F491" s="197">
        <v>0</v>
      </c>
      <c r="G491" s="197">
        <v>52868</v>
      </c>
      <c r="H491" s="197">
        <v>30730</v>
      </c>
      <c r="I491" s="197">
        <v>0</v>
      </c>
      <c r="J491" s="197">
        <v>83598</v>
      </c>
      <c r="K491" s="197">
        <v>83598</v>
      </c>
      <c r="L491" s="197">
        <v>32132</v>
      </c>
      <c r="M491" s="197">
        <v>0</v>
      </c>
      <c r="N491" s="197">
        <v>0</v>
      </c>
      <c r="O491" s="197">
        <v>0</v>
      </c>
      <c r="P491" s="197">
        <v>-44.600000000005821</v>
      </c>
      <c r="Q491" s="197">
        <v>-5.3322110981735005E-4</v>
      </c>
      <c r="R491" s="260" t="s">
        <v>239</v>
      </c>
      <c r="S491" s="260" t="s">
        <v>514</v>
      </c>
      <c r="T491" s="260" t="s">
        <v>239</v>
      </c>
      <c r="U491" s="260" t="s">
        <v>514</v>
      </c>
    </row>
    <row r="492" spans="1:21" ht="14.5" x14ac:dyDescent="0.35">
      <c r="A492" s="260" t="s">
        <v>565</v>
      </c>
      <c r="B492" s="190">
        <v>45778</v>
      </c>
      <c r="C492" s="197">
        <v>83598</v>
      </c>
      <c r="D492" s="197">
        <v>0</v>
      </c>
      <c r="E492" s="197">
        <v>0</v>
      </c>
      <c r="F492" s="197">
        <v>0</v>
      </c>
      <c r="G492" s="197">
        <v>52868</v>
      </c>
      <c r="H492" s="197">
        <v>30730</v>
      </c>
      <c r="I492" s="197">
        <v>0</v>
      </c>
      <c r="J492" s="197">
        <v>83598</v>
      </c>
      <c r="K492" s="197">
        <v>83598</v>
      </c>
      <c r="L492" s="197">
        <v>32132</v>
      </c>
      <c r="M492" s="197">
        <v>0</v>
      </c>
      <c r="N492" s="197">
        <v>0</v>
      </c>
      <c r="O492" s="197">
        <v>0</v>
      </c>
      <c r="P492" s="197">
        <v>0</v>
      </c>
      <c r="Q492" s="197">
        <v>0</v>
      </c>
      <c r="R492" s="260" t="s">
        <v>239</v>
      </c>
      <c r="S492" s="260" t="s">
        <v>514</v>
      </c>
      <c r="T492" s="260" t="s">
        <v>239</v>
      </c>
      <c r="U492" s="260" t="s">
        <v>514</v>
      </c>
    </row>
    <row r="493" spans="1:21" ht="14.5" x14ac:dyDescent="0.35">
      <c r="A493" s="260" t="s">
        <v>565</v>
      </c>
      <c r="B493" s="190">
        <v>45779</v>
      </c>
      <c r="C493" s="197">
        <v>83598</v>
      </c>
      <c r="D493" s="197">
        <v>0</v>
      </c>
      <c r="E493" s="197">
        <v>0</v>
      </c>
      <c r="F493" s="197">
        <v>0</v>
      </c>
      <c r="G493" s="197">
        <v>52868</v>
      </c>
      <c r="H493" s="197">
        <v>30754.400000000001</v>
      </c>
      <c r="I493" s="197">
        <v>0</v>
      </c>
      <c r="J493" s="197">
        <v>83622.399999999994</v>
      </c>
      <c r="K493" s="197">
        <v>83622.399999999994</v>
      </c>
      <c r="L493" s="197">
        <v>32132</v>
      </c>
      <c r="M493" s="197">
        <v>0</v>
      </c>
      <c r="N493" s="197">
        <v>0</v>
      </c>
      <c r="O493" s="197">
        <v>0</v>
      </c>
      <c r="P493" s="197">
        <v>24.399999999994179</v>
      </c>
      <c r="Q493" s="197">
        <v>2.9187301131594623E-4</v>
      </c>
      <c r="R493" s="260" t="s">
        <v>239</v>
      </c>
      <c r="S493" s="260" t="s">
        <v>514</v>
      </c>
      <c r="T493" s="260" t="s">
        <v>239</v>
      </c>
      <c r="U493" s="260" t="s">
        <v>514</v>
      </c>
    </row>
    <row r="494" spans="1:21" ht="14.5" x14ac:dyDescent="0.35">
      <c r="A494" s="260" t="s">
        <v>565</v>
      </c>
      <c r="B494" s="190">
        <v>45780</v>
      </c>
      <c r="C494" s="197">
        <v>83622.399999999994</v>
      </c>
      <c r="D494" s="197">
        <v>0</v>
      </c>
      <c r="E494" s="197">
        <v>0</v>
      </c>
      <c r="F494" s="197">
        <v>0</v>
      </c>
      <c r="G494" s="197">
        <v>52868</v>
      </c>
      <c r="H494" s="197">
        <v>30754.400000000001</v>
      </c>
      <c r="I494" s="197">
        <v>0</v>
      </c>
      <c r="J494" s="197">
        <v>83622.399999999994</v>
      </c>
      <c r="K494" s="197">
        <v>83622.399999999994</v>
      </c>
      <c r="L494" s="197">
        <v>32132</v>
      </c>
      <c r="M494" s="197">
        <v>0</v>
      </c>
      <c r="N494" s="197">
        <v>0</v>
      </c>
      <c r="O494" s="197">
        <v>0</v>
      </c>
      <c r="P494" s="197">
        <v>0</v>
      </c>
      <c r="Q494" s="197">
        <v>0</v>
      </c>
      <c r="R494" s="260" t="s">
        <v>239</v>
      </c>
      <c r="S494" s="260" t="s">
        <v>514</v>
      </c>
      <c r="T494" s="260" t="s">
        <v>239</v>
      </c>
      <c r="U494" s="260" t="s">
        <v>514</v>
      </c>
    </row>
    <row r="495" spans="1:21" ht="14.5" x14ac:dyDescent="0.35">
      <c r="A495" s="260" t="s">
        <v>565</v>
      </c>
      <c r="B495" s="190">
        <v>45781</v>
      </c>
      <c r="C495" s="197">
        <v>83622.399999999994</v>
      </c>
      <c r="D495" s="197">
        <v>0</v>
      </c>
      <c r="E495" s="197">
        <v>0</v>
      </c>
      <c r="F495" s="197">
        <v>0</v>
      </c>
      <c r="G495" s="197">
        <v>52868</v>
      </c>
      <c r="H495" s="197">
        <v>30754.400000000001</v>
      </c>
      <c r="I495" s="197">
        <v>0</v>
      </c>
      <c r="J495" s="197">
        <v>83622.399999999994</v>
      </c>
      <c r="K495" s="197">
        <v>83622.399999999994</v>
      </c>
      <c r="L495" s="197">
        <v>32132</v>
      </c>
      <c r="M495" s="197">
        <v>0</v>
      </c>
      <c r="N495" s="197">
        <v>0</v>
      </c>
      <c r="O495" s="197">
        <v>0</v>
      </c>
      <c r="P495" s="197">
        <v>0</v>
      </c>
      <c r="Q495" s="197">
        <v>0</v>
      </c>
      <c r="R495" s="260" t="s">
        <v>239</v>
      </c>
      <c r="S495" s="260" t="s">
        <v>514</v>
      </c>
      <c r="T495" s="260" t="s">
        <v>239</v>
      </c>
      <c r="U495" s="260" t="s">
        <v>514</v>
      </c>
    </row>
    <row r="496" spans="1:21" ht="14.5" x14ac:dyDescent="0.35">
      <c r="A496" s="260" t="s">
        <v>565</v>
      </c>
      <c r="B496" s="190">
        <v>45782</v>
      </c>
      <c r="C496" s="197">
        <v>83622.399999999994</v>
      </c>
      <c r="D496" s="197">
        <v>0</v>
      </c>
      <c r="E496" s="197">
        <v>0</v>
      </c>
      <c r="F496" s="197">
        <v>0</v>
      </c>
      <c r="G496" s="197">
        <v>52868</v>
      </c>
      <c r="H496" s="197">
        <v>30828.400000000001</v>
      </c>
      <c r="I496" s="197">
        <v>0</v>
      </c>
      <c r="J496" s="197">
        <v>83696.399999999994</v>
      </c>
      <c r="K496" s="197">
        <v>83696.399999999994</v>
      </c>
      <c r="L496" s="197">
        <v>32132</v>
      </c>
      <c r="M496" s="197">
        <v>0</v>
      </c>
      <c r="N496" s="197">
        <v>0</v>
      </c>
      <c r="O496" s="197">
        <v>0</v>
      </c>
      <c r="P496" s="197">
        <v>74</v>
      </c>
      <c r="Q496" s="197">
        <v>8.8493035358938599E-4</v>
      </c>
      <c r="R496" s="260" t="s">
        <v>239</v>
      </c>
      <c r="S496" s="260" t="s">
        <v>514</v>
      </c>
      <c r="T496" s="260" t="s">
        <v>239</v>
      </c>
      <c r="U496" s="260" t="s">
        <v>514</v>
      </c>
    </row>
    <row r="497" spans="1:21" ht="14.5" x14ac:dyDescent="0.35">
      <c r="A497" s="260" t="s">
        <v>565</v>
      </c>
      <c r="B497" s="190">
        <v>45783</v>
      </c>
      <c r="C497" s="197">
        <v>83696.399999999994</v>
      </c>
      <c r="D497" s="197">
        <v>0</v>
      </c>
      <c r="E497" s="197">
        <v>0</v>
      </c>
      <c r="F497" s="197">
        <v>0</v>
      </c>
      <c r="G497" s="197">
        <v>52868</v>
      </c>
      <c r="H497" s="197">
        <v>30853.599999999999</v>
      </c>
      <c r="I497" s="197">
        <v>0</v>
      </c>
      <c r="J497" s="197">
        <v>83721.600000000006</v>
      </c>
      <c r="K497" s="197">
        <v>83721.600000000006</v>
      </c>
      <c r="L497" s="197">
        <v>32132</v>
      </c>
      <c r="M497" s="197">
        <v>0</v>
      </c>
      <c r="N497" s="197">
        <v>0</v>
      </c>
      <c r="O497" s="197">
        <v>0</v>
      </c>
      <c r="P497" s="197">
        <v>25.200000000011642</v>
      </c>
      <c r="Q497" s="197">
        <v>3.0108821884833326E-4</v>
      </c>
      <c r="R497" s="260" t="s">
        <v>239</v>
      </c>
      <c r="S497" s="260" t="s">
        <v>514</v>
      </c>
      <c r="T497" s="260" t="s">
        <v>239</v>
      </c>
      <c r="U497" s="260" t="s">
        <v>514</v>
      </c>
    </row>
    <row r="498" spans="1:21" ht="14.5" x14ac:dyDescent="0.35">
      <c r="A498" s="260" t="s">
        <v>565</v>
      </c>
      <c r="B498" s="190">
        <v>45784</v>
      </c>
      <c r="C498" s="197">
        <v>83721.600000000006</v>
      </c>
      <c r="D498" s="197">
        <v>0</v>
      </c>
      <c r="E498" s="197">
        <v>0</v>
      </c>
      <c r="F498" s="197">
        <v>0</v>
      </c>
      <c r="G498" s="197">
        <v>52868</v>
      </c>
      <c r="H498" s="197">
        <v>30878</v>
      </c>
      <c r="I498" s="197">
        <v>0</v>
      </c>
      <c r="J498" s="197">
        <v>83746</v>
      </c>
      <c r="K498" s="197">
        <v>83746</v>
      </c>
      <c r="L498" s="197">
        <v>32132</v>
      </c>
      <c r="M498" s="197">
        <v>0</v>
      </c>
      <c r="N498" s="197">
        <v>0</v>
      </c>
      <c r="O498" s="197">
        <v>0</v>
      </c>
      <c r="P498" s="197">
        <v>24.399999999994179</v>
      </c>
      <c r="Q498" s="197">
        <v>2.9144211290743627E-4</v>
      </c>
      <c r="R498" s="260" t="s">
        <v>239</v>
      </c>
      <c r="S498" s="260" t="s">
        <v>514</v>
      </c>
      <c r="T498" s="260" t="s">
        <v>239</v>
      </c>
      <c r="U498" s="260" t="s">
        <v>514</v>
      </c>
    </row>
    <row r="499" spans="1:21" ht="14.5" x14ac:dyDescent="0.35">
      <c r="A499" s="260" t="s">
        <v>565</v>
      </c>
      <c r="B499" s="190">
        <v>45785</v>
      </c>
      <c r="C499" s="197">
        <v>83746</v>
      </c>
      <c r="D499" s="197">
        <v>0</v>
      </c>
      <c r="E499" s="197">
        <v>0</v>
      </c>
      <c r="F499" s="197">
        <v>0</v>
      </c>
      <c r="G499" s="197">
        <v>52868</v>
      </c>
      <c r="H499" s="197">
        <v>30902.400000000001</v>
      </c>
      <c r="I499" s="197">
        <v>0</v>
      </c>
      <c r="J499" s="197">
        <v>83770.399999999994</v>
      </c>
      <c r="K499" s="197">
        <v>83770.399999999994</v>
      </c>
      <c r="L499" s="197">
        <v>32132</v>
      </c>
      <c r="M499" s="197">
        <v>0</v>
      </c>
      <c r="N499" s="197">
        <v>0</v>
      </c>
      <c r="O499" s="197">
        <v>0</v>
      </c>
      <c r="P499" s="197">
        <v>24.399999999994179</v>
      </c>
      <c r="Q499" s="197">
        <v>2.9135719914963332E-4</v>
      </c>
      <c r="R499" s="260" t="s">
        <v>239</v>
      </c>
      <c r="S499" s="260" t="s">
        <v>514</v>
      </c>
      <c r="T499" s="260" t="s">
        <v>239</v>
      </c>
      <c r="U499" s="260" t="s">
        <v>514</v>
      </c>
    </row>
    <row r="500" spans="1:21" ht="14.5" x14ac:dyDescent="0.35">
      <c r="A500" s="260" t="s">
        <v>565</v>
      </c>
      <c r="B500" s="190">
        <v>45786</v>
      </c>
      <c r="C500" s="197">
        <v>83770.399999999994</v>
      </c>
      <c r="D500" s="197">
        <v>0</v>
      </c>
      <c r="E500" s="197">
        <v>0</v>
      </c>
      <c r="F500" s="197">
        <v>0</v>
      </c>
      <c r="G500" s="197">
        <v>52868</v>
      </c>
      <c r="H500" s="197">
        <v>30927.599999999999</v>
      </c>
      <c r="I500" s="197">
        <v>0</v>
      </c>
      <c r="J500" s="197">
        <v>83795.600000000006</v>
      </c>
      <c r="K500" s="197">
        <v>83795.600000000006</v>
      </c>
      <c r="L500" s="197">
        <v>32132</v>
      </c>
      <c r="M500" s="197">
        <v>0</v>
      </c>
      <c r="N500" s="197">
        <v>0</v>
      </c>
      <c r="O500" s="197">
        <v>0</v>
      </c>
      <c r="P500" s="197">
        <v>25.200000000011642</v>
      </c>
      <c r="Q500" s="197">
        <v>3.0082224747651765E-4</v>
      </c>
      <c r="R500" s="260" t="s">
        <v>239</v>
      </c>
      <c r="S500" s="260" t="s">
        <v>514</v>
      </c>
      <c r="T500" s="260" t="s">
        <v>239</v>
      </c>
      <c r="U500" s="260" t="s">
        <v>514</v>
      </c>
    </row>
    <row r="501" spans="1:21" ht="14.5" x14ac:dyDescent="0.35">
      <c r="A501" s="260" t="s">
        <v>565</v>
      </c>
      <c r="B501" s="190">
        <v>45787</v>
      </c>
      <c r="C501" s="197">
        <v>83795.600000000006</v>
      </c>
      <c r="D501" s="197">
        <v>0</v>
      </c>
      <c r="E501" s="197">
        <v>0</v>
      </c>
      <c r="F501" s="197">
        <v>0</v>
      </c>
      <c r="G501" s="197">
        <v>52868</v>
      </c>
      <c r="H501" s="197">
        <v>30927.599999999999</v>
      </c>
      <c r="I501" s="197">
        <v>0</v>
      </c>
      <c r="J501" s="197">
        <v>83795.600000000006</v>
      </c>
      <c r="K501" s="197">
        <v>83795.600000000006</v>
      </c>
      <c r="L501" s="197">
        <v>32132</v>
      </c>
      <c r="M501" s="197">
        <v>0</v>
      </c>
      <c r="N501" s="197">
        <v>0</v>
      </c>
      <c r="O501" s="197">
        <v>0</v>
      </c>
      <c r="P501" s="197">
        <v>0</v>
      </c>
      <c r="Q501" s="197">
        <v>0</v>
      </c>
      <c r="R501" s="260" t="s">
        <v>239</v>
      </c>
      <c r="S501" s="260" t="s">
        <v>514</v>
      </c>
      <c r="T501" s="260" t="s">
        <v>239</v>
      </c>
      <c r="U501" s="260" t="s">
        <v>514</v>
      </c>
    </row>
    <row r="502" spans="1:21" ht="14.5" x14ac:dyDescent="0.35">
      <c r="A502" s="260" t="s">
        <v>565</v>
      </c>
      <c r="B502" s="190">
        <v>45788</v>
      </c>
      <c r="C502" s="197">
        <v>83795.600000000006</v>
      </c>
      <c r="D502" s="197">
        <v>0</v>
      </c>
      <c r="E502" s="197">
        <v>0</v>
      </c>
      <c r="F502" s="197">
        <v>0</v>
      </c>
      <c r="G502" s="197">
        <v>52868</v>
      </c>
      <c r="H502" s="197">
        <v>30927.599999999999</v>
      </c>
      <c r="I502" s="197">
        <v>0</v>
      </c>
      <c r="J502" s="197">
        <v>83795.600000000006</v>
      </c>
      <c r="K502" s="197">
        <v>83795.600000000006</v>
      </c>
      <c r="L502" s="197">
        <v>32132</v>
      </c>
      <c r="M502" s="197">
        <v>0</v>
      </c>
      <c r="N502" s="197">
        <v>0</v>
      </c>
      <c r="O502" s="197">
        <v>0</v>
      </c>
      <c r="P502" s="197">
        <v>0</v>
      </c>
      <c r="Q502" s="197">
        <v>0</v>
      </c>
      <c r="R502" s="260" t="s">
        <v>239</v>
      </c>
      <c r="S502" s="260" t="s">
        <v>514</v>
      </c>
      <c r="T502" s="260" t="s">
        <v>239</v>
      </c>
      <c r="U502" s="260" t="s">
        <v>514</v>
      </c>
    </row>
    <row r="503" spans="1:21" ht="14.5" x14ac:dyDescent="0.35">
      <c r="A503" s="260" t="s">
        <v>565</v>
      </c>
      <c r="B503" s="190">
        <v>45789</v>
      </c>
      <c r="C503" s="197">
        <v>83795.600000000006</v>
      </c>
      <c r="D503" s="197">
        <v>0</v>
      </c>
      <c r="E503" s="197">
        <v>0</v>
      </c>
      <c r="F503" s="197">
        <v>0</v>
      </c>
      <c r="G503" s="197">
        <v>52868</v>
      </c>
      <c r="H503" s="197">
        <v>31001.599999999999</v>
      </c>
      <c r="I503" s="197">
        <v>0</v>
      </c>
      <c r="J503" s="197">
        <v>83869.600000000006</v>
      </c>
      <c r="K503" s="197">
        <v>83869.600000000006</v>
      </c>
      <c r="L503" s="197">
        <v>32132</v>
      </c>
      <c r="M503" s="197">
        <v>0</v>
      </c>
      <c r="N503" s="197">
        <v>0</v>
      </c>
      <c r="O503" s="197">
        <v>0</v>
      </c>
      <c r="P503" s="197">
        <v>74</v>
      </c>
      <c r="Q503" s="197">
        <v>8.831012606866917E-4</v>
      </c>
      <c r="R503" s="260" t="s">
        <v>239</v>
      </c>
      <c r="S503" s="260" t="s">
        <v>514</v>
      </c>
      <c r="T503" s="260" t="s">
        <v>239</v>
      </c>
      <c r="U503" s="260" t="s">
        <v>514</v>
      </c>
    </row>
    <row r="504" spans="1:21" ht="14.5" x14ac:dyDescent="0.35">
      <c r="A504" s="260" t="s">
        <v>565</v>
      </c>
      <c r="B504" s="190">
        <v>45790</v>
      </c>
      <c r="C504" s="197">
        <v>83869.600000000006</v>
      </c>
      <c r="D504" s="197">
        <v>0</v>
      </c>
      <c r="E504" s="197">
        <v>0</v>
      </c>
      <c r="F504" s="197">
        <v>0</v>
      </c>
      <c r="G504" s="197">
        <v>52868</v>
      </c>
      <c r="H504" s="197">
        <v>31026</v>
      </c>
      <c r="I504" s="197">
        <v>0</v>
      </c>
      <c r="J504" s="197">
        <v>83894</v>
      </c>
      <c r="K504" s="197">
        <v>83894</v>
      </c>
      <c r="L504" s="197">
        <v>32132</v>
      </c>
      <c r="M504" s="197">
        <v>0</v>
      </c>
      <c r="N504" s="197">
        <v>0</v>
      </c>
      <c r="O504" s="197">
        <v>0</v>
      </c>
      <c r="P504" s="197">
        <v>24.399999999994179</v>
      </c>
      <c r="Q504" s="197">
        <v>2.9092782128437022E-4</v>
      </c>
      <c r="R504" s="260" t="s">
        <v>239</v>
      </c>
      <c r="S504" s="260" t="s">
        <v>514</v>
      </c>
      <c r="T504" s="260" t="s">
        <v>239</v>
      </c>
      <c r="U504" s="260" t="s">
        <v>514</v>
      </c>
    </row>
    <row r="505" spans="1:21" ht="14.5" x14ac:dyDescent="0.35">
      <c r="A505" s="260" t="s">
        <v>565</v>
      </c>
      <c r="B505" s="190">
        <v>45791</v>
      </c>
      <c r="C505" s="197">
        <v>83894</v>
      </c>
      <c r="D505" s="197">
        <v>0</v>
      </c>
      <c r="E505" s="197">
        <v>0</v>
      </c>
      <c r="F505" s="197">
        <v>0</v>
      </c>
      <c r="G505" s="197">
        <v>52868</v>
      </c>
      <c r="H505" s="197">
        <v>31050.400000000001</v>
      </c>
      <c r="I505" s="197">
        <v>0</v>
      </c>
      <c r="J505" s="197">
        <v>83918.399999999994</v>
      </c>
      <c r="K505" s="197">
        <v>83918.399999999994</v>
      </c>
      <c r="L505" s="197">
        <v>32132</v>
      </c>
      <c r="M505" s="197">
        <v>0</v>
      </c>
      <c r="N505" s="197">
        <v>0</v>
      </c>
      <c r="O505" s="197">
        <v>0</v>
      </c>
      <c r="P505" s="197">
        <v>24.399999999994179</v>
      </c>
      <c r="Q505" s="197">
        <v>2.9084320690397902E-4</v>
      </c>
      <c r="R505" s="260" t="s">
        <v>239</v>
      </c>
      <c r="S505" s="260" t="s">
        <v>514</v>
      </c>
      <c r="T505" s="260" t="s">
        <v>239</v>
      </c>
      <c r="U505" s="260" t="s">
        <v>514</v>
      </c>
    </row>
    <row r="506" spans="1:21" ht="14.5" x14ac:dyDescent="0.35">
      <c r="A506" s="260" t="s">
        <v>565</v>
      </c>
      <c r="B506" s="190">
        <v>45792</v>
      </c>
      <c r="C506" s="197">
        <v>83918.399999999994</v>
      </c>
      <c r="D506" s="197">
        <v>0</v>
      </c>
      <c r="E506" s="197">
        <v>0</v>
      </c>
      <c r="F506" s="197">
        <v>0</v>
      </c>
      <c r="G506" s="197">
        <v>52868</v>
      </c>
      <c r="H506" s="197">
        <v>31075.599999999999</v>
      </c>
      <c r="I506" s="197">
        <v>0</v>
      </c>
      <c r="J506" s="197">
        <v>83943.6</v>
      </c>
      <c r="K506" s="197">
        <v>83943.6</v>
      </c>
      <c r="L506" s="197">
        <v>32132</v>
      </c>
      <c r="M506" s="197">
        <v>0</v>
      </c>
      <c r="N506" s="197">
        <v>0</v>
      </c>
      <c r="O506" s="197">
        <v>0</v>
      </c>
      <c r="P506" s="197">
        <v>25.200000000011642</v>
      </c>
      <c r="Q506" s="197">
        <v>3.0029171194878579E-4</v>
      </c>
      <c r="R506" s="260" t="s">
        <v>239</v>
      </c>
      <c r="S506" s="260" t="s">
        <v>514</v>
      </c>
      <c r="T506" s="260" t="s">
        <v>239</v>
      </c>
      <c r="U506" s="260" t="s">
        <v>514</v>
      </c>
    </row>
    <row r="507" spans="1:21" ht="14.5" x14ac:dyDescent="0.35">
      <c r="A507" s="260" t="s">
        <v>565</v>
      </c>
      <c r="B507" s="190">
        <v>45793</v>
      </c>
      <c r="C507" s="197">
        <v>83943.6</v>
      </c>
      <c r="D507" s="197">
        <v>0</v>
      </c>
      <c r="E507" s="197">
        <v>0</v>
      </c>
      <c r="F507" s="197">
        <v>0</v>
      </c>
      <c r="G507" s="197">
        <v>52868</v>
      </c>
      <c r="H507" s="197">
        <v>31100</v>
      </c>
      <c r="I507" s="197">
        <v>0</v>
      </c>
      <c r="J507" s="197">
        <v>83968</v>
      </c>
      <c r="K507" s="197">
        <v>83968</v>
      </c>
      <c r="L507" s="197">
        <v>32132</v>
      </c>
      <c r="M507" s="197">
        <v>0</v>
      </c>
      <c r="N507" s="197">
        <v>0</v>
      </c>
      <c r="O507" s="197">
        <v>0</v>
      </c>
      <c r="P507" s="197">
        <v>24.399999999994179</v>
      </c>
      <c r="Q507" s="197">
        <v>2.9067135552907075E-4</v>
      </c>
      <c r="R507" s="260" t="s">
        <v>239</v>
      </c>
      <c r="S507" s="260" t="s">
        <v>514</v>
      </c>
      <c r="T507" s="260" t="s">
        <v>239</v>
      </c>
      <c r="U507" s="260" t="s">
        <v>514</v>
      </c>
    </row>
    <row r="508" spans="1:21" ht="14.5" x14ac:dyDescent="0.35">
      <c r="A508" s="260" t="s">
        <v>565</v>
      </c>
      <c r="B508" s="190">
        <v>45794</v>
      </c>
      <c r="C508" s="197">
        <v>83968</v>
      </c>
      <c r="D508" s="197">
        <v>0</v>
      </c>
      <c r="E508" s="197">
        <v>0</v>
      </c>
      <c r="F508" s="197">
        <v>0</v>
      </c>
      <c r="G508" s="197">
        <v>52868</v>
      </c>
      <c r="H508" s="197">
        <v>31100</v>
      </c>
      <c r="I508" s="197">
        <v>0</v>
      </c>
      <c r="J508" s="197">
        <v>83968</v>
      </c>
      <c r="K508" s="197">
        <v>83968</v>
      </c>
      <c r="L508" s="197">
        <v>32132</v>
      </c>
      <c r="M508" s="197">
        <v>0</v>
      </c>
      <c r="N508" s="197">
        <v>0</v>
      </c>
      <c r="O508" s="197">
        <v>0</v>
      </c>
      <c r="P508" s="197">
        <v>0</v>
      </c>
      <c r="Q508" s="197">
        <v>0</v>
      </c>
      <c r="R508" s="260" t="s">
        <v>239</v>
      </c>
      <c r="S508" s="260" t="s">
        <v>514</v>
      </c>
      <c r="T508" s="260" t="s">
        <v>239</v>
      </c>
      <c r="U508" s="260" t="s">
        <v>514</v>
      </c>
    </row>
    <row r="509" spans="1:21" ht="14.5" x14ac:dyDescent="0.35">
      <c r="A509" s="260" t="s">
        <v>565</v>
      </c>
      <c r="B509" s="190">
        <v>45795</v>
      </c>
      <c r="C509" s="197">
        <v>83968</v>
      </c>
      <c r="D509" s="197">
        <v>0</v>
      </c>
      <c r="E509" s="197">
        <v>0</v>
      </c>
      <c r="F509" s="197">
        <v>0</v>
      </c>
      <c r="G509" s="197">
        <v>52868</v>
      </c>
      <c r="H509" s="197">
        <v>31100</v>
      </c>
      <c r="I509" s="197">
        <v>0</v>
      </c>
      <c r="J509" s="197">
        <v>83968</v>
      </c>
      <c r="K509" s="197">
        <v>83968</v>
      </c>
      <c r="L509" s="197">
        <v>32132</v>
      </c>
      <c r="M509" s="197">
        <v>0</v>
      </c>
      <c r="N509" s="197">
        <v>0</v>
      </c>
      <c r="O509" s="197">
        <v>0</v>
      </c>
      <c r="P509" s="197">
        <v>0</v>
      </c>
      <c r="Q509" s="197">
        <v>0</v>
      </c>
      <c r="R509" s="260" t="s">
        <v>239</v>
      </c>
      <c r="S509" s="260" t="s">
        <v>514</v>
      </c>
      <c r="T509" s="260" t="s">
        <v>239</v>
      </c>
      <c r="U509" s="260" t="s">
        <v>514</v>
      </c>
    </row>
    <row r="510" spans="1:21" ht="14.5" x14ac:dyDescent="0.35">
      <c r="A510" s="260" t="s">
        <v>565</v>
      </c>
      <c r="B510" s="190">
        <v>45796</v>
      </c>
      <c r="C510" s="197">
        <v>83968</v>
      </c>
      <c r="D510" s="197">
        <v>0</v>
      </c>
      <c r="E510" s="197">
        <v>0</v>
      </c>
      <c r="F510" s="197">
        <v>0</v>
      </c>
      <c r="G510" s="197">
        <v>52868</v>
      </c>
      <c r="H510" s="197">
        <v>31174</v>
      </c>
      <c r="I510" s="197">
        <v>0</v>
      </c>
      <c r="J510" s="197">
        <v>84042</v>
      </c>
      <c r="K510" s="197">
        <v>84042</v>
      </c>
      <c r="L510" s="197">
        <v>32132</v>
      </c>
      <c r="M510" s="197">
        <v>0</v>
      </c>
      <c r="N510" s="197">
        <v>0</v>
      </c>
      <c r="O510" s="197">
        <v>0</v>
      </c>
      <c r="P510" s="197">
        <v>74</v>
      </c>
      <c r="Q510" s="197">
        <v>8.8128810975618421E-4</v>
      </c>
      <c r="R510" s="260" t="s">
        <v>239</v>
      </c>
      <c r="S510" s="260" t="s">
        <v>514</v>
      </c>
      <c r="T510" s="260" t="s">
        <v>239</v>
      </c>
      <c r="U510" s="260" t="s">
        <v>514</v>
      </c>
    </row>
    <row r="511" spans="1:21" ht="14.5" x14ac:dyDescent="0.35">
      <c r="A511" s="260" t="s">
        <v>565</v>
      </c>
      <c r="B511" s="190">
        <v>45797</v>
      </c>
      <c r="C511" s="197">
        <v>84042</v>
      </c>
      <c r="D511" s="197">
        <v>0</v>
      </c>
      <c r="E511" s="197">
        <v>0</v>
      </c>
      <c r="F511" s="197">
        <v>0</v>
      </c>
      <c r="G511" s="197">
        <v>52868</v>
      </c>
      <c r="H511" s="197">
        <v>31198.400000000001</v>
      </c>
      <c r="I511" s="197">
        <v>0</v>
      </c>
      <c r="J511" s="197">
        <v>84066.4</v>
      </c>
      <c r="K511" s="197">
        <v>84066.4</v>
      </c>
      <c r="L511" s="197">
        <v>32132</v>
      </c>
      <c r="M511" s="197">
        <v>0</v>
      </c>
      <c r="N511" s="197">
        <v>0</v>
      </c>
      <c r="O511" s="197">
        <v>0</v>
      </c>
      <c r="P511" s="197">
        <v>24.399999999994179</v>
      </c>
      <c r="Q511" s="197">
        <v>2.9033102496356378E-4</v>
      </c>
      <c r="R511" s="260" t="s">
        <v>239</v>
      </c>
      <c r="S511" s="260" t="s">
        <v>514</v>
      </c>
      <c r="T511" s="260" t="s">
        <v>239</v>
      </c>
      <c r="U511" s="260" t="s">
        <v>514</v>
      </c>
    </row>
    <row r="512" spans="1:21" ht="14.5" x14ac:dyDescent="0.35">
      <c r="A512" s="260" t="s">
        <v>565</v>
      </c>
      <c r="B512" s="190">
        <v>45798</v>
      </c>
      <c r="C512" s="197">
        <v>84066.4</v>
      </c>
      <c r="D512" s="197">
        <v>0</v>
      </c>
      <c r="E512" s="197">
        <v>0</v>
      </c>
      <c r="F512" s="197">
        <v>0</v>
      </c>
      <c r="G512" s="197">
        <v>52868</v>
      </c>
      <c r="H512" s="197">
        <v>31223.599999999999</v>
      </c>
      <c r="I512" s="197">
        <v>0</v>
      </c>
      <c r="J512" s="197">
        <v>84091.6</v>
      </c>
      <c r="K512" s="197">
        <v>84091.6</v>
      </c>
      <c r="L512" s="197">
        <v>32132</v>
      </c>
      <c r="M512" s="197">
        <v>0</v>
      </c>
      <c r="N512" s="197">
        <v>0</v>
      </c>
      <c r="O512" s="197">
        <v>0</v>
      </c>
      <c r="P512" s="197">
        <v>25.200000000011642</v>
      </c>
      <c r="Q512" s="197">
        <v>2.9976304445078483E-4</v>
      </c>
      <c r="R512" s="260" t="s">
        <v>239</v>
      </c>
      <c r="S512" s="260" t="s">
        <v>514</v>
      </c>
      <c r="T512" s="260" t="s">
        <v>239</v>
      </c>
      <c r="U512" s="260" t="s">
        <v>514</v>
      </c>
    </row>
    <row r="513" spans="1:21" ht="14.5" x14ac:dyDescent="0.35">
      <c r="A513" s="260" t="s">
        <v>565</v>
      </c>
      <c r="B513" s="190">
        <v>45799</v>
      </c>
      <c r="C513" s="197">
        <v>84091.6</v>
      </c>
      <c r="D513" s="197">
        <v>0</v>
      </c>
      <c r="E513" s="197">
        <v>0</v>
      </c>
      <c r="F513" s="197">
        <v>0</v>
      </c>
      <c r="G513" s="197">
        <v>52868</v>
      </c>
      <c r="H513" s="197">
        <v>31248</v>
      </c>
      <c r="I513" s="197">
        <v>0</v>
      </c>
      <c r="J513" s="197">
        <v>84116</v>
      </c>
      <c r="K513" s="197">
        <v>84116</v>
      </c>
      <c r="L513" s="197">
        <v>32132</v>
      </c>
      <c r="M513" s="197">
        <v>0</v>
      </c>
      <c r="N513" s="197">
        <v>0</v>
      </c>
      <c r="O513" s="197">
        <v>0</v>
      </c>
      <c r="P513" s="197">
        <v>24.399999999994179</v>
      </c>
      <c r="Q513" s="197">
        <v>2.9015977814661476E-4</v>
      </c>
      <c r="R513" s="260" t="s">
        <v>239</v>
      </c>
      <c r="S513" s="260" t="s">
        <v>514</v>
      </c>
      <c r="T513" s="260" t="s">
        <v>239</v>
      </c>
      <c r="U513" s="260" t="s">
        <v>514</v>
      </c>
    </row>
    <row r="514" spans="1:21" ht="14.5" x14ac:dyDescent="0.35">
      <c r="A514" s="260" t="s">
        <v>565</v>
      </c>
      <c r="B514" s="190">
        <v>45800</v>
      </c>
      <c r="C514" s="197">
        <v>84116</v>
      </c>
      <c r="D514" s="197">
        <v>0</v>
      </c>
      <c r="E514" s="197">
        <v>0</v>
      </c>
      <c r="F514" s="197">
        <v>0</v>
      </c>
      <c r="G514" s="197">
        <v>52868</v>
      </c>
      <c r="H514" s="197">
        <v>31272.400000000001</v>
      </c>
      <c r="I514" s="197">
        <v>0</v>
      </c>
      <c r="J514" s="197">
        <v>84140.4</v>
      </c>
      <c r="K514" s="197">
        <v>84140.4</v>
      </c>
      <c r="L514" s="197">
        <v>32132</v>
      </c>
      <c r="M514" s="197">
        <v>0</v>
      </c>
      <c r="N514" s="197">
        <v>0</v>
      </c>
      <c r="O514" s="197">
        <v>0</v>
      </c>
      <c r="P514" s="197">
        <v>24.399999999994179</v>
      </c>
      <c r="Q514" s="197">
        <v>2.9007560987204251E-4</v>
      </c>
      <c r="R514" s="260" t="s">
        <v>239</v>
      </c>
      <c r="S514" s="260" t="s">
        <v>514</v>
      </c>
      <c r="T514" s="260" t="s">
        <v>239</v>
      </c>
      <c r="U514" s="260" t="s">
        <v>514</v>
      </c>
    </row>
    <row r="515" spans="1:21" ht="14.5" x14ac:dyDescent="0.35">
      <c r="A515" s="260" t="s">
        <v>565</v>
      </c>
      <c r="B515" s="190">
        <v>45801</v>
      </c>
      <c r="C515" s="197">
        <v>84140.4</v>
      </c>
      <c r="D515" s="197">
        <v>0</v>
      </c>
      <c r="E515" s="197">
        <v>0</v>
      </c>
      <c r="F515" s="197">
        <v>0</v>
      </c>
      <c r="G515" s="197">
        <v>52868</v>
      </c>
      <c r="H515" s="197">
        <v>31272.400000000001</v>
      </c>
      <c r="I515" s="197">
        <v>0</v>
      </c>
      <c r="J515" s="197">
        <v>84140.4</v>
      </c>
      <c r="K515" s="197">
        <v>84140.4</v>
      </c>
      <c r="L515" s="197">
        <v>32132</v>
      </c>
      <c r="M515" s="197">
        <v>0</v>
      </c>
      <c r="N515" s="197">
        <v>0</v>
      </c>
      <c r="O515" s="197">
        <v>0</v>
      </c>
      <c r="P515" s="197">
        <v>0</v>
      </c>
      <c r="Q515" s="197">
        <v>0</v>
      </c>
      <c r="R515" s="260" t="s">
        <v>239</v>
      </c>
      <c r="S515" s="260" t="s">
        <v>514</v>
      </c>
      <c r="T515" s="260" t="s">
        <v>239</v>
      </c>
      <c r="U515" s="260" t="s">
        <v>514</v>
      </c>
    </row>
    <row r="516" spans="1:21" ht="14.5" x14ac:dyDescent="0.35">
      <c r="A516" s="260" t="s">
        <v>565</v>
      </c>
      <c r="B516" s="190">
        <v>45802</v>
      </c>
      <c r="C516" s="197">
        <v>84140.4</v>
      </c>
      <c r="D516" s="197">
        <v>0</v>
      </c>
      <c r="E516" s="197">
        <v>0</v>
      </c>
      <c r="F516" s="197">
        <v>0</v>
      </c>
      <c r="G516" s="197">
        <v>52868</v>
      </c>
      <c r="H516" s="197">
        <v>31272.400000000001</v>
      </c>
      <c r="I516" s="197">
        <v>0</v>
      </c>
      <c r="J516" s="197">
        <v>84140.4</v>
      </c>
      <c r="K516" s="197">
        <v>84140.4</v>
      </c>
      <c r="L516" s="197">
        <v>32132</v>
      </c>
      <c r="M516" s="197">
        <v>0</v>
      </c>
      <c r="N516" s="197">
        <v>0</v>
      </c>
      <c r="O516" s="197">
        <v>0</v>
      </c>
      <c r="P516" s="197">
        <v>0</v>
      </c>
      <c r="Q516" s="197">
        <v>0</v>
      </c>
      <c r="R516" s="260" t="s">
        <v>239</v>
      </c>
      <c r="S516" s="260" t="s">
        <v>514</v>
      </c>
      <c r="T516" s="260" t="s">
        <v>239</v>
      </c>
      <c r="U516" s="260" t="s">
        <v>514</v>
      </c>
    </row>
    <row r="517" spans="1:21" ht="14.5" x14ac:dyDescent="0.35">
      <c r="A517" s="260" t="s">
        <v>565</v>
      </c>
      <c r="B517" s="190">
        <v>45803</v>
      </c>
      <c r="C517" s="197">
        <v>84140.4</v>
      </c>
      <c r="D517" s="197">
        <v>0</v>
      </c>
      <c r="E517" s="197">
        <v>0</v>
      </c>
      <c r="F517" s="197">
        <v>0</v>
      </c>
      <c r="G517" s="197">
        <v>52868</v>
      </c>
      <c r="H517" s="197">
        <v>31346.400000000001</v>
      </c>
      <c r="I517" s="197">
        <v>0</v>
      </c>
      <c r="J517" s="197">
        <v>84214.399999999994</v>
      </c>
      <c r="K517" s="197">
        <v>84214.399999999994</v>
      </c>
      <c r="L517" s="197">
        <v>32132</v>
      </c>
      <c r="M517" s="197">
        <v>0</v>
      </c>
      <c r="N517" s="197">
        <v>0</v>
      </c>
      <c r="O517" s="197">
        <v>0</v>
      </c>
      <c r="P517" s="197">
        <v>74</v>
      </c>
      <c r="Q517" s="197">
        <v>8.794823889592962E-4</v>
      </c>
      <c r="R517" s="260" t="s">
        <v>239</v>
      </c>
      <c r="S517" s="260" t="s">
        <v>514</v>
      </c>
      <c r="T517" s="260" t="s">
        <v>239</v>
      </c>
      <c r="U517" s="260" t="s">
        <v>514</v>
      </c>
    </row>
    <row r="518" spans="1:21" ht="14.5" x14ac:dyDescent="0.35">
      <c r="A518" s="260" t="s">
        <v>565</v>
      </c>
      <c r="B518" s="190">
        <v>45804</v>
      </c>
      <c r="C518" s="197">
        <v>84214.399999999994</v>
      </c>
      <c r="D518" s="197">
        <v>0</v>
      </c>
      <c r="E518" s="197">
        <v>0</v>
      </c>
      <c r="F518" s="197">
        <v>0</v>
      </c>
      <c r="G518" s="197">
        <v>52868</v>
      </c>
      <c r="H518" s="197">
        <v>31371.599999999999</v>
      </c>
      <c r="I518" s="197">
        <v>0</v>
      </c>
      <c r="J518" s="197">
        <v>84239.6</v>
      </c>
      <c r="K518" s="197">
        <v>84239.6</v>
      </c>
      <c r="L518" s="197">
        <v>32132</v>
      </c>
      <c r="M518" s="197">
        <v>0</v>
      </c>
      <c r="N518" s="197">
        <v>0</v>
      </c>
      <c r="O518" s="197">
        <v>0</v>
      </c>
      <c r="P518" s="197">
        <v>25.200000000011642</v>
      </c>
      <c r="Q518" s="197">
        <v>2.9923623513328224E-4</v>
      </c>
      <c r="R518" s="260" t="s">
        <v>239</v>
      </c>
      <c r="S518" s="260" t="s">
        <v>514</v>
      </c>
      <c r="T518" s="260" t="s">
        <v>239</v>
      </c>
      <c r="U518" s="260" t="s">
        <v>514</v>
      </c>
    </row>
    <row r="519" spans="1:21" ht="14.5" x14ac:dyDescent="0.35">
      <c r="A519" s="260" t="s">
        <v>565</v>
      </c>
      <c r="B519" s="190">
        <v>45805</v>
      </c>
      <c r="C519" s="197">
        <v>84239.6</v>
      </c>
      <c r="D519" s="197">
        <v>0</v>
      </c>
      <c r="E519" s="197">
        <v>0</v>
      </c>
      <c r="F519" s="197">
        <v>0</v>
      </c>
      <c r="G519" s="197">
        <v>52868</v>
      </c>
      <c r="H519" s="197">
        <v>31396</v>
      </c>
      <c r="I519" s="197">
        <v>0</v>
      </c>
      <c r="J519" s="197">
        <v>84264</v>
      </c>
      <c r="K519" s="197">
        <v>84264</v>
      </c>
      <c r="L519" s="197">
        <v>32132</v>
      </c>
      <c r="M519" s="197">
        <v>0</v>
      </c>
      <c r="N519" s="197">
        <v>0</v>
      </c>
      <c r="O519" s="197">
        <v>0</v>
      </c>
      <c r="P519" s="197">
        <v>24.399999999994179</v>
      </c>
      <c r="Q519" s="197">
        <v>2.8964999833802629E-4</v>
      </c>
      <c r="R519" s="260" t="s">
        <v>239</v>
      </c>
      <c r="S519" s="260" t="s">
        <v>514</v>
      </c>
      <c r="T519" s="260" t="s">
        <v>239</v>
      </c>
      <c r="U519" s="260" t="s">
        <v>514</v>
      </c>
    </row>
    <row r="520" spans="1:21" ht="14.5" x14ac:dyDescent="0.35">
      <c r="A520" s="260" t="s">
        <v>565</v>
      </c>
      <c r="B520" s="190">
        <v>45806</v>
      </c>
      <c r="C520" s="197">
        <v>84264</v>
      </c>
      <c r="D520" s="197">
        <v>0</v>
      </c>
      <c r="E520" s="197">
        <v>0</v>
      </c>
      <c r="F520" s="197">
        <v>0</v>
      </c>
      <c r="G520" s="197">
        <v>52868</v>
      </c>
      <c r="H520" s="197">
        <v>31420.400000000001</v>
      </c>
      <c r="I520" s="197">
        <v>0</v>
      </c>
      <c r="J520" s="197">
        <v>84288.4</v>
      </c>
      <c r="K520" s="197">
        <v>84288.4</v>
      </c>
      <c r="L520" s="197">
        <v>32132</v>
      </c>
      <c r="M520" s="197">
        <v>0</v>
      </c>
      <c r="N520" s="197">
        <v>0</v>
      </c>
      <c r="O520" s="197">
        <v>0</v>
      </c>
      <c r="P520" s="197">
        <v>24.399999999994179</v>
      </c>
      <c r="Q520" s="197">
        <v>2.895661255102322E-4</v>
      </c>
      <c r="R520" s="260" t="s">
        <v>239</v>
      </c>
      <c r="S520" s="260" t="s">
        <v>514</v>
      </c>
      <c r="T520" s="260" t="s">
        <v>239</v>
      </c>
      <c r="U520" s="260" t="s">
        <v>514</v>
      </c>
    </row>
    <row r="521" spans="1:21" ht="14.5" x14ac:dyDescent="0.35">
      <c r="A521" s="260" t="s">
        <v>565</v>
      </c>
      <c r="B521" s="190">
        <v>45807</v>
      </c>
      <c r="C521" s="197">
        <v>84288.4</v>
      </c>
      <c r="D521" s="197">
        <v>0</v>
      </c>
      <c r="E521" s="197">
        <v>0</v>
      </c>
      <c r="F521" s="197">
        <v>0</v>
      </c>
      <c r="G521" s="197">
        <v>52868</v>
      </c>
      <c r="H521" s="197">
        <v>31445.599999999999</v>
      </c>
      <c r="I521" s="197">
        <v>0</v>
      </c>
      <c r="J521" s="197">
        <v>84313.600000000006</v>
      </c>
      <c r="K521" s="197">
        <v>84313.600000000006</v>
      </c>
      <c r="L521" s="197">
        <v>32132</v>
      </c>
      <c r="M521" s="197">
        <v>0</v>
      </c>
      <c r="N521" s="197">
        <v>0</v>
      </c>
      <c r="O521" s="197">
        <v>0</v>
      </c>
      <c r="P521" s="197">
        <v>25.200000000011642</v>
      </c>
      <c r="Q521" s="197">
        <v>2.9897352423358114E-4</v>
      </c>
      <c r="R521" s="260" t="s">
        <v>239</v>
      </c>
      <c r="S521" s="260" t="s">
        <v>514</v>
      </c>
      <c r="T521" s="260" t="s">
        <v>239</v>
      </c>
      <c r="U521" s="260" t="s">
        <v>514</v>
      </c>
    </row>
    <row r="522" spans="1:21" ht="14.5" x14ac:dyDescent="0.35">
      <c r="A522" s="260" t="s">
        <v>565</v>
      </c>
      <c r="B522" s="190">
        <v>45808</v>
      </c>
      <c r="C522" s="197">
        <v>84313.600000000006</v>
      </c>
      <c r="D522" s="197">
        <v>0</v>
      </c>
      <c r="E522" s="197">
        <v>0</v>
      </c>
      <c r="F522" s="197">
        <v>0</v>
      </c>
      <c r="G522" s="197">
        <v>52868</v>
      </c>
      <c r="H522" s="197">
        <v>31445.599999999999</v>
      </c>
      <c r="I522" s="197">
        <v>0</v>
      </c>
      <c r="J522" s="197">
        <v>84313.600000000006</v>
      </c>
      <c r="K522" s="197">
        <v>84313.600000000006</v>
      </c>
      <c r="L522" s="197">
        <v>32132</v>
      </c>
      <c r="M522" s="197">
        <v>0</v>
      </c>
      <c r="N522" s="197">
        <v>0</v>
      </c>
      <c r="O522" s="197">
        <v>0</v>
      </c>
      <c r="P522" s="197">
        <v>0</v>
      </c>
      <c r="Q522" s="197">
        <v>0</v>
      </c>
      <c r="R522" s="260" t="s">
        <v>239</v>
      </c>
      <c r="S522" s="260" t="s">
        <v>514</v>
      </c>
      <c r="T522" s="260" t="s">
        <v>239</v>
      </c>
      <c r="U522" s="260" t="s">
        <v>514</v>
      </c>
    </row>
    <row r="523" spans="1:21" ht="14.5" x14ac:dyDescent="0.35">
      <c r="A523" s="260" t="s">
        <v>565</v>
      </c>
      <c r="B523" s="190">
        <v>45809</v>
      </c>
      <c r="C523" s="197">
        <v>84313.600000000006</v>
      </c>
      <c r="D523" s="197">
        <v>0</v>
      </c>
      <c r="E523" s="197">
        <v>0</v>
      </c>
      <c r="F523" s="197">
        <v>0</v>
      </c>
      <c r="G523" s="197">
        <v>52868</v>
      </c>
      <c r="H523" s="197">
        <v>31445.599999999999</v>
      </c>
      <c r="I523" s="197">
        <v>0</v>
      </c>
      <c r="J523" s="197">
        <v>84313.600000000006</v>
      </c>
      <c r="K523" s="197">
        <v>84313.600000000006</v>
      </c>
      <c r="L523" s="197">
        <v>32132</v>
      </c>
      <c r="M523" s="197">
        <v>0</v>
      </c>
      <c r="N523" s="197">
        <v>0</v>
      </c>
      <c r="O523" s="197">
        <v>0</v>
      </c>
      <c r="P523" s="197">
        <v>0</v>
      </c>
      <c r="Q523" s="197">
        <v>0</v>
      </c>
      <c r="R523" s="260" t="s">
        <v>239</v>
      </c>
      <c r="S523" s="260" t="s">
        <v>514</v>
      </c>
      <c r="T523" s="260" t="s">
        <v>239</v>
      </c>
      <c r="U523" s="260" t="s">
        <v>514</v>
      </c>
    </row>
    <row r="524" spans="1:21" ht="14.5" x14ac:dyDescent="0.35">
      <c r="A524" s="260" t="s">
        <v>565</v>
      </c>
      <c r="B524" s="190">
        <v>45810</v>
      </c>
      <c r="C524" s="197">
        <v>84313.600000000006</v>
      </c>
      <c r="D524" s="197">
        <v>0</v>
      </c>
      <c r="E524" s="197">
        <v>0</v>
      </c>
      <c r="F524" s="197">
        <v>0</v>
      </c>
      <c r="G524" s="197">
        <v>52868</v>
      </c>
      <c r="H524" s="197">
        <v>31457.8</v>
      </c>
      <c r="I524" s="197">
        <v>0</v>
      </c>
      <c r="J524" s="197">
        <v>84325.8</v>
      </c>
      <c r="K524" s="197">
        <v>84325.8</v>
      </c>
      <c r="L524" s="197">
        <v>32132</v>
      </c>
      <c r="M524" s="197">
        <v>0</v>
      </c>
      <c r="N524" s="197">
        <v>0</v>
      </c>
      <c r="O524" s="197">
        <v>0</v>
      </c>
      <c r="P524" s="197">
        <v>12.19999999999709</v>
      </c>
      <c r="Q524" s="197">
        <v>1.4469788978277442E-4</v>
      </c>
      <c r="R524" s="260" t="s">
        <v>239</v>
      </c>
      <c r="S524" s="260" t="s">
        <v>514</v>
      </c>
      <c r="T524" s="260" t="s">
        <v>239</v>
      </c>
      <c r="U524" s="260" t="s">
        <v>514</v>
      </c>
    </row>
    <row r="525" spans="1:21" ht="14.5" x14ac:dyDescent="0.35">
      <c r="A525" s="260" t="s">
        <v>565</v>
      </c>
      <c r="B525" s="190">
        <v>45811</v>
      </c>
      <c r="C525" s="197">
        <v>84325.8</v>
      </c>
      <c r="D525" s="197">
        <v>0</v>
      </c>
      <c r="E525" s="197">
        <v>0</v>
      </c>
      <c r="F525" s="197">
        <v>0</v>
      </c>
      <c r="G525" s="197">
        <v>52868</v>
      </c>
      <c r="H525" s="197">
        <v>31446.400000000001</v>
      </c>
      <c r="I525" s="197">
        <v>0</v>
      </c>
      <c r="J525" s="197">
        <v>84314.4</v>
      </c>
      <c r="K525" s="197">
        <v>84314.4</v>
      </c>
      <c r="L525" s="197">
        <v>32132</v>
      </c>
      <c r="M525" s="197">
        <v>0</v>
      </c>
      <c r="N525" s="197">
        <v>0</v>
      </c>
      <c r="O525" s="197">
        <v>0</v>
      </c>
      <c r="P525" s="197">
        <v>-11.400000000008731</v>
      </c>
      <c r="Q525" s="197">
        <v>-1.3518994186845212E-4</v>
      </c>
      <c r="R525" s="260" t="s">
        <v>239</v>
      </c>
      <c r="S525" s="260" t="s">
        <v>514</v>
      </c>
      <c r="T525" s="260" t="s">
        <v>239</v>
      </c>
      <c r="U525" s="260" t="s">
        <v>514</v>
      </c>
    </row>
    <row r="526" spans="1:21" ht="14.5" x14ac:dyDescent="0.35">
      <c r="A526" s="260" t="s">
        <v>565</v>
      </c>
      <c r="B526" s="190">
        <v>45812</v>
      </c>
      <c r="C526" s="197">
        <v>84314.4</v>
      </c>
      <c r="D526" s="197">
        <v>0</v>
      </c>
      <c r="E526" s="197">
        <v>0</v>
      </c>
      <c r="F526" s="197">
        <v>0</v>
      </c>
      <c r="G526" s="197">
        <v>52868</v>
      </c>
      <c r="H526" s="197">
        <v>31434.7</v>
      </c>
      <c r="I526" s="197">
        <v>0</v>
      </c>
      <c r="J526" s="197">
        <v>84302.7</v>
      </c>
      <c r="K526" s="197">
        <v>84302.7</v>
      </c>
      <c r="L526" s="197">
        <v>32132</v>
      </c>
      <c r="M526" s="197">
        <v>0</v>
      </c>
      <c r="N526" s="197">
        <v>0</v>
      </c>
      <c r="O526" s="197">
        <v>0</v>
      </c>
      <c r="P526" s="197">
        <v>-11.69999999999709</v>
      </c>
      <c r="Q526" s="197">
        <v>-1.3876633172982267E-4</v>
      </c>
      <c r="R526" s="260" t="s">
        <v>239</v>
      </c>
      <c r="S526" s="260" t="s">
        <v>514</v>
      </c>
      <c r="T526" s="260" t="s">
        <v>239</v>
      </c>
      <c r="U526" s="260" t="s">
        <v>514</v>
      </c>
    </row>
    <row r="527" spans="1:21" ht="14.5" x14ac:dyDescent="0.35">
      <c r="A527" s="260" t="s">
        <v>565</v>
      </c>
      <c r="B527" s="190">
        <v>45813</v>
      </c>
      <c r="C527" s="197">
        <v>84302.7</v>
      </c>
      <c r="D527" s="197">
        <v>0</v>
      </c>
      <c r="E527" s="197">
        <v>0</v>
      </c>
      <c r="F527" s="197">
        <v>0</v>
      </c>
      <c r="G527" s="197">
        <v>52868</v>
      </c>
      <c r="H527" s="197">
        <v>31423.3</v>
      </c>
      <c r="I527" s="197">
        <v>0</v>
      </c>
      <c r="J527" s="197">
        <v>84291.3</v>
      </c>
      <c r="K527" s="197">
        <v>84291.3</v>
      </c>
      <c r="L527" s="197">
        <v>32132</v>
      </c>
      <c r="M527" s="197">
        <v>0</v>
      </c>
      <c r="N527" s="197">
        <v>0</v>
      </c>
      <c r="O527" s="197">
        <v>0</v>
      </c>
      <c r="P527" s="197">
        <v>-11.399999999994179</v>
      </c>
      <c r="Q527" s="197">
        <v>-1.3522698561252433E-4</v>
      </c>
      <c r="R527" s="260" t="s">
        <v>239</v>
      </c>
      <c r="S527" s="260" t="s">
        <v>514</v>
      </c>
      <c r="T527" s="260" t="s">
        <v>239</v>
      </c>
      <c r="U527" s="260" t="s">
        <v>514</v>
      </c>
    </row>
    <row r="528" spans="1:21" ht="14.5" x14ac:dyDescent="0.35">
      <c r="A528" s="260" t="s">
        <v>565</v>
      </c>
      <c r="B528" s="190">
        <v>45814</v>
      </c>
      <c r="C528" s="197">
        <v>84291.3</v>
      </c>
      <c r="D528" s="197">
        <v>0</v>
      </c>
      <c r="E528" s="197">
        <v>0</v>
      </c>
      <c r="F528" s="197">
        <v>0</v>
      </c>
      <c r="G528" s="197">
        <v>52868</v>
      </c>
      <c r="H528" s="197">
        <v>31411.1</v>
      </c>
      <c r="I528" s="197">
        <v>0</v>
      </c>
      <c r="J528" s="197">
        <v>84279.1</v>
      </c>
      <c r="K528" s="197">
        <v>84279.1</v>
      </c>
      <c r="L528" s="197">
        <v>32132</v>
      </c>
      <c r="M528" s="197">
        <v>0</v>
      </c>
      <c r="N528" s="197">
        <v>0</v>
      </c>
      <c r="O528" s="197">
        <v>0</v>
      </c>
      <c r="P528" s="197">
        <v>-12.19999999999709</v>
      </c>
      <c r="Q528" s="197">
        <v>-1.4473617087407131E-4</v>
      </c>
      <c r="R528" s="260" t="s">
        <v>239</v>
      </c>
      <c r="S528" s="260" t="s">
        <v>514</v>
      </c>
      <c r="T528" s="260" t="s">
        <v>239</v>
      </c>
      <c r="U528" s="260" t="s">
        <v>514</v>
      </c>
    </row>
    <row r="529" spans="1:21" ht="14.5" x14ac:dyDescent="0.35">
      <c r="A529" s="260" t="s">
        <v>565</v>
      </c>
      <c r="B529" s="190">
        <v>45815</v>
      </c>
      <c r="C529" s="197">
        <v>84279.1</v>
      </c>
      <c r="D529" s="197">
        <v>0</v>
      </c>
      <c r="E529" s="197">
        <v>0</v>
      </c>
      <c r="F529" s="197">
        <v>0</v>
      </c>
      <c r="G529" s="197">
        <v>52868</v>
      </c>
      <c r="H529" s="197">
        <v>31411.1</v>
      </c>
      <c r="I529" s="197">
        <v>0</v>
      </c>
      <c r="J529" s="197">
        <v>84279.1</v>
      </c>
      <c r="K529" s="197">
        <v>84279.1</v>
      </c>
      <c r="L529" s="197">
        <v>32132</v>
      </c>
      <c r="M529" s="197">
        <v>0</v>
      </c>
      <c r="N529" s="197">
        <v>0</v>
      </c>
      <c r="O529" s="197">
        <v>0</v>
      </c>
      <c r="P529" s="197">
        <v>0</v>
      </c>
      <c r="Q529" s="197">
        <v>0</v>
      </c>
      <c r="R529" s="260" t="s">
        <v>239</v>
      </c>
      <c r="S529" s="260" t="s">
        <v>514</v>
      </c>
      <c r="T529" s="260" t="s">
        <v>239</v>
      </c>
      <c r="U529" s="260" t="s">
        <v>514</v>
      </c>
    </row>
    <row r="530" spans="1:21" ht="14.5" x14ac:dyDescent="0.35">
      <c r="A530" s="260" t="s">
        <v>565</v>
      </c>
      <c r="B530" s="190">
        <v>45816</v>
      </c>
      <c r="C530" s="197">
        <v>84279.1</v>
      </c>
      <c r="D530" s="197">
        <v>0</v>
      </c>
      <c r="E530" s="197">
        <v>0</v>
      </c>
      <c r="F530" s="197">
        <v>0</v>
      </c>
      <c r="G530" s="197">
        <v>52868</v>
      </c>
      <c r="H530" s="197">
        <v>31411.1</v>
      </c>
      <c r="I530" s="197">
        <v>0</v>
      </c>
      <c r="J530" s="197">
        <v>84279.1</v>
      </c>
      <c r="K530" s="197">
        <v>84279.1</v>
      </c>
      <c r="L530" s="197">
        <v>32132</v>
      </c>
      <c r="M530" s="197">
        <v>0</v>
      </c>
      <c r="N530" s="197">
        <v>0</v>
      </c>
      <c r="O530" s="197">
        <v>0</v>
      </c>
      <c r="P530" s="197">
        <v>0</v>
      </c>
      <c r="Q530" s="197">
        <v>0</v>
      </c>
      <c r="R530" s="260" t="s">
        <v>239</v>
      </c>
      <c r="S530" s="260" t="s">
        <v>514</v>
      </c>
      <c r="T530" s="260" t="s">
        <v>239</v>
      </c>
      <c r="U530" s="260" t="s">
        <v>514</v>
      </c>
    </row>
    <row r="531" spans="1:21" ht="14.5" x14ac:dyDescent="0.35">
      <c r="A531" s="260" t="s">
        <v>565</v>
      </c>
      <c r="B531" s="190">
        <v>45817</v>
      </c>
      <c r="C531" s="197">
        <v>84279.1</v>
      </c>
      <c r="D531" s="197">
        <v>0</v>
      </c>
      <c r="E531" s="197">
        <v>0</v>
      </c>
      <c r="F531" s="197">
        <v>0</v>
      </c>
      <c r="G531" s="197">
        <v>52868</v>
      </c>
      <c r="H531" s="197">
        <v>31376.799999999999</v>
      </c>
      <c r="I531" s="197">
        <v>0</v>
      </c>
      <c r="J531" s="197">
        <v>84244.800000000003</v>
      </c>
      <c r="K531" s="197">
        <v>84244.800000000003</v>
      </c>
      <c r="L531" s="197">
        <v>32132</v>
      </c>
      <c r="M531" s="197">
        <v>0</v>
      </c>
      <c r="N531" s="197">
        <v>0</v>
      </c>
      <c r="O531" s="197">
        <v>0</v>
      </c>
      <c r="P531" s="197">
        <v>-34.30000000000291</v>
      </c>
      <c r="Q531" s="197">
        <v>-4.0698109021097828E-4</v>
      </c>
      <c r="R531" s="260" t="s">
        <v>239</v>
      </c>
      <c r="S531" s="260" t="s">
        <v>514</v>
      </c>
      <c r="T531" s="260" t="s">
        <v>239</v>
      </c>
      <c r="U531" s="260" t="s">
        <v>514</v>
      </c>
    </row>
    <row r="532" spans="1:21" ht="14.5" x14ac:dyDescent="0.35">
      <c r="A532" s="260" t="s">
        <v>565</v>
      </c>
      <c r="B532" s="190">
        <v>45818</v>
      </c>
      <c r="C532" s="197">
        <v>84244.800000000003</v>
      </c>
      <c r="D532" s="197">
        <v>0</v>
      </c>
      <c r="E532" s="197">
        <v>0</v>
      </c>
      <c r="F532" s="197">
        <v>0</v>
      </c>
      <c r="G532" s="197">
        <v>52868</v>
      </c>
      <c r="H532" s="197">
        <v>31364.6</v>
      </c>
      <c r="I532" s="197">
        <v>0</v>
      </c>
      <c r="J532" s="197">
        <v>84232.6</v>
      </c>
      <c r="K532" s="197">
        <v>84232.6</v>
      </c>
      <c r="L532" s="197">
        <v>32132</v>
      </c>
      <c r="M532" s="197">
        <v>0</v>
      </c>
      <c r="N532" s="197">
        <v>0</v>
      </c>
      <c r="O532" s="197">
        <v>0</v>
      </c>
      <c r="P532" s="197">
        <v>-12.19999999999709</v>
      </c>
      <c r="Q532" s="197">
        <v>-1.4481605986360613E-4</v>
      </c>
      <c r="R532" s="260" t="s">
        <v>239</v>
      </c>
      <c r="S532" s="260" t="s">
        <v>514</v>
      </c>
      <c r="T532" s="260" t="s">
        <v>239</v>
      </c>
      <c r="U532" s="260" t="s">
        <v>514</v>
      </c>
    </row>
    <row r="533" spans="1:21" ht="14.5" x14ac:dyDescent="0.35">
      <c r="A533" s="260" t="s">
        <v>565</v>
      </c>
      <c r="B533" s="190">
        <v>45819</v>
      </c>
      <c r="C533" s="197">
        <v>84232.6</v>
      </c>
      <c r="D533" s="197">
        <v>0</v>
      </c>
      <c r="E533" s="197">
        <v>0</v>
      </c>
      <c r="F533" s="197">
        <v>0</v>
      </c>
      <c r="G533" s="197">
        <v>52868</v>
      </c>
      <c r="H533" s="197">
        <v>31353.200000000001</v>
      </c>
      <c r="I533" s="197">
        <v>0</v>
      </c>
      <c r="J533" s="197">
        <v>84221.2</v>
      </c>
      <c r="K533" s="197">
        <v>84221.2</v>
      </c>
      <c r="L533" s="197">
        <v>32132</v>
      </c>
      <c r="M533" s="197">
        <v>0</v>
      </c>
      <c r="N533" s="197">
        <v>0</v>
      </c>
      <c r="O533" s="197">
        <v>0</v>
      </c>
      <c r="P533" s="197">
        <v>-11.400000000008731</v>
      </c>
      <c r="Q533" s="197">
        <v>-1.3533952412736472E-4</v>
      </c>
      <c r="R533" s="260" t="s">
        <v>239</v>
      </c>
      <c r="S533" s="260" t="s">
        <v>514</v>
      </c>
      <c r="T533" s="260" t="s">
        <v>239</v>
      </c>
      <c r="U533" s="260" t="s">
        <v>514</v>
      </c>
    </row>
    <row r="534" spans="1:21" ht="14.5" x14ac:dyDescent="0.35">
      <c r="A534" s="260" t="s">
        <v>565</v>
      </c>
      <c r="B534" s="190">
        <v>45820</v>
      </c>
      <c r="C534" s="197">
        <v>84221.2</v>
      </c>
      <c r="D534" s="197">
        <v>0</v>
      </c>
      <c r="E534" s="197">
        <v>0</v>
      </c>
      <c r="F534" s="197">
        <v>0</v>
      </c>
      <c r="G534" s="197">
        <v>52868</v>
      </c>
      <c r="H534" s="197">
        <v>31341</v>
      </c>
      <c r="I534" s="197">
        <v>0</v>
      </c>
      <c r="J534" s="197">
        <v>84209</v>
      </c>
      <c r="K534" s="197">
        <v>84209</v>
      </c>
      <c r="L534" s="197">
        <v>32132</v>
      </c>
      <c r="M534" s="197">
        <v>0</v>
      </c>
      <c r="N534" s="197">
        <v>0</v>
      </c>
      <c r="O534" s="197">
        <v>0</v>
      </c>
      <c r="P534" s="197">
        <v>-12.19999999999709</v>
      </c>
      <c r="Q534" s="197">
        <v>-1.4485663942087612E-4</v>
      </c>
      <c r="R534" s="260" t="s">
        <v>239</v>
      </c>
      <c r="S534" s="260" t="s">
        <v>514</v>
      </c>
      <c r="T534" s="260" t="s">
        <v>239</v>
      </c>
      <c r="U534" s="260" t="s">
        <v>514</v>
      </c>
    </row>
    <row r="535" spans="1:21" ht="14.5" x14ac:dyDescent="0.35">
      <c r="A535" s="260" t="s">
        <v>565</v>
      </c>
      <c r="B535" s="190">
        <v>45821</v>
      </c>
      <c r="C535" s="197">
        <v>84209</v>
      </c>
      <c r="D535" s="197">
        <v>0</v>
      </c>
      <c r="E535" s="197">
        <v>0</v>
      </c>
      <c r="F535" s="197">
        <v>0</v>
      </c>
      <c r="G535" s="197">
        <v>52868</v>
      </c>
      <c r="H535" s="197">
        <v>31329.599999999999</v>
      </c>
      <c r="I535" s="197">
        <v>0</v>
      </c>
      <c r="J535" s="197">
        <v>84197.6</v>
      </c>
      <c r="K535" s="197">
        <v>84197.6</v>
      </c>
      <c r="L535" s="197">
        <v>32132</v>
      </c>
      <c r="M535" s="197">
        <v>0</v>
      </c>
      <c r="N535" s="197">
        <v>0</v>
      </c>
      <c r="O535" s="197">
        <v>0</v>
      </c>
      <c r="P535" s="197">
        <v>-11.399999999994179</v>
      </c>
      <c r="Q535" s="197">
        <v>-1.3537745371627885E-4</v>
      </c>
      <c r="R535" s="260" t="s">
        <v>239</v>
      </c>
      <c r="S535" s="260" t="s">
        <v>514</v>
      </c>
      <c r="T535" s="260" t="s">
        <v>239</v>
      </c>
      <c r="U535" s="260" t="s">
        <v>514</v>
      </c>
    </row>
    <row r="536" spans="1:21" ht="14.5" x14ac:dyDescent="0.35">
      <c r="A536" s="260" t="s">
        <v>565</v>
      </c>
      <c r="B536" s="190">
        <v>45822</v>
      </c>
      <c r="C536" s="197">
        <v>84197.6</v>
      </c>
      <c r="D536" s="197">
        <v>0</v>
      </c>
      <c r="E536" s="197">
        <v>0</v>
      </c>
      <c r="F536" s="197">
        <v>0</v>
      </c>
      <c r="G536" s="197">
        <v>52868</v>
      </c>
      <c r="H536" s="197">
        <v>31329.599999999999</v>
      </c>
      <c r="I536" s="197">
        <v>0</v>
      </c>
      <c r="J536" s="197">
        <v>84197.6</v>
      </c>
      <c r="K536" s="197">
        <v>84197.6</v>
      </c>
      <c r="L536" s="197">
        <v>32132</v>
      </c>
      <c r="M536" s="197">
        <v>0</v>
      </c>
      <c r="N536" s="197">
        <v>0</v>
      </c>
      <c r="O536" s="197">
        <v>0</v>
      </c>
      <c r="P536" s="197">
        <v>0</v>
      </c>
      <c r="Q536" s="197">
        <v>0</v>
      </c>
      <c r="R536" s="260" t="s">
        <v>239</v>
      </c>
      <c r="S536" s="260" t="s">
        <v>514</v>
      </c>
      <c r="T536" s="260" t="s">
        <v>239</v>
      </c>
      <c r="U536" s="260" t="s">
        <v>514</v>
      </c>
    </row>
    <row r="537" spans="1:21" ht="14.5" x14ac:dyDescent="0.35">
      <c r="A537" s="260" t="s">
        <v>565</v>
      </c>
      <c r="B537" s="190">
        <v>45823</v>
      </c>
      <c r="C537" s="197">
        <v>84197.6</v>
      </c>
      <c r="D537" s="197">
        <v>0</v>
      </c>
      <c r="E537" s="197">
        <v>0</v>
      </c>
      <c r="F537" s="197">
        <v>0</v>
      </c>
      <c r="G537" s="197">
        <v>52868</v>
      </c>
      <c r="H537" s="197">
        <v>31329.599999999999</v>
      </c>
      <c r="I537" s="197">
        <v>0</v>
      </c>
      <c r="J537" s="197">
        <v>84197.6</v>
      </c>
      <c r="K537" s="197">
        <v>84197.6</v>
      </c>
      <c r="L537" s="197">
        <v>32132</v>
      </c>
      <c r="M537" s="197">
        <v>0</v>
      </c>
      <c r="N537" s="197">
        <v>0</v>
      </c>
      <c r="O537" s="197">
        <v>0</v>
      </c>
      <c r="P537" s="197">
        <v>0</v>
      </c>
      <c r="Q537" s="197">
        <v>0</v>
      </c>
      <c r="R537" s="260" t="s">
        <v>239</v>
      </c>
      <c r="S537" s="260" t="s">
        <v>514</v>
      </c>
      <c r="T537" s="260" t="s">
        <v>239</v>
      </c>
      <c r="U537" s="260" t="s">
        <v>514</v>
      </c>
    </row>
    <row r="538" spans="1:21" ht="14.5" x14ac:dyDescent="0.35">
      <c r="A538" s="260" t="s">
        <v>565</v>
      </c>
      <c r="B538" s="190">
        <v>45824</v>
      </c>
      <c r="C538" s="197">
        <v>84197.6</v>
      </c>
      <c r="D538" s="197">
        <v>0</v>
      </c>
      <c r="E538" s="197">
        <v>0</v>
      </c>
      <c r="F538" s="197">
        <v>0</v>
      </c>
      <c r="G538" s="197">
        <v>52868</v>
      </c>
      <c r="H538" s="197">
        <v>31293.5</v>
      </c>
      <c r="I538" s="197">
        <v>0</v>
      </c>
      <c r="J538" s="197">
        <v>84161.5</v>
      </c>
      <c r="K538" s="197">
        <v>84161.5</v>
      </c>
      <c r="L538" s="197">
        <v>32132</v>
      </c>
      <c r="M538" s="197">
        <v>0</v>
      </c>
      <c r="N538" s="197">
        <v>0</v>
      </c>
      <c r="O538" s="197">
        <v>0</v>
      </c>
      <c r="P538" s="197">
        <v>-36.100000000005821</v>
      </c>
      <c r="Q538" s="197">
        <v>-4.2875331363367852E-4</v>
      </c>
      <c r="R538" s="260" t="s">
        <v>239</v>
      </c>
      <c r="S538" s="260" t="s">
        <v>514</v>
      </c>
      <c r="T538" s="260" t="s">
        <v>239</v>
      </c>
      <c r="U538" s="260" t="s">
        <v>514</v>
      </c>
    </row>
    <row r="539" spans="1:21" ht="14.5" x14ac:dyDescent="0.35">
      <c r="A539" s="260" t="s">
        <v>565</v>
      </c>
      <c r="B539" s="190">
        <v>45825</v>
      </c>
      <c r="C539" s="197">
        <v>84161.5</v>
      </c>
      <c r="D539" s="197">
        <v>0</v>
      </c>
      <c r="E539" s="197">
        <v>0</v>
      </c>
      <c r="F539" s="197">
        <v>0</v>
      </c>
      <c r="G539" s="197">
        <v>52868</v>
      </c>
      <c r="H539" s="197">
        <v>31282.1</v>
      </c>
      <c r="I539" s="197">
        <v>0</v>
      </c>
      <c r="J539" s="197">
        <v>84150.1</v>
      </c>
      <c r="K539" s="197">
        <v>84150.1</v>
      </c>
      <c r="L539" s="197">
        <v>32132</v>
      </c>
      <c r="M539" s="197">
        <v>0</v>
      </c>
      <c r="N539" s="197">
        <v>0</v>
      </c>
      <c r="O539" s="197">
        <v>0</v>
      </c>
      <c r="P539" s="197">
        <v>-11.399999999994179</v>
      </c>
      <c r="Q539" s="197">
        <v>-1.354538595438326E-4</v>
      </c>
      <c r="R539" s="260" t="s">
        <v>239</v>
      </c>
      <c r="S539" s="260" t="s">
        <v>514</v>
      </c>
      <c r="T539" s="260" t="s">
        <v>239</v>
      </c>
      <c r="U539" s="260" t="s">
        <v>514</v>
      </c>
    </row>
    <row r="540" spans="1:21" ht="14.5" x14ac:dyDescent="0.35">
      <c r="A540" s="260" t="s">
        <v>565</v>
      </c>
      <c r="B540" s="190">
        <v>45826</v>
      </c>
      <c r="C540" s="197">
        <v>84150.1</v>
      </c>
      <c r="D540" s="197">
        <v>0</v>
      </c>
      <c r="E540" s="197">
        <v>0</v>
      </c>
      <c r="F540" s="197">
        <v>0</v>
      </c>
      <c r="G540" s="197">
        <v>52868</v>
      </c>
      <c r="H540" s="197">
        <v>31271.200000000001</v>
      </c>
      <c r="I540" s="197">
        <v>0</v>
      </c>
      <c r="J540" s="197">
        <v>84139.199999999997</v>
      </c>
      <c r="K540" s="197">
        <v>84139.199999999997</v>
      </c>
      <c r="L540" s="197">
        <v>32132</v>
      </c>
      <c r="M540" s="197">
        <v>0</v>
      </c>
      <c r="N540" s="197">
        <v>0</v>
      </c>
      <c r="O540" s="197">
        <v>0</v>
      </c>
      <c r="P540" s="197">
        <v>-10.900000000008731</v>
      </c>
      <c r="Q540" s="197">
        <v>-1.2953044619090637E-4</v>
      </c>
      <c r="R540" s="260" t="s">
        <v>239</v>
      </c>
      <c r="S540" s="260" t="s">
        <v>514</v>
      </c>
      <c r="T540" s="260" t="s">
        <v>239</v>
      </c>
      <c r="U540" s="260" t="s">
        <v>514</v>
      </c>
    </row>
    <row r="541" spans="1:21" ht="14.5" x14ac:dyDescent="0.35">
      <c r="A541" s="260" t="s">
        <v>565</v>
      </c>
      <c r="B541" s="190">
        <v>45827</v>
      </c>
      <c r="C541" s="197">
        <v>84139.199999999997</v>
      </c>
      <c r="D541" s="197">
        <v>0</v>
      </c>
      <c r="E541" s="197">
        <v>0</v>
      </c>
      <c r="F541" s="197">
        <v>0</v>
      </c>
      <c r="G541" s="197">
        <v>52868</v>
      </c>
      <c r="H541" s="197">
        <v>31258.2</v>
      </c>
      <c r="I541" s="197">
        <v>0</v>
      </c>
      <c r="J541" s="197">
        <v>84126.2</v>
      </c>
      <c r="K541" s="197">
        <v>84126.2</v>
      </c>
      <c r="L541" s="197">
        <v>32132</v>
      </c>
      <c r="M541" s="197">
        <v>0</v>
      </c>
      <c r="N541" s="197">
        <v>0</v>
      </c>
      <c r="O541" s="197">
        <v>0</v>
      </c>
      <c r="P541" s="197">
        <v>-13</v>
      </c>
      <c r="Q541" s="197">
        <v>-1.5450586646892361E-4</v>
      </c>
      <c r="R541" s="260" t="s">
        <v>239</v>
      </c>
      <c r="S541" s="260" t="s">
        <v>514</v>
      </c>
      <c r="T541" s="260" t="s">
        <v>239</v>
      </c>
      <c r="U541" s="260" t="s">
        <v>514</v>
      </c>
    </row>
    <row r="542" spans="1:21" ht="14.5" x14ac:dyDescent="0.35">
      <c r="A542" s="260" t="s">
        <v>565</v>
      </c>
      <c r="B542" s="190">
        <v>45828</v>
      </c>
      <c r="C542" s="197">
        <v>84126.2</v>
      </c>
      <c r="D542" s="197">
        <v>0</v>
      </c>
      <c r="E542" s="197">
        <v>0</v>
      </c>
      <c r="F542" s="197">
        <v>0</v>
      </c>
      <c r="G542" s="197">
        <v>52868</v>
      </c>
      <c r="H542" s="197">
        <v>31246.799999999999</v>
      </c>
      <c r="I542" s="197">
        <v>0</v>
      </c>
      <c r="J542" s="197">
        <v>84114.8</v>
      </c>
      <c r="K542" s="197">
        <v>84114.8</v>
      </c>
      <c r="L542" s="197">
        <v>32132</v>
      </c>
      <c r="M542" s="197">
        <v>0</v>
      </c>
      <c r="N542" s="197">
        <v>0</v>
      </c>
      <c r="O542" s="197">
        <v>0</v>
      </c>
      <c r="P542" s="197">
        <v>-11.399999999994179</v>
      </c>
      <c r="Q542" s="197">
        <v>-1.3551069702411045E-4</v>
      </c>
      <c r="R542" s="260" t="s">
        <v>239</v>
      </c>
      <c r="S542" s="260" t="s">
        <v>514</v>
      </c>
      <c r="T542" s="260" t="s">
        <v>239</v>
      </c>
      <c r="U542" s="260" t="s">
        <v>514</v>
      </c>
    </row>
    <row r="543" spans="1:21" ht="14.5" x14ac:dyDescent="0.35">
      <c r="A543" s="260" t="s">
        <v>565</v>
      </c>
      <c r="B543" s="190">
        <v>45829</v>
      </c>
      <c r="C543" s="197">
        <v>84114.8</v>
      </c>
      <c r="D543" s="197">
        <v>0</v>
      </c>
      <c r="E543" s="197">
        <v>0</v>
      </c>
      <c r="F543" s="197">
        <v>0</v>
      </c>
      <c r="G543" s="197">
        <v>52868</v>
      </c>
      <c r="H543" s="197">
        <v>31246.799999999999</v>
      </c>
      <c r="I543" s="197">
        <v>0</v>
      </c>
      <c r="J543" s="197">
        <v>84114.8</v>
      </c>
      <c r="K543" s="197">
        <v>84114.8</v>
      </c>
      <c r="L543" s="197">
        <v>32132</v>
      </c>
      <c r="M543" s="197">
        <v>0</v>
      </c>
      <c r="N543" s="197">
        <v>0</v>
      </c>
      <c r="O543" s="197">
        <v>0</v>
      </c>
      <c r="P543" s="197">
        <v>0</v>
      </c>
      <c r="Q543" s="197">
        <v>0</v>
      </c>
      <c r="R543" s="260" t="s">
        <v>239</v>
      </c>
      <c r="S543" s="260" t="s">
        <v>514</v>
      </c>
      <c r="T543" s="260" t="s">
        <v>239</v>
      </c>
      <c r="U543" s="260" t="s">
        <v>514</v>
      </c>
    </row>
    <row r="544" spans="1:21" ht="14.5" x14ac:dyDescent="0.35">
      <c r="A544" s="260" t="s">
        <v>565</v>
      </c>
      <c r="B544" s="190">
        <v>45830</v>
      </c>
      <c r="C544" s="197">
        <v>84114.8</v>
      </c>
      <c r="D544" s="197">
        <v>0</v>
      </c>
      <c r="E544" s="197">
        <v>0</v>
      </c>
      <c r="F544" s="197">
        <v>0</v>
      </c>
      <c r="G544" s="197">
        <v>52868</v>
      </c>
      <c r="H544" s="197">
        <v>31246.799999999999</v>
      </c>
      <c r="I544" s="197">
        <v>0</v>
      </c>
      <c r="J544" s="197">
        <v>84114.8</v>
      </c>
      <c r="K544" s="197">
        <v>84114.8</v>
      </c>
      <c r="L544" s="197">
        <v>32132</v>
      </c>
      <c r="M544" s="197">
        <v>0</v>
      </c>
      <c r="N544" s="197">
        <v>0</v>
      </c>
      <c r="O544" s="197">
        <v>0</v>
      </c>
      <c r="P544" s="197">
        <v>0</v>
      </c>
      <c r="Q544" s="197">
        <v>0</v>
      </c>
      <c r="R544" s="260" t="s">
        <v>239</v>
      </c>
      <c r="S544" s="260" t="s">
        <v>514</v>
      </c>
      <c r="T544" s="260" t="s">
        <v>239</v>
      </c>
      <c r="U544" s="260" t="s">
        <v>514</v>
      </c>
    </row>
    <row r="545" spans="1:21" ht="14.5" x14ac:dyDescent="0.35">
      <c r="A545" s="260" t="s">
        <v>565</v>
      </c>
      <c r="B545" s="190">
        <v>45831</v>
      </c>
      <c r="C545" s="197">
        <v>84114.8</v>
      </c>
      <c r="D545" s="197">
        <v>0</v>
      </c>
      <c r="E545" s="197">
        <v>0</v>
      </c>
      <c r="F545" s="197">
        <v>0</v>
      </c>
      <c r="G545" s="197">
        <v>52868</v>
      </c>
      <c r="H545" s="197">
        <v>31212.5</v>
      </c>
      <c r="I545" s="197">
        <v>0</v>
      </c>
      <c r="J545" s="197">
        <v>84080.5</v>
      </c>
      <c r="K545" s="197">
        <v>84080.5</v>
      </c>
      <c r="L545" s="197">
        <v>32132</v>
      </c>
      <c r="M545" s="197">
        <v>0</v>
      </c>
      <c r="N545" s="197">
        <v>0</v>
      </c>
      <c r="O545" s="197">
        <v>0</v>
      </c>
      <c r="P545" s="197">
        <v>-34.30000000000291</v>
      </c>
      <c r="Q545" s="197">
        <v>-4.077760394128882E-4</v>
      </c>
      <c r="R545" s="260" t="s">
        <v>239</v>
      </c>
      <c r="S545" s="260" t="s">
        <v>514</v>
      </c>
      <c r="T545" s="260" t="s">
        <v>239</v>
      </c>
      <c r="U545" s="260" t="s">
        <v>514</v>
      </c>
    </row>
    <row r="546" spans="1:21" ht="14.5" x14ac:dyDescent="0.35">
      <c r="A546" s="260" t="s">
        <v>565</v>
      </c>
      <c r="B546" s="190">
        <v>45832</v>
      </c>
      <c r="C546" s="197">
        <v>84080.5</v>
      </c>
      <c r="D546" s="197">
        <v>0</v>
      </c>
      <c r="E546" s="197">
        <v>0</v>
      </c>
      <c r="F546" s="197">
        <v>0</v>
      </c>
      <c r="G546" s="197">
        <v>52868</v>
      </c>
      <c r="H546" s="197">
        <v>31201.1</v>
      </c>
      <c r="I546" s="197">
        <v>0</v>
      </c>
      <c r="J546" s="197">
        <v>84069.1</v>
      </c>
      <c r="K546" s="197">
        <v>84069.1</v>
      </c>
      <c r="L546" s="197">
        <v>32132</v>
      </c>
      <c r="M546" s="197">
        <v>0</v>
      </c>
      <c r="N546" s="197">
        <v>0</v>
      </c>
      <c r="O546" s="197">
        <v>0</v>
      </c>
      <c r="P546" s="197">
        <v>-11.399999999994179</v>
      </c>
      <c r="Q546" s="197">
        <v>-1.3558435071148178E-4</v>
      </c>
      <c r="R546" s="260" t="s">
        <v>239</v>
      </c>
      <c r="S546" s="260" t="s">
        <v>514</v>
      </c>
      <c r="T546" s="260" t="s">
        <v>239</v>
      </c>
      <c r="U546" s="260" t="s">
        <v>514</v>
      </c>
    </row>
    <row r="547" spans="1:21" ht="14.5" x14ac:dyDescent="0.35">
      <c r="A547" s="260" t="s">
        <v>565</v>
      </c>
      <c r="B547" s="190">
        <v>45833</v>
      </c>
      <c r="C547" s="197">
        <v>84069.1</v>
      </c>
      <c r="D547" s="197">
        <v>0</v>
      </c>
      <c r="E547" s="197">
        <v>0</v>
      </c>
      <c r="F547" s="197">
        <v>0</v>
      </c>
      <c r="G547" s="197">
        <v>52868</v>
      </c>
      <c r="H547" s="197">
        <v>31189.7</v>
      </c>
      <c r="I547" s="197">
        <v>0</v>
      </c>
      <c r="J547" s="197">
        <v>84057.7</v>
      </c>
      <c r="K547" s="197">
        <v>84057.7</v>
      </c>
      <c r="L547" s="197">
        <v>32132</v>
      </c>
      <c r="M547" s="197">
        <v>0</v>
      </c>
      <c r="N547" s="197">
        <v>0</v>
      </c>
      <c r="O547" s="197">
        <v>0</v>
      </c>
      <c r="P547" s="197">
        <v>-11.400000000008731</v>
      </c>
      <c r="Q547" s="197">
        <v>-1.3560273632062803E-4</v>
      </c>
      <c r="R547" s="260" t="s">
        <v>239</v>
      </c>
      <c r="S547" s="260" t="s">
        <v>514</v>
      </c>
      <c r="T547" s="260" t="s">
        <v>239</v>
      </c>
      <c r="U547" s="260" t="s">
        <v>514</v>
      </c>
    </row>
    <row r="548" spans="1:21" ht="14.5" x14ac:dyDescent="0.35">
      <c r="A548" s="260" t="s">
        <v>565</v>
      </c>
      <c r="B548" s="190">
        <v>45834</v>
      </c>
      <c r="C548" s="197">
        <v>84057.7</v>
      </c>
      <c r="D548" s="197">
        <v>0</v>
      </c>
      <c r="E548" s="197">
        <v>0</v>
      </c>
      <c r="F548" s="197">
        <v>0</v>
      </c>
      <c r="G548" s="197">
        <v>52868</v>
      </c>
      <c r="H548" s="197">
        <v>31176.7</v>
      </c>
      <c r="I548" s="197">
        <v>0</v>
      </c>
      <c r="J548" s="197">
        <v>84044.7</v>
      </c>
      <c r="K548" s="197">
        <v>84044.7</v>
      </c>
      <c r="L548" s="197">
        <v>32132</v>
      </c>
      <c r="M548" s="197">
        <v>0</v>
      </c>
      <c r="N548" s="197">
        <v>0</v>
      </c>
      <c r="O548" s="197">
        <v>0</v>
      </c>
      <c r="P548" s="197">
        <v>-13</v>
      </c>
      <c r="Q548" s="197">
        <v>-1.5465567104500089E-4</v>
      </c>
      <c r="R548" s="260" t="s">
        <v>239</v>
      </c>
      <c r="S548" s="260" t="s">
        <v>514</v>
      </c>
      <c r="T548" s="260" t="s">
        <v>239</v>
      </c>
      <c r="U548" s="260" t="s">
        <v>514</v>
      </c>
    </row>
    <row r="549" spans="1:21" ht="14.5" x14ac:dyDescent="0.35">
      <c r="A549" s="260" t="s">
        <v>565</v>
      </c>
      <c r="B549" s="190">
        <v>45835</v>
      </c>
      <c r="C549" s="197">
        <v>84044.7</v>
      </c>
      <c r="D549" s="197">
        <v>0</v>
      </c>
      <c r="E549" s="197">
        <v>0</v>
      </c>
      <c r="F549" s="197">
        <v>0</v>
      </c>
      <c r="G549" s="197">
        <v>52868</v>
      </c>
      <c r="H549" s="197">
        <v>31165.300000000003</v>
      </c>
      <c r="I549" s="197">
        <v>0</v>
      </c>
      <c r="J549" s="197">
        <v>84033.3</v>
      </c>
      <c r="K549" s="197">
        <v>84033.3</v>
      </c>
      <c r="L549" s="197">
        <v>32132</v>
      </c>
      <c r="M549" s="197">
        <v>0</v>
      </c>
      <c r="N549" s="197">
        <v>0</v>
      </c>
      <c r="O549" s="197">
        <v>0</v>
      </c>
      <c r="P549" s="197">
        <v>-11.399999999994179</v>
      </c>
      <c r="Q549" s="197">
        <v>-1.3564210473704374E-4</v>
      </c>
      <c r="R549" s="260" t="s">
        <v>239</v>
      </c>
      <c r="S549" s="260" t="s">
        <v>514</v>
      </c>
      <c r="T549" s="260" t="s">
        <v>239</v>
      </c>
      <c r="U549" s="260" t="s">
        <v>514</v>
      </c>
    </row>
    <row r="550" spans="1:21" ht="14.5" x14ac:dyDescent="0.35">
      <c r="A550" s="260" t="s">
        <v>565</v>
      </c>
      <c r="B550" s="190">
        <v>45836</v>
      </c>
      <c r="C550" s="197">
        <v>84033.3</v>
      </c>
      <c r="D550" s="197">
        <v>0</v>
      </c>
      <c r="E550" s="197">
        <v>0</v>
      </c>
      <c r="F550" s="197">
        <v>0</v>
      </c>
      <c r="G550" s="197">
        <v>52868</v>
      </c>
      <c r="H550" s="197">
        <v>31165.300000000003</v>
      </c>
      <c r="I550" s="197">
        <v>0</v>
      </c>
      <c r="J550" s="197">
        <v>84033.3</v>
      </c>
      <c r="K550" s="197">
        <v>84033.3</v>
      </c>
      <c r="L550" s="197">
        <v>32132</v>
      </c>
      <c r="M550" s="197">
        <v>0</v>
      </c>
      <c r="N550" s="197">
        <v>0</v>
      </c>
      <c r="O550" s="197">
        <v>0</v>
      </c>
      <c r="P550" s="197">
        <v>0</v>
      </c>
      <c r="Q550" s="197">
        <v>0</v>
      </c>
      <c r="R550" s="260" t="s">
        <v>239</v>
      </c>
      <c r="S550" s="260" t="s">
        <v>514</v>
      </c>
      <c r="T550" s="260" t="s">
        <v>239</v>
      </c>
      <c r="U550" s="260" t="s">
        <v>514</v>
      </c>
    </row>
    <row r="551" spans="1:21" ht="14.5" x14ac:dyDescent="0.35">
      <c r="A551" s="260" t="s">
        <v>565</v>
      </c>
      <c r="B551" s="190">
        <v>45837</v>
      </c>
      <c r="C551" s="197">
        <v>84033.3</v>
      </c>
      <c r="D551" s="197">
        <v>0</v>
      </c>
      <c r="E551" s="197">
        <v>0</v>
      </c>
      <c r="F551" s="197">
        <v>0</v>
      </c>
      <c r="G551" s="197">
        <v>52868</v>
      </c>
      <c r="H551" s="197">
        <v>31165.300000000003</v>
      </c>
      <c r="I551" s="197">
        <v>0</v>
      </c>
      <c r="J551" s="197">
        <v>84033.3</v>
      </c>
      <c r="K551" s="197">
        <v>84033.3</v>
      </c>
      <c r="L551" s="197">
        <v>32132</v>
      </c>
      <c r="M551" s="197">
        <v>0</v>
      </c>
      <c r="N551" s="197">
        <v>0</v>
      </c>
      <c r="O551" s="197">
        <v>0</v>
      </c>
      <c r="P551" s="197">
        <v>0</v>
      </c>
      <c r="Q551" s="197">
        <v>0</v>
      </c>
      <c r="R551" s="260" t="s">
        <v>239</v>
      </c>
      <c r="S551" s="260" t="s">
        <v>514</v>
      </c>
      <c r="T551" s="260" t="s">
        <v>239</v>
      </c>
      <c r="U551" s="260" t="s">
        <v>514</v>
      </c>
    </row>
    <row r="552" spans="1:21" ht="14.5" x14ac:dyDescent="0.35">
      <c r="A552" s="260" t="s">
        <v>565</v>
      </c>
      <c r="B552" s="190">
        <v>45838</v>
      </c>
      <c r="C552" s="197">
        <v>84033.3</v>
      </c>
      <c r="D552" s="197">
        <v>0</v>
      </c>
      <c r="E552" s="197">
        <v>0</v>
      </c>
      <c r="F552" s="197">
        <v>0</v>
      </c>
      <c r="G552" s="197">
        <v>52868</v>
      </c>
      <c r="H552" s="197">
        <v>31130</v>
      </c>
      <c r="I552" s="197">
        <v>0</v>
      </c>
      <c r="J552" s="197">
        <v>83998</v>
      </c>
      <c r="K552" s="197">
        <v>83998</v>
      </c>
      <c r="L552" s="197">
        <v>32132</v>
      </c>
      <c r="M552" s="197">
        <v>0</v>
      </c>
      <c r="N552" s="197">
        <v>0</v>
      </c>
      <c r="O552" s="197">
        <v>0</v>
      </c>
      <c r="P552" s="197">
        <v>-35.30000000000291</v>
      </c>
      <c r="Q552" s="197">
        <v>-4.2007156686696412E-4</v>
      </c>
      <c r="R552" s="260" t="s">
        <v>239</v>
      </c>
      <c r="S552" s="260" t="s">
        <v>514</v>
      </c>
      <c r="T552" s="260" t="s">
        <v>239</v>
      </c>
      <c r="U552" s="260" t="s">
        <v>514</v>
      </c>
    </row>
    <row r="553" spans="1:21" ht="14.5" x14ac:dyDescent="0.35">
      <c r="A553" s="260" t="s">
        <v>565</v>
      </c>
      <c r="B553" s="190">
        <v>45839</v>
      </c>
      <c r="C553" s="197">
        <v>83998</v>
      </c>
      <c r="D553" s="197">
        <v>0</v>
      </c>
      <c r="E553" s="197">
        <v>0</v>
      </c>
      <c r="F553" s="197">
        <v>0</v>
      </c>
      <c r="G553" s="197">
        <v>52868</v>
      </c>
      <c r="H553" s="197">
        <v>31130</v>
      </c>
      <c r="I553" s="197">
        <v>0</v>
      </c>
      <c r="J553" s="197">
        <v>83998</v>
      </c>
      <c r="K553" s="197">
        <v>83998</v>
      </c>
      <c r="L553" s="197">
        <v>32132</v>
      </c>
      <c r="M553" s="197">
        <v>0</v>
      </c>
      <c r="N553" s="197">
        <v>0</v>
      </c>
      <c r="O553" s="197">
        <v>0</v>
      </c>
      <c r="P553" s="197">
        <v>0</v>
      </c>
      <c r="Q553" s="197">
        <v>0</v>
      </c>
      <c r="R553" s="260" t="s">
        <v>239</v>
      </c>
      <c r="S553" s="260" t="s">
        <v>514</v>
      </c>
      <c r="T553" s="260" t="s">
        <v>239</v>
      </c>
      <c r="U553" s="260" t="s">
        <v>514</v>
      </c>
    </row>
    <row r="554" spans="1:21" ht="14.5" x14ac:dyDescent="0.35">
      <c r="A554" s="260" t="s">
        <v>565</v>
      </c>
      <c r="B554" s="190">
        <v>45840</v>
      </c>
      <c r="C554" s="197">
        <v>83998</v>
      </c>
      <c r="D554" s="197">
        <v>0</v>
      </c>
      <c r="E554" s="197">
        <v>0</v>
      </c>
      <c r="F554" s="197">
        <v>0</v>
      </c>
      <c r="G554" s="197">
        <v>52868</v>
      </c>
      <c r="H554" s="197">
        <v>31091.300000000003</v>
      </c>
      <c r="I554" s="197">
        <v>0</v>
      </c>
      <c r="J554" s="197">
        <v>83959.3</v>
      </c>
      <c r="K554" s="197">
        <v>83959.3</v>
      </c>
      <c r="L554" s="197">
        <v>32132</v>
      </c>
      <c r="M554" s="197">
        <v>0</v>
      </c>
      <c r="N554" s="197">
        <v>0</v>
      </c>
      <c r="O554" s="197">
        <v>0</v>
      </c>
      <c r="P554" s="197">
        <v>-38.69999999999709</v>
      </c>
      <c r="Q554" s="197">
        <v>-4.6072525536322573E-4</v>
      </c>
      <c r="R554" s="260" t="s">
        <v>239</v>
      </c>
      <c r="S554" s="260" t="s">
        <v>514</v>
      </c>
      <c r="T554" s="260" t="s">
        <v>239</v>
      </c>
      <c r="U554" s="260" t="s">
        <v>514</v>
      </c>
    </row>
    <row r="555" spans="1:21" ht="14.5" x14ac:dyDescent="0.35">
      <c r="A555" s="260" t="s">
        <v>565</v>
      </c>
      <c r="B555" s="190">
        <v>45841</v>
      </c>
      <c r="C555" s="197">
        <v>83959.3</v>
      </c>
      <c r="D555" s="197">
        <v>0</v>
      </c>
      <c r="E555" s="197">
        <v>0</v>
      </c>
      <c r="F555" s="197">
        <v>0</v>
      </c>
      <c r="G555" s="197">
        <v>52868</v>
      </c>
      <c r="H555" s="197">
        <v>31052.7</v>
      </c>
      <c r="I555" s="197">
        <v>0</v>
      </c>
      <c r="J555" s="197">
        <v>83920.7</v>
      </c>
      <c r="K555" s="197">
        <v>83920.7</v>
      </c>
      <c r="L555" s="197">
        <v>32132</v>
      </c>
      <c r="M555" s="197">
        <v>0</v>
      </c>
      <c r="N555" s="197">
        <v>0</v>
      </c>
      <c r="O555" s="197">
        <v>0</v>
      </c>
      <c r="P555" s="197">
        <v>-38.600000000005821</v>
      </c>
      <c r="Q555" s="197">
        <v>-4.5974656768221767E-4</v>
      </c>
      <c r="R555" s="260" t="s">
        <v>239</v>
      </c>
      <c r="S555" s="260" t="s">
        <v>514</v>
      </c>
      <c r="T555" s="260" t="s">
        <v>239</v>
      </c>
      <c r="U555" s="260" t="s">
        <v>514</v>
      </c>
    </row>
    <row r="556" spans="1:21" ht="14.5" x14ac:dyDescent="0.35">
      <c r="A556" s="260" t="s">
        <v>565</v>
      </c>
      <c r="B556" s="190">
        <v>45842</v>
      </c>
      <c r="C556" s="197">
        <v>83920.7</v>
      </c>
      <c r="D556" s="197">
        <v>0</v>
      </c>
      <c r="E556" s="197">
        <v>0</v>
      </c>
      <c r="F556" s="197">
        <v>0</v>
      </c>
      <c r="G556" s="197">
        <v>52868</v>
      </c>
      <c r="H556" s="197">
        <v>31014</v>
      </c>
      <c r="I556" s="197">
        <v>0</v>
      </c>
      <c r="J556" s="197">
        <v>83882</v>
      </c>
      <c r="K556" s="197">
        <v>83882</v>
      </c>
      <c r="L556" s="197">
        <v>32132</v>
      </c>
      <c r="M556" s="197">
        <v>0</v>
      </c>
      <c r="N556" s="197">
        <v>0</v>
      </c>
      <c r="O556" s="197">
        <v>0</v>
      </c>
      <c r="P556" s="197">
        <v>-38.69999999999709</v>
      </c>
      <c r="Q556" s="197">
        <v>-4.6114963292720468E-4</v>
      </c>
      <c r="R556" s="260" t="s">
        <v>239</v>
      </c>
      <c r="S556" s="260" t="s">
        <v>514</v>
      </c>
      <c r="T556" s="260" t="s">
        <v>239</v>
      </c>
      <c r="U556" s="260" t="s">
        <v>514</v>
      </c>
    </row>
    <row r="557" spans="1:21" ht="14.5" x14ac:dyDescent="0.35">
      <c r="A557" s="260" t="s">
        <v>565</v>
      </c>
      <c r="B557" s="190">
        <v>45843</v>
      </c>
      <c r="C557" s="197">
        <v>83882</v>
      </c>
      <c r="D557" s="197">
        <v>0</v>
      </c>
      <c r="E557" s="197">
        <v>0</v>
      </c>
      <c r="F557" s="197">
        <v>0</v>
      </c>
      <c r="G557" s="197">
        <v>52868</v>
      </c>
      <c r="H557" s="197">
        <v>31014</v>
      </c>
      <c r="I557" s="197">
        <v>0</v>
      </c>
      <c r="J557" s="197">
        <v>83882</v>
      </c>
      <c r="K557" s="197">
        <v>83882</v>
      </c>
      <c r="L557" s="197">
        <v>32132</v>
      </c>
      <c r="M557" s="197">
        <v>0</v>
      </c>
      <c r="N557" s="197">
        <v>0</v>
      </c>
      <c r="O557" s="197">
        <v>0</v>
      </c>
      <c r="P557" s="197">
        <v>0</v>
      </c>
      <c r="Q557" s="197">
        <v>0</v>
      </c>
      <c r="R557" s="260" t="s">
        <v>239</v>
      </c>
      <c r="S557" s="260" t="s">
        <v>514</v>
      </c>
      <c r="T557" s="260" t="s">
        <v>239</v>
      </c>
      <c r="U557" s="260" t="s">
        <v>514</v>
      </c>
    </row>
    <row r="558" spans="1:21" ht="14.5" x14ac:dyDescent="0.35">
      <c r="A558" s="260" t="s">
        <v>565</v>
      </c>
      <c r="B558" s="190">
        <v>45844</v>
      </c>
      <c r="C558" s="197">
        <v>83882</v>
      </c>
      <c r="D558" s="197">
        <v>0</v>
      </c>
      <c r="E558" s="197">
        <v>0</v>
      </c>
      <c r="F558" s="197">
        <v>0</v>
      </c>
      <c r="G558" s="197">
        <v>52868</v>
      </c>
      <c r="H558" s="197">
        <v>31014</v>
      </c>
      <c r="I558" s="197">
        <v>0</v>
      </c>
      <c r="J558" s="197">
        <v>83882</v>
      </c>
      <c r="K558" s="197">
        <v>83882</v>
      </c>
      <c r="L558" s="197">
        <v>32132</v>
      </c>
      <c r="M558" s="197">
        <v>0</v>
      </c>
      <c r="N558" s="197">
        <v>0</v>
      </c>
      <c r="O558" s="197">
        <v>0</v>
      </c>
      <c r="P558" s="197">
        <v>0</v>
      </c>
      <c r="Q558" s="197">
        <v>0</v>
      </c>
      <c r="R558" s="260" t="s">
        <v>239</v>
      </c>
      <c r="S558" s="260" t="s">
        <v>514</v>
      </c>
      <c r="T558" s="260" t="s">
        <v>239</v>
      </c>
      <c r="U558" s="260" t="s">
        <v>514</v>
      </c>
    </row>
    <row r="559" spans="1:21" ht="14.5" x14ac:dyDescent="0.35">
      <c r="A559" s="260" t="s">
        <v>565</v>
      </c>
      <c r="B559" s="190">
        <v>45845</v>
      </c>
      <c r="C559" s="197">
        <v>83882</v>
      </c>
      <c r="D559" s="197">
        <v>0</v>
      </c>
      <c r="E559" s="197">
        <v>0</v>
      </c>
      <c r="F559" s="197">
        <v>0</v>
      </c>
      <c r="G559" s="197">
        <v>52868</v>
      </c>
      <c r="H559" s="197">
        <v>30898</v>
      </c>
      <c r="I559" s="197">
        <v>0</v>
      </c>
      <c r="J559" s="197">
        <v>83766</v>
      </c>
      <c r="K559" s="197">
        <v>83766</v>
      </c>
      <c r="L559" s="197">
        <v>32132</v>
      </c>
      <c r="M559" s="197">
        <v>0</v>
      </c>
      <c r="N559" s="197">
        <v>0</v>
      </c>
      <c r="O559" s="197">
        <v>0</v>
      </c>
      <c r="P559" s="197">
        <v>-116</v>
      </c>
      <c r="Q559" s="197">
        <v>-1.3828950191936418E-3</v>
      </c>
      <c r="R559" s="260" t="s">
        <v>239</v>
      </c>
      <c r="S559" s="260" t="s">
        <v>514</v>
      </c>
      <c r="T559" s="260" t="s">
        <v>239</v>
      </c>
      <c r="U559" s="260" t="s">
        <v>514</v>
      </c>
    </row>
    <row r="560" spans="1:21" ht="14.5" x14ac:dyDescent="0.35">
      <c r="A560" s="260" t="s">
        <v>565</v>
      </c>
      <c r="B560" s="190">
        <v>45846</v>
      </c>
      <c r="C560" s="197">
        <v>83766</v>
      </c>
      <c r="D560" s="197">
        <v>0</v>
      </c>
      <c r="E560" s="197">
        <v>0</v>
      </c>
      <c r="F560" s="197">
        <v>0</v>
      </c>
      <c r="G560" s="197">
        <v>52868</v>
      </c>
      <c r="H560" s="197">
        <v>30859.3</v>
      </c>
      <c r="I560" s="197">
        <v>0</v>
      </c>
      <c r="J560" s="197">
        <v>83727.3</v>
      </c>
      <c r="K560" s="197">
        <v>83727.3</v>
      </c>
      <c r="L560" s="197">
        <v>32132</v>
      </c>
      <c r="M560" s="197">
        <v>0</v>
      </c>
      <c r="N560" s="197">
        <v>0</v>
      </c>
      <c r="O560" s="197">
        <v>0</v>
      </c>
      <c r="P560" s="197">
        <v>-38.69999999999709</v>
      </c>
      <c r="Q560" s="197">
        <v>-4.6200128930584672E-4</v>
      </c>
      <c r="R560" s="260" t="s">
        <v>239</v>
      </c>
      <c r="S560" s="260" t="s">
        <v>514</v>
      </c>
      <c r="T560" s="260" t="s">
        <v>239</v>
      </c>
      <c r="U560" s="260" t="s">
        <v>514</v>
      </c>
    </row>
    <row r="561" spans="1:21" ht="14.5" x14ac:dyDescent="0.35">
      <c r="A561" s="260" t="s">
        <v>565</v>
      </c>
      <c r="B561" s="190">
        <v>45847</v>
      </c>
      <c r="C561" s="197">
        <v>83727.3</v>
      </c>
      <c r="D561" s="197">
        <v>0</v>
      </c>
      <c r="E561" s="197">
        <v>0</v>
      </c>
      <c r="F561" s="197">
        <v>0</v>
      </c>
      <c r="G561" s="197">
        <v>52868</v>
      </c>
      <c r="H561" s="197">
        <v>30820.7</v>
      </c>
      <c r="I561" s="197">
        <v>0</v>
      </c>
      <c r="J561" s="197">
        <v>83688.7</v>
      </c>
      <c r="K561" s="197">
        <v>83688.7</v>
      </c>
      <c r="L561" s="197">
        <v>32132</v>
      </c>
      <c r="M561" s="197">
        <v>0</v>
      </c>
      <c r="N561" s="197">
        <v>0</v>
      </c>
      <c r="O561" s="197">
        <v>0</v>
      </c>
      <c r="P561" s="197">
        <v>-38.600000000005821</v>
      </c>
      <c r="Q561" s="197">
        <v>-4.6102047958085368E-4</v>
      </c>
      <c r="R561" s="260" t="s">
        <v>239</v>
      </c>
      <c r="S561" s="260" t="s">
        <v>514</v>
      </c>
      <c r="T561" s="260" t="s">
        <v>239</v>
      </c>
      <c r="U561" s="260" t="s">
        <v>514</v>
      </c>
    </row>
    <row r="562" spans="1:21" ht="14.5" x14ac:dyDescent="0.35">
      <c r="A562" s="260" t="s">
        <v>565</v>
      </c>
      <c r="B562" s="190">
        <v>45848</v>
      </c>
      <c r="C562" s="197">
        <v>83688.7</v>
      </c>
      <c r="D562" s="197">
        <v>0</v>
      </c>
      <c r="E562" s="197">
        <v>0</v>
      </c>
      <c r="F562" s="197">
        <v>0</v>
      </c>
      <c r="G562" s="197">
        <v>52868</v>
      </c>
      <c r="H562" s="197">
        <v>30782</v>
      </c>
      <c r="I562" s="197">
        <v>0</v>
      </c>
      <c r="J562" s="197">
        <v>83650</v>
      </c>
      <c r="K562" s="197">
        <v>83650</v>
      </c>
      <c r="L562" s="197">
        <v>32132</v>
      </c>
      <c r="M562" s="197">
        <v>0</v>
      </c>
      <c r="N562" s="197">
        <v>0</v>
      </c>
      <c r="O562" s="197">
        <v>0</v>
      </c>
      <c r="P562" s="197">
        <v>-38.69999999999709</v>
      </c>
      <c r="Q562" s="197">
        <v>-4.6242802194318422E-4</v>
      </c>
      <c r="R562" s="260" t="s">
        <v>239</v>
      </c>
      <c r="S562" s="260" t="s">
        <v>514</v>
      </c>
      <c r="T562" s="260" t="s">
        <v>239</v>
      </c>
      <c r="U562" s="260" t="s">
        <v>514</v>
      </c>
    </row>
    <row r="563" spans="1:21" ht="14.5" x14ac:dyDescent="0.35">
      <c r="A563" s="260" t="s">
        <v>565</v>
      </c>
      <c r="B563" s="190">
        <v>45849</v>
      </c>
      <c r="C563" s="197">
        <v>83650</v>
      </c>
      <c r="D563" s="197">
        <v>0</v>
      </c>
      <c r="E563" s="197">
        <v>0</v>
      </c>
      <c r="F563" s="197">
        <v>0</v>
      </c>
      <c r="G563" s="197">
        <v>52868</v>
      </c>
      <c r="H563" s="197">
        <v>30743.3</v>
      </c>
      <c r="I563" s="197">
        <v>0</v>
      </c>
      <c r="J563" s="197">
        <v>83611.3</v>
      </c>
      <c r="K563" s="197">
        <v>83611.3</v>
      </c>
      <c r="L563" s="197">
        <v>32132</v>
      </c>
      <c r="M563" s="197">
        <v>0</v>
      </c>
      <c r="N563" s="197">
        <v>0</v>
      </c>
      <c r="O563" s="197">
        <v>0</v>
      </c>
      <c r="P563" s="197">
        <v>-38.69999999999709</v>
      </c>
      <c r="Q563" s="197">
        <v>-4.6264196054990325E-4</v>
      </c>
      <c r="R563" s="260" t="s">
        <v>239</v>
      </c>
      <c r="S563" s="260" t="s">
        <v>514</v>
      </c>
      <c r="T563" s="260" t="s">
        <v>239</v>
      </c>
      <c r="U563" s="260" t="s">
        <v>514</v>
      </c>
    </row>
    <row r="564" spans="1:21" ht="14.5" x14ac:dyDescent="0.35">
      <c r="A564" s="260" t="s">
        <v>565</v>
      </c>
      <c r="B564" s="190">
        <v>45850</v>
      </c>
      <c r="C564" s="197">
        <v>83611.3</v>
      </c>
      <c r="D564" s="197">
        <v>0</v>
      </c>
      <c r="E564" s="197">
        <v>0</v>
      </c>
      <c r="F564" s="197">
        <v>0</v>
      </c>
      <c r="G564" s="197">
        <v>52868</v>
      </c>
      <c r="H564" s="197">
        <v>30743.3</v>
      </c>
      <c r="I564" s="197">
        <v>0</v>
      </c>
      <c r="J564" s="197">
        <v>83611.3</v>
      </c>
      <c r="K564" s="197">
        <v>83611.3</v>
      </c>
      <c r="L564" s="197">
        <v>32132</v>
      </c>
      <c r="M564" s="197">
        <v>0</v>
      </c>
      <c r="N564" s="197">
        <v>0</v>
      </c>
      <c r="O564" s="197">
        <v>0</v>
      </c>
      <c r="P564" s="197">
        <v>0</v>
      </c>
      <c r="Q564" s="197">
        <v>0</v>
      </c>
      <c r="R564" s="260" t="s">
        <v>239</v>
      </c>
      <c r="S564" s="260" t="s">
        <v>514</v>
      </c>
      <c r="T564" s="260" t="s">
        <v>239</v>
      </c>
      <c r="U564" s="260" t="s">
        <v>514</v>
      </c>
    </row>
    <row r="565" spans="1:21" ht="14.5" x14ac:dyDescent="0.35">
      <c r="A565" s="260" t="s">
        <v>565</v>
      </c>
      <c r="B565" s="190">
        <v>45851</v>
      </c>
      <c r="C565" s="197">
        <v>83611.3</v>
      </c>
      <c r="D565" s="197">
        <v>0</v>
      </c>
      <c r="E565" s="197">
        <v>0</v>
      </c>
      <c r="F565" s="197">
        <v>0</v>
      </c>
      <c r="G565" s="197">
        <v>52868</v>
      </c>
      <c r="H565" s="197">
        <v>30743.3</v>
      </c>
      <c r="I565" s="197">
        <v>0</v>
      </c>
      <c r="J565" s="197">
        <v>83611.3</v>
      </c>
      <c r="K565" s="197">
        <v>83611.3</v>
      </c>
      <c r="L565" s="197">
        <v>32132</v>
      </c>
      <c r="M565" s="197">
        <v>0</v>
      </c>
      <c r="N565" s="197">
        <v>0</v>
      </c>
      <c r="O565" s="197">
        <v>0</v>
      </c>
      <c r="P565" s="197">
        <v>0</v>
      </c>
      <c r="Q565" s="197">
        <v>0</v>
      </c>
      <c r="R565" s="260" t="s">
        <v>239</v>
      </c>
      <c r="S565" s="260" t="s">
        <v>514</v>
      </c>
      <c r="T565" s="260" t="s">
        <v>239</v>
      </c>
      <c r="U565" s="260" t="s">
        <v>514</v>
      </c>
    </row>
    <row r="566" spans="1:21" ht="14.5" x14ac:dyDescent="0.35">
      <c r="A566" s="260" t="s">
        <v>565</v>
      </c>
      <c r="B566" s="190">
        <v>45852</v>
      </c>
      <c r="C566" s="197">
        <v>83611.3</v>
      </c>
      <c r="D566" s="197">
        <v>0</v>
      </c>
      <c r="E566" s="197">
        <v>0</v>
      </c>
      <c r="F566" s="197">
        <v>0</v>
      </c>
      <c r="G566" s="197">
        <v>52868</v>
      </c>
      <c r="H566" s="197">
        <v>30627.3</v>
      </c>
      <c r="I566" s="197">
        <v>0</v>
      </c>
      <c r="J566" s="197">
        <v>83495.3</v>
      </c>
      <c r="K566" s="197">
        <v>83495.3</v>
      </c>
      <c r="L566" s="197">
        <v>32132</v>
      </c>
      <c r="M566" s="197">
        <v>0</v>
      </c>
      <c r="N566" s="197">
        <v>0</v>
      </c>
      <c r="O566" s="197">
        <v>0</v>
      </c>
      <c r="P566" s="197">
        <v>-116</v>
      </c>
      <c r="Q566" s="197">
        <v>-1.3873722810194833E-3</v>
      </c>
      <c r="R566" s="260" t="s">
        <v>239</v>
      </c>
      <c r="S566" s="260" t="s">
        <v>514</v>
      </c>
      <c r="T566" s="260" t="s">
        <v>239</v>
      </c>
      <c r="U566" s="260" t="s">
        <v>514</v>
      </c>
    </row>
    <row r="567" spans="1:21" ht="14.5" x14ac:dyDescent="0.35">
      <c r="A567" s="260" t="s">
        <v>565</v>
      </c>
      <c r="B567" s="190">
        <v>45853</v>
      </c>
      <c r="C567" s="197">
        <v>83495.3</v>
      </c>
      <c r="D567" s="197">
        <v>0</v>
      </c>
      <c r="E567" s="197">
        <v>0</v>
      </c>
      <c r="F567" s="197">
        <v>0</v>
      </c>
      <c r="G567" s="197">
        <v>52868</v>
      </c>
      <c r="H567" s="197">
        <v>30588.699999999997</v>
      </c>
      <c r="I567" s="197">
        <v>0</v>
      </c>
      <c r="J567" s="197">
        <v>83456.7</v>
      </c>
      <c r="K567" s="197">
        <v>83456.7</v>
      </c>
      <c r="L567" s="197">
        <v>32132</v>
      </c>
      <c r="M567" s="197">
        <v>0</v>
      </c>
      <c r="N567" s="197">
        <v>0</v>
      </c>
      <c r="O567" s="197">
        <v>0</v>
      </c>
      <c r="P567" s="197">
        <v>-38.600000000005821</v>
      </c>
      <c r="Q567" s="197">
        <v>-4.6230147086134821E-4</v>
      </c>
      <c r="R567" s="260" t="s">
        <v>239</v>
      </c>
      <c r="S567" s="260" t="s">
        <v>514</v>
      </c>
      <c r="T567" s="260" t="s">
        <v>239</v>
      </c>
      <c r="U567" s="260" t="s">
        <v>514</v>
      </c>
    </row>
    <row r="568" spans="1:21" ht="14.5" x14ac:dyDescent="0.35">
      <c r="A568" s="260" t="s">
        <v>565</v>
      </c>
      <c r="B568" s="190">
        <v>45854</v>
      </c>
      <c r="C568" s="197">
        <v>83456.7</v>
      </c>
      <c r="D568" s="197">
        <v>0</v>
      </c>
      <c r="E568" s="197">
        <v>0</v>
      </c>
      <c r="F568" s="197">
        <v>0</v>
      </c>
      <c r="G568" s="197">
        <v>52868</v>
      </c>
      <c r="H568" s="197">
        <v>30550</v>
      </c>
      <c r="I568" s="197">
        <v>0</v>
      </c>
      <c r="J568" s="197">
        <v>83418</v>
      </c>
      <c r="K568" s="197">
        <v>83418</v>
      </c>
      <c r="L568" s="197">
        <v>32132</v>
      </c>
      <c r="M568" s="197">
        <v>0</v>
      </c>
      <c r="N568" s="197">
        <v>0</v>
      </c>
      <c r="O568" s="197">
        <v>0</v>
      </c>
      <c r="P568" s="197">
        <v>-38.69999999999709</v>
      </c>
      <c r="Q568" s="197">
        <v>-4.6371351850715836E-4</v>
      </c>
      <c r="R568" s="260" t="s">
        <v>239</v>
      </c>
      <c r="S568" s="260" t="s">
        <v>514</v>
      </c>
      <c r="T568" s="260" t="s">
        <v>239</v>
      </c>
      <c r="U568" s="260" t="s">
        <v>514</v>
      </c>
    </row>
    <row r="569" spans="1:21" ht="14.5" x14ac:dyDescent="0.35">
      <c r="A569" s="260" t="s">
        <v>565</v>
      </c>
      <c r="B569" s="190">
        <v>45855</v>
      </c>
      <c r="C569" s="197">
        <v>83418</v>
      </c>
      <c r="D569" s="197">
        <v>0</v>
      </c>
      <c r="E569" s="197">
        <v>0</v>
      </c>
      <c r="F569" s="197">
        <v>0</v>
      </c>
      <c r="G569" s="197">
        <v>52868</v>
      </c>
      <c r="H569" s="197">
        <v>30511.300000000003</v>
      </c>
      <c r="I569" s="197">
        <v>0</v>
      </c>
      <c r="J569" s="197">
        <v>83379.3</v>
      </c>
      <c r="K569" s="197">
        <v>83379.3</v>
      </c>
      <c r="L569" s="197">
        <v>32132</v>
      </c>
      <c r="M569" s="197">
        <v>0</v>
      </c>
      <c r="N569" s="197">
        <v>0</v>
      </c>
      <c r="O569" s="197">
        <v>0</v>
      </c>
      <c r="P569" s="197">
        <v>-38.69999999999709</v>
      </c>
      <c r="Q569" s="197">
        <v>-4.639286484930949E-4</v>
      </c>
      <c r="R569" s="260" t="s">
        <v>239</v>
      </c>
      <c r="S569" s="260" t="s">
        <v>514</v>
      </c>
      <c r="T569" s="260" t="s">
        <v>239</v>
      </c>
      <c r="U569" s="260" t="s">
        <v>514</v>
      </c>
    </row>
    <row r="570" spans="1:21" ht="14.5" x14ac:dyDescent="0.35">
      <c r="A570" s="260" t="s">
        <v>565</v>
      </c>
      <c r="B570" s="190">
        <v>45856</v>
      </c>
      <c r="C570" s="197">
        <v>83379.3</v>
      </c>
      <c r="D570" s="197">
        <v>0</v>
      </c>
      <c r="E570" s="197">
        <v>0</v>
      </c>
      <c r="F570" s="197">
        <v>0</v>
      </c>
      <c r="G570" s="197">
        <v>52868</v>
      </c>
      <c r="H570" s="197">
        <v>30472.7</v>
      </c>
      <c r="I570" s="197">
        <v>0</v>
      </c>
      <c r="J570" s="197">
        <v>83340.7</v>
      </c>
      <c r="K570" s="197">
        <v>83340.7</v>
      </c>
      <c r="L570" s="197">
        <v>32132</v>
      </c>
      <c r="M570" s="197">
        <v>0</v>
      </c>
      <c r="N570" s="197">
        <v>0</v>
      </c>
      <c r="O570" s="197">
        <v>0</v>
      </c>
      <c r="P570" s="197">
        <v>-38.600000000005821</v>
      </c>
      <c r="Q570" s="197">
        <v>-4.6294463973683975E-4</v>
      </c>
      <c r="R570" s="260" t="s">
        <v>239</v>
      </c>
      <c r="S570" s="260" t="s">
        <v>514</v>
      </c>
      <c r="T570" s="260" t="s">
        <v>239</v>
      </c>
      <c r="U570" s="260" t="s">
        <v>514</v>
      </c>
    </row>
    <row r="571" spans="1:21" ht="14.5" x14ac:dyDescent="0.35">
      <c r="A571" s="260" t="s">
        <v>565</v>
      </c>
      <c r="B571" s="190">
        <v>45857</v>
      </c>
      <c r="C571" s="197">
        <v>83340.7</v>
      </c>
      <c r="D571" s="197">
        <v>0</v>
      </c>
      <c r="E571" s="197">
        <v>0</v>
      </c>
      <c r="F571" s="197">
        <v>0</v>
      </c>
      <c r="G571" s="197">
        <v>52868</v>
      </c>
      <c r="H571" s="197">
        <v>30472.7</v>
      </c>
      <c r="I571" s="197">
        <v>0</v>
      </c>
      <c r="J571" s="197">
        <v>83340.7</v>
      </c>
      <c r="K571" s="197">
        <v>83340.7</v>
      </c>
      <c r="L571" s="197">
        <v>32132</v>
      </c>
      <c r="M571" s="197">
        <v>0</v>
      </c>
      <c r="N571" s="197">
        <v>0</v>
      </c>
      <c r="O571" s="197">
        <v>0</v>
      </c>
      <c r="P571" s="197">
        <v>0</v>
      </c>
      <c r="Q571" s="197">
        <v>0</v>
      </c>
      <c r="R571" s="260" t="s">
        <v>239</v>
      </c>
      <c r="S571" s="260" t="s">
        <v>514</v>
      </c>
      <c r="T571" s="260" t="s">
        <v>239</v>
      </c>
      <c r="U571" s="260" t="s">
        <v>514</v>
      </c>
    </row>
    <row r="572" spans="1:21" ht="14.5" x14ac:dyDescent="0.35">
      <c r="A572" s="260" t="s">
        <v>565</v>
      </c>
      <c r="B572" s="190">
        <v>45858</v>
      </c>
      <c r="C572" s="197">
        <v>83340.7</v>
      </c>
      <c r="D572" s="197">
        <v>0</v>
      </c>
      <c r="E572" s="197">
        <v>0</v>
      </c>
      <c r="F572" s="197">
        <v>0</v>
      </c>
      <c r="G572" s="197">
        <v>52868</v>
      </c>
      <c r="H572" s="197">
        <v>30472.7</v>
      </c>
      <c r="I572" s="197">
        <v>0</v>
      </c>
      <c r="J572" s="197">
        <v>83340.7</v>
      </c>
      <c r="K572" s="197">
        <v>83340.7</v>
      </c>
      <c r="L572" s="197">
        <v>32132</v>
      </c>
      <c r="M572" s="197">
        <v>0</v>
      </c>
      <c r="N572" s="197">
        <v>0</v>
      </c>
      <c r="O572" s="197">
        <v>0</v>
      </c>
      <c r="P572" s="197">
        <v>0</v>
      </c>
      <c r="Q572" s="197">
        <v>0</v>
      </c>
      <c r="R572" s="260" t="s">
        <v>239</v>
      </c>
      <c r="S572" s="260" t="s">
        <v>514</v>
      </c>
      <c r="T572" s="260" t="s">
        <v>239</v>
      </c>
      <c r="U572" s="260" t="s">
        <v>514</v>
      </c>
    </row>
    <row r="573" spans="1:21" ht="14.5" x14ac:dyDescent="0.35">
      <c r="A573" s="260" t="s">
        <v>565</v>
      </c>
      <c r="B573" s="190">
        <v>45859</v>
      </c>
      <c r="C573" s="197">
        <v>83340.7</v>
      </c>
      <c r="D573" s="197">
        <v>0</v>
      </c>
      <c r="E573" s="197">
        <v>0</v>
      </c>
      <c r="F573" s="197">
        <v>0</v>
      </c>
      <c r="G573" s="197">
        <v>52868</v>
      </c>
      <c r="H573" s="197">
        <v>30356.7</v>
      </c>
      <c r="I573" s="197">
        <v>0</v>
      </c>
      <c r="J573" s="197">
        <v>83224.7</v>
      </c>
      <c r="K573" s="197">
        <v>83224.7</v>
      </c>
      <c r="L573" s="197">
        <v>32132</v>
      </c>
      <c r="M573" s="197">
        <v>0</v>
      </c>
      <c r="N573" s="197">
        <v>0</v>
      </c>
      <c r="O573" s="197">
        <v>0</v>
      </c>
      <c r="P573" s="197">
        <v>-116</v>
      </c>
      <c r="Q573" s="197">
        <v>-1.3918769580768542E-3</v>
      </c>
      <c r="R573" s="260" t="s">
        <v>239</v>
      </c>
      <c r="S573" s="260" t="s">
        <v>514</v>
      </c>
      <c r="T573" s="260" t="s">
        <v>239</v>
      </c>
      <c r="U573" s="260" t="s">
        <v>514</v>
      </c>
    </row>
    <row r="574" spans="1:21" ht="14.5" x14ac:dyDescent="0.35">
      <c r="A574" s="260" t="s">
        <v>565</v>
      </c>
      <c r="B574" s="190">
        <v>45860</v>
      </c>
      <c r="C574" s="197">
        <v>83224.7</v>
      </c>
      <c r="D574" s="197">
        <v>0</v>
      </c>
      <c r="E574" s="197">
        <v>0</v>
      </c>
      <c r="F574" s="197">
        <v>0</v>
      </c>
      <c r="G574" s="197">
        <v>52868</v>
      </c>
      <c r="H574" s="197">
        <v>30318</v>
      </c>
      <c r="I574" s="197">
        <v>0</v>
      </c>
      <c r="J574" s="197">
        <v>83186</v>
      </c>
      <c r="K574" s="197">
        <v>83186</v>
      </c>
      <c r="L574" s="197">
        <v>32132</v>
      </c>
      <c r="M574" s="197">
        <v>0</v>
      </c>
      <c r="N574" s="197">
        <v>0</v>
      </c>
      <c r="O574" s="197">
        <v>0</v>
      </c>
      <c r="P574" s="197">
        <v>-38.69999999999709</v>
      </c>
      <c r="Q574" s="197">
        <v>-4.6500618205891353E-4</v>
      </c>
      <c r="R574" s="260" t="s">
        <v>239</v>
      </c>
      <c r="S574" s="260" t="s">
        <v>514</v>
      </c>
      <c r="T574" s="260" t="s">
        <v>239</v>
      </c>
      <c r="U574" s="260" t="s">
        <v>514</v>
      </c>
    </row>
    <row r="575" spans="1:21" ht="14.5" x14ac:dyDescent="0.35">
      <c r="A575" s="260" t="s">
        <v>565</v>
      </c>
      <c r="B575" s="190">
        <v>45861</v>
      </c>
      <c r="C575" s="197">
        <v>83186</v>
      </c>
      <c r="D575" s="197">
        <v>0</v>
      </c>
      <c r="E575" s="197">
        <v>0</v>
      </c>
      <c r="F575" s="197">
        <v>0</v>
      </c>
      <c r="G575" s="197">
        <v>52868</v>
      </c>
      <c r="H575" s="197">
        <v>30279.3</v>
      </c>
      <c r="I575" s="197">
        <v>0</v>
      </c>
      <c r="J575" s="197">
        <v>83147.3</v>
      </c>
      <c r="K575" s="197">
        <v>83147.3</v>
      </c>
      <c r="L575" s="197">
        <v>32132</v>
      </c>
      <c r="M575" s="197">
        <v>0</v>
      </c>
      <c r="N575" s="197">
        <v>0</v>
      </c>
      <c r="O575" s="197">
        <v>0</v>
      </c>
      <c r="P575" s="197">
        <v>-38.69999999999709</v>
      </c>
      <c r="Q575" s="197">
        <v>-4.6522251340364029E-4</v>
      </c>
      <c r="R575" s="260" t="s">
        <v>239</v>
      </c>
      <c r="S575" s="260" t="s">
        <v>514</v>
      </c>
      <c r="T575" s="260" t="s">
        <v>239</v>
      </c>
      <c r="U575" s="260" t="s">
        <v>514</v>
      </c>
    </row>
    <row r="576" spans="1:21" ht="14.5" x14ac:dyDescent="0.35">
      <c r="A576" s="260" t="s">
        <v>565</v>
      </c>
      <c r="B576" s="190">
        <v>45862</v>
      </c>
      <c r="C576" s="197">
        <v>83147.3</v>
      </c>
      <c r="D576" s="197">
        <v>0</v>
      </c>
      <c r="E576" s="197">
        <v>0</v>
      </c>
      <c r="F576" s="197">
        <v>0</v>
      </c>
      <c r="G576" s="197">
        <v>52868</v>
      </c>
      <c r="H576" s="197">
        <v>30240.7</v>
      </c>
      <c r="I576" s="197">
        <v>0</v>
      </c>
      <c r="J576" s="197">
        <v>83108.7</v>
      </c>
      <c r="K576" s="197">
        <v>83108.7</v>
      </c>
      <c r="L576" s="197">
        <v>32132</v>
      </c>
      <c r="M576" s="197">
        <v>0</v>
      </c>
      <c r="N576" s="197">
        <v>0</v>
      </c>
      <c r="O576" s="197">
        <v>0</v>
      </c>
      <c r="P576" s="197">
        <v>-38.600000000005821</v>
      </c>
      <c r="Q576" s="197">
        <v>-4.6423636125292322E-4</v>
      </c>
      <c r="R576" s="260" t="s">
        <v>239</v>
      </c>
      <c r="S576" s="260" t="s">
        <v>514</v>
      </c>
      <c r="T576" s="260" t="s">
        <v>239</v>
      </c>
      <c r="U576" s="260" t="s">
        <v>514</v>
      </c>
    </row>
    <row r="577" spans="1:21" ht="14.5" x14ac:dyDescent="0.35">
      <c r="A577" s="260" t="s">
        <v>565</v>
      </c>
      <c r="B577" s="190">
        <v>45863</v>
      </c>
      <c r="C577" s="197">
        <v>83108.7</v>
      </c>
      <c r="D577" s="197">
        <v>0</v>
      </c>
      <c r="E577" s="197">
        <v>0</v>
      </c>
      <c r="F577" s="197">
        <v>0</v>
      </c>
      <c r="G577" s="197">
        <v>52868</v>
      </c>
      <c r="H577" s="197">
        <v>30202</v>
      </c>
      <c r="I577" s="197">
        <v>0</v>
      </c>
      <c r="J577" s="197">
        <v>83070</v>
      </c>
      <c r="K577" s="197">
        <v>83070</v>
      </c>
      <c r="L577" s="197">
        <v>32132</v>
      </c>
      <c r="M577" s="197">
        <v>0</v>
      </c>
      <c r="N577" s="197">
        <v>0</v>
      </c>
      <c r="O577" s="197">
        <v>0</v>
      </c>
      <c r="P577" s="197">
        <v>-38.69999999999709</v>
      </c>
      <c r="Q577" s="197">
        <v>-4.6565522021158046E-4</v>
      </c>
      <c r="R577" s="260" t="s">
        <v>239</v>
      </c>
      <c r="S577" s="260" t="s">
        <v>514</v>
      </c>
      <c r="T577" s="260" t="s">
        <v>239</v>
      </c>
      <c r="U577" s="260" t="s">
        <v>514</v>
      </c>
    </row>
    <row r="578" spans="1:21" ht="14.5" x14ac:dyDescent="0.35">
      <c r="A578" s="260" t="s">
        <v>565</v>
      </c>
      <c r="B578" s="190">
        <v>45864</v>
      </c>
      <c r="C578" s="197">
        <v>83070</v>
      </c>
      <c r="D578" s="197">
        <v>0</v>
      </c>
      <c r="E578" s="197">
        <v>0</v>
      </c>
      <c r="F578" s="197">
        <v>0</v>
      </c>
      <c r="G578" s="197">
        <v>52868</v>
      </c>
      <c r="H578" s="197">
        <v>30202</v>
      </c>
      <c r="I578" s="197">
        <v>0</v>
      </c>
      <c r="J578" s="197">
        <v>83070</v>
      </c>
      <c r="K578" s="197">
        <v>83070</v>
      </c>
      <c r="L578" s="197">
        <v>32132</v>
      </c>
      <c r="M578" s="197">
        <v>0</v>
      </c>
      <c r="N578" s="197">
        <v>0</v>
      </c>
      <c r="O578" s="197">
        <v>0</v>
      </c>
      <c r="P578" s="197">
        <v>0</v>
      </c>
      <c r="Q578" s="197">
        <v>0</v>
      </c>
      <c r="R578" s="260" t="s">
        <v>239</v>
      </c>
      <c r="S578" s="260" t="s">
        <v>514</v>
      </c>
      <c r="T578" s="260" t="s">
        <v>239</v>
      </c>
      <c r="U578" s="260" t="s">
        <v>514</v>
      </c>
    </row>
    <row r="579" spans="1:21" ht="14.5" x14ac:dyDescent="0.35">
      <c r="A579" s="260" t="s">
        <v>565</v>
      </c>
      <c r="B579" s="190">
        <v>45865</v>
      </c>
      <c r="C579" s="197">
        <v>83070</v>
      </c>
      <c r="D579" s="197">
        <v>0</v>
      </c>
      <c r="E579" s="197">
        <v>0</v>
      </c>
      <c r="F579" s="197">
        <v>0</v>
      </c>
      <c r="G579" s="197">
        <v>52868</v>
      </c>
      <c r="H579" s="197">
        <v>30202</v>
      </c>
      <c r="I579" s="197">
        <v>0</v>
      </c>
      <c r="J579" s="197">
        <v>83070</v>
      </c>
      <c r="K579" s="197">
        <v>83070</v>
      </c>
      <c r="L579" s="197">
        <v>32132</v>
      </c>
      <c r="M579" s="197">
        <v>0</v>
      </c>
      <c r="N579" s="197">
        <v>0</v>
      </c>
      <c r="O579" s="197">
        <v>0</v>
      </c>
      <c r="P579" s="197">
        <v>0</v>
      </c>
      <c r="Q579" s="197">
        <v>0</v>
      </c>
      <c r="R579" s="260" t="s">
        <v>239</v>
      </c>
      <c r="S579" s="260" t="s">
        <v>514</v>
      </c>
      <c r="T579" s="260" t="s">
        <v>239</v>
      </c>
      <c r="U579" s="260" t="s">
        <v>514</v>
      </c>
    </row>
    <row r="580" spans="1:21" ht="14.5" x14ac:dyDescent="0.35">
      <c r="A580" s="260" t="s">
        <v>565</v>
      </c>
      <c r="B580" s="190">
        <v>45866</v>
      </c>
      <c r="C580" s="197">
        <v>83070</v>
      </c>
      <c r="D580" s="197">
        <v>0</v>
      </c>
      <c r="E580" s="197">
        <v>0</v>
      </c>
      <c r="F580" s="197">
        <v>0</v>
      </c>
      <c r="G580" s="197">
        <v>52868</v>
      </c>
      <c r="H580" s="197">
        <v>30086</v>
      </c>
      <c r="I580" s="197">
        <v>0</v>
      </c>
      <c r="J580" s="197">
        <v>82954</v>
      </c>
      <c r="K580" s="197">
        <v>82954</v>
      </c>
      <c r="L580" s="197">
        <v>32132</v>
      </c>
      <c r="M580" s="197">
        <v>0</v>
      </c>
      <c r="N580" s="197">
        <v>0</v>
      </c>
      <c r="O580" s="197">
        <v>0</v>
      </c>
      <c r="P580" s="197">
        <v>-116</v>
      </c>
      <c r="Q580" s="197">
        <v>-1.3964126640182428E-3</v>
      </c>
      <c r="R580" s="260" t="s">
        <v>239</v>
      </c>
      <c r="S580" s="260" t="s">
        <v>514</v>
      </c>
      <c r="T580" s="260" t="s">
        <v>239</v>
      </c>
      <c r="U580" s="260" t="s">
        <v>514</v>
      </c>
    </row>
    <row r="581" spans="1:21" ht="14.5" x14ac:dyDescent="0.35">
      <c r="A581" s="260" t="s">
        <v>565</v>
      </c>
      <c r="B581" s="190">
        <v>45867</v>
      </c>
      <c r="C581" s="197">
        <v>82954</v>
      </c>
      <c r="D581" s="197">
        <v>0</v>
      </c>
      <c r="E581" s="197">
        <v>0</v>
      </c>
      <c r="F581" s="197">
        <v>0</v>
      </c>
      <c r="G581" s="197">
        <v>52868</v>
      </c>
      <c r="H581" s="197">
        <v>30047.3</v>
      </c>
      <c r="I581" s="197">
        <v>0</v>
      </c>
      <c r="J581" s="197">
        <v>82915.3</v>
      </c>
      <c r="K581" s="197">
        <v>82915.3</v>
      </c>
      <c r="L581" s="197">
        <v>32132</v>
      </c>
      <c r="M581" s="197">
        <v>0</v>
      </c>
      <c r="N581" s="197">
        <v>0</v>
      </c>
      <c r="O581" s="197">
        <v>0</v>
      </c>
      <c r="P581" s="197">
        <v>-38.69999999999709</v>
      </c>
      <c r="Q581" s="197">
        <v>-4.6652361549770482E-4</v>
      </c>
      <c r="R581" s="260" t="s">
        <v>239</v>
      </c>
      <c r="S581" s="260" t="s">
        <v>514</v>
      </c>
      <c r="T581" s="260" t="s">
        <v>239</v>
      </c>
      <c r="U581" s="260" t="s">
        <v>514</v>
      </c>
    </row>
    <row r="582" spans="1:21" ht="14.5" x14ac:dyDescent="0.35">
      <c r="A582" s="260" t="s">
        <v>565</v>
      </c>
      <c r="B582" s="190">
        <v>45868</v>
      </c>
      <c r="C582" s="197">
        <v>82915.3</v>
      </c>
      <c r="D582" s="197">
        <v>0</v>
      </c>
      <c r="E582" s="197">
        <v>0</v>
      </c>
      <c r="F582" s="197">
        <v>0</v>
      </c>
      <c r="G582" s="197">
        <v>52868</v>
      </c>
      <c r="H582" s="197">
        <v>30008.699999999997</v>
      </c>
      <c r="I582" s="197">
        <v>0</v>
      </c>
      <c r="J582" s="197">
        <v>82876.7</v>
      </c>
      <c r="K582" s="197">
        <v>82876.7</v>
      </c>
      <c r="L582" s="197">
        <v>32132</v>
      </c>
      <c r="M582" s="197">
        <v>0</v>
      </c>
      <c r="N582" s="197">
        <v>0</v>
      </c>
      <c r="O582" s="197">
        <v>0</v>
      </c>
      <c r="P582" s="197">
        <v>-38.600000000005821</v>
      </c>
      <c r="Q582" s="197">
        <v>-4.655353113358629E-4</v>
      </c>
      <c r="R582" s="260" t="s">
        <v>239</v>
      </c>
      <c r="S582" s="260" t="s">
        <v>514</v>
      </c>
      <c r="T582" s="260" t="s">
        <v>239</v>
      </c>
      <c r="U582" s="260" t="s">
        <v>514</v>
      </c>
    </row>
    <row r="583" spans="1:21" ht="14.5" x14ac:dyDescent="0.35">
      <c r="A583" s="260" t="s">
        <v>565</v>
      </c>
      <c r="B583" s="190">
        <v>45869</v>
      </c>
      <c r="C583" s="197">
        <v>82876.7</v>
      </c>
      <c r="D583" s="197">
        <v>0</v>
      </c>
      <c r="E583" s="197">
        <v>0</v>
      </c>
      <c r="F583" s="197">
        <v>0</v>
      </c>
      <c r="G583" s="197">
        <v>52868</v>
      </c>
      <c r="H583" s="197">
        <v>29970</v>
      </c>
      <c r="I583" s="197">
        <v>0</v>
      </c>
      <c r="J583" s="197">
        <v>82838</v>
      </c>
      <c r="K583" s="197">
        <v>82838</v>
      </c>
      <c r="L583" s="197">
        <v>32132</v>
      </c>
      <c r="M583" s="197">
        <v>0</v>
      </c>
      <c r="N583" s="197">
        <v>0</v>
      </c>
      <c r="O583" s="197">
        <v>0</v>
      </c>
      <c r="P583" s="197">
        <v>-38.69999999999709</v>
      </c>
      <c r="Q583" s="197">
        <v>-4.669587471508585E-4</v>
      </c>
      <c r="R583" s="260" t="s">
        <v>239</v>
      </c>
      <c r="S583" s="260" t="s">
        <v>514</v>
      </c>
      <c r="T583" s="260" t="s">
        <v>239</v>
      </c>
      <c r="U583" s="260" t="s">
        <v>514</v>
      </c>
    </row>
    <row r="584" spans="1:21" ht="14.5" x14ac:dyDescent="0.35">
      <c r="A584" s="260" t="s">
        <v>565</v>
      </c>
      <c r="B584" s="190">
        <v>45870</v>
      </c>
      <c r="C584" s="197">
        <v>82838</v>
      </c>
      <c r="D584" s="197">
        <v>0</v>
      </c>
      <c r="E584" s="197">
        <v>0</v>
      </c>
      <c r="F584" s="197">
        <v>0</v>
      </c>
      <c r="G584" s="197">
        <v>52868</v>
      </c>
      <c r="H584" s="197">
        <v>29970</v>
      </c>
      <c r="I584" s="197">
        <v>0</v>
      </c>
      <c r="J584" s="197">
        <v>82838</v>
      </c>
      <c r="K584" s="197">
        <v>82838</v>
      </c>
      <c r="L584" s="197">
        <v>32132</v>
      </c>
      <c r="M584" s="197">
        <v>0</v>
      </c>
      <c r="N584" s="197">
        <v>0</v>
      </c>
      <c r="O584" s="197">
        <v>0</v>
      </c>
      <c r="P584" s="197">
        <v>0</v>
      </c>
      <c r="Q584" s="197">
        <v>0</v>
      </c>
      <c r="R584" s="260" t="s">
        <v>239</v>
      </c>
      <c r="S584" s="260" t="s">
        <v>514</v>
      </c>
      <c r="T584" s="260" t="s">
        <v>239</v>
      </c>
      <c r="U584" s="260" t="s">
        <v>514</v>
      </c>
    </row>
    <row r="585" spans="1:21" ht="14.5" x14ac:dyDescent="0.35">
      <c r="A585" s="260" t="s">
        <v>565</v>
      </c>
      <c r="B585" s="190">
        <v>45871</v>
      </c>
      <c r="C585" s="197">
        <v>82838</v>
      </c>
      <c r="D585" s="197">
        <v>0</v>
      </c>
      <c r="E585" s="197">
        <v>0</v>
      </c>
      <c r="F585" s="197">
        <v>0</v>
      </c>
      <c r="G585" s="197">
        <v>52868</v>
      </c>
      <c r="H585" s="197">
        <v>29970</v>
      </c>
      <c r="I585" s="197">
        <v>0</v>
      </c>
      <c r="J585" s="197">
        <v>82838</v>
      </c>
      <c r="K585" s="197">
        <v>82838</v>
      </c>
      <c r="L585" s="197">
        <v>32132</v>
      </c>
      <c r="M585" s="197">
        <v>0</v>
      </c>
      <c r="N585" s="197">
        <v>0</v>
      </c>
      <c r="O585" s="197">
        <v>0</v>
      </c>
      <c r="P585" s="197">
        <v>0</v>
      </c>
      <c r="Q585" s="197">
        <v>0</v>
      </c>
      <c r="R585" s="260" t="s">
        <v>239</v>
      </c>
      <c r="S585" s="260" t="s">
        <v>514</v>
      </c>
      <c r="T585" s="260" t="s">
        <v>239</v>
      </c>
      <c r="U585" s="260" t="s">
        <v>514</v>
      </c>
    </row>
    <row r="586" spans="1:21" ht="14.5" x14ac:dyDescent="0.35">
      <c r="A586" s="260" t="s">
        <v>565</v>
      </c>
      <c r="B586" s="190">
        <v>45872</v>
      </c>
      <c r="C586" s="197">
        <v>82838</v>
      </c>
      <c r="D586" s="197">
        <v>0</v>
      </c>
      <c r="E586" s="197">
        <v>0</v>
      </c>
      <c r="F586" s="197">
        <v>0</v>
      </c>
      <c r="G586" s="197">
        <v>52868</v>
      </c>
      <c r="H586" s="197">
        <v>29970</v>
      </c>
      <c r="I586" s="197">
        <v>0</v>
      </c>
      <c r="J586" s="197">
        <v>82838</v>
      </c>
      <c r="K586" s="197">
        <v>82838</v>
      </c>
      <c r="L586" s="197">
        <v>32132</v>
      </c>
      <c r="M586" s="197">
        <v>0</v>
      </c>
      <c r="N586" s="197">
        <v>0</v>
      </c>
      <c r="O586" s="197">
        <v>0</v>
      </c>
      <c r="P586" s="197">
        <v>0</v>
      </c>
      <c r="Q586" s="197">
        <v>0</v>
      </c>
      <c r="R586" s="260" t="s">
        <v>239</v>
      </c>
      <c r="S586" s="260" t="s">
        <v>514</v>
      </c>
      <c r="T586" s="260" t="s">
        <v>239</v>
      </c>
      <c r="U586" s="260" t="s">
        <v>514</v>
      </c>
    </row>
    <row r="587" spans="1:21" ht="14.5" x14ac:dyDescent="0.35">
      <c r="A587" s="260" t="s">
        <v>565</v>
      </c>
      <c r="B587" s="190">
        <v>45873</v>
      </c>
      <c r="C587" s="197">
        <v>82838</v>
      </c>
      <c r="D587" s="197">
        <v>0</v>
      </c>
      <c r="E587" s="197">
        <v>0</v>
      </c>
      <c r="F587" s="197">
        <v>0</v>
      </c>
      <c r="G587" s="197">
        <v>52868</v>
      </c>
      <c r="H587" s="197">
        <v>30077</v>
      </c>
      <c r="I587" s="197">
        <v>0</v>
      </c>
      <c r="J587" s="197">
        <v>82945</v>
      </c>
      <c r="K587" s="197">
        <v>82945</v>
      </c>
      <c r="L587" s="197">
        <v>32132</v>
      </c>
      <c r="M587" s="197">
        <v>0</v>
      </c>
      <c r="N587" s="197">
        <v>0</v>
      </c>
      <c r="O587" s="197">
        <v>0</v>
      </c>
      <c r="P587" s="197">
        <v>107</v>
      </c>
      <c r="Q587" s="197">
        <v>1.291677732441654E-3</v>
      </c>
      <c r="R587" s="260" t="s">
        <v>239</v>
      </c>
      <c r="S587" s="260" t="s">
        <v>514</v>
      </c>
      <c r="T587" s="260" t="s">
        <v>239</v>
      </c>
      <c r="U587" s="260" t="s">
        <v>514</v>
      </c>
    </row>
    <row r="588" spans="1:21" ht="14.5" x14ac:dyDescent="0.35">
      <c r="A588" s="260" t="s">
        <v>565</v>
      </c>
      <c r="B588" s="190">
        <v>45874</v>
      </c>
      <c r="C588" s="197">
        <v>82945</v>
      </c>
      <c r="D588" s="197">
        <v>0</v>
      </c>
      <c r="E588" s="197">
        <v>0</v>
      </c>
      <c r="F588" s="197">
        <v>0</v>
      </c>
      <c r="G588" s="197">
        <v>52868</v>
      </c>
      <c r="H588" s="197">
        <v>30113</v>
      </c>
      <c r="I588" s="197">
        <v>0</v>
      </c>
      <c r="J588" s="197">
        <v>82981</v>
      </c>
      <c r="K588" s="197">
        <v>82981</v>
      </c>
      <c r="L588" s="197">
        <v>32132</v>
      </c>
      <c r="M588" s="197">
        <v>0</v>
      </c>
      <c r="N588" s="197">
        <v>0</v>
      </c>
      <c r="O588" s="197">
        <v>0</v>
      </c>
      <c r="P588" s="197">
        <v>36</v>
      </c>
      <c r="Q588" s="197">
        <v>4.3402254506008653E-4</v>
      </c>
      <c r="R588" s="260" t="s">
        <v>239</v>
      </c>
      <c r="S588" s="260" t="s">
        <v>514</v>
      </c>
      <c r="T588" s="260" t="s">
        <v>239</v>
      </c>
      <c r="U588" s="260" t="s">
        <v>514</v>
      </c>
    </row>
    <row r="589" spans="1:21" ht="14.5" x14ac:dyDescent="0.35">
      <c r="A589" s="260" t="s">
        <v>565</v>
      </c>
      <c r="B589" s="190">
        <v>45875</v>
      </c>
      <c r="C589" s="197">
        <v>82981</v>
      </c>
      <c r="D589" s="197">
        <v>0</v>
      </c>
      <c r="E589" s="197">
        <v>0</v>
      </c>
      <c r="F589" s="197">
        <v>0</v>
      </c>
      <c r="G589" s="197">
        <v>52868</v>
      </c>
      <c r="H589" s="197">
        <v>30148</v>
      </c>
      <c r="I589" s="197">
        <v>0</v>
      </c>
      <c r="J589" s="197">
        <v>83016</v>
      </c>
      <c r="K589" s="197">
        <v>83016</v>
      </c>
      <c r="L589" s="197">
        <v>32132</v>
      </c>
      <c r="M589" s="197">
        <v>0</v>
      </c>
      <c r="N589" s="197">
        <v>0</v>
      </c>
      <c r="O589" s="197">
        <v>0</v>
      </c>
      <c r="P589" s="197">
        <v>35</v>
      </c>
      <c r="Q589" s="197">
        <v>4.2178329979147833E-4</v>
      </c>
      <c r="R589" s="260" t="s">
        <v>239</v>
      </c>
      <c r="S589" s="260" t="s">
        <v>514</v>
      </c>
      <c r="T589" s="260" t="s">
        <v>239</v>
      </c>
      <c r="U589" s="260" t="s">
        <v>514</v>
      </c>
    </row>
    <row r="590" spans="1:21" ht="14.5" x14ac:dyDescent="0.35">
      <c r="A590" s="260" t="s">
        <v>565</v>
      </c>
      <c r="B590" s="190">
        <v>45876</v>
      </c>
      <c r="C590" s="197">
        <v>83016</v>
      </c>
      <c r="D590" s="197">
        <v>0</v>
      </c>
      <c r="E590" s="197">
        <v>0</v>
      </c>
      <c r="F590" s="197">
        <v>0</v>
      </c>
      <c r="G590" s="197">
        <v>52868</v>
      </c>
      <c r="H590" s="197">
        <v>30184</v>
      </c>
      <c r="I590" s="197">
        <v>0</v>
      </c>
      <c r="J590" s="197">
        <v>83052</v>
      </c>
      <c r="K590" s="197">
        <v>83052</v>
      </c>
      <c r="L590" s="197">
        <v>32132</v>
      </c>
      <c r="M590" s="197">
        <v>0</v>
      </c>
      <c r="N590" s="197">
        <v>0</v>
      </c>
      <c r="O590" s="197">
        <v>0</v>
      </c>
      <c r="P590" s="197">
        <v>36</v>
      </c>
      <c r="Q590" s="197">
        <v>4.3365134431927466E-4</v>
      </c>
      <c r="R590" s="260" t="s">
        <v>239</v>
      </c>
      <c r="S590" s="260" t="s">
        <v>514</v>
      </c>
      <c r="T590" s="260" t="s">
        <v>239</v>
      </c>
      <c r="U590" s="260" t="s">
        <v>514</v>
      </c>
    </row>
    <row r="591" spans="1:21" ht="14.5" x14ac:dyDescent="0.35">
      <c r="A591" s="260" t="s">
        <v>565</v>
      </c>
      <c r="B591" s="190">
        <v>45877</v>
      </c>
      <c r="C591" s="197">
        <v>83052</v>
      </c>
      <c r="D591" s="197">
        <v>0</v>
      </c>
      <c r="E591" s="197">
        <v>0</v>
      </c>
      <c r="F591" s="197">
        <v>0</v>
      </c>
      <c r="G591" s="197">
        <v>52868</v>
      </c>
      <c r="H591" s="197">
        <v>30220</v>
      </c>
      <c r="I591" s="197">
        <v>0</v>
      </c>
      <c r="J591" s="197">
        <v>83088</v>
      </c>
      <c r="K591" s="197">
        <v>83088</v>
      </c>
      <c r="L591" s="197">
        <v>32132</v>
      </c>
      <c r="M591" s="197">
        <v>0</v>
      </c>
      <c r="N591" s="197">
        <v>0</v>
      </c>
      <c r="O591" s="197">
        <v>0</v>
      </c>
      <c r="P591" s="197">
        <v>36</v>
      </c>
      <c r="Q591" s="197">
        <v>4.3346337234506649E-4</v>
      </c>
      <c r="R591" s="260" t="s">
        <v>239</v>
      </c>
      <c r="S591" s="260" t="s">
        <v>514</v>
      </c>
      <c r="T591" s="260" t="s">
        <v>239</v>
      </c>
      <c r="U591" s="260" t="s">
        <v>514</v>
      </c>
    </row>
    <row r="592" spans="1:21" ht="14.5" x14ac:dyDescent="0.35">
      <c r="A592" s="260" t="s">
        <v>565</v>
      </c>
      <c r="B592" s="190">
        <v>45878</v>
      </c>
      <c r="C592" s="197">
        <v>83088</v>
      </c>
      <c r="D592" s="197">
        <v>0</v>
      </c>
      <c r="E592" s="197">
        <v>0</v>
      </c>
      <c r="F592" s="197">
        <v>0</v>
      </c>
      <c r="G592" s="197">
        <v>52868</v>
      </c>
      <c r="H592" s="197">
        <v>30220</v>
      </c>
      <c r="I592" s="197">
        <v>0</v>
      </c>
      <c r="J592" s="197">
        <v>83088</v>
      </c>
      <c r="K592" s="197">
        <v>83088</v>
      </c>
      <c r="L592" s="197">
        <v>32132</v>
      </c>
      <c r="M592" s="197">
        <v>0</v>
      </c>
      <c r="N592" s="197">
        <v>0</v>
      </c>
      <c r="O592" s="197">
        <v>0</v>
      </c>
      <c r="P592" s="197">
        <v>0</v>
      </c>
      <c r="Q592" s="197">
        <v>0</v>
      </c>
      <c r="R592" s="260" t="s">
        <v>239</v>
      </c>
      <c r="S592" s="260" t="s">
        <v>514</v>
      </c>
      <c r="T592" s="260" t="s">
        <v>239</v>
      </c>
      <c r="U592" s="260" t="s">
        <v>514</v>
      </c>
    </row>
    <row r="593" spans="1:21" ht="14.5" x14ac:dyDescent="0.35">
      <c r="A593" s="260" t="s">
        <v>565</v>
      </c>
      <c r="B593" s="190">
        <v>45879</v>
      </c>
      <c r="C593" s="197">
        <v>83088</v>
      </c>
      <c r="D593" s="197">
        <v>0</v>
      </c>
      <c r="E593" s="197">
        <v>0</v>
      </c>
      <c r="F593" s="197">
        <v>0</v>
      </c>
      <c r="G593" s="197">
        <v>52868</v>
      </c>
      <c r="H593" s="197">
        <v>30220</v>
      </c>
      <c r="I593" s="197">
        <v>0</v>
      </c>
      <c r="J593" s="197">
        <v>83088</v>
      </c>
      <c r="K593" s="197">
        <v>83088</v>
      </c>
      <c r="L593" s="197">
        <v>32132</v>
      </c>
      <c r="M593" s="197">
        <v>0</v>
      </c>
      <c r="N593" s="197">
        <v>0</v>
      </c>
      <c r="O593" s="197">
        <v>0</v>
      </c>
      <c r="P593" s="197">
        <v>0</v>
      </c>
      <c r="Q593" s="197">
        <v>0</v>
      </c>
      <c r="R593" s="260" t="s">
        <v>239</v>
      </c>
      <c r="S593" s="260" t="s">
        <v>514</v>
      </c>
      <c r="T593" s="260" t="s">
        <v>239</v>
      </c>
      <c r="U593" s="260" t="s">
        <v>514</v>
      </c>
    </row>
    <row r="594" spans="1:21" ht="14.5" x14ac:dyDescent="0.35">
      <c r="A594" s="260" t="s">
        <v>565</v>
      </c>
      <c r="B594" s="190">
        <v>45880</v>
      </c>
      <c r="C594" s="197">
        <v>83088</v>
      </c>
      <c r="D594" s="197">
        <v>0</v>
      </c>
      <c r="E594" s="197">
        <v>0</v>
      </c>
      <c r="F594" s="197">
        <v>0</v>
      </c>
      <c r="G594" s="197">
        <v>52868</v>
      </c>
      <c r="H594" s="197">
        <v>30327</v>
      </c>
      <c r="I594" s="197">
        <v>0</v>
      </c>
      <c r="J594" s="197">
        <v>83195</v>
      </c>
      <c r="K594" s="197">
        <v>83195</v>
      </c>
      <c r="L594" s="197">
        <v>32132</v>
      </c>
      <c r="M594" s="197">
        <v>0</v>
      </c>
      <c r="N594" s="197">
        <v>0</v>
      </c>
      <c r="O594" s="197">
        <v>0</v>
      </c>
      <c r="P594" s="197">
        <v>107</v>
      </c>
      <c r="Q594" s="197">
        <v>1.2877912574620343E-3</v>
      </c>
      <c r="R594" s="260" t="s">
        <v>239</v>
      </c>
      <c r="S594" s="260" t="s">
        <v>514</v>
      </c>
      <c r="T594" s="260" t="s">
        <v>239</v>
      </c>
      <c r="U594" s="260" t="s">
        <v>514</v>
      </c>
    </row>
    <row r="595" spans="1:21" ht="14.5" x14ac:dyDescent="0.35">
      <c r="A595" s="260" t="s">
        <v>565</v>
      </c>
      <c r="B595" s="190">
        <v>45881</v>
      </c>
      <c r="C595" s="197">
        <v>83195</v>
      </c>
      <c r="D595" s="197">
        <v>0</v>
      </c>
      <c r="E595" s="197">
        <v>0</v>
      </c>
      <c r="F595" s="197">
        <v>0</v>
      </c>
      <c r="G595" s="197">
        <v>52868</v>
      </c>
      <c r="H595" s="197">
        <v>30362</v>
      </c>
      <c r="I595" s="197">
        <v>0</v>
      </c>
      <c r="J595" s="197">
        <v>83230</v>
      </c>
      <c r="K595" s="197">
        <v>83230</v>
      </c>
      <c r="L595" s="197">
        <v>32132</v>
      </c>
      <c r="M595" s="197">
        <v>0</v>
      </c>
      <c r="N595" s="197">
        <v>0</v>
      </c>
      <c r="O595" s="197">
        <v>0</v>
      </c>
      <c r="P595" s="197">
        <v>35</v>
      </c>
      <c r="Q595" s="197">
        <v>4.2069835927649457E-4</v>
      </c>
      <c r="R595" s="260" t="s">
        <v>239</v>
      </c>
      <c r="S595" s="260" t="s">
        <v>514</v>
      </c>
      <c r="T595" s="260" t="s">
        <v>239</v>
      </c>
      <c r="U595" s="260" t="s">
        <v>514</v>
      </c>
    </row>
    <row r="596" spans="1:21" ht="14.5" x14ac:dyDescent="0.35">
      <c r="A596" s="260" t="s">
        <v>565</v>
      </c>
      <c r="B596" s="190">
        <v>45882</v>
      </c>
      <c r="C596" s="197">
        <v>83230</v>
      </c>
      <c r="D596" s="197">
        <v>0</v>
      </c>
      <c r="E596" s="197">
        <v>0</v>
      </c>
      <c r="F596" s="197">
        <v>0</v>
      </c>
      <c r="G596" s="197">
        <v>52868</v>
      </c>
      <c r="H596" s="197">
        <v>30398</v>
      </c>
      <c r="I596" s="197">
        <v>0</v>
      </c>
      <c r="J596" s="197">
        <v>83266</v>
      </c>
      <c r="K596" s="197">
        <v>83266</v>
      </c>
      <c r="L596" s="197">
        <v>32132</v>
      </c>
      <c r="M596" s="197">
        <v>0</v>
      </c>
      <c r="N596" s="197">
        <v>0</v>
      </c>
      <c r="O596" s="197">
        <v>0</v>
      </c>
      <c r="P596" s="197">
        <v>36</v>
      </c>
      <c r="Q596" s="197">
        <v>4.3253634506790206E-4</v>
      </c>
      <c r="R596" s="260" t="s">
        <v>239</v>
      </c>
      <c r="S596" s="260" t="s">
        <v>514</v>
      </c>
      <c r="T596" s="260" t="s">
        <v>239</v>
      </c>
      <c r="U596" s="260" t="s">
        <v>514</v>
      </c>
    </row>
    <row r="597" spans="1:21" ht="14.5" x14ac:dyDescent="0.35">
      <c r="A597" s="260" t="s">
        <v>565</v>
      </c>
      <c r="B597" s="190">
        <v>45883</v>
      </c>
      <c r="C597" s="197">
        <v>83266</v>
      </c>
      <c r="D597" s="197">
        <v>0</v>
      </c>
      <c r="E597" s="197">
        <v>0</v>
      </c>
      <c r="F597" s="197">
        <v>0</v>
      </c>
      <c r="G597" s="197">
        <v>52868</v>
      </c>
      <c r="H597" s="197">
        <v>30434</v>
      </c>
      <c r="I597" s="197">
        <v>0</v>
      </c>
      <c r="J597" s="197">
        <v>83302</v>
      </c>
      <c r="K597" s="197">
        <v>83302</v>
      </c>
      <c r="L597" s="197">
        <v>32132</v>
      </c>
      <c r="M597" s="197">
        <v>0</v>
      </c>
      <c r="N597" s="197">
        <v>0</v>
      </c>
      <c r="O597" s="197">
        <v>0</v>
      </c>
      <c r="P597" s="197">
        <v>36</v>
      </c>
      <c r="Q597" s="197">
        <v>4.3234933826541422E-4</v>
      </c>
      <c r="R597" s="260" t="s">
        <v>239</v>
      </c>
      <c r="S597" s="260" t="s">
        <v>514</v>
      </c>
      <c r="T597" s="260" t="s">
        <v>239</v>
      </c>
      <c r="U597" s="260" t="s">
        <v>514</v>
      </c>
    </row>
    <row r="598" spans="1:21" ht="14.5" x14ac:dyDescent="0.35">
      <c r="A598" s="260" t="s">
        <v>565</v>
      </c>
      <c r="B598" s="190">
        <v>45884</v>
      </c>
      <c r="C598" s="197">
        <v>83302</v>
      </c>
      <c r="D598" s="197">
        <v>0</v>
      </c>
      <c r="E598" s="197">
        <v>0</v>
      </c>
      <c r="F598" s="197">
        <v>0</v>
      </c>
      <c r="G598" s="197">
        <v>52868</v>
      </c>
      <c r="H598" s="197">
        <v>30469</v>
      </c>
      <c r="I598" s="197">
        <v>0</v>
      </c>
      <c r="J598" s="197">
        <v>83337</v>
      </c>
      <c r="K598" s="197">
        <v>83337</v>
      </c>
      <c r="L598" s="197">
        <v>32132</v>
      </c>
      <c r="M598" s="197">
        <v>0</v>
      </c>
      <c r="N598" s="197">
        <v>0</v>
      </c>
      <c r="O598" s="197">
        <v>0</v>
      </c>
      <c r="P598" s="197">
        <v>35</v>
      </c>
      <c r="Q598" s="197">
        <v>4.2015797940031518E-4</v>
      </c>
      <c r="R598" s="260" t="s">
        <v>239</v>
      </c>
      <c r="S598" s="260" t="s">
        <v>514</v>
      </c>
      <c r="T598" s="260" t="s">
        <v>239</v>
      </c>
      <c r="U598" s="260" t="s">
        <v>514</v>
      </c>
    </row>
    <row r="599" spans="1:21" ht="14.5" x14ac:dyDescent="0.35">
      <c r="A599" s="260" t="s">
        <v>565</v>
      </c>
      <c r="B599" s="190">
        <v>45885</v>
      </c>
      <c r="C599" s="197">
        <v>83337</v>
      </c>
      <c r="D599" s="197">
        <v>0</v>
      </c>
      <c r="E599" s="197">
        <v>0</v>
      </c>
      <c r="F599" s="197">
        <v>0</v>
      </c>
      <c r="G599" s="197">
        <v>52868</v>
      </c>
      <c r="H599" s="197">
        <v>30469</v>
      </c>
      <c r="I599" s="197">
        <v>0</v>
      </c>
      <c r="J599" s="197">
        <v>83337</v>
      </c>
      <c r="K599" s="197">
        <v>83337</v>
      </c>
      <c r="L599" s="197">
        <v>32132</v>
      </c>
      <c r="M599" s="197">
        <v>0</v>
      </c>
      <c r="N599" s="197">
        <v>0</v>
      </c>
      <c r="O599" s="197">
        <v>0</v>
      </c>
      <c r="P599" s="197">
        <v>0</v>
      </c>
      <c r="Q599" s="197">
        <v>0</v>
      </c>
      <c r="R599" s="260" t="s">
        <v>239</v>
      </c>
      <c r="S599" s="260" t="s">
        <v>514</v>
      </c>
      <c r="T599" s="260" t="s">
        <v>239</v>
      </c>
      <c r="U599" s="260" t="s">
        <v>514</v>
      </c>
    </row>
    <row r="600" spans="1:21" ht="14.5" x14ac:dyDescent="0.35">
      <c r="A600" s="260" t="s">
        <v>565</v>
      </c>
      <c r="B600" s="190">
        <v>45886</v>
      </c>
      <c r="C600" s="197">
        <v>83337</v>
      </c>
      <c r="D600" s="197">
        <v>0</v>
      </c>
      <c r="E600" s="197">
        <v>0</v>
      </c>
      <c r="F600" s="197">
        <v>0</v>
      </c>
      <c r="G600" s="197">
        <v>52868</v>
      </c>
      <c r="H600" s="197">
        <v>30469</v>
      </c>
      <c r="I600" s="197">
        <v>0</v>
      </c>
      <c r="J600" s="197">
        <v>83337</v>
      </c>
      <c r="K600" s="197">
        <v>83337</v>
      </c>
      <c r="L600" s="197">
        <v>32132</v>
      </c>
      <c r="M600" s="197">
        <v>0</v>
      </c>
      <c r="N600" s="197">
        <v>0</v>
      </c>
      <c r="O600" s="197">
        <v>0</v>
      </c>
      <c r="P600" s="197">
        <v>0</v>
      </c>
      <c r="Q600" s="197">
        <v>0</v>
      </c>
      <c r="R600" s="260" t="s">
        <v>239</v>
      </c>
      <c r="S600" s="260" t="s">
        <v>514</v>
      </c>
      <c r="T600" s="260" t="s">
        <v>239</v>
      </c>
      <c r="U600" s="260" t="s">
        <v>514</v>
      </c>
    </row>
    <row r="601" spans="1:21" ht="14.5" x14ac:dyDescent="0.35">
      <c r="A601" s="260" t="s">
        <v>565</v>
      </c>
      <c r="B601" s="190">
        <v>45887</v>
      </c>
      <c r="C601" s="197">
        <v>83337</v>
      </c>
      <c r="D601" s="197">
        <v>0</v>
      </c>
      <c r="E601" s="197">
        <v>-5000</v>
      </c>
      <c r="F601" s="197">
        <v>-5000</v>
      </c>
      <c r="G601" s="197">
        <v>47868</v>
      </c>
      <c r="H601" s="197">
        <v>30576</v>
      </c>
      <c r="I601" s="197">
        <v>0</v>
      </c>
      <c r="J601" s="197">
        <v>78444</v>
      </c>
      <c r="K601" s="197">
        <v>78444</v>
      </c>
      <c r="L601" s="197">
        <v>32132</v>
      </c>
      <c r="M601" s="197">
        <v>0</v>
      </c>
      <c r="N601" s="197">
        <v>0</v>
      </c>
      <c r="O601" s="197">
        <v>0</v>
      </c>
      <c r="P601" s="197">
        <v>107</v>
      </c>
      <c r="Q601" s="197">
        <v>1.2839435064857518E-3</v>
      </c>
      <c r="R601" s="260" t="s">
        <v>239</v>
      </c>
      <c r="S601" s="260" t="s">
        <v>514</v>
      </c>
      <c r="T601" s="260" t="s">
        <v>239</v>
      </c>
      <c r="U601" s="260" t="s">
        <v>514</v>
      </c>
    </row>
    <row r="602" spans="1:21" ht="14.5" x14ac:dyDescent="0.35">
      <c r="A602" s="260" t="s">
        <v>565</v>
      </c>
      <c r="B602" s="190">
        <v>45888</v>
      </c>
      <c r="C602" s="197">
        <v>78444</v>
      </c>
      <c r="D602" s="197">
        <v>0</v>
      </c>
      <c r="E602" s="197">
        <v>0</v>
      </c>
      <c r="F602" s="197">
        <v>0</v>
      </c>
      <c r="G602" s="197">
        <v>47868</v>
      </c>
      <c r="H602" s="197">
        <v>30612</v>
      </c>
      <c r="I602" s="197">
        <v>0</v>
      </c>
      <c r="J602" s="197">
        <v>78480</v>
      </c>
      <c r="K602" s="197">
        <v>78480</v>
      </c>
      <c r="L602" s="197">
        <v>32132</v>
      </c>
      <c r="M602" s="197">
        <v>0</v>
      </c>
      <c r="N602" s="197">
        <v>0</v>
      </c>
      <c r="O602" s="197">
        <v>0</v>
      </c>
      <c r="P602" s="197">
        <v>36</v>
      </c>
      <c r="Q602" s="197">
        <v>4.5892611289577445E-4</v>
      </c>
      <c r="R602" s="260" t="s">
        <v>239</v>
      </c>
      <c r="S602" s="260" t="s">
        <v>514</v>
      </c>
      <c r="T602" s="260" t="s">
        <v>239</v>
      </c>
      <c r="U602" s="260" t="s">
        <v>514</v>
      </c>
    </row>
    <row r="603" spans="1:21" ht="14.5" x14ac:dyDescent="0.35">
      <c r="A603" s="260" t="s">
        <v>565</v>
      </c>
      <c r="B603" s="190">
        <v>45889</v>
      </c>
      <c r="C603" s="197">
        <v>78480</v>
      </c>
      <c r="D603" s="197">
        <v>0</v>
      </c>
      <c r="E603" s="197">
        <v>0</v>
      </c>
      <c r="F603" s="197">
        <v>0</v>
      </c>
      <c r="G603" s="197">
        <v>47868</v>
      </c>
      <c r="H603" s="197">
        <v>30648</v>
      </c>
      <c r="I603" s="197">
        <v>0</v>
      </c>
      <c r="J603" s="197">
        <v>78516</v>
      </c>
      <c r="K603" s="197">
        <v>78516</v>
      </c>
      <c r="L603" s="197">
        <v>32132</v>
      </c>
      <c r="M603" s="197">
        <v>0</v>
      </c>
      <c r="N603" s="197">
        <v>0</v>
      </c>
      <c r="O603" s="197">
        <v>0</v>
      </c>
      <c r="P603" s="197">
        <v>36</v>
      </c>
      <c r="Q603" s="197">
        <v>4.5871559633026138E-4</v>
      </c>
      <c r="R603" s="260" t="s">
        <v>239</v>
      </c>
      <c r="S603" s="260" t="s">
        <v>514</v>
      </c>
      <c r="T603" s="260" t="s">
        <v>239</v>
      </c>
      <c r="U603" s="260" t="s">
        <v>514</v>
      </c>
    </row>
    <row r="604" spans="1:21" ht="14.5" x14ac:dyDescent="0.35">
      <c r="A604" s="260" t="s">
        <v>565</v>
      </c>
      <c r="B604" s="190">
        <v>45890</v>
      </c>
      <c r="C604" s="197">
        <v>78516</v>
      </c>
      <c r="D604" s="197">
        <v>0</v>
      </c>
      <c r="E604" s="197">
        <v>0</v>
      </c>
      <c r="F604" s="197">
        <v>0</v>
      </c>
      <c r="G604" s="197">
        <v>47868</v>
      </c>
      <c r="H604" s="197">
        <v>30683</v>
      </c>
      <c r="I604" s="197">
        <v>0</v>
      </c>
      <c r="J604" s="197">
        <v>78551</v>
      </c>
      <c r="K604" s="197">
        <v>78551</v>
      </c>
      <c r="L604" s="197">
        <v>32132</v>
      </c>
      <c r="M604" s="197">
        <v>0</v>
      </c>
      <c r="N604" s="197">
        <v>0</v>
      </c>
      <c r="O604" s="197">
        <v>0</v>
      </c>
      <c r="P604" s="197">
        <v>35</v>
      </c>
      <c r="Q604" s="197">
        <v>4.4576901523263324E-4</v>
      </c>
      <c r="R604" s="260" t="s">
        <v>239</v>
      </c>
      <c r="S604" s="260" t="s">
        <v>514</v>
      </c>
      <c r="T604" s="260" t="s">
        <v>239</v>
      </c>
      <c r="U604" s="260" t="s">
        <v>514</v>
      </c>
    </row>
    <row r="605" spans="1:21" ht="14.5" x14ac:dyDescent="0.35">
      <c r="A605" s="260" t="s">
        <v>565</v>
      </c>
      <c r="B605" s="190">
        <v>45891</v>
      </c>
      <c r="C605" s="197">
        <v>78551</v>
      </c>
      <c r="D605" s="197">
        <v>0</v>
      </c>
      <c r="E605" s="197">
        <v>0</v>
      </c>
      <c r="F605" s="197">
        <v>0</v>
      </c>
      <c r="G605" s="197">
        <v>47868</v>
      </c>
      <c r="H605" s="197">
        <v>30719</v>
      </c>
      <c r="I605" s="197">
        <v>0</v>
      </c>
      <c r="J605" s="197">
        <v>78587</v>
      </c>
      <c r="K605" s="197">
        <v>78587</v>
      </c>
      <c r="L605" s="197">
        <v>32132</v>
      </c>
      <c r="M605" s="197">
        <v>0</v>
      </c>
      <c r="N605" s="197">
        <v>0</v>
      </c>
      <c r="O605" s="197">
        <v>0</v>
      </c>
      <c r="P605" s="197">
        <v>36</v>
      </c>
      <c r="Q605" s="197">
        <v>4.5830097643562162E-4</v>
      </c>
      <c r="R605" s="260" t="s">
        <v>239</v>
      </c>
      <c r="S605" s="260" t="s">
        <v>514</v>
      </c>
      <c r="T605" s="260" t="s">
        <v>239</v>
      </c>
      <c r="U605" s="260" t="s">
        <v>514</v>
      </c>
    </row>
    <row r="606" spans="1:21" ht="14.5" x14ac:dyDescent="0.35">
      <c r="A606" s="260" t="s">
        <v>565</v>
      </c>
      <c r="B606" s="190">
        <v>45892</v>
      </c>
      <c r="C606" s="197">
        <v>78587</v>
      </c>
      <c r="D606" s="197">
        <v>0</v>
      </c>
      <c r="E606" s="197">
        <v>0</v>
      </c>
      <c r="F606" s="197">
        <v>0</v>
      </c>
      <c r="G606" s="197">
        <v>47868</v>
      </c>
      <c r="H606" s="197">
        <v>30719</v>
      </c>
      <c r="I606" s="197">
        <v>0</v>
      </c>
      <c r="J606" s="197">
        <v>78587</v>
      </c>
      <c r="K606" s="197">
        <v>78587</v>
      </c>
      <c r="L606" s="197">
        <v>32132</v>
      </c>
      <c r="M606" s="197">
        <v>0</v>
      </c>
      <c r="N606" s="197">
        <v>0</v>
      </c>
      <c r="O606" s="197">
        <v>0</v>
      </c>
      <c r="P606" s="197">
        <v>0</v>
      </c>
      <c r="Q606" s="197">
        <v>0</v>
      </c>
      <c r="R606" s="260" t="s">
        <v>239</v>
      </c>
      <c r="S606" s="260" t="s">
        <v>514</v>
      </c>
      <c r="T606" s="260" t="s">
        <v>239</v>
      </c>
      <c r="U606" s="260" t="s">
        <v>514</v>
      </c>
    </row>
    <row r="607" spans="1:21" ht="14.5" x14ac:dyDescent="0.35">
      <c r="A607" s="260" t="s">
        <v>565</v>
      </c>
      <c r="B607" s="190">
        <v>45893</v>
      </c>
      <c r="C607" s="197">
        <v>78587</v>
      </c>
      <c r="D607" s="197">
        <v>0</v>
      </c>
      <c r="E607" s="197">
        <v>0</v>
      </c>
      <c r="F607" s="197">
        <v>0</v>
      </c>
      <c r="G607" s="197">
        <v>47868</v>
      </c>
      <c r="H607" s="197">
        <v>30719</v>
      </c>
      <c r="I607" s="197">
        <v>0</v>
      </c>
      <c r="J607" s="197">
        <v>78587</v>
      </c>
      <c r="K607" s="197">
        <v>78587</v>
      </c>
      <c r="L607" s="197">
        <v>32132</v>
      </c>
      <c r="M607" s="197">
        <v>0</v>
      </c>
      <c r="N607" s="197">
        <v>0</v>
      </c>
      <c r="O607" s="197">
        <v>0</v>
      </c>
      <c r="P607" s="197">
        <v>0</v>
      </c>
      <c r="Q607" s="197">
        <v>0</v>
      </c>
      <c r="R607" s="260" t="s">
        <v>239</v>
      </c>
      <c r="S607" s="260" t="s">
        <v>514</v>
      </c>
      <c r="T607" s="260" t="s">
        <v>239</v>
      </c>
      <c r="U607" s="260" t="s">
        <v>514</v>
      </c>
    </row>
    <row r="608" spans="1:21" ht="14.5" x14ac:dyDescent="0.35">
      <c r="A608" s="260" t="s">
        <v>565</v>
      </c>
      <c r="B608" s="190">
        <v>45894</v>
      </c>
      <c r="C608" s="197">
        <v>78587</v>
      </c>
      <c r="D608" s="197">
        <v>0</v>
      </c>
      <c r="E608" s="197">
        <v>0</v>
      </c>
      <c r="F608" s="197">
        <v>0</v>
      </c>
      <c r="G608" s="197">
        <v>47868</v>
      </c>
      <c r="H608" s="197">
        <v>30826</v>
      </c>
      <c r="I608" s="197">
        <v>0</v>
      </c>
      <c r="J608" s="197">
        <v>78694</v>
      </c>
      <c r="K608" s="197">
        <v>78694</v>
      </c>
      <c r="L608" s="197">
        <v>32132</v>
      </c>
      <c r="M608" s="197">
        <v>0</v>
      </c>
      <c r="N608" s="197">
        <v>0</v>
      </c>
      <c r="O608" s="197">
        <v>0</v>
      </c>
      <c r="P608" s="197">
        <v>107</v>
      </c>
      <c r="Q608" s="197">
        <v>1.3615483476911994E-3</v>
      </c>
      <c r="R608" s="260" t="s">
        <v>239</v>
      </c>
      <c r="S608" s="260" t="s">
        <v>514</v>
      </c>
      <c r="T608" s="260" t="s">
        <v>239</v>
      </c>
      <c r="U608" s="260" t="s">
        <v>514</v>
      </c>
    </row>
    <row r="609" spans="1:21" ht="14.5" x14ac:dyDescent="0.35">
      <c r="A609" s="260" t="s">
        <v>565</v>
      </c>
      <c r="B609" s="190">
        <v>45895</v>
      </c>
      <c r="C609" s="197">
        <v>78694</v>
      </c>
      <c r="D609" s="197">
        <v>0</v>
      </c>
      <c r="E609" s="197">
        <v>0</v>
      </c>
      <c r="F609" s="197">
        <v>0</v>
      </c>
      <c r="G609" s="197">
        <v>47868</v>
      </c>
      <c r="H609" s="197">
        <v>30862</v>
      </c>
      <c r="I609" s="197">
        <v>0</v>
      </c>
      <c r="J609" s="197">
        <v>78730</v>
      </c>
      <c r="K609" s="197">
        <v>78730</v>
      </c>
      <c r="L609" s="197">
        <v>32132</v>
      </c>
      <c r="M609" s="197">
        <v>0</v>
      </c>
      <c r="N609" s="197">
        <v>0</v>
      </c>
      <c r="O609" s="197">
        <v>0</v>
      </c>
      <c r="P609" s="197">
        <v>36</v>
      </c>
      <c r="Q609" s="197">
        <v>4.5746816783998057E-4</v>
      </c>
      <c r="R609" s="260" t="s">
        <v>239</v>
      </c>
      <c r="S609" s="260" t="s">
        <v>514</v>
      </c>
      <c r="T609" s="260" t="s">
        <v>239</v>
      </c>
      <c r="U609" s="260" t="s">
        <v>514</v>
      </c>
    </row>
    <row r="610" spans="1:21" ht="14.5" x14ac:dyDescent="0.35">
      <c r="A610" s="260" t="s">
        <v>565</v>
      </c>
      <c r="B610" s="190">
        <v>45896</v>
      </c>
      <c r="C610" s="197">
        <v>78730</v>
      </c>
      <c r="D610" s="197">
        <v>0</v>
      </c>
      <c r="E610" s="197">
        <v>0</v>
      </c>
      <c r="F610" s="197">
        <v>0</v>
      </c>
      <c r="G610" s="197">
        <v>47868</v>
      </c>
      <c r="H610" s="197">
        <v>30897</v>
      </c>
      <c r="I610" s="197">
        <v>0</v>
      </c>
      <c r="J610" s="197">
        <v>78765</v>
      </c>
      <c r="K610" s="197">
        <v>78765</v>
      </c>
      <c r="L610" s="197">
        <v>32132</v>
      </c>
      <c r="M610" s="197">
        <v>0</v>
      </c>
      <c r="N610" s="197">
        <v>0</v>
      </c>
      <c r="O610" s="197">
        <v>0</v>
      </c>
      <c r="P610" s="197">
        <v>35</v>
      </c>
      <c r="Q610" s="197">
        <v>4.4455734789794477E-4</v>
      </c>
      <c r="R610" s="260" t="s">
        <v>239</v>
      </c>
      <c r="S610" s="260" t="s">
        <v>514</v>
      </c>
      <c r="T610" s="260" t="s">
        <v>239</v>
      </c>
      <c r="U610" s="260" t="s">
        <v>514</v>
      </c>
    </row>
    <row r="611" spans="1:21" ht="14.5" x14ac:dyDescent="0.35">
      <c r="A611" s="260" t="s">
        <v>565</v>
      </c>
      <c r="B611" s="190">
        <v>45897</v>
      </c>
      <c r="C611" s="197">
        <v>78765</v>
      </c>
      <c r="D611" s="197">
        <v>0</v>
      </c>
      <c r="E611" s="197">
        <v>0</v>
      </c>
      <c r="F611" s="197">
        <v>0</v>
      </c>
      <c r="G611" s="197">
        <v>47868</v>
      </c>
      <c r="H611" s="197">
        <v>30933</v>
      </c>
      <c r="I611" s="197">
        <v>0</v>
      </c>
      <c r="J611" s="197">
        <v>78801</v>
      </c>
      <c r="K611" s="197">
        <v>78801</v>
      </c>
      <c r="L611" s="197">
        <v>32132</v>
      </c>
      <c r="M611" s="197">
        <v>0</v>
      </c>
      <c r="N611" s="197">
        <v>0</v>
      </c>
      <c r="O611" s="197">
        <v>0</v>
      </c>
      <c r="P611" s="197">
        <v>36</v>
      </c>
      <c r="Q611" s="197">
        <v>4.570557988954338E-4</v>
      </c>
      <c r="R611" s="260" t="s">
        <v>239</v>
      </c>
      <c r="S611" s="260" t="s">
        <v>514</v>
      </c>
      <c r="T611" s="260" t="s">
        <v>239</v>
      </c>
      <c r="U611" s="260" t="s">
        <v>514</v>
      </c>
    </row>
    <row r="612" spans="1:21" ht="14.5" x14ac:dyDescent="0.35">
      <c r="A612" s="260" t="s">
        <v>565</v>
      </c>
      <c r="B612" s="190">
        <v>45898</v>
      </c>
      <c r="C612" s="197">
        <v>78801</v>
      </c>
      <c r="D612" s="197">
        <v>0</v>
      </c>
      <c r="E612" s="197">
        <v>0</v>
      </c>
      <c r="F612" s="197">
        <v>0</v>
      </c>
      <c r="G612" s="197">
        <v>47868</v>
      </c>
      <c r="H612" s="197">
        <v>30969</v>
      </c>
      <c r="I612" s="197">
        <v>0</v>
      </c>
      <c r="J612" s="197">
        <v>78837</v>
      </c>
      <c r="K612" s="197">
        <v>78837</v>
      </c>
      <c r="L612" s="197">
        <v>32132</v>
      </c>
      <c r="M612" s="197">
        <v>0</v>
      </c>
      <c r="N612" s="197">
        <v>0</v>
      </c>
      <c r="O612" s="197">
        <v>0</v>
      </c>
      <c r="P612" s="197">
        <v>36</v>
      </c>
      <c r="Q612" s="197">
        <v>4.5684699432757547E-4</v>
      </c>
      <c r="R612" s="260" t="s">
        <v>239</v>
      </c>
      <c r="S612" s="260" t="s">
        <v>514</v>
      </c>
      <c r="T612" s="260" t="s">
        <v>239</v>
      </c>
      <c r="U612" s="260" t="s">
        <v>514</v>
      </c>
    </row>
    <row r="613" spans="1:21" ht="14.5" x14ac:dyDescent="0.35">
      <c r="A613" s="260" t="s">
        <v>565</v>
      </c>
      <c r="B613" s="190">
        <v>45899</v>
      </c>
      <c r="C613" s="197">
        <v>78837</v>
      </c>
      <c r="D613" s="197">
        <v>0</v>
      </c>
      <c r="E613" s="197">
        <v>0</v>
      </c>
      <c r="F613" s="197">
        <v>0</v>
      </c>
      <c r="G613" s="197">
        <v>47868</v>
      </c>
      <c r="H613" s="197">
        <v>30969</v>
      </c>
      <c r="I613" s="197">
        <v>0</v>
      </c>
      <c r="J613" s="197">
        <v>78837</v>
      </c>
      <c r="K613" s="197">
        <v>78837</v>
      </c>
      <c r="L613" s="197">
        <v>32132</v>
      </c>
      <c r="M613" s="197">
        <v>0</v>
      </c>
      <c r="N613" s="197">
        <v>0</v>
      </c>
      <c r="O613" s="197">
        <v>0</v>
      </c>
      <c r="P613" s="197">
        <v>0</v>
      </c>
      <c r="Q613" s="197">
        <v>0</v>
      </c>
      <c r="R613" s="260" t="s">
        <v>239</v>
      </c>
      <c r="S613" s="260" t="s">
        <v>514</v>
      </c>
      <c r="T613" s="260" t="s">
        <v>239</v>
      </c>
      <c r="U613" s="260" t="s">
        <v>514</v>
      </c>
    </row>
    <row r="614" spans="1:21" ht="14.5" x14ac:dyDescent="0.35">
      <c r="A614" s="260" t="s">
        <v>565</v>
      </c>
      <c r="B614" s="190">
        <v>45900</v>
      </c>
      <c r="C614" s="197">
        <v>78837</v>
      </c>
      <c r="D614" s="197">
        <v>0</v>
      </c>
      <c r="E614" s="197">
        <v>0</v>
      </c>
      <c r="F614" s="197">
        <v>0</v>
      </c>
      <c r="G614" s="197">
        <v>47868</v>
      </c>
      <c r="H614" s="197">
        <v>30969</v>
      </c>
      <c r="I614" s="197">
        <v>0</v>
      </c>
      <c r="J614" s="197">
        <v>78837</v>
      </c>
      <c r="K614" s="197">
        <v>78837</v>
      </c>
      <c r="L614" s="197">
        <v>32132</v>
      </c>
      <c r="M614" s="197">
        <v>0</v>
      </c>
      <c r="N614" s="197">
        <v>0</v>
      </c>
      <c r="O614" s="197">
        <v>0</v>
      </c>
      <c r="P614" s="197">
        <v>0</v>
      </c>
      <c r="Q614" s="197">
        <v>0</v>
      </c>
      <c r="R614" s="260" t="s">
        <v>239</v>
      </c>
      <c r="S614" s="260" t="s">
        <v>514</v>
      </c>
      <c r="T614" s="260" t="s">
        <v>239</v>
      </c>
      <c r="U614" s="260" t="s">
        <v>514</v>
      </c>
    </row>
    <row r="615" spans="1:21" ht="14.5" x14ac:dyDescent="0.35">
      <c r="A615" s="260" t="s">
        <v>565</v>
      </c>
      <c r="B615" s="190">
        <v>45901</v>
      </c>
      <c r="C615" s="197">
        <v>78837</v>
      </c>
      <c r="D615" s="197">
        <v>0</v>
      </c>
      <c r="E615" s="197">
        <v>0</v>
      </c>
      <c r="F615" s="197">
        <v>0</v>
      </c>
      <c r="G615" s="197">
        <v>50802</v>
      </c>
      <c r="H615" s="197">
        <v>27800</v>
      </c>
      <c r="I615" s="197">
        <v>300</v>
      </c>
      <c r="J615" s="197">
        <v>78902</v>
      </c>
      <c r="K615" s="197">
        <v>78902</v>
      </c>
      <c r="L615" s="197">
        <v>29129</v>
      </c>
      <c r="M615" s="197">
        <v>-69</v>
      </c>
      <c r="N615" s="197">
        <v>6</v>
      </c>
      <c r="O615" s="197">
        <v>300</v>
      </c>
      <c r="P615" s="197">
        <v>65</v>
      </c>
      <c r="Q615" s="197">
        <v>8.2448596471196289E-4</v>
      </c>
      <c r="R615" s="260" t="s">
        <v>239</v>
      </c>
      <c r="S615" s="260" t="s">
        <v>514</v>
      </c>
      <c r="T615" s="260" t="s">
        <v>239</v>
      </c>
      <c r="U615" s="260" t="s">
        <v>514</v>
      </c>
    </row>
    <row r="616" spans="1:21" ht="14.5" x14ac:dyDescent="0.35">
      <c r="A616" s="260" t="s">
        <v>565</v>
      </c>
      <c r="B616" s="190">
        <v>45902</v>
      </c>
      <c r="C616" s="197">
        <v>78902</v>
      </c>
      <c r="D616" s="197">
        <v>0</v>
      </c>
      <c r="E616" s="197">
        <v>0</v>
      </c>
      <c r="F616" s="197">
        <v>0</v>
      </c>
      <c r="G616" s="197">
        <v>50802</v>
      </c>
      <c r="H616" s="197">
        <v>27779</v>
      </c>
      <c r="I616" s="197">
        <v>300</v>
      </c>
      <c r="J616" s="197">
        <v>78881</v>
      </c>
      <c r="K616" s="197">
        <v>78881</v>
      </c>
      <c r="L616" s="197">
        <v>29129</v>
      </c>
      <c r="M616" s="197">
        <v>-69</v>
      </c>
      <c r="N616" s="197">
        <v>0</v>
      </c>
      <c r="O616" s="197">
        <v>0</v>
      </c>
      <c r="P616" s="197">
        <v>-21</v>
      </c>
      <c r="Q616" s="197">
        <v>-2.6615294922816002E-4</v>
      </c>
      <c r="R616" s="260" t="s">
        <v>239</v>
      </c>
      <c r="S616" s="260" t="s">
        <v>514</v>
      </c>
      <c r="T616" s="260" t="s">
        <v>239</v>
      </c>
      <c r="U616" s="260" t="s">
        <v>514</v>
      </c>
    </row>
    <row r="617" spans="1:21" ht="14.5" x14ac:dyDescent="0.35">
      <c r="A617" s="260" t="s">
        <v>565</v>
      </c>
      <c r="B617" s="190">
        <v>45903</v>
      </c>
      <c r="C617" s="197">
        <v>78881</v>
      </c>
      <c r="D617" s="197">
        <v>0</v>
      </c>
      <c r="E617" s="197">
        <v>0</v>
      </c>
      <c r="F617" s="197">
        <v>0</v>
      </c>
      <c r="G617" s="197">
        <v>50802</v>
      </c>
      <c r="H617" s="197">
        <v>27758</v>
      </c>
      <c r="I617" s="197">
        <v>300</v>
      </c>
      <c r="J617" s="197">
        <v>78860</v>
      </c>
      <c r="K617" s="197">
        <v>78860</v>
      </c>
      <c r="L617" s="197">
        <v>29129</v>
      </c>
      <c r="M617" s="197">
        <v>-69</v>
      </c>
      <c r="N617" s="197">
        <v>0</v>
      </c>
      <c r="O617" s="197">
        <v>0</v>
      </c>
      <c r="P617" s="197">
        <v>-21</v>
      </c>
      <c r="Q617" s="197">
        <v>-2.6622380547913771E-4</v>
      </c>
      <c r="R617" s="260" t="s">
        <v>239</v>
      </c>
      <c r="S617" s="260" t="s">
        <v>514</v>
      </c>
      <c r="T617" s="260" t="s">
        <v>239</v>
      </c>
      <c r="U617" s="260" t="s">
        <v>514</v>
      </c>
    </row>
    <row r="618" spans="1:21" ht="14.5" x14ac:dyDescent="0.35">
      <c r="A618" s="260" t="s">
        <v>565</v>
      </c>
      <c r="B618" s="190">
        <v>45904</v>
      </c>
      <c r="C618" s="197">
        <v>78860</v>
      </c>
      <c r="D618" s="197">
        <v>0</v>
      </c>
      <c r="E618" s="197">
        <v>0</v>
      </c>
      <c r="F618" s="197">
        <v>0</v>
      </c>
      <c r="G618" s="197">
        <v>50802</v>
      </c>
      <c r="H618" s="197">
        <v>27738.5</v>
      </c>
      <c r="I618" s="197">
        <v>300</v>
      </c>
      <c r="J618" s="197">
        <v>78840.5</v>
      </c>
      <c r="K618" s="197">
        <v>78840.5</v>
      </c>
      <c r="L618" s="197">
        <v>29129</v>
      </c>
      <c r="M618" s="197">
        <v>-69</v>
      </c>
      <c r="N618" s="197">
        <v>0</v>
      </c>
      <c r="O618" s="197">
        <v>0</v>
      </c>
      <c r="P618" s="197">
        <v>-19.5</v>
      </c>
      <c r="Q618" s="197">
        <v>-2.4727364950549724E-4</v>
      </c>
      <c r="R618" s="260" t="s">
        <v>239</v>
      </c>
      <c r="S618" s="260" t="s">
        <v>514</v>
      </c>
      <c r="T618" s="260" t="s">
        <v>239</v>
      </c>
      <c r="U618" s="260" t="s">
        <v>514</v>
      </c>
    </row>
    <row r="619" spans="1:21" ht="14.5" x14ac:dyDescent="0.35">
      <c r="A619" s="260" t="s">
        <v>565</v>
      </c>
      <c r="B619" s="190">
        <v>45905</v>
      </c>
      <c r="C619" s="197">
        <v>78840.5</v>
      </c>
      <c r="D619" s="197">
        <v>0</v>
      </c>
      <c r="E619" s="197">
        <v>0</v>
      </c>
      <c r="F619" s="197">
        <v>0</v>
      </c>
      <c r="G619" s="197">
        <v>50802</v>
      </c>
      <c r="H619" s="197">
        <v>27717.5</v>
      </c>
      <c r="I619" s="197">
        <v>300</v>
      </c>
      <c r="J619" s="197">
        <v>78819.5</v>
      </c>
      <c r="K619" s="197">
        <v>78819.5</v>
      </c>
      <c r="L619" s="197">
        <v>29129</v>
      </c>
      <c r="M619" s="197">
        <v>-69</v>
      </c>
      <c r="N619" s="197">
        <v>0</v>
      </c>
      <c r="O619" s="197">
        <v>0</v>
      </c>
      <c r="P619" s="197">
        <v>-21</v>
      </c>
      <c r="Q619" s="197">
        <v>-2.6636056341600156E-4</v>
      </c>
      <c r="R619" s="260" t="s">
        <v>239</v>
      </c>
      <c r="S619" s="260" t="s">
        <v>514</v>
      </c>
      <c r="T619" s="260" t="s">
        <v>239</v>
      </c>
      <c r="U619" s="260" t="s">
        <v>514</v>
      </c>
    </row>
    <row r="620" spans="1:21" ht="14.5" x14ac:dyDescent="0.35">
      <c r="A620" s="260" t="s">
        <v>565</v>
      </c>
      <c r="B620" s="190">
        <v>45906</v>
      </c>
      <c r="C620" s="197">
        <v>78819.5</v>
      </c>
      <c r="D620" s="197">
        <v>0</v>
      </c>
      <c r="E620" s="197">
        <v>0</v>
      </c>
      <c r="F620" s="197">
        <v>0</v>
      </c>
      <c r="G620" s="197">
        <v>50802</v>
      </c>
      <c r="H620" s="197">
        <v>27717.5</v>
      </c>
      <c r="I620" s="197">
        <v>300</v>
      </c>
      <c r="J620" s="197">
        <v>78819.5</v>
      </c>
      <c r="K620" s="197">
        <v>78819.5</v>
      </c>
      <c r="L620" s="197">
        <v>29129</v>
      </c>
      <c r="M620" s="197">
        <v>-69</v>
      </c>
      <c r="N620" s="197">
        <v>0</v>
      </c>
      <c r="O620" s="197">
        <v>0</v>
      </c>
      <c r="P620" s="197">
        <v>0</v>
      </c>
      <c r="Q620" s="197">
        <v>0</v>
      </c>
      <c r="R620" s="260" t="s">
        <v>239</v>
      </c>
      <c r="S620" s="260" t="s">
        <v>514</v>
      </c>
      <c r="T620" s="260" t="s">
        <v>239</v>
      </c>
      <c r="U620" s="260" t="s">
        <v>514</v>
      </c>
    </row>
    <row r="621" spans="1:21" ht="14.5" x14ac:dyDescent="0.35">
      <c r="A621" s="260" t="s">
        <v>565</v>
      </c>
      <c r="B621" s="190">
        <v>45907</v>
      </c>
      <c r="C621" s="197">
        <v>78819.5</v>
      </c>
      <c r="D621" s="197">
        <v>0</v>
      </c>
      <c r="E621" s="197">
        <v>0</v>
      </c>
      <c r="F621" s="197">
        <v>0</v>
      </c>
      <c r="G621" s="197">
        <v>50802</v>
      </c>
      <c r="H621" s="197">
        <v>27717.5</v>
      </c>
      <c r="I621" s="197">
        <v>300</v>
      </c>
      <c r="J621" s="197">
        <v>78819.5</v>
      </c>
      <c r="K621" s="197">
        <v>78819.5</v>
      </c>
      <c r="L621" s="197">
        <v>29129</v>
      </c>
      <c r="M621" s="197">
        <v>-69</v>
      </c>
      <c r="N621" s="197">
        <v>0</v>
      </c>
      <c r="O621" s="197">
        <v>0</v>
      </c>
      <c r="P621" s="197">
        <v>0</v>
      </c>
      <c r="Q621" s="197">
        <v>0</v>
      </c>
      <c r="R621" s="260" t="s">
        <v>239</v>
      </c>
      <c r="S621" s="260" t="s">
        <v>514</v>
      </c>
      <c r="T621" s="260" t="s">
        <v>239</v>
      </c>
      <c r="U621" s="260" t="s">
        <v>514</v>
      </c>
    </row>
    <row r="622" spans="1:21" ht="14.5" x14ac:dyDescent="0.35">
      <c r="A622" s="260" t="s">
        <v>565</v>
      </c>
      <c r="B622" s="190">
        <v>45908</v>
      </c>
      <c r="C622" s="197">
        <v>78819.5</v>
      </c>
      <c r="D622" s="197">
        <v>0</v>
      </c>
      <c r="E622" s="197">
        <v>0</v>
      </c>
      <c r="F622" s="197">
        <v>0</v>
      </c>
      <c r="G622" s="197">
        <v>50802</v>
      </c>
      <c r="H622" s="197">
        <v>27655.5</v>
      </c>
      <c r="I622" s="197">
        <v>300</v>
      </c>
      <c r="J622" s="197">
        <v>78757.5</v>
      </c>
      <c r="K622" s="197">
        <v>78757.5</v>
      </c>
      <c r="L622" s="197">
        <v>29129</v>
      </c>
      <c r="M622" s="197">
        <v>-69</v>
      </c>
      <c r="N622" s="197">
        <v>0</v>
      </c>
      <c r="O622" s="197">
        <v>0</v>
      </c>
      <c r="P622" s="197">
        <v>-62</v>
      </c>
      <c r="Q622" s="197">
        <v>-7.8660737507851852E-4</v>
      </c>
      <c r="R622" s="260" t="s">
        <v>239</v>
      </c>
      <c r="S622" s="260" t="s">
        <v>514</v>
      </c>
      <c r="T622" s="260" t="s">
        <v>239</v>
      </c>
      <c r="U622" s="260" t="s">
        <v>514</v>
      </c>
    </row>
    <row r="623" spans="1:21" ht="14.5" x14ac:dyDescent="0.35">
      <c r="A623" s="260" t="s">
        <v>565</v>
      </c>
      <c r="B623" s="190">
        <v>45909</v>
      </c>
      <c r="C623" s="197">
        <v>78757.5</v>
      </c>
      <c r="D623" s="197">
        <v>0</v>
      </c>
      <c r="E623" s="197">
        <v>0</v>
      </c>
      <c r="F623" s="197">
        <v>0</v>
      </c>
      <c r="G623" s="197">
        <v>50802</v>
      </c>
      <c r="H623" s="197">
        <v>27635</v>
      </c>
      <c r="I623" s="197">
        <v>300</v>
      </c>
      <c r="J623" s="197">
        <v>78737</v>
      </c>
      <c r="K623" s="197">
        <v>78737</v>
      </c>
      <c r="L623" s="197">
        <v>29129</v>
      </c>
      <c r="M623" s="197">
        <v>-69</v>
      </c>
      <c r="N623" s="197">
        <v>0</v>
      </c>
      <c r="O623" s="197">
        <v>0</v>
      </c>
      <c r="P623" s="197">
        <v>-20.5</v>
      </c>
      <c r="Q623" s="197">
        <v>-2.6029267053928606E-4</v>
      </c>
      <c r="R623" s="260" t="s">
        <v>239</v>
      </c>
      <c r="S623" s="260" t="s">
        <v>514</v>
      </c>
      <c r="T623" s="260" t="s">
        <v>239</v>
      </c>
      <c r="U623" s="260" t="s">
        <v>514</v>
      </c>
    </row>
    <row r="624" spans="1:21" ht="14.5" x14ac:dyDescent="0.35">
      <c r="A624" s="260" t="s">
        <v>565</v>
      </c>
      <c r="B624" s="190">
        <v>45910</v>
      </c>
      <c r="C624" s="197">
        <v>78737</v>
      </c>
      <c r="D624" s="197">
        <v>0</v>
      </c>
      <c r="E624" s="197">
        <v>0</v>
      </c>
      <c r="F624" s="197">
        <v>0</v>
      </c>
      <c r="G624" s="197">
        <v>50802</v>
      </c>
      <c r="H624" s="197">
        <v>27614</v>
      </c>
      <c r="I624" s="197">
        <v>300</v>
      </c>
      <c r="J624" s="197">
        <v>78716</v>
      </c>
      <c r="K624" s="197">
        <v>78716</v>
      </c>
      <c r="L624" s="197">
        <v>29129</v>
      </c>
      <c r="M624" s="197">
        <v>-69</v>
      </c>
      <c r="N624" s="197">
        <v>0</v>
      </c>
      <c r="O624" s="197">
        <v>0</v>
      </c>
      <c r="P624" s="197">
        <v>-21</v>
      </c>
      <c r="Q624" s="197">
        <v>-2.6671069509887069E-4</v>
      </c>
      <c r="R624" s="260" t="s">
        <v>239</v>
      </c>
      <c r="S624" s="260" t="s">
        <v>514</v>
      </c>
      <c r="T624" s="260" t="s">
        <v>239</v>
      </c>
      <c r="U624" s="260" t="s">
        <v>514</v>
      </c>
    </row>
    <row r="625" spans="1:21" ht="14.5" x14ac:dyDescent="0.35">
      <c r="A625" s="260" t="s">
        <v>565</v>
      </c>
      <c r="B625" s="190">
        <v>45911</v>
      </c>
      <c r="C625" s="197">
        <v>78716</v>
      </c>
      <c r="D625" s="197">
        <v>0</v>
      </c>
      <c r="E625" s="197">
        <v>0</v>
      </c>
      <c r="F625" s="197">
        <v>0</v>
      </c>
      <c r="G625" s="197">
        <v>50802</v>
      </c>
      <c r="H625" s="197">
        <v>27593</v>
      </c>
      <c r="I625" s="197">
        <v>300</v>
      </c>
      <c r="J625" s="197">
        <v>78695</v>
      </c>
      <c r="K625" s="197">
        <v>78695</v>
      </c>
      <c r="L625" s="197">
        <v>29129</v>
      </c>
      <c r="M625" s="197">
        <v>-69</v>
      </c>
      <c r="N625" s="197">
        <v>0</v>
      </c>
      <c r="O625" s="197">
        <v>0</v>
      </c>
      <c r="P625" s="197">
        <v>-21</v>
      </c>
      <c r="Q625" s="197">
        <v>-2.6678184867112709E-4</v>
      </c>
      <c r="R625" s="260" t="s">
        <v>239</v>
      </c>
      <c r="S625" s="260" t="s">
        <v>514</v>
      </c>
      <c r="T625" s="260" t="s">
        <v>239</v>
      </c>
      <c r="U625" s="260" t="s">
        <v>514</v>
      </c>
    </row>
    <row r="626" spans="1:21" ht="14.5" x14ac:dyDescent="0.35">
      <c r="A626" s="260" t="s">
        <v>565</v>
      </c>
      <c r="B626" s="190">
        <v>45912</v>
      </c>
      <c r="C626" s="197">
        <v>78695</v>
      </c>
      <c r="D626" s="197">
        <v>0</v>
      </c>
      <c r="E626" s="197">
        <v>0</v>
      </c>
      <c r="F626" s="197">
        <v>0</v>
      </c>
      <c r="G626" s="197">
        <v>50802</v>
      </c>
      <c r="H626" s="197">
        <v>27573</v>
      </c>
      <c r="I626" s="197">
        <v>300</v>
      </c>
      <c r="J626" s="197">
        <v>78675</v>
      </c>
      <c r="K626" s="197">
        <v>78675</v>
      </c>
      <c r="L626" s="197">
        <v>29129</v>
      </c>
      <c r="M626" s="197">
        <v>-69</v>
      </c>
      <c r="N626" s="197">
        <v>0</v>
      </c>
      <c r="O626" s="197">
        <v>0</v>
      </c>
      <c r="P626" s="197">
        <v>-20</v>
      </c>
      <c r="Q626" s="197">
        <v>-2.5414575258908556E-4</v>
      </c>
      <c r="R626" s="260" t="s">
        <v>239</v>
      </c>
      <c r="S626" s="260" t="s">
        <v>514</v>
      </c>
      <c r="T626" s="260" t="s">
        <v>239</v>
      </c>
      <c r="U626" s="260" t="s">
        <v>514</v>
      </c>
    </row>
    <row r="627" spans="1:21" ht="14.5" x14ac:dyDescent="0.35">
      <c r="A627" s="260" t="s">
        <v>565</v>
      </c>
      <c r="B627" s="190">
        <v>45913</v>
      </c>
      <c r="C627" s="197">
        <v>78675</v>
      </c>
      <c r="D627" s="197">
        <v>0</v>
      </c>
      <c r="E627" s="197">
        <v>0</v>
      </c>
      <c r="F627" s="197">
        <v>0</v>
      </c>
      <c r="G627" s="197">
        <v>50802</v>
      </c>
      <c r="H627" s="197">
        <v>27573</v>
      </c>
      <c r="I627" s="197">
        <v>300</v>
      </c>
      <c r="J627" s="197">
        <v>78675</v>
      </c>
      <c r="K627" s="197">
        <v>78675</v>
      </c>
      <c r="L627" s="197">
        <v>29129</v>
      </c>
      <c r="M627" s="197">
        <v>-69</v>
      </c>
      <c r="N627" s="197">
        <v>0</v>
      </c>
      <c r="O627" s="197">
        <v>0</v>
      </c>
      <c r="P627" s="197">
        <v>0</v>
      </c>
      <c r="Q627" s="197">
        <v>0</v>
      </c>
      <c r="R627" s="260" t="s">
        <v>239</v>
      </c>
      <c r="S627" s="260" t="s">
        <v>514</v>
      </c>
      <c r="T627" s="260" t="s">
        <v>239</v>
      </c>
      <c r="U627" s="260" t="s">
        <v>514</v>
      </c>
    </row>
    <row r="628" spans="1:21" ht="14.5" x14ac:dyDescent="0.35">
      <c r="A628" s="260" t="s">
        <v>565</v>
      </c>
      <c r="B628" s="190">
        <v>45914</v>
      </c>
      <c r="C628" s="197">
        <v>78675</v>
      </c>
      <c r="D628" s="197">
        <v>0</v>
      </c>
      <c r="E628" s="197">
        <v>0</v>
      </c>
      <c r="F628" s="197">
        <v>0</v>
      </c>
      <c r="G628" s="197">
        <v>50802</v>
      </c>
      <c r="H628" s="197">
        <v>27573</v>
      </c>
      <c r="I628" s="197">
        <v>300</v>
      </c>
      <c r="J628" s="197">
        <v>78675</v>
      </c>
      <c r="K628" s="197">
        <v>78675</v>
      </c>
      <c r="L628" s="197">
        <v>29129</v>
      </c>
      <c r="M628" s="197">
        <v>-69</v>
      </c>
      <c r="N628" s="197">
        <v>0</v>
      </c>
      <c r="O628" s="197">
        <v>0</v>
      </c>
      <c r="P628" s="197">
        <v>0</v>
      </c>
      <c r="Q628" s="197">
        <v>0</v>
      </c>
      <c r="R628" s="260" t="s">
        <v>239</v>
      </c>
      <c r="S628" s="260" t="s">
        <v>514</v>
      </c>
      <c r="T628" s="260" t="s">
        <v>239</v>
      </c>
      <c r="U628" s="260" t="s">
        <v>514</v>
      </c>
    </row>
    <row r="629" spans="1:21" ht="14.5" x14ac:dyDescent="0.35">
      <c r="A629" s="260" t="s">
        <v>565</v>
      </c>
      <c r="B629" s="190">
        <v>45915</v>
      </c>
      <c r="C629" s="197">
        <v>78675</v>
      </c>
      <c r="D629" s="197">
        <v>0</v>
      </c>
      <c r="E629" s="197">
        <v>0</v>
      </c>
      <c r="F629" s="197">
        <v>0</v>
      </c>
      <c r="G629" s="197">
        <v>51102</v>
      </c>
      <c r="H629" s="197">
        <v>27510.5</v>
      </c>
      <c r="I629" s="197">
        <v>0</v>
      </c>
      <c r="J629" s="197">
        <v>78612.5</v>
      </c>
      <c r="K629" s="197">
        <v>78612.5</v>
      </c>
      <c r="L629" s="197">
        <v>29129</v>
      </c>
      <c r="M629" s="197">
        <v>-69</v>
      </c>
      <c r="N629" s="197">
        <v>0</v>
      </c>
      <c r="O629" s="197">
        <v>0</v>
      </c>
      <c r="P629" s="197">
        <v>-62.5</v>
      </c>
      <c r="Q629" s="197">
        <v>-7.9440737210045853E-4</v>
      </c>
      <c r="R629" s="260" t="s">
        <v>239</v>
      </c>
      <c r="S629" s="260" t="s">
        <v>514</v>
      </c>
      <c r="T629" s="260" t="s">
        <v>239</v>
      </c>
      <c r="U629" s="260" t="s">
        <v>514</v>
      </c>
    </row>
    <row r="630" spans="1:21" ht="14.5" x14ac:dyDescent="0.35">
      <c r="A630" s="260" t="s">
        <v>565</v>
      </c>
      <c r="B630" s="190">
        <v>45916</v>
      </c>
      <c r="C630" s="197">
        <v>78612.5</v>
      </c>
      <c r="D630" s="197">
        <v>0</v>
      </c>
      <c r="E630" s="197">
        <v>0</v>
      </c>
      <c r="F630" s="197">
        <v>0</v>
      </c>
      <c r="G630" s="197">
        <v>51102</v>
      </c>
      <c r="H630" s="197">
        <v>27489.5</v>
      </c>
      <c r="I630" s="197">
        <v>0</v>
      </c>
      <c r="J630" s="197">
        <v>78591.5</v>
      </c>
      <c r="K630" s="197">
        <v>78591.5</v>
      </c>
      <c r="L630" s="197">
        <v>29129</v>
      </c>
      <c r="M630" s="197">
        <v>-69</v>
      </c>
      <c r="N630" s="197">
        <v>0</v>
      </c>
      <c r="O630" s="197">
        <v>0</v>
      </c>
      <c r="P630" s="197">
        <v>-21</v>
      </c>
      <c r="Q630" s="197">
        <v>-2.6713308952142079E-4</v>
      </c>
      <c r="R630" s="260" t="s">
        <v>239</v>
      </c>
      <c r="S630" s="260" t="s">
        <v>514</v>
      </c>
      <c r="T630" s="260" t="s">
        <v>239</v>
      </c>
      <c r="U630" s="260" t="s">
        <v>514</v>
      </c>
    </row>
    <row r="631" spans="1:21" ht="14.5" x14ac:dyDescent="0.35">
      <c r="A631" s="260" t="s">
        <v>565</v>
      </c>
      <c r="B631" s="190">
        <v>45917</v>
      </c>
      <c r="C631" s="197">
        <v>78591.5</v>
      </c>
      <c r="D631" s="197">
        <v>0</v>
      </c>
      <c r="E631" s="197">
        <v>0</v>
      </c>
      <c r="F631" s="197">
        <v>0</v>
      </c>
      <c r="G631" s="197">
        <v>51102</v>
      </c>
      <c r="H631" s="197">
        <v>27468.5</v>
      </c>
      <c r="I631" s="197">
        <v>0</v>
      </c>
      <c r="J631" s="197">
        <v>78570.5</v>
      </c>
      <c r="K631" s="197">
        <v>78570.5</v>
      </c>
      <c r="L631" s="197">
        <v>29129</v>
      </c>
      <c r="M631" s="197">
        <v>-69</v>
      </c>
      <c r="N631" s="197">
        <v>0</v>
      </c>
      <c r="O631" s="197">
        <v>0</v>
      </c>
      <c r="P631" s="197">
        <v>-21</v>
      </c>
      <c r="Q631" s="197">
        <v>-2.6720446867667391E-4</v>
      </c>
      <c r="R631" s="260" t="s">
        <v>239</v>
      </c>
      <c r="S631" s="260" t="s">
        <v>514</v>
      </c>
      <c r="T631" s="260" t="s">
        <v>239</v>
      </c>
      <c r="U631" s="260" t="s">
        <v>514</v>
      </c>
    </row>
    <row r="632" spans="1:21" ht="14.5" x14ac:dyDescent="0.35">
      <c r="A632" s="260" t="s">
        <v>565</v>
      </c>
      <c r="B632" s="190">
        <v>45918</v>
      </c>
      <c r="C632" s="197">
        <v>78570.5</v>
      </c>
      <c r="D632" s="197">
        <v>0</v>
      </c>
      <c r="E632" s="197">
        <v>0</v>
      </c>
      <c r="F632" s="197">
        <v>0</v>
      </c>
      <c r="G632" s="197">
        <v>51102</v>
      </c>
      <c r="H632" s="197">
        <v>27448</v>
      </c>
      <c r="I632" s="197">
        <v>0</v>
      </c>
      <c r="J632" s="197">
        <v>78550</v>
      </c>
      <c r="K632" s="197">
        <v>78550</v>
      </c>
      <c r="L632" s="197">
        <v>29129</v>
      </c>
      <c r="M632" s="197">
        <v>-69</v>
      </c>
      <c r="N632" s="197">
        <v>0</v>
      </c>
      <c r="O632" s="197">
        <v>0</v>
      </c>
      <c r="P632" s="197">
        <v>-20.5</v>
      </c>
      <c r="Q632" s="197">
        <v>-2.6091217441659431E-4</v>
      </c>
      <c r="R632" s="260" t="s">
        <v>239</v>
      </c>
      <c r="S632" s="260" t="s">
        <v>514</v>
      </c>
      <c r="T632" s="260" t="s">
        <v>239</v>
      </c>
      <c r="U632" s="260" t="s">
        <v>514</v>
      </c>
    </row>
    <row r="633" spans="1:21" ht="14.5" x14ac:dyDescent="0.35">
      <c r="A633" s="260" t="s">
        <v>565</v>
      </c>
      <c r="B633" s="190">
        <v>45919</v>
      </c>
      <c r="C633" s="197">
        <v>78550</v>
      </c>
      <c r="D633" s="197">
        <v>0</v>
      </c>
      <c r="E633" s="197">
        <v>0</v>
      </c>
      <c r="F633" s="197">
        <v>0</v>
      </c>
      <c r="G633" s="197">
        <v>51102</v>
      </c>
      <c r="H633" s="197">
        <v>27427</v>
      </c>
      <c r="I633" s="197">
        <v>0</v>
      </c>
      <c r="J633" s="197">
        <v>78529</v>
      </c>
      <c r="K633" s="197">
        <v>78529</v>
      </c>
      <c r="L633" s="197">
        <v>29129</v>
      </c>
      <c r="M633" s="197">
        <v>-69</v>
      </c>
      <c r="N633" s="197">
        <v>0</v>
      </c>
      <c r="O633" s="197">
        <v>0</v>
      </c>
      <c r="P633" s="197">
        <v>-21</v>
      </c>
      <c r="Q633" s="197">
        <v>-2.673456397199736E-4</v>
      </c>
      <c r="R633" s="260" t="s">
        <v>239</v>
      </c>
      <c r="S633" s="260" t="s">
        <v>514</v>
      </c>
      <c r="T633" s="260" t="s">
        <v>239</v>
      </c>
      <c r="U633" s="260" t="s">
        <v>514</v>
      </c>
    </row>
    <row r="634" spans="1:21" ht="14.5" x14ac:dyDescent="0.35">
      <c r="A634" s="260" t="s">
        <v>565</v>
      </c>
      <c r="B634" s="190">
        <v>45920</v>
      </c>
      <c r="C634" s="197">
        <v>78529</v>
      </c>
      <c r="D634" s="197">
        <v>0</v>
      </c>
      <c r="E634" s="197">
        <v>0</v>
      </c>
      <c r="F634" s="197">
        <v>0</v>
      </c>
      <c r="G634" s="197">
        <v>51102</v>
      </c>
      <c r="H634" s="197">
        <v>27427</v>
      </c>
      <c r="I634" s="197">
        <v>0</v>
      </c>
      <c r="J634" s="197">
        <v>78529</v>
      </c>
      <c r="K634" s="197">
        <v>78529</v>
      </c>
      <c r="L634" s="197">
        <v>29129</v>
      </c>
      <c r="M634" s="197">
        <v>-69</v>
      </c>
      <c r="N634" s="197">
        <v>0</v>
      </c>
      <c r="O634" s="197">
        <v>0</v>
      </c>
      <c r="P634" s="197">
        <v>0</v>
      </c>
      <c r="Q634" s="197">
        <v>0</v>
      </c>
      <c r="R634" s="260" t="s">
        <v>239</v>
      </c>
      <c r="S634" s="260" t="s">
        <v>514</v>
      </c>
      <c r="T634" s="260" t="s">
        <v>239</v>
      </c>
      <c r="U634" s="260" t="s">
        <v>514</v>
      </c>
    </row>
    <row r="635" spans="1:21" ht="14.5" x14ac:dyDescent="0.35">
      <c r="A635" s="260" t="s">
        <v>565</v>
      </c>
      <c r="B635" s="190">
        <v>45921</v>
      </c>
      <c r="C635" s="197">
        <v>78529</v>
      </c>
      <c r="D635" s="197">
        <v>0</v>
      </c>
      <c r="E635" s="197">
        <v>0</v>
      </c>
      <c r="F635" s="197">
        <v>0</v>
      </c>
      <c r="G635" s="197">
        <v>51102</v>
      </c>
      <c r="H635" s="197">
        <v>27427</v>
      </c>
      <c r="I635" s="197">
        <v>0</v>
      </c>
      <c r="J635" s="197">
        <v>78529</v>
      </c>
      <c r="K635" s="197">
        <v>78529</v>
      </c>
      <c r="L635" s="197">
        <v>29129</v>
      </c>
      <c r="M635" s="197">
        <v>-69</v>
      </c>
      <c r="N635" s="197">
        <v>0</v>
      </c>
      <c r="O635" s="197">
        <v>0</v>
      </c>
      <c r="P635" s="197">
        <v>0</v>
      </c>
      <c r="Q635" s="197">
        <v>0</v>
      </c>
      <c r="R635" s="260" t="s">
        <v>239</v>
      </c>
      <c r="S635" s="260" t="s">
        <v>514</v>
      </c>
      <c r="T635" s="260" t="s">
        <v>239</v>
      </c>
      <c r="U635" s="260" t="s">
        <v>514</v>
      </c>
    </row>
    <row r="636" spans="1:21" ht="14.5" x14ac:dyDescent="0.35">
      <c r="A636" s="260" t="s">
        <v>565</v>
      </c>
      <c r="B636" s="190">
        <v>45922</v>
      </c>
      <c r="C636" s="197">
        <v>78529</v>
      </c>
      <c r="D636" s="197">
        <v>0</v>
      </c>
      <c r="E636" s="197">
        <v>0</v>
      </c>
      <c r="F636" s="197">
        <v>0</v>
      </c>
      <c r="G636" s="197">
        <v>51102</v>
      </c>
      <c r="H636" s="197">
        <v>27365</v>
      </c>
      <c r="I636" s="197">
        <v>0</v>
      </c>
      <c r="J636" s="197">
        <v>78467</v>
      </c>
      <c r="K636" s="197">
        <v>78467</v>
      </c>
      <c r="L636" s="197">
        <v>29129</v>
      </c>
      <c r="M636" s="197">
        <v>-69</v>
      </c>
      <c r="N636" s="197">
        <v>0</v>
      </c>
      <c r="O636" s="197">
        <v>0</v>
      </c>
      <c r="P636" s="197">
        <v>-62</v>
      </c>
      <c r="Q636" s="197">
        <v>-7.8951724840503612E-4</v>
      </c>
      <c r="R636" s="260" t="s">
        <v>239</v>
      </c>
      <c r="S636" s="260" t="s">
        <v>514</v>
      </c>
      <c r="T636" s="260" t="s">
        <v>239</v>
      </c>
      <c r="U636" s="260" t="s">
        <v>514</v>
      </c>
    </row>
    <row r="637" spans="1:21" ht="14.5" x14ac:dyDescent="0.35">
      <c r="A637" s="260" t="s">
        <v>565</v>
      </c>
      <c r="B637" s="190">
        <v>45923</v>
      </c>
      <c r="C637" s="197">
        <v>78467</v>
      </c>
      <c r="D637" s="197">
        <v>0</v>
      </c>
      <c r="E637" s="197">
        <v>0</v>
      </c>
      <c r="F637" s="197">
        <v>0</v>
      </c>
      <c r="G637" s="197">
        <v>51102</v>
      </c>
      <c r="H637" s="197">
        <v>27344.5</v>
      </c>
      <c r="I637" s="197">
        <v>0</v>
      </c>
      <c r="J637" s="197">
        <v>78446.5</v>
      </c>
      <c r="K637" s="197">
        <v>78446.5</v>
      </c>
      <c r="L637" s="197">
        <v>29129</v>
      </c>
      <c r="M637" s="197">
        <v>-69</v>
      </c>
      <c r="N637" s="197">
        <v>0</v>
      </c>
      <c r="O637" s="197">
        <v>0</v>
      </c>
      <c r="P637" s="197">
        <v>-20.5</v>
      </c>
      <c r="Q637" s="197">
        <v>-2.6125632431472923E-4</v>
      </c>
      <c r="R637" s="260" t="s">
        <v>239</v>
      </c>
      <c r="S637" s="260" t="s">
        <v>514</v>
      </c>
      <c r="T637" s="260" t="s">
        <v>239</v>
      </c>
      <c r="U637" s="260" t="s">
        <v>514</v>
      </c>
    </row>
    <row r="638" spans="1:21" ht="14.5" x14ac:dyDescent="0.35">
      <c r="A638" s="260" t="s">
        <v>565</v>
      </c>
      <c r="B638" s="190">
        <v>45924</v>
      </c>
      <c r="C638" s="197">
        <v>78446.5</v>
      </c>
      <c r="D638" s="197">
        <v>0</v>
      </c>
      <c r="E638" s="197">
        <v>0</v>
      </c>
      <c r="F638" s="197">
        <v>0</v>
      </c>
      <c r="G638" s="197">
        <v>51102</v>
      </c>
      <c r="H638" s="197">
        <v>27324.5</v>
      </c>
      <c r="I638" s="197">
        <v>0</v>
      </c>
      <c r="J638" s="197">
        <v>78426.5</v>
      </c>
      <c r="K638" s="197">
        <v>78426.5</v>
      </c>
      <c r="L638" s="197">
        <v>29129</v>
      </c>
      <c r="M638" s="197">
        <v>-69</v>
      </c>
      <c r="N638" s="197">
        <v>0</v>
      </c>
      <c r="O638" s="197">
        <v>0</v>
      </c>
      <c r="P638" s="197">
        <v>-20</v>
      </c>
      <c r="Q638" s="197">
        <v>-2.5495082635940136E-4</v>
      </c>
      <c r="R638" s="260" t="s">
        <v>239</v>
      </c>
      <c r="S638" s="260" t="s">
        <v>514</v>
      </c>
      <c r="T638" s="260" t="s">
        <v>239</v>
      </c>
      <c r="U638" s="260" t="s">
        <v>514</v>
      </c>
    </row>
    <row r="639" spans="1:21" ht="14.5" x14ac:dyDescent="0.35">
      <c r="A639" s="260" t="s">
        <v>565</v>
      </c>
      <c r="B639" s="190">
        <v>45925</v>
      </c>
      <c r="C639" s="197">
        <v>78426.5</v>
      </c>
      <c r="D639" s="197">
        <v>0</v>
      </c>
      <c r="E639" s="197">
        <v>0</v>
      </c>
      <c r="F639" s="197">
        <v>0</v>
      </c>
      <c r="G639" s="197">
        <v>51102</v>
      </c>
      <c r="H639" s="197">
        <v>27303.5</v>
      </c>
      <c r="I639" s="197">
        <v>0</v>
      </c>
      <c r="J639" s="197">
        <v>78405.5</v>
      </c>
      <c r="K639" s="197">
        <v>78405.5</v>
      </c>
      <c r="L639" s="197">
        <v>29129</v>
      </c>
      <c r="M639" s="197">
        <v>-69</v>
      </c>
      <c r="N639" s="197">
        <v>0</v>
      </c>
      <c r="O639" s="197">
        <v>0</v>
      </c>
      <c r="P639" s="197">
        <v>-21</v>
      </c>
      <c r="Q639" s="197">
        <v>-2.6776663500216458E-4</v>
      </c>
      <c r="R639" s="260" t="s">
        <v>239</v>
      </c>
      <c r="S639" s="260" t="s">
        <v>514</v>
      </c>
      <c r="T639" s="260" t="s">
        <v>239</v>
      </c>
      <c r="U639" s="260" t="s">
        <v>514</v>
      </c>
    </row>
    <row r="640" spans="1:21" ht="14.5" x14ac:dyDescent="0.35">
      <c r="A640" s="260" t="s">
        <v>565</v>
      </c>
      <c r="B640" s="190">
        <v>45926</v>
      </c>
      <c r="C640" s="197">
        <v>78405.5</v>
      </c>
      <c r="D640" s="197">
        <v>0</v>
      </c>
      <c r="E640" s="197">
        <v>0</v>
      </c>
      <c r="F640" s="197">
        <v>0</v>
      </c>
      <c r="G640" s="197">
        <v>51102</v>
      </c>
      <c r="H640" s="197">
        <v>27282.5</v>
      </c>
      <c r="I640" s="197">
        <v>0</v>
      </c>
      <c r="J640" s="197">
        <v>78384.5</v>
      </c>
      <c r="K640" s="197">
        <v>78384.5</v>
      </c>
      <c r="L640" s="197">
        <v>29129</v>
      </c>
      <c r="M640" s="197">
        <v>-69</v>
      </c>
      <c r="N640" s="197">
        <v>0</v>
      </c>
      <c r="O640" s="197">
        <v>0</v>
      </c>
      <c r="P640" s="197">
        <v>-21</v>
      </c>
      <c r="Q640" s="197">
        <v>-2.6783835317678584E-4</v>
      </c>
      <c r="R640" s="260" t="s">
        <v>239</v>
      </c>
      <c r="S640" s="260" t="s">
        <v>514</v>
      </c>
      <c r="T640" s="260" t="s">
        <v>239</v>
      </c>
      <c r="U640" s="260" t="s">
        <v>514</v>
      </c>
    </row>
    <row r="641" spans="1:21" ht="14.5" x14ac:dyDescent="0.35">
      <c r="A641" s="260" t="s">
        <v>565</v>
      </c>
      <c r="B641" s="190">
        <v>45927</v>
      </c>
      <c r="C641" s="197">
        <v>78384.5</v>
      </c>
      <c r="D641" s="197">
        <v>0</v>
      </c>
      <c r="E641" s="197">
        <v>0</v>
      </c>
      <c r="F641" s="197">
        <v>0</v>
      </c>
      <c r="G641" s="197">
        <v>51102</v>
      </c>
      <c r="H641" s="197">
        <v>27282.5</v>
      </c>
      <c r="I641" s="197">
        <v>0</v>
      </c>
      <c r="J641" s="197">
        <v>78384.5</v>
      </c>
      <c r="K641" s="197">
        <v>78384.5</v>
      </c>
      <c r="L641" s="197">
        <v>29129</v>
      </c>
      <c r="M641" s="197">
        <v>-69</v>
      </c>
      <c r="N641" s="197">
        <v>0</v>
      </c>
      <c r="O641" s="197">
        <v>0</v>
      </c>
      <c r="P641" s="197">
        <v>0</v>
      </c>
      <c r="Q641" s="197">
        <v>0</v>
      </c>
      <c r="R641" s="260" t="s">
        <v>239</v>
      </c>
      <c r="S641" s="260" t="s">
        <v>514</v>
      </c>
      <c r="T641" s="260" t="s">
        <v>239</v>
      </c>
      <c r="U641" s="260" t="s">
        <v>514</v>
      </c>
    </row>
    <row r="642" spans="1:21" ht="14.5" x14ac:dyDescent="0.35">
      <c r="A642" s="260" t="s">
        <v>565</v>
      </c>
      <c r="B642" s="190">
        <v>45928</v>
      </c>
      <c r="C642" s="197">
        <v>78384.5</v>
      </c>
      <c r="D642" s="197">
        <v>0</v>
      </c>
      <c r="E642" s="197">
        <v>0</v>
      </c>
      <c r="F642" s="197">
        <v>0</v>
      </c>
      <c r="G642" s="197">
        <v>51102</v>
      </c>
      <c r="H642" s="197">
        <v>27282.5</v>
      </c>
      <c r="I642" s="197">
        <v>0</v>
      </c>
      <c r="J642" s="197">
        <v>78384.5</v>
      </c>
      <c r="K642" s="197">
        <v>78384.5</v>
      </c>
      <c r="L642" s="197">
        <v>29129</v>
      </c>
      <c r="M642" s="197">
        <v>-69</v>
      </c>
      <c r="N642" s="197">
        <v>0</v>
      </c>
      <c r="O642" s="197">
        <v>0</v>
      </c>
      <c r="P642" s="197">
        <v>0</v>
      </c>
      <c r="Q642" s="197">
        <v>0</v>
      </c>
      <c r="R642" s="260" t="s">
        <v>239</v>
      </c>
      <c r="S642" s="260" t="s">
        <v>514</v>
      </c>
      <c r="T642" s="260" t="s">
        <v>239</v>
      </c>
      <c r="U642" s="260" t="s">
        <v>514</v>
      </c>
    </row>
    <row r="643" spans="1:21" ht="14.5" x14ac:dyDescent="0.35">
      <c r="A643" s="260" t="s">
        <v>565</v>
      </c>
      <c r="B643" s="190">
        <v>45929</v>
      </c>
      <c r="C643" s="197">
        <v>78384.5</v>
      </c>
      <c r="D643" s="197">
        <v>0</v>
      </c>
      <c r="E643" s="197">
        <v>0</v>
      </c>
      <c r="F643" s="197">
        <v>0</v>
      </c>
      <c r="G643" s="197">
        <v>51102</v>
      </c>
      <c r="H643" s="197">
        <v>27221</v>
      </c>
      <c r="I643" s="197">
        <v>0</v>
      </c>
      <c r="J643" s="197">
        <v>78323</v>
      </c>
      <c r="K643" s="197">
        <v>78323</v>
      </c>
      <c r="L643" s="197">
        <v>29129</v>
      </c>
      <c r="M643" s="197">
        <v>-69</v>
      </c>
      <c r="N643" s="197">
        <v>0</v>
      </c>
      <c r="O643" s="197">
        <v>0</v>
      </c>
      <c r="P643" s="197">
        <v>-61.5</v>
      </c>
      <c r="Q643" s="197">
        <v>-7.8459389292528936E-4</v>
      </c>
      <c r="R643" s="260" t="s">
        <v>239</v>
      </c>
      <c r="S643" s="260" t="s">
        <v>514</v>
      </c>
      <c r="T643" s="260" t="s">
        <v>239</v>
      </c>
      <c r="U643" s="260" t="s">
        <v>514</v>
      </c>
    </row>
    <row r="644" spans="1:21" ht="14.5" x14ac:dyDescent="0.35">
      <c r="A644" s="260" t="s">
        <v>565</v>
      </c>
      <c r="B644" s="190">
        <v>45930</v>
      </c>
      <c r="C644" s="197">
        <v>78323</v>
      </c>
      <c r="D644" s="197">
        <v>0</v>
      </c>
      <c r="E644" s="197">
        <v>0</v>
      </c>
      <c r="F644" s="197">
        <v>0</v>
      </c>
      <c r="G644" s="197">
        <v>51102</v>
      </c>
      <c r="H644" s="197">
        <v>27200</v>
      </c>
      <c r="I644" s="197">
        <v>0</v>
      </c>
      <c r="J644" s="197">
        <v>78302</v>
      </c>
      <c r="K644" s="197">
        <v>78302</v>
      </c>
      <c r="L644" s="197">
        <v>29129</v>
      </c>
      <c r="M644" s="197">
        <v>-69</v>
      </c>
      <c r="N644" s="197">
        <v>0</v>
      </c>
      <c r="O644" s="197">
        <v>0</v>
      </c>
      <c r="P644" s="197">
        <v>-21</v>
      </c>
      <c r="Q644" s="197">
        <v>-2.6812047546698192E-4</v>
      </c>
      <c r="R644" s="260" t="s">
        <v>239</v>
      </c>
      <c r="S644" s="260" t="s">
        <v>514</v>
      </c>
      <c r="T644" s="260" t="s">
        <v>239</v>
      </c>
      <c r="U644" s="260" t="s">
        <v>514</v>
      </c>
    </row>
    <row r="645" spans="1:21" ht="14.5" x14ac:dyDescent="0.35">
      <c r="A645" s="260" t="s">
        <v>565</v>
      </c>
      <c r="B645" s="190">
        <v>45931</v>
      </c>
      <c r="C645" s="197">
        <v>78302</v>
      </c>
      <c r="D645" s="197">
        <v>0</v>
      </c>
      <c r="E645" s="197">
        <v>0</v>
      </c>
      <c r="F645" s="197">
        <v>0</v>
      </c>
      <c r="G645" s="197">
        <v>51102</v>
      </c>
      <c r="H645" s="197">
        <v>27200</v>
      </c>
      <c r="I645" s="197">
        <v>0</v>
      </c>
      <c r="J645" s="197">
        <v>78302</v>
      </c>
      <c r="K645" s="197">
        <v>78302</v>
      </c>
      <c r="L645" s="197">
        <v>29129</v>
      </c>
      <c r="M645" s="197">
        <v>-69</v>
      </c>
      <c r="N645" s="197">
        <v>0</v>
      </c>
      <c r="O645" s="197">
        <v>0</v>
      </c>
      <c r="P645" s="197">
        <v>0</v>
      </c>
      <c r="Q645" s="197">
        <v>0</v>
      </c>
      <c r="R645" s="260" t="s">
        <v>239</v>
      </c>
      <c r="S645" s="260" t="s">
        <v>514</v>
      </c>
      <c r="T645" s="260" t="s">
        <v>239</v>
      </c>
      <c r="U645" s="260" t="s">
        <v>514</v>
      </c>
    </row>
    <row r="646" spans="1:21" ht="14.5" x14ac:dyDescent="0.35">
      <c r="A646" s="260" t="s">
        <v>565</v>
      </c>
      <c r="B646" s="190">
        <v>45932</v>
      </c>
      <c r="C646" s="197">
        <v>78302</v>
      </c>
      <c r="D646" s="197">
        <v>0</v>
      </c>
      <c r="E646" s="197">
        <v>0</v>
      </c>
      <c r="F646" s="197">
        <v>0</v>
      </c>
      <c r="G646" s="197">
        <v>51102</v>
      </c>
      <c r="H646" s="197">
        <v>27194.5</v>
      </c>
      <c r="I646" s="197">
        <v>0</v>
      </c>
      <c r="J646" s="197">
        <v>78296.5</v>
      </c>
      <c r="K646" s="197">
        <v>78296.5</v>
      </c>
      <c r="L646" s="197">
        <v>29129</v>
      </c>
      <c r="M646" s="197">
        <v>-69</v>
      </c>
      <c r="N646" s="197">
        <v>0</v>
      </c>
      <c r="O646" s="197">
        <v>0</v>
      </c>
      <c r="P646" s="197">
        <v>-5.5</v>
      </c>
      <c r="Q646" s="197">
        <v>-7.0240862302339835E-5</v>
      </c>
      <c r="R646" s="260" t="s">
        <v>239</v>
      </c>
      <c r="S646" s="260" t="s">
        <v>514</v>
      </c>
      <c r="T646" s="260" t="s">
        <v>239</v>
      </c>
      <c r="U646" s="260" t="s">
        <v>514</v>
      </c>
    </row>
    <row r="647" spans="1:21" ht="14.5" x14ac:dyDescent="0.35">
      <c r="A647" s="260" t="s">
        <v>565</v>
      </c>
      <c r="B647" s="190">
        <v>45933</v>
      </c>
      <c r="C647" s="197">
        <v>78296.5</v>
      </c>
      <c r="D647" s="197">
        <v>0</v>
      </c>
      <c r="E647" s="197">
        <v>0</v>
      </c>
      <c r="F647" s="197">
        <v>0</v>
      </c>
      <c r="G647" s="197">
        <v>51102</v>
      </c>
      <c r="H647" s="197">
        <v>27190.5</v>
      </c>
      <c r="I647" s="197">
        <v>0</v>
      </c>
      <c r="J647" s="197">
        <v>78292.5</v>
      </c>
      <c r="K647" s="197">
        <v>78292.5</v>
      </c>
      <c r="L647" s="197">
        <v>29129</v>
      </c>
      <c r="M647" s="197">
        <v>-69</v>
      </c>
      <c r="N647" s="197">
        <v>0</v>
      </c>
      <c r="O647" s="197">
        <v>0</v>
      </c>
      <c r="P647" s="197">
        <v>-4</v>
      </c>
      <c r="Q647" s="197">
        <v>-5.1087851947406726E-5</v>
      </c>
      <c r="R647" s="260" t="s">
        <v>239</v>
      </c>
      <c r="S647" s="260" t="s">
        <v>514</v>
      </c>
      <c r="T647" s="260" t="s">
        <v>239</v>
      </c>
      <c r="U647" s="260" t="s">
        <v>514</v>
      </c>
    </row>
    <row r="648" spans="1:21" ht="14.5" x14ac:dyDescent="0.35">
      <c r="A648" s="260" t="s">
        <v>565</v>
      </c>
      <c r="B648" s="190">
        <v>45934</v>
      </c>
      <c r="C648" s="197">
        <v>78292.5</v>
      </c>
      <c r="D648" s="197">
        <v>0</v>
      </c>
      <c r="E648" s="197">
        <v>0</v>
      </c>
      <c r="F648" s="197">
        <v>0</v>
      </c>
      <c r="G648" s="197">
        <v>51102</v>
      </c>
      <c r="H648" s="197">
        <v>27190.5</v>
      </c>
      <c r="I648" s="197">
        <v>0</v>
      </c>
      <c r="J648" s="197">
        <v>78292.5</v>
      </c>
      <c r="K648" s="197">
        <v>78292.5</v>
      </c>
      <c r="L648" s="197">
        <v>29129</v>
      </c>
      <c r="M648" s="197">
        <v>-69</v>
      </c>
      <c r="N648" s="197">
        <v>0</v>
      </c>
      <c r="O648" s="197">
        <v>0</v>
      </c>
      <c r="P648" s="197">
        <v>0</v>
      </c>
      <c r="Q648" s="197">
        <v>0</v>
      </c>
      <c r="R648" s="260" t="s">
        <v>239</v>
      </c>
      <c r="S648" s="260" t="s">
        <v>514</v>
      </c>
      <c r="T648" s="260" t="s">
        <v>239</v>
      </c>
      <c r="U648" s="260" t="s">
        <v>514</v>
      </c>
    </row>
    <row r="649" spans="1:21" ht="14.5" x14ac:dyDescent="0.35">
      <c r="A649" s="260" t="s">
        <v>565</v>
      </c>
      <c r="B649" s="190">
        <v>45935</v>
      </c>
      <c r="C649" s="197">
        <v>78292.5</v>
      </c>
      <c r="D649" s="197">
        <v>0</v>
      </c>
      <c r="E649" s="197">
        <v>0</v>
      </c>
      <c r="F649" s="197">
        <v>0</v>
      </c>
      <c r="G649" s="197">
        <v>51102</v>
      </c>
      <c r="H649" s="197">
        <v>27190.5</v>
      </c>
      <c r="I649" s="197">
        <v>0</v>
      </c>
      <c r="J649" s="197">
        <v>78292.5</v>
      </c>
      <c r="K649" s="197">
        <v>78292.5</v>
      </c>
      <c r="L649" s="197">
        <v>29129</v>
      </c>
      <c r="M649" s="197">
        <v>-69</v>
      </c>
      <c r="N649" s="197">
        <v>0</v>
      </c>
      <c r="O649" s="197">
        <v>0</v>
      </c>
      <c r="P649" s="197">
        <v>0</v>
      </c>
      <c r="Q649" s="197">
        <v>0</v>
      </c>
      <c r="R649" s="260" t="s">
        <v>239</v>
      </c>
      <c r="S649" s="260" t="s">
        <v>514</v>
      </c>
      <c r="T649" s="260" t="s">
        <v>239</v>
      </c>
      <c r="U649" s="260" t="s">
        <v>514</v>
      </c>
    </row>
    <row r="650" spans="1:21" ht="14.5" x14ac:dyDescent="0.35">
      <c r="A650" s="260" t="s">
        <v>565</v>
      </c>
      <c r="B650" s="190">
        <v>45936</v>
      </c>
      <c r="C650" s="197">
        <v>78292.5</v>
      </c>
      <c r="D650" s="197">
        <v>0</v>
      </c>
      <c r="E650" s="197">
        <v>0</v>
      </c>
      <c r="F650" s="197">
        <v>0</v>
      </c>
      <c r="G650" s="197">
        <v>51102</v>
      </c>
      <c r="H650" s="197">
        <v>27175.5</v>
      </c>
      <c r="I650" s="197">
        <v>0</v>
      </c>
      <c r="J650" s="197">
        <v>78277.5</v>
      </c>
      <c r="K650" s="197">
        <v>78277.5</v>
      </c>
      <c r="L650" s="197">
        <v>29129</v>
      </c>
      <c r="M650" s="197">
        <v>-69</v>
      </c>
      <c r="N650" s="197">
        <v>0</v>
      </c>
      <c r="O650" s="197">
        <v>0</v>
      </c>
      <c r="P650" s="197">
        <v>-15</v>
      </c>
      <c r="Q650" s="197">
        <v>-1.9158923268514094E-4</v>
      </c>
      <c r="R650" s="260" t="s">
        <v>239</v>
      </c>
      <c r="S650" s="260" t="s">
        <v>514</v>
      </c>
      <c r="T650" s="260" t="s">
        <v>239</v>
      </c>
      <c r="U650" s="260" t="s">
        <v>514</v>
      </c>
    </row>
    <row r="651" spans="1:21" ht="14.5" x14ac:dyDescent="0.35">
      <c r="A651" s="260" t="s">
        <v>565</v>
      </c>
      <c r="B651" s="190">
        <v>45937</v>
      </c>
      <c r="C651" s="197">
        <v>78277.5</v>
      </c>
      <c r="D651" s="197">
        <v>0</v>
      </c>
      <c r="E651" s="197">
        <v>0</v>
      </c>
      <c r="F651" s="197">
        <v>0</v>
      </c>
      <c r="G651" s="197">
        <v>51102</v>
      </c>
      <c r="H651" s="197">
        <v>27170</v>
      </c>
      <c r="I651" s="197">
        <v>0</v>
      </c>
      <c r="J651" s="197">
        <v>78272</v>
      </c>
      <c r="K651" s="197">
        <v>78272</v>
      </c>
      <c r="L651" s="197">
        <v>29129</v>
      </c>
      <c r="M651" s="197">
        <v>-69</v>
      </c>
      <c r="N651" s="197">
        <v>0</v>
      </c>
      <c r="O651" s="197">
        <v>0</v>
      </c>
      <c r="P651" s="197">
        <v>-5.5</v>
      </c>
      <c r="Q651" s="197">
        <v>-7.0262846922797273E-5</v>
      </c>
      <c r="R651" s="260" t="s">
        <v>239</v>
      </c>
      <c r="S651" s="260" t="s">
        <v>514</v>
      </c>
      <c r="T651" s="260" t="s">
        <v>239</v>
      </c>
      <c r="U651" s="260" t="s">
        <v>514</v>
      </c>
    </row>
    <row r="652" spans="1:21" ht="14.5" x14ac:dyDescent="0.35">
      <c r="A652" s="260" t="s">
        <v>565</v>
      </c>
      <c r="B652" s="190">
        <v>45938</v>
      </c>
      <c r="C652" s="197">
        <v>78272</v>
      </c>
      <c r="D652" s="197">
        <v>0</v>
      </c>
      <c r="E652" s="197">
        <v>0</v>
      </c>
      <c r="F652" s="197">
        <v>0</v>
      </c>
      <c r="G652" s="197">
        <v>51102</v>
      </c>
      <c r="H652" s="197">
        <v>27164.5</v>
      </c>
      <c r="I652" s="197">
        <v>0</v>
      </c>
      <c r="J652" s="197">
        <v>78266.5</v>
      </c>
      <c r="K652" s="197">
        <v>78266.5</v>
      </c>
      <c r="L652" s="197">
        <v>29129</v>
      </c>
      <c r="M652" s="197">
        <v>-69</v>
      </c>
      <c r="N652" s="197">
        <v>0</v>
      </c>
      <c r="O652" s="197">
        <v>0</v>
      </c>
      <c r="P652" s="197">
        <v>-5.5</v>
      </c>
      <c r="Q652" s="197">
        <v>-7.0267784137323375E-5</v>
      </c>
      <c r="R652" s="260" t="s">
        <v>239</v>
      </c>
      <c r="S652" s="260" t="s">
        <v>514</v>
      </c>
      <c r="T652" s="260" t="s">
        <v>239</v>
      </c>
      <c r="U652" s="260" t="s">
        <v>514</v>
      </c>
    </row>
    <row r="653" spans="1:21" ht="14.5" x14ac:dyDescent="0.35">
      <c r="A653" s="260" t="s">
        <v>565</v>
      </c>
      <c r="B653" s="190">
        <v>45939</v>
      </c>
      <c r="C653" s="197">
        <v>78266.5</v>
      </c>
      <c r="D653" s="197">
        <v>0</v>
      </c>
      <c r="E653" s="197">
        <v>0</v>
      </c>
      <c r="F653" s="197">
        <v>0</v>
      </c>
      <c r="G653" s="197">
        <v>51102</v>
      </c>
      <c r="H653" s="197">
        <v>27160.5</v>
      </c>
      <c r="I653" s="197">
        <v>0</v>
      </c>
      <c r="J653" s="197">
        <v>78262.5</v>
      </c>
      <c r="K653" s="197">
        <v>78262.5</v>
      </c>
      <c r="L653" s="197">
        <v>29129</v>
      </c>
      <c r="M653" s="197">
        <v>-69</v>
      </c>
      <c r="N653" s="197">
        <v>0</v>
      </c>
      <c r="O653" s="197">
        <v>0</v>
      </c>
      <c r="P653" s="197">
        <v>-4</v>
      </c>
      <c r="Q653" s="197">
        <v>-5.1107434215102998E-5</v>
      </c>
      <c r="R653" s="260" t="s">
        <v>239</v>
      </c>
      <c r="S653" s="260" t="s">
        <v>514</v>
      </c>
      <c r="T653" s="260" t="s">
        <v>239</v>
      </c>
      <c r="U653" s="260" t="s">
        <v>514</v>
      </c>
    </row>
    <row r="654" spans="1:21" ht="14.5" x14ac:dyDescent="0.35">
      <c r="A654" s="260" t="s">
        <v>565</v>
      </c>
      <c r="B654" s="190">
        <v>45940</v>
      </c>
      <c r="C654" s="197">
        <v>78262.5</v>
      </c>
      <c r="D654" s="197">
        <v>0</v>
      </c>
      <c r="E654" s="197">
        <v>0</v>
      </c>
      <c r="F654" s="197">
        <v>0</v>
      </c>
      <c r="G654" s="197">
        <v>51102</v>
      </c>
      <c r="H654" s="197">
        <v>27155</v>
      </c>
      <c r="I654" s="197">
        <v>0</v>
      </c>
      <c r="J654" s="197">
        <v>78257</v>
      </c>
      <c r="K654" s="197">
        <v>78257</v>
      </c>
      <c r="L654" s="197">
        <v>29129</v>
      </c>
      <c r="M654" s="197">
        <v>-69</v>
      </c>
      <c r="N654" s="197">
        <v>0</v>
      </c>
      <c r="O654" s="197">
        <v>0</v>
      </c>
      <c r="P654" s="197">
        <v>-5.5</v>
      </c>
      <c r="Q654" s="197">
        <v>-7.0276313687944736E-5</v>
      </c>
      <c r="R654" s="260" t="s">
        <v>239</v>
      </c>
      <c r="S654" s="260" t="s">
        <v>514</v>
      </c>
      <c r="T654" s="260" t="s">
        <v>239</v>
      </c>
      <c r="U654" s="260" t="s">
        <v>514</v>
      </c>
    </row>
    <row r="655" spans="1:21" ht="14.5" x14ac:dyDescent="0.35">
      <c r="A655" s="260" t="s">
        <v>565</v>
      </c>
      <c r="B655" s="190">
        <v>45941</v>
      </c>
      <c r="C655" s="197">
        <v>78257</v>
      </c>
      <c r="D655" s="197">
        <v>0</v>
      </c>
      <c r="E655" s="197">
        <v>0</v>
      </c>
      <c r="F655" s="197">
        <v>0</v>
      </c>
      <c r="G655" s="197">
        <v>51102</v>
      </c>
      <c r="H655" s="197">
        <v>27155</v>
      </c>
      <c r="I655" s="197">
        <v>0</v>
      </c>
      <c r="J655" s="197">
        <v>78257</v>
      </c>
      <c r="K655" s="197">
        <v>78257</v>
      </c>
      <c r="L655" s="197">
        <v>29129</v>
      </c>
      <c r="M655" s="197">
        <v>-69</v>
      </c>
      <c r="N655" s="197">
        <v>0</v>
      </c>
      <c r="O655" s="197">
        <v>0</v>
      </c>
      <c r="P655" s="197">
        <v>0</v>
      </c>
      <c r="Q655" s="197">
        <v>0</v>
      </c>
      <c r="R655" s="260" t="s">
        <v>239</v>
      </c>
      <c r="S655" s="260" t="s">
        <v>514</v>
      </c>
      <c r="T655" s="260" t="s">
        <v>239</v>
      </c>
      <c r="U655" s="260" t="s">
        <v>514</v>
      </c>
    </row>
    <row r="656" spans="1:21" ht="14.5" x14ac:dyDescent="0.35">
      <c r="A656" s="260" t="s">
        <v>565</v>
      </c>
      <c r="B656" s="190">
        <v>45942</v>
      </c>
      <c r="C656" s="197">
        <v>78257</v>
      </c>
      <c r="D656" s="197">
        <v>0</v>
      </c>
      <c r="E656" s="197">
        <v>0</v>
      </c>
      <c r="F656" s="197">
        <v>0</v>
      </c>
      <c r="G656" s="197">
        <v>51102</v>
      </c>
      <c r="H656" s="197">
        <v>27155</v>
      </c>
      <c r="I656" s="197">
        <v>0</v>
      </c>
      <c r="J656" s="197">
        <v>78257</v>
      </c>
      <c r="K656" s="197">
        <v>78257</v>
      </c>
      <c r="L656" s="197">
        <v>29129</v>
      </c>
      <c r="M656" s="197">
        <v>-69</v>
      </c>
      <c r="N656" s="197">
        <v>0</v>
      </c>
      <c r="O656" s="197">
        <v>0</v>
      </c>
      <c r="P656" s="197">
        <v>0</v>
      </c>
      <c r="Q656" s="197">
        <v>0</v>
      </c>
      <c r="R656" s="260" t="s">
        <v>239</v>
      </c>
      <c r="S656" s="260" t="s">
        <v>514</v>
      </c>
      <c r="T656" s="260" t="s">
        <v>239</v>
      </c>
      <c r="U656" s="260" t="s">
        <v>514</v>
      </c>
    </row>
    <row r="657" spans="1:21" ht="14.5" x14ac:dyDescent="0.35">
      <c r="A657" s="260" t="s">
        <v>565</v>
      </c>
      <c r="B657" s="190">
        <v>45943</v>
      </c>
      <c r="C657" s="197">
        <v>78257</v>
      </c>
      <c r="D657" s="197">
        <v>0</v>
      </c>
      <c r="E657" s="197">
        <v>0</v>
      </c>
      <c r="F657" s="197">
        <v>0</v>
      </c>
      <c r="G657" s="197">
        <v>51102</v>
      </c>
      <c r="H657" s="197">
        <v>27140</v>
      </c>
      <c r="I657" s="197">
        <v>0</v>
      </c>
      <c r="J657" s="197">
        <v>78242</v>
      </c>
      <c r="K657" s="197">
        <v>78242</v>
      </c>
      <c r="L657" s="197">
        <v>29129</v>
      </c>
      <c r="M657" s="197">
        <v>-69</v>
      </c>
      <c r="N657" s="197">
        <v>0</v>
      </c>
      <c r="O657" s="197">
        <v>0</v>
      </c>
      <c r="P657" s="197">
        <v>-15</v>
      </c>
      <c r="Q657" s="197">
        <v>-1.91676143987074E-4</v>
      </c>
      <c r="R657" s="260" t="s">
        <v>239</v>
      </c>
      <c r="S657" s="260" t="s">
        <v>514</v>
      </c>
      <c r="T657" s="260" t="s">
        <v>239</v>
      </c>
      <c r="U657" s="260" t="s">
        <v>514</v>
      </c>
    </row>
    <row r="658" spans="1:21" ht="14.5" x14ac:dyDescent="0.35">
      <c r="A658" s="260" t="s">
        <v>565</v>
      </c>
      <c r="B658" s="190">
        <v>45944</v>
      </c>
      <c r="C658" s="197">
        <v>78242</v>
      </c>
      <c r="D658" s="197">
        <v>0</v>
      </c>
      <c r="E658" s="197">
        <v>0</v>
      </c>
      <c r="F658" s="197">
        <v>0</v>
      </c>
      <c r="G658" s="197">
        <v>51102</v>
      </c>
      <c r="H658" s="197">
        <v>27134.5</v>
      </c>
      <c r="I658" s="197">
        <v>0</v>
      </c>
      <c r="J658" s="197">
        <v>78236.5</v>
      </c>
      <c r="K658" s="197">
        <v>78236.5</v>
      </c>
      <c r="L658" s="197">
        <v>29129</v>
      </c>
      <c r="M658" s="197">
        <v>-69</v>
      </c>
      <c r="N658" s="197">
        <v>0</v>
      </c>
      <c r="O658" s="197">
        <v>0</v>
      </c>
      <c r="P658" s="197">
        <v>-5.5</v>
      </c>
      <c r="Q658" s="197">
        <v>-7.0294726617459169E-5</v>
      </c>
      <c r="R658" s="260" t="s">
        <v>239</v>
      </c>
      <c r="S658" s="260" t="s">
        <v>514</v>
      </c>
      <c r="T658" s="260" t="s">
        <v>239</v>
      </c>
      <c r="U658" s="260" t="s">
        <v>514</v>
      </c>
    </row>
    <row r="659" spans="1:21" ht="14.5" x14ac:dyDescent="0.35">
      <c r="A659" s="260" t="s">
        <v>565</v>
      </c>
      <c r="B659" s="190">
        <v>45945</v>
      </c>
      <c r="C659" s="197">
        <v>78236.5</v>
      </c>
      <c r="D659" s="197">
        <v>0</v>
      </c>
      <c r="E659" s="197">
        <v>0</v>
      </c>
      <c r="F659" s="197">
        <v>0</v>
      </c>
      <c r="G659" s="197">
        <v>51102</v>
      </c>
      <c r="H659" s="197">
        <v>27130.5</v>
      </c>
      <c r="I659" s="197">
        <v>0</v>
      </c>
      <c r="J659" s="197">
        <v>78232.5</v>
      </c>
      <c r="K659" s="197">
        <v>78232.5</v>
      </c>
      <c r="L659" s="197">
        <v>29129</v>
      </c>
      <c r="M659" s="197">
        <v>-69</v>
      </c>
      <c r="N659" s="197">
        <v>0</v>
      </c>
      <c r="O659" s="197">
        <v>0</v>
      </c>
      <c r="P659" s="197">
        <v>-4</v>
      </c>
      <c r="Q659" s="197">
        <v>-5.1127031500675102E-5</v>
      </c>
      <c r="R659" s="260" t="s">
        <v>239</v>
      </c>
      <c r="S659" s="260" t="s">
        <v>514</v>
      </c>
      <c r="T659" s="260" t="s">
        <v>239</v>
      </c>
      <c r="U659" s="260" t="s">
        <v>514</v>
      </c>
    </row>
    <row r="660" spans="1:21" ht="14.5" x14ac:dyDescent="0.35">
      <c r="A660" s="260" t="s">
        <v>565</v>
      </c>
      <c r="B660" s="190">
        <v>45946</v>
      </c>
      <c r="C660" s="197">
        <v>78232.5</v>
      </c>
      <c r="D660" s="197">
        <v>0</v>
      </c>
      <c r="E660" s="197">
        <v>0</v>
      </c>
      <c r="F660" s="197">
        <v>0</v>
      </c>
      <c r="G660" s="197">
        <v>51102</v>
      </c>
      <c r="H660" s="197">
        <v>27125</v>
      </c>
      <c r="I660" s="197">
        <v>0</v>
      </c>
      <c r="J660" s="197">
        <v>78227</v>
      </c>
      <c r="K660" s="197">
        <v>78227</v>
      </c>
      <c r="L660" s="197">
        <v>29129</v>
      </c>
      <c r="M660" s="197">
        <v>-69</v>
      </c>
      <c r="N660" s="197">
        <v>0</v>
      </c>
      <c r="O660" s="197">
        <v>0</v>
      </c>
      <c r="P660" s="197">
        <v>-5.5</v>
      </c>
      <c r="Q660" s="197">
        <v>-7.0303262710513792E-5</v>
      </c>
      <c r="R660" s="260" t="s">
        <v>239</v>
      </c>
      <c r="S660" s="260" t="s">
        <v>514</v>
      </c>
      <c r="T660" s="260" t="s">
        <v>239</v>
      </c>
      <c r="U660" s="260" t="s">
        <v>514</v>
      </c>
    </row>
    <row r="661" spans="1:21" ht="14.5" x14ac:dyDescent="0.35">
      <c r="A661" s="260" t="s">
        <v>565</v>
      </c>
      <c r="B661" s="190">
        <v>45947</v>
      </c>
      <c r="C661" s="197">
        <v>78227</v>
      </c>
      <c r="D661" s="197">
        <v>0</v>
      </c>
      <c r="E661" s="197">
        <v>0</v>
      </c>
      <c r="F661" s="197">
        <v>0</v>
      </c>
      <c r="G661" s="197">
        <v>51102</v>
      </c>
      <c r="H661" s="197">
        <v>27119.5</v>
      </c>
      <c r="I661" s="197">
        <v>0</v>
      </c>
      <c r="J661" s="197">
        <v>78221.5</v>
      </c>
      <c r="K661" s="197">
        <v>78221.5</v>
      </c>
      <c r="L661" s="197">
        <v>29129</v>
      </c>
      <c r="M661" s="197">
        <v>-69</v>
      </c>
      <c r="N661" s="197">
        <v>0</v>
      </c>
      <c r="O661" s="197">
        <v>0</v>
      </c>
      <c r="P661" s="197">
        <v>-5.5</v>
      </c>
      <c r="Q661" s="197">
        <v>-7.0308205606717245E-5</v>
      </c>
      <c r="R661" s="260" t="s">
        <v>239</v>
      </c>
      <c r="S661" s="260" t="s">
        <v>514</v>
      </c>
      <c r="T661" s="260" t="s">
        <v>239</v>
      </c>
      <c r="U661" s="260" t="s">
        <v>514</v>
      </c>
    </row>
    <row r="662" spans="1:21" ht="14.5" x14ac:dyDescent="0.35">
      <c r="A662" s="260" t="s">
        <v>565</v>
      </c>
      <c r="B662" s="190">
        <v>45948</v>
      </c>
      <c r="C662" s="197">
        <v>78221.5</v>
      </c>
      <c r="D662" s="197">
        <v>0</v>
      </c>
      <c r="E662" s="197">
        <v>0</v>
      </c>
      <c r="F662" s="197">
        <v>0</v>
      </c>
      <c r="G662" s="197">
        <v>51102</v>
      </c>
      <c r="H662" s="197">
        <v>27119.5</v>
      </c>
      <c r="I662" s="197">
        <v>0</v>
      </c>
      <c r="J662" s="197">
        <v>78221.5</v>
      </c>
      <c r="K662" s="197">
        <v>78221.5</v>
      </c>
      <c r="L662" s="197">
        <v>29129</v>
      </c>
      <c r="M662" s="197">
        <v>-69</v>
      </c>
      <c r="N662" s="197">
        <v>0</v>
      </c>
      <c r="O662" s="197">
        <v>0</v>
      </c>
      <c r="P662" s="197">
        <v>0</v>
      </c>
      <c r="Q662" s="197">
        <v>0</v>
      </c>
      <c r="R662" s="260" t="s">
        <v>239</v>
      </c>
      <c r="S662" s="260" t="s">
        <v>514</v>
      </c>
      <c r="T662" s="260" t="s">
        <v>239</v>
      </c>
      <c r="U662" s="260" t="s">
        <v>514</v>
      </c>
    </row>
    <row r="663" spans="1:21" ht="14.5" x14ac:dyDescent="0.35">
      <c r="A663" s="260" t="s">
        <v>565</v>
      </c>
      <c r="B663" s="190">
        <v>45949</v>
      </c>
      <c r="C663" s="197">
        <v>78221.5</v>
      </c>
      <c r="D663" s="197">
        <v>0</v>
      </c>
      <c r="E663" s="197">
        <v>0</v>
      </c>
      <c r="F663" s="197">
        <v>0</v>
      </c>
      <c r="G663" s="197">
        <v>51102</v>
      </c>
      <c r="H663" s="197">
        <v>27119.5</v>
      </c>
      <c r="I663" s="197">
        <v>0</v>
      </c>
      <c r="J663" s="197">
        <v>78221.5</v>
      </c>
      <c r="K663" s="197">
        <v>78221.5</v>
      </c>
      <c r="L663" s="197">
        <v>29129</v>
      </c>
      <c r="M663" s="197">
        <v>-69</v>
      </c>
      <c r="N663" s="197">
        <v>0</v>
      </c>
      <c r="O663" s="197">
        <v>0</v>
      </c>
      <c r="P663" s="197">
        <v>0</v>
      </c>
      <c r="Q663" s="197">
        <v>0</v>
      </c>
      <c r="R663" s="260" t="s">
        <v>239</v>
      </c>
      <c r="S663" s="260" t="s">
        <v>514</v>
      </c>
      <c r="T663" s="260" t="s">
        <v>239</v>
      </c>
      <c r="U663" s="260" t="s">
        <v>514</v>
      </c>
    </row>
    <row r="664" spans="1:21" ht="14.5" x14ac:dyDescent="0.35">
      <c r="A664" s="260" t="s">
        <v>565</v>
      </c>
      <c r="B664" s="190">
        <v>45950</v>
      </c>
      <c r="C664" s="197">
        <v>78221.5</v>
      </c>
      <c r="D664" s="197">
        <v>0</v>
      </c>
      <c r="E664" s="197">
        <v>0</v>
      </c>
      <c r="F664" s="197">
        <v>0</v>
      </c>
      <c r="G664" s="197">
        <v>51102</v>
      </c>
      <c r="H664" s="197">
        <v>27104.5</v>
      </c>
      <c r="I664" s="197">
        <v>0</v>
      </c>
      <c r="J664" s="197">
        <v>78206.5</v>
      </c>
      <c r="K664" s="197">
        <v>78206.5</v>
      </c>
      <c r="L664" s="197">
        <v>29129</v>
      </c>
      <c r="M664" s="197">
        <v>-69</v>
      </c>
      <c r="N664" s="197">
        <v>0</v>
      </c>
      <c r="O664" s="197">
        <v>0</v>
      </c>
      <c r="P664" s="197">
        <v>-15</v>
      </c>
      <c r="Q664" s="197">
        <v>-1.9176313417668123E-4</v>
      </c>
      <c r="R664" s="260" t="s">
        <v>239</v>
      </c>
      <c r="S664" s="260" t="s">
        <v>514</v>
      </c>
      <c r="T664" s="260" t="s">
        <v>239</v>
      </c>
      <c r="U664" s="260" t="s">
        <v>514</v>
      </c>
    </row>
    <row r="665" spans="1:21" ht="14.5" x14ac:dyDescent="0.35">
      <c r="A665" s="260" t="s">
        <v>565</v>
      </c>
      <c r="B665" s="190">
        <v>45951</v>
      </c>
      <c r="C665" s="197">
        <v>78206.5</v>
      </c>
      <c r="D665" s="197">
        <v>0</v>
      </c>
      <c r="E665" s="197">
        <v>0</v>
      </c>
      <c r="F665" s="197">
        <v>0</v>
      </c>
      <c r="G665" s="197">
        <v>51102</v>
      </c>
      <c r="H665" s="197">
        <v>27100.5</v>
      </c>
      <c r="I665" s="197">
        <v>0</v>
      </c>
      <c r="J665" s="197">
        <v>78202.5</v>
      </c>
      <c r="K665" s="197">
        <v>78202.5</v>
      </c>
      <c r="L665" s="197">
        <v>29129</v>
      </c>
      <c r="M665" s="197">
        <v>-69</v>
      </c>
      <c r="N665" s="197">
        <v>0</v>
      </c>
      <c r="O665" s="197">
        <v>0</v>
      </c>
      <c r="P665" s="197">
        <v>-4</v>
      </c>
      <c r="Q665" s="197">
        <v>-5.1146643821220472E-5</v>
      </c>
      <c r="R665" s="260" t="s">
        <v>239</v>
      </c>
      <c r="S665" s="260" t="s">
        <v>514</v>
      </c>
      <c r="T665" s="260" t="s">
        <v>239</v>
      </c>
      <c r="U665" s="260" t="s">
        <v>514</v>
      </c>
    </row>
    <row r="666" spans="1:21" ht="14.5" x14ac:dyDescent="0.35">
      <c r="A666" s="260" t="s">
        <v>565</v>
      </c>
      <c r="B666" s="190">
        <v>45952</v>
      </c>
      <c r="C666" s="197">
        <v>78202.5</v>
      </c>
      <c r="D666" s="197">
        <v>0</v>
      </c>
      <c r="E666" s="197">
        <v>0</v>
      </c>
      <c r="F666" s="197">
        <v>0</v>
      </c>
      <c r="G666" s="197">
        <v>51102</v>
      </c>
      <c r="H666" s="197">
        <v>27095</v>
      </c>
      <c r="I666" s="197">
        <v>0</v>
      </c>
      <c r="J666" s="197">
        <v>78197</v>
      </c>
      <c r="K666" s="197">
        <v>78197</v>
      </c>
      <c r="L666" s="197">
        <v>29129</v>
      </c>
      <c r="M666" s="197">
        <v>-69</v>
      </c>
      <c r="N666" s="197">
        <v>0</v>
      </c>
      <c r="O666" s="197">
        <v>0</v>
      </c>
      <c r="P666" s="197">
        <v>-5.5</v>
      </c>
      <c r="Q666" s="197">
        <v>-7.0330232409432369E-5</v>
      </c>
      <c r="R666" s="260" t="s">
        <v>239</v>
      </c>
      <c r="S666" s="260" t="s">
        <v>514</v>
      </c>
      <c r="T666" s="260" t="s">
        <v>239</v>
      </c>
      <c r="U666" s="260" t="s">
        <v>514</v>
      </c>
    </row>
    <row r="667" spans="1:21" ht="14.5" x14ac:dyDescent="0.35">
      <c r="A667" s="260" t="s">
        <v>565</v>
      </c>
      <c r="B667" s="190">
        <v>45953</v>
      </c>
      <c r="C667" s="197">
        <v>78197</v>
      </c>
      <c r="D667" s="197">
        <v>0</v>
      </c>
      <c r="E667" s="197">
        <v>0</v>
      </c>
      <c r="F667" s="197">
        <v>0</v>
      </c>
      <c r="G667" s="197">
        <v>51102</v>
      </c>
      <c r="H667" s="197">
        <v>27089.5</v>
      </c>
      <c r="I667" s="197">
        <v>0</v>
      </c>
      <c r="J667" s="197">
        <v>78191.5</v>
      </c>
      <c r="K667" s="197">
        <v>78191.5</v>
      </c>
      <c r="L667" s="197">
        <v>29129</v>
      </c>
      <c r="M667" s="197">
        <v>-69</v>
      </c>
      <c r="N667" s="197">
        <v>0</v>
      </c>
      <c r="O667" s="197">
        <v>0</v>
      </c>
      <c r="P667" s="197">
        <v>-5.5</v>
      </c>
      <c r="Q667" s="197">
        <v>-7.033517909893483E-5</v>
      </c>
      <c r="R667" s="260" t="s">
        <v>239</v>
      </c>
      <c r="S667" s="260" t="s">
        <v>514</v>
      </c>
      <c r="T667" s="260" t="s">
        <v>239</v>
      </c>
      <c r="U667" s="260" t="s">
        <v>514</v>
      </c>
    </row>
    <row r="668" spans="1:21" ht="14.5" x14ac:dyDescent="0.35">
      <c r="A668" s="260" t="s">
        <v>565</v>
      </c>
      <c r="B668" s="190">
        <v>45954</v>
      </c>
      <c r="C668" s="197">
        <v>78191.5</v>
      </c>
      <c r="D668" s="197">
        <v>0</v>
      </c>
      <c r="E668" s="197">
        <v>0</v>
      </c>
      <c r="F668" s="197">
        <v>0</v>
      </c>
      <c r="G668" s="197">
        <v>51102</v>
      </c>
      <c r="H668" s="197">
        <v>27085.5</v>
      </c>
      <c r="I668" s="197">
        <v>0</v>
      </c>
      <c r="J668" s="197">
        <v>78187.5</v>
      </c>
      <c r="K668" s="197">
        <v>78187.5</v>
      </c>
      <c r="L668" s="197">
        <v>29129</v>
      </c>
      <c r="M668" s="197">
        <v>-69</v>
      </c>
      <c r="N668" s="197">
        <v>0</v>
      </c>
      <c r="O668" s="197">
        <v>0</v>
      </c>
      <c r="P668" s="197">
        <v>-4</v>
      </c>
      <c r="Q668" s="197">
        <v>-5.1156455624923325E-5</v>
      </c>
      <c r="R668" s="260" t="s">
        <v>239</v>
      </c>
      <c r="S668" s="260" t="s">
        <v>514</v>
      </c>
      <c r="T668" s="260" t="s">
        <v>239</v>
      </c>
      <c r="U668" s="260" t="s">
        <v>514</v>
      </c>
    </row>
    <row r="669" spans="1:21" ht="14.5" x14ac:dyDescent="0.35">
      <c r="A669" s="260" t="s">
        <v>565</v>
      </c>
      <c r="B669" s="190">
        <v>45955</v>
      </c>
      <c r="C669" s="197">
        <v>78187.5</v>
      </c>
      <c r="D669" s="197">
        <v>0</v>
      </c>
      <c r="E669" s="197">
        <v>0</v>
      </c>
      <c r="F669" s="197">
        <v>0</v>
      </c>
      <c r="G669" s="197">
        <v>51102</v>
      </c>
      <c r="H669" s="197">
        <v>27085.5</v>
      </c>
      <c r="I669" s="197">
        <v>0</v>
      </c>
      <c r="J669" s="197">
        <v>78187.5</v>
      </c>
      <c r="K669" s="197">
        <v>78187.5</v>
      </c>
      <c r="L669" s="197">
        <v>29129</v>
      </c>
      <c r="M669" s="197">
        <v>-69</v>
      </c>
      <c r="N669" s="197">
        <v>0</v>
      </c>
      <c r="O669" s="197">
        <v>0</v>
      </c>
      <c r="P669" s="197">
        <v>0</v>
      </c>
      <c r="Q669" s="197">
        <v>0</v>
      </c>
      <c r="R669" s="260" t="s">
        <v>239</v>
      </c>
      <c r="S669" s="260" t="s">
        <v>514</v>
      </c>
      <c r="T669" s="260" t="s">
        <v>239</v>
      </c>
      <c r="U669" s="260" t="s">
        <v>514</v>
      </c>
    </row>
    <row r="670" spans="1:21" ht="14.5" x14ac:dyDescent="0.35">
      <c r="A670" s="260" t="s">
        <v>565</v>
      </c>
      <c r="B670" s="190">
        <v>45956</v>
      </c>
      <c r="C670" s="197">
        <v>78187.5</v>
      </c>
      <c r="D670" s="197">
        <v>0</v>
      </c>
      <c r="E670" s="197">
        <v>0</v>
      </c>
      <c r="F670" s="197">
        <v>0</v>
      </c>
      <c r="G670" s="197">
        <v>51102</v>
      </c>
      <c r="H670" s="197">
        <v>27085.5</v>
      </c>
      <c r="I670" s="197">
        <v>0</v>
      </c>
      <c r="J670" s="197">
        <v>78187.5</v>
      </c>
      <c r="K670" s="197">
        <v>78187.5</v>
      </c>
      <c r="L670" s="197">
        <v>29129</v>
      </c>
      <c r="M670" s="197">
        <v>-69</v>
      </c>
      <c r="N670" s="197">
        <v>0</v>
      </c>
      <c r="O670" s="197">
        <v>0</v>
      </c>
      <c r="P670" s="197">
        <v>0</v>
      </c>
      <c r="Q670" s="197">
        <v>0</v>
      </c>
      <c r="R670" s="260" t="s">
        <v>239</v>
      </c>
      <c r="S670" s="260" t="s">
        <v>514</v>
      </c>
      <c r="T670" s="260" t="s">
        <v>239</v>
      </c>
      <c r="U670" s="260" t="s">
        <v>514</v>
      </c>
    </row>
    <row r="671" spans="1:21" ht="14.5" x14ac:dyDescent="0.35">
      <c r="A671" s="260" t="s">
        <v>565</v>
      </c>
      <c r="B671" s="190">
        <v>45957</v>
      </c>
      <c r="C671" s="197">
        <v>78187.5</v>
      </c>
      <c r="D671" s="197">
        <v>0</v>
      </c>
      <c r="E671" s="197">
        <v>0</v>
      </c>
      <c r="F671" s="197">
        <v>0</v>
      </c>
      <c r="G671" s="197">
        <v>51102</v>
      </c>
      <c r="H671" s="197">
        <v>27070.5</v>
      </c>
      <c r="I671" s="197">
        <v>0</v>
      </c>
      <c r="J671" s="197">
        <v>78172.5</v>
      </c>
      <c r="K671" s="197">
        <v>78172.5</v>
      </c>
      <c r="L671" s="197">
        <v>29129</v>
      </c>
      <c r="M671" s="197">
        <v>-69</v>
      </c>
      <c r="N671" s="197">
        <v>0</v>
      </c>
      <c r="O671" s="197">
        <v>0</v>
      </c>
      <c r="P671" s="197">
        <v>-15</v>
      </c>
      <c r="Q671" s="197">
        <v>-1.9184652278181336E-4</v>
      </c>
      <c r="R671" s="260" t="s">
        <v>239</v>
      </c>
      <c r="S671" s="260" t="s">
        <v>514</v>
      </c>
      <c r="T671" s="260" t="s">
        <v>239</v>
      </c>
      <c r="U671" s="260" t="s">
        <v>514</v>
      </c>
    </row>
    <row r="672" spans="1:21" ht="14.5" x14ac:dyDescent="0.35">
      <c r="A672" s="260" t="s">
        <v>565</v>
      </c>
      <c r="B672" s="190">
        <v>45958</v>
      </c>
      <c r="C672" s="197">
        <v>78172.5</v>
      </c>
      <c r="D672" s="197">
        <v>0</v>
      </c>
      <c r="E672" s="197">
        <v>0</v>
      </c>
      <c r="F672" s="197">
        <v>0</v>
      </c>
      <c r="G672" s="197">
        <v>51102</v>
      </c>
      <c r="H672" s="197">
        <v>27065</v>
      </c>
      <c r="I672" s="197">
        <v>0</v>
      </c>
      <c r="J672" s="197">
        <v>78167</v>
      </c>
      <c r="K672" s="197">
        <v>78167</v>
      </c>
      <c r="L672" s="197">
        <v>29129</v>
      </c>
      <c r="M672" s="197">
        <v>-69</v>
      </c>
      <c r="N672" s="197">
        <v>0</v>
      </c>
      <c r="O672" s="197">
        <v>0</v>
      </c>
      <c r="P672" s="197">
        <v>-5.5</v>
      </c>
      <c r="Q672" s="197">
        <v>-7.0357222808570263E-5</v>
      </c>
      <c r="R672" s="260" t="s">
        <v>239</v>
      </c>
      <c r="S672" s="260" t="s">
        <v>514</v>
      </c>
      <c r="T672" s="260" t="s">
        <v>239</v>
      </c>
      <c r="U672" s="260" t="s">
        <v>514</v>
      </c>
    </row>
    <row r="673" spans="1:21" ht="14.5" x14ac:dyDescent="0.35">
      <c r="A673" s="260" t="s">
        <v>565</v>
      </c>
      <c r="B673" s="190">
        <v>45959</v>
      </c>
      <c r="C673" s="197">
        <v>78167</v>
      </c>
      <c r="D673" s="197">
        <v>0</v>
      </c>
      <c r="E673" s="197">
        <v>0</v>
      </c>
      <c r="F673" s="197">
        <v>0</v>
      </c>
      <c r="G673" s="197">
        <v>51102</v>
      </c>
      <c r="H673" s="197">
        <v>27059.5</v>
      </c>
      <c r="I673" s="197">
        <v>0</v>
      </c>
      <c r="J673" s="197">
        <v>78161.5</v>
      </c>
      <c r="K673" s="197">
        <v>78161.5</v>
      </c>
      <c r="L673" s="197">
        <v>29129</v>
      </c>
      <c r="M673" s="197">
        <v>-69</v>
      </c>
      <c r="N673" s="197">
        <v>0</v>
      </c>
      <c r="O673" s="197">
        <v>0</v>
      </c>
      <c r="P673" s="197">
        <v>-5.5</v>
      </c>
      <c r="Q673" s="197">
        <v>-7.036217329559058E-5</v>
      </c>
      <c r="R673" s="260" t="s">
        <v>239</v>
      </c>
      <c r="S673" s="260" t="s">
        <v>514</v>
      </c>
      <c r="T673" s="260" t="s">
        <v>239</v>
      </c>
      <c r="U673" s="260" t="s">
        <v>514</v>
      </c>
    </row>
    <row r="674" spans="1:21" ht="14.5" x14ac:dyDescent="0.35">
      <c r="A674" s="260" t="s">
        <v>565</v>
      </c>
      <c r="B674" s="190">
        <v>45960</v>
      </c>
      <c r="C674" s="197">
        <v>78161.5</v>
      </c>
      <c r="D674" s="197">
        <v>0</v>
      </c>
      <c r="E674" s="197">
        <v>0</v>
      </c>
      <c r="F674" s="197">
        <v>0</v>
      </c>
      <c r="G674" s="197">
        <v>51102</v>
      </c>
      <c r="H674" s="197">
        <v>27055.5</v>
      </c>
      <c r="I674" s="197">
        <v>0</v>
      </c>
      <c r="J674" s="197">
        <v>78157.5</v>
      </c>
      <c r="K674" s="197">
        <v>78157.5</v>
      </c>
      <c r="L674" s="197">
        <v>29129</v>
      </c>
      <c r="M674" s="197">
        <v>-69</v>
      </c>
      <c r="N674" s="197">
        <v>0</v>
      </c>
      <c r="O674" s="197">
        <v>0</v>
      </c>
      <c r="P674" s="197">
        <v>-4</v>
      </c>
      <c r="Q674" s="197">
        <v>-5.117609053051364E-5</v>
      </c>
      <c r="R674" s="260" t="s">
        <v>239</v>
      </c>
      <c r="S674" s="260" t="s">
        <v>514</v>
      </c>
      <c r="T674" s="260" t="s">
        <v>239</v>
      </c>
      <c r="U674" s="260" t="s">
        <v>514</v>
      </c>
    </row>
    <row r="675" spans="1:21" ht="14.5" x14ac:dyDescent="0.35">
      <c r="A675" s="260" t="s">
        <v>565</v>
      </c>
      <c r="B675" s="190">
        <v>45961</v>
      </c>
      <c r="C675" s="197">
        <v>78157.5</v>
      </c>
      <c r="D675" s="197">
        <v>0</v>
      </c>
      <c r="E675" s="197">
        <v>0</v>
      </c>
      <c r="F675" s="197">
        <v>0</v>
      </c>
      <c r="G675" s="197">
        <v>51102</v>
      </c>
      <c r="H675" s="197">
        <v>27050</v>
      </c>
      <c r="I675" s="197">
        <v>0</v>
      </c>
      <c r="J675" s="197">
        <v>78152</v>
      </c>
      <c r="K675" s="197">
        <v>78152</v>
      </c>
      <c r="L675" s="197">
        <v>29129</v>
      </c>
      <c r="M675" s="197">
        <v>-69</v>
      </c>
      <c r="N675" s="197">
        <v>0</v>
      </c>
      <c r="O675" s="197">
        <v>0</v>
      </c>
      <c r="P675" s="197">
        <v>-5.5</v>
      </c>
      <c r="Q675" s="197">
        <v>-7.0370725778090559E-5</v>
      </c>
      <c r="R675" s="260" t="s">
        <v>239</v>
      </c>
      <c r="S675" s="260" t="s">
        <v>514</v>
      </c>
      <c r="T675" s="260" t="s">
        <v>239</v>
      </c>
      <c r="U675" s="260" t="s">
        <v>514</v>
      </c>
    </row>
    <row r="676" spans="1:21" ht="14.5" x14ac:dyDescent="0.35">
      <c r="A676" s="260" t="s">
        <v>565</v>
      </c>
      <c r="B676" s="190">
        <v>45962</v>
      </c>
      <c r="C676" s="197">
        <v>78152</v>
      </c>
      <c r="D676" s="197">
        <v>0</v>
      </c>
      <c r="E676" s="197">
        <v>0</v>
      </c>
      <c r="F676" s="197">
        <v>0</v>
      </c>
      <c r="G676" s="197">
        <v>51102</v>
      </c>
      <c r="H676" s="197">
        <v>27050</v>
      </c>
      <c r="I676" s="197">
        <v>0</v>
      </c>
      <c r="J676" s="197">
        <v>78152</v>
      </c>
      <c r="K676" s="197">
        <v>78152</v>
      </c>
      <c r="L676" s="197">
        <v>29129</v>
      </c>
      <c r="M676" s="197">
        <v>-69</v>
      </c>
      <c r="N676" s="197">
        <v>0</v>
      </c>
      <c r="O676" s="197">
        <v>0</v>
      </c>
      <c r="P676" s="197">
        <v>0</v>
      </c>
      <c r="Q676" s="197">
        <v>0</v>
      </c>
      <c r="R676" s="260" t="s">
        <v>239</v>
      </c>
      <c r="S676" s="260" t="s">
        <v>514</v>
      </c>
      <c r="T676" s="260" t="s">
        <v>239</v>
      </c>
      <c r="U676" s="260" t="s">
        <v>514</v>
      </c>
    </row>
    <row r="677" spans="1:21" ht="14.5" x14ac:dyDescent="0.35">
      <c r="A677" s="260" t="s">
        <v>565</v>
      </c>
      <c r="B677" s="190">
        <v>45963</v>
      </c>
      <c r="C677" s="197">
        <v>78152</v>
      </c>
      <c r="D677" s="197">
        <v>0</v>
      </c>
      <c r="E677" s="197">
        <v>0</v>
      </c>
      <c r="F677" s="197">
        <v>0</v>
      </c>
      <c r="G677" s="197">
        <v>51102</v>
      </c>
      <c r="H677" s="197">
        <v>27050</v>
      </c>
      <c r="I677" s="197">
        <v>0</v>
      </c>
      <c r="J677" s="197">
        <v>78152</v>
      </c>
      <c r="K677" s="197">
        <v>78152</v>
      </c>
      <c r="L677" s="197">
        <v>29129</v>
      </c>
      <c r="M677" s="197">
        <v>-69</v>
      </c>
      <c r="N677" s="197">
        <v>0</v>
      </c>
      <c r="O677" s="197">
        <v>0</v>
      </c>
      <c r="P677" s="197">
        <v>0</v>
      </c>
      <c r="Q677" s="197">
        <v>0</v>
      </c>
      <c r="R677" s="260" t="s">
        <v>239</v>
      </c>
      <c r="S677" s="260" t="s">
        <v>514</v>
      </c>
      <c r="T677" s="260" t="s">
        <v>239</v>
      </c>
      <c r="U677" s="260" t="s">
        <v>514</v>
      </c>
    </row>
    <row r="678" spans="1:21" ht="14.5" x14ac:dyDescent="0.35">
      <c r="A678" s="260" t="s">
        <v>565</v>
      </c>
      <c r="B678" s="190">
        <v>45964</v>
      </c>
      <c r="C678" s="197">
        <v>78152</v>
      </c>
      <c r="D678" s="197">
        <v>0</v>
      </c>
      <c r="E678" s="197">
        <v>0</v>
      </c>
      <c r="F678" s="197">
        <v>0</v>
      </c>
      <c r="G678" s="197">
        <v>51102</v>
      </c>
      <c r="H678" s="197">
        <v>26903.5</v>
      </c>
      <c r="I678" s="197">
        <v>60</v>
      </c>
      <c r="J678" s="197">
        <v>78065.5</v>
      </c>
      <c r="K678" s="197">
        <v>78065.5</v>
      </c>
      <c r="L678" s="197">
        <v>29129</v>
      </c>
      <c r="M678" s="197">
        <v>-69</v>
      </c>
      <c r="N678" s="197">
        <v>0</v>
      </c>
      <c r="O678" s="197">
        <v>60</v>
      </c>
      <c r="P678" s="197">
        <v>-86.5</v>
      </c>
      <c r="Q678" s="197">
        <v>-1.1068174838775313E-3</v>
      </c>
      <c r="R678" s="260" t="s">
        <v>239</v>
      </c>
      <c r="S678" s="260" t="s">
        <v>514</v>
      </c>
      <c r="T678" s="260" t="s">
        <v>239</v>
      </c>
      <c r="U678" s="260" t="s">
        <v>514</v>
      </c>
    </row>
    <row r="679" spans="1:21" ht="14.5" x14ac:dyDescent="0.35">
      <c r="A679" s="260" t="s">
        <v>565</v>
      </c>
      <c r="B679" s="190">
        <v>45965</v>
      </c>
      <c r="C679" s="197">
        <v>78065.5</v>
      </c>
      <c r="D679" s="197">
        <v>0</v>
      </c>
      <c r="E679" s="197">
        <v>0</v>
      </c>
      <c r="F679" s="197">
        <v>0</v>
      </c>
      <c r="G679" s="197">
        <v>51102</v>
      </c>
      <c r="H679" s="197">
        <v>26860.5</v>
      </c>
      <c r="I679" s="197">
        <v>60</v>
      </c>
      <c r="J679" s="197">
        <v>78022.5</v>
      </c>
      <c r="K679" s="197">
        <v>78022.5</v>
      </c>
      <c r="L679" s="197">
        <v>29129</v>
      </c>
      <c r="M679" s="197">
        <v>-69</v>
      </c>
      <c r="N679" s="197">
        <v>0</v>
      </c>
      <c r="O679" s="197">
        <v>0</v>
      </c>
      <c r="P679" s="197">
        <v>-43</v>
      </c>
      <c r="Q679" s="197">
        <v>-5.5081950413438108E-4</v>
      </c>
      <c r="R679" s="260" t="s">
        <v>239</v>
      </c>
      <c r="S679" s="260" t="s">
        <v>514</v>
      </c>
      <c r="T679" s="260" t="s">
        <v>239</v>
      </c>
      <c r="U679" s="260" t="s">
        <v>514</v>
      </c>
    </row>
    <row r="680" spans="1:21" ht="14.5" x14ac:dyDescent="0.35">
      <c r="A680" s="260" t="s">
        <v>565</v>
      </c>
      <c r="B680" s="190">
        <v>45966</v>
      </c>
      <c r="C680" s="197">
        <v>78022.5</v>
      </c>
      <c r="D680" s="197">
        <v>0</v>
      </c>
      <c r="E680" s="197">
        <v>0</v>
      </c>
      <c r="F680" s="197">
        <v>0</v>
      </c>
      <c r="G680" s="197">
        <v>51102</v>
      </c>
      <c r="H680" s="197">
        <v>26817.5</v>
      </c>
      <c r="I680" s="197">
        <v>60</v>
      </c>
      <c r="J680" s="197">
        <v>77979.5</v>
      </c>
      <c r="K680" s="197">
        <v>77979.5</v>
      </c>
      <c r="L680" s="197">
        <v>29129</v>
      </c>
      <c r="M680" s="197">
        <v>-69</v>
      </c>
      <c r="N680" s="197">
        <v>0</v>
      </c>
      <c r="O680" s="197">
        <v>0</v>
      </c>
      <c r="P680" s="197">
        <v>-43</v>
      </c>
      <c r="Q680" s="197">
        <v>-5.5112307347238154E-4</v>
      </c>
      <c r="R680" s="260" t="s">
        <v>239</v>
      </c>
      <c r="S680" s="260" t="s">
        <v>514</v>
      </c>
      <c r="T680" s="260" t="s">
        <v>239</v>
      </c>
      <c r="U680" s="260" t="s">
        <v>514</v>
      </c>
    </row>
    <row r="681" spans="1:21" ht="14.5" x14ac:dyDescent="0.35">
      <c r="A681" s="260" t="s">
        <v>565</v>
      </c>
      <c r="B681" s="190">
        <v>45967</v>
      </c>
      <c r="C681" s="197">
        <v>77979.5</v>
      </c>
      <c r="D681" s="197">
        <v>0</v>
      </c>
      <c r="E681" s="197">
        <v>0</v>
      </c>
      <c r="F681" s="197">
        <v>0</v>
      </c>
      <c r="G681" s="197">
        <v>51102</v>
      </c>
      <c r="H681" s="197">
        <v>26774</v>
      </c>
      <c r="I681" s="197">
        <v>60</v>
      </c>
      <c r="J681" s="197">
        <v>77936</v>
      </c>
      <c r="K681" s="197">
        <v>77936</v>
      </c>
      <c r="L681" s="197">
        <v>29129</v>
      </c>
      <c r="M681" s="197">
        <v>-69</v>
      </c>
      <c r="N681" s="197">
        <v>0</v>
      </c>
      <c r="O681" s="197">
        <v>0</v>
      </c>
      <c r="P681" s="197">
        <v>-43.5</v>
      </c>
      <c r="Q681" s="197">
        <v>-5.5783891920313522E-4</v>
      </c>
      <c r="R681" s="260" t="s">
        <v>239</v>
      </c>
      <c r="S681" s="260" t="s">
        <v>514</v>
      </c>
      <c r="T681" s="260" t="s">
        <v>239</v>
      </c>
      <c r="U681" s="260" t="s">
        <v>514</v>
      </c>
    </row>
    <row r="682" spans="1:21" ht="14.5" x14ac:dyDescent="0.35">
      <c r="A682" s="260" t="s">
        <v>565</v>
      </c>
      <c r="B682" s="190">
        <v>45968</v>
      </c>
      <c r="C682" s="197">
        <v>77936</v>
      </c>
      <c r="D682" s="197">
        <v>0</v>
      </c>
      <c r="E682" s="197">
        <v>0</v>
      </c>
      <c r="F682" s="197">
        <v>0</v>
      </c>
      <c r="G682" s="197">
        <v>51102</v>
      </c>
      <c r="H682" s="197">
        <v>26731</v>
      </c>
      <c r="I682" s="197">
        <v>60</v>
      </c>
      <c r="J682" s="197">
        <v>77893</v>
      </c>
      <c r="K682" s="197">
        <v>77893</v>
      </c>
      <c r="L682" s="197">
        <v>29129</v>
      </c>
      <c r="M682" s="197">
        <v>-69</v>
      </c>
      <c r="N682" s="197">
        <v>0</v>
      </c>
      <c r="O682" s="197">
        <v>0</v>
      </c>
      <c r="P682" s="197">
        <v>-43</v>
      </c>
      <c r="Q682" s="197">
        <v>-5.5173475672343208E-4</v>
      </c>
      <c r="R682" s="260" t="s">
        <v>239</v>
      </c>
      <c r="S682" s="260" t="s">
        <v>514</v>
      </c>
      <c r="T682" s="260" t="s">
        <v>239</v>
      </c>
      <c r="U682" s="260" t="s">
        <v>514</v>
      </c>
    </row>
    <row r="683" spans="1:21" ht="14.5" x14ac:dyDescent="0.35">
      <c r="A683" s="260" t="s">
        <v>565</v>
      </c>
      <c r="B683" s="190">
        <v>45969</v>
      </c>
      <c r="C683" s="197">
        <v>77893</v>
      </c>
      <c r="D683" s="197">
        <v>0</v>
      </c>
      <c r="E683" s="197">
        <v>0</v>
      </c>
      <c r="F683" s="197">
        <v>0</v>
      </c>
      <c r="G683" s="197">
        <v>51102</v>
      </c>
      <c r="H683" s="197">
        <v>26731</v>
      </c>
      <c r="I683" s="197">
        <v>60</v>
      </c>
      <c r="J683" s="197">
        <v>77893</v>
      </c>
      <c r="K683" s="197">
        <v>77893</v>
      </c>
      <c r="L683" s="197">
        <v>29129</v>
      </c>
      <c r="M683" s="197">
        <v>-69</v>
      </c>
      <c r="N683" s="197">
        <v>0</v>
      </c>
      <c r="O683" s="197">
        <v>0</v>
      </c>
      <c r="P683" s="197">
        <v>0</v>
      </c>
      <c r="Q683" s="197">
        <v>0</v>
      </c>
      <c r="R683" s="260" t="s">
        <v>239</v>
      </c>
      <c r="S683" s="260" t="s">
        <v>514</v>
      </c>
      <c r="T683" s="260" t="s">
        <v>239</v>
      </c>
      <c r="U683" s="260" t="s">
        <v>514</v>
      </c>
    </row>
    <row r="684" spans="1:21" ht="14.5" x14ac:dyDescent="0.35">
      <c r="A684" s="260" t="s">
        <v>565</v>
      </c>
      <c r="B684" s="190">
        <v>45970</v>
      </c>
      <c r="C684" s="197">
        <v>77893</v>
      </c>
      <c r="D684" s="197">
        <v>0</v>
      </c>
      <c r="E684" s="197">
        <v>0</v>
      </c>
      <c r="F684" s="197">
        <v>0</v>
      </c>
      <c r="G684" s="197">
        <v>51102</v>
      </c>
      <c r="H684" s="197">
        <v>26731</v>
      </c>
      <c r="I684" s="197">
        <v>60</v>
      </c>
      <c r="J684" s="197">
        <v>77893</v>
      </c>
      <c r="K684" s="197">
        <v>77893</v>
      </c>
      <c r="L684" s="197">
        <v>29129</v>
      </c>
      <c r="M684" s="197">
        <v>-69</v>
      </c>
      <c r="N684" s="197">
        <v>0</v>
      </c>
      <c r="O684" s="197">
        <v>0</v>
      </c>
      <c r="P684" s="197">
        <v>0</v>
      </c>
      <c r="Q684" s="197">
        <v>0</v>
      </c>
      <c r="R684" s="260" t="s">
        <v>239</v>
      </c>
      <c r="S684" s="260" t="s">
        <v>514</v>
      </c>
      <c r="T684" s="260" t="s">
        <v>239</v>
      </c>
      <c r="U684" s="260" t="s">
        <v>514</v>
      </c>
    </row>
    <row r="685" spans="1:21" ht="14.5" x14ac:dyDescent="0.35">
      <c r="A685" s="260" t="s">
        <v>565</v>
      </c>
      <c r="B685" s="190">
        <v>45971</v>
      </c>
      <c r="C685" s="197">
        <v>77893</v>
      </c>
      <c r="D685" s="197">
        <v>0</v>
      </c>
      <c r="E685" s="197">
        <v>0</v>
      </c>
      <c r="F685" s="197">
        <v>0</v>
      </c>
      <c r="G685" s="197">
        <v>51102</v>
      </c>
      <c r="H685" s="197">
        <v>26602.5</v>
      </c>
      <c r="I685" s="197">
        <v>60</v>
      </c>
      <c r="J685" s="197">
        <v>77764.5</v>
      </c>
      <c r="K685" s="197">
        <v>77764.5</v>
      </c>
      <c r="L685" s="197">
        <v>29129</v>
      </c>
      <c r="M685" s="197">
        <v>-69</v>
      </c>
      <c r="N685" s="197">
        <v>0</v>
      </c>
      <c r="O685" s="197">
        <v>0</v>
      </c>
      <c r="P685" s="197">
        <v>-128.5</v>
      </c>
      <c r="Q685" s="197">
        <v>-1.6496989459899858E-3</v>
      </c>
      <c r="R685" s="260" t="s">
        <v>239</v>
      </c>
      <c r="S685" s="260" t="s">
        <v>514</v>
      </c>
      <c r="T685" s="260" t="s">
        <v>239</v>
      </c>
      <c r="U685" s="260" t="s">
        <v>514</v>
      </c>
    </row>
    <row r="686" spans="1:21" ht="14.5" x14ac:dyDescent="0.35">
      <c r="A686" s="260" t="s">
        <v>565</v>
      </c>
      <c r="B686" s="190">
        <v>45972</v>
      </c>
      <c r="C686" s="197">
        <v>77764.5</v>
      </c>
      <c r="D686" s="197">
        <v>0</v>
      </c>
      <c r="E686" s="197">
        <v>0</v>
      </c>
      <c r="F686" s="197">
        <v>0</v>
      </c>
      <c r="G686" s="197">
        <v>51102</v>
      </c>
      <c r="H686" s="197">
        <v>26559.5</v>
      </c>
      <c r="I686" s="197">
        <v>60</v>
      </c>
      <c r="J686" s="197">
        <v>77721.5</v>
      </c>
      <c r="K686" s="197">
        <v>77721.5</v>
      </c>
      <c r="L686" s="197">
        <v>29129</v>
      </c>
      <c r="M686" s="197">
        <v>-69</v>
      </c>
      <c r="N686" s="197">
        <v>0</v>
      </c>
      <c r="O686" s="197">
        <v>0</v>
      </c>
      <c r="P686" s="197">
        <v>-43</v>
      </c>
      <c r="Q686" s="197">
        <v>-5.5295153958423438E-4</v>
      </c>
      <c r="R686" s="260" t="s">
        <v>239</v>
      </c>
      <c r="S686" s="260" t="s">
        <v>514</v>
      </c>
      <c r="T686" s="260" t="s">
        <v>239</v>
      </c>
      <c r="U686" s="260" t="s">
        <v>514</v>
      </c>
    </row>
    <row r="687" spans="1:21" ht="14.5" x14ac:dyDescent="0.35">
      <c r="A687" s="260" t="s">
        <v>565</v>
      </c>
      <c r="B687" s="190">
        <v>45973</v>
      </c>
      <c r="C687" s="197">
        <v>77721.5</v>
      </c>
      <c r="D687" s="197">
        <v>0</v>
      </c>
      <c r="E687" s="197">
        <v>0</v>
      </c>
      <c r="F687" s="197">
        <v>0</v>
      </c>
      <c r="G687" s="197">
        <v>51102</v>
      </c>
      <c r="H687" s="197">
        <v>26516</v>
      </c>
      <c r="I687" s="197">
        <v>60</v>
      </c>
      <c r="J687" s="197">
        <v>77678</v>
      </c>
      <c r="K687" s="197">
        <v>77678</v>
      </c>
      <c r="L687" s="197">
        <v>29129</v>
      </c>
      <c r="M687" s="197">
        <v>-69</v>
      </c>
      <c r="N687" s="197">
        <v>0</v>
      </c>
      <c r="O687" s="197">
        <v>0</v>
      </c>
      <c r="P687" s="197">
        <v>-43.5</v>
      </c>
      <c r="Q687" s="197">
        <v>-5.5969069047823172E-4</v>
      </c>
      <c r="R687" s="260" t="s">
        <v>239</v>
      </c>
      <c r="S687" s="260" t="s">
        <v>514</v>
      </c>
      <c r="T687" s="260" t="s">
        <v>239</v>
      </c>
      <c r="U687" s="260" t="s">
        <v>514</v>
      </c>
    </row>
    <row r="688" spans="1:21" ht="14.5" x14ac:dyDescent="0.35">
      <c r="A688" s="260" t="s">
        <v>565</v>
      </c>
      <c r="B688" s="190">
        <v>45974</v>
      </c>
      <c r="C688" s="197">
        <v>77678</v>
      </c>
      <c r="D688" s="197">
        <v>0</v>
      </c>
      <c r="E688" s="197">
        <v>0</v>
      </c>
      <c r="F688" s="197">
        <v>0</v>
      </c>
      <c r="G688" s="197">
        <v>51102</v>
      </c>
      <c r="H688" s="197">
        <v>26473</v>
      </c>
      <c r="I688" s="197">
        <v>60</v>
      </c>
      <c r="J688" s="197">
        <v>77635</v>
      </c>
      <c r="K688" s="197">
        <v>77635</v>
      </c>
      <c r="L688" s="197">
        <v>29129</v>
      </c>
      <c r="M688" s="197">
        <v>-69</v>
      </c>
      <c r="N688" s="197">
        <v>0</v>
      </c>
      <c r="O688" s="197">
        <v>0</v>
      </c>
      <c r="P688" s="197">
        <v>-43</v>
      </c>
      <c r="Q688" s="197">
        <v>-5.5356729060995757E-4</v>
      </c>
      <c r="R688" s="260" t="s">
        <v>239</v>
      </c>
      <c r="S688" s="260" t="s">
        <v>514</v>
      </c>
      <c r="T688" s="260" t="s">
        <v>239</v>
      </c>
      <c r="U688" s="260" t="s">
        <v>514</v>
      </c>
    </row>
    <row r="689" spans="1:21" ht="14.5" x14ac:dyDescent="0.35">
      <c r="A689" s="260" t="s">
        <v>565</v>
      </c>
      <c r="B689" s="190">
        <v>45975</v>
      </c>
      <c r="C689" s="197">
        <v>77635</v>
      </c>
      <c r="D689" s="197">
        <v>0</v>
      </c>
      <c r="E689" s="197">
        <v>0</v>
      </c>
      <c r="F689" s="197">
        <v>0</v>
      </c>
      <c r="G689" s="197">
        <v>51102</v>
      </c>
      <c r="H689" s="197">
        <v>26430</v>
      </c>
      <c r="I689" s="197">
        <v>60</v>
      </c>
      <c r="J689" s="197">
        <v>77592</v>
      </c>
      <c r="K689" s="197">
        <v>77592</v>
      </c>
      <c r="L689" s="197">
        <v>29129</v>
      </c>
      <c r="M689" s="197">
        <v>-69</v>
      </c>
      <c r="N689" s="197">
        <v>0</v>
      </c>
      <c r="O689" s="197">
        <v>0</v>
      </c>
      <c r="P689" s="197">
        <v>-43</v>
      </c>
      <c r="Q689" s="197">
        <v>-5.538738970825019E-4</v>
      </c>
      <c r="R689" s="260" t="s">
        <v>239</v>
      </c>
      <c r="S689" s="260" t="s">
        <v>514</v>
      </c>
      <c r="T689" s="260" t="s">
        <v>239</v>
      </c>
      <c r="U689" s="260" t="s">
        <v>514</v>
      </c>
    </row>
    <row r="690" spans="1:21" ht="14.5" x14ac:dyDescent="0.35">
      <c r="A690" s="260" t="s">
        <v>565</v>
      </c>
      <c r="B690" s="190">
        <v>45976</v>
      </c>
      <c r="C690" s="197">
        <v>77592</v>
      </c>
      <c r="D690" s="197">
        <v>0</v>
      </c>
      <c r="E690" s="197">
        <v>0</v>
      </c>
      <c r="F690" s="197">
        <v>0</v>
      </c>
      <c r="G690" s="197">
        <v>51102</v>
      </c>
      <c r="H690" s="197">
        <v>26430</v>
      </c>
      <c r="I690" s="197">
        <v>60</v>
      </c>
      <c r="J690" s="197">
        <v>77592</v>
      </c>
      <c r="K690" s="197">
        <v>77592</v>
      </c>
      <c r="L690" s="197">
        <v>29129</v>
      </c>
      <c r="M690" s="197">
        <v>-69</v>
      </c>
      <c r="N690" s="197">
        <v>0</v>
      </c>
      <c r="O690" s="197">
        <v>0</v>
      </c>
      <c r="P690" s="197">
        <v>0</v>
      </c>
      <c r="Q690" s="197">
        <v>0</v>
      </c>
      <c r="R690" s="260" t="s">
        <v>239</v>
      </c>
      <c r="S690" s="260" t="s">
        <v>514</v>
      </c>
      <c r="T690" s="260" t="s">
        <v>239</v>
      </c>
      <c r="U690" s="260" t="s">
        <v>514</v>
      </c>
    </row>
    <row r="691" spans="1:21" ht="14.5" x14ac:dyDescent="0.35">
      <c r="A691" s="260" t="s">
        <v>565</v>
      </c>
      <c r="B691" s="190">
        <v>45977</v>
      </c>
      <c r="C691" s="197">
        <v>77592</v>
      </c>
      <c r="D691" s="197">
        <v>0</v>
      </c>
      <c r="E691" s="197">
        <v>0</v>
      </c>
      <c r="F691" s="197">
        <v>0</v>
      </c>
      <c r="G691" s="197">
        <v>51102</v>
      </c>
      <c r="H691" s="197">
        <v>26430</v>
      </c>
      <c r="I691" s="197">
        <v>60</v>
      </c>
      <c r="J691" s="197">
        <v>77592</v>
      </c>
      <c r="K691" s="197">
        <v>77592</v>
      </c>
      <c r="L691" s="197">
        <v>29129</v>
      </c>
      <c r="M691" s="197">
        <v>-69</v>
      </c>
      <c r="N691" s="197">
        <v>0</v>
      </c>
      <c r="O691" s="197">
        <v>0</v>
      </c>
      <c r="P691" s="197">
        <v>0</v>
      </c>
      <c r="Q691" s="197">
        <v>0</v>
      </c>
      <c r="R691" s="260" t="s">
        <v>239</v>
      </c>
      <c r="S691" s="260" t="s">
        <v>514</v>
      </c>
      <c r="T691" s="260" t="s">
        <v>239</v>
      </c>
      <c r="U691" s="260" t="s">
        <v>514</v>
      </c>
    </row>
    <row r="692" spans="1:21" ht="14.5" x14ac:dyDescent="0.35">
      <c r="A692" s="260" t="s">
        <v>565</v>
      </c>
      <c r="B692" s="190">
        <v>45978</v>
      </c>
      <c r="C692" s="197">
        <v>77592</v>
      </c>
      <c r="D692" s="197">
        <v>0</v>
      </c>
      <c r="E692" s="197">
        <v>0</v>
      </c>
      <c r="F692" s="197">
        <v>0</v>
      </c>
      <c r="G692" s="197">
        <v>51102</v>
      </c>
      <c r="H692" s="197">
        <v>26300</v>
      </c>
      <c r="I692" s="197">
        <v>60</v>
      </c>
      <c r="J692" s="197">
        <v>77462</v>
      </c>
      <c r="K692" s="197">
        <v>77462</v>
      </c>
      <c r="L692" s="197">
        <v>29129</v>
      </c>
      <c r="M692" s="197">
        <v>-69</v>
      </c>
      <c r="N692" s="197">
        <v>0</v>
      </c>
      <c r="O692" s="197">
        <v>0</v>
      </c>
      <c r="P692" s="197">
        <v>-130</v>
      </c>
      <c r="Q692" s="197">
        <v>-1.6754304567481171E-3</v>
      </c>
      <c r="R692" s="260" t="s">
        <v>239</v>
      </c>
      <c r="S692" s="260" t="s">
        <v>514</v>
      </c>
      <c r="T692" s="260" t="s">
        <v>239</v>
      </c>
      <c r="U692" s="260" t="s">
        <v>514</v>
      </c>
    </row>
    <row r="693" spans="1:21" ht="14.5" x14ac:dyDescent="0.35">
      <c r="A693" s="260" t="s">
        <v>565</v>
      </c>
      <c r="B693" s="190">
        <v>45979</v>
      </c>
      <c r="C693" s="197">
        <v>77462</v>
      </c>
      <c r="D693" s="197">
        <v>0</v>
      </c>
      <c r="E693" s="197">
        <v>0</v>
      </c>
      <c r="F693" s="197">
        <v>0</v>
      </c>
      <c r="G693" s="197">
        <v>51102</v>
      </c>
      <c r="H693" s="197">
        <v>26257</v>
      </c>
      <c r="I693" s="197">
        <v>60</v>
      </c>
      <c r="J693" s="197">
        <v>77419</v>
      </c>
      <c r="K693" s="197">
        <v>77419</v>
      </c>
      <c r="L693" s="197">
        <v>29129</v>
      </c>
      <c r="M693" s="197">
        <v>-69</v>
      </c>
      <c r="N693" s="197">
        <v>0</v>
      </c>
      <c r="O693" s="197">
        <v>0</v>
      </c>
      <c r="P693" s="197">
        <v>-43</v>
      </c>
      <c r="Q693" s="197">
        <v>-5.5511089308302175E-4</v>
      </c>
      <c r="R693" s="260" t="s">
        <v>239</v>
      </c>
      <c r="S693" s="260" t="s">
        <v>514</v>
      </c>
      <c r="T693" s="260" t="s">
        <v>239</v>
      </c>
      <c r="U693" s="260" t="s">
        <v>514</v>
      </c>
    </row>
    <row r="694" spans="1:21" ht="14.5" x14ac:dyDescent="0.35">
      <c r="A694" s="260" t="s">
        <v>565</v>
      </c>
      <c r="B694" s="190">
        <v>45980</v>
      </c>
      <c r="C694" s="197">
        <v>77419</v>
      </c>
      <c r="D694" s="197">
        <v>0</v>
      </c>
      <c r="E694" s="197">
        <v>0</v>
      </c>
      <c r="F694" s="197">
        <v>0</v>
      </c>
      <c r="G694" s="197">
        <v>51102</v>
      </c>
      <c r="H694" s="197">
        <v>26214</v>
      </c>
      <c r="I694" s="197">
        <v>60</v>
      </c>
      <c r="J694" s="197">
        <v>77376</v>
      </c>
      <c r="K694" s="197">
        <v>77376</v>
      </c>
      <c r="L694" s="197">
        <v>29129</v>
      </c>
      <c r="M694" s="197">
        <v>-69</v>
      </c>
      <c r="N694" s="197">
        <v>0</v>
      </c>
      <c r="O694" s="197">
        <v>0</v>
      </c>
      <c r="P694" s="197">
        <v>-43</v>
      </c>
      <c r="Q694" s="197">
        <v>-5.5541921233803748E-4</v>
      </c>
      <c r="R694" s="260" t="s">
        <v>239</v>
      </c>
      <c r="S694" s="260" t="s">
        <v>514</v>
      </c>
      <c r="T694" s="260" t="s">
        <v>239</v>
      </c>
      <c r="U694" s="260" t="s">
        <v>514</v>
      </c>
    </row>
    <row r="695" spans="1:21" ht="14.5" x14ac:dyDescent="0.35">
      <c r="A695" s="260" t="s">
        <v>565</v>
      </c>
      <c r="B695" s="190">
        <v>45981</v>
      </c>
      <c r="C695" s="197">
        <v>77376</v>
      </c>
      <c r="D695" s="197">
        <v>0</v>
      </c>
      <c r="E695" s="197">
        <v>0</v>
      </c>
      <c r="F695" s="197">
        <v>0</v>
      </c>
      <c r="G695" s="197">
        <v>51102</v>
      </c>
      <c r="H695" s="197">
        <v>26170.5</v>
      </c>
      <c r="I695" s="197">
        <v>60</v>
      </c>
      <c r="J695" s="197">
        <v>77332.5</v>
      </c>
      <c r="K695" s="197">
        <v>77332.5</v>
      </c>
      <c r="L695" s="197">
        <v>29129</v>
      </c>
      <c r="M695" s="197">
        <v>-69</v>
      </c>
      <c r="N695" s="197">
        <v>0</v>
      </c>
      <c r="O695" s="197">
        <v>0</v>
      </c>
      <c r="P695" s="197">
        <v>-43.5</v>
      </c>
      <c r="Q695" s="197">
        <v>-5.6218982630273917E-4</v>
      </c>
      <c r="R695" s="260" t="s">
        <v>239</v>
      </c>
      <c r="S695" s="260" t="s">
        <v>514</v>
      </c>
      <c r="T695" s="260" t="s">
        <v>239</v>
      </c>
      <c r="U695" s="260" t="s">
        <v>514</v>
      </c>
    </row>
    <row r="696" spans="1:21" ht="14.5" x14ac:dyDescent="0.35">
      <c r="A696" s="260" t="s">
        <v>565</v>
      </c>
      <c r="B696" s="190">
        <v>45982</v>
      </c>
      <c r="C696" s="197">
        <v>77332.5</v>
      </c>
      <c r="D696" s="197">
        <v>0</v>
      </c>
      <c r="E696" s="197">
        <v>0</v>
      </c>
      <c r="F696" s="197">
        <v>0</v>
      </c>
      <c r="G696" s="197">
        <v>51102</v>
      </c>
      <c r="H696" s="197">
        <v>26127.5</v>
      </c>
      <c r="I696" s="197">
        <v>60</v>
      </c>
      <c r="J696" s="197">
        <v>77289.5</v>
      </c>
      <c r="K696" s="197">
        <v>77289.5</v>
      </c>
      <c r="L696" s="197">
        <v>29129</v>
      </c>
      <c r="M696" s="197">
        <v>-69</v>
      </c>
      <c r="N696" s="197">
        <v>0</v>
      </c>
      <c r="O696" s="197">
        <v>0</v>
      </c>
      <c r="P696" s="197">
        <v>-43</v>
      </c>
      <c r="Q696" s="197">
        <v>-5.5604047457402661E-4</v>
      </c>
      <c r="R696" s="260" t="s">
        <v>239</v>
      </c>
      <c r="S696" s="260" t="s">
        <v>514</v>
      </c>
      <c r="T696" s="260" t="s">
        <v>239</v>
      </c>
      <c r="U696" s="260" t="s">
        <v>514</v>
      </c>
    </row>
    <row r="697" spans="1:21" ht="14.5" x14ac:dyDescent="0.35">
      <c r="A697" s="260" t="s">
        <v>565</v>
      </c>
      <c r="B697" s="190">
        <v>45983</v>
      </c>
      <c r="C697" s="197">
        <v>77289.5</v>
      </c>
      <c r="D697" s="197">
        <v>0</v>
      </c>
      <c r="E697" s="197">
        <v>0</v>
      </c>
      <c r="F697" s="197">
        <v>0</v>
      </c>
      <c r="G697" s="197">
        <v>51102</v>
      </c>
      <c r="H697" s="197">
        <v>26127.5</v>
      </c>
      <c r="I697" s="197">
        <v>60</v>
      </c>
      <c r="J697" s="197">
        <v>77289.5</v>
      </c>
      <c r="K697" s="197">
        <v>77289.5</v>
      </c>
      <c r="L697" s="197">
        <v>29129</v>
      </c>
      <c r="M697" s="197">
        <v>-69</v>
      </c>
      <c r="N697" s="197">
        <v>0</v>
      </c>
      <c r="O697" s="197">
        <v>0</v>
      </c>
      <c r="P697" s="197">
        <v>0</v>
      </c>
      <c r="Q697" s="197">
        <v>0</v>
      </c>
      <c r="R697" s="260" t="s">
        <v>239</v>
      </c>
      <c r="S697" s="260" t="s">
        <v>514</v>
      </c>
      <c r="T697" s="260" t="s">
        <v>239</v>
      </c>
      <c r="U697" s="260" t="s">
        <v>514</v>
      </c>
    </row>
    <row r="698" spans="1:21" ht="14.5" x14ac:dyDescent="0.35">
      <c r="A698" s="260" t="s">
        <v>565</v>
      </c>
      <c r="B698" s="190">
        <v>45984</v>
      </c>
      <c r="C698" s="197">
        <v>77289.5</v>
      </c>
      <c r="D698" s="197">
        <v>0</v>
      </c>
      <c r="E698" s="197">
        <v>0</v>
      </c>
      <c r="F698" s="197">
        <v>0</v>
      </c>
      <c r="G698" s="197">
        <v>51102</v>
      </c>
      <c r="H698" s="197">
        <v>26127.5</v>
      </c>
      <c r="I698" s="197">
        <v>60</v>
      </c>
      <c r="J698" s="197">
        <v>77289.5</v>
      </c>
      <c r="K698" s="197">
        <v>77289.5</v>
      </c>
      <c r="L698" s="197">
        <v>29129</v>
      </c>
      <c r="M698" s="197">
        <v>-69</v>
      </c>
      <c r="N698" s="197">
        <v>0</v>
      </c>
      <c r="O698" s="197">
        <v>0</v>
      </c>
      <c r="P698" s="197">
        <v>0</v>
      </c>
      <c r="Q698" s="197">
        <v>0</v>
      </c>
      <c r="R698" s="260" t="s">
        <v>239</v>
      </c>
      <c r="S698" s="260" t="s">
        <v>514</v>
      </c>
      <c r="T698" s="260" t="s">
        <v>239</v>
      </c>
      <c r="U698" s="260" t="s">
        <v>514</v>
      </c>
    </row>
    <row r="699" spans="1:21" ht="14.5" x14ac:dyDescent="0.35">
      <c r="A699" s="260" t="s">
        <v>565</v>
      </c>
      <c r="B699" s="190">
        <v>45985</v>
      </c>
      <c r="C699" s="197">
        <v>77289.5</v>
      </c>
      <c r="D699" s="197">
        <v>0</v>
      </c>
      <c r="E699" s="197">
        <v>0</v>
      </c>
      <c r="F699" s="197">
        <v>0</v>
      </c>
      <c r="G699" s="197">
        <v>51102</v>
      </c>
      <c r="H699" s="197">
        <v>25999</v>
      </c>
      <c r="I699" s="197">
        <v>60</v>
      </c>
      <c r="J699" s="197">
        <v>77161</v>
      </c>
      <c r="K699" s="197">
        <v>77161</v>
      </c>
      <c r="L699" s="197">
        <v>29129</v>
      </c>
      <c r="M699" s="197">
        <v>-69</v>
      </c>
      <c r="N699" s="197">
        <v>0</v>
      </c>
      <c r="O699" s="197">
        <v>0</v>
      </c>
      <c r="P699" s="197">
        <v>-128.5</v>
      </c>
      <c r="Q699" s="197">
        <v>-1.6625802987468852E-3</v>
      </c>
      <c r="R699" s="260" t="s">
        <v>239</v>
      </c>
      <c r="S699" s="260" t="s">
        <v>514</v>
      </c>
      <c r="T699" s="260" t="s">
        <v>239</v>
      </c>
      <c r="U699" s="260" t="s">
        <v>514</v>
      </c>
    </row>
    <row r="700" spans="1:21" ht="14.5" x14ac:dyDescent="0.35">
      <c r="A700" s="260" t="s">
        <v>565</v>
      </c>
      <c r="B700" s="190">
        <v>45986</v>
      </c>
      <c r="C700" s="197">
        <v>77161</v>
      </c>
      <c r="D700" s="197">
        <v>0</v>
      </c>
      <c r="E700" s="197">
        <v>0</v>
      </c>
      <c r="F700" s="197">
        <v>0</v>
      </c>
      <c r="G700" s="197">
        <v>51102</v>
      </c>
      <c r="H700" s="197">
        <v>25956</v>
      </c>
      <c r="I700" s="197">
        <v>60</v>
      </c>
      <c r="J700" s="197">
        <v>77118</v>
      </c>
      <c r="K700" s="197">
        <v>77118</v>
      </c>
      <c r="L700" s="197">
        <v>29129</v>
      </c>
      <c r="M700" s="197">
        <v>-69</v>
      </c>
      <c r="N700" s="197">
        <v>0</v>
      </c>
      <c r="O700" s="197">
        <v>0</v>
      </c>
      <c r="P700" s="197">
        <v>-43</v>
      </c>
      <c r="Q700" s="197">
        <v>-5.5727634426716577E-4</v>
      </c>
      <c r="R700" s="260" t="s">
        <v>239</v>
      </c>
      <c r="S700" s="260" t="s">
        <v>514</v>
      </c>
      <c r="T700" s="260" t="s">
        <v>239</v>
      </c>
      <c r="U700" s="260" t="s">
        <v>514</v>
      </c>
    </row>
    <row r="701" spans="1:21" ht="14.5" x14ac:dyDescent="0.35">
      <c r="A701" s="260" t="s">
        <v>565</v>
      </c>
      <c r="B701" s="190">
        <v>45987</v>
      </c>
      <c r="C701" s="197">
        <v>77118</v>
      </c>
      <c r="D701" s="197">
        <v>0</v>
      </c>
      <c r="E701" s="197">
        <v>0</v>
      </c>
      <c r="F701" s="197">
        <v>0</v>
      </c>
      <c r="G701" s="197">
        <v>51102</v>
      </c>
      <c r="H701" s="197">
        <v>25912.5</v>
      </c>
      <c r="I701" s="197">
        <v>60</v>
      </c>
      <c r="J701" s="197">
        <v>77074.5</v>
      </c>
      <c r="K701" s="197">
        <v>77074.5</v>
      </c>
      <c r="L701" s="197">
        <v>29129</v>
      </c>
      <c r="M701" s="197">
        <v>-69</v>
      </c>
      <c r="N701" s="197">
        <v>0</v>
      </c>
      <c r="O701" s="197">
        <v>0</v>
      </c>
      <c r="P701" s="197">
        <v>-43.5</v>
      </c>
      <c r="Q701" s="197">
        <v>-5.6407064498564807E-4</v>
      </c>
      <c r="R701" s="260" t="s">
        <v>239</v>
      </c>
      <c r="S701" s="260" t="s">
        <v>514</v>
      </c>
      <c r="T701" s="260" t="s">
        <v>239</v>
      </c>
      <c r="U701" s="260" t="s">
        <v>514</v>
      </c>
    </row>
    <row r="702" spans="1:21" ht="14.5" x14ac:dyDescent="0.35">
      <c r="A702" s="260" t="s">
        <v>565</v>
      </c>
      <c r="B702" s="190">
        <v>45988</v>
      </c>
      <c r="C702" s="197">
        <v>77074.5</v>
      </c>
      <c r="D702" s="197">
        <v>0</v>
      </c>
      <c r="E702" s="197">
        <v>0</v>
      </c>
      <c r="F702" s="197">
        <v>0</v>
      </c>
      <c r="G702" s="197">
        <v>51102</v>
      </c>
      <c r="H702" s="197">
        <v>25869.5</v>
      </c>
      <c r="I702" s="197">
        <v>60</v>
      </c>
      <c r="J702" s="197">
        <v>77031.5</v>
      </c>
      <c r="K702" s="197">
        <v>77031.5</v>
      </c>
      <c r="L702" s="197">
        <v>29129</v>
      </c>
      <c r="M702" s="197">
        <v>-69</v>
      </c>
      <c r="N702" s="197">
        <v>0</v>
      </c>
      <c r="O702" s="197">
        <v>0</v>
      </c>
      <c r="P702" s="197">
        <v>-43</v>
      </c>
      <c r="Q702" s="197">
        <v>-5.5790177036507682E-4</v>
      </c>
      <c r="R702" s="260" t="s">
        <v>239</v>
      </c>
      <c r="S702" s="260" t="s">
        <v>514</v>
      </c>
      <c r="T702" s="260" t="s">
        <v>239</v>
      </c>
      <c r="U702" s="260" t="s">
        <v>514</v>
      </c>
    </row>
    <row r="703" spans="1:21" ht="14.5" x14ac:dyDescent="0.35">
      <c r="A703" s="260" t="s">
        <v>565</v>
      </c>
      <c r="B703" s="190">
        <v>45989</v>
      </c>
      <c r="C703" s="197">
        <v>77031.5</v>
      </c>
      <c r="D703" s="197">
        <v>0</v>
      </c>
      <c r="E703" s="197">
        <v>0</v>
      </c>
      <c r="F703" s="197">
        <v>0</v>
      </c>
      <c r="G703" s="197">
        <v>51102</v>
      </c>
      <c r="H703" s="197">
        <v>25826.5</v>
      </c>
      <c r="I703" s="197">
        <v>60</v>
      </c>
      <c r="J703" s="197">
        <v>76988.5</v>
      </c>
      <c r="K703" s="197">
        <v>76988.5</v>
      </c>
      <c r="L703" s="197">
        <v>29129</v>
      </c>
      <c r="M703" s="197">
        <v>-69</v>
      </c>
      <c r="N703" s="197">
        <v>0</v>
      </c>
      <c r="O703" s="197">
        <v>0</v>
      </c>
      <c r="P703" s="197">
        <v>-43</v>
      </c>
      <c r="Q703" s="197">
        <v>-5.5821319849669315E-4</v>
      </c>
      <c r="R703" s="260" t="s">
        <v>239</v>
      </c>
      <c r="S703" s="260" t="s">
        <v>514</v>
      </c>
      <c r="T703" s="260" t="s">
        <v>239</v>
      </c>
      <c r="U703" s="260" t="s">
        <v>514</v>
      </c>
    </row>
    <row r="704" spans="1:21" ht="14.5" x14ac:dyDescent="0.35">
      <c r="A704" s="260" t="s">
        <v>565</v>
      </c>
      <c r="B704" s="190">
        <v>45990</v>
      </c>
      <c r="C704" s="197">
        <v>76988.5</v>
      </c>
      <c r="D704" s="197">
        <v>0</v>
      </c>
      <c r="E704" s="197">
        <v>0</v>
      </c>
      <c r="F704" s="197">
        <v>0</v>
      </c>
      <c r="G704" s="197">
        <v>51102</v>
      </c>
      <c r="H704" s="197">
        <v>25826.5</v>
      </c>
      <c r="I704" s="197">
        <v>60</v>
      </c>
      <c r="J704" s="197">
        <v>76988.5</v>
      </c>
      <c r="K704" s="197">
        <v>76988.5</v>
      </c>
      <c r="L704" s="197">
        <v>29129</v>
      </c>
      <c r="M704" s="197">
        <v>-69</v>
      </c>
      <c r="N704" s="197">
        <v>0</v>
      </c>
      <c r="O704" s="197">
        <v>0</v>
      </c>
      <c r="P704" s="197">
        <v>0</v>
      </c>
      <c r="Q704" s="197">
        <v>0</v>
      </c>
      <c r="R704" s="260" t="s">
        <v>239</v>
      </c>
      <c r="S704" s="260" t="s">
        <v>514</v>
      </c>
      <c r="T704" s="260" t="s">
        <v>239</v>
      </c>
      <c r="U704" s="260" t="s">
        <v>514</v>
      </c>
    </row>
    <row r="705" spans="1:21" ht="14.5" x14ac:dyDescent="0.35">
      <c r="A705" s="260" t="s">
        <v>565</v>
      </c>
      <c r="B705" s="190">
        <v>45991</v>
      </c>
      <c r="C705" s="197">
        <v>76988.5</v>
      </c>
      <c r="D705" s="197">
        <v>0</v>
      </c>
      <c r="E705" s="197">
        <v>0</v>
      </c>
      <c r="F705" s="197">
        <v>0</v>
      </c>
      <c r="G705" s="197">
        <v>51102</v>
      </c>
      <c r="H705" s="197">
        <v>25826.5</v>
      </c>
      <c r="I705" s="197">
        <v>60</v>
      </c>
      <c r="J705" s="197">
        <v>76988.5</v>
      </c>
      <c r="K705" s="197">
        <v>76988.5</v>
      </c>
      <c r="L705" s="197">
        <v>29129</v>
      </c>
      <c r="M705" s="197">
        <v>-69</v>
      </c>
      <c r="N705" s="197">
        <v>0</v>
      </c>
      <c r="O705" s="197">
        <v>0</v>
      </c>
      <c r="P705" s="197">
        <v>0</v>
      </c>
      <c r="Q705" s="197">
        <v>0</v>
      </c>
      <c r="R705" s="260" t="s">
        <v>239</v>
      </c>
      <c r="S705" s="260" t="s">
        <v>514</v>
      </c>
      <c r="T705" s="260" t="s">
        <v>239</v>
      </c>
      <c r="U705" s="260" t="s">
        <v>514</v>
      </c>
    </row>
    <row r="706" spans="1:21" ht="14.5" x14ac:dyDescent="0.35">
      <c r="A706" s="260" t="s">
        <v>565</v>
      </c>
      <c r="B706" s="190">
        <v>45992</v>
      </c>
      <c r="C706" s="197">
        <v>76988.5</v>
      </c>
      <c r="D706" s="197">
        <v>0</v>
      </c>
      <c r="E706" s="197">
        <v>0</v>
      </c>
      <c r="F706" s="197">
        <v>0</v>
      </c>
      <c r="G706" s="197">
        <v>51102</v>
      </c>
      <c r="H706" s="197">
        <v>25740</v>
      </c>
      <c r="I706" s="197">
        <v>60</v>
      </c>
      <c r="J706" s="197">
        <v>76902</v>
      </c>
      <c r="K706" s="197">
        <v>76902</v>
      </c>
      <c r="L706" s="197">
        <v>29129</v>
      </c>
      <c r="M706" s="197">
        <v>-69</v>
      </c>
      <c r="N706" s="197">
        <v>0</v>
      </c>
      <c r="O706" s="197">
        <v>0</v>
      </c>
      <c r="P706" s="197">
        <v>-86.5</v>
      </c>
      <c r="Q706" s="197">
        <v>-1.1235444254661386E-3</v>
      </c>
      <c r="R706" s="260" t="s">
        <v>239</v>
      </c>
      <c r="S706" s="260" t="s">
        <v>514</v>
      </c>
      <c r="T706" s="260" t="s">
        <v>239</v>
      </c>
      <c r="U706" s="260" t="s">
        <v>514</v>
      </c>
    </row>
    <row r="707" spans="1:21" ht="14.5" x14ac:dyDescent="0.35">
      <c r="A707" s="260" t="s">
        <v>565</v>
      </c>
      <c r="B707" s="190">
        <v>45993</v>
      </c>
      <c r="C707" s="197">
        <v>76902</v>
      </c>
      <c r="D707" s="197">
        <v>0</v>
      </c>
      <c r="E707" s="197">
        <v>0</v>
      </c>
      <c r="F707" s="197">
        <v>0</v>
      </c>
      <c r="G707" s="197">
        <v>51102</v>
      </c>
      <c r="H707" s="197">
        <v>25733.5</v>
      </c>
      <c r="I707" s="197">
        <v>60</v>
      </c>
      <c r="J707" s="197">
        <v>76895.5</v>
      </c>
      <c r="K707" s="197">
        <v>76895.5</v>
      </c>
      <c r="L707" s="197">
        <v>29129</v>
      </c>
      <c r="M707" s="197">
        <v>-69</v>
      </c>
      <c r="N707" s="197">
        <v>0</v>
      </c>
      <c r="O707" s="197">
        <v>0</v>
      </c>
      <c r="P707" s="197">
        <v>-6.5</v>
      </c>
      <c r="Q707" s="197">
        <v>-8.4523159345706311E-5</v>
      </c>
      <c r="R707" s="260" t="s">
        <v>239</v>
      </c>
      <c r="S707" s="260" t="s">
        <v>514</v>
      </c>
      <c r="T707" s="260" t="s">
        <v>239</v>
      </c>
      <c r="U707" s="260" t="s">
        <v>514</v>
      </c>
    </row>
    <row r="708" spans="1:21" ht="14.5" x14ac:dyDescent="0.35">
      <c r="A708" s="260" t="s">
        <v>565</v>
      </c>
      <c r="B708" s="190">
        <v>45994</v>
      </c>
      <c r="C708" s="197">
        <v>76895.5</v>
      </c>
      <c r="D708" s="197">
        <v>0</v>
      </c>
      <c r="E708" s="197">
        <v>0</v>
      </c>
      <c r="F708" s="197">
        <v>0</v>
      </c>
      <c r="G708" s="197">
        <v>51102</v>
      </c>
      <c r="H708" s="197">
        <v>25726.5</v>
      </c>
      <c r="I708" s="197">
        <v>60</v>
      </c>
      <c r="J708" s="197">
        <v>76888.5</v>
      </c>
      <c r="K708" s="197">
        <v>76888.5</v>
      </c>
      <c r="L708" s="197">
        <v>29129</v>
      </c>
      <c r="M708" s="197">
        <v>-69</v>
      </c>
      <c r="N708" s="197">
        <v>0</v>
      </c>
      <c r="O708" s="197">
        <v>0</v>
      </c>
      <c r="P708" s="197">
        <v>-7</v>
      </c>
      <c r="Q708" s="197">
        <v>-9.1032635199717049E-5</v>
      </c>
      <c r="R708" s="260" t="s">
        <v>239</v>
      </c>
      <c r="S708" s="260" t="s">
        <v>514</v>
      </c>
      <c r="T708" s="260" t="s">
        <v>239</v>
      </c>
      <c r="U708" s="260" t="s">
        <v>514</v>
      </c>
    </row>
    <row r="709" spans="1:21" ht="14.5" x14ac:dyDescent="0.35">
      <c r="A709" s="260" t="s">
        <v>565</v>
      </c>
      <c r="B709" s="190">
        <v>45995</v>
      </c>
      <c r="C709" s="197">
        <v>76888.5</v>
      </c>
      <c r="D709" s="197">
        <v>0</v>
      </c>
      <c r="E709" s="197">
        <v>0</v>
      </c>
      <c r="F709" s="197">
        <v>0</v>
      </c>
      <c r="G709" s="197">
        <v>51102</v>
      </c>
      <c r="H709" s="197">
        <v>25720</v>
      </c>
      <c r="I709" s="197">
        <v>60</v>
      </c>
      <c r="J709" s="197">
        <v>76882</v>
      </c>
      <c r="K709" s="197">
        <v>76882</v>
      </c>
      <c r="L709" s="197">
        <v>29129</v>
      </c>
      <c r="M709" s="197">
        <v>-69</v>
      </c>
      <c r="N709" s="197">
        <v>0</v>
      </c>
      <c r="O709" s="197">
        <v>0</v>
      </c>
      <c r="P709" s="197">
        <v>-6.5</v>
      </c>
      <c r="Q709" s="197">
        <v>-8.4537999830880395E-5</v>
      </c>
      <c r="R709" s="260" t="s">
        <v>239</v>
      </c>
      <c r="S709" s="260" t="s">
        <v>514</v>
      </c>
      <c r="T709" s="260" t="s">
        <v>239</v>
      </c>
      <c r="U709" s="260" t="s">
        <v>514</v>
      </c>
    </row>
    <row r="710" spans="1:21" ht="14.5" x14ac:dyDescent="0.35">
      <c r="A710" s="260" t="s">
        <v>565</v>
      </c>
      <c r="B710" s="190">
        <v>45996</v>
      </c>
      <c r="C710" s="197">
        <v>76882</v>
      </c>
      <c r="D710" s="197">
        <v>0</v>
      </c>
      <c r="E710" s="197">
        <v>0</v>
      </c>
      <c r="F710" s="197">
        <v>0</v>
      </c>
      <c r="G710" s="197">
        <v>51102</v>
      </c>
      <c r="H710" s="197">
        <v>25713.5</v>
      </c>
      <c r="I710" s="197">
        <v>60</v>
      </c>
      <c r="J710" s="197">
        <v>76875.5</v>
      </c>
      <c r="K710" s="197">
        <v>76875.5</v>
      </c>
      <c r="L710" s="197">
        <v>29129</v>
      </c>
      <c r="M710" s="197">
        <v>-69</v>
      </c>
      <c r="N710" s="197">
        <v>0</v>
      </c>
      <c r="O710" s="197">
        <v>0</v>
      </c>
      <c r="P710" s="197">
        <v>-6.5</v>
      </c>
      <c r="Q710" s="197">
        <v>-8.4545147108538998E-5</v>
      </c>
      <c r="R710" s="260" t="s">
        <v>239</v>
      </c>
      <c r="S710" s="260" t="s">
        <v>514</v>
      </c>
      <c r="T710" s="260" t="s">
        <v>239</v>
      </c>
      <c r="U710" s="260" t="s">
        <v>514</v>
      </c>
    </row>
    <row r="711" spans="1:21" ht="14.5" x14ac:dyDescent="0.35">
      <c r="A711" s="260" t="s">
        <v>565</v>
      </c>
      <c r="B711" s="190">
        <v>45997</v>
      </c>
      <c r="C711" s="197">
        <v>76875.5</v>
      </c>
      <c r="D711" s="197">
        <v>0</v>
      </c>
      <c r="E711" s="197">
        <v>0</v>
      </c>
      <c r="F711" s="197">
        <v>0</v>
      </c>
      <c r="G711" s="197">
        <v>51102</v>
      </c>
      <c r="H711" s="197">
        <v>25713.5</v>
      </c>
      <c r="I711" s="197">
        <v>60</v>
      </c>
      <c r="J711" s="197">
        <v>76875.5</v>
      </c>
      <c r="K711" s="197">
        <v>76875.5</v>
      </c>
      <c r="L711" s="197">
        <v>29129</v>
      </c>
      <c r="M711" s="197">
        <v>-69</v>
      </c>
      <c r="N711" s="197">
        <v>0</v>
      </c>
      <c r="O711" s="197">
        <v>0</v>
      </c>
      <c r="P711" s="197">
        <v>0</v>
      </c>
      <c r="Q711" s="197">
        <v>0</v>
      </c>
      <c r="R711" s="260" t="s">
        <v>239</v>
      </c>
      <c r="S711" s="260" t="s">
        <v>514</v>
      </c>
      <c r="T711" s="260" t="s">
        <v>239</v>
      </c>
      <c r="U711" s="260" t="s">
        <v>514</v>
      </c>
    </row>
    <row r="712" spans="1:21" ht="14.5" x14ac:dyDescent="0.35">
      <c r="A712" s="260" t="s">
        <v>565</v>
      </c>
      <c r="B712" s="190">
        <v>45998</v>
      </c>
      <c r="C712" s="197">
        <v>76875.5</v>
      </c>
      <c r="D712" s="197">
        <v>0</v>
      </c>
      <c r="E712" s="197">
        <v>0</v>
      </c>
      <c r="F712" s="197">
        <v>0</v>
      </c>
      <c r="G712" s="197">
        <v>51102</v>
      </c>
      <c r="H712" s="197">
        <v>25713.5</v>
      </c>
      <c r="I712" s="197">
        <v>60</v>
      </c>
      <c r="J712" s="197">
        <v>76875.5</v>
      </c>
      <c r="K712" s="197">
        <v>76875.5</v>
      </c>
      <c r="L712" s="197">
        <v>29129</v>
      </c>
      <c r="M712" s="197">
        <v>-69</v>
      </c>
      <c r="N712" s="197">
        <v>0</v>
      </c>
      <c r="O712" s="197">
        <v>0</v>
      </c>
      <c r="P712" s="197">
        <v>0</v>
      </c>
      <c r="Q712" s="197">
        <v>0</v>
      </c>
      <c r="R712" s="260" t="s">
        <v>239</v>
      </c>
      <c r="S712" s="260" t="s">
        <v>514</v>
      </c>
      <c r="T712" s="260" t="s">
        <v>239</v>
      </c>
      <c r="U712" s="260" t="s">
        <v>514</v>
      </c>
    </row>
    <row r="713" spans="1:21" ht="14.5" x14ac:dyDescent="0.35">
      <c r="A713" s="260" t="s">
        <v>565</v>
      </c>
      <c r="B713" s="190">
        <v>45999</v>
      </c>
      <c r="C713" s="197">
        <v>76875.5</v>
      </c>
      <c r="D713" s="197">
        <v>0</v>
      </c>
      <c r="E713" s="197">
        <v>0</v>
      </c>
      <c r="F713" s="197">
        <v>0</v>
      </c>
      <c r="G713" s="197">
        <v>51102</v>
      </c>
      <c r="H713" s="197">
        <v>25693.5</v>
      </c>
      <c r="I713" s="197">
        <v>60</v>
      </c>
      <c r="J713" s="197">
        <v>76855.5</v>
      </c>
      <c r="K713" s="197">
        <v>76855.5</v>
      </c>
      <c r="L713" s="197">
        <v>29129</v>
      </c>
      <c r="M713" s="197">
        <v>-69</v>
      </c>
      <c r="N713" s="197">
        <v>0</v>
      </c>
      <c r="O713" s="197">
        <v>0</v>
      </c>
      <c r="P713" s="197">
        <v>-20</v>
      </c>
      <c r="Q713" s="197">
        <v>-2.6016090952252213E-4</v>
      </c>
      <c r="R713" s="260" t="s">
        <v>239</v>
      </c>
      <c r="S713" s="260" t="s">
        <v>514</v>
      </c>
      <c r="T713" s="260" t="s">
        <v>239</v>
      </c>
      <c r="U713" s="260" t="s">
        <v>514</v>
      </c>
    </row>
    <row r="714" spans="1:21" ht="14.5" x14ac:dyDescent="0.35">
      <c r="A714" s="260" t="s">
        <v>565</v>
      </c>
      <c r="B714" s="190">
        <v>46000</v>
      </c>
      <c r="C714" s="197">
        <v>76855.5</v>
      </c>
      <c r="D714" s="197">
        <v>0</v>
      </c>
      <c r="E714" s="197">
        <v>0</v>
      </c>
      <c r="F714" s="197">
        <v>0</v>
      </c>
      <c r="G714" s="197">
        <v>51102</v>
      </c>
      <c r="H714" s="197">
        <v>25686.5</v>
      </c>
      <c r="I714" s="197">
        <v>60</v>
      </c>
      <c r="J714" s="197">
        <v>76848.5</v>
      </c>
      <c r="K714" s="197">
        <v>76848.5</v>
      </c>
      <c r="L714" s="197">
        <v>29129</v>
      </c>
      <c r="M714" s="197">
        <v>-69</v>
      </c>
      <c r="N714" s="197">
        <v>0</v>
      </c>
      <c r="O714" s="197">
        <v>0</v>
      </c>
      <c r="P714" s="197">
        <v>-7</v>
      </c>
      <c r="Q714" s="197">
        <v>-9.1080013792099734E-5</v>
      </c>
      <c r="R714" s="260" t="s">
        <v>239</v>
      </c>
      <c r="S714" s="260" t="s">
        <v>514</v>
      </c>
      <c r="T714" s="260" t="s">
        <v>239</v>
      </c>
      <c r="U714" s="260" t="s">
        <v>514</v>
      </c>
    </row>
    <row r="715" spans="1:21" ht="14.5" x14ac:dyDescent="0.35">
      <c r="A715" s="260" t="s">
        <v>565</v>
      </c>
      <c r="B715" s="190">
        <v>46001</v>
      </c>
      <c r="C715" s="197">
        <v>76848.5</v>
      </c>
      <c r="D715" s="197">
        <v>0</v>
      </c>
      <c r="E715" s="197">
        <v>0</v>
      </c>
      <c r="F715" s="197">
        <v>0</v>
      </c>
      <c r="G715" s="197">
        <v>51102</v>
      </c>
      <c r="H715" s="197">
        <v>25680</v>
      </c>
      <c r="I715" s="197">
        <v>60</v>
      </c>
      <c r="J715" s="197">
        <v>76842</v>
      </c>
      <c r="K715" s="197">
        <v>76842</v>
      </c>
      <c r="L715" s="197">
        <v>29129</v>
      </c>
      <c r="M715" s="197">
        <v>-69</v>
      </c>
      <c r="N715" s="197">
        <v>0</v>
      </c>
      <c r="O715" s="197">
        <v>0</v>
      </c>
      <c r="P715" s="197">
        <v>-6.5</v>
      </c>
      <c r="Q715" s="197">
        <v>-8.4582002251143429E-5</v>
      </c>
      <c r="R715" s="260" t="s">
        <v>239</v>
      </c>
      <c r="S715" s="260" t="s">
        <v>514</v>
      </c>
      <c r="T715" s="260" t="s">
        <v>239</v>
      </c>
      <c r="U715" s="260" t="s">
        <v>514</v>
      </c>
    </row>
    <row r="716" spans="1:21" ht="14.5" x14ac:dyDescent="0.35">
      <c r="A716" s="260" t="s">
        <v>565</v>
      </c>
      <c r="B716" s="190">
        <v>46002</v>
      </c>
      <c r="C716" s="197">
        <v>76842</v>
      </c>
      <c r="D716" s="197">
        <v>0</v>
      </c>
      <c r="E716" s="197">
        <v>0</v>
      </c>
      <c r="F716" s="197">
        <v>0</v>
      </c>
      <c r="G716" s="197">
        <v>51102</v>
      </c>
      <c r="H716" s="197">
        <v>25673.5</v>
      </c>
      <c r="I716" s="197">
        <v>60</v>
      </c>
      <c r="J716" s="197">
        <v>76835.5</v>
      </c>
      <c r="K716" s="197">
        <v>76835.5</v>
      </c>
      <c r="L716" s="197">
        <v>29129</v>
      </c>
      <c r="M716" s="197">
        <v>-69</v>
      </c>
      <c r="N716" s="197">
        <v>0</v>
      </c>
      <c r="O716" s="197">
        <v>0</v>
      </c>
      <c r="P716" s="197">
        <v>-6.5</v>
      </c>
      <c r="Q716" s="197">
        <v>-8.4589156971404122E-5</v>
      </c>
      <c r="R716" s="260" t="s">
        <v>239</v>
      </c>
      <c r="S716" s="260" t="s">
        <v>514</v>
      </c>
      <c r="T716" s="260" t="s">
        <v>239</v>
      </c>
      <c r="U716" s="260" t="s">
        <v>514</v>
      </c>
    </row>
    <row r="717" spans="1:21" ht="14.5" x14ac:dyDescent="0.35">
      <c r="A717" s="260" t="s">
        <v>565</v>
      </c>
      <c r="B717" s="190">
        <v>46003</v>
      </c>
      <c r="C717" s="197">
        <v>76835.5</v>
      </c>
      <c r="D717" s="197">
        <v>0</v>
      </c>
      <c r="E717" s="197">
        <v>0</v>
      </c>
      <c r="F717" s="197">
        <v>0</v>
      </c>
      <c r="G717" s="197">
        <v>51102</v>
      </c>
      <c r="H717" s="197">
        <v>25666.5</v>
      </c>
      <c r="I717" s="197">
        <v>60</v>
      </c>
      <c r="J717" s="197">
        <v>76828.5</v>
      </c>
      <c r="K717" s="197">
        <v>76828.5</v>
      </c>
      <c r="L717" s="197">
        <v>29129</v>
      </c>
      <c r="M717" s="197">
        <v>-69</v>
      </c>
      <c r="N717" s="197">
        <v>0</v>
      </c>
      <c r="O717" s="197">
        <v>0</v>
      </c>
      <c r="P717" s="197">
        <v>-7</v>
      </c>
      <c r="Q717" s="197">
        <v>-9.1103721587049158E-5</v>
      </c>
      <c r="R717" s="260" t="s">
        <v>239</v>
      </c>
      <c r="S717" s="260" t="s">
        <v>514</v>
      </c>
      <c r="T717" s="260" t="s">
        <v>239</v>
      </c>
      <c r="U717" s="260" t="s">
        <v>514</v>
      </c>
    </row>
    <row r="718" spans="1:21" ht="14.5" x14ac:dyDescent="0.35">
      <c r="A718" s="260" t="s">
        <v>565</v>
      </c>
      <c r="B718" s="190">
        <v>46004</v>
      </c>
      <c r="C718" s="197">
        <v>76828.5</v>
      </c>
      <c r="D718" s="197">
        <v>0</v>
      </c>
      <c r="E718" s="197">
        <v>0</v>
      </c>
      <c r="F718" s="197">
        <v>0</v>
      </c>
      <c r="G718" s="197">
        <v>51102</v>
      </c>
      <c r="H718" s="197">
        <v>25666.5</v>
      </c>
      <c r="I718" s="197">
        <v>60</v>
      </c>
      <c r="J718" s="197">
        <v>76828.5</v>
      </c>
      <c r="K718" s="197">
        <v>76828.5</v>
      </c>
      <c r="L718" s="197">
        <v>29129</v>
      </c>
      <c r="M718" s="197">
        <v>-69</v>
      </c>
      <c r="N718" s="197">
        <v>0</v>
      </c>
      <c r="O718" s="197">
        <v>0</v>
      </c>
      <c r="P718" s="197">
        <v>0</v>
      </c>
      <c r="Q718" s="197">
        <v>0</v>
      </c>
      <c r="R718" s="260" t="s">
        <v>239</v>
      </c>
      <c r="S718" s="260" t="s">
        <v>514</v>
      </c>
      <c r="T718" s="260" t="s">
        <v>239</v>
      </c>
      <c r="U718" s="260" t="s">
        <v>514</v>
      </c>
    </row>
    <row r="719" spans="1:21" ht="14.5" x14ac:dyDescent="0.35">
      <c r="A719" s="260" t="s">
        <v>565</v>
      </c>
      <c r="B719" s="190">
        <v>46005</v>
      </c>
      <c r="C719" s="197">
        <v>76828.5</v>
      </c>
      <c r="D719" s="197">
        <v>0</v>
      </c>
      <c r="E719" s="197">
        <v>0</v>
      </c>
      <c r="F719" s="197">
        <v>0</v>
      </c>
      <c r="G719" s="197">
        <v>51102</v>
      </c>
      <c r="H719" s="197">
        <v>25666.5</v>
      </c>
      <c r="I719" s="197">
        <v>60</v>
      </c>
      <c r="J719" s="197">
        <v>76828.5</v>
      </c>
      <c r="K719" s="197">
        <v>76828.5</v>
      </c>
      <c r="L719" s="197">
        <v>29129</v>
      </c>
      <c r="M719" s="197">
        <v>-69</v>
      </c>
      <c r="N719" s="197">
        <v>0</v>
      </c>
      <c r="O719" s="197">
        <v>0</v>
      </c>
      <c r="P719" s="197">
        <v>0</v>
      </c>
      <c r="Q719" s="197">
        <v>0</v>
      </c>
      <c r="R719" s="260" t="s">
        <v>239</v>
      </c>
      <c r="S719" s="260" t="s">
        <v>514</v>
      </c>
      <c r="T719" s="260" t="s">
        <v>239</v>
      </c>
      <c r="U719" s="260" t="s">
        <v>514</v>
      </c>
    </row>
    <row r="720" spans="1:21" ht="14.5" x14ac:dyDescent="0.35">
      <c r="A720" s="260" t="s">
        <v>565</v>
      </c>
      <c r="B720" s="190">
        <v>46006</v>
      </c>
      <c r="C720" s="197">
        <v>76828.5</v>
      </c>
      <c r="D720" s="197">
        <v>0</v>
      </c>
      <c r="E720" s="197">
        <v>0</v>
      </c>
      <c r="F720" s="197">
        <v>0</v>
      </c>
      <c r="G720" s="197">
        <v>51162</v>
      </c>
      <c r="H720" s="197">
        <v>25646.5</v>
      </c>
      <c r="I720" s="197">
        <v>0</v>
      </c>
      <c r="J720" s="197">
        <v>76808.5</v>
      </c>
      <c r="K720" s="197">
        <v>76808.5</v>
      </c>
      <c r="L720" s="197">
        <v>29129</v>
      </c>
      <c r="M720" s="197">
        <v>-69</v>
      </c>
      <c r="N720" s="197">
        <v>0</v>
      </c>
      <c r="O720" s="197">
        <v>0</v>
      </c>
      <c r="P720" s="197">
        <v>-20</v>
      </c>
      <c r="Q720" s="197">
        <v>-2.6032006351806025E-4</v>
      </c>
      <c r="R720" s="260" t="s">
        <v>239</v>
      </c>
      <c r="S720" s="260" t="s">
        <v>514</v>
      </c>
      <c r="T720" s="260" t="s">
        <v>239</v>
      </c>
      <c r="U720" s="260" t="s">
        <v>514</v>
      </c>
    </row>
    <row r="721" spans="1:21" ht="14.5" x14ac:dyDescent="0.35">
      <c r="A721" s="260" t="s">
        <v>565</v>
      </c>
      <c r="B721" s="190">
        <v>46007</v>
      </c>
      <c r="C721" s="197">
        <v>76808.5</v>
      </c>
      <c r="D721" s="197">
        <v>0</v>
      </c>
      <c r="E721" s="197">
        <v>0</v>
      </c>
      <c r="F721" s="197">
        <v>0</v>
      </c>
      <c r="G721" s="197">
        <v>51162</v>
      </c>
      <c r="H721" s="197">
        <v>25640</v>
      </c>
      <c r="I721" s="197">
        <v>0</v>
      </c>
      <c r="J721" s="197">
        <v>76802</v>
      </c>
      <c r="K721" s="197">
        <v>76802</v>
      </c>
      <c r="L721" s="197">
        <v>29129</v>
      </c>
      <c r="M721" s="197">
        <v>-69</v>
      </c>
      <c r="N721" s="197">
        <v>0</v>
      </c>
      <c r="O721" s="197">
        <v>0</v>
      </c>
      <c r="P721" s="197">
        <v>-6.5</v>
      </c>
      <c r="Q721" s="197">
        <v>-8.4626050502190076E-5</v>
      </c>
      <c r="R721" s="260" t="s">
        <v>239</v>
      </c>
      <c r="S721" s="260" t="s">
        <v>514</v>
      </c>
      <c r="T721" s="260" t="s">
        <v>239</v>
      </c>
      <c r="U721" s="260" t="s">
        <v>514</v>
      </c>
    </row>
    <row r="722" spans="1:21" ht="14.5" x14ac:dyDescent="0.35">
      <c r="A722" s="260" t="s">
        <v>565</v>
      </c>
      <c r="B722" s="190">
        <v>46008</v>
      </c>
      <c r="C722" s="197">
        <v>76802</v>
      </c>
      <c r="D722" s="197">
        <v>0</v>
      </c>
      <c r="E722" s="197">
        <v>0</v>
      </c>
      <c r="F722" s="197">
        <v>0</v>
      </c>
      <c r="G722" s="197">
        <v>51162</v>
      </c>
      <c r="H722" s="197">
        <v>25633.5</v>
      </c>
      <c r="I722" s="197">
        <v>0</v>
      </c>
      <c r="J722" s="197">
        <v>76795.5</v>
      </c>
      <c r="K722" s="197">
        <v>76795.5</v>
      </c>
      <c r="L722" s="197">
        <v>29129</v>
      </c>
      <c r="M722" s="197">
        <v>-69</v>
      </c>
      <c r="N722" s="197">
        <v>0</v>
      </c>
      <c r="O722" s="197">
        <v>0</v>
      </c>
      <c r="P722" s="197">
        <v>-6.5</v>
      </c>
      <c r="Q722" s="197">
        <v>-8.4633212676710201E-5</v>
      </c>
      <c r="R722" s="260" t="s">
        <v>239</v>
      </c>
      <c r="S722" s="260" t="s">
        <v>514</v>
      </c>
      <c r="T722" s="260" t="s">
        <v>239</v>
      </c>
      <c r="U722" s="260" t="s">
        <v>514</v>
      </c>
    </row>
    <row r="723" spans="1:21" ht="14.5" x14ac:dyDescent="0.35">
      <c r="A723" s="260" t="s">
        <v>565</v>
      </c>
      <c r="B723" s="190">
        <v>46009</v>
      </c>
      <c r="C723" s="197">
        <v>76795.5</v>
      </c>
      <c r="D723" s="197">
        <v>0</v>
      </c>
      <c r="E723" s="197">
        <v>-3000</v>
      </c>
      <c r="F723" s="197">
        <v>-3000</v>
      </c>
      <c r="G723" s="197">
        <v>48162</v>
      </c>
      <c r="H723" s="197">
        <v>25626.5</v>
      </c>
      <c r="I723" s="197">
        <v>0</v>
      </c>
      <c r="J723" s="197">
        <v>73788.5</v>
      </c>
      <c r="K723" s="197">
        <v>73788.5</v>
      </c>
      <c r="L723" s="197">
        <v>29129</v>
      </c>
      <c r="M723" s="197">
        <v>-69</v>
      </c>
      <c r="N723" s="197">
        <v>0</v>
      </c>
      <c r="O723" s="197">
        <v>0</v>
      </c>
      <c r="P723" s="197">
        <v>-7</v>
      </c>
      <c r="Q723" s="197">
        <v>-9.1151174222425801E-5</v>
      </c>
      <c r="R723" s="260" t="s">
        <v>239</v>
      </c>
      <c r="S723" s="260" t="s">
        <v>514</v>
      </c>
      <c r="T723" s="260" t="s">
        <v>239</v>
      </c>
      <c r="U723" s="260" t="s">
        <v>514</v>
      </c>
    </row>
    <row r="724" spans="1:21" ht="14.5" x14ac:dyDescent="0.35">
      <c r="A724" s="260" t="s">
        <v>565</v>
      </c>
      <c r="B724" s="190">
        <v>46010</v>
      </c>
      <c r="C724" s="197">
        <v>73788.5</v>
      </c>
      <c r="D724" s="197">
        <v>0</v>
      </c>
      <c r="E724" s="197">
        <v>0</v>
      </c>
      <c r="F724" s="197">
        <v>0</v>
      </c>
      <c r="G724" s="197">
        <v>48162</v>
      </c>
      <c r="H724" s="197">
        <v>25620</v>
      </c>
      <c r="I724" s="197">
        <v>0</v>
      </c>
      <c r="J724" s="197">
        <v>73782</v>
      </c>
      <c r="K724" s="197">
        <v>73782</v>
      </c>
      <c r="L724" s="197">
        <v>29129</v>
      </c>
      <c r="M724" s="197">
        <v>-69</v>
      </c>
      <c r="N724" s="197">
        <v>0</v>
      </c>
      <c r="O724" s="197">
        <v>0</v>
      </c>
      <c r="P724" s="197">
        <v>-6.5</v>
      </c>
      <c r="Q724" s="197">
        <v>-8.8089607459207464E-5</v>
      </c>
      <c r="R724" s="260" t="s">
        <v>239</v>
      </c>
      <c r="S724" s="260" t="s">
        <v>514</v>
      </c>
      <c r="T724" s="260" t="s">
        <v>239</v>
      </c>
      <c r="U724" s="260" t="s">
        <v>514</v>
      </c>
    </row>
    <row r="725" spans="1:21" ht="14.5" x14ac:dyDescent="0.35">
      <c r="A725" s="260" t="s">
        <v>565</v>
      </c>
      <c r="B725" s="190">
        <v>46011</v>
      </c>
      <c r="C725" s="197">
        <v>73782</v>
      </c>
      <c r="D725" s="197">
        <v>0</v>
      </c>
      <c r="E725" s="197">
        <v>0</v>
      </c>
      <c r="F725" s="197">
        <v>0</v>
      </c>
      <c r="G725" s="197">
        <v>48162</v>
      </c>
      <c r="H725" s="197">
        <v>25620</v>
      </c>
      <c r="I725" s="197">
        <v>0</v>
      </c>
      <c r="J725" s="197">
        <v>73782</v>
      </c>
      <c r="K725" s="197">
        <v>73782</v>
      </c>
      <c r="L725" s="197">
        <v>29129</v>
      </c>
      <c r="M725" s="197">
        <v>-69</v>
      </c>
      <c r="N725" s="197">
        <v>0</v>
      </c>
      <c r="O725" s="197">
        <v>0</v>
      </c>
      <c r="P725" s="197">
        <v>0</v>
      </c>
      <c r="Q725" s="197">
        <v>0</v>
      </c>
      <c r="R725" s="260" t="s">
        <v>239</v>
      </c>
      <c r="S725" s="260" t="s">
        <v>514</v>
      </c>
      <c r="T725" s="260" t="s">
        <v>239</v>
      </c>
      <c r="U725" s="260" t="s">
        <v>514</v>
      </c>
    </row>
    <row r="726" spans="1:21" ht="14.5" x14ac:dyDescent="0.35">
      <c r="A726" s="260" t="s">
        <v>565</v>
      </c>
      <c r="B726" s="190">
        <v>46012</v>
      </c>
      <c r="C726" s="197">
        <v>73782</v>
      </c>
      <c r="D726" s="197">
        <v>0</v>
      </c>
      <c r="E726" s="197">
        <v>0</v>
      </c>
      <c r="F726" s="197">
        <v>0</v>
      </c>
      <c r="G726" s="197">
        <v>48162</v>
      </c>
      <c r="H726" s="197">
        <v>25620</v>
      </c>
      <c r="I726" s="197">
        <v>0</v>
      </c>
      <c r="J726" s="197">
        <v>73782</v>
      </c>
      <c r="K726" s="197">
        <v>73782</v>
      </c>
      <c r="L726" s="197">
        <v>29129</v>
      </c>
      <c r="M726" s="197">
        <v>-69</v>
      </c>
      <c r="N726" s="197">
        <v>0</v>
      </c>
      <c r="O726" s="197">
        <v>0</v>
      </c>
      <c r="P726" s="197">
        <v>0</v>
      </c>
      <c r="Q726" s="197">
        <v>0</v>
      </c>
      <c r="R726" s="260" t="s">
        <v>239</v>
      </c>
      <c r="S726" s="260" t="s">
        <v>514</v>
      </c>
      <c r="T726" s="260" t="s">
        <v>239</v>
      </c>
      <c r="U726" s="260" t="s">
        <v>514</v>
      </c>
    </row>
    <row r="727" spans="1:21" ht="14.5" x14ac:dyDescent="0.35">
      <c r="A727" s="260" t="s">
        <v>565</v>
      </c>
      <c r="B727" s="190">
        <v>46013</v>
      </c>
      <c r="C727" s="197">
        <v>73782</v>
      </c>
      <c r="D727" s="197">
        <v>0</v>
      </c>
      <c r="E727" s="197">
        <v>0</v>
      </c>
      <c r="F727" s="197">
        <v>0</v>
      </c>
      <c r="G727" s="197">
        <v>48162</v>
      </c>
      <c r="H727" s="197">
        <v>25600</v>
      </c>
      <c r="I727" s="197">
        <v>0</v>
      </c>
      <c r="J727" s="197">
        <v>73762</v>
      </c>
      <c r="K727" s="197">
        <v>73762</v>
      </c>
      <c r="L727" s="197">
        <v>29129</v>
      </c>
      <c r="M727" s="197">
        <v>-69</v>
      </c>
      <c r="N727" s="197">
        <v>0</v>
      </c>
      <c r="O727" s="197">
        <v>0</v>
      </c>
      <c r="P727" s="197">
        <v>-20</v>
      </c>
      <c r="Q727" s="197">
        <v>-2.7106882437455404E-4</v>
      </c>
      <c r="R727" s="260" t="s">
        <v>239</v>
      </c>
      <c r="S727" s="260" t="s">
        <v>514</v>
      </c>
      <c r="T727" s="260" t="s">
        <v>239</v>
      </c>
      <c r="U727" s="260" t="s">
        <v>514</v>
      </c>
    </row>
    <row r="728" spans="1:21" ht="14.5" x14ac:dyDescent="0.35">
      <c r="A728" s="260" t="s">
        <v>565</v>
      </c>
      <c r="B728" s="190">
        <v>46014</v>
      </c>
      <c r="C728" s="197">
        <v>73762</v>
      </c>
      <c r="D728" s="197">
        <v>0</v>
      </c>
      <c r="E728" s="197">
        <v>0</v>
      </c>
      <c r="F728" s="197">
        <v>0</v>
      </c>
      <c r="G728" s="197">
        <v>48162</v>
      </c>
      <c r="H728" s="197">
        <v>25593.5</v>
      </c>
      <c r="I728" s="197">
        <v>0</v>
      </c>
      <c r="J728" s="197">
        <v>73755.5</v>
      </c>
      <c r="K728" s="197">
        <v>73755.5</v>
      </c>
      <c r="L728" s="197">
        <v>29129</v>
      </c>
      <c r="M728" s="197">
        <v>-69</v>
      </c>
      <c r="N728" s="197">
        <v>0</v>
      </c>
      <c r="O728" s="197">
        <v>0</v>
      </c>
      <c r="P728" s="197">
        <v>-6.5</v>
      </c>
      <c r="Q728" s="197">
        <v>-8.8121254846695862E-5</v>
      </c>
      <c r="R728" s="260" t="s">
        <v>239</v>
      </c>
      <c r="S728" s="260" t="s">
        <v>514</v>
      </c>
      <c r="T728" s="260" t="s">
        <v>239</v>
      </c>
      <c r="U728" s="260" t="s">
        <v>514</v>
      </c>
    </row>
    <row r="729" spans="1:21" ht="14.5" x14ac:dyDescent="0.35">
      <c r="A729" s="260" t="s">
        <v>565</v>
      </c>
      <c r="B729" s="190">
        <v>46015</v>
      </c>
      <c r="C729" s="197">
        <v>73755.5</v>
      </c>
      <c r="D729" s="197">
        <v>0</v>
      </c>
      <c r="E729" s="197">
        <v>0</v>
      </c>
      <c r="F729" s="197">
        <v>0</v>
      </c>
      <c r="G729" s="197">
        <v>48162</v>
      </c>
      <c r="H729" s="197">
        <v>25586.5</v>
      </c>
      <c r="I729" s="197">
        <v>0</v>
      </c>
      <c r="J729" s="197">
        <v>73748.5</v>
      </c>
      <c r="K729" s="197">
        <v>73748.5</v>
      </c>
      <c r="L729" s="197">
        <v>29129</v>
      </c>
      <c r="M729" s="197">
        <v>-69</v>
      </c>
      <c r="N729" s="197">
        <v>0</v>
      </c>
      <c r="O729" s="197">
        <v>0</v>
      </c>
      <c r="P729" s="197">
        <v>-7</v>
      </c>
      <c r="Q729" s="197">
        <v>-9.4908176339392192E-5</v>
      </c>
      <c r="R729" s="260" t="s">
        <v>239</v>
      </c>
      <c r="S729" s="260" t="s">
        <v>514</v>
      </c>
      <c r="T729" s="260" t="s">
        <v>239</v>
      </c>
      <c r="U729" s="260" t="s">
        <v>514</v>
      </c>
    </row>
    <row r="730" spans="1:21" ht="14.5" x14ac:dyDescent="0.35">
      <c r="A730" s="260" t="s">
        <v>565</v>
      </c>
      <c r="B730" s="190">
        <v>46016</v>
      </c>
      <c r="C730" s="197">
        <v>73748.5</v>
      </c>
      <c r="D730" s="197">
        <v>0</v>
      </c>
      <c r="E730" s="197">
        <v>0</v>
      </c>
      <c r="F730" s="197">
        <v>0</v>
      </c>
      <c r="G730" s="197">
        <v>48162</v>
      </c>
      <c r="H730" s="197">
        <v>25580</v>
      </c>
      <c r="I730" s="197">
        <v>0</v>
      </c>
      <c r="J730" s="197">
        <v>73742</v>
      </c>
      <c r="K730" s="197">
        <v>73742</v>
      </c>
      <c r="L730" s="197">
        <v>29129</v>
      </c>
      <c r="M730" s="197">
        <v>-69</v>
      </c>
      <c r="N730" s="197">
        <v>0</v>
      </c>
      <c r="O730" s="197">
        <v>0</v>
      </c>
      <c r="P730" s="197">
        <v>-6.5</v>
      </c>
      <c r="Q730" s="197">
        <v>-8.8137385845121763E-5</v>
      </c>
      <c r="R730" s="260" t="s">
        <v>239</v>
      </c>
      <c r="S730" s="260" t="s">
        <v>514</v>
      </c>
      <c r="T730" s="260" t="s">
        <v>239</v>
      </c>
      <c r="U730" s="260" t="s">
        <v>514</v>
      </c>
    </row>
    <row r="731" spans="1:21" ht="14.5" x14ac:dyDescent="0.35">
      <c r="A731" s="260" t="s">
        <v>565</v>
      </c>
      <c r="B731" s="190">
        <v>46017</v>
      </c>
      <c r="C731" s="197">
        <v>73742</v>
      </c>
      <c r="D731" s="197">
        <v>0</v>
      </c>
      <c r="E731" s="197">
        <v>0</v>
      </c>
      <c r="F731" s="197">
        <v>0</v>
      </c>
      <c r="G731" s="197">
        <v>48162</v>
      </c>
      <c r="H731" s="197">
        <v>25573.5</v>
      </c>
      <c r="I731" s="197">
        <v>0</v>
      </c>
      <c r="J731" s="197">
        <v>73735.5</v>
      </c>
      <c r="K731" s="197">
        <v>73735.5</v>
      </c>
      <c r="L731" s="197">
        <v>29129</v>
      </c>
      <c r="M731" s="197">
        <v>-69</v>
      </c>
      <c r="N731" s="197">
        <v>0</v>
      </c>
      <c r="O731" s="197">
        <v>0</v>
      </c>
      <c r="P731" s="197">
        <v>-6.5</v>
      </c>
      <c r="Q731" s="197">
        <v>-8.8145154728658248E-5</v>
      </c>
      <c r="R731" s="260" t="s">
        <v>239</v>
      </c>
      <c r="S731" s="260" t="s">
        <v>514</v>
      </c>
      <c r="T731" s="260" t="s">
        <v>239</v>
      </c>
      <c r="U731" s="260" t="s">
        <v>514</v>
      </c>
    </row>
    <row r="732" spans="1:21" ht="14.5" x14ac:dyDescent="0.35">
      <c r="A732" s="260" t="s">
        <v>565</v>
      </c>
      <c r="B732" s="190">
        <v>46018</v>
      </c>
      <c r="C732" s="197">
        <v>73735.5</v>
      </c>
      <c r="D732" s="197">
        <v>0</v>
      </c>
      <c r="E732" s="197">
        <v>0</v>
      </c>
      <c r="F732" s="197">
        <v>0</v>
      </c>
      <c r="G732" s="197">
        <v>48162</v>
      </c>
      <c r="H732" s="197">
        <v>25573.5</v>
      </c>
      <c r="I732" s="197">
        <v>0</v>
      </c>
      <c r="J732" s="197">
        <v>73735.5</v>
      </c>
      <c r="K732" s="197">
        <v>73735.5</v>
      </c>
      <c r="L732" s="197">
        <v>29129</v>
      </c>
      <c r="M732" s="197">
        <v>-69</v>
      </c>
      <c r="N732" s="197">
        <v>0</v>
      </c>
      <c r="O732" s="197">
        <v>0</v>
      </c>
      <c r="P732" s="197">
        <v>0</v>
      </c>
      <c r="Q732" s="197">
        <v>0</v>
      </c>
      <c r="R732" s="260" t="s">
        <v>239</v>
      </c>
      <c r="S732" s="260" t="s">
        <v>514</v>
      </c>
      <c r="T732" s="260" t="s">
        <v>239</v>
      </c>
      <c r="U732" s="260" t="s">
        <v>514</v>
      </c>
    </row>
    <row r="733" spans="1:21" ht="14.5" x14ac:dyDescent="0.35">
      <c r="A733" s="260" t="s">
        <v>565</v>
      </c>
      <c r="B733" s="190">
        <v>46019</v>
      </c>
      <c r="C733" s="197">
        <v>73735.5</v>
      </c>
      <c r="D733" s="197">
        <v>0</v>
      </c>
      <c r="E733" s="197">
        <v>0</v>
      </c>
      <c r="F733" s="197">
        <v>0</v>
      </c>
      <c r="G733" s="197">
        <v>48162</v>
      </c>
      <c r="H733" s="197">
        <v>25573.5</v>
      </c>
      <c r="I733" s="197">
        <v>0</v>
      </c>
      <c r="J733" s="197">
        <v>73735.5</v>
      </c>
      <c r="K733" s="197">
        <v>73735.5</v>
      </c>
      <c r="L733" s="197">
        <v>29129</v>
      </c>
      <c r="M733" s="197">
        <v>-69</v>
      </c>
      <c r="N733" s="197">
        <v>0</v>
      </c>
      <c r="O733" s="197">
        <v>0</v>
      </c>
      <c r="P733" s="197">
        <v>0</v>
      </c>
      <c r="Q733" s="197">
        <v>0</v>
      </c>
      <c r="R733" s="260" t="s">
        <v>239</v>
      </c>
      <c r="S733" s="260" t="s">
        <v>514</v>
      </c>
      <c r="T733" s="260" t="s">
        <v>239</v>
      </c>
      <c r="U733" s="260" t="s">
        <v>514</v>
      </c>
    </row>
    <row r="734" spans="1:21" ht="14.5" x14ac:dyDescent="0.35">
      <c r="A734" s="260" t="s">
        <v>565</v>
      </c>
      <c r="B734" s="190">
        <v>46020</v>
      </c>
      <c r="C734" s="197">
        <v>73735.5</v>
      </c>
      <c r="D734" s="197">
        <v>0</v>
      </c>
      <c r="E734" s="197">
        <v>0</v>
      </c>
      <c r="F734" s="197">
        <v>0</v>
      </c>
      <c r="G734" s="197">
        <v>48162</v>
      </c>
      <c r="H734" s="197">
        <v>25553.5</v>
      </c>
      <c r="I734" s="197">
        <v>0</v>
      </c>
      <c r="J734" s="197">
        <v>73715.5</v>
      </c>
      <c r="K734" s="197">
        <v>73715.5</v>
      </c>
      <c r="L734" s="197">
        <v>29129</v>
      </c>
      <c r="M734" s="197">
        <v>-69</v>
      </c>
      <c r="N734" s="197">
        <v>0</v>
      </c>
      <c r="O734" s="197">
        <v>0</v>
      </c>
      <c r="P734" s="197">
        <v>-20</v>
      </c>
      <c r="Q734" s="197">
        <v>-2.7123976917498016E-4</v>
      </c>
      <c r="R734" s="260" t="s">
        <v>239</v>
      </c>
      <c r="S734" s="260" t="s">
        <v>514</v>
      </c>
      <c r="T734" s="260" t="s">
        <v>239</v>
      </c>
      <c r="U734" s="260" t="s">
        <v>514</v>
      </c>
    </row>
    <row r="735" spans="1:21" ht="14.5" x14ac:dyDescent="0.35">
      <c r="A735" s="260" t="s">
        <v>565</v>
      </c>
      <c r="B735" s="190">
        <v>46021</v>
      </c>
      <c r="C735" s="197">
        <v>73715.5</v>
      </c>
      <c r="D735" s="197">
        <v>0</v>
      </c>
      <c r="E735" s="197">
        <v>0</v>
      </c>
      <c r="F735" s="197">
        <v>0</v>
      </c>
      <c r="G735" s="197">
        <v>48162</v>
      </c>
      <c r="H735" s="197">
        <v>25546.5</v>
      </c>
      <c r="I735" s="197">
        <v>0</v>
      </c>
      <c r="J735" s="197">
        <v>73708.5</v>
      </c>
      <c r="K735" s="197">
        <v>73708.5</v>
      </c>
      <c r="L735" s="197">
        <v>29129</v>
      </c>
      <c r="M735" s="197">
        <v>-69</v>
      </c>
      <c r="N735" s="197">
        <v>0</v>
      </c>
      <c r="O735" s="197">
        <v>0</v>
      </c>
      <c r="P735" s="197">
        <v>-7</v>
      </c>
      <c r="Q735" s="197">
        <v>-9.495967605188671E-5</v>
      </c>
      <c r="R735" s="260" t="s">
        <v>239</v>
      </c>
      <c r="S735" s="260" t="s">
        <v>514</v>
      </c>
      <c r="T735" s="260" t="s">
        <v>239</v>
      </c>
      <c r="U735" s="260" t="s">
        <v>514</v>
      </c>
    </row>
    <row r="736" spans="1:21" ht="14.5" x14ac:dyDescent="0.35">
      <c r="A736" s="260" t="s">
        <v>565</v>
      </c>
      <c r="B736" s="190">
        <v>46022</v>
      </c>
      <c r="C736" s="197">
        <v>73708.5</v>
      </c>
      <c r="D736" s="197">
        <v>0</v>
      </c>
      <c r="E736" s="197">
        <v>0</v>
      </c>
      <c r="F736" s="197">
        <v>0</v>
      </c>
      <c r="G736" s="197">
        <v>48142</v>
      </c>
      <c r="H736" s="197">
        <v>25540</v>
      </c>
      <c r="I736" s="197">
        <v>0</v>
      </c>
      <c r="J736" s="197">
        <v>73682</v>
      </c>
      <c r="K736" s="197">
        <v>73682</v>
      </c>
      <c r="L736" s="197">
        <v>29129</v>
      </c>
      <c r="M736" s="197">
        <v>-69</v>
      </c>
      <c r="N736" s="197">
        <v>20</v>
      </c>
      <c r="O736" s="197">
        <v>0</v>
      </c>
      <c r="P736" s="197">
        <v>-26.5</v>
      </c>
      <c r="Q736" s="197">
        <v>-3.5952434251140808E-4</v>
      </c>
      <c r="R736" s="260" t="s">
        <v>239</v>
      </c>
      <c r="S736" s="260" t="s">
        <v>514</v>
      </c>
      <c r="T736" s="260" t="s">
        <v>239</v>
      </c>
      <c r="U736" s="260" t="s">
        <v>514</v>
      </c>
    </row>
    <row r="737" spans="1:21" ht="14.5" x14ac:dyDescent="0.35">
      <c r="A737" s="260" t="s">
        <v>566</v>
      </c>
      <c r="B737" s="190">
        <v>45658</v>
      </c>
      <c r="C737" s="197">
        <v>0</v>
      </c>
      <c r="D737" s="197">
        <v>40000</v>
      </c>
      <c r="E737" s="197">
        <v>0</v>
      </c>
      <c r="F737" s="197">
        <v>40000</v>
      </c>
      <c r="G737" s="197">
        <v>40000</v>
      </c>
      <c r="H737" s="197">
        <v>0</v>
      </c>
      <c r="I737" s="197">
        <v>0</v>
      </c>
      <c r="J737" s="197">
        <v>40000</v>
      </c>
      <c r="K737" s="197">
        <v>40000</v>
      </c>
      <c r="L737" s="197">
        <v>0</v>
      </c>
      <c r="M737" s="197">
        <v>0</v>
      </c>
      <c r="N737" s="197">
        <v>0</v>
      </c>
      <c r="O737" s="197">
        <v>0</v>
      </c>
      <c r="P737" s="197">
        <v>0</v>
      </c>
      <c r="Q737" s="197">
        <v>0</v>
      </c>
      <c r="R737" s="260" t="s">
        <v>239</v>
      </c>
      <c r="S737" s="260" t="s">
        <v>514</v>
      </c>
      <c r="T737" s="260" t="s">
        <v>239</v>
      </c>
      <c r="U737" s="260" t="s">
        <v>514</v>
      </c>
    </row>
    <row r="738" spans="1:21" ht="14.5" x14ac:dyDescent="0.35">
      <c r="A738" s="260" t="s">
        <v>566</v>
      </c>
      <c r="B738" s="190">
        <v>45659</v>
      </c>
      <c r="C738" s="197">
        <v>40000</v>
      </c>
      <c r="D738" s="197">
        <v>0</v>
      </c>
      <c r="E738" s="197">
        <v>0</v>
      </c>
      <c r="F738" s="197">
        <v>0</v>
      </c>
      <c r="G738" s="197">
        <v>40000</v>
      </c>
      <c r="H738" s="197">
        <v>0</v>
      </c>
      <c r="I738" s="197">
        <v>0</v>
      </c>
      <c r="J738" s="197">
        <v>40000</v>
      </c>
      <c r="K738" s="197">
        <v>40000</v>
      </c>
      <c r="L738" s="197">
        <v>0</v>
      </c>
      <c r="M738" s="197">
        <v>0</v>
      </c>
      <c r="N738" s="197">
        <v>0</v>
      </c>
      <c r="O738" s="197">
        <v>0</v>
      </c>
      <c r="P738" s="197">
        <v>0</v>
      </c>
      <c r="Q738" s="197">
        <v>0</v>
      </c>
      <c r="R738" s="260" t="s">
        <v>239</v>
      </c>
      <c r="S738" s="260" t="s">
        <v>514</v>
      </c>
      <c r="T738" s="260" t="s">
        <v>239</v>
      </c>
      <c r="U738" s="260" t="s">
        <v>514</v>
      </c>
    </row>
    <row r="739" spans="1:21" ht="14.5" x14ac:dyDescent="0.35">
      <c r="A739" s="260" t="s">
        <v>566</v>
      </c>
      <c r="B739" s="190">
        <v>45660</v>
      </c>
      <c r="C739" s="197">
        <v>40000</v>
      </c>
      <c r="D739" s="197">
        <v>0</v>
      </c>
      <c r="E739" s="197">
        <v>0</v>
      </c>
      <c r="F739" s="197">
        <v>0</v>
      </c>
      <c r="G739" s="197">
        <v>40000</v>
      </c>
      <c r="H739" s="197">
        <v>0</v>
      </c>
      <c r="I739" s="197">
        <v>0</v>
      </c>
      <c r="J739" s="197">
        <v>40000</v>
      </c>
      <c r="K739" s="197">
        <v>40000</v>
      </c>
      <c r="L739" s="197">
        <v>0</v>
      </c>
      <c r="M739" s="197">
        <v>0</v>
      </c>
      <c r="N739" s="197">
        <v>0</v>
      </c>
      <c r="O739" s="197">
        <v>0</v>
      </c>
      <c r="P739" s="197">
        <v>0</v>
      </c>
      <c r="Q739" s="197">
        <v>0</v>
      </c>
      <c r="R739" s="260" t="s">
        <v>239</v>
      </c>
      <c r="S739" s="260" t="s">
        <v>514</v>
      </c>
      <c r="T739" s="260" t="s">
        <v>239</v>
      </c>
      <c r="U739" s="260" t="s">
        <v>514</v>
      </c>
    </row>
    <row r="740" spans="1:21" ht="14.5" x14ac:dyDescent="0.35">
      <c r="A740" s="260" t="s">
        <v>566</v>
      </c>
      <c r="B740" s="190">
        <v>45661</v>
      </c>
      <c r="C740" s="197">
        <v>40000</v>
      </c>
      <c r="D740" s="197">
        <v>0</v>
      </c>
      <c r="E740" s="197">
        <v>0</v>
      </c>
      <c r="F740" s="197">
        <v>0</v>
      </c>
      <c r="G740" s="197">
        <v>40000</v>
      </c>
      <c r="H740" s="197">
        <v>0</v>
      </c>
      <c r="I740" s="197">
        <v>0</v>
      </c>
      <c r="J740" s="197">
        <v>40000</v>
      </c>
      <c r="K740" s="197">
        <v>40000</v>
      </c>
      <c r="L740" s="197">
        <v>0</v>
      </c>
      <c r="M740" s="197">
        <v>0</v>
      </c>
      <c r="N740" s="197">
        <v>0</v>
      </c>
      <c r="O740" s="197">
        <v>0</v>
      </c>
      <c r="P740" s="197">
        <v>0</v>
      </c>
      <c r="Q740" s="197">
        <v>0</v>
      </c>
      <c r="R740" s="260" t="s">
        <v>239</v>
      </c>
      <c r="S740" s="260" t="s">
        <v>514</v>
      </c>
      <c r="T740" s="260" t="s">
        <v>239</v>
      </c>
      <c r="U740" s="260" t="s">
        <v>514</v>
      </c>
    </row>
    <row r="741" spans="1:21" ht="14.5" x14ac:dyDescent="0.35">
      <c r="A741" s="260" t="s">
        <v>566</v>
      </c>
      <c r="B741" s="190">
        <v>45662</v>
      </c>
      <c r="C741" s="197">
        <v>40000</v>
      </c>
      <c r="D741" s="197">
        <v>0</v>
      </c>
      <c r="E741" s="197">
        <v>0</v>
      </c>
      <c r="F741" s="197">
        <v>0</v>
      </c>
      <c r="G741" s="197">
        <v>40000</v>
      </c>
      <c r="H741" s="197">
        <v>0</v>
      </c>
      <c r="I741" s="197">
        <v>0</v>
      </c>
      <c r="J741" s="197">
        <v>40000</v>
      </c>
      <c r="K741" s="197">
        <v>40000</v>
      </c>
      <c r="L741" s="197">
        <v>0</v>
      </c>
      <c r="M741" s="197">
        <v>0</v>
      </c>
      <c r="N741" s="197">
        <v>0</v>
      </c>
      <c r="O741" s="197">
        <v>0</v>
      </c>
      <c r="P741" s="197">
        <v>0</v>
      </c>
      <c r="Q741" s="197">
        <v>0</v>
      </c>
      <c r="R741" s="260" t="s">
        <v>239</v>
      </c>
      <c r="S741" s="260" t="s">
        <v>514</v>
      </c>
      <c r="T741" s="260" t="s">
        <v>239</v>
      </c>
      <c r="U741" s="260" t="s">
        <v>514</v>
      </c>
    </row>
    <row r="742" spans="1:21" ht="14.5" x14ac:dyDescent="0.35">
      <c r="A742" s="260" t="s">
        <v>566</v>
      </c>
      <c r="B742" s="190">
        <v>45663</v>
      </c>
      <c r="C742" s="197">
        <v>40000</v>
      </c>
      <c r="D742" s="197">
        <v>0</v>
      </c>
      <c r="E742" s="197">
        <v>0</v>
      </c>
      <c r="F742" s="197">
        <v>0</v>
      </c>
      <c r="G742" s="197">
        <v>40000</v>
      </c>
      <c r="H742" s="197">
        <v>0</v>
      </c>
      <c r="I742" s="197">
        <v>0</v>
      </c>
      <c r="J742" s="197">
        <v>40000</v>
      </c>
      <c r="K742" s="197">
        <v>40000</v>
      </c>
      <c r="L742" s="197">
        <v>0</v>
      </c>
      <c r="M742" s="197">
        <v>0</v>
      </c>
      <c r="N742" s="197">
        <v>0</v>
      </c>
      <c r="O742" s="197">
        <v>0</v>
      </c>
      <c r="P742" s="197">
        <v>0</v>
      </c>
      <c r="Q742" s="197">
        <v>0</v>
      </c>
      <c r="R742" s="260" t="s">
        <v>239</v>
      </c>
      <c r="S742" s="260" t="s">
        <v>514</v>
      </c>
      <c r="T742" s="260" t="s">
        <v>239</v>
      </c>
      <c r="U742" s="260" t="s">
        <v>514</v>
      </c>
    </row>
    <row r="743" spans="1:21" ht="14.5" x14ac:dyDescent="0.35">
      <c r="A743" s="260" t="s">
        <v>566</v>
      </c>
      <c r="B743" s="190">
        <v>45664</v>
      </c>
      <c r="C743" s="197">
        <v>40000</v>
      </c>
      <c r="D743" s="197">
        <v>0</v>
      </c>
      <c r="E743" s="197">
        <v>0</v>
      </c>
      <c r="F743" s="197">
        <v>0</v>
      </c>
      <c r="G743" s="197">
        <v>40000</v>
      </c>
      <c r="H743" s="197">
        <v>0</v>
      </c>
      <c r="I743" s="197">
        <v>0</v>
      </c>
      <c r="J743" s="197">
        <v>40000</v>
      </c>
      <c r="K743" s="197">
        <v>40000</v>
      </c>
      <c r="L743" s="197">
        <v>0</v>
      </c>
      <c r="M743" s="197">
        <v>0</v>
      </c>
      <c r="N743" s="197">
        <v>0</v>
      </c>
      <c r="O743" s="197">
        <v>0</v>
      </c>
      <c r="P743" s="197">
        <v>0</v>
      </c>
      <c r="Q743" s="197">
        <v>0</v>
      </c>
      <c r="R743" s="260" t="s">
        <v>239</v>
      </c>
      <c r="S743" s="260" t="s">
        <v>514</v>
      </c>
      <c r="T743" s="260" t="s">
        <v>239</v>
      </c>
      <c r="U743" s="260" t="s">
        <v>514</v>
      </c>
    </row>
    <row r="744" spans="1:21" ht="14.5" x14ac:dyDescent="0.35">
      <c r="A744" s="260" t="s">
        <v>566</v>
      </c>
      <c r="B744" s="190">
        <v>45665</v>
      </c>
      <c r="C744" s="197">
        <v>40000</v>
      </c>
      <c r="D744" s="197">
        <v>0</v>
      </c>
      <c r="E744" s="197">
        <v>0</v>
      </c>
      <c r="F744" s="197">
        <v>0</v>
      </c>
      <c r="G744" s="197">
        <v>40000</v>
      </c>
      <c r="H744" s="197">
        <v>0</v>
      </c>
      <c r="I744" s="197">
        <v>0</v>
      </c>
      <c r="J744" s="197">
        <v>40000</v>
      </c>
      <c r="K744" s="197">
        <v>40000</v>
      </c>
      <c r="L744" s="197">
        <v>0</v>
      </c>
      <c r="M744" s="197">
        <v>0</v>
      </c>
      <c r="N744" s="197">
        <v>0</v>
      </c>
      <c r="O744" s="197">
        <v>0</v>
      </c>
      <c r="P744" s="197">
        <v>0</v>
      </c>
      <c r="Q744" s="197">
        <v>0</v>
      </c>
      <c r="R744" s="260" t="s">
        <v>239</v>
      </c>
      <c r="S744" s="260" t="s">
        <v>514</v>
      </c>
      <c r="T744" s="260" t="s">
        <v>239</v>
      </c>
      <c r="U744" s="260" t="s">
        <v>514</v>
      </c>
    </row>
    <row r="745" spans="1:21" ht="14.5" x14ac:dyDescent="0.35">
      <c r="A745" s="260" t="s">
        <v>566</v>
      </c>
      <c r="B745" s="190">
        <v>45666</v>
      </c>
      <c r="C745" s="197">
        <v>40000</v>
      </c>
      <c r="D745" s="197">
        <v>0</v>
      </c>
      <c r="E745" s="197">
        <v>0</v>
      </c>
      <c r="F745" s="197">
        <v>0</v>
      </c>
      <c r="G745" s="197">
        <v>40000</v>
      </c>
      <c r="H745" s="197">
        <v>0</v>
      </c>
      <c r="I745" s="197">
        <v>0</v>
      </c>
      <c r="J745" s="197">
        <v>40000</v>
      </c>
      <c r="K745" s="197">
        <v>40000</v>
      </c>
      <c r="L745" s="197">
        <v>0</v>
      </c>
      <c r="M745" s="197">
        <v>0</v>
      </c>
      <c r="N745" s="197">
        <v>0</v>
      </c>
      <c r="O745" s="197">
        <v>0</v>
      </c>
      <c r="P745" s="197">
        <v>0</v>
      </c>
      <c r="Q745" s="197">
        <v>0</v>
      </c>
      <c r="R745" s="260" t="s">
        <v>239</v>
      </c>
      <c r="S745" s="260" t="s">
        <v>514</v>
      </c>
      <c r="T745" s="260" t="s">
        <v>239</v>
      </c>
      <c r="U745" s="260" t="s">
        <v>514</v>
      </c>
    </row>
    <row r="746" spans="1:21" ht="14.5" x14ac:dyDescent="0.35">
      <c r="A746" s="260" t="s">
        <v>566</v>
      </c>
      <c r="B746" s="190">
        <v>45667</v>
      </c>
      <c r="C746" s="197">
        <v>40000</v>
      </c>
      <c r="D746" s="197">
        <v>0</v>
      </c>
      <c r="E746" s="197">
        <v>0</v>
      </c>
      <c r="F746" s="197">
        <v>0</v>
      </c>
      <c r="G746" s="197">
        <v>40000</v>
      </c>
      <c r="H746" s="197">
        <v>0</v>
      </c>
      <c r="I746" s="197">
        <v>0</v>
      </c>
      <c r="J746" s="197">
        <v>40000</v>
      </c>
      <c r="K746" s="197">
        <v>40000</v>
      </c>
      <c r="L746" s="197">
        <v>0</v>
      </c>
      <c r="M746" s="197">
        <v>0</v>
      </c>
      <c r="N746" s="197">
        <v>0</v>
      </c>
      <c r="O746" s="197">
        <v>0</v>
      </c>
      <c r="P746" s="197">
        <v>0</v>
      </c>
      <c r="Q746" s="197">
        <v>0</v>
      </c>
      <c r="R746" s="260" t="s">
        <v>239</v>
      </c>
      <c r="S746" s="260" t="s">
        <v>514</v>
      </c>
      <c r="T746" s="260" t="s">
        <v>239</v>
      </c>
      <c r="U746" s="260" t="s">
        <v>514</v>
      </c>
    </row>
    <row r="747" spans="1:21" ht="14.5" x14ac:dyDescent="0.35">
      <c r="A747" s="260" t="s">
        <v>566</v>
      </c>
      <c r="B747" s="190">
        <v>45668</v>
      </c>
      <c r="C747" s="197">
        <v>40000</v>
      </c>
      <c r="D747" s="197">
        <v>0</v>
      </c>
      <c r="E747" s="197">
        <v>0</v>
      </c>
      <c r="F747" s="197">
        <v>0</v>
      </c>
      <c r="G747" s="197">
        <v>40000</v>
      </c>
      <c r="H747" s="197">
        <v>0</v>
      </c>
      <c r="I747" s="197">
        <v>0</v>
      </c>
      <c r="J747" s="197">
        <v>40000</v>
      </c>
      <c r="K747" s="197">
        <v>40000</v>
      </c>
      <c r="L747" s="197">
        <v>0</v>
      </c>
      <c r="M747" s="197">
        <v>0</v>
      </c>
      <c r="N747" s="197">
        <v>0</v>
      </c>
      <c r="O747" s="197">
        <v>0</v>
      </c>
      <c r="P747" s="197">
        <v>0</v>
      </c>
      <c r="Q747" s="197">
        <v>0</v>
      </c>
      <c r="R747" s="260" t="s">
        <v>239</v>
      </c>
      <c r="S747" s="260" t="s">
        <v>514</v>
      </c>
      <c r="T747" s="260" t="s">
        <v>239</v>
      </c>
      <c r="U747" s="260" t="s">
        <v>514</v>
      </c>
    </row>
    <row r="748" spans="1:21" ht="14.5" x14ac:dyDescent="0.35">
      <c r="A748" s="260" t="s">
        <v>566</v>
      </c>
      <c r="B748" s="190">
        <v>45669</v>
      </c>
      <c r="C748" s="197">
        <v>40000</v>
      </c>
      <c r="D748" s="197">
        <v>0</v>
      </c>
      <c r="E748" s="197">
        <v>0</v>
      </c>
      <c r="F748" s="197">
        <v>0</v>
      </c>
      <c r="G748" s="197">
        <v>40000</v>
      </c>
      <c r="H748" s="197">
        <v>0</v>
      </c>
      <c r="I748" s="197">
        <v>0</v>
      </c>
      <c r="J748" s="197">
        <v>40000</v>
      </c>
      <c r="K748" s="197">
        <v>40000</v>
      </c>
      <c r="L748" s="197">
        <v>0</v>
      </c>
      <c r="M748" s="197">
        <v>0</v>
      </c>
      <c r="N748" s="197">
        <v>0</v>
      </c>
      <c r="O748" s="197">
        <v>0</v>
      </c>
      <c r="P748" s="197">
        <v>0</v>
      </c>
      <c r="Q748" s="197">
        <v>0</v>
      </c>
      <c r="R748" s="260" t="s">
        <v>239</v>
      </c>
      <c r="S748" s="260" t="s">
        <v>514</v>
      </c>
      <c r="T748" s="260" t="s">
        <v>239</v>
      </c>
      <c r="U748" s="260" t="s">
        <v>514</v>
      </c>
    </row>
    <row r="749" spans="1:21" ht="14.5" x14ac:dyDescent="0.35">
      <c r="A749" s="260" t="s">
        <v>566</v>
      </c>
      <c r="B749" s="190">
        <v>45670</v>
      </c>
      <c r="C749" s="197">
        <v>40000</v>
      </c>
      <c r="D749" s="197">
        <v>0</v>
      </c>
      <c r="E749" s="197">
        <v>0</v>
      </c>
      <c r="F749" s="197">
        <v>0</v>
      </c>
      <c r="G749" s="197">
        <v>40000</v>
      </c>
      <c r="H749" s="197">
        <v>0</v>
      </c>
      <c r="I749" s="197">
        <v>0</v>
      </c>
      <c r="J749" s="197">
        <v>40000</v>
      </c>
      <c r="K749" s="197">
        <v>40000</v>
      </c>
      <c r="L749" s="197">
        <v>0</v>
      </c>
      <c r="M749" s="197">
        <v>0</v>
      </c>
      <c r="N749" s="197">
        <v>0</v>
      </c>
      <c r="O749" s="197">
        <v>0</v>
      </c>
      <c r="P749" s="197">
        <v>0</v>
      </c>
      <c r="Q749" s="197">
        <v>0</v>
      </c>
      <c r="R749" s="260" t="s">
        <v>239</v>
      </c>
      <c r="S749" s="260" t="s">
        <v>514</v>
      </c>
      <c r="T749" s="260" t="s">
        <v>239</v>
      </c>
      <c r="U749" s="260" t="s">
        <v>514</v>
      </c>
    </row>
    <row r="750" spans="1:21" ht="14.5" x14ac:dyDescent="0.35">
      <c r="A750" s="260" t="s">
        <v>566</v>
      </c>
      <c r="B750" s="190">
        <v>45671</v>
      </c>
      <c r="C750" s="197">
        <v>40000</v>
      </c>
      <c r="D750" s="197">
        <v>0</v>
      </c>
      <c r="E750" s="197">
        <v>0</v>
      </c>
      <c r="F750" s="197">
        <v>0</v>
      </c>
      <c r="G750" s="197">
        <v>40000</v>
      </c>
      <c r="H750" s="197">
        <v>0</v>
      </c>
      <c r="I750" s="197">
        <v>0</v>
      </c>
      <c r="J750" s="197">
        <v>40000</v>
      </c>
      <c r="K750" s="197">
        <v>40000</v>
      </c>
      <c r="L750" s="197">
        <v>0</v>
      </c>
      <c r="M750" s="197">
        <v>0</v>
      </c>
      <c r="N750" s="197">
        <v>0</v>
      </c>
      <c r="O750" s="197">
        <v>0</v>
      </c>
      <c r="P750" s="197">
        <v>0</v>
      </c>
      <c r="Q750" s="197">
        <v>0</v>
      </c>
      <c r="R750" s="260" t="s">
        <v>239</v>
      </c>
      <c r="S750" s="260" t="s">
        <v>514</v>
      </c>
      <c r="T750" s="260" t="s">
        <v>239</v>
      </c>
      <c r="U750" s="260" t="s">
        <v>514</v>
      </c>
    </row>
    <row r="751" spans="1:21" ht="14.5" x14ac:dyDescent="0.35">
      <c r="A751" s="260" t="s">
        <v>566</v>
      </c>
      <c r="B751" s="190">
        <v>45672</v>
      </c>
      <c r="C751" s="197">
        <v>40000</v>
      </c>
      <c r="D751" s="197">
        <v>0</v>
      </c>
      <c r="E751" s="197">
        <v>0</v>
      </c>
      <c r="F751" s="197">
        <v>0</v>
      </c>
      <c r="G751" s="197">
        <v>40000</v>
      </c>
      <c r="H751" s="197">
        <v>0</v>
      </c>
      <c r="I751" s="197">
        <v>0</v>
      </c>
      <c r="J751" s="197">
        <v>40000</v>
      </c>
      <c r="K751" s="197">
        <v>40000</v>
      </c>
      <c r="L751" s="197">
        <v>0</v>
      </c>
      <c r="M751" s="197">
        <v>0</v>
      </c>
      <c r="N751" s="197">
        <v>0</v>
      </c>
      <c r="O751" s="197">
        <v>0</v>
      </c>
      <c r="P751" s="197">
        <v>0</v>
      </c>
      <c r="Q751" s="197">
        <v>0</v>
      </c>
      <c r="R751" s="260" t="s">
        <v>239</v>
      </c>
      <c r="S751" s="260" t="s">
        <v>514</v>
      </c>
      <c r="T751" s="260" t="s">
        <v>239</v>
      </c>
      <c r="U751" s="260" t="s">
        <v>514</v>
      </c>
    </row>
    <row r="752" spans="1:21" ht="14.5" x14ac:dyDescent="0.35">
      <c r="A752" s="260" t="s">
        <v>566</v>
      </c>
      <c r="B752" s="190">
        <v>45673</v>
      </c>
      <c r="C752" s="197">
        <v>40000</v>
      </c>
      <c r="D752" s="197">
        <v>0</v>
      </c>
      <c r="E752" s="197">
        <v>0</v>
      </c>
      <c r="F752" s="197">
        <v>0</v>
      </c>
      <c r="G752" s="197">
        <v>40000</v>
      </c>
      <c r="H752" s="197">
        <v>0</v>
      </c>
      <c r="I752" s="197">
        <v>0</v>
      </c>
      <c r="J752" s="197">
        <v>40000</v>
      </c>
      <c r="K752" s="197">
        <v>40000</v>
      </c>
      <c r="L752" s="197">
        <v>0</v>
      </c>
      <c r="M752" s="197">
        <v>0</v>
      </c>
      <c r="N752" s="197">
        <v>0</v>
      </c>
      <c r="O752" s="197">
        <v>0</v>
      </c>
      <c r="P752" s="197">
        <v>0</v>
      </c>
      <c r="Q752" s="197">
        <v>0</v>
      </c>
      <c r="R752" s="260" t="s">
        <v>239</v>
      </c>
      <c r="S752" s="260" t="s">
        <v>514</v>
      </c>
      <c r="T752" s="260" t="s">
        <v>239</v>
      </c>
      <c r="U752" s="260" t="s">
        <v>514</v>
      </c>
    </row>
    <row r="753" spans="1:21" ht="14.5" x14ac:dyDescent="0.35">
      <c r="A753" s="260" t="s">
        <v>566</v>
      </c>
      <c r="B753" s="190">
        <v>45674</v>
      </c>
      <c r="C753" s="197">
        <v>40000</v>
      </c>
      <c r="D753" s="197">
        <v>0</v>
      </c>
      <c r="E753" s="197">
        <v>0</v>
      </c>
      <c r="F753" s="197">
        <v>0</v>
      </c>
      <c r="G753" s="197">
        <v>40000</v>
      </c>
      <c r="H753" s="197">
        <v>0</v>
      </c>
      <c r="I753" s="197">
        <v>0</v>
      </c>
      <c r="J753" s="197">
        <v>40000</v>
      </c>
      <c r="K753" s="197">
        <v>40000</v>
      </c>
      <c r="L753" s="197">
        <v>0</v>
      </c>
      <c r="M753" s="197">
        <v>0</v>
      </c>
      <c r="N753" s="197">
        <v>0</v>
      </c>
      <c r="O753" s="197">
        <v>0</v>
      </c>
      <c r="P753" s="197">
        <v>0</v>
      </c>
      <c r="Q753" s="197">
        <v>0</v>
      </c>
      <c r="R753" s="260" t="s">
        <v>239</v>
      </c>
      <c r="S753" s="260" t="s">
        <v>514</v>
      </c>
      <c r="T753" s="260" t="s">
        <v>239</v>
      </c>
      <c r="U753" s="260" t="s">
        <v>514</v>
      </c>
    </row>
    <row r="754" spans="1:21" ht="14.5" x14ac:dyDescent="0.35">
      <c r="A754" s="260" t="s">
        <v>566</v>
      </c>
      <c r="B754" s="190">
        <v>45675</v>
      </c>
      <c r="C754" s="197">
        <v>40000</v>
      </c>
      <c r="D754" s="197">
        <v>0</v>
      </c>
      <c r="E754" s="197">
        <v>0</v>
      </c>
      <c r="F754" s="197">
        <v>0</v>
      </c>
      <c r="G754" s="197">
        <v>40000</v>
      </c>
      <c r="H754" s="197">
        <v>0</v>
      </c>
      <c r="I754" s="197">
        <v>0</v>
      </c>
      <c r="J754" s="197">
        <v>40000</v>
      </c>
      <c r="K754" s="197">
        <v>40000</v>
      </c>
      <c r="L754" s="197">
        <v>0</v>
      </c>
      <c r="M754" s="197">
        <v>0</v>
      </c>
      <c r="N754" s="197">
        <v>0</v>
      </c>
      <c r="O754" s="197">
        <v>0</v>
      </c>
      <c r="P754" s="197">
        <v>0</v>
      </c>
      <c r="Q754" s="197">
        <v>0</v>
      </c>
      <c r="R754" s="260" t="s">
        <v>239</v>
      </c>
      <c r="S754" s="260" t="s">
        <v>514</v>
      </c>
      <c r="T754" s="260" t="s">
        <v>239</v>
      </c>
      <c r="U754" s="260" t="s">
        <v>514</v>
      </c>
    </row>
    <row r="755" spans="1:21" ht="14.5" x14ac:dyDescent="0.35">
      <c r="A755" s="260" t="s">
        <v>566</v>
      </c>
      <c r="B755" s="190">
        <v>45676</v>
      </c>
      <c r="C755" s="197">
        <v>40000</v>
      </c>
      <c r="D755" s="197">
        <v>0</v>
      </c>
      <c r="E755" s="197">
        <v>0</v>
      </c>
      <c r="F755" s="197">
        <v>0</v>
      </c>
      <c r="G755" s="197">
        <v>40000</v>
      </c>
      <c r="H755" s="197">
        <v>0</v>
      </c>
      <c r="I755" s="197">
        <v>0</v>
      </c>
      <c r="J755" s="197">
        <v>40000</v>
      </c>
      <c r="K755" s="197">
        <v>40000</v>
      </c>
      <c r="L755" s="197">
        <v>0</v>
      </c>
      <c r="M755" s="197">
        <v>0</v>
      </c>
      <c r="N755" s="197">
        <v>0</v>
      </c>
      <c r="O755" s="197">
        <v>0</v>
      </c>
      <c r="P755" s="197">
        <v>0</v>
      </c>
      <c r="Q755" s="197">
        <v>0</v>
      </c>
      <c r="R755" s="260" t="s">
        <v>239</v>
      </c>
      <c r="S755" s="260" t="s">
        <v>514</v>
      </c>
      <c r="T755" s="260" t="s">
        <v>239</v>
      </c>
      <c r="U755" s="260" t="s">
        <v>514</v>
      </c>
    </row>
    <row r="756" spans="1:21" ht="14.5" x14ac:dyDescent="0.35">
      <c r="A756" s="260" t="s">
        <v>566</v>
      </c>
      <c r="B756" s="190">
        <v>45677</v>
      </c>
      <c r="C756" s="197">
        <v>40000</v>
      </c>
      <c r="D756" s="197">
        <v>0</v>
      </c>
      <c r="E756" s="197">
        <v>0</v>
      </c>
      <c r="F756" s="197">
        <v>0</v>
      </c>
      <c r="G756" s="197">
        <v>40000</v>
      </c>
      <c r="H756" s="197">
        <v>0</v>
      </c>
      <c r="I756" s="197">
        <v>0</v>
      </c>
      <c r="J756" s="197">
        <v>40000</v>
      </c>
      <c r="K756" s="197">
        <v>40000</v>
      </c>
      <c r="L756" s="197">
        <v>0</v>
      </c>
      <c r="M756" s="197">
        <v>0</v>
      </c>
      <c r="N756" s="197">
        <v>0</v>
      </c>
      <c r="O756" s="197">
        <v>0</v>
      </c>
      <c r="P756" s="197">
        <v>0</v>
      </c>
      <c r="Q756" s="197">
        <v>0</v>
      </c>
      <c r="R756" s="260" t="s">
        <v>239</v>
      </c>
      <c r="S756" s="260" t="s">
        <v>514</v>
      </c>
      <c r="T756" s="260" t="s">
        <v>239</v>
      </c>
      <c r="U756" s="260" t="s">
        <v>514</v>
      </c>
    </row>
    <row r="757" spans="1:21" ht="14.5" x14ac:dyDescent="0.35">
      <c r="A757" s="260" t="s">
        <v>566</v>
      </c>
      <c r="B757" s="190">
        <v>45678</v>
      </c>
      <c r="C757" s="197">
        <v>40000</v>
      </c>
      <c r="D757" s="197">
        <v>0</v>
      </c>
      <c r="E757" s="197">
        <v>0</v>
      </c>
      <c r="F757" s="197">
        <v>0</v>
      </c>
      <c r="G757" s="197">
        <v>40000</v>
      </c>
      <c r="H757" s="197">
        <v>0</v>
      </c>
      <c r="I757" s="197">
        <v>0</v>
      </c>
      <c r="J757" s="197">
        <v>40000</v>
      </c>
      <c r="K757" s="197">
        <v>40000</v>
      </c>
      <c r="L757" s="197">
        <v>0</v>
      </c>
      <c r="M757" s="197">
        <v>0</v>
      </c>
      <c r="N757" s="197">
        <v>0</v>
      </c>
      <c r="O757" s="197">
        <v>0</v>
      </c>
      <c r="P757" s="197">
        <v>0</v>
      </c>
      <c r="Q757" s="197">
        <v>0</v>
      </c>
      <c r="R757" s="260" t="s">
        <v>239</v>
      </c>
      <c r="S757" s="260" t="s">
        <v>514</v>
      </c>
      <c r="T757" s="260" t="s">
        <v>239</v>
      </c>
      <c r="U757" s="260" t="s">
        <v>514</v>
      </c>
    </row>
    <row r="758" spans="1:21" ht="14.5" x14ac:dyDescent="0.35">
      <c r="A758" s="260" t="s">
        <v>566</v>
      </c>
      <c r="B758" s="190">
        <v>45679</v>
      </c>
      <c r="C758" s="197">
        <v>40000</v>
      </c>
      <c r="D758" s="197">
        <v>0</v>
      </c>
      <c r="E758" s="197">
        <v>0</v>
      </c>
      <c r="F758" s="197">
        <v>0</v>
      </c>
      <c r="G758" s="197">
        <v>40000</v>
      </c>
      <c r="H758" s="197">
        <v>0</v>
      </c>
      <c r="I758" s="197">
        <v>0</v>
      </c>
      <c r="J758" s="197">
        <v>40000</v>
      </c>
      <c r="K758" s="197">
        <v>40000</v>
      </c>
      <c r="L758" s="197">
        <v>0</v>
      </c>
      <c r="M758" s="197">
        <v>0</v>
      </c>
      <c r="N758" s="197">
        <v>0</v>
      </c>
      <c r="O758" s="197">
        <v>0</v>
      </c>
      <c r="P758" s="197">
        <v>0</v>
      </c>
      <c r="Q758" s="197">
        <v>0</v>
      </c>
      <c r="R758" s="260" t="s">
        <v>239</v>
      </c>
      <c r="S758" s="260" t="s">
        <v>514</v>
      </c>
      <c r="T758" s="260" t="s">
        <v>239</v>
      </c>
      <c r="U758" s="260" t="s">
        <v>514</v>
      </c>
    </row>
    <row r="759" spans="1:21" ht="14.5" x14ac:dyDescent="0.35">
      <c r="A759" s="260" t="s">
        <v>566</v>
      </c>
      <c r="B759" s="190">
        <v>45680</v>
      </c>
      <c r="C759" s="197">
        <v>40000</v>
      </c>
      <c r="D759" s="197">
        <v>0</v>
      </c>
      <c r="E759" s="197">
        <v>0</v>
      </c>
      <c r="F759" s="197">
        <v>0</v>
      </c>
      <c r="G759" s="197">
        <v>40000</v>
      </c>
      <c r="H759" s="197">
        <v>0</v>
      </c>
      <c r="I759" s="197">
        <v>0</v>
      </c>
      <c r="J759" s="197">
        <v>40000</v>
      </c>
      <c r="K759" s="197">
        <v>40000</v>
      </c>
      <c r="L759" s="197">
        <v>0</v>
      </c>
      <c r="M759" s="197">
        <v>0</v>
      </c>
      <c r="N759" s="197">
        <v>0</v>
      </c>
      <c r="O759" s="197">
        <v>0</v>
      </c>
      <c r="P759" s="197">
        <v>0</v>
      </c>
      <c r="Q759" s="197">
        <v>0</v>
      </c>
      <c r="R759" s="260" t="s">
        <v>239</v>
      </c>
      <c r="S759" s="260" t="s">
        <v>514</v>
      </c>
      <c r="T759" s="260" t="s">
        <v>239</v>
      </c>
      <c r="U759" s="260" t="s">
        <v>514</v>
      </c>
    </row>
    <row r="760" spans="1:21" ht="14.5" x14ac:dyDescent="0.35">
      <c r="A760" s="260" t="s">
        <v>566</v>
      </c>
      <c r="B760" s="190">
        <v>45681</v>
      </c>
      <c r="C760" s="197">
        <v>40000</v>
      </c>
      <c r="D760" s="197">
        <v>0</v>
      </c>
      <c r="E760" s="197">
        <v>0</v>
      </c>
      <c r="F760" s="197">
        <v>0</v>
      </c>
      <c r="G760" s="197">
        <v>40000</v>
      </c>
      <c r="H760" s="197">
        <v>0</v>
      </c>
      <c r="I760" s="197">
        <v>0</v>
      </c>
      <c r="J760" s="197">
        <v>40000</v>
      </c>
      <c r="K760" s="197">
        <v>40000</v>
      </c>
      <c r="L760" s="197">
        <v>0</v>
      </c>
      <c r="M760" s="197">
        <v>0</v>
      </c>
      <c r="N760" s="197">
        <v>0</v>
      </c>
      <c r="O760" s="197">
        <v>0</v>
      </c>
      <c r="P760" s="197">
        <v>0</v>
      </c>
      <c r="Q760" s="197">
        <v>0</v>
      </c>
      <c r="R760" s="260" t="s">
        <v>239</v>
      </c>
      <c r="S760" s="260" t="s">
        <v>514</v>
      </c>
      <c r="T760" s="260" t="s">
        <v>239</v>
      </c>
      <c r="U760" s="260" t="s">
        <v>514</v>
      </c>
    </row>
    <row r="761" spans="1:21" ht="14.5" x14ac:dyDescent="0.35">
      <c r="A761" s="260" t="s">
        <v>566</v>
      </c>
      <c r="B761" s="190">
        <v>45682</v>
      </c>
      <c r="C761" s="197">
        <v>40000</v>
      </c>
      <c r="D761" s="197">
        <v>0</v>
      </c>
      <c r="E761" s="197">
        <v>0</v>
      </c>
      <c r="F761" s="197">
        <v>0</v>
      </c>
      <c r="G761" s="197">
        <v>40000</v>
      </c>
      <c r="H761" s="197">
        <v>0</v>
      </c>
      <c r="I761" s="197">
        <v>0</v>
      </c>
      <c r="J761" s="197">
        <v>40000</v>
      </c>
      <c r="K761" s="197">
        <v>40000</v>
      </c>
      <c r="L761" s="197">
        <v>0</v>
      </c>
      <c r="M761" s="197">
        <v>0</v>
      </c>
      <c r="N761" s="197">
        <v>0</v>
      </c>
      <c r="O761" s="197">
        <v>0</v>
      </c>
      <c r="P761" s="197">
        <v>0</v>
      </c>
      <c r="Q761" s="197">
        <v>0</v>
      </c>
      <c r="R761" s="260" t="s">
        <v>239</v>
      </c>
      <c r="S761" s="260" t="s">
        <v>514</v>
      </c>
      <c r="T761" s="260" t="s">
        <v>239</v>
      </c>
      <c r="U761" s="260" t="s">
        <v>514</v>
      </c>
    </row>
    <row r="762" spans="1:21" ht="14.5" x14ac:dyDescent="0.35">
      <c r="A762" s="260" t="s">
        <v>566</v>
      </c>
      <c r="B762" s="190">
        <v>45683</v>
      </c>
      <c r="C762" s="197">
        <v>40000</v>
      </c>
      <c r="D762" s="197">
        <v>0</v>
      </c>
      <c r="E762" s="197">
        <v>0</v>
      </c>
      <c r="F762" s="197">
        <v>0</v>
      </c>
      <c r="G762" s="197">
        <v>40000</v>
      </c>
      <c r="H762" s="197">
        <v>0</v>
      </c>
      <c r="I762" s="197">
        <v>0</v>
      </c>
      <c r="J762" s="197">
        <v>40000</v>
      </c>
      <c r="K762" s="197">
        <v>40000</v>
      </c>
      <c r="L762" s="197">
        <v>0</v>
      </c>
      <c r="M762" s="197">
        <v>0</v>
      </c>
      <c r="N762" s="197">
        <v>0</v>
      </c>
      <c r="O762" s="197">
        <v>0</v>
      </c>
      <c r="P762" s="197">
        <v>0</v>
      </c>
      <c r="Q762" s="197">
        <v>0</v>
      </c>
      <c r="R762" s="260" t="s">
        <v>239</v>
      </c>
      <c r="S762" s="260" t="s">
        <v>514</v>
      </c>
      <c r="T762" s="260" t="s">
        <v>239</v>
      </c>
      <c r="U762" s="260" t="s">
        <v>514</v>
      </c>
    </row>
    <row r="763" spans="1:21" ht="14.5" x14ac:dyDescent="0.35">
      <c r="A763" s="260" t="s">
        <v>566</v>
      </c>
      <c r="B763" s="190">
        <v>45684</v>
      </c>
      <c r="C763" s="197">
        <v>40000</v>
      </c>
      <c r="D763" s="197">
        <v>0</v>
      </c>
      <c r="E763" s="197">
        <v>0</v>
      </c>
      <c r="F763" s="197">
        <v>0</v>
      </c>
      <c r="G763" s="197">
        <v>40000</v>
      </c>
      <c r="H763" s="197">
        <v>0</v>
      </c>
      <c r="I763" s="197">
        <v>0</v>
      </c>
      <c r="J763" s="197">
        <v>40000</v>
      </c>
      <c r="K763" s="197">
        <v>40000</v>
      </c>
      <c r="L763" s="197">
        <v>0</v>
      </c>
      <c r="M763" s="197">
        <v>0</v>
      </c>
      <c r="N763" s="197">
        <v>0</v>
      </c>
      <c r="O763" s="197">
        <v>0</v>
      </c>
      <c r="P763" s="197">
        <v>0</v>
      </c>
      <c r="Q763" s="197">
        <v>0</v>
      </c>
      <c r="R763" s="260" t="s">
        <v>239</v>
      </c>
      <c r="S763" s="260" t="s">
        <v>514</v>
      </c>
      <c r="T763" s="260" t="s">
        <v>239</v>
      </c>
      <c r="U763" s="260" t="s">
        <v>514</v>
      </c>
    </row>
    <row r="764" spans="1:21" ht="14.5" x14ac:dyDescent="0.35">
      <c r="A764" s="260" t="s">
        <v>566</v>
      </c>
      <c r="B764" s="190">
        <v>45685</v>
      </c>
      <c r="C764" s="197">
        <v>40000</v>
      </c>
      <c r="D764" s="197">
        <v>0</v>
      </c>
      <c r="E764" s="197">
        <v>0</v>
      </c>
      <c r="F764" s="197">
        <v>0</v>
      </c>
      <c r="G764" s="197">
        <v>40000</v>
      </c>
      <c r="H764" s="197">
        <v>0</v>
      </c>
      <c r="I764" s="197">
        <v>0</v>
      </c>
      <c r="J764" s="197">
        <v>40000</v>
      </c>
      <c r="K764" s="197">
        <v>40000</v>
      </c>
      <c r="L764" s="197">
        <v>0</v>
      </c>
      <c r="M764" s="197">
        <v>0</v>
      </c>
      <c r="N764" s="197">
        <v>0</v>
      </c>
      <c r="O764" s="197">
        <v>0</v>
      </c>
      <c r="P764" s="197">
        <v>0</v>
      </c>
      <c r="Q764" s="197">
        <v>0</v>
      </c>
      <c r="R764" s="260" t="s">
        <v>239</v>
      </c>
      <c r="S764" s="260" t="s">
        <v>514</v>
      </c>
      <c r="T764" s="260" t="s">
        <v>239</v>
      </c>
      <c r="U764" s="260" t="s">
        <v>514</v>
      </c>
    </row>
    <row r="765" spans="1:21" ht="14.5" x14ac:dyDescent="0.35">
      <c r="A765" s="260" t="s">
        <v>566</v>
      </c>
      <c r="B765" s="190">
        <v>45686</v>
      </c>
      <c r="C765" s="197">
        <v>40000</v>
      </c>
      <c r="D765" s="197">
        <v>0</v>
      </c>
      <c r="E765" s="197">
        <v>0</v>
      </c>
      <c r="F765" s="197">
        <v>0</v>
      </c>
      <c r="G765" s="197">
        <v>40000</v>
      </c>
      <c r="H765" s="197">
        <v>0</v>
      </c>
      <c r="I765" s="197">
        <v>0</v>
      </c>
      <c r="J765" s="197">
        <v>40000</v>
      </c>
      <c r="K765" s="197">
        <v>40000</v>
      </c>
      <c r="L765" s="197">
        <v>0</v>
      </c>
      <c r="M765" s="197">
        <v>0</v>
      </c>
      <c r="N765" s="197">
        <v>0</v>
      </c>
      <c r="O765" s="197">
        <v>0</v>
      </c>
      <c r="P765" s="197">
        <v>0</v>
      </c>
      <c r="Q765" s="197">
        <v>0</v>
      </c>
      <c r="R765" s="260" t="s">
        <v>239</v>
      </c>
      <c r="S765" s="260" t="s">
        <v>514</v>
      </c>
      <c r="T765" s="260" t="s">
        <v>239</v>
      </c>
      <c r="U765" s="260" t="s">
        <v>514</v>
      </c>
    </row>
    <row r="766" spans="1:21" ht="14.5" x14ac:dyDescent="0.35">
      <c r="A766" s="260" t="s">
        <v>566</v>
      </c>
      <c r="B766" s="190">
        <v>45687</v>
      </c>
      <c r="C766" s="197">
        <v>40000</v>
      </c>
      <c r="D766" s="197">
        <v>0</v>
      </c>
      <c r="E766" s="197">
        <v>0</v>
      </c>
      <c r="F766" s="197">
        <v>0</v>
      </c>
      <c r="G766" s="197">
        <v>40000</v>
      </c>
      <c r="H766" s="197">
        <v>0</v>
      </c>
      <c r="I766" s="197">
        <v>0</v>
      </c>
      <c r="J766" s="197">
        <v>40000</v>
      </c>
      <c r="K766" s="197">
        <v>40000</v>
      </c>
      <c r="L766" s="197">
        <v>0</v>
      </c>
      <c r="M766" s="197">
        <v>0</v>
      </c>
      <c r="N766" s="197">
        <v>0</v>
      </c>
      <c r="O766" s="197">
        <v>0</v>
      </c>
      <c r="P766" s="197">
        <v>0</v>
      </c>
      <c r="Q766" s="197">
        <v>0</v>
      </c>
      <c r="R766" s="260" t="s">
        <v>239</v>
      </c>
      <c r="S766" s="260" t="s">
        <v>514</v>
      </c>
      <c r="T766" s="260" t="s">
        <v>239</v>
      </c>
      <c r="U766" s="260" t="s">
        <v>514</v>
      </c>
    </row>
    <row r="767" spans="1:21" ht="14.5" x14ac:dyDescent="0.35">
      <c r="A767" s="260" t="s">
        <v>566</v>
      </c>
      <c r="B767" s="190">
        <v>45688</v>
      </c>
      <c r="C767" s="197">
        <v>40000</v>
      </c>
      <c r="D767" s="197">
        <v>0</v>
      </c>
      <c r="E767" s="197">
        <v>0</v>
      </c>
      <c r="F767" s="197">
        <v>0</v>
      </c>
      <c r="G767" s="197">
        <v>40000</v>
      </c>
      <c r="H767" s="197">
        <v>0</v>
      </c>
      <c r="I767" s="197">
        <v>0</v>
      </c>
      <c r="J767" s="197">
        <v>40000</v>
      </c>
      <c r="K767" s="197">
        <v>40000</v>
      </c>
      <c r="L767" s="197">
        <v>0</v>
      </c>
      <c r="M767" s="197">
        <v>0</v>
      </c>
      <c r="N767" s="197">
        <v>0</v>
      </c>
      <c r="O767" s="197">
        <v>0</v>
      </c>
      <c r="P767" s="197">
        <v>0</v>
      </c>
      <c r="Q767" s="197">
        <v>0</v>
      </c>
      <c r="R767" s="260" t="s">
        <v>239</v>
      </c>
      <c r="S767" s="260" t="s">
        <v>514</v>
      </c>
      <c r="T767" s="260" t="s">
        <v>239</v>
      </c>
      <c r="U767" s="260" t="s">
        <v>514</v>
      </c>
    </row>
    <row r="768" spans="1:21" ht="14.5" x14ac:dyDescent="0.35">
      <c r="A768" s="260" t="s">
        <v>566</v>
      </c>
      <c r="B768" s="190">
        <v>45689</v>
      </c>
      <c r="C768" s="197">
        <v>40000</v>
      </c>
      <c r="D768" s="197">
        <v>0</v>
      </c>
      <c r="E768" s="197">
        <v>0</v>
      </c>
      <c r="F768" s="197">
        <v>0</v>
      </c>
      <c r="G768" s="197">
        <v>40000</v>
      </c>
      <c r="H768" s="197">
        <v>0</v>
      </c>
      <c r="I768" s="197">
        <v>0</v>
      </c>
      <c r="J768" s="197">
        <v>40000</v>
      </c>
      <c r="K768" s="197">
        <v>40000</v>
      </c>
      <c r="L768" s="197">
        <v>0</v>
      </c>
      <c r="M768" s="197">
        <v>0</v>
      </c>
      <c r="N768" s="197">
        <v>0</v>
      </c>
      <c r="O768" s="197">
        <v>0</v>
      </c>
      <c r="P768" s="197">
        <v>0</v>
      </c>
      <c r="Q768" s="197">
        <v>0</v>
      </c>
      <c r="R768" s="260" t="s">
        <v>239</v>
      </c>
      <c r="S768" s="260" t="s">
        <v>514</v>
      </c>
      <c r="T768" s="260" t="s">
        <v>239</v>
      </c>
      <c r="U768" s="260" t="s">
        <v>514</v>
      </c>
    </row>
    <row r="769" spans="1:21" ht="14.5" x14ac:dyDescent="0.35">
      <c r="A769" s="260" t="s">
        <v>566</v>
      </c>
      <c r="B769" s="190">
        <v>45690</v>
      </c>
      <c r="C769" s="197">
        <v>40000</v>
      </c>
      <c r="D769" s="197">
        <v>0</v>
      </c>
      <c r="E769" s="197">
        <v>0</v>
      </c>
      <c r="F769" s="197">
        <v>0</v>
      </c>
      <c r="G769" s="197">
        <v>40000</v>
      </c>
      <c r="H769" s="197">
        <v>0</v>
      </c>
      <c r="I769" s="197">
        <v>0</v>
      </c>
      <c r="J769" s="197">
        <v>40000</v>
      </c>
      <c r="K769" s="197">
        <v>40000</v>
      </c>
      <c r="L769" s="197">
        <v>0</v>
      </c>
      <c r="M769" s="197">
        <v>0</v>
      </c>
      <c r="N769" s="197">
        <v>0</v>
      </c>
      <c r="O769" s="197">
        <v>0</v>
      </c>
      <c r="P769" s="197">
        <v>0</v>
      </c>
      <c r="Q769" s="197">
        <v>0</v>
      </c>
      <c r="R769" s="260" t="s">
        <v>239</v>
      </c>
      <c r="S769" s="260" t="s">
        <v>514</v>
      </c>
      <c r="T769" s="260" t="s">
        <v>239</v>
      </c>
      <c r="U769" s="260" t="s">
        <v>514</v>
      </c>
    </row>
    <row r="770" spans="1:21" ht="14.5" x14ac:dyDescent="0.35">
      <c r="A770" s="260" t="s">
        <v>566</v>
      </c>
      <c r="B770" s="190">
        <v>45691</v>
      </c>
      <c r="C770" s="197">
        <v>40000</v>
      </c>
      <c r="D770" s="197">
        <v>0</v>
      </c>
      <c r="E770" s="197">
        <v>0</v>
      </c>
      <c r="F770" s="197">
        <v>0</v>
      </c>
      <c r="G770" s="197">
        <v>40000</v>
      </c>
      <c r="H770" s="197">
        <v>0</v>
      </c>
      <c r="I770" s="197">
        <v>0</v>
      </c>
      <c r="J770" s="197">
        <v>40000</v>
      </c>
      <c r="K770" s="197">
        <v>40000</v>
      </c>
      <c r="L770" s="197">
        <v>0</v>
      </c>
      <c r="M770" s="197">
        <v>0</v>
      </c>
      <c r="N770" s="197">
        <v>0</v>
      </c>
      <c r="O770" s="197">
        <v>0</v>
      </c>
      <c r="P770" s="197">
        <v>0</v>
      </c>
      <c r="Q770" s="197">
        <v>0</v>
      </c>
      <c r="R770" s="260" t="s">
        <v>239</v>
      </c>
      <c r="S770" s="260" t="s">
        <v>514</v>
      </c>
      <c r="T770" s="260" t="s">
        <v>239</v>
      </c>
      <c r="U770" s="260" t="s">
        <v>514</v>
      </c>
    </row>
    <row r="771" spans="1:21" ht="14.5" x14ac:dyDescent="0.35">
      <c r="A771" s="260" t="s">
        <v>566</v>
      </c>
      <c r="B771" s="190">
        <v>45692</v>
      </c>
      <c r="C771" s="197">
        <v>40000</v>
      </c>
      <c r="D771" s="197">
        <v>0</v>
      </c>
      <c r="E771" s="197">
        <v>0</v>
      </c>
      <c r="F771" s="197">
        <v>0</v>
      </c>
      <c r="G771" s="197">
        <v>40000</v>
      </c>
      <c r="H771" s="197">
        <v>0</v>
      </c>
      <c r="I771" s="197">
        <v>0</v>
      </c>
      <c r="J771" s="197">
        <v>40000</v>
      </c>
      <c r="K771" s="197">
        <v>40000</v>
      </c>
      <c r="L771" s="197">
        <v>0</v>
      </c>
      <c r="M771" s="197">
        <v>0</v>
      </c>
      <c r="N771" s="197">
        <v>0</v>
      </c>
      <c r="O771" s="197">
        <v>0</v>
      </c>
      <c r="P771" s="197">
        <v>0</v>
      </c>
      <c r="Q771" s="197">
        <v>0</v>
      </c>
      <c r="R771" s="260" t="s">
        <v>239</v>
      </c>
      <c r="S771" s="260" t="s">
        <v>514</v>
      </c>
      <c r="T771" s="260" t="s">
        <v>239</v>
      </c>
      <c r="U771" s="260" t="s">
        <v>514</v>
      </c>
    </row>
    <row r="772" spans="1:21" ht="14.5" x14ac:dyDescent="0.35">
      <c r="A772" s="260" t="s">
        <v>566</v>
      </c>
      <c r="B772" s="190">
        <v>45693</v>
      </c>
      <c r="C772" s="197">
        <v>40000</v>
      </c>
      <c r="D772" s="197">
        <v>0</v>
      </c>
      <c r="E772" s="197">
        <v>0</v>
      </c>
      <c r="F772" s="197">
        <v>0</v>
      </c>
      <c r="G772" s="197">
        <v>40000</v>
      </c>
      <c r="H772" s="197">
        <v>0</v>
      </c>
      <c r="I772" s="197">
        <v>0</v>
      </c>
      <c r="J772" s="197">
        <v>40000</v>
      </c>
      <c r="K772" s="197">
        <v>40000</v>
      </c>
      <c r="L772" s="197">
        <v>0</v>
      </c>
      <c r="M772" s="197">
        <v>0</v>
      </c>
      <c r="N772" s="197">
        <v>0</v>
      </c>
      <c r="O772" s="197">
        <v>0</v>
      </c>
      <c r="P772" s="197">
        <v>0</v>
      </c>
      <c r="Q772" s="197">
        <v>0</v>
      </c>
      <c r="R772" s="260" t="s">
        <v>239</v>
      </c>
      <c r="S772" s="260" t="s">
        <v>514</v>
      </c>
      <c r="T772" s="260" t="s">
        <v>239</v>
      </c>
      <c r="U772" s="260" t="s">
        <v>514</v>
      </c>
    </row>
    <row r="773" spans="1:21" ht="14.5" x14ac:dyDescent="0.35">
      <c r="A773" s="260" t="s">
        <v>566</v>
      </c>
      <c r="B773" s="190">
        <v>45694</v>
      </c>
      <c r="C773" s="197">
        <v>40000</v>
      </c>
      <c r="D773" s="197">
        <v>0</v>
      </c>
      <c r="E773" s="197">
        <v>0</v>
      </c>
      <c r="F773" s="197">
        <v>0</v>
      </c>
      <c r="G773" s="197">
        <v>40000</v>
      </c>
      <c r="H773" s="197">
        <v>0</v>
      </c>
      <c r="I773" s="197">
        <v>0</v>
      </c>
      <c r="J773" s="197">
        <v>40000</v>
      </c>
      <c r="K773" s="197">
        <v>40000</v>
      </c>
      <c r="L773" s="197">
        <v>0</v>
      </c>
      <c r="M773" s="197">
        <v>0</v>
      </c>
      <c r="N773" s="197">
        <v>0</v>
      </c>
      <c r="O773" s="197">
        <v>0</v>
      </c>
      <c r="P773" s="197">
        <v>0</v>
      </c>
      <c r="Q773" s="197">
        <v>0</v>
      </c>
      <c r="R773" s="260" t="s">
        <v>239</v>
      </c>
      <c r="S773" s="260" t="s">
        <v>514</v>
      </c>
      <c r="T773" s="260" t="s">
        <v>239</v>
      </c>
      <c r="U773" s="260" t="s">
        <v>514</v>
      </c>
    </row>
    <row r="774" spans="1:21" ht="14.5" x14ac:dyDescent="0.35">
      <c r="A774" s="260" t="s">
        <v>566</v>
      </c>
      <c r="B774" s="190">
        <v>45695</v>
      </c>
      <c r="C774" s="197">
        <v>40000</v>
      </c>
      <c r="D774" s="197">
        <v>0</v>
      </c>
      <c r="E774" s="197">
        <v>0</v>
      </c>
      <c r="F774" s="197">
        <v>0</v>
      </c>
      <c r="G774" s="197">
        <v>40000</v>
      </c>
      <c r="H774" s="197">
        <v>0</v>
      </c>
      <c r="I774" s="197">
        <v>0</v>
      </c>
      <c r="J774" s="197">
        <v>40000</v>
      </c>
      <c r="K774" s="197">
        <v>40000</v>
      </c>
      <c r="L774" s="197">
        <v>0</v>
      </c>
      <c r="M774" s="197">
        <v>0</v>
      </c>
      <c r="N774" s="197">
        <v>0</v>
      </c>
      <c r="O774" s="197">
        <v>0</v>
      </c>
      <c r="P774" s="197">
        <v>0</v>
      </c>
      <c r="Q774" s="197">
        <v>0</v>
      </c>
      <c r="R774" s="260" t="s">
        <v>239</v>
      </c>
      <c r="S774" s="260" t="s">
        <v>514</v>
      </c>
      <c r="T774" s="260" t="s">
        <v>239</v>
      </c>
      <c r="U774" s="260" t="s">
        <v>514</v>
      </c>
    </row>
    <row r="775" spans="1:21" ht="14.5" x14ac:dyDescent="0.35">
      <c r="A775" s="260" t="s">
        <v>566</v>
      </c>
      <c r="B775" s="190">
        <v>45696</v>
      </c>
      <c r="C775" s="197">
        <v>40000</v>
      </c>
      <c r="D775" s="197">
        <v>0</v>
      </c>
      <c r="E775" s="197">
        <v>0</v>
      </c>
      <c r="F775" s="197">
        <v>0</v>
      </c>
      <c r="G775" s="197">
        <v>40000</v>
      </c>
      <c r="H775" s="197">
        <v>0</v>
      </c>
      <c r="I775" s="197">
        <v>0</v>
      </c>
      <c r="J775" s="197">
        <v>40000</v>
      </c>
      <c r="K775" s="197">
        <v>40000</v>
      </c>
      <c r="L775" s="197">
        <v>0</v>
      </c>
      <c r="M775" s="197">
        <v>0</v>
      </c>
      <c r="N775" s="197">
        <v>0</v>
      </c>
      <c r="O775" s="197">
        <v>0</v>
      </c>
      <c r="P775" s="197">
        <v>0</v>
      </c>
      <c r="Q775" s="197">
        <v>0</v>
      </c>
      <c r="R775" s="260" t="s">
        <v>239</v>
      </c>
      <c r="S775" s="260" t="s">
        <v>514</v>
      </c>
      <c r="T775" s="260" t="s">
        <v>239</v>
      </c>
      <c r="U775" s="260" t="s">
        <v>514</v>
      </c>
    </row>
    <row r="776" spans="1:21" ht="14.5" x14ac:dyDescent="0.35">
      <c r="A776" s="260" t="s">
        <v>566</v>
      </c>
      <c r="B776" s="190">
        <v>45697</v>
      </c>
      <c r="C776" s="197">
        <v>40000</v>
      </c>
      <c r="D776" s="197">
        <v>0</v>
      </c>
      <c r="E776" s="197">
        <v>0</v>
      </c>
      <c r="F776" s="197">
        <v>0</v>
      </c>
      <c r="G776" s="197">
        <v>40000</v>
      </c>
      <c r="H776" s="197">
        <v>0</v>
      </c>
      <c r="I776" s="197">
        <v>0</v>
      </c>
      <c r="J776" s="197">
        <v>40000</v>
      </c>
      <c r="K776" s="197">
        <v>40000</v>
      </c>
      <c r="L776" s="197">
        <v>0</v>
      </c>
      <c r="M776" s="197">
        <v>0</v>
      </c>
      <c r="N776" s="197">
        <v>0</v>
      </c>
      <c r="O776" s="197">
        <v>0</v>
      </c>
      <c r="P776" s="197">
        <v>0</v>
      </c>
      <c r="Q776" s="197">
        <v>0</v>
      </c>
      <c r="R776" s="260" t="s">
        <v>239</v>
      </c>
      <c r="S776" s="260" t="s">
        <v>514</v>
      </c>
      <c r="T776" s="260" t="s">
        <v>239</v>
      </c>
      <c r="U776" s="260" t="s">
        <v>514</v>
      </c>
    </row>
    <row r="777" spans="1:21" ht="14.5" x14ac:dyDescent="0.35">
      <c r="A777" s="260" t="s">
        <v>566</v>
      </c>
      <c r="B777" s="190">
        <v>45698</v>
      </c>
      <c r="C777" s="197">
        <v>40000</v>
      </c>
      <c r="D777" s="197">
        <v>0</v>
      </c>
      <c r="E777" s="197">
        <v>0</v>
      </c>
      <c r="F777" s="197">
        <v>0</v>
      </c>
      <c r="G777" s="197">
        <v>40000</v>
      </c>
      <c r="H777" s="197">
        <v>0</v>
      </c>
      <c r="I777" s="197">
        <v>0</v>
      </c>
      <c r="J777" s="197">
        <v>40000</v>
      </c>
      <c r="K777" s="197">
        <v>40000</v>
      </c>
      <c r="L777" s="197">
        <v>0</v>
      </c>
      <c r="M777" s="197">
        <v>0</v>
      </c>
      <c r="N777" s="197">
        <v>0</v>
      </c>
      <c r="O777" s="197">
        <v>0</v>
      </c>
      <c r="P777" s="197">
        <v>0</v>
      </c>
      <c r="Q777" s="197">
        <v>0</v>
      </c>
      <c r="R777" s="260" t="s">
        <v>239</v>
      </c>
      <c r="S777" s="260" t="s">
        <v>514</v>
      </c>
      <c r="T777" s="260" t="s">
        <v>239</v>
      </c>
      <c r="U777" s="260" t="s">
        <v>514</v>
      </c>
    </row>
    <row r="778" spans="1:21" ht="14.5" x14ac:dyDescent="0.35">
      <c r="A778" s="260" t="s">
        <v>566</v>
      </c>
      <c r="B778" s="190">
        <v>45699</v>
      </c>
      <c r="C778" s="197">
        <v>40000</v>
      </c>
      <c r="D778" s="197">
        <v>0</v>
      </c>
      <c r="E778" s="197">
        <v>0</v>
      </c>
      <c r="F778" s="197">
        <v>0</v>
      </c>
      <c r="G778" s="197">
        <v>40000</v>
      </c>
      <c r="H778" s="197">
        <v>0</v>
      </c>
      <c r="I778" s="197">
        <v>0</v>
      </c>
      <c r="J778" s="197">
        <v>40000</v>
      </c>
      <c r="K778" s="197">
        <v>40000</v>
      </c>
      <c r="L778" s="197">
        <v>0</v>
      </c>
      <c r="M778" s="197">
        <v>0</v>
      </c>
      <c r="N778" s="197">
        <v>0</v>
      </c>
      <c r="O778" s="197">
        <v>0</v>
      </c>
      <c r="P778" s="197">
        <v>0</v>
      </c>
      <c r="Q778" s="197">
        <v>0</v>
      </c>
      <c r="R778" s="260" t="s">
        <v>239</v>
      </c>
      <c r="S778" s="260" t="s">
        <v>514</v>
      </c>
      <c r="T778" s="260" t="s">
        <v>239</v>
      </c>
      <c r="U778" s="260" t="s">
        <v>514</v>
      </c>
    </row>
    <row r="779" spans="1:21" ht="14.5" x14ac:dyDescent="0.35">
      <c r="A779" s="260" t="s">
        <v>566</v>
      </c>
      <c r="B779" s="190">
        <v>45700</v>
      </c>
      <c r="C779" s="197">
        <v>40000</v>
      </c>
      <c r="D779" s="197">
        <v>0</v>
      </c>
      <c r="E779" s="197">
        <v>0</v>
      </c>
      <c r="F779" s="197">
        <v>0</v>
      </c>
      <c r="G779" s="197">
        <v>40000</v>
      </c>
      <c r="H779" s="197">
        <v>0</v>
      </c>
      <c r="I779" s="197">
        <v>0</v>
      </c>
      <c r="J779" s="197">
        <v>40000</v>
      </c>
      <c r="K779" s="197">
        <v>40000</v>
      </c>
      <c r="L779" s="197">
        <v>0</v>
      </c>
      <c r="M779" s="197">
        <v>0</v>
      </c>
      <c r="N779" s="197">
        <v>0</v>
      </c>
      <c r="O779" s="197">
        <v>0</v>
      </c>
      <c r="P779" s="197">
        <v>0</v>
      </c>
      <c r="Q779" s="197">
        <v>0</v>
      </c>
      <c r="R779" s="260" t="s">
        <v>239</v>
      </c>
      <c r="S779" s="260" t="s">
        <v>514</v>
      </c>
      <c r="T779" s="260" t="s">
        <v>239</v>
      </c>
      <c r="U779" s="260" t="s">
        <v>514</v>
      </c>
    </row>
    <row r="780" spans="1:21" ht="14.5" x14ac:dyDescent="0.35">
      <c r="A780" s="260" t="s">
        <v>566</v>
      </c>
      <c r="B780" s="190">
        <v>45701</v>
      </c>
      <c r="C780" s="197">
        <v>40000</v>
      </c>
      <c r="D780" s="197">
        <v>0</v>
      </c>
      <c r="E780" s="197">
        <v>0</v>
      </c>
      <c r="F780" s="197">
        <v>0</v>
      </c>
      <c r="G780" s="197">
        <v>40000</v>
      </c>
      <c r="H780" s="197">
        <v>0</v>
      </c>
      <c r="I780" s="197">
        <v>0</v>
      </c>
      <c r="J780" s="197">
        <v>40000</v>
      </c>
      <c r="K780" s="197">
        <v>40000</v>
      </c>
      <c r="L780" s="197">
        <v>0</v>
      </c>
      <c r="M780" s="197">
        <v>0</v>
      </c>
      <c r="N780" s="197">
        <v>0</v>
      </c>
      <c r="O780" s="197">
        <v>0</v>
      </c>
      <c r="P780" s="197">
        <v>0</v>
      </c>
      <c r="Q780" s="197">
        <v>0</v>
      </c>
      <c r="R780" s="260" t="s">
        <v>239</v>
      </c>
      <c r="S780" s="260" t="s">
        <v>514</v>
      </c>
      <c r="T780" s="260" t="s">
        <v>239</v>
      </c>
      <c r="U780" s="260" t="s">
        <v>514</v>
      </c>
    </row>
    <row r="781" spans="1:21" ht="14.5" x14ac:dyDescent="0.35">
      <c r="A781" s="260" t="s">
        <v>566</v>
      </c>
      <c r="B781" s="190">
        <v>45702</v>
      </c>
      <c r="C781" s="197">
        <v>40000</v>
      </c>
      <c r="D781" s="197">
        <v>0</v>
      </c>
      <c r="E781" s="197">
        <v>0</v>
      </c>
      <c r="F781" s="197">
        <v>0</v>
      </c>
      <c r="G781" s="197">
        <v>40000</v>
      </c>
      <c r="H781" s="197">
        <v>0</v>
      </c>
      <c r="I781" s="197">
        <v>0</v>
      </c>
      <c r="J781" s="197">
        <v>40000</v>
      </c>
      <c r="K781" s="197">
        <v>40000</v>
      </c>
      <c r="L781" s="197">
        <v>0</v>
      </c>
      <c r="M781" s="197">
        <v>0</v>
      </c>
      <c r="N781" s="197">
        <v>0</v>
      </c>
      <c r="O781" s="197">
        <v>0</v>
      </c>
      <c r="P781" s="197">
        <v>0</v>
      </c>
      <c r="Q781" s="197">
        <v>0</v>
      </c>
      <c r="R781" s="260" t="s">
        <v>239</v>
      </c>
      <c r="S781" s="260" t="s">
        <v>514</v>
      </c>
      <c r="T781" s="260" t="s">
        <v>239</v>
      </c>
      <c r="U781" s="260" t="s">
        <v>514</v>
      </c>
    </row>
    <row r="782" spans="1:21" ht="14.5" x14ac:dyDescent="0.35">
      <c r="A782" s="260" t="s">
        <v>566</v>
      </c>
      <c r="B782" s="190">
        <v>45703</v>
      </c>
      <c r="C782" s="197">
        <v>40000</v>
      </c>
      <c r="D782" s="197">
        <v>0</v>
      </c>
      <c r="E782" s="197">
        <v>0</v>
      </c>
      <c r="F782" s="197">
        <v>0</v>
      </c>
      <c r="G782" s="197">
        <v>40000</v>
      </c>
      <c r="H782" s="197">
        <v>0</v>
      </c>
      <c r="I782" s="197">
        <v>0</v>
      </c>
      <c r="J782" s="197">
        <v>40000</v>
      </c>
      <c r="K782" s="197">
        <v>40000</v>
      </c>
      <c r="L782" s="197">
        <v>0</v>
      </c>
      <c r="M782" s="197">
        <v>0</v>
      </c>
      <c r="N782" s="197">
        <v>0</v>
      </c>
      <c r="O782" s="197">
        <v>0</v>
      </c>
      <c r="P782" s="197">
        <v>0</v>
      </c>
      <c r="Q782" s="197">
        <v>0</v>
      </c>
      <c r="R782" s="260" t="s">
        <v>239</v>
      </c>
      <c r="S782" s="260" t="s">
        <v>514</v>
      </c>
      <c r="T782" s="260" t="s">
        <v>239</v>
      </c>
      <c r="U782" s="260" t="s">
        <v>514</v>
      </c>
    </row>
    <row r="783" spans="1:21" ht="14.5" x14ac:dyDescent="0.35">
      <c r="A783" s="260" t="s">
        <v>566</v>
      </c>
      <c r="B783" s="190">
        <v>45704</v>
      </c>
      <c r="C783" s="197">
        <v>40000</v>
      </c>
      <c r="D783" s="197">
        <v>0</v>
      </c>
      <c r="E783" s="197">
        <v>0</v>
      </c>
      <c r="F783" s="197">
        <v>0</v>
      </c>
      <c r="G783" s="197">
        <v>40000</v>
      </c>
      <c r="H783" s="197">
        <v>0</v>
      </c>
      <c r="I783" s="197">
        <v>0</v>
      </c>
      <c r="J783" s="197">
        <v>40000</v>
      </c>
      <c r="K783" s="197">
        <v>40000</v>
      </c>
      <c r="L783" s="197">
        <v>0</v>
      </c>
      <c r="M783" s="197">
        <v>0</v>
      </c>
      <c r="N783" s="197">
        <v>0</v>
      </c>
      <c r="O783" s="197">
        <v>0</v>
      </c>
      <c r="P783" s="197">
        <v>0</v>
      </c>
      <c r="Q783" s="197">
        <v>0</v>
      </c>
      <c r="R783" s="260" t="s">
        <v>239</v>
      </c>
      <c r="S783" s="260" t="s">
        <v>514</v>
      </c>
      <c r="T783" s="260" t="s">
        <v>239</v>
      </c>
      <c r="U783" s="260" t="s">
        <v>514</v>
      </c>
    </row>
    <row r="784" spans="1:21" ht="14.5" x14ac:dyDescent="0.35">
      <c r="A784" s="260" t="s">
        <v>566</v>
      </c>
      <c r="B784" s="190">
        <v>45705</v>
      </c>
      <c r="C784" s="197">
        <v>40000</v>
      </c>
      <c r="D784" s="197">
        <v>0</v>
      </c>
      <c r="E784" s="197">
        <v>0</v>
      </c>
      <c r="F784" s="197">
        <v>0</v>
      </c>
      <c r="G784" s="197">
        <v>40000</v>
      </c>
      <c r="H784" s="197">
        <v>0</v>
      </c>
      <c r="I784" s="197">
        <v>0</v>
      </c>
      <c r="J784" s="197">
        <v>40000</v>
      </c>
      <c r="K784" s="197">
        <v>40000</v>
      </c>
      <c r="L784" s="197">
        <v>0</v>
      </c>
      <c r="M784" s="197">
        <v>0</v>
      </c>
      <c r="N784" s="197">
        <v>0</v>
      </c>
      <c r="O784" s="197">
        <v>0</v>
      </c>
      <c r="P784" s="197">
        <v>0</v>
      </c>
      <c r="Q784" s="197">
        <v>0</v>
      </c>
      <c r="R784" s="260" t="s">
        <v>239</v>
      </c>
      <c r="S784" s="260" t="s">
        <v>514</v>
      </c>
      <c r="T784" s="260" t="s">
        <v>239</v>
      </c>
      <c r="U784" s="260" t="s">
        <v>514</v>
      </c>
    </row>
    <row r="785" spans="1:21" ht="14.5" x14ac:dyDescent="0.35">
      <c r="A785" s="260" t="s">
        <v>566</v>
      </c>
      <c r="B785" s="190">
        <v>45706</v>
      </c>
      <c r="C785" s="197">
        <v>40000</v>
      </c>
      <c r="D785" s="197">
        <v>0</v>
      </c>
      <c r="E785" s="197">
        <v>0</v>
      </c>
      <c r="F785" s="197">
        <v>0</v>
      </c>
      <c r="G785" s="197">
        <v>40000</v>
      </c>
      <c r="H785" s="197">
        <v>0</v>
      </c>
      <c r="I785" s="197">
        <v>0</v>
      </c>
      <c r="J785" s="197">
        <v>40000</v>
      </c>
      <c r="K785" s="197">
        <v>40000</v>
      </c>
      <c r="L785" s="197">
        <v>0</v>
      </c>
      <c r="M785" s="197">
        <v>0</v>
      </c>
      <c r="N785" s="197">
        <v>0</v>
      </c>
      <c r="O785" s="197">
        <v>0</v>
      </c>
      <c r="P785" s="197">
        <v>0</v>
      </c>
      <c r="Q785" s="197">
        <v>0</v>
      </c>
      <c r="R785" s="260" t="s">
        <v>239</v>
      </c>
      <c r="S785" s="260" t="s">
        <v>514</v>
      </c>
      <c r="T785" s="260" t="s">
        <v>239</v>
      </c>
      <c r="U785" s="260" t="s">
        <v>514</v>
      </c>
    </row>
    <row r="786" spans="1:21" ht="14.5" x14ac:dyDescent="0.35">
      <c r="A786" s="260" t="s">
        <v>566</v>
      </c>
      <c r="B786" s="190">
        <v>45707</v>
      </c>
      <c r="C786" s="197">
        <v>40000</v>
      </c>
      <c r="D786" s="197">
        <v>0</v>
      </c>
      <c r="E786" s="197">
        <v>0</v>
      </c>
      <c r="F786" s="197">
        <v>0</v>
      </c>
      <c r="G786" s="197">
        <v>40000</v>
      </c>
      <c r="H786" s="197">
        <v>0</v>
      </c>
      <c r="I786" s="197">
        <v>0</v>
      </c>
      <c r="J786" s="197">
        <v>40000</v>
      </c>
      <c r="K786" s="197">
        <v>40000</v>
      </c>
      <c r="L786" s="197">
        <v>0</v>
      </c>
      <c r="M786" s="197">
        <v>0</v>
      </c>
      <c r="N786" s="197">
        <v>0</v>
      </c>
      <c r="O786" s="197">
        <v>0</v>
      </c>
      <c r="P786" s="197">
        <v>0</v>
      </c>
      <c r="Q786" s="197">
        <v>0</v>
      </c>
      <c r="R786" s="260" t="s">
        <v>239</v>
      </c>
      <c r="S786" s="260" t="s">
        <v>514</v>
      </c>
      <c r="T786" s="260" t="s">
        <v>239</v>
      </c>
      <c r="U786" s="260" t="s">
        <v>514</v>
      </c>
    </row>
    <row r="787" spans="1:21" ht="14.5" x14ac:dyDescent="0.35">
      <c r="A787" s="260" t="s">
        <v>566</v>
      </c>
      <c r="B787" s="190">
        <v>45708</v>
      </c>
      <c r="C787" s="197">
        <v>40000</v>
      </c>
      <c r="D787" s="197">
        <v>0</v>
      </c>
      <c r="E787" s="197">
        <v>0</v>
      </c>
      <c r="F787" s="197">
        <v>0</v>
      </c>
      <c r="G787" s="197">
        <v>40000</v>
      </c>
      <c r="H787" s="197">
        <v>0</v>
      </c>
      <c r="I787" s="197">
        <v>0</v>
      </c>
      <c r="J787" s="197">
        <v>40000</v>
      </c>
      <c r="K787" s="197">
        <v>40000</v>
      </c>
      <c r="L787" s="197">
        <v>0</v>
      </c>
      <c r="M787" s="197">
        <v>0</v>
      </c>
      <c r="N787" s="197">
        <v>0</v>
      </c>
      <c r="O787" s="197">
        <v>0</v>
      </c>
      <c r="P787" s="197">
        <v>0</v>
      </c>
      <c r="Q787" s="197">
        <v>0</v>
      </c>
      <c r="R787" s="260" t="s">
        <v>239</v>
      </c>
      <c r="S787" s="260" t="s">
        <v>514</v>
      </c>
      <c r="T787" s="260" t="s">
        <v>239</v>
      </c>
      <c r="U787" s="260" t="s">
        <v>514</v>
      </c>
    </row>
    <row r="788" spans="1:21" ht="14.5" x14ac:dyDescent="0.35">
      <c r="A788" s="260" t="s">
        <v>566</v>
      </c>
      <c r="B788" s="190">
        <v>45709</v>
      </c>
      <c r="C788" s="197">
        <v>40000</v>
      </c>
      <c r="D788" s="197">
        <v>0</v>
      </c>
      <c r="E788" s="197">
        <v>0</v>
      </c>
      <c r="F788" s="197">
        <v>0</v>
      </c>
      <c r="G788" s="197">
        <v>40000</v>
      </c>
      <c r="H788" s="197">
        <v>0</v>
      </c>
      <c r="I788" s="197">
        <v>0</v>
      </c>
      <c r="J788" s="197">
        <v>40000</v>
      </c>
      <c r="K788" s="197">
        <v>40000</v>
      </c>
      <c r="L788" s="197">
        <v>0</v>
      </c>
      <c r="M788" s="197">
        <v>0</v>
      </c>
      <c r="N788" s="197">
        <v>0</v>
      </c>
      <c r="O788" s="197">
        <v>0</v>
      </c>
      <c r="P788" s="197">
        <v>0</v>
      </c>
      <c r="Q788" s="197">
        <v>0</v>
      </c>
      <c r="R788" s="260" t="s">
        <v>239</v>
      </c>
      <c r="S788" s="260" t="s">
        <v>514</v>
      </c>
      <c r="T788" s="260" t="s">
        <v>239</v>
      </c>
      <c r="U788" s="260" t="s">
        <v>514</v>
      </c>
    </row>
    <row r="789" spans="1:21" ht="14.5" x14ac:dyDescent="0.35">
      <c r="A789" s="260" t="s">
        <v>566</v>
      </c>
      <c r="B789" s="190">
        <v>45710</v>
      </c>
      <c r="C789" s="197">
        <v>40000</v>
      </c>
      <c r="D789" s="197">
        <v>0</v>
      </c>
      <c r="E789" s="197">
        <v>0</v>
      </c>
      <c r="F789" s="197">
        <v>0</v>
      </c>
      <c r="G789" s="197">
        <v>40000</v>
      </c>
      <c r="H789" s="197">
        <v>0</v>
      </c>
      <c r="I789" s="197">
        <v>0</v>
      </c>
      <c r="J789" s="197">
        <v>40000</v>
      </c>
      <c r="K789" s="197">
        <v>40000</v>
      </c>
      <c r="L789" s="197">
        <v>0</v>
      </c>
      <c r="M789" s="197">
        <v>0</v>
      </c>
      <c r="N789" s="197">
        <v>0</v>
      </c>
      <c r="O789" s="197">
        <v>0</v>
      </c>
      <c r="P789" s="197">
        <v>0</v>
      </c>
      <c r="Q789" s="197">
        <v>0</v>
      </c>
      <c r="R789" s="260" t="s">
        <v>239</v>
      </c>
      <c r="S789" s="260" t="s">
        <v>514</v>
      </c>
      <c r="T789" s="260" t="s">
        <v>239</v>
      </c>
      <c r="U789" s="260" t="s">
        <v>514</v>
      </c>
    </row>
    <row r="790" spans="1:21" ht="14.5" x14ac:dyDescent="0.35">
      <c r="A790" s="260" t="s">
        <v>566</v>
      </c>
      <c r="B790" s="190">
        <v>45711</v>
      </c>
      <c r="C790" s="197">
        <v>40000</v>
      </c>
      <c r="D790" s="197">
        <v>0</v>
      </c>
      <c r="E790" s="197">
        <v>0</v>
      </c>
      <c r="F790" s="197">
        <v>0</v>
      </c>
      <c r="G790" s="197">
        <v>40000</v>
      </c>
      <c r="H790" s="197">
        <v>0</v>
      </c>
      <c r="I790" s="197">
        <v>0</v>
      </c>
      <c r="J790" s="197">
        <v>40000</v>
      </c>
      <c r="K790" s="197">
        <v>40000</v>
      </c>
      <c r="L790" s="197">
        <v>0</v>
      </c>
      <c r="M790" s="197">
        <v>0</v>
      </c>
      <c r="N790" s="197">
        <v>0</v>
      </c>
      <c r="O790" s="197">
        <v>0</v>
      </c>
      <c r="P790" s="197">
        <v>0</v>
      </c>
      <c r="Q790" s="197">
        <v>0</v>
      </c>
      <c r="R790" s="260" t="s">
        <v>239</v>
      </c>
      <c r="S790" s="260" t="s">
        <v>514</v>
      </c>
      <c r="T790" s="260" t="s">
        <v>239</v>
      </c>
      <c r="U790" s="260" t="s">
        <v>514</v>
      </c>
    </row>
    <row r="791" spans="1:21" ht="14.5" x14ac:dyDescent="0.35">
      <c r="A791" s="260" t="s">
        <v>566</v>
      </c>
      <c r="B791" s="190">
        <v>45712</v>
      </c>
      <c r="C791" s="197">
        <v>40000</v>
      </c>
      <c r="D791" s="197">
        <v>0</v>
      </c>
      <c r="E791" s="197">
        <v>0</v>
      </c>
      <c r="F791" s="197">
        <v>0</v>
      </c>
      <c r="G791" s="197">
        <v>40000</v>
      </c>
      <c r="H791" s="197">
        <v>0</v>
      </c>
      <c r="I791" s="197">
        <v>0</v>
      </c>
      <c r="J791" s="197">
        <v>40000</v>
      </c>
      <c r="K791" s="197">
        <v>40000</v>
      </c>
      <c r="L791" s="197">
        <v>0</v>
      </c>
      <c r="M791" s="197">
        <v>0</v>
      </c>
      <c r="N791" s="197">
        <v>0</v>
      </c>
      <c r="O791" s="197">
        <v>0</v>
      </c>
      <c r="P791" s="197">
        <v>0</v>
      </c>
      <c r="Q791" s="197">
        <v>0</v>
      </c>
      <c r="R791" s="260" t="s">
        <v>239</v>
      </c>
      <c r="S791" s="260" t="s">
        <v>514</v>
      </c>
      <c r="T791" s="260" t="s">
        <v>239</v>
      </c>
      <c r="U791" s="260" t="s">
        <v>514</v>
      </c>
    </row>
    <row r="792" spans="1:21" ht="14.5" x14ac:dyDescent="0.35">
      <c r="A792" s="260" t="s">
        <v>566</v>
      </c>
      <c r="B792" s="190">
        <v>45713</v>
      </c>
      <c r="C792" s="197">
        <v>40000</v>
      </c>
      <c r="D792" s="197">
        <v>0</v>
      </c>
      <c r="E792" s="197">
        <v>0</v>
      </c>
      <c r="F792" s="197">
        <v>0</v>
      </c>
      <c r="G792" s="197">
        <v>40000</v>
      </c>
      <c r="H792" s="197">
        <v>0</v>
      </c>
      <c r="I792" s="197">
        <v>0</v>
      </c>
      <c r="J792" s="197">
        <v>40000</v>
      </c>
      <c r="K792" s="197">
        <v>40000</v>
      </c>
      <c r="L792" s="197">
        <v>0</v>
      </c>
      <c r="M792" s="197">
        <v>0</v>
      </c>
      <c r="N792" s="197">
        <v>0</v>
      </c>
      <c r="O792" s="197">
        <v>0</v>
      </c>
      <c r="P792" s="197">
        <v>0</v>
      </c>
      <c r="Q792" s="197">
        <v>0</v>
      </c>
      <c r="R792" s="260" t="s">
        <v>239</v>
      </c>
      <c r="S792" s="260" t="s">
        <v>514</v>
      </c>
      <c r="T792" s="260" t="s">
        <v>239</v>
      </c>
      <c r="U792" s="260" t="s">
        <v>514</v>
      </c>
    </row>
    <row r="793" spans="1:21" ht="14.5" x14ac:dyDescent="0.35">
      <c r="A793" s="260" t="s">
        <v>566</v>
      </c>
      <c r="B793" s="190">
        <v>45714</v>
      </c>
      <c r="C793" s="197">
        <v>40000</v>
      </c>
      <c r="D793" s="197">
        <v>0</v>
      </c>
      <c r="E793" s="197">
        <v>0</v>
      </c>
      <c r="F793" s="197">
        <v>0</v>
      </c>
      <c r="G793" s="197">
        <v>40000</v>
      </c>
      <c r="H793" s="197">
        <v>0</v>
      </c>
      <c r="I793" s="197">
        <v>0</v>
      </c>
      <c r="J793" s="197">
        <v>40000</v>
      </c>
      <c r="K793" s="197">
        <v>40000</v>
      </c>
      <c r="L793" s="197">
        <v>0</v>
      </c>
      <c r="M793" s="197">
        <v>0</v>
      </c>
      <c r="N793" s="197">
        <v>0</v>
      </c>
      <c r="O793" s="197">
        <v>0</v>
      </c>
      <c r="P793" s="197">
        <v>0</v>
      </c>
      <c r="Q793" s="197">
        <v>0</v>
      </c>
      <c r="R793" s="260" t="s">
        <v>239</v>
      </c>
      <c r="S793" s="260" t="s">
        <v>514</v>
      </c>
      <c r="T793" s="260" t="s">
        <v>239</v>
      </c>
      <c r="U793" s="260" t="s">
        <v>514</v>
      </c>
    </row>
    <row r="794" spans="1:21" ht="14.5" x14ac:dyDescent="0.35">
      <c r="A794" s="260" t="s">
        <v>566</v>
      </c>
      <c r="B794" s="190">
        <v>45715</v>
      </c>
      <c r="C794" s="197">
        <v>40000</v>
      </c>
      <c r="D794" s="197">
        <v>0</v>
      </c>
      <c r="E794" s="197">
        <v>0</v>
      </c>
      <c r="F794" s="197">
        <v>0</v>
      </c>
      <c r="G794" s="197">
        <v>40000</v>
      </c>
      <c r="H794" s="197">
        <v>0</v>
      </c>
      <c r="I794" s="197">
        <v>0</v>
      </c>
      <c r="J794" s="197">
        <v>40000</v>
      </c>
      <c r="K794" s="197">
        <v>40000</v>
      </c>
      <c r="L794" s="197">
        <v>0</v>
      </c>
      <c r="M794" s="197">
        <v>0</v>
      </c>
      <c r="N794" s="197">
        <v>0</v>
      </c>
      <c r="O794" s="197">
        <v>0</v>
      </c>
      <c r="P794" s="197">
        <v>0</v>
      </c>
      <c r="Q794" s="197">
        <v>0</v>
      </c>
      <c r="R794" s="260" t="s">
        <v>239</v>
      </c>
      <c r="S794" s="260" t="s">
        <v>514</v>
      </c>
      <c r="T794" s="260" t="s">
        <v>239</v>
      </c>
      <c r="U794" s="260" t="s">
        <v>514</v>
      </c>
    </row>
    <row r="795" spans="1:21" ht="14.5" x14ac:dyDescent="0.35">
      <c r="A795" s="260" t="s">
        <v>566</v>
      </c>
      <c r="B795" s="190">
        <v>45716</v>
      </c>
      <c r="C795" s="197">
        <v>40000</v>
      </c>
      <c r="D795" s="197">
        <v>0</v>
      </c>
      <c r="E795" s="197">
        <v>0</v>
      </c>
      <c r="F795" s="197">
        <v>0</v>
      </c>
      <c r="G795" s="197">
        <v>40000</v>
      </c>
      <c r="H795" s="197">
        <v>0</v>
      </c>
      <c r="I795" s="197">
        <v>0</v>
      </c>
      <c r="J795" s="197">
        <v>40000</v>
      </c>
      <c r="K795" s="197">
        <v>40000</v>
      </c>
      <c r="L795" s="197">
        <v>0</v>
      </c>
      <c r="M795" s="197">
        <v>0</v>
      </c>
      <c r="N795" s="197">
        <v>0</v>
      </c>
      <c r="O795" s="197">
        <v>0</v>
      </c>
      <c r="P795" s="197">
        <v>0</v>
      </c>
      <c r="Q795" s="197">
        <v>0</v>
      </c>
      <c r="R795" s="260" t="s">
        <v>239</v>
      </c>
      <c r="S795" s="260" t="s">
        <v>514</v>
      </c>
      <c r="T795" s="260" t="s">
        <v>239</v>
      </c>
      <c r="U795" s="260" t="s">
        <v>514</v>
      </c>
    </row>
    <row r="796" spans="1:21" ht="14.5" x14ac:dyDescent="0.35">
      <c r="A796" s="260" t="s">
        <v>566</v>
      </c>
      <c r="B796" s="190">
        <v>45717</v>
      </c>
      <c r="C796" s="197">
        <v>40000</v>
      </c>
      <c r="D796" s="197">
        <v>0</v>
      </c>
      <c r="E796" s="197">
        <v>0</v>
      </c>
      <c r="F796" s="197">
        <v>0</v>
      </c>
      <c r="G796" s="197">
        <v>40000</v>
      </c>
      <c r="H796" s="197">
        <v>0</v>
      </c>
      <c r="I796" s="197">
        <v>0</v>
      </c>
      <c r="J796" s="197">
        <v>40000</v>
      </c>
      <c r="K796" s="197">
        <v>40000</v>
      </c>
      <c r="L796" s="197">
        <v>0</v>
      </c>
      <c r="M796" s="197">
        <v>0</v>
      </c>
      <c r="N796" s="197">
        <v>0</v>
      </c>
      <c r="O796" s="197">
        <v>0</v>
      </c>
      <c r="P796" s="197">
        <v>0</v>
      </c>
      <c r="Q796" s="197">
        <v>0</v>
      </c>
      <c r="R796" s="260" t="s">
        <v>239</v>
      </c>
      <c r="S796" s="260" t="s">
        <v>514</v>
      </c>
      <c r="T796" s="260" t="s">
        <v>239</v>
      </c>
      <c r="U796" s="260" t="s">
        <v>514</v>
      </c>
    </row>
    <row r="797" spans="1:21" ht="14.5" x14ac:dyDescent="0.35">
      <c r="A797" s="260" t="s">
        <v>566</v>
      </c>
      <c r="B797" s="190">
        <v>45718</v>
      </c>
      <c r="C797" s="197">
        <v>40000</v>
      </c>
      <c r="D797" s="197">
        <v>0</v>
      </c>
      <c r="E797" s="197">
        <v>0</v>
      </c>
      <c r="F797" s="197">
        <v>0</v>
      </c>
      <c r="G797" s="197">
        <v>40000</v>
      </c>
      <c r="H797" s="197">
        <v>0</v>
      </c>
      <c r="I797" s="197">
        <v>0</v>
      </c>
      <c r="J797" s="197">
        <v>40000</v>
      </c>
      <c r="K797" s="197">
        <v>40000</v>
      </c>
      <c r="L797" s="197">
        <v>0</v>
      </c>
      <c r="M797" s="197">
        <v>0</v>
      </c>
      <c r="N797" s="197">
        <v>0</v>
      </c>
      <c r="O797" s="197">
        <v>0</v>
      </c>
      <c r="P797" s="197">
        <v>0</v>
      </c>
      <c r="Q797" s="197">
        <v>0</v>
      </c>
      <c r="R797" s="260" t="s">
        <v>239</v>
      </c>
      <c r="S797" s="260" t="s">
        <v>514</v>
      </c>
      <c r="T797" s="260" t="s">
        <v>239</v>
      </c>
      <c r="U797" s="260" t="s">
        <v>514</v>
      </c>
    </row>
    <row r="798" spans="1:21" ht="14.5" x14ac:dyDescent="0.35">
      <c r="A798" s="260" t="s">
        <v>566</v>
      </c>
      <c r="B798" s="190">
        <v>45719</v>
      </c>
      <c r="C798" s="197">
        <v>40000</v>
      </c>
      <c r="D798" s="197">
        <v>0</v>
      </c>
      <c r="E798" s="197">
        <v>0</v>
      </c>
      <c r="F798" s="197">
        <v>0</v>
      </c>
      <c r="G798" s="197">
        <v>40000</v>
      </c>
      <c r="H798" s="197">
        <v>0</v>
      </c>
      <c r="I798" s="197">
        <v>0</v>
      </c>
      <c r="J798" s="197">
        <v>40000</v>
      </c>
      <c r="K798" s="197">
        <v>40000</v>
      </c>
      <c r="L798" s="197">
        <v>0</v>
      </c>
      <c r="M798" s="197">
        <v>0</v>
      </c>
      <c r="N798" s="197">
        <v>0</v>
      </c>
      <c r="O798" s="197">
        <v>0</v>
      </c>
      <c r="P798" s="197">
        <v>0</v>
      </c>
      <c r="Q798" s="197">
        <v>0</v>
      </c>
      <c r="R798" s="260" t="s">
        <v>239</v>
      </c>
      <c r="S798" s="260" t="s">
        <v>514</v>
      </c>
      <c r="T798" s="260" t="s">
        <v>239</v>
      </c>
      <c r="U798" s="260" t="s">
        <v>514</v>
      </c>
    </row>
    <row r="799" spans="1:21" ht="14.5" x14ac:dyDescent="0.35">
      <c r="A799" s="260" t="s">
        <v>566</v>
      </c>
      <c r="B799" s="190">
        <v>45720</v>
      </c>
      <c r="C799" s="197">
        <v>40000</v>
      </c>
      <c r="D799" s="197">
        <v>0</v>
      </c>
      <c r="E799" s="197">
        <v>0</v>
      </c>
      <c r="F799" s="197">
        <v>0</v>
      </c>
      <c r="G799" s="197">
        <v>40000</v>
      </c>
      <c r="H799" s="197">
        <v>0</v>
      </c>
      <c r="I799" s="197">
        <v>0</v>
      </c>
      <c r="J799" s="197">
        <v>40000</v>
      </c>
      <c r="K799" s="197">
        <v>40000</v>
      </c>
      <c r="L799" s="197">
        <v>0</v>
      </c>
      <c r="M799" s="197">
        <v>0</v>
      </c>
      <c r="N799" s="197">
        <v>0</v>
      </c>
      <c r="O799" s="197">
        <v>0</v>
      </c>
      <c r="P799" s="197">
        <v>0</v>
      </c>
      <c r="Q799" s="197">
        <v>0</v>
      </c>
      <c r="R799" s="260" t="s">
        <v>239</v>
      </c>
      <c r="S799" s="260" t="s">
        <v>514</v>
      </c>
      <c r="T799" s="260" t="s">
        <v>239</v>
      </c>
      <c r="U799" s="260" t="s">
        <v>514</v>
      </c>
    </row>
    <row r="800" spans="1:21" ht="14.5" x14ac:dyDescent="0.35">
      <c r="A800" s="260" t="s">
        <v>566</v>
      </c>
      <c r="B800" s="190">
        <v>45721</v>
      </c>
      <c r="C800" s="197">
        <v>40000</v>
      </c>
      <c r="D800" s="197">
        <v>0</v>
      </c>
      <c r="E800" s="197">
        <v>0</v>
      </c>
      <c r="F800" s="197">
        <v>0</v>
      </c>
      <c r="G800" s="197">
        <v>40000</v>
      </c>
      <c r="H800" s="197">
        <v>0</v>
      </c>
      <c r="I800" s="197">
        <v>0</v>
      </c>
      <c r="J800" s="197">
        <v>40000</v>
      </c>
      <c r="K800" s="197">
        <v>40000</v>
      </c>
      <c r="L800" s="197">
        <v>0</v>
      </c>
      <c r="M800" s="197">
        <v>0</v>
      </c>
      <c r="N800" s="197">
        <v>0</v>
      </c>
      <c r="O800" s="197">
        <v>0</v>
      </c>
      <c r="P800" s="197">
        <v>0</v>
      </c>
      <c r="Q800" s="197">
        <v>0</v>
      </c>
      <c r="R800" s="260" t="s">
        <v>239</v>
      </c>
      <c r="S800" s="260" t="s">
        <v>514</v>
      </c>
      <c r="T800" s="260" t="s">
        <v>239</v>
      </c>
      <c r="U800" s="260" t="s">
        <v>514</v>
      </c>
    </row>
    <row r="801" spans="1:21" ht="14.5" x14ac:dyDescent="0.35">
      <c r="A801" s="260" t="s">
        <v>566</v>
      </c>
      <c r="B801" s="190">
        <v>45722</v>
      </c>
      <c r="C801" s="197">
        <v>40000</v>
      </c>
      <c r="D801" s="197">
        <v>0</v>
      </c>
      <c r="E801" s="197">
        <v>0</v>
      </c>
      <c r="F801" s="197">
        <v>0</v>
      </c>
      <c r="G801" s="197">
        <v>40000</v>
      </c>
      <c r="H801" s="197">
        <v>0</v>
      </c>
      <c r="I801" s="197">
        <v>0</v>
      </c>
      <c r="J801" s="197">
        <v>40000</v>
      </c>
      <c r="K801" s="197">
        <v>40000</v>
      </c>
      <c r="L801" s="197">
        <v>0</v>
      </c>
      <c r="M801" s="197">
        <v>0</v>
      </c>
      <c r="N801" s="197">
        <v>0</v>
      </c>
      <c r="O801" s="197">
        <v>0</v>
      </c>
      <c r="P801" s="197">
        <v>0</v>
      </c>
      <c r="Q801" s="197">
        <v>0</v>
      </c>
      <c r="R801" s="260" t="s">
        <v>239</v>
      </c>
      <c r="S801" s="260" t="s">
        <v>514</v>
      </c>
      <c r="T801" s="260" t="s">
        <v>239</v>
      </c>
      <c r="U801" s="260" t="s">
        <v>514</v>
      </c>
    </row>
    <row r="802" spans="1:21" ht="14.5" x14ac:dyDescent="0.35">
      <c r="A802" s="260" t="s">
        <v>566</v>
      </c>
      <c r="B802" s="190">
        <v>45723</v>
      </c>
      <c r="C802" s="197">
        <v>40000</v>
      </c>
      <c r="D802" s="197">
        <v>0</v>
      </c>
      <c r="E802" s="197">
        <v>0</v>
      </c>
      <c r="F802" s="197">
        <v>0</v>
      </c>
      <c r="G802" s="197">
        <v>40000</v>
      </c>
      <c r="H802" s="197">
        <v>0</v>
      </c>
      <c r="I802" s="197">
        <v>0</v>
      </c>
      <c r="J802" s="197">
        <v>40000</v>
      </c>
      <c r="K802" s="197">
        <v>40000</v>
      </c>
      <c r="L802" s="197">
        <v>0</v>
      </c>
      <c r="M802" s="197">
        <v>0</v>
      </c>
      <c r="N802" s="197">
        <v>0</v>
      </c>
      <c r="O802" s="197">
        <v>0</v>
      </c>
      <c r="P802" s="197">
        <v>0</v>
      </c>
      <c r="Q802" s="197">
        <v>0</v>
      </c>
      <c r="R802" s="260" t="s">
        <v>239</v>
      </c>
      <c r="S802" s="260" t="s">
        <v>514</v>
      </c>
      <c r="T802" s="260" t="s">
        <v>239</v>
      </c>
      <c r="U802" s="260" t="s">
        <v>514</v>
      </c>
    </row>
    <row r="803" spans="1:21" ht="14.5" x14ac:dyDescent="0.35">
      <c r="A803" s="260" t="s">
        <v>566</v>
      </c>
      <c r="B803" s="190">
        <v>45724</v>
      </c>
      <c r="C803" s="197">
        <v>40000</v>
      </c>
      <c r="D803" s="197">
        <v>0</v>
      </c>
      <c r="E803" s="197">
        <v>0</v>
      </c>
      <c r="F803" s="197">
        <v>0</v>
      </c>
      <c r="G803" s="197">
        <v>40000</v>
      </c>
      <c r="H803" s="197">
        <v>0</v>
      </c>
      <c r="I803" s="197">
        <v>0</v>
      </c>
      <c r="J803" s="197">
        <v>40000</v>
      </c>
      <c r="K803" s="197">
        <v>40000</v>
      </c>
      <c r="L803" s="197">
        <v>0</v>
      </c>
      <c r="M803" s="197">
        <v>0</v>
      </c>
      <c r="N803" s="197">
        <v>0</v>
      </c>
      <c r="O803" s="197">
        <v>0</v>
      </c>
      <c r="P803" s="197">
        <v>0</v>
      </c>
      <c r="Q803" s="197">
        <v>0</v>
      </c>
      <c r="R803" s="260" t="s">
        <v>239</v>
      </c>
      <c r="S803" s="260" t="s">
        <v>514</v>
      </c>
      <c r="T803" s="260" t="s">
        <v>239</v>
      </c>
      <c r="U803" s="260" t="s">
        <v>514</v>
      </c>
    </row>
    <row r="804" spans="1:21" ht="14.5" x14ac:dyDescent="0.35">
      <c r="A804" s="260" t="s">
        <v>566</v>
      </c>
      <c r="B804" s="190">
        <v>45725</v>
      </c>
      <c r="C804" s="197">
        <v>40000</v>
      </c>
      <c r="D804" s="197">
        <v>0</v>
      </c>
      <c r="E804" s="197">
        <v>0</v>
      </c>
      <c r="F804" s="197">
        <v>0</v>
      </c>
      <c r="G804" s="197">
        <v>40000</v>
      </c>
      <c r="H804" s="197">
        <v>0</v>
      </c>
      <c r="I804" s="197">
        <v>0</v>
      </c>
      <c r="J804" s="197">
        <v>40000</v>
      </c>
      <c r="K804" s="197">
        <v>40000</v>
      </c>
      <c r="L804" s="197">
        <v>0</v>
      </c>
      <c r="M804" s="197">
        <v>0</v>
      </c>
      <c r="N804" s="197">
        <v>0</v>
      </c>
      <c r="O804" s="197">
        <v>0</v>
      </c>
      <c r="P804" s="197">
        <v>0</v>
      </c>
      <c r="Q804" s="197">
        <v>0</v>
      </c>
      <c r="R804" s="260" t="s">
        <v>239</v>
      </c>
      <c r="S804" s="260" t="s">
        <v>514</v>
      </c>
      <c r="T804" s="260" t="s">
        <v>239</v>
      </c>
      <c r="U804" s="260" t="s">
        <v>514</v>
      </c>
    </row>
    <row r="805" spans="1:21" ht="14.5" x14ac:dyDescent="0.35">
      <c r="A805" s="260" t="s">
        <v>566</v>
      </c>
      <c r="B805" s="190">
        <v>45726</v>
      </c>
      <c r="C805" s="197">
        <v>40000</v>
      </c>
      <c r="D805" s="197">
        <v>0</v>
      </c>
      <c r="E805" s="197">
        <v>0</v>
      </c>
      <c r="F805" s="197">
        <v>0</v>
      </c>
      <c r="G805" s="197">
        <v>40000</v>
      </c>
      <c r="H805" s="197">
        <v>0</v>
      </c>
      <c r="I805" s="197">
        <v>0</v>
      </c>
      <c r="J805" s="197">
        <v>40000</v>
      </c>
      <c r="K805" s="197">
        <v>40000</v>
      </c>
      <c r="L805" s="197">
        <v>0</v>
      </c>
      <c r="M805" s="197">
        <v>0</v>
      </c>
      <c r="N805" s="197">
        <v>0</v>
      </c>
      <c r="O805" s="197">
        <v>0</v>
      </c>
      <c r="P805" s="197">
        <v>0</v>
      </c>
      <c r="Q805" s="197">
        <v>0</v>
      </c>
      <c r="R805" s="260" t="s">
        <v>239</v>
      </c>
      <c r="S805" s="260" t="s">
        <v>514</v>
      </c>
      <c r="T805" s="260" t="s">
        <v>239</v>
      </c>
      <c r="U805" s="260" t="s">
        <v>514</v>
      </c>
    </row>
    <row r="806" spans="1:21" ht="14.5" x14ac:dyDescent="0.35">
      <c r="A806" s="260" t="s">
        <v>566</v>
      </c>
      <c r="B806" s="190">
        <v>45727</v>
      </c>
      <c r="C806" s="197">
        <v>40000</v>
      </c>
      <c r="D806" s="197">
        <v>0</v>
      </c>
      <c r="E806" s="197">
        <v>0</v>
      </c>
      <c r="F806" s="197">
        <v>0</v>
      </c>
      <c r="G806" s="197">
        <v>40000</v>
      </c>
      <c r="H806" s="197">
        <v>0</v>
      </c>
      <c r="I806" s="197">
        <v>0</v>
      </c>
      <c r="J806" s="197">
        <v>40000</v>
      </c>
      <c r="K806" s="197">
        <v>40000</v>
      </c>
      <c r="L806" s="197">
        <v>0</v>
      </c>
      <c r="M806" s="197">
        <v>0</v>
      </c>
      <c r="N806" s="197">
        <v>0</v>
      </c>
      <c r="O806" s="197">
        <v>0</v>
      </c>
      <c r="P806" s="197">
        <v>0</v>
      </c>
      <c r="Q806" s="197">
        <v>0</v>
      </c>
      <c r="R806" s="260" t="s">
        <v>239</v>
      </c>
      <c r="S806" s="260" t="s">
        <v>514</v>
      </c>
      <c r="T806" s="260" t="s">
        <v>239</v>
      </c>
      <c r="U806" s="260" t="s">
        <v>514</v>
      </c>
    </row>
    <row r="807" spans="1:21" ht="14.5" x14ac:dyDescent="0.35">
      <c r="A807" s="260" t="s">
        <v>566</v>
      </c>
      <c r="B807" s="190">
        <v>45728</v>
      </c>
      <c r="C807" s="197">
        <v>40000</v>
      </c>
      <c r="D807" s="197">
        <v>0</v>
      </c>
      <c r="E807" s="197">
        <v>0</v>
      </c>
      <c r="F807" s="197">
        <v>0</v>
      </c>
      <c r="G807" s="197">
        <v>40000</v>
      </c>
      <c r="H807" s="197">
        <v>0</v>
      </c>
      <c r="I807" s="197">
        <v>0</v>
      </c>
      <c r="J807" s="197">
        <v>40000</v>
      </c>
      <c r="K807" s="197">
        <v>40000</v>
      </c>
      <c r="L807" s="197">
        <v>0</v>
      </c>
      <c r="M807" s="197">
        <v>0</v>
      </c>
      <c r="N807" s="197">
        <v>0</v>
      </c>
      <c r="O807" s="197">
        <v>0</v>
      </c>
      <c r="P807" s="197">
        <v>0</v>
      </c>
      <c r="Q807" s="197">
        <v>0</v>
      </c>
      <c r="R807" s="260" t="s">
        <v>239</v>
      </c>
      <c r="S807" s="260" t="s">
        <v>514</v>
      </c>
      <c r="T807" s="260" t="s">
        <v>239</v>
      </c>
      <c r="U807" s="260" t="s">
        <v>514</v>
      </c>
    </row>
    <row r="808" spans="1:21" ht="14.5" x14ac:dyDescent="0.35">
      <c r="A808" s="260" t="s">
        <v>566</v>
      </c>
      <c r="B808" s="190">
        <v>45729</v>
      </c>
      <c r="C808" s="197">
        <v>40000</v>
      </c>
      <c r="D808" s="197">
        <v>0</v>
      </c>
      <c r="E808" s="197">
        <v>0</v>
      </c>
      <c r="F808" s="197">
        <v>0</v>
      </c>
      <c r="G808" s="197">
        <v>40000</v>
      </c>
      <c r="H808" s="197">
        <v>0</v>
      </c>
      <c r="I808" s="197">
        <v>0</v>
      </c>
      <c r="J808" s="197">
        <v>40000</v>
      </c>
      <c r="K808" s="197">
        <v>40000</v>
      </c>
      <c r="L808" s="197">
        <v>0</v>
      </c>
      <c r="M808" s="197">
        <v>0</v>
      </c>
      <c r="N808" s="197">
        <v>0</v>
      </c>
      <c r="O808" s="197">
        <v>0</v>
      </c>
      <c r="P808" s="197">
        <v>0</v>
      </c>
      <c r="Q808" s="197">
        <v>0</v>
      </c>
      <c r="R808" s="260" t="s">
        <v>239</v>
      </c>
      <c r="S808" s="260" t="s">
        <v>514</v>
      </c>
      <c r="T808" s="260" t="s">
        <v>239</v>
      </c>
      <c r="U808" s="260" t="s">
        <v>514</v>
      </c>
    </row>
    <row r="809" spans="1:21" ht="14.5" x14ac:dyDescent="0.35">
      <c r="A809" s="260" t="s">
        <v>566</v>
      </c>
      <c r="B809" s="190">
        <v>45730</v>
      </c>
      <c r="C809" s="197">
        <v>40000</v>
      </c>
      <c r="D809" s="197">
        <v>0</v>
      </c>
      <c r="E809" s="197">
        <v>0</v>
      </c>
      <c r="F809" s="197">
        <v>0</v>
      </c>
      <c r="G809" s="197">
        <v>40000</v>
      </c>
      <c r="H809" s="197">
        <v>0</v>
      </c>
      <c r="I809" s="197">
        <v>0</v>
      </c>
      <c r="J809" s="197">
        <v>40000</v>
      </c>
      <c r="K809" s="197">
        <v>40000</v>
      </c>
      <c r="L809" s="197">
        <v>0</v>
      </c>
      <c r="M809" s="197">
        <v>0</v>
      </c>
      <c r="N809" s="197">
        <v>0</v>
      </c>
      <c r="O809" s="197">
        <v>0</v>
      </c>
      <c r="P809" s="197">
        <v>0</v>
      </c>
      <c r="Q809" s="197">
        <v>0</v>
      </c>
      <c r="R809" s="260" t="s">
        <v>239</v>
      </c>
      <c r="S809" s="260" t="s">
        <v>514</v>
      </c>
      <c r="T809" s="260" t="s">
        <v>239</v>
      </c>
      <c r="U809" s="260" t="s">
        <v>514</v>
      </c>
    </row>
    <row r="810" spans="1:21" ht="14.5" x14ac:dyDescent="0.35">
      <c r="A810" s="260" t="s">
        <v>566</v>
      </c>
      <c r="B810" s="190">
        <v>45731</v>
      </c>
      <c r="C810" s="197">
        <v>40000</v>
      </c>
      <c r="D810" s="197">
        <v>0</v>
      </c>
      <c r="E810" s="197">
        <v>0</v>
      </c>
      <c r="F810" s="197">
        <v>0</v>
      </c>
      <c r="G810" s="197">
        <v>40000</v>
      </c>
      <c r="H810" s="197">
        <v>0</v>
      </c>
      <c r="I810" s="197">
        <v>0</v>
      </c>
      <c r="J810" s="197">
        <v>40000</v>
      </c>
      <c r="K810" s="197">
        <v>40000</v>
      </c>
      <c r="L810" s="197">
        <v>0</v>
      </c>
      <c r="M810" s="197">
        <v>0</v>
      </c>
      <c r="N810" s="197">
        <v>0</v>
      </c>
      <c r="O810" s="197">
        <v>0</v>
      </c>
      <c r="P810" s="197">
        <v>0</v>
      </c>
      <c r="Q810" s="197">
        <v>0</v>
      </c>
      <c r="R810" s="260" t="s">
        <v>239</v>
      </c>
      <c r="S810" s="260" t="s">
        <v>514</v>
      </c>
      <c r="T810" s="260" t="s">
        <v>239</v>
      </c>
      <c r="U810" s="260" t="s">
        <v>514</v>
      </c>
    </row>
    <row r="811" spans="1:21" ht="14.5" x14ac:dyDescent="0.35">
      <c r="A811" s="260" t="s">
        <v>566</v>
      </c>
      <c r="B811" s="190">
        <v>45732</v>
      </c>
      <c r="C811" s="197">
        <v>40000</v>
      </c>
      <c r="D811" s="197">
        <v>0</v>
      </c>
      <c r="E811" s="197">
        <v>0</v>
      </c>
      <c r="F811" s="197">
        <v>0</v>
      </c>
      <c r="G811" s="197">
        <v>40000</v>
      </c>
      <c r="H811" s="197">
        <v>0</v>
      </c>
      <c r="I811" s="197">
        <v>0</v>
      </c>
      <c r="J811" s="197">
        <v>40000</v>
      </c>
      <c r="K811" s="197">
        <v>40000</v>
      </c>
      <c r="L811" s="197">
        <v>0</v>
      </c>
      <c r="M811" s="197">
        <v>0</v>
      </c>
      <c r="N811" s="197">
        <v>0</v>
      </c>
      <c r="O811" s="197">
        <v>0</v>
      </c>
      <c r="P811" s="197">
        <v>0</v>
      </c>
      <c r="Q811" s="197">
        <v>0</v>
      </c>
      <c r="R811" s="260" t="s">
        <v>239</v>
      </c>
      <c r="S811" s="260" t="s">
        <v>514</v>
      </c>
      <c r="T811" s="260" t="s">
        <v>239</v>
      </c>
      <c r="U811" s="260" t="s">
        <v>514</v>
      </c>
    </row>
    <row r="812" spans="1:21" ht="14.5" x14ac:dyDescent="0.35">
      <c r="A812" s="260" t="s">
        <v>566</v>
      </c>
      <c r="B812" s="190">
        <v>45733</v>
      </c>
      <c r="C812" s="197">
        <v>40000</v>
      </c>
      <c r="D812" s="197">
        <v>0</v>
      </c>
      <c r="E812" s="197">
        <v>0</v>
      </c>
      <c r="F812" s="197">
        <v>0</v>
      </c>
      <c r="G812" s="197">
        <v>40000</v>
      </c>
      <c r="H812" s="197">
        <v>0</v>
      </c>
      <c r="I812" s="197">
        <v>0</v>
      </c>
      <c r="J812" s="197">
        <v>40000</v>
      </c>
      <c r="K812" s="197">
        <v>40000</v>
      </c>
      <c r="L812" s="197">
        <v>0</v>
      </c>
      <c r="M812" s="197">
        <v>0</v>
      </c>
      <c r="N812" s="197">
        <v>0</v>
      </c>
      <c r="O812" s="197">
        <v>0</v>
      </c>
      <c r="P812" s="197">
        <v>0</v>
      </c>
      <c r="Q812" s="197">
        <v>0</v>
      </c>
      <c r="R812" s="260" t="s">
        <v>239</v>
      </c>
      <c r="S812" s="260" t="s">
        <v>514</v>
      </c>
      <c r="T812" s="260" t="s">
        <v>239</v>
      </c>
      <c r="U812" s="260" t="s">
        <v>514</v>
      </c>
    </row>
    <row r="813" spans="1:21" ht="14.5" x14ac:dyDescent="0.35">
      <c r="A813" s="260" t="s">
        <v>566</v>
      </c>
      <c r="B813" s="190">
        <v>45734</v>
      </c>
      <c r="C813" s="197">
        <v>40000</v>
      </c>
      <c r="D813" s="197">
        <v>0</v>
      </c>
      <c r="E813" s="197">
        <v>0</v>
      </c>
      <c r="F813" s="197">
        <v>0</v>
      </c>
      <c r="G813" s="197">
        <v>40000</v>
      </c>
      <c r="H813" s="197">
        <v>0</v>
      </c>
      <c r="I813" s="197">
        <v>0</v>
      </c>
      <c r="J813" s="197">
        <v>40000</v>
      </c>
      <c r="K813" s="197">
        <v>40000</v>
      </c>
      <c r="L813" s="197">
        <v>0</v>
      </c>
      <c r="M813" s="197">
        <v>0</v>
      </c>
      <c r="N813" s="197">
        <v>0</v>
      </c>
      <c r="O813" s="197">
        <v>0</v>
      </c>
      <c r="P813" s="197">
        <v>0</v>
      </c>
      <c r="Q813" s="197">
        <v>0</v>
      </c>
      <c r="R813" s="260" t="s">
        <v>239</v>
      </c>
      <c r="S813" s="260" t="s">
        <v>514</v>
      </c>
      <c r="T813" s="260" t="s">
        <v>239</v>
      </c>
      <c r="U813" s="260" t="s">
        <v>514</v>
      </c>
    </row>
    <row r="814" spans="1:21" ht="14.5" x14ac:dyDescent="0.35">
      <c r="A814" s="260" t="s">
        <v>566</v>
      </c>
      <c r="B814" s="190">
        <v>45735</v>
      </c>
      <c r="C814" s="197">
        <v>40000</v>
      </c>
      <c r="D814" s="197">
        <v>0</v>
      </c>
      <c r="E814" s="197">
        <v>0</v>
      </c>
      <c r="F814" s="197">
        <v>0</v>
      </c>
      <c r="G814" s="197">
        <v>40000</v>
      </c>
      <c r="H814" s="197">
        <v>0</v>
      </c>
      <c r="I814" s="197">
        <v>0</v>
      </c>
      <c r="J814" s="197">
        <v>40000</v>
      </c>
      <c r="K814" s="197">
        <v>40000</v>
      </c>
      <c r="L814" s="197">
        <v>0</v>
      </c>
      <c r="M814" s="197">
        <v>0</v>
      </c>
      <c r="N814" s="197">
        <v>0</v>
      </c>
      <c r="O814" s="197">
        <v>0</v>
      </c>
      <c r="P814" s="197">
        <v>0</v>
      </c>
      <c r="Q814" s="197">
        <v>0</v>
      </c>
      <c r="R814" s="260" t="s">
        <v>239</v>
      </c>
      <c r="S814" s="260" t="s">
        <v>514</v>
      </c>
      <c r="T814" s="260" t="s">
        <v>239</v>
      </c>
      <c r="U814" s="260" t="s">
        <v>514</v>
      </c>
    </row>
    <row r="815" spans="1:21" ht="14.5" x14ac:dyDescent="0.35">
      <c r="A815" s="260" t="s">
        <v>566</v>
      </c>
      <c r="B815" s="190">
        <v>45736</v>
      </c>
      <c r="C815" s="197">
        <v>40000</v>
      </c>
      <c r="D815" s="197">
        <v>0</v>
      </c>
      <c r="E815" s="197">
        <v>0</v>
      </c>
      <c r="F815" s="197">
        <v>0</v>
      </c>
      <c r="G815" s="197">
        <v>40000</v>
      </c>
      <c r="H815" s="197">
        <v>0</v>
      </c>
      <c r="I815" s="197">
        <v>0</v>
      </c>
      <c r="J815" s="197">
        <v>40000</v>
      </c>
      <c r="K815" s="197">
        <v>40000</v>
      </c>
      <c r="L815" s="197">
        <v>0</v>
      </c>
      <c r="M815" s="197">
        <v>0</v>
      </c>
      <c r="N815" s="197">
        <v>0</v>
      </c>
      <c r="O815" s="197">
        <v>0</v>
      </c>
      <c r="P815" s="197">
        <v>0</v>
      </c>
      <c r="Q815" s="197">
        <v>0</v>
      </c>
      <c r="R815" s="260" t="s">
        <v>239</v>
      </c>
      <c r="S815" s="260" t="s">
        <v>514</v>
      </c>
      <c r="T815" s="260" t="s">
        <v>239</v>
      </c>
      <c r="U815" s="260" t="s">
        <v>514</v>
      </c>
    </row>
    <row r="816" spans="1:21" ht="14.5" x14ac:dyDescent="0.35">
      <c r="A816" s="260" t="s">
        <v>566</v>
      </c>
      <c r="B816" s="190">
        <v>45737</v>
      </c>
      <c r="C816" s="197">
        <v>40000</v>
      </c>
      <c r="D816" s="197">
        <v>0</v>
      </c>
      <c r="E816" s="197">
        <v>0</v>
      </c>
      <c r="F816" s="197">
        <v>0</v>
      </c>
      <c r="G816" s="197">
        <v>40000</v>
      </c>
      <c r="H816" s="197">
        <v>0</v>
      </c>
      <c r="I816" s="197">
        <v>0</v>
      </c>
      <c r="J816" s="197">
        <v>40000</v>
      </c>
      <c r="K816" s="197">
        <v>40000</v>
      </c>
      <c r="L816" s="197">
        <v>0</v>
      </c>
      <c r="M816" s="197">
        <v>0</v>
      </c>
      <c r="N816" s="197">
        <v>0</v>
      </c>
      <c r="O816" s="197">
        <v>0</v>
      </c>
      <c r="P816" s="197">
        <v>0</v>
      </c>
      <c r="Q816" s="197">
        <v>0</v>
      </c>
      <c r="R816" s="260" t="s">
        <v>239</v>
      </c>
      <c r="S816" s="260" t="s">
        <v>514</v>
      </c>
      <c r="T816" s="260" t="s">
        <v>239</v>
      </c>
      <c r="U816" s="260" t="s">
        <v>514</v>
      </c>
    </row>
    <row r="817" spans="1:21" ht="14.5" x14ac:dyDescent="0.35">
      <c r="A817" s="260" t="s">
        <v>566</v>
      </c>
      <c r="B817" s="190">
        <v>45738</v>
      </c>
      <c r="C817" s="197">
        <v>40000</v>
      </c>
      <c r="D817" s="197">
        <v>0</v>
      </c>
      <c r="E817" s="197">
        <v>0</v>
      </c>
      <c r="F817" s="197">
        <v>0</v>
      </c>
      <c r="G817" s="197">
        <v>40000</v>
      </c>
      <c r="H817" s="197">
        <v>0</v>
      </c>
      <c r="I817" s="197">
        <v>0</v>
      </c>
      <c r="J817" s="197">
        <v>40000</v>
      </c>
      <c r="K817" s="197">
        <v>40000</v>
      </c>
      <c r="L817" s="197">
        <v>0</v>
      </c>
      <c r="M817" s="197">
        <v>0</v>
      </c>
      <c r="N817" s="197">
        <v>0</v>
      </c>
      <c r="O817" s="197">
        <v>0</v>
      </c>
      <c r="P817" s="197">
        <v>0</v>
      </c>
      <c r="Q817" s="197">
        <v>0</v>
      </c>
      <c r="R817" s="260" t="s">
        <v>239</v>
      </c>
      <c r="S817" s="260" t="s">
        <v>514</v>
      </c>
      <c r="T817" s="260" t="s">
        <v>239</v>
      </c>
      <c r="U817" s="260" t="s">
        <v>514</v>
      </c>
    </row>
    <row r="818" spans="1:21" ht="14.5" x14ac:dyDescent="0.35">
      <c r="A818" s="260" t="s">
        <v>566</v>
      </c>
      <c r="B818" s="190">
        <v>45739</v>
      </c>
      <c r="C818" s="197">
        <v>40000</v>
      </c>
      <c r="D818" s="197">
        <v>0</v>
      </c>
      <c r="E818" s="197">
        <v>0</v>
      </c>
      <c r="F818" s="197">
        <v>0</v>
      </c>
      <c r="G818" s="197">
        <v>40000</v>
      </c>
      <c r="H818" s="197">
        <v>0</v>
      </c>
      <c r="I818" s="197">
        <v>0</v>
      </c>
      <c r="J818" s="197">
        <v>40000</v>
      </c>
      <c r="K818" s="197">
        <v>40000</v>
      </c>
      <c r="L818" s="197">
        <v>0</v>
      </c>
      <c r="M818" s="197">
        <v>0</v>
      </c>
      <c r="N818" s="197">
        <v>0</v>
      </c>
      <c r="O818" s="197">
        <v>0</v>
      </c>
      <c r="P818" s="197">
        <v>0</v>
      </c>
      <c r="Q818" s="197">
        <v>0</v>
      </c>
      <c r="R818" s="260" t="s">
        <v>239</v>
      </c>
      <c r="S818" s="260" t="s">
        <v>514</v>
      </c>
      <c r="T818" s="260" t="s">
        <v>239</v>
      </c>
      <c r="U818" s="260" t="s">
        <v>514</v>
      </c>
    </row>
    <row r="819" spans="1:21" ht="14.5" x14ac:dyDescent="0.35">
      <c r="A819" s="260" t="s">
        <v>566</v>
      </c>
      <c r="B819" s="190">
        <v>45740</v>
      </c>
      <c r="C819" s="197">
        <v>40000</v>
      </c>
      <c r="D819" s="197">
        <v>0</v>
      </c>
      <c r="E819" s="197">
        <v>0</v>
      </c>
      <c r="F819" s="197">
        <v>0</v>
      </c>
      <c r="G819" s="197">
        <v>40000</v>
      </c>
      <c r="H819" s="197">
        <v>0</v>
      </c>
      <c r="I819" s="197">
        <v>0</v>
      </c>
      <c r="J819" s="197">
        <v>40000</v>
      </c>
      <c r="K819" s="197">
        <v>40000</v>
      </c>
      <c r="L819" s="197">
        <v>0</v>
      </c>
      <c r="M819" s="197">
        <v>0</v>
      </c>
      <c r="N819" s="197">
        <v>0</v>
      </c>
      <c r="O819" s="197">
        <v>0</v>
      </c>
      <c r="P819" s="197">
        <v>0</v>
      </c>
      <c r="Q819" s="197">
        <v>0</v>
      </c>
      <c r="R819" s="260" t="s">
        <v>239</v>
      </c>
      <c r="S819" s="260" t="s">
        <v>514</v>
      </c>
      <c r="T819" s="260" t="s">
        <v>239</v>
      </c>
      <c r="U819" s="260" t="s">
        <v>514</v>
      </c>
    </row>
    <row r="820" spans="1:21" ht="14.5" x14ac:dyDescent="0.35">
      <c r="A820" s="260" t="s">
        <v>566</v>
      </c>
      <c r="B820" s="190">
        <v>45741</v>
      </c>
      <c r="C820" s="197">
        <v>40000</v>
      </c>
      <c r="D820" s="197">
        <v>0</v>
      </c>
      <c r="E820" s="197">
        <v>0</v>
      </c>
      <c r="F820" s="197">
        <v>0</v>
      </c>
      <c r="G820" s="197">
        <v>40000</v>
      </c>
      <c r="H820" s="197">
        <v>0</v>
      </c>
      <c r="I820" s="197">
        <v>0</v>
      </c>
      <c r="J820" s="197">
        <v>40000</v>
      </c>
      <c r="K820" s="197">
        <v>40000</v>
      </c>
      <c r="L820" s="197">
        <v>0</v>
      </c>
      <c r="M820" s="197">
        <v>0</v>
      </c>
      <c r="N820" s="197">
        <v>0</v>
      </c>
      <c r="O820" s="197">
        <v>0</v>
      </c>
      <c r="P820" s="197">
        <v>0</v>
      </c>
      <c r="Q820" s="197">
        <v>0</v>
      </c>
      <c r="R820" s="260" t="s">
        <v>239</v>
      </c>
      <c r="S820" s="260" t="s">
        <v>514</v>
      </c>
      <c r="T820" s="260" t="s">
        <v>239</v>
      </c>
      <c r="U820" s="260" t="s">
        <v>514</v>
      </c>
    </row>
    <row r="821" spans="1:21" ht="14.5" x14ac:dyDescent="0.35">
      <c r="A821" s="260" t="s">
        <v>566</v>
      </c>
      <c r="B821" s="190">
        <v>45742</v>
      </c>
      <c r="C821" s="197">
        <v>40000</v>
      </c>
      <c r="D821" s="197">
        <v>0</v>
      </c>
      <c r="E821" s="197">
        <v>0</v>
      </c>
      <c r="F821" s="197">
        <v>0</v>
      </c>
      <c r="G821" s="197">
        <v>40000</v>
      </c>
      <c r="H821" s="197">
        <v>0</v>
      </c>
      <c r="I821" s="197">
        <v>0</v>
      </c>
      <c r="J821" s="197">
        <v>40000</v>
      </c>
      <c r="K821" s="197">
        <v>40000</v>
      </c>
      <c r="L821" s="197">
        <v>0</v>
      </c>
      <c r="M821" s="197">
        <v>0</v>
      </c>
      <c r="N821" s="197">
        <v>0</v>
      </c>
      <c r="O821" s="197">
        <v>0</v>
      </c>
      <c r="P821" s="197">
        <v>0</v>
      </c>
      <c r="Q821" s="197">
        <v>0</v>
      </c>
      <c r="R821" s="260" t="s">
        <v>239</v>
      </c>
      <c r="S821" s="260" t="s">
        <v>514</v>
      </c>
      <c r="T821" s="260" t="s">
        <v>239</v>
      </c>
      <c r="U821" s="260" t="s">
        <v>514</v>
      </c>
    </row>
    <row r="822" spans="1:21" ht="14.5" x14ac:dyDescent="0.35">
      <c r="A822" s="260" t="s">
        <v>566</v>
      </c>
      <c r="B822" s="190">
        <v>45743</v>
      </c>
      <c r="C822" s="197">
        <v>40000</v>
      </c>
      <c r="D822" s="197">
        <v>0</v>
      </c>
      <c r="E822" s="197">
        <v>0</v>
      </c>
      <c r="F822" s="197">
        <v>0</v>
      </c>
      <c r="G822" s="197">
        <v>40000</v>
      </c>
      <c r="H822" s="197">
        <v>0</v>
      </c>
      <c r="I822" s="197">
        <v>0</v>
      </c>
      <c r="J822" s="197">
        <v>40000</v>
      </c>
      <c r="K822" s="197">
        <v>40000</v>
      </c>
      <c r="L822" s="197">
        <v>0</v>
      </c>
      <c r="M822" s="197">
        <v>0</v>
      </c>
      <c r="N822" s="197">
        <v>0</v>
      </c>
      <c r="O822" s="197">
        <v>0</v>
      </c>
      <c r="P822" s="197">
        <v>0</v>
      </c>
      <c r="Q822" s="197">
        <v>0</v>
      </c>
      <c r="R822" s="260" t="s">
        <v>239</v>
      </c>
      <c r="S822" s="260" t="s">
        <v>514</v>
      </c>
      <c r="T822" s="260" t="s">
        <v>239</v>
      </c>
      <c r="U822" s="260" t="s">
        <v>514</v>
      </c>
    </row>
    <row r="823" spans="1:21" ht="14.5" x14ac:dyDescent="0.35">
      <c r="A823" s="260" t="s">
        <v>566</v>
      </c>
      <c r="B823" s="190">
        <v>45744</v>
      </c>
      <c r="C823" s="197">
        <v>40000</v>
      </c>
      <c r="D823" s="197">
        <v>0</v>
      </c>
      <c r="E823" s="197">
        <v>0</v>
      </c>
      <c r="F823" s="197">
        <v>0</v>
      </c>
      <c r="G823" s="197">
        <v>40000</v>
      </c>
      <c r="H823" s="197">
        <v>0</v>
      </c>
      <c r="I823" s="197">
        <v>0</v>
      </c>
      <c r="J823" s="197">
        <v>40000</v>
      </c>
      <c r="K823" s="197">
        <v>40000</v>
      </c>
      <c r="L823" s="197">
        <v>0</v>
      </c>
      <c r="M823" s="197">
        <v>0</v>
      </c>
      <c r="N823" s="197">
        <v>0</v>
      </c>
      <c r="O823" s="197">
        <v>0</v>
      </c>
      <c r="P823" s="197">
        <v>0</v>
      </c>
      <c r="Q823" s="197">
        <v>0</v>
      </c>
      <c r="R823" s="260" t="s">
        <v>239</v>
      </c>
      <c r="S823" s="260" t="s">
        <v>514</v>
      </c>
      <c r="T823" s="260" t="s">
        <v>239</v>
      </c>
      <c r="U823" s="260" t="s">
        <v>514</v>
      </c>
    </row>
    <row r="824" spans="1:21" ht="14.5" x14ac:dyDescent="0.35">
      <c r="A824" s="260" t="s">
        <v>566</v>
      </c>
      <c r="B824" s="190">
        <v>45745</v>
      </c>
      <c r="C824" s="197">
        <v>40000</v>
      </c>
      <c r="D824" s="197">
        <v>0</v>
      </c>
      <c r="E824" s="197">
        <v>0</v>
      </c>
      <c r="F824" s="197">
        <v>0</v>
      </c>
      <c r="G824" s="197">
        <v>40000</v>
      </c>
      <c r="H824" s="197">
        <v>0</v>
      </c>
      <c r="I824" s="197">
        <v>0</v>
      </c>
      <c r="J824" s="197">
        <v>40000</v>
      </c>
      <c r="K824" s="197">
        <v>40000</v>
      </c>
      <c r="L824" s="197">
        <v>0</v>
      </c>
      <c r="M824" s="197">
        <v>0</v>
      </c>
      <c r="N824" s="197">
        <v>0</v>
      </c>
      <c r="O824" s="197">
        <v>0</v>
      </c>
      <c r="P824" s="197">
        <v>0</v>
      </c>
      <c r="Q824" s="197">
        <v>0</v>
      </c>
      <c r="R824" s="260" t="s">
        <v>239</v>
      </c>
      <c r="S824" s="260" t="s">
        <v>514</v>
      </c>
      <c r="T824" s="260" t="s">
        <v>239</v>
      </c>
      <c r="U824" s="260" t="s">
        <v>514</v>
      </c>
    </row>
    <row r="825" spans="1:21" ht="14.5" x14ac:dyDescent="0.35">
      <c r="A825" s="260" t="s">
        <v>566</v>
      </c>
      <c r="B825" s="190">
        <v>45746</v>
      </c>
      <c r="C825" s="197">
        <v>40000</v>
      </c>
      <c r="D825" s="197">
        <v>0</v>
      </c>
      <c r="E825" s="197">
        <v>0</v>
      </c>
      <c r="F825" s="197">
        <v>0</v>
      </c>
      <c r="G825" s="197">
        <v>40000</v>
      </c>
      <c r="H825" s="197">
        <v>0</v>
      </c>
      <c r="I825" s="197">
        <v>0</v>
      </c>
      <c r="J825" s="197">
        <v>40000</v>
      </c>
      <c r="K825" s="197">
        <v>40000</v>
      </c>
      <c r="L825" s="197">
        <v>0</v>
      </c>
      <c r="M825" s="197">
        <v>0</v>
      </c>
      <c r="N825" s="197">
        <v>0</v>
      </c>
      <c r="O825" s="197">
        <v>0</v>
      </c>
      <c r="P825" s="197">
        <v>0</v>
      </c>
      <c r="Q825" s="197">
        <v>0</v>
      </c>
      <c r="R825" s="260" t="s">
        <v>239</v>
      </c>
      <c r="S825" s="260" t="s">
        <v>514</v>
      </c>
      <c r="T825" s="260" t="s">
        <v>239</v>
      </c>
      <c r="U825" s="260" t="s">
        <v>514</v>
      </c>
    </row>
    <row r="826" spans="1:21" ht="14.5" x14ac:dyDescent="0.35">
      <c r="A826" s="260" t="s">
        <v>566</v>
      </c>
      <c r="B826" s="190">
        <v>45747</v>
      </c>
      <c r="C826" s="197">
        <v>40000</v>
      </c>
      <c r="D826" s="197">
        <v>0</v>
      </c>
      <c r="E826" s="197">
        <v>0</v>
      </c>
      <c r="F826" s="197">
        <v>0</v>
      </c>
      <c r="G826" s="197">
        <v>40000</v>
      </c>
      <c r="H826" s="197">
        <v>0</v>
      </c>
      <c r="I826" s="197">
        <v>0</v>
      </c>
      <c r="J826" s="197">
        <v>40000</v>
      </c>
      <c r="K826" s="197">
        <v>40000</v>
      </c>
      <c r="L826" s="197">
        <v>0</v>
      </c>
      <c r="M826" s="197">
        <v>0</v>
      </c>
      <c r="N826" s="197">
        <v>0</v>
      </c>
      <c r="O826" s="197">
        <v>0</v>
      </c>
      <c r="P826" s="197">
        <v>0</v>
      </c>
      <c r="Q826" s="197">
        <v>0</v>
      </c>
      <c r="R826" s="260" t="s">
        <v>239</v>
      </c>
      <c r="S826" s="260" t="s">
        <v>514</v>
      </c>
      <c r="T826" s="260" t="s">
        <v>239</v>
      </c>
      <c r="U826" s="260" t="s">
        <v>514</v>
      </c>
    </row>
    <row r="827" spans="1:21" ht="14.5" x14ac:dyDescent="0.35">
      <c r="A827" s="260" t="s">
        <v>566</v>
      </c>
      <c r="B827" s="190">
        <v>45748</v>
      </c>
      <c r="C827" s="197">
        <v>40000</v>
      </c>
      <c r="D827" s="197">
        <v>0</v>
      </c>
      <c r="E827" s="197">
        <v>2000</v>
      </c>
      <c r="F827" s="197">
        <v>2000</v>
      </c>
      <c r="G827" s="197">
        <v>42000</v>
      </c>
      <c r="H827" s="197">
        <v>0</v>
      </c>
      <c r="I827" s="197">
        <v>0</v>
      </c>
      <c r="J827" s="197">
        <v>42000</v>
      </c>
      <c r="K827" s="197">
        <v>42000</v>
      </c>
      <c r="L827" s="197">
        <v>0</v>
      </c>
      <c r="M827" s="197">
        <v>0</v>
      </c>
      <c r="N827" s="197">
        <v>0</v>
      </c>
      <c r="O827" s="197">
        <v>0</v>
      </c>
      <c r="P827" s="197">
        <v>0</v>
      </c>
      <c r="Q827" s="197">
        <v>0</v>
      </c>
      <c r="R827" s="260" t="s">
        <v>239</v>
      </c>
      <c r="S827" s="260" t="s">
        <v>514</v>
      </c>
      <c r="T827" s="260" t="s">
        <v>239</v>
      </c>
      <c r="U827" s="260" t="s">
        <v>514</v>
      </c>
    </row>
    <row r="828" spans="1:21" ht="14.5" x14ac:dyDescent="0.35">
      <c r="A828" s="260" t="s">
        <v>566</v>
      </c>
      <c r="B828" s="190">
        <v>45749</v>
      </c>
      <c r="C828" s="197">
        <v>42000</v>
      </c>
      <c r="D828" s="197">
        <v>0</v>
      </c>
      <c r="E828" s="197">
        <v>0</v>
      </c>
      <c r="F828" s="197">
        <v>0</v>
      </c>
      <c r="G828" s="197">
        <v>42000</v>
      </c>
      <c r="H828" s="197">
        <v>0</v>
      </c>
      <c r="I828" s="197">
        <v>0</v>
      </c>
      <c r="J828" s="197">
        <v>42000</v>
      </c>
      <c r="K828" s="197">
        <v>42000</v>
      </c>
      <c r="L828" s="197">
        <v>0</v>
      </c>
      <c r="M828" s="197">
        <v>0</v>
      </c>
      <c r="N828" s="197">
        <v>0</v>
      </c>
      <c r="O828" s="197">
        <v>0</v>
      </c>
      <c r="P828" s="197">
        <v>0</v>
      </c>
      <c r="Q828" s="197">
        <v>0</v>
      </c>
      <c r="R828" s="260" t="s">
        <v>239</v>
      </c>
      <c r="S828" s="260" t="s">
        <v>514</v>
      </c>
      <c r="T828" s="260" t="s">
        <v>239</v>
      </c>
      <c r="U828" s="260" t="s">
        <v>514</v>
      </c>
    </row>
    <row r="829" spans="1:21" ht="14.5" x14ac:dyDescent="0.35">
      <c r="A829" s="260" t="s">
        <v>566</v>
      </c>
      <c r="B829" s="190">
        <v>45750</v>
      </c>
      <c r="C829" s="197">
        <v>42000</v>
      </c>
      <c r="D829" s="197">
        <v>0</v>
      </c>
      <c r="E829" s="197">
        <v>0</v>
      </c>
      <c r="F829" s="197">
        <v>0</v>
      </c>
      <c r="G829" s="197">
        <v>42000</v>
      </c>
      <c r="H829" s="197">
        <v>0</v>
      </c>
      <c r="I829" s="197">
        <v>0</v>
      </c>
      <c r="J829" s="197">
        <v>42000</v>
      </c>
      <c r="K829" s="197">
        <v>42000</v>
      </c>
      <c r="L829" s="197">
        <v>0</v>
      </c>
      <c r="M829" s="197">
        <v>0</v>
      </c>
      <c r="N829" s="197">
        <v>0</v>
      </c>
      <c r="O829" s="197">
        <v>0</v>
      </c>
      <c r="P829" s="197">
        <v>0</v>
      </c>
      <c r="Q829" s="197">
        <v>0</v>
      </c>
      <c r="R829" s="260" t="s">
        <v>239</v>
      </c>
      <c r="S829" s="260" t="s">
        <v>514</v>
      </c>
      <c r="T829" s="260" t="s">
        <v>239</v>
      </c>
      <c r="U829" s="260" t="s">
        <v>514</v>
      </c>
    </row>
    <row r="830" spans="1:21" ht="14.5" x14ac:dyDescent="0.35">
      <c r="A830" s="260" t="s">
        <v>566</v>
      </c>
      <c r="B830" s="190">
        <v>45751</v>
      </c>
      <c r="C830" s="197">
        <v>42000</v>
      </c>
      <c r="D830" s="197">
        <v>0</v>
      </c>
      <c r="E830" s="197">
        <v>0</v>
      </c>
      <c r="F830" s="197">
        <v>0</v>
      </c>
      <c r="G830" s="197">
        <v>42000</v>
      </c>
      <c r="H830" s="197">
        <v>0</v>
      </c>
      <c r="I830" s="197">
        <v>0</v>
      </c>
      <c r="J830" s="197">
        <v>42000</v>
      </c>
      <c r="K830" s="197">
        <v>42000</v>
      </c>
      <c r="L830" s="197">
        <v>0</v>
      </c>
      <c r="M830" s="197">
        <v>0</v>
      </c>
      <c r="N830" s="197">
        <v>0</v>
      </c>
      <c r="O830" s="197">
        <v>0</v>
      </c>
      <c r="P830" s="197">
        <v>0</v>
      </c>
      <c r="Q830" s="197">
        <v>0</v>
      </c>
      <c r="R830" s="260" t="s">
        <v>239</v>
      </c>
      <c r="S830" s="260" t="s">
        <v>514</v>
      </c>
      <c r="T830" s="260" t="s">
        <v>239</v>
      </c>
      <c r="U830" s="260" t="s">
        <v>514</v>
      </c>
    </row>
    <row r="831" spans="1:21" ht="14.5" x14ac:dyDescent="0.35">
      <c r="A831" s="260" t="s">
        <v>566</v>
      </c>
      <c r="B831" s="190">
        <v>45752</v>
      </c>
      <c r="C831" s="197">
        <v>42000</v>
      </c>
      <c r="D831" s="197">
        <v>0</v>
      </c>
      <c r="E831" s="197">
        <v>0</v>
      </c>
      <c r="F831" s="197">
        <v>0</v>
      </c>
      <c r="G831" s="197">
        <v>42000</v>
      </c>
      <c r="H831" s="197">
        <v>0</v>
      </c>
      <c r="I831" s="197">
        <v>0</v>
      </c>
      <c r="J831" s="197">
        <v>42000</v>
      </c>
      <c r="K831" s="197">
        <v>42000</v>
      </c>
      <c r="L831" s="197">
        <v>0</v>
      </c>
      <c r="M831" s="197">
        <v>0</v>
      </c>
      <c r="N831" s="197">
        <v>0</v>
      </c>
      <c r="O831" s="197">
        <v>0</v>
      </c>
      <c r="P831" s="197">
        <v>0</v>
      </c>
      <c r="Q831" s="197">
        <v>0</v>
      </c>
      <c r="R831" s="260" t="s">
        <v>239</v>
      </c>
      <c r="S831" s="260" t="s">
        <v>514</v>
      </c>
      <c r="T831" s="260" t="s">
        <v>239</v>
      </c>
      <c r="U831" s="260" t="s">
        <v>514</v>
      </c>
    </row>
    <row r="832" spans="1:21" ht="14.5" x14ac:dyDescent="0.35">
      <c r="A832" s="260" t="s">
        <v>566</v>
      </c>
      <c r="B832" s="190">
        <v>45753</v>
      </c>
      <c r="C832" s="197">
        <v>42000</v>
      </c>
      <c r="D832" s="197">
        <v>0</v>
      </c>
      <c r="E832" s="197">
        <v>0</v>
      </c>
      <c r="F832" s="197">
        <v>0</v>
      </c>
      <c r="G832" s="197">
        <v>42000</v>
      </c>
      <c r="H832" s="197">
        <v>0</v>
      </c>
      <c r="I832" s="197">
        <v>0</v>
      </c>
      <c r="J832" s="197">
        <v>42000</v>
      </c>
      <c r="K832" s="197">
        <v>42000</v>
      </c>
      <c r="L832" s="197">
        <v>0</v>
      </c>
      <c r="M832" s="197">
        <v>0</v>
      </c>
      <c r="N832" s="197">
        <v>0</v>
      </c>
      <c r="O832" s="197">
        <v>0</v>
      </c>
      <c r="P832" s="197">
        <v>0</v>
      </c>
      <c r="Q832" s="197">
        <v>0</v>
      </c>
      <c r="R832" s="260" t="s">
        <v>239</v>
      </c>
      <c r="S832" s="260" t="s">
        <v>514</v>
      </c>
      <c r="T832" s="260" t="s">
        <v>239</v>
      </c>
      <c r="U832" s="260" t="s">
        <v>514</v>
      </c>
    </row>
    <row r="833" spans="1:21" ht="14.5" x14ac:dyDescent="0.35">
      <c r="A833" s="260" t="s">
        <v>566</v>
      </c>
      <c r="B833" s="190">
        <v>45754</v>
      </c>
      <c r="C833" s="197">
        <v>42000</v>
      </c>
      <c r="D833" s="197">
        <v>0</v>
      </c>
      <c r="E833" s="197">
        <v>0</v>
      </c>
      <c r="F833" s="197">
        <v>0</v>
      </c>
      <c r="G833" s="197">
        <v>42000</v>
      </c>
      <c r="H833" s="197">
        <v>0</v>
      </c>
      <c r="I833" s="197">
        <v>0</v>
      </c>
      <c r="J833" s="197">
        <v>42000</v>
      </c>
      <c r="K833" s="197">
        <v>42000</v>
      </c>
      <c r="L833" s="197">
        <v>0</v>
      </c>
      <c r="M833" s="197">
        <v>0</v>
      </c>
      <c r="N833" s="197">
        <v>0</v>
      </c>
      <c r="O833" s="197">
        <v>0</v>
      </c>
      <c r="P833" s="197">
        <v>0</v>
      </c>
      <c r="Q833" s="197">
        <v>0</v>
      </c>
      <c r="R833" s="260" t="s">
        <v>239</v>
      </c>
      <c r="S833" s="260" t="s">
        <v>514</v>
      </c>
      <c r="T833" s="260" t="s">
        <v>239</v>
      </c>
      <c r="U833" s="260" t="s">
        <v>514</v>
      </c>
    </row>
    <row r="834" spans="1:21" ht="14.5" x14ac:dyDescent="0.35">
      <c r="A834" s="260" t="s">
        <v>566</v>
      </c>
      <c r="B834" s="190">
        <v>45755</v>
      </c>
      <c r="C834" s="197">
        <v>42000</v>
      </c>
      <c r="D834" s="197">
        <v>0</v>
      </c>
      <c r="E834" s="197">
        <v>0</v>
      </c>
      <c r="F834" s="197">
        <v>0</v>
      </c>
      <c r="G834" s="197">
        <v>42000</v>
      </c>
      <c r="H834" s="197">
        <v>0</v>
      </c>
      <c r="I834" s="197">
        <v>0</v>
      </c>
      <c r="J834" s="197">
        <v>42000</v>
      </c>
      <c r="K834" s="197">
        <v>42000</v>
      </c>
      <c r="L834" s="197">
        <v>0</v>
      </c>
      <c r="M834" s="197">
        <v>0</v>
      </c>
      <c r="N834" s="197">
        <v>0</v>
      </c>
      <c r="O834" s="197">
        <v>0</v>
      </c>
      <c r="P834" s="197">
        <v>0</v>
      </c>
      <c r="Q834" s="197">
        <v>0</v>
      </c>
      <c r="R834" s="260" t="s">
        <v>239</v>
      </c>
      <c r="S834" s="260" t="s">
        <v>514</v>
      </c>
      <c r="T834" s="260" t="s">
        <v>239</v>
      </c>
      <c r="U834" s="260" t="s">
        <v>514</v>
      </c>
    </row>
    <row r="835" spans="1:21" ht="14.5" x14ac:dyDescent="0.35">
      <c r="A835" s="260" t="s">
        <v>566</v>
      </c>
      <c r="B835" s="190">
        <v>45756</v>
      </c>
      <c r="C835" s="197">
        <v>42000</v>
      </c>
      <c r="D835" s="197">
        <v>0</v>
      </c>
      <c r="E835" s="197">
        <v>0</v>
      </c>
      <c r="F835" s="197">
        <v>0</v>
      </c>
      <c r="G835" s="197">
        <v>42000</v>
      </c>
      <c r="H835" s="197">
        <v>0</v>
      </c>
      <c r="I835" s="197">
        <v>0</v>
      </c>
      <c r="J835" s="197">
        <v>42000</v>
      </c>
      <c r="K835" s="197">
        <v>42000</v>
      </c>
      <c r="L835" s="197">
        <v>0</v>
      </c>
      <c r="M835" s="197">
        <v>0</v>
      </c>
      <c r="N835" s="197">
        <v>0</v>
      </c>
      <c r="O835" s="197">
        <v>0</v>
      </c>
      <c r="P835" s="197">
        <v>0</v>
      </c>
      <c r="Q835" s="197">
        <v>0</v>
      </c>
      <c r="R835" s="260" t="s">
        <v>239</v>
      </c>
      <c r="S835" s="260" t="s">
        <v>514</v>
      </c>
      <c r="T835" s="260" t="s">
        <v>239</v>
      </c>
      <c r="U835" s="260" t="s">
        <v>514</v>
      </c>
    </row>
    <row r="836" spans="1:21" ht="14.5" x14ac:dyDescent="0.35">
      <c r="A836" s="260" t="s">
        <v>566</v>
      </c>
      <c r="B836" s="190">
        <v>45757</v>
      </c>
      <c r="C836" s="197">
        <v>42000</v>
      </c>
      <c r="D836" s="197">
        <v>0</v>
      </c>
      <c r="E836" s="197">
        <v>0</v>
      </c>
      <c r="F836" s="197">
        <v>0</v>
      </c>
      <c r="G836" s="197">
        <v>42000</v>
      </c>
      <c r="H836" s="197">
        <v>0</v>
      </c>
      <c r="I836" s="197">
        <v>0</v>
      </c>
      <c r="J836" s="197">
        <v>42000</v>
      </c>
      <c r="K836" s="197">
        <v>42000</v>
      </c>
      <c r="L836" s="197">
        <v>0</v>
      </c>
      <c r="M836" s="197">
        <v>0</v>
      </c>
      <c r="N836" s="197">
        <v>0</v>
      </c>
      <c r="O836" s="197">
        <v>0</v>
      </c>
      <c r="P836" s="197">
        <v>0</v>
      </c>
      <c r="Q836" s="197">
        <v>0</v>
      </c>
      <c r="R836" s="260" t="s">
        <v>239</v>
      </c>
      <c r="S836" s="260" t="s">
        <v>514</v>
      </c>
      <c r="T836" s="260" t="s">
        <v>239</v>
      </c>
      <c r="U836" s="260" t="s">
        <v>514</v>
      </c>
    </row>
    <row r="837" spans="1:21" ht="14.5" x14ac:dyDescent="0.35">
      <c r="A837" s="260" t="s">
        <v>566</v>
      </c>
      <c r="B837" s="190">
        <v>45758</v>
      </c>
      <c r="C837" s="197">
        <v>42000</v>
      </c>
      <c r="D837" s="197">
        <v>0</v>
      </c>
      <c r="E837" s="197">
        <v>0</v>
      </c>
      <c r="F837" s="197">
        <v>0</v>
      </c>
      <c r="G837" s="197">
        <v>42000</v>
      </c>
      <c r="H837" s="197">
        <v>0</v>
      </c>
      <c r="I837" s="197">
        <v>0</v>
      </c>
      <c r="J837" s="197">
        <v>42000</v>
      </c>
      <c r="K837" s="197">
        <v>42000</v>
      </c>
      <c r="L837" s="197">
        <v>0</v>
      </c>
      <c r="M837" s="197">
        <v>0</v>
      </c>
      <c r="N837" s="197">
        <v>0</v>
      </c>
      <c r="O837" s="197">
        <v>0</v>
      </c>
      <c r="P837" s="197">
        <v>0</v>
      </c>
      <c r="Q837" s="197">
        <v>0</v>
      </c>
      <c r="R837" s="260" t="s">
        <v>239</v>
      </c>
      <c r="S837" s="260" t="s">
        <v>514</v>
      </c>
      <c r="T837" s="260" t="s">
        <v>239</v>
      </c>
      <c r="U837" s="260" t="s">
        <v>514</v>
      </c>
    </row>
    <row r="838" spans="1:21" ht="14.5" x14ac:dyDescent="0.35">
      <c r="A838" s="260" t="s">
        <v>566</v>
      </c>
      <c r="B838" s="190">
        <v>45759</v>
      </c>
      <c r="C838" s="197">
        <v>42000</v>
      </c>
      <c r="D838" s="197">
        <v>0</v>
      </c>
      <c r="E838" s="197">
        <v>0</v>
      </c>
      <c r="F838" s="197">
        <v>0</v>
      </c>
      <c r="G838" s="197">
        <v>42000</v>
      </c>
      <c r="H838" s="197">
        <v>0</v>
      </c>
      <c r="I838" s="197">
        <v>0</v>
      </c>
      <c r="J838" s="197">
        <v>42000</v>
      </c>
      <c r="K838" s="197">
        <v>42000</v>
      </c>
      <c r="L838" s="197">
        <v>0</v>
      </c>
      <c r="M838" s="197">
        <v>0</v>
      </c>
      <c r="N838" s="197">
        <v>0</v>
      </c>
      <c r="O838" s="197">
        <v>0</v>
      </c>
      <c r="P838" s="197">
        <v>0</v>
      </c>
      <c r="Q838" s="197">
        <v>0</v>
      </c>
      <c r="R838" s="260" t="s">
        <v>239</v>
      </c>
      <c r="S838" s="260" t="s">
        <v>514</v>
      </c>
      <c r="T838" s="260" t="s">
        <v>239</v>
      </c>
      <c r="U838" s="260" t="s">
        <v>514</v>
      </c>
    </row>
    <row r="839" spans="1:21" ht="14.5" x14ac:dyDescent="0.35">
      <c r="A839" s="260" t="s">
        <v>566</v>
      </c>
      <c r="B839" s="190">
        <v>45760</v>
      </c>
      <c r="C839" s="197">
        <v>42000</v>
      </c>
      <c r="D839" s="197">
        <v>0</v>
      </c>
      <c r="E839" s="197">
        <v>0</v>
      </c>
      <c r="F839" s="197">
        <v>0</v>
      </c>
      <c r="G839" s="197">
        <v>42000</v>
      </c>
      <c r="H839" s="197">
        <v>0</v>
      </c>
      <c r="I839" s="197">
        <v>0</v>
      </c>
      <c r="J839" s="197">
        <v>42000</v>
      </c>
      <c r="K839" s="197">
        <v>42000</v>
      </c>
      <c r="L839" s="197">
        <v>0</v>
      </c>
      <c r="M839" s="197">
        <v>0</v>
      </c>
      <c r="N839" s="197">
        <v>0</v>
      </c>
      <c r="O839" s="197">
        <v>0</v>
      </c>
      <c r="P839" s="197">
        <v>0</v>
      </c>
      <c r="Q839" s="197">
        <v>0</v>
      </c>
      <c r="R839" s="260" t="s">
        <v>239</v>
      </c>
      <c r="S839" s="260" t="s">
        <v>514</v>
      </c>
      <c r="T839" s="260" t="s">
        <v>239</v>
      </c>
      <c r="U839" s="260" t="s">
        <v>514</v>
      </c>
    </row>
    <row r="840" spans="1:21" ht="14.5" x14ac:dyDescent="0.35">
      <c r="A840" s="260" t="s">
        <v>566</v>
      </c>
      <c r="B840" s="190">
        <v>45761</v>
      </c>
      <c r="C840" s="197">
        <v>42000</v>
      </c>
      <c r="D840" s="197">
        <v>0</v>
      </c>
      <c r="E840" s="197">
        <v>0</v>
      </c>
      <c r="F840" s="197">
        <v>0</v>
      </c>
      <c r="G840" s="197">
        <v>42000</v>
      </c>
      <c r="H840" s="197">
        <v>0</v>
      </c>
      <c r="I840" s="197">
        <v>0</v>
      </c>
      <c r="J840" s="197">
        <v>42000</v>
      </c>
      <c r="K840" s="197">
        <v>42000</v>
      </c>
      <c r="L840" s="197">
        <v>0</v>
      </c>
      <c r="M840" s="197">
        <v>0</v>
      </c>
      <c r="N840" s="197">
        <v>0</v>
      </c>
      <c r="O840" s="197">
        <v>0</v>
      </c>
      <c r="P840" s="197">
        <v>0</v>
      </c>
      <c r="Q840" s="197">
        <v>0</v>
      </c>
      <c r="R840" s="260" t="s">
        <v>239</v>
      </c>
      <c r="S840" s="260" t="s">
        <v>514</v>
      </c>
      <c r="T840" s="260" t="s">
        <v>239</v>
      </c>
      <c r="U840" s="260" t="s">
        <v>514</v>
      </c>
    </row>
    <row r="841" spans="1:21" ht="14.5" x14ac:dyDescent="0.35">
      <c r="A841" s="260" t="s">
        <v>566</v>
      </c>
      <c r="B841" s="190">
        <v>45762</v>
      </c>
      <c r="C841" s="197">
        <v>42000</v>
      </c>
      <c r="D841" s="197">
        <v>0</v>
      </c>
      <c r="E841" s="197">
        <v>0</v>
      </c>
      <c r="F841" s="197">
        <v>0</v>
      </c>
      <c r="G841" s="197">
        <v>42000</v>
      </c>
      <c r="H841" s="197">
        <v>0</v>
      </c>
      <c r="I841" s="197">
        <v>0</v>
      </c>
      <c r="J841" s="197">
        <v>42000</v>
      </c>
      <c r="K841" s="197">
        <v>42000</v>
      </c>
      <c r="L841" s="197">
        <v>0</v>
      </c>
      <c r="M841" s="197">
        <v>0</v>
      </c>
      <c r="N841" s="197">
        <v>0</v>
      </c>
      <c r="O841" s="197">
        <v>0</v>
      </c>
      <c r="P841" s="197">
        <v>0</v>
      </c>
      <c r="Q841" s="197">
        <v>0</v>
      </c>
      <c r="R841" s="260" t="s">
        <v>239</v>
      </c>
      <c r="S841" s="260" t="s">
        <v>514</v>
      </c>
      <c r="T841" s="260" t="s">
        <v>239</v>
      </c>
      <c r="U841" s="260" t="s">
        <v>514</v>
      </c>
    </row>
    <row r="842" spans="1:21" ht="14.5" x14ac:dyDescent="0.35">
      <c r="A842" s="260" t="s">
        <v>566</v>
      </c>
      <c r="B842" s="190">
        <v>45763</v>
      </c>
      <c r="C842" s="197">
        <v>42000</v>
      </c>
      <c r="D842" s="197">
        <v>0</v>
      </c>
      <c r="E842" s="197">
        <v>0</v>
      </c>
      <c r="F842" s="197">
        <v>0</v>
      </c>
      <c r="G842" s="197">
        <v>42000</v>
      </c>
      <c r="H842" s="197">
        <v>0</v>
      </c>
      <c r="I842" s="197">
        <v>0</v>
      </c>
      <c r="J842" s="197">
        <v>42000</v>
      </c>
      <c r="K842" s="197">
        <v>42000</v>
      </c>
      <c r="L842" s="197">
        <v>0</v>
      </c>
      <c r="M842" s="197">
        <v>0</v>
      </c>
      <c r="N842" s="197">
        <v>0</v>
      </c>
      <c r="O842" s="197">
        <v>0</v>
      </c>
      <c r="P842" s="197">
        <v>0</v>
      </c>
      <c r="Q842" s="197">
        <v>0</v>
      </c>
      <c r="R842" s="260" t="s">
        <v>239</v>
      </c>
      <c r="S842" s="260" t="s">
        <v>514</v>
      </c>
      <c r="T842" s="260" t="s">
        <v>239</v>
      </c>
      <c r="U842" s="260" t="s">
        <v>514</v>
      </c>
    </row>
    <row r="843" spans="1:21" ht="14.5" x14ac:dyDescent="0.35">
      <c r="A843" s="260" t="s">
        <v>566</v>
      </c>
      <c r="B843" s="190">
        <v>45764</v>
      </c>
      <c r="C843" s="197">
        <v>42000</v>
      </c>
      <c r="D843" s="197">
        <v>0</v>
      </c>
      <c r="E843" s="197">
        <v>0</v>
      </c>
      <c r="F843" s="197">
        <v>0</v>
      </c>
      <c r="G843" s="197">
        <v>42000</v>
      </c>
      <c r="H843" s="197">
        <v>0</v>
      </c>
      <c r="I843" s="197">
        <v>0</v>
      </c>
      <c r="J843" s="197">
        <v>42000</v>
      </c>
      <c r="K843" s="197">
        <v>42000</v>
      </c>
      <c r="L843" s="197">
        <v>0</v>
      </c>
      <c r="M843" s="197">
        <v>0</v>
      </c>
      <c r="N843" s="197">
        <v>0</v>
      </c>
      <c r="O843" s="197">
        <v>0</v>
      </c>
      <c r="P843" s="197">
        <v>0</v>
      </c>
      <c r="Q843" s="197">
        <v>0</v>
      </c>
      <c r="R843" s="260" t="s">
        <v>239</v>
      </c>
      <c r="S843" s="260" t="s">
        <v>514</v>
      </c>
      <c r="T843" s="260" t="s">
        <v>239</v>
      </c>
      <c r="U843" s="260" t="s">
        <v>514</v>
      </c>
    </row>
    <row r="844" spans="1:21" ht="14.5" x14ac:dyDescent="0.35">
      <c r="A844" s="260" t="s">
        <v>566</v>
      </c>
      <c r="B844" s="190">
        <v>45765</v>
      </c>
      <c r="C844" s="197">
        <v>42000</v>
      </c>
      <c r="D844" s="197">
        <v>0</v>
      </c>
      <c r="E844" s="197">
        <v>0</v>
      </c>
      <c r="F844" s="197">
        <v>0</v>
      </c>
      <c r="G844" s="197">
        <v>42000</v>
      </c>
      <c r="H844" s="197">
        <v>0</v>
      </c>
      <c r="I844" s="197">
        <v>0</v>
      </c>
      <c r="J844" s="197">
        <v>42000</v>
      </c>
      <c r="K844" s="197">
        <v>42000</v>
      </c>
      <c r="L844" s="197">
        <v>0</v>
      </c>
      <c r="M844" s="197">
        <v>0</v>
      </c>
      <c r="N844" s="197">
        <v>0</v>
      </c>
      <c r="O844" s="197">
        <v>0</v>
      </c>
      <c r="P844" s="197">
        <v>0</v>
      </c>
      <c r="Q844" s="197">
        <v>0</v>
      </c>
      <c r="R844" s="260" t="s">
        <v>239</v>
      </c>
      <c r="S844" s="260" t="s">
        <v>514</v>
      </c>
      <c r="T844" s="260" t="s">
        <v>239</v>
      </c>
      <c r="U844" s="260" t="s">
        <v>514</v>
      </c>
    </row>
    <row r="845" spans="1:21" ht="14.5" x14ac:dyDescent="0.35">
      <c r="A845" s="260" t="s">
        <v>566</v>
      </c>
      <c r="B845" s="190">
        <v>45766</v>
      </c>
      <c r="C845" s="197">
        <v>42000</v>
      </c>
      <c r="D845" s="197">
        <v>0</v>
      </c>
      <c r="E845" s="197">
        <v>0</v>
      </c>
      <c r="F845" s="197">
        <v>0</v>
      </c>
      <c r="G845" s="197">
        <v>42000</v>
      </c>
      <c r="H845" s="197">
        <v>0</v>
      </c>
      <c r="I845" s="197">
        <v>0</v>
      </c>
      <c r="J845" s="197">
        <v>42000</v>
      </c>
      <c r="K845" s="197">
        <v>42000</v>
      </c>
      <c r="L845" s="197">
        <v>0</v>
      </c>
      <c r="M845" s="197">
        <v>0</v>
      </c>
      <c r="N845" s="197">
        <v>0</v>
      </c>
      <c r="O845" s="197">
        <v>0</v>
      </c>
      <c r="P845" s="197">
        <v>0</v>
      </c>
      <c r="Q845" s="197">
        <v>0</v>
      </c>
      <c r="R845" s="260" t="s">
        <v>239</v>
      </c>
      <c r="S845" s="260" t="s">
        <v>514</v>
      </c>
      <c r="T845" s="260" t="s">
        <v>239</v>
      </c>
      <c r="U845" s="260" t="s">
        <v>514</v>
      </c>
    </row>
    <row r="846" spans="1:21" ht="14.5" x14ac:dyDescent="0.35">
      <c r="A846" s="260" t="s">
        <v>566</v>
      </c>
      <c r="B846" s="190">
        <v>45767</v>
      </c>
      <c r="C846" s="197">
        <v>42000</v>
      </c>
      <c r="D846" s="197">
        <v>0</v>
      </c>
      <c r="E846" s="197">
        <v>0</v>
      </c>
      <c r="F846" s="197">
        <v>0</v>
      </c>
      <c r="G846" s="197">
        <v>42000</v>
      </c>
      <c r="H846" s="197">
        <v>0</v>
      </c>
      <c r="I846" s="197">
        <v>0</v>
      </c>
      <c r="J846" s="197">
        <v>42000</v>
      </c>
      <c r="K846" s="197">
        <v>42000</v>
      </c>
      <c r="L846" s="197">
        <v>0</v>
      </c>
      <c r="M846" s="197">
        <v>0</v>
      </c>
      <c r="N846" s="197">
        <v>0</v>
      </c>
      <c r="O846" s="197">
        <v>0</v>
      </c>
      <c r="P846" s="197">
        <v>0</v>
      </c>
      <c r="Q846" s="197">
        <v>0</v>
      </c>
      <c r="R846" s="260" t="s">
        <v>239</v>
      </c>
      <c r="S846" s="260" t="s">
        <v>514</v>
      </c>
      <c r="T846" s="260" t="s">
        <v>239</v>
      </c>
      <c r="U846" s="260" t="s">
        <v>514</v>
      </c>
    </row>
    <row r="847" spans="1:21" ht="14.5" x14ac:dyDescent="0.35">
      <c r="A847" s="260" t="s">
        <v>566</v>
      </c>
      <c r="B847" s="190">
        <v>45768</v>
      </c>
      <c r="C847" s="197">
        <v>42000</v>
      </c>
      <c r="D847" s="197">
        <v>0</v>
      </c>
      <c r="E847" s="197">
        <v>0</v>
      </c>
      <c r="F847" s="197">
        <v>0</v>
      </c>
      <c r="G847" s="197">
        <v>42000</v>
      </c>
      <c r="H847" s="197">
        <v>0</v>
      </c>
      <c r="I847" s="197">
        <v>0</v>
      </c>
      <c r="J847" s="197">
        <v>42000</v>
      </c>
      <c r="K847" s="197">
        <v>42000</v>
      </c>
      <c r="L847" s="197">
        <v>0</v>
      </c>
      <c r="M847" s="197">
        <v>0</v>
      </c>
      <c r="N847" s="197">
        <v>0</v>
      </c>
      <c r="O847" s="197">
        <v>0</v>
      </c>
      <c r="P847" s="197">
        <v>0</v>
      </c>
      <c r="Q847" s="197">
        <v>0</v>
      </c>
      <c r="R847" s="260" t="s">
        <v>239</v>
      </c>
      <c r="S847" s="260" t="s">
        <v>514</v>
      </c>
      <c r="T847" s="260" t="s">
        <v>239</v>
      </c>
      <c r="U847" s="260" t="s">
        <v>514</v>
      </c>
    </row>
    <row r="848" spans="1:21" ht="14.5" x14ac:dyDescent="0.35">
      <c r="A848" s="260" t="s">
        <v>566</v>
      </c>
      <c r="B848" s="190">
        <v>45769</v>
      </c>
      <c r="C848" s="197">
        <v>42000</v>
      </c>
      <c r="D848" s="197">
        <v>0</v>
      </c>
      <c r="E848" s="197">
        <v>0</v>
      </c>
      <c r="F848" s="197">
        <v>0</v>
      </c>
      <c r="G848" s="197">
        <v>42000</v>
      </c>
      <c r="H848" s="197">
        <v>0</v>
      </c>
      <c r="I848" s="197">
        <v>0</v>
      </c>
      <c r="J848" s="197">
        <v>42000</v>
      </c>
      <c r="K848" s="197">
        <v>42000</v>
      </c>
      <c r="L848" s="197">
        <v>0</v>
      </c>
      <c r="M848" s="197">
        <v>0</v>
      </c>
      <c r="N848" s="197">
        <v>0</v>
      </c>
      <c r="O848" s="197">
        <v>0</v>
      </c>
      <c r="P848" s="197">
        <v>0</v>
      </c>
      <c r="Q848" s="197">
        <v>0</v>
      </c>
      <c r="R848" s="260" t="s">
        <v>239</v>
      </c>
      <c r="S848" s="260" t="s">
        <v>514</v>
      </c>
      <c r="T848" s="260" t="s">
        <v>239</v>
      </c>
      <c r="U848" s="260" t="s">
        <v>514</v>
      </c>
    </row>
    <row r="849" spans="1:21" ht="14.5" x14ac:dyDescent="0.35">
      <c r="A849" s="260" t="s">
        <v>566</v>
      </c>
      <c r="B849" s="190">
        <v>45770</v>
      </c>
      <c r="C849" s="197">
        <v>42000</v>
      </c>
      <c r="D849" s="197">
        <v>0</v>
      </c>
      <c r="E849" s="197">
        <v>0</v>
      </c>
      <c r="F849" s="197">
        <v>0</v>
      </c>
      <c r="G849" s="197">
        <v>42000</v>
      </c>
      <c r="H849" s="197">
        <v>0</v>
      </c>
      <c r="I849" s="197">
        <v>0</v>
      </c>
      <c r="J849" s="197">
        <v>42000</v>
      </c>
      <c r="K849" s="197">
        <v>42000</v>
      </c>
      <c r="L849" s="197">
        <v>0</v>
      </c>
      <c r="M849" s="197">
        <v>0</v>
      </c>
      <c r="N849" s="197">
        <v>0</v>
      </c>
      <c r="O849" s="197">
        <v>0</v>
      </c>
      <c r="P849" s="197">
        <v>0</v>
      </c>
      <c r="Q849" s="197">
        <v>0</v>
      </c>
      <c r="R849" s="260" t="s">
        <v>239</v>
      </c>
      <c r="S849" s="260" t="s">
        <v>514</v>
      </c>
      <c r="T849" s="260" t="s">
        <v>239</v>
      </c>
      <c r="U849" s="260" t="s">
        <v>514</v>
      </c>
    </row>
    <row r="850" spans="1:21" ht="14.5" x14ac:dyDescent="0.35">
      <c r="A850" s="260" t="s">
        <v>566</v>
      </c>
      <c r="B850" s="190">
        <v>45771</v>
      </c>
      <c r="C850" s="197">
        <v>42000</v>
      </c>
      <c r="D850" s="197">
        <v>0</v>
      </c>
      <c r="E850" s="197">
        <v>0</v>
      </c>
      <c r="F850" s="197">
        <v>0</v>
      </c>
      <c r="G850" s="197">
        <v>42000</v>
      </c>
      <c r="H850" s="197">
        <v>0</v>
      </c>
      <c r="I850" s="197">
        <v>0</v>
      </c>
      <c r="J850" s="197">
        <v>42000</v>
      </c>
      <c r="K850" s="197">
        <v>42000</v>
      </c>
      <c r="L850" s="197">
        <v>0</v>
      </c>
      <c r="M850" s="197">
        <v>0</v>
      </c>
      <c r="N850" s="197">
        <v>0</v>
      </c>
      <c r="O850" s="197">
        <v>0</v>
      </c>
      <c r="P850" s="197">
        <v>0</v>
      </c>
      <c r="Q850" s="197">
        <v>0</v>
      </c>
      <c r="R850" s="260" t="s">
        <v>239</v>
      </c>
      <c r="S850" s="260" t="s">
        <v>514</v>
      </c>
      <c r="T850" s="260" t="s">
        <v>239</v>
      </c>
      <c r="U850" s="260" t="s">
        <v>514</v>
      </c>
    </row>
    <row r="851" spans="1:21" ht="14.5" x14ac:dyDescent="0.35">
      <c r="A851" s="260" t="s">
        <v>566</v>
      </c>
      <c r="B851" s="190">
        <v>45772</v>
      </c>
      <c r="C851" s="197">
        <v>42000</v>
      </c>
      <c r="D851" s="197">
        <v>0</v>
      </c>
      <c r="E851" s="197">
        <v>0</v>
      </c>
      <c r="F851" s="197">
        <v>0</v>
      </c>
      <c r="G851" s="197">
        <v>42000</v>
      </c>
      <c r="H851" s="197">
        <v>0</v>
      </c>
      <c r="I851" s="197">
        <v>0</v>
      </c>
      <c r="J851" s="197">
        <v>42000</v>
      </c>
      <c r="K851" s="197">
        <v>42000</v>
      </c>
      <c r="L851" s="197">
        <v>0</v>
      </c>
      <c r="M851" s="197">
        <v>0</v>
      </c>
      <c r="N851" s="197">
        <v>0</v>
      </c>
      <c r="O851" s="197">
        <v>0</v>
      </c>
      <c r="P851" s="197">
        <v>0</v>
      </c>
      <c r="Q851" s="197">
        <v>0</v>
      </c>
      <c r="R851" s="260" t="s">
        <v>239</v>
      </c>
      <c r="S851" s="260" t="s">
        <v>514</v>
      </c>
      <c r="T851" s="260" t="s">
        <v>239</v>
      </c>
      <c r="U851" s="260" t="s">
        <v>514</v>
      </c>
    </row>
    <row r="852" spans="1:21" ht="14.5" x14ac:dyDescent="0.35">
      <c r="A852" s="260" t="s">
        <v>566</v>
      </c>
      <c r="B852" s="190">
        <v>45773</v>
      </c>
      <c r="C852" s="197">
        <v>42000</v>
      </c>
      <c r="D852" s="197">
        <v>0</v>
      </c>
      <c r="E852" s="197">
        <v>0</v>
      </c>
      <c r="F852" s="197">
        <v>0</v>
      </c>
      <c r="G852" s="197">
        <v>42000</v>
      </c>
      <c r="H852" s="197">
        <v>0</v>
      </c>
      <c r="I852" s="197">
        <v>0</v>
      </c>
      <c r="J852" s="197">
        <v>42000</v>
      </c>
      <c r="K852" s="197">
        <v>42000</v>
      </c>
      <c r="L852" s="197">
        <v>0</v>
      </c>
      <c r="M852" s="197">
        <v>0</v>
      </c>
      <c r="N852" s="197">
        <v>0</v>
      </c>
      <c r="O852" s="197">
        <v>0</v>
      </c>
      <c r="P852" s="197">
        <v>0</v>
      </c>
      <c r="Q852" s="197">
        <v>0</v>
      </c>
      <c r="R852" s="260" t="s">
        <v>239</v>
      </c>
      <c r="S852" s="260" t="s">
        <v>514</v>
      </c>
      <c r="T852" s="260" t="s">
        <v>239</v>
      </c>
      <c r="U852" s="260" t="s">
        <v>514</v>
      </c>
    </row>
    <row r="853" spans="1:21" ht="14.5" x14ac:dyDescent="0.35">
      <c r="A853" s="260" t="s">
        <v>566</v>
      </c>
      <c r="B853" s="190">
        <v>45774</v>
      </c>
      <c r="C853" s="197">
        <v>42000</v>
      </c>
      <c r="D853" s="197">
        <v>0</v>
      </c>
      <c r="E853" s="197">
        <v>0</v>
      </c>
      <c r="F853" s="197">
        <v>0</v>
      </c>
      <c r="G853" s="197">
        <v>42000</v>
      </c>
      <c r="H853" s="197">
        <v>0</v>
      </c>
      <c r="I853" s="197">
        <v>0</v>
      </c>
      <c r="J853" s="197">
        <v>42000</v>
      </c>
      <c r="K853" s="197">
        <v>42000</v>
      </c>
      <c r="L853" s="197">
        <v>0</v>
      </c>
      <c r="M853" s="197">
        <v>0</v>
      </c>
      <c r="N853" s="197">
        <v>0</v>
      </c>
      <c r="O853" s="197">
        <v>0</v>
      </c>
      <c r="P853" s="197">
        <v>0</v>
      </c>
      <c r="Q853" s="197">
        <v>0</v>
      </c>
      <c r="R853" s="260" t="s">
        <v>239</v>
      </c>
      <c r="S853" s="260" t="s">
        <v>514</v>
      </c>
      <c r="T853" s="260" t="s">
        <v>239</v>
      </c>
      <c r="U853" s="260" t="s">
        <v>514</v>
      </c>
    </row>
    <row r="854" spans="1:21" ht="14.5" x14ac:dyDescent="0.35">
      <c r="A854" s="260" t="s">
        <v>566</v>
      </c>
      <c r="B854" s="190">
        <v>45775</v>
      </c>
      <c r="C854" s="197">
        <v>42000</v>
      </c>
      <c r="D854" s="197">
        <v>0</v>
      </c>
      <c r="E854" s="197">
        <v>0</v>
      </c>
      <c r="F854" s="197">
        <v>0</v>
      </c>
      <c r="G854" s="197">
        <v>42000</v>
      </c>
      <c r="H854" s="197">
        <v>0</v>
      </c>
      <c r="I854" s="197">
        <v>0</v>
      </c>
      <c r="J854" s="197">
        <v>42000</v>
      </c>
      <c r="K854" s="197">
        <v>42000</v>
      </c>
      <c r="L854" s="197">
        <v>0</v>
      </c>
      <c r="M854" s="197">
        <v>0</v>
      </c>
      <c r="N854" s="197">
        <v>0</v>
      </c>
      <c r="O854" s="197">
        <v>0</v>
      </c>
      <c r="P854" s="197">
        <v>0</v>
      </c>
      <c r="Q854" s="197">
        <v>0</v>
      </c>
      <c r="R854" s="260" t="s">
        <v>239</v>
      </c>
      <c r="S854" s="260" t="s">
        <v>514</v>
      </c>
      <c r="T854" s="260" t="s">
        <v>239</v>
      </c>
      <c r="U854" s="260" t="s">
        <v>514</v>
      </c>
    </row>
    <row r="855" spans="1:21" ht="14.5" x14ac:dyDescent="0.35">
      <c r="A855" s="260" t="s">
        <v>566</v>
      </c>
      <c r="B855" s="190">
        <v>45776</v>
      </c>
      <c r="C855" s="197">
        <v>42000</v>
      </c>
      <c r="D855" s="197">
        <v>0</v>
      </c>
      <c r="E855" s="197">
        <v>0</v>
      </c>
      <c r="F855" s="197">
        <v>0</v>
      </c>
      <c r="G855" s="197">
        <v>42000</v>
      </c>
      <c r="H855" s="197">
        <v>0</v>
      </c>
      <c r="I855" s="197">
        <v>0</v>
      </c>
      <c r="J855" s="197">
        <v>42000</v>
      </c>
      <c r="K855" s="197">
        <v>42000</v>
      </c>
      <c r="L855" s="197">
        <v>0</v>
      </c>
      <c r="M855" s="197">
        <v>0</v>
      </c>
      <c r="N855" s="197">
        <v>0</v>
      </c>
      <c r="O855" s="197">
        <v>0</v>
      </c>
      <c r="P855" s="197">
        <v>0</v>
      </c>
      <c r="Q855" s="197">
        <v>0</v>
      </c>
      <c r="R855" s="260" t="s">
        <v>239</v>
      </c>
      <c r="S855" s="260" t="s">
        <v>514</v>
      </c>
      <c r="T855" s="260" t="s">
        <v>239</v>
      </c>
      <c r="U855" s="260" t="s">
        <v>514</v>
      </c>
    </row>
    <row r="856" spans="1:21" ht="14.5" x14ac:dyDescent="0.35">
      <c r="A856" s="260" t="s">
        <v>566</v>
      </c>
      <c r="B856" s="190">
        <v>45777</v>
      </c>
      <c r="C856" s="197">
        <v>42000</v>
      </c>
      <c r="D856" s="197">
        <v>0</v>
      </c>
      <c r="E856" s="197">
        <v>0</v>
      </c>
      <c r="F856" s="197">
        <v>0</v>
      </c>
      <c r="G856" s="197">
        <v>42000</v>
      </c>
      <c r="H856" s="197">
        <v>0</v>
      </c>
      <c r="I856" s="197">
        <v>0</v>
      </c>
      <c r="J856" s="197">
        <v>42000</v>
      </c>
      <c r="K856" s="197">
        <v>42000</v>
      </c>
      <c r="L856" s="197">
        <v>0</v>
      </c>
      <c r="M856" s="197">
        <v>0</v>
      </c>
      <c r="N856" s="197">
        <v>0</v>
      </c>
      <c r="O856" s="197">
        <v>0</v>
      </c>
      <c r="P856" s="197">
        <v>0</v>
      </c>
      <c r="Q856" s="197">
        <v>0</v>
      </c>
      <c r="R856" s="260" t="s">
        <v>239</v>
      </c>
      <c r="S856" s="260" t="s">
        <v>514</v>
      </c>
      <c r="T856" s="260" t="s">
        <v>239</v>
      </c>
      <c r="U856" s="260" t="s">
        <v>514</v>
      </c>
    </row>
    <row r="857" spans="1:21" ht="14.5" x14ac:dyDescent="0.35">
      <c r="A857" s="260" t="s">
        <v>566</v>
      </c>
      <c r="B857" s="190">
        <v>45778</v>
      </c>
      <c r="C857" s="197">
        <v>42000</v>
      </c>
      <c r="D857" s="197">
        <v>0</v>
      </c>
      <c r="E857" s="197">
        <v>0</v>
      </c>
      <c r="F857" s="197">
        <v>0</v>
      </c>
      <c r="G857" s="197">
        <v>42000</v>
      </c>
      <c r="H857" s="197">
        <v>0</v>
      </c>
      <c r="I857" s="197">
        <v>0</v>
      </c>
      <c r="J857" s="197">
        <v>42000</v>
      </c>
      <c r="K857" s="197">
        <v>42000</v>
      </c>
      <c r="L857" s="197">
        <v>0</v>
      </c>
      <c r="M857" s="197">
        <v>0</v>
      </c>
      <c r="N857" s="197">
        <v>0</v>
      </c>
      <c r="O857" s="197">
        <v>0</v>
      </c>
      <c r="P857" s="197">
        <v>0</v>
      </c>
      <c r="Q857" s="197">
        <v>0</v>
      </c>
      <c r="R857" s="260" t="s">
        <v>239</v>
      </c>
      <c r="S857" s="260" t="s">
        <v>514</v>
      </c>
      <c r="T857" s="260" t="s">
        <v>239</v>
      </c>
      <c r="U857" s="260" t="s">
        <v>514</v>
      </c>
    </row>
    <row r="858" spans="1:21" ht="14.5" x14ac:dyDescent="0.35">
      <c r="A858" s="260" t="s">
        <v>566</v>
      </c>
      <c r="B858" s="190">
        <v>45779</v>
      </c>
      <c r="C858" s="197">
        <v>42000</v>
      </c>
      <c r="D858" s="197">
        <v>0</v>
      </c>
      <c r="E858" s="197">
        <v>0</v>
      </c>
      <c r="F858" s="197">
        <v>0</v>
      </c>
      <c r="G858" s="197">
        <v>42000</v>
      </c>
      <c r="H858" s="197">
        <v>0</v>
      </c>
      <c r="I858" s="197">
        <v>0</v>
      </c>
      <c r="J858" s="197">
        <v>42000</v>
      </c>
      <c r="K858" s="197">
        <v>42000</v>
      </c>
      <c r="L858" s="197">
        <v>0</v>
      </c>
      <c r="M858" s="197">
        <v>0</v>
      </c>
      <c r="N858" s="197">
        <v>0</v>
      </c>
      <c r="O858" s="197">
        <v>0</v>
      </c>
      <c r="P858" s="197">
        <v>0</v>
      </c>
      <c r="Q858" s="197">
        <v>0</v>
      </c>
      <c r="R858" s="260" t="s">
        <v>239</v>
      </c>
      <c r="S858" s="260" t="s">
        <v>514</v>
      </c>
      <c r="T858" s="260" t="s">
        <v>239</v>
      </c>
      <c r="U858" s="260" t="s">
        <v>514</v>
      </c>
    </row>
    <row r="859" spans="1:21" ht="14.5" x14ac:dyDescent="0.35">
      <c r="A859" s="260" t="s">
        <v>566</v>
      </c>
      <c r="B859" s="190">
        <v>45780</v>
      </c>
      <c r="C859" s="197">
        <v>42000</v>
      </c>
      <c r="D859" s="197">
        <v>0</v>
      </c>
      <c r="E859" s="197">
        <v>0</v>
      </c>
      <c r="F859" s="197">
        <v>0</v>
      </c>
      <c r="G859" s="197">
        <v>42000</v>
      </c>
      <c r="H859" s="197">
        <v>0</v>
      </c>
      <c r="I859" s="197">
        <v>0</v>
      </c>
      <c r="J859" s="197">
        <v>42000</v>
      </c>
      <c r="K859" s="197">
        <v>42000</v>
      </c>
      <c r="L859" s="197">
        <v>0</v>
      </c>
      <c r="M859" s="197">
        <v>0</v>
      </c>
      <c r="N859" s="197">
        <v>0</v>
      </c>
      <c r="O859" s="197">
        <v>0</v>
      </c>
      <c r="P859" s="197">
        <v>0</v>
      </c>
      <c r="Q859" s="197">
        <v>0</v>
      </c>
      <c r="R859" s="260" t="s">
        <v>239</v>
      </c>
      <c r="S859" s="260" t="s">
        <v>514</v>
      </c>
      <c r="T859" s="260" t="s">
        <v>239</v>
      </c>
      <c r="U859" s="260" t="s">
        <v>514</v>
      </c>
    </row>
    <row r="860" spans="1:21" ht="14.5" x14ac:dyDescent="0.35">
      <c r="A860" s="260" t="s">
        <v>566</v>
      </c>
      <c r="B860" s="190">
        <v>45781</v>
      </c>
      <c r="C860" s="197">
        <v>42000</v>
      </c>
      <c r="D860" s="197">
        <v>0</v>
      </c>
      <c r="E860" s="197">
        <v>0</v>
      </c>
      <c r="F860" s="197">
        <v>0</v>
      </c>
      <c r="G860" s="197">
        <v>42000</v>
      </c>
      <c r="H860" s="197">
        <v>0</v>
      </c>
      <c r="I860" s="197">
        <v>0</v>
      </c>
      <c r="J860" s="197">
        <v>42000</v>
      </c>
      <c r="K860" s="197">
        <v>42000</v>
      </c>
      <c r="L860" s="197">
        <v>0</v>
      </c>
      <c r="M860" s="197">
        <v>0</v>
      </c>
      <c r="N860" s="197">
        <v>0</v>
      </c>
      <c r="O860" s="197">
        <v>0</v>
      </c>
      <c r="P860" s="197">
        <v>0</v>
      </c>
      <c r="Q860" s="197">
        <v>0</v>
      </c>
      <c r="R860" s="260" t="s">
        <v>239</v>
      </c>
      <c r="S860" s="260" t="s">
        <v>514</v>
      </c>
      <c r="T860" s="260" t="s">
        <v>239</v>
      </c>
      <c r="U860" s="260" t="s">
        <v>514</v>
      </c>
    </row>
    <row r="861" spans="1:21" ht="14.5" x14ac:dyDescent="0.35">
      <c r="A861" s="260" t="s">
        <v>566</v>
      </c>
      <c r="B861" s="190">
        <v>45782</v>
      </c>
      <c r="C861" s="197">
        <v>42000</v>
      </c>
      <c r="D861" s="197">
        <v>0</v>
      </c>
      <c r="E861" s="197">
        <v>0</v>
      </c>
      <c r="F861" s="197">
        <v>0</v>
      </c>
      <c r="G861" s="197">
        <v>42000</v>
      </c>
      <c r="H861" s="197">
        <v>0</v>
      </c>
      <c r="I861" s="197">
        <v>0</v>
      </c>
      <c r="J861" s="197">
        <v>42000</v>
      </c>
      <c r="K861" s="197">
        <v>42000</v>
      </c>
      <c r="L861" s="197">
        <v>0</v>
      </c>
      <c r="M861" s="197">
        <v>0</v>
      </c>
      <c r="N861" s="197">
        <v>0</v>
      </c>
      <c r="O861" s="197">
        <v>0</v>
      </c>
      <c r="P861" s="197">
        <v>0</v>
      </c>
      <c r="Q861" s="197">
        <v>0</v>
      </c>
      <c r="R861" s="260" t="s">
        <v>239</v>
      </c>
      <c r="S861" s="260" t="s">
        <v>514</v>
      </c>
      <c r="T861" s="260" t="s">
        <v>239</v>
      </c>
      <c r="U861" s="260" t="s">
        <v>514</v>
      </c>
    </row>
    <row r="862" spans="1:21" ht="14.5" x14ac:dyDescent="0.35">
      <c r="A862" s="260" t="s">
        <v>566</v>
      </c>
      <c r="B862" s="190">
        <v>45783</v>
      </c>
      <c r="C862" s="197">
        <v>42000</v>
      </c>
      <c r="D862" s="197">
        <v>0</v>
      </c>
      <c r="E862" s="197">
        <v>0</v>
      </c>
      <c r="F862" s="197">
        <v>0</v>
      </c>
      <c r="G862" s="197">
        <v>42000</v>
      </c>
      <c r="H862" s="197">
        <v>0</v>
      </c>
      <c r="I862" s="197">
        <v>0</v>
      </c>
      <c r="J862" s="197">
        <v>42000</v>
      </c>
      <c r="K862" s="197">
        <v>42000</v>
      </c>
      <c r="L862" s="197">
        <v>0</v>
      </c>
      <c r="M862" s="197">
        <v>0</v>
      </c>
      <c r="N862" s="197">
        <v>0</v>
      </c>
      <c r="O862" s="197">
        <v>0</v>
      </c>
      <c r="P862" s="197">
        <v>0</v>
      </c>
      <c r="Q862" s="197">
        <v>0</v>
      </c>
      <c r="R862" s="260" t="s">
        <v>239</v>
      </c>
      <c r="S862" s="260" t="s">
        <v>514</v>
      </c>
      <c r="T862" s="260" t="s">
        <v>239</v>
      </c>
      <c r="U862" s="260" t="s">
        <v>514</v>
      </c>
    </row>
    <row r="863" spans="1:21" ht="14.5" x14ac:dyDescent="0.35">
      <c r="A863" s="260" t="s">
        <v>566</v>
      </c>
      <c r="B863" s="190">
        <v>45784</v>
      </c>
      <c r="C863" s="197">
        <v>42000</v>
      </c>
      <c r="D863" s="197">
        <v>0</v>
      </c>
      <c r="E863" s="197">
        <v>0</v>
      </c>
      <c r="F863" s="197">
        <v>0</v>
      </c>
      <c r="G863" s="197">
        <v>42000</v>
      </c>
      <c r="H863" s="197">
        <v>0</v>
      </c>
      <c r="I863" s="197">
        <v>0</v>
      </c>
      <c r="J863" s="197">
        <v>42000</v>
      </c>
      <c r="K863" s="197">
        <v>42000</v>
      </c>
      <c r="L863" s="197">
        <v>0</v>
      </c>
      <c r="M863" s="197">
        <v>0</v>
      </c>
      <c r="N863" s="197">
        <v>0</v>
      </c>
      <c r="O863" s="197">
        <v>0</v>
      </c>
      <c r="P863" s="197">
        <v>0</v>
      </c>
      <c r="Q863" s="197">
        <v>0</v>
      </c>
      <c r="R863" s="260" t="s">
        <v>239</v>
      </c>
      <c r="S863" s="260" t="s">
        <v>514</v>
      </c>
      <c r="T863" s="260" t="s">
        <v>239</v>
      </c>
      <c r="U863" s="260" t="s">
        <v>514</v>
      </c>
    </row>
    <row r="864" spans="1:21" ht="14.5" x14ac:dyDescent="0.35">
      <c r="A864" s="260" t="s">
        <v>566</v>
      </c>
      <c r="B864" s="190">
        <v>45785</v>
      </c>
      <c r="C864" s="197">
        <v>42000</v>
      </c>
      <c r="D864" s="197">
        <v>0</v>
      </c>
      <c r="E864" s="197">
        <v>0</v>
      </c>
      <c r="F864" s="197">
        <v>0</v>
      </c>
      <c r="G864" s="197">
        <v>42000</v>
      </c>
      <c r="H864" s="197">
        <v>0</v>
      </c>
      <c r="I864" s="197">
        <v>0</v>
      </c>
      <c r="J864" s="197">
        <v>42000</v>
      </c>
      <c r="K864" s="197">
        <v>42000</v>
      </c>
      <c r="L864" s="197">
        <v>0</v>
      </c>
      <c r="M864" s="197">
        <v>0</v>
      </c>
      <c r="N864" s="197">
        <v>0</v>
      </c>
      <c r="O864" s="197">
        <v>0</v>
      </c>
      <c r="P864" s="197">
        <v>0</v>
      </c>
      <c r="Q864" s="197">
        <v>0</v>
      </c>
      <c r="R864" s="260" t="s">
        <v>239</v>
      </c>
      <c r="S864" s="260" t="s">
        <v>514</v>
      </c>
      <c r="T864" s="260" t="s">
        <v>239</v>
      </c>
      <c r="U864" s="260" t="s">
        <v>514</v>
      </c>
    </row>
    <row r="865" spans="1:21" ht="14.5" x14ac:dyDescent="0.35">
      <c r="A865" s="260" t="s">
        <v>566</v>
      </c>
      <c r="B865" s="190">
        <v>45786</v>
      </c>
      <c r="C865" s="197">
        <v>42000</v>
      </c>
      <c r="D865" s="197">
        <v>0</v>
      </c>
      <c r="E865" s="197">
        <v>0</v>
      </c>
      <c r="F865" s="197">
        <v>0</v>
      </c>
      <c r="G865" s="197">
        <v>42000</v>
      </c>
      <c r="H865" s="197">
        <v>0</v>
      </c>
      <c r="I865" s="197">
        <v>0</v>
      </c>
      <c r="J865" s="197">
        <v>42000</v>
      </c>
      <c r="K865" s="197">
        <v>42000</v>
      </c>
      <c r="L865" s="197">
        <v>0</v>
      </c>
      <c r="M865" s="197">
        <v>0</v>
      </c>
      <c r="N865" s="197">
        <v>0</v>
      </c>
      <c r="O865" s="197">
        <v>0</v>
      </c>
      <c r="P865" s="197">
        <v>0</v>
      </c>
      <c r="Q865" s="197">
        <v>0</v>
      </c>
      <c r="R865" s="260" t="s">
        <v>239</v>
      </c>
      <c r="S865" s="260" t="s">
        <v>514</v>
      </c>
      <c r="T865" s="260" t="s">
        <v>239</v>
      </c>
      <c r="U865" s="260" t="s">
        <v>514</v>
      </c>
    </row>
    <row r="866" spans="1:21" ht="14.5" x14ac:dyDescent="0.35">
      <c r="A866" s="260" t="s">
        <v>566</v>
      </c>
      <c r="B866" s="190">
        <v>45787</v>
      </c>
      <c r="C866" s="197">
        <v>42000</v>
      </c>
      <c r="D866" s="197">
        <v>0</v>
      </c>
      <c r="E866" s="197">
        <v>0</v>
      </c>
      <c r="F866" s="197">
        <v>0</v>
      </c>
      <c r="G866" s="197">
        <v>42000</v>
      </c>
      <c r="H866" s="197">
        <v>0</v>
      </c>
      <c r="I866" s="197">
        <v>0</v>
      </c>
      <c r="J866" s="197">
        <v>42000</v>
      </c>
      <c r="K866" s="197">
        <v>42000</v>
      </c>
      <c r="L866" s="197">
        <v>0</v>
      </c>
      <c r="M866" s="197">
        <v>0</v>
      </c>
      <c r="N866" s="197">
        <v>0</v>
      </c>
      <c r="O866" s="197">
        <v>0</v>
      </c>
      <c r="P866" s="197">
        <v>0</v>
      </c>
      <c r="Q866" s="197">
        <v>0</v>
      </c>
      <c r="R866" s="260" t="s">
        <v>239</v>
      </c>
      <c r="S866" s="260" t="s">
        <v>514</v>
      </c>
      <c r="T866" s="260" t="s">
        <v>239</v>
      </c>
      <c r="U866" s="260" t="s">
        <v>514</v>
      </c>
    </row>
    <row r="867" spans="1:21" ht="14.5" x14ac:dyDescent="0.35">
      <c r="A867" s="260" t="s">
        <v>566</v>
      </c>
      <c r="B867" s="190">
        <v>45788</v>
      </c>
      <c r="C867" s="197">
        <v>42000</v>
      </c>
      <c r="D867" s="197">
        <v>0</v>
      </c>
      <c r="E867" s="197">
        <v>0</v>
      </c>
      <c r="F867" s="197">
        <v>0</v>
      </c>
      <c r="G867" s="197">
        <v>42000</v>
      </c>
      <c r="H867" s="197">
        <v>0</v>
      </c>
      <c r="I867" s="197">
        <v>0</v>
      </c>
      <c r="J867" s="197">
        <v>42000</v>
      </c>
      <c r="K867" s="197">
        <v>42000</v>
      </c>
      <c r="L867" s="197">
        <v>0</v>
      </c>
      <c r="M867" s="197">
        <v>0</v>
      </c>
      <c r="N867" s="197">
        <v>0</v>
      </c>
      <c r="O867" s="197">
        <v>0</v>
      </c>
      <c r="P867" s="197">
        <v>0</v>
      </c>
      <c r="Q867" s="197">
        <v>0</v>
      </c>
      <c r="R867" s="260" t="s">
        <v>239</v>
      </c>
      <c r="S867" s="260" t="s">
        <v>514</v>
      </c>
      <c r="T867" s="260" t="s">
        <v>239</v>
      </c>
      <c r="U867" s="260" t="s">
        <v>514</v>
      </c>
    </row>
    <row r="868" spans="1:21" ht="14.5" x14ac:dyDescent="0.35">
      <c r="A868" s="260" t="s">
        <v>566</v>
      </c>
      <c r="B868" s="190">
        <v>45789</v>
      </c>
      <c r="C868" s="197">
        <v>42000</v>
      </c>
      <c r="D868" s="197">
        <v>0</v>
      </c>
      <c r="E868" s="197">
        <v>0</v>
      </c>
      <c r="F868" s="197">
        <v>0</v>
      </c>
      <c r="G868" s="197">
        <v>42000</v>
      </c>
      <c r="H868" s="197">
        <v>0</v>
      </c>
      <c r="I868" s="197">
        <v>0</v>
      </c>
      <c r="J868" s="197">
        <v>42000</v>
      </c>
      <c r="K868" s="197">
        <v>42000</v>
      </c>
      <c r="L868" s="197">
        <v>0</v>
      </c>
      <c r="M868" s="197">
        <v>0</v>
      </c>
      <c r="N868" s="197">
        <v>0</v>
      </c>
      <c r="O868" s="197">
        <v>0</v>
      </c>
      <c r="P868" s="197">
        <v>0</v>
      </c>
      <c r="Q868" s="197">
        <v>0</v>
      </c>
      <c r="R868" s="260" t="s">
        <v>239</v>
      </c>
      <c r="S868" s="260" t="s">
        <v>514</v>
      </c>
      <c r="T868" s="260" t="s">
        <v>239</v>
      </c>
      <c r="U868" s="260" t="s">
        <v>514</v>
      </c>
    </row>
    <row r="869" spans="1:21" ht="14.5" x14ac:dyDescent="0.35">
      <c r="A869" s="260" t="s">
        <v>566</v>
      </c>
      <c r="B869" s="190">
        <v>45790</v>
      </c>
      <c r="C869" s="197">
        <v>42000</v>
      </c>
      <c r="D869" s="197">
        <v>0</v>
      </c>
      <c r="E869" s="197">
        <v>0</v>
      </c>
      <c r="F869" s="197">
        <v>0</v>
      </c>
      <c r="G869" s="197">
        <v>42000</v>
      </c>
      <c r="H869" s="197">
        <v>0</v>
      </c>
      <c r="I869" s="197">
        <v>0</v>
      </c>
      <c r="J869" s="197">
        <v>42000</v>
      </c>
      <c r="K869" s="197">
        <v>42000</v>
      </c>
      <c r="L869" s="197">
        <v>0</v>
      </c>
      <c r="M869" s="197">
        <v>0</v>
      </c>
      <c r="N869" s="197">
        <v>0</v>
      </c>
      <c r="O869" s="197">
        <v>0</v>
      </c>
      <c r="P869" s="197">
        <v>0</v>
      </c>
      <c r="Q869" s="197">
        <v>0</v>
      </c>
      <c r="R869" s="260" t="s">
        <v>239</v>
      </c>
      <c r="S869" s="260" t="s">
        <v>514</v>
      </c>
      <c r="T869" s="260" t="s">
        <v>239</v>
      </c>
      <c r="U869" s="260" t="s">
        <v>514</v>
      </c>
    </row>
    <row r="870" spans="1:21" ht="14.5" x14ac:dyDescent="0.35">
      <c r="A870" s="260" t="s">
        <v>566</v>
      </c>
      <c r="B870" s="190">
        <v>45791</v>
      </c>
      <c r="C870" s="197">
        <v>42000</v>
      </c>
      <c r="D870" s="197">
        <v>0</v>
      </c>
      <c r="E870" s="197">
        <v>0</v>
      </c>
      <c r="F870" s="197">
        <v>0</v>
      </c>
      <c r="G870" s="197">
        <v>42000</v>
      </c>
      <c r="H870" s="197">
        <v>0</v>
      </c>
      <c r="I870" s="197">
        <v>0</v>
      </c>
      <c r="J870" s="197">
        <v>42000</v>
      </c>
      <c r="K870" s="197">
        <v>42000</v>
      </c>
      <c r="L870" s="197">
        <v>0</v>
      </c>
      <c r="M870" s="197">
        <v>0</v>
      </c>
      <c r="N870" s="197">
        <v>0</v>
      </c>
      <c r="O870" s="197">
        <v>0</v>
      </c>
      <c r="P870" s="197">
        <v>0</v>
      </c>
      <c r="Q870" s="197">
        <v>0</v>
      </c>
      <c r="R870" s="260" t="s">
        <v>239</v>
      </c>
      <c r="S870" s="260" t="s">
        <v>514</v>
      </c>
      <c r="T870" s="260" t="s">
        <v>239</v>
      </c>
      <c r="U870" s="260" t="s">
        <v>514</v>
      </c>
    </row>
    <row r="871" spans="1:21" ht="14.5" x14ac:dyDescent="0.35">
      <c r="A871" s="260" t="s">
        <v>566</v>
      </c>
      <c r="B871" s="190">
        <v>45792</v>
      </c>
      <c r="C871" s="197">
        <v>42000</v>
      </c>
      <c r="D871" s="197">
        <v>0</v>
      </c>
      <c r="E871" s="197">
        <v>0</v>
      </c>
      <c r="F871" s="197">
        <v>0</v>
      </c>
      <c r="G871" s="197">
        <v>42000</v>
      </c>
      <c r="H871" s="197">
        <v>0</v>
      </c>
      <c r="I871" s="197">
        <v>0</v>
      </c>
      <c r="J871" s="197">
        <v>42000</v>
      </c>
      <c r="K871" s="197">
        <v>42000</v>
      </c>
      <c r="L871" s="197">
        <v>0</v>
      </c>
      <c r="M871" s="197">
        <v>0</v>
      </c>
      <c r="N871" s="197">
        <v>0</v>
      </c>
      <c r="O871" s="197">
        <v>0</v>
      </c>
      <c r="P871" s="197">
        <v>0</v>
      </c>
      <c r="Q871" s="197">
        <v>0</v>
      </c>
      <c r="R871" s="260" t="s">
        <v>239</v>
      </c>
      <c r="S871" s="260" t="s">
        <v>514</v>
      </c>
      <c r="T871" s="260" t="s">
        <v>239</v>
      </c>
      <c r="U871" s="260" t="s">
        <v>514</v>
      </c>
    </row>
    <row r="872" spans="1:21" ht="14.5" x14ac:dyDescent="0.35">
      <c r="A872" s="260" t="s">
        <v>566</v>
      </c>
      <c r="B872" s="190">
        <v>45793</v>
      </c>
      <c r="C872" s="197">
        <v>42000</v>
      </c>
      <c r="D872" s="197">
        <v>0</v>
      </c>
      <c r="E872" s="197">
        <v>0</v>
      </c>
      <c r="F872" s="197">
        <v>0</v>
      </c>
      <c r="G872" s="197">
        <v>42000</v>
      </c>
      <c r="H872" s="197">
        <v>0</v>
      </c>
      <c r="I872" s="197">
        <v>0</v>
      </c>
      <c r="J872" s="197">
        <v>42000</v>
      </c>
      <c r="K872" s="197">
        <v>42000</v>
      </c>
      <c r="L872" s="197">
        <v>0</v>
      </c>
      <c r="M872" s="197">
        <v>0</v>
      </c>
      <c r="N872" s="197">
        <v>0</v>
      </c>
      <c r="O872" s="197">
        <v>0</v>
      </c>
      <c r="P872" s="197">
        <v>0</v>
      </c>
      <c r="Q872" s="197">
        <v>0</v>
      </c>
      <c r="R872" s="260" t="s">
        <v>239</v>
      </c>
      <c r="S872" s="260" t="s">
        <v>514</v>
      </c>
      <c r="T872" s="260" t="s">
        <v>239</v>
      </c>
      <c r="U872" s="260" t="s">
        <v>514</v>
      </c>
    </row>
    <row r="873" spans="1:21" ht="14.5" x14ac:dyDescent="0.35">
      <c r="A873" s="260" t="s">
        <v>566</v>
      </c>
      <c r="B873" s="190">
        <v>45794</v>
      </c>
      <c r="C873" s="197">
        <v>42000</v>
      </c>
      <c r="D873" s="197">
        <v>0</v>
      </c>
      <c r="E873" s="197">
        <v>0</v>
      </c>
      <c r="F873" s="197">
        <v>0</v>
      </c>
      <c r="G873" s="197">
        <v>42000</v>
      </c>
      <c r="H873" s="197">
        <v>0</v>
      </c>
      <c r="I873" s="197">
        <v>0</v>
      </c>
      <c r="J873" s="197">
        <v>42000</v>
      </c>
      <c r="K873" s="197">
        <v>42000</v>
      </c>
      <c r="L873" s="197">
        <v>0</v>
      </c>
      <c r="M873" s="197">
        <v>0</v>
      </c>
      <c r="N873" s="197">
        <v>0</v>
      </c>
      <c r="O873" s="197">
        <v>0</v>
      </c>
      <c r="P873" s="197">
        <v>0</v>
      </c>
      <c r="Q873" s="197">
        <v>0</v>
      </c>
      <c r="R873" s="260" t="s">
        <v>239</v>
      </c>
      <c r="S873" s="260" t="s">
        <v>514</v>
      </c>
      <c r="T873" s="260" t="s">
        <v>239</v>
      </c>
      <c r="U873" s="260" t="s">
        <v>514</v>
      </c>
    </row>
    <row r="874" spans="1:21" ht="14.5" x14ac:dyDescent="0.35">
      <c r="A874" s="260" t="s">
        <v>566</v>
      </c>
      <c r="B874" s="190">
        <v>45795</v>
      </c>
      <c r="C874" s="197">
        <v>42000</v>
      </c>
      <c r="D874" s="197">
        <v>0</v>
      </c>
      <c r="E874" s="197">
        <v>0</v>
      </c>
      <c r="F874" s="197">
        <v>0</v>
      </c>
      <c r="G874" s="197">
        <v>42000</v>
      </c>
      <c r="H874" s="197">
        <v>0</v>
      </c>
      <c r="I874" s="197">
        <v>0</v>
      </c>
      <c r="J874" s="197">
        <v>42000</v>
      </c>
      <c r="K874" s="197">
        <v>42000</v>
      </c>
      <c r="L874" s="197">
        <v>0</v>
      </c>
      <c r="M874" s="197">
        <v>0</v>
      </c>
      <c r="N874" s="197">
        <v>0</v>
      </c>
      <c r="O874" s="197">
        <v>0</v>
      </c>
      <c r="P874" s="197">
        <v>0</v>
      </c>
      <c r="Q874" s="197">
        <v>0</v>
      </c>
      <c r="R874" s="260" t="s">
        <v>239</v>
      </c>
      <c r="S874" s="260" t="s">
        <v>514</v>
      </c>
      <c r="T874" s="260" t="s">
        <v>239</v>
      </c>
      <c r="U874" s="260" t="s">
        <v>514</v>
      </c>
    </row>
    <row r="875" spans="1:21" ht="14.5" x14ac:dyDescent="0.35">
      <c r="A875" s="260" t="s">
        <v>566</v>
      </c>
      <c r="B875" s="190">
        <v>45796</v>
      </c>
      <c r="C875" s="197">
        <v>42000</v>
      </c>
      <c r="D875" s="197">
        <v>0</v>
      </c>
      <c r="E875" s="197">
        <v>0</v>
      </c>
      <c r="F875" s="197">
        <v>0</v>
      </c>
      <c r="G875" s="197">
        <v>42000</v>
      </c>
      <c r="H875" s="197">
        <v>0</v>
      </c>
      <c r="I875" s="197">
        <v>0</v>
      </c>
      <c r="J875" s="197">
        <v>42000</v>
      </c>
      <c r="K875" s="197">
        <v>42000</v>
      </c>
      <c r="L875" s="197">
        <v>0</v>
      </c>
      <c r="M875" s="197">
        <v>0</v>
      </c>
      <c r="N875" s="197">
        <v>0</v>
      </c>
      <c r="O875" s="197">
        <v>0</v>
      </c>
      <c r="P875" s="197">
        <v>0</v>
      </c>
      <c r="Q875" s="197">
        <v>0</v>
      </c>
      <c r="R875" s="260" t="s">
        <v>239</v>
      </c>
      <c r="S875" s="260" t="s">
        <v>514</v>
      </c>
      <c r="T875" s="260" t="s">
        <v>239</v>
      </c>
      <c r="U875" s="260" t="s">
        <v>514</v>
      </c>
    </row>
    <row r="876" spans="1:21" ht="14.5" x14ac:dyDescent="0.35">
      <c r="A876" s="260" t="s">
        <v>566</v>
      </c>
      <c r="B876" s="190">
        <v>45797</v>
      </c>
      <c r="C876" s="197">
        <v>42000</v>
      </c>
      <c r="D876" s="197">
        <v>0</v>
      </c>
      <c r="E876" s="197">
        <v>0</v>
      </c>
      <c r="F876" s="197">
        <v>0</v>
      </c>
      <c r="G876" s="197">
        <v>42000</v>
      </c>
      <c r="H876" s="197">
        <v>0</v>
      </c>
      <c r="I876" s="197">
        <v>0</v>
      </c>
      <c r="J876" s="197">
        <v>42000</v>
      </c>
      <c r="K876" s="197">
        <v>42000</v>
      </c>
      <c r="L876" s="197">
        <v>0</v>
      </c>
      <c r="M876" s="197">
        <v>0</v>
      </c>
      <c r="N876" s="197">
        <v>0</v>
      </c>
      <c r="O876" s="197">
        <v>0</v>
      </c>
      <c r="P876" s="197">
        <v>0</v>
      </c>
      <c r="Q876" s="197">
        <v>0</v>
      </c>
      <c r="R876" s="260" t="s">
        <v>239</v>
      </c>
      <c r="S876" s="260" t="s">
        <v>514</v>
      </c>
      <c r="T876" s="260" t="s">
        <v>239</v>
      </c>
      <c r="U876" s="260" t="s">
        <v>514</v>
      </c>
    </row>
    <row r="877" spans="1:21" ht="14.5" x14ac:dyDescent="0.35">
      <c r="A877" s="260" t="s">
        <v>566</v>
      </c>
      <c r="B877" s="190">
        <v>45798</v>
      </c>
      <c r="C877" s="197">
        <v>42000</v>
      </c>
      <c r="D877" s="197">
        <v>0</v>
      </c>
      <c r="E877" s="197">
        <v>0</v>
      </c>
      <c r="F877" s="197">
        <v>0</v>
      </c>
      <c r="G877" s="197">
        <v>42000</v>
      </c>
      <c r="H877" s="197">
        <v>0</v>
      </c>
      <c r="I877" s="197">
        <v>0</v>
      </c>
      <c r="J877" s="197">
        <v>42000</v>
      </c>
      <c r="K877" s="197">
        <v>42000</v>
      </c>
      <c r="L877" s="197">
        <v>0</v>
      </c>
      <c r="M877" s="197">
        <v>0</v>
      </c>
      <c r="N877" s="197">
        <v>0</v>
      </c>
      <c r="O877" s="197">
        <v>0</v>
      </c>
      <c r="P877" s="197">
        <v>0</v>
      </c>
      <c r="Q877" s="197">
        <v>0</v>
      </c>
      <c r="R877" s="260" t="s">
        <v>239</v>
      </c>
      <c r="S877" s="260" t="s">
        <v>514</v>
      </c>
      <c r="T877" s="260" t="s">
        <v>239</v>
      </c>
      <c r="U877" s="260" t="s">
        <v>514</v>
      </c>
    </row>
    <row r="878" spans="1:21" ht="14.5" x14ac:dyDescent="0.35">
      <c r="A878" s="260" t="s">
        <v>566</v>
      </c>
      <c r="B878" s="190">
        <v>45799</v>
      </c>
      <c r="C878" s="197">
        <v>42000</v>
      </c>
      <c r="D878" s="197">
        <v>0</v>
      </c>
      <c r="E878" s="197">
        <v>0</v>
      </c>
      <c r="F878" s="197">
        <v>0</v>
      </c>
      <c r="G878" s="197">
        <v>42000</v>
      </c>
      <c r="H878" s="197">
        <v>0</v>
      </c>
      <c r="I878" s="197">
        <v>0</v>
      </c>
      <c r="J878" s="197">
        <v>42000</v>
      </c>
      <c r="K878" s="197">
        <v>42000</v>
      </c>
      <c r="L878" s="197">
        <v>0</v>
      </c>
      <c r="M878" s="197">
        <v>0</v>
      </c>
      <c r="N878" s="197">
        <v>0</v>
      </c>
      <c r="O878" s="197">
        <v>0</v>
      </c>
      <c r="P878" s="197">
        <v>0</v>
      </c>
      <c r="Q878" s="197">
        <v>0</v>
      </c>
      <c r="R878" s="260" t="s">
        <v>239</v>
      </c>
      <c r="S878" s="260" t="s">
        <v>514</v>
      </c>
      <c r="T878" s="260" t="s">
        <v>239</v>
      </c>
      <c r="U878" s="260" t="s">
        <v>514</v>
      </c>
    </row>
    <row r="879" spans="1:21" ht="14.5" x14ac:dyDescent="0.35">
      <c r="A879" s="260" t="s">
        <v>566</v>
      </c>
      <c r="B879" s="190">
        <v>45800</v>
      </c>
      <c r="C879" s="197">
        <v>42000</v>
      </c>
      <c r="D879" s="197">
        <v>0</v>
      </c>
      <c r="E879" s="197">
        <v>0</v>
      </c>
      <c r="F879" s="197">
        <v>0</v>
      </c>
      <c r="G879" s="197">
        <v>42000</v>
      </c>
      <c r="H879" s="197">
        <v>0</v>
      </c>
      <c r="I879" s="197">
        <v>0</v>
      </c>
      <c r="J879" s="197">
        <v>42000</v>
      </c>
      <c r="K879" s="197">
        <v>42000</v>
      </c>
      <c r="L879" s="197">
        <v>0</v>
      </c>
      <c r="M879" s="197">
        <v>0</v>
      </c>
      <c r="N879" s="197">
        <v>0</v>
      </c>
      <c r="O879" s="197">
        <v>0</v>
      </c>
      <c r="P879" s="197">
        <v>0</v>
      </c>
      <c r="Q879" s="197">
        <v>0</v>
      </c>
      <c r="R879" s="260" t="s">
        <v>239</v>
      </c>
      <c r="S879" s="260" t="s">
        <v>514</v>
      </c>
      <c r="T879" s="260" t="s">
        <v>239</v>
      </c>
      <c r="U879" s="260" t="s">
        <v>514</v>
      </c>
    </row>
    <row r="880" spans="1:21" ht="14.5" x14ac:dyDescent="0.35">
      <c r="A880" s="260" t="s">
        <v>566</v>
      </c>
      <c r="B880" s="190">
        <v>45801</v>
      </c>
      <c r="C880" s="197">
        <v>42000</v>
      </c>
      <c r="D880" s="197">
        <v>0</v>
      </c>
      <c r="E880" s="197">
        <v>0</v>
      </c>
      <c r="F880" s="197">
        <v>0</v>
      </c>
      <c r="G880" s="197">
        <v>42000</v>
      </c>
      <c r="H880" s="197">
        <v>0</v>
      </c>
      <c r="I880" s="197">
        <v>0</v>
      </c>
      <c r="J880" s="197">
        <v>42000</v>
      </c>
      <c r="K880" s="197">
        <v>42000</v>
      </c>
      <c r="L880" s="197">
        <v>0</v>
      </c>
      <c r="M880" s="197">
        <v>0</v>
      </c>
      <c r="N880" s="197">
        <v>0</v>
      </c>
      <c r="O880" s="197">
        <v>0</v>
      </c>
      <c r="P880" s="197">
        <v>0</v>
      </c>
      <c r="Q880" s="197">
        <v>0</v>
      </c>
      <c r="R880" s="260" t="s">
        <v>239</v>
      </c>
      <c r="S880" s="260" t="s">
        <v>514</v>
      </c>
      <c r="T880" s="260" t="s">
        <v>239</v>
      </c>
      <c r="U880" s="260" t="s">
        <v>514</v>
      </c>
    </row>
    <row r="881" spans="1:21" ht="14.5" x14ac:dyDescent="0.35">
      <c r="A881" s="260" t="s">
        <v>566</v>
      </c>
      <c r="B881" s="190">
        <v>45802</v>
      </c>
      <c r="C881" s="197">
        <v>42000</v>
      </c>
      <c r="D881" s="197">
        <v>0</v>
      </c>
      <c r="E881" s="197">
        <v>0</v>
      </c>
      <c r="F881" s="197">
        <v>0</v>
      </c>
      <c r="G881" s="197">
        <v>42000</v>
      </c>
      <c r="H881" s="197">
        <v>0</v>
      </c>
      <c r="I881" s="197">
        <v>0</v>
      </c>
      <c r="J881" s="197">
        <v>42000</v>
      </c>
      <c r="K881" s="197">
        <v>42000</v>
      </c>
      <c r="L881" s="197">
        <v>0</v>
      </c>
      <c r="M881" s="197">
        <v>0</v>
      </c>
      <c r="N881" s="197">
        <v>0</v>
      </c>
      <c r="O881" s="197">
        <v>0</v>
      </c>
      <c r="P881" s="197">
        <v>0</v>
      </c>
      <c r="Q881" s="197">
        <v>0</v>
      </c>
      <c r="R881" s="260" t="s">
        <v>239</v>
      </c>
      <c r="S881" s="260" t="s">
        <v>514</v>
      </c>
      <c r="T881" s="260" t="s">
        <v>239</v>
      </c>
      <c r="U881" s="260" t="s">
        <v>514</v>
      </c>
    </row>
    <row r="882" spans="1:21" ht="14.5" x14ac:dyDescent="0.35">
      <c r="A882" s="260" t="s">
        <v>566</v>
      </c>
      <c r="B882" s="190">
        <v>45803</v>
      </c>
      <c r="C882" s="197">
        <v>42000</v>
      </c>
      <c r="D882" s="197">
        <v>0</v>
      </c>
      <c r="E882" s="197">
        <v>0</v>
      </c>
      <c r="F882" s="197">
        <v>0</v>
      </c>
      <c r="G882" s="197">
        <v>42000</v>
      </c>
      <c r="H882" s="197">
        <v>0</v>
      </c>
      <c r="I882" s="197">
        <v>0</v>
      </c>
      <c r="J882" s="197">
        <v>42000</v>
      </c>
      <c r="K882" s="197">
        <v>42000</v>
      </c>
      <c r="L882" s="197">
        <v>0</v>
      </c>
      <c r="M882" s="197">
        <v>0</v>
      </c>
      <c r="N882" s="197">
        <v>0</v>
      </c>
      <c r="O882" s="197">
        <v>0</v>
      </c>
      <c r="P882" s="197">
        <v>0</v>
      </c>
      <c r="Q882" s="197">
        <v>0</v>
      </c>
      <c r="R882" s="260" t="s">
        <v>239</v>
      </c>
      <c r="S882" s="260" t="s">
        <v>514</v>
      </c>
      <c r="T882" s="260" t="s">
        <v>239</v>
      </c>
      <c r="U882" s="260" t="s">
        <v>514</v>
      </c>
    </row>
    <row r="883" spans="1:21" ht="14.5" x14ac:dyDescent="0.35">
      <c r="A883" s="260" t="s">
        <v>566</v>
      </c>
      <c r="B883" s="190">
        <v>45804</v>
      </c>
      <c r="C883" s="197">
        <v>42000</v>
      </c>
      <c r="D883" s="197">
        <v>0</v>
      </c>
      <c r="E883" s="197">
        <v>0</v>
      </c>
      <c r="F883" s="197">
        <v>0</v>
      </c>
      <c r="G883" s="197">
        <v>42000</v>
      </c>
      <c r="H883" s="197">
        <v>0</v>
      </c>
      <c r="I883" s="197">
        <v>0</v>
      </c>
      <c r="J883" s="197">
        <v>42000</v>
      </c>
      <c r="K883" s="197">
        <v>42000</v>
      </c>
      <c r="L883" s="197">
        <v>0</v>
      </c>
      <c r="M883" s="197">
        <v>0</v>
      </c>
      <c r="N883" s="197">
        <v>0</v>
      </c>
      <c r="O883" s="197">
        <v>0</v>
      </c>
      <c r="P883" s="197">
        <v>0</v>
      </c>
      <c r="Q883" s="197">
        <v>0</v>
      </c>
      <c r="R883" s="260" t="s">
        <v>239</v>
      </c>
      <c r="S883" s="260" t="s">
        <v>514</v>
      </c>
      <c r="T883" s="260" t="s">
        <v>239</v>
      </c>
      <c r="U883" s="260" t="s">
        <v>514</v>
      </c>
    </row>
    <row r="884" spans="1:21" ht="14.5" x14ac:dyDescent="0.35">
      <c r="A884" s="260" t="s">
        <v>566</v>
      </c>
      <c r="B884" s="190">
        <v>45805</v>
      </c>
      <c r="C884" s="197">
        <v>42000</v>
      </c>
      <c r="D884" s="197">
        <v>0</v>
      </c>
      <c r="E884" s="197">
        <v>0</v>
      </c>
      <c r="F884" s="197">
        <v>0</v>
      </c>
      <c r="G884" s="197">
        <v>42000</v>
      </c>
      <c r="H884" s="197">
        <v>0</v>
      </c>
      <c r="I884" s="197">
        <v>0</v>
      </c>
      <c r="J884" s="197">
        <v>42000</v>
      </c>
      <c r="K884" s="197">
        <v>42000</v>
      </c>
      <c r="L884" s="197">
        <v>0</v>
      </c>
      <c r="M884" s="197">
        <v>0</v>
      </c>
      <c r="N884" s="197">
        <v>0</v>
      </c>
      <c r="O884" s="197">
        <v>0</v>
      </c>
      <c r="P884" s="197">
        <v>0</v>
      </c>
      <c r="Q884" s="197">
        <v>0</v>
      </c>
      <c r="R884" s="260" t="s">
        <v>239</v>
      </c>
      <c r="S884" s="260" t="s">
        <v>514</v>
      </c>
      <c r="T884" s="260" t="s">
        <v>239</v>
      </c>
      <c r="U884" s="260" t="s">
        <v>514</v>
      </c>
    </row>
    <row r="885" spans="1:21" ht="14.5" x14ac:dyDescent="0.35">
      <c r="A885" s="260" t="s">
        <v>566</v>
      </c>
      <c r="B885" s="190">
        <v>45806</v>
      </c>
      <c r="C885" s="197">
        <v>42000</v>
      </c>
      <c r="D885" s="197">
        <v>0</v>
      </c>
      <c r="E885" s="197">
        <v>0</v>
      </c>
      <c r="F885" s="197">
        <v>0</v>
      </c>
      <c r="G885" s="197">
        <v>42000</v>
      </c>
      <c r="H885" s="197">
        <v>0</v>
      </c>
      <c r="I885" s="197">
        <v>0</v>
      </c>
      <c r="J885" s="197">
        <v>42000</v>
      </c>
      <c r="K885" s="197">
        <v>42000</v>
      </c>
      <c r="L885" s="197">
        <v>0</v>
      </c>
      <c r="M885" s="197">
        <v>0</v>
      </c>
      <c r="N885" s="197">
        <v>0</v>
      </c>
      <c r="O885" s="197">
        <v>0</v>
      </c>
      <c r="P885" s="197">
        <v>0</v>
      </c>
      <c r="Q885" s="197">
        <v>0</v>
      </c>
      <c r="R885" s="260" t="s">
        <v>239</v>
      </c>
      <c r="S885" s="260" t="s">
        <v>514</v>
      </c>
      <c r="T885" s="260" t="s">
        <v>239</v>
      </c>
      <c r="U885" s="260" t="s">
        <v>514</v>
      </c>
    </row>
    <row r="886" spans="1:21" ht="14.5" x14ac:dyDescent="0.35">
      <c r="A886" s="260" t="s">
        <v>566</v>
      </c>
      <c r="B886" s="190">
        <v>45807</v>
      </c>
      <c r="C886" s="197">
        <v>42000</v>
      </c>
      <c r="D886" s="197">
        <v>0</v>
      </c>
      <c r="E886" s="197">
        <v>0</v>
      </c>
      <c r="F886" s="197">
        <v>0</v>
      </c>
      <c r="G886" s="197">
        <v>42000</v>
      </c>
      <c r="H886" s="197">
        <v>0</v>
      </c>
      <c r="I886" s="197">
        <v>0</v>
      </c>
      <c r="J886" s="197">
        <v>42000</v>
      </c>
      <c r="K886" s="197">
        <v>42000</v>
      </c>
      <c r="L886" s="197">
        <v>0</v>
      </c>
      <c r="M886" s="197">
        <v>0</v>
      </c>
      <c r="N886" s="197">
        <v>0</v>
      </c>
      <c r="O886" s="197">
        <v>0</v>
      </c>
      <c r="P886" s="197">
        <v>0</v>
      </c>
      <c r="Q886" s="197">
        <v>0</v>
      </c>
      <c r="R886" s="260" t="s">
        <v>239</v>
      </c>
      <c r="S886" s="260" t="s">
        <v>514</v>
      </c>
      <c r="T886" s="260" t="s">
        <v>239</v>
      </c>
      <c r="U886" s="260" t="s">
        <v>514</v>
      </c>
    </row>
    <row r="887" spans="1:21" ht="14.5" x14ac:dyDescent="0.35">
      <c r="A887" s="260" t="s">
        <v>566</v>
      </c>
      <c r="B887" s="190">
        <v>45808</v>
      </c>
      <c r="C887" s="197">
        <v>42000</v>
      </c>
      <c r="D887" s="197">
        <v>0</v>
      </c>
      <c r="E887" s="197">
        <v>0</v>
      </c>
      <c r="F887" s="197">
        <v>0</v>
      </c>
      <c r="G887" s="197">
        <v>42000</v>
      </c>
      <c r="H887" s="197">
        <v>0</v>
      </c>
      <c r="I887" s="197">
        <v>0</v>
      </c>
      <c r="J887" s="197">
        <v>42000</v>
      </c>
      <c r="K887" s="197">
        <v>42000</v>
      </c>
      <c r="L887" s="197">
        <v>0</v>
      </c>
      <c r="M887" s="197">
        <v>0</v>
      </c>
      <c r="N887" s="197">
        <v>0</v>
      </c>
      <c r="O887" s="197">
        <v>0</v>
      </c>
      <c r="P887" s="197">
        <v>0</v>
      </c>
      <c r="Q887" s="197">
        <v>0</v>
      </c>
      <c r="R887" s="260" t="s">
        <v>239</v>
      </c>
      <c r="S887" s="260" t="s">
        <v>514</v>
      </c>
      <c r="T887" s="260" t="s">
        <v>239</v>
      </c>
      <c r="U887" s="260" t="s">
        <v>514</v>
      </c>
    </row>
    <row r="888" spans="1:21" ht="14.5" x14ac:dyDescent="0.35">
      <c r="A888" s="260" t="s">
        <v>566</v>
      </c>
      <c r="B888" s="190">
        <v>45809</v>
      </c>
      <c r="C888" s="197">
        <v>42000</v>
      </c>
      <c r="D888" s="197">
        <v>0</v>
      </c>
      <c r="E888" s="197">
        <v>0</v>
      </c>
      <c r="F888" s="197">
        <v>0</v>
      </c>
      <c r="G888" s="197">
        <v>42000</v>
      </c>
      <c r="H888" s="197">
        <v>0</v>
      </c>
      <c r="I888" s="197">
        <v>0</v>
      </c>
      <c r="J888" s="197">
        <v>42000</v>
      </c>
      <c r="K888" s="197">
        <v>42000</v>
      </c>
      <c r="L888" s="197">
        <v>0</v>
      </c>
      <c r="M888" s="197">
        <v>0</v>
      </c>
      <c r="N888" s="197">
        <v>0</v>
      </c>
      <c r="O888" s="197">
        <v>0</v>
      </c>
      <c r="P888" s="197">
        <v>0</v>
      </c>
      <c r="Q888" s="197">
        <v>0</v>
      </c>
      <c r="R888" s="260" t="s">
        <v>239</v>
      </c>
      <c r="S888" s="260" t="s">
        <v>514</v>
      </c>
      <c r="T888" s="260" t="s">
        <v>239</v>
      </c>
      <c r="U888" s="260" t="s">
        <v>514</v>
      </c>
    </row>
    <row r="889" spans="1:21" ht="14.5" x14ac:dyDescent="0.35">
      <c r="A889" s="260" t="s">
        <v>566</v>
      </c>
      <c r="B889" s="190">
        <v>45810</v>
      </c>
      <c r="C889" s="197">
        <v>42000</v>
      </c>
      <c r="D889" s="197">
        <v>0</v>
      </c>
      <c r="E889" s="197">
        <v>0</v>
      </c>
      <c r="F889" s="197">
        <v>0</v>
      </c>
      <c r="G889" s="197">
        <v>42000</v>
      </c>
      <c r="H889" s="197">
        <v>0</v>
      </c>
      <c r="I889" s="197">
        <v>0</v>
      </c>
      <c r="J889" s="197">
        <v>42000</v>
      </c>
      <c r="K889" s="197">
        <v>42000</v>
      </c>
      <c r="L889" s="197">
        <v>0</v>
      </c>
      <c r="M889" s="197">
        <v>0</v>
      </c>
      <c r="N889" s="197">
        <v>0</v>
      </c>
      <c r="O889" s="197">
        <v>0</v>
      </c>
      <c r="P889" s="197">
        <v>0</v>
      </c>
      <c r="Q889" s="197">
        <v>0</v>
      </c>
      <c r="R889" s="260" t="s">
        <v>239</v>
      </c>
      <c r="S889" s="260" t="s">
        <v>514</v>
      </c>
      <c r="T889" s="260" t="s">
        <v>239</v>
      </c>
      <c r="U889" s="260" t="s">
        <v>514</v>
      </c>
    </row>
    <row r="890" spans="1:21" ht="14.5" x14ac:dyDescent="0.35">
      <c r="A890" s="260" t="s">
        <v>566</v>
      </c>
      <c r="B890" s="190">
        <v>45811</v>
      </c>
      <c r="C890" s="197">
        <v>42000</v>
      </c>
      <c r="D890" s="197">
        <v>0</v>
      </c>
      <c r="E890" s="197">
        <v>0</v>
      </c>
      <c r="F890" s="197">
        <v>0</v>
      </c>
      <c r="G890" s="197">
        <v>42000</v>
      </c>
      <c r="H890" s="197">
        <v>0</v>
      </c>
      <c r="I890" s="197">
        <v>0</v>
      </c>
      <c r="J890" s="197">
        <v>42000</v>
      </c>
      <c r="K890" s="197">
        <v>42000</v>
      </c>
      <c r="L890" s="197">
        <v>0</v>
      </c>
      <c r="M890" s="197">
        <v>0</v>
      </c>
      <c r="N890" s="197">
        <v>0</v>
      </c>
      <c r="O890" s="197">
        <v>0</v>
      </c>
      <c r="P890" s="197">
        <v>0</v>
      </c>
      <c r="Q890" s="197">
        <v>0</v>
      </c>
      <c r="R890" s="260" t="s">
        <v>239</v>
      </c>
      <c r="S890" s="260" t="s">
        <v>514</v>
      </c>
      <c r="T890" s="260" t="s">
        <v>239</v>
      </c>
      <c r="U890" s="260" t="s">
        <v>514</v>
      </c>
    </row>
    <row r="891" spans="1:21" ht="14.5" x14ac:dyDescent="0.35">
      <c r="A891" s="260" t="s">
        <v>566</v>
      </c>
      <c r="B891" s="190">
        <v>45812</v>
      </c>
      <c r="C891" s="197">
        <v>42000</v>
      </c>
      <c r="D891" s="197">
        <v>0</v>
      </c>
      <c r="E891" s="197">
        <v>0</v>
      </c>
      <c r="F891" s="197">
        <v>0</v>
      </c>
      <c r="G891" s="197">
        <v>42000</v>
      </c>
      <c r="H891" s="197">
        <v>0</v>
      </c>
      <c r="I891" s="197">
        <v>0</v>
      </c>
      <c r="J891" s="197">
        <v>42000</v>
      </c>
      <c r="K891" s="197">
        <v>42000</v>
      </c>
      <c r="L891" s="197">
        <v>0</v>
      </c>
      <c r="M891" s="197">
        <v>0</v>
      </c>
      <c r="N891" s="197">
        <v>0</v>
      </c>
      <c r="O891" s="197">
        <v>0</v>
      </c>
      <c r="P891" s="197">
        <v>0</v>
      </c>
      <c r="Q891" s="197">
        <v>0</v>
      </c>
      <c r="R891" s="260" t="s">
        <v>239</v>
      </c>
      <c r="S891" s="260" t="s">
        <v>514</v>
      </c>
      <c r="T891" s="260" t="s">
        <v>239</v>
      </c>
      <c r="U891" s="260" t="s">
        <v>514</v>
      </c>
    </row>
    <row r="892" spans="1:21" ht="14.5" x14ac:dyDescent="0.35">
      <c r="A892" s="260" t="s">
        <v>566</v>
      </c>
      <c r="B892" s="190">
        <v>45813</v>
      </c>
      <c r="C892" s="197">
        <v>42000</v>
      </c>
      <c r="D892" s="197">
        <v>0</v>
      </c>
      <c r="E892" s="197">
        <v>0</v>
      </c>
      <c r="F892" s="197">
        <v>0</v>
      </c>
      <c r="G892" s="197">
        <v>42000</v>
      </c>
      <c r="H892" s="197">
        <v>0</v>
      </c>
      <c r="I892" s="197">
        <v>0</v>
      </c>
      <c r="J892" s="197">
        <v>42000</v>
      </c>
      <c r="K892" s="197">
        <v>42000</v>
      </c>
      <c r="L892" s="197">
        <v>0</v>
      </c>
      <c r="M892" s="197">
        <v>0</v>
      </c>
      <c r="N892" s="197">
        <v>0</v>
      </c>
      <c r="O892" s="197">
        <v>0</v>
      </c>
      <c r="P892" s="197">
        <v>0</v>
      </c>
      <c r="Q892" s="197">
        <v>0</v>
      </c>
      <c r="R892" s="260" t="s">
        <v>239</v>
      </c>
      <c r="S892" s="260" t="s">
        <v>514</v>
      </c>
      <c r="T892" s="260" t="s">
        <v>239</v>
      </c>
      <c r="U892" s="260" t="s">
        <v>514</v>
      </c>
    </row>
    <row r="893" spans="1:21" ht="14.5" x14ac:dyDescent="0.35">
      <c r="A893" s="260" t="s">
        <v>566</v>
      </c>
      <c r="B893" s="190">
        <v>45814</v>
      </c>
      <c r="C893" s="197">
        <v>42000</v>
      </c>
      <c r="D893" s="197">
        <v>0</v>
      </c>
      <c r="E893" s="197">
        <v>0</v>
      </c>
      <c r="F893" s="197">
        <v>0</v>
      </c>
      <c r="G893" s="197">
        <v>42000</v>
      </c>
      <c r="H893" s="197">
        <v>0</v>
      </c>
      <c r="I893" s="197">
        <v>0</v>
      </c>
      <c r="J893" s="197">
        <v>42000</v>
      </c>
      <c r="K893" s="197">
        <v>42000</v>
      </c>
      <c r="L893" s="197">
        <v>0</v>
      </c>
      <c r="M893" s="197">
        <v>0</v>
      </c>
      <c r="N893" s="197">
        <v>0</v>
      </c>
      <c r="O893" s="197">
        <v>0</v>
      </c>
      <c r="P893" s="197">
        <v>0</v>
      </c>
      <c r="Q893" s="197">
        <v>0</v>
      </c>
      <c r="R893" s="260" t="s">
        <v>239</v>
      </c>
      <c r="S893" s="260" t="s">
        <v>514</v>
      </c>
      <c r="T893" s="260" t="s">
        <v>239</v>
      </c>
      <c r="U893" s="260" t="s">
        <v>514</v>
      </c>
    </row>
    <row r="894" spans="1:21" ht="14.5" x14ac:dyDescent="0.35">
      <c r="A894" s="260" t="s">
        <v>566</v>
      </c>
      <c r="B894" s="190">
        <v>45815</v>
      </c>
      <c r="C894" s="197">
        <v>42000</v>
      </c>
      <c r="D894" s="197">
        <v>0</v>
      </c>
      <c r="E894" s="197">
        <v>0</v>
      </c>
      <c r="F894" s="197">
        <v>0</v>
      </c>
      <c r="G894" s="197">
        <v>42000</v>
      </c>
      <c r="H894" s="197">
        <v>0</v>
      </c>
      <c r="I894" s="197">
        <v>0</v>
      </c>
      <c r="J894" s="197">
        <v>42000</v>
      </c>
      <c r="K894" s="197">
        <v>42000</v>
      </c>
      <c r="L894" s="197">
        <v>0</v>
      </c>
      <c r="M894" s="197">
        <v>0</v>
      </c>
      <c r="N894" s="197">
        <v>0</v>
      </c>
      <c r="O894" s="197">
        <v>0</v>
      </c>
      <c r="P894" s="197">
        <v>0</v>
      </c>
      <c r="Q894" s="197">
        <v>0</v>
      </c>
      <c r="R894" s="260" t="s">
        <v>239</v>
      </c>
      <c r="S894" s="260" t="s">
        <v>514</v>
      </c>
      <c r="T894" s="260" t="s">
        <v>239</v>
      </c>
      <c r="U894" s="260" t="s">
        <v>514</v>
      </c>
    </row>
    <row r="895" spans="1:21" ht="14.5" x14ac:dyDescent="0.35">
      <c r="A895" s="260" t="s">
        <v>566</v>
      </c>
      <c r="B895" s="190">
        <v>45816</v>
      </c>
      <c r="C895" s="197">
        <v>42000</v>
      </c>
      <c r="D895" s="197">
        <v>0</v>
      </c>
      <c r="E895" s="197">
        <v>0</v>
      </c>
      <c r="F895" s="197">
        <v>0</v>
      </c>
      <c r="G895" s="197">
        <v>42000</v>
      </c>
      <c r="H895" s="197">
        <v>0</v>
      </c>
      <c r="I895" s="197">
        <v>0</v>
      </c>
      <c r="J895" s="197">
        <v>42000</v>
      </c>
      <c r="K895" s="197">
        <v>42000</v>
      </c>
      <c r="L895" s="197">
        <v>0</v>
      </c>
      <c r="M895" s="197">
        <v>0</v>
      </c>
      <c r="N895" s="197">
        <v>0</v>
      </c>
      <c r="O895" s="197">
        <v>0</v>
      </c>
      <c r="P895" s="197">
        <v>0</v>
      </c>
      <c r="Q895" s="197">
        <v>0</v>
      </c>
      <c r="R895" s="260" t="s">
        <v>239</v>
      </c>
      <c r="S895" s="260" t="s">
        <v>514</v>
      </c>
      <c r="T895" s="260" t="s">
        <v>239</v>
      </c>
      <c r="U895" s="260" t="s">
        <v>514</v>
      </c>
    </row>
    <row r="896" spans="1:21" ht="14.5" x14ac:dyDescent="0.35">
      <c r="A896" s="260" t="s">
        <v>566</v>
      </c>
      <c r="B896" s="190">
        <v>45817</v>
      </c>
      <c r="C896" s="197">
        <v>42000</v>
      </c>
      <c r="D896" s="197">
        <v>0</v>
      </c>
      <c r="E896" s="197">
        <v>0</v>
      </c>
      <c r="F896" s="197">
        <v>0</v>
      </c>
      <c r="G896" s="197">
        <v>42000</v>
      </c>
      <c r="H896" s="197">
        <v>0</v>
      </c>
      <c r="I896" s="197">
        <v>0</v>
      </c>
      <c r="J896" s="197">
        <v>42000</v>
      </c>
      <c r="K896" s="197">
        <v>42000</v>
      </c>
      <c r="L896" s="197">
        <v>0</v>
      </c>
      <c r="M896" s="197">
        <v>0</v>
      </c>
      <c r="N896" s="197">
        <v>0</v>
      </c>
      <c r="O896" s="197">
        <v>0</v>
      </c>
      <c r="P896" s="197">
        <v>0</v>
      </c>
      <c r="Q896" s="197">
        <v>0</v>
      </c>
      <c r="R896" s="260" t="s">
        <v>239</v>
      </c>
      <c r="S896" s="260" t="s">
        <v>514</v>
      </c>
      <c r="T896" s="260" t="s">
        <v>239</v>
      </c>
      <c r="U896" s="260" t="s">
        <v>514</v>
      </c>
    </row>
    <row r="897" spans="1:21" ht="14.5" x14ac:dyDescent="0.35">
      <c r="A897" s="260" t="s">
        <v>566</v>
      </c>
      <c r="B897" s="190">
        <v>45818</v>
      </c>
      <c r="C897" s="197">
        <v>42000</v>
      </c>
      <c r="D897" s="197">
        <v>0</v>
      </c>
      <c r="E897" s="197">
        <v>0</v>
      </c>
      <c r="F897" s="197">
        <v>0</v>
      </c>
      <c r="G897" s="197">
        <v>42000</v>
      </c>
      <c r="H897" s="197">
        <v>0</v>
      </c>
      <c r="I897" s="197">
        <v>0</v>
      </c>
      <c r="J897" s="197">
        <v>42000</v>
      </c>
      <c r="K897" s="197">
        <v>42000</v>
      </c>
      <c r="L897" s="197">
        <v>0</v>
      </c>
      <c r="M897" s="197">
        <v>0</v>
      </c>
      <c r="N897" s="197">
        <v>0</v>
      </c>
      <c r="O897" s="197">
        <v>0</v>
      </c>
      <c r="P897" s="197">
        <v>0</v>
      </c>
      <c r="Q897" s="197">
        <v>0</v>
      </c>
      <c r="R897" s="260" t="s">
        <v>239</v>
      </c>
      <c r="S897" s="260" t="s">
        <v>514</v>
      </c>
      <c r="T897" s="260" t="s">
        <v>239</v>
      </c>
      <c r="U897" s="260" t="s">
        <v>514</v>
      </c>
    </row>
    <row r="898" spans="1:21" ht="14.5" x14ac:dyDescent="0.35">
      <c r="A898" s="260" t="s">
        <v>566</v>
      </c>
      <c r="B898" s="190">
        <v>45819</v>
      </c>
      <c r="C898" s="197">
        <v>42000</v>
      </c>
      <c r="D898" s="197">
        <v>0</v>
      </c>
      <c r="E898" s="197">
        <v>0</v>
      </c>
      <c r="F898" s="197">
        <v>0</v>
      </c>
      <c r="G898" s="197">
        <v>42000</v>
      </c>
      <c r="H898" s="197">
        <v>0</v>
      </c>
      <c r="I898" s="197">
        <v>0</v>
      </c>
      <c r="J898" s="197">
        <v>42000</v>
      </c>
      <c r="K898" s="197">
        <v>42000</v>
      </c>
      <c r="L898" s="197">
        <v>0</v>
      </c>
      <c r="M898" s="197">
        <v>0</v>
      </c>
      <c r="N898" s="197">
        <v>0</v>
      </c>
      <c r="O898" s="197">
        <v>0</v>
      </c>
      <c r="P898" s="197">
        <v>0</v>
      </c>
      <c r="Q898" s="197">
        <v>0</v>
      </c>
      <c r="R898" s="260" t="s">
        <v>239</v>
      </c>
      <c r="S898" s="260" t="s">
        <v>514</v>
      </c>
      <c r="T898" s="260" t="s">
        <v>239</v>
      </c>
      <c r="U898" s="260" t="s">
        <v>514</v>
      </c>
    </row>
    <row r="899" spans="1:21" ht="14.5" x14ac:dyDescent="0.35">
      <c r="A899" s="260" t="s">
        <v>566</v>
      </c>
      <c r="B899" s="190">
        <v>45820</v>
      </c>
      <c r="C899" s="197">
        <v>42000</v>
      </c>
      <c r="D899" s="197">
        <v>0</v>
      </c>
      <c r="E899" s="197">
        <v>0</v>
      </c>
      <c r="F899" s="197">
        <v>0</v>
      </c>
      <c r="G899" s="197">
        <v>42000</v>
      </c>
      <c r="H899" s="197">
        <v>0</v>
      </c>
      <c r="I899" s="197">
        <v>0</v>
      </c>
      <c r="J899" s="197">
        <v>42000</v>
      </c>
      <c r="K899" s="197">
        <v>42000</v>
      </c>
      <c r="L899" s="197">
        <v>0</v>
      </c>
      <c r="M899" s="197">
        <v>0</v>
      </c>
      <c r="N899" s="197">
        <v>0</v>
      </c>
      <c r="O899" s="197">
        <v>0</v>
      </c>
      <c r="P899" s="197">
        <v>0</v>
      </c>
      <c r="Q899" s="197">
        <v>0</v>
      </c>
      <c r="R899" s="260" t="s">
        <v>239</v>
      </c>
      <c r="S899" s="260" t="s">
        <v>514</v>
      </c>
      <c r="T899" s="260" t="s">
        <v>239</v>
      </c>
      <c r="U899" s="260" t="s">
        <v>514</v>
      </c>
    </row>
    <row r="900" spans="1:21" ht="14.5" x14ac:dyDescent="0.35">
      <c r="A900" s="260" t="s">
        <v>566</v>
      </c>
      <c r="B900" s="190">
        <v>45821</v>
      </c>
      <c r="C900" s="197">
        <v>42000</v>
      </c>
      <c r="D900" s="197">
        <v>0</v>
      </c>
      <c r="E900" s="197">
        <v>0</v>
      </c>
      <c r="F900" s="197">
        <v>0</v>
      </c>
      <c r="G900" s="197">
        <v>42000</v>
      </c>
      <c r="H900" s="197">
        <v>0</v>
      </c>
      <c r="I900" s="197">
        <v>0</v>
      </c>
      <c r="J900" s="197">
        <v>42000</v>
      </c>
      <c r="K900" s="197">
        <v>42000</v>
      </c>
      <c r="L900" s="197">
        <v>0</v>
      </c>
      <c r="M900" s="197">
        <v>0</v>
      </c>
      <c r="N900" s="197">
        <v>0</v>
      </c>
      <c r="O900" s="197">
        <v>0</v>
      </c>
      <c r="P900" s="197">
        <v>0</v>
      </c>
      <c r="Q900" s="197">
        <v>0</v>
      </c>
      <c r="R900" s="260" t="s">
        <v>239</v>
      </c>
      <c r="S900" s="260" t="s">
        <v>514</v>
      </c>
      <c r="T900" s="260" t="s">
        <v>239</v>
      </c>
      <c r="U900" s="260" t="s">
        <v>514</v>
      </c>
    </row>
    <row r="901" spans="1:21" ht="14.5" x14ac:dyDescent="0.35">
      <c r="A901" s="260" t="s">
        <v>566</v>
      </c>
      <c r="B901" s="190">
        <v>45822</v>
      </c>
      <c r="C901" s="197">
        <v>42000</v>
      </c>
      <c r="D901" s="197">
        <v>0</v>
      </c>
      <c r="E901" s="197">
        <v>0</v>
      </c>
      <c r="F901" s="197">
        <v>0</v>
      </c>
      <c r="G901" s="197">
        <v>42000</v>
      </c>
      <c r="H901" s="197">
        <v>0</v>
      </c>
      <c r="I901" s="197">
        <v>0</v>
      </c>
      <c r="J901" s="197">
        <v>42000</v>
      </c>
      <c r="K901" s="197">
        <v>42000</v>
      </c>
      <c r="L901" s="197">
        <v>0</v>
      </c>
      <c r="M901" s="197">
        <v>0</v>
      </c>
      <c r="N901" s="197">
        <v>0</v>
      </c>
      <c r="O901" s="197">
        <v>0</v>
      </c>
      <c r="P901" s="197">
        <v>0</v>
      </c>
      <c r="Q901" s="197">
        <v>0</v>
      </c>
      <c r="R901" s="260" t="s">
        <v>239</v>
      </c>
      <c r="S901" s="260" t="s">
        <v>514</v>
      </c>
      <c r="T901" s="260" t="s">
        <v>239</v>
      </c>
      <c r="U901" s="260" t="s">
        <v>514</v>
      </c>
    </row>
    <row r="902" spans="1:21" ht="14.5" x14ac:dyDescent="0.35">
      <c r="A902" s="260" t="s">
        <v>566</v>
      </c>
      <c r="B902" s="190">
        <v>45823</v>
      </c>
      <c r="C902" s="197">
        <v>42000</v>
      </c>
      <c r="D902" s="197">
        <v>0</v>
      </c>
      <c r="E902" s="197">
        <v>0</v>
      </c>
      <c r="F902" s="197">
        <v>0</v>
      </c>
      <c r="G902" s="197">
        <v>42000</v>
      </c>
      <c r="H902" s="197">
        <v>0</v>
      </c>
      <c r="I902" s="197">
        <v>0</v>
      </c>
      <c r="J902" s="197">
        <v>42000</v>
      </c>
      <c r="K902" s="197">
        <v>42000</v>
      </c>
      <c r="L902" s="197">
        <v>0</v>
      </c>
      <c r="M902" s="197">
        <v>0</v>
      </c>
      <c r="N902" s="197">
        <v>0</v>
      </c>
      <c r="O902" s="197">
        <v>0</v>
      </c>
      <c r="P902" s="197">
        <v>0</v>
      </c>
      <c r="Q902" s="197">
        <v>0</v>
      </c>
      <c r="R902" s="260" t="s">
        <v>239</v>
      </c>
      <c r="S902" s="260" t="s">
        <v>514</v>
      </c>
      <c r="T902" s="260" t="s">
        <v>239</v>
      </c>
      <c r="U902" s="260" t="s">
        <v>514</v>
      </c>
    </row>
    <row r="903" spans="1:21" ht="14.5" x14ac:dyDescent="0.35">
      <c r="A903" s="260" t="s">
        <v>566</v>
      </c>
      <c r="B903" s="190">
        <v>45824</v>
      </c>
      <c r="C903" s="197">
        <v>42000</v>
      </c>
      <c r="D903" s="197">
        <v>0</v>
      </c>
      <c r="E903" s="197">
        <v>0</v>
      </c>
      <c r="F903" s="197">
        <v>0</v>
      </c>
      <c r="G903" s="197">
        <v>42000</v>
      </c>
      <c r="H903" s="197">
        <v>0</v>
      </c>
      <c r="I903" s="197">
        <v>0</v>
      </c>
      <c r="J903" s="197">
        <v>42000</v>
      </c>
      <c r="K903" s="197">
        <v>42000</v>
      </c>
      <c r="L903" s="197">
        <v>0</v>
      </c>
      <c r="M903" s="197">
        <v>0</v>
      </c>
      <c r="N903" s="197">
        <v>0</v>
      </c>
      <c r="O903" s="197">
        <v>0</v>
      </c>
      <c r="P903" s="197">
        <v>0</v>
      </c>
      <c r="Q903" s="197">
        <v>0</v>
      </c>
      <c r="R903" s="260" t="s">
        <v>239</v>
      </c>
      <c r="S903" s="260" t="s">
        <v>514</v>
      </c>
      <c r="T903" s="260" t="s">
        <v>239</v>
      </c>
      <c r="U903" s="260" t="s">
        <v>514</v>
      </c>
    </row>
    <row r="904" spans="1:21" ht="14.5" x14ac:dyDescent="0.35">
      <c r="A904" s="260" t="s">
        <v>566</v>
      </c>
      <c r="B904" s="190">
        <v>45825</v>
      </c>
      <c r="C904" s="197">
        <v>42000</v>
      </c>
      <c r="D904" s="197">
        <v>0</v>
      </c>
      <c r="E904" s="197">
        <v>0</v>
      </c>
      <c r="F904" s="197">
        <v>0</v>
      </c>
      <c r="G904" s="197">
        <v>42000</v>
      </c>
      <c r="H904" s="197">
        <v>0</v>
      </c>
      <c r="I904" s="197">
        <v>0</v>
      </c>
      <c r="J904" s="197">
        <v>42000</v>
      </c>
      <c r="K904" s="197">
        <v>42000</v>
      </c>
      <c r="L904" s="197">
        <v>0</v>
      </c>
      <c r="M904" s="197">
        <v>0</v>
      </c>
      <c r="N904" s="197">
        <v>0</v>
      </c>
      <c r="O904" s="197">
        <v>0</v>
      </c>
      <c r="P904" s="197">
        <v>0</v>
      </c>
      <c r="Q904" s="197">
        <v>0</v>
      </c>
      <c r="R904" s="260" t="s">
        <v>239</v>
      </c>
      <c r="S904" s="260" t="s">
        <v>514</v>
      </c>
      <c r="T904" s="260" t="s">
        <v>239</v>
      </c>
      <c r="U904" s="260" t="s">
        <v>514</v>
      </c>
    </row>
    <row r="905" spans="1:21" ht="14.5" x14ac:dyDescent="0.35">
      <c r="A905" s="260" t="s">
        <v>566</v>
      </c>
      <c r="B905" s="190">
        <v>45826</v>
      </c>
      <c r="C905" s="197">
        <v>42000</v>
      </c>
      <c r="D905" s="197">
        <v>0</v>
      </c>
      <c r="E905" s="197">
        <v>0</v>
      </c>
      <c r="F905" s="197">
        <v>0</v>
      </c>
      <c r="G905" s="197">
        <v>42000</v>
      </c>
      <c r="H905" s="197">
        <v>0</v>
      </c>
      <c r="I905" s="197">
        <v>0</v>
      </c>
      <c r="J905" s="197">
        <v>42000</v>
      </c>
      <c r="K905" s="197">
        <v>42000</v>
      </c>
      <c r="L905" s="197">
        <v>0</v>
      </c>
      <c r="M905" s="197">
        <v>0</v>
      </c>
      <c r="N905" s="197">
        <v>0</v>
      </c>
      <c r="O905" s="197">
        <v>0</v>
      </c>
      <c r="P905" s="197">
        <v>0</v>
      </c>
      <c r="Q905" s="197">
        <v>0</v>
      </c>
      <c r="R905" s="260" t="s">
        <v>239</v>
      </c>
      <c r="S905" s="260" t="s">
        <v>514</v>
      </c>
      <c r="T905" s="260" t="s">
        <v>239</v>
      </c>
      <c r="U905" s="260" t="s">
        <v>514</v>
      </c>
    </row>
    <row r="906" spans="1:21" ht="14.5" x14ac:dyDescent="0.35">
      <c r="A906" s="260" t="s">
        <v>566</v>
      </c>
      <c r="B906" s="190">
        <v>45827</v>
      </c>
      <c r="C906" s="197">
        <v>42000</v>
      </c>
      <c r="D906" s="197">
        <v>0</v>
      </c>
      <c r="E906" s="197">
        <v>0</v>
      </c>
      <c r="F906" s="197">
        <v>0</v>
      </c>
      <c r="G906" s="197">
        <v>42000</v>
      </c>
      <c r="H906" s="197">
        <v>0</v>
      </c>
      <c r="I906" s="197">
        <v>0</v>
      </c>
      <c r="J906" s="197">
        <v>42000</v>
      </c>
      <c r="K906" s="197">
        <v>42000</v>
      </c>
      <c r="L906" s="197">
        <v>0</v>
      </c>
      <c r="M906" s="197">
        <v>0</v>
      </c>
      <c r="N906" s="197">
        <v>0</v>
      </c>
      <c r="O906" s="197">
        <v>0</v>
      </c>
      <c r="P906" s="197">
        <v>0</v>
      </c>
      <c r="Q906" s="197">
        <v>0</v>
      </c>
      <c r="R906" s="260" t="s">
        <v>239</v>
      </c>
      <c r="S906" s="260" t="s">
        <v>514</v>
      </c>
      <c r="T906" s="260" t="s">
        <v>239</v>
      </c>
      <c r="U906" s="260" t="s">
        <v>514</v>
      </c>
    </row>
    <row r="907" spans="1:21" ht="14.5" x14ac:dyDescent="0.35">
      <c r="A907" s="260" t="s">
        <v>566</v>
      </c>
      <c r="B907" s="190">
        <v>45828</v>
      </c>
      <c r="C907" s="197">
        <v>42000</v>
      </c>
      <c r="D907" s="197">
        <v>0</v>
      </c>
      <c r="E907" s="197">
        <v>0</v>
      </c>
      <c r="F907" s="197">
        <v>0</v>
      </c>
      <c r="G907" s="197">
        <v>42000</v>
      </c>
      <c r="H907" s="197">
        <v>0</v>
      </c>
      <c r="I907" s="197">
        <v>0</v>
      </c>
      <c r="J907" s="197">
        <v>42000</v>
      </c>
      <c r="K907" s="197">
        <v>42000</v>
      </c>
      <c r="L907" s="197">
        <v>0</v>
      </c>
      <c r="M907" s="197">
        <v>0</v>
      </c>
      <c r="N907" s="197">
        <v>0</v>
      </c>
      <c r="O907" s="197">
        <v>0</v>
      </c>
      <c r="P907" s="197">
        <v>0</v>
      </c>
      <c r="Q907" s="197">
        <v>0</v>
      </c>
      <c r="R907" s="260" t="s">
        <v>239</v>
      </c>
      <c r="S907" s="260" t="s">
        <v>514</v>
      </c>
      <c r="T907" s="260" t="s">
        <v>239</v>
      </c>
      <c r="U907" s="260" t="s">
        <v>514</v>
      </c>
    </row>
    <row r="908" spans="1:21" ht="14.5" x14ac:dyDescent="0.35">
      <c r="A908" s="260" t="s">
        <v>566</v>
      </c>
      <c r="B908" s="190">
        <v>45829</v>
      </c>
      <c r="C908" s="197">
        <v>42000</v>
      </c>
      <c r="D908" s="197">
        <v>0</v>
      </c>
      <c r="E908" s="197">
        <v>0</v>
      </c>
      <c r="F908" s="197">
        <v>0</v>
      </c>
      <c r="G908" s="197">
        <v>42000</v>
      </c>
      <c r="H908" s="197">
        <v>0</v>
      </c>
      <c r="I908" s="197">
        <v>0</v>
      </c>
      <c r="J908" s="197">
        <v>42000</v>
      </c>
      <c r="K908" s="197">
        <v>42000</v>
      </c>
      <c r="L908" s="197">
        <v>0</v>
      </c>
      <c r="M908" s="197">
        <v>0</v>
      </c>
      <c r="N908" s="197">
        <v>0</v>
      </c>
      <c r="O908" s="197">
        <v>0</v>
      </c>
      <c r="P908" s="197">
        <v>0</v>
      </c>
      <c r="Q908" s="197">
        <v>0</v>
      </c>
      <c r="R908" s="260" t="s">
        <v>239</v>
      </c>
      <c r="S908" s="260" t="s">
        <v>514</v>
      </c>
      <c r="T908" s="260" t="s">
        <v>239</v>
      </c>
      <c r="U908" s="260" t="s">
        <v>514</v>
      </c>
    </row>
    <row r="909" spans="1:21" ht="14.5" x14ac:dyDescent="0.35">
      <c r="A909" s="260" t="s">
        <v>566</v>
      </c>
      <c r="B909" s="190">
        <v>45830</v>
      </c>
      <c r="C909" s="197">
        <v>42000</v>
      </c>
      <c r="D909" s="197">
        <v>0</v>
      </c>
      <c r="E909" s="197">
        <v>0</v>
      </c>
      <c r="F909" s="197">
        <v>0</v>
      </c>
      <c r="G909" s="197">
        <v>42000</v>
      </c>
      <c r="H909" s="197">
        <v>0</v>
      </c>
      <c r="I909" s="197">
        <v>0</v>
      </c>
      <c r="J909" s="197">
        <v>42000</v>
      </c>
      <c r="K909" s="197">
        <v>42000</v>
      </c>
      <c r="L909" s="197">
        <v>0</v>
      </c>
      <c r="M909" s="197">
        <v>0</v>
      </c>
      <c r="N909" s="197">
        <v>0</v>
      </c>
      <c r="O909" s="197">
        <v>0</v>
      </c>
      <c r="P909" s="197">
        <v>0</v>
      </c>
      <c r="Q909" s="197">
        <v>0</v>
      </c>
      <c r="R909" s="260" t="s">
        <v>239</v>
      </c>
      <c r="S909" s="260" t="s">
        <v>514</v>
      </c>
      <c r="T909" s="260" t="s">
        <v>239</v>
      </c>
      <c r="U909" s="260" t="s">
        <v>514</v>
      </c>
    </row>
    <row r="910" spans="1:21" ht="14.5" x14ac:dyDescent="0.35">
      <c r="A910" s="260" t="s">
        <v>566</v>
      </c>
      <c r="B910" s="190">
        <v>45831</v>
      </c>
      <c r="C910" s="197">
        <v>42000</v>
      </c>
      <c r="D910" s="197">
        <v>0</v>
      </c>
      <c r="E910" s="197">
        <v>0</v>
      </c>
      <c r="F910" s="197">
        <v>0</v>
      </c>
      <c r="G910" s="197">
        <v>42000</v>
      </c>
      <c r="H910" s="197">
        <v>0</v>
      </c>
      <c r="I910" s="197">
        <v>0</v>
      </c>
      <c r="J910" s="197">
        <v>42000</v>
      </c>
      <c r="K910" s="197">
        <v>42000</v>
      </c>
      <c r="L910" s="197">
        <v>0</v>
      </c>
      <c r="M910" s="197">
        <v>0</v>
      </c>
      <c r="N910" s="197">
        <v>0</v>
      </c>
      <c r="O910" s="197">
        <v>0</v>
      </c>
      <c r="P910" s="197">
        <v>0</v>
      </c>
      <c r="Q910" s="197">
        <v>0</v>
      </c>
      <c r="R910" s="260" t="s">
        <v>239</v>
      </c>
      <c r="S910" s="260" t="s">
        <v>514</v>
      </c>
      <c r="T910" s="260" t="s">
        <v>239</v>
      </c>
      <c r="U910" s="260" t="s">
        <v>514</v>
      </c>
    </row>
    <row r="911" spans="1:21" ht="14.5" x14ac:dyDescent="0.35">
      <c r="A911" s="260" t="s">
        <v>566</v>
      </c>
      <c r="B911" s="190">
        <v>45832</v>
      </c>
      <c r="C911" s="197">
        <v>42000</v>
      </c>
      <c r="D911" s="197">
        <v>0</v>
      </c>
      <c r="E911" s="197">
        <v>0</v>
      </c>
      <c r="F911" s="197">
        <v>0</v>
      </c>
      <c r="G911" s="197">
        <v>42000</v>
      </c>
      <c r="H911" s="197">
        <v>0</v>
      </c>
      <c r="I911" s="197">
        <v>0</v>
      </c>
      <c r="J911" s="197">
        <v>42000</v>
      </c>
      <c r="K911" s="197">
        <v>42000</v>
      </c>
      <c r="L911" s="197">
        <v>0</v>
      </c>
      <c r="M911" s="197">
        <v>0</v>
      </c>
      <c r="N911" s="197">
        <v>0</v>
      </c>
      <c r="O911" s="197">
        <v>0</v>
      </c>
      <c r="P911" s="197">
        <v>0</v>
      </c>
      <c r="Q911" s="197">
        <v>0</v>
      </c>
      <c r="R911" s="260" t="s">
        <v>239</v>
      </c>
      <c r="S911" s="260" t="s">
        <v>514</v>
      </c>
      <c r="T911" s="260" t="s">
        <v>239</v>
      </c>
      <c r="U911" s="260" t="s">
        <v>514</v>
      </c>
    </row>
    <row r="912" spans="1:21" ht="14.5" x14ac:dyDescent="0.35">
      <c r="A912" s="260" t="s">
        <v>566</v>
      </c>
      <c r="B912" s="190">
        <v>45833</v>
      </c>
      <c r="C912" s="197">
        <v>42000</v>
      </c>
      <c r="D912" s="197">
        <v>0</v>
      </c>
      <c r="E912" s="197">
        <v>0</v>
      </c>
      <c r="F912" s="197">
        <v>0</v>
      </c>
      <c r="G912" s="197">
        <v>42000</v>
      </c>
      <c r="H912" s="197">
        <v>0</v>
      </c>
      <c r="I912" s="197">
        <v>0</v>
      </c>
      <c r="J912" s="197">
        <v>42000</v>
      </c>
      <c r="K912" s="197">
        <v>42000</v>
      </c>
      <c r="L912" s="197">
        <v>0</v>
      </c>
      <c r="M912" s="197">
        <v>0</v>
      </c>
      <c r="N912" s="197">
        <v>0</v>
      </c>
      <c r="O912" s="197">
        <v>0</v>
      </c>
      <c r="P912" s="197">
        <v>0</v>
      </c>
      <c r="Q912" s="197">
        <v>0</v>
      </c>
      <c r="R912" s="260" t="s">
        <v>239</v>
      </c>
      <c r="S912" s="260" t="s">
        <v>514</v>
      </c>
      <c r="T912" s="260" t="s">
        <v>239</v>
      </c>
      <c r="U912" s="260" t="s">
        <v>514</v>
      </c>
    </row>
    <row r="913" spans="1:21" ht="14.5" x14ac:dyDescent="0.35">
      <c r="A913" s="260" t="s">
        <v>566</v>
      </c>
      <c r="B913" s="190">
        <v>45834</v>
      </c>
      <c r="C913" s="197">
        <v>42000</v>
      </c>
      <c r="D913" s="197">
        <v>0</v>
      </c>
      <c r="E913" s="197">
        <v>0</v>
      </c>
      <c r="F913" s="197">
        <v>0</v>
      </c>
      <c r="G913" s="197">
        <v>42000</v>
      </c>
      <c r="H913" s="197">
        <v>0</v>
      </c>
      <c r="I913" s="197">
        <v>0</v>
      </c>
      <c r="J913" s="197">
        <v>42000</v>
      </c>
      <c r="K913" s="197">
        <v>42000</v>
      </c>
      <c r="L913" s="197">
        <v>0</v>
      </c>
      <c r="M913" s="197">
        <v>0</v>
      </c>
      <c r="N913" s="197">
        <v>0</v>
      </c>
      <c r="O913" s="197">
        <v>0</v>
      </c>
      <c r="P913" s="197">
        <v>0</v>
      </c>
      <c r="Q913" s="197">
        <v>0</v>
      </c>
      <c r="R913" s="260" t="s">
        <v>239</v>
      </c>
      <c r="S913" s="260" t="s">
        <v>514</v>
      </c>
      <c r="T913" s="260" t="s">
        <v>239</v>
      </c>
      <c r="U913" s="260" t="s">
        <v>514</v>
      </c>
    </row>
    <row r="914" spans="1:21" ht="14.5" x14ac:dyDescent="0.35">
      <c r="A914" s="260" t="s">
        <v>566</v>
      </c>
      <c r="B914" s="190">
        <v>45835</v>
      </c>
      <c r="C914" s="197">
        <v>42000</v>
      </c>
      <c r="D914" s="197">
        <v>0</v>
      </c>
      <c r="E914" s="197">
        <v>0</v>
      </c>
      <c r="F914" s="197">
        <v>0</v>
      </c>
      <c r="G914" s="197">
        <v>42000</v>
      </c>
      <c r="H914" s="197">
        <v>0</v>
      </c>
      <c r="I914" s="197">
        <v>0</v>
      </c>
      <c r="J914" s="197">
        <v>42000</v>
      </c>
      <c r="K914" s="197">
        <v>42000</v>
      </c>
      <c r="L914" s="197">
        <v>0</v>
      </c>
      <c r="M914" s="197">
        <v>0</v>
      </c>
      <c r="N914" s="197">
        <v>0</v>
      </c>
      <c r="O914" s="197">
        <v>0</v>
      </c>
      <c r="P914" s="197">
        <v>0</v>
      </c>
      <c r="Q914" s="197">
        <v>0</v>
      </c>
      <c r="R914" s="260" t="s">
        <v>239</v>
      </c>
      <c r="S914" s="260" t="s">
        <v>514</v>
      </c>
      <c r="T914" s="260" t="s">
        <v>239</v>
      </c>
      <c r="U914" s="260" t="s">
        <v>514</v>
      </c>
    </row>
    <row r="915" spans="1:21" ht="14.5" x14ac:dyDescent="0.35">
      <c r="A915" s="260" t="s">
        <v>566</v>
      </c>
      <c r="B915" s="190">
        <v>45836</v>
      </c>
      <c r="C915" s="197">
        <v>42000</v>
      </c>
      <c r="D915" s="197">
        <v>0</v>
      </c>
      <c r="E915" s="197">
        <v>0</v>
      </c>
      <c r="F915" s="197">
        <v>0</v>
      </c>
      <c r="G915" s="197">
        <v>42000</v>
      </c>
      <c r="H915" s="197">
        <v>0</v>
      </c>
      <c r="I915" s="197">
        <v>0</v>
      </c>
      <c r="J915" s="197">
        <v>42000</v>
      </c>
      <c r="K915" s="197">
        <v>42000</v>
      </c>
      <c r="L915" s="197">
        <v>0</v>
      </c>
      <c r="M915" s="197">
        <v>0</v>
      </c>
      <c r="N915" s="197">
        <v>0</v>
      </c>
      <c r="O915" s="197">
        <v>0</v>
      </c>
      <c r="P915" s="197">
        <v>0</v>
      </c>
      <c r="Q915" s="197">
        <v>0</v>
      </c>
      <c r="R915" s="260" t="s">
        <v>239</v>
      </c>
      <c r="S915" s="260" t="s">
        <v>514</v>
      </c>
      <c r="T915" s="260" t="s">
        <v>239</v>
      </c>
      <c r="U915" s="260" t="s">
        <v>514</v>
      </c>
    </row>
    <row r="916" spans="1:21" ht="14.5" x14ac:dyDescent="0.35">
      <c r="A916" s="260" t="s">
        <v>566</v>
      </c>
      <c r="B916" s="190">
        <v>45837</v>
      </c>
      <c r="C916" s="197">
        <v>42000</v>
      </c>
      <c r="D916" s="197">
        <v>0</v>
      </c>
      <c r="E916" s="197">
        <v>0</v>
      </c>
      <c r="F916" s="197">
        <v>0</v>
      </c>
      <c r="G916" s="197">
        <v>42000</v>
      </c>
      <c r="H916" s="197">
        <v>0</v>
      </c>
      <c r="I916" s="197">
        <v>0</v>
      </c>
      <c r="J916" s="197">
        <v>42000</v>
      </c>
      <c r="K916" s="197">
        <v>42000</v>
      </c>
      <c r="L916" s="197">
        <v>0</v>
      </c>
      <c r="M916" s="197">
        <v>0</v>
      </c>
      <c r="N916" s="197">
        <v>0</v>
      </c>
      <c r="O916" s="197">
        <v>0</v>
      </c>
      <c r="P916" s="197">
        <v>0</v>
      </c>
      <c r="Q916" s="197">
        <v>0</v>
      </c>
      <c r="R916" s="260" t="s">
        <v>239</v>
      </c>
      <c r="S916" s="260" t="s">
        <v>514</v>
      </c>
      <c r="T916" s="260" t="s">
        <v>239</v>
      </c>
      <c r="U916" s="260" t="s">
        <v>514</v>
      </c>
    </row>
    <row r="917" spans="1:21" ht="14.5" x14ac:dyDescent="0.35">
      <c r="A917" s="260" t="s">
        <v>566</v>
      </c>
      <c r="B917" s="190">
        <v>45838</v>
      </c>
      <c r="C917" s="197">
        <v>42000</v>
      </c>
      <c r="D917" s="197">
        <v>0</v>
      </c>
      <c r="E917" s="197">
        <v>0</v>
      </c>
      <c r="F917" s="197">
        <v>0</v>
      </c>
      <c r="G917" s="197">
        <v>42000</v>
      </c>
      <c r="H917" s="197">
        <v>0</v>
      </c>
      <c r="I917" s="197">
        <v>0</v>
      </c>
      <c r="J917" s="197">
        <v>42000</v>
      </c>
      <c r="K917" s="197">
        <v>42000</v>
      </c>
      <c r="L917" s="197">
        <v>0</v>
      </c>
      <c r="M917" s="197">
        <v>0</v>
      </c>
      <c r="N917" s="197">
        <v>0</v>
      </c>
      <c r="O917" s="197">
        <v>0</v>
      </c>
      <c r="P917" s="197">
        <v>0</v>
      </c>
      <c r="Q917" s="197">
        <v>0</v>
      </c>
      <c r="R917" s="260" t="s">
        <v>239</v>
      </c>
      <c r="S917" s="260" t="s">
        <v>514</v>
      </c>
      <c r="T917" s="260" t="s">
        <v>239</v>
      </c>
      <c r="U917" s="260" t="s">
        <v>514</v>
      </c>
    </row>
    <row r="918" spans="1:21" ht="14.5" x14ac:dyDescent="0.35">
      <c r="A918" s="260" t="s">
        <v>566</v>
      </c>
      <c r="B918" s="190">
        <v>45839</v>
      </c>
      <c r="C918" s="197">
        <v>42000</v>
      </c>
      <c r="D918" s="197">
        <v>0</v>
      </c>
      <c r="E918" s="197">
        <v>0</v>
      </c>
      <c r="F918" s="197">
        <v>0</v>
      </c>
      <c r="G918" s="197">
        <v>42000</v>
      </c>
      <c r="H918" s="197">
        <v>0</v>
      </c>
      <c r="I918" s="197">
        <v>0</v>
      </c>
      <c r="J918" s="197">
        <v>42000</v>
      </c>
      <c r="K918" s="197">
        <v>42000</v>
      </c>
      <c r="L918" s="197">
        <v>0</v>
      </c>
      <c r="M918" s="197">
        <v>0</v>
      </c>
      <c r="N918" s="197">
        <v>0</v>
      </c>
      <c r="O918" s="197">
        <v>0</v>
      </c>
      <c r="P918" s="197">
        <v>0</v>
      </c>
      <c r="Q918" s="197">
        <v>0</v>
      </c>
      <c r="R918" s="260" t="s">
        <v>239</v>
      </c>
      <c r="S918" s="260" t="s">
        <v>514</v>
      </c>
      <c r="T918" s="260" t="s">
        <v>239</v>
      </c>
      <c r="U918" s="260" t="s">
        <v>514</v>
      </c>
    </row>
    <row r="919" spans="1:21" ht="14.5" x14ac:dyDescent="0.35">
      <c r="A919" s="260" t="s">
        <v>566</v>
      </c>
      <c r="B919" s="190">
        <v>45840</v>
      </c>
      <c r="C919" s="197">
        <v>42000</v>
      </c>
      <c r="D919" s="197">
        <v>0</v>
      </c>
      <c r="E919" s="197">
        <v>0</v>
      </c>
      <c r="F919" s="197">
        <v>0</v>
      </c>
      <c r="G919" s="197">
        <v>42000</v>
      </c>
      <c r="H919" s="197">
        <v>0</v>
      </c>
      <c r="I919" s="197">
        <v>0</v>
      </c>
      <c r="J919" s="197">
        <v>42000</v>
      </c>
      <c r="K919" s="197">
        <v>42000</v>
      </c>
      <c r="L919" s="197">
        <v>0</v>
      </c>
      <c r="M919" s="197">
        <v>0</v>
      </c>
      <c r="N919" s="197">
        <v>0</v>
      </c>
      <c r="O919" s="197">
        <v>0</v>
      </c>
      <c r="P919" s="197">
        <v>0</v>
      </c>
      <c r="Q919" s="197">
        <v>0</v>
      </c>
      <c r="R919" s="260" t="s">
        <v>239</v>
      </c>
      <c r="S919" s="260" t="s">
        <v>514</v>
      </c>
      <c r="T919" s="260" t="s">
        <v>239</v>
      </c>
      <c r="U919" s="260" t="s">
        <v>514</v>
      </c>
    </row>
    <row r="920" spans="1:21" ht="14.5" x14ac:dyDescent="0.35">
      <c r="A920" s="260" t="s">
        <v>566</v>
      </c>
      <c r="B920" s="190">
        <v>45841</v>
      </c>
      <c r="C920" s="197">
        <v>42000</v>
      </c>
      <c r="D920" s="197">
        <v>0</v>
      </c>
      <c r="E920" s="197">
        <v>0</v>
      </c>
      <c r="F920" s="197">
        <v>0</v>
      </c>
      <c r="G920" s="197">
        <v>42000</v>
      </c>
      <c r="H920" s="197">
        <v>0</v>
      </c>
      <c r="I920" s="197">
        <v>0</v>
      </c>
      <c r="J920" s="197">
        <v>42000</v>
      </c>
      <c r="K920" s="197">
        <v>42000</v>
      </c>
      <c r="L920" s="197">
        <v>0</v>
      </c>
      <c r="M920" s="197">
        <v>0</v>
      </c>
      <c r="N920" s="197">
        <v>0</v>
      </c>
      <c r="O920" s="197">
        <v>0</v>
      </c>
      <c r="P920" s="197">
        <v>0</v>
      </c>
      <c r="Q920" s="197">
        <v>0</v>
      </c>
      <c r="R920" s="260" t="s">
        <v>239</v>
      </c>
      <c r="S920" s="260" t="s">
        <v>514</v>
      </c>
      <c r="T920" s="260" t="s">
        <v>239</v>
      </c>
      <c r="U920" s="260" t="s">
        <v>514</v>
      </c>
    </row>
    <row r="921" spans="1:21" ht="14.5" x14ac:dyDescent="0.35">
      <c r="A921" s="260" t="s">
        <v>566</v>
      </c>
      <c r="B921" s="190">
        <v>45842</v>
      </c>
      <c r="C921" s="197">
        <v>42000</v>
      </c>
      <c r="D921" s="197">
        <v>0</v>
      </c>
      <c r="E921" s="197">
        <v>0</v>
      </c>
      <c r="F921" s="197">
        <v>0</v>
      </c>
      <c r="G921" s="197">
        <v>42000</v>
      </c>
      <c r="H921" s="197">
        <v>0</v>
      </c>
      <c r="I921" s="197">
        <v>0</v>
      </c>
      <c r="J921" s="197">
        <v>42000</v>
      </c>
      <c r="K921" s="197">
        <v>42000</v>
      </c>
      <c r="L921" s="197">
        <v>0</v>
      </c>
      <c r="M921" s="197">
        <v>0</v>
      </c>
      <c r="N921" s="197">
        <v>0</v>
      </c>
      <c r="O921" s="197">
        <v>0</v>
      </c>
      <c r="P921" s="197">
        <v>0</v>
      </c>
      <c r="Q921" s="197">
        <v>0</v>
      </c>
      <c r="R921" s="260" t="s">
        <v>239</v>
      </c>
      <c r="S921" s="260" t="s">
        <v>514</v>
      </c>
      <c r="T921" s="260" t="s">
        <v>239</v>
      </c>
      <c r="U921" s="260" t="s">
        <v>514</v>
      </c>
    </row>
    <row r="922" spans="1:21" ht="14.5" x14ac:dyDescent="0.35">
      <c r="A922" s="260" t="s">
        <v>566</v>
      </c>
      <c r="B922" s="190">
        <v>45843</v>
      </c>
      <c r="C922" s="197">
        <v>42000</v>
      </c>
      <c r="D922" s="197">
        <v>0</v>
      </c>
      <c r="E922" s="197">
        <v>0</v>
      </c>
      <c r="F922" s="197">
        <v>0</v>
      </c>
      <c r="G922" s="197">
        <v>42000</v>
      </c>
      <c r="H922" s="197">
        <v>0</v>
      </c>
      <c r="I922" s="197">
        <v>0</v>
      </c>
      <c r="J922" s="197">
        <v>42000</v>
      </c>
      <c r="K922" s="197">
        <v>42000</v>
      </c>
      <c r="L922" s="197">
        <v>0</v>
      </c>
      <c r="M922" s="197">
        <v>0</v>
      </c>
      <c r="N922" s="197">
        <v>0</v>
      </c>
      <c r="O922" s="197">
        <v>0</v>
      </c>
      <c r="P922" s="197">
        <v>0</v>
      </c>
      <c r="Q922" s="197">
        <v>0</v>
      </c>
      <c r="R922" s="260" t="s">
        <v>239</v>
      </c>
      <c r="S922" s="260" t="s">
        <v>514</v>
      </c>
      <c r="T922" s="260" t="s">
        <v>239</v>
      </c>
      <c r="U922" s="260" t="s">
        <v>514</v>
      </c>
    </row>
    <row r="923" spans="1:21" ht="14.5" x14ac:dyDescent="0.35">
      <c r="A923" s="260" t="s">
        <v>566</v>
      </c>
      <c r="B923" s="190">
        <v>45844</v>
      </c>
      <c r="C923" s="197">
        <v>42000</v>
      </c>
      <c r="D923" s="197">
        <v>0</v>
      </c>
      <c r="E923" s="197">
        <v>0</v>
      </c>
      <c r="F923" s="197">
        <v>0</v>
      </c>
      <c r="G923" s="197">
        <v>42000</v>
      </c>
      <c r="H923" s="197">
        <v>0</v>
      </c>
      <c r="I923" s="197">
        <v>0</v>
      </c>
      <c r="J923" s="197">
        <v>42000</v>
      </c>
      <c r="K923" s="197">
        <v>42000</v>
      </c>
      <c r="L923" s="197">
        <v>0</v>
      </c>
      <c r="M923" s="197">
        <v>0</v>
      </c>
      <c r="N923" s="197">
        <v>0</v>
      </c>
      <c r="O923" s="197">
        <v>0</v>
      </c>
      <c r="P923" s="197">
        <v>0</v>
      </c>
      <c r="Q923" s="197">
        <v>0</v>
      </c>
      <c r="R923" s="260" t="s">
        <v>239</v>
      </c>
      <c r="S923" s="260" t="s">
        <v>514</v>
      </c>
      <c r="T923" s="260" t="s">
        <v>239</v>
      </c>
      <c r="U923" s="260" t="s">
        <v>514</v>
      </c>
    </row>
    <row r="924" spans="1:21" ht="14.5" x14ac:dyDescent="0.35">
      <c r="A924" s="260" t="s">
        <v>566</v>
      </c>
      <c r="B924" s="190">
        <v>45845</v>
      </c>
      <c r="C924" s="197">
        <v>42000</v>
      </c>
      <c r="D924" s="197">
        <v>0</v>
      </c>
      <c r="E924" s="197">
        <v>0</v>
      </c>
      <c r="F924" s="197">
        <v>0</v>
      </c>
      <c r="G924" s="197">
        <v>42000</v>
      </c>
      <c r="H924" s="197">
        <v>0</v>
      </c>
      <c r="I924" s="197">
        <v>0</v>
      </c>
      <c r="J924" s="197">
        <v>42000</v>
      </c>
      <c r="K924" s="197">
        <v>42000</v>
      </c>
      <c r="L924" s="197">
        <v>0</v>
      </c>
      <c r="M924" s="197">
        <v>0</v>
      </c>
      <c r="N924" s="197">
        <v>0</v>
      </c>
      <c r="O924" s="197">
        <v>0</v>
      </c>
      <c r="P924" s="197">
        <v>0</v>
      </c>
      <c r="Q924" s="197">
        <v>0</v>
      </c>
      <c r="R924" s="260" t="s">
        <v>239</v>
      </c>
      <c r="S924" s="260" t="s">
        <v>514</v>
      </c>
      <c r="T924" s="260" t="s">
        <v>239</v>
      </c>
      <c r="U924" s="260" t="s">
        <v>514</v>
      </c>
    </row>
    <row r="925" spans="1:21" ht="14.5" x14ac:dyDescent="0.35">
      <c r="A925" s="260" t="s">
        <v>566</v>
      </c>
      <c r="B925" s="190">
        <v>45846</v>
      </c>
      <c r="C925" s="197">
        <v>42000</v>
      </c>
      <c r="D925" s="197">
        <v>0</v>
      </c>
      <c r="E925" s="197">
        <v>0</v>
      </c>
      <c r="F925" s="197">
        <v>0</v>
      </c>
      <c r="G925" s="197">
        <v>42000</v>
      </c>
      <c r="H925" s="197">
        <v>0</v>
      </c>
      <c r="I925" s="197">
        <v>0</v>
      </c>
      <c r="J925" s="197">
        <v>42000</v>
      </c>
      <c r="K925" s="197">
        <v>42000</v>
      </c>
      <c r="L925" s="197">
        <v>0</v>
      </c>
      <c r="M925" s="197">
        <v>0</v>
      </c>
      <c r="N925" s="197">
        <v>0</v>
      </c>
      <c r="O925" s="197">
        <v>0</v>
      </c>
      <c r="P925" s="197">
        <v>0</v>
      </c>
      <c r="Q925" s="197">
        <v>0</v>
      </c>
      <c r="R925" s="260" t="s">
        <v>239</v>
      </c>
      <c r="S925" s="260" t="s">
        <v>514</v>
      </c>
      <c r="T925" s="260" t="s">
        <v>239</v>
      </c>
      <c r="U925" s="260" t="s">
        <v>514</v>
      </c>
    </row>
    <row r="926" spans="1:21" ht="14.5" x14ac:dyDescent="0.35">
      <c r="A926" s="260" t="s">
        <v>566</v>
      </c>
      <c r="B926" s="190">
        <v>45847</v>
      </c>
      <c r="C926" s="197">
        <v>42000</v>
      </c>
      <c r="D926" s="197">
        <v>0</v>
      </c>
      <c r="E926" s="197">
        <v>0</v>
      </c>
      <c r="F926" s="197">
        <v>0</v>
      </c>
      <c r="G926" s="197">
        <v>42000</v>
      </c>
      <c r="H926" s="197">
        <v>0</v>
      </c>
      <c r="I926" s="197">
        <v>0</v>
      </c>
      <c r="J926" s="197">
        <v>42000</v>
      </c>
      <c r="K926" s="197">
        <v>42000</v>
      </c>
      <c r="L926" s="197">
        <v>0</v>
      </c>
      <c r="M926" s="197">
        <v>0</v>
      </c>
      <c r="N926" s="197">
        <v>0</v>
      </c>
      <c r="O926" s="197">
        <v>0</v>
      </c>
      <c r="P926" s="197">
        <v>0</v>
      </c>
      <c r="Q926" s="197">
        <v>0</v>
      </c>
      <c r="R926" s="260" t="s">
        <v>239</v>
      </c>
      <c r="S926" s="260" t="s">
        <v>514</v>
      </c>
      <c r="T926" s="260" t="s">
        <v>239</v>
      </c>
      <c r="U926" s="260" t="s">
        <v>514</v>
      </c>
    </row>
    <row r="927" spans="1:21" ht="14.5" x14ac:dyDescent="0.35">
      <c r="A927" s="260" t="s">
        <v>566</v>
      </c>
      <c r="B927" s="190">
        <v>45848</v>
      </c>
      <c r="C927" s="197">
        <v>42000</v>
      </c>
      <c r="D927" s="197">
        <v>0</v>
      </c>
      <c r="E927" s="197">
        <v>0</v>
      </c>
      <c r="F927" s="197">
        <v>0</v>
      </c>
      <c r="G927" s="197">
        <v>42000</v>
      </c>
      <c r="H927" s="197">
        <v>0</v>
      </c>
      <c r="I927" s="197">
        <v>0</v>
      </c>
      <c r="J927" s="197">
        <v>42000</v>
      </c>
      <c r="K927" s="197">
        <v>42000</v>
      </c>
      <c r="L927" s="197">
        <v>0</v>
      </c>
      <c r="M927" s="197">
        <v>0</v>
      </c>
      <c r="N927" s="197">
        <v>0</v>
      </c>
      <c r="O927" s="197">
        <v>0</v>
      </c>
      <c r="P927" s="197">
        <v>0</v>
      </c>
      <c r="Q927" s="197">
        <v>0</v>
      </c>
      <c r="R927" s="260" t="s">
        <v>239</v>
      </c>
      <c r="S927" s="260" t="s">
        <v>514</v>
      </c>
      <c r="T927" s="260" t="s">
        <v>239</v>
      </c>
      <c r="U927" s="260" t="s">
        <v>514</v>
      </c>
    </row>
    <row r="928" spans="1:21" ht="14.5" x14ac:dyDescent="0.35">
      <c r="A928" s="260" t="s">
        <v>566</v>
      </c>
      <c r="B928" s="190">
        <v>45849</v>
      </c>
      <c r="C928" s="197">
        <v>42000</v>
      </c>
      <c r="D928" s="197">
        <v>0</v>
      </c>
      <c r="E928" s="197">
        <v>0</v>
      </c>
      <c r="F928" s="197">
        <v>0</v>
      </c>
      <c r="G928" s="197">
        <v>42000</v>
      </c>
      <c r="H928" s="197">
        <v>0</v>
      </c>
      <c r="I928" s="197">
        <v>0</v>
      </c>
      <c r="J928" s="197">
        <v>42000</v>
      </c>
      <c r="K928" s="197">
        <v>42000</v>
      </c>
      <c r="L928" s="197">
        <v>0</v>
      </c>
      <c r="M928" s="197">
        <v>0</v>
      </c>
      <c r="N928" s="197">
        <v>0</v>
      </c>
      <c r="O928" s="197">
        <v>0</v>
      </c>
      <c r="P928" s="197">
        <v>0</v>
      </c>
      <c r="Q928" s="197">
        <v>0</v>
      </c>
      <c r="R928" s="260" t="s">
        <v>239</v>
      </c>
      <c r="S928" s="260" t="s">
        <v>514</v>
      </c>
      <c r="T928" s="260" t="s">
        <v>239</v>
      </c>
      <c r="U928" s="260" t="s">
        <v>514</v>
      </c>
    </row>
    <row r="929" spans="1:21" ht="14.5" x14ac:dyDescent="0.35">
      <c r="A929" s="260" t="s">
        <v>566</v>
      </c>
      <c r="B929" s="190">
        <v>45850</v>
      </c>
      <c r="C929" s="197">
        <v>42000</v>
      </c>
      <c r="D929" s="197">
        <v>0</v>
      </c>
      <c r="E929" s="197">
        <v>0</v>
      </c>
      <c r="F929" s="197">
        <v>0</v>
      </c>
      <c r="G929" s="197">
        <v>42000</v>
      </c>
      <c r="H929" s="197">
        <v>0</v>
      </c>
      <c r="I929" s="197">
        <v>0</v>
      </c>
      <c r="J929" s="197">
        <v>42000</v>
      </c>
      <c r="K929" s="197">
        <v>42000</v>
      </c>
      <c r="L929" s="197">
        <v>0</v>
      </c>
      <c r="M929" s="197">
        <v>0</v>
      </c>
      <c r="N929" s="197">
        <v>0</v>
      </c>
      <c r="O929" s="197">
        <v>0</v>
      </c>
      <c r="P929" s="197">
        <v>0</v>
      </c>
      <c r="Q929" s="197">
        <v>0</v>
      </c>
      <c r="R929" s="260" t="s">
        <v>239</v>
      </c>
      <c r="S929" s="260" t="s">
        <v>514</v>
      </c>
      <c r="T929" s="260" t="s">
        <v>239</v>
      </c>
      <c r="U929" s="260" t="s">
        <v>514</v>
      </c>
    </row>
    <row r="930" spans="1:21" ht="14.5" x14ac:dyDescent="0.35">
      <c r="A930" s="260" t="s">
        <v>566</v>
      </c>
      <c r="B930" s="190">
        <v>45851</v>
      </c>
      <c r="C930" s="197">
        <v>42000</v>
      </c>
      <c r="D930" s="197">
        <v>0</v>
      </c>
      <c r="E930" s="197">
        <v>0</v>
      </c>
      <c r="F930" s="197">
        <v>0</v>
      </c>
      <c r="G930" s="197">
        <v>42000</v>
      </c>
      <c r="H930" s="197">
        <v>0</v>
      </c>
      <c r="I930" s="197">
        <v>0</v>
      </c>
      <c r="J930" s="197">
        <v>42000</v>
      </c>
      <c r="K930" s="197">
        <v>42000</v>
      </c>
      <c r="L930" s="197">
        <v>0</v>
      </c>
      <c r="M930" s="197">
        <v>0</v>
      </c>
      <c r="N930" s="197">
        <v>0</v>
      </c>
      <c r="O930" s="197">
        <v>0</v>
      </c>
      <c r="P930" s="197">
        <v>0</v>
      </c>
      <c r="Q930" s="197">
        <v>0</v>
      </c>
      <c r="R930" s="260" t="s">
        <v>239</v>
      </c>
      <c r="S930" s="260" t="s">
        <v>514</v>
      </c>
      <c r="T930" s="260" t="s">
        <v>239</v>
      </c>
      <c r="U930" s="260" t="s">
        <v>514</v>
      </c>
    </row>
    <row r="931" spans="1:21" ht="14.5" x14ac:dyDescent="0.35">
      <c r="A931" s="260" t="s">
        <v>566</v>
      </c>
      <c r="B931" s="190">
        <v>45852</v>
      </c>
      <c r="C931" s="197">
        <v>42000</v>
      </c>
      <c r="D931" s="197">
        <v>0</v>
      </c>
      <c r="E931" s="197">
        <v>0</v>
      </c>
      <c r="F931" s="197">
        <v>0</v>
      </c>
      <c r="G931" s="197">
        <v>42000</v>
      </c>
      <c r="H931" s="197">
        <v>0</v>
      </c>
      <c r="I931" s="197">
        <v>0</v>
      </c>
      <c r="J931" s="197">
        <v>42000</v>
      </c>
      <c r="K931" s="197">
        <v>42000</v>
      </c>
      <c r="L931" s="197">
        <v>0</v>
      </c>
      <c r="M931" s="197">
        <v>0</v>
      </c>
      <c r="N931" s="197">
        <v>0</v>
      </c>
      <c r="O931" s="197">
        <v>0</v>
      </c>
      <c r="P931" s="197">
        <v>0</v>
      </c>
      <c r="Q931" s="197">
        <v>0</v>
      </c>
      <c r="R931" s="260" t="s">
        <v>239</v>
      </c>
      <c r="S931" s="260" t="s">
        <v>514</v>
      </c>
      <c r="T931" s="260" t="s">
        <v>239</v>
      </c>
      <c r="U931" s="260" t="s">
        <v>514</v>
      </c>
    </row>
    <row r="932" spans="1:21" ht="14.5" x14ac:dyDescent="0.35">
      <c r="A932" s="260" t="s">
        <v>566</v>
      </c>
      <c r="B932" s="190">
        <v>45853</v>
      </c>
      <c r="C932" s="197">
        <v>42000</v>
      </c>
      <c r="D932" s="197">
        <v>0</v>
      </c>
      <c r="E932" s="197">
        <v>0</v>
      </c>
      <c r="F932" s="197">
        <v>0</v>
      </c>
      <c r="G932" s="197">
        <v>42000</v>
      </c>
      <c r="H932" s="197">
        <v>0</v>
      </c>
      <c r="I932" s="197">
        <v>0</v>
      </c>
      <c r="J932" s="197">
        <v>42000</v>
      </c>
      <c r="K932" s="197">
        <v>42000</v>
      </c>
      <c r="L932" s="197">
        <v>0</v>
      </c>
      <c r="M932" s="197">
        <v>0</v>
      </c>
      <c r="N932" s="197">
        <v>0</v>
      </c>
      <c r="O932" s="197">
        <v>0</v>
      </c>
      <c r="P932" s="197">
        <v>0</v>
      </c>
      <c r="Q932" s="197">
        <v>0</v>
      </c>
      <c r="R932" s="260" t="s">
        <v>239</v>
      </c>
      <c r="S932" s="260" t="s">
        <v>514</v>
      </c>
      <c r="T932" s="260" t="s">
        <v>239</v>
      </c>
      <c r="U932" s="260" t="s">
        <v>514</v>
      </c>
    </row>
    <row r="933" spans="1:21" ht="14.5" x14ac:dyDescent="0.35">
      <c r="A933" s="260" t="s">
        <v>566</v>
      </c>
      <c r="B933" s="190">
        <v>45854</v>
      </c>
      <c r="C933" s="197">
        <v>42000</v>
      </c>
      <c r="D933" s="197">
        <v>0</v>
      </c>
      <c r="E933" s="197">
        <v>0</v>
      </c>
      <c r="F933" s="197">
        <v>0</v>
      </c>
      <c r="G933" s="197">
        <v>42000</v>
      </c>
      <c r="H933" s="197">
        <v>0</v>
      </c>
      <c r="I933" s="197">
        <v>0</v>
      </c>
      <c r="J933" s="197">
        <v>42000</v>
      </c>
      <c r="K933" s="197">
        <v>42000</v>
      </c>
      <c r="L933" s="197">
        <v>0</v>
      </c>
      <c r="M933" s="197">
        <v>0</v>
      </c>
      <c r="N933" s="197">
        <v>0</v>
      </c>
      <c r="O933" s="197">
        <v>0</v>
      </c>
      <c r="P933" s="197">
        <v>0</v>
      </c>
      <c r="Q933" s="197">
        <v>0</v>
      </c>
      <c r="R933" s="260" t="s">
        <v>239</v>
      </c>
      <c r="S933" s="260" t="s">
        <v>514</v>
      </c>
      <c r="T933" s="260" t="s">
        <v>239</v>
      </c>
      <c r="U933" s="260" t="s">
        <v>514</v>
      </c>
    </row>
    <row r="934" spans="1:21" ht="14.5" x14ac:dyDescent="0.35">
      <c r="A934" s="260" t="s">
        <v>566</v>
      </c>
      <c r="B934" s="190">
        <v>45855</v>
      </c>
      <c r="C934" s="197">
        <v>42000</v>
      </c>
      <c r="D934" s="197">
        <v>0</v>
      </c>
      <c r="E934" s="197">
        <v>0</v>
      </c>
      <c r="F934" s="197">
        <v>0</v>
      </c>
      <c r="G934" s="197">
        <v>42000</v>
      </c>
      <c r="H934" s="197">
        <v>0</v>
      </c>
      <c r="I934" s="197">
        <v>0</v>
      </c>
      <c r="J934" s="197">
        <v>42000</v>
      </c>
      <c r="K934" s="197">
        <v>42000</v>
      </c>
      <c r="L934" s="197">
        <v>0</v>
      </c>
      <c r="M934" s="197">
        <v>0</v>
      </c>
      <c r="N934" s="197">
        <v>0</v>
      </c>
      <c r="O934" s="197">
        <v>0</v>
      </c>
      <c r="P934" s="197">
        <v>0</v>
      </c>
      <c r="Q934" s="197">
        <v>0</v>
      </c>
      <c r="R934" s="260" t="s">
        <v>239</v>
      </c>
      <c r="S934" s="260" t="s">
        <v>514</v>
      </c>
      <c r="T934" s="260" t="s">
        <v>239</v>
      </c>
      <c r="U934" s="260" t="s">
        <v>514</v>
      </c>
    </row>
    <row r="935" spans="1:21" ht="14.5" x14ac:dyDescent="0.35">
      <c r="A935" s="260" t="s">
        <v>566</v>
      </c>
      <c r="B935" s="190">
        <v>45856</v>
      </c>
      <c r="C935" s="197">
        <v>42000</v>
      </c>
      <c r="D935" s="197">
        <v>0</v>
      </c>
      <c r="E935" s="197">
        <v>0</v>
      </c>
      <c r="F935" s="197">
        <v>0</v>
      </c>
      <c r="G935" s="197">
        <v>42000</v>
      </c>
      <c r="H935" s="197">
        <v>0</v>
      </c>
      <c r="I935" s="197">
        <v>0</v>
      </c>
      <c r="J935" s="197">
        <v>42000</v>
      </c>
      <c r="K935" s="197">
        <v>42000</v>
      </c>
      <c r="L935" s="197">
        <v>0</v>
      </c>
      <c r="M935" s="197">
        <v>0</v>
      </c>
      <c r="N935" s="197">
        <v>0</v>
      </c>
      <c r="O935" s="197">
        <v>0</v>
      </c>
      <c r="P935" s="197">
        <v>0</v>
      </c>
      <c r="Q935" s="197">
        <v>0</v>
      </c>
      <c r="R935" s="260" t="s">
        <v>239</v>
      </c>
      <c r="S935" s="260" t="s">
        <v>514</v>
      </c>
      <c r="T935" s="260" t="s">
        <v>239</v>
      </c>
      <c r="U935" s="260" t="s">
        <v>514</v>
      </c>
    </row>
    <row r="936" spans="1:21" ht="14.5" x14ac:dyDescent="0.35">
      <c r="A936" s="260" t="s">
        <v>566</v>
      </c>
      <c r="B936" s="190">
        <v>45857</v>
      </c>
      <c r="C936" s="197">
        <v>42000</v>
      </c>
      <c r="D936" s="197">
        <v>0</v>
      </c>
      <c r="E936" s="197">
        <v>0</v>
      </c>
      <c r="F936" s="197">
        <v>0</v>
      </c>
      <c r="G936" s="197">
        <v>42000</v>
      </c>
      <c r="H936" s="197">
        <v>0</v>
      </c>
      <c r="I936" s="197">
        <v>0</v>
      </c>
      <c r="J936" s="197">
        <v>42000</v>
      </c>
      <c r="K936" s="197">
        <v>42000</v>
      </c>
      <c r="L936" s="197">
        <v>0</v>
      </c>
      <c r="M936" s="197">
        <v>0</v>
      </c>
      <c r="N936" s="197">
        <v>0</v>
      </c>
      <c r="O936" s="197">
        <v>0</v>
      </c>
      <c r="P936" s="197">
        <v>0</v>
      </c>
      <c r="Q936" s="197">
        <v>0</v>
      </c>
      <c r="R936" s="260" t="s">
        <v>239</v>
      </c>
      <c r="S936" s="260" t="s">
        <v>514</v>
      </c>
      <c r="T936" s="260" t="s">
        <v>239</v>
      </c>
      <c r="U936" s="260" t="s">
        <v>514</v>
      </c>
    </row>
    <row r="937" spans="1:21" ht="14.5" x14ac:dyDescent="0.35">
      <c r="A937" s="260" t="s">
        <v>566</v>
      </c>
      <c r="B937" s="190">
        <v>45858</v>
      </c>
      <c r="C937" s="197">
        <v>42000</v>
      </c>
      <c r="D937" s="197">
        <v>0</v>
      </c>
      <c r="E937" s="197">
        <v>0</v>
      </c>
      <c r="F937" s="197">
        <v>0</v>
      </c>
      <c r="G937" s="197">
        <v>42000</v>
      </c>
      <c r="H937" s="197">
        <v>0</v>
      </c>
      <c r="I937" s="197">
        <v>0</v>
      </c>
      <c r="J937" s="197">
        <v>42000</v>
      </c>
      <c r="K937" s="197">
        <v>42000</v>
      </c>
      <c r="L937" s="197">
        <v>0</v>
      </c>
      <c r="M937" s="197">
        <v>0</v>
      </c>
      <c r="N937" s="197">
        <v>0</v>
      </c>
      <c r="O937" s="197">
        <v>0</v>
      </c>
      <c r="P937" s="197">
        <v>0</v>
      </c>
      <c r="Q937" s="197">
        <v>0</v>
      </c>
      <c r="R937" s="260" t="s">
        <v>239</v>
      </c>
      <c r="S937" s="260" t="s">
        <v>514</v>
      </c>
      <c r="T937" s="260" t="s">
        <v>239</v>
      </c>
      <c r="U937" s="260" t="s">
        <v>514</v>
      </c>
    </row>
    <row r="938" spans="1:21" ht="14.5" x14ac:dyDescent="0.35">
      <c r="A938" s="260" t="s">
        <v>566</v>
      </c>
      <c r="B938" s="190">
        <v>45859</v>
      </c>
      <c r="C938" s="197">
        <v>42000</v>
      </c>
      <c r="D938" s="197">
        <v>0</v>
      </c>
      <c r="E938" s="197">
        <v>0</v>
      </c>
      <c r="F938" s="197">
        <v>0</v>
      </c>
      <c r="G938" s="197">
        <v>42000</v>
      </c>
      <c r="H938" s="197">
        <v>0</v>
      </c>
      <c r="I938" s="197">
        <v>0</v>
      </c>
      <c r="J938" s="197">
        <v>42000</v>
      </c>
      <c r="K938" s="197">
        <v>42000</v>
      </c>
      <c r="L938" s="197">
        <v>0</v>
      </c>
      <c r="M938" s="197">
        <v>0</v>
      </c>
      <c r="N938" s="197">
        <v>0</v>
      </c>
      <c r="O938" s="197">
        <v>0</v>
      </c>
      <c r="P938" s="197">
        <v>0</v>
      </c>
      <c r="Q938" s="197">
        <v>0</v>
      </c>
      <c r="R938" s="260" t="s">
        <v>239</v>
      </c>
      <c r="S938" s="260" t="s">
        <v>514</v>
      </c>
      <c r="T938" s="260" t="s">
        <v>239</v>
      </c>
      <c r="U938" s="260" t="s">
        <v>514</v>
      </c>
    </row>
    <row r="939" spans="1:21" ht="14.5" x14ac:dyDescent="0.35">
      <c r="A939" s="260" t="s">
        <v>566</v>
      </c>
      <c r="B939" s="190">
        <v>45860</v>
      </c>
      <c r="C939" s="197">
        <v>42000</v>
      </c>
      <c r="D939" s="197">
        <v>0</v>
      </c>
      <c r="E939" s="197">
        <v>0</v>
      </c>
      <c r="F939" s="197">
        <v>0</v>
      </c>
      <c r="G939" s="197">
        <v>42000</v>
      </c>
      <c r="H939" s="197">
        <v>0</v>
      </c>
      <c r="I939" s="197">
        <v>0</v>
      </c>
      <c r="J939" s="197">
        <v>42000</v>
      </c>
      <c r="K939" s="197">
        <v>42000</v>
      </c>
      <c r="L939" s="197">
        <v>0</v>
      </c>
      <c r="M939" s="197">
        <v>0</v>
      </c>
      <c r="N939" s="197">
        <v>0</v>
      </c>
      <c r="O939" s="197">
        <v>0</v>
      </c>
      <c r="P939" s="197">
        <v>0</v>
      </c>
      <c r="Q939" s="197">
        <v>0</v>
      </c>
      <c r="R939" s="260" t="s">
        <v>239</v>
      </c>
      <c r="S939" s="260" t="s">
        <v>514</v>
      </c>
      <c r="T939" s="260" t="s">
        <v>239</v>
      </c>
      <c r="U939" s="260" t="s">
        <v>514</v>
      </c>
    </row>
    <row r="940" spans="1:21" ht="14.5" x14ac:dyDescent="0.35">
      <c r="A940" s="260" t="s">
        <v>566</v>
      </c>
      <c r="B940" s="190">
        <v>45861</v>
      </c>
      <c r="C940" s="197">
        <v>42000</v>
      </c>
      <c r="D940" s="197">
        <v>0</v>
      </c>
      <c r="E940" s="197">
        <v>0</v>
      </c>
      <c r="F940" s="197">
        <v>0</v>
      </c>
      <c r="G940" s="197">
        <v>42000</v>
      </c>
      <c r="H940" s="197">
        <v>0</v>
      </c>
      <c r="I940" s="197">
        <v>0</v>
      </c>
      <c r="J940" s="197">
        <v>42000</v>
      </c>
      <c r="K940" s="197">
        <v>42000</v>
      </c>
      <c r="L940" s="197">
        <v>0</v>
      </c>
      <c r="M940" s="197">
        <v>0</v>
      </c>
      <c r="N940" s="197">
        <v>0</v>
      </c>
      <c r="O940" s="197">
        <v>0</v>
      </c>
      <c r="P940" s="197">
        <v>0</v>
      </c>
      <c r="Q940" s="197">
        <v>0</v>
      </c>
      <c r="R940" s="260" t="s">
        <v>239</v>
      </c>
      <c r="S940" s="260" t="s">
        <v>514</v>
      </c>
      <c r="T940" s="260" t="s">
        <v>239</v>
      </c>
      <c r="U940" s="260" t="s">
        <v>514</v>
      </c>
    </row>
    <row r="941" spans="1:21" ht="14.5" x14ac:dyDescent="0.35">
      <c r="A941" s="260" t="s">
        <v>566</v>
      </c>
      <c r="B941" s="190">
        <v>45862</v>
      </c>
      <c r="C941" s="197">
        <v>42000</v>
      </c>
      <c r="D941" s="197">
        <v>0</v>
      </c>
      <c r="E941" s="197">
        <v>0</v>
      </c>
      <c r="F941" s="197">
        <v>0</v>
      </c>
      <c r="G941" s="197">
        <v>42000</v>
      </c>
      <c r="H941" s="197">
        <v>0</v>
      </c>
      <c r="I941" s="197">
        <v>0</v>
      </c>
      <c r="J941" s="197">
        <v>42000</v>
      </c>
      <c r="K941" s="197">
        <v>42000</v>
      </c>
      <c r="L941" s="197">
        <v>0</v>
      </c>
      <c r="M941" s="197">
        <v>0</v>
      </c>
      <c r="N941" s="197">
        <v>0</v>
      </c>
      <c r="O941" s="197">
        <v>0</v>
      </c>
      <c r="P941" s="197">
        <v>0</v>
      </c>
      <c r="Q941" s="197">
        <v>0</v>
      </c>
      <c r="R941" s="260" t="s">
        <v>239</v>
      </c>
      <c r="S941" s="260" t="s">
        <v>514</v>
      </c>
      <c r="T941" s="260" t="s">
        <v>239</v>
      </c>
      <c r="U941" s="260" t="s">
        <v>514</v>
      </c>
    </row>
    <row r="942" spans="1:21" ht="14.5" x14ac:dyDescent="0.35">
      <c r="A942" s="260" t="s">
        <v>566</v>
      </c>
      <c r="B942" s="190">
        <v>45863</v>
      </c>
      <c r="C942" s="197">
        <v>42000</v>
      </c>
      <c r="D942" s="197">
        <v>0</v>
      </c>
      <c r="E942" s="197">
        <v>0</v>
      </c>
      <c r="F942" s="197">
        <v>0</v>
      </c>
      <c r="G942" s="197">
        <v>42000</v>
      </c>
      <c r="H942" s="197">
        <v>0</v>
      </c>
      <c r="I942" s="197">
        <v>0</v>
      </c>
      <c r="J942" s="197">
        <v>42000</v>
      </c>
      <c r="K942" s="197">
        <v>42000</v>
      </c>
      <c r="L942" s="197">
        <v>0</v>
      </c>
      <c r="M942" s="197">
        <v>0</v>
      </c>
      <c r="N942" s="197">
        <v>0</v>
      </c>
      <c r="O942" s="197">
        <v>0</v>
      </c>
      <c r="P942" s="197">
        <v>0</v>
      </c>
      <c r="Q942" s="197">
        <v>0</v>
      </c>
      <c r="R942" s="260" t="s">
        <v>239</v>
      </c>
      <c r="S942" s="260" t="s">
        <v>514</v>
      </c>
      <c r="T942" s="260" t="s">
        <v>239</v>
      </c>
      <c r="U942" s="260" t="s">
        <v>514</v>
      </c>
    </row>
    <row r="943" spans="1:21" ht="14.5" x14ac:dyDescent="0.35">
      <c r="A943" s="260" t="s">
        <v>566</v>
      </c>
      <c r="B943" s="190">
        <v>45864</v>
      </c>
      <c r="C943" s="197">
        <v>42000</v>
      </c>
      <c r="D943" s="197">
        <v>0</v>
      </c>
      <c r="E943" s="197">
        <v>0</v>
      </c>
      <c r="F943" s="197">
        <v>0</v>
      </c>
      <c r="G943" s="197">
        <v>42000</v>
      </c>
      <c r="H943" s="197">
        <v>0</v>
      </c>
      <c r="I943" s="197">
        <v>0</v>
      </c>
      <c r="J943" s="197">
        <v>42000</v>
      </c>
      <c r="K943" s="197">
        <v>42000</v>
      </c>
      <c r="L943" s="197">
        <v>0</v>
      </c>
      <c r="M943" s="197">
        <v>0</v>
      </c>
      <c r="N943" s="197">
        <v>0</v>
      </c>
      <c r="O943" s="197">
        <v>0</v>
      </c>
      <c r="P943" s="197">
        <v>0</v>
      </c>
      <c r="Q943" s="197">
        <v>0</v>
      </c>
      <c r="R943" s="260" t="s">
        <v>239</v>
      </c>
      <c r="S943" s="260" t="s">
        <v>514</v>
      </c>
      <c r="T943" s="260" t="s">
        <v>239</v>
      </c>
      <c r="U943" s="260" t="s">
        <v>514</v>
      </c>
    </row>
    <row r="944" spans="1:21" ht="14.5" x14ac:dyDescent="0.35">
      <c r="A944" s="260" t="s">
        <v>566</v>
      </c>
      <c r="B944" s="190">
        <v>45865</v>
      </c>
      <c r="C944" s="197">
        <v>42000</v>
      </c>
      <c r="D944" s="197">
        <v>0</v>
      </c>
      <c r="E944" s="197">
        <v>0</v>
      </c>
      <c r="F944" s="197">
        <v>0</v>
      </c>
      <c r="G944" s="197">
        <v>42000</v>
      </c>
      <c r="H944" s="197">
        <v>0</v>
      </c>
      <c r="I944" s="197">
        <v>0</v>
      </c>
      <c r="J944" s="197">
        <v>42000</v>
      </c>
      <c r="K944" s="197">
        <v>42000</v>
      </c>
      <c r="L944" s="197">
        <v>0</v>
      </c>
      <c r="M944" s="197">
        <v>0</v>
      </c>
      <c r="N944" s="197">
        <v>0</v>
      </c>
      <c r="O944" s="197">
        <v>0</v>
      </c>
      <c r="P944" s="197">
        <v>0</v>
      </c>
      <c r="Q944" s="197">
        <v>0</v>
      </c>
      <c r="R944" s="260" t="s">
        <v>239</v>
      </c>
      <c r="S944" s="260" t="s">
        <v>514</v>
      </c>
      <c r="T944" s="260" t="s">
        <v>239</v>
      </c>
      <c r="U944" s="260" t="s">
        <v>514</v>
      </c>
    </row>
    <row r="945" spans="1:21" ht="14.5" x14ac:dyDescent="0.35">
      <c r="A945" s="260" t="s">
        <v>566</v>
      </c>
      <c r="B945" s="190">
        <v>45866</v>
      </c>
      <c r="C945" s="197">
        <v>42000</v>
      </c>
      <c r="D945" s="197">
        <v>0</v>
      </c>
      <c r="E945" s="197">
        <v>0</v>
      </c>
      <c r="F945" s="197">
        <v>0</v>
      </c>
      <c r="G945" s="197">
        <v>42000</v>
      </c>
      <c r="H945" s="197">
        <v>0</v>
      </c>
      <c r="I945" s="197">
        <v>0</v>
      </c>
      <c r="J945" s="197">
        <v>42000</v>
      </c>
      <c r="K945" s="197">
        <v>42000</v>
      </c>
      <c r="L945" s="197">
        <v>0</v>
      </c>
      <c r="M945" s="197">
        <v>0</v>
      </c>
      <c r="N945" s="197">
        <v>0</v>
      </c>
      <c r="O945" s="197">
        <v>0</v>
      </c>
      <c r="P945" s="197">
        <v>0</v>
      </c>
      <c r="Q945" s="197">
        <v>0</v>
      </c>
      <c r="R945" s="260" t="s">
        <v>239</v>
      </c>
      <c r="S945" s="260" t="s">
        <v>514</v>
      </c>
      <c r="T945" s="260" t="s">
        <v>239</v>
      </c>
      <c r="U945" s="260" t="s">
        <v>514</v>
      </c>
    </row>
    <row r="946" spans="1:21" ht="14.5" x14ac:dyDescent="0.35">
      <c r="A946" s="260" t="s">
        <v>566</v>
      </c>
      <c r="B946" s="190">
        <v>45867</v>
      </c>
      <c r="C946" s="197">
        <v>42000</v>
      </c>
      <c r="D946" s="197">
        <v>0</v>
      </c>
      <c r="E946" s="197">
        <v>0</v>
      </c>
      <c r="F946" s="197">
        <v>0</v>
      </c>
      <c r="G946" s="197">
        <v>42000</v>
      </c>
      <c r="H946" s="197">
        <v>0</v>
      </c>
      <c r="I946" s="197">
        <v>0</v>
      </c>
      <c r="J946" s="197">
        <v>42000</v>
      </c>
      <c r="K946" s="197">
        <v>42000</v>
      </c>
      <c r="L946" s="197">
        <v>0</v>
      </c>
      <c r="M946" s="197">
        <v>0</v>
      </c>
      <c r="N946" s="197">
        <v>0</v>
      </c>
      <c r="O946" s="197">
        <v>0</v>
      </c>
      <c r="P946" s="197">
        <v>0</v>
      </c>
      <c r="Q946" s="197">
        <v>0</v>
      </c>
      <c r="R946" s="260" t="s">
        <v>239</v>
      </c>
      <c r="S946" s="260" t="s">
        <v>514</v>
      </c>
      <c r="T946" s="260" t="s">
        <v>239</v>
      </c>
      <c r="U946" s="260" t="s">
        <v>514</v>
      </c>
    </row>
    <row r="947" spans="1:21" ht="14.5" x14ac:dyDescent="0.35">
      <c r="A947" s="260" t="s">
        <v>566</v>
      </c>
      <c r="B947" s="190">
        <v>45868</v>
      </c>
      <c r="C947" s="197">
        <v>42000</v>
      </c>
      <c r="D947" s="197">
        <v>0</v>
      </c>
      <c r="E947" s="197">
        <v>0</v>
      </c>
      <c r="F947" s="197">
        <v>0</v>
      </c>
      <c r="G947" s="197">
        <v>42000</v>
      </c>
      <c r="H947" s="197">
        <v>0</v>
      </c>
      <c r="I947" s="197">
        <v>0</v>
      </c>
      <c r="J947" s="197">
        <v>42000</v>
      </c>
      <c r="K947" s="197">
        <v>42000</v>
      </c>
      <c r="L947" s="197">
        <v>0</v>
      </c>
      <c r="M947" s="197">
        <v>0</v>
      </c>
      <c r="N947" s="197">
        <v>0</v>
      </c>
      <c r="O947" s="197">
        <v>0</v>
      </c>
      <c r="P947" s="197">
        <v>0</v>
      </c>
      <c r="Q947" s="197">
        <v>0</v>
      </c>
      <c r="R947" s="260" t="s">
        <v>239</v>
      </c>
      <c r="S947" s="260" t="s">
        <v>514</v>
      </c>
      <c r="T947" s="260" t="s">
        <v>239</v>
      </c>
      <c r="U947" s="260" t="s">
        <v>514</v>
      </c>
    </row>
    <row r="948" spans="1:21" ht="14.5" x14ac:dyDescent="0.35">
      <c r="A948" s="260" t="s">
        <v>566</v>
      </c>
      <c r="B948" s="190">
        <v>45869</v>
      </c>
      <c r="C948" s="197">
        <v>42000</v>
      </c>
      <c r="D948" s="197">
        <v>0</v>
      </c>
      <c r="E948" s="197">
        <v>0</v>
      </c>
      <c r="F948" s="197">
        <v>0</v>
      </c>
      <c r="G948" s="197">
        <v>42000</v>
      </c>
      <c r="H948" s="197">
        <v>0</v>
      </c>
      <c r="I948" s="197">
        <v>0</v>
      </c>
      <c r="J948" s="197">
        <v>42000</v>
      </c>
      <c r="K948" s="197">
        <v>42000</v>
      </c>
      <c r="L948" s="197">
        <v>0</v>
      </c>
      <c r="M948" s="197">
        <v>0</v>
      </c>
      <c r="N948" s="197">
        <v>0</v>
      </c>
      <c r="O948" s="197">
        <v>0</v>
      </c>
      <c r="P948" s="197">
        <v>0</v>
      </c>
      <c r="Q948" s="197">
        <v>0</v>
      </c>
      <c r="R948" s="260" t="s">
        <v>239</v>
      </c>
      <c r="S948" s="260" t="s">
        <v>514</v>
      </c>
      <c r="T948" s="260" t="s">
        <v>239</v>
      </c>
      <c r="U948" s="260" t="s">
        <v>514</v>
      </c>
    </row>
    <row r="949" spans="1:21" ht="14.5" x14ac:dyDescent="0.35">
      <c r="A949" s="260" t="s">
        <v>566</v>
      </c>
      <c r="B949" s="190">
        <v>45870</v>
      </c>
      <c r="C949" s="197">
        <v>42000</v>
      </c>
      <c r="D949" s="197">
        <v>0</v>
      </c>
      <c r="E949" s="197">
        <v>0</v>
      </c>
      <c r="F949" s="197">
        <v>0</v>
      </c>
      <c r="G949" s="197">
        <v>42000</v>
      </c>
      <c r="H949" s="197">
        <v>0</v>
      </c>
      <c r="I949" s="197">
        <v>0</v>
      </c>
      <c r="J949" s="197">
        <v>42000</v>
      </c>
      <c r="K949" s="197">
        <v>42000</v>
      </c>
      <c r="L949" s="197">
        <v>0</v>
      </c>
      <c r="M949" s="197">
        <v>0</v>
      </c>
      <c r="N949" s="197">
        <v>0</v>
      </c>
      <c r="O949" s="197">
        <v>0</v>
      </c>
      <c r="P949" s="197">
        <v>0</v>
      </c>
      <c r="Q949" s="197">
        <v>0</v>
      </c>
      <c r="R949" s="260" t="s">
        <v>239</v>
      </c>
      <c r="S949" s="260" t="s">
        <v>514</v>
      </c>
      <c r="T949" s="260" t="s">
        <v>239</v>
      </c>
      <c r="U949" s="260" t="s">
        <v>514</v>
      </c>
    </row>
    <row r="950" spans="1:21" ht="14.5" x14ac:dyDescent="0.35">
      <c r="A950" s="260" t="s">
        <v>566</v>
      </c>
      <c r="B950" s="190">
        <v>45871</v>
      </c>
      <c r="C950" s="197">
        <v>42000</v>
      </c>
      <c r="D950" s="197">
        <v>0</v>
      </c>
      <c r="E950" s="197">
        <v>0</v>
      </c>
      <c r="F950" s="197">
        <v>0</v>
      </c>
      <c r="G950" s="197">
        <v>42000</v>
      </c>
      <c r="H950" s="197">
        <v>0</v>
      </c>
      <c r="I950" s="197">
        <v>0</v>
      </c>
      <c r="J950" s="197">
        <v>42000</v>
      </c>
      <c r="K950" s="197">
        <v>42000</v>
      </c>
      <c r="L950" s="197">
        <v>0</v>
      </c>
      <c r="M950" s="197">
        <v>0</v>
      </c>
      <c r="N950" s="197">
        <v>0</v>
      </c>
      <c r="O950" s="197">
        <v>0</v>
      </c>
      <c r="P950" s="197">
        <v>0</v>
      </c>
      <c r="Q950" s="197">
        <v>0</v>
      </c>
      <c r="R950" s="260" t="s">
        <v>239</v>
      </c>
      <c r="S950" s="260" t="s">
        <v>514</v>
      </c>
      <c r="T950" s="260" t="s">
        <v>239</v>
      </c>
      <c r="U950" s="260" t="s">
        <v>514</v>
      </c>
    </row>
    <row r="951" spans="1:21" ht="14.5" x14ac:dyDescent="0.35">
      <c r="A951" s="260" t="s">
        <v>566</v>
      </c>
      <c r="B951" s="190">
        <v>45872</v>
      </c>
      <c r="C951" s="197">
        <v>42000</v>
      </c>
      <c r="D951" s="197">
        <v>0</v>
      </c>
      <c r="E951" s="197">
        <v>0</v>
      </c>
      <c r="F951" s="197">
        <v>0</v>
      </c>
      <c r="G951" s="197">
        <v>42000</v>
      </c>
      <c r="H951" s="197">
        <v>0</v>
      </c>
      <c r="I951" s="197">
        <v>0</v>
      </c>
      <c r="J951" s="197">
        <v>42000</v>
      </c>
      <c r="K951" s="197">
        <v>42000</v>
      </c>
      <c r="L951" s="197">
        <v>0</v>
      </c>
      <c r="M951" s="197">
        <v>0</v>
      </c>
      <c r="N951" s="197">
        <v>0</v>
      </c>
      <c r="O951" s="197">
        <v>0</v>
      </c>
      <c r="P951" s="197">
        <v>0</v>
      </c>
      <c r="Q951" s="197">
        <v>0</v>
      </c>
      <c r="R951" s="260" t="s">
        <v>239</v>
      </c>
      <c r="S951" s="260" t="s">
        <v>514</v>
      </c>
      <c r="T951" s="260" t="s">
        <v>239</v>
      </c>
      <c r="U951" s="260" t="s">
        <v>514</v>
      </c>
    </row>
    <row r="952" spans="1:21" ht="14.5" x14ac:dyDescent="0.35">
      <c r="A952" s="260" t="s">
        <v>566</v>
      </c>
      <c r="B952" s="190">
        <v>45873</v>
      </c>
      <c r="C952" s="197">
        <v>42000</v>
      </c>
      <c r="D952" s="197">
        <v>0</v>
      </c>
      <c r="E952" s="197">
        <v>0</v>
      </c>
      <c r="F952" s="197">
        <v>0</v>
      </c>
      <c r="G952" s="197">
        <v>42000</v>
      </c>
      <c r="H952" s="197">
        <v>0</v>
      </c>
      <c r="I952" s="197">
        <v>0</v>
      </c>
      <c r="J952" s="197">
        <v>42000</v>
      </c>
      <c r="K952" s="197">
        <v>42000</v>
      </c>
      <c r="L952" s="197">
        <v>0</v>
      </c>
      <c r="M952" s="197">
        <v>0</v>
      </c>
      <c r="N952" s="197">
        <v>0</v>
      </c>
      <c r="O952" s="197">
        <v>0</v>
      </c>
      <c r="P952" s="197">
        <v>0</v>
      </c>
      <c r="Q952" s="197">
        <v>0</v>
      </c>
      <c r="R952" s="260" t="s">
        <v>239</v>
      </c>
      <c r="S952" s="260" t="s">
        <v>514</v>
      </c>
      <c r="T952" s="260" t="s">
        <v>239</v>
      </c>
      <c r="U952" s="260" t="s">
        <v>514</v>
      </c>
    </row>
    <row r="953" spans="1:21" ht="14.5" x14ac:dyDescent="0.35">
      <c r="A953" s="260" t="s">
        <v>566</v>
      </c>
      <c r="B953" s="190">
        <v>45874</v>
      </c>
      <c r="C953" s="197">
        <v>42000</v>
      </c>
      <c r="D953" s="197">
        <v>0</v>
      </c>
      <c r="E953" s="197">
        <v>0</v>
      </c>
      <c r="F953" s="197">
        <v>0</v>
      </c>
      <c r="G953" s="197">
        <v>42000</v>
      </c>
      <c r="H953" s="197">
        <v>0</v>
      </c>
      <c r="I953" s="197">
        <v>0</v>
      </c>
      <c r="J953" s="197">
        <v>42000</v>
      </c>
      <c r="K953" s="197">
        <v>42000</v>
      </c>
      <c r="L953" s="197">
        <v>0</v>
      </c>
      <c r="M953" s="197">
        <v>0</v>
      </c>
      <c r="N953" s="197">
        <v>0</v>
      </c>
      <c r="O953" s="197">
        <v>0</v>
      </c>
      <c r="P953" s="197">
        <v>0</v>
      </c>
      <c r="Q953" s="197">
        <v>0</v>
      </c>
      <c r="R953" s="260" t="s">
        <v>239</v>
      </c>
      <c r="S953" s="260" t="s">
        <v>514</v>
      </c>
      <c r="T953" s="260" t="s">
        <v>239</v>
      </c>
      <c r="U953" s="260" t="s">
        <v>514</v>
      </c>
    </row>
    <row r="954" spans="1:21" ht="14.5" x14ac:dyDescent="0.35">
      <c r="A954" s="260" t="s">
        <v>566</v>
      </c>
      <c r="B954" s="190">
        <v>45875</v>
      </c>
      <c r="C954" s="197">
        <v>42000</v>
      </c>
      <c r="D954" s="197">
        <v>0</v>
      </c>
      <c r="E954" s="197">
        <v>0</v>
      </c>
      <c r="F954" s="197">
        <v>0</v>
      </c>
      <c r="G954" s="197">
        <v>42000</v>
      </c>
      <c r="H954" s="197">
        <v>0</v>
      </c>
      <c r="I954" s="197">
        <v>0</v>
      </c>
      <c r="J954" s="197">
        <v>42000</v>
      </c>
      <c r="K954" s="197">
        <v>42000</v>
      </c>
      <c r="L954" s="197">
        <v>0</v>
      </c>
      <c r="M954" s="197">
        <v>0</v>
      </c>
      <c r="N954" s="197">
        <v>0</v>
      </c>
      <c r="O954" s="197">
        <v>0</v>
      </c>
      <c r="P954" s="197">
        <v>0</v>
      </c>
      <c r="Q954" s="197">
        <v>0</v>
      </c>
      <c r="R954" s="260" t="s">
        <v>239</v>
      </c>
      <c r="S954" s="260" t="s">
        <v>514</v>
      </c>
      <c r="T954" s="260" t="s">
        <v>239</v>
      </c>
      <c r="U954" s="260" t="s">
        <v>514</v>
      </c>
    </row>
    <row r="955" spans="1:21" ht="14.5" x14ac:dyDescent="0.35">
      <c r="A955" s="260" t="s">
        <v>566</v>
      </c>
      <c r="B955" s="190">
        <v>45876</v>
      </c>
      <c r="C955" s="197">
        <v>42000</v>
      </c>
      <c r="D955" s="197">
        <v>0</v>
      </c>
      <c r="E955" s="197">
        <v>0</v>
      </c>
      <c r="F955" s="197">
        <v>0</v>
      </c>
      <c r="G955" s="197">
        <v>42000</v>
      </c>
      <c r="H955" s="197">
        <v>0</v>
      </c>
      <c r="I955" s="197">
        <v>0</v>
      </c>
      <c r="J955" s="197">
        <v>42000</v>
      </c>
      <c r="K955" s="197">
        <v>42000</v>
      </c>
      <c r="L955" s="197">
        <v>0</v>
      </c>
      <c r="M955" s="197">
        <v>0</v>
      </c>
      <c r="N955" s="197">
        <v>0</v>
      </c>
      <c r="O955" s="197">
        <v>0</v>
      </c>
      <c r="P955" s="197">
        <v>0</v>
      </c>
      <c r="Q955" s="197">
        <v>0</v>
      </c>
      <c r="R955" s="260" t="s">
        <v>239</v>
      </c>
      <c r="S955" s="260" t="s">
        <v>514</v>
      </c>
      <c r="T955" s="260" t="s">
        <v>239</v>
      </c>
      <c r="U955" s="260" t="s">
        <v>514</v>
      </c>
    </row>
    <row r="956" spans="1:21" ht="14.5" x14ac:dyDescent="0.35">
      <c r="A956" s="260" t="s">
        <v>566</v>
      </c>
      <c r="B956" s="190">
        <v>45877</v>
      </c>
      <c r="C956" s="197">
        <v>42000</v>
      </c>
      <c r="D956" s="197">
        <v>0</v>
      </c>
      <c r="E956" s="197">
        <v>0</v>
      </c>
      <c r="F956" s="197">
        <v>0</v>
      </c>
      <c r="G956" s="197">
        <v>42000</v>
      </c>
      <c r="H956" s="197">
        <v>0</v>
      </c>
      <c r="I956" s="197">
        <v>0</v>
      </c>
      <c r="J956" s="197">
        <v>42000</v>
      </c>
      <c r="K956" s="197">
        <v>42000</v>
      </c>
      <c r="L956" s="197">
        <v>0</v>
      </c>
      <c r="M956" s="197">
        <v>0</v>
      </c>
      <c r="N956" s="197">
        <v>0</v>
      </c>
      <c r="O956" s="197">
        <v>0</v>
      </c>
      <c r="P956" s="197">
        <v>0</v>
      </c>
      <c r="Q956" s="197">
        <v>0</v>
      </c>
      <c r="R956" s="260" t="s">
        <v>239</v>
      </c>
      <c r="S956" s="260" t="s">
        <v>514</v>
      </c>
      <c r="T956" s="260" t="s">
        <v>239</v>
      </c>
      <c r="U956" s="260" t="s">
        <v>514</v>
      </c>
    </row>
    <row r="957" spans="1:21" ht="14.5" x14ac:dyDescent="0.35">
      <c r="A957" s="260" t="s">
        <v>566</v>
      </c>
      <c r="B957" s="190">
        <v>45878</v>
      </c>
      <c r="C957" s="197">
        <v>42000</v>
      </c>
      <c r="D957" s="197">
        <v>0</v>
      </c>
      <c r="E957" s="197">
        <v>0</v>
      </c>
      <c r="F957" s="197">
        <v>0</v>
      </c>
      <c r="G957" s="197">
        <v>42000</v>
      </c>
      <c r="H957" s="197">
        <v>0</v>
      </c>
      <c r="I957" s="197">
        <v>0</v>
      </c>
      <c r="J957" s="197">
        <v>42000</v>
      </c>
      <c r="K957" s="197">
        <v>42000</v>
      </c>
      <c r="L957" s="197">
        <v>0</v>
      </c>
      <c r="M957" s="197">
        <v>0</v>
      </c>
      <c r="N957" s="197">
        <v>0</v>
      </c>
      <c r="O957" s="197">
        <v>0</v>
      </c>
      <c r="P957" s="197">
        <v>0</v>
      </c>
      <c r="Q957" s="197">
        <v>0</v>
      </c>
      <c r="R957" s="260" t="s">
        <v>239</v>
      </c>
      <c r="S957" s="260" t="s">
        <v>514</v>
      </c>
      <c r="T957" s="260" t="s">
        <v>239</v>
      </c>
      <c r="U957" s="260" t="s">
        <v>514</v>
      </c>
    </row>
    <row r="958" spans="1:21" ht="14.5" x14ac:dyDescent="0.35">
      <c r="A958" s="260" t="s">
        <v>566</v>
      </c>
      <c r="B958" s="190">
        <v>45879</v>
      </c>
      <c r="C958" s="197">
        <v>42000</v>
      </c>
      <c r="D958" s="197">
        <v>0</v>
      </c>
      <c r="E958" s="197">
        <v>0</v>
      </c>
      <c r="F958" s="197">
        <v>0</v>
      </c>
      <c r="G958" s="197">
        <v>42000</v>
      </c>
      <c r="H958" s="197">
        <v>0</v>
      </c>
      <c r="I958" s="197">
        <v>0</v>
      </c>
      <c r="J958" s="197">
        <v>42000</v>
      </c>
      <c r="K958" s="197">
        <v>42000</v>
      </c>
      <c r="L958" s="197">
        <v>0</v>
      </c>
      <c r="M958" s="197">
        <v>0</v>
      </c>
      <c r="N958" s="197">
        <v>0</v>
      </c>
      <c r="O958" s="197">
        <v>0</v>
      </c>
      <c r="P958" s="197">
        <v>0</v>
      </c>
      <c r="Q958" s="197">
        <v>0</v>
      </c>
      <c r="R958" s="260" t="s">
        <v>239</v>
      </c>
      <c r="S958" s="260" t="s">
        <v>514</v>
      </c>
      <c r="T958" s="260" t="s">
        <v>239</v>
      </c>
      <c r="U958" s="260" t="s">
        <v>514</v>
      </c>
    </row>
    <row r="959" spans="1:21" ht="14.5" x14ac:dyDescent="0.35">
      <c r="A959" s="260" t="s">
        <v>566</v>
      </c>
      <c r="B959" s="190">
        <v>45880</v>
      </c>
      <c r="C959" s="197">
        <v>42000</v>
      </c>
      <c r="D959" s="197">
        <v>0</v>
      </c>
      <c r="E959" s="197">
        <v>0</v>
      </c>
      <c r="F959" s="197">
        <v>0</v>
      </c>
      <c r="G959" s="197">
        <v>42000</v>
      </c>
      <c r="H959" s="197">
        <v>0</v>
      </c>
      <c r="I959" s="197">
        <v>0</v>
      </c>
      <c r="J959" s="197">
        <v>42000</v>
      </c>
      <c r="K959" s="197">
        <v>42000</v>
      </c>
      <c r="L959" s="197">
        <v>0</v>
      </c>
      <c r="M959" s="197">
        <v>0</v>
      </c>
      <c r="N959" s="197">
        <v>0</v>
      </c>
      <c r="O959" s="197">
        <v>0</v>
      </c>
      <c r="P959" s="197">
        <v>0</v>
      </c>
      <c r="Q959" s="197">
        <v>0</v>
      </c>
      <c r="R959" s="260" t="s">
        <v>239</v>
      </c>
      <c r="S959" s="260" t="s">
        <v>514</v>
      </c>
      <c r="T959" s="260" t="s">
        <v>239</v>
      </c>
      <c r="U959" s="260" t="s">
        <v>514</v>
      </c>
    </row>
    <row r="960" spans="1:21" ht="14.5" x14ac:dyDescent="0.35">
      <c r="A960" s="260" t="s">
        <v>566</v>
      </c>
      <c r="B960" s="190">
        <v>45881</v>
      </c>
      <c r="C960" s="197">
        <v>42000</v>
      </c>
      <c r="D960" s="197">
        <v>0</v>
      </c>
      <c r="E960" s="197">
        <v>0</v>
      </c>
      <c r="F960" s="197">
        <v>0</v>
      </c>
      <c r="G960" s="197">
        <v>42000</v>
      </c>
      <c r="H960" s="197">
        <v>0</v>
      </c>
      <c r="I960" s="197">
        <v>0</v>
      </c>
      <c r="J960" s="197">
        <v>42000</v>
      </c>
      <c r="K960" s="197">
        <v>42000</v>
      </c>
      <c r="L960" s="197">
        <v>0</v>
      </c>
      <c r="M960" s="197">
        <v>0</v>
      </c>
      <c r="N960" s="197">
        <v>0</v>
      </c>
      <c r="O960" s="197">
        <v>0</v>
      </c>
      <c r="P960" s="197">
        <v>0</v>
      </c>
      <c r="Q960" s="197">
        <v>0</v>
      </c>
      <c r="R960" s="260" t="s">
        <v>239</v>
      </c>
      <c r="S960" s="260" t="s">
        <v>514</v>
      </c>
      <c r="T960" s="260" t="s">
        <v>239</v>
      </c>
      <c r="U960" s="260" t="s">
        <v>514</v>
      </c>
    </row>
    <row r="961" spans="1:21" ht="14.5" x14ac:dyDescent="0.35">
      <c r="A961" s="260" t="s">
        <v>566</v>
      </c>
      <c r="B961" s="190">
        <v>45882</v>
      </c>
      <c r="C961" s="197">
        <v>42000</v>
      </c>
      <c r="D961" s="197">
        <v>0</v>
      </c>
      <c r="E961" s="197">
        <v>0</v>
      </c>
      <c r="F961" s="197">
        <v>0</v>
      </c>
      <c r="G961" s="197">
        <v>42000</v>
      </c>
      <c r="H961" s="197">
        <v>0</v>
      </c>
      <c r="I961" s="197">
        <v>0</v>
      </c>
      <c r="J961" s="197">
        <v>42000</v>
      </c>
      <c r="K961" s="197">
        <v>42000</v>
      </c>
      <c r="L961" s="197">
        <v>0</v>
      </c>
      <c r="M961" s="197">
        <v>0</v>
      </c>
      <c r="N961" s="197">
        <v>0</v>
      </c>
      <c r="O961" s="197">
        <v>0</v>
      </c>
      <c r="P961" s="197">
        <v>0</v>
      </c>
      <c r="Q961" s="197">
        <v>0</v>
      </c>
      <c r="R961" s="260" t="s">
        <v>239</v>
      </c>
      <c r="S961" s="260" t="s">
        <v>514</v>
      </c>
      <c r="T961" s="260" t="s">
        <v>239</v>
      </c>
      <c r="U961" s="260" t="s">
        <v>514</v>
      </c>
    </row>
    <row r="962" spans="1:21" ht="14.5" x14ac:dyDescent="0.35">
      <c r="A962" s="260" t="s">
        <v>566</v>
      </c>
      <c r="B962" s="190">
        <v>45883</v>
      </c>
      <c r="C962" s="197">
        <v>42000</v>
      </c>
      <c r="D962" s="197">
        <v>0</v>
      </c>
      <c r="E962" s="197">
        <v>0</v>
      </c>
      <c r="F962" s="197">
        <v>0</v>
      </c>
      <c r="G962" s="197">
        <v>42000</v>
      </c>
      <c r="H962" s="197">
        <v>0</v>
      </c>
      <c r="I962" s="197">
        <v>0</v>
      </c>
      <c r="J962" s="197">
        <v>42000</v>
      </c>
      <c r="K962" s="197">
        <v>42000</v>
      </c>
      <c r="L962" s="197">
        <v>0</v>
      </c>
      <c r="M962" s="197">
        <v>0</v>
      </c>
      <c r="N962" s="197">
        <v>0</v>
      </c>
      <c r="O962" s="197">
        <v>0</v>
      </c>
      <c r="P962" s="197">
        <v>0</v>
      </c>
      <c r="Q962" s="197">
        <v>0</v>
      </c>
      <c r="R962" s="260" t="s">
        <v>239</v>
      </c>
      <c r="S962" s="260" t="s">
        <v>514</v>
      </c>
      <c r="T962" s="260" t="s">
        <v>239</v>
      </c>
      <c r="U962" s="260" t="s">
        <v>514</v>
      </c>
    </row>
    <row r="963" spans="1:21" ht="14.5" x14ac:dyDescent="0.35">
      <c r="A963" s="260" t="s">
        <v>566</v>
      </c>
      <c r="B963" s="190">
        <v>45884</v>
      </c>
      <c r="C963" s="197">
        <v>42000</v>
      </c>
      <c r="D963" s="197">
        <v>0</v>
      </c>
      <c r="E963" s="197">
        <v>0</v>
      </c>
      <c r="F963" s="197">
        <v>0</v>
      </c>
      <c r="G963" s="197">
        <v>42000</v>
      </c>
      <c r="H963" s="197">
        <v>0</v>
      </c>
      <c r="I963" s="197">
        <v>0</v>
      </c>
      <c r="J963" s="197">
        <v>42000</v>
      </c>
      <c r="K963" s="197">
        <v>42000</v>
      </c>
      <c r="L963" s="197">
        <v>0</v>
      </c>
      <c r="M963" s="197">
        <v>0</v>
      </c>
      <c r="N963" s="197">
        <v>0</v>
      </c>
      <c r="O963" s="197">
        <v>0</v>
      </c>
      <c r="P963" s="197">
        <v>0</v>
      </c>
      <c r="Q963" s="197">
        <v>0</v>
      </c>
      <c r="R963" s="260" t="s">
        <v>239</v>
      </c>
      <c r="S963" s="260" t="s">
        <v>514</v>
      </c>
      <c r="T963" s="260" t="s">
        <v>239</v>
      </c>
      <c r="U963" s="260" t="s">
        <v>514</v>
      </c>
    </row>
    <row r="964" spans="1:21" ht="14.5" x14ac:dyDescent="0.35">
      <c r="A964" s="260" t="s">
        <v>566</v>
      </c>
      <c r="B964" s="190">
        <v>45885</v>
      </c>
      <c r="C964" s="197">
        <v>42000</v>
      </c>
      <c r="D964" s="197">
        <v>0</v>
      </c>
      <c r="E964" s="197">
        <v>0</v>
      </c>
      <c r="F964" s="197">
        <v>0</v>
      </c>
      <c r="G964" s="197">
        <v>42000</v>
      </c>
      <c r="H964" s="197">
        <v>0</v>
      </c>
      <c r="I964" s="197">
        <v>0</v>
      </c>
      <c r="J964" s="197">
        <v>42000</v>
      </c>
      <c r="K964" s="197">
        <v>42000</v>
      </c>
      <c r="L964" s="197">
        <v>0</v>
      </c>
      <c r="M964" s="197">
        <v>0</v>
      </c>
      <c r="N964" s="197">
        <v>0</v>
      </c>
      <c r="O964" s="197">
        <v>0</v>
      </c>
      <c r="P964" s="197">
        <v>0</v>
      </c>
      <c r="Q964" s="197">
        <v>0</v>
      </c>
      <c r="R964" s="260" t="s">
        <v>239</v>
      </c>
      <c r="S964" s="260" t="s">
        <v>514</v>
      </c>
      <c r="T964" s="260" t="s">
        <v>239</v>
      </c>
      <c r="U964" s="260" t="s">
        <v>514</v>
      </c>
    </row>
    <row r="965" spans="1:21" ht="14.5" x14ac:dyDescent="0.35">
      <c r="A965" s="260" t="s">
        <v>566</v>
      </c>
      <c r="B965" s="190">
        <v>45886</v>
      </c>
      <c r="C965" s="197">
        <v>42000</v>
      </c>
      <c r="D965" s="197">
        <v>0</v>
      </c>
      <c r="E965" s="197">
        <v>0</v>
      </c>
      <c r="F965" s="197">
        <v>0</v>
      </c>
      <c r="G965" s="197">
        <v>42000</v>
      </c>
      <c r="H965" s="197">
        <v>0</v>
      </c>
      <c r="I965" s="197">
        <v>0</v>
      </c>
      <c r="J965" s="197">
        <v>42000</v>
      </c>
      <c r="K965" s="197">
        <v>42000</v>
      </c>
      <c r="L965" s="197">
        <v>0</v>
      </c>
      <c r="M965" s="197">
        <v>0</v>
      </c>
      <c r="N965" s="197">
        <v>0</v>
      </c>
      <c r="O965" s="197">
        <v>0</v>
      </c>
      <c r="P965" s="197">
        <v>0</v>
      </c>
      <c r="Q965" s="197">
        <v>0</v>
      </c>
      <c r="R965" s="260" t="s">
        <v>239</v>
      </c>
      <c r="S965" s="260" t="s">
        <v>514</v>
      </c>
      <c r="T965" s="260" t="s">
        <v>239</v>
      </c>
      <c r="U965" s="260" t="s">
        <v>514</v>
      </c>
    </row>
    <row r="966" spans="1:21" ht="14.5" x14ac:dyDescent="0.35">
      <c r="A966" s="260" t="s">
        <v>566</v>
      </c>
      <c r="B966" s="190">
        <v>45887</v>
      </c>
      <c r="C966" s="197">
        <v>42000</v>
      </c>
      <c r="D966" s="197">
        <v>0</v>
      </c>
      <c r="E966" s="197">
        <v>0</v>
      </c>
      <c r="F966" s="197">
        <v>0</v>
      </c>
      <c r="G966" s="197">
        <v>42000</v>
      </c>
      <c r="H966" s="197">
        <v>0</v>
      </c>
      <c r="I966" s="197">
        <v>0</v>
      </c>
      <c r="J966" s="197">
        <v>42000</v>
      </c>
      <c r="K966" s="197">
        <v>42000</v>
      </c>
      <c r="L966" s="197">
        <v>0</v>
      </c>
      <c r="M966" s="197">
        <v>0</v>
      </c>
      <c r="N966" s="197">
        <v>0</v>
      </c>
      <c r="O966" s="197">
        <v>0</v>
      </c>
      <c r="P966" s="197">
        <v>0</v>
      </c>
      <c r="Q966" s="197">
        <v>0</v>
      </c>
      <c r="R966" s="260" t="s">
        <v>239</v>
      </c>
      <c r="S966" s="260" t="s">
        <v>514</v>
      </c>
      <c r="T966" s="260" t="s">
        <v>239</v>
      </c>
      <c r="U966" s="260" t="s">
        <v>514</v>
      </c>
    </row>
    <row r="967" spans="1:21" ht="14.5" x14ac:dyDescent="0.35">
      <c r="A967" s="260" t="s">
        <v>566</v>
      </c>
      <c r="B967" s="190">
        <v>45888</v>
      </c>
      <c r="C967" s="197">
        <v>42000</v>
      </c>
      <c r="D967" s="197">
        <v>0</v>
      </c>
      <c r="E967" s="197">
        <v>0</v>
      </c>
      <c r="F967" s="197">
        <v>0</v>
      </c>
      <c r="G967" s="197">
        <v>42000</v>
      </c>
      <c r="H967" s="197">
        <v>0</v>
      </c>
      <c r="I967" s="197">
        <v>0</v>
      </c>
      <c r="J967" s="197">
        <v>42000</v>
      </c>
      <c r="K967" s="197">
        <v>42000</v>
      </c>
      <c r="L967" s="197">
        <v>0</v>
      </c>
      <c r="M967" s="197">
        <v>0</v>
      </c>
      <c r="N967" s="197">
        <v>0</v>
      </c>
      <c r="O967" s="197">
        <v>0</v>
      </c>
      <c r="P967" s="197">
        <v>0</v>
      </c>
      <c r="Q967" s="197">
        <v>0</v>
      </c>
      <c r="R967" s="260" t="s">
        <v>239</v>
      </c>
      <c r="S967" s="260" t="s">
        <v>514</v>
      </c>
      <c r="T967" s="260" t="s">
        <v>239</v>
      </c>
      <c r="U967" s="260" t="s">
        <v>514</v>
      </c>
    </row>
    <row r="968" spans="1:21" ht="14.5" x14ac:dyDescent="0.35">
      <c r="A968" s="260" t="s">
        <v>566</v>
      </c>
      <c r="B968" s="190">
        <v>45889</v>
      </c>
      <c r="C968" s="197">
        <v>42000</v>
      </c>
      <c r="D968" s="197">
        <v>0</v>
      </c>
      <c r="E968" s="197">
        <v>0</v>
      </c>
      <c r="F968" s="197">
        <v>0</v>
      </c>
      <c r="G968" s="197">
        <v>42000</v>
      </c>
      <c r="H968" s="197">
        <v>0</v>
      </c>
      <c r="I968" s="197">
        <v>0</v>
      </c>
      <c r="J968" s="197">
        <v>42000</v>
      </c>
      <c r="K968" s="197">
        <v>42000</v>
      </c>
      <c r="L968" s="197">
        <v>0</v>
      </c>
      <c r="M968" s="197">
        <v>0</v>
      </c>
      <c r="N968" s="197">
        <v>0</v>
      </c>
      <c r="O968" s="197">
        <v>0</v>
      </c>
      <c r="P968" s="197">
        <v>0</v>
      </c>
      <c r="Q968" s="197">
        <v>0</v>
      </c>
      <c r="R968" s="260" t="s">
        <v>239</v>
      </c>
      <c r="S968" s="260" t="s">
        <v>514</v>
      </c>
      <c r="T968" s="260" t="s">
        <v>239</v>
      </c>
      <c r="U968" s="260" t="s">
        <v>514</v>
      </c>
    </row>
    <row r="969" spans="1:21" ht="14.5" x14ac:dyDescent="0.35">
      <c r="A969" s="260" t="s">
        <v>566</v>
      </c>
      <c r="B969" s="190">
        <v>45890</v>
      </c>
      <c r="C969" s="197">
        <v>42000</v>
      </c>
      <c r="D969" s="197">
        <v>0</v>
      </c>
      <c r="E969" s="197">
        <v>0</v>
      </c>
      <c r="F969" s="197">
        <v>0</v>
      </c>
      <c r="G969" s="197">
        <v>42000</v>
      </c>
      <c r="H969" s="197">
        <v>0</v>
      </c>
      <c r="I969" s="197">
        <v>0</v>
      </c>
      <c r="J969" s="197">
        <v>42000</v>
      </c>
      <c r="K969" s="197">
        <v>42000</v>
      </c>
      <c r="L969" s="197">
        <v>0</v>
      </c>
      <c r="M969" s="197">
        <v>0</v>
      </c>
      <c r="N969" s="197">
        <v>0</v>
      </c>
      <c r="O969" s="197">
        <v>0</v>
      </c>
      <c r="P969" s="197">
        <v>0</v>
      </c>
      <c r="Q969" s="197">
        <v>0</v>
      </c>
      <c r="R969" s="260" t="s">
        <v>239</v>
      </c>
      <c r="S969" s="260" t="s">
        <v>514</v>
      </c>
      <c r="T969" s="260" t="s">
        <v>239</v>
      </c>
      <c r="U969" s="260" t="s">
        <v>514</v>
      </c>
    </row>
    <row r="970" spans="1:21" ht="14.5" x14ac:dyDescent="0.35">
      <c r="A970" s="260" t="s">
        <v>566</v>
      </c>
      <c r="B970" s="190">
        <v>45891</v>
      </c>
      <c r="C970" s="197">
        <v>42000</v>
      </c>
      <c r="D970" s="197">
        <v>0</v>
      </c>
      <c r="E970" s="197">
        <v>0</v>
      </c>
      <c r="F970" s="197">
        <v>0</v>
      </c>
      <c r="G970" s="197">
        <v>42000</v>
      </c>
      <c r="H970" s="197">
        <v>0</v>
      </c>
      <c r="I970" s="197">
        <v>0</v>
      </c>
      <c r="J970" s="197">
        <v>42000</v>
      </c>
      <c r="K970" s="197">
        <v>42000</v>
      </c>
      <c r="L970" s="197">
        <v>0</v>
      </c>
      <c r="M970" s="197">
        <v>0</v>
      </c>
      <c r="N970" s="197">
        <v>0</v>
      </c>
      <c r="O970" s="197">
        <v>0</v>
      </c>
      <c r="P970" s="197">
        <v>0</v>
      </c>
      <c r="Q970" s="197">
        <v>0</v>
      </c>
      <c r="R970" s="260" t="s">
        <v>239</v>
      </c>
      <c r="S970" s="260" t="s">
        <v>514</v>
      </c>
      <c r="T970" s="260" t="s">
        <v>239</v>
      </c>
      <c r="U970" s="260" t="s">
        <v>514</v>
      </c>
    </row>
    <row r="971" spans="1:21" ht="14.5" x14ac:dyDescent="0.35">
      <c r="A971" s="260" t="s">
        <v>566</v>
      </c>
      <c r="B971" s="190">
        <v>45892</v>
      </c>
      <c r="C971" s="197">
        <v>42000</v>
      </c>
      <c r="D971" s="197">
        <v>0</v>
      </c>
      <c r="E971" s="197">
        <v>0</v>
      </c>
      <c r="F971" s="197">
        <v>0</v>
      </c>
      <c r="G971" s="197">
        <v>42000</v>
      </c>
      <c r="H971" s="197">
        <v>0</v>
      </c>
      <c r="I971" s="197">
        <v>0</v>
      </c>
      <c r="J971" s="197">
        <v>42000</v>
      </c>
      <c r="K971" s="197">
        <v>42000</v>
      </c>
      <c r="L971" s="197">
        <v>0</v>
      </c>
      <c r="M971" s="197">
        <v>0</v>
      </c>
      <c r="N971" s="197">
        <v>0</v>
      </c>
      <c r="O971" s="197">
        <v>0</v>
      </c>
      <c r="P971" s="197">
        <v>0</v>
      </c>
      <c r="Q971" s="197">
        <v>0</v>
      </c>
      <c r="R971" s="260" t="s">
        <v>239</v>
      </c>
      <c r="S971" s="260" t="s">
        <v>514</v>
      </c>
      <c r="T971" s="260" t="s">
        <v>239</v>
      </c>
      <c r="U971" s="260" t="s">
        <v>514</v>
      </c>
    </row>
    <row r="972" spans="1:21" ht="14.5" x14ac:dyDescent="0.35">
      <c r="A972" s="260" t="s">
        <v>566</v>
      </c>
      <c r="B972" s="190">
        <v>45893</v>
      </c>
      <c r="C972" s="197">
        <v>42000</v>
      </c>
      <c r="D972" s="197">
        <v>0</v>
      </c>
      <c r="E972" s="197">
        <v>0</v>
      </c>
      <c r="F972" s="197">
        <v>0</v>
      </c>
      <c r="G972" s="197">
        <v>42000</v>
      </c>
      <c r="H972" s="197">
        <v>0</v>
      </c>
      <c r="I972" s="197">
        <v>0</v>
      </c>
      <c r="J972" s="197">
        <v>42000</v>
      </c>
      <c r="K972" s="197">
        <v>42000</v>
      </c>
      <c r="L972" s="197">
        <v>0</v>
      </c>
      <c r="M972" s="197">
        <v>0</v>
      </c>
      <c r="N972" s="197">
        <v>0</v>
      </c>
      <c r="O972" s="197">
        <v>0</v>
      </c>
      <c r="P972" s="197">
        <v>0</v>
      </c>
      <c r="Q972" s="197">
        <v>0</v>
      </c>
      <c r="R972" s="260" t="s">
        <v>239</v>
      </c>
      <c r="S972" s="260" t="s">
        <v>514</v>
      </c>
      <c r="T972" s="260" t="s">
        <v>239</v>
      </c>
      <c r="U972" s="260" t="s">
        <v>514</v>
      </c>
    </row>
    <row r="973" spans="1:21" ht="14.5" x14ac:dyDescent="0.35">
      <c r="A973" s="260" t="s">
        <v>566</v>
      </c>
      <c r="B973" s="190">
        <v>45894</v>
      </c>
      <c r="C973" s="197">
        <v>42000</v>
      </c>
      <c r="D973" s="197">
        <v>0</v>
      </c>
      <c r="E973" s="197">
        <v>0</v>
      </c>
      <c r="F973" s="197">
        <v>0</v>
      </c>
      <c r="G973" s="197">
        <v>42000</v>
      </c>
      <c r="H973" s="197">
        <v>0</v>
      </c>
      <c r="I973" s="197">
        <v>0</v>
      </c>
      <c r="J973" s="197">
        <v>42000</v>
      </c>
      <c r="K973" s="197">
        <v>42000</v>
      </c>
      <c r="L973" s="197">
        <v>0</v>
      </c>
      <c r="M973" s="197">
        <v>0</v>
      </c>
      <c r="N973" s="197">
        <v>0</v>
      </c>
      <c r="O973" s="197">
        <v>0</v>
      </c>
      <c r="P973" s="197">
        <v>0</v>
      </c>
      <c r="Q973" s="197">
        <v>0</v>
      </c>
      <c r="R973" s="260" t="s">
        <v>239</v>
      </c>
      <c r="S973" s="260" t="s">
        <v>514</v>
      </c>
      <c r="T973" s="260" t="s">
        <v>239</v>
      </c>
      <c r="U973" s="260" t="s">
        <v>514</v>
      </c>
    </row>
    <row r="974" spans="1:21" ht="14.5" x14ac:dyDescent="0.35">
      <c r="A974" s="260" t="s">
        <v>566</v>
      </c>
      <c r="B974" s="190">
        <v>45895</v>
      </c>
      <c r="C974" s="197">
        <v>42000</v>
      </c>
      <c r="D974" s="197">
        <v>0</v>
      </c>
      <c r="E974" s="197">
        <v>0</v>
      </c>
      <c r="F974" s="197">
        <v>0</v>
      </c>
      <c r="G974" s="197">
        <v>42000</v>
      </c>
      <c r="H974" s="197">
        <v>0</v>
      </c>
      <c r="I974" s="197">
        <v>0</v>
      </c>
      <c r="J974" s="197">
        <v>42000</v>
      </c>
      <c r="K974" s="197">
        <v>42000</v>
      </c>
      <c r="L974" s="197">
        <v>0</v>
      </c>
      <c r="M974" s="197">
        <v>0</v>
      </c>
      <c r="N974" s="197">
        <v>0</v>
      </c>
      <c r="O974" s="197">
        <v>0</v>
      </c>
      <c r="P974" s="197">
        <v>0</v>
      </c>
      <c r="Q974" s="197">
        <v>0</v>
      </c>
      <c r="R974" s="260" t="s">
        <v>239</v>
      </c>
      <c r="S974" s="260" t="s">
        <v>514</v>
      </c>
      <c r="T974" s="260" t="s">
        <v>239</v>
      </c>
      <c r="U974" s="260" t="s">
        <v>514</v>
      </c>
    </row>
    <row r="975" spans="1:21" ht="14.5" x14ac:dyDescent="0.35">
      <c r="A975" s="260" t="s">
        <v>566</v>
      </c>
      <c r="B975" s="190">
        <v>45896</v>
      </c>
      <c r="C975" s="197">
        <v>42000</v>
      </c>
      <c r="D975" s="197">
        <v>0</v>
      </c>
      <c r="E975" s="197">
        <v>0</v>
      </c>
      <c r="F975" s="197">
        <v>0</v>
      </c>
      <c r="G975" s="197">
        <v>42000</v>
      </c>
      <c r="H975" s="197">
        <v>0</v>
      </c>
      <c r="I975" s="197">
        <v>0</v>
      </c>
      <c r="J975" s="197">
        <v>42000</v>
      </c>
      <c r="K975" s="197">
        <v>42000</v>
      </c>
      <c r="L975" s="197">
        <v>0</v>
      </c>
      <c r="M975" s="197">
        <v>0</v>
      </c>
      <c r="N975" s="197">
        <v>0</v>
      </c>
      <c r="O975" s="197">
        <v>0</v>
      </c>
      <c r="P975" s="197">
        <v>0</v>
      </c>
      <c r="Q975" s="197">
        <v>0</v>
      </c>
      <c r="R975" s="260" t="s">
        <v>239</v>
      </c>
      <c r="S975" s="260" t="s">
        <v>514</v>
      </c>
      <c r="T975" s="260" t="s">
        <v>239</v>
      </c>
      <c r="U975" s="260" t="s">
        <v>514</v>
      </c>
    </row>
    <row r="976" spans="1:21" ht="14.5" x14ac:dyDescent="0.35">
      <c r="A976" s="260" t="s">
        <v>566</v>
      </c>
      <c r="B976" s="190">
        <v>45897</v>
      </c>
      <c r="C976" s="197">
        <v>42000</v>
      </c>
      <c r="D976" s="197">
        <v>0</v>
      </c>
      <c r="E976" s="197">
        <v>0</v>
      </c>
      <c r="F976" s="197">
        <v>0</v>
      </c>
      <c r="G976" s="197">
        <v>42000</v>
      </c>
      <c r="H976" s="197">
        <v>0</v>
      </c>
      <c r="I976" s="197">
        <v>0</v>
      </c>
      <c r="J976" s="197">
        <v>42000</v>
      </c>
      <c r="K976" s="197">
        <v>42000</v>
      </c>
      <c r="L976" s="197">
        <v>0</v>
      </c>
      <c r="M976" s="197">
        <v>0</v>
      </c>
      <c r="N976" s="197">
        <v>0</v>
      </c>
      <c r="O976" s="197">
        <v>0</v>
      </c>
      <c r="P976" s="197">
        <v>0</v>
      </c>
      <c r="Q976" s="197">
        <v>0</v>
      </c>
      <c r="R976" s="260" t="s">
        <v>239</v>
      </c>
      <c r="S976" s="260" t="s">
        <v>514</v>
      </c>
      <c r="T976" s="260" t="s">
        <v>239</v>
      </c>
      <c r="U976" s="260" t="s">
        <v>514</v>
      </c>
    </row>
    <row r="977" spans="1:21" ht="14.5" x14ac:dyDescent="0.35">
      <c r="A977" s="260" t="s">
        <v>566</v>
      </c>
      <c r="B977" s="190">
        <v>45898</v>
      </c>
      <c r="C977" s="197">
        <v>42000</v>
      </c>
      <c r="D977" s="197">
        <v>0</v>
      </c>
      <c r="E977" s="197">
        <v>0</v>
      </c>
      <c r="F977" s="197">
        <v>0</v>
      </c>
      <c r="G977" s="197">
        <v>42000</v>
      </c>
      <c r="H977" s="197">
        <v>0</v>
      </c>
      <c r="I977" s="197">
        <v>0</v>
      </c>
      <c r="J977" s="197">
        <v>42000</v>
      </c>
      <c r="K977" s="197">
        <v>42000</v>
      </c>
      <c r="L977" s="197">
        <v>0</v>
      </c>
      <c r="M977" s="197">
        <v>0</v>
      </c>
      <c r="N977" s="197">
        <v>0</v>
      </c>
      <c r="O977" s="197">
        <v>0</v>
      </c>
      <c r="P977" s="197">
        <v>0</v>
      </c>
      <c r="Q977" s="197">
        <v>0</v>
      </c>
      <c r="R977" s="260" t="s">
        <v>239</v>
      </c>
      <c r="S977" s="260" t="s">
        <v>514</v>
      </c>
      <c r="T977" s="260" t="s">
        <v>239</v>
      </c>
      <c r="U977" s="260" t="s">
        <v>514</v>
      </c>
    </row>
    <row r="978" spans="1:21" ht="14.5" x14ac:dyDescent="0.35">
      <c r="A978" s="260" t="s">
        <v>566</v>
      </c>
      <c r="B978" s="190">
        <v>45899</v>
      </c>
      <c r="C978" s="197">
        <v>42000</v>
      </c>
      <c r="D978" s="197">
        <v>0</v>
      </c>
      <c r="E978" s="197">
        <v>0</v>
      </c>
      <c r="F978" s="197">
        <v>0</v>
      </c>
      <c r="G978" s="197">
        <v>42000</v>
      </c>
      <c r="H978" s="197">
        <v>0</v>
      </c>
      <c r="I978" s="197">
        <v>0</v>
      </c>
      <c r="J978" s="197">
        <v>42000</v>
      </c>
      <c r="K978" s="197">
        <v>42000</v>
      </c>
      <c r="L978" s="197">
        <v>0</v>
      </c>
      <c r="M978" s="197">
        <v>0</v>
      </c>
      <c r="N978" s="197">
        <v>0</v>
      </c>
      <c r="O978" s="197">
        <v>0</v>
      </c>
      <c r="P978" s="197">
        <v>0</v>
      </c>
      <c r="Q978" s="197">
        <v>0</v>
      </c>
      <c r="R978" s="260" t="s">
        <v>239</v>
      </c>
      <c r="S978" s="260" t="s">
        <v>514</v>
      </c>
      <c r="T978" s="260" t="s">
        <v>239</v>
      </c>
      <c r="U978" s="260" t="s">
        <v>514</v>
      </c>
    </row>
    <row r="979" spans="1:21" ht="14.5" x14ac:dyDescent="0.35">
      <c r="A979" s="260" t="s">
        <v>566</v>
      </c>
      <c r="B979" s="190">
        <v>45900</v>
      </c>
      <c r="C979" s="197">
        <v>42000</v>
      </c>
      <c r="D979" s="197">
        <v>0</v>
      </c>
      <c r="E979" s="197">
        <v>0</v>
      </c>
      <c r="F979" s="197">
        <v>0</v>
      </c>
      <c r="G979" s="197">
        <v>42000</v>
      </c>
      <c r="H979" s="197">
        <v>0</v>
      </c>
      <c r="I979" s="197">
        <v>0</v>
      </c>
      <c r="J979" s="197">
        <v>42000</v>
      </c>
      <c r="K979" s="197">
        <v>42000</v>
      </c>
      <c r="L979" s="197">
        <v>0</v>
      </c>
      <c r="M979" s="197">
        <v>0</v>
      </c>
      <c r="N979" s="197">
        <v>0</v>
      </c>
      <c r="O979" s="197">
        <v>0</v>
      </c>
      <c r="P979" s="197">
        <v>0</v>
      </c>
      <c r="Q979" s="197">
        <v>0</v>
      </c>
      <c r="R979" s="260" t="s">
        <v>239</v>
      </c>
      <c r="S979" s="260" t="s">
        <v>514</v>
      </c>
      <c r="T979" s="260" t="s">
        <v>239</v>
      </c>
      <c r="U979" s="260" t="s">
        <v>514</v>
      </c>
    </row>
    <row r="980" spans="1:21" ht="14.5" x14ac:dyDescent="0.35">
      <c r="A980" s="260" t="s">
        <v>566</v>
      </c>
      <c r="B980" s="190">
        <v>45901</v>
      </c>
      <c r="C980" s="197">
        <v>42000</v>
      </c>
      <c r="D980" s="197">
        <v>0</v>
      </c>
      <c r="E980" s="197">
        <v>0</v>
      </c>
      <c r="F980" s="197">
        <v>0</v>
      </c>
      <c r="G980" s="197">
        <v>42000</v>
      </c>
      <c r="H980" s="197">
        <v>0</v>
      </c>
      <c r="I980" s="197">
        <v>0</v>
      </c>
      <c r="J980" s="197">
        <v>42000</v>
      </c>
      <c r="K980" s="197">
        <v>42000</v>
      </c>
      <c r="L980" s="197">
        <v>0</v>
      </c>
      <c r="M980" s="197">
        <v>0</v>
      </c>
      <c r="N980" s="197">
        <v>0</v>
      </c>
      <c r="O980" s="197">
        <v>0</v>
      </c>
      <c r="P980" s="197">
        <v>0</v>
      </c>
      <c r="Q980" s="197">
        <v>0</v>
      </c>
      <c r="R980" s="260" t="s">
        <v>239</v>
      </c>
      <c r="S980" s="260" t="s">
        <v>514</v>
      </c>
      <c r="T980" s="260" t="s">
        <v>239</v>
      </c>
      <c r="U980" s="260" t="s">
        <v>514</v>
      </c>
    </row>
    <row r="981" spans="1:21" ht="14.5" x14ac:dyDescent="0.35">
      <c r="A981" s="260" t="s">
        <v>566</v>
      </c>
      <c r="B981" s="190">
        <v>45902</v>
      </c>
      <c r="C981" s="197">
        <v>42000</v>
      </c>
      <c r="D981" s="197">
        <v>0</v>
      </c>
      <c r="E981" s="197">
        <v>0</v>
      </c>
      <c r="F981" s="197">
        <v>0</v>
      </c>
      <c r="G981" s="197">
        <v>42000</v>
      </c>
      <c r="H981" s="197">
        <v>0</v>
      </c>
      <c r="I981" s="197">
        <v>0</v>
      </c>
      <c r="J981" s="197">
        <v>42000</v>
      </c>
      <c r="K981" s="197">
        <v>42000</v>
      </c>
      <c r="L981" s="197">
        <v>0</v>
      </c>
      <c r="M981" s="197">
        <v>0</v>
      </c>
      <c r="N981" s="197">
        <v>0</v>
      </c>
      <c r="O981" s="197">
        <v>0</v>
      </c>
      <c r="P981" s="197">
        <v>0</v>
      </c>
      <c r="Q981" s="197">
        <v>0</v>
      </c>
      <c r="R981" s="260" t="s">
        <v>239</v>
      </c>
      <c r="S981" s="260" t="s">
        <v>514</v>
      </c>
      <c r="T981" s="260" t="s">
        <v>239</v>
      </c>
      <c r="U981" s="260" t="s">
        <v>514</v>
      </c>
    </row>
    <row r="982" spans="1:21" ht="14.5" x14ac:dyDescent="0.35">
      <c r="A982" s="260" t="s">
        <v>566</v>
      </c>
      <c r="B982" s="190">
        <v>45903</v>
      </c>
      <c r="C982" s="197">
        <v>42000</v>
      </c>
      <c r="D982" s="197">
        <v>0</v>
      </c>
      <c r="E982" s="197">
        <v>0</v>
      </c>
      <c r="F982" s="197">
        <v>0</v>
      </c>
      <c r="G982" s="197">
        <v>42000</v>
      </c>
      <c r="H982" s="197">
        <v>0</v>
      </c>
      <c r="I982" s="197">
        <v>0</v>
      </c>
      <c r="J982" s="197">
        <v>42000</v>
      </c>
      <c r="K982" s="197">
        <v>42000</v>
      </c>
      <c r="L982" s="197">
        <v>0</v>
      </c>
      <c r="M982" s="197">
        <v>0</v>
      </c>
      <c r="N982" s="197">
        <v>0</v>
      </c>
      <c r="O982" s="197">
        <v>0</v>
      </c>
      <c r="P982" s="197">
        <v>0</v>
      </c>
      <c r="Q982" s="197">
        <v>0</v>
      </c>
      <c r="R982" s="260" t="s">
        <v>239</v>
      </c>
      <c r="S982" s="260" t="s">
        <v>514</v>
      </c>
      <c r="T982" s="260" t="s">
        <v>239</v>
      </c>
      <c r="U982" s="260" t="s">
        <v>514</v>
      </c>
    </row>
    <row r="983" spans="1:21" ht="14.5" x14ac:dyDescent="0.35">
      <c r="A983" s="260" t="s">
        <v>566</v>
      </c>
      <c r="B983" s="190">
        <v>45904</v>
      </c>
      <c r="C983" s="197">
        <v>42000</v>
      </c>
      <c r="D983" s="197">
        <v>0</v>
      </c>
      <c r="E983" s="197">
        <v>0</v>
      </c>
      <c r="F983" s="197">
        <v>0</v>
      </c>
      <c r="G983" s="197">
        <v>42000</v>
      </c>
      <c r="H983" s="197">
        <v>0</v>
      </c>
      <c r="I983" s="197">
        <v>0</v>
      </c>
      <c r="J983" s="197">
        <v>42000</v>
      </c>
      <c r="K983" s="197">
        <v>42000</v>
      </c>
      <c r="L983" s="197">
        <v>0</v>
      </c>
      <c r="M983" s="197">
        <v>0</v>
      </c>
      <c r="N983" s="197">
        <v>0</v>
      </c>
      <c r="O983" s="197">
        <v>0</v>
      </c>
      <c r="P983" s="197">
        <v>0</v>
      </c>
      <c r="Q983" s="197">
        <v>0</v>
      </c>
      <c r="R983" s="260" t="s">
        <v>239</v>
      </c>
      <c r="S983" s="260" t="s">
        <v>514</v>
      </c>
      <c r="T983" s="260" t="s">
        <v>239</v>
      </c>
      <c r="U983" s="260" t="s">
        <v>514</v>
      </c>
    </row>
    <row r="984" spans="1:21" ht="14.5" x14ac:dyDescent="0.35">
      <c r="A984" s="260" t="s">
        <v>566</v>
      </c>
      <c r="B984" s="190">
        <v>45905</v>
      </c>
      <c r="C984" s="197">
        <v>42000</v>
      </c>
      <c r="D984" s="197">
        <v>0</v>
      </c>
      <c r="E984" s="197">
        <v>0</v>
      </c>
      <c r="F984" s="197">
        <v>0</v>
      </c>
      <c r="G984" s="197">
        <v>42000</v>
      </c>
      <c r="H984" s="197">
        <v>0</v>
      </c>
      <c r="I984" s="197">
        <v>0</v>
      </c>
      <c r="J984" s="197">
        <v>42000</v>
      </c>
      <c r="K984" s="197">
        <v>42000</v>
      </c>
      <c r="L984" s="197">
        <v>0</v>
      </c>
      <c r="M984" s="197">
        <v>0</v>
      </c>
      <c r="N984" s="197">
        <v>0</v>
      </c>
      <c r="O984" s="197">
        <v>0</v>
      </c>
      <c r="P984" s="197">
        <v>0</v>
      </c>
      <c r="Q984" s="197">
        <v>0</v>
      </c>
      <c r="R984" s="260" t="s">
        <v>239</v>
      </c>
      <c r="S984" s="260" t="s">
        <v>514</v>
      </c>
      <c r="T984" s="260" t="s">
        <v>239</v>
      </c>
      <c r="U984" s="260" t="s">
        <v>514</v>
      </c>
    </row>
    <row r="985" spans="1:21" ht="14.5" x14ac:dyDescent="0.35">
      <c r="A985" s="260" t="s">
        <v>566</v>
      </c>
      <c r="B985" s="190">
        <v>45906</v>
      </c>
      <c r="C985" s="197">
        <v>42000</v>
      </c>
      <c r="D985" s="197">
        <v>0</v>
      </c>
      <c r="E985" s="197">
        <v>0</v>
      </c>
      <c r="F985" s="197">
        <v>0</v>
      </c>
      <c r="G985" s="197">
        <v>42000</v>
      </c>
      <c r="H985" s="197">
        <v>0</v>
      </c>
      <c r="I985" s="197">
        <v>0</v>
      </c>
      <c r="J985" s="197">
        <v>42000</v>
      </c>
      <c r="K985" s="197">
        <v>42000</v>
      </c>
      <c r="L985" s="197">
        <v>0</v>
      </c>
      <c r="M985" s="197">
        <v>0</v>
      </c>
      <c r="N985" s="197">
        <v>0</v>
      </c>
      <c r="O985" s="197">
        <v>0</v>
      </c>
      <c r="P985" s="197">
        <v>0</v>
      </c>
      <c r="Q985" s="197">
        <v>0</v>
      </c>
      <c r="R985" s="260" t="s">
        <v>239</v>
      </c>
      <c r="S985" s="260" t="s">
        <v>514</v>
      </c>
      <c r="T985" s="260" t="s">
        <v>239</v>
      </c>
      <c r="U985" s="260" t="s">
        <v>514</v>
      </c>
    </row>
    <row r="986" spans="1:21" ht="14.5" x14ac:dyDescent="0.35">
      <c r="A986" s="260" t="s">
        <v>566</v>
      </c>
      <c r="B986" s="190">
        <v>45907</v>
      </c>
      <c r="C986" s="197">
        <v>42000</v>
      </c>
      <c r="D986" s="197">
        <v>0</v>
      </c>
      <c r="E986" s="197">
        <v>0</v>
      </c>
      <c r="F986" s="197">
        <v>0</v>
      </c>
      <c r="G986" s="197">
        <v>42000</v>
      </c>
      <c r="H986" s="197">
        <v>0</v>
      </c>
      <c r="I986" s="197">
        <v>0</v>
      </c>
      <c r="J986" s="197">
        <v>42000</v>
      </c>
      <c r="K986" s="197">
        <v>42000</v>
      </c>
      <c r="L986" s="197">
        <v>0</v>
      </c>
      <c r="M986" s="197">
        <v>0</v>
      </c>
      <c r="N986" s="197">
        <v>0</v>
      </c>
      <c r="O986" s="197">
        <v>0</v>
      </c>
      <c r="P986" s="197">
        <v>0</v>
      </c>
      <c r="Q986" s="197">
        <v>0</v>
      </c>
      <c r="R986" s="260" t="s">
        <v>239</v>
      </c>
      <c r="S986" s="260" t="s">
        <v>514</v>
      </c>
      <c r="T986" s="260" t="s">
        <v>239</v>
      </c>
      <c r="U986" s="260" t="s">
        <v>514</v>
      </c>
    </row>
    <row r="987" spans="1:21" ht="14.5" x14ac:dyDescent="0.35">
      <c r="A987" s="260" t="s">
        <v>566</v>
      </c>
      <c r="B987" s="190">
        <v>45908</v>
      </c>
      <c r="C987" s="197">
        <v>42000</v>
      </c>
      <c r="D987" s="197">
        <v>0</v>
      </c>
      <c r="E987" s="197">
        <v>0</v>
      </c>
      <c r="F987" s="197">
        <v>0</v>
      </c>
      <c r="G987" s="197">
        <v>42000</v>
      </c>
      <c r="H987" s="197">
        <v>0</v>
      </c>
      <c r="I987" s="197">
        <v>0</v>
      </c>
      <c r="J987" s="197">
        <v>42000</v>
      </c>
      <c r="K987" s="197">
        <v>42000</v>
      </c>
      <c r="L987" s="197">
        <v>0</v>
      </c>
      <c r="M987" s="197">
        <v>0</v>
      </c>
      <c r="N987" s="197">
        <v>0</v>
      </c>
      <c r="O987" s="197">
        <v>0</v>
      </c>
      <c r="P987" s="197">
        <v>0</v>
      </c>
      <c r="Q987" s="197">
        <v>0</v>
      </c>
      <c r="R987" s="260" t="s">
        <v>239</v>
      </c>
      <c r="S987" s="260" t="s">
        <v>514</v>
      </c>
      <c r="T987" s="260" t="s">
        <v>239</v>
      </c>
      <c r="U987" s="260" t="s">
        <v>514</v>
      </c>
    </row>
    <row r="988" spans="1:21" ht="14.5" x14ac:dyDescent="0.35">
      <c r="A988" s="260" t="s">
        <v>566</v>
      </c>
      <c r="B988" s="190">
        <v>45909</v>
      </c>
      <c r="C988" s="197">
        <v>42000</v>
      </c>
      <c r="D988" s="197">
        <v>0</v>
      </c>
      <c r="E988" s="197">
        <v>0</v>
      </c>
      <c r="F988" s="197">
        <v>0</v>
      </c>
      <c r="G988" s="197">
        <v>42000</v>
      </c>
      <c r="H988" s="197">
        <v>0</v>
      </c>
      <c r="I988" s="197">
        <v>0</v>
      </c>
      <c r="J988" s="197">
        <v>42000</v>
      </c>
      <c r="K988" s="197">
        <v>42000</v>
      </c>
      <c r="L988" s="197">
        <v>0</v>
      </c>
      <c r="M988" s="197">
        <v>0</v>
      </c>
      <c r="N988" s="197">
        <v>0</v>
      </c>
      <c r="O988" s="197">
        <v>0</v>
      </c>
      <c r="P988" s="197">
        <v>0</v>
      </c>
      <c r="Q988" s="197">
        <v>0</v>
      </c>
      <c r="R988" s="260" t="s">
        <v>239</v>
      </c>
      <c r="S988" s="260" t="s">
        <v>514</v>
      </c>
      <c r="T988" s="260" t="s">
        <v>239</v>
      </c>
      <c r="U988" s="260" t="s">
        <v>514</v>
      </c>
    </row>
    <row r="989" spans="1:21" ht="14.5" x14ac:dyDescent="0.35">
      <c r="A989" s="260" t="s">
        <v>566</v>
      </c>
      <c r="B989" s="190">
        <v>45910</v>
      </c>
      <c r="C989" s="197">
        <v>42000</v>
      </c>
      <c r="D989" s="197">
        <v>0</v>
      </c>
      <c r="E989" s="197">
        <v>0</v>
      </c>
      <c r="F989" s="197">
        <v>0</v>
      </c>
      <c r="G989" s="197">
        <v>42000</v>
      </c>
      <c r="H989" s="197">
        <v>0</v>
      </c>
      <c r="I989" s="197">
        <v>0</v>
      </c>
      <c r="J989" s="197">
        <v>42000</v>
      </c>
      <c r="K989" s="197">
        <v>42000</v>
      </c>
      <c r="L989" s="197">
        <v>0</v>
      </c>
      <c r="M989" s="197">
        <v>0</v>
      </c>
      <c r="N989" s="197">
        <v>0</v>
      </c>
      <c r="O989" s="197">
        <v>0</v>
      </c>
      <c r="P989" s="197">
        <v>0</v>
      </c>
      <c r="Q989" s="197">
        <v>0</v>
      </c>
      <c r="R989" s="260" t="s">
        <v>239</v>
      </c>
      <c r="S989" s="260" t="s">
        <v>514</v>
      </c>
      <c r="T989" s="260" t="s">
        <v>239</v>
      </c>
      <c r="U989" s="260" t="s">
        <v>514</v>
      </c>
    </row>
    <row r="990" spans="1:21" ht="14.5" x14ac:dyDescent="0.35">
      <c r="A990" s="260" t="s">
        <v>566</v>
      </c>
      <c r="B990" s="190">
        <v>45911</v>
      </c>
      <c r="C990" s="197">
        <v>42000</v>
      </c>
      <c r="D990" s="197">
        <v>0</v>
      </c>
      <c r="E990" s="197">
        <v>0</v>
      </c>
      <c r="F990" s="197">
        <v>0</v>
      </c>
      <c r="G990" s="197">
        <v>42000</v>
      </c>
      <c r="H990" s="197">
        <v>0</v>
      </c>
      <c r="I990" s="197">
        <v>0</v>
      </c>
      <c r="J990" s="197">
        <v>42000</v>
      </c>
      <c r="K990" s="197">
        <v>42000</v>
      </c>
      <c r="L990" s="197">
        <v>0</v>
      </c>
      <c r="M990" s="197">
        <v>0</v>
      </c>
      <c r="N990" s="197">
        <v>0</v>
      </c>
      <c r="O990" s="197">
        <v>0</v>
      </c>
      <c r="P990" s="197">
        <v>0</v>
      </c>
      <c r="Q990" s="197">
        <v>0</v>
      </c>
      <c r="R990" s="260" t="s">
        <v>239</v>
      </c>
      <c r="S990" s="260" t="s">
        <v>514</v>
      </c>
      <c r="T990" s="260" t="s">
        <v>239</v>
      </c>
      <c r="U990" s="260" t="s">
        <v>514</v>
      </c>
    </row>
    <row r="991" spans="1:21" ht="14.5" x14ac:dyDescent="0.35">
      <c r="A991" s="260" t="s">
        <v>566</v>
      </c>
      <c r="B991" s="190">
        <v>45912</v>
      </c>
      <c r="C991" s="197">
        <v>42000</v>
      </c>
      <c r="D991" s="197">
        <v>0</v>
      </c>
      <c r="E991" s="197">
        <v>0</v>
      </c>
      <c r="F991" s="197">
        <v>0</v>
      </c>
      <c r="G991" s="197">
        <v>42000</v>
      </c>
      <c r="H991" s="197">
        <v>0</v>
      </c>
      <c r="I991" s="197">
        <v>0</v>
      </c>
      <c r="J991" s="197">
        <v>42000</v>
      </c>
      <c r="K991" s="197">
        <v>42000</v>
      </c>
      <c r="L991" s="197">
        <v>0</v>
      </c>
      <c r="M991" s="197">
        <v>0</v>
      </c>
      <c r="N991" s="197">
        <v>0</v>
      </c>
      <c r="O991" s="197">
        <v>0</v>
      </c>
      <c r="P991" s="197">
        <v>0</v>
      </c>
      <c r="Q991" s="197">
        <v>0</v>
      </c>
      <c r="R991" s="260" t="s">
        <v>239</v>
      </c>
      <c r="S991" s="260" t="s">
        <v>514</v>
      </c>
      <c r="T991" s="260" t="s">
        <v>239</v>
      </c>
      <c r="U991" s="260" t="s">
        <v>514</v>
      </c>
    </row>
    <row r="992" spans="1:21" ht="14.5" x14ac:dyDescent="0.35">
      <c r="A992" s="260" t="s">
        <v>566</v>
      </c>
      <c r="B992" s="190">
        <v>45913</v>
      </c>
      <c r="C992" s="197">
        <v>42000</v>
      </c>
      <c r="D992" s="197">
        <v>0</v>
      </c>
      <c r="E992" s="197">
        <v>0</v>
      </c>
      <c r="F992" s="197">
        <v>0</v>
      </c>
      <c r="G992" s="197">
        <v>42000</v>
      </c>
      <c r="H992" s="197">
        <v>0</v>
      </c>
      <c r="I992" s="197">
        <v>0</v>
      </c>
      <c r="J992" s="197">
        <v>42000</v>
      </c>
      <c r="K992" s="197">
        <v>42000</v>
      </c>
      <c r="L992" s="197">
        <v>0</v>
      </c>
      <c r="M992" s="197">
        <v>0</v>
      </c>
      <c r="N992" s="197">
        <v>0</v>
      </c>
      <c r="O992" s="197">
        <v>0</v>
      </c>
      <c r="P992" s="197">
        <v>0</v>
      </c>
      <c r="Q992" s="197">
        <v>0</v>
      </c>
      <c r="R992" s="260" t="s">
        <v>239</v>
      </c>
      <c r="S992" s="260" t="s">
        <v>514</v>
      </c>
      <c r="T992" s="260" t="s">
        <v>239</v>
      </c>
      <c r="U992" s="260" t="s">
        <v>514</v>
      </c>
    </row>
    <row r="993" spans="1:21" ht="14.5" x14ac:dyDescent="0.35">
      <c r="A993" s="260" t="s">
        <v>566</v>
      </c>
      <c r="B993" s="190">
        <v>45914</v>
      </c>
      <c r="C993" s="197">
        <v>42000</v>
      </c>
      <c r="D993" s="197">
        <v>0</v>
      </c>
      <c r="E993" s="197">
        <v>0</v>
      </c>
      <c r="F993" s="197">
        <v>0</v>
      </c>
      <c r="G993" s="197">
        <v>42000</v>
      </c>
      <c r="H993" s="197">
        <v>0</v>
      </c>
      <c r="I993" s="197">
        <v>0</v>
      </c>
      <c r="J993" s="197">
        <v>42000</v>
      </c>
      <c r="K993" s="197">
        <v>42000</v>
      </c>
      <c r="L993" s="197">
        <v>0</v>
      </c>
      <c r="M993" s="197">
        <v>0</v>
      </c>
      <c r="N993" s="197">
        <v>0</v>
      </c>
      <c r="O993" s="197">
        <v>0</v>
      </c>
      <c r="P993" s="197">
        <v>0</v>
      </c>
      <c r="Q993" s="197">
        <v>0</v>
      </c>
      <c r="R993" s="260" t="s">
        <v>239</v>
      </c>
      <c r="S993" s="260" t="s">
        <v>514</v>
      </c>
      <c r="T993" s="260" t="s">
        <v>239</v>
      </c>
      <c r="U993" s="260" t="s">
        <v>514</v>
      </c>
    </row>
    <row r="994" spans="1:21" ht="14.5" x14ac:dyDescent="0.35">
      <c r="A994" s="260" t="s">
        <v>566</v>
      </c>
      <c r="B994" s="190">
        <v>45915</v>
      </c>
      <c r="C994" s="197">
        <v>42000</v>
      </c>
      <c r="D994" s="197">
        <v>0</v>
      </c>
      <c r="E994" s="197">
        <v>0</v>
      </c>
      <c r="F994" s="197">
        <v>0</v>
      </c>
      <c r="G994" s="197">
        <v>42000</v>
      </c>
      <c r="H994" s="197">
        <v>0</v>
      </c>
      <c r="I994" s="197">
        <v>0</v>
      </c>
      <c r="J994" s="197">
        <v>42000</v>
      </c>
      <c r="K994" s="197">
        <v>42000</v>
      </c>
      <c r="L994" s="197">
        <v>0</v>
      </c>
      <c r="M994" s="197">
        <v>0</v>
      </c>
      <c r="N994" s="197">
        <v>0</v>
      </c>
      <c r="O994" s="197">
        <v>0</v>
      </c>
      <c r="P994" s="197">
        <v>0</v>
      </c>
      <c r="Q994" s="197">
        <v>0</v>
      </c>
      <c r="R994" s="260" t="s">
        <v>239</v>
      </c>
      <c r="S994" s="260" t="s">
        <v>514</v>
      </c>
      <c r="T994" s="260" t="s">
        <v>239</v>
      </c>
      <c r="U994" s="260" t="s">
        <v>514</v>
      </c>
    </row>
    <row r="995" spans="1:21" ht="14.5" x14ac:dyDescent="0.35">
      <c r="A995" s="260" t="s">
        <v>566</v>
      </c>
      <c r="B995" s="190">
        <v>45916</v>
      </c>
      <c r="C995" s="197">
        <v>42000</v>
      </c>
      <c r="D995" s="197">
        <v>0</v>
      </c>
      <c r="E995" s="197">
        <v>0</v>
      </c>
      <c r="F995" s="197">
        <v>0</v>
      </c>
      <c r="G995" s="197">
        <v>42000</v>
      </c>
      <c r="H995" s="197">
        <v>0</v>
      </c>
      <c r="I995" s="197">
        <v>0</v>
      </c>
      <c r="J995" s="197">
        <v>42000</v>
      </c>
      <c r="K995" s="197">
        <v>42000</v>
      </c>
      <c r="L995" s="197">
        <v>0</v>
      </c>
      <c r="M995" s="197">
        <v>0</v>
      </c>
      <c r="N995" s="197">
        <v>0</v>
      </c>
      <c r="O995" s="197">
        <v>0</v>
      </c>
      <c r="P995" s="197">
        <v>0</v>
      </c>
      <c r="Q995" s="197">
        <v>0</v>
      </c>
      <c r="R995" s="260" t="s">
        <v>239</v>
      </c>
      <c r="S995" s="260" t="s">
        <v>514</v>
      </c>
      <c r="T995" s="260" t="s">
        <v>239</v>
      </c>
      <c r="U995" s="260" t="s">
        <v>514</v>
      </c>
    </row>
    <row r="996" spans="1:21" ht="14.5" x14ac:dyDescent="0.35">
      <c r="A996" s="260" t="s">
        <v>566</v>
      </c>
      <c r="B996" s="190">
        <v>45917</v>
      </c>
      <c r="C996" s="197">
        <v>42000</v>
      </c>
      <c r="D996" s="197">
        <v>0</v>
      </c>
      <c r="E996" s="197">
        <v>0</v>
      </c>
      <c r="F996" s="197">
        <v>0</v>
      </c>
      <c r="G996" s="197">
        <v>42000</v>
      </c>
      <c r="H996" s="197">
        <v>0</v>
      </c>
      <c r="I996" s="197">
        <v>0</v>
      </c>
      <c r="J996" s="197">
        <v>42000</v>
      </c>
      <c r="K996" s="197">
        <v>42000</v>
      </c>
      <c r="L996" s="197">
        <v>0</v>
      </c>
      <c r="M996" s="197">
        <v>0</v>
      </c>
      <c r="N996" s="197">
        <v>0</v>
      </c>
      <c r="O996" s="197">
        <v>0</v>
      </c>
      <c r="P996" s="197">
        <v>0</v>
      </c>
      <c r="Q996" s="197">
        <v>0</v>
      </c>
      <c r="R996" s="260" t="s">
        <v>239</v>
      </c>
      <c r="S996" s="260" t="s">
        <v>514</v>
      </c>
      <c r="T996" s="260" t="s">
        <v>239</v>
      </c>
      <c r="U996" s="260" t="s">
        <v>514</v>
      </c>
    </row>
    <row r="997" spans="1:21" ht="14.5" x14ac:dyDescent="0.35">
      <c r="A997" s="260" t="s">
        <v>566</v>
      </c>
      <c r="B997" s="190">
        <v>45918</v>
      </c>
      <c r="C997" s="197">
        <v>42000</v>
      </c>
      <c r="D997" s="197">
        <v>0</v>
      </c>
      <c r="E997" s="197">
        <v>0</v>
      </c>
      <c r="F997" s="197">
        <v>0</v>
      </c>
      <c r="G997" s="197">
        <v>42000</v>
      </c>
      <c r="H997" s="197">
        <v>0</v>
      </c>
      <c r="I997" s="197">
        <v>0</v>
      </c>
      <c r="J997" s="197">
        <v>42000</v>
      </c>
      <c r="K997" s="197">
        <v>42000</v>
      </c>
      <c r="L997" s="197">
        <v>0</v>
      </c>
      <c r="M997" s="197">
        <v>0</v>
      </c>
      <c r="N997" s="197">
        <v>0</v>
      </c>
      <c r="O997" s="197">
        <v>0</v>
      </c>
      <c r="P997" s="197">
        <v>0</v>
      </c>
      <c r="Q997" s="197">
        <v>0</v>
      </c>
      <c r="R997" s="260" t="s">
        <v>239</v>
      </c>
      <c r="S997" s="260" t="s">
        <v>514</v>
      </c>
      <c r="T997" s="260" t="s">
        <v>239</v>
      </c>
      <c r="U997" s="260" t="s">
        <v>514</v>
      </c>
    </row>
    <row r="998" spans="1:21" ht="14.5" x14ac:dyDescent="0.35">
      <c r="A998" s="260" t="s">
        <v>566</v>
      </c>
      <c r="B998" s="190">
        <v>45919</v>
      </c>
      <c r="C998" s="197">
        <v>42000</v>
      </c>
      <c r="D998" s="197">
        <v>0</v>
      </c>
      <c r="E998" s="197">
        <v>0</v>
      </c>
      <c r="F998" s="197">
        <v>0</v>
      </c>
      <c r="G998" s="197">
        <v>42000</v>
      </c>
      <c r="H998" s="197">
        <v>0</v>
      </c>
      <c r="I998" s="197">
        <v>0</v>
      </c>
      <c r="J998" s="197">
        <v>42000</v>
      </c>
      <c r="K998" s="197">
        <v>42000</v>
      </c>
      <c r="L998" s="197">
        <v>0</v>
      </c>
      <c r="M998" s="197">
        <v>0</v>
      </c>
      <c r="N998" s="197">
        <v>0</v>
      </c>
      <c r="O998" s="197">
        <v>0</v>
      </c>
      <c r="P998" s="197">
        <v>0</v>
      </c>
      <c r="Q998" s="197">
        <v>0</v>
      </c>
      <c r="R998" s="260" t="s">
        <v>239</v>
      </c>
      <c r="S998" s="260" t="s">
        <v>514</v>
      </c>
      <c r="T998" s="260" t="s">
        <v>239</v>
      </c>
      <c r="U998" s="260" t="s">
        <v>514</v>
      </c>
    </row>
    <row r="999" spans="1:21" ht="14.5" x14ac:dyDescent="0.35">
      <c r="A999" s="260" t="s">
        <v>566</v>
      </c>
      <c r="B999" s="190">
        <v>45920</v>
      </c>
      <c r="C999" s="197">
        <v>42000</v>
      </c>
      <c r="D999" s="197">
        <v>0</v>
      </c>
      <c r="E999" s="197">
        <v>0</v>
      </c>
      <c r="F999" s="197">
        <v>0</v>
      </c>
      <c r="G999" s="197">
        <v>42000</v>
      </c>
      <c r="H999" s="197">
        <v>0</v>
      </c>
      <c r="I999" s="197">
        <v>0</v>
      </c>
      <c r="J999" s="197">
        <v>42000</v>
      </c>
      <c r="K999" s="197">
        <v>42000</v>
      </c>
      <c r="L999" s="197">
        <v>0</v>
      </c>
      <c r="M999" s="197">
        <v>0</v>
      </c>
      <c r="N999" s="197">
        <v>0</v>
      </c>
      <c r="O999" s="197">
        <v>0</v>
      </c>
      <c r="P999" s="197">
        <v>0</v>
      </c>
      <c r="Q999" s="197">
        <v>0</v>
      </c>
      <c r="R999" s="260" t="s">
        <v>239</v>
      </c>
      <c r="S999" s="260" t="s">
        <v>514</v>
      </c>
      <c r="T999" s="260" t="s">
        <v>239</v>
      </c>
      <c r="U999" s="260" t="s">
        <v>514</v>
      </c>
    </row>
    <row r="1000" spans="1:21" ht="14.5" x14ac:dyDescent="0.35">
      <c r="A1000" s="260" t="s">
        <v>566</v>
      </c>
      <c r="B1000" s="190">
        <v>45921</v>
      </c>
      <c r="C1000" s="197">
        <v>42000</v>
      </c>
      <c r="D1000" s="197">
        <v>0</v>
      </c>
      <c r="E1000" s="197">
        <v>0</v>
      </c>
      <c r="F1000" s="197">
        <v>0</v>
      </c>
      <c r="G1000" s="197">
        <v>42000</v>
      </c>
      <c r="H1000" s="197">
        <v>0</v>
      </c>
      <c r="I1000" s="197">
        <v>0</v>
      </c>
      <c r="J1000" s="197">
        <v>42000</v>
      </c>
      <c r="K1000" s="197">
        <v>42000</v>
      </c>
      <c r="L1000" s="197">
        <v>0</v>
      </c>
      <c r="M1000" s="197">
        <v>0</v>
      </c>
      <c r="N1000" s="197">
        <v>0</v>
      </c>
      <c r="O1000" s="197">
        <v>0</v>
      </c>
      <c r="P1000" s="197">
        <v>0</v>
      </c>
      <c r="Q1000" s="197">
        <v>0</v>
      </c>
      <c r="R1000" s="260" t="s">
        <v>239</v>
      </c>
      <c r="S1000" s="260" t="s">
        <v>514</v>
      </c>
      <c r="T1000" s="260" t="s">
        <v>239</v>
      </c>
      <c r="U1000" s="260" t="s">
        <v>514</v>
      </c>
    </row>
    <row r="1001" spans="1:21" ht="14.5" x14ac:dyDescent="0.35">
      <c r="A1001" s="260" t="s">
        <v>566</v>
      </c>
      <c r="B1001" s="190">
        <v>45922</v>
      </c>
      <c r="C1001" s="197">
        <v>42000</v>
      </c>
      <c r="D1001" s="197">
        <v>0</v>
      </c>
      <c r="E1001" s="197">
        <v>0</v>
      </c>
      <c r="F1001" s="197">
        <v>0</v>
      </c>
      <c r="G1001" s="197">
        <v>42000</v>
      </c>
      <c r="H1001" s="197">
        <v>0</v>
      </c>
      <c r="I1001" s="197">
        <v>0</v>
      </c>
      <c r="J1001" s="197">
        <v>42000</v>
      </c>
      <c r="K1001" s="197">
        <v>42000</v>
      </c>
      <c r="L1001" s="197">
        <v>0</v>
      </c>
      <c r="M1001" s="197">
        <v>0</v>
      </c>
      <c r="N1001" s="197">
        <v>0</v>
      </c>
      <c r="O1001" s="197">
        <v>0</v>
      </c>
      <c r="P1001" s="197">
        <v>0</v>
      </c>
      <c r="Q1001" s="197">
        <v>0</v>
      </c>
      <c r="R1001" s="260" t="s">
        <v>239</v>
      </c>
      <c r="S1001" s="260" t="s">
        <v>514</v>
      </c>
      <c r="T1001" s="260" t="s">
        <v>239</v>
      </c>
      <c r="U1001" s="260" t="s">
        <v>514</v>
      </c>
    </row>
    <row r="1002" spans="1:21" ht="14.5" x14ac:dyDescent="0.35">
      <c r="A1002" s="260" t="s">
        <v>566</v>
      </c>
      <c r="B1002" s="190">
        <v>45923</v>
      </c>
      <c r="C1002" s="197">
        <v>42000</v>
      </c>
      <c r="D1002" s="197">
        <v>0</v>
      </c>
      <c r="E1002" s="197">
        <v>0</v>
      </c>
      <c r="F1002" s="197">
        <v>0</v>
      </c>
      <c r="G1002" s="197">
        <v>42000</v>
      </c>
      <c r="H1002" s="197">
        <v>0</v>
      </c>
      <c r="I1002" s="197">
        <v>0</v>
      </c>
      <c r="J1002" s="197">
        <v>42000</v>
      </c>
      <c r="K1002" s="197">
        <v>42000</v>
      </c>
      <c r="L1002" s="197">
        <v>0</v>
      </c>
      <c r="M1002" s="197">
        <v>0</v>
      </c>
      <c r="N1002" s="197">
        <v>0</v>
      </c>
      <c r="O1002" s="197">
        <v>0</v>
      </c>
      <c r="P1002" s="197">
        <v>0</v>
      </c>
      <c r="Q1002" s="197">
        <v>0</v>
      </c>
      <c r="R1002" s="260" t="s">
        <v>239</v>
      </c>
      <c r="S1002" s="260" t="s">
        <v>514</v>
      </c>
      <c r="T1002" s="260" t="s">
        <v>239</v>
      </c>
      <c r="U1002" s="260" t="s">
        <v>514</v>
      </c>
    </row>
    <row r="1003" spans="1:21" ht="14.5" x14ac:dyDescent="0.35">
      <c r="A1003" s="260" t="s">
        <v>566</v>
      </c>
      <c r="B1003" s="190">
        <v>45924</v>
      </c>
      <c r="C1003" s="197">
        <v>42000</v>
      </c>
      <c r="D1003" s="197">
        <v>0</v>
      </c>
      <c r="E1003" s="197">
        <v>0</v>
      </c>
      <c r="F1003" s="197">
        <v>0</v>
      </c>
      <c r="G1003" s="197">
        <v>42000</v>
      </c>
      <c r="H1003" s="197">
        <v>0</v>
      </c>
      <c r="I1003" s="197">
        <v>0</v>
      </c>
      <c r="J1003" s="197">
        <v>42000</v>
      </c>
      <c r="K1003" s="197">
        <v>42000</v>
      </c>
      <c r="L1003" s="197">
        <v>0</v>
      </c>
      <c r="M1003" s="197">
        <v>0</v>
      </c>
      <c r="N1003" s="197">
        <v>0</v>
      </c>
      <c r="O1003" s="197">
        <v>0</v>
      </c>
      <c r="P1003" s="197">
        <v>0</v>
      </c>
      <c r="Q1003" s="197">
        <v>0</v>
      </c>
      <c r="R1003" s="260" t="s">
        <v>239</v>
      </c>
      <c r="S1003" s="260" t="s">
        <v>514</v>
      </c>
      <c r="T1003" s="260" t="s">
        <v>239</v>
      </c>
      <c r="U1003" s="260" t="s">
        <v>514</v>
      </c>
    </row>
    <row r="1004" spans="1:21" ht="14.5" x14ac:dyDescent="0.35">
      <c r="A1004" s="260" t="s">
        <v>566</v>
      </c>
      <c r="B1004" s="190">
        <v>45925</v>
      </c>
      <c r="C1004" s="197">
        <v>42000</v>
      </c>
      <c r="D1004" s="197">
        <v>0</v>
      </c>
      <c r="E1004" s="197">
        <v>0</v>
      </c>
      <c r="F1004" s="197">
        <v>0</v>
      </c>
      <c r="G1004" s="197">
        <v>42000</v>
      </c>
      <c r="H1004" s="197">
        <v>0</v>
      </c>
      <c r="I1004" s="197">
        <v>0</v>
      </c>
      <c r="J1004" s="197">
        <v>42000</v>
      </c>
      <c r="K1004" s="197">
        <v>42000</v>
      </c>
      <c r="L1004" s="197">
        <v>0</v>
      </c>
      <c r="M1004" s="197">
        <v>0</v>
      </c>
      <c r="N1004" s="197">
        <v>0</v>
      </c>
      <c r="O1004" s="197">
        <v>0</v>
      </c>
      <c r="P1004" s="197">
        <v>0</v>
      </c>
      <c r="Q1004" s="197">
        <v>0</v>
      </c>
      <c r="R1004" s="260" t="s">
        <v>239</v>
      </c>
      <c r="S1004" s="260" t="s">
        <v>514</v>
      </c>
      <c r="T1004" s="260" t="s">
        <v>239</v>
      </c>
      <c r="U1004" s="260" t="s">
        <v>514</v>
      </c>
    </row>
    <row r="1005" spans="1:21" ht="14.5" x14ac:dyDescent="0.35">
      <c r="A1005" s="260" t="s">
        <v>566</v>
      </c>
      <c r="B1005" s="190">
        <v>45926</v>
      </c>
      <c r="C1005" s="197">
        <v>42000</v>
      </c>
      <c r="D1005" s="197">
        <v>0</v>
      </c>
      <c r="E1005" s="197">
        <v>0</v>
      </c>
      <c r="F1005" s="197">
        <v>0</v>
      </c>
      <c r="G1005" s="197">
        <v>42000</v>
      </c>
      <c r="H1005" s="197">
        <v>0</v>
      </c>
      <c r="I1005" s="197">
        <v>0</v>
      </c>
      <c r="J1005" s="197">
        <v>42000</v>
      </c>
      <c r="K1005" s="197">
        <v>42000</v>
      </c>
      <c r="L1005" s="197">
        <v>0</v>
      </c>
      <c r="M1005" s="197">
        <v>0</v>
      </c>
      <c r="N1005" s="197">
        <v>0</v>
      </c>
      <c r="O1005" s="197">
        <v>0</v>
      </c>
      <c r="P1005" s="197">
        <v>0</v>
      </c>
      <c r="Q1005" s="197">
        <v>0</v>
      </c>
      <c r="R1005" s="260" t="s">
        <v>239</v>
      </c>
      <c r="S1005" s="260" t="s">
        <v>514</v>
      </c>
      <c r="T1005" s="260" t="s">
        <v>239</v>
      </c>
      <c r="U1005" s="260" t="s">
        <v>514</v>
      </c>
    </row>
    <row r="1006" spans="1:21" ht="14.5" x14ac:dyDescent="0.35">
      <c r="A1006" s="260" t="s">
        <v>566</v>
      </c>
      <c r="B1006" s="190">
        <v>45927</v>
      </c>
      <c r="C1006" s="197">
        <v>42000</v>
      </c>
      <c r="D1006" s="197">
        <v>0</v>
      </c>
      <c r="E1006" s="197">
        <v>0</v>
      </c>
      <c r="F1006" s="197">
        <v>0</v>
      </c>
      <c r="G1006" s="197">
        <v>42000</v>
      </c>
      <c r="H1006" s="197">
        <v>0</v>
      </c>
      <c r="I1006" s="197">
        <v>0</v>
      </c>
      <c r="J1006" s="197">
        <v>42000</v>
      </c>
      <c r="K1006" s="197">
        <v>42000</v>
      </c>
      <c r="L1006" s="197">
        <v>0</v>
      </c>
      <c r="M1006" s="197">
        <v>0</v>
      </c>
      <c r="N1006" s="197">
        <v>0</v>
      </c>
      <c r="O1006" s="197">
        <v>0</v>
      </c>
      <c r="P1006" s="197">
        <v>0</v>
      </c>
      <c r="Q1006" s="197">
        <v>0</v>
      </c>
      <c r="R1006" s="260" t="s">
        <v>239</v>
      </c>
      <c r="S1006" s="260" t="s">
        <v>514</v>
      </c>
      <c r="T1006" s="260" t="s">
        <v>239</v>
      </c>
      <c r="U1006" s="260" t="s">
        <v>514</v>
      </c>
    </row>
    <row r="1007" spans="1:21" ht="14.5" x14ac:dyDescent="0.35">
      <c r="A1007" s="260" t="s">
        <v>566</v>
      </c>
      <c r="B1007" s="190">
        <v>45928</v>
      </c>
      <c r="C1007" s="197">
        <v>42000</v>
      </c>
      <c r="D1007" s="197">
        <v>0</v>
      </c>
      <c r="E1007" s="197">
        <v>0</v>
      </c>
      <c r="F1007" s="197">
        <v>0</v>
      </c>
      <c r="G1007" s="197">
        <v>42000</v>
      </c>
      <c r="H1007" s="197">
        <v>0</v>
      </c>
      <c r="I1007" s="197">
        <v>0</v>
      </c>
      <c r="J1007" s="197">
        <v>42000</v>
      </c>
      <c r="K1007" s="197">
        <v>42000</v>
      </c>
      <c r="L1007" s="197">
        <v>0</v>
      </c>
      <c r="M1007" s="197">
        <v>0</v>
      </c>
      <c r="N1007" s="197">
        <v>0</v>
      </c>
      <c r="O1007" s="197">
        <v>0</v>
      </c>
      <c r="P1007" s="197">
        <v>0</v>
      </c>
      <c r="Q1007" s="197">
        <v>0</v>
      </c>
      <c r="R1007" s="260" t="s">
        <v>239</v>
      </c>
      <c r="S1007" s="260" t="s">
        <v>514</v>
      </c>
      <c r="T1007" s="260" t="s">
        <v>239</v>
      </c>
      <c r="U1007" s="260" t="s">
        <v>514</v>
      </c>
    </row>
    <row r="1008" spans="1:21" ht="14.5" x14ac:dyDescent="0.35">
      <c r="A1008" s="260" t="s">
        <v>566</v>
      </c>
      <c r="B1008" s="190">
        <v>45929</v>
      </c>
      <c r="C1008" s="197">
        <v>42000</v>
      </c>
      <c r="D1008" s="197">
        <v>0</v>
      </c>
      <c r="E1008" s="197">
        <v>0</v>
      </c>
      <c r="F1008" s="197">
        <v>0</v>
      </c>
      <c r="G1008" s="197">
        <v>42000</v>
      </c>
      <c r="H1008" s="197">
        <v>0</v>
      </c>
      <c r="I1008" s="197">
        <v>0</v>
      </c>
      <c r="J1008" s="197">
        <v>42000</v>
      </c>
      <c r="K1008" s="197">
        <v>42000</v>
      </c>
      <c r="L1008" s="197">
        <v>0</v>
      </c>
      <c r="M1008" s="197">
        <v>0</v>
      </c>
      <c r="N1008" s="197">
        <v>0</v>
      </c>
      <c r="O1008" s="197">
        <v>0</v>
      </c>
      <c r="P1008" s="197">
        <v>0</v>
      </c>
      <c r="Q1008" s="197">
        <v>0</v>
      </c>
      <c r="R1008" s="260" t="s">
        <v>239</v>
      </c>
      <c r="S1008" s="260" t="s">
        <v>514</v>
      </c>
      <c r="T1008" s="260" t="s">
        <v>239</v>
      </c>
      <c r="U1008" s="260" t="s">
        <v>514</v>
      </c>
    </row>
    <row r="1009" spans="1:21" ht="14.5" x14ac:dyDescent="0.35">
      <c r="A1009" s="260" t="s">
        <v>566</v>
      </c>
      <c r="B1009" s="190">
        <v>45930</v>
      </c>
      <c r="C1009" s="197">
        <v>42000</v>
      </c>
      <c r="D1009" s="197">
        <v>0</v>
      </c>
      <c r="E1009" s="197">
        <v>0</v>
      </c>
      <c r="F1009" s="197">
        <v>0</v>
      </c>
      <c r="G1009" s="197">
        <v>42000</v>
      </c>
      <c r="H1009" s="197">
        <v>0</v>
      </c>
      <c r="I1009" s="197">
        <v>0</v>
      </c>
      <c r="J1009" s="197">
        <v>42000</v>
      </c>
      <c r="K1009" s="197">
        <v>42000</v>
      </c>
      <c r="L1009" s="197">
        <v>0</v>
      </c>
      <c r="M1009" s="197">
        <v>0</v>
      </c>
      <c r="N1009" s="197">
        <v>0</v>
      </c>
      <c r="O1009" s="197">
        <v>0</v>
      </c>
      <c r="P1009" s="197">
        <v>0</v>
      </c>
      <c r="Q1009" s="197">
        <v>0</v>
      </c>
      <c r="R1009" s="260" t="s">
        <v>239</v>
      </c>
      <c r="S1009" s="260" t="s">
        <v>514</v>
      </c>
      <c r="T1009" s="260" t="s">
        <v>239</v>
      </c>
      <c r="U1009" s="260" t="s">
        <v>514</v>
      </c>
    </row>
    <row r="1010" spans="1:21" ht="14.5" x14ac:dyDescent="0.35">
      <c r="A1010" s="260" t="s">
        <v>566</v>
      </c>
      <c r="B1010" s="190">
        <v>45931</v>
      </c>
      <c r="C1010" s="197">
        <v>42000</v>
      </c>
      <c r="D1010" s="197">
        <v>0</v>
      </c>
      <c r="E1010" s="197">
        <v>0</v>
      </c>
      <c r="F1010" s="197">
        <v>0</v>
      </c>
      <c r="G1010" s="197">
        <v>42000</v>
      </c>
      <c r="H1010" s="197">
        <v>0</v>
      </c>
      <c r="I1010" s="197">
        <v>0</v>
      </c>
      <c r="J1010" s="197">
        <v>42000</v>
      </c>
      <c r="K1010" s="197">
        <v>42000</v>
      </c>
      <c r="L1010" s="197">
        <v>0</v>
      </c>
      <c r="M1010" s="197">
        <v>0</v>
      </c>
      <c r="N1010" s="197">
        <v>0</v>
      </c>
      <c r="O1010" s="197">
        <v>0</v>
      </c>
      <c r="P1010" s="197">
        <v>0</v>
      </c>
      <c r="Q1010" s="197">
        <v>0</v>
      </c>
      <c r="R1010" s="260" t="s">
        <v>239</v>
      </c>
      <c r="S1010" s="260" t="s">
        <v>514</v>
      </c>
      <c r="T1010" s="260" t="s">
        <v>239</v>
      </c>
      <c r="U1010" s="260" t="s">
        <v>514</v>
      </c>
    </row>
    <row r="1011" spans="1:21" ht="14.5" x14ac:dyDescent="0.35">
      <c r="A1011" s="260" t="s">
        <v>566</v>
      </c>
      <c r="B1011" s="190">
        <v>45932</v>
      </c>
      <c r="C1011" s="197">
        <v>42000</v>
      </c>
      <c r="D1011" s="197">
        <v>0</v>
      </c>
      <c r="E1011" s="197">
        <v>0</v>
      </c>
      <c r="F1011" s="197">
        <v>0</v>
      </c>
      <c r="G1011" s="197">
        <v>42000</v>
      </c>
      <c r="H1011" s="197">
        <v>0</v>
      </c>
      <c r="I1011" s="197">
        <v>0</v>
      </c>
      <c r="J1011" s="197">
        <v>42000</v>
      </c>
      <c r="K1011" s="197">
        <v>42000</v>
      </c>
      <c r="L1011" s="197">
        <v>0</v>
      </c>
      <c r="M1011" s="197">
        <v>0</v>
      </c>
      <c r="N1011" s="197">
        <v>0</v>
      </c>
      <c r="O1011" s="197">
        <v>0</v>
      </c>
      <c r="P1011" s="197">
        <v>0</v>
      </c>
      <c r="Q1011" s="197">
        <v>0</v>
      </c>
      <c r="R1011" s="260" t="s">
        <v>239</v>
      </c>
      <c r="S1011" s="260" t="s">
        <v>514</v>
      </c>
      <c r="T1011" s="260" t="s">
        <v>239</v>
      </c>
      <c r="U1011" s="260" t="s">
        <v>514</v>
      </c>
    </row>
    <row r="1012" spans="1:21" ht="14.5" x14ac:dyDescent="0.35">
      <c r="A1012" s="260" t="s">
        <v>566</v>
      </c>
      <c r="B1012" s="190">
        <v>45933</v>
      </c>
      <c r="C1012" s="197">
        <v>42000</v>
      </c>
      <c r="D1012" s="197">
        <v>0</v>
      </c>
      <c r="E1012" s="197">
        <v>0</v>
      </c>
      <c r="F1012" s="197">
        <v>0</v>
      </c>
      <c r="G1012" s="197">
        <v>42000</v>
      </c>
      <c r="H1012" s="197">
        <v>0</v>
      </c>
      <c r="I1012" s="197">
        <v>0</v>
      </c>
      <c r="J1012" s="197">
        <v>42000</v>
      </c>
      <c r="K1012" s="197">
        <v>42000</v>
      </c>
      <c r="L1012" s="197">
        <v>0</v>
      </c>
      <c r="M1012" s="197">
        <v>0</v>
      </c>
      <c r="N1012" s="197">
        <v>0</v>
      </c>
      <c r="O1012" s="197">
        <v>0</v>
      </c>
      <c r="P1012" s="197">
        <v>0</v>
      </c>
      <c r="Q1012" s="197">
        <v>0</v>
      </c>
      <c r="R1012" s="260" t="s">
        <v>239</v>
      </c>
      <c r="S1012" s="260" t="s">
        <v>514</v>
      </c>
      <c r="T1012" s="260" t="s">
        <v>239</v>
      </c>
      <c r="U1012" s="260" t="s">
        <v>514</v>
      </c>
    </row>
    <row r="1013" spans="1:21" ht="14.5" x14ac:dyDescent="0.35">
      <c r="A1013" s="260" t="s">
        <v>566</v>
      </c>
      <c r="B1013" s="190">
        <v>45934</v>
      </c>
      <c r="C1013" s="197">
        <v>42000</v>
      </c>
      <c r="D1013" s="197">
        <v>0</v>
      </c>
      <c r="E1013" s="197">
        <v>0</v>
      </c>
      <c r="F1013" s="197">
        <v>0</v>
      </c>
      <c r="G1013" s="197">
        <v>42000</v>
      </c>
      <c r="H1013" s="197">
        <v>0</v>
      </c>
      <c r="I1013" s="197">
        <v>0</v>
      </c>
      <c r="J1013" s="197">
        <v>42000</v>
      </c>
      <c r="K1013" s="197">
        <v>42000</v>
      </c>
      <c r="L1013" s="197">
        <v>0</v>
      </c>
      <c r="M1013" s="197">
        <v>0</v>
      </c>
      <c r="N1013" s="197">
        <v>0</v>
      </c>
      <c r="O1013" s="197">
        <v>0</v>
      </c>
      <c r="P1013" s="197">
        <v>0</v>
      </c>
      <c r="Q1013" s="197">
        <v>0</v>
      </c>
      <c r="R1013" s="260" t="s">
        <v>239</v>
      </c>
      <c r="S1013" s="260" t="s">
        <v>514</v>
      </c>
      <c r="T1013" s="260" t="s">
        <v>239</v>
      </c>
      <c r="U1013" s="260" t="s">
        <v>514</v>
      </c>
    </row>
    <row r="1014" spans="1:21" ht="14.5" x14ac:dyDescent="0.35">
      <c r="A1014" s="260" t="s">
        <v>566</v>
      </c>
      <c r="B1014" s="190">
        <v>45935</v>
      </c>
      <c r="C1014" s="197">
        <v>42000</v>
      </c>
      <c r="D1014" s="197">
        <v>0</v>
      </c>
      <c r="E1014" s="197">
        <v>0</v>
      </c>
      <c r="F1014" s="197">
        <v>0</v>
      </c>
      <c r="G1014" s="197">
        <v>42000</v>
      </c>
      <c r="H1014" s="197">
        <v>0</v>
      </c>
      <c r="I1014" s="197">
        <v>0</v>
      </c>
      <c r="J1014" s="197">
        <v>42000</v>
      </c>
      <c r="K1014" s="197">
        <v>42000</v>
      </c>
      <c r="L1014" s="197">
        <v>0</v>
      </c>
      <c r="M1014" s="197">
        <v>0</v>
      </c>
      <c r="N1014" s="197">
        <v>0</v>
      </c>
      <c r="O1014" s="197">
        <v>0</v>
      </c>
      <c r="P1014" s="197">
        <v>0</v>
      </c>
      <c r="Q1014" s="197">
        <v>0</v>
      </c>
      <c r="R1014" s="260" t="s">
        <v>239</v>
      </c>
      <c r="S1014" s="260" t="s">
        <v>514</v>
      </c>
      <c r="T1014" s="260" t="s">
        <v>239</v>
      </c>
      <c r="U1014" s="260" t="s">
        <v>514</v>
      </c>
    </row>
    <row r="1015" spans="1:21" ht="14.5" x14ac:dyDescent="0.35">
      <c r="A1015" s="260" t="s">
        <v>566</v>
      </c>
      <c r="B1015" s="190">
        <v>45936</v>
      </c>
      <c r="C1015" s="197">
        <v>42000</v>
      </c>
      <c r="D1015" s="197">
        <v>0</v>
      </c>
      <c r="E1015" s="197">
        <v>0</v>
      </c>
      <c r="F1015" s="197">
        <v>0</v>
      </c>
      <c r="G1015" s="197">
        <v>42000</v>
      </c>
      <c r="H1015" s="197">
        <v>0</v>
      </c>
      <c r="I1015" s="197">
        <v>0</v>
      </c>
      <c r="J1015" s="197">
        <v>42000</v>
      </c>
      <c r="K1015" s="197">
        <v>42000</v>
      </c>
      <c r="L1015" s="197">
        <v>0</v>
      </c>
      <c r="M1015" s="197">
        <v>0</v>
      </c>
      <c r="N1015" s="197">
        <v>0</v>
      </c>
      <c r="O1015" s="197">
        <v>0</v>
      </c>
      <c r="P1015" s="197">
        <v>0</v>
      </c>
      <c r="Q1015" s="197">
        <v>0</v>
      </c>
      <c r="R1015" s="260" t="s">
        <v>239</v>
      </c>
      <c r="S1015" s="260" t="s">
        <v>514</v>
      </c>
      <c r="T1015" s="260" t="s">
        <v>239</v>
      </c>
      <c r="U1015" s="260" t="s">
        <v>514</v>
      </c>
    </row>
    <row r="1016" spans="1:21" ht="14.5" x14ac:dyDescent="0.35">
      <c r="A1016" s="260" t="s">
        <v>566</v>
      </c>
      <c r="B1016" s="190">
        <v>45937</v>
      </c>
      <c r="C1016" s="197">
        <v>42000</v>
      </c>
      <c r="D1016" s="197">
        <v>0</v>
      </c>
      <c r="E1016" s="197">
        <v>0</v>
      </c>
      <c r="F1016" s="197">
        <v>0</v>
      </c>
      <c r="G1016" s="197">
        <v>42000</v>
      </c>
      <c r="H1016" s="197">
        <v>0</v>
      </c>
      <c r="I1016" s="197">
        <v>0</v>
      </c>
      <c r="J1016" s="197">
        <v>42000</v>
      </c>
      <c r="K1016" s="197">
        <v>42000</v>
      </c>
      <c r="L1016" s="197">
        <v>0</v>
      </c>
      <c r="M1016" s="197">
        <v>0</v>
      </c>
      <c r="N1016" s="197">
        <v>0</v>
      </c>
      <c r="O1016" s="197">
        <v>0</v>
      </c>
      <c r="P1016" s="197">
        <v>0</v>
      </c>
      <c r="Q1016" s="197">
        <v>0</v>
      </c>
      <c r="R1016" s="260" t="s">
        <v>239</v>
      </c>
      <c r="S1016" s="260" t="s">
        <v>514</v>
      </c>
      <c r="T1016" s="260" t="s">
        <v>239</v>
      </c>
      <c r="U1016" s="260" t="s">
        <v>514</v>
      </c>
    </row>
    <row r="1017" spans="1:21" ht="14.5" x14ac:dyDescent="0.35">
      <c r="A1017" s="260" t="s">
        <v>566</v>
      </c>
      <c r="B1017" s="190">
        <v>45938</v>
      </c>
      <c r="C1017" s="197">
        <v>42000</v>
      </c>
      <c r="D1017" s="197">
        <v>0</v>
      </c>
      <c r="E1017" s="197">
        <v>0</v>
      </c>
      <c r="F1017" s="197">
        <v>0</v>
      </c>
      <c r="G1017" s="197">
        <v>42000</v>
      </c>
      <c r="H1017" s="197">
        <v>0</v>
      </c>
      <c r="I1017" s="197">
        <v>0</v>
      </c>
      <c r="J1017" s="197">
        <v>42000</v>
      </c>
      <c r="K1017" s="197">
        <v>42000</v>
      </c>
      <c r="L1017" s="197">
        <v>0</v>
      </c>
      <c r="M1017" s="197">
        <v>0</v>
      </c>
      <c r="N1017" s="197">
        <v>0</v>
      </c>
      <c r="O1017" s="197">
        <v>0</v>
      </c>
      <c r="P1017" s="197">
        <v>0</v>
      </c>
      <c r="Q1017" s="197">
        <v>0</v>
      </c>
      <c r="R1017" s="260" t="s">
        <v>239</v>
      </c>
      <c r="S1017" s="260" t="s">
        <v>514</v>
      </c>
      <c r="T1017" s="260" t="s">
        <v>239</v>
      </c>
      <c r="U1017" s="260" t="s">
        <v>514</v>
      </c>
    </row>
    <row r="1018" spans="1:21" ht="14.5" x14ac:dyDescent="0.35">
      <c r="A1018" s="260" t="s">
        <v>566</v>
      </c>
      <c r="B1018" s="190">
        <v>45939</v>
      </c>
      <c r="C1018" s="197">
        <v>42000</v>
      </c>
      <c r="D1018" s="197">
        <v>0</v>
      </c>
      <c r="E1018" s="197">
        <v>0</v>
      </c>
      <c r="F1018" s="197">
        <v>0</v>
      </c>
      <c r="G1018" s="197">
        <v>42000</v>
      </c>
      <c r="H1018" s="197">
        <v>0</v>
      </c>
      <c r="I1018" s="197">
        <v>0</v>
      </c>
      <c r="J1018" s="197">
        <v>42000</v>
      </c>
      <c r="K1018" s="197">
        <v>42000</v>
      </c>
      <c r="L1018" s="197">
        <v>0</v>
      </c>
      <c r="M1018" s="197">
        <v>0</v>
      </c>
      <c r="N1018" s="197">
        <v>0</v>
      </c>
      <c r="O1018" s="197">
        <v>0</v>
      </c>
      <c r="P1018" s="197">
        <v>0</v>
      </c>
      <c r="Q1018" s="197">
        <v>0</v>
      </c>
      <c r="R1018" s="260" t="s">
        <v>239</v>
      </c>
      <c r="S1018" s="260" t="s">
        <v>514</v>
      </c>
      <c r="T1018" s="260" t="s">
        <v>239</v>
      </c>
      <c r="U1018" s="260" t="s">
        <v>514</v>
      </c>
    </row>
    <row r="1019" spans="1:21" ht="14.5" x14ac:dyDescent="0.35">
      <c r="A1019" s="260" t="s">
        <v>566</v>
      </c>
      <c r="B1019" s="190">
        <v>45940</v>
      </c>
      <c r="C1019" s="197">
        <v>42000</v>
      </c>
      <c r="D1019" s="197">
        <v>0</v>
      </c>
      <c r="E1019" s="197">
        <v>0</v>
      </c>
      <c r="F1019" s="197">
        <v>0</v>
      </c>
      <c r="G1019" s="197">
        <v>42000</v>
      </c>
      <c r="H1019" s="197">
        <v>0</v>
      </c>
      <c r="I1019" s="197">
        <v>0</v>
      </c>
      <c r="J1019" s="197">
        <v>42000</v>
      </c>
      <c r="K1019" s="197">
        <v>42000</v>
      </c>
      <c r="L1019" s="197">
        <v>0</v>
      </c>
      <c r="M1019" s="197">
        <v>0</v>
      </c>
      <c r="N1019" s="197">
        <v>0</v>
      </c>
      <c r="O1019" s="197">
        <v>0</v>
      </c>
      <c r="P1019" s="197">
        <v>0</v>
      </c>
      <c r="Q1019" s="197">
        <v>0</v>
      </c>
      <c r="R1019" s="260" t="s">
        <v>239</v>
      </c>
      <c r="S1019" s="260" t="s">
        <v>514</v>
      </c>
      <c r="T1019" s="260" t="s">
        <v>239</v>
      </c>
      <c r="U1019" s="260" t="s">
        <v>514</v>
      </c>
    </row>
    <row r="1020" spans="1:21" ht="14.5" x14ac:dyDescent="0.35">
      <c r="A1020" s="260" t="s">
        <v>566</v>
      </c>
      <c r="B1020" s="190">
        <v>45941</v>
      </c>
      <c r="C1020" s="197">
        <v>42000</v>
      </c>
      <c r="D1020" s="197">
        <v>0</v>
      </c>
      <c r="E1020" s="197">
        <v>0</v>
      </c>
      <c r="F1020" s="197">
        <v>0</v>
      </c>
      <c r="G1020" s="197">
        <v>42000</v>
      </c>
      <c r="H1020" s="197">
        <v>0</v>
      </c>
      <c r="I1020" s="197">
        <v>0</v>
      </c>
      <c r="J1020" s="197">
        <v>42000</v>
      </c>
      <c r="K1020" s="197">
        <v>42000</v>
      </c>
      <c r="L1020" s="197">
        <v>0</v>
      </c>
      <c r="M1020" s="197">
        <v>0</v>
      </c>
      <c r="N1020" s="197">
        <v>0</v>
      </c>
      <c r="O1020" s="197">
        <v>0</v>
      </c>
      <c r="P1020" s="197">
        <v>0</v>
      </c>
      <c r="Q1020" s="197">
        <v>0</v>
      </c>
      <c r="R1020" s="260" t="s">
        <v>239</v>
      </c>
      <c r="S1020" s="260" t="s">
        <v>514</v>
      </c>
      <c r="T1020" s="260" t="s">
        <v>239</v>
      </c>
      <c r="U1020" s="260" t="s">
        <v>514</v>
      </c>
    </row>
    <row r="1021" spans="1:21" ht="14.5" x14ac:dyDescent="0.35">
      <c r="A1021" s="260" t="s">
        <v>566</v>
      </c>
      <c r="B1021" s="190">
        <v>45942</v>
      </c>
      <c r="C1021" s="197">
        <v>42000</v>
      </c>
      <c r="D1021" s="197">
        <v>0</v>
      </c>
      <c r="E1021" s="197">
        <v>0</v>
      </c>
      <c r="F1021" s="197">
        <v>0</v>
      </c>
      <c r="G1021" s="197">
        <v>42000</v>
      </c>
      <c r="H1021" s="197">
        <v>0</v>
      </c>
      <c r="I1021" s="197">
        <v>0</v>
      </c>
      <c r="J1021" s="197">
        <v>42000</v>
      </c>
      <c r="K1021" s="197">
        <v>42000</v>
      </c>
      <c r="L1021" s="197">
        <v>0</v>
      </c>
      <c r="M1021" s="197">
        <v>0</v>
      </c>
      <c r="N1021" s="197">
        <v>0</v>
      </c>
      <c r="O1021" s="197">
        <v>0</v>
      </c>
      <c r="P1021" s="197">
        <v>0</v>
      </c>
      <c r="Q1021" s="197">
        <v>0</v>
      </c>
      <c r="R1021" s="260" t="s">
        <v>239</v>
      </c>
      <c r="S1021" s="260" t="s">
        <v>514</v>
      </c>
      <c r="T1021" s="260" t="s">
        <v>239</v>
      </c>
      <c r="U1021" s="260" t="s">
        <v>514</v>
      </c>
    </row>
    <row r="1022" spans="1:21" ht="14.5" x14ac:dyDescent="0.35">
      <c r="A1022" s="260" t="s">
        <v>566</v>
      </c>
      <c r="B1022" s="190">
        <v>45943</v>
      </c>
      <c r="C1022" s="197">
        <v>42000</v>
      </c>
      <c r="D1022" s="197">
        <v>0</v>
      </c>
      <c r="E1022" s="197">
        <v>0</v>
      </c>
      <c r="F1022" s="197">
        <v>0</v>
      </c>
      <c r="G1022" s="197">
        <v>42000</v>
      </c>
      <c r="H1022" s="197">
        <v>0</v>
      </c>
      <c r="I1022" s="197">
        <v>0</v>
      </c>
      <c r="J1022" s="197">
        <v>42000</v>
      </c>
      <c r="K1022" s="197">
        <v>42000</v>
      </c>
      <c r="L1022" s="197">
        <v>0</v>
      </c>
      <c r="M1022" s="197">
        <v>0</v>
      </c>
      <c r="N1022" s="197">
        <v>0</v>
      </c>
      <c r="O1022" s="197">
        <v>0</v>
      </c>
      <c r="P1022" s="197">
        <v>0</v>
      </c>
      <c r="Q1022" s="197">
        <v>0</v>
      </c>
      <c r="R1022" s="260" t="s">
        <v>239</v>
      </c>
      <c r="S1022" s="260" t="s">
        <v>514</v>
      </c>
      <c r="T1022" s="260" t="s">
        <v>239</v>
      </c>
      <c r="U1022" s="260" t="s">
        <v>514</v>
      </c>
    </row>
    <row r="1023" spans="1:21" ht="14.5" x14ac:dyDescent="0.35">
      <c r="A1023" s="260" t="s">
        <v>566</v>
      </c>
      <c r="B1023" s="190">
        <v>45944</v>
      </c>
      <c r="C1023" s="197">
        <v>42000</v>
      </c>
      <c r="D1023" s="197">
        <v>0</v>
      </c>
      <c r="E1023" s="197">
        <v>0</v>
      </c>
      <c r="F1023" s="197">
        <v>0</v>
      </c>
      <c r="G1023" s="197">
        <v>42000</v>
      </c>
      <c r="H1023" s="197">
        <v>0</v>
      </c>
      <c r="I1023" s="197">
        <v>0</v>
      </c>
      <c r="J1023" s="197">
        <v>42000</v>
      </c>
      <c r="K1023" s="197">
        <v>42000</v>
      </c>
      <c r="L1023" s="197">
        <v>0</v>
      </c>
      <c r="M1023" s="197">
        <v>0</v>
      </c>
      <c r="N1023" s="197">
        <v>0</v>
      </c>
      <c r="O1023" s="197">
        <v>0</v>
      </c>
      <c r="P1023" s="197">
        <v>0</v>
      </c>
      <c r="Q1023" s="197">
        <v>0</v>
      </c>
      <c r="R1023" s="260" t="s">
        <v>239</v>
      </c>
      <c r="S1023" s="260" t="s">
        <v>514</v>
      </c>
      <c r="T1023" s="260" t="s">
        <v>239</v>
      </c>
      <c r="U1023" s="260" t="s">
        <v>514</v>
      </c>
    </row>
    <row r="1024" spans="1:21" ht="14.5" x14ac:dyDescent="0.35">
      <c r="A1024" s="260" t="s">
        <v>566</v>
      </c>
      <c r="B1024" s="190">
        <v>45945</v>
      </c>
      <c r="C1024" s="197">
        <v>42000</v>
      </c>
      <c r="D1024" s="197">
        <v>0</v>
      </c>
      <c r="E1024" s="197">
        <v>0</v>
      </c>
      <c r="F1024" s="197">
        <v>0</v>
      </c>
      <c r="G1024" s="197">
        <v>42000</v>
      </c>
      <c r="H1024" s="197">
        <v>0</v>
      </c>
      <c r="I1024" s="197">
        <v>0</v>
      </c>
      <c r="J1024" s="197">
        <v>42000</v>
      </c>
      <c r="K1024" s="197">
        <v>42000</v>
      </c>
      <c r="L1024" s="197">
        <v>0</v>
      </c>
      <c r="M1024" s="197">
        <v>0</v>
      </c>
      <c r="N1024" s="197">
        <v>0</v>
      </c>
      <c r="O1024" s="197">
        <v>0</v>
      </c>
      <c r="P1024" s="197">
        <v>0</v>
      </c>
      <c r="Q1024" s="197">
        <v>0</v>
      </c>
      <c r="R1024" s="260" t="s">
        <v>239</v>
      </c>
      <c r="S1024" s="260" t="s">
        <v>514</v>
      </c>
      <c r="T1024" s="260" t="s">
        <v>239</v>
      </c>
      <c r="U1024" s="260" t="s">
        <v>514</v>
      </c>
    </row>
    <row r="1025" spans="1:21" ht="14.5" x14ac:dyDescent="0.35">
      <c r="A1025" s="260" t="s">
        <v>566</v>
      </c>
      <c r="B1025" s="190">
        <v>45946</v>
      </c>
      <c r="C1025" s="197">
        <v>42000</v>
      </c>
      <c r="D1025" s="197">
        <v>0</v>
      </c>
      <c r="E1025" s="197">
        <v>0</v>
      </c>
      <c r="F1025" s="197">
        <v>0</v>
      </c>
      <c r="G1025" s="197">
        <v>42000</v>
      </c>
      <c r="H1025" s="197">
        <v>0</v>
      </c>
      <c r="I1025" s="197">
        <v>0</v>
      </c>
      <c r="J1025" s="197">
        <v>42000</v>
      </c>
      <c r="K1025" s="197">
        <v>42000</v>
      </c>
      <c r="L1025" s="197">
        <v>0</v>
      </c>
      <c r="M1025" s="197">
        <v>0</v>
      </c>
      <c r="N1025" s="197">
        <v>0</v>
      </c>
      <c r="O1025" s="197">
        <v>0</v>
      </c>
      <c r="P1025" s="197">
        <v>0</v>
      </c>
      <c r="Q1025" s="197">
        <v>0</v>
      </c>
      <c r="R1025" s="260" t="s">
        <v>239</v>
      </c>
      <c r="S1025" s="260" t="s">
        <v>514</v>
      </c>
      <c r="T1025" s="260" t="s">
        <v>239</v>
      </c>
      <c r="U1025" s="260" t="s">
        <v>514</v>
      </c>
    </row>
    <row r="1026" spans="1:21" ht="14.5" x14ac:dyDescent="0.35">
      <c r="A1026" s="260" t="s">
        <v>566</v>
      </c>
      <c r="B1026" s="190">
        <v>45947</v>
      </c>
      <c r="C1026" s="197">
        <v>42000</v>
      </c>
      <c r="D1026" s="197">
        <v>0</v>
      </c>
      <c r="E1026" s="197">
        <v>0</v>
      </c>
      <c r="F1026" s="197">
        <v>0</v>
      </c>
      <c r="G1026" s="197">
        <v>42000</v>
      </c>
      <c r="H1026" s="197">
        <v>0</v>
      </c>
      <c r="I1026" s="197">
        <v>0</v>
      </c>
      <c r="J1026" s="197">
        <v>42000</v>
      </c>
      <c r="K1026" s="197">
        <v>42000</v>
      </c>
      <c r="L1026" s="197">
        <v>0</v>
      </c>
      <c r="M1026" s="197">
        <v>0</v>
      </c>
      <c r="N1026" s="197">
        <v>0</v>
      </c>
      <c r="O1026" s="197">
        <v>0</v>
      </c>
      <c r="P1026" s="197">
        <v>0</v>
      </c>
      <c r="Q1026" s="197">
        <v>0</v>
      </c>
      <c r="R1026" s="260" t="s">
        <v>239</v>
      </c>
      <c r="S1026" s="260" t="s">
        <v>514</v>
      </c>
      <c r="T1026" s="260" t="s">
        <v>239</v>
      </c>
      <c r="U1026" s="260" t="s">
        <v>514</v>
      </c>
    </row>
    <row r="1027" spans="1:21" ht="14.5" x14ac:dyDescent="0.35">
      <c r="A1027" s="260" t="s">
        <v>566</v>
      </c>
      <c r="B1027" s="190">
        <v>45948</v>
      </c>
      <c r="C1027" s="197">
        <v>42000</v>
      </c>
      <c r="D1027" s="197">
        <v>0</v>
      </c>
      <c r="E1027" s="197">
        <v>0</v>
      </c>
      <c r="F1027" s="197">
        <v>0</v>
      </c>
      <c r="G1027" s="197">
        <v>42000</v>
      </c>
      <c r="H1027" s="197">
        <v>0</v>
      </c>
      <c r="I1027" s="197">
        <v>0</v>
      </c>
      <c r="J1027" s="197">
        <v>42000</v>
      </c>
      <c r="K1027" s="197">
        <v>42000</v>
      </c>
      <c r="L1027" s="197">
        <v>0</v>
      </c>
      <c r="M1027" s="197">
        <v>0</v>
      </c>
      <c r="N1027" s="197">
        <v>0</v>
      </c>
      <c r="O1027" s="197">
        <v>0</v>
      </c>
      <c r="P1027" s="197">
        <v>0</v>
      </c>
      <c r="Q1027" s="197">
        <v>0</v>
      </c>
      <c r="R1027" s="260" t="s">
        <v>239</v>
      </c>
      <c r="S1027" s="260" t="s">
        <v>514</v>
      </c>
      <c r="T1027" s="260" t="s">
        <v>239</v>
      </c>
      <c r="U1027" s="260" t="s">
        <v>514</v>
      </c>
    </row>
    <row r="1028" spans="1:21" ht="14.5" x14ac:dyDescent="0.35">
      <c r="A1028" s="260" t="s">
        <v>566</v>
      </c>
      <c r="B1028" s="190">
        <v>45949</v>
      </c>
      <c r="C1028" s="197">
        <v>42000</v>
      </c>
      <c r="D1028" s="197">
        <v>0</v>
      </c>
      <c r="E1028" s="197">
        <v>0</v>
      </c>
      <c r="F1028" s="197">
        <v>0</v>
      </c>
      <c r="G1028" s="197">
        <v>42000</v>
      </c>
      <c r="H1028" s="197">
        <v>0</v>
      </c>
      <c r="I1028" s="197">
        <v>0</v>
      </c>
      <c r="J1028" s="197">
        <v>42000</v>
      </c>
      <c r="K1028" s="197">
        <v>42000</v>
      </c>
      <c r="L1028" s="197">
        <v>0</v>
      </c>
      <c r="M1028" s="197">
        <v>0</v>
      </c>
      <c r="N1028" s="197">
        <v>0</v>
      </c>
      <c r="O1028" s="197">
        <v>0</v>
      </c>
      <c r="P1028" s="197">
        <v>0</v>
      </c>
      <c r="Q1028" s="197">
        <v>0</v>
      </c>
      <c r="R1028" s="260" t="s">
        <v>239</v>
      </c>
      <c r="S1028" s="260" t="s">
        <v>514</v>
      </c>
      <c r="T1028" s="260" t="s">
        <v>239</v>
      </c>
      <c r="U1028" s="260" t="s">
        <v>514</v>
      </c>
    </row>
    <row r="1029" spans="1:21" ht="14.5" x14ac:dyDescent="0.35">
      <c r="A1029" s="260" t="s">
        <v>566</v>
      </c>
      <c r="B1029" s="190">
        <v>45950</v>
      </c>
      <c r="C1029" s="197">
        <v>42000</v>
      </c>
      <c r="D1029" s="197">
        <v>0</v>
      </c>
      <c r="E1029" s="197">
        <v>0</v>
      </c>
      <c r="F1029" s="197">
        <v>0</v>
      </c>
      <c r="G1029" s="197">
        <v>42000</v>
      </c>
      <c r="H1029" s="197">
        <v>0</v>
      </c>
      <c r="I1029" s="197">
        <v>0</v>
      </c>
      <c r="J1029" s="197">
        <v>42000</v>
      </c>
      <c r="K1029" s="197">
        <v>42000</v>
      </c>
      <c r="L1029" s="197">
        <v>0</v>
      </c>
      <c r="M1029" s="197">
        <v>0</v>
      </c>
      <c r="N1029" s="197">
        <v>0</v>
      </c>
      <c r="O1029" s="197">
        <v>0</v>
      </c>
      <c r="P1029" s="197">
        <v>0</v>
      </c>
      <c r="Q1029" s="197">
        <v>0</v>
      </c>
      <c r="R1029" s="260" t="s">
        <v>239</v>
      </c>
      <c r="S1029" s="260" t="s">
        <v>514</v>
      </c>
      <c r="T1029" s="260" t="s">
        <v>239</v>
      </c>
      <c r="U1029" s="260" t="s">
        <v>514</v>
      </c>
    </row>
    <row r="1030" spans="1:21" ht="14.5" x14ac:dyDescent="0.35">
      <c r="A1030" s="260" t="s">
        <v>566</v>
      </c>
      <c r="B1030" s="190">
        <v>45951</v>
      </c>
      <c r="C1030" s="197">
        <v>42000</v>
      </c>
      <c r="D1030" s="197">
        <v>0</v>
      </c>
      <c r="E1030" s="197">
        <v>0</v>
      </c>
      <c r="F1030" s="197">
        <v>0</v>
      </c>
      <c r="G1030" s="197">
        <v>42000</v>
      </c>
      <c r="H1030" s="197">
        <v>0</v>
      </c>
      <c r="I1030" s="197">
        <v>0</v>
      </c>
      <c r="J1030" s="197">
        <v>42000</v>
      </c>
      <c r="K1030" s="197">
        <v>42000</v>
      </c>
      <c r="L1030" s="197">
        <v>0</v>
      </c>
      <c r="M1030" s="197">
        <v>0</v>
      </c>
      <c r="N1030" s="197">
        <v>0</v>
      </c>
      <c r="O1030" s="197">
        <v>0</v>
      </c>
      <c r="P1030" s="197">
        <v>0</v>
      </c>
      <c r="Q1030" s="197">
        <v>0</v>
      </c>
      <c r="R1030" s="260" t="s">
        <v>239</v>
      </c>
      <c r="S1030" s="260" t="s">
        <v>514</v>
      </c>
      <c r="T1030" s="260" t="s">
        <v>239</v>
      </c>
      <c r="U1030" s="260" t="s">
        <v>514</v>
      </c>
    </row>
    <row r="1031" spans="1:21" ht="14.5" x14ac:dyDescent="0.35">
      <c r="A1031" s="260" t="s">
        <v>566</v>
      </c>
      <c r="B1031" s="190">
        <v>45952</v>
      </c>
      <c r="C1031" s="197">
        <v>42000</v>
      </c>
      <c r="D1031" s="197">
        <v>0</v>
      </c>
      <c r="E1031" s="197">
        <v>0</v>
      </c>
      <c r="F1031" s="197">
        <v>0</v>
      </c>
      <c r="G1031" s="197">
        <v>42000</v>
      </c>
      <c r="H1031" s="197">
        <v>0</v>
      </c>
      <c r="I1031" s="197">
        <v>0</v>
      </c>
      <c r="J1031" s="197">
        <v>42000</v>
      </c>
      <c r="K1031" s="197">
        <v>42000</v>
      </c>
      <c r="L1031" s="197">
        <v>0</v>
      </c>
      <c r="M1031" s="197">
        <v>0</v>
      </c>
      <c r="N1031" s="197">
        <v>0</v>
      </c>
      <c r="O1031" s="197">
        <v>0</v>
      </c>
      <c r="P1031" s="197">
        <v>0</v>
      </c>
      <c r="Q1031" s="197">
        <v>0</v>
      </c>
      <c r="R1031" s="260" t="s">
        <v>239</v>
      </c>
      <c r="S1031" s="260" t="s">
        <v>514</v>
      </c>
      <c r="T1031" s="260" t="s">
        <v>239</v>
      </c>
      <c r="U1031" s="260" t="s">
        <v>514</v>
      </c>
    </row>
    <row r="1032" spans="1:21" ht="14.5" x14ac:dyDescent="0.35">
      <c r="A1032" s="260" t="s">
        <v>566</v>
      </c>
      <c r="B1032" s="190">
        <v>45953</v>
      </c>
      <c r="C1032" s="197">
        <v>42000</v>
      </c>
      <c r="D1032" s="197">
        <v>0</v>
      </c>
      <c r="E1032" s="197">
        <v>0</v>
      </c>
      <c r="F1032" s="197">
        <v>0</v>
      </c>
      <c r="G1032" s="197">
        <v>42000</v>
      </c>
      <c r="H1032" s="197">
        <v>0</v>
      </c>
      <c r="I1032" s="197">
        <v>0</v>
      </c>
      <c r="J1032" s="197">
        <v>42000</v>
      </c>
      <c r="K1032" s="197">
        <v>42000</v>
      </c>
      <c r="L1032" s="197">
        <v>0</v>
      </c>
      <c r="M1032" s="197">
        <v>0</v>
      </c>
      <c r="N1032" s="197">
        <v>0</v>
      </c>
      <c r="O1032" s="197">
        <v>0</v>
      </c>
      <c r="P1032" s="197">
        <v>0</v>
      </c>
      <c r="Q1032" s="197">
        <v>0</v>
      </c>
      <c r="R1032" s="260" t="s">
        <v>239</v>
      </c>
      <c r="S1032" s="260" t="s">
        <v>514</v>
      </c>
      <c r="T1032" s="260" t="s">
        <v>239</v>
      </c>
      <c r="U1032" s="260" t="s">
        <v>514</v>
      </c>
    </row>
    <row r="1033" spans="1:21" ht="14.5" x14ac:dyDescent="0.35">
      <c r="A1033" s="260" t="s">
        <v>566</v>
      </c>
      <c r="B1033" s="190">
        <v>45954</v>
      </c>
      <c r="C1033" s="197">
        <v>42000</v>
      </c>
      <c r="D1033" s="197">
        <v>0</v>
      </c>
      <c r="E1033" s="197">
        <v>0</v>
      </c>
      <c r="F1033" s="197">
        <v>0</v>
      </c>
      <c r="G1033" s="197">
        <v>42000</v>
      </c>
      <c r="H1033" s="197">
        <v>0</v>
      </c>
      <c r="I1033" s="197">
        <v>0</v>
      </c>
      <c r="J1033" s="197">
        <v>42000</v>
      </c>
      <c r="K1033" s="197">
        <v>42000</v>
      </c>
      <c r="L1033" s="197">
        <v>0</v>
      </c>
      <c r="M1033" s="197">
        <v>0</v>
      </c>
      <c r="N1033" s="197">
        <v>0</v>
      </c>
      <c r="O1033" s="197">
        <v>0</v>
      </c>
      <c r="P1033" s="197">
        <v>0</v>
      </c>
      <c r="Q1033" s="197">
        <v>0</v>
      </c>
      <c r="R1033" s="260" t="s">
        <v>239</v>
      </c>
      <c r="S1033" s="260" t="s">
        <v>514</v>
      </c>
      <c r="T1033" s="260" t="s">
        <v>239</v>
      </c>
      <c r="U1033" s="260" t="s">
        <v>514</v>
      </c>
    </row>
    <row r="1034" spans="1:21" ht="14.5" x14ac:dyDescent="0.35">
      <c r="A1034" s="260" t="s">
        <v>566</v>
      </c>
      <c r="B1034" s="190">
        <v>45955</v>
      </c>
      <c r="C1034" s="197">
        <v>42000</v>
      </c>
      <c r="D1034" s="197">
        <v>0</v>
      </c>
      <c r="E1034" s="197">
        <v>0</v>
      </c>
      <c r="F1034" s="197">
        <v>0</v>
      </c>
      <c r="G1034" s="197">
        <v>42000</v>
      </c>
      <c r="H1034" s="197">
        <v>0</v>
      </c>
      <c r="I1034" s="197">
        <v>0</v>
      </c>
      <c r="J1034" s="197">
        <v>42000</v>
      </c>
      <c r="K1034" s="197">
        <v>42000</v>
      </c>
      <c r="L1034" s="197">
        <v>0</v>
      </c>
      <c r="M1034" s="197">
        <v>0</v>
      </c>
      <c r="N1034" s="197">
        <v>0</v>
      </c>
      <c r="O1034" s="197">
        <v>0</v>
      </c>
      <c r="P1034" s="197">
        <v>0</v>
      </c>
      <c r="Q1034" s="197">
        <v>0</v>
      </c>
      <c r="R1034" s="260" t="s">
        <v>239</v>
      </c>
      <c r="S1034" s="260" t="s">
        <v>514</v>
      </c>
      <c r="T1034" s="260" t="s">
        <v>239</v>
      </c>
      <c r="U1034" s="260" t="s">
        <v>514</v>
      </c>
    </row>
    <row r="1035" spans="1:21" ht="14.5" x14ac:dyDescent="0.35">
      <c r="A1035" s="260" t="s">
        <v>566</v>
      </c>
      <c r="B1035" s="190">
        <v>45956</v>
      </c>
      <c r="C1035" s="197">
        <v>42000</v>
      </c>
      <c r="D1035" s="197">
        <v>0</v>
      </c>
      <c r="E1035" s="197">
        <v>0</v>
      </c>
      <c r="F1035" s="197">
        <v>0</v>
      </c>
      <c r="G1035" s="197">
        <v>42000</v>
      </c>
      <c r="H1035" s="197">
        <v>0</v>
      </c>
      <c r="I1035" s="197">
        <v>0</v>
      </c>
      <c r="J1035" s="197">
        <v>42000</v>
      </c>
      <c r="K1035" s="197">
        <v>42000</v>
      </c>
      <c r="L1035" s="197">
        <v>0</v>
      </c>
      <c r="M1035" s="197">
        <v>0</v>
      </c>
      <c r="N1035" s="197">
        <v>0</v>
      </c>
      <c r="O1035" s="197">
        <v>0</v>
      </c>
      <c r="P1035" s="197">
        <v>0</v>
      </c>
      <c r="Q1035" s="197">
        <v>0</v>
      </c>
      <c r="R1035" s="260" t="s">
        <v>239</v>
      </c>
      <c r="S1035" s="260" t="s">
        <v>514</v>
      </c>
      <c r="T1035" s="260" t="s">
        <v>239</v>
      </c>
      <c r="U1035" s="260" t="s">
        <v>514</v>
      </c>
    </row>
    <row r="1036" spans="1:21" ht="14.5" x14ac:dyDescent="0.35">
      <c r="A1036" s="260" t="s">
        <v>566</v>
      </c>
      <c r="B1036" s="190">
        <v>45957</v>
      </c>
      <c r="C1036" s="197">
        <v>42000</v>
      </c>
      <c r="D1036" s="197">
        <v>0</v>
      </c>
      <c r="E1036" s="197">
        <v>0</v>
      </c>
      <c r="F1036" s="197">
        <v>0</v>
      </c>
      <c r="G1036" s="197">
        <v>42000</v>
      </c>
      <c r="H1036" s="197">
        <v>0</v>
      </c>
      <c r="I1036" s="197">
        <v>0</v>
      </c>
      <c r="J1036" s="197">
        <v>42000</v>
      </c>
      <c r="K1036" s="197">
        <v>42000</v>
      </c>
      <c r="L1036" s="197">
        <v>0</v>
      </c>
      <c r="M1036" s="197">
        <v>0</v>
      </c>
      <c r="N1036" s="197">
        <v>0</v>
      </c>
      <c r="O1036" s="197">
        <v>0</v>
      </c>
      <c r="P1036" s="197">
        <v>0</v>
      </c>
      <c r="Q1036" s="197">
        <v>0</v>
      </c>
      <c r="R1036" s="260" t="s">
        <v>239</v>
      </c>
      <c r="S1036" s="260" t="s">
        <v>514</v>
      </c>
      <c r="T1036" s="260" t="s">
        <v>239</v>
      </c>
      <c r="U1036" s="260" t="s">
        <v>514</v>
      </c>
    </row>
    <row r="1037" spans="1:21" ht="14.5" x14ac:dyDescent="0.35">
      <c r="A1037" s="260" t="s">
        <v>566</v>
      </c>
      <c r="B1037" s="190">
        <v>45958</v>
      </c>
      <c r="C1037" s="197">
        <v>42000</v>
      </c>
      <c r="D1037" s="197">
        <v>0</v>
      </c>
      <c r="E1037" s="197">
        <v>0</v>
      </c>
      <c r="F1037" s="197">
        <v>0</v>
      </c>
      <c r="G1037" s="197">
        <v>42000</v>
      </c>
      <c r="H1037" s="197">
        <v>0</v>
      </c>
      <c r="I1037" s="197">
        <v>0</v>
      </c>
      <c r="J1037" s="197">
        <v>42000</v>
      </c>
      <c r="K1037" s="197">
        <v>42000</v>
      </c>
      <c r="L1037" s="197">
        <v>0</v>
      </c>
      <c r="M1037" s="197">
        <v>0</v>
      </c>
      <c r="N1037" s="197">
        <v>0</v>
      </c>
      <c r="O1037" s="197">
        <v>0</v>
      </c>
      <c r="P1037" s="197">
        <v>0</v>
      </c>
      <c r="Q1037" s="197">
        <v>0</v>
      </c>
      <c r="R1037" s="260" t="s">
        <v>239</v>
      </c>
      <c r="S1037" s="260" t="s">
        <v>514</v>
      </c>
      <c r="T1037" s="260" t="s">
        <v>239</v>
      </c>
      <c r="U1037" s="260" t="s">
        <v>514</v>
      </c>
    </row>
    <row r="1038" spans="1:21" ht="14.5" x14ac:dyDescent="0.35">
      <c r="A1038" s="260" t="s">
        <v>566</v>
      </c>
      <c r="B1038" s="190">
        <v>45959</v>
      </c>
      <c r="C1038" s="197">
        <v>42000</v>
      </c>
      <c r="D1038" s="197">
        <v>0</v>
      </c>
      <c r="E1038" s="197">
        <v>0</v>
      </c>
      <c r="F1038" s="197">
        <v>0</v>
      </c>
      <c r="G1038" s="197">
        <v>42000</v>
      </c>
      <c r="H1038" s="197">
        <v>0</v>
      </c>
      <c r="I1038" s="197">
        <v>0</v>
      </c>
      <c r="J1038" s="197">
        <v>42000</v>
      </c>
      <c r="K1038" s="197">
        <v>42000</v>
      </c>
      <c r="L1038" s="197">
        <v>0</v>
      </c>
      <c r="M1038" s="197">
        <v>0</v>
      </c>
      <c r="N1038" s="197">
        <v>0</v>
      </c>
      <c r="O1038" s="197">
        <v>0</v>
      </c>
      <c r="P1038" s="197">
        <v>0</v>
      </c>
      <c r="Q1038" s="197">
        <v>0</v>
      </c>
      <c r="R1038" s="260" t="s">
        <v>239</v>
      </c>
      <c r="S1038" s="260" t="s">
        <v>514</v>
      </c>
      <c r="T1038" s="260" t="s">
        <v>239</v>
      </c>
      <c r="U1038" s="260" t="s">
        <v>514</v>
      </c>
    </row>
    <row r="1039" spans="1:21" ht="14.5" x14ac:dyDescent="0.35">
      <c r="A1039" s="260" t="s">
        <v>566</v>
      </c>
      <c r="B1039" s="190">
        <v>45960</v>
      </c>
      <c r="C1039" s="197">
        <v>42000</v>
      </c>
      <c r="D1039" s="197">
        <v>0</v>
      </c>
      <c r="E1039" s="197">
        <v>0</v>
      </c>
      <c r="F1039" s="197">
        <v>0</v>
      </c>
      <c r="G1039" s="197">
        <v>42000</v>
      </c>
      <c r="H1039" s="197">
        <v>0</v>
      </c>
      <c r="I1039" s="197">
        <v>0</v>
      </c>
      <c r="J1039" s="197">
        <v>42000</v>
      </c>
      <c r="K1039" s="197">
        <v>42000</v>
      </c>
      <c r="L1039" s="197">
        <v>0</v>
      </c>
      <c r="M1039" s="197">
        <v>0</v>
      </c>
      <c r="N1039" s="197">
        <v>0</v>
      </c>
      <c r="O1039" s="197">
        <v>0</v>
      </c>
      <c r="P1039" s="197">
        <v>0</v>
      </c>
      <c r="Q1039" s="197">
        <v>0</v>
      </c>
      <c r="R1039" s="260" t="s">
        <v>239</v>
      </c>
      <c r="S1039" s="260" t="s">
        <v>514</v>
      </c>
      <c r="T1039" s="260" t="s">
        <v>239</v>
      </c>
      <c r="U1039" s="260" t="s">
        <v>514</v>
      </c>
    </row>
    <row r="1040" spans="1:21" ht="14.5" x14ac:dyDescent="0.35">
      <c r="A1040" s="260" t="s">
        <v>566</v>
      </c>
      <c r="B1040" s="190">
        <v>45961</v>
      </c>
      <c r="C1040" s="197">
        <v>42000</v>
      </c>
      <c r="D1040" s="197">
        <v>0</v>
      </c>
      <c r="E1040" s="197">
        <v>0</v>
      </c>
      <c r="F1040" s="197">
        <v>0</v>
      </c>
      <c r="G1040" s="197">
        <v>42000</v>
      </c>
      <c r="H1040" s="197">
        <v>0</v>
      </c>
      <c r="I1040" s="197">
        <v>0</v>
      </c>
      <c r="J1040" s="197">
        <v>42000</v>
      </c>
      <c r="K1040" s="197">
        <v>42000</v>
      </c>
      <c r="L1040" s="197">
        <v>0</v>
      </c>
      <c r="M1040" s="197">
        <v>0</v>
      </c>
      <c r="N1040" s="197">
        <v>0</v>
      </c>
      <c r="O1040" s="197">
        <v>0</v>
      </c>
      <c r="P1040" s="197">
        <v>0</v>
      </c>
      <c r="Q1040" s="197">
        <v>0</v>
      </c>
      <c r="R1040" s="260" t="s">
        <v>239</v>
      </c>
      <c r="S1040" s="260" t="s">
        <v>514</v>
      </c>
      <c r="T1040" s="260" t="s">
        <v>239</v>
      </c>
      <c r="U1040" s="260" t="s">
        <v>514</v>
      </c>
    </row>
    <row r="1041" spans="1:21" ht="14.5" x14ac:dyDescent="0.35">
      <c r="A1041" s="260" t="s">
        <v>566</v>
      </c>
      <c r="B1041" s="190">
        <v>45962</v>
      </c>
      <c r="C1041" s="197">
        <v>42000</v>
      </c>
      <c r="D1041" s="197">
        <v>0</v>
      </c>
      <c r="E1041" s="197">
        <v>0</v>
      </c>
      <c r="F1041" s="197">
        <v>0</v>
      </c>
      <c r="G1041" s="197">
        <v>42000</v>
      </c>
      <c r="H1041" s="197">
        <v>0</v>
      </c>
      <c r="I1041" s="197">
        <v>0</v>
      </c>
      <c r="J1041" s="197">
        <v>42000</v>
      </c>
      <c r="K1041" s="197">
        <v>42000</v>
      </c>
      <c r="L1041" s="197">
        <v>0</v>
      </c>
      <c r="M1041" s="197">
        <v>0</v>
      </c>
      <c r="N1041" s="197">
        <v>0</v>
      </c>
      <c r="O1041" s="197">
        <v>0</v>
      </c>
      <c r="P1041" s="197">
        <v>0</v>
      </c>
      <c r="Q1041" s="197">
        <v>0</v>
      </c>
      <c r="R1041" s="260" t="s">
        <v>239</v>
      </c>
      <c r="S1041" s="260" t="s">
        <v>514</v>
      </c>
      <c r="T1041" s="260" t="s">
        <v>239</v>
      </c>
      <c r="U1041" s="260" t="s">
        <v>514</v>
      </c>
    </row>
    <row r="1042" spans="1:21" ht="14.5" x14ac:dyDescent="0.35">
      <c r="A1042" s="260" t="s">
        <v>566</v>
      </c>
      <c r="B1042" s="190">
        <v>45963</v>
      </c>
      <c r="C1042" s="197">
        <v>42000</v>
      </c>
      <c r="D1042" s="197">
        <v>0</v>
      </c>
      <c r="E1042" s="197">
        <v>0</v>
      </c>
      <c r="F1042" s="197">
        <v>0</v>
      </c>
      <c r="G1042" s="197">
        <v>42000</v>
      </c>
      <c r="H1042" s="197">
        <v>0</v>
      </c>
      <c r="I1042" s="197">
        <v>0</v>
      </c>
      <c r="J1042" s="197">
        <v>42000</v>
      </c>
      <c r="K1042" s="197">
        <v>42000</v>
      </c>
      <c r="L1042" s="197">
        <v>0</v>
      </c>
      <c r="M1042" s="197">
        <v>0</v>
      </c>
      <c r="N1042" s="197">
        <v>0</v>
      </c>
      <c r="O1042" s="197">
        <v>0</v>
      </c>
      <c r="P1042" s="197">
        <v>0</v>
      </c>
      <c r="Q1042" s="197">
        <v>0</v>
      </c>
      <c r="R1042" s="260" t="s">
        <v>239</v>
      </c>
      <c r="S1042" s="260" t="s">
        <v>514</v>
      </c>
      <c r="T1042" s="260" t="s">
        <v>239</v>
      </c>
      <c r="U1042" s="260" t="s">
        <v>514</v>
      </c>
    </row>
    <row r="1043" spans="1:21" ht="14.5" x14ac:dyDescent="0.35">
      <c r="A1043" s="260" t="s">
        <v>566</v>
      </c>
      <c r="B1043" s="190">
        <v>45964</v>
      </c>
      <c r="C1043" s="197">
        <v>42000</v>
      </c>
      <c r="D1043" s="197">
        <v>0</v>
      </c>
      <c r="E1043" s="197">
        <v>0</v>
      </c>
      <c r="F1043" s="197">
        <v>0</v>
      </c>
      <c r="G1043" s="197">
        <v>42000</v>
      </c>
      <c r="H1043" s="197">
        <v>0</v>
      </c>
      <c r="I1043" s="197">
        <v>0</v>
      </c>
      <c r="J1043" s="197">
        <v>42000</v>
      </c>
      <c r="K1043" s="197">
        <v>42000</v>
      </c>
      <c r="L1043" s="197">
        <v>0</v>
      </c>
      <c r="M1043" s="197">
        <v>0</v>
      </c>
      <c r="N1043" s="197">
        <v>0</v>
      </c>
      <c r="O1043" s="197">
        <v>0</v>
      </c>
      <c r="P1043" s="197">
        <v>0</v>
      </c>
      <c r="Q1043" s="197">
        <v>0</v>
      </c>
      <c r="R1043" s="260" t="s">
        <v>239</v>
      </c>
      <c r="S1043" s="260" t="s">
        <v>514</v>
      </c>
      <c r="T1043" s="260" t="s">
        <v>239</v>
      </c>
      <c r="U1043" s="260" t="s">
        <v>514</v>
      </c>
    </row>
    <row r="1044" spans="1:21" ht="14.5" x14ac:dyDescent="0.35">
      <c r="A1044" s="260" t="s">
        <v>566</v>
      </c>
      <c r="B1044" s="190">
        <v>45965</v>
      </c>
      <c r="C1044" s="197">
        <v>42000</v>
      </c>
      <c r="D1044" s="197">
        <v>0</v>
      </c>
      <c r="E1044" s="197">
        <v>0</v>
      </c>
      <c r="F1044" s="197">
        <v>0</v>
      </c>
      <c r="G1044" s="197">
        <v>42000</v>
      </c>
      <c r="H1044" s="197">
        <v>0</v>
      </c>
      <c r="I1044" s="197">
        <v>0</v>
      </c>
      <c r="J1044" s="197">
        <v>42000</v>
      </c>
      <c r="K1044" s="197">
        <v>42000</v>
      </c>
      <c r="L1044" s="197">
        <v>0</v>
      </c>
      <c r="M1044" s="197">
        <v>0</v>
      </c>
      <c r="N1044" s="197">
        <v>0</v>
      </c>
      <c r="O1044" s="197">
        <v>0</v>
      </c>
      <c r="P1044" s="197">
        <v>0</v>
      </c>
      <c r="Q1044" s="197">
        <v>0</v>
      </c>
      <c r="R1044" s="260" t="s">
        <v>239</v>
      </c>
      <c r="S1044" s="260" t="s">
        <v>514</v>
      </c>
      <c r="T1044" s="260" t="s">
        <v>239</v>
      </c>
      <c r="U1044" s="260" t="s">
        <v>514</v>
      </c>
    </row>
    <row r="1045" spans="1:21" ht="14.5" x14ac:dyDescent="0.35">
      <c r="A1045" s="260" t="s">
        <v>566</v>
      </c>
      <c r="B1045" s="190">
        <v>45966</v>
      </c>
      <c r="C1045" s="197">
        <v>42000</v>
      </c>
      <c r="D1045" s="197">
        <v>0</v>
      </c>
      <c r="E1045" s="197">
        <v>0</v>
      </c>
      <c r="F1045" s="197">
        <v>0</v>
      </c>
      <c r="G1045" s="197">
        <v>42000</v>
      </c>
      <c r="H1045" s="197">
        <v>0</v>
      </c>
      <c r="I1045" s="197">
        <v>0</v>
      </c>
      <c r="J1045" s="197">
        <v>42000</v>
      </c>
      <c r="K1045" s="197">
        <v>42000</v>
      </c>
      <c r="L1045" s="197">
        <v>0</v>
      </c>
      <c r="M1045" s="197">
        <v>0</v>
      </c>
      <c r="N1045" s="197">
        <v>0</v>
      </c>
      <c r="O1045" s="197">
        <v>0</v>
      </c>
      <c r="P1045" s="197">
        <v>0</v>
      </c>
      <c r="Q1045" s="197">
        <v>0</v>
      </c>
      <c r="R1045" s="260" t="s">
        <v>239</v>
      </c>
      <c r="S1045" s="260" t="s">
        <v>514</v>
      </c>
      <c r="T1045" s="260" t="s">
        <v>239</v>
      </c>
      <c r="U1045" s="260" t="s">
        <v>514</v>
      </c>
    </row>
    <row r="1046" spans="1:21" ht="14.5" x14ac:dyDescent="0.35">
      <c r="A1046" s="260" t="s">
        <v>566</v>
      </c>
      <c r="B1046" s="190">
        <v>45967</v>
      </c>
      <c r="C1046" s="197">
        <v>42000</v>
      </c>
      <c r="D1046" s="197">
        <v>0</v>
      </c>
      <c r="E1046" s="197">
        <v>0</v>
      </c>
      <c r="F1046" s="197">
        <v>0</v>
      </c>
      <c r="G1046" s="197">
        <v>42000</v>
      </c>
      <c r="H1046" s="197">
        <v>0</v>
      </c>
      <c r="I1046" s="197">
        <v>0</v>
      </c>
      <c r="J1046" s="197">
        <v>42000</v>
      </c>
      <c r="K1046" s="197">
        <v>42000</v>
      </c>
      <c r="L1046" s="197">
        <v>0</v>
      </c>
      <c r="M1046" s="197">
        <v>0</v>
      </c>
      <c r="N1046" s="197">
        <v>0</v>
      </c>
      <c r="O1046" s="197">
        <v>0</v>
      </c>
      <c r="P1046" s="197">
        <v>0</v>
      </c>
      <c r="Q1046" s="197">
        <v>0</v>
      </c>
      <c r="R1046" s="260" t="s">
        <v>239</v>
      </c>
      <c r="S1046" s="260" t="s">
        <v>514</v>
      </c>
      <c r="T1046" s="260" t="s">
        <v>239</v>
      </c>
      <c r="U1046" s="260" t="s">
        <v>514</v>
      </c>
    </row>
    <row r="1047" spans="1:21" ht="14.5" x14ac:dyDescent="0.35">
      <c r="A1047" s="260" t="s">
        <v>566</v>
      </c>
      <c r="B1047" s="190">
        <v>45968</v>
      </c>
      <c r="C1047" s="197">
        <v>42000</v>
      </c>
      <c r="D1047" s="197">
        <v>0</v>
      </c>
      <c r="E1047" s="197">
        <v>0</v>
      </c>
      <c r="F1047" s="197">
        <v>0</v>
      </c>
      <c r="G1047" s="197">
        <v>42000</v>
      </c>
      <c r="H1047" s="197">
        <v>0</v>
      </c>
      <c r="I1047" s="197">
        <v>0</v>
      </c>
      <c r="J1047" s="197">
        <v>42000</v>
      </c>
      <c r="K1047" s="197">
        <v>42000</v>
      </c>
      <c r="L1047" s="197">
        <v>0</v>
      </c>
      <c r="M1047" s="197">
        <v>0</v>
      </c>
      <c r="N1047" s="197">
        <v>0</v>
      </c>
      <c r="O1047" s="197">
        <v>0</v>
      </c>
      <c r="P1047" s="197">
        <v>0</v>
      </c>
      <c r="Q1047" s="197">
        <v>0</v>
      </c>
      <c r="R1047" s="260" t="s">
        <v>239</v>
      </c>
      <c r="S1047" s="260" t="s">
        <v>514</v>
      </c>
      <c r="T1047" s="260" t="s">
        <v>239</v>
      </c>
      <c r="U1047" s="260" t="s">
        <v>514</v>
      </c>
    </row>
    <row r="1048" spans="1:21" ht="14.5" x14ac:dyDescent="0.35">
      <c r="A1048" s="260" t="s">
        <v>566</v>
      </c>
      <c r="B1048" s="190">
        <v>45969</v>
      </c>
      <c r="C1048" s="197">
        <v>42000</v>
      </c>
      <c r="D1048" s="197">
        <v>0</v>
      </c>
      <c r="E1048" s="197">
        <v>0</v>
      </c>
      <c r="F1048" s="197">
        <v>0</v>
      </c>
      <c r="G1048" s="197">
        <v>42000</v>
      </c>
      <c r="H1048" s="197">
        <v>0</v>
      </c>
      <c r="I1048" s="197">
        <v>0</v>
      </c>
      <c r="J1048" s="197">
        <v>42000</v>
      </c>
      <c r="K1048" s="197">
        <v>42000</v>
      </c>
      <c r="L1048" s="197">
        <v>0</v>
      </c>
      <c r="M1048" s="197">
        <v>0</v>
      </c>
      <c r="N1048" s="197">
        <v>0</v>
      </c>
      <c r="O1048" s="197">
        <v>0</v>
      </c>
      <c r="P1048" s="197">
        <v>0</v>
      </c>
      <c r="Q1048" s="197">
        <v>0</v>
      </c>
      <c r="R1048" s="260" t="s">
        <v>239</v>
      </c>
      <c r="S1048" s="260" t="s">
        <v>514</v>
      </c>
      <c r="T1048" s="260" t="s">
        <v>239</v>
      </c>
      <c r="U1048" s="260" t="s">
        <v>514</v>
      </c>
    </row>
    <row r="1049" spans="1:21" ht="14.5" x14ac:dyDescent="0.35">
      <c r="A1049" s="260" t="s">
        <v>566</v>
      </c>
      <c r="B1049" s="190">
        <v>45970</v>
      </c>
      <c r="C1049" s="197">
        <v>42000</v>
      </c>
      <c r="D1049" s="197">
        <v>0</v>
      </c>
      <c r="E1049" s="197">
        <v>0</v>
      </c>
      <c r="F1049" s="197">
        <v>0</v>
      </c>
      <c r="G1049" s="197">
        <v>42000</v>
      </c>
      <c r="H1049" s="197">
        <v>0</v>
      </c>
      <c r="I1049" s="197">
        <v>0</v>
      </c>
      <c r="J1049" s="197">
        <v>42000</v>
      </c>
      <c r="K1049" s="197">
        <v>42000</v>
      </c>
      <c r="L1049" s="197">
        <v>0</v>
      </c>
      <c r="M1049" s="197">
        <v>0</v>
      </c>
      <c r="N1049" s="197">
        <v>0</v>
      </c>
      <c r="O1049" s="197">
        <v>0</v>
      </c>
      <c r="P1049" s="197">
        <v>0</v>
      </c>
      <c r="Q1049" s="197">
        <v>0</v>
      </c>
      <c r="R1049" s="260" t="s">
        <v>239</v>
      </c>
      <c r="S1049" s="260" t="s">
        <v>514</v>
      </c>
      <c r="T1049" s="260" t="s">
        <v>239</v>
      </c>
      <c r="U1049" s="260" t="s">
        <v>514</v>
      </c>
    </row>
    <row r="1050" spans="1:21" ht="14.5" x14ac:dyDescent="0.35">
      <c r="A1050" s="260" t="s">
        <v>566</v>
      </c>
      <c r="B1050" s="190">
        <v>45971</v>
      </c>
      <c r="C1050" s="197">
        <v>42000</v>
      </c>
      <c r="D1050" s="197">
        <v>0</v>
      </c>
      <c r="E1050" s="197">
        <v>0</v>
      </c>
      <c r="F1050" s="197">
        <v>0</v>
      </c>
      <c r="G1050" s="197">
        <v>42000</v>
      </c>
      <c r="H1050" s="197">
        <v>0</v>
      </c>
      <c r="I1050" s="197">
        <v>0</v>
      </c>
      <c r="J1050" s="197">
        <v>42000</v>
      </c>
      <c r="K1050" s="197">
        <v>42000</v>
      </c>
      <c r="L1050" s="197">
        <v>0</v>
      </c>
      <c r="M1050" s="197">
        <v>0</v>
      </c>
      <c r="N1050" s="197">
        <v>0</v>
      </c>
      <c r="O1050" s="197">
        <v>0</v>
      </c>
      <c r="P1050" s="197">
        <v>0</v>
      </c>
      <c r="Q1050" s="197">
        <v>0</v>
      </c>
      <c r="R1050" s="260" t="s">
        <v>239</v>
      </c>
      <c r="S1050" s="260" t="s">
        <v>514</v>
      </c>
      <c r="T1050" s="260" t="s">
        <v>239</v>
      </c>
      <c r="U1050" s="260" t="s">
        <v>514</v>
      </c>
    </row>
    <row r="1051" spans="1:21" ht="14.5" x14ac:dyDescent="0.35">
      <c r="A1051" s="260" t="s">
        <v>566</v>
      </c>
      <c r="B1051" s="190">
        <v>45972</v>
      </c>
      <c r="C1051" s="197">
        <v>42000</v>
      </c>
      <c r="D1051" s="197">
        <v>0</v>
      </c>
      <c r="E1051" s="197">
        <v>0</v>
      </c>
      <c r="F1051" s="197">
        <v>0</v>
      </c>
      <c r="G1051" s="197">
        <v>42000</v>
      </c>
      <c r="H1051" s="197">
        <v>0</v>
      </c>
      <c r="I1051" s="197">
        <v>0</v>
      </c>
      <c r="J1051" s="197">
        <v>42000</v>
      </c>
      <c r="K1051" s="197">
        <v>42000</v>
      </c>
      <c r="L1051" s="197">
        <v>0</v>
      </c>
      <c r="M1051" s="197">
        <v>0</v>
      </c>
      <c r="N1051" s="197">
        <v>0</v>
      </c>
      <c r="O1051" s="197">
        <v>0</v>
      </c>
      <c r="P1051" s="197">
        <v>0</v>
      </c>
      <c r="Q1051" s="197">
        <v>0</v>
      </c>
      <c r="R1051" s="260" t="s">
        <v>239</v>
      </c>
      <c r="S1051" s="260" t="s">
        <v>514</v>
      </c>
      <c r="T1051" s="260" t="s">
        <v>239</v>
      </c>
      <c r="U1051" s="260" t="s">
        <v>514</v>
      </c>
    </row>
    <row r="1052" spans="1:21" ht="14.5" x14ac:dyDescent="0.35">
      <c r="A1052" s="260" t="s">
        <v>566</v>
      </c>
      <c r="B1052" s="190">
        <v>45973</v>
      </c>
      <c r="C1052" s="197">
        <v>42000</v>
      </c>
      <c r="D1052" s="197">
        <v>0</v>
      </c>
      <c r="E1052" s="197">
        <v>0</v>
      </c>
      <c r="F1052" s="197">
        <v>0</v>
      </c>
      <c r="G1052" s="197">
        <v>42000</v>
      </c>
      <c r="H1052" s="197">
        <v>0</v>
      </c>
      <c r="I1052" s="197">
        <v>0</v>
      </c>
      <c r="J1052" s="197">
        <v>42000</v>
      </c>
      <c r="K1052" s="197">
        <v>42000</v>
      </c>
      <c r="L1052" s="197">
        <v>0</v>
      </c>
      <c r="M1052" s="197">
        <v>0</v>
      </c>
      <c r="N1052" s="197">
        <v>0</v>
      </c>
      <c r="O1052" s="197">
        <v>0</v>
      </c>
      <c r="P1052" s="197">
        <v>0</v>
      </c>
      <c r="Q1052" s="197">
        <v>0</v>
      </c>
      <c r="R1052" s="260" t="s">
        <v>239</v>
      </c>
      <c r="S1052" s="260" t="s">
        <v>514</v>
      </c>
      <c r="T1052" s="260" t="s">
        <v>239</v>
      </c>
      <c r="U1052" s="260" t="s">
        <v>514</v>
      </c>
    </row>
    <row r="1053" spans="1:21" ht="14.5" x14ac:dyDescent="0.35">
      <c r="A1053" s="260" t="s">
        <v>566</v>
      </c>
      <c r="B1053" s="190">
        <v>45974</v>
      </c>
      <c r="C1053" s="197">
        <v>42000</v>
      </c>
      <c r="D1053" s="197">
        <v>0</v>
      </c>
      <c r="E1053" s="197">
        <v>0</v>
      </c>
      <c r="F1053" s="197">
        <v>0</v>
      </c>
      <c r="G1053" s="197">
        <v>42000</v>
      </c>
      <c r="H1053" s="197">
        <v>0</v>
      </c>
      <c r="I1053" s="197">
        <v>0</v>
      </c>
      <c r="J1053" s="197">
        <v>42000</v>
      </c>
      <c r="K1053" s="197">
        <v>42000</v>
      </c>
      <c r="L1053" s="197">
        <v>0</v>
      </c>
      <c r="M1053" s="197">
        <v>0</v>
      </c>
      <c r="N1053" s="197">
        <v>0</v>
      </c>
      <c r="O1053" s="197">
        <v>0</v>
      </c>
      <c r="P1053" s="197">
        <v>0</v>
      </c>
      <c r="Q1053" s="197">
        <v>0</v>
      </c>
      <c r="R1053" s="260" t="s">
        <v>239</v>
      </c>
      <c r="S1053" s="260" t="s">
        <v>514</v>
      </c>
      <c r="T1053" s="260" t="s">
        <v>239</v>
      </c>
      <c r="U1053" s="260" t="s">
        <v>514</v>
      </c>
    </row>
    <row r="1054" spans="1:21" ht="14.5" x14ac:dyDescent="0.35">
      <c r="A1054" s="260" t="s">
        <v>566</v>
      </c>
      <c r="B1054" s="190">
        <v>45975</v>
      </c>
      <c r="C1054" s="197">
        <v>42000</v>
      </c>
      <c r="D1054" s="197">
        <v>0</v>
      </c>
      <c r="E1054" s="197">
        <v>0</v>
      </c>
      <c r="F1054" s="197">
        <v>0</v>
      </c>
      <c r="G1054" s="197">
        <v>42000</v>
      </c>
      <c r="H1054" s="197">
        <v>0</v>
      </c>
      <c r="I1054" s="197">
        <v>0</v>
      </c>
      <c r="J1054" s="197">
        <v>42000</v>
      </c>
      <c r="K1054" s="197">
        <v>42000</v>
      </c>
      <c r="L1054" s="197">
        <v>0</v>
      </c>
      <c r="M1054" s="197">
        <v>0</v>
      </c>
      <c r="N1054" s="197">
        <v>0</v>
      </c>
      <c r="O1054" s="197">
        <v>0</v>
      </c>
      <c r="P1054" s="197">
        <v>0</v>
      </c>
      <c r="Q1054" s="197">
        <v>0</v>
      </c>
      <c r="R1054" s="260" t="s">
        <v>239</v>
      </c>
      <c r="S1054" s="260" t="s">
        <v>514</v>
      </c>
      <c r="T1054" s="260" t="s">
        <v>239</v>
      </c>
      <c r="U1054" s="260" t="s">
        <v>514</v>
      </c>
    </row>
    <row r="1055" spans="1:21" ht="14.5" x14ac:dyDescent="0.35">
      <c r="A1055" s="260" t="s">
        <v>566</v>
      </c>
      <c r="B1055" s="190">
        <v>45976</v>
      </c>
      <c r="C1055" s="197">
        <v>42000</v>
      </c>
      <c r="D1055" s="197">
        <v>0</v>
      </c>
      <c r="E1055" s="197">
        <v>0</v>
      </c>
      <c r="F1055" s="197">
        <v>0</v>
      </c>
      <c r="G1055" s="197">
        <v>42000</v>
      </c>
      <c r="H1055" s="197">
        <v>0</v>
      </c>
      <c r="I1055" s="197">
        <v>0</v>
      </c>
      <c r="J1055" s="197">
        <v>42000</v>
      </c>
      <c r="K1055" s="197">
        <v>42000</v>
      </c>
      <c r="L1055" s="197">
        <v>0</v>
      </c>
      <c r="M1055" s="197">
        <v>0</v>
      </c>
      <c r="N1055" s="197">
        <v>0</v>
      </c>
      <c r="O1055" s="197">
        <v>0</v>
      </c>
      <c r="P1055" s="197">
        <v>0</v>
      </c>
      <c r="Q1055" s="197">
        <v>0</v>
      </c>
      <c r="R1055" s="260" t="s">
        <v>239</v>
      </c>
      <c r="S1055" s="260" t="s">
        <v>514</v>
      </c>
      <c r="T1055" s="260" t="s">
        <v>239</v>
      </c>
      <c r="U1055" s="260" t="s">
        <v>514</v>
      </c>
    </row>
    <row r="1056" spans="1:21" ht="14.5" x14ac:dyDescent="0.35">
      <c r="A1056" s="260" t="s">
        <v>566</v>
      </c>
      <c r="B1056" s="190">
        <v>45977</v>
      </c>
      <c r="C1056" s="197">
        <v>42000</v>
      </c>
      <c r="D1056" s="197">
        <v>0</v>
      </c>
      <c r="E1056" s="197">
        <v>0</v>
      </c>
      <c r="F1056" s="197">
        <v>0</v>
      </c>
      <c r="G1056" s="197">
        <v>42000</v>
      </c>
      <c r="H1056" s="197">
        <v>0</v>
      </c>
      <c r="I1056" s="197">
        <v>0</v>
      </c>
      <c r="J1056" s="197">
        <v>42000</v>
      </c>
      <c r="K1056" s="197">
        <v>42000</v>
      </c>
      <c r="L1056" s="197">
        <v>0</v>
      </c>
      <c r="M1056" s="197">
        <v>0</v>
      </c>
      <c r="N1056" s="197">
        <v>0</v>
      </c>
      <c r="O1056" s="197">
        <v>0</v>
      </c>
      <c r="P1056" s="197">
        <v>0</v>
      </c>
      <c r="Q1056" s="197">
        <v>0</v>
      </c>
      <c r="R1056" s="260" t="s">
        <v>239</v>
      </c>
      <c r="S1056" s="260" t="s">
        <v>514</v>
      </c>
      <c r="T1056" s="260" t="s">
        <v>239</v>
      </c>
      <c r="U1056" s="260" t="s">
        <v>514</v>
      </c>
    </row>
    <row r="1057" spans="1:21" ht="14.5" x14ac:dyDescent="0.35">
      <c r="A1057" s="260" t="s">
        <v>566</v>
      </c>
      <c r="B1057" s="190">
        <v>45978</v>
      </c>
      <c r="C1057" s="197">
        <v>42000</v>
      </c>
      <c r="D1057" s="197">
        <v>0</v>
      </c>
      <c r="E1057" s="197">
        <v>0</v>
      </c>
      <c r="F1057" s="197">
        <v>0</v>
      </c>
      <c r="G1057" s="197">
        <v>42000</v>
      </c>
      <c r="H1057" s="197">
        <v>0</v>
      </c>
      <c r="I1057" s="197">
        <v>0</v>
      </c>
      <c r="J1057" s="197">
        <v>42000</v>
      </c>
      <c r="K1057" s="197">
        <v>42000</v>
      </c>
      <c r="L1057" s="197">
        <v>0</v>
      </c>
      <c r="M1057" s="197">
        <v>0</v>
      </c>
      <c r="N1057" s="197">
        <v>0</v>
      </c>
      <c r="O1057" s="197">
        <v>0</v>
      </c>
      <c r="P1057" s="197">
        <v>0</v>
      </c>
      <c r="Q1057" s="197">
        <v>0</v>
      </c>
      <c r="R1057" s="260" t="s">
        <v>239</v>
      </c>
      <c r="S1057" s="260" t="s">
        <v>514</v>
      </c>
      <c r="T1057" s="260" t="s">
        <v>239</v>
      </c>
      <c r="U1057" s="260" t="s">
        <v>514</v>
      </c>
    </row>
    <row r="1058" spans="1:21" ht="14.5" x14ac:dyDescent="0.35">
      <c r="A1058" s="260" t="s">
        <v>566</v>
      </c>
      <c r="B1058" s="190">
        <v>45979</v>
      </c>
      <c r="C1058" s="197">
        <v>42000</v>
      </c>
      <c r="D1058" s="197">
        <v>0</v>
      </c>
      <c r="E1058" s="197">
        <v>0</v>
      </c>
      <c r="F1058" s="197">
        <v>0</v>
      </c>
      <c r="G1058" s="197">
        <v>42000</v>
      </c>
      <c r="H1058" s="197">
        <v>0</v>
      </c>
      <c r="I1058" s="197">
        <v>0</v>
      </c>
      <c r="J1058" s="197">
        <v>42000</v>
      </c>
      <c r="K1058" s="197">
        <v>42000</v>
      </c>
      <c r="L1058" s="197">
        <v>0</v>
      </c>
      <c r="M1058" s="197">
        <v>0</v>
      </c>
      <c r="N1058" s="197">
        <v>0</v>
      </c>
      <c r="O1058" s="197">
        <v>0</v>
      </c>
      <c r="P1058" s="197">
        <v>0</v>
      </c>
      <c r="Q1058" s="197">
        <v>0</v>
      </c>
      <c r="R1058" s="260" t="s">
        <v>239</v>
      </c>
      <c r="S1058" s="260" t="s">
        <v>514</v>
      </c>
      <c r="T1058" s="260" t="s">
        <v>239</v>
      </c>
      <c r="U1058" s="260" t="s">
        <v>514</v>
      </c>
    </row>
    <row r="1059" spans="1:21" ht="14.5" x14ac:dyDescent="0.35">
      <c r="A1059" s="260" t="s">
        <v>566</v>
      </c>
      <c r="B1059" s="190">
        <v>45980</v>
      </c>
      <c r="C1059" s="197">
        <v>42000</v>
      </c>
      <c r="D1059" s="197">
        <v>0</v>
      </c>
      <c r="E1059" s="197">
        <v>0</v>
      </c>
      <c r="F1059" s="197">
        <v>0</v>
      </c>
      <c r="G1059" s="197">
        <v>42000</v>
      </c>
      <c r="H1059" s="197">
        <v>0</v>
      </c>
      <c r="I1059" s="197">
        <v>0</v>
      </c>
      <c r="J1059" s="197">
        <v>42000</v>
      </c>
      <c r="K1059" s="197">
        <v>42000</v>
      </c>
      <c r="L1059" s="197">
        <v>0</v>
      </c>
      <c r="M1059" s="197">
        <v>0</v>
      </c>
      <c r="N1059" s="197">
        <v>0</v>
      </c>
      <c r="O1059" s="197">
        <v>0</v>
      </c>
      <c r="P1059" s="197">
        <v>0</v>
      </c>
      <c r="Q1059" s="197">
        <v>0</v>
      </c>
      <c r="R1059" s="260" t="s">
        <v>239</v>
      </c>
      <c r="S1059" s="260" t="s">
        <v>514</v>
      </c>
      <c r="T1059" s="260" t="s">
        <v>239</v>
      </c>
      <c r="U1059" s="260" t="s">
        <v>514</v>
      </c>
    </row>
    <row r="1060" spans="1:21" ht="14.5" x14ac:dyDescent="0.35">
      <c r="A1060" s="260" t="s">
        <v>566</v>
      </c>
      <c r="B1060" s="190">
        <v>45981</v>
      </c>
      <c r="C1060" s="197">
        <v>42000</v>
      </c>
      <c r="D1060" s="197">
        <v>0</v>
      </c>
      <c r="E1060" s="197">
        <v>0</v>
      </c>
      <c r="F1060" s="197">
        <v>0</v>
      </c>
      <c r="G1060" s="197">
        <v>42000</v>
      </c>
      <c r="H1060" s="197">
        <v>0</v>
      </c>
      <c r="I1060" s="197">
        <v>0</v>
      </c>
      <c r="J1060" s="197">
        <v>42000</v>
      </c>
      <c r="K1060" s="197">
        <v>42000</v>
      </c>
      <c r="L1060" s="197">
        <v>0</v>
      </c>
      <c r="M1060" s="197">
        <v>0</v>
      </c>
      <c r="N1060" s="197">
        <v>0</v>
      </c>
      <c r="O1060" s="197">
        <v>0</v>
      </c>
      <c r="P1060" s="197">
        <v>0</v>
      </c>
      <c r="Q1060" s="197">
        <v>0</v>
      </c>
      <c r="R1060" s="260" t="s">
        <v>239</v>
      </c>
      <c r="S1060" s="260" t="s">
        <v>514</v>
      </c>
      <c r="T1060" s="260" t="s">
        <v>239</v>
      </c>
      <c r="U1060" s="260" t="s">
        <v>514</v>
      </c>
    </row>
    <row r="1061" spans="1:21" ht="14.5" x14ac:dyDescent="0.35">
      <c r="A1061" s="260" t="s">
        <v>566</v>
      </c>
      <c r="B1061" s="190">
        <v>45982</v>
      </c>
      <c r="C1061" s="197">
        <v>42000</v>
      </c>
      <c r="D1061" s="197">
        <v>0</v>
      </c>
      <c r="E1061" s="197">
        <v>0</v>
      </c>
      <c r="F1061" s="197">
        <v>0</v>
      </c>
      <c r="G1061" s="197">
        <v>42000</v>
      </c>
      <c r="H1061" s="197">
        <v>0</v>
      </c>
      <c r="I1061" s="197">
        <v>0</v>
      </c>
      <c r="J1061" s="197">
        <v>42000</v>
      </c>
      <c r="K1061" s="197">
        <v>42000</v>
      </c>
      <c r="L1061" s="197">
        <v>0</v>
      </c>
      <c r="M1061" s="197">
        <v>0</v>
      </c>
      <c r="N1061" s="197">
        <v>0</v>
      </c>
      <c r="O1061" s="197">
        <v>0</v>
      </c>
      <c r="P1061" s="197">
        <v>0</v>
      </c>
      <c r="Q1061" s="197">
        <v>0</v>
      </c>
      <c r="R1061" s="260" t="s">
        <v>239</v>
      </c>
      <c r="S1061" s="260" t="s">
        <v>514</v>
      </c>
      <c r="T1061" s="260" t="s">
        <v>239</v>
      </c>
      <c r="U1061" s="260" t="s">
        <v>514</v>
      </c>
    </row>
    <row r="1062" spans="1:21" ht="14.5" x14ac:dyDescent="0.35">
      <c r="A1062" s="260" t="s">
        <v>566</v>
      </c>
      <c r="B1062" s="190">
        <v>45983</v>
      </c>
      <c r="C1062" s="197">
        <v>42000</v>
      </c>
      <c r="D1062" s="197">
        <v>0</v>
      </c>
      <c r="E1062" s="197">
        <v>0</v>
      </c>
      <c r="F1062" s="197">
        <v>0</v>
      </c>
      <c r="G1062" s="197">
        <v>42000</v>
      </c>
      <c r="H1062" s="197">
        <v>0</v>
      </c>
      <c r="I1062" s="197">
        <v>0</v>
      </c>
      <c r="J1062" s="197">
        <v>42000</v>
      </c>
      <c r="K1062" s="197">
        <v>42000</v>
      </c>
      <c r="L1062" s="197">
        <v>0</v>
      </c>
      <c r="M1062" s="197">
        <v>0</v>
      </c>
      <c r="N1062" s="197">
        <v>0</v>
      </c>
      <c r="O1062" s="197">
        <v>0</v>
      </c>
      <c r="P1062" s="197">
        <v>0</v>
      </c>
      <c r="Q1062" s="197">
        <v>0</v>
      </c>
      <c r="R1062" s="260" t="s">
        <v>239</v>
      </c>
      <c r="S1062" s="260" t="s">
        <v>514</v>
      </c>
      <c r="T1062" s="260" t="s">
        <v>239</v>
      </c>
      <c r="U1062" s="260" t="s">
        <v>514</v>
      </c>
    </row>
    <row r="1063" spans="1:21" ht="14.5" x14ac:dyDescent="0.35">
      <c r="A1063" s="260" t="s">
        <v>566</v>
      </c>
      <c r="B1063" s="190">
        <v>45984</v>
      </c>
      <c r="C1063" s="197">
        <v>42000</v>
      </c>
      <c r="D1063" s="197">
        <v>0</v>
      </c>
      <c r="E1063" s="197">
        <v>0</v>
      </c>
      <c r="F1063" s="197">
        <v>0</v>
      </c>
      <c r="G1063" s="197">
        <v>42000</v>
      </c>
      <c r="H1063" s="197">
        <v>0</v>
      </c>
      <c r="I1063" s="197">
        <v>0</v>
      </c>
      <c r="J1063" s="197">
        <v>42000</v>
      </c>
      <c r="K1063" s="197">
        <v>42000</v>
      </c>
      <c r="L1063" s="197">
        <v>0</v>
      </c>
      <c r="M1063" s="197">
        <v>0</v>
      </c>
      <c r="N1063" s="197">
        <v>0</v>
      </c>
      <c r="O1063" s="197">
        <v>0</v>
      </c>
      <c r="P1063" s="197">
        <v>0</v>
      </c>
      <c r="Q1063" s="197">
        <v>0</v>
      </c>
      <c r="R1063" s="260" t="s">
        <v>239</v>
      </c>
      <c r="S1063" s="260" t="s">
        <v>514</v>
      </c>
      <c r="T1063" s="260" t="s">
        <v>239</v>
      </c>
      <c r="U1063" s="260" t="s">
        <v>514</v>
      </c>
    </row>
    <row r="1064" spans="1:21" ht="14.5" x14ac:dyDescent="0.35">
      <c r="A1064" s="260" t="s">
        <v>566</v>
      </c>
      <c r="B1064" s="190">
        <v>45985</v>
      </c>
      <c r="C1064" s="197">
        <v>42000</v>
      </c>
      <c r="D1064" s="197">
        <v>0</v>
      </c>
      <c r="E1064" s="197">
        <v>0</v>
      </c>
      <c r="F1064" s="197">
        <v>0</v>
      </c>
      <c r="G1064" s="197">
        <v>42000</v>
      </c>
      <c r="H1064" s="197">
        <v>0</v>
      </c>
      <c r="I1064" s="197">
        <v>0</v>
      </c>
      <c r="J1064" s="197">
        <v>42000</v>
      </c>
      <c r="K1064" s="197">
        <v>42000</v>
      </c>
      <c r="L1064" s="197">
        <v>0</v>
      </c>
      <c r="M1064" s="197">
        <v>0</v>
      </c>
      <c r="N1064" s="197">
        <v>0</v>
      </c>
      <c r="O1064" s="197">
        <v>0</v>
      </c>
      <c r="P1064" s="197">
        <v>0</v>
      </c>
      <c r="Q1064" s="197">
        <v>0</v>
      </c>
      <c r="R1064" s="260" t="s">
        <v>239</v>
      </c>
      <c r="S1064" s="260" t="s">
        <v>514</v>
      </c>
      <c r="T1064" s="260" t="s">
        <v>239</v>
      </c>
      <c r="U1064" s="260" t="s">
        <v>514</v>
      </c>
    </row>
    <row r="1065" spans="1:21" ht="14.5" x14ac:dyDescent="0.35">
      <c r="A1065" s="260" t="s">
        <v>566</v>
      </c>
      <c r="B1065" s="190">
        <v>45986</v>
      </c>
      <c r="C1065" s="197">
        <v>42000</v>
      </c>
      <c r="D1065" s="197">
        <v>0</v>
      </c>
      <c r="E1065" s="197">
        <v>0</v>
      </c>
      <c r="F1065" s="197">
        <v>0</v>
      </c>
      <c r="G1065" s="197">
        <v>42000</v>
      </c>
      <c r="H1065" s="197">
        <v>0</v>
      </c>
      <c r="I1065" s="197">
        <v>0</v>
      </c>
      <c r="J1065" s="197">
        <v>42000</v>
      </c>
      <c r="K1065" s="197">
        <v>42000</v>
      </c>
      <c r="L1065" s="197">
        <v>0</v>
      </c>
      <c r="M1065" s="197">
        <v>0</v>
      </c>
      <c r="N1065" s="197">
        <v>0</v>
      </c>
      <c r="O1065" s="197">
        <v>0</v>
      </c>
      <c r="P1065" s="197">
        <v>0</v>
      </c>
      <c r="Q1065" s="197">
        <v>0</v>
      </c>
      <c r="R1065" s="260" t="s">
        <v>239</v>
      </c>
      <c r="S1065" s="260" t="s">
        <v>514</v>
      </c>
      <c r="T1065" s="260" t="s">
        <v>239</v>
      </c>
      <c r="U1065" s="260" t="s">
        <v>514</v>
      </c>
    </row>
    <row r="1066" spans="1:21" ht="14.5" x14ac:dyDescent="0.35">
      <c r="A1066" s="260" t="s">
        <v>566</v>
      </c>
      <c r="B1066" s="190">
        <v>45987</v>
      </c>
      <c r="C1066" s="197">
        <v>42000</v>
      </c>
      <c r="D1066" s="197">
        <v>0</v>
      </c>
      <c r="E1066" s="197">
        <v>0</v>
      </c>
      <c r="F1066" s="197">
        <v>0</v>
      </c>
      <c r="G1066" s="197">
        <v>42000</v>
      </c>
      <c r="H1066" s="197">
        <v>0</v>
      </c>
      <c r="I1066" s="197">
        <v>0</v>
      </c>
      <c r="J1066" s="197">
        <v>42000</v>
      </c>
      <c r="K1066" s="197">
        <v>42000</v>
      </c>
      <c r="L1066" s="197">
        <v>0</v>
      </c>
      <c r="M1066" s="197">
        <v>0</v>
      </c>
      <c r="N1066" s="197">
        <v>0</v>
      </c>
      <c r="O1066" s="197">
        <v>0</v>
      </c>
      <c r="P1066" s="197">
        <v>0</v>
      </c>
      <c r="Q1066" s="197">
        <v>0</v>
      </c>
      <c r="R1066" s="260" t="s">
        <v>239</v>
      </c>
      <c r="S1066" s="260" t="s">
        <v>514</v>
      </c>
      <c r="T1066" s="260" t="s">
        <v>239</v>
      </c>
      <c r="U1066" s="260" t="s">
        <v>514</v>
      </c>
    </row>
    <row r="1067" spans="1:21" ht="14.5" x14ac:dyDescent="0.35">
      <c r="A1067" s="260" t="s">
        <v>566</v>
      </c>
      <c r="B1067" s="190">
        <v>45988</v>
      </c>
      <c r="C1067" s="197">
        <v>42000</v>
      </c>
      <c r="D1067" s="197">
        <v>0</v>
      </c>
      <c r="E1067" s="197">
        <v>0</v>
      </c>
      <c r="F1067" s="197">
        <v>0</v>
      </c>
      <c r="G1067" s="197">
        <v>42000</v>
      </c>
      <c r="H1067" s="197">
        <v>0</v>
      </c>
      <c r="I1067" s="197">
        <v>0</v>
      </c>
      <c r="J1067" s="197">
        <v>42000</v>
      </c>
      <c r="K1067" s="197">
        <v>42000</v>
      </c>
      <c r="L1067" s="197">
        <v>0</v>
      </c>
      <c r="M1067" s="197">
        <v>0</v>
      </c>
      <c r="N1067" s="197">
        <v>0</v>
      </c>
      <c r="O1067" s="197">
        <v>0</v>
      </c>
      <c r="P1067" s="197">
        <v>0</v>
      </c>
      <c r="Q1067" s="197">
        <v>0</v>
      </c>
      <c r="R1067" s="260" t="s">
        <v>239</v>
      </c>
      <c r="S1067" s="260" t="s">
        <v>514</v>
      </c>
      <c r="T1067" s="260" t="s">
        <v>239</v>
      </c>
      <c r="U1067" s="260" t="s">
        <v>514</v>
      </c>
    </row>
    <row r="1068" spans="1:21" ht="14.5" x14ac:dyDescent="0.35">
      <c r="A1068" s="260" t="s">
        <v>566</v>
      </c>
      <c r="B1068" s="190">
        <v>45989</v>
      </c>
      <c r="C1068" s="197">
        <v>42000</v>
      </c>
      <c r="D1068" s="197">
        <v>0</v>
      </c>
      <c r="E1068" s="197">
        <v>0</v>
      </c>
      <c r="F1068" s="197">
        <v>0</v>
      </c>
      <c r="G1068" s="197">
        <v>42000</v>
      </c>
      <c r="H1068" s="197">
        <v>0</v>
      </c>
      <c r="I1068" s="197">
        <v>0</v>
      </c>
      <c r="J1068" s="197">
        <v>42000</v>
      </c>
      <c r="K1068" s="197">
        <v>42000</v>
      </c>
      <c r="L1068" s="197">
        <v>0</v>
      </c>
      <c r="M1068" s="197">
        <v>0</v>
      </c>
      <c r="N1068" s="197">
        <v>0</v>
      </c>
      <c r="O1068" s="197">
        <v>0</v>
      </c>
      <c r="P1068" s="197">
        <v>0</v>
      </c>
      <c r="Q1068" s="197">
        <v>0</v>
      </c>
      <c r="R1068" s="260" t="s">
        <v>239</v>
      </c>
      <c r="S1068" s="260" t="s">
        <v>514</v>
      </c>
      <c r="T1068" s="260" t="s">
        <v>239</v>
      </c>
      <c r="U1068" s="260" t="s">
        <v>514</v>
      </c>
    </row>
    <row r="1069" spans="1:21" ht="14.5" x14ac:dyDescent="0.35">
      <c r="A1069" s="260" t="s">
        <v>566</v>
      </c>
      <c r="B1069" s="190">
        <v>45990</v>
      </c>
      <c r="C1069" s="197">
        <v>42000</v>
      </c>
      <c r="D1069" s="197">
        <v>0</v>
      </c>
      <c r="E1069" s="197">
        <v>0</v>
      </c>
      <c r="F1069" s="197">
        <v>0</v>
      </c>
      <c r="G1069" s="197">
        <v>42000</v>
      </c>
      <c r="H1069" s="197">
        <v>0</v>
      </c>
      <c r="I1069" s="197">
        <v>0</v>
      </c>
      <c r="J1069" s="197">
        <v>42000</v>
      </c>
      <c r="K1069" s="197">
        <v>42000</v>
      </c>
      <c r="L1069" s="197">
        <v>0</v>
      </c>
      <c r="M1069" s="197">
        <v>0</v>
      </c>
      <c r="N1069" s="197">
        <v>0</v>
      </c>
      <c r="O1069" s="197">
        <v>0</v>
      </c>
      <c r="P1069" s="197">
        <v>0</v>
      </c>
      <c r="Q1069" s="197">
        <v>0</v>
      </c>
      <c r="R1069" s="260" t="s">
        <v>239</v>
      </c>
      <c r="S1069" s="260" t="s">
        <v>514</v>
      </c>
      <c r="T1069" s="260" t="s">
        <v>239</v>
      </c>
      <c r="U1069" s="260" t="s">
        <v>514</v>
      </c>
    </row>
    <row r="1070" spans="1:21" ht="14.5" x14ac:dyDescent="0.35">
      <c r="A1070" s="260" t="s">
        <v>566</v>
      </c>
      <c r="B1070" s="190">
        <v>45991</v>
      </c>
      <c r="C1070" s="197">
        <v>42000</v>
      </c>
      <c r="D1070" s="197">
        <v>0</v>
      </c>
      <c r="E1070" s="197">
        <v>0</v>
      </c>
      <c r="F1070" s="197">
        <v>0</v>
      </c>
      <c r="G1070" s="197">
        <v>42000</v>
      </c>
      <c r="H1070" s="197">
        <v>0</v>
      </c>
      <c r="I1070" s="197">
        <v>0</v>
      </c>
      <c r="J1070" s="197">
        <v>42000</v>
      </c>
      <c r="K1070" s="197">
        <v>42000</v>
      </c>
      <c r="L1070" s="197">
        <v>0</v>
      </c>
      <c r="M1070" s="197">
        <v>0</v>
      </c>
      <c r="N1070" s="197">
        <v>0</v>
      </c>
      <c r="O1070" s="197">
        <v>0</v>
      </c>
      <c r="P1070" s="197">
        <v>0</v>
      </c>
      <c r="Q1070" s="197">
        <v>0</v>
      </c>
      <c r="R1070" s="260" t="s">
        <v>239</v>
      </c>
      <c r="S1070" s="260" t="s">
        <v>514</v>
      </c>
      <c r="T1070" s="260" t="s">
        <v>239</v>
      </c>
      <c r="U1070" s="260" t="s">
        <v>514</v>
      </c>
    </row>
    <row r="1071" spans="1:21" ht="14.5" x14ac:dyDescent="0.35">
      <c r="A1071" s="260" t="s">
        <v>566</v>
      </c>
      <c r="B1071" s="190">
        <v>45992</v>
      </c>
      <c r="C1071" s="197">
        <v>42000</v>
      </c>
      <c r="D1071" s="197">
        <v>0</v>
      </c>
      <c r="E1071" s="197">
        <v>0</v>
      </c>
      <c r="F1071" s="197">
        <v>0</v>
      </c>
      <c r="G1071" s="197">
        <v>42000</v>
      </c>
      <c r="H1071" s="197">
        <v>0</v>
      </c>
      <c r="I1071" s="197">
        <v>0</v>
      </c>
      <c r="J1071" s="197">
        <v>42000</v>
      </c>
      <c r="K1071" s="197">
        <v>42000</v>
      </c>
      <c r="L1071" s="197">
        <v>0</v>
      </c>
      <c r="M1071" s="197">
        <v>0</v>
      </c>
      <c r="N1071" s="197">
        <v>0</v>
      </c>
      <c r="O1071" s="197">
        <v>0</v>
      </c>
      <c r="P1071" s="197">
        <v>0</v>
      </c>
      <c r="Q1071" s="197">
        <v>0</v>
      </c>
      <c r="R1071" s="260" t="s">
        <v>239</v>
      </c>
      <c r="S1071" s="260" t="s">
        <v>514</v>
      </c>
      <c r="T1071" s="260" t="s">
        <v>239</v>
      </c>
      <c r="U1071" s="260" t="s">
        <v>514</v>
      </c>
    </row>
    <row r="1072" spans="1:21" ht="14.5" x14ac:dyDescent="0.35">
      <c r="A1072" s="260" t="s">
        <v>566</v>
      </c>
      <c r="B1072" s="190">
        <v>45993</v>
      </c>
      <c r="C1072" s="197">
        <v>42000</v>
      </c>
      <c r="D1072" s="197">
        <v>0</v>
      </c>
      <c r="E1072" s="197">
        <v>0</v>
      </c>
      <c r="F1072" s="197">
        <v>0</v>
      </c>
      <c r="G1072" s="197">
        <v>42000</v>
      </c>
      <c r="H1072" s="197">
        <v>0</v>
      </c>
      <c r="I1072" s="197">
        <v>0</v>
      </c>
      <c r="J1072" s="197">
        <v>42000</v>
      </c>
      <c r="K1072" s="197">
        <v>42000</v>
      </c>
      <c r="L1072" s="197">
        <v>0</v>
      </c>
      <c r="M1072" s="197">
        <v>0</v>
      </c>
      <c r="N1072" s="197">
        <v>0</v>
      </c>
      <c r="O1072" s="197">
        <v>0</v>
      </c>
      <c r="P1072" s="197">
        <v>0</v>
      </c>
      <c r="Q1072" s="197">
        <v>0</v>
      </c>
      <c r="R1072" s="260" t="s">
        <v>239</v>
      </c>
      <c r="S1072" s="260" t="s">
        <v>514</v>
      </c>
      <c r="T1072" s="260" t="s">
        <v>239</v>
      </c>
      <c r="U1072" s="260" t="s">
        <v>514</v>
      </c>
    </row>
    <row r="1073" spans="1:21" ht="14.5" x14ac:dyDescent="0.35">
      <c r="A1073" s="260" t="s">
        <v>566</v>
      </c>
      <c r="B1073" s="190">
        <v>45994</v>
      </c>
      <c r="C1073" s="197">
        <v>42000</v>
      </c>
      <c r="D1073" s="197">
        <v>0</v>
      </c>
      <c r="E1073" s="197">
        <v>0</v>
      </c>
      <c r="F1073" s="197">
        <v>0</v>
      </c>
      <c r="G1073" s="197">
        <v>42000</v>
      </c>
      <c r="H1073" s="197">
        <v>0</v>
      </c>
      <c r="I1073" s="197">
        <v>0</v>
      </c>
      <c r="J1073" s="197">
        <v>42000</v>
      </c>
      <c r="K1073" s="197">
        <v>42000</v>
      </c>
      <c r="L1073" s="197">
        <v>0</v>
      </c>
      <c r="M1073" s="197">
        <v>0</v>
      </c>
      <c r="N1073" s="197">
        <v>0</v>
      </c>
      <c r="O1073" s="197">
        <v>0</v>
      </c>
      <c r="P1073" s="197">
        <v>0</v>
      </c>
      <c r="Q1073" s="197">
        <v>0</v>
      </c>
      <c r="R1073" s="260" t="s">
        <v>239</v>
      </c>
      <c r="S1073" s="260" t="s">
        <v>514</v>
      </c>
      <c r="T1073" s="260" t="s">
        <v>239</v>
      </c>
      <c r="U1073" s="260" t="s">
        <v>514</v>
      </c>
    </row>
    <row r="1074" spans="1:21" ht="14.5" x14ac:dyDescent="0.35">
      <c r="A1074" s="260" t="s">
        <v>566</v>
      </c>
      <c r="B1074" s="190">
        <v>45995</v>
      </c>
      <c r="C1074" s="197">
        <v>42000</v>
      </c>
      <c r="D1074" s="197">
        <v>0</v>
      </c>
      <c r="E1074" s="197">
        <v>0</v>
      </c>
      <c r="F1074" s="197">
        <v>0</v>
      </c>
      <c r="G1074" s="197">
        <v>42000</v>
      </c>
      <c r="H1074" s="197">
        <v>0</v>
      </c>
      <c r="I1074" s="197">
        <v>0</v>
      </c>
      <c r="J1074" s="197">
        <v>42000</v>
      </c>
      <c r="K1074" s="197">
        <v>42000</v>
      </c>
      <c r="L1074" s="197">
        <v>0</v>
      </c>
      <c r="M1074" s="197">
        <v>0</v>
      </c>
      <c r="N1074" s="197">
        <v>0</v>
      </c>
      <c r="O1074" s="197">
        <v>0</v>
      </c>
      <c r="P1074" s="197">
        <v>0</v>
      </c>
      <c r="Q1074" s="197">
        <v>0</v>
      </c>
      <c r="R1074" s="260" t="s">
        <v>239</v>
      </c>
      <c r="S1074" s="260" t="s">
        <v>514</v>
      </c>
      <c r="T1074" s="260" t="s">
        <v>239</v>
      </c>
      <c r="U1074" s="260" t="s">
        <v>514</v>
      </c>
    </row>
    <row r="1075" spans="1:21" ht="14.5" x14ac:dyDescent="0.35">
      <c r="A1075" s="260" t="s">
        <v>566</v>
      </c>
      <c r="B1075" s="190">
        <v>45996</v>
      </c>
      <c r="C1075" s="197">
        <v>42000</v>
      </c>
      <c r="D1075" s="197">
        <v>0</v>
      </c>
      <c r="E1075" s="197">
        <v>0</v>
      </c>
      <c r="F1075" s="197">
        <v>0</v>
      </c>
      <c r="G1075" s="197">
        <v>42000</v>
      </c>
      <c r="H1075" s="197">
        <v>0</v>
      </c>
      <c r="I1075" s="197">
        <v>0</v>
      </c>
      <c r="J1075" s="197">
        <v>42000</v>
      </c>
      <c r="K1075" s="197">
        <v>42000</v>
      </c>
      <c r="L1075" s="197">
        <v>0</v>
      </c>
      <c r="M1075" s="197">
        <v>0</v>
      </c>
      <c r="N1075" s="197">
        <v>0</v>
      </c>
      <c r="O1075" s="197">
        <v>0</v>
      </c>
      <c r="P1075" s="197">
        <v>0</v>
      </c>
      <c r="Q1075" s="197">
        <v>0</v>
      </c>
      <c r="R1075" s="260" t="s">
        <v>239</v>
      </c>
      <c r="S1075" s="260" t="s">
        <v>514</v>
      </c>
      <c r="T1075" s="260" t="s">
        <v>239</v>
      </c>
      <c r="U1075" s="260" t="s">
        <v>514</v>
      </c>
    </row>
    <row r="1076" spans="1:21" ht="14.5" x14ac:dyDescent="0.35">
      <c r="A1076" s="260" t="s">
        <v>566</v>
      </c>
      <c r="B1076" s="190">
        <v>45997</v>
      </c>
      <c r="C1076" s="197">
        <v>42000</v>
      </c>
      <c r="D1076" s="197">
        <v>0</v>
      </c>
      <c r="E1076" s="197">
        <v>0</v>
      </c>
      <c r="F1076" s="197">
        <v>0</v>
      </c>
      <c r="G1076" s="197">
        <v>42000</v>
      </c>
      <c r="H1076" s="197">
        <v>0</v>
      </c>
      <c r="I1076" s="197">
        <v>0</v>
      </c>
      <c r="J1076" s="197">
        <v>42000</v>
      </c>
      <c r="K1076" s="197">
        <v>42000</v>
      </c>
      <c r="L1076" s="197">
        <v>0</v>
      </c>
      <c r="M1076" s="197">
        <v>0</v>
      </c>
      <c r="N1076" s="197">
        <v>0</v>
      </c>
      <c r="O1076" s="197">
        <v>0</v>
      </c>
      <c r="P1076" s="197">
        <v>0</v>
      </c>
      <c r="Q1076" s="197">
        <v>0</v>
      </c>
      <c r="R1076" s="260" t="s">
        <v>239</v>
      </c>
      <c r="S1076" s="260" t="s">
        <v>514</v>
      </c>
      <c r="T1076" s="260" t="s">
        <v>239</v>
      </c>
      <c r="U1076" s="260" t="s">
        <v>514</v>
      </c>
    </row>
    <row r="1077" spans="1:21" ht="14.5" x14ac:dyDescent="0.35">
      <c r="A1077" s="260" t="s">
        <v>566</v>
      </c>
      <c r="B1077" s="190">
        <v>45998</v>
      </c>
      <c r="C1077" s="197">
        <v>42000</v>
      </c>
      <c r="D1077" s="197">
        <v>0</v>
      </c>
      <c r="E1077" s="197">
        <v>0</v>
      </c>
      <c r="F1077" s="197">
        <v>0</v>
      </c>
      <c r="G1077" s="197">
        <v>42000</v>
      </c>
      <c r="H1077" s="197">
        <v>0</v>
      </c>
      <c r="I1077" s="197">
        <v>0</v>
      </c>
      <c r="J1077" s="197">
        <v>42000</v>
      </c>
      <c r="K1077" s="197">
        <v>42000</v>
      </c>
      <c r="L1077" s="197">
        <v>0</v>
      </c>
      <c r="M1077" s="197">
        <v>0</v>
      </c>
      <c r="N1077" s="197">
        <v>0</v>
      </c>
      <c r="O1077" s="197">
        <v>0</v>
      </c>
      <c r="P1077" s="197">
        <v>0</v>
      </c>
      <c r="Q1077" s="197">
        <v>0</v>
      </c>
      <c r="R1077" s="260" t="s">
        <v>239</v>
      </c>
      <c r="S1077" s="260" t="s">
        <v>514</v>
      </c>
      <c r="T1077" s="260" t="s">
        <v>239</v>
      </c>
      <c r="U1077" s="260" t="s">
        <v>514</v>
      </c>
    </row>
    <row r="1078" spans="1:21" ht="14.5" x14ac:dyDescent="0.35">
      <c r="A1078" s="260" t="s">
        <v>566</v>
      </c>
      <c r="B1078" s="190">
        <v>45999</v>
      </c>
      <c r="C1078" s="197">
        <v>42000</v>
      </c>
      <c r="D1078" s="197">
        <v>0</v>
      </c>
      <c r="E1078" s="197">
        <v>0</v>
      </c>
      <c r="F1078" s="197">
        <v>0</v>
      </c>
      <c r="G1078" s="197">
        <v>42000</v>
      </c>
      <c r="H1078" s="197">
        <v>0</v>
      </c>
      <c r="I1078" s="197">
        <v>0</v>
      </c>
      <c r="J1078" s="197">
        <v>42000</v>
      </c>
      <c r="K1078" s="197">
        <v>42000</v>
      </c>
      <c r="L1078" s="197">
        <v>0</v>
      </c>
      <c r="M1078" s="197">
        <v>0</v>
      </c>
      <c r="N1078" s="197">
        <v>0</v>
      </c>
      <c r="O1078" s="197">
        <v>0</v>
      </c>
      <c r="P1078" s="197">
        <v>0</v>
      </c>
      <c r="Q1078" s="197">
        <v>0</v>
      </c>
      <c r="R1078" s="260" t="s">
        <v>239</v>
      </c>
      <c r="S1078" s="260" t="s">
        <v>514</v>
      </c>
      <c r="T1078" s="260" t="s">
        <v>239</v>
      </c>
      <c r="U1078" s="260" t="s">
        <v>514</v>
      </c>
    </row>
    <row r="1079" spans="1:21" ht="14.5" x14ac:dyDescent="0.35">
      <c r="A1079" s="260" t="s">
        <v>566</v>
      </c>
      <c r="B1079" s="190">
        <v>46000</v>
      </c>
      <c r="C1079" s="197">
        <v>42000</v>
      </c>
      <c r="D1079" s="197">
        <v>0</v>
      </c>
      <c r="E1079" s="197">
        <v>0</v>
      </c>
      <c r="F1079" s="197">
        <v>0</v>
      </c>
      <c r="G1079" s="197">
        <v>42000</v>
      </c>
      <c r="H1079" s="197">
        <v>0</v>
      </c>
      <c r="I1079" s="197">
        <v>0</v>
      </c>
      <c r="J1079" s="197">
        <v>42000</v>
      </c>
      <c r="K1079" s="197">
        <v>42000</v>
      </c>
      <c r="L1079" s="197">
        <v>0</v>
      </c>
      <c r="M1079" s="197">
        <v>0</v>
      </c>
      <c r="N1079" s="197">
        <v>0</v>
      </c>
      <c r="O1079" s="197">
        <v>0</v>
      </c>
      <c r="P1079" s="197">
        <v>0</v>
      </c>
      <c r="Q1079" s="197">
        <v>0</v>
      </c>
      <c r="R1079" s="260" t="s">
        <v>239</v>
      </c>
      <c r="S1079" s="260" t="s">
        <v>514</v>
      </c>
      <c r="T1079" s="260" t="s">
        <v>239</v>
      </c>
      <c r="U1079" s="260" t="s">
        <v>514</v>
      </c>
    </row>
    <row r="1080" spans="1:21" ht="14.5" x14ac:dyDescent="0.35">
      <c r="A1080" s="260" t="s">
        <v>566</v>
      </c>
      <c r="B1080" s="190">
        <v>46001</v>
      </c>
      <c r="C1080" s="197">
        <v>42000</v>
      </c>
      <c r="D1080" s="197">
        <v>0</v>
      </c>
      <c r="E1080" s="197">
        <v>0</v>
      </c>
      <c r="F1080" s="197">
        <v>0</v>
      </c>
      <c r="G1080" s="197">
        <v>42000</v>
      </c>
      <c r="H1080" s="197">
        <v>0</v>
      </c>
      <c r="I1080" s="197">
        <v>0</v>
      </c>
      <c r="J1080" s="197">
        <v>42000</v>
      </c>
      <c r="K1080" s="197">
        <v>42000</v>
      </c>
      <c r="L1080" s="197">
        <v>0</v>
      </c>
      <c r="M1080" s="197">
        <v>0</v>
      </c>
      <c r="N1080" s="197">
        <v>0</v>
      </c>
      <c r="O1080" s="197">
        <v>0</v>
      </c>
      <c r="P1080" s="197">
        <v>0</v>
      </c>
      <c r="Q1080" s="197">
        <v>0</v>
      </c>
      <c r="R1080" s="260" t="s">
        <v>239</v>
      </c>
      <c r="S1080" s="260" t="s">
        <v>514</v>
      </c>
      <c r="T1080" s="260" t="s">
        <v>239</v>
      </c>
      <c r="U1080" s="260" t="s">
        <v>514</v>
      </c>
    </row>
    <row r="1081" spans="1:21" ht="14.5" x14ac:dyDescent="0.35">
      <c r="A1081" s="260" t="s">
        <v>566</v>
      </c>
      <c r="B1081" s="190">
        <v>46002</v>
      </c>
      <c r="C1081" s="197">
        <v>42000</v>
      </c>
      <c r="D1081" s="197">
        <v>0</v>
      </c>
      <c r="E1081" s="197">
        <v>0</v>
      </c>
      <c r="F1081" s="197">
        <v>0</v>
      </c>
      <c r="G1081" s="197">
        <v>42000</v>
      </c>
      <c r="H1081" s="197">
        <v>0</v>
      </c>
      <c r="I1081" s="197">
        <v>0</v>
      </c>
      <c r="J1081" s="197">
        <v>42000</v>
      </c>
      <c r="K1081" s="197">
        <v>42000</v>
      </c>
      <c r="L1081" s="197">
        <v>0</v>
      </c>
      <c r="M1081" s="197">
        <v>0</v>
      </c>
      <c r="N1081" s="197">
        <v>0</v>
      </c>
      <c r="O1081" s="197">
        <v>0</v>
      </c>
      <c r="P1081" s="197">
        <v>0</v>
      </c>
      <c r="Q1081" s="197">
        <v>0</v>
      </c>
      <c r="R1081" s="260" t="s">
        <v>239</v>
      </c>
      <c r="S1081" s="260" t="s">
        <v>514</v>
      </c>
      <c r="T1081" s="260" t="s">
        <v>239</v>
      </c>
      <c r="U1081" s="260" t="s">
        <v>514</v>
      </c>
    </row>
    <row r="1082" spans="1:21" ht="14.5" x14ac:dyDescent="0.35">
      <c r="A1082" s="260" t="s">
        <v>566</v>
      </c>
      <c r="B1082" s="190">
        <v>46003</v>
      </c>
      <c r="C1082" s="197">
        <v>42000</v>
      </c>
      <c r="D1082" s="197">
        <v>0</v>
      </c>
      <c r="E1082" s="197">
        <v>0</v>
      </c>
      <c r="F1082" s="197">
        <v>0</v>
      </c>
      <c r="G1082" s="197">
        <v>42000</v>
      </c>
      <c r="H1082" s="197">
        <v>0</v>
      </c>
      <c r="I1082" s="197">
        <v>0</v>
      </c>
      <c r="J1082" s="197">
        <v>42000</v>
      </c>
      <c r="K1082" s="197">
        <v>42000</v>
      </c>
      <c r="L1082" s="197">
        <v>0</v>
      </c>
      <c r="M1082" s="197">
        <v>0</v>
      </c>
      <c r="N1082" s="197">
        <v>0</v>
      </c>
      <c r="O1082" s="197">
        <v>0</v>
      </c>
      <c r="P1082" s="197">
        <v>0</v>
      </c>
      <c r="Q1082" s="197">
        <v>0</v>
      </c>
      <c r="R1082" s="260" t="s">
        <v>239</v>
      </c>
      <c r="S1082" s="260" t="s">
        <v>514</v>
      </c>
      <c r="T1082" s="260" t="s">
        <v>239</v>
      </c>
      <c r="U1082" s="260" t="s">
        <v>514</v>
      </c>
    </row>
    <row r="1083" spans="1:21" ht="14.5" x14ac:dyDescent="0.35">
      <c r="A1083" s="260" t="s">
        <v>566</v>
      </c>
      <c r="B1083" s="190">
        <v>46004</v>
      </c>
      <c r="C1083" s="197">
        <v>42000</v>
      </c>
      <c r="D1083" s="197">
        <v>0</v>
      </c>
      <c r="E1083" s="197">
        <v>0</v>
      </c>
      <c r="F1083" s="197">
        <v>0</v>
      </c>
      <c r="G1083" s="197">
        <v>42000</v>
      </c>
      <c r="H1083" s="197">
        <v>0</v>
      </c>
      <c r="I1083" s="197">
        <v>0</v>
      </c>
      <c r="J1083" s="197">
        <v>42000</v>
      </c>
      <c r="K1083" s="197">
        <v>42000</v>
      </c>
      <c r="L1083" s="197">
        <v>0</v>
      </c>
      <c r="M1083" s="197">
        <v>0</v>
      </c>
      <c r="N1083" s="197">
        <v>0</v>
      </c>
      <c r="O1083" s="197">
        <v>0</v>
      </c>
      <c r="P1083" s="197">
        <v>0</v>
      </c>
      <c r="Q1083" s="197">
        <v>0</v>
      </c>
      <c r="R1083" s="260" t="s">
        <v>239</v>
      </c>
      <c r="S1083" s="260" t="s">
        <v>514</v>
      </c>
      <c r="T1083" s="260" t="s">
        <v>239</v>
      </c>
      <c r="U1083" s="260" t="s">
        <v>514</v>
      </c>
    </row>
    <row r="1084" spans="1:21" ht="14.5" x14ac:dyDescent="0.35">
      <c r="A1084" s="260" t="s">
        <v>566</v>
      </c>
      <c r="B1084" s="190">
        <v>46005</v>
      </c>
      <c r="C1084" s="197">
        <v>42000</v>
      </c>
      <c r="D1084" s="197">
        <v>0</v>
      </c>
      <c r="E1084" s="197">
        <v>0</v>
      </c>
      <c r="F1084" s="197">
        <v>0</v>
      </c>
      <c r="G1084" s="197">
        <v>42000</v>
      </c>
      <c r="H1084" s="197">
        <v>0</v>
      </c>
      <c r="I1084" s="197">
        <v>0</v>
      </c>
      <c r="J1084" s="197">
        <v>42000</v>
      </c>
      <c r="K1084" s="197">
        <v>42000</v>
      </c>
      <c r="L1084" s="197">
        <v>0</v>
      </c>
      <c r="M1084" s="197">
        <v>0</v>
      </c>
      <c r="N1084" s="197">
        <v>0</v>
      </c>
      <c r="O1084" s="197">
        <v>0</v>
      </c>
      <c r="P1084" s="197">
        <v>0</v>
      </c>
      <c r="Q1084" s="197">
        <v>0</v>
      </c>
      <c r="R1084" s="260" t="s">
        <v>239</v>
      </c>
      <c r="S1084" s="260" t="s">
        <v>514</v>
      </c>
      <c r="T1084" s="260" t="s">
        <v>239</v>
      </c>
      <c r="U1084" s="260" t="s">
        <v>514</v>
      </c>
    </row>
    <row r="1085" spans="1:21" ht="14.5" x14ac:dyDescent="0.35">
      <c r="A1085" s="260" t="s">
        <v>566</v>
      </c>
      <c r="B1085" s="190">
        <v>46006</v>
      </c>
      <c r="C1085" s="197">
        <v>42000</v>
      </c>
      <c r="D1085" s="197">
        <v>0</v>
      </c>
      <c r="E1085" s="197">
        <v>0</v>
      </c>
      <c r="F1085" s="197">
        <v>0</v>
      </c>
      <c r="G1085" s="197">
        <v>42000</v>
      </c>
      <c r="H1085" s="197">
        <v>0</v>
      </c>
      <c r="I1085" s="197">
        <v>0</v>
      </c>
      <c r="J1085" s="197">
        <v>42000</v>
      </c>
      <c r="K1085" s="197">
        <v>42000</v>
      </c>
      <c r="L1085" s="197">
        <v>0</v>
      </c>
      <c r="M1085" s="197">
        <v>0</v>
      </c>
      <c r="N1085" s="197">
        <v>0</v>
      </c>
      <c r="O1085" s="197">
        <v>0</v>
      </c>
      <c r="P1085" s="197">
        <v>0</v>
      </c>
      <c r="Q1085" s="197">
        <v>0</v>
      </c>
      <c r="R1085" s="260" t="s">
        <v>239</v>
      </c>
      <c r="S1085" s="260" t="s">
        <v>514</v>
      </c>
      <c r="T1085" s="260" t="s">
        <v>239</v>
      </c>
      <c r="U1085" s="260" t="s">
        <v>514</v>
      </c>
    </row>
    <row r="1086" spans="1:21" ht="14.5" x14ac:dyDescent="0.35">
      <c r="A1086" s="260" t="s">
        <v>566</v>
      </c>
      <c r="B1086" s="190">
        <v>46007</v>
      </c>
      <c r="C1086" s="197">
        <v>42000</v>
      </c>
      <c r="D1086" s="197">
        <v>0</v>
      </c>
      <c r="E1086" s="197">
        <v>0</v>
      </c>
      <c r="F1086" s="197">
        <v>0</v>
      </c>
      <c r="G1086" s="197">
        <v>42000</v>
      </c>
      <c r="H1086" s="197">
        <v>0</v>
      </c>
      <c r="I1086" s="197">
        <v>0</v>
      </c>
      <c r="J1086" s="197">
        <v>42000</v>
      </c>
      <c r="K1086" s="197">
        <v>42000</v>
      </c>
      <c r="L1086" s="197">
        <v>0</v>
      </c>
      <c r="M1086" s="197">
        <v>0</v>
      </c>
      <c r="N1086" s="197">
        <v>0</v>
      </c>
      <c r="O1086" s="197">
        <v>0</v>
      </c>
      <c r="P1086" s="197">
        <v>0</v>
      </c>
      <c r="Q1086" s="197">
        <v>0</v>
      </c>
      <c r="R1086" s="260" t="s">
        <v>239</v>
      </c>
      <c r="S1086" s="260" t="s">
        <v>514</v>
      </c>
      <c r="T1086" s="260" t="s">
        <v>239</v>
      </c>
      <c r="U1086" s="260" t="s">
        <v>514</v>
      </c>
    </row>
    <row r="1087" spans="1:21" ht="14.5" x14ac:dyDescent="0.35">
      <c r="A1087" s="260" t="s">
        <v>566</v>
      </c>
      <c r="B1087" s="190">
        <v>46008</v>
      </c>
      <c r="C1087" s="197">
        <v>42000</v>
      </c>
      <c r="D1087" s="197">
        <v>0</v>
      </c>
      <c r="E1087" s="197">
        <v>0</v>
      </c>
      <c r="F1087" s="197">
        <v>0</v>
      </c>
      <c r="G1087" s="197">
        <v>42000</v>
      </c>
      <c r="H1087" s="197">
        <v>0</v>
      </c>
      <c r="I1087" s="197">
        <v>0</v>
      </c>
      <c r="J1087" s="197">
        <v>42000</v>
      </c>
      <c r="K1087" s="197">
        <v>42000</v>
      </c>
      <c r="L1087" s="197">
        <v>0</v>
      </c>
      <c r="M1087" s="197">
        <v>0</v>
      </c>
      <c r="N1087" s="197">
        <v>0</v>
      </c>
      <c r="O1087" s="197">
        <v>0</v>
      </c>
      <c r="P1087" s="197">
        <v>0</v>
      </c>
      <c r="Q1087" s="197">
        <v>0</v>
      </c>
      <c r="R1087" s="260" t="s">
        <v>239</v>
      </c>
      <c r="S1087" s="260" t="s">
        <v>514</v>
      </c>
      <c r="T1087" s="260" t="s">
        <v>239</v>
      </c>
      <c r="U1087" s="260" t="s">
        <v>514</v>
      </c>
    </row>
    <row r="1088" spans="1:21" ht="14.5" x14ac:dyDescent="0.35">
      <c r="A1088" s="260" t="s">
        <v>566</v>
      </c>
      <c r="B1088" s="190">
        <v>46009</v>
      </c>
      <c r="C1088" s="197">
        <v>42000</v>
      </c>
      <c r="D1088" s="197">
        <v>0</v>
      </c>
      <c r="E1088" s="197">
        <v>-1000</v>
      </c>
      <c r="F1088" s="197">
        <v>-1000</v>
      </c>
      <c r="G1088" s="197">
        <v>41000</v>
      </c>
      <c r="H1088" s="197">
        <v>0</v>
      </c>
      <c r="I1088" s="197">
        <v>0</v>
      </c>
      <c r="J1088" s="197">
        <v>41000</v>
      </c>
      <c r="K1088" s="197">
        <v>41000</v>
      </c>
      <c r="L1088" s="197">
        <v>0</v>
      </c>
      <c r="M1088" s="197">
        <v>0</v>
      </c>
      <c r="N1088" s="197">
        <v>0</v>
      </c>
      <c r="O1088" s="197">
        <v>0</v>
      </c>
      <c r="P1088" s="197">
        <v>0</v>
      </c>
      <c r="Q1088" s="197">
        <v>0</v>
      </c>
      <c r="R1088" s="260" t="s">
        <v>239</v>
      </c>
      <c r="S1088" s="260" t="s">
        <v>514</v>
      </c>
      <c r="T1088" s="260" t="s">
        <v>239</v>
      </c>
      <c r="U1088" s="260" t="s">
        <v>514</v>
      </c>
    </row>
    <row r="1089" spans="1:21" ht="14.5" x14ac:dyDescent="0.35">
      <c r="A1089" s="260" t="s">
        <v>566</v>
      </c>
      <c r="B1089" s="190">
        <v>46010</v>
      </c>
      <c r="C1089" s="197">
        <v>41000</v>
      </c>
      <c r="D1089" s="197">
        <v>0</v>
      </c>
      <c r="E1089" s="197">
        <v>0</v>
      </c>
      <c r="F1089" s="197">
        <v>0</v>
      </c>
      <c r="G1089" s="197">
        <v>41000</v>
      </c>
      <c r="H1089" s="197">
        <v>0</v>
      </c>
      <c r="I1089" s="197">
        <v>0</v>
      </c>
      <c r="J1089" s="197">
        <v>41000</v>
      </c>
      <c r="K1089" s="197">
        <v>41000</v>
      </c>
      <c r="L1089" s="197">
        <v>0</v>
      </c>
      <c r="M1089" s="197">
        <v>0</v>
      </c>
      <c r="N1089" s="197">
        <v>0</v>
      </c>
      <c r="O1089" s="197">
        <v>0</v>
      </c>
      <c r="P1089" s="197">
        <v>0</v>
      </c>
      <c r="Q1089" s="197">
        <v>0</v>
      </c>
      <c r="R1089" s="260" t="s">
        <v>239</v>
      </c>
      <c r="S1089" s="260" t="s">
        <v>514</v>
      </c>
      <c r="T1089" s="260" t="s">
        <v>239</v>
      </c>
      <c r="U1089" s="260" t="s">
        <v>514</v>
      </c>
    </row>
    <row r="1090" spans="1:21" ht="14.5" x14ac:dyDescent="0.35">
      <c r="A1090" s="260" t="s">
        <v>566</v>
      </c>
      <c r="B1090" s="190">
        <v>46011</v>
      </c>
      <c r="C1090" s="197">
        <v>41000</v>
      </c>
      <c r="D1090" s="197">
        <v>0</v>
      </c>
      <c r="E1090" s="197">
        <v>0</v>
      </c>
      <c r="F1090" s="197">
        <v>0</v>
      </c>
      <c r="G1090" s="197">
        <v>41000</v>
      </c>
      <c r="H1090" s="197">
        <v>0</v>
      </c>
      <c r="I1090" s="197">
        <v>0</v>
      </c>
      <c r="J1090" s="197">
        <v>41000</v>
      </c>
      <c r="K1090" s="197">
        <v>41000</v>
      </c>
      <c r="L1090" s="197">
        <v>0</v>
      </c>
      <c r="M1090" s="197">
        <v>0</v>
      </c>
      <c r="N1090" s="197">
        <v>0</v>
      </c>
      <c r="O1090" s="197">
        <v>0</v>
      </c>
      <c r="P1090" s="197">
        <v>0</v>
      </c>
      <c r="Q1090" s="197">
        <v>0</v>
      </c>
      <c r="R1090" s="260" t="s">
        <v>239</v>
      </c>
      <c r="S1090" s="260" t="s">
        <v>514</v>
      </c>
      <c r="T1090" s="260" t="s">
        <v>239</v>
      </c>
      <c r="U1090" s="260" t="s">
        <v>514</v>
      </c>
    </row>
    <row r="1091" spans="1:21" ht="14.5" x14ac:dyDescent="0.35">
      <c r="A1091" s="260" t="s">
        <v>566</v>
      </c>
      <c r="B1091" s="190">
        <v>46012</v>
      </c>
      <c r="C1091" s="197">
        <v>41000</v>
      </c>
      <c r="D1091" s="197">
        <v>0</v>
      </c>
      <c r="E1091" s="197">
        <v>0</v>
      </c>
      <c r="F1091" s="197">
        <v>0</v>
      </c>
      <c r="G1091" s="197">
        <v>41000</v>
      </c>
      <c r="H1091" s="197">
        <v>0</v>
      </c>
      <c r="I1091" s="197">
        <v>0</v>
      </c>
      <c r="J1091" s="197">
        <v>41000</v>
      </c>
      <c r="K1091" s="197">
        <v>41000</v>
      </c>
      <c r="L1091" s="197">
        <v>0</v>
      </c>
      <c r="M1091" s="197">
        <v>0</v>
      </c>
      <c r="N1091" s="197">
        <v>0</v>
      </c>
      <c r="O1091" s="197">
        <v>0</v>
      </c>
      <c r="P1091" s="197">
        <v>0</v>
      </c>
      <c r="Q1091" s="197">
        <v>0</v>
      </c>
      <c r="R1091" s="260" t="s">
        <v>239</v>
      </c>
      <c r="S1091" s="260" t="s">
        <v>514</v>
      </c>
      <c r="T1091" s="260" t="s">
        <v>239</v>
      </c>
      <c r="U1091" s="260" t="s">
        <v>514</v>
      </c>
    </row>
    <row r="1092" spans="1:21" ht="14.5" x14ac:dyDescent="0.35">
      <c r="A1092" s="260" t="s">
        <v>566</v>
      </c>
      <c r="B1092" s="190">
        <v>46013</v>
      </c>
      <c r="C1092" s="197">
        <v>41000</v>
      </c>
      <c r="D1092" s="197">
        <v>0</v>
      </c>
      <c r="E1092" s="197">
        <v>0</v>
      </c>
      <c r="F1092" s="197">
        <v>0</v>
      </c>
      <c r="G1092" s="197">
        <v>41000</v>
      </c>
      <c r="H1092" s="197">
        <v>0</v>
      </c>
      <c r="I1092" s="197">
        <v>0</v>
      </c>
      <c r="J1092" s="197">
        <v>41000</v>
      </c>
      <c r="K1092" s="197">
        <v>41000</v>
      </c>
      <c r="L1092" s="197">
        <v>0</v>
      </c>
      <c r="M1092" s="197">
        <v>0</v>
      </c>
      <c r="N1092" s="197">
        <v>0</v>
      </c>
      <c r="O1092" s="197">
        <v>0</v>
      </c>
      <c r="P1092" s="197">
        <v>0</v>
      </c>
      <c r="Q1092" s="197">
        <v>0</v>
      </c>
      <c r="R1092" s="260" t="s">
        <v>239</v>
      </c>
      <c r="S1092" s="260" t="s">
        <v>514</v>
      </c>
      <c r="T1092" s="260" t="s">
        <v>239</v>
      </c>
      <c r="U1092" s="260" t="s">
        <v>514</v>
      </c>
    </row>
    <row r="1093" spans="1:21" ht="14.5" x14ac:dyDescent="0.35">
      <c r="A1093" s="260" t="s">
        <v>566</v>
      </c>
      <c r="B1093" s="190">
        <v>46014</v>
      </c>
      <c r="C1093" s="197">
        <v>41000</v>
      </c>
      <c r="D1093" s="197">
        <v>0</v>
      </c>
      <c r="E1093" s="197">
        <v>0</v>
      </c>
      <c r="F1093" s="197">
        <v>0</v>
      </c>
      <c r="G1093" s="197">
        <v>41000</v>
      </c>
      <c r="H1093" s="197">
        <v>0</v>
      </c>
      <c r="I1093" s="197">
        <v>0</v>
      </c>
      <c r="J1093" s="197">
        <v>41000</v>
      </c>
      <c r="K1093" s="197">
        <v>41000</v>
      </c>
      <c r="L1093" s="197">
        <v>0</v>
      </c>
      <c r="M1093" s="197">
        <v>0</v>
      </c>
      <c r="N1093" s="197">
        <v>0</v>
      </c>
      <c r="O1093" s="197">
        <v>0</v>
      </c>
      <c r="P1093" s="197">
        <v>0</v>
      </c>
      <c r="Q1093" s="197">
        <v>0</v>
      </c>
      <c r="R1093" s="260" t="s">
        <v>239</v>
      </c>
      <c r="S1093" s="260" t="s">
        <v>514</v>
      </c>
      <c r="T1093" s="260" t="s">
        <v>239</v>
      </c>
      <c r="U1093" s="260" t="s">
        <v>514</v>
      </c>
    </row>
    <row r="1094" spans="1:21" ht="14.5" x14ac:dyDescent="0.35">
      <c r="A1094" s="260" t="s">
        <v>566</v>
      </c>
      <c r="B1094" s="190">
        <v>46015</v>
      </c>
      <c r="C1094" s="197">
        <v>41000</v>
      </c>
      <c r="D1094" s="197">
        <v>0</v>
      </c>
      <c r="E1094" s="197">
        <v>0</v>
      </c>
      <c r="F1094" s="197">
        <v>0</v>
      </c>
      <c r="G1094" s="197">
        <v>41000</v>
      </c>
      <c r="H1094" s="197">
        <v>0</v>
      </c>
      <c r="I1094" s="197">
        <v>0</v>
      </c>
      <c r="J1094" s="197">
        <v>41000</v>
      </c>
      <c r="K1094" s="197">
        <v>41000</v>
      </c>
      <c r="L1094" s="197">
        <v>0</v>
      </c>
      <c r="M1094" s="197">
        <v>0</v>
      </c>
      <c r="N1094" s="197">
        <v>0</v>
      </c>
      <c r="O1094" s="197">
        <v>0</v>
      </c>
      <c r="P1094" s="197">
        <v>0</v>
      </c>
      <c r="Q1094" s="197">
        <v>0</v>
      </c>
      <c r="R1094" s="260" t="s">
        <v>239</v>
      </c>
      <c r="S1094" s="260" t="s">
        <v>514</v>
      </c>
      <c r="T1094" s="260" t="s">
        <v>239</v>
      </c>
      <c r="U1094" s="260" t="s">
        <v>514</v>
      </c>
    </row>
    <row r="1095" spans="1:21" ht="14.5" x14ac:dyDescent="0.35">
      <c r="A1095" s="260" t="s">
        <v>566</v>
      </c>
      <c r="B1095" s="190">
        <v>46016</v>
      </c>
      <c r="C1095" s="197">
        <v>41000</v>
      </c>
      <c r="D1095" s="197">
        <v>0</v>
      </c>
      <c r="E1095" s="197">
        <v>0</v>
      </c>
      <c r="F1095" s="197">
        <v>0</v>
      </c>
      <c r="G1095" s="197">
        <v>41000</v>
      </c>
      <c r="H1095" s="197">
        <v>0</v>
      </c>
      <c r="I1095" s="197">
        <v>0</v>
      </c>
      <c r="J1095" s="197">
        <v>41000</v>
      </c>
      <c r="K1095" s="197">
        <v>41000</v>
      </c>
      <c r="L1095" s="197">
        <v>0</v>
      </c>
      <c r="M1095" s="197">
        <v>0</v>
      </c>
      <c r="N1095" s="197">
        <v>0</v>
      </c>
      <c r="O1095" s="197">
        <v>0</v>
      </c>
      <c r="P1095" s="197">
        <v>0</v>
      </c>
      <c r="Q1095" s="197">
        <v>0</v>
      </c>
      <c r="R1095" s="260" t="s">
        <v>239</v>
      </c>
      <c r="S1095" s="260" t="s">
        <v>514</v>
      </c>
      <c r="T1095" s="260" t="s">
        <v>239</v>
      </c>
      <c r="U1095" s="260" t="s">
        <v>514</v>
      </c>
    </row>
    <row r="1096" spans="1:21" ht="14.5" x14ac:dyDescent="0.35">
      <c r="A1096" s="260" t="s">
        <v>566</v>
      </c>
      <c r="B1096" s="190">
        <v>46017</v>
      </c>
      <c r="C1096" s="197">
        <v>41000</v>
      </c>
      <c r="D1096" s="197">
        <v>0</v>
      </c>
      <c r="E1096" s="197">
        <v>0</v>
      </c>
      <c r="F1096" s="197">
        <v>0</v>
      </c>
      <c r="G1096" s="197">
        <v>41000</v>
      </c>
      <c r="H1096" s="197">
        <v>0</v>
      </c>
      <c r="I1096" s="197">
        <v>0</v>
      </c>
      <c r="J1096" s="197">
        <v>41000</v>
      </c>
      <c r="K1096" s="197">
        <v>41000</v>
      </c>
      <c r="L1096" s="197">
        <v>0</v>
      </c>
      <c r="M1096" s="197">
        <v>0</v>
      </c>
      <c r="N1096" s="197">
        <v>0</v>
      </c>
      <c r="O1096" s="197">
        <v>0</v>
      </c>
      <c r="P1096" s="197">
        <v>0</v>
      </c>
      <c r="Q1096" s="197">
        <v>0</v>
      </c>
      <c r="R1096" s="260" t="s">
        <v>239</v>
      </c>
      <c r="S1096" s="260" t="s">
        <v>514</v>
      </c>
      <c r="T1096" s="260" t="s">
        <v>239</v>
      </c>
      <c r="U1096" s="260" t="s">
        <v>514</v>
      </c>
    </row>
    <row r="1097" spans="1:21" ht="14.5" x14ac:dyDescent="0.35">
      <c r="A1097" s="260" t="s">
        <v>566</v>
      </c>
      <c r="B1097" s="190">
        <v>46018</v>
      </c>
      <c r="C1097" s="197">
        <v>41000</v>
      </c>
      <c r="D1097" s="197">
        <v>0</v>
      </c>
      <c r="E1097" s="197">
        <v>0</v>
      </c>
      <c r="F1097" s="197">
        <v>0</v>
      </c>
      <c r="G1097" s="197">
        <v>41000</v>
      </c>
      <c r="H1097" s="197">
        <v>0</v>
      </c>
      <c r="I1097" s="197">
        <v>0</v>
      </c>
      <c r="J1097" s="197">
        <v>41000</v>
      </c>
      <c r="K1097" s="197">
        <v>41000</v>
      </c>
      <c r="L1097" s="197">
        <v>0</v>
      </c>
      <c r="M1097" s="197">
        <v>0</v>
      </c>
      <c r="N1097" s="197">
        <v>0</v>
      </c>
      <c r="O1097" s="197">
        <v>0</v>
      </c>
      <c r="P1097" s="197">
        <v>0</v>
      </c>
      <c r="Q1097" s="197">
        <v>0</v>
      </c>
      <c r="R1097" s="260" t="s">
        <v>239</v>
      </c>
      <c r="S1097" s="260" t="s">
        <v>514</v>
      </c>
      <c r="T1097" s="260" t="s">
        <v>239</v>
      </c>
      <c r="U1097" s="260" t="s">
        <v>514</v>
      </c>
    </row>
    <row r="1098" spans="1:21" ht="14.5" x14ac:dyDescent="0.35">
      <c r="A1098" s="260" t="s">
        <v>566</v>
      </c>
      <c r="B1098" s="190">
        <v>46019</v>
      </c>
      <c r="C1098" s="197">
        <v>41000</v>
      </c>
      <c r="D1098" s="197">
        <v>0</v>
      </c>
      <c r="E1098" s="197">
        <v>0</v>
      </c>
      <c r="F1098" s="197">
        <v>0</v>
      </c>
      <c r="G1098" s="197">
        <v>41000</v>
      </c>
      <c r="H1098" s="197">
        <v>0</v>
      </c>
      <c r="I1098" s="197">
        <v>0</v>
      </c>
      <c r="J1098" s="197">
        <v>41000</v>
      </c>
      <c r="K1098" s="197">
        <v>41000</v>
      </c>
      <c r="L1098" s="197">
        <v>0</v>
      </c>
      <c r="M1098" s="197">
        <v>0</v>
      </c>
      <c r="N1098" s="197">
        <v>0</v>
      </c>
      <c r="O1098" s="197">
        <v>0</v>
      </c>
      <c r="P1098" s="197">
        <v>0</v>
      </c>
      <c r="Q1098" s="197">
        <v>0</v>
      </c>
      <c r="R1098" s="260" t="s">
        <v>239</v>
      </c>
      <c r="S1098" s="260" t="s">
        <v>514</v>
      </c>
      <c r="T1098" s="260" t="s">
        <v>239</v>
      </c>
      <c r="U1098" s="260" t="s">
        <v>514</v>
      </c>
    </row>
    <row r="1099" spans="1:21" ht="14.5" x14ac:dyDescent="0.35">
      <c r="A1099" s="260" t="s">
        <v>566</v>
      </c>
      <c r="B1099" s="190">
        <v>46020</v>
      </c>
      <c r="C1099" s="197">
        <v>41000</v>
      </c>
      <c r="D1099" s="197">
        <v>0</v>
      </c>
      <c r="E1099" s="197">
        <v>0</v>
      </c>
      <c r="F1099" s="197">
        <v>0</v>
      </c>
      <c r="G1099" s="197">
        <v>41000</v>
      </c>
      <c r="H1099" s="197">
        <v>0</v>
      </c>
      <c r="I1099" s="197">
        <v>0</v>
      </c>
      <c r="J1099" s="197">
        <v>41000</v>
      </c>
      <c r="K1099" s="197">
        <v>41000</v>
      </c>
      <c r="L1099" s="197">
        <v>0</v>
      </c>
      <c r="M1099" s="197">
        <v>0</v>
      </c>
      <c r="N1099" s="197">
        <v>0</v>
      </c>
      <c r="O1099" s="197">
        <v>0</v>
      </c>
      <c r="P1099" s="197">
        <v>0</v>
      </c>
      <c r="Q1099" s="197">
        <v>0</v>
      </c>
      <c r="R1099" s="260" t="s">
        <v>239</v>
      </c>
      <c r="S1099" s="260" t="s">
        <v>514</v>
      </c>
      <c r="T1099" s="260" t="s">
        <v>239</v>
      </c>
      <c r="U1099" s="260" t="s">
        <v>514</v>
      </c>
    </row>
    <row r="1100" spans="1:21" ht="14.5" x14ac:dyDescent="0.35">
      <c r="A1100" s="260" t="s">
        <v>566</v>
      </c>
      <c r="B1100" s="190">
        <v>46021</v>
      </c>
      <c r="C1100" s="197">
        <v>41000</v>
      </c>
      <c r="D1100" s="197">
        <v>0</v>
      </c>
      <c r="E1100" s="197">
        <v>0</v>
      </c>
      <c r="F1100" s="197">
        <v>0</v>
      </c>
      <c r="G1100" s="197">
        <v>41000</v>
      </c>
      <c r="H1100" s="197">
        <v>0</v>
      </c>
      <c r="I1100" s="197">
        <v>0</v>
      </c>
      <c r="J1100" s="197">
        <v>41000</v>
      </c>
      <c r="K1100" s="197">
        <v>41000</v>
      </c>
      <c r="L1100" s="197">
        <v>0</v>
      </c>
      <c r="M1100" s="197">
        <v>0</v>
      </c>
      <c r="N1100" s="197">
        <v>0</v>
      </c>
      <c r="O1100" s="197">
        <v>0</v>
      </c>
      <c r="P1100" s="197">
        <v>0</v>
      </c>
      <c r="Q1100" s="197">
        <v>0</v>
      </c>
      <c r="R1100" s="260" t="s">
        <v>239</v>
      </c>
      <c r="S1100" s="260" t="s">
        <v>514</v>
      </c>
      <c r="T1100" s="260" t="s">
        <v>239</v>
      </c>
      <c r="U1100" s="260" t="s">
        <v>514</v>
      </c>
    </row>
    <row r="1101" spans="1:21" ht="14.5" x14ac:dyDescent="0.35">
      <c r="A1101" s="260" t="s">
        <v>566</v>
      </c>
      <c r="B1101" s="190">
        <v>46022</v>
      </c>
      <c r="C1101" s="197">
        <v>41000</v>
      </c>
      <c r="D1101" s="197">
        <v>0</v>
      </c>
      <c r="E1101" s="197">
        <v>0</v>
      </c>
      <c r="F1101" s="197">
        <v>0</v>
      </c>
      <c r="G1101" s="197">
        <v>40990</v>
      </c>
      <c r="H1101" s="197">
        <v>0</v>
      </c>
      <c r="I1101" s="197">
        <v>0</v>
      </c>
      <c r="J1101" s="197">
        <v>40990</v>
      </c>
      <c r="K1101" s="197">
        <v>40990</v>
      </c>
      <c r="L1101" s="197">
        <v>0</v>
      </c>
      <c r="M1101" s="197">
        <v>0</v>
      </c>
      <c r="N1101" s="197">
        <v>10</v>
      </c>
      <c r="O1101" s="197">
        <v>0</v>
      </c>
      <c r="P1101" s="197">
        <v>-10</v>
      </c>
      <c r="Q1101" s="197">
        <v>-2.4390243902439046E-4</v>
      </c>
      <c r="R1101" s="260" t="s">
        <v>239</v>
      </c>
      <c r="S1101" s="260" t="s">
        <v>514</v>
      </c>
      <c r="T1101" s="260" t="s">
        <v>239</v>
      </c>
      <c r="U1101" s="260" t="s">
        <v>514</v>
      </c>
    </row>
    <row r="1102" spans="1:21" ht="14.5" x14ac:dyDescent="0.35">
      <c r="A1102" s="260" t="s">
        <v>747</v>
      </c>
      <c r="B1102" s="190">
        <v>45658</v>
      </c>
      <c r="C1102" s="197">
        <v>0</v>
      </c>
      <c r="D1102" s="197">
        <v>60000</v>
      </c>
      <c r="E1102" s="197">
        <v>0</v>
      </c>
      <c r="F1102" s="197">
        <v>60000</v>
      </c>
      <c r="G1102" s="197">
        <v>60000</v>
      </c>
      <c r="H1102" s="197">
        <v>0</v>
      </c>
      <c r="I1102" s="197">
        <v>0</v>
      </c>
      <c r="J1102" s="197">
        <v>60000</v>
      </c>
      <c r="K1102" s="197">
        <v>60000</v>
      </c>
      <c r="L1102" s="197">
        <v>0</v>
      </c>
      <c r="M1102" s="197">
        <v>0</v>
      </c>
      <c r="N1102" s="197">
        <v>0</v>
      </c>
      <c r="O1102" s="197">
        <v>0</v>
      </c>
      <c r="P1102" s="197">
        <v>0</v>
      </c>
      <c r="Q1102" s="197">
        <v>0</v>
      </c>
      <c r="R1102" s="260" t="s">
        <v>239</v>
      </c>
      <c r="S1102" s="260" t="s">
        <v>514</v>
      </c>
      <c r="T1102" s="260" t="s">
        <v>239</v>
      </c>
      <c r="U1102" s="260" t="s">
        <v>514</v>
      </c>
    </row>
    <row r="1103" spans="1:21" ht="14.5" x14ac:dyDescent="0.35">
      <c r="A1103" s="260" t="s">
        <v>747</v>
      </c>
      <c r="B1103" s="190">
        <v>45659</v>
      </c>
      <c r="C1103" s="197">
        <v>60000</v>
      </c>
      <c r="D1103" s="197">
        <v>0</v>
      </c>
      <c r="E1103" s="197">
        <v>0</v>
      </c>
      <c r="F1103" s="197">
        <v>0</v>
      </c>
      <c r="G1103" s="197">
        <v>47988</v>
      </c>
      <c r="H1103" s="197">
        <v>12009.8</v>
      </c>
      <c r="I1103" s="197">
        <v>0</v>
      </c>
      <c r="J1103" s="197">
        <v>59997.8</v>
      </c>
      <c r="K1103" s="197">
        <v>59997.8</v>
      </c>
      <c r="L1103" s="197">
        <v>12012</v>
      </c>
      <c r="M1103" s="197">
        <v>0</v>
      </c>
      <c r="N1103" s="197">
        <v>12</v>
      </c>
      <c r="O1103" s="197">
        <v>0</v>
      </c>
      <c r="P1103" s="197">
        <v>-2.1999999999970896</v>
      </c>
      <c r="Q1103" s="197">
        <v>-3.6666666666573811E-5</v>
      </c>
      <c r="R1103" s="260" t="s">
        <v>239</v>
      </c>
      <c r="S1103" s="260" t="s">
        <v>514</v>
      </c>
      <c r="T1103" s="260" t="s">
        <v>239</v>
      </c>
      <c r="U1103" s="260" t="s">
        <v>514</v>
      </c>
    </row>
    <row r="1104" spans="1:21" ht="14.5" x14ac:dyDescent="0.35">
      <c r="A1104" s="260" t="s">
        <v>747</v>
      </c>
      <c r="B1104" s="190">
        <v>45660</v>
      </c>
      <c r="C1104" s="197">
        <v>59997.8</v>
      </c>
      <c r="D1104" s="197">
        <v>0</v>
      </c>
      <c r="E1104" s="197">
        <v>0</v>
      </c>
      <c r="F1104" s="197">
        <v>0</v>
      </c>
      <c r="G1104" s="197">
        <v>47988</v>
      </c>
      <c r="H1104" s="197">
        <v>12018.2</v>
      </c>
      <c r="I1104" s="197">
        <v>0</v>
      </c>
      <c r="J1104" s="197">
        <v>60006.2</v>
      </c>
      <c r="K1104" s="197">
        <v>60006.2</v>
      </c>
      <c r="L1104" s="197">
        <v>12012</v>
      </c>
      <c r="M1104" s="197">
        <v>0</v>
      </c>
      <c r="N1104" s="197">
        <v>0</v>
      </c>
      <c r="O1104" s="197">
        <v>0</v>
      </c>
      <c r="P1104" s="197">
        <v>8.3999999999941792</v>
      </c>
      <c r="Q1104" s="197">
        <v>1.4000513352141475E-4</v>
      </c>
      <c r="R1104" s="260" t="s">
        <v>239</v>
      </c>
      <c r="S1104" s="260" t="s">
        <v>514</v>
      </c>
      <c r="T1104" s="260" t="s">
        <v>239</v>
      </c>
      <c r="U1104" s="260" t="s">
        <v>514</v>
      </c>
    </row>
    <row r="1105" spans="1:21" ht="14.5" x14ac:dyDescent="0.35">
      <c r="A1105" s="260" t="s">
        <v>747</v>
      </c>
      <c r="B1105" s="190">
        <v>45661</v>
      </c>
      <c r="C1105" s="197">
        <v>60006.2</v>
      </c>
      <c r="D1105" s="197">
        <v>0</v>
      </c>
      <c r="E1105" s="197">
        <v>0</v>
      </c>
      <c r="F1105" s="197">
        <v>0</v>
      </c>
      <c r="G1105" s="197">
        <v>47988</v>
      </c>
      <c r="H1105" s="197">
        <v>12018.2</v>
      </c>
      <c r="I1105" s="197">
        <v>0</v>
      </c>
      <c r="J1105" s="197">
        <v>60006.2</v>
      </c>
      <c r="K1105" s="197">
        <v>60006.2</v>
      </c>
      <c r="L1105" s="197">
        <v>12012</v>
      </c>
      <c r="M1105" s="197">
        <v>0</v>
      </c>
      <c r="N1105" s="197">
        <v>0</v>
      </c>
      <c r="O1105" s="197">
        <v>0</v>
      </c>
      <c r="P1105" s="197">
        <v>0</v>
      </c>
      <c r="Q1105" s="197">
        <v>0</v>
      </c>
      <c r="R1105" s="260" t="s">
        <v>239</v>
      </c>
      <c r="S1105" s="260" t="s">
        <v>514</v>
      </c>
      <c r="T1105" s="260" t="s">
        <v>239</v>
      </c>
      <c r="U1105" s="260" t="s">
        <v>514</v>
      </c>
    </row>
    <row r="1106" spans="1:21" ht="14.5" x14ac:dyDescent="0.35">
      <c r="A1106" s="260" t="s">
        <v>747</v>
      </c>
      <c r="B1106" s="190">
        <v>45662</v>
      </c>
      <c r="C1106" s="197">
        <v>60006.2</v>
      </c>
      <c r="D1106" s="197">
        <v>0</v>
      </c>
      <c r="E1106" s="197">
        <v>0</v>
      </c>
      <c r="F1106" s="197">
        <v>0</v>
      </c>
      <c r="G1106" s="197">
        <v>47988</v>
      </c>
      <c r="H1106" s="197">
        <v>12018.2</v>
      </c>
      <c r="I1106" s="197">
        <v>0</v>
      </c>
      <c r="J1106" s="197">
        <v>60006.2</v>
      </c>
      <c r="K1106" s="197">
        <v>60006.2</v>
      </c>
      <c r="L1106" s="197">
        <v>12012</v>
      </c>
      <c r="M1106" s="197">
        <v>0</v>
      </c>
      <c r="N1106" s="197">
        <v>0</v>
      </c>
      <c r="O1106" s="197">
        <v>0</v>
      </c>
      <c r="P1106" s="197">
        <v>0</v>
      </c>
      <c r="Q1106" s="197">
        <v>0</v>
      </c>
      <c r="R1106" s="260" t="s">
        <v>239</v>
      </c>
      <c r="S1106" s="260" t="s">
        <v>514</v>
      </c>
      <c r="T1106" s="260" t="s">
        <v>239</v>
      </c>
      <c r="U1106" s="260" t="s">
        <v>514</v>
      </c>
    </row>
    <row r="1107" spans="1:21" ht="14.5" x14ac:dyDescent="0.35">
      <c r="A1107" s="260" t="s">
        <v>747</v>
      </c>
      <c r="B1107" s="190">
        <v>45663</v>
      </c>
      <c r="C1107" s="197">
        <v>60006.2</v>
      </c>
      <c r="D1107" s="197">
        <v>0</v>
      </c>
      <c r="E1107" s="197">
        <v>0</v>
      </c>
      <c r="F1107" s="197">
        <v>0</v>
      </c>
      <c r="G1107" s="197">
        <v>47988</v>
      </c>
      <c r="H1107" s="197">
        <v>12046.2</v>
      </c>
      <c r="I1107" s="197">
        <v>0</v>
      </c>
      <c r="J1107" s="197">
        <v>60034.2</v>
      </c>
      <c r="K1107" s="197">
        <v>60034.2</v>
      </c>
      <c r="L1107" s="197">
        <v>12012</v>
      </c>
      <c r="M1107" s="197">
        <v>0</v>
      </c>
      <c r="N1107" s="197">
        <v>0</v>
      </c>
      <c r="O1107" s="197">
        <v>0</v>
      </c>
      <c r="P1107" s="197">
        <v>28</v>
      </c>
      <c r="Q1107" s="197">
        <v>4.6661844942685882E-4</v>
      </c>
      <c r="R1107" s="260" t="s">
        <v>239</v>
      </c>
      <c r="S1107" s="260" t="s">
        <v>514</v>
      </c>
      <c r="T1107" s="260" t="s">
        <v>239</v>
      </c>
      <c r="U1107" s="260" t="s">
        <v>514</v>
      </c>
    </row>
    <row r="1108" spans="1:21" ht="14.5" x14ac:dyDescent="0.35">
      <c r="A1108" s="260" t="s">
        <v>747</v>
      </c>
      <c r="B1108" s="190">
        <v>45664</v>
      </c>
      <c r="C1108" s="197">
        <v>60034.2</v>
      </c>
      <c r="D1108" s="197">
        <v>0</v>
      </c>
      <c r="E1108" s="197">
        <v>0</v>
      </c>
      <c r="F1108" s="197">
        <v>0</v>
      </c>
      <c r="G1108" s="197">
        <v>47988</v>
      </c>
      <c r="H1108" s="197">
        <v>12056</v>
      </c>
      <c r="I1108" s="197">
        <v>0</v>
      </c>
      <c r="J1108" s="197">
        <v>60044</v>
      </c>
      <c r="K1108" s="197">
        <v>60044</v>
      </c>
      <c r="L1108" s="197">
        <v>12012</v>
      </c>
      <c r="M1108" s="197">
        <v>0</v>
      </c>
      <c r="N1108" s="197">
        <v>0</v>
      </c>
      <c r="O1108" s="197">
        <v>0</v>
      </c>
      <c r="P1108" s="197">
        <v>9.8000000000029104</v>
      </c>
      <c r="Q1108" s="197">
        <v>1.6324028637004773E-4</v>
      </c>
      <c r="R1108" s="260" t="s">
        <v>239</v>
      </c>
      <c r="S1108" s="260" t="s">
        <v>514</v>
      </c>
      <c r="T1108" s="260" t="s">
        <v>239</v>
      </c>
      <c r="U1108" s="260" t="s">
        <v>514</v>
      </c>
    </row>
    <row r="1109" spans="1:21" ht="14.5" x14ac:dyDescent="0.35">
      <c r="A1109" s="260" t="s">
        <v>747</v>
      </c>
      <c r="B1109" s="190">
        <v>45665</v>
      </c>
      <c r="C1109" s="197">
        <v>60044</v>
      </c>
      <c r="D1109" s="197">
        <v>0</v>
      </c>
      <c r="E1109" s="197">
        <v>0</v>
      </c>
      <c r="F1109" s="197">
        <v>0</v>
      </c>
      <c r="G1109" s="197">
        <v>47988</v>
      </c>
      <c r="H1109" s="197">
        <v>12065.8</v>
      </c>
      <c r="I1109" s="197">
        <v>0</v>
      </c>
      <c r="J1109" s="197">
        <v>60053.8</v>
      </c>
      <c r="K1109" s="197">
        <v>60053.8</v>
      </c>
      <c r="L1109" s="197">
        <v>12012</v>
      </c>
      <c r="M1109" s="197">
        <v>0</v>
      </c>
      <c r="N1109" s="197">
        <v>0</v>
      </c>
      <c r="O1109" s="197">
        <v>0</v>
      </c>
      <c r="P1109" s="197">
        <v>9.8000000000029104</v>
      </c>
      <c r="Q1109" s="197">
        <v>1.6321364332827493E-4</v>
      </c>
      <c r="R1109" s="260" t="s">
        <v>239</v>
      </c>
      <c r="S1109" s="260" t="s">
        <v>514</v>
      </c>
      <c r="T1109" s="260" t="s">
        <v>239</v>
      </c>
      <c r="U1109" s="260" t="s">
        <v>514</v>
      </c>
    </row>
    <row r="1110" spans="1:21" ht="14.5" x14ac:dyDescent="0.35">
      <c r="A1110" s="260" t="s">
        <v>747</v>
      </c>
      <c r="B1110" s="190">
        <v>45666</v>
      </c>
      <c r="C1110" s="197">
        <v>60053.8</v>
      </c>
      <c r="D1110" s="197">
        <v>0</v>
      </c>
      <c r="E1110" s="197">
        <v>0</v>
      </c>
      <c r="F1110" s="197">
        <v>0</v>
      </c>
      <c r="G1110" s="197">
        <v>47988</v>
      </c>
      <c r="H1110" s="197">
        <v>12074.2</v>
      </c>
      <c r="I1110" s="197">
        <v>0</v>
      </c>
      <c r="J1110" s="197">
        <v>60062.2</v>
      </c>
      <c r="K1110" s="197">
        <v>60062.2</v>
      </c>
      <c r="L1110" s="197">
        <v>12012</v>
      </c>
      <c r="M1110" s="197">
        <v>0</v>
      </c>
      <c r="N1110" s="197">
        <v>0</v>
      </c>
      <c r="O1110" s="197">
        <v>0</v>
      </c>
      <c r="P1110" s="197">
        <v>8.3999999999941792</v>
      </c>
      <c r="Q1110" s="197">
        <v>1.3987457912723045E-4</v>
      </c>
      <c r="R1110" s="260" t="s">
        <v>239</v>
      </c>
      <c r="S1110" s="260" t="s">
        <v>514</v>
      </c>
      <c r="T1110" s="260" t="s">
        <v>239</v>
      </c>
      <c r="U1110" s="260" t="s">
        <v>514</v>
      </c>
    </row>
    <row r="1111" spans="1:21" ht="14.5" x14ac:dyDescent="0.35">
      <c r="A1111" s="260" t="s">
        <v>747</v>
      </c>
      <c r="B1111" s="190">
        <v>45667</v>
      </c>
      <c r="C1111" s="197">
        <v>60062.2</v>
      </c>
      <c r="D1111" s="197">
        <v>0</v>
      </c>
      <c r="E1111" s="197">
        <v>0</v>
      </c>
      <c r="F1111" s="197">
        <v>0</v>
      </c>
      <c r="G1111" s="197">
        <v>47988</v>
      </c>
      <c r="H1111" s="197">
        <v>12084</v>
      </c>
      <c r="I1111" s="197">
        <v>0</v>
      </c>
      <c r="J1111" s="197">
        <v>60072</v>
      </c>
      <c r="K1111" s="197">
        <v>60072</v>
      </c>
      <c r="L1111" s="197">
        <v>12012</v>
      </c>
      <c r="M1111" s="197">
        <v>0</v>
      </c>
      <c r="N1111" s="197">
        <v>0</v>
      </c>
      <c r="O1111" s="197">
        <v>0</v>
      </c>
      <c r="P1111" s="197">
        <v>9.8000000000029104</v>
      </c>
      <c r="Q1111" s="197">
        <v>1.6316418646011854E-4</v>
      </c>
      <c r="R1111" s="260" t="s">
        <v>239</v>
      </c>
      <c r="S1111" s="260" t="s">
        <v>514</v>
      </c>
      <c r="T1111" s="260" t="s">
        <v>239</v>
      </c>
      <c r="U1111" s="260" t="s">
        <v>514</v>
      </c>
    </row>
    <row r="1112" spans="1:21" ht="14.5" x14ac:dyDescent="0.35">
      <c r="A1112" s="260" t="s">
        <v>747</v>
      </c>
      <c r="B1112" s="190">
        <v>45668</v>
      </c>
      <c r="C1112" s="197">
        <v>60072</v>
      </c>
      <c r="D1112" s="197">
        <v>0</v>
      </c>
      <c r="E1112" s="197">
        <v>0</v>
      </c>
      <c r="F1112" s="197">
        <v>0</v>
      </c>
      <c r="G1112" s="197">
        <v>47988</v>
      </c>
      <c r="H1112" s="197">
        <v>12084</v>
      </c>
      <c r="I1112" s="197">
        <v>0</v>
      </c>
      <c r="J1112" s="197">
        <v>60072</v>
      </c>
      <c r="K1112" s="197">
        <v>60072</v>
      </c>
      <c r="L1112" s="197">
        <v>12012</v>
      </c>
      <c r="M1112" s="197">
        <v>0</v>
      </c>
      <c r="N1112" s="197">
        <v>0</v>
      </c>
      <c r="O1112" s="197">
        <v>0</v>
      </c>
      <c r="P1112" s="197">
        <v>0</v>
      </c>
      <c r="Q1112" s="197">
        <v>0</v>
      </c>
      <c r="R1112" s="260" t="s">
        <v>239</v>
      </c>
      <c r="S1112" s="260" t="s">
        <v>514</v>
      </c>
      <c r="T1112" s="260" t="s">
        <v>239</v>
      </c>
      <c r="U1112" s="260" t="s">
        <v>514</v>
      </c>
    </row>
    <row r="1113" spans="1:21" ht="14.5" x14ac:dyDescent="0.35">
      <c r="A1113" s="260" t="s">
        <v>747</v>
      </c>
      <c r="B1113" s="190">
        <v>45669</v>
      </c>
      <c r="C1113" s="197">
        <v>60072</v>
      </c>
      <c r="D1113" s="197">
        <v>0</v>
      </c>
      <c r="E1113" s="197">
        <v>0</v>
      </c>
      <c r="F1113" s="197">
        <v>0</v>
      </c>
      <c r="G1113" s="197">
        <v>47988</v>
      </c>
      <c r="H1113" s="197">
        <v>12084</v>
      </c>
      <c r="I1113" s="197">
        <v>0</v>
      </c>
      <c r="J1113" s="197">
        <v>60072</v>
      </c>
      <c r="K1113" s="197">
        <v>60072</v>
      </c>
      <c r="L1113" s="197">
        <v>12012</v>
      </c>
      <c r="M1113" s="197">
        <v>0</v>
      </c>
      <c r="N1113" s="197">
        <v>0</v>
      </c>
      <c r="O1113" s="197">
        <v>0</v>
      </c>
      <c r="P1113" s="197">
        <v>0</v>
      </c>
      <c r="Q1113" s="197">
        <v>0</v>
      </c>
      <c r="R1113" s="260" t="s">
        <v>239</v>
      </c>
      <c r="S1113" s="260" t="s">
        <v>514</v>
      </c>
      <c r="T1113" s="260" t="s">
        <v>239</v>
      </c>
      <c r="U1113" s="260" t="s">
        <v>514</v>
      </c>
    </row>
    <row r="1114" spans="1:21" ht="14.5" x14ac:dyDescent="0.35">
      <c r="A1114" s="260" t="s">
        <v>747</v>
      </c>
      <c r="B1114" s="190">
        <v>45670</v>
      </c>
      <c r="C1114" s="197">
        <v>60072</v>
      </c>
      <c r="D1114" s="197">
        <v>0</v>
      </c>
      <c r="E1114" s="197">
        <v>0</v>
      </c>
      <c r="F1114" s="197">
        <v>0</v>
      </c>
      <c r="G1114" s="197">
        <v>47988</v>
      </c>
      <c r="H1114" s="197">
        <v>12112</v>
      </c>
      <c r="I1114" s="197">
        <v>0</v>
      </c>
      <c r="J1114" s="197">
        <v>60100</v>
      </c>
      <c r="K1114" s="197">
        <v>60100</v>
      </c>
      <c r="L1114" s="197">
        <v>12012</v>
      </c>
      <c r="M1114" s="197">
        <v>0</v>
      </c>
      <c r="N1114" s="197">
        <v>0</v>
      </c>
      <c r="O1114" s="197">
        <v>0</v>
      </c>
      <c r="P1114" s="197">
        <v>28</v>
      </c>
      <c r="Q1114" s="197">
        <v>4.661073378613434E-4</v>
      </c>
      <c r="R1114" s="260" t="s">
        <v>239</v>
      </c>
      <c r="S1114" s="260" t="s">
        <v>514</v>
      </c>
      <c r="T1114" s="260" t="s">
        <v>239</v>
      </c>
      <c r="U1114" s="260" t="s">
        <v>514</v>
      </c>
    </row>
    <row r="1115" spans="1:21" ht="14.5" x14ac:dyDescent="0.35">
      <c r="A1115" s="260" t="s">
        <v>747</v>
      </c>
      <c r="B1115" s="190">
        <v>45671</v>
      </c>
      <c r="C1115" s="197">
        <v>60100</v>
      </c>
      <c r="D1115" s="197">
        <v>0</v>
      </c>
      <c r="E1115" s="197">
        <v>0</v>
      </c>
      <c r="F1115" s="197">
        <v>0</v>
      </c>
      <c r="G1115" s="197">
        <v>47988</v>
      </c>
      <c r="H1115" s="197">
        <v>12121.8</v>
      </c>
      <c r="I1115" s="197">
        <v>0</v>
      </c>
      <c r="J1115" s="197">
        <v>60109.8</v>
      </c>
      <c r="K1115" s="197">
        <v>60109.8</v>
      </c>
      <c r="L1115" s="197">
        <v>12012</v>
      </c>
      <c r="M1115" s="197">
        <v>0</v>
      </c>
      <c r="N1115" s="197">
        <v>0</v>
      </c>
      <c r="O1115" s="197">
        <v>0</v>
      </c>
      <c r="P1115" s="197">
        <v>9.8000000000029104</v>
      </c>
      <c r="Q1115" s="197">
        <v>1.6306156405998529E-4</v>
      </c>
      <c r="R1115" s="260" t="s">
        <v>239</v>
      </c>
      <c r="S1115" s="260" t="s">
        <v>514</v>
      </c>
      <c r="T1115" s="260" t="s">
        <v>239</v>
      </c>
      <c r="U1115" s="260" t="s">
        <v>514</v>
      </c>
    </row>
    <row r="1116" spans="1:21" ht="14.5" x14ac:dyDescent="0.35">
      <c r="A1116" s="260" t="s">
        <v>747</v>
      </c>
      <c r="B1116" s="190">
        <v>45672</v>
      </c>
      <c r="C1116" s="197">
        <v>60109.8</v>
      </c>
      <c r="D1116" s="197">
        <v>0</v>
      </c>
      <c r="E1116" s="197">
        <v>0</v>
      </c>
      <c r="F1116" s="197">
        <v>0</v>
      </c>
      <c r="G1116" s="197">
        <v>47988</v>
      </c>
      <c r="H1116" s="197">
        <v>12130.2</v>
      </c>
      <c r="I1116" s="197">
        <v>0</v>
      </c>
      <c r="J1116" s="197">
        <v>60118.2</v>
      </c>
      <c r="K1116" s="197">
        <v>60118.2</v>
      </c>
      <c r="L1116" s="197">
        <v>12012</v>
      </c>
      <c r="M1116" s="197">
        <v>0</v>
      </c>
      <c r="N1116" s="197">
        <v>0</v>
      </c>
      <c r="O1116" s="197">
        <v>0</v>
      </c>
      <c r="P1116" s="197">
        <v>8.3999999999941792</v>
      </c>
      <c r="Q1116" s="197">
        <v>1.3974426798957218E-4</v>
      </c>
      <c r="R1116" s="260" t="s">
        <v>239</v>
      </c>
      <c r="S1116" s="260" t="s">
        <v>514</v>
      </c>
      <c r="T1116" s="260" t="s">
        <v>239</v>
      </c>
      <c r="U1116" s="260" t="s">
        <v>514</v>
      </c>
    </row>
    <row r="1117" spans="1:21" ht="14.5" x14ac:dyDescent="0.35">
      <c r="A1117" s="260" t="s">
        <v>747</v>
      </c>
      <c r="B1117" s="190">
        <v>45673</v>
      </c>
      <c r="C1117" s="197">
        <v>60118.2</v>
      </c>
      <c r="D1117" s="197">
        <v>0</v>
      </c>
      <c r="E1117" s="197">
        <v>0</v>
      </c>
      <c r="F1117" s="197">
        <v>0</v>
      </c>
      <c r="G1117" s="197">
        <v>47988</v>
      </c>
      <c r="H1117" s="197">
        <v>12140</v>
      </c>
      <c r="I1117" s="197">
        <v>0</v>
      </c>
      <c r="J1117" s="197">
        <v>60128</v>
      </c>
      <c r="K1117" s="197">
        <v>60128</v>
      </c>
      <c r="L1117" s="197">
        <v>12012</v>
      </c>
      <c r="M1117" s="197">
        <v>0</v>
      </c>
      <c r="N1117" s="197">
        <v>0</v>
      </c>
      <c r="O1117" s="197">
        <v>0</v>
      </c>
      <c r="P1117" s="197">
        <v>9.8000000000029104</v>
      </c>
      <c r="Q1117" s="197">
        <v>1.6301219930081601E-4</v>
      </c>
      <c r="R1117" s="260" t="s">
        <v>239</v>
      </c>
      <c r="S1117" s="260" t="s">
        <v>514</v>
      </c>
      <c r="T1117" s="260" t="s">
        <v>239</v>
      </c>
      <c r="U1117" s="260" t="s">
        <v>514</v>
      </c>
    </row>
    <row r="1118" spans="1:21" ht="14.5" x14ac:dyDescent="0.35">
      <c r="A1118" s="260" t="s">
        <v>747</v>
      </c>
      <c r="B1118" s="190">
        <v>45674</v>
      </c>
      <c r="C1118" s="197">
        <v>60128</v>
      </c>
      <c r="D1118" s="197">
        <v>0</v>
      </c>
      <c r="E1118" s="197">
        <v>0</v>
      </c>
      <c r="F1118" s="197">
        <v>0</v>
      </c>
      <c r="G1118" s="197">
        <v>47988</v>
      </c>
      <c r="H1118" s="197">
        <v>12149.8</v>
      </c>
      <c r="I1118" s="197">
        <v>0</v>
      </c>
      <c r="J1118" s="197">
        <v>60137.8</v>
      </c>
      <c r="K1118" s="197">
        <v>60137.8</v>
      </c>
      <c r="L1118" s="197">
        <v>12012</v>
      </c>
      <c r="M1118" s="197">
        <v>0</v>
      </c>
      <c r="N1118" s="197">
        <v>0</v>
      </c>
      <c r="O1118" s="197">
        <v>0</v>
      </c>
      <c r="P1118" s="197">
        <v>9.8000000000029104</v>
      </c>
      <c r="Q1118" s="197">
        <v>1.62985630654644E-4</v>
      </c>
      <c r="R1118" s="260" t="s">
        <v>239</v>
      </c>
      <c r="S1118" s="260" t="s">
        <v>514</v>
      </c>
      <c r="T1118" s="260" t="s">
        <v>239</v>
      </c>
      <c r="U1118" s="260" t="s">
        <v>514</v>
      </c>
    </row>
    <row r="1119" spans="1:21" ht="14.5" x14ac:dyDescent="0.35">
      <c r="A1119" s="260" t="s">
        <v>747</v>
      </c>
      <c r="B1119" s="190">
        <v>45675</v>
      </c>
      <c r="C1119" s="197">
        <v>60137.8</v>
      </c>
      <c r="D1119" s="197">
        <v>0</v>
      </c>
      <c r="E1119" s="197">
        <v>0</v>
      </c>
      <c r="F1119" s="197">
        <v>0</v>
      </c>
      <c r="G1119" s="197">
        <v>47988</v>
      </c>
      <c r="H1119" s="197">
        <v>12149.8</v>
      </c>
      <c r="I1119" s="197">
        <v>0</v>
      </c>
      <c r="J1119" s="197">
        <v>60137.8</v>
      </c>
      <c r="K1119" s="197">
        <v>60137.8</v>
      </c>
      <c r="L1119" s="197">
        <v>12012</v>
      </c>
      <c r="M1119" s="197">
        <v>0</v>
      </c>
      <c r="N1119" s="197">
        <v>0</v>
      </c>
      <c r="O1119" s="197">
        <v>0</v>
      </c>
      <c r="P1119" s="197">
        <v>0</v>
      </c>
      <c r="Q1119" s="197">
        <v>0</v>
      </c>
      <c r="R1119" s="260" t="s">
        <v>239</v>
      </c>
      <c r="S1119" s="260" t="s">
        <v>514</v>
      </c>
      <c r="T1119" s="260" t="s">
        <v>239</v>
      </c>
      <c r="U1119" s="260" t="s">
        <v>514</v>
      </c>
    </row>
    <row r="1120" spans="1:21" ht="14.5" x14ac:dyDescent="0.35">
      <c r="A1120" s="260" t="s">
        <v>747</v>
      </c>
      <c r="B1120" s="190">
        <v>45676</v>
      </c>
      <c r="C1120" s="197">
        <v>60137.8</v>
      </c>
      <c r="D1120" s="197">
        <v>0</v>
      </c>
      <c r="E1120" s="197">
        <v>0</v>
      </c>
      <c r="F1120" s="197">
        <v>0</v>
      </c>
      <c r="G1120" s="197">
        <v>47988</v>
      </c>
      <c r="H1120" s="197">
        <v>12149.8</v>
      </c>
      <c r="I1120" s="197">
        <v>0</v>
      </c>
      <c r="J1120" s="197">
        <v>60137.8</v>
      </c>
      <c r="K1120" s="197">
        <v>60137.8</v>
      </c>
      <c r="L1120" s="197">
        <v>12012</v>
      </c>
      <c r="M1120" s="197">
        <v>0</v>
      </c>
      <c r="N1120" s="197">
        <v>0</v>
      </c>
      <c r="O1120" s="197">
        <v>0</v>
      </c>
      <c r="P1120" s="197">
        <v>0</v>
      </c>
      <c r="Q1120" s="197">
        <v>0</v>
      </c>
      <c r="R1120" s="260" t="s">
        <v>239</v>
      </c>
      <c r="S1120" s="260" t="s">
        <v>514</v>
      </c>
      <c r="T1120" s="260" t="s">
        <v>239</v>
      </c>
      <c r="U1120" s="260" t="s">
        <v>514</v>
      </c>
    </row>
    <row r="1121" spans="1:21" ht="14.5" x14ac:dyDescent="0.35">
      <c r="A1121" s="260" t="s">
        <v>747</v>
      </c>
      <c r="B1121" s="190">
        <v>45677</v>
      </c>
      <c r="C1121" s="197">
        <v>60137.8</v>
      </c>
      <c r="D1121" s="197">
        <v>0</v>
      </c>
      <c r="E1121" s="197">
        <v>0</v>
      </c>
      <c r="F1121" s="197">
        <v>0</v>
      </c>
      <c r="G1121" s="197">
        <v>47988</v>
      </c>
      <c r="H1121" s="197">
        <v>12177.8</v>
      </c>
      <c r="I1121" s="197">
        <v>0</v>
      </c>
      <c r="J1121" s="197">
        <v>60165.8</v>
      </c>
      <c r="K1121" s="197">
        <v>60165.8</v>
      </c>
      <c r="L1121" s="197">
        <v>12012</v>
      </c>
      <c r="M1121" s="197">
        <v>0</v>
      </c>
      <c r="N1121" s="197">
        <v>0</v>
      </c>
      <c r="O1121" s="197">
        <v>0</v>
      </c>
      <c r="P1121" s="197">
        <v>28</v>
      </c>
      <c r="Q1121" s="197">
        <v>4.6559734476492309E-4</v>
      </c>
      <c r="R1121" s="260" t="s">
        <v>239</v>
      </c>
      <c r="S1121" s="260" t="s">
        <v>514</v>
      </c>
      <c r="T1121" s="260" t="s">
        <v>239</v>
      </c>
      <c r="U1121" s="260" t="s">
        <v>514</v>
      </c>
    </row>
    <row r="1122" spans="1:21" ht="14.5" x14ac:dyDescent="0.35">
      <c r="A1122" s="260" t="s">
        <v>747</v>
      </c>
      <c r="B1122" s="190">
        <v>45678</v>
      </c>
      <c r="C1122" s="197">
        <v>60165.8</v>
      </c>
      <c r="D1122" s="197">
        <v>0</v>
      </c>
      <c r="E1122" s="197">
        <v>0</v>
      </c>
      <c r="F1122" s="197">
        <v>0</v>
      </c>
      <c r="G1122" s="197">
        <v>47988</v>
      </c>
      <c r="H1122" s="197">
        <v>12186.2</v>
      </c>
      <c r="I1122" s="197">
        <v>0</v>
      </c>
      <c r="J1122" s="197">
        <v>60174.2</v>
      </c>
      <c r="K1122" s="197">
        <v>60174.2</v>
      </c>
      <c r="L1122" s="197">
        <v>12012</v>
      </c>
      <c r="M1122" s="197">
        <v>0</v>
      </c>
      <c r="N1122" s="197">
        <v>0</v>
      </c>
      <c r="O1122" s="197">
        <v>0</v>
      </c>
      <c r="P1122" s="197">
        <v>8.3999999999941792</v>
      </c>
      <c r="Q1122" s="197">
        <v>1.3961419942876141E-4</v>
      </c>
      <c r="R1122" s="260" t="s">
        <v>239</v>
      </c>
      <c r="S1122" s="260" t="s">
        <v>514</v>
      </c>
      <c r="T1122" s="260" t="s">
        <v>239</v>
      </c>
      <c r="U1122" s="260" t="s">
        <v>514</v>
      </c>
    </row>
    <row r="1123" spans="1:21" ht="14.5" x14ac:dyDescent="0.35">
      <c r="A1123" s="260" t="s">
        <v>747</v>
      </c>
      <c r="B1123" s="190">
        <v>45679</v>
      </c>
      <c r="C1123" s="197">
        <v>60174.2</v>
      </c>
      <c r="D1123" s="197">
        <v>0</v>
      </c>
      <c r="E1123" s="197">
        <v>0</v>
      </c>
      <c r="F1123" s="197">
        <v>0</v>
      </c>
      <c r="G1123" s="197">
        <v>47988</v>
      </c>
      <c r="H1123" s="197">
        <v>12196</v>
      </c>
      <c r="I1123" s="197">
        <v>0</v>
      </c>
      <c r="J1123" s="197">
        <v>60184</v>
      </c>
      <c r="K1123" s="197">
        <v>60184</v>
      </c>
      <c r="L1123" s="197">
        <v>12012</v>
      </c>
      <c r="M1123" s="197">
        <v>0</v>
      </c>
      <c r="N1123" s="197">
        <v>0</v>
      </c>
      <c r="O1123" s="197">
        <v>0</v>
      </c>
      <c r="P1123" s="197">
        <v>9.8000000000029104</v>
      </c>
      <c r="Q1123" s="197">
        <v>1.6286049502944877E-4</v>
      </c>
      <c r="R1123" s="260" t="s">
        <v>239</v>
      </c>
      <c r="S1123" s="260" t="s">
        <v>514</v>
      </c>
      <c r="T1123" s="260" t="s">
        <v>239</v>
      </c>
      <c r="U1123" s="260" t="s">
        <v>514</v>
      </c>
    </row>
    <row r="1124" spans="1:21" ht="14.5" x14ac:dyDescent="0.35">
      <c r="A1124" s="260" t="s">
        <v>747</v>
      </c>
      <c r="B1124" s="190">
        <v>45680</v>
      </c>
      <c r="C1124" s="197">
        <v>60184</v>
      </c>
      <c r="D1124" s="197">
        <v>0</v>
      </c>
      <c r="E1124" s="197">
        <v>0</v>
      </c>
      <c r="F1124" s="197">
        <v>0</v>
      </c>
      <c r="G1124" s="197">
        <v>47988</v>
      </c>
      <c r="H1124" s="197">
        <v>12205.8</v>
      </c>
      <c r="I1124" s="197">
        <v>0</v>
      </c>
      <c r="J1124" s="197">
        <v>60193.8</v>
      </c>
      <c r="K1124" s="197">
        <v>60193.8</v>
      </c>
      <c r="L1124" s="197">
        <v>12012</v>
      </c>
      <c r="M1124" s="197">
        <v>0</v>
      </c>
      <c r="N1124" s="197">
        <v>0</v>
      </c>
      <c r="O1124" s="197">
        <v>0</v>
      </c>
      <c r="P1124" s="197">
        <v>9.8000000000029104</v>
      </c>
      <c r="Q1124" s="197">
        <v>1.6283397580751924E-4</v>
      </c>
      <c r="R1124" s="260" t="s">
        <v>239</v>
      </c>
      <c r="S1124" s="260" t="s">
        <v>514</v>
      </c>
      <c r="T1124" s="260" t="s">
        <v>239</v>
      </c>
      <c r="U1124" s="260" t="s">
        <v>514</v>
      </c>
    </row>
    <row r="1125" spans="1:21" ht="14.5" x14ac:dyDescent="0.35">
      <c r="A1125" s="260" t="s">
        <v>747</v>
      </c>
      <c r="B1125" s="190">
        <v>45681</v>
      </c>
      <c r="C1125" s="197">
        <v>60193.8</v>
      </c>
      <c r="D1125" s="197">
        <v>0</v>
      </c>
      <c r="E1125" s="197">
        <v>0</v>
      </c>
      <c r="F1125" s="197">
        <v>0</v>
      </c>
      <c r="G1125" s="197">
        <v>47988</v>
      </c>
      <c r="H1125" s="197">
        <v>12214.2</v>
      </c>
      <c r="I1125" s="197">
        <v>0</v>
      </c>
      <c r="J1125" s="197">
        <v>60202.2</v>
      </c>
      <c r="K1125" s="197">
        <v>60202.2</v>
      </c>
      <c r="L1125" s="197">
        <v>12012</v>
      </c>
      <c r="M1125" s="197">
        <v>0</v>
      </c>
      <c r="N1125" s="197">
        <v>0</v>
      </c>
      <c r="O1125" s="197">
        <v>0</v>
      </c>
      <c r="P1125" s="197">
        <v>8.3999999999941792</v>
      </c>
      <c r="Q1125" s="197">
        <v>1.3954925590331513E-4</v>
      </c>
      <c r="R1125" s="260" t="s">
        <v>239</v>
      </c>
      <c r="S1125" s="260" t="s">
        <v>514</v>
      </c>
      <c r="T1125" s="260" t="s">
        <v>239</v>
      </c>
      <c r="U1125" s="260" t="s">
        <v>514</v>
      </c>
    </row>
    <row r="1126" spans="1:21" ht="14.5" x14ac:dyDescent="0.35">
      <c r="A1126" s="260" t="s">
        <v>747</v>
      </c>
      <c r="B1126" s="190">
        <v>45682</v>
      </c>
      <c r="C1126" s="197">
        <v>60202.2</v>
      </c>
      <c r="D1126" s="197">
        <v>0</v>
      </c>
      <c r="E1126" s="197">
        <v>0</v>
      </c>
      <c r="F1126" s="197">
        <v>0</v>
      </c>
      <c r="G1126" s="197">
        <v>47988</v>
      </c>
      <c r="H1126" s="197">
        <v>12214.2</v>
      </c>
      <c r="I1126" s="197">
        <v>0</v>
      </c>
      <c r="J1126" s="197">
        <v>60202.2</v>
      </c>
      <c r="K1126" s="197">
        <v>60202.2</v>
      </c>
      <c r="L1126" s="197">
        <v>12012</v>
      </c>
      <c r="M1126" s="197">
        <v>0</v>
      </c>
      <c r="N1126" s="197">
        <v>0</v>
      </c>
      <c r="O1126" s="197">
        <v>0</v>
      </c>
      <c r="P1126" s="197">
        <v>0</v>
      </c>
      <c r="Q1126" s="197">
        <v>0</v>
      </c>
      <c r="R1126" s="260" t="s">
        <v>239</v>
      </c>
      <c r="S1126" s="260" t="s">
        <v>514</v>
      </c>
      <c r="T1126" s="260" t="s">
        <v>239</v>
      </c>
      <c r="U1126" s="260" t="s">
        <v>514</v>
      </c>
    </row>
    <row r="1127" spans="1:21" ht="14.5" x14ac:dyDescent="0.35">
      <c r="A1127" s="260" t="s">
        <v>747</v>
      </c>
      <c r="B1127" s="190">
        <v>45683</v>
      </c>
      <c r="C1127" s="197">
        <v>60202.2</v>
      </c>
      <c r="D1127" s="197">
        <v>0</v>
      </c>
      <c r="E1127" s="197">
        <v>0</v>
      </c>
      <c r="F1127" s="197">
        <v>0</v>
      </c>
      <c r="G1127" s="197">
        <v>47988</v>
      </c>
      <c r="H1127" s="197">
        <v>12214.2</v>
      </c>
      <c r="I1127" s="197">
        <v>0</v>
      </c>
      <c r="J1127" s="197">
        <v>60202.2</v>
      </c>
      <c r="K1127" s="197">
        <v>60202.2</v>
      </c>
      <c r="L1127" s="197">
        <v>12012</v>
      </c>
      <c r="M1127" s="197">
        <v>0</v>
      </c>
      <c r="N1127" s="197">
        <v>0</v>
      </c>
      <c r="O1127" s="197">
        <v>0</v>
      </c>
      <c r="P1127" s="197">
        <v>0</v>
      </c>
      <c r="Q1127" s="197">
        <v>0</v>
      </c>
      <c r="R1127" s="260" t="s">
        <v>239</v>
      </c>
      <c r="S1127" s="260" t="s">
        <v>514</v>
      </c>
      <c r="T1127" s="260" t="s">
        <v>239</v>
      </c>
      <c r="U1127" s="260" t="s">
        <v>514</v>
      </c>
    </row>
    <row r="1128" spans="1:21" ht="14.5" x14ac:dyDescent="0.35">
      <c r="A1128" s="260" t="s">
        <v>747</v>
      </c>
      <c r="B1128" s="190">
        <v>45684</v>
      </c>
      <c r="C1128" s="197">
        <v>60202.2</v>
      </c>
      <c r="D1128" s="197">
        <v>0</v>
      </c>
      <c r="E1128" s="197">
        <v>0</v>
      </c>
      <c r="F1128" s="197">
        <v>0</v>
      </c>
      <c r="G1128" s="197">
        <v>47988</v>
      </c>
      <c r="H1128" s="197">
        <v>12242.2</v>
      </c>
      <c r="I1128" s="197">
        <v>0</v>
      </c>
      <c r="J1128" s="197">
        <v>60230.2</v>
      </c>
      <c r="K1128" s="197">
        <v>60230.2</v>
      </c>
      <c r="L1128" s="197">
        <v>12012</v>
      </c>
      <c r="M1128" s="197">
        <v>0</v>
      </c>
      <c r="N1128" s="197">
        <v>0</v>
      </c>
      <c r="O1128" s="197">
        <v>0</v>
      </c>
      <c r="P1128" s="197">
        <v>28</v>
      </c>
      <c r="Q1128" s="197">
        <v>4.6509928208604556E-4</v>
      </c>
      <c r="R1128" s="260" t="s">
        <v>239</v>
      </c>
      <c r="S1128" s="260" t="s">
        <v>514</v>
      </c>
      <c r="T1128" s="260" t="s">
        <v>239</v>
      </c>
      <c r="U1128" s="260" t="s">
        <v>514</v>
      </c>
    </row>
    <row r="1129" spans="1:21" ht="14.5" x14ac:dyDescent="0.35">
      <c r="A1129" s="260" t="s">
        <v>747</v>
      </c>
      <c r="B1129" s="190">
        <v>45685</v>
      </c>
      <c r="C1129" s="197">
        <v>60230.2</v>
      </c>
      <c r="D1129" s="197">
        <v>0</v>
      </c>
      <c r="E1129" s="197">
        <v>0</v>
      </c>
      <c r="F1129" s="197">
        <v>0</v>
      </c>
      <c r="G1129" s="197">
        <v>47988</v>
      </c>
      <c r="H1129" s="197">
        <v>12252</v>
      </c>
      <c r="I1129" s="197">
        <v>0</v>
      </c>
      <c r="J1129" s="197">
        <v>60240</v>
      </c>
      <c r="K1129" s="197">
        <v>60240</v>
      </c>
      <c r="L1129" s="197">
        <v>12012</v>
      </c>
      <c r="M1129" s="197">
        <v>0</v>
      </c>
      <c r="N1129" s="197">
        <v>0</v>
      </c>
      <c r="O1129" s="197">
        <v>0</v>
      </c>
      <c r="P1129" s="197">
        <v>9.8000000000029104</v>
      </c>
      <c r="Q1129" s="197">
        <v>1.6270907285709235E-4</v>
      </c>
      <c r="R1129" s="260" t="s">
        <v>239</v>
      </c>
      <c r="S1129" s="260" t="s">
        <v>514</v>
      </c>
      <c r="T1129" s="260" t="s">
        <v>239</v>
      </c>
      <c r="U1129" s="260" t="s">
        <v>514</v>
      </c>
    </row>
    <row r="1130" spans="1:21" ht="14.5" x14ac:dyDescent="0.35">
      <c r="A1130" s="260" t="s">
        <v>747</v>
      </c>
      <c r="B1130" s="190">
        <v>45686</v>
      </c>
      <c r="C1130" s="197">
        <v>60240</v>
      </c>
      <c r="D1130" s="197">
        <v>0</v>
      </c>
      <c r="E1130" s="197">
        <v>0</v>
      </c>
      <c r="F1130" s="197">
        <v>0</v>
      </c>
      <c r="G1130" s="197">
        <v>47988</v>
      </c>
      <c r="H1130" s="197">
        <v>12261.8</v>
      </c>
      <c r="I1130" s="197">
        <v>0</v>
      </c>
      <c r="J1130" s="197">
        <v>60249.8</v>
      </c>
      <c r="K1130" s="197">
        <v>60249.8</v>
      </c>
      <c r="L1130" s="197">
        <v>12012</v>
      </c>
      <c r="M1130" s="197">
        <v>0</v>
      </c>
      <c r="N1130" s="197">
        <v>0</v>
      </c>
      <c r="O1130" s="197">
        <v>0</v>
      </c>
      <c r="P1130" s="197">
        <v>9.8000000000029104</v>
      </c>
      <c r="Q1130" s="197">
        <v>1.6268260292173764E-4</v>
      </c>
      <c r="R1130" s="260" t="s">
        <v>239</v>
      </c>
      <c r="S1130" s="260" t="s">
        <v>514</v>
      </c>
      <c r="T1130" s="260" t="s">
        <v>239</v>
      </c>
      <c r="U1130" s="260" t="s">
        <v>514</v>
      </c>
    </row>
    <row r="1131" spans="1:21" ht="14.5" x14ac:dyDescent="0.35">
      <c r="A1131" s="260" t="s">
        <v>747</v>
      </c>
      <c r="B1131" s="190">
        <v>45687</v>
      </c>
      <c r="C1131" s="197">
        <v>60249.8</v>
      </c>
      <c r="D1131" s="197">
        <v>0</v>
      </c>
      <c r="E1131" s="197">
        <v>0</v>
      </c>
      <c r="F1131" s="197">
        <v>0</v>
      </c>
      <c r="G1131" s="197">
        <v>47988</v>
      </c>
      <c r="H1131" s="197">
        <v>12270.2</v>
      </c>
      <c r="I1131" s="197">
        <v>0</v>
      </c>
      <c r="J1131" s="197">
        <v>60258.2</v>
      </c>
      <c r="K1131" s="197">
        <v>60258.2</v>
      </c>
      <c r="L1131" s="197">
        <v>12012</v>
      </c>
      <c r="M1131" s="197">
        <v>0</v>
      </c>
      <c r="N1131" s="197">
        <v>0</v>
      </c>
      <c r="O1131" s="197">
        <v>0</v>
      </c>
      <c r="P1131" s="197">
        <v>8.3999999999941792</v>
      </c>
      <c r="Q1131" s="197">
        <v>1.3941954994023398E-4</v>
      </c>
      <c r="R1131" s="260" t="s">
        <v>239</v>
      </c>
      <c r="S1131" s="260" t="s">
        <v>514</v>
      </c>
      <c r="T1131" s="260" t="s">
        <v>239</v>
      </c>
      <c r="U1131" s="260" t="s">
        <v>514</v>
      </c>
    </row>
    <row r="1132" spans="1:21" ht="14.5" x14ac:dyDescent="0.35">
      <c r="A1132" s="260" t="s">
        <v>747</v>
      </c>
      <c r="B1132" s="190">
        <v>45688</v>
      </c>
      <c r="C1132" s="197">
        <v>60258.2</v>
      </c>
      <c r="D1132" s="197">
        <v>0</v>
      </c>
      <c r="E1132" s="197">
        <v>0</v>
      </c>
      <c r="F1132" s="197">
        <v>0</v>
      </c>
      <c r="G1132" s="197">
        <v>47988</v>
      </c>
      <c r="H1132" s="197">
        <v>12280</v>
      </c>
      <c r="I1132" s="197">
        <v>0</v>
      </c>
      <c r="J1132" s="197">
        <v>60268</v>
      </c>
      <c r="K1132" s="197">
        <v>60268</v>
      </c>
      <c r="L1132" s="197">
        <v>12012</v>
      </c>
      <c r="M1132" s="197">
        <v>0</v>
      </c>
      <c r="N1132" s="197">
        <v>0</v>
      </c>
      <c r="O1132" s="197">
        <v>0</v>
      </c>
      <c r="P1132" s="197">
        <v>9.8000000000029104</v>
      </c>
      <c r="Q1132" s="197">
        <v>1.626334673123786E-4</v>
      </c>
      <c r="R1132" s="260" t="s">
        <v>239</v>
      </c>
      <c r="S1132" s="260" t="s">
        <v>514</v>
      </c>
      <c r="T1132" s="260" t="s">
        <v>239</v>
      </c>
      <c r="U1132" s="260" t="s">
        <v>514</v>
      </c>
    </row>
    <row r="1133" spans="1:21" ht="14.5" x14ac:dyDescent="0.35">
      <c r="A1133" s="260" t="s">
        <v>747</v>
      </c>
      <c r="B1133" s="190">
        <v>45689</v>
      </c>
      <c r="C1133" s="197">
        <v>60268</v>
      </c>
      <c r="D1133" s="197">
        <v>0</v>
      </c>
      <c r="E1133" s="197">
        <v>0</v>
      </c>
      <c r="F1133" s="197">
        <v>0</v>
      </c>
      <c r="G1133" s="197">
        <v>47988</v>
      </c>
      <c r="H1133" s="197">
        <v>12280</v>
      </c>
      <c r="I1133" s="197">
        <v>0</v>
      </c>
      <c r="J1133" s="197">
        <v>60268</v>
      </c>
      <c r="K1133" s="197">
        <v>60268</v>
      </c>
      <c r="L1133" s="197">
        <v>12012</v>
      </c>
      <c r="M1133" s="197">
        <v>0</v>
      </c>
      <c r="N1133" s="197">
        <v>0</v>
      </c>
      <c r="O1133" s="197">
        <v>0</v>
      </c>
      <c r="P1133" s="197">
        <v>0</v>
      </c>
      <c r="Q1133" s="197">
        <v>0</v>
      </c>
      <c r="R1133" s="260" t="s">
        <v>239</v>
      </c>
      <c r="S1133" s="260" t="s">
        <v>514</v>
      </c>
      <c r="T1133" s="260" t="s">
        <v>239</v>
      </c>
      <c r="U1133" s="260" t="s">
        <v>514</v>
      </c>
    </row>
    <row r="1134" spans="1:21" ht="14.5" x14ac:dyDescent="0.35">
      <c r="A1134" s="260" t="s">
        <v>747</v>
      </c>
      <c r="B1134" s="190">
        <v>45690</v>
      </c>
      <c r="C1134" s="197">
        <v>60268</v>
      </c>
      <c r="D1134" s="197">
        <v>0</v>
      </c>
      <c r="E1134" s="197">
        <v>0</v>
      </c>
      <c r="F1134" s="197">
        <v>0</v>
      </c>
      <c r="G1134" s="197">
        <v>47988</v>
      </c>
      <c r="H1134" s="197">
        <v>12280</v>
      </c>
      <c r="I1134" s="197">
        <v>0</v>
      </c>
      <c r="J1134" s="197">
        <v>60268</v>
      </c>
      <c r="K1134" s="197">
        <v>60268</v>
      </c>
      <c r="L1134" s="197">
        <v>12012</v>
      </c>
      <c r="M1134" s="197">
        <v>0</v>
      </c>
      <c r="N1134" s="197">
        <v>0</v>
      </c>
      <c r="O1134" s="197">
        <v>0</v>
      </c>
      <c r="P1134" s="197">
        <v>0</v>
      </c>
      <c r="Q1134" s="197">
        <v>0</v>
      </c>
      <c r="R1134" s="260" t="s">
        <v>239</v>
      </c>
      <c r="S1134" s="260" t="s">
        <v>514</v>
      </c>
      <c r="T1134" s="260" t="s">
        <v>239</v>
      </c>
      <c r="U1134" s="260" t="s">
        <v>514</v>
      </c>
    </row>
    <row r="1135" spans="1:21" ht="14.5" x14ac:dyDescent="0.35">
      <c r="A1135" s="260" t="s">
        <v>747</v>
      </c>
      <c r="B1135" s="190">
        <v>45691</v>
      </c>
      <c r="C1135" s="197">
        <v>60268</v>
      </c>
      <c r="D1135" s="197">
        <v>0</v>
      </c>
      <c r="E1135" s="197">
        <v>0</v>
      </c>
      <c r="F1135" s="197">
        <v>0</v>
      </c>
      <c r="G1135" s="197">
        <v>47988</v>
      </c>
      <c r="H1135" s="197">
        <v>12235.2</v>
      </c>
      <c r="I1135" s="197">
        <v>0</v>
      </c>
      <c r="J1135" s="197">
        <v>60223.199999999997</v>
      </c>
      <c r="K1135" s="197">
        <v>60223.199999999997</v>
      </c>
      <c r="L1135" s="197">
        <v>12012</v>
      </c>
      <c r="M1135" s="197">
        <v>0</v>
      </c>
      <c r="N1135" s="197">
        <v>0</v>
      </c>
      <c r="O1135" s="197">
        <v>0</v>
      </c>
      <c r="P1135" s="197">
        <v>-44.80000000000291</v>
      </c>
      <c r="Q1135" s="197">
        <v>-7.4334638614192983E-4</v>
      </c>
      <c r="R1135" s="260" t="s">
        <v>239</v>
      </c>
      <c r="S1135" s="260" t="s">
        <v>514</v>
      </c>
      <c r="T1135" s="260" t="s">
        <v>239</v>
      </c>
      <c r="U1135" s="260" t="s">
        <v>514</v>
      </c>
    </row>
    <row r="1136" spans="1:21" ht="14.5" x14ac:dyDescent="0.35">
      <c r="A1136" s="260" t="s">
        <v>747</v>
      </c>
      <c r="B1136" s="190">
        <v>45692</v>
      </c>
      <c r="C1136" s="197">
        <v>60223.199999999997</v>
      </c>
      <c r="D1136" s="197">
        <v>0</v>
      </c>
      <c r="E1136" s="197">
        <v>0</v>
      </c>
      <c r="F1136" s="197">
        <v>0</v>
      </c>
      <c r="G1136" s="197">
        <v>47988</v>
      </c>
      <c r="H1136" s="197">
        <v>12213.6</v>
      </c>
      <c r="I1136" s="197">
        <v>0</v>
      </c>
      <c r="J1136" s="197">
        <v>60201.599999999999</v>
      </c>
      <c r="K1136" s="197">
        <v>60201.599999999999</v>
      </c>
      <c r="L1136" s="197">
        <v>12012</v>
      </c>
      <c r="M1136" s="197">
        <v>0</v>
      </c>
      <c r="N1136" s="197">
        <v>0</v>
      </c>
      <c r="O1136" s="197">
        <v>0</v>
      </c>
      <c r="P1136" s="197">
        <v>-21.599999999998545</v>
      </c>
      <c r="Q1136" s="197">
        <v>-3.5866576336029965E-4</v>
      </c>
      <c r="R1136" s="260" t="s">
        <v>239</v>
      </c>
      <c r="S1136" s="260" t="s">
        <v>514</v>
      </c>
      <c r="T1136" s="260" t="s">
        <v>239</v>
      </c>
      <c r="U1136" s="260" t="s">
        <v>514</v>
      </c>
    </row>
    <row r="1137" spans="1:21" ht="14.5" x14ac:dyDescent="0.35">
      <c r="A1137" s="260" t="s">
        <v>747</v>
      </c>
      <c r="B1137" s="190">
        <v>45693</v>
      </c>
      <c r="C1137" s="197">
        <v>60201.599999999999</v>
      </c>
      <c r="D1137" s="197">
        <v>0</v>
      </c>
      <c r="E1137" s="197">
        <v>0</v>
      </c>
      <c r="F1137" s="197">
        <v>0</v>
      </c>
      <c r="G1137" s="197">
        <v>47988</v>
      </c>
      <c r="H1137" s="197">
        <v>12191.4</v>
      </c>
      <c r="I1137" s="197">
        <v>0</v>
      </c>
      <c r="J1137" s="197">
        <v>60179.4</v>
      </c>
      <c r="K1137" s="197">
        <v>60179.4</v>
      </c>
      <c r="L1137" s="197">
        <v>12012</v>
      </c>
      <c r="M1137" s="197">
        <v>0</v>
      </c>
      <c r="N1137" s="197">
        <v>0</v>
      </c>
      <c r="O1137" s="197">
        <v>0</v>
      </c>
      <c r="P1137" s="197">
        <v>-22.19999999999709</v>
      </c>
      <c r="Q1137" s="197">
        <v>-3.6876096316373896E-4</v>
      </c>
      <c r="R1137" s="260" t="s">
        <v>239</v>
      </c>
      <c r="S1137" s="260" t="s">
        <v>514</v>
      </c>
      <c r="T1137" s="260" t="s">
        <v>239</v>
      </c>
      <c r="U1137" s="260" t="s">
        <v>514</v>
      </c>
    </row>
    <row r="1138" spans="1:21" ht="14.5" x14ac:dyDescent="0.35">
      <c r="A1138" s="260" t="s">
        <v>747</v>
      </c>
      <c r="B1138" s="190">
        <v>45694</v>
      </c>
      <c r="C1138" s="197">
        <v>60179.4</v>
      </c>
      <c r="D1138" s="197">
        <v>0</v>
      </c>
      <c r="E1138" s="197">
        <v>0</v>
      </c>
      <c r="F1138" s="197">
        <v>0</v>
      </c>
      <c r="G1138" s="197">
        <v>47988</v>
      </c>
      <c r="H1138" s="197">
        <v>12168.800000000001</v>
      </c>
      <c r="I1138" s="197">
        <v>0</v>
      </c>
      <c r="J1138" s="197">
        <v>60156.800000000003</v>
      </c>
      <c r="K1138" s="197">
        <v>60156.800000000003</v>
      </c>
      <c r="L1138" s="197">
        <v>12012</v>
      </c>
      <c r="M1138" s="197">
        <v>0</v>
      </c>
      <c r="N1138" s="197">
        <v>0</v>
      </c>
      <c r="O1138" s="197">
        <v>0</v>
      </c>
      <c r="P1138" s="197">
        <v>-22.599999999998545</v>
      </c>
      <c r="Q1138" s="197">
        <v>-3.7554379073234667E-4</v>
      </c>
      <c r="R1138" s="260" t="s">
        <v>239</v>
      </c>
      <c r="S1138" s="260" t="s">
        <v>514</v>
      </c>
      <c r="T1138" s="260" t="s">
        <v>239</v>
      </c>
      <c r="U1138" s="260" t="s">
        <v>514</v>
      </c>
    </row>
    <row r="1139" spans="1:21" ht="14.5" x14ac:dyDescent="0.35">
      <c r="A1139" s="260" t="s">
        <v>747</v>
      </c>
      <c r="B1139" s="190">
        <v>45695</v>
      </c>
      <c r="C1139" s="197">
        <v>60156.800000000003</v>
      </c>
      <c r="D1139" s="197">
        <v>0</v>
      </c>
      <c r="E1139" s="197">
        <v>0</v>
      </c>
      <c r="F1139" s="197">
        <v>0</v>
      </c>
      <c r="G1139" s="197">
        <v>47988</v>
      </c>
      <c r="H1139" s="197">
        <v>12146.6</v>
      </c>
      <c r="I1139" s="197">
        <v>0</v>
      </c>
      <c r="J1139" s="197">
        <v>60134.6</v>
      </c>
      <c r="K1139" s="197">
        <v>60134.6</v>
      </c>
      <c r="L1139" s="197">
        <v>12012</v>
      </c>
      <c r="M1139" s="197">
        <v>0</v>
      </c>
      <c r="N1139" s="197">
        <v>0</v>
      </c>
      <c r="O1139" s="197">
        <v>0</v>
      </c>
      <c r="P1139" s="197">
        <v>-22.200000000004366</v>
      </c>
      <c r="Q1139" s="197">
        <v>-3.6903558699941108E-4</v>
      </c>
      <c r="R1139" s="260" t="s">
        <v>239</v>
      </c>
      <c r="S1139" s="260" t="s">
        <v>514</v>
      </c>
      <c r="T1139" s="260" t="s">
        <v>239</v>
      </c>
      <c r="U1139" s="260" t="s">
        <v>514</v>
      </c>
    </row>
    <row r="1140" spans="1:21" ht="14.5" x14ac:dyDescent="0.35">
      <c r="A1140" s="260" t="s">
        <v>747</v>
      </c>
      <c r="B1140" s="190">
        <v>45696</v>
      </c>
      <c r="C1140" s="197">
        <v>60134.6</v>
      </c>
      <c r="D1140" s="197">
        <v>0</v>
      </c>
      <c r="E1140" s="197">
        <v>0</v>
      </c>
      <c r="F1140" s="197">
        <v>0</v>
      </c>
      <c r="G1140" s="197">
        <v>47988</v>
      </c>
      <c r="H1140" s="197">
        <v>12146.6</v>
      </c>
      <c r="I1140" s="197">
        <v>0</v>
      </c>
      <c r="J1140" s="197">
        <v>60134.6</v>
      </c>
      <c r="K1140" s="197">
        <v>60134.6</v>
      </c>
      <c r="L1140" s="197">
        <v>12012</v>
      </c>
      <c r="M1140" s="197">
        <v>0</v>
      </c>
      <c r="N1140" s="197">
        <v>0</v>
      </c>
      <c r="O1140" s="197">
        <v>0</v>
      </c>
      <c r="P1140" s="197">
        <v>0</v>
      </c>
      <c r="Q1140" s="197">
        <v>0</v>
      </c>
      <c r="R1140" s="260" t="s">
        <v>239</v>
      </c>
      <c r="S1140" s="260" t="s">
        <v>514</v>
      </c>
      <c r="T1140" s="260" t="s">
        <v>239</v>
      </c>
      <c r="U1140" s="260" t="s">
        <v>514</v>
      </c>
    </row>
    <row r="1141" spans="1:21" ht="14.5" x14ac:dyDescent="0.35">
      <c r="A1141" s="260" t="s">
        <v>747</v>
      </c>
      <c r="B1141" s="190">
        <v>45697</v>
      </c>
      <c r="C1141" s="197">
        <v>60134.6</v>
      </c>
      <c r="D1141" s="197">
        <v>0</v>
      </c>
      <c r="E1141" s="197">
        <v>0</v>
      </c>
      <c r="F1141" s="197">
        <v>0</v>
      </c>
      <c r="G1141" s="197">
        <v>47988</v>
      </c>
      <c r="H1141" s="197">
        <v>12146.6</v>
      </c>
      <c r="I1141" s="197">
        <v>0</v>
      </c>
      <c r="J1141" s="197">
        <v>60134.6</v>
      </c>
      <c r="K1141" s="197">
        <v>60134.6</v>
      </c>
      <c r="L1141" s="197">
        <v>12012</v>
      </c>
      <c r="M1141" s="197">
        <v>0</v>
      </c>
      <c r="N1141" s="197">
        <v>0</v>
      </c>
      <c r="O1141" s="197">
        <v>0</v>
      </c>
      <c r="P1141" s="197">
        <v>0</v>
      </c>
      <c r="Q1141" s="197">
        <v>0</v>
      </c>
      <c r="R1141" s="260" t="s">
        <v>239</v>
      </c>
      <c r="S1141" s="260" t="s">
        <v>514</v>
      </c>
      <c r="T1141" s="260" t="s">
        <v>239</v>
      </c>
      <c r="U1141" s="260" t="s">
        <v>514</v>
      </c>
    </row>
    <row r="1142" spans="1:21" ht="14.5" x14ac:dyDescent="0.35">
      <c r="A1142" s="260" t="s">
        <v>747</v>
      </c>
      <c r="B1142" s="190">
        <v>45698</v>
      </c>
      <c r="C1142" s="197">
        <v>60134.6</v>
      </c>
      <c r="D1142" s="197">
        <v>0</v>
      </c>
      <c r="E1142" s="197">
        <v>0</v>
      </c>
      <c r="F1142" s="197">
        <v>0</v>
      </c>
      <c r="G1142" s="197">
        <v>47988</v>
      </c>
      <c r="H1142" s="197">
        <v>12080.2</v>
      </c>
      <c r="I1142" s="197">
        <v>0</v>
      </c>
      <c r="J1142" s="197">
        <v>60068.2</v>
      </c>
      <c r="K1142" s="197">
        <v>60068.2</v>
      </c>
      <c r="L1142" s="197">
        <v>12012</v>
      </c>
      <c r="M1142" s="197">
        <v>0</v>
      </c>
      <c r="N1142" s="197">
        <v>0</v>
      </c>
      <c r="O1142" s="197">
        <v>0</v>
      </c>
      <c r="P1142" s="197">
        <v>-66.400000000001455</v>
      </c>
      <c r="Q1142" s="197">
        <v>-1.104189601327743E-3</v>
      </c>
      <c r="R1142" s="260" t="s">
        <v>239</v>
      </c>
      <c r="S1142" s="260" t="s">
        <v>514</v>
      </c>
      <c r="T1142" s="260" t="s">
        <v>239</v>
      </c>
      <c r="U1142" s="260" t="s">
        <v>514</v>
      </c>
    </row>
    <row r="1143" spans="1:21" ht="14.5" x14ac:dyDescent="0.35">
      <c r="A1143" s="260" t="s">
        <v>747</v>
      </c>
      <c r="B1143" s="190">
        <v>45699</v>
      </c>
      <c r="C1143" s="197">
        <v>60068.2</v>
      </c>
      <c r="D1143" s="197">
        <v>0</v>
      </c>
      <c r="E1143" s="197">
        <v>0</v>
      </c>
      <c r="F1143" s="197">
        <v>0</v>
      </c>
      <c r="G1143" s="197">
        <v>47988</v>
      </c>
      <c r="H1143" s="197">
        <v>12058</v>
      </c>
      <c r="I1143" s="197">
        <v>0</v>
      </c>
      <c r="J1143" s="197">
        <v>60046</v>
      </c>
      <c r="K1143" s="197">
        <v>60046</v>
      </c>
      <c r="L1143" s="197">
        <v>12012</v>
      </c>
      <c r="M1143" s="197">
        <v>0</v>
      </c>
      <c r="N1143" s="197">
        <v>0</v>
      </c>
      <c r="O1143" s="197">
        <v>0</v>
      </c>
      <c r="P1143" s="197">
        <v>-22.19999999999709</v>
      </c>
      <c r="Q1143" s="197">
        <v>-3.695799108346387E-4</v>
      </c>
      <c r="R1143" s="260" t="s">
        <v>239</v>
      </c>
      <c r="S1143" s="260" t="s">
        <v>514</v>
      </c>
      <c r="T1143" s="260" t="s">
        <v>239</v>
      </c>
      <c r="U1143" s="260" t="s">
        <v>514</v>
      </c>
    </row>
    <row r="1144" spans="1:21" ht="14.5" x14ac:dyDescent="0.35">
      <c r="A1144" s="260" t="s">
        <v>747</v>
      </c>
      <c r="B1144" s="190">
        <v>45700</v>
      </c>
      <c r="C1144" s="197">
        <v>60046</v>
      </c>
      <c r="D1144" s="197">
        <v>0</v>
      </c>
      <c r="E1144" s="197">
        <v>0</v>
      </c>
      <c r="F1144" s="197">
        <v>0</v>
      </c>
      <c r="G1144" s="197">
        <v>47988</v>
      </c>
      <c r="H1144" s="197">
        <v>12035.4</v>
      </c>
      <c r="I1144" s="197">
        <v>0</v>
      </c>
      <c r="J1144" s="197">
        <v>60023.4</v>
      </c>
      <c r="K1144" s="197">
        <v>60023.4</v>
      </c>
      <c r="L1144" s="197">
        <v>12012</v>
      </c>
      <c r="M1144" s="197">
        <v>0</v>
      </c>
      <c r="N1144" s="197">
        <v>0</v>
      </c>
      <c r="O1144" s="197">
        <v>0</v>
      </c>
      <c r="P1144" s="197">
        <v>-22.599999999998545</v>
      </c>
      <c r="Q1144" s="197">
        <v>-3.7637811011559386E-4</v>
      </c>
      <c r="R1144" s="260" t="s">
        <v>239</v>
      </c>
      <c r="S1144" s="260" t="s">
        <v>514</v>
      </c>
      <c r="T1144" s="260" t="s">
        <v>239</v>
      </c>
      <c r="U1144" s="260" t="s">
        <v>514</v>
      </c>
    </row>
    <row r="1145" spans="1:21" ht="14.5" x14ac:dyDescent="0.35">
      <c r="A1145" s="260" t="s">
        <v>747</v>
      </c>
      <c r="B1145" s="190">
        <v>45701</v>
      </c>
      <c r="C1145" s="197">
        <v>60023.4</v>
      </c>
      <c r="D1145" s="197">
        <v>0</v>
      </c>
      <c r="E1145" s="197">
        <v>0</v>
      </c>
      <c r="F1145" s="197">
        <v>0</v>
      </c>
      <c r="G1145" s="197">
        <v>47988</v>
      </c>
      <c r="H1145" s="197">
        <v>12013.2</v>
      </c>
      <c r="I1145" s="197">
        <v>0</v>
      </c>
      <c r="J1145" s="197">
        <v>60001.2</v>
      </c>
      <c r="K1145" s="197">
        <v>60001.2</v>
      </c>
      <c r="L1145" s="197">
        <v>12012</v>
      </c>
      <c r="M1145" s="197">
        <v>0</v>
      </c>
      <c r="N1145" s="197">
        <v>0</v>
      </c>
      <c r="O1145" s="197">
        <v>0</v>
      </c>
      <c r="P1145" s="197">
        <v>-22.200000000004366</v>
      </c>
      <c r="Q1145" s="197">
        <v>-3.6985575625514411E-4</v>
      </c>
      <c r="R1145" s="260" t="s">
        <v>239</v>
      </c>
      <c r="S1145" s="260" t="s">
        <v>514</v>
      </c>
      <c r="T1145" s="260" t="s">
        <v>239</v>
      </c>
      <c r="U1145" s="260" t="s">
        <v>514</v>
      </c>
    </row>
    <row r="1146" spans="1:21" ht="14.5" x14ac:dyDescent="0.35">
      <c r="A1146" s="260" t="s">
        <v>747</v>
      </c>
      <c r="B1146" s="190">
        <v>45702</v>
      </c>
      <c r="C1146" s="197">
        <v>60001.2</v>
      </c>
      <c r="D1146" s="197">
        <v>0</v>
      </c>
      <c r="E1146" s="197">
        <v>0</v>
      </c>
      <c r="F1146" s="197">
        <v>0</v>
      </c>
      <c r="G1146" s="197">
        <v>47988</v>
      </c>
      <c r="H1146" s="197">
        <v>11990.599999999999</v>
      </c>
      <c r="I1146" s="197">
        <v>0</v>
      </c>
      <c r="J1146" s="197">
        <v>59978.6</v>
      </c>
      <c r="K1146" s="197">
        <v>59978.6</v>
      </c>
      <c r="L1146" s="197">
        <v>12012</v>
      </c>
      <c r="M1146" s="197">
        <v>0</v>
      </c>
      <c r="N1146" s="197">
        <v>0</v>
      </c>
      <c r="O1146" s="197">
        <v>0</v>
      </c>
      <c r="P1146" s="197">
        <v>-22.599999999998545</v>
      </c>
      <c r="Q1146" s="197">
        <v>-3.7665913348394753E-4</v>
      </c>
      <c r="R1146" s="260" t="s">
        <v>239</v>
      </c>
      <c r="S1146" s="260" t="s">
        <v>514</v>
      </c>
      <c r="T1146" s="260" t="s">
        <v>239</v>
      </c>
      <c r="U1146" s="260" t="s">
        <v>514</v>
      </c>
    </row>
    <row r="1147" spans="1:21" ht="14.5" x14ac:dyDescent="0.35">
      <c r="A1147" s="260" t="s">
        <v>747</v>
      </c>
      <c r="B1147" s="190">
        <v>45703</v>
      </c>
      <c r="C1147" s="197">
        <v>59978.6</v>
      </c>
      <c r="D1147" s="197">
        <v>0</v>
      </c>
      <c r="E1147" s="197">
        <v>0</v>
      </c>
      <c r="F1147" s="197">
        <v>0</v>
      </c>
      <c r="G1147" s="197">
        <v>47988</v>
      </c>
      <c r="H1147" s="197">
        <v>11990.599999999999</v>
      </c>
      <c r="I1147" s="197">
        <v>0</v>
      </c>
      <c r="J1147" s="197">
        <v>59978.6</v>
      </c>
      <c r="K1147" s="197">
        <v>59978.6</v>
      </c>
      <c r="L1147" s="197">
        <v>12012</v>
      </c>
      <c r="M1147" s="197">
        <v>0</v>
      </c>
      <c r="N1147" s="197">
        <v>0</v>
      </c>
      <c r="O1147" s="197">
        <v>0</v>
      </c>
      <c r="P1147" s="197">
        <v>0</v>
      </c>
      <c r="Q1147" s="197">
        <v>0</v>
      </c>
      <c r="R1147" s="260" t="s">
        <v>239</v>
      </c>
      <c r="S1147" s="260" t="s">
        <v>514</v>
      </c>
      <c r="T1147" s="260" t="s">
        <v>239</v>
      </c>
      <c r="U1147" s="260" t="s">
        <v>514</v>
      </c>
    </row>
    <row r="1148" spans="1:21" ht="14.5" x14ac:dyDescent="0.35">
      <c r="A1148" s="260" t="s">
        <v>747</v>
      </c>
      <c r="B1148" s="190">
        <v>45704</v>
      </c>
      <c r="C1148" s="197">
        <v>59978.6</v>
      </c>
      <c r="D1148" s="197">
        <v>0</v>
      </c>
      <c r="E1148" s="197">
        <v>0</v>
      </c>
      <c r="F1148" s="197">
        <v>0</v>
      </c>
      <c r="G1148" s="197">
        <v>47988</v>
      </c>
      <c r="H1148" s="197">
        <v>11990.599999999999</v>
      </c>
      <c r="I1148" s="197">
        <v>0</v>
      </c>
      <c r="J1148" s="197">
        <v>59978.6</v>
      </c>
      <c r="K1148" s="197">
        <v>59978.6</v>
      </c>
      <c r="L1148" s="197">
        <v>12012</v>
      </c>
      <c r="M1148" s="197">
        <v>0</v>
      </c>
      <c r="N1148" s="197">
        <v>0</v>
      </c>
      <c r="O1148" s="197">
        <v>0</v>
      </c>
      <c r="P1148" s="197">
        <v>0</v>
      </c>
      <c r="Q1148" s="197">
        <v>0</v>
      </c>
      <c r="R1148" s="260" t="s">
        <v>239</v>
      </c>
      <c r="S1148" s="260" t="s">
        <v>514</v>
      </c>
      <c r="T1148" s="260" t="s">
        <v>239</v>
      </c>
      <c r="U1148" s="260" t="s">
        <v>514</v>
      </c>
    </row>
    <row r="1149" spans="1:21" ht="14.5" x14ac:dyDescent="0.35">
      <c r="A1149" s="260" t="s">
        <v>747</v>
      </c>
      <c r="B1149" s="190">
        <v>45705</v>
      </c>
      <c r="C1149" s="197">
        <v>59978.6</v>
      </c>
      <c r="D1149" s="197">
        <v>0</v>
      </c>
      <c r="E1149" s="197">
        <v>0</v>
      </c>
      <c r="F1149" s="197">
        <v>0</v>
      </c>
      <c r="G1149" s="197">
        <v>47988</v>
      </c>
      <c r="H1149" s="197">
        <v>11924.6</v>
      </c>
      <c r="I1149" s="197">
        <v>0</v>
      </c>
      <c r="J1149" s="197">
        <v>59912.6</v>
      </c>
      <c r="K1149" s="197">
        <v>59912.6</v>
      </c>
      <c r="L1149" s="197">
        <v>12012</v>
      </c>
      <c r="M1149" s="197">
        <v>0</v>
      </c>
      <c r="N1149" s="197">
        <v>0</v>
      </c>
      <c r="O1149" s="197">
        <v>0</v>
      </c>
      <c r="P1149" s="197">
        <v>-66</v>
      </c>
      <c r="Q1149" s="197">
        <v>-1.1003924733155035E-3</v>
      </c>
      <c r="R1149" s="260" t="s">
        <v>239</v>
      </c>
      <c r="S1149" s="260" t="s">
        <v>514</v>
      </c>
      <c r="T1149" s="260" t="s">
        <v>239</v>
      </c>
      <c r="U1149" s="260" t="s">
        <v>514</v>
      </c>
    </row>
    <row r="1150" spans="1:21" ht="14.5" x14ac:dyDescent="0.35">
      <c r="A1150" s="260" t="s">
        <v>747</v>
      </c>
      <c r="B1150" s="190">
        <v>45706</v>
      </c>
      <c r="C1150" s="197">
        <v>59912.6</v>
      </c>
      <c r="D1150" s="197">
        <v>0</v>
      </c>
      <c r="E1150" s="197">
        <v>0</v>
      </c>
      <c r="F1150" s="197">
        <v>0</v>
      </c>
      <c r="G1150" s="197">
        <v>47988</v>
      </c>
      <c r="H1150" s="197">
        <v>11902</v>
      </c>
      <c r="I1150" s="197">
        <v>0</v>
      </c>
      <c r="J1150" s="197">
        <v>59890</v>
      </c>
      <c r="K1150" s="197">
        <v>59890</v>
      </c>
      <c r="L1150" s="197">
        <v>12012</v>
      </c>
      <c r="M1150" s="197">
        <v>0</v>
      </c>
      <c r="N1150" s="197">
        <v>0</v>
      </c>
      <c r="O1150" s="197">
        <v>0</v>
      </c>
      <c r="P1150" s="197">
        <v>-22.599999999998545</v>
      </c>
      <c r="Q1150" s="197">
        <v>-3.772161448509781E-4</v>
      </c>
      <c r="R1150" s="260" t="s">
        <v>239</v>
      </c>
      <c r="S1150" s="260" t="s">
        <v>514</v>
      </c>
      <c r="T1150" s="260" t="s">
        <v>239</v>
      </c>
      <c r="U1150" s="260" t="s">
        <v>514</v>
      </c>
    </row>
    <row r="1151" spans="1:21" ht="14.5" x14ac:dyDescent="0.35">
      <c r="A1151" s="260" t="s">
        <v>747</v>
      </c>
      <c r="B1151" s="190">
        <v>45707</v>
      </c>
      <c r="C1151" s="197">
        <v>59890</v>
      </c>
      <c r="D1151" s="197">
        <v>0</v>
      </c>
      <c r="E1151" s="197">
        <v>0</v>
      </c>
      <c r="F1151" s="197">
        <v>0</v>
      </c>
      <c r="G1151" s="197">
        <v>47988</v>
      </c>
      <c r="H1151" s="197">
        <v>11879.8</v>
      </c>
      <c r="I1151" s="197">
        <v>0</v>
      </c>
      <c r="J1151" s="197">
        <v>59867.8</v>
      </c>
      <c r="K1151" s="197">
        <v>59867.8</v>
      </c>
      <c r="L1151" s="197">
        <v>12012</v>
      </c>
      <c r="M1151" s="197">
        <v>0</v>
      </c>
      <c r="N1151" s="197">
        <v>0</v>
      </c>
      <c r="O1151" s="197">
        <v>0</v>
      </c>
      <c r="P1151" s="197">
        <v>-22.19999999999709</v>
      </c>
      <c r="Q1151" s="197">
        <v>-3.7067957922853889E-4</v>
      </c>
      <c r="R1151" s="260" t="s">
        <v>239</v>
      </c>
      <c r="S1151" s="260" t="s">
        <v>514</v>
      </c>
      <c r="T1151" s="260" t="s">
        <v>239</v>
      </c>
      <c r="U1151" s="260" t="s">
        <v>514</v>
      </c>
    </row>
    <row r="1152" spans="1:21" ht="14.5" x14ac:dyDescent="0.35">
      <c r="A1152" s="260" t="s">
        <v>747</v>
      </c>
      <c r="B1152" s="190">
        <v>45708</v>
      </c>
      <c r="C1152" s="197">
        <v>59867.8</v>
      </c>
      <c r="D1152" s="197">
        <v>0</v>
      </c>
      <c r="E1152" s="197">
        <v>0</v>
      </c>
      <c r="F1152" s="197">
        <v>0</v>
      </c>
      <c r="G1152" s="197">
        <v>47988</v>
      </c>
      <c r="H1152" s="197">
        <v>11858.2</v>
      </c>
      <c r="I1152" s="197">
        <v>0</v>
      </c>
      <c r="J1152" s="197">
        <v>59846.2</v>
      </c>
      <c r="K1152" s="197">
        <v>59846.2</v>
      </c>
      <c r="L1152" s="197">
        <v>12012</v>
      </c>
      <c r="M1152" s="197">
        <v>0</v>
      </c>
      <c r="N1152" s="197">
        <v>0</v>
      </c>
      <c r="O1152" s="197">
        <v>0</v>
      </c>
      <c r="P1152" s="197">
        <v>-21.600000000005821</v>
      </c>
      <c r="Q1152" s="197">
        <v>-3.6079495154328622E-4</v>
      </c>
      <c r="R1152" s="260" t="s">
        <v>239</v>
      </c>
      <c r="S1152" s="260" t="s">
        <v>514</v>
      </c>
      <c r="T1152" s="260" t="s">
        <v>239</v>
      </c>
      <c r="U1152" s="260" t="s">
        <v>514</v>
      </c>
    </row>
    <row r="1153" spans="1:21" ht="14.5" x14ac:dyDescent="0.35">
      <c r="A1153" s="260" t="s">
        <v>747</v>
      </c>
      <c r="B1153" s="190">
        <v>45709</v>
      </c>
      <c r="C1153" s="197">
        <v>59846.2</v>
      </c>
      <c r="D1153" s="197">
        <v>0</v>
      </c>
      <c r="E1153" s="197">
        <v>0</v>
      </c>
      <c r="F1153" s="197">
        <v>0</v>
      </c>
      <c r="G1153" s="197">
        <v>47988</v>
      </c>
      <c r="H1153" s="197">
        <v>11836</v>
      </c>
      <c r="I1153" s="197">
        <v>0</v>
      </c>
      <c r="J1153" s="197">
        <v>59824</v>
      </c>
      <c r="K1153" s="197">
        <v>59824</v>
      </c>
      <c r="L1153" s="197">
        <v>12012</v>
      </c>
      <c r="M1153" s="197">
        <v>0</v>
      </c>
      <c r="N1153" s="197">
        <v>0</v>
      </c>
      <c r="O1153" s="197">
        <v>0</v>
      </c>
      <c r="P1153" s="197">
        <v>-22.19999999999709</v>
      </c>
      <c r="Q1153" s="197">
        <v>-3.7095087073191202E-4</v>
      </c>
      <c r="R1153" s="260" t="s">
        <v>239</v>
      </c>
      <c r="S1153" s="260" t="s">
        <v>514</v>
      </c>
      <c r="T1153" s="260" t="s">
        <v>239</v>
      </c>
      <c r="U1153" s="260" t="s">
        <v>514</v>
      </c>
    </row>
    <row r="1154" spans="1:21" ht="14.5" x14ac:dyDescent="0.35">
      <c r="A1154" s="260" t="s">
        <v>747</v>
      </c>
      <c r="B1154" s="190">
        <v>45710</v>
      </c>
      <c r="C1154" s="197">
        <v>59824</v>
      </c>
      <c r="D1154" s="197">
        <v>0</v>
      </c>
      <c r="E1154" s="197">
        <v>0</v>
      </c>
      <c r="F1154" s="197">
        <v>0</v>
      </c>
      <c r="G1154" s="197">
        <v>47988</v>
      </c>
      <c r="H1154" s="197">
        <v>11836</v>
      </c>
      <c r="I1154" s="197">
        <v>0</v>
      </c>
      <c r="J1154" s="197">
        <v>59824</v>
      </c>
      <c r="K1154" s="197">
        <v>59824</v>
      </c>
      <c r="L1154" s="197">
        <v>12012</v>
      </c>
      <c r="M1154" s="197">
        <v>0</v>
      </c>
      <c r="N1154" s="197">
        <v>0</v>
      </c>
      <c r="O1154" s="197">
        <v>0</v>
      </c>
      <c r="P1154" s="197">
        <v>0</v>
      </c>
      <c r="Q1154" s="197">
        <v>0</v>
      </c>
      <c r="R1154" s="260" t="s">
        <v>239</v>
      </c>
      <c r="S1154" s="260" t="s">
        <v>514</v>
      </c>
      <c r="T1154" s="260" t="s">
        <v>239</v>
      </c>
      <c r="U1154" s="260" t="s">
        <v>514</v>
      </c>
    </row>
    <row r="1155" spans="1:21" ht="14.5" x14ac:dyDescent="0.35">
      <c r="A1155" s="260" t="s">
        <v>747</v>
      </c>
      <c r="B1155" s="190">
        <v>45711</v>
      </c>
      <c r="C1155" s="197">
        <v>59824</v>
      </c>
      <c r="D1155" s="197">
        <v>0</v>
      </c>
      <c r="E1155" s="197">
        <v>0</v>
      </c>
      <c r="F1155" s="197">
        <v>0</v>
      </c>
      <c r="G1155" s="197">
        <v>47988</v>
      </c>
      <c r="H1155" s="197">
        <v>11836</v>
      </c>
      <c r="I1155" s="197">
        <v>0</v>
      </c>
      <c r="J1155" s="197">
        <v>59824</v>
      </c>
      <c r="K1155" s="197">
        <v>59824</v>
      </c>
      <c r="L1155" s="197">
        <v>12012</v>
      </c>
      <c r="M1155" s="197">
        <v>0</v>
      </c>
      <c r="N1155" s="197">
        <v>0</v>
      </c>
      <c r="O1155" s="197">
        <v>0</v>
      </c>
      <c r="P1155" s="197">
        <v>0</v>
      </c>
      <c r="Q1155" s="197">
        <v>0</v>
      </c>
      <c r="R1155" s="260" t="s">
        <v>239</v>
      </c>
      <c r="S1155" s="260" t="s">
        <v>514</v>
      </c>
      <c r="T1155" s="260" t="s">
        <v>239</v>
      </c>
      <c r="U1155" s="260" t="s">
        <v>514</v>
      </c>
    </row>
    <row r="1156" spans="1:21" ht="14.5" x14ac:dyDescent="0.35">
      <c r="A1156" s="260" t="s">
        <v>747</v>
      </c>
      <c r="B1156" s="190">
        <v>45712</v>
      </c>
      <c r="C1156" s="197">
        <v>59824</v>
      </c>
      <c r="D1156" s="197">
        <v>0</v>
      </c>
      <c r="E1156" s="197">
        <v>0</v>
      </c>
      <c r="F1156" s="197">
        <v>0</v>
      </c>
      <c r="G1156" s="197">
        <v>47988</v>
      </c>
      <c r="H1156" s="197">
        <v>11768.6</v>
      </c>
      <c r="I1156" s="197">
        <v>0</v>
      </c>
      <c r="J1156" s="197">
        <v>59756.6</v>
      </c>
      <c r="K1156" s="197">
        <v>59756.6</v>
      </c>
      <c r="L1156" s="197">
        <v>12012</v>
      </c>
      <c r="M1156" s="197">
        <v>0</v>
      </c>
      <c r="N1156" s="197">
        <v>0</v>
      </c>
      <c r="O1156" s="197">
        <v>0</v>
      </c>
      <c r="P1156" s="197">
        <v>-67.400000000001455</v>
      </c>
      <c r="Q1156" s="197">
        <v>-1.1266381385397484E-3</v>
      </c>
      <c r="R1156" s="260" t="s">
        <v>239</v>
      </c>
      <c r="S1156" s="260" t="s">
        <v>514</v>
      </c>
      <c r="T1156" s="260" t="s">
        <v>239</v>
      </c>
      <c r="U1156" s="260" t="s">
        <v>514</v>
      </c>
    </row>
    <row r="1157" spans="1:21" ht="14.5" x14ac:dyDescent="0.35">
      <c r="A1157" s="260" t="s">
        <v>747</v>
      </c>
      <c r="B1157" s="190">
        <v>45713</v>
      </c>
      <c r="C1157" s="197">
        <v>59756.6</v>
      </c>
      <c r="D1157" s="197">
        <v>0</v>
      </c>
      <c r="E1157" s="197">
        <v>0</v>
      </c>
      <c r="F1157" s="197">
        <v>0</v>
      </c>
      <c r="G1157" s="197">
        <v>47988</v>
      </c>
      <c r="H1157" s="197">
        <v>11746.4</v>
      </c>
      <c r="I1157" s="197">
        <v>0</v>
      </c>
      <c r="J1157" s="197">
        <v>59734.400000000001</v>
      </c>
      <c r="K1157" s="197">
        <v>59734.400000000001</v>
      </c>
      <c r="L1157" s="197">
        <v>12012</v>
      </c>
      <c r="M1157" s="197">
        <v>0</v>
      </c>
      <c r="N1157" s="197">
        <v>0</v>
      </c>
      <c r="O1157" s="197">
        <v>0</v>
      </c>
      <c r="P1157" s="197">
        <v>-22.19999999999709</v>
      </c>
      <c r="Q1157" s="197">
        <v>-3.7150708038935498E-4</v>
      </c>
      <c r="R1157" s="260" t="s">
        <v>239</v>
      </c>
      <c r="S1157" s="260" t="s">
        <v>514</v>
      </c>
      <c r="T1157" s="260" t="s">
        <v>239</v>
      </c>
      <c r="U1157" s="260" t="s">
        <v>514</v>
      </c>
    </row>
    <row r="1158" spans="1:21" ht="14.5" x14ac:dyDescent="0.35">
      <c r="A1158" s="260" t="s">
        <v>747</v>
      </c>
      <c r="B1158" s="190">
        <v>45714</v>
      </c>
      <c r="C1158" s="197">
        <v>59734.400000000001</v>
      </c>
      <c r="D1158" s="197">
        <v>0</v>
      </c>
      <c r="E1158" s="197">
        <v>0</v>
      </c>
      <c r="F1158" s="197">
        <v>0</v>
      </c>
      <c r="G1158" s="197">
        <v>47988</v>
      </c>
      <c r="H1158" s="197">
        <v>11724.8</v>
      </c>
      <c r="I1158" s="197">
        <v>0</v>
      </c>
      <c r="J1158" s="197">
        <v>59712.800000000003</v>
      </c>
      <c r="K1158" s="197">
        <v>59712.800000000003</v>
      </c>
      <c r="L1158" s="197">
        <v>12012</v>
      </c>
      <c r="M1158" s="197">
        <v>0</v>
      </c>
      <c r="N1158" s="197">
        <v>0</v>
      </c>
      <c r="O1158" s="197">
        <v>0</v>
      </c>
      <c r="P1158" s="197">
        <v>-21.599999999998545</v>
      </c>
      <c r="Q1158" s="197">
        <v>-3.6160068570201265E-4</v>
      </c>
      <c r="R1158" s="260" t="s">
        <v>239</v>
      </c>
      <c r="S1158" s="260" t="s">
        <v>514</v>
      </c>
      <c r="T1158" s="260" t="s">
        <v>239</v>
      </c>
      <c r="U1158" s="260" t="s">
        <v>514</v>
      </c>
    </row>
    <row r="1159" spans="1:21" ht="14.5" x14ac:dyDescent="0.35">
      <c r="A1159" s="260" t="s">
        <v>747</v>
      </c>
      <c r="B1159" s="190">
        <v>45715</v>
      </c>
      <c r="C1159" s="197">
        <v>59712.800000000003</v>
      </c>
      <c r="D1159" s="197">
        <v>0</v>
      </c>
      <c r="E1159" s="197">
        <v>0</v>
      </c>
      <c r="F1159" s="197">
        <v>0</v>
      </c>
      <c r="G1159" s="197">
        <v>47988</v>
      </c>
      <c r="H1159" s="197">
        <v>11702.6</v>
      </c>
      <c r="I1159" s="197">
        <v>0</v>
      </c>
      <c r="J1159" s="197">
        <v>59690.6</v>
      </c>
      <c r="K1159" s="197">
        <v>59690.6</v>
      </c>
      <c r="L1159" s="197">
        <v>12012</v>
      </c>
      <c r="M1159" s="197">
        <v>0</v>
      </c>
      <c r="N1159" s="197">
        <v>0</v>
      </c>
      <c r="O1159" s="197">
        <v>0</v>
      </c>
      <c r="P1159" s="197">
        <v>-22.200000000004366</v>
      </c>
      <c r="Q1159" s="197">
        <v>-3.717795849467187E-4</v>
      </c>
      <c r="R1159" s="260" t="s">
        <v>239</v>
      </c>
      <c r="S1159" s="260" t="s">
        <v>514</v>
      </c>
      <c r="T1159" s="260" t="s">
        <v>239</v>
      </c>
      <c r="U1159" s="260" t="s">
        <v>514</v>
      </c>
    </row>
    <row r="1160" spans="1:21" ht="14.5" x14ac:dyDescent="0.35">
      <c r="A1160" s="260" t="s">
        <v>747</v>
      </c>
      <c r="B1160" s="190">
        <v>45716</v>
      </c>
      <c r="C1160" s="197">
        <v>59690.6</v>
      </c>
      <c r="D1160" s="197">
        <v>0</v>
      </c>
      <c r="E1160" s="197">
        <v>0</v>
      </c>
      <c r="F1160" s="197">
        <v>0</v>
      </c>
      <c r="G1160" s="197">
        <v>47988</v>
      </c>
      <c r="H1160" s="197">
        <v>11680</v>
      </c>
      <c r="I1160" s="197">
        <v>0</v>
      </c>
      <c r="J1160" s="197">
        <v>59668</v>
      </c>
      <c r="K1160" s="197">
        <v>59668</v>
      </c>
      <c r="L1160" s="197">
        <v>12012</v>
      </c>
      <c r="M1160" s="197">
        <v>0</v>
      </c>
      <c r="N1160" s="197">
        <v>0</v>
      </c>
      <c r="O1160" s="197">
        <v>0</v>
      </c>
      <c r="P1160" s="197">
        <v>-22.599999999998545</v>
      </c>
      <c r="Q1160" s="197">
        <v>-3.7861907905090142E-4</v>
      </c>
      <c r="R1160" s="260" t="s">
        <v>239</v>
      </c>
      <c r="S1160" s="260" t="s">
        <v>514</v>
      </c>
      <c r="T1160" s="260" t="s">
        <v>239</v>
      </c>
      <c r="U1160" s="260" t="s">
        <v>514</v>
      </c>
    </row>
    <row r="1161" spans="1:21" ht="14.5" x14ac:dyDescent="0.35">
      <c r="A1161" s="260" t="s">
        <v>747</v>
      </c>
      <c r="B1161" s="190">
        <v>45717</v>
      </c>
      <c r="C1161" s="197">
        <v>59668</v>
      </c>
      <c r="D1161" s="197">
        <v>0</v>
      </c>
      <c r="E1161" s="197">
        <v>0</v>
      </c>
      <c r="F1161" s="197">
        <v>0</v>
      </c>
      <c r="G1161" s="197">
        <v>47988</v>
      </c>
      <c r="H1161" s="197">
        <v>11680</v>
      </c>
      <c r="I1161" s="197">
        <v>0</v>
      </c>
      <c r="J1161" s="197">
        <v>59668</v>
      </c>
      <c r="K1161" s="197">
        <v>59668</v>
      </c>
      <c r="L1161" s="197">
        <v>12012</v>
      </c>
      <c r="M1161" s="197">
        <v>0</v>
      </c>
      <c r="N1161" s="197">
        <v>0</v>
      </c>
      <c r="O1161" s="197">
        <v>0</v>
      </c>
      <c r="P1161" s="197">
        <v>0</v>
      </c>
      <c r="Q1161" s="197">
        <v>0</v>
      </c>
      <c r="R1161" s="260" t="s">
        <v>239</v>
      </c>
      <c r="S1161" s="260" t="s">
        <v>514</v>
      </c>
      <c r="T1161" s="260" t="s">
        <v>239</v>
      </c>
      <c r="U1161" s="260" t="s">
        <v>514</v>
      </c>
    </row>
    <row r="1162" spans="1:21" ht="14.5" x14ac:dyDescent="0.35">
      <c r="A1162" s="260" t="s">
        <v>747</v>
      </c>
      <c r="B1162" s="190">
        <v>45718</v>
      </c>
      <c r="C1162" s="197">
        <v>59668</v>
      </c>
      <c r="D1162" s="197">
        <v>0</v>
      </c>
      <c r="E1162" s="197">
        <v>0</v>
      </c>
      <c r="F1162" s="197">
        <v>0</v>
      </c>
      <c r="G1162" s="197">
        <v>47988</v>
      </c>
      <c r="H1162" s="197">
        <v>11680</v>
      </c>
      <c r="I1162" s="197">
        <v>0</v>
      </c>
      <c r="J1162" s="197">
        <v>59668</v>
      </c>
      <c r="K1162" s="197">
        <v>59668</v>
      </c>
      <c r="L1162" s="197">
        <v>12012</v>
      </c>
      <c r="M1162" s="197">
        <v>0</v>
      </c>
      <c r="N1162" s="197">
        <v>0</v>
      </c>
      <c r="O1162" s="197">
        <v>0</v>
      </c>
      <c r="P1162" s="197">
        <v>0</v>
      </c>
      <c r="Q1162" s="197">
        <v>0</v>
      </c>
      <c r="R1162" s="260" t="s">
        <v>239</v>
      </c>
      <c r="S1162" s="260" t="s">
        <v>514</v>
      </c>
      <c r="T1162" s="260" t="s">
        <v>239</v>
      </c>
      <c r="U1162" s="260" t="s">
        <v>514</v>
      </c>
    </row>
    <row r="1163" spans="1:21" ht="14.5" x14ac:dyDescent="0.35">
      <c r="A1163" s="260" t="s">
        <v>747</v>
      </c>
      <c r="B1163" s="190">
        <v>45719</v>
      </c>
      <c r="C1163" s="197">
        <v>59668</v>
      </c>
      <c r="D1163" s="197">
        <v>0</v>
      </c>
      <c r="E1163" s="197">
        <v>0</v>
      </c>
      <c r="F1163" s="197">
        <v>0</v>
      </c>
      <c r="G1163" s="197">
        <v>47988</v>
      </c>
      <c r="H1163" s="197">
        <v>11684</v>
      </c>
      <c r="I1163" s="197">
        <v>0</v>
      </c>
      <c r="J1163" s="197">
        <v>59672</v>
      </c>
      <c r="K1163" s="197">
        <v>59672</v>
      </c>
      <c r="L1163" s="197">
        <v>12012</v>
      </c>
      <c r="M1163" s="197">
        <v>0</v>
      </c>
      <c r="N1163" s="197">
        <v>0</v>
      </c>
      <c r="O1163" s="197">
        <v>0</v>
      </c>
      <c r="P1163" s="197">
        <v>4</v>
      </c>
      <c r="Q1163" s="197">
        <v>6.703760809823045E-5</v>
      </c>
      <c r="R1163" s="260" t="s">
        <v>239</v>
      </c>
      <c r="S1163" s="260" t="s">
        <v>514</v>
      </c>
      <c r="T1163" s="260" t="s">
        <v>239</v>
      </c>
      <c r="U1163" s="260" t="s">
        <v>514</v>
      </c>
    </row>
    <row r="1164" spans="1:21" ht="14.5" x14ac:dyDescent="0.35">
      <c r="A1164" s="260" t="s">
        <v>747</v>
      </c>
      <c r="B1164" s="190">
        <v>45720</v>
      </c>
      <c r="C1164" s="197">
        <v>59672</v>
      </c>
      <c r="D1164" s="197">
        <v>0</v>
      </c>
      <c r="E1164" s="197">
        <v>0</v>
      </c>
      <c r="F1164" s="197">
        <v>0</v>
      </c>
      <c r="G1164" s="197">
        <v>47988</v>
      </c>
      <c r="H1164" s="197">
        <v>11686</v>
      </c>
      <c r="I1164" s="197">
        <v>0</v>
      </c>
      <c r="J1164" s="197">
        <v>59674</v>
      </c>
      <c r="K1164" s="197">
        <v>59674</v>
      </c>
      <c r="L1164" s="197">
        <v>12012</v>
      </c>
      <c r="M1164" s="197">
        <v>0</v>
      </c>
      <c r="N1164" s="197">
        <v>0</v>
      </c>
      <c r="O1164" s="197">
        <v>0</v>
      </c>
      <c r="P1164" s="197">
        <v>2</v>
      </c>
      <c r="Q1164" s="197">
        <v>3.3516557179202877E-5</v>
      </c>
      <c r="R1164" s="260" t="s">
        <v>239</v>
      </c>
      <c r="S1164" s="260" t="s">
        <v>514</v>
      </c>
      <c r="T1164" s="260" t="s">
        <v>239</v>
      </c>
      <c r="U1164" s="260" t="s">
        <v>514</v>
      </c>
    </row>
    <row r="1165" spans="1:21" ht="14.5" x14ac:dyDescent="0.35">
      <c r="A1165" s="260" t="s">
        <v>747</v>
      </c>
      <c r="B1165" s="190">
        <v>45721</v>
      </c>
      <c r="C1165" s="197">
        <v>59674</v>
      </c>
      <c r="D1165" s="197">
        <v>0</v>
      </c>
      <c r="E1165" s="197">
        <v>0</v>
      </c>
      <c r="F1165" s="197">
        <v>0</v>
      </c>
      <c r="G1165" s="197">
        <v>47988</v>
      </c>
      <c r="H1165" s="197">
        <v>11688</v>
      </c>
      <c r="I1165" s="197">
        <v>0</v>
      </c>
      <c r="J1165" s="197">
        <v>59676</v>
      </c>
      <c r="K1165" s="197">
        <v>59676</v>
      </c>
      <c r="L1165" s="197">
        <v>12012</v>
      </c>
      <c r="M1165" s="197">
        <v>0</v>
      </c>
      <c r="N1165" s="197">
        <v>0</v>
      </c>
      <c r="O1165" s="197">
        <v>0</v>
      </c>
      <c r="P1165" s="197">
        <v>2</v>
      </c>
      <c r="Q1165" s="197">
        <v>3.3515433857322918E-5</v>
      </c>
      <c r="R1165" s="260" t="s">
        <v>239</v>
      </c>
      <c r="S1165" s="260" t="s">
        <v>514</v>
      </c>
      <c r="T1165" s="260" t="s">
        <v>239</v>
      </c>
      <c r="U1165" s="260" t="s">
        <v>514</v>
      </c>
    </row>
    <row r="1166" spans="1:21" ht="14.5" x14ac:dyDescent="0.35">
      <c r="A1166" s="260" t="s">
        <v>747</v>
      </c>
      <c r="B1166" s="190">
        <v>45722</v>
      </c>
      <c r="C1166" s="197">
        <v>59676</v>
      </c>
      <c r="D1166" s="197">
        <v>0</v>
      </c>
      <c r="E1166" s="197">
        <v>0</v>
      </c>
      <c r="F1166" s="197">
        <v>0</v>
      </c>
      <c r="G1166" s="197">
        <v>47988</v>
      </c>
      <c r="H1166" s="197">
        <v>11690</v>
      </c>
      <c r="I1166" s="197">
        <v>0</v>
      </c>
      <c r="J1166" s="197">
        <v>59678</v>
      </c>
      <c r="K1166" s="197">
        <v>59678</v>
      </c>
      <c r="L1166" s="197">
        <v>12012</v>
      </c>
      <c r="M1166" s="197">
        <v>0</v>
      </c>
      <c r="N1166" s="197">
        <v>0</v>
      </c>
      <c r="O1166" s="197">
        <v>0</v>
      </c>
      <c r="P1166" s="197">
        <v>2</v>
      </c>
      <c r="Q1166" s="197">
        <v>3.351431061071608E-5</v>
      </c>
      <c r="R1166" s="260" t="s">
        <v>239</v>
      </c>
      <c r="S1166" s="260" t="s">
        <v>514</v>
      </c>
      <c r="T1166" s="260" t="s">
        <v>239</v>
      </c>
      <c r="U1166" s="260" t="s">
        <v>514</v>
      </c>
    </row>
    <row r="1167" spans="1:21" ht="14.5" x14ac:dyDescent="0.35">
      <c r="A1167" s="260" t="s">
        <v>747</v>
      </c>
      <c r="B1167" s="190">
        <v>45723</v>
      </c>
      <c r="C1167" s="197">
        <v>59678</v>
      </c>
      <c r="D1167" s="197">
        <v>0</v>
      </c>
      <c r="E1167" s="197">
        <v>0</v>
      </c>
      <c r="F1167" s="197">
        <v>0</v>
      </c>
      <c r="G1167" s="197">
        <v>47988</v>
      </c>
      <c r="H1167" s="197">
        <v>11692</v>
      </c>
      <c r="I1167" s="197">
        <v>0</v>
      </c>
      <c r="J1167" s="197">
        <v>59680</v>
      </c>
      <c r="K1167" s="197">
        <v>59680</v>
      </c>
      <c r="L1167" s="197">
        <v>12012</v>
      </c>
      <c r="M1167" s="197">
        <v>0</v>
      </c>
      <c r="N1167" s="197">
        <v>0</v>
      </c>
      <c r="O1167" s="197">
        <v>0</v>
      </c>
      <c r="P1167" s="197">
        <v>2</v>
      </c>
      <c r="Q1167" s="197">
        <v>3.3513187439160319E-5</v>
      </c>
      <c r="R1167" s="260" t="s">
        <v>239</v>
      </c>
      <c r="S1167" s="260" t="s">
        <v>514</v>
      </c>
      <c r="T1167" s="260" t="s">
        <v>239</v>
      </c>
      <c r="U1167" s="260" t="s">
        <v>514</v>
      </c>
    </row>
    <row r="1168" spans="1:21" ht="14.5" x14ac:dyDescent="0.35">
      <c r="A1168" s="260" t="s">
        <v>747</v>
      </c>
      <c r="B1168" s="190">
        <v>45724</v>
      </c>
      <c r="C1168" s="197">
        <v>59680</v>
      </c>
      <c r="D1168" s="197">
        <v>0</v>
      </c>
      <c r="E1168" s="197">
        <v>0</v>
      </c>
      <c r="F1168" s="197">
        <v>0</v>
      </c>
      <c r="G1168" s="197">
        <v>47988</v>
      </c>
      <c r="H1168" s="197">
        <v>11692</v>
      </c>
      <c r="I1168" s="197">
        <v>0</v>
      </c>
      <c r="J1168" s="197">
        <v>59680</v>
      </c>
      <c r="K1168" s="197">
        <v>59680</v>
      </c>
      <c r="L1168" s="197">
        <v>12012</v>
      </c>
      <c r="M1168" s="197">
        <v>0</v>
      </c>
      <c r="N1168" s="197">
        <v>0</v>
      </c>
      <c r="O1168" s="197">
        <v>0</v>
      </c>
      <c r="P1168" s="197">
        <v>0</v>
      </c>
      <c r="Q1168" s="197">
        <v>0</v>
      </c>
      <c r="R1168" s="260" t="s">
        <v>239</v>
      </c>
      <c r="S1168" s="260" t="s">
        <v>514</v>
      </c>
      <c r="T1168" s="260" t="s">
        <v>239</v>
      </c>
      <c r="U1168" s="260" t="s">
        <v>514</v>
      </c>
    </row>
    <row r="1169" spans="1:21" ht="14.5" x14ac:dyDescent="0.35">
      <c r="A1169" s="260" t="s">
        <v>747</v>
      </c>
      <c r="B1169" s="190">
        <v>45725</v>
      </c>
      <c r="C1169" s="197">
        <v>59680</v>
      </c>
      <c r="D1169" s="197">
        <v>0</v>
      </c>
      <c r="E1169" s="197">
        <v>0</v>
      </c>
      <c r="F1169" s="197">
        <v>0</v>
      </c>
      <c r="G1169" s="197">
        <v>47988</v>
      </c>
      <c r="H1169" s="197">
        <v>11692</v>
      </c>
      <c r="I1169" s="197">
        <v>0</v>
      </c>
      <c r="J1169" s="197">
        <v>59680</v>
      </c>
      <c r="K1169" s="197">
        <v>59680</v>
      </c>
      <c r="L1169" s="197">
        <v>12012</v>
      </c>
      <c r="M1169" s="197">
        <v>0</v>
      </c>
      <c r="N1169" s="197">
        <v>0</v>
      </c>
      <c r="O1169" s="197">
        <v>0</v>
      </c>
      <c r="P1169" s="197">
        <v>0</v>
      </c>
      <c r="Q1169" s="197">
        <v>0</v>
      </c>
      <c r="R1169" s="260" t="s">
        <v>239</v>
      </c>
      <c r="S1169" s="260" t="s">
        <v>514</v>
      </c>
      <c r="T1169" s="260" t="s">
        <v>239</v>
      </c>
      <c r="U1169" s="260" t="s">
        <v>514</v>
      </c>
    </row>
    <row r="1170" spans="1:21" ht="14.5" x14ac:dyDescent="0.35">
      <c r="A1170" s="260" t="s">
        <v>747</v>
      </c>
      <c r="B1170" s="190">
        <v>45726</v>
      </c>
      <c r="C1170" s="197">
        <v>59680</v>
      </c>
      <c r="D1170" s="197">
        <v>0</v>
      </c>
      <c r="E1170" s="197">
        <v>0</v>
      </c>
      <c r="F1170" s="197">
        <v>0</v>
      </c>
      <c r="G1170" s="197">
        <v>47988</v>
      </c>
      <c r="H1170" s="197">
        <v>11698</v>
      </c>
      <c r="I1170" s="197">
        <v>0</v>
      </c>
      <c r="J1170" s="197">
        <v>59686</v>
      </c>
      <c r="K1170" s="197">
        <v>59686</v>
      </c>
      <c r="L1170" s="197">
        <v>12012</v>
      </c>
      <c r="M1170" s="197">
        <v>0</v>
      </c>
      <c r="N1170" s="197">
        <v>0</v>
      </c>
      <c r="O1170" s="197">
        <v>0</v>
      </c>
      <c r="P1170" s="197">
        <v>6</v>
      </c>
      <c r="Q1170" s="197">
        <v>1.0053619302952121E-4</v>
      </c>
      <c r="R1170" s="260" t="s">
        <v>239</v>
      </c>
      <c r="S1170" s="260" t="s">
        <v>514</v>
      </c>
      <c r="T1170" s="260" t="s">
        <v>239</v>
      </c>
      <c r="U1170" s="260" t="s">
        <v>514</v>
      </c>
    </row>
    <row r="1171" spans="1:21" ht="14.5" x14ac:dyDescent="0.35">
      <c r="A1171" s="260" t="s">
        <v>747</v>
      </c>
      <c r="B1171" s="190">
        <v>45727</v>
      </c>
      <c r="C1171" s="197">
        <v>59686</v>
      </c>
      <c r="D1171" s="197">
        <v>0</v>
      </c>
      <c r="E1171" s="197">
        <v>0</v>
      </c>
      <c r="F1171" s="197">
        <v>0</v>
      </c>
      <c r="G1171" s="197">
        <v>47988</v>
      </c>
      <c r="H1171" s="197">
        <v>11700</v>
      </c>
      <c r="I1171" s="197">
        <v>0</v>
      </c>
      <c r="J1171" s="197">
        <v>59688</v>
      </c>
      <c r="K1171" s="197">
        <v>59688</v>
      </c>
      <c r="L1171" s="197">
        <v>12012</v>
      </c>
      <c r="M1171" s="197">
        <v>0</v>
      </c>
      <c r="N1171" s="197">
        <v>0</v>
      </c>
      <c r="O1171" s="197">
        <v>0</v>
      </c>
      <c r="P1171" s="197">
        <v>2</v>
      </c>
      <c r="Q1171" s="197">
        <v>3.3508695506556663E-5</v>
      </c>
      <c r="R1171" s="260" t="s">
        <v>239</v>
      </c>
      <c r="S1171" s="260" t="s">
        <v>514</v>
      </c>
      <c r="T1171" s="260" t="s">
        <v>239</v>
      </c>
      <c r="U1171" s="260" t="s">
        <v>514</v>
      </c>
    </row>
    <row r="1172" spans="1:21" ht="14.5" x14ac:dyDescent="0.35">
      <c r="A1172" s="260" t="s">
        <v>747</v>
      </c>
      <c r="B1172" s="190">
        <v>45728</v>
      </c>
      <c r="C1172" s="197">
        <v>59688</v>
      </c>
      <c r="D1172" s="197">
        <v>0</v>
      </c>
      <c r="E1172" s="197">
        <v>0</v>
      </c>
      <c r="F1172" s="197">
        <v>0</v>
      </c>
      <c r="G1172" s="197">
        <v>47988</v>
      </c>
      <c r="H1172" s="197">
        <v>11702</v>
      </c>
      <c r="I1172" s="197">
        <v>0</v>
      </c>
      <c r="J1172" s="197">
        <v>59690</v>
      </c>
      <c r="K1172" s="197">
        <v>59690</v>
      </c>
      <c r="L1172" s="197">
        <v>12012</v>
      </c>
      <c r="M1172" s="197">
        <v>0</v>
      </c>
      <c r="N1172" s="197">
        <v>0</v>
      </c>
      <c r="O1172" s="197">
        <v>0</v>
      </c>
      <c r="P1172" s="197">
        <v>2</v>
      </c>
      <c r="Q1172" s="197">
        <v>3.3507572711366507E-5</v>
      </c>
      <c r="R1172" s="260" t="s">
        <v>239</v>
      </c>
      <c r="S1172" s="260" t="s">
        <v>514</v>
      </c>
      <c r="T1172" s="260" t="s">
        <v>239</v>
      </c>
      <c r="U1172" s="260" t="s">
        <v>514</v>
      </c>
    </row>
    <row r="1173" spans="1:21" ht="14.5" x14ac:dyDescent="0.35">
      <c r="A1173" s="260" t="s">
        <v>747</v>
      </c>
      <c r="B1173" s="190">
        <v>45729</v>
      </c>
      <c r="C1173" s="197">
        <v>59690</v>
      </c>
      <c r="D1173" s="197">
        <v>0</v>
      </c>
      <c r="E1173" s="197">
        <v>0</v>
      </c>
      <c r="F1173" s="197">
        <v>0</v>
      </c>
      <c r="G1173" s="197">
        <v>47988</v>
      </c>
      <c r="H1173" s="197">
        <v>11704</v>
      </c>
      <c r="I1173" s="197">
        <v>0</v>
      </c>
      <c r="J1173" s="197">
        <v>59692</v>
      </c>
      <c r="K1173" s="197">
        <v>59692</v>
      </c>
      <c r="L1173" s="197">
        <v>12012</v>
      </c>
      <c r="M1173" s="197">
        <v>0</v>
      </c>
      <c r="N1173" s="197">
        <v>0</v>
      </c>
      <c r="O1173" s="197">
        <v>0</v>
      </c>
      <c r="P1173" s="197">
        <v>2</v>
      </c>
      <c r="Q1173" s="197">
        <v>3.3506449991671516E-5</v>
      </c>
      <c r="R1173" s="260" t="s">
        <v>239</v>
      </c>
      <c r="S1173" s="260" t="s">
        <v>514</v>
      </c>
      <c r="T1173" s="260" t="s">
        <v>239</v>
      </c>
      <c r="U1173" s="260" t="s">
        <v>514</v>
      </c>
    </row>
    <row r="1174" spans="1:21" ht="14.5" x14ac:dyDescent="0.35">
      <c r="A1174" s="260" t="s">
        <v>747</v>
      </c>
      <c r="B1174" s="190">
        <v>45730</v>
      </c>
      <c r="C1174" s="197">
        <v>59692</v>
      </c>
      <c r="D1174" s="197">
        <v>0</v>
      </c>
      <c r="E1174" s="197">
        <v>0</v>
      </c>
      <c r="F1174" s="197">
        <v>0</v>
      </c>
      <c r="G1174" s="197">
        <v>47988</v>
      </c>
      <c r="H1174" s="197">
        <v>11706</v>
      </c>
      <c r="I1174" s="197">
        <v>0</v>
      </c>
      <c r="J1174" s="197">
        <v>59694</v>
      </c>
      <c r="K1174" s="197">
        <v>59694</v>
      </c>
      <c r="L1174" s="197">
        <v>12012</v>
      </c>
      <c r="M1174" s="197">
        <v>0</v>
      </c>
      <c r="N1174" s="197">
        <v>0</v>
      </c>
      <c r="O1174" s="197">
        <v>0</v>
      </c>
      <c r="P1174" s="197">
        <v>2</v>
      </c>
      <c r="Q1174" s="197">
        <v>3.3505327347027603E-5</v>
      </c>
      <c r="R1174" s="260" t="s">
        <v>239</v>
      </c>
      <c r="S1174" s="260" t="s">
        <v>514</v>
      </c>
      <c r="T1174" s="260" t="s">
        <v>239</v>
      </c>
      <c r="U1174" s="260" t="s">
        <v>514</v>
      </c>
    </row>
    <row r="1175" spans="1:21" ht="14.5" x14ac:dyDescent="0.35">
      <c r="A1175" s="260" t="s">
        <v>747</v>
      </c>
      <c r="B1175" s="190">
        <v>45731</v>
      </c>
      <c r="C1175" s="197">
        <v>59694</v>
      </c>
      <c r="D1175" s="197">
        <v>0</v>
      </c>
      <c r="E1175" s="197">
        <v>0</v>
      </c>
      <c r="F1175" s="197">
        <v>0</v>
      </c>
      <c r="G1175" s="197">
        <v>47988</v>
      </c>
      <c r="H1175" s="197">
        <v>11706</v>
      </c>
      <c r="I1175" s="197">
        <v>0</v>
      </c>
      <c r="J1175" s="197">
        <v>59694</v>
      </c>
      <c r="K1175" s="197">
        <v>59694</v>
      </c>
      <c r="L1175" s="197">
        <v>12012</v>
      </c>
      <c r="M1175" s="197">
        <v>0</v>
      </c>
      <c r="N1175" s="197">
        <v>0</v>
      </c>
      <c r="O1175" s="197">
        <v>0</v>
      </c>
      <c r="P1175" s="197">
        <v>0</v>
      </c>
      <c r="Q1175" s="197">
        <v>0</v>
      </c>
      <c r="R1175" s="260" t="s">
        <v>239</v>
      </c>
      <c r="S1175" s="260" t="s">
        <v>514</v>
      </c>
      <c r="T1175" s="260" t="s">
        <v>239</v>
      </c>
      <c r="U1175" s="260" t="s">
        <v>514</v>
      </c>
    </row>
    <row r="1176" spans="1:21" ht="14.5" x14ac:dyDescent="0.35">
      <c r="A1176" s="260" t="s">
        <v>747</v>
      </c>
      <c r="B1176" s="190">
        <v>45732</v>
      </c>
      <c r="C1176" s="197">
        <v>59694</v>
      </c>
      <c r="D1176" s="197">
        <v>0</v>
      </c>
      <c r="E1176" s="197">
        <v>0</v>
      </c>
      <c r="F1176" s="197">
        <v>0</v>
      </c>
      <c r="G1176" s="197">
        <v>47988</v>
      </c>
      <c r="H1176" s="197">
        <v>11706</v>
      </c>
      <c r="I1176" s="197">
        <v>0</v>
      </c>
      <c r="J1176" s="197">
        <v>59694</v>
      </c>
      <c r="K1176" s="197">
        <v>59694</v>
      </c>
      <c r="L1176" s="197">
        <v>12012</v>
      </c>
      <c r="M1176" s="197">
        <v>0</v>
      </c>
      <c r="N1176" s="197">
        <v>0</v>
      </c>
      <c r="O1176" s="197">
        <v>0</v>
      </c>
      <c r="P1176" s="197">
        <v>0</v>
      </c>
      <c r="Q1176" s="197">
        <v>0</v>
      </c>
      <c r="R1176" s="260" t="s">
        <v>239</v>
      </c>
      <c r="S1176" s="260" t="s">
        <v>514</v>
      </c>
      <c r="T1176" s="260" t="s">
        <v>239</v>
      </c>
      <c r="U1176" s="260" t="s">
        <v>514</v>
      </c>
    </row>
    <row r="1177" spans="1:21" ht="14.5" x14ac:dyDescent="0.35">
      <c r="A1177" s="260" t="s">
        <v>747</v>
      </c>
      <c r="B1177" s="190">
        <v>45733</v>
      </c>
      <c r="C1177" s="197">
        <v>59694</v>
      </c>
      <c r="D1177" s="197">
        <v>0</v>
      </c>
      <c r="E1177" s="197">
        <v>0</v>
      </c>
      <c r="F1177" s="197">
        <v>0</v>
      </c>
      <c r="G1177" s="197">
        <v>47988</v>
      </c>
      <c r="H1177" s="197">
        <v>11712</v>
      </c>
      <c r="I1177" s="197">
        <v>0</v>
      </c>
      <c r="J1177" s="197">
        <v>59700</v>
      </c>
      <c r="K1177" s="197">
        <v>59700</v>
      </c>
      <c r="L1177" s="197">
        <v>12012</v>
      </c>
      <c r="M1177" s="197">
        <v>0</v>
      </c>
      <c r="N1177" s="197">
        <v>0</v>
      </c>
      <c r="O1177" s="197">
        <v>0</v>
      </c>
      <c r="P1177" s="197">
        <v>6</v>
      </c>
      <c r="Q1177" s="197">
        <v>1.0051261433319247E-4</v>
      </c>
      <c r="R1177" s="260" t="s">
        <v>239</v>
      </c>
      <c r="S1177" s="260" t="s">
        <v>514</v>
      </c>
      <c r="T1177" s="260" t="s">
        <v>239</v>
      </c>
      <c r="U1177" s="260" t="s">
        <v>514</v>
      </c>
    </row>
    <row r="1178" spans="1:21" ht="14.5" x14ac:dyDescent="0.35">
      <c r="A1178" s="260" t="s">
        <v>747</v>
      </c>
      <c r="B1178" s="190">
        <v>45734</v>
      </c>
      <c r="C1178" s="197">
        <v>59700</v>
      </c>
      <c r="D1178" s="197">
        <v>0</v>
      </c>
      <c r="E1178" s="197">
        <v>0</v>
      </c>
      <c r="F1178" s="197">
        <v>0</v>
      </c>
      <c r="G1178" s="197">
        <v>47988</v>
      </c>
      <c r="H1178" s="197">
        <v>11714</v>
      </c>
      <c r="I1178" s="197">
        <v>0</v>
      </c>
      <c r="J1178" s="197">
        <v>59702</v>
      </c>
      <c r="K1178" s="197">
        <v>59702</v>
      </c>
      <c r="L1178" s="197">
        <v>12012</v>
      </c>
      <c r="M1178" s="197">
        <v>0</v>
      </c>
      <c r="N1178" s="197">
        <v>0</v>
      </c>
      <c r="O1178" s="197">
        <v>0</v>
      </c>
      <c r="P1178" s="197">
        <v>2</v>
      </c>
      <c r="Q1178" s="197">
        <v>3.3500837520961113E-5</v>
      </c>
      <c r="R1178" s="260" t="s">
        <v>239</v>
      </c>
      <c r="S1178" s="260" t="s">
        <v>514</v>
      </c>
      <c r="T1178" s="260" t="s">
        <v>239</v>
      </c>
      <c r="U1178" s="260" t="s">
        <v>514</v>
      </c>
    </row>
    <row r="1179" spans="1:21" ht="14.5" x14ac:dyDescent="0.35">
      <c r="A1179" s="260" t="s">
        <v>747</v>
      </c>
      <c r="B1179" s="190">
        <v>45735</v>
      </c>
      <c r="C1179" s="197">
        <v>59702</v>
      </c>
      <c r="D1179" s="197">
        <v>0</v>
      </c>
      <c r="E1179" s="197">
        <v>0</v>
      </c>
      <c r="F1179" s="197">
        <v>0</v>
      </c>
      <c r="G1179" s="197">
        <v>47988</v>
      </c>
      <c r="H1179" s="197">
        <v>11716</v>
      </c>
      <c r="I1179" s="197">
        <v>0</v>
      </c>
      <c r="J1179" s="197">
        <v>59704</v>
      </c>
      <c r="K1179" s="197">
        <v>59704</v>
      </c>
      <c r="L1179" s="197">
        <v>12012</v>
      </c>
      <c r="M1179" s="197">
        <v>0</v>
      </c>
      <c r="N1179" s="197">
        <v>0</v>
      </c>
      <c r="O1179" s="197">
        <v>0</v>
      </c>
      <c r="P1179" s="197">
        <v>2</v>
      </c>
      <c r="Q1179" s="197">
        <v>3.349971525246076E-5</v>
      </c>
      <c r="R1179" s="260" t="s">
        <v>239</v>
      </c>
      <c r="S1179" s="260" t="s">
        <v>514</v>
      </c>
      <c r="T1179" s="260" t="s">
        <v>239</v>
      </c>
      <c r="U1179" s="260" t="s">
        <v>514</v>
      </c>
    </row>
    <row r="1180" spans="1:21" ht="14.5" x14ac:dyDescent="0.35">
      <c r="A1180" s="260" t="s">
        <v>747</v>
      </c>
      <c r="B1180" s="190">
        <v>45736</v>
      </c>
      <c r="C1180" s="197">
        <v>59704</v>
      </c>
      <c r="D1180" s="197">
        <v>0</v>
      </c>
      <c r="E1180" s="197">
        <v>0</v>
      </c>
      <c r="F1180" s="197">
        <v>0</v>
      </c>
      <c r="G1180" s="197">
        <v>47988</v>
      </c>
      <c r="H1180" s="197">
        <v>11718</v>
      </c>
      <c r="I1180" s="197">
        <v>0</v>
      </c>
      <c r="J1180" s="197">
        <v>59706</v>
      </c>
      <c r="K1180" s="197">
        <v>59706</v>
      </c>
      <c r="L1180" s="197">
        <v>12012</v>
      </c>
      <c r="M1180" s="197">
        <v>0</v>
      </c>
      <c r="N1180" s="197">
        <v>0</v>
      </c>
      <c r="O1180" s="197">
        <v>0</v>
      </c>
      <c r="P1180" s="197">
        <v>2</v>
      </c>
      <c r="Q1180" s="197">
        <v>3.3498593059011483E-5</v>
      </c>
      <c r="R1180" s="260" t="s">
        <v>239</v>
      </c>
      <c r="S1180" s="260" t="s">
        <v>514</v>
      </c>
      <c r="T1180" s="260" t="s">
        <v>239</v>
      </c>
      <c r="U1180" s="260" t="s">
        <v>514</v>
      </c>
    </row>
    <row r="1181" spans="1:21" ht="14.5" x14ac:dyDescent="0.35">
      <c r="A1181" s="260" t="s">
        <v>747</v>
      </c>
      <c r="B1181" s="190">
        <v>45737</v>
      </c>
      <c r="C1181" s="197">
        <v>59706</v>
      </c>
      <c r="D1181" s="197">
        <v>0</v>
      </c>
      <c r="E1181" s="197">
        <v>0</v>
      </c>
      <c r="F1181" s="197">
        <v>0</v>
      </c>
      <c r="G1181" s="197">
        <v>47988</v>
      </c>
      <c r="H1181" s="197">
        <v>11720</v>
      </c>
      <c r="I1181" s="197">
        <v>0</v>
      </c>
      <c r="J1181" s="197">
        <v>59708</v>
      </c>
      <c r="K1181" s="197">
        <v>59708</v>
      </c>
      <c r="L1181" s="197">
        <v>12012</v>
      </c>
      <c r="M1181" s="197">
        <v>0</v>
      </c>
      <c r="N1181" s="197">
        <v>0</v>
      </c>
      <c r="O1181" s="197">
        <v>0</v>
      </c>
      <c r="P1181" s="197">
        <v>2</v>
      </c>
      <c r="Q1181" s="197">
        <v>3.3497470940835328E-5</v>
      </c>
      <c r="R1181" s="260" t="s">
        <v>239</v>
      </c>
      <c r="S1181" s="260" t="s">
        <v>514</v>
      </c>
      <c r="T1181" s="260" t="s">
        <v>239</v>
      </c>
      <c r="U1181" s="260" t="s">
        <v>514</v>
      </c>
    </row>
    <row r="1182" spans="1:21" ht="14.5" x14ac:dyDescent="0.35">
      <c r="A1182" s="260" t="s">
        <v>747</v>
      </c>
      <c r="B1182" s="190">
        <v>45738</v>
      </c>
      <c r="C1182" s="197">
        <v>59708</v>
      </c>
      <c r="D1182" s="197">
        <v>0</v>
      </c>
      <c r="E1182" s="197">
        <v>0</v>
      </c>
      <c r="F1182" s="197">
        <v>0</v>
      </c>
      <c r="G1182" s="197">
        <v>47988</v>
      </c>
      <c r="H1182" s="197">
        <v>11720</v>
      </c>
      <c r="I1182" s="197">
        <v>0</v>
      </c>
      <c r="J1182" s="197">
        <v>59708</v>
      </c>
      <c r="K1182" s="197">
        <v>59708</v>
      </c>
      <c r="L1182" s="197">
        <v>12012</v>
      </c>
      <c r="M1182" s="197">
        <v>0</v>
      </c>
      <c r="N1182" s="197">
        <v>0</v>
      </c>
      <c r="O1182" s="197">
        <v>0</v>
      </c>
      <c r="P1182" s="197">
        <v>0</v>
      </c>
      <c r="Q1182" s="197">
        <v>0</v>
      </c>
      <c r="R1182" s="260" t="s">
        <v>239</v>
      </c>
      <c r="S1182" s="260" t="s">
        <v>514</v>
      </c>
      <c r="T1182" s="260" t="s">
        <v>239</v>
      </c>
      <c r="U1182" s="260" t="s">
        <v>514</v>
      </c>
    </row>
    <row r="1183" spans="1:21" ht="14.5" x14ac:dyDescent="0.35">
      <c r="A1183" s="260" t="s">
        <v>747</v>
      </c>
      <c r="B1183" s="190">
        <v>45739</v>
      </c>
      <c r="C1183" s="197">
        <v>59708</v>
      </c>
      <c r="D1183" s="197">
        <v>0</v>
      </c>
      <c r="E1183" s="197">
        <v>0</v>
      </c>
      <c r="F1183" s="197">
        <v>0</v>
      </c>
      <c r="G1183" s="197">
        <v>47988</v>
      </c>
      <c r="H1183" s="197">
        <v>11720</v>
      </c>
      <c r="I1183" s="197">
        <v>0</v>
      </c>
      <c r="J1183" s="197">
        <v>59708</v>
      </c>
      <c r="K1183" s="197">
        <v>59708</v>
      </c>
      <c r="L1183" s="197">
        <v>12012</v>
      </c>
      <c r="M1183" s="197">
        <v>0</v>
      </c>
      <c r="N1183" s="197">
        <v>0</v>
      </c>
      <c r="O1183" s="197">
        <v>0</v>
      </c>
      <c r="P1183" s="197">
        <v>0</v>
      </c>
      <c r="Q1183" s="197">
        <v>0</v>
      </c>
      <c r="R1183" s="260" t="s">
        <v>239</v>
      </c>
      <c r="S1183" s="260" t="s">
        <v>514</v>
      </c>
      <c r="T1183" s="260" t="s">
        <v>239</v>
      </c>
      <c r="U1183" s="260" t="s">
        <v>514</v>
      </c>
    </row>
    <row r="1184" spans="1:21" ht="14.5" x14ac:dyDescent="0.35">
      <c r="A1184" s="260" t="s">
        <v>747</v>
      </c>
      <c r="B1184" s="190">
        <v>45740</v>
      </c>
      <c r="C1184" s="197">
        <v>59708</v>
      </c>
      <c r="D1184" s="197">
        <v>0</v>
      </c>
      <c r="E1184" s="197">
        <v>0</v>
      </c>
      <c r="F1184" s="197">
        <v>0</v>
      </c>
      <c r="G1184" s="197">
        <v>47988</v>
      </c>
      <c r="H1184" s="197">
        <v>11726</v>
      </c>
      <c r="I1184" s="197">
        <v>0</v>
      </c>
      <c r="J1184" s="197">
        <v>59714</v>
      </c>
      <c r="K1184" s="197">
        <v>59714</v>
      </c>
      <c r="L1184" s="197">
        <v>12012</v>
      </c>
      <c r="M1184" s="197">
        <v>0</v>
      </c>
      <c r="N1184" s="197">
        <v>0</v>
      </c>
      <c r="O1184" s="197">
        <v>0</v>
      </c>
      <c r="P1184" s="197">
        <v>6</v>
      </c>
      <c r="Q1184" s="197">
        <v>1.0048904669401892E-4</v>
      </c>
      <c r="R1184" s="260" t="s">
        <v>239</v>
      </c>
      <c r="S1184" s="260" t="s">
        <v>514</v>
      </c>
      <c r="T1184" s="260" t="s">
        <v>239</v>
      </c>
      <c r="U1184" s="260" t="s">
        <v>514</v>
      </c>
    </row>
    <row r="1185" spans="1:21" ht="14.5" x14ac:dyDescent="0.35">
      <c r="A1185" s="260" t="s">
        <v>747</v>
      </c>
      <c r="B1185" s="190">
        <v>45741</v>
      </c>
      <c r="C1185" s="197">
        <v>59714</v>
      </c>
      <c r="D1185" s="197">
        <v>0</v>
      </c>
      <c r="E1185" s="197">
        <v>0</v>
      </c>
      <c r="F1185" s="197">
        <v>0</v>
      </c>
      <c r="G1185" s="197">
        <v>47988</v>
      </c>
      <c r="H1185" s="197">
        <v>11728</v>
      </c>
      <c r="I1185" s="197">
        <v>0</v>
      </c>
      <c r="J1185" s="197">
        <v>59716</v>
      </c>
      <c r="K1185" s="197">
        <v>59716</v>
      </c>
      <c r="L1185" s="197">
        <v>12012</v>
      </c>
      <c r="M1185" s="197">
        <v>0</v>
      </c>
      <c r="N1185" s="197">
        <v>0</v>
      </c>
      <c r="O1185" s="197">
        <v>0</v>
      </c>
      <c r="P1185" s="197">
        <v>2</v>
      </c>
      <c r="Q1185" s="197">
        <v>3.3492983219973738E-5</v>
      </c>
      <c r="R1185" s="260" t="s">
        <v>239</v>
      </c>
      <c r="S1185" s="260" t="s">
        <v>514</v>
      </c>
      <c r="T1185" s="260" t="s">
        <v>239</v>
      </c>
      <c r="U1185" s="260" t="s">
        <v>514</v>
      </c>
    </row>
    <row r="1186" spans="1:21" ht="14.5" x14ac:dyDescent="0.35">
      <c r="A1186" s="260" t="s">
        <v>747</v>
      </c>
      <c r="B1186" s="190">
        <v>45742</v>
      </c>
      <c r="C1186" s="197">
        <v>59716</v>
      </c>
      <c r="D1186" s="197">
        <v>0</v>
      </c>
      <c r="E1186" s="197">
        <v>0</v>
      </c>
      <c r="F1186" s="197">
        <v>0</v>
      </c>
      <c r="G1186" s="197">
        <v>47988</v>
      </c>
      <c r="H1186" s="197">
        <v>11730</v>
      </c>
      <c r="I1186" s="197">
        <v>0</v>
      </c>
      <c r="J1186" s="197">
        <v>59718</v>
      </c>
      <c r="K1186" s="197">
        <v>59718</v>
      </c>
      <c r="L1186" s="197">
        <v>12012</v>
      </c>
      <c r="M1186" s="197">
        <v>0</v>
      </c>
      <c r="N1186" s="197">
        <v>0</v>
      </c>
      <c r="O1186" s="197">
        <v>0</v>
      </c>
      <c r="P1186" s="197">
        <v>2</v>
      </c>
      <c r="Q1186" s="197">
        <v>3.3491861477719098E-5</v>
      </c>
      <c r="R1186" s="260" t="s">
        <v>239</v>
      </c>
      <c r="S1186" s="260" t="s">
        <v>514</v>
      </c>
      <c r="T1186" s="260" t="s">
        <v>239</v>
      </c>
      <c r="U1186" s="260" t="s">
        <v>514</v>
      </c>
    </row>
    <row r="1187" spans="1:21" ht="14.5" x14ac:dyDescent="0.35">
      <c r="A1187" s="260" t="s">
        <v>747</v>
      </c>
      <c r="B1187" s="190">
        <v>45743</v>
      </c>
      <c r="C1187" s="197">
        <v>59718</v>
      </c>
      <c r="D1187" s="197">
        <v>0</v>
      </c>
      <c r="E1187" s="197">
        <v>0</v>
      </c>
      <c r="F1187" s="197">
        <v>0</v>
      </c>
      <c r="G1187" s="197">
        <v>47988</v>
      </c>
      <c r="H1187" s="197">
        <v>11732</v>
      </c>
      <c r="I1187" s="197">
        <v>0</v>
      </c>
      <c r="J1187" s="197">
        <v>59720</v>
      </c>
      <c r="K1187" s="197">
        <v>59720</v>
      </c>
      <c r="L1187" s="197">
        <v>12012</v>
      </c>
      <c r="M1187" s="197">
        <v>0</v>
      </c>
      <c r="N1187" s="197">
        <v>0</v>
      </c>
      <c r="O1187" s="197">
        <v>0</v>
      </c>
      <c r="P1187" s="197">
        <v>2</v>
      </c>
      <c r="Q1187" s="197">
        <v>3.3490739810515535E-5</v>
      </c>
      <c r="R1187" s="260" t="s">
        <v>239</v>
      </c>
      <c r="S1187" s="260" t="s">
        <v>514</v>
      </c>
      <c r="T1187" s="260" t="s">
        <v>239</v>
      </c>
      <c r="U1187" s="260" t="s">
        <v>514</v>
      </c>
    </row>
    <row r="1188" spans="1:21" ht="14.5" x14ac:dyDescent="0.35">
      <c r="A1188" s="260" t="s">
        <v>747</v>
      </c>
      <c r="B1188" s="190">
        <v>45744</v>
      </c>
      <c r="C1188" s="197">
        <v>59720</v>
      </c>
      <c r="D1188" s="197">
        <v>0</v>
      </c>
      <c r="E1188" s="197">
        <v>0</v>
      </c>
      <c r="F1188" s="197">
        <v>0</v>
      </c>
      <c r="G1188" s="197">
        <v>47988</v>
      </c>
      <c r="H1188" s="197">
        <v>11734</v>
      </c>
      <c r="I1188" s="197">
        <v>0</v>
      </c>
      <c r="J1188" s="197">
        <v>59722</v>
      </c>
      <c r="K1188" s="197">
        <v>59722</v>
      </c>
      <c r="L1188" s="197">
        <v>12012</v>
      </c>
      <c r="M1188" s="197">
        <v>0</v>
      </c>
      <c r="N1188" s="197">
        <v>0</v>
      </c>
      <c r="O1188" s="197">
        <v>0</v>
      </c>
      <c r="P1188" s="197">
        <v>2</v>
      </c>
      <c r="Q1188" s="197">
        <v>3.3489618218363049E-5</v>
      </c>
      <c r="R1188" s="260" t="s">
        <v>239</v>
      </c>
      <c r="S1188" s="260" t="s">
        <v>514</v>
      </c>
      <c r="T1188" s="260" t="s">
        <v>239</v>
      </c>
      <c r="U1188" s="260" t="s">
        <v>514</v>
      </c>
    </row>
    <row r="1189" spans="1:21" ht="14.5" x14ac:dyDescent="0.35">
      <c r="A1189" s="260" t="s">
        <v>747</v>
      </c>
      <c r="B1189" s="190">
        <v>45745</v>
      </c>
      <c r="C1189" s="197">
        <v>59722</v>
      </c>
      <c r="D1189" s="197">
        <v>0</v>
      </c>
      <c r="E1189" s="197">
        <v>0</v>
      </c>
      <c r="F1189" s="197">
        <v>0</v>
      </c>
      <c r="G1189" s="197">
        <v>47988</v>
      </c>
      <c r="H1189" s="197">
        <v>11734</v>
      </c>
      <c r="I1189" s="197">
        <v>0</v>
      </c>
      <c r="J1189" s="197">
        <v>59722</v>
      </c>
      <c r="K1189" s="197">
        <v>59722</v>
      </c>
      <c r="L1189" s="197">
        <v>12012</v>
      </c>
      <c r="M1189" s="197">
        <v>0</v>
      </c>
      <c r="N1189" s="197">
        <v>0</v>
      </c>
      <c r="O1189" s="197">
        <v>0</v>
      </c>
      <c r="P1189" s="197">
        <v>0</v>
      </c>
      <c r="Q1189" s="197">
        <v>0</v>
      </c>
      <c r="R1189" s="260" t="s">
        <v>239</v>
      </c>
      <c r="S1189" s="260" t="s">
        <v>514</v>
      </c>
      <c r="T1189" s="260" t="s">
        <v>239</v>
      </c>
      <c r="U1189" s="260" t="s">
        <v>514</v>
      </c>
    </row>
    <row r="1190" spans="1:21" ht="14.5" x14ac:dyDescent="0.35">
      <c r="A1190" s="260" t="s">
        <v>747</v>
      </c>
      <c r="B1190" s="190">
        <v>45746</v>
      </c>
      <c r="C1190" s="197">
        <v>59722</v>
      </c>
      <c r="D1190" s="197">
        <v>0</v>
      </c>
      <c r="E1190" s="197">
        <v>0</v>
      </c>
      <c r="F1190" s="197">
        <v>0</v>
      </c>
      <c r="G1190" s="197">
        <v>47988</v>
      </c>
      <c r="H1190" s="197">
        <v>11734</v>
      </c>
      <c r="I1190" s="197">
        <v>0</v>
      </c>
      <c r="J1190" s="197">
        <v>59722</v>
      </c>
      <c r="K1190" s="197">
        <v>59722</v>
      </c>
      <c r="L1190" s="197">
        <v>12012</v>
      </c>
      <c r="M1190" s="197">
        <v>0</v>
      </c>
      <c r="N1190" s="197">
        <v>0</v>
      </c>
      <c r="O1190" s="197">
        <v>0</v>
      </c>
      <c r="P1190" s="197">
        <v>0</v>
      </c>
      <c r="Q1190" s="197">
        <v>0</v>
      </c>
      <c r="R1190" s="260" t="s">
        <v>239</v>
      </c>
      <c r="S1190" s="260" t="s">
        <v>514</v>
      </c>
      <c r="T1190" s="260" t="s">
        <v>239</v>
      </c>
      <c r="U1190" s="260" t="s">
        <v>514</v>
      </c>
    </row>
    <row r="1191" spans="1:21" ht="14.5" x14ac:dyDescent="0.35">
      <c r="A1191" s="260" t="s">
        <v>747</v>
      </c>
      <c r="B1191" s="190">
        <v>45747</v>
      </c>
      <c r="C1191" s="197">
        <v>59722</v>
      </c>
      <c r="D1191" s="197">
        <v>0</v>
      </c>
      <c r="E1191" s="197">
        <v>0</v>
      </c>
      <c r="F1191" s="197">
        <v>0</v>
      </c>
      <c r="G1191" s="197">
        <v>47988</v>
      </c>
      <c r="H1191" s="197">
        <v>11740</v>
      </c>
      <c r="I1191" s="197">
        <v>0</v>
      </c>
      <c r="J1191" s="197">
        <v>59728</v>
      </c>
      <c r="K1191" s="197">
        <v>59728</v>
      </c>
      <c r="L1191" s="197">
        <v>12012</v>
      </c>
      <c r="M1191" s="197">
        <v>0</v>
      </c>
      <c r="N1191" s="197">
        <v>0</v>
      </c>
      <c r="O1191" s="197">
        <v>0</v>
      </c>
      <c r="P1191" s="197">
        <v>6</v>
      </c>
      <c r="Q1191" s="197">
        <v>1.00465490104229E-4</v>
      </c>
      <c r="R1191" s="260" t="s">
        <v>239</v>
      </c>
      <c r="S1191" s="260" t="s">
        <v>514</v>
      </c>
      <c r="T1191" s="260" t="s">
        <v>239</v>
      </c>
      <c r="U1191" s="260" t="s">
        <v>514</v>
      </c>
    </row>
    <row r="1192" spans="1:21" ht="14.5" x14ac:dyDescent="0.35">
      <c r="A1192" s="260" t="s">
        <v>747</v>
      </c>
      <c r="B1192" s="190">
        <v>45748</v>
      </c>
      <c r="C1192" s="197">
        <v>59728</v>
      </c>
      <c r="D1192" s="197">
        <v>0</v>
      </c>
      <c r="E1192" s="197">
        <v>0</v>
      </c>
      <c r="F1192" s="197">
        <v>0</v>
      </c>
      <c r="G1192" s="197">
        <v>47988</v>
      </c>
      <c r="H1192" s="197">
        <v>11740</v>
      </c>
      <c r="I1192" s="197">
        <v>0</v>
      </c>
      <c r="J1192" s="197">
        <v>59728</v>
      </c>
      <c r="K1192" s="197">
        <v>59728</v>
      </c>
      <c r="L1192" s="197">
        <v>12012</v>
      </c>
      <c r="M1192" s="197">
        <v>0</v>
      </c>
      <c r="N1192" s="197">
        <v>0</v>
      </c>
      <c r="O1192" s="197">
        <v>0</v>
      </c>
      <c r="P1192" s="197">
        <v>0</v>
      </c>
      <c r="Q1192" s="197">
        <v>0</v>
      </c>
      <c r="R1192" s="260" t="s">
        <v>239</v>
      </c>
      <c r="S1192" s="260" t="s">
        <v>514</v>
      </c>
      <c r="T1192" s="260" t="s">
        <v>239</v>
      </c>
      <c r="U1192" s="260" t="s">
        <v>514</v>
      </c>
    </row>
    <row r="1193" spans="1:21" ht="14.5" x14ac:dyDescent="0.35">
      <c r="A1193" s="260" t="s">
        <v>747</v>
      </c>
      <c r="B1193" s="190">
        <v>45749</v>
      </c>
      <c r="C1193" s="197">
        <v>59728</v>
      </c>
      <c r="D1193" s="197">
        <v>0</v>
      </c>
      <c r="E1193" s="197">
        <v>0</v>
      </c>
      <c r="F1193" s="197">
        <v>0</v>
      </c>
      <c r="G1193" s="197">
        <v>47988</v>
      </c>
      <c r="H1193" s="197">
        <v>11747.2</v>
      </c>
      <c r="I1193" s="197">
        <v>0</v>
      </c>
      <c r="J1193" s="197">
        <v>59735.199999999997</v>
      </c>
      <c r="K1193" s="197">
        <v>59735.199999999997</v>
      </c>
      <c r="L1193" s="197">
        <v>12012</v>
      </c>
      <c r="M1193" s="197">
        <v>0</v>
      </c>
      <c r="N1193" s="197">
        <v>0</v>
      </c>
      <c r="O1193" s="197">
        <v>0</v>
      </c>
      <c r="P1193" s="197">
        <v>7.1999999999970896</v>
      </c>
      <c r="Q1193" s="197">
        <v>1.2054647736392532E-4</v>
      </c>
      <c r="R1193" s="260" t="s">
        <v>239</v>
      </c>
      <c r="S1193" s="260" t="s">
        <v>514</v>
      </c>
      <c r="T1193" s="260" t="s">
        <v>239</v>
      </c>
      <c r="U1193" s="260" t="s">
        <v>514</v>
      </c>
    </row>
    <row r="1194" spans="1:21" ht="14.5" x14ac:dyDescent="0.35">
      <c r="A1194" s="260" t="s">
        <v>747</v>
      </c>
      <c r="B1194" s="190">
        <v>45750</v>
      </c>
      <c r="C1194" s="197">
        <v>59735.199999999997</v>
      </c>
      <c r="D1194" s="197">
        <v>0</v>
      </c>
      <c r="E1194" s="197">
        <v>0</v>
      </c>
      <c r="F1194" s="197">
        <v>0</v>
      </c>
      <c r="G1194" s="197">
        <v>47988</v>
      </c>
      <c r="H1194" s="197">
        <v>11754.4</v>
      </c>
      <c r="I1194" s="197">
        <v>0</v>
      </c>
      <c r="J1194" s="197">
        <v>59742.400000000001</v>
      </c>
      <c r="K1194" s="197">
        <v>59742.400000000001</v>
      </c>
      <c r="L1194" s="197">
        <v>12012</v>
      </c>
      <c r="M1194" s="197">
        <v>0</v>
      </c>
      <c r="N1194" s="197">
        <v>0</v>
      </c>
      <c r="O1194" s="197">
        <v>0</v>
      </c>
      <c r="P1194" s="197">
        <v>7.2000000000043656</v>
      </c>
      <c r="Q1194" s="197">
        <v>1.2053194766248332E-4</v>
      </c>
      <c r="R1194" s="260" t="s">
        <v>239</v>
      </c>
      <c r="S1194" s="260" t="s">
        <v>514</v>
      </c>
      <c r="T1194" s="260" t="s">
        <v>239</v>
      </c>
      <c r="U1194" s="260" t="s">
        <v>514</v>
      </c>
    </row>
    <row r="1195" spans="1:21" ht="14.5" x14ac:dyDescent="0.35">
      <c r="A1195" s="260" t="s">
        <v>747</v>
      </c>
      <c r="B1195" s="190">
        <v>45751</v>
      </c>
      <c r="C1195" s="197">
        <v>59742.400000000001</v>
      </c>
      <c r="D1195" s="197">
        <v>0</v>
      </c>
      <c r="E1195" s="197">
        <v>0</v>
      </c>
      <c r="F1195" s="197">
        <v>0</v>
      </c>
      <c r="G1195" s="197">
        <v>47988</v>
      </c>
      <c r="H1195" s="197">
        <v>11760.2</v>
      </c>
      <c r="I1195" s="197">
        <v>0</v>
      </c>
      <c r="J1195" s="197">
        <v>59748.2</v>
      </c>
      <c r="K1195" s="197">
        <v>59748.2</v>
      </c>
      <c r="L1195" s="197">
        <v>12012</v>
      </c>
      <c r="M1195" s="197">
        <v>0</v>
      </c>
      <c r="N1195" s="197">
        <v>0</v>
      </c>
      <c r="O1195" s="197">
        <v>0</v>
      </c>
      <c r="P1195" s="197">
        <v>5.7999999999956344</v>
      </c>
      <c r="Q1195" s="197">
        <v>9.7083478400428191E-5</v>
      </c>
      <c r="R1195" s="260" t="s">
        <v>239</v>
      </c>
      <c r="S1195" s="260" t="s">
        <v>514</v>
      </c>
      <c r="T1195" s="260" t="s">
        <v>239</v>
      </c>
      <c r="U1195" s="260" t="s">
        <v>514</v>
      </c>
    </row>
    <row r="1196" spans="1:21" ht="14.5" x14ac:dyDescent="0.35">
      <c r="A1196" s="260" t="s">
        <v>747</v>
      </c>
      <c r="B1196" s="190">
        <v>45752</v>
      </c>
      <c r="C1196" s="197">
        <v>59748.2</v>
      </c>
      <c r="D1196" s="197">
        <v>0</v>
      </c>
      <c r="E1196" s="197">
        <v>0</v>
      </c>
      <c r="F1196" s="197">
        <v>0</v>
      </c>
      <c r="G1196" s="197">
        <v>47988</v>
      </c>
      <c r="H1196" s="197">
        <v>11760.2</v>
      </c>
      <c r="I1196" s="197">
        <v>0</v>
      </c>
      <c r="J1196" s="197">
        <v>59748.2</v>
      </c>
      <c r="K1196" s="197">
        <v>59748.2</v>
      </c>
      <c r="L1196" s="197">
        <v>12012</v>
      </c>
      <c r="M1196" s="197">
        <v>0</v>
      </c>
      <c r="N1196" s="197">
        <v>0</v>
      </c>
      <c r="O1196" s="197">
        <v>0</v>
      </c>
      <c r="P1196" s="197">
        <v>0</v>
      </c>
      <c r="Q1196" s="197">
        <v>0</v>
      </c>
      <c r="R1196" s="260" t="s">
        <v>239</v>
      </c>
      <c r="S1196" s="260" t="s">
        <v>514</v>
      </c>
      <c r="T1196" s="260" t="s">
        <v>239</v>
      </c>
      <c r="U1196" s="260" t="s">
        <v>514</v>
      </c>
    </row>
    <row r="1197" spans="1:21" ht="14.5" x14ac:dyDescent="0.35">
      <c r="A1197" s="260" t="s">
        <v>747</v>
      </c>
      <c r="B1197" s="190">
        <v>45753</v>
      </c>
      <c r="C1197" s="197">
        <v>59748.2</v>
      </c>
      <c r="D1197" s="197">
        <v>0</v>
      </c>
      <c r="E1197" s="197">
        <v>0</v>
      </c>
      <c r="F1197" s="197">
        <v>0</v>
      </c>
      <c r="G1197" s="197">
        <v>47988</v>
      </c>
      <c r="H1197" s="197">
        <v>11760.2</v>
      </c>
      <c r="I1197" s="197">
        <v>0</v>
      </c>
      <c r="J1197" s="197">
        <v>59748.2</v>
      </c>
      <c r="K1197" s="197">
        <v>59748.2</v>
      </c>
      <c r="L1197" s="197">
        <v>12012</v>
      </c>
      <c r="M1197" s="197">
        <v>0</v>
      </c>
      <c r="N1197" s="197">
        <v>0</v>
      </c>
      <c r="O1197" s="197">
        <v>0</v>
      </c>
      <c r="P1197" s="197">
        <v>0</v>
      </c>
      <c r="Q1197" s="197">
        <v>0</v>
      </c>
      <c r="R1197" s="260" t="s">
        <v>239</v>
      </c>
      <c r="S1197" s="260" t="s">
        <v>514</v>
      </c>
      <c r="T1197" s="260" t="s">
        <v>239</v>
      </c>
      <c r="U1197" s="260" t="s">
        <v>514</v>
      </c>
    </row>
    <row r="1198" spans="1:21" ht="14.5" x14ac:dyDescent="0.35">
      <c r="A1198" s="260" t="s">
        <v>747</v>
      </c>
      <c r="B1198" s="190">
        <v>45754</v>
      </c>
      <c r="C1198" s="197">
        <v>59748.2</v>
      </c>
      <c r="D1198" s="197">
        <v>0</v>
      </c>
      <c r="E1198" s="197">
        <v>0</v>
      </c>
      <c r="F1198" s="197">
        <v>0</v>
      </c>
      <c r="G1198" s="197">
        <v>47988</v>
      </c>
      <c r="H1198" s="197">
        <v>11781.8</v>
      </c>
      <c r="I1198" s="197">
        <v>0</v>
      </c>
      <c r="J1198" s="197">
        <v>59769.8</v>
      </c>
      <c r="K1198" s="197">
        <v>59769.8</v>
      </c>
      <c r="L1198" s="197">
        <v>12012</v>
      </c>
      <c r="M1198" s="197">
        <v>0</v>
      </c>
      <c r="N1198" s="197">
        <v>0</v>
      </c>
      <c r="O1198" s="197">
        <v>0</v>
      </c>
      <c r="P1198" s="197">
        <v>21.600000000005821</v>
      </c>
      <c r="Q1198" s="197">
        <v>3.6151716704435621E-4</v>
      </c>
      <c r="R1198" s="260" t="s">
        <v>239</v>
      </c>
      <c r="S1198" s="260" t="s">
        <v>514</v>
      </c>
      <c r="T1198" s="260" t="s">
        <v>239</v>
      </c>
      <c r="U1198" s="260" t="s">
        <v>514</v>
      </c>
    </row>
    <row r="1199" spans="1:21" ht="14.5" x14ac:dyDescent="0.35">
      <c r="A1199" s="260" t="s">
        <v>747</v>
      </c>
      <c r="B1199" s="190">
        <v>45755</v>
      </c>
      <c r="C1199" s="197">
        <v>59769.8</v>
      </c>
      <c r="D1199" s="197">
        <v>0</v>
      </c>
      <c r="E1199" s="197">
        <v>0</v>
      </c>
      <c r="F1199" s="197">
        <v>0</v>
      </c>
      <c r="G1199" s="197">
        <v>47988</v>
      </c>
      <c r="H1199" s="197">
        <v>11788.6</v>
      </c>
      <c r="I1199" s="197">
        <v>0</v>
      </c>
      <c r="J1199" s="197">
        <v>59776.6</v>
      </c>
      <c r="K1199" s="197">
        <v>59776.6</v>
      </c>
      <c r="L1199" s="197">
        <v>12012</v>
      </c>
      <c r="M1199" s="197">
        <v>0</v>
      </c>
      <c r="N1199" s="197">
        <v>0</v>
      </c>
      <c r="O1199" s="197">
        <v>0</v>
      </c>
      <c r="P1199" s="197">
        <v>6.7999999999956344</v>
      </c>
      <c r="Q1199" s="197">
        <v>1.1376983024868892E-4</v>
      </c>
      <c r="R1199" s="260" t="s">
        <v>239</v>
      </c>
      <c r="S1199" s="260" t="s">
        <v>514</v>
      </c>
      <c r="T1199" s="260" t="s">
        <v>239</v>
      </c>
      <c r="U1199" s="260" t="s">
        <v>514</v>
      </c>
    </row>
    <row r="1200" spans="1:21" ht="14.5" x14ac:dyDescent="0.35">
      <c r="A1200" s="260" t="s">
        <v>747</v>
      </c>
      <c r="B1200" s="190">
        <v>45756</v>
      </c>
      <c r="C1200" s="197">
        <v>59776.6</v>
      </c>
      <c r="D1200" s="197">
        <v>0</v>
      </c>
      <c r="E1200" s="197">
        <v>0</v>
      </c>
      <c r="F1200" s="197">
        <v>0</v>
      </c>
      <c r="G1200" s="197">
        <v>47988</v>
      </c>
      <c r="H1200" s="197">
        <v>11794.8</v>
      </c>
      <c r="I1200" s="197">
        <v>0</v>
      </c>
      <c r="J1200" s="197">
        <v>59782.8</v>
      </c>
      <c r="K1200" s="197">
        <v>59782.8</v>
      </c>
      <c r="L1200" s="197">
        <v>12012</v>
      </c>
      <c r="M1200" s="197">
        <v>0</v>
      </c>
      <c r="N1200" s="197">
        <v>0</v>
      </c>
      <c r="O1200" s="197">
        <v>0</v>
      </c>
      <c r="P1200" s="197">
        <v>6.2000000000043656</v>
      </c>
      <c r="Q1200" s="197">
        <v>1.0371951566345849E-4</v>
      </c>
      <c r="R1200" s="260" t="s">
        <v>239</v>
      </c>
      <c r="S1200" s="260" t="s">
        <v>514</v>
      </c>
      <c r="T1200" s="260" t="s">
        <v>239</v>
      </c>
      <c r="U1200" s="260" t="s">
        <v>514</v>
      </c>
    </row>
    <row r="1201" spans="1:21" ht="14.5" x14ac:dyDescent="0.35">
      <c r="A1201" s="260" t="s">
        <v>747</v>
      </c>
      <c r="B1201" s="190">
        <v>45757</v>
      </c>
      <c r="C1201" s="197">
        <v>59782.8</v>
      </c>
      <c r="D1201" s="197">
        <v>0</v>
      </c>
      <c r="E1201" s="197">
        <v>0</v>
      </c>
      <c r="F1201" s="197">
        <v>0</v>
      </c>
      <c r="G1201" s="197">
        <v>47988</v>
      </c>
      <c r="H1201" s="197">
        <v>11802</v>
      </c>
      <c r="I1201" s="197">
        <v>0</v>
      </c>
      <c r="J1201" s="197">
        <v>59790</v>
      </c>
      <c r="K1201" s="197">
        <v>59790</v>
      </c>
      <c r="L1201" s="197">
        <v>12012</v>
      </c>
      <c r="M1201" s="197">
        <v>0</v>
      </c>
      <c r="N1201" s="197">
        <v>0</v>
      </c>
      <c r="O1201" s="197">
        <v>0</v>
      </c>
      <c r="P1201" s="197">
        <v>7.1999999999970896</v>
      </c>
      <c r="Q1201" s="197">
        <v>1.2043597824118457E-4</v>
      </c>
      <c r="R1201" s="260" t="s">
        <v>239</v>
      </c>
      <c r="S1201" s="260" t="s">
        <v>514</v>
      </c>
      <c r="T1201" s="260" t="s">
        <v>239</v>
      </c>
      <c r="U1201" s="260" t="s">
        <v>514</v>
      </c>
    </row>
    <row r="1202" spans="1:21" ht="14.5" x14ac:dyDescent="0.35">
      <c r="A1202" s="260" t="s">
        <v>747</v>
      </c>
      <c r="B1202" s="190">
        <v>45758</v>
      </c>
      <c r="C1202" s="197">
        <v>59790</v>
      </c>
      <c r="D1202" s="197">
        <v>0</v>
      </c>
      <c r="E1202" s="197">
        <v>0</v>
      </c>
      <c r="F1202" s="197">
        <v>0</v>
      </c>
      <c r="G1202" s="197">
        <v>47988</v>
      </c>
      <c r="H1202" s="197">
        <v>11809.2</v>
      </c>
      <c r="I1202" s="197">
        <v>0</v>
      </c>
      <c r="J1202" s="197">
        <v>59797.2</v>
      </c>
      <c r="K1202" s="197">
        <v>59797.2</v>
      </c>
      <c r="L1202" s="197">
        <v>12012</v>
      </c>
      <c r="M1202" s="197">
        <v>0</v>
      </c>
      <c r="N1202" s="197">
        <v>0</v>
      </c>
      <c r="O1202" s="197">
        <v>0</v>
      </c>
      <c r="P1202" s="197">
        <v>7.1999999999970896</v>
      </c>
      <c r="Q1202" s="197">
        <v>1.2042147516311275E-4</v>
      </c>
      <c r="R1202" s="260" t="s">
        <v>239</v>
      </c>
      <c r="S1202" s="260" t="s">
        <v>514</v>
      </c>
      <c r="T1202" s="260" t="s">
        <v>239</v>
      </c>
      <c r="U1202" s="260" t="s">
        <v>514</v>
      </c>
    </row>
    <row r="1203" spans="1:21" ht="14.5" x14ac:dyDescent="0.35">
      <c r="A1203" s="260" t="s">
        <v>747</v>
      </c>
      <c r="B1203" s="190">
        <v>45759</v>
      </c>
      <c r="C1203" s="197">
        <v>59797.2</v>
      </c>
      <c r="D1203" s="197">
        <v>0</v>
      </c>
      <c r="E1203" s="197">
        <v>0</v>
      </c>
      <c r="F1203" s="197">
        <v>0</v>
      </c>
      <c r="G1203" s="197">
        <v>47988</v>
      </c>
      <c r="H1203" s="197">
        <v>11809.2</v>
      </c>
      <c r="I1203" s="197">
        <v>0</v>
      </c>
      <c r="J1203" s="197">
        <v>59797.2</v>
      </c>
      <c r="K1203" s="197">
        <v>59797.2</v>
      </c>
      <c r="L1203" s="197">
        <v>12012</v>
      </c>
      <c r="M1203" s="197">
        <v>0</v>
      </c>
      <c r="N1203" s="197">
        <v>0</v>
      </c>
      <c r="O1203" s="197">
        <v>0</v>
      </c>
      <c r="P1203" s="197">
        <v>0</v>
      </c>
      <c r="Q1203" s="197">
        <v>0</v>
      </c>
      <c r="R1203" s="260" t="s">
        <v>239</v>
      </c>
      <c r="S1203" s="260" t="s">
        <v>514</v>
      </c>
      <c r="T1203" s="260" t="s">
        <v>239</v>
      </c>
      <c r="U1203" s="260" t="s">
        <v>514</v>
      </c>
    </row>
    <row r="1204" spans="1:21" ht="14.5" x14ac:dyDescent="0.35">
      <c r="A1204" s="260" t="s">
        <v>747</v>
      </c>
      <c r="B1204" s="190">
        <v>45760</v>
      </c>
      <c r="C1204" s="197">
        <v>59797.2</v>
      </c>
      <c r="D1204" s="197">
        <v>0</v>
      </c>
      <c r="E1204" s="197">
        <v>0</v>
      </c>
      <c r="F1204" s="197">
        <v>0</v>
      </c>
      <c r="G1204" s="197">
        <v>47988</v>
      </c>
      <c r="H1204" s="197">
        <v>11809.2</v>
      </c>
      <c r="I1204" s="197">
        <v>0</v>
      </c>
      <c r="J1204" s="197">
        <v>59797.2</v>
      </c>
      <c r="K1204" s="197">
        <v>59797.2</v>
      </c>
      <c r="L1204" s="197">
        <v>12012</v>
      </c>
      <c r="M1204" s="197">
        <v>0</v>
      </c>
      <c r="N1204" s="197">
        <v>0</v>
      </c>
      <c r="O1204" s="197">
        <v>0</v>
      </c>
      <c r="P1204" s="197">
        <v>0</v>
      </c>
      <c r="Q1204" s="197">
        <v>0</v>
      </c>
      <c r="R1204" s="260" t="s">
        <v>239</v>
      </c>
      <c r="S1204" s="260" t="s">
        <v>514</v>
      </c>
      <c r="T1204" s="260" t="s">
        <v>239</v>
      </c>
      <c r="U1204" s="260" t="s">
        <v>514</v>
      </c>
    </row>
    <row r="1205" spans="1:21" ht="14.5" x14ac:dyDescent="0.35">
      <c r="A1205" s="260" t="s">
        <v>747</v>
      </c>
      <c r="B1205" s="190">
        <v>45761</v>
      </c>
      <c r="C1205" s="197">
        <v>59797.2</v>
      </c>
      <c r="D1205" s="197">
        <v>0</v>
      </c>
      <c r="E1205" s="197">
        <v>0</v>
      </c>
      <c r="F1205" s="197">
        <v>0</v>
      </c>
      <c r="G1205" s="197">
        <v>47988</v>
      </c>
      <c r="H1205" s="197">
        <v>11829.400000000001</v>
      </c>
      <c r="I1205" s="197">
        <v>0</v>
      </c>
      <c r="J1205" s="197">
        <v>59817.4</v>
      </c>
      <c r="K1205" s="197">
        <v>59817.4</v>
      </c>
      <c r="L1205" s="197">
        <v>12012</v>
      </c>
      <c r="M1205" s="197">
        <v>0</v>
      </c>
      <c r="N1205" s="197">
        <v>0</v>
      </c>
      <c r="O1205" s="197">
        <v>0</v>
      </c>
      <c r="P1205" s="197">
        <v>20.200000000004366</v>
      </c>
      <c r="Q1205" s="197">
        <v>3.3780845925912573E-4</v>
      </c>
      <c r="R1205" s="260" t="s">
        <v>239</v>
      </c>
      <c r="S1205" s="260" t="s">
        <v>514</v>
      </c>
      <c r="T1205" s="260" t="s">
        <v>239</v>
      </c>
      <c r="U1205" s="260" t="s">
        <v>514</v>
      </c>
    </row>
    <row r="1206" spans="1:21" ht="14.5" x14ac:dyDescent="0.35">
      <c r="A1206" s="260" t="s">
        <v>747</v>
      </c>
      <c r="B1206" s="190">
        <v>45762</v>
      </c>
      <c r="C1206" s="197">
        <v>59817.4</v>
      </c>
      <c r="D1206" s="197">
        <v>0</v>
      </c>
      <c r="E1206" s="197">
        <v>0</v>
      </c>
      <c r="F1206" s="197">
        <v>0</v>
      </c>
      <c r="G1206" s="197">
        <v>47988</v>
      </c>
      <c r="H1206" s="197">
        <v>11836.600000000002</v>
      </c>
      <c r="I1206" s="197">
        <v>0</v>
      </c>
      <c r="J1206" s="197">
        <v>59824.600000000006</v>
      </c>
      <c r="K1206" s="197">
        <v>59824.600000000006</v>
      </c>
      <c r="L1206" s="197">
        <v>12012</v>
      </c>
      <c r="M1206" s="197">
        <v>0</v>
      </c>
      <c r="N1206" s="197">
        <v>0</v>
      </c>
      <c r="O1206" s="197">
        <v>0</v>
      </c>
      <c r="P1206" s="197">
        <v>7.2000000000043656</v>
      </c>
      <c r="Q1206" s="197">
        <v>1.2036631481815441E-4</v>
      </c>
      <c r="R1206" s="260" t="s">
        <v>239</v>
      </c>
      <c r="S1206" s="260" t="s">
        <v>514</v>
      </c>
      <c r="T1206" s="260" t="s">
        <v>239</v>
      </c>
      <c r="U1206" s="260" t="s">
        <v>514</v>
      </c>
    </row>
    <row r="1207" spans="1:21" ht="14.5" x14ac:dyDescent="0.35">
      <c r="A1207" s="260" t="s">
        <v>747</v>
      </c>
      <c r="B1207" s="190">
        <v>45763</v>
      </c>
      <c r="C1207" s="197">
        <v>59824.600000000006</v>
      </c>
      <c r="D1207" s="197">
        <v>0</v>
      </c>
      <c r="E1207" s="197">
        <v>0</v>
      </c>
      <c r="F1207" s="197">
        <v>0</v>
      </c>
      <c r="G1207" s="197">
        <v>47988</v>
      </c>
      <c r="H1207" s="197">
        <v>11843.399999999998</v>
      </c>
      <c r="I1207" s="197">
        <v>0</v>
      </c>
      <c r="J1207" s="197">
        <v>59831.399999999994</v>
      </c>
      <c r="K1207" s="197">
        <v>59831.399999999994</v>
      </c>
      <c r="L1207" s="197">
        <v>12012</v>
      </c>
      <c r="M1207" s="197">
        <v>0</v>
      </c>
      <c r="N1207" s="197">
        <v>0</v>
      </c>
      <c r="O1207" s="197">
        <v>0</v>
      </c>
      <c r="P1207" s="197">
        <v>6.7999999999883585</v>
      </c>
      <c r="Q1207" s="197">
        <v>1.1366561581671597E-4</v>
      </c>
      <c r="R1207" s="260" t="s">
        <v>239</v>
      </c>
      <c r="S1207" s="260" t="s">
        <v>514</v>
      </c>
      <c r="T1207" s="260" t="s">
        <v>239</v>
      </c>
      <c r="U1207" s="260" t="s">
        <v>514</v>
      </c>
    </row>
    <row r="1208" spans="1:21" ht="14.5" x14ac:dyDescent="0.35">
      <c r="A1208" s="260" t="s">
        <v>747</v>
      </c>
      <c r="B1208" s="190">
        <v>45764</v>
      </c>
      <c r="C1208" s="197">
        <v>59831.399999999994</v>
      </c>
      <c r="D1208" s="197">
        <v>0</v>
      </c>
      <c r="E1208" s="197">
        <v>0</v>
      </c>
      <c r="F1208" s="197">
        <v>0</v>
      </c>
      <c r="G1208" s="197">
        <v>47988</v>
      </c>
      <c r="H1208" s="197">
        <v>11850.599999999999</v>
      </c>
      <c r="I1208" s="197">
        <v>0</v>
      </c>
      <c r="J1208" s="197">
        <v>59838.6</v>
      </c>
      <c r="K1208" s="197">
        <v>59838.6</v>
      </c>
      <c r="L1208" s="197">
        <v>12012</v>
      </c>
      <c r="M1208" s="197">
        <v>0</v>
      </c>
      <c r="N1208" s="197">
        <v>0</v>
      </c>
      <c r="O1208" s="197">
        <v>0</v>
      </c>
      <c r="P1208" s="197">
        <v>7.2000000000043656</v>
      </c>
      <c r="Q1208" s="197">
        <v>1.2033815020218164E-4</v>
      </c>
      <c r="R1208" s="260" t="s">
        <v>239</v>
      </c>
      <c r="S1208" s="260" t="s">
        <v>514</v>
      </c>
      <c r="T1208" s="260" t="s">
        <v>239</v>
      </c>
      <c r="U1208" s="260" t="s">
        <v>514</v>
      </c>
    </row>
    <row r="1209" spans="1:21" ht="14.5" x14ac:dyDescent="0.35">
      <c r="A1209" s="260" t="s">
        <v>747</v>
      </c>
      <c r="B1209" s="190">
        <v>45765</v>
      </c>
      <c r="C1209" s="197">
        <v>59838.6</v>
      </c>
      <c r="D1209" s="197">
        <v>0</v>
      </c>
      <c r="E1209" s="197">
        <v>0</v>
      </c>
      <c r="F1209" s="197">
        <v>0</v>
      </c>
      <c r="G1209" s="197">
        <v>47988</v>
      </c>
      <c r="H1209" s="197">
        <v>11856.8</v>
      </c>
      <c r="I1209" s="197">
        <v>0</v>
      </c>
      <c r="J1209" s="197">
        <v>59844.800000000003</v>
      </c>
      <c r="K1209" s="197">
        <v>59844.800000000003</v>
      </c>
      <c r="L1209" s="197">
        <v>12012</v>
      </c>
      <c r="M1209" s="197">
        <v>0</v>
      </c>
      <c r="N1209" s="197">
        <v>0</v>
      </c>
      <c r="O1209" s="197">
        <v>0</v>
      </c>
      <c r="P1209" s="197">
        <v>6.2000000000043656</v>
      </c>
      <c r="Q1209" s="197">
        <v>1.0361204974729255E-4</v>
      </c>
      <c r="R1209" s="260" t="s">
        <v>239</v>
      </c>
      <c r="S1209" s="260" t="s">
        <v>514</v>
      </c>
      <c r="T1209" s="260" t="s">
        <v>239</v>
      </c>
      <c r="U1209" s="260" t="s">
        <v>514</v>
      </c>
    </row>
    <row r="1210" spans="1:21" ht="14.5" x14ac:dyDescent="0.35">
      <c r="A1210" s="260" t="s">
        <v>747</v>
      </c>
      <c r="B1210" s="190">
        <v>45766</v>
      </c>
      <c r="C1210" s="197">
        <v>59844.800000000003</v>
      </c>
      <c r="D1210" s="197">
        <v>0</v>
      </c>
      <c r="E1210" s="197">
        <v>0</v>
      </c>
      <c r="F1210" s="197">
        <v>0</v>
      </c>
      <c r="G1210" s="197">
        <v>47988</v>
      </c>
      <c r="H1210" s="197">
        <v>11856.8</v>
      </c>
      <c r="I1210" s="197">
        <v>0</v>
      </c>
      <c r="J1210" s="197">
        <v>59844.800000000003</v>
      </c>
      <c r="K1210" s="197">
        <v>59844.800000000003</v>
      </c>
      <c r="L1210" s="197">
        <v>12012</v>
      </c>
      <c r="M1210" s="197">
        <v>0</v>
      </c>
      <c r="N1210" s="197">
        <v>0</v>
      </c>
      <c r="O1210" s="197">
        <v>0</v>
      </c>
      <c r="P1210" s="197">
        <v>0</v>
      </c>
      <c r="Q1210" s="197">
        <v>0</v>
      </c>
      <c r="R1210" s="260" t="s">
        <v>239</v>
      </c>
      <c r="S1210" s="260" t="s">
        <v>514</v>
      </c>
      <c r="T1210" s="260" t="s">
        <v>239</v>
      </c>
      <c r="U1210" s="260" t="s">
        <v>514</v>
      </c>
    </row>
    <row r="1211" spans="1:21" ht="14.5" x14ac:dyDescent="0.35">
      <c r="A1211" s="260" t="s">
        <v>747</v>
      </c>
      <c r="B1211" s="190">
        <v>45767</v>
      </c>
      <c r="C1211" s="197">
        <v>59844.800000000003</v>
      </c>
      <c r="D1211" s="197">
        <v>0</v>
      </c>
      <c r="E1211" s="197">
        <v>0</v>
      </c>
      <c r="F1211" s="197">
        <v>0</v>
      </c>
      <c r="G1211" s="197">
        <v>47988</v>
      </c>
      <c r="H1211" s="197">
        <v>11856.8</v>
      </c>
      <c r="I1211" s="197">
        <v>0</v>
      </c>
      <c r="J1211" s="197">
        <v>59844.800000000003</v>
      </c>
      <c r="K1211" s="197">
        <v>59844.800000000003</v>
      </c>
      <c r="L1211" s="197">
        <v>12012</v>
      </c>
      <c r="M1211" s="197">
        <v>0</v>
      </c>
      <c r="N1211" s="197">
        <v>0</v>
      </c>
      <c r="O1211" s="197">
        <v>0</v>
      </c>
      <c r="P1211" s="197">
        <v>0</v>
      </c>
      <c r="Q1211" s="197">
        <v>0</v>
      </c>
      <c r="R1211" s="260" t="s">
        <v>239</v>
      </c>
      <c r="S1211" s="260" t="s">
        <v>514</v>
      </c>
      <c r="T1211" s="260" t="s">
        <v>239</v>
      </c>
      <c r="U1211" s="260" t="s">
        <v>514</v>
      </c>
    </row>
    <row r="1212" spans="1:21" ht="14.5" x14ac:dyDescent="0.35">
      <c r="A1212" s="260" t="s">
        <v>747</v>
      </c>
      <c r="B1212" s="190">
        <v>45768</v>
      </c>
      <c r="C1212" s="197">
        <v>59844.800000000003</v>
      </c>
      <c r="D1212" s="197">
        <v>0</v>
      </c>
      <c r="E1212" s="197">
        <v>0</v>
      </c>
      <c r="F1212" s="197">
        <v>0</v>
      </c>
      <c r="G1212" s="197">
        <v>47988</v>
      </c>
      <c r="H1212" s="197">
        <v>11878</v>
      </c>
      <c r="I1212" s="197">
        <v>0</v>
      </c>
      <c r="J1212" s="197">
        <v>59866</v>
      </c>
      <c r="K1212" s="197">
        <v>59866</v>
      </c>
      <c r="L1212" s="197">
        <v>12012</v>
      </c>
      <c r="M1212" s="197">
        <v>0</v>
      </c>
      <c r="N1212" s="197">
        <v>0</v>
      </c>
      <c r="O1212" s="197">
        <v>0</v>
      </c>
      <c r="P1212" s="197">
        <v>21.19999999999709</v>
      </c>
      <c r="Q1212" s="197">
        <v>3.5424965911823314E-4</v>
      </c>
      <c r="R1212" s="260" t="s">
        <v>239</v>
      </c>
      <c r="S1212" s="260" t="s">
        <v>514</v>
      </c>
      <c r="T1212" s="260" t="s">
        <v>239</v>
      </c>
      <c r="U1212" s="260" t="s">
        <v>514</v>
      </c>
    </row>
    <row r="1213" spans="1:21" ht="14.5" x14ac:dyDescent="0.35">
      <c r="A1213" s="260" t="s">
        <v>747</v>
      </c>
      <c r="B1213" s="190">
        <v>45769</v>
      </c>
      <c r="C1213" s="197">
        <v>59866</v>
      </c>
      <c r="D1213" s="197">
        <v>0</v>
      </c>
      <c r="E1213" s="197">
        <v>0</v>
      </c>
      <c r="F1213" s="197">
        <v>0</v>
      </c>
      <c r="G1213" s="197">
        <v>47988</v>
      </c>
      <c r="H1213" s="197">
        <v>11885.2</v>
      </c>
      <c r="I1213" s="197">
        <v>0</v>
      </c>
      <c r="J1213" s="197">
        <v>59873.2</v>
      </c>
      <c r="K1213" s="197">
        <v>59873.2</v>
      </c>
      <c r="L1213" s="197">
        <v>12012</v>
      </c>
      <c r="M1213" s="197">
        <v>0</v>
      </c>
      <c r="N1213" s="197">
        <v>0</v>
      </c>
      <c r="O1213" s="197">
        <v>0</v>
      </c>
      <c r="P1213" s="197">
        <v>7.1999999999970896</v>
      </c>
      <c r="Q1213" s="197">
        <v>1.2026859987290806E-4</v>
      </c>
      <c r="R1213" s="260" t="s">
        <v>239</v>
      </c>
      <c r="S1213" s="260" t="s">
        <v>514</v>
      </c>
      <c r="T1213" s="260" t="s">
        <v>239</v>
      </c>
      <c r="U1213" s="260" t="s">
        <v>514</v>
      </c>
    </row>
    <row r="1214" spans="1:21" ht="14.5" x14ac:dyDescent="0.35">
      <c r="A1214" s="260" t="s">
        <v>747</v>
      </c>
      <c r="B1214" s="190">
        <v>45770</v>
      </c>
      <c r="C1214" s="197">
        <v>59873.2</v>
      </c>
      <c r="D1214" s="197">
        <v>0</v>
      </c>
      <c r="E1214" s="197">
        <v>0</v>
      </c>
      <c r="F1214" s="197">
        <v>0</v>
      </c>
      <c r="G1214" s="197">
        <v>47988</v>
      </c>
      <c r="H1214" s="197">
        <v>11891.4</v>
      </c>
      <c r="I1214" s="197">
        <v>0</v>
      </c>
      <c r="J1214" s="197">
        <v>59879.4</v>
      </c>
      <c r="K1214" s="197">
        <v>59879.4</v>
      </c>
      <c r="L1214" s="197">
        <v>12012</v>
      </c>
      <c r="M1214" s="197">
        <v>0</v>
      </c>
      <c r="N1214" s="197">
        <v>0</v>
      </c>
      <c r="O1214" s="197">
        <v>0</v>
      </c>
      <c r="P1214" s="197">
        <v>6.2000000000043656</v>
      </c>
      <c r="Q1214" s="197">
        <v>1.0355217359370172E-4</v>
      </c>
      <c r="R1214" s="260" t="s">
        <v>239</v>
      </c>
      <c r="S1214" s="260" t="s">
        <v>514</v>
      </c>
      <c r="T1214" s="260" t="s">
        <v>239</v>
      </c>
      <c r="U1214" s="260" t="s">
        <v>514</v>
      </c>
    </row>
    <row r="1215" spans="1:21" ht="14.5" x14ac:dyDescent="0.35">
      <c r="A1215" s="260" t="s">
        <v>747</v>
      </c>
      <c r="B1215" s="190">
        <v>45771</v>
      </c>
      <c r="C1215" s="197">
        <v>59879.4</v>
      </c>
      <c r="D1215" s="197">
        <v>0</v>
      </c>
      <c r="E1215" s="197">
        <v>0</v>
      </c>
      <c r="F1215" s="197">
        <v>0</v>
      </c>
      <c r="G1215" s="197">
        <v>47988</v>
      </c>
      <c r="H1215" s="197">
        <v>11898.2</v>
      </c>
      <c r="I1215" s="197">
        <v>0</v>
      </c>
      <c r="J1215" s="197">
        <v>59886.2</v>
      </c>
      <c r="K1215" s="197">
        <v>59886.2</v>
      </c>
      <c r="L1215" s="197">
        <v>12012</v>
      </c>
      <c r="M1215" s="197">
        <v>0</v>
      </c>
      <c r="N1215" s="197">
        <v>0</v>
      </c>
      <c r="O1215" s="197">
        <v>0</v>
      </c>
      <c r="P1215" s="197">
        <v>6.7999999999956344</v>
      </c>
      <c r="Q1215" s="197">
        <v>1.1356159213349315E-4</v>
      </c>
      <c r="R1215" s="260" t="s">
        <v>239</v>
      </c>
      <c r="S1215" s="260" t="s">
        <v>514</v>
      </c>
      <c r="T1215" s="260" t="s">
        <v>239</v>
      </c>
      <c r="U1215" s="260" t="s">
        <v>514</v>
      </c>
    </row>
    <row r="1216" spans="1:21" ht="14.5" x14ac:dyDescent="0.35">
      <c r="A1216" s="260" t="s">
        <v>747</v>
      </c>
      <c r="B1216" s="190">
        <v>45772</v>
      </c>
      <c r="C1216" s="197">
        <v>59886.2</v>
      </c>
      <c r="D1216" s="197">
        <v>0</v>
      </c>
      <c r="E1216" s="197">
        <v>0</v>
      </c>
      <c r="F1216" s="197">
        <v>0</v>
      </c>
      <c r="G1216" s="197">
        <v>47988</v>
      </c>
      <c r="H1216" s="197">
        <v>11905.4</v>
      </c>
      <c r="I1216" s="197">
        <v>0</v>
      </c>
      <c r="J1216" s="197">
        <v>59893.4</v>
      </c>
      <c r="K1216" s="197">
        <v>59893.4</v>
      </c>
      <c r="L1216" s="197">
        <v>12012</v>
      </c>
      <c r="M1216" s="197">
        <v>0</v>
      </c>
      <c r="N1216" s="197">
        <v>0</v>
      </c>
      <c r="O1216" s="197">
        <v>0</v>
      </c>
      <c r="P1216" s="197">
        <v>7.2000000000043656</v>
      </c>
      <c r="Q1216" s="197">
        <v>1.2022803250166803E-4</v>
      </c>
      <c r="R1216" s="260" t="s">
        <v>239</v>
      </c>
      <c r="S1216" s="260" t="s">
        <v>514</v>
      </c>
      <c r="T1216" s="260" t="s">
        <v>239</v>
      </c>
      <c r="U1216" s="260" t="s">
        <v>514</v>
      </c>
    </row>
    <row r="1217" spans="1:21" ht="14.5" x14ac:dyDescent="0.35">
      <c r="A1217" s="260" t="s">
        <v>747</v>
      </c>
      <c r="B1217" s="190">
        <v>45773</v>
      </c>
      <c r="C1217" s="197">
        <v>59893.4</v>
      </c>
      <c r="D1217" s="197">
        <v>0</v>
      </c>
      <c r="E1217" s="197">
        <v>0</v>
      </c>
      <c r="F1217" s="197">
        <v>0</v>
      </c>
      <c r="G1217" s="197">
        <v>47988</v>
      </c>
      <c r="H1217" s="197">
        <v>11905.4</v>
      </c>
      <c r="I1217" s="197">
        <v>0</v>
      </c>
      <c r="J1217" s="197">
        <v>59893.4</v>
      </c>
      <c r="K1217" s="197">
        <v>59893.4</v>
      </c>
      <c r="L1217" s="197">
        <v>12012</v>
      </c>
      <c r="M1217" s="197">
        <v>0</v>
      </c>
      <c r="N1217" s="197">
        <v>0</v>
      </c>
      <c r="O1217" s="197">
        <v>0</v>
      </c>
      <c r="P1217" s="197">
        <v>0</v>
      </c>
      <c r="Q1217" s="197">
        <v>0</v>
      </c>
      <c r="R1217" s="260" t="s">
        <v>239</v>
      </c>
      <c r="S1217" s="260" t="s">
        <v>514</v>
      </c>
      <c r="T1217" s="260" t="s">
        <v>239</v>
      </c>
      <c r="U1217" s="260" t="s">
        <v>514</v>
      </c>
    </row>
    <row r="1218" spans="1:21" ht="14.5" x14ac:dyDescent="0.35">
      <c r="A1218" s="260" t="s">
        <v>747</v>
      </c>
      <c r="B1218" s="190">
        <v>45774</v>
      </c>
      <c r="C1218" s="197">
        <v>59893.4</v>
      </c>
      <c r="D1218" s="197">
        <v>0</v>
      </c>
      <c r="E1218" s="197">
        <v>0</v>
      </c>
      <c r="F1218" s="197">
        <v>0</v>
      </c>
      <c r="G1218" s="197">
        <v>47988</v>
      </c>
      <c r="H1218" s="197">
        <v>11905.4</v>
      </c>
      <c r="I1218" s="197">
        <v>0</v>
      </c>
      <c r="J1218" s="197">
        <v>59893.4</v>
      </c>
      <c r="K1218" s="197">
        <v>59893.4</v>
      </c>
      <c r="L1218" s="197">
        <v>12012</v>
      </c>
      <c r="M1218" s="197">
        <v>0</v>
      </c>
      <c r="N1218" s="197">
        <v>0</v>
      </c>
      <c r="O1218" s="197">
        <v>0</v>
      </c>
      <c r="P1218" s="197">
        <v>0</v>
      </c>
      <c r="Q1218" s="197">
        <v>0</v>
      </c>
      <c r="R1218" s="260" t="s">
        <v>239</v>
      </c>
      <c r="S1218" s="260" t="s">
        <v>514</v>
      </c>
      <c r="T1218" s="260" t="s">
        <v>239</v>
      </c>
      <c r="U1218" s="260" t="s">
        <v>514</v>
      </c>
    </row>
    <row r="1219" spans="1:21" ht="14.5" x14ac:dyDescent="0.35">
      <c r="A1219" s="260" t="s">
        <v>747</v>
      </c>
      <c r="B1219" s="190">
        <v>45775</v>
      </c>
      <c r="C1219" s="197">
        <v>59893.4</v>
      </c>
      <c r="D1219" s="197">
        <v>0</v>
      </c>
      <c r="E1219" s="197">
        <v>0</v>
      </c>
      <c r="F1219" s="197">
        <v>0</v>
      </c>
      <c r="G1219" s="197">
        <v>47988</v>
      </c>
      <c r="H1219" s="197">
        <v>11925.6</v>
      </c>
      <c r="I1219" s="197">
        <v>0</v>
      </c>
      <c r="J1219" s="197">
        <v>59913.599999999999</v>
      </c>
      <c r="K1219" s="197">
        <v>59913.599999999999</v>
      </c>
      <c r="L1219" s="197">
        <v>12012</v>
      </c>
      <c r="M1219" s="197">
        <v>0</v>
      </c>
      <c r="N1219" s="197">
        <v>0</v>
      </c>
      <c r="O1219" s="197">
        <v>0</v>
      </c>
      <c r="P1219" s="197">
        <v>20.19999999999709</v>
      </c>
      <c r="Q1219" s="197">
        <v>3.3726587570570565E-4</v>
      </c>
      <c r="R1219" s="260" t="s">
        <v>239</v>
      </c>
      <c r="S1219" s="260" t="s">
        <v>514</v>
      </c>
      <c r="T1219" s="260" t="s">
        <v>239</v>
      </c>
      <c r="U1219" s="260" t="s">
        <v>514</v>
      </c>
    </row>
    <row r="1220" spans="1:21" ht="14.5" x14ac:dyDescent="0.35">
      <c r="A1220" s="260" t="s">
        <v>747</v>
      </c>
      <c r="B1220" s="190">
        <v>45776</v>
      </c>
      <c r="C1220" s="197">
        <v>59913.599999999999</v>
      </c>
      <c r="D1220" s="197">
        <v>0</v>
      </c>
      <c r="E1220" s="197">
        <v>0</v>
      </c>
      <c r="F1220" s="197">
        <v>0</v>
      </c>
      <c r="G1220" s="197">
        <v>47988</v>
      </c>
      <c r="H1220" s="197">
        <v>11932.8</v>
      </c>
      <c r="I1220" s="197">
        <v>0</v>
      </c>
      <c r="J1220" s="197">
        <v>59920.800000000003</v>
      </c>
      <c r="K1220" s="197">
        <v>59920.800000000003</v>
      </c>
      <c r="L1220" s="197">
        <v>12012</v>
      </c>
      <c r="M1220" s="197">
        <v>0</v>
      </c>
      <c r="N1220" s="197">
        <v>0</v>
      </c>
      <c r="O1220" s="197">
        <v>0</v>
      </c>
      <c r="P1220" s="197">
        <v>7.2000000000043656</v>
      </c>
      <c r="Q1220" s="197">
        <v>1.2017304919087479E-4</v>
      </c>
      <c r="R1220" s="260" t="s">
        <v>239</v>
      </c>
      <c r="S1220" s="260" t="s">
        <v>514</v>
      </c>
      <c r="T1220" s="260" t="s">
        <v>239</v>
      </c>
      <c r="U1220" s="260" t="s">
        <v>514</v>
      </c>
    </row>
    <row r="1221" spans="1:21" ht="14.5" x14ac:dyDescent="0.35">
      <c r="A1221" s="260" t="s">
        <v>747</v>
      </c>
      <c r="B1221" s="190">
        <v>45777</v>
      </c>
      <c r="C1221" s="197">
        <v>59920.800000000003</v>
      </c>
      <c r="D1221" s="197">
        <v>0</v>
      </c>
      <c r="E1221" s="197">
        <v>0</v>
      </c>
      <c r="F1221" s="197">
        <v>0</v>
      </c>
      <c r="G1221" s="197">
        <v>47988</v>
      </c>
      <c r="H1221" s="197">
        <v>11940</v>
      </c>
      <c r="I1221" s="197">
        <v>0</v>
      </c>
      <c r="J1221" s="197">
        <v>59928</v>
      </c>
      <c r="K1221" s="197">
        <v>59928</v>
      </c>
      <c r="L1221" s="197">
        <v>12012</v>
      </c>
      <c r="M1221" s="197">
        <v>0</v>
      </c>
      <c r="N1221" s="197">
        <v>0</v>
      </c>
      <c r="O1221" s="197">
        <v>0</v>
      </c>
      <c r="P1221" s="197">
        <v>7.1999999999970896</v>
      </c>
      <c r="Q1221" s="197">
        <v>1.2015860936420708E-4</v>
      </c>
      <c r="R1221" s="260" t="s">
        <v>239</v>
      </c>
      <c r="S1221" s="260" t="s">
        <v>514</v>
      </c>
      <c r="T1221" s="260" t="s">
        <v>239</v>
      </c>
      <c r="U1221" s="260" t="s">
        <v>514</v>
      </c>
    </row>
    <row r="1222" spans="1:21" ht="14.5" x14ac:dyDescent="0.35">
      <c r="A1222" s="260" t="s">
        <v>747</v>
      </c>
      <c r="B1222" s="190">
        <v>45778</v>
      </c>
      <c r="C1222" s="197">
        <v>59928</v>
      </c>
      <c r="D1222" s="197">
        <v>0</v>
      </c>
      <c r="E1222" s="197">
        <v>0</v>
      </c>
      <c r="F1222" s="197">
        <v>0</v>
      </c>
      <c r="G1222" s="197">
        <v>47988</v>
      </c>
      <c r="H1222" s="197">
        <v>11940</v>
      </c>
      <c r="I1222" s="197">
        <v>0</v>
      </c>
      <c r="J1222" s="197">
        <v>59928</v>
      </c>
      <c r="K1222" s="197">
        <v>59928</v>
      </c>
      <c r="L1222" s="197">
        <v>12012</v>
      </c>
      <c r="M1222" s="197">
        <v>0</v>
      </c>
      <c r="N1222" s="197">
        <v>0</v>
      </c>
      <c r="O1222" s="197">
        <v>0</v>
      </c>
      <c r="P1222" s="197">
        <v>0</v>
      </c>
      <c r="Q1222" s="197">
        <v>0</v>
      </c>
      <c r="R1222" s="260" t="s">
        <v>239</v>
      </c>
      <c r="S1222" s="260" t="s">
        <v>514</v>
      </c>
      <c r="T1222" s="260" t="s">
        <v>239</v>
      </c>
      <c r="U1222" s="260" t="s">
        <v>514</v>
      </c>
    </row>
    <row r="1223" spans="1:21" ht="14.5" x14ac:dyDescent="0.35">
      <c r="A1223" s="260" t="s">
        <v>747</v>
      </c>
      <c r="B1223" s="190">
        <v>45779</v>
      </c>
      <c r="C1223" s="197">
        <v>59928</v>
      </c>
      <c r="D1223" s="197">
        <v>0</v>
      </c>
      <c r="E1223" s="197">
        <v>0</v>
      </c>
      <c r="F1223" s="197">
        <v>0</v>
      </c>
      <c r="G1223" s="197">
        <v>47988</v>
      </c>
      <c r="H1223" s="197">
        <v>11957.2</v>
      </c>
      <c r="I1223" s="197">
        <v>0</v>
      </c>
      <c r="J1223" s="197">
        <v>59945.2</v>
      </c>
      <c r="K1223" s="197">
        <v>59945.2</v>
      </c>
      <c r="L1223" s="197">
        <v>12012</v>
      </c>
      <c r="M1223" s="197">
        <v>0</v>
      </c>
      <c r="N1223" s="197">
        <v>0</v>
      </c>
      <c r="O1223" s="197">
        <v>0</v>
      </c>
      <c r="P1223" s="197">
        <v>17.19999999999709</v>
      </c>
      <c r="Q1223" s="197">
        <v>2.8701107996265129E-4</v>
      </c>
      <c r="R1223" s="260" t="s">
        <v>239</v>
      </c>
      <c r="S1223" s="260" t="s">
        <v>514</v>
      </c>
      <c r="T1223" s="260" t="s">
        <v>239</v>
      </c>
      <c r="U1223" s="260" t="s">
        <v>514</v>
      </c>
    </row>
    <row r="1224" spans="1:21" ht="14.5" x14ac:dyDescent="0.35">
      <c r="A1224" s="260" t="s">
        <v>747</v>
      </c>
      <c r="B1224" s="190">
        <v>45780</v>
      </c>
      <c r="C1224" s="197">
        <v>59945.2</v>
      </c>
      <c r="D1224" s="197">
        <v>0</v>
      </c>
      <c r="E1224" s="197">
        <v>0</v>
      </c>
      <c r="F1224" s="197">
        <v>0</v>
      </c>
      <c r="G1224" s="197">
        <v>47988</v>
      </c>
      <c r="H1224" s="197">
        <v>11957.2</v>
      </c>
      <c r="I1224" s="197">
        <v>0</v>
      </c>
      <c r="J1224" s="197">
        <v>59945.2</v>
      </c>
      <c r="K1224" s="197">
        <v>59945.2</v>
      </c>
      <c r="L1224" s="197">
        <v>12012</v>
      </c>
      <c r="M1224" s="197">
        <v>0</v>
      </c>
      <c r="N1224" s="197">
        <v>0</v>
      </c>
      <c r="O1224" s="197">
        <v>0</v>
      </c>
      <c r="P1224" s="197">
        <v>0</v>
      </c>
      <c r="Q1224" s="197">
        <v>0</v>
      </c>
      <c r="R1224" s="260" t="s">
        <v>239</v>
      </c>
      <c r="S1224" s="260" t="s">
        <v>514</v>
      </c>
      <c r="T1224" s="260" t="s">
        <v>239</v>
      </c>
      <c r="U1224" s="260" t="s">
        <v>514</v>
      </c>
    </row>
    <row r="1225" spans="1:21" ht="14.5" x14ac:dyDescent="0.35">
      <c r="A1225" s="260" t="s">
        <v>747</v>
      </c>
      <c r="B1225" s="190">
        <v>45781</v>
      </c>
      <c r="C1225" s="197">
        <v>59945.2</v>
      </c>
      <c r="D1225" s="197">
        <v>0</v>
      </c>
      <c r="E1225" s="197">
        <v>0</v>
      </c>
      <c r="F1225" s="197">
        <v>0</v>
      </c>
      <c r="G1225" s="197">
        <v>47988</v>
      </c>
      <c r="H1225" s="197">
        <v>11957.2</v>
      </c>
      <c r="I1225" s="197">
        <v>0</v>
      </c>
      <c r="J1225" s="197">
        <v>59945.2</v>
      </c>
      <c r="K1225" s="197">
        <v>59945.2</v>
      </c>
      <c r="L1225" s="197">
        <v>12012</v>
      </c>
      <c r="M1225" s="197">
        <v>0</v>
      </c>
      <c r="N1225" s="197">
        <v>0</v>
      </c>
      <c r="O1225" s="197">
        <v>0</v>
      </c>
      <c r="P1225" s="197">
        <v>0</v>
      </c>
      <c r="Q1225" s="197">
        <v>0</v>
      </c>
      <c r="R1225" s="260" t="s">
        <v>239</v>
      </c>
      <c r="S1225" s="260" t="s">
        <v>514</v>
      </c>
      <c r="T1225" s="260" t="s">
        <v>239</v>
      </c>
      <c r="U1225" s="260" t="s">
        <v>514</v>
      </c>
    </row>
    <row r="1226" spans="1:21" ht="14.5" x14ac:dyDescent="0.35">
      <c r="A1226" s="260" t="s">
        <v>747</v>
      </c>
      <c r="B1226" s="190">
        <v>45782</v>
      </c>
      <c r="C1226" s="197">
        <v>59945.2</v>
      </c>
      <c r="D1226" s="197">
        <v>0</v>
      </c>
      <c r="E1226" s="197">
        <v>0</v>
      </c>
      <c r="F1226" s="197">
        <v>0</v>
      </c>
      <c r="G1226" s="197">
        <v>47988</v>
      </c>
      <c r="H1226" s="197">
        <v>12009.2</v>
      </c>
      <c r="I1226" s="197">
        <v>0</v>
      </c>
      <c r="J1226" s="197">
        <v>59997.2</v>
      </c>
      <c r="K1226" s="197">
        <v>59997.2</v>
      </c>
      <c r="L1226" s="197">
        <v>12012</v>
      </c>
      <c r="M1226" s="197">
        <v>0</v>
      </c>
      <c r="N1226" s="197">
        <v>0</v>
      </c>
      <c r="O1226" s="197">
        <v>0</v>
      </c>
      <c r="P1226" s="197">
        <v>52</v>
      </c>
      <c r="Q1226" s="197">
        <v>8.67458945837285E-4</v>
      </c>
      <c r="R1226" s="260" t="s">
        <v>239</v>
      </c>
      <c r="S1226" s="260" t="s">
        <v>514</v>
      </c>
      <c r="T1226" s="260" t="s">
        <v>239</v>
      </c>
      <c r="U1226" s="260" t="s">
        <v>514</v>
      </c>
    </row>
    <row r="1227" spans="1:21" ht="14.5" x14ac:dyDescent="0.35">
      <c r="A1227" s="260" t="s">
        <v>747</v>
      </c>
      <c r="B1227" s="190">
        <v>45783</v>
      </c>
      <c r="C1227" s="197">
        <v>59997.2</v>
      </c>
      <c r="D1227" s="197">
        <v>0</v>
      </c>
      <c r="E1227" s="197">
        <v>0</v>
      </c>
      <c r="F1227" s="197">
        <v>0</v>
      </c>
      <c r="G1227" s="197">
        <v>47988</v>
      </c>
      <c r="H1227" s="197">
        <v>12026.8</v>
      </c>
      <c r="I1227" s="197">
        <v>0</v>
      </c>
      <c r="J1227" s="197">
        <v>60014.8</v>
      </c>
      <c r="K1227" s="197">
        <v>60014.8</v>
      </c>
      <c r="L1227" s="197">
        <v>12012</v>
      </c>
      <c r="M1227" s="197">
        <v>0</v>
      </c>
      <c r="N1227" s="197">
        <v>0</v>
      </c>
      <c r="O1227" s="197">
        <v>0</v>
      </c>
      <c r="P1227" s="197">
        <v>17.600000000005821</v>
      </c>
      <c r="Q1227" s="197">
        <v>2.9334702286121228E-4</v>
      </c>
      <c r="R1227" s="260" t="s">
        <v>239</v>
      </c>
      <c r="S1227" s="260" t="s">
        <v>514</v>
      </c>
      <c r="T1227" s="260" t="s">
        <v>239</v>
      </c>
      <c r="U1227" s="260" t="s">
        <v>514</v>
      </c>
    </row>
    <row r="1228" spans="1:21" ht="14.5" x14ac:dyDescent="0.35">
      <c r="A1228" s="260" t="s">
        <v>747</v>
      </c>
      <c r="B1228" s="190">
        <v>45784</v>
      </c>
      <c r="C1228" s="197">
        <v>60014.8</v>
      </c>
      <c r="D1228" s="197">
        <v>0</v>
      </c>
      <c r="E1228" s="197">
        <v>0</v>
      </c>
      <c r="F1228" s="197">
        <v>0</v>
      </c>
      <c r="G1228" s="197">
        <v>47988</v>
      </c>
      <c r="H1228" s="197">
        <v>12044</v>
      </c>
      <c r="I1228" s="197">
        <v>0</v>
      </c>
      <c r="J1228" s="197">
        <v>60032</v>
      </c>
      <c r="K1228" s="197">
        <v>60032</v>
      </c>
      <c r="L1228" s="197">
        <v>12012</v>
      </c>
      <c r="M1228" s="197">
        <v>0</v>
      </c>
      <c r="N1228" s="197">
        <v>0</v>
      </c>
      <c r="O1228" s="197">
        <v>0</v>
      </c>
      <c r="P1228" s="197">
        <v>17.19999999999709</v>
      </c>
      <c r="Q1228" s="197">
        <v>2.8659597299318662E-4</v>
      </c>
      <c r="R1228" s="260" t="s">
        <v>239</v>
      </c>
      <c r="S1228" s="260" t="s">
        <v>514</v>
      </c>
      <c r="T1228" s="260" t="s">
        <v>239</v>
      </c>
      <c r="U1228" s="260" t="s">
        <v>514</v>
      </c>
    </row>
    <row r="1229" spans="1:21" ht="14.5" x14ac:dyDescent="0.35">
      <c r="A1229" s="260" t="s">
        <v>747</v>
      </c>
      <c r="B1229" s="190">
        <v>45785</v>
      </c>
      <c r="C1229" s="197">
        <v>60032</v>
      </c>
      <c r="D1229" s="197">
        <v>0</v>
      </c>
      <c r="E1229" s="197">
        <v>0</v>
      </c>
      <c r="F1229" s="197">
        <v>0</v>
      </c>
      <c r="G1229" s="197">
        <v>47988</v>
      </c>
      <c r="H1229" s="197">
        <v>12061.2</v>
      </c>
      <c r="I1229" s="197">
        <v>0</v>
      </c>
      <c r="J1229" s="197">
        <v>60049.2</v>
      </c>
      <c r="K1229" s="197">
        <v>60049.2</v>
      </c>
      <c r="L1229" s="197">
        <v>12012</v>
      </c>
      <c r="M1229" s="197">
        <v>0</v>
      </c>
      <c r="N1229" s="197">
        <v>0</v>
      </c>
      <c r="O1229" s="197">
        <v>0</v>
      </c>
      <c r="P1229" s="197">
        <v>17.19999999999709</v>
      </c>
      <c r="Q1229" s="197">
        <v>2.8651385927491724E-4</v>
      </c>
      <c r="R1229" s="260" t="s">
        <v>239</v>
      </c>
      <c r="S1229" s="260" t="s">
        <v>514</v>
      </c>
      <c r="T1229" s="260" t="s">
        <v>239</v>
      </c>
      <c r="U1229" s="260" t="s">
        <v>514</v>
      </c>
    </row>
    <row r="1230" spans="1:21" ht="14.5" x14ac:dyDescent="0.35">
      <c r="A1230" s="260" t="s">
        <v>747</v>
      </c>
      <c r="B1230" s="190">
        <v>45786</v>
      </c>
      <c r="C1230" s="197">
        <v>60049.2</v>
      </c>
      <c r="D1230" s="197">
        <v>0</v>
      </c>
      <c r="E1230" s="197">
        <v>0</v>
      </c>
      <c r="F1230" s="197">
        <v>0</v>
      </c>
      <c r="G1230" s="197">
        <v>47988</v>
      </c>
      <c r="H1230" s="197">
        <v>12078.8</v>
      </c>
      <c r="I1230" s="197">
        <v>0</v>
      </c>
      <c r="J1230" s="197">
        <v>60066.8</v>
      </c>
      <c r="K1230" s="197">
        <v>60066.8</v>
      </c>
      <c r="L1230" s="197">
        <v>12012</v>
      </c>
      <c r="M1230" s="197">
        <v>0</v>
      </c>
      <c r="N1230" s="197">
        <v>0</v>
      </c>
      <c r="O1230" s="197">
        <v>0</v>
      </c>
      <c r="P1230" s="197">
        <v>17.600000000005821</v>
      </c>
      <c r="Q1230" s="197">
        <v>2.9309299707591663E-4</v>
      </c>
      <c r="R1230" s="260" t="s">
        <v>239</v>
      </c>
      <c r="S1230" s="260" t="s">
        <v>514</v>
      </c>
      <c r="T1230" s="260" t="s">
        <v>239</v>
      </c>
      <c r="U1230" s="260" t="s">
        <v>514</v>
      </c>
    </row>
    <row r="1231" spans="1:21" ht="14.5" x14ac:dyDescent="0.35">
      <c r="A1231" s="260" t="s">
        <v>747</v>
      </c>
      <c r="B1231" s="190">
        <v>45787</v>
      </c>
      <c r="C1231" s="197">
        <v>60066.8</v>
      </c>
      <c r="D1231" s="197">
        <v>0</v>
      </c>
      <c r="E1231" s="197">
        <v>0</v>
      </c>
      <c r="F1231" s="197">
        <v>0</v>
      </c>
      <c r="G1231" s="197">
        <v>47988</v>
      </c>
      <c r="H1231" s="197">
        <v>12078.8</v>
      </c>
      <c r="I1231" s="197">
        <v>0</v>
      </c>
      <c r="J1231" s="197">
        <v>60066.8</v>
      </c>
      <c r="K1231" s="197">
        <v>60066.8</v>
      </c>
      <c r="L1231" s="197">
        <v>12012</v>
      </c>
      <c r="M1231" s="197">
        <v>0</v>
      </c>
      <c r="N1231" s="197">
        <v>0</v>
      </c>
      <c r="O1231" s="197">
        <v>0</v>
      </c>
      <c r="P1231" s="197">
        <v>0</v>
      </c>
      <c r="Q1231" s="197">
        <v>0</v>
      </c>
      <c r="R1231" s="260" t="s">
        <v>239</v>
      </c>
      <c r="S1231" s="260" t="s">
        <v>514</v>
      </c>
      <c r="T1231" s="260" t="s">
        <v>239</v>
      </c>
      <c r="U1231" s="260" t="s">
        <v>514</v>
      </c>
    </row>
    <row r="1232" spans="1:21" ht="14.5" x14ac:dyDescent="0.35">
      <c r="A1232" s="260" t="s">
        <v>747</v>
      </c>
      <c r="B1232" s="190">
        <v>45788</v>
      </c>
      <c r="C1232" s="197">
        <v>60066.8</v>
      </c>
      <c r="D1232" s="197">
        <v>0</v>
      </c>
      <c r="E1232" s="197">
        <v>0</v>
      </c>
      <c r="F1232" s="197">
        <v>0</v>
      </c>
      <c r="G1232" s="197">
        <v>47988</v>
      </c>
      <c r="H1232" s="197">
        <v>12078.8</v>
      </c>
      <c r="I1232" s="197">
        <v>0</v>
      </c>
      <c r="J1232" s="197">
        <v>60066.8</v>
      </c>
      <c r="K1232" s="197">
        <v>60066.8</v>
      </c>
      <c r="L1232" s="197">
        <v>12012</v>
      </c>
      <c r="M1232" s="197">
        <v>0</v>
      </c>
      <c r="N1232" s="197">
        <v>0</v>
      </c>
      <c r="O1232" s="197">
        <v>0</v>
      </c>
      <c r="P1232" s="197">
        <v>0</v>
      </c>
      <c r="Q1232" s="197">
        <v>0</v>
      </c>
      <c r="R1232" s="260" t="s">
        <v>239</v>
      </c>
      <c r="S1232" s="260" t="s">
        <v>514</v>
      </c>
      <c r="T1232" s="260" t="s">
        <v>239</v>
      </c>
      <c r="U1232" s="260" t="s">
        <v>514</v>
      </c>
    </row>
    <row r="1233" spans="1:21" ht="14.5" x14ac:dyDescent="0.35">
      <c r="A1233" s="260" t="s">
        <v>747</v>
      </c>
      <c r="B1233" s="190">
        <v>45789</v>
      </c>
      <c r="C1233" s="197">
        <v>60066.8</v>
      </c>
      <c r="D1233" s="197">
        <v>0</v>
      </c>
      <c r="E1233" s="197">
        <v>0</v>
      </c>
      <c r="F1233" s="197">
        <v>0</v>
      </c>
      <c r="G1233" s="197">
        <v>47988</v>
      </c>
      <c r="H1233" s="197">
        <v>12130.8</v>
      </c>
      <c r="I1233" s="197">
        <v>0</v>
      </c>
      <c r="J1233" s="197">
        <v>60118.8</v>
      </c>
      <c r="K1233" s="197">
        <v>60118.8</v>
      </c>
      <c r="L1233" s="197">
        <v>12012</v>
      </c>
      <c r="M1233" s="197">
        <v>0</v>
      </c>
      <c r="N1233" s="197">
        <v>0</v>
      </c>
      <c r="O1233" s="197">
        <v>0</v>
      </c>
      <c r="P1233" s="197">
        <v>52</v>
      </c>
      <c r="Q1233" s="197">
        <v>8.6570285082609999E-4</v>
      </c>
      <c r="R1233" s="260" t="s">
        <v>239</v>
      </c>
      <c r="S1233" s="260" t="s">
        <v>514</v>
      </c>
      <c r="T1233" s="260" t="s">
        <v>239</v>
      </c>
      <c r="U1233" s="260" t="s">
        <v>514</v>
      </c>
    </row>
    <row r="1234" spans="1:21" ht="14.5" x14ac:dyDescent="0.35">
      <c r="A1234" s="260" t="s">
        <v>747</v>
      </c>
      <c r="B1234" s="190">
        <v>45790</v>
      </c>
      <c r="C1234" s="197">
        <v>60118.8</v>
      </c>
      <c r="D1234" s="197">
        <v>0</v>
      </c>
      <c r="E1234" s="197">
        <v>0</v>
      </c>
      <c r="F1234" s="197">
        <v>0</v>
      </c>
      <c r="G1234" s="197">
        <v>47988</v>
      </c>
      <c r="H1234" s="197">
        <v>12148</v>
      </c>
      <c r="I1234" s="197">
        <v>0</v>
      </c>
      <c r="J1234" s="197">
        <v>60136</v>
      </c>
      <c r="K1234" s="197">
        <v>60136</v>
      </c>
      <c r="L1234" s="197">
        <v>12012</v>
      </c>
      <c r="M1234" s="197">
        <v>0</v>
      </c>
      <c r="N1234" s="197">
        <v>0</v>
      </c>
      <c r="O1234" s="197">
        <v>0</v>
      </c>
      <c r="P1234" s="197">
        <v>17.19999999999709</v>
      </c>
      <c r="Q1234" s="197">
        <v>2.8610018829389183E-4</v>
      </c>
      <c r="R1234" s="260" t="s">
        <v>239</v>
      </c>
      <c r="S1234" s="260" t="s">
        <v>514</v>
      </c>
      <c r="T1234" s="260" t="s">
        <v>239</v>
      </c>
      <c r="U1234" s="260" t="s">
        <v>514</v>
      </c>
    </row>
    <row r="1235" spans="1:21" ht="14.5" x14ac:dyDescent="0.35">
      <c r="A1235" s="260" t="s">
        <v>747</v>
      </c>
      <c r="B1235" s="190">
        <v>45791</v>
      </c>
      <c r="C1235" s="197">
        <v>60136</v>
      </c>
      <c r="D1235" s="197">
        <v>0</v>
      </c>
      <c r="E1235" s="197">
        <v>0</v>
      </c>
      <c r="F1235" s="197">
        <v>0</v>
      </c>
      <c r="G1235" s="197">
        <v>47988</v>
      </c>
      <c r="H1235" s="197">
        <v>12165.199999999999</v>
      </c>
      <c r="I1235" s="197">
        <v>0</v>
      </c>
      <c r="J1235" s="197">
        <v>60153.2</v>
      </c>
      <c r="K1235" s="197">
        <v>60153.2</v>
      </c>
      <c r="L1235" s="197">
        <v>12012</v>
      </c>
      <c r="M1235" s="197">
        <v>0</v>
      </c>
      <c r="N1235" s="197">
        <v>0</v>
      </c>
      <c r="O1235" s="197">
        <v>0</v>
      </c>
      <c r="P1235" s="197">
        <v>17.19999999999709</v>
      </c>
      <c r="Q1235" s="197">
        <v>2.8601835838770739E-4</v>
      </c>
      <c r="R1235" s="260" t="s">
        <v>239</v>
      </c>
      <c r="S1235" s="260" t="s">
        <v>514</v>
      </c>
      <c r="T1235" s="260" t="s">
        <v>239</v>
      </c>
      <c r="U1235" s="260" t="s">
        <v>514</v>
      </c>
    </row>
    <row r="1236" spans="1:21" ht="14.5" x14ac:dyDescent="0.35">
      <c r="A1236" s="260" t="s">
        <v>747</v>
      </c>
      <c r="B1236" s="190">
        <v>45792</v>
      </c>
      <c r="C1236" s="197">
        <v>60153.2</v>
      </c>
      <c r="D1236" s="197">
        <v>0</v>
      </c>
      <c r="E1236" s="197">
        <v>0</v>
      </c>
      <c r="F1236" s="197">
        <v>0</v>
      </c>
      <c r="G1236" s="197">
        <v>47988</v>
      </c>
      <c r="H1236" s="197">
        <v>12182.8</v>
      </c>
      <c r="I1236" s="197">
        <v>0</v>
      </c>
      <c r="J1236" s="197">
        <v>60170.8</v>
      </c>
      <c r="K1236" s="197">
        <v>60170.8</v>
      </c>
      <c r="L1236" s="197">
        <v>12012</v>
      </c>
      <c r="M1236" s="197">
        <v>0</v>
      </c>
      <c r="N1236" s="197">
        <v>0</v>
      </c>
      <c r="O1236" s="197">
        <v>0</v>
      </c>
      <c r="P1236" s="197">
        <v>17.600000000005821</v>
      </c>
      <c r="Q1236" s="197">
        <v>2.9258626307515634E-4</v>
      </c>
      <c r="R1236" s="260" t="s">
        <v>239</v>
      </c>
      <c r="S1236" s="260" t="s">
        <v>514</v>
      </c>
      <c r="T1236" s="260" t="s">
        <v>239</v>
      </c>
      <c r="U1236" s="260" t="s">
        <v>514</v>
      </c>
    </row>
    <row r="1237" spans="1:21" ht="14.5" x14ac:dyDescent="0.35">
      <c r="A1237" s="260" t="s">
        <v>747</v>
      </c>
      <c r="B1237" s="190">
        <v>45793</v>
      </c>
      <c r="C1237" s="197">
        <v>60170.8</v>
      </c>
      <c r="D1237" s="197">
        <v>0</v>
      </c>
      <c r="E1237" s="197">
        <v>0</v>
      </c>
      <c r="F1237" s="197">
        <v>0</v>
      </c>
      <c r="G1237" s="197">
        <v>47988</v>
      </c>
      <c r="H1237" s="197">
        <v>12200</v>
      </c>
      <c r="I1237" s="197">
        <v>0</v>
      </c>
      <c r="J1237" s="197">
        <v>60188</v>
      </c>
      <c r="K1237" s="197">
        <v>60188</v>
      </c>
      <c r="L1237" s="197">
        <v>12012</v>
      </c>
      <c r="M1237" s="197">
        <v>0</v>
      </c>
      <c r="N1237" s="197">
        <v>0</v>
      </c>
      <c r="O1237" s="197">
        <v>0</v>
      </c>
      <c r="P1237" s="197">
        <v>17.19999999999709</v>
      </c>
      <c r="Q1237" s="197">
        <v>2.8585293863470085E-4</v>
      </c>
      <c r="R1237" s="260" t="s">
        <v>239</v>
      </c>
      <c r="S1237" s="260" t="s">
        <v>514</v>
      </c>
      <c r="T1237" s="260" t="s">
        <v>239</v>
      </c>
      <c r="U1237" s="260" t="s">
        <v>514</v>
      </c>
    </row>
    <row r="1238" spans="1:21" ht="14.5" x14ac:dyDescent="0.35">
      <c r="A1238" s="260" t="s">
        <v>747</v>
      </c>
      <c r="B1238" s="190">
        <v>45794</v>
      </c>
      <c r="C1238" s="197">
        <v>60188</v>
      </c>
      <c r="D1238" s="197">
        <v>0</v>
      </c>
      <c r="E1238" s="197">
        <v>0</v>
      </c>
      <c r="F1238" s="197">
        <v>0</v>
      </c>
      <c r="G1238" s="197">
        <v>47988</v>
      </c>
      <c r="H1238" s="197">
        <v>12200</v>
      </c>
      <c r="I1238" s="197">
        <v>0</v>
      </c>
      <c r="J1238" s="197">
        <v>60188</v>
      </c>
      <c r="K1238" s="197">
        <v>60188</v>
      </c>
      <c r="L1238" s="197">
        <v>12012</v>
      </c>
      <c r="M1238" s="197">
        <v>0</v>
      </c>
      <c r="N1238" s="197">
        <v>0</v>
      </c>
      <c r="O1238" s="197">
        <v>0</v>
      </c>
      <c r="P1238" s="197">
        <v>0</v>
      </c>
      <c r="Q1238" s="197">
        <v>0</v>
      </c>
      <c r="R1238" s="260" t="s">
        <v>239</v>
      </c>
      <c r="S1238" s="260" t="s">
        <v>514</v>
      </c>
      <c r="T1238" s="260" t="s">
        <v>239</v>
      </c>
      <c r="U1238" s="260" t="s">
        <v>514</v>
      </c>
    </row>
    <row r="1239" spans="1:21" ht="14.5" x14ac:dyDescent="0.35">
      <c r="A1239" s="260" t="s">
        <v>747</v>
      </c>
      <c r="B1239" s="190">
        <v>45795</v>
      </c>
      <c r="C1239" s="197">
        <v>60188</v>
      </c>
      <c r="D1239" s="197">
        <v>0</v>
      </c>
      <c r="E1239" s="197">
        <v>0</v>
      </c>
      <c r="F1239" s="197">
        <v>0</v>
      </c>
      <c r="G1239" s="197">
        <v>47988</v>
      </c>
      <c r="H1239" s="197">
        <v>12200</v>
      </c>
      <c r="I1239" s="197">
        <v>0</v>
      </c>
      <c r="J1239" s="197">
        <v>60188</v>
      </c>
      <c r="K1239" s="197">
        <v>60188</v>
      </c>
      <c r="L1239" s="197">
        <v>12012</v>
      </c>
      <c r="M1239" s="197">
        <v>0</v>
      </c>
      <c r="N1239" s="197">
        <v>0</v>
      </c>
      <c r="O1239" s="197">
        <v>0</v>
      </c>
      <c r="P1239" s="197">
        <v>0</v>
      </c>
      <c r="Q1239" s="197">
        <v>0</v>
      </c>
      <c r="R1239" s="260" t="s">
        <v>239</v>
      </c>
      <c r="S1239" s="260" t="s">
        <v>514</v>
      </c>
      <c r="T1239" s="260" t="s">
        <v>239</v>
      </c>
      <c r="U1239" s="260" t="s">
        <v>514</v>
      </c>
    </row>
    <row r="1240" spans="1:21" ht="14.5" x14ac:dyDescent="0.35">
      <c r="A1240" s="260" t="s">
        <v>747</v>
      </c>
      <c r="B1240" s="190">
        <v>45796</v>
      </c>
      <c r="C1240" s="197">
        <v>60188</v>
      </c>
      <c r="D1240" s="197">
        <v>0</v>
      </c>
      <c r="E1240" s="197">
        <v>0</v>
      </c>
      <c r="F1240" s="197">
        <v>0</v>
      </c>
      <c r="G1240" s="197">
        <v>47988</v>
      </c>
      <c r="H1240" s="197">
        <v>12252</v>
      </c>
      <c r="I1240" s="197">
        <v>0</v>
      </c>
      <c r="J1240" s="197">
        <v>60240</v>
      </c>
      <c r="K1240" s="197">
        <v>60240</v>
      </c>
      <c r="L1240" s="197">
        <v>12012</v>
      </c>
      <c r="M1240" s="197">
        <v>0</v>
      </c>
      <c r="N1240" s="197">
        <v>0</v>
      </c>
      <c r="O1240" s="197">
        <v>0</v>
      </c>
      <c r="P1240" s="197">
        <v>52</v>
      </c>
      <c r="Q1240" s="197">
        <v>8.6395959327445482E-4</v>
      </c>
      <c r="R1240" s="260" t="s">
        <v>239</v>
      </c>
      <c r="S1240" s="260" t="s">
        <v>514</v>
      </c>
      <c r="T1240" s="260" t="s">
        <v>239</v>
      </c>
      <c r="U1240" s="260" t="s">
        <v>514</v>
      </c>
    </row>
    <row r="1241" spans="1:21" ht="14.5" x14ac:dyDescent="0.35">
      <c r="A1241" s="260" t="s">
        <v>747</v>
      </c>
      <c r="B1241" s="190">
        <v>45797</v>
      </c>
      <c r="C1241" s="197">
        <v>60240</v>
      </c>
      <c r="D1241" s="197">
        <v>0</v>
      </c>
      <c r="E1241" s="197">
        <v>0</v>
      </c>
      <c r="F1241" s="197">
        <v>0</v>
      </c>
      <c r="G1241" s="197">
        <v>47988</v>
      </c>
      <c r="H1241" s="197">
        <v>12269.2</v>
      </c>
      <c r="I1241" s="197">
        <v>0</v>
      </c>
      <c r="J1241" s="197">
        <v>60257.2</v>
      </c>
      <c r="K1241" s="197">
        <v>60257.2</v>
      </c>
      <c r="L1241" s="197">
        <v>12012</v>
      </c>
      <c r="M1241" s="197">
        <v>0</v>
      </c>
      <c r="N1241" s="197">
        <v>0</v>
      </c>
      <c r="O1241" s="197">
        <v>0</v>
      </c>
      <c r="P1241" s="197">
        <v>17.19999999999709</v>
      </c>
      <c r="Q1241" s="197">
        <v>2.855245683930363E-4</v>
      </c>
      <c r="R1241" s="260" t="s">
        <v>239</v>
      </c>
      <c r="S1241" s="260" t="s">
        <v>514</v>
      </c>
      <c r="T1241" s="260" t="s">
        <v>239</v>
      </c>
      <c r="U1241" s="260" t="s">
        <v>514</v>
      </c>
    </row>
    <row r="1242" spans="1:21" ht="14.5" x14ac:dyDescent="0.35">
      <c r="A1242" s="260" t="s">
        <v>747</v>
      </c>
      <c r="B1242" s="190">
        <v>45798</v>
      </c>
      <c r="C1242" s="197">
        <v>60257.2</v>
      </c>
      <c r="D1242" s="197">
        <v>0</v>
      </c>
      <c r="E1242" s="197">
        <v>0</v>
      </c>
      <c r="F1242" s="197">
        <v>0</v>
      </c>
      <c r="G1242" s="197">
        <v>47988</v>
      </c>
      <c r="H1242" s="197">
        <v>12286.8</v>
      </c>
      <c r="I1242" s="197">
        <v>0</v>
      </c>
      <c r="J1242" s="197">
        <v>60274.8</v>
      </c>
      <c r="K1242" s="197">
        <v>60274.8</v>
      </c>
      <c r="L1242" s="197">
        <v>12012</v>
      </c>
      <c r="M1242" s="197">
        <v>0</v>
      </c>
      <c r="N1242" s="197">
        <v>0</v>
      </c>
      <c r="O1242" s="197">
        <v>0</v>
      </c>
      <c r="P1242" s="197">
        <v>17.600000000005821</v>
      </c>
      <c r="Q1242" s="197">
        <v>2.9208127825408603E-4</v>
      </c>
      <c r="R1242" s="260" t="s">
        <v>239</v>
      </c>
      <c r="S1242" s="260" t="s">
        <v>514</v>
      </c>
      <c r="T1242" s="260" t="s">
        <v>239</v>
      </c>
      <c r="U1242" s="260" t="s">
        <v>514</v>
      </c>
    </row>
    <row r="1243" spans="1:21" ht="14.5" x14ac:dyDescent="0.35">
      <c r="A1243" s="260" t="s">
        <v>747</v>
      </c>
      <c r="B1243" s="190">
        <v>45799</v>
      </c>
      <c r="C1243" s="197">
        <v>60274.8</v>
      </c>
      <c r="D1243" s="197">
        <v>0</v>
      </c>
      <c r="E1243" s="197">
        <v>0</v>
      </c>
      <c r="F1243" s="197">
        <v>0</v>
      </c>
      <c r="G1243" s="197">
        <v>47988</v>
      </c>
      <c r="H1243" s="197">
        <v>12304</v>
      </c>
      <c r="I1243" s="197">
        <v>0</v>
      </c>
      <c r="J1243" s="197">
        <v>60292</v>
      </c>
      <c r="K1243" s="197">
        <v>60292</v>
      </c>
      <c r="L1243" s="197">
        <v>12012</v>
      </c>
      <c r="M1243" s="197">
        <v>0</v>
      </c>
      <c r="N1243" s="197">
        <v>0</v>
      </c>
      <c r="O1243" s="197">
        <v>0</v>
      </c>
      <c r="P1243" s="197">
        <v>17.19999999999709</v>
      </c>
      <c r="Q1243" s="197">
        <v>2.8535971915299996E-4</v>
      </c>
      <c r="R1243" s="260" t="s">
        <v>239</v>
      </c>
      <c r="S1243" s="260" t="s">
        <v>514</v>
      </c>
      <c r="T1243" s="260" t="s">
        <v>239</v>
      </c>
      <c r="U1243" s="260" t="s">
        <v>514</v>
      </c>
    </row>
    <row r="1244" spans="1:21" ht="14.5" x14ac:dyDescent="0.35">
      <c r="A1244" s="260" t="s">
        <v>747</v>
      </c>
      <c r="B1244" s="190">
        <v>45800</v>
      </c>
      <c r="C1244" s="197">
        <v>60292</v>
      </c>
      <c r="D1244" s="197">
        <v>0</v>
      </c>
      <c r="E1244" s="197">
        <v>0</v>
      </c>
      <c r="F1244" s="197">
        <v>0</v>
      </c>
      <c r="G1244" s="197">
        <v>47988</v>
      </c>
      <c r="H1244" s="197">
        <v>12321.2</v>
      </c>
      <c r="I1244" s="197">
        <v>0</v>
      </c>
      <c r="J1244" s="197">
        <v>60309.2</v>
      </c>
      <c r="K1244" s="197">
        <v>60309.2</v>
      </c>
      <c r="L1244" s="197">
        <v>12012</v>
      </c>
      <c r="M1244" s="197">
        <v>0</v>
      </c>
      <c r="N1244" s="197">
        <v>0</v>
      </c>
      <c r="O1244" s="197">
        <v>0</v>
      </c>
      <c r="P1244" s="197">
        <v>17.19999999999709</v>
      </c>
      <c r="Q1244" s="197">
        <v>2.8527831221381028E-4</v>
      </c>
      <c r="R1244" s="260" t="s">
        <v>239</v>
      </c>
      <c r="S1244" s="260" t="s">
        <v>514</v>
      </c>
      <c r="T1244" s="260" t="s">
        <v>239</v>
      </c>
      <c r="U1244" s="260" t="s">
        <v>514</v>
      </c>
    </row>
    <row r="1245" spans="1:21" ht="14.5" x14ac:dyDescent="0.35">
      <c r="A1245" s="260" t="s">
        <v>747</v>
      </c>
      <c r="B1245" s="190">
        <v>45801</v>
      </c>
      <c r="C1245" s="197">
        <v>60309.2</v>
      </c>
      <c r="D1245" s="197">
        <v>0</v>
      </c>
      <c r="E1245" s="197">
        <v>0</v>
      </c>
      <c r="F1245" s="197">
        <v>0</v>
      </c>
      <c r="G1245" s="197">
        <v>47988</v>
      </c>
      <c r="H1245" s="197">
        <v>12321.2</v>
      </c>
      <c r="I1245" s="197">
        <v>0</v>
      </c>
      <c r="J1245" s="197">
        <v>60309.2</v>
      </c>
      <c r="K1245" s="197">
        <v>60309.2</v>
      </c>
      <c r="L1245" s="197">
        <v>12012</v>
      </c>
      <c r="M1245" s="197">
        <v>0</v>
      </c>
      <c r="N1245" s="197">
        <v>0</v>
      </c>
      <c r="O1245" s="197">
        <v>0</v>
      </c>
      <c r="P1245" s="197">
        <v>0</v>
      </c>
      <c r="Q1245" s="197">
        <v>0</v>
      </c>
      <c r="R1245" s="260" t="s">
        <v>239</v>
      </c>
      <c r="S1245" s="260" t="s">
        <v>514</v>
      </c>
      <c r="T1245" s="260" t="s">
        <v>239</v>
      </c>
      <c r="U1245" s="260" t="s">
        <v>514</v>
      </c>
    </row>
    <row r="1246" spans="1:21" ht="14.5" x14ac:dyDescent="0.35">
      <c r="A1246" s="260" t="s">
        <v>747</v>
      </c>
      <c r="B1246" s="190">
        <v>45802</v>
      </c>
      <c r="C1246" s="197">
        <v>60309.2</v>
      </c>
      <c r="D1246" s="197">
        <v>0</v>
      </c>
      <c r="E1246" s="197">
        <v>0</v>
      </c>
      <c r="F1246" s="197">
        <v>0</v>
      </c>
      <c r="G1246" s="197">
        <v>47988</v>
      </c>
      <c r="H1246" s="197">
        <v>12321.2</v>
      </c>
      <c r="I1246" s="197">
        <v>0</v>
      </c>
      <c r="J1246" s="197">
        <v>60309.2</v>
      </c>
      <c r="K1246" s="197">
        <v>60309.2</v>
      </c>
      <c r="L1246" s="197">
        <v>12012</v>
      </c>
      <c r="M1246" s="197">
        <v>0</v>
      </c>
      <c r="N1246" s="197">
        <v>0</v>
      </c>
      <c r="O1246" s="197">
        <v>0</v>
      </c>
      <c r="P1246" s="197">
        <v>0</v>
      </c>
      <c r="Q1246" s="197">
        <v>0</v>
      </c>
      <c r="R1246" s="260" t="s">
        <v>239</v>
      </c>
      <c r="S1246" s="260" t="s">
        <v>514</v>
      </c>
      <c r="T1246" s="260" t="s">
        <v>239</v>
      </c>
      <c r="U1246" s="260" t="s">
        <v>514</v>
      </c>
    </row>
    <row r="1247" spans="1:21" ht="14.5" x14ac:dyDescent="0.35">
      <c r="A1247" s="260" t="s">
        <v>747</v>
      </c>
      <c r="B1247" s="190">
        <v>45803</v>
      </c>
      <c r="C1247" s="197">
        <v>60309.2</v>
      </c>
      <c r="D1247" s="197">
        <v>0</v>
      </c>
      <c r="E1247" s="197">
        <v>0</v>
      </c>
      <c r="F1247" s="197">
        <v>0</v>
      </c>
      <c r="G1247" s="197">
        <v>47988</v>
      </c>
      <c r="H1247" s="197">
        <v>12373.2</v>
      </c>
      <c r="I1247" s="197">
        <v>0</v>
      </c>
      <c r="J1247" s="197">
        <v>60361.2</v>
      </c>
      <c r="K1247" s="197">
        <v>60361.2</v>
      </c>
      <c r="L1247" s="197">
        <v>12012</v>
      </c>
      <c r="M1247" s="197">
        <v>0</v>
      </c>
      <c r="N1247" s="197">
        <v>0</v>
      </c>
      <c r="O1247" s="197">
        <v>0</v>
      </c>
      <c r="P1247" s="197">
        <v>52</v>
      </c>
      <c r="Q1247" s="197">
        <v>8.6222334237562315E-4</v>
      </c>
      <c r="R1247" s="260" t="s">
        <v>239</v>
      </c>
      <c r="S1247" s="260" t="s">
        <v>514</v>
      </c>
      <c r="T1247" s="260" t="s">
        <v>239</v>
      </c>
      <c r="U1247" s="260" t="s">
        <v>514</v>
      </c>
    </row>
    <row r="1248" spans="1:21" ht="14.5" x14ac:dyDescent="0.35">
      <c r="A1248" s="260" t="s">
        <v>747</v>
      </c>
      <c r="B1248" s="190">
        <v>45804</v>
      </c>
      <c r="C1248" s="197">
        <v>60361.2</v>
      </c>
      <c r="D1248" s="197">
        <v>0</v>
      </c>
      <c r="E1248" s="197">
        <v>0</v>
      </c>
      <c r="F1248" s="197">
        <v>0</v>
      </c>
      <c r="G1248" s="197">
        <v>47988</v>
      </c>
      <c r="H1248" s="197">
        <v>12390.8</v>
      </c>
      <c r="I1248" s="197">
        <v>0</v>
      </c>
      <c r="J1248" s="197">
        <v>60378.8</v>
      </c>
      <c r="K1248" s="197">
        <v>60378.8</v>
      </c>
      <c r="L1248" s="197">
        <v>12012</v>
      </c>
      <c r="M1248" s="197">
        <v>0</v>
      </c>
      <c r="N1248" s="197">
        <v>0</v>
      </c>
      <c r="O1248" s="197">
        <v>0</v>
      </c>
      <c r="P1248" s="197">
        <v>17.600000000005821</v>
      </c>
      <c r="Q1248" s="197">
        <v>2.9157803357127143E-4</v>
      </c>
      <c r="R1248" s="260" t="s">
        <v>239</v>
      </c>
      <c r="S1248" s="260" t="s">
        <v>514</v>
      </c>
      <c r="T1248" s="260" t="s">
        <v>239</v>
      </c>
      <c r="U1248" s="260" t="s">
        <v>514</v>
      </c>
    </row>
    <row r="1249" spans="1:21" ht="14.5" x14ac:dyDescent="0.35">
      <c r="A1249" s="260" t="s">
        <v>747</v>
      </c>
      <c r="B1249" s="190">
        <v>45805</v>
      </c>
      <c r="C1249" s="197">
        <v>60378.8</v>
      </c>
      <c r="D1249" s="197">
        <v>0</v>
      </c>
      <c r="E1249" s="197">
        <v>0</v>
      </c>
      <c r="F1249" s="197">
        <v>0</v>
      </c>
      <c r="G1249" s="197">
        <v>47988</v>
      </c>
      <c r="H1249" s="197">
        <v>12408</v>
      </c>
      <c r="I1249" s="197">
        <v>0</v>
      </c>
      <c r="J1249" s="197">
        <v>60396</v>
      </c>
      <c r="K1249" s="197">
        <v>60396</v>
      </c>
      <c r="L1249" s="197">
        <v>12012</v>
      </c>
      <c r="M1249" s="197">
        <v>0</v>
      </c>
      <c r="N1249" s="197">
        <v>0</v>
      </c>
      <c r="O1249" s="197">
        <v>0</v>
      </c>
      <c r="P1249" s="197">
        <v>17.19999999999709</v>
      </c>
      <c r="Q1249" s="197">
        <v>2.8486819877171499E-4</v>
      </c>
      <c r="R1249" s="260" t="s">
        <v>239</v>
      </c>
      <c r="S1249" s="260" t="s">
        <v>514</v>
      </c>
      <c r="T1249" s="260" t="s">
        <v>239</v>
      </c>
      <c r="U1249" s="260" t="s">
        <v>514</v>
      </c>
    </row>
    <row r="1250" spans="1:21" ht="14.5" x14ac:dyDescent="0.35">
      <c r="A1250" s="260" t="s">
        <v>747</v>
      </c>
      <c r="B1250" s="190">
        <v>45806</v>
      </c>
      <c r="C1250" s="197">
        <v>60396</v>
      </c>
      <c r="D1250" s="197">
        <v>0</v>
      </c>
      <c r="E1250" s="197">
        <v>0</v>
      </c>
      <c r="F1250" s="197">
        <v>0</v>
      </c>
      <c r="G1250" s="197">
        <v>47988</v>
      </c>
      <c r="H1250" s="197">
        <v>12425.2</v>
      </c>
      <c r="I1250" s="197">
        <v>0</v>
      </c>
      <c r="J1250" s="197">
        <v>60413.2</v>
      </c>
      <c r="K1250" s="197">
        <v>60413.2</v>
      </c>
      <c r="L1250" s="197">
        <v>12012</v>
      </c>
      <c r="M1250" s="197">
        <v>0</v>
      </c>
      <c r="N1250" s="197">
        <v>0</v>
      </c>
      <c r="O1250" s="197">
        <v>0</v>
      </c>
      <c r="P1250" s="197">
        <v>17.19999999999709</v>
      </c>
      <c r="Q1250" s="197">
        <v>2.8478707199153241E-4</v>
      </c>
      <c r="R1250" s="260" t="s">
        <v>239</v>
      </c>
      <c r="S1250" s="260" t="s">
        <v>514</v>
      </c>
      <c r="T1250" s="260" t="s">
        <v>239</v>
      </c>
      <c r="U1250" s="260" t="s">
        <v>514</v>
      </c>
    </row>
    <row r="1251" spans="1:21" ht="14.5" x14ac:dyDescent="0.35">
      <c r="A1251" s="260" t="s">
        <v>747</v>
      </c>
      <c r="B1251" s="190">
        <v>45807</v>
      </c>
      <c r="C1251" s="197">
        <v>60413.2</v>
      </c>
      <c r="D1251" s="197">
        <v>0</v>
      </c>
      <c r="E1251" s="197">
        <v>0</v>
      </c>
      <c r="F1251" s="197">
        <v>0</v>
      </c>
      <c r="G1251" s="197">
        <v>47988</v>
      </c>
      <c r="H1251" s="197">
        <v>12442.8</v>
      </c>
      <c r="I1251" s="197">
        <v>0</v>
      </c>
      <c r="J1251" s="197">
        <v>60430.8</v>
      </c>
      <c r="K1251" s="197">
        <v>60430.8</v>
      </c>
      <c r="L1251" s="197">
        <v>12012</v>
      </c>
      <c r="M1251" s="197">
        <v>0</v>
      </c>
      <c r="N1251" s="197">
        <v>0</v>
      </c>
      <c r="O1251" s="197">
        <v>0</v>
      </c>
      <c r="P1251" s="197">
        <v>17.600000000005821</v>
      </c>
      <c r="Q1251" s="197">
        <v>2.913270609734564E-4</v>
      </c>
      <c r="R1251" s="260" t="s">
        <v>239</v>
      </c>
      <c r="S1251" s="260" t="s">
        <v>514</v>
      </c>
      <c r="T1251" s="260" t="s">
        <v>239</v>
      </c>
      <c r="U1251" s="260" t="s">
        <v>514</v>
      </c>
    </row>
    <row r="1252" spans="1:21" ht="14.5" x14ac:dyDescent="0.35">
      <c r="A1252" s="260" t="s">
        <v>747</v>
      </c>
      <c r="B1252" s="190">
        <v>45808</v>
      </c>
      <c r="C1252" s="197">
        <v>60430.8</v>
      </c>
      <c r="D1252" s="197">
        <v>0</v>
      </c>
      <c r="E1252" s="197">
        <v>0</v>
      </c>
      <c r="F1252" s="197">
        <v>0</v>
      </c>
      <c r="G1252" s="197">
        <v>47988</v>
      </c>
      <c r="H1252" s="197">
        <v>12442.8</v>
      </c>
      <c r="I1252" s="197">
        <v>0</v>
      </c>
      <c r="J1252" s="197">
        <v>60430.8</v>
      </c>
      <c r="K1252" s="197">
        <v>60430.8</v>
      </c>
      <c r="L1252" s="197">
        <v>12012</v>
      </c>
      <c r="M1252" s="197">
        <v>0</v>
      </c>
      <c r="N1252" s="197">
        <v>0</v>
      </c>
      <c r="O1252" s="197">
        <v>0</v>
      </c>
      <c r="P1252" s="197">
        <v>0</v>
      </c>
      <c r="Q1252" s="197">
        <v>0</v>
      </c>
      <c r="R1252" s="260" t="s">
        <v>239</v>
      </c>
      <c r="S1252" s="260" t="s">
        <v>514</v>
      </c>
      <c r="T1252" s="260" t="s">
        <v>239</v>
      </c>
      <c r="U1252" s="260" t="s">
        <v>514</v>
      </c>
    </row>
    <row r="1253" spans="1:21" ht="14.5" x14ac:dyDescent="0.35">
      <c r="A1253" s="260" t="s">
        <v>747</v>
      </c>
      <c r="B1253" s="190">
        <v>45809</v>
      </c>
      <c r="C1253" s="197">
        <v>60430.8</v>
      </c>
      <c r="D1253" s="197">
        <v>0</v>
      </c>
      <c r="E1253" s="197">
        <v>0</v>
      </c>
      <c r="F1253" s="197">
        <v>0</v>
      </c>
      <c r="G1253" s="197">
        <v>47988</v>
      </c>
      <c r="H1253" s="197">
        <v>12442.8</v>
      </c>
      <c r="I1253" s="197">
        <v>0</v>
      </c>
      <c r="J1253" s="197">
        <v>60430.8</v>
      </c>
      <c r="K1253" s="197">
        <v>60430.8</v>
      </c>
      <c r="L1253" s="197">
        <v>12012</v>
      </c>
      <c r="M1253" s="197">
        <v>0</v>
      </c>
      <c r="N1253" s="197">
        <v>0</v>
      </c>
      <c r="O1253" s="197">
        <v>0</v>
      </c>
      <c r="P1253" s="197">
        <v>0</v>
      </c>
      <c r="Q1253" s="197">
        <v>0</v>
      </c>
      <c r="R1253" s="260" t="s">
        <v>239</v>
      </c>
      <c r="S1253" s="260" t="s">
        <v>514</v>
      </c>
      <c r="T1253" s="260" t="s">
        <v>239</v>
      </c>
      <c r="U1253" s="260" t="s">
        <v>514</v>
      </c>
    </row>
    <row r="1254" spans="1:21" ht="14.5" x14ac:dyDescent="0.35">
      <c r="A1254" s="260" t="s">
        <v>747</v>
      </c>
      <c r="B1254" s="190">
        <v>45810</v>
      </c>
      <c r="C1254" s="197">
        <v>60430.8</v>
      </c>
      <c r="D1254" s="197">
        <v>0</v>
      </c>
      <c r="E1254" s="197">
        <v>3000</v>
      </c>
      <c r="F1254" s="197">
        <v>3000</v>
      </c>
      <c r="G1254" s="197">
        <v>50988</v>
      </c>
      <c r="H1254" s="197">
        <v>12462.4</v>
      </c>
      <c r="I1254" s="197">
        <v>0</v>
      </c>
      <c r="J1254" s="197">
        <v>63450.400000000001</v>
      </c>
      <c r="K1254" s="197">
        <v>63450.400000000001</v>
      </c>
      <c r="L1254" s="197">
        <v>12012</v>
      </c>
      <c r="M1254" s="197">
        <v>0</v>
      </c>
      <c r="N1254" s="197">
        <v>0</v>
      </c>
      <c r="O1254" s="197">
        <v>0</v>
      </c>
      <c r="P1254" s="197">
        <v>19.599999999998545</v>
      </c>
      <c r="Q1254" s="197">
        <v>3.2433792039809894E-4</v>
      </c>
      <c r="R1254" s="260" t="s">
        <v>239</v>
      </c>
      <c r="S1254" s="260" t="s">
        <v>514</v>
      </c>
      <c r="T1254" s="260" t="s">
        <v>239</v>
      </c>
      <c r="U1254" s="260" t="s">
        <v>514</v>
      </c>
    </row>
    <row r="1255" spans="1:21" ht="14.5" x14ac:dyDescent="0.35">
      <c r="A1255" s="260" t="s">
        <v>747</v>
      </c>
      <c r="B1255" s="190">
        <v>45811</v>
      </c>
      <c r="C1255" s="197">
        <v>63450.400000000001</v>
      </c>
      <c r="D1255" s="197">
        <v>0</v>
      </c>
      <c r="E1255" s="197">
        <v>0</v>
      </c>
      <c r="F1255" s="197">
        <v>0</v>
      </c>
      <c r="G1255" s="197">
        <v>50988</v>
      </c>
      <c r="H1255" s="197">
        <v>12465.2</v>
      </c>
      <c r="I1255" s="197">
        <v>0</v>
      </c>
      <c r="J1255" s="197">
        <v>63453.2</v>
      </c>
      <c r="K1255" s="197">
        <v>63453.2</v>
      </c>
      <c r="L1255" s="197">
        <v>12012</v>
      </c>
      <c r="M1255" s="197">
        <v>0</v>
      </c>
      <c r="N1255" s="197">
        <v>0</v>
      </c>
      <c r="O1255" s="197">
        <v>0</v>
      </c>
      <c r="P1255" s="197">
        <v>2.7999999999956344</v>
      </c>
      <c r="Q1255" s="197">
        <v>4.4128957421785131E-5</v>
      </c>
      <c r="R1255" s="260" t="s">
        <v>239</v>
      </c>
      <c r="S1255" s="260" t="s">
        <v>514</v>
      </c>
      <c r="T1255" s="260" t="s">
        <v>239</v>
      </c>
      <c r="U1255" s="260" t="s">
        <v>514</v>
      </c>
    </row>
    <row r="1256" spans="1:21" ht="14.5" x14ac:dyDescent="0.35">
      <c r="A1256" s="260" t="s">
        <v>747</v>
      </c>
      <c r="B1256" s="190">
        <v>45812</v>
      </c>
      <c r="C1256" s="197">
        <v>63453.2</v>
      </c>
      <c r="D1256" s="197">
        <v>0</v>
      </c>
      <c r="E1256" s="197">
        <v>0</v>
      </c>
      <c r="F1256" s="197">
        <v>0</v>
      </c>
      <c r="G1256" s="197">
        <v>50988</v>
      </c>
      <c r="H1256" s="197">
        <v>12468.6</v>
      </c>
      <c r="I1256" s="197">
        <v>0</v>
      </c>
      <c r="J1256" s="197">
        <v>63456.6</v>
      </c>
      <c r="K1256" s="197">
        <v>63456.6</v>
      </c>
      <c r="L1256" s="197">
        <v>12012</v>
      </c>
      <c r="M1256" s="197">
        <v>0</v>
      </c>
      <c r="N1256" s="197">
        <v>0</v>
      </c>
      <c r="O1256" s="197">
        <v>0</v>
      </c>
      <c r="P1256" s="197">
        <v>3.4000000000014552</v>
      </c>
      <c r="Q1256" s="197">
        <v>5.3582798030804568E-5</v>
      </c>
      <c r="R1256" s="260" t="s">
        <v>239</v>
      </c>
      <c r="S1256" s="260" t="s">
        <v>514</v>
      </c>
      <c r="T1256" s="260" t="s">
        <v>239</v>
      </c>
      <c r="U1256" s="260" t="s">
        <v>514</v>
      </c>
    </row>
    <row r="1257" spans="1:21" ht="14.5" x14ac:dyDescent="0.35">
      <c r="A1257" s="260" t="s">
        <v>747</v>
      </c>
      <c r="B1257" s="190">
        <v>45813</v>
      </c>
      <c r="C1257" s="197">
        <v>63456.6</v>
      </c>
      <c r="D1257" s="197">
        <v>0</v>
      </c>
      <c r="E1257" s="197">
        <v>0</v>
      </c>
      <c r="F1257" s="197">
        <v>0</v>
      </c>
      <c r="G1257" s="197">
        <v>50988</v>
      </c>
      <c r="H1257" s="197">
        <v>12471.4</v>
      </c>
      <c r="I1257" s="197">
        <v>0</v>
      </c>
      <c r="J1257" s="197">
        <v>63459.4</v>
      </c>
      <c r="K1257" s="197">
        <v>63459.4</v>
      </c>
      <c r="L1257" s="197">
        <v>12012</v>
      </c>
      <c r="M1257" s="197">
        <v>0</v>
      </c>
      <c r="N1257" s="197">
        <v>0</v>
      </c>
      <c r="O1257" s="197">
        <v>0</v>
      </c>
      <c r="P1257" s="197">
        <v>2.8000000000029104</v>
      </c>
      <c r="Q1257" s="197">
        <v>4.4124645820931008E-5</v>
      </c>
      <c r="R1257" s="260" t="s">
        <v>239</v>
      </c>
      <c r="S1257" s="260" t="s">
        <v>514</v>
      </c>
      <c r="T1257" s="260" t="s">
        <v>239</v>
      </c>
      <c r="U1257" s="260" t="s">
        <v>514</v>
      </c>
    </row>
    <row r="1258" spans="1:21" ht="14.5" x14ac:dyDescent="0.35">
      <c r="A1258" s="260" t="s">
        <v>747</v>
      </c>
      <c r="B1258" s="190">
        <v>45814</v>
      </c>
      <c r="C1258" s="197">
        <v>63459.4</v>
      </c>
      <c r="D1258" s="197">
        <v>0</v>
      </c>
      <c r="E1258" s="197">
        <v>0</v>
      </c>
      <c r="F1258" s="197">
        <v>0</v>
      </c>
      <c r="G1258" s="197">
        <v>50988</v>
      </c>
      <c r="H1258" s="197">
        <v>12473.8</v>
      </c>
      <c r="I1258" s="197">
        <v>0</v>
      </c>
      <c r="J1258" s="197">
        <v>63461.8</v>
      </c>
      <c r="K1258" s="197">
        <v>63461.8</v>
      </c>
      <c r="L1258" s="197">
        <v>12012</v>
      </c>
      <c r="M1258" s="197">
        <v>0</v>
      </c>
      <c r="N1258" s="197">
        <v>0</v>
      </c>
      <c r="O1258" s="197">
        <v>0</v>
      </c>
      <c r="P1258" s="197">
        <v>2.4000000000014552</v>
      </c>
      <c r="Q1258" s="197">
        <v>3.7819456219168046E-5</v>
      </c>
      <c r="R1258" s="260" t="s">
        <v>239</v>
      </c>
      <c r="S1258" s="260" t="s">
        <v>514</v>
      </c>
      <c r="T1258" s="260" t="s">
        <v>239</v>
      </c>
      <c r="U1258" s="260" t="s">
        <v>514</v>
      </c>
    </row>
    <row r="1259" spans="1:21" ht="14.5" x14ac:dyDescent="0.35">
      <c r="A1259" s="260" t="s">
        <v>747</v>
      </c>
      <c r="B1259" s="190">
        <v>45815</v>
      </c>
      <c r="C1259" s="197">
        <v>63461.8</v>
      </c>
      <c r="D1259" s="197">
        <v>0</v>
      </c>
      <c r="E1259" s="197">
        <v>0</v>
      </c>
      <c r="F1259" s="197">
        <v>0</v>
      </c>
      <c r="G1259" s="197">
        <v>50988</v>
      </c>
      <c r="H1259" s="197">
        <v>12473.8</v>
      </c>
      <c r="I1259" s="197">
        <v>0</v>
      </c>
      <c r="J1259" s="197">
        <v>63461.8</v>
      </c>
      <c r="K1259" s="197">
        <v>63461.8</v>
      </c>
      <c r="L1259" s="197">
        <v>12012</v>
      </c>
      <c r="M1259" s="197">
        <v>0</v>
      </c>
      <c r="N1259" s="197">
        <v>0</v>
      </c>
      <c r="O1259" s="197">
        <v>0</v>
      </c>
      <c r="P1259" s="197">
        <v>0</v>
      </c>
      <c r="Q1259" s="197">
        <v>0</v>
      </c>
      <c r="R1259" s="260" t="s">
        <v>239</v>
      </c>
      <c r="S1259" s="260" t="s">
        <v>514</v>
      </c>
      <c r="T1259" s="260" t="s">
        <v>239</v>
      </c>
      <c r="U1259" s="260" t="s">
        <v>514</v>
      </c>
    </row>
    <row r="1260" spans="1:21" ht="14.5" x14ac:dyDescent="0.35">
      <c r="A1260" s="260" t="s">
        <v>747</v>
      </c>
      <c r="B1260" s="190">
        <v>45816</v>
      </c>
      <c r="C1260" s="197">
        <v>63461.8</v>
      </c>
      <c r="D1260" s="197">
        <v>0</v>
      </c>
      <c r="E1260" s="197">
        <v>0</v>
      </c>
      <c r="F1260" s="197">
        <v>0</v>
      </c>
      <c r="G1260" s="197">
        <v>50988</v>
      </c>
      <c r="H1260" s="197">
        <v>12473.8</v>
      </c>
      <c r="I1260" s="197">
        <v>0</v>
      </c>
      <c r="J1260" s="197">
        <v>63461.8</v>
      </c>
      <c r="K1260" s="197">
        <v>63461.8</v>
      </c>
      <c r="L1260" s="197">
        <v>12012</v>
      </c>
      <c r="M1260" s="197">
        <v>0</v>
      </c>
      <c r="N1260" s="197">
        <v>0</v>
      </c>
      <c r="O1260" s="197">
        <v>0</v>
      </c>
      <c r="P1260" s="197">
        <v>0</v>
      </c>
      <c r="Q1260" s="197">
        <v>0</v>
      </c>
      <c r="R1260" s="260" t="s">
        <v>239</v>
      </c>
      <c r="S1260" s="260" t="s">
        <v>514</v>
      </c>
      <c r="T1260" s="260" t="s">
        <v>239</v>
      </c>
      <c r="U1260" s="260" t="s">
        <v>514</v>
      </c>
    </row>
    <row r="1261" spans="1:21" ht="14.5" x14ac:dyDescent="0.35">
      <c r="A1261" s="260" t="s">
        <v>747</v>
      </c>
      <c r="B1261" s="190">
        <v>45817</v>
      </c>
      <c r="C1261" s="197">
        <v>63461.8</v>
      </c>
      <c r="D1261" s="197">
        <v>0</v>
      </c>
      <c r="E1261" s="197">
        <v>0</v>
      </c>
      <c r="F1261" s="197">
        <v>0</v>
      </c>
      <c r="G1261" s="197">
        <v>50988</v>
      </c>
      <c r="H1261" s="197">
        <v>12482.4</v>
      </c>
      <c r="I1261" s="197">
        <v>0</v>
      </c>
      <c r="J1261" s="197">
        <v>63470.400000000001</v>
      </c>
      <c r="K1261" s="197">
        <v>63470.400000000001</v>
      </c>
      <c r="L1261" s="197">
        <v>12012</v>
      </c>
      <c r="M1261" s="197">
        <v>0</v>
      </c>
      <c r="N1261" s="197">
        <v>0</v>
      </c>
      <c r="O1261" s="197">
        <v>0</v>
      </c>
      <c r="P1261" s="197">
        <v>8.5999999999985448</v>
      </c>
      <c r="Q1261" s="197">
        <v>1.3551459303084989E-4</v>
      </c>
      <c r="R1261" s="260" t="s">
        <v>239</v>
      </c>
      <c r="S1261" s="260" t="s">
        <v>514</v>
      </c>
      <c r="T1261" s="260" t="s">
        <v>239</v>
      </c>
      <c r="U1261" s="260" t="s">
        <v>514</v>
      </c>
    </row>
    <row r="1262" spans="1:21" ht="14.5" x14ac:dyDescent="0.35">
      <c r="A1262" s="260" t="s">
        <v>747</v>
      </c>
      <c r="B1262" s="190">
        <v>45818</v>
      </c>
      <c r="C1262" s="197">
        <v>63470.400000000001</v>
      </c>
      <c r="D1262" s="197">
        <v>0</v>
      </c>
      <c r="E1262" s="197">
        <v>0</v>
      </c>
      <c r="F1262" s="197">
        <v>0</v>
      </c>
      <c r="G1262" s="197">
        <v>50988</v>
      </c>
      <c r="H1262" s="197">
        <v>12484.8</v>
      </c>
      <c r="I1262" s="197">
        <v>0</v>
      </c>
      <c r="J1262" s="197">
        <v>63472.800000000003</v>
      </c>
      <c r="K1262" s="197">
        <v>63472.800000000003</v>
      </c>
      <c r="L1262" s="197">
        <v>12012</v>
      </c>
      <c r="M1262" s="197">
        <v>0</v>
      </c>
      <c r="N1262" s="197">
        <v>0</v>
      </c>
      <c r="O1262" s="197">
        <v>0</v>
      </c>
      <c r="P1262" s="197">
        <v>2.4000000000014552</v>
      </c>
      <c r="Q1262" s="197">
        <v>3.7812901762190876E-5</v>
      </c>
      <c r="R1262" s="260" t="s">
        <v>239</v>
      </c>
      <c r="S1262" s="260" t="s">
        <v>514</v>
      </c>
      <c r="T1262" s="260" t="s">
        <v>239</v>
      </c>
      <c r="U1262" s="260" t="s">
        <v>514</v>
      </c>
    </row>
    <row r="1263" spans="1:21" ht="14.5" x14ac:dyDescent="0.35">
      <c r="A1263" s="260" t="s">
        <v>747</v>
      </c>
      <c r="B1263" s="190">
        <v>45819</v>
      </c>
      <c r="C1263" s="197">
        <v>63472.800000000003</v>
      </c>
      <c r="D1263" s="197">
        <v>0</v>
      </c>
      <c r="E1263" s="197">
        <v>0</v>
      </c>
      <c r="F1263" s="197">
        <v>0</v>
      </c>
      <c r="G1263" s="197">
        <v>50988</v>
      </c>
      <c r="H1263" s="197">
        <v>12487.6</v>
      </c>
      <c r="I1263" s="197">
        <v>0</v>
      </c>
      <c r="J1263" s="197">
        <v>63475.6</v>
      </c>
      <c r="K1263" s="197">
        <v>63475.6</v>
      </c>
      <c r="L1263" s="197">
        <v>12012</v>
      </c>
      <c r="M1263" s="197">
        <v>0</v>
      </c>
      <c r="N1263" s="197">
        <v>0</v>
      </c>
      <c r="O1263" s="197">
        <v>0</v>
      </c>
      <c r="P1263" s="197">
        <v>2.7999999999956344</v>
      </c>
      <c r="Q1263" s="197">
        <v>4.4113384000565858E-5</v>
      </c>
      <c r="R1263" s="260" t="s">
        <v>239</v>
      </c>
      <c r="S1263" s="260" t="s">
        <v>514</v>
      </c>
      <c r="T1263" s="260" t="s">
        <v>239</v>
      </c>
      <c r="U1263" s="260" t="s">
        <v>514</v>
      </c>
    </row>
    <row r="1264" spans="1:21" ht="14.5" x14ac:dyDescent="0.35">
      <c r="A1264" s="260" t="s">
        <v>747</v>
      </c>
      <c r="B1264" s="190">
        <v>45820</v>
      </c>
      <c r="C1264" s="197">
        <v>63475.6</v>
      </c>
      <c r="D1264" s="197">
        <v>0</v>
      </c>
      <c r="E1264" s="197">
        <v>0</v>
      </c>
      <c r="F1264" s="197">
        <v>0</v>
      </c>
      <c r="G1264" s="197">
        <v>50988</v>
      </c>
      <c r="H1264" s="197">
        <v>12490</v>
      </c>
      <c r="I1264" s="197">
        <v>0</v>
      </c>
      <c r="J1264" s="197">
        <v>63478</v>
      </c>
      <c r="K1264" s="197">
        <v>63478</v>
      </c>
      <c r="L1264" s="197">
        <v>12012</v>
      </c>
      <c r="M1264" s="197">
        <v>0</v>
      </c>
      <c r="N1264" s="197">
        <v>0</v>
      </c>
      <c r="O1264" s="197">
        <v>0</v>
      </c>
      <c r="P1264" s="197">
        <v>2.4000000000014552</v>
      </c>
      <c r="Q1264" s="197">
        <v>3.7809804082300502E-5</v>
      </c>
      <c r="R1264" s="260" t="s">
        <v>239</v>
      </c>
      <c r="S1264" s="260" t="s">
        <v>514</v>
      </c>
      <c r="T1264" s="260" t="s">
        <v>239</v>
      </c>
      <c r="U1264" s="260" t="s">
        <v>514</v>
      </c>
    </row>
    <row r="1265" spans="1:21" ht="14.5" x14ac:dyDescent="0.35">
      <c r="A1265" s="260" t="s">
        <v>747</v>
      </c>
      <c r="B1265" s="190">
        <v>45821</v>
      </c>
      <c r="C1265" s="197">
        <v>63478</v>
      </c>
      <c r="D1265" s="197">
        <v>0</v>
      </c>
      <c r="E1265" s="197">
        <v>0</v>
      </c>
      <c r="F1265" s="197">
        <v>0</v>
      </c>
      <c r="G1265" s="197">
        <v>50988</v>
      </c>
      <c r="H1265" s="197">
        <v>12492.8</v>
      </c>
      <c r="I1265" s="197">
        <v>0</v>
      </c>
      <c r="J1265" s="197">
        <v>63480.800000000003</v>
      </c>
      <c r="K1265" s="197">
        <v>63480.800000000003</v>
      </c>
      <c r="L1265" s="197">
        <v>12012</v>
      </c>
      <c r="M1265" s="197">
        <v>0</v>
      </c>
      <c r="N1265" s="197">
        <v>0</v>
      </c>
      <c r="O1265" s="197">
        <v>0</v>
      </c>
      <c r="P1265" s="197">
        <v>2.8000000000029104</v>
      </c>
      <c r="Q1265" s="197">
        <v>4.4109770314104679E-5</v>
      </c>
      <c r="R1265" s="260" t="s">
        <v>239</v>
      </c>
      <c r="S1265" s="260" t="s">
        <v>514</v>
      </c>
      <c r="T1265" s="260" t="s">
        <v>239</v>
      </c>
      <c r="U1265" s="260" t="s">
        <v>514</v>
      </c>
    </row>
    <row r="1266" spans="1:21" ht="14.5" x14ac:dyDescent="0.35">
      <c r="A1266" s="260" t="s">
        <v>747</v>
      </c>
      <c r="B1266" s="190">
        <v>45822</v>
      </c>
      <c r="C1266" s="197">
        <v>63480.800000000003</v>
      </c>
      <c r="D1266" s="197">
        <v>0</v>
      </c>
      <c r="E1266" s="197">
        <v>0</v>
      </c>
      <c r="F1266" s="197">
        <v>0</v>
      </c>
      <c r="G1266" s="197">
        <v>50988</v>
      </c>
      <c r="H1266" s="197">
        <v>12492.8</v>
      </c>
      <c r="I1266" s="197">
        <v>0</v>
      </c>
      <c r="J1266" s="197">
        <v>63480.800000000003</v>
      </c>
      <c r="K1266" s="197">
        <v>63480.800000000003</v>
      </c>
      <c r="L1266" s="197">
        <v>12012</v>
      </c>
      <c r="M1266" s="197">
        <v>0</v>
      </c>
      <c r="N1266" s="197">
        <v>0</v>
      </c>
      <c r="O1266" s="197">
        <v>0</v>
      </c>
      <c r="P1266" s="197">
        <v>0</v>
      </c>
      <c r="Q1266" s="197">
        <v>0</v>
      </c>
      <c r="R1266" s="260" t="s">
        <v>239</v>
      </c>
      <c r="S1266" s="260" t="s">
        <v>514</v>
      </c>
      <c r="T1266" s="260" t="s">
        <v>239</v>
      </c>
      <c r="U1266" s="260" t="s">
        <v>514</v>
      </c>
    </row>
    <row r="1267" spans="1:21" ht="14.5" x14ac:dyDescent="0.35">
      <c r="A1267" s="260" t="s">
        <v>747</v>
      </c>
      <c r="B1267" s="190">
        <v>45823</v>
      </c>
      <c r="C1267" s="197">
        <v>63480.800000000003</v>
      </c>
      <c r="D1267" s="197">
        <v>0</v>
      </c>
      <c r="E1267" s="197">
        <v>0</v>
      </c>
      <c r="F1267" s="197">
        <v>0</v>
      </c>
      <c r="G1267" s="197">
        <v>50988</v>
      </c>
      <c r="H1267" s="197">
        <v>12492.8</v>
      </c>
      <c r="I1267" s="197">
        <v>0</v>
      </c>
      <c r="J1267" s="197">
        <v>63480.800000000003</v>
      </c>
      <c r="K1267" s="197">
        <v>63480.800000000003</v>
      </c>
      <c r="L1267" s="197">
        <v>12012</v>
      </c>
      <c r="M1267" s="197">
        <v>0</v>
      </c>
      <c r="N1267" s="197">
        <v>0</v>
      </c>
      <c r="O1267" s="197">
        <v>0</v>
      </c>
      <c r="P1267" s="197">
        <v>0</v>
      </c>
      <c r="Q1267" s="197">
        <v>0</v>
      </c>
      <c r="R1267" s="260" t="s">
        <v>239</v>
      </c>
      <c r="S1267" s="260" t="s">
        <v>514</v>
      </c>
      <c r="T1267" s="260" t="s">
        <v>239</v>
      </c>
      <c r="U1267" s="260" t="s">
        <v>514</v>
      </c>
    </row>
    <row r="1268" spans="1:21" ht="14.5" x14ac:dyDescent="0.35">
      <c r="A1268" s="260" t="s">
        <v>747</v>
      </c>
      <c r="B1268" s="190">
        <v>45824</v>
      </c>
      <c r="C1268" s="197">
        <v>63480.800000000003</v>
      </c>
      <c r="D1268" s="197">
        <v>0</v>
      </c>
      <c r="E1268" s="197">
        <v>0</v>
      </c>
      <c r="F1268" s="197">
        <v>0</v>
      </c>
      <c r="G1268" s="197">
        <v>50988</v>
      </c>
      <c r="H1268" s="197">
        <v>12501</v>
      </c>
      <c r="I1268" s="197">
        <v>0</v>
      </c>
      <c r="J1268" s="197">
        <v>63489</v>
      </c>
      <c r="K1268" s="197">
        <v>63489</v>
      </c>
      <c r="L1268" s="197">
        <v>12012</v>
      </c>
      <c r="M1268" s="197">
        <v>0</v>
      </c>
      <c r="N1268" s="197">
        <v>0</v>
      </c>
      <c r="O1268" s="197">
        <v>0</v>
      </c>
      <c r="P1268" s="197">
        <v>8.1999999999970896</v>
      </c>
      <c r="Q1268" s="197">
        <v>1.2917291527503316E-4</v>
      </c>
      <c r="R1268" s="260" t="s">
        <v>239</v>
      </c>
      <c r="S1268" s="260" t="s">
        <v>514</v>
      </c>
      <c r="T1268" s="260" t="s">
        <v>239</v>
      </c>
      <c r="U1268" s="260" t="s">
        <v>514</v>
      </c>
    </row>
    <row r="1269" spans="1:21" ht="14.5" x14ac:dyDescent="0.35">
      <c r="A1269" s="260" t="s">
        <v>747</v>
      </c>
      <c r="B1269" s="190">
        <v>45825</v>
      </c>
      <c r="C1269" s="197">
        <v>63489</v>
      </c>
      <c r="D1269" s="197">
        <v>0</v>
      </c>
      <c r="E1269" s="197">
        <v>0</v>
      </c>
      <c r="F1269" s="197">
        <v>0</v>
      </c>
      <c r="G1269" s="197">
        <v>50988</v>
      </c>
      <c r="H1269" s="197">
        <v>12503.8</v>
      </c>
      <c r="I1269" s="197">
        <v>0</v>
      </c>
      <c r="J1269" s="197">
        <v>63491.8</v>
      </c>
      <c r="K1269" s="197">
        <v>63491.8</v>
      </c>
      <c r="L1269" s="197">
        <v>12012</v>
      </c>
      <c r="M1269" s="197">
        <v>0</v>
      </c>
      <c r="N1269" s="197">
        <v>0</v>
      </c>
      <c r="O1269" s="197">
        <v>0</v>
      </c>
      <c r="P1269" s="197">
        <v>2.8000000000029104</v>
      </c>
      <c r="Q1269" s="197">
        <v>4.4102127927825308E-5</v>
      </c>
      <c r="R1269" s="260" t="s">
        <v>239</v>
      </c>
      <c r="S1269" s="260" t="s">
        <v>514</v>
      </c>
      <c r="T1269" s="260" t="s">
        <v>239</v>
      </c>
      <c r="U1269" s="260" t="s">
        <v>514</v>
      </c>
    </row>
    <row r="1270" spans="1:21" ht="14.5" x14ac:dyDescent="0.35">
      <c r="A1270" s="260" t="s">
        <v>747</v>
      </c>
      <c r="B1270" s="190">
        <v>45826</v>
      </c>
      <c r="C1270" s="197">
        <v>63491.8</v>
      </c>
      <c r="D1270" s="197">
        <v>0</v>
      </c>
      <c r="E1270" s="197">
        <v>0</v>
      </c>
      <c r="F1270" s="197">
        <v>0</v>
      </c>
      <c r="G1270" s="197">
        <v>50988</v>
      </c>
      <c r="H1270" s="197">
        <v>12507.6</v>
      </c>
      <c r="I1270" s="197">
        <v>0</v>
      </c>
      <c r="J1270" s="197">
        <v>63495.6</v>
      </c>
      <c r="K1270" s="197">
        <v>63495.6</v>
      </c>
      <c r="L1270" s="197">
        <v>12012</v>
      </c>
      <c r="M1270" s="197">
        <v>0</v>
      </c>
      <c r="N1270" s="197">
        <v>0</v>
      </c>
      <c r="O1270" s="197">
        <v>0</v>
      </c>
      <c r="P1270" s="197">
        <v>3.7999999999956344</v>
      </c>
      <c r="Q1270" s="197">
        <v>5.9850248378401361E-5</v>
      </c>
      <c r="R1270" s="260" t="s">
        <v>239</v>
      </c>
      <c r="S1270" s="260" t="s">
        <v>514</v>
      </c>
      <c r="T1270" s="260" t="s">
        <v>239</v>
      </c>
      <c r="U1270" s="260" t="s">
        <v>514</v>
      </c>
    </row>
    <row r="1271" spans="1:21" ht="14.5" x14ac:dyDescent="0.35">
      <c r="A1271" s="260" t="s">
        <v>747</v>
      </c>
      <c r="B1271" s="190">
        <v>45827</v>
      </c>
      <c r="C1271" s="197">
        <v>63495.6</v>
      </c>
      <c r="D1271" s="197">
        <v>0</v>
      </c>
      <c r="E1271" s="197">
        <v>0</v>
      </c>
      <c r="F1271" s="197">
        <v>0</v>
      </c>
      <c r="G1271" s="197">
        <v>50988</v>
      </c>
      <c r="H1271" s="197">
        <v>12509.6</v>
      </c>
      <c r="I1271" s="197">
        <v>0</v>
      </c>
      <c r="J1271" s="197">
        <v>63497.599999999999</v>
      </c>
      <c r="K1271" s="197">
        <v>63497.599999999999</v>
      </c>
      <c r="L1271" s="197">
        <v>12012</v>
      </c>
      <c r="M1271" s="197">
        <v>0</v>
      </c>
      <c r="N1271" s="197">
        <v>0</v>
      </c>
      <c r="O1271" s="197">
        <v>0</v>
      </c>
      <c r="P1271" s="197">
        <v>2</v>
      </c>
      <c r="Q1271" s="197">
        <v>3.1498245547822989E-5</v>
      </c>
      <c r="R1271" s="260" t="s">
        <v>239</v>
      </c>
      <c r="S1271" s="260" t="s">
        <v>514</v>
      </c>
      <c r="T1271" s="260" t="s">
        <v>239</v>
      </c>
      <c r="U1271" s="260" t="s">
        <v>514</v>
      </c>
    </row>
    <row r="1272" spans="1:21" ht="14.5" x14ac:dyDescent="0.35">
      <c r="A1272" s="260" t="s">
        <v>747</v>
      </c>
      <c r="B1272" s="190">
        <v>45828</v>
      </c>
      <c r="C1272" s="197">
        <v>63497.599999999999</v>
      </c>
      <c r="D1272" s="197">
        <v>0</v>
      </c>
      <c r="E1272" s="197">
        <v>0</v>
      </c>
      <c r="F1272" s="197">
        <v>0</v>
      </c>
      <c r="G1272" s="197">
        <v>50988</v>
      </c>
      <c r="H1272" s="197">
        <v>12512.4</v>
      </c>
      <c r="I1272" s="197">
        <v>0</v>
      </c>
      <c r="J1272" s="197">
        <v>63500.4</v>
      </c>
      <c r="K1272" s="197">
        <v>63500.4</v>
      </c>
      <c r="L1272" s="197">
        <v>12012</v>
      </c>
      <c r="M1272" s="197">
        <v>0</v>
      </c>
      <c r="N1272" s="197">
        <v>0</v>
      </c>
      <c r="O1272" s="197">
        <v>0</v>
      </c>
      <c r="P1272" s="197">
        <v>2.8000000000029104</v>
      </c>
      <c r="Q1272" s="197">
        <v>4.409615481537621E-5</v>
      </c>
      <c r="R1272" s="260" t="s">
        <v>239</v>
      </c>
      <c r="S1272" s="260" t="s">
        <v>514</v>
      </c>
      <c r="T1272" s="260" t="s">
        <v>239</v>
      </c>
      <c r="U1272" s="260" t="s">
        <v>514</v>
      </c>
    </row>
    <row r="1273" spans="1:21" ht="14.5" x14ac:dyDescent="0.35">
      <c r="A1273" s="260" t="s">
        <v>747</v>
      </c>
      <c r="B1273" s="190">
        <v>45829</v>
      </c>
      <c r="C1273" s="197">
        <v>63500.4</v>
      </c>
      <c r="D1273" s="197">
        <v>0</v>
      </c>
      <c r="E1273" s="197">
        <v>0</v>
      </c>
      <c r="F1273" s="197">
        <v>0</v>
      </c>
      <c r="G1273" s="197">
        <v>50988</v>
      </c>
      <c r="H1273" s="197">
        <v>12512.4</v>
      </c>
      <c r="I1273" s="197">
        <v>0</v>
      </c>
      <c r="J1273" s="197">
        <v>63500.4</v>
      </c>
      <c r="K1273" s="197">
        <v>63500.4</v>
      </c>
      <c r="L1273" s="197">
        <v>12012</v>
      </c>
      <c r="M1273" s="197">
        <v>0</v>
      </c>
      <c r="N1273" s="197">
        <v>0</v>
      </c>
      <c r="O1273" s="197">
        <v>0</v>
      </c>
      <c r="P1273" s="197">
        <v>0</v>
      </c>
      <c r="Q1273" s="197">
        <v>0</v>
      </c>
      <c r="R1273" s="260" t="s">
        <v>239</v>
      </c>
      <c r="S1273" s="260" t="s">
        <v>514</v>
      </c>
      <c r="T1273" s="260" t="s">
        <v>239</v>
      </c>
      <c r="U1273" s="260" t="s">
        <v>514</v>
      </c>
    </row>
    <row r="1274" spans="1:21" ht="14.5" x14ac:dyDescent="0.35">
      <c r="A1274" s="260" t="s">
        <v>747</v>
      </c>
      <c r="B1274" s="190">
        <v>45830</v>
      </c>
      <c r="C1274" s="197">
        <v>63500.4</v>
      </c>
      <c r="D1274" s="197">
        <v>0</v>
      </c>
      <c r="E1274" s="197">
        <v>0</v>
      </c>
      <c r="F1274" s="197">
        <v>0</v>
      </c>
      <c r="G1274" s="197">
        <v>50988</v>
      </c>
      <c r="H1274" s="197">
        <v>12512.4</v>
      </c>
      <c r="I1274" s="197">
        <v>0</v>
      </c>
      <c r="J1274" s="197">
        <v>63500.4</v>
      </c>
      <c r="K1274" s="197">
        <v>63500.4</v>
      </c>
      <c r="L1274" s="197">
        <v>12012</v>
      </c>
      <c r="M1274" s="197">
        <v>0</v>
      </c>
      <c r="N1274" s="197">
        <v>0</v>
      </c>
      <c r="O1274" s="197">
        <v>0</v>
      </c>
      <c r="P1274" s="197">
        <v>0</v>
      </c>
      <c r="Q1274" s="197">
        <v>0</v>
      </c>
      <c r="R1274" s="260" t="s">
        <v>239</v>
      </c>
      <c r="S1274" s="260" t="s">
        <v>514</v>
      </c>
      <c r="T1274" s="260" t="s">
        <v>239</v>
      </c>
      <c r="U1274" s="260" t="s">
        <v>514</v>
      </c>
    </row>
    <row r="1275" spans="1:21" ht="14.5" x14ac:dyDescent="0.35">
      <c r="A1275" s="260" t="s">
        <v>747</v>
      </c>
      <c r="B1275" s="190">
        <v>45831</v>
      </c>
      <c r="C1275" s="197">
        <v>63500.4</v>
      </c>
      <c r="D1275" s="197">
        <v>0</v>
      </c>
      <c r="E1275" s="197">
        <v>0</v>
      </c>
      <c r="F1275" s="197">
        <v>0</v>
      </c>
      <c r="G1275" s="197">
        <v>50988</v>
      </c>
      <c r="H1275" s="197">
        <v>12521</v>
      </c>
      <c r="I1275" s="197">
        <v>0</v>
      </c>
      <c r="J1275" s="197">
        <v>63509</v>
      </c>
      <c r="K1275" s="197">
        <v>63509</v>
      </c>
      <c r="L1275" s="197">
        <v>12012</v>
      </c>
      <c r="M1275" s="197">
        <v>0</v>
      </c>
      <c r="N1275" s="197">
        <v>0</v>
      </c>
      <c r="O1275" s="197">
        <v>0</v>
      </c>
      <c r="P1275" s="197">
        <v>8.5999999999985448</v>
      </c>
      <c r="Q1275" s="197">
        <v>1.3543221774980907E-4</v>
      </c>
      <c r="R1275" s="260" t="s">
        <v>239</v>
      </c>
      <c r="S1275" s="260" t="s">
        <v>514</v>
      </c>
      <c r="T1275" s="260" t="s">
        <v>239</v>
      </c>
      <c r="U1275" s="260" t="s">
        <v>514</v>
      </c>
    </row>
    <row r="1276" spans="1:21" ht="14.5" x14ac:dyDescent="0.35">
      <c r="A1276" s="260" t="s">
        <v>747</v>
      </c>
      <c r="B1276" s="190">
        <v>45832</v>
      </c>
      <c r="C1276" s="197">
        <v>63509</v>
      </c>
      <c r="D1276" s="197">
        <v>0</v>
      </c>
      <c r="E1276" s="197">
        <v>0</v>
      </c>
      <c r="F1276" s="197">
        <v>0</v>
      </c>
      <c r="G1276" s="197">
        <v>50988</v>
      </c>
      <c r="H1276" s="197">
        <v>12523.8</v>
      </c>
      <c r="I1276" s="197">
        <v>0</v>
      </c>
      <c r="J1276" s="197">
        <v>63511.8</v>
      </c>
      <c r="K1276" s="197">
        <v>63511.8</v>
      </c>
      <c r="L1276" s="197">
        <v>12012</v>
      </c>
      <c r="M1276" s="197">
        <v>0</v>
      </c>
      <c r="N1276" s="197">
        <v>0</v>
      </c>
      <c r="O1276" s="197">
        <v>0</v>
      </c>
      <c r="P1276" s="197">
        <v>2.8000000000029104</v>
      </c>
      <c r="Q1276" s="197">
        <v>4.4088239462114487E-5</v>
      </c>
      <c r="R1276" s="260" t="s">
        <v>239</v>
      </c>
      <c r="S1276" s="260" t="s">
        <v>514</v>
      </c>
      <c r="T1276" s="260" t="s">
        <v>239</v>
      </c>
      <c r="U1276" s="260" t="s">
        <v>514</v>
      </c>
    </row>
    <row r="1277" spans="1:21" ht="14.5" x14ac:dyDescent="0.35">
      <c r="A1277" s="260" t="s">
        <v>747</v>
      </c>
      <c r="B1277" s="190">
        <v>45833</v>
      </c>
      <c r="C1277" s="197">
        <v>63511.8</v>
      </c>
      <c r="D1277" s="197">
        <v>0</v>
      </c>
      <c r="E1277" s="197">
        <v>0</v>
      </c>
      <c r="F1277" s="197">
        <v>0</v>
      </c>
      <c r="G1277" s="197">
        <v>50988</v>
      </c>
      <c r="H1277" s="197">
        <v>12526.6</v>
      </c>
      <c r="I1277" s="197">
        <v>0</v>
      </c>
      <c r="J1277" s="197">
        <v>63514.6</v>
      </c>
      <c r="K1277" s="197">
        <v>63514.6</v>
      </c>
      <c r="L1277" s="197">
        <v>12012</v>
      </c>
      <c r="M1277" s="197">
        <v>0</v>
      </c>
      <c r="N1277" s="197">
        <v>0</v>
      </c>
      <c r="O1277" s="197">
        <v>0</v>
      </c>
      <c r="P1277" s="197">
        <v>2.7999999999956344</v>
      </c>
      <c r="Q1277" s="197">
        <v>4.4086295774903306E-5</v>
      </c>
      <c r="R1277" s="260" t="s">
        <v>239</v>
      </c>
      <c r="S1277" s="260" t="s">
        <v>514</v>
      </c>
      <c r="T1277" s="260" t="s">
        <v>239</v>
      </c>
      <c r="U1277" s="260" t="s">
        <v>514</v>
      </c>
    </row>
    <row r="1278" spans="1:21" ht="14.5" x14ac:dyDescent="0.35">
      <c r="A1278" s="260" t="s">
        <v>747</v>
      </c>
      <c r="B1278" s="190">
        <v>45834</v>
      </c>
      <c r="C1278" s="197">
        <v>63514.6</v>
      </c>
      <c r="D1278" s="197">
        <v>0</v>
      </c>
      <c r="E1278" s="197">
        <v>0</v>
      </c>
      <c r="F1278" s="197">
        <v>0</v>
      </c>
      <c r="G1278" s="197">
        <v>50988</v>
      </c>
      <c r="H1278" s="197">
        <v>12528.6</v>
      </c>
      <c r="I1278" s="197">
        <v>0</v>
      </c>
      <c r="J1278" s="197">
        <v>63516.6</v>
      </c>
      <c r="K1278" s="197">
        <v>63516.6</v>
      </c>
      <c r="L1278" s="197">
        <v>12012</v>
      </c>
      <c r="M1278" s="197">
        <v>0</v>
      </c>
      <c r="N1278" s="197">
        <v>0</v>
      </c>
      <c r="O1278" s="197">
        <v>0</v>
      </c>
      <c r="P1278" s="197">
        <v>2</v>
      </c>
      <c r="Q1278" s="197">
        <v>3.1488823042158387E-5</v>
      </c>
      <c r="R1278" s="260" t="s">
        <v>239</v>
      </c>
      <c r="S1278" s="260" t="s">
        <v>514</v>
      </c>
      <c r="T1278" s="260" t="s">
        <v>239</v>
      </c>
      <c r="U1278" s="260" t="s">
        <v>514</v>
      </c>
    </row>
    <row r="1279" spans="1:21" ht="14.5" x14ac:dyDescent="0.35">
      <c r="A1279" s="260" t="s">
        <v>747</v>
      </c>
      <c r="B1279" s="190">
        <v>45835</v>
      </c>
      <c r="C1279" s="197">
        <v>63516.6</v>
      </c>
      <c r="D1279" s="197">
        <v>0</v>
      </c>
      <c r="E1279" s="197">
        <v>0</v>
      </c>
      <c r="F1279" s="197">
        <v>0</v>
      </c>
      <c r="G1279" s="197">
        <v>50988</v>
      </c>
      <c r="H1279" s="197">
        <v>12531.400000000001</v>
      </c>
      <c r="I1279" s="197">
        <v>0</v>
      </c>
      <c r="J1279" s="197">
        <v>63519.4</v>
      </c>
      <c r="K1279" s="197">
        <v>63519.4</v>
      </c>
      <c r="L1279" s="197">
        <v>12012</v>
      </c>
      <c r="M1279" s="197">
        <v>0</v>
      </c>
      <c r="N1279" s="197">
        <v>0</v>
      </c>
      <c r="O1279" s="197">
        <v>0</v>
      </c>
      <c r="P1279" s="197">
        <v>2.8000000000029104</v>
      </c>
      <c r="Q1279" s="197">
        <v>4.4082964138603131E-5</v>
      </c>
      <c r="R1279" s="260" t="s">
        <v>239</v>
      </c>
      <c r="S1279" s="260" t="s">
        <v>514</v>
      </c>
      <c r="T1279" s="260" t="s">
        <v>239</v>
      </c>
      <c r="U1279" s="260" t="s">
        <v>514</v>
      </c>
    </row>
    <row r="1280" spans="1:21" ht="14.5" x14ac:dyDescent="0.35">
      <c r="A1280" s="260" t="s">
        <v>747</v>
      </c>
      <c r="B1280" s="190">
        <v>45836</v>
      </c>
      <c r="C1280" s="197">
        <v>63519.4</v>
      </c>
      <c r="D1280" s="197">
        <v>0</v>
      </c>
      <c r="E1280" s="197">
        <v>0</v>
      </c>
      <c r="F1280" s="197">
        <v>0</v>
      </c>
      <c r="G1280" s="197">
        <v>50988</v>
      </c>
      <c r="H1280" s="197">
        <v>12531.400000000001</v>
      </c>
      <c r="I1280" s="197">
        <v>0</v>
      </c>
      <c r="J1280" s="197">
        <v>63519.4</v>
      </c>
      <c r="K1280" s="197">
        <v>63519.4</v>
      </c>
      <c r="L1280" s="197">
        <v>12012</v>
      </c>
      <c r="M1280" s="197">
        <v>0</v>
      </c>
      <c r="N1280" s="197">
        <v>0</v>
      </c>
      <c r="O1280" s="197">
        <v>0</v>
      </c>
      <c r="P1280" s="197">
        <v>0</v>
      </c>
      <c r="Q1280" s="197">
        <v>0</v>
      </c>
      <c r="R1280" s="260" t="s">
        <v>239</v>
      </c>
      <c r="S1280" s="260" t="s">
        <v>514</v>
      </c>
      <c r="T1280" s="260" t="s">
        <v>239</v>
      </c>
      <c r="U1280" s="260" t="s">
        <v>514</v>
      </c>
    </row>
    <row r="1281" spans="1:21" ht="14.5" x14ac:dyDescent="0.35">
      <c r="A1281" s="260" t="s">
        <v>747</v>
      </c>
      <c r="B1281" s="190">
        <v>45837</v>
      </c>
      <c r="C1281" s="197">
        <v>63519.4</v>
      </c>
      <c r="D1281" s="197">
        <v>0</v>
      </c>
      <c r="E1281" s="197">
        <v>0</v>
      </c>
      <c r="F1281" s="197">
        <v>0</v>
      </c>
      <c r="G1281" s="197">
        <v>50988</v>
      </c>
      <c r="H1281" s="197">
        <v>12531.400000000001</v>
      </c>
      <c r="I1281" s="197">
        <v>0</v>
      </c>
      <c r="J1281" s="197">
        <v>63519.4</v>
      </c>
      <c r="K1281" s="197">
        <v>63519.4</v>
      </c>
      <c r="L1281" s="197">
        <v>12012</v>
      </c>
      <c r="M1281" s="197">
        <v>0</v>
      </c>
      <c r="N1281" s="197">
        <v>0</v>
      </c>
      <c r="O1281" s="197">
        <v>0</v>
      </c>
      <c r="P1281" s="197">
        <v>0</v>
      </c>
      <c r="Q1281" s="197">
        <v>0</v>
      </c>
      <c r="R1281" s="260" t="s">
        <v>239</v>
      </c>
      <c r="S1281" s="260" t="s">
        <v>514</v>
      </c>
      <c r="T1281" s="260" t="s">
        <v>239</v>
      </c>
      <c r="U1281" s="260" t="s">
        <v>514</v>
      </c>
    </row>
    <row r="1282" spans="1:21" ht="14.5" x14ac:dyDescent="0.35">
      <c r="A1282" s="260" t="s">
        <v>747</v>
      </c>
      <c r="B1282" s="190">
        <v>45838</v>
      </c>
      <c r="C1282" s="197">
        <v>63519.4</v>
      </c>
      <c r="D1282" s="197">
        <v>0</v>
      </c>
      <c r="E1282" s="197">
        <v>0</v>
      </c>
      <c r="F1282" s="197">
        <v>0</v>
      </c>
      <c r="G1282" s="197">
        <v>50988</v>
      </c>
      <c r="H1282" s="197">
        <v>12540</v>
      </c>
      <c r="I1282" s="197">
        <v>0</v>
      </c>
      <c r="J1282" s="197">
        <v>63528</v>
      </c>
      <c r="K1282" s="197">
        <v>63528</v>
      </c>
      <c r="L1282" s="197">
        <v>12012</v>
      </c>
      <c r="M1282" s="197">
        <v>0</v>
      </c>
      <c r="N1282" s="197">
        <v>0</v>
      </c>
      <c r="O1282" s="197">
        <v>0</v>
      </c>
      <c r="P1282" s="197">
        <v>8.5999999999985448</v>
      </c>
      <c r="Q1282" s="197">
        <v>1.353917071005295E-4</v>
      </c>
      <c r="R1282" s="260" t="s">
        <v>239</v>
      </c>
      <c r="S1282" s="260" t="s">
        <v>514</v>
      </c>
      <c r="T1282" s="260" t="s">
        <v>239</v>
      </c>
      <c r="U1282" s="260" t="s">
        <v>514</v>
      </c>
    </row>
    <row r="1283" spans="1:21" ht="14.5" x14ac:dyDescent="0.35">
      <c r="A1283" s="260" t="s">
        <v>747</v>
      </c>
      <c r="B1283" s="190">
        <v>45839</v>
      </c>
      <c r="C1283" s="197">
        <v>63528</v>
      </c>
      <c r="D1283" s="197">
        <v>0</v>
      </c>
      <c r="E1283" s="197">
        <v>0</v>
      </c>
      <c r="F1283" s="197">
        <v>0</v>
      </c>
      <c r="G1283" s="197">
        <v>50988</v>
      </c>
      <c r="H1283" s="197">
        <v>12540</v>
      </c>
      <c r="I1283" s="197">
        <v>0</v>
      </c>
      <c r="J1283" s="197">
        <v>63528</v>
      </c>
      <c r="K1283" s="197">
        <v>63528</v>
      </c>
      <c r="L1283" s="197">
        <v>12012</v>
      </c>
      <c r="M1283" s="197">
        <v>0</v>
      </c>
      <c r="N1283" s="197">
        <v>0</v>
      </c>
      <c r="O1283" s="197">
        <v>0</v>
      </c>
      <c r="P1283" s="197">
        <v>0</v>
      </c>
      <c r="Q1283" s="197">
        <v>0</v>
      </c>
      <c r="R1283" s="260" t="s">
        <v>239</v>
      </c>
      <c r="S1283" s="260" t="s">
        <v>514</v>
      </c>
      <c r="T1283" s="260" t="s">
        <v>239</v>
      </c>
      <c r="U1283" s="260" t="s">
        <v>514</v>
      </c>
    </row>
    <row r="1284" spans="1:21" ht="14.5" x14ac:dyDescent="0.35">
      <c r="A1284" s="260" t="s">
        <v>747</v>
      </c>
      <c r="B1284" s="190">
        <v>45840</v>
      </c>
      <c r="C1284" s="197">
        <v>63528</v>
      </c>
      <c r="D1284" s="197">
        <v>0</v>
      </c>
      <c r="E1284" s="197">
        <v>0</v>
      </c>
      <c r="F1284" s="197">
        <v>0</v>
      </c>
      <c r="G1284" s="197">
        <v>50988</v>
      </c>
      <c r="H1284" s="197">
        <v>12517.400000000001</v>
      </c>
      <c r="I1284" s="197">
        <v>0</v>
      </c>
      <c r="J1284" s="197">
        <v>63505.4</v>
      </c>
      <c r="K1284" s="197">
        <v>63505.4</v>
      </c>
      <c r="L1284" s="197">
        <v>12012</v>
      </c>
      <c r="M1284" s="197">
        <v>0</v>
      </c>
      <c r="N1284" s="197">
        <v>0</v>
      </c>
      <c r="O1284" s="197">
        <v>0</v>
      </c>
      <c r="P1284" s="197">
        <v>-22.599999999998545</v>
      </c>
      <c r="Q1284" s="197">
        <v>-3.5574864626619629E-4</v>
      </c>
      <c r="R1284" s="260" t="s">
        <v>239</v>
      </c>
      <c r="S1284" s="260" t="s">
        <v>514</v>
      </c>
      <c r="T1284" s="260" t="s">
        <v>239</v>
      </c>
      <c r="U1284" s="260" t="s">
        <v>514</v>
      </c>
    </row>
    <row r="1285" spans="1:21" ht="14.5" x14ac:dyDescent="0.35">
      <c r="A1285" s="260" t="s">
        <v>747</v>
      </c>
      <c r="B1285" s="190">
        <v>45841</v>
      </c>
      <c r="C1285" s="197">
        <v>63505.4</v>
      </c>
      <c r="D1285" s="197">
        <v>0</v>
      </c>
      <c r="E1285" s="197">
        <v>0</v>
      </c>
      <c r="F1285" s="197">
        <v>0</v>
      </c>
      <c r="G1285" s="197">
        <v>50988</v>
      </c>
      <c r="H1285" s="197">
        <v>12494.6</v>
      </c>
      <c r="I1285" s="197">
        <v>0</v>
      </c>
      <c r="J1285" s="197">
        <v>63482.6</v>
      </c>
      <c r="K1285" s="197">
        <v>63482.6</v>
      </c>
      <c r="L1285" s="197">
        <v>12012</v>
      </c>
      <c r="M1285" s="197">
        <v>0</v>
      </c>
      <c r="N1285" s="197">
        <v>0</v>
      </c>
      <c r="O1285" s="197">
        <v>0</v>
      </c>
      <c r="P1285" s="197">
        <v>-22.80000000000291</v>
      </c>
      <c r="Q1285" s="197">
        <v>-3.5902458688552574E-4</v>
      </c>
      <c r="R1285" s="260" t="s">
        <v>239</v>
      </c>
      <c r="S1285" s="260" t="s">
        <v>514</v>
      </c>
      <c r="T1285" s="260" t="s">
        <v>239</v>
      </c>
      <c r="U1285" s="260" t="s">
        <v>514</v>
      </c>
    </row>
    <row r="1286" spans="1:21" ht="14.5" x14ac:dyDescent="0.35">
      <c r="A1286" s="260" t="s">
        <v>747</v>
      </c>
      <c r="B1286" s="190">
        <v>45842</v>
      </c>
      <c r="C1286" s="197">
        <v>63482.6</v>
      </c>
      <c r="D1286" s="197">
        <v>0</v>
      </c>
      <c r="E1286" s="197">
        <v>0</v>
      </c>
      <c r="F1286" s="197">
        <v>0</v>
      </c>
      <c r="G1286" s="197">
        <v>50988</v>
      </c>
      <c r="H1286" s="197">
        <v>12472</v>
      </c>
      <c r="I1286" s="197">
        <v>0</v>
      </c>
      <c r="J1286" s="197">
        <v>63460</v>
      </c>
      <c r="K1286" s="197">
        <v>63460</v>
      </c>
      <c r="L1286" s="197">
        <v>12012</v>
      </c>
      <c r="M1286" s="197">
        <v>0</v>
      </c>
      <c r="N1286" s="197">
        <v>0</v>
      </c>
      <c r="O1286" s="197">
        <v>0</v>
      </c>
      <c r="P1286" s="197">
        <v>-22.599999999998545</v>
      </c>
      <c r="Q1286" s="197">
        <v>-3.5600306225636036E-4</v>
      </c>
      <c r="R1286" s="260" t="s">
        <v>239</v>
      </c>
      <c r="S1286" s="260" t="s">
        <v>514</v>
      </c>
      <c r="T1286" s="260" t="s">
        <v>239</v>
      </c>
      <c r="U1286" s="260" t="s">
        <v>514</v>
      </c>
    </row>
    <row r="1287" spans="1:21" ht="14.5" x14ac:dyDescent="0.35">
      <c r="A1287" s="260" t="s">
        <v>747</v>
      </c>
      <c r="B1287" s="190">
        <v>45843</v>
      </c>
      <c r="C1287" s="197">
        <v>63460</v>
      </c>
      <c r="D1287" s="197">
        <v>0</v>
      </c>
      <c r="E1287" s="197">
        <v>0</v>
      </c>
      <c r="F1287" s="197">
        <v>0</v>
      </c>
      <c r="G1287" s="197">
        <v>50988</v>
      </c>
      <c r="H1287" s="197">
        <v>12472</v>
      </c>
      <c r="I1287" s="197">
        <v>0</v>
      </c>
      <c r="J1287" s="197">
        <v>63460</v>
      </c>
      <c r="K1287" s="197">
        <v>63460</v>
      </c>
      <c r="L1287" s="197">
        <v>12012</v>
      </c>
      <c r="M1287" s="197">
        <v>0</v>
      </c>
      <c r="N1287" s="197">
        <v>0</v>
      </c>
      <c r="O1287" s="197">
        <v>0</v>
      </c>
      <c r="P1287" s="197">
        <v>0</v>
      </c>
      <c r="Q1287" s="197">
        <v>0</v>
      </c>
      <c r="R1287" s="260" t="s">
        <v>239</v>
      </c>
      <c r="S1287" s="260" t="s">
        <v>514</v>
      </c>
      <c r="T1287" s="260" t="s">
        <v>239</v>
      </c>
      <c r="U1287" s="260" t="s">
        <v>514</v>
      </c>
    </row>
    <row r="1288" spans="1:21" ht="14.5" x14ac:dyDescent="0.35">
      <c r="A1288" s="260" t="s">
        <v>747</v>
      </c>
      <c r="B1288" s="190">
        <v>45844</v>
      </c>
      <c r="C1288" s="197">
        <v>63460</v>
      </c>
      <c r="D1288" s="197">
        <v>0</v>
      </c>
      <c r="E1288" s="197">
        <v>0</v>
      </c>
      <c r="F1288" s="197">
        <v>0</v>
      </c>
      <c r="G1288" s="197">
        <v>50988</v>
      </c>
      <c r="H1288" s="197">
        <v>12472</v>
      </c>
      <c r="I1288" s="197">
        <v>0</v>
      </c>
      <c r="J1288" s="197">
        <v>63460</v>
      </c>
      <c r="K1288" s="197">
        <v>63460</v>
      </c>
      <c r="L1288" s="197">
        <v>12012</v>
      </c>
      <c r="M1288" s="197">
        <v>0</v>
      </c>
      <c r="N1288" s="197">
        <v>0</v>
      </c>
      <c r="O1288" s="197">
        <v>0</v>
      </c>
      <c r="P1288" s="197">
        <v>0</v>
      </c>
      <c r="Q1288" s="197">
        <v>0</v>
      </c>
      <c r="R1288" s="260" t="s">
        <v>239</v>
      </c>
      <c r="S1288" s="260" t="s">
        <v>514</v>
      </c>
      <c r="T1288" s="260" t="s">
        <v>239</v>
      </c>
      <c r="U1288" s="260" t="s">
        <v>514</v>
      </c>
    </row>
    <row r="1289" spans="1:21" ht="14.5" x14ac:dyDescent="0.35">
      <c r="A1289" s="260" t="s">
        <v>747</v>
      </c>
      <c r="B1289" s="190">
        <v>45845</v>
      </c>
      <c r="C1289" s="197">
        <v>63460</v>
      </c>
      <c r="D1289" s="197">
        <v>0</v>
      </c>
      <c r="E1289" s="197">
        <v>0</v>
      </c>
      <c r="F1289" s="197">
        <v>0</v>
      </c>
      <c r="G1289" s="197">
        <v>50988</v>
      </c>
      <c r="H1289" s="197">
        <v>12404</v>
      </c>
      <c r="I1289" s="197">
        <v>0</v>
      </c>
      <c r="J1289" s="197">
        <v>63392</v>
      </c>
      <c r="K1289" s="197">
        <v>63392</v>
      </c>
      <c r="L1289" s="197">
        <v>12012</v>
      </c>
      <c r="M1289" s="197">
        <v>0</v>
      </c>
      <c r="N1289" s="197">
        <v>0</v>
      </c>
      <c r="O1289" s="197">
        <v>0</v>
      </c>
      <c r="P1289" s="197">
        <v>-68</v>
      </c>
      <c r="Q1289" s="197">
        <v>-1.0715411282697929E-3</v>
      </c>
      <c r="R1289" s="260" t="s">
        <v>239</v>
      </c>
      <c r="S1289" s="260" t="s">
        <v>514</v>
      </c>
      <c r="T1289" s="260" t="s">
        <v>239</v>
      </c>
      <c r="U1289" s="260" t="s">
        <v>514</v>
      </c>
    </row>
    <row r="1290" spans="1:21" ht="14.5" x14ac:dyDescent="0.35">
      <c r="A1290" s="260" t="s">
        <v>747</v>
      </c>
      <c r="B1290" s="190">
        <v>45846</v>
      </c>
      <c r="C1290" s="197">
        <v>63392</v>
      </c>
      <c r="D1290" s="197">
        <v>0</v>
      </c>
      <c r="E1290" s="197">
        <v>0</v>
      </c>
      <c r="F1290" s="197">
        <v>0</v>
      </c>
      <c r="G1290" s="197">
        <v>50988</v>
      </c>
      <c r="H1290" s="197">
        <v>12381.399999999998</v>
      </c>
      <c r="I1290" s="197">
        <v>0</v>
      </c>
      <c r="J1290" s="197">
        <v>63369.399999999994</v>
      </c>
      <c r="K1290" s="197">
        <v>63369.399999999994</v>
      </c>
      <c r="L1290" s="197">
        <v>12012</v>
      </c>
      <c r="M1290" s="197">
        <v>0</v>
      </c>
      <c r="N1290" s="197">
        <v>0</v>
      </c>
      <c r="O1290" s="197">
        <v>0</v>
      </c>
      <c r="P1290" s="197">
        <v>-22.600000000005821</v>
      </c>
      <c r="Q1290" s="197">
        <v>-3.5651186269569646E-4</v>
      </c>
      <c r="R1290" s="260" t="s">
        <v>239</v>
      </c>
      <c r="S1290" s="260" t="s">
        <v>514</v>
      </c>
      <c r="T1290" s="260" t="s">
        <v>239</v>
      </c>
      <c r="U1290" s="260" t="s">
        <v>514</v>
      </c>
    </row>
    <row r="1291" spans="1:21" ht="14.5" x14ac:dyDescent="0.35">
      <c r="A1291" s="260" t="s">
        <v>747</v>
      </c>
      <c r="B1291" s="190">
        <v>45847</v>
      </c>
      <c r="C1291" s="197">
        <v>63369.399999999994</v>
      </c>
      <c r="D1291" s="197">
        <v>0</v>
      </c>
      <c r="E1291" s="197">
        <v>0</v>
      </c>
      <c r="F1291" s="197">
        <v>0</v>
      </c>
      <c r="G1291" s="197">
        <v>50988</v>
      </c>
      <c r="H1291" s="197">
        <v>12358.600000000002</v>
      </c>
      <c r="I1291" s="197">
        <v>0</v>
      </c>
      <c r="J1291" s="197">
        <v>63346.600000000006</v>
      </c>
      <c r="K1291" s="197">
        <v>63346.600000000006</v>
      </c>
      <c r="L1291" s="197">
        <v>12012</v>
      </c>
      <c r="M1291" s="197">
        <v>0</v>
      </c>
      <c r="N1291" s="197">
        <v>0</v>
      </c>
      <c r="O1291" s="197">
        <v>0</v>
      </c>
      <c r="P1291" s="197">
        <v>-22.799999999988358</v>
      </c>
      <c r="Q1291" s="197">
        <v>-3.5979510615513632E-4</v>
      </c>
      <c r="R1291" s="260" t="s">
        <v>239</v>
      </c>
      <c r="S1291" s="260" t="s">
        <v>514</v>
      </c>
      <c r="T1291" s="260" t="s">
        <v>239</v>
      </c>
      <c r="U1291" s="260" t="s">
        <v>514</v>
      </c>
    </row>
    <row r="1292" spans="1:21" ht="14.5" x14ac:dyDescent="0.35">
      <c r="A1292" s="260" t="s">
        <v>747</v>
      </c>
      <c r="B1292" s="190">
        <v>45848</v>
      </c>
      <c r="C1292" s="197">
        <v>63346.600000000006</v>
      </c>
      <c r="D1292" s="197">
        <v>0</v>
      </c>
      <c r="E1292" s="197">
        <v>0</v>
      </c>
      <c r="F1292" s="197">
        <v>0</v>
      </c>
      <c r="G1292" s="197">
        <v>50988</v>
      </c>
      <c r="H1292" s="197">
        <v>12336</v>
      </c>
      <c r="I1292" s="197">
        <v>0</v>
      </c>
      <c r="J1292" s="197">
        <v>63324</v>
      </c>
      <c r="K1292" s="197">
        <v>63324</v>
      </c>
      <c r="L1292" s="197">
        <v>12012</v>
      </c>
      <c r="M1292" s="197">
        <v>0</v>
      </c>
      <c r="N1292" s="197">
        <v>0</v>
      </c>
      <c r="O1292" s="197">
        <v>0</v>
      </c>
      <c r="P1292" s="197">
        <v>-22.600000000005821</v>
      </c>
      <c r="Q1292" s="197">
        <v>-3.5676737188750085E-4</v>
      </c>
      <c r="R1292" s="260" t="s">
        <v>239</v>
      </c>
      <c r="S1292" s="260" t="s">
        <v>514</v>
      </c>
      <c r="T1292" s="260" t="s">
        <v>239</v>
      </c>
      <c r="U1292" s="260" t="s">
        <v>514</v>
      </c>
    </row>
    <row r="1293" spans="1:21" ht="14.5" x14ac:dyDescent="0.35">
      <c r="A1293" s="260" t="s">
        <v>747</v>
      </c>
      <c r="B1293" s="190">
        <v>45849</v>
      </c>
      <c r="C1293" s="197">
        <v>63324</v>
      </c>
      <c r="D1293" s="197">
        <v>0</v>
      </c>
      <c r="E1293" s="197">
        <v>0</v>
      </c>
      <c r="F1293" s="197">
        <v>0</v>
      </c>
      <c r="G1293" s="197">
        <v>50988</v>
      </c>
      <c r="H1293" s="197">
        <v>12313.4</v>
      </c>
      <c r="I1293" s="197">
        <v>0</v>
      </c>
      <c r="J1293" s="197">
        <v>63301.4</v>
      </c>
      <c r="K1293" s="197">
        <v>63301.4</v>
      </c>
      <c r="L1293" s="197">
        <v>12012</v>
      </c>
      <c r="M1293" s="197">
        <v>0</v>
      </c>
      <c r="N1293" s="197">
        <v>0</v>
      </c>
      <c r="O1293" s="197">
        <v>0</v>
      </c>
      <c r="P1293" s="197">
        <v>-22.599999999998545</v>
      </c>
      <c r="Q1293" s="197">
        <v>-3.5689470027155945E-4</v>
      </c>
      <c r="R1293" s="260" t="s">
        <v>239</v>
      </c>
      <c r="S1293" s="260" t="s">
        <v>514</v>
      </c>
      <c r="T1293" s="260" t="s">
        <v>239</v>
      </c>
      <c r="U1293" s="260" t="s">
        <v>514</v>
      </c>
    </row>
    <row r="1294" spans="1:21" ht="14.5" x14ac:dyDescent="0.35">
      <c r="A1294" s="260" t="s">
        <v>747</v>
      </c>
      <c r="B1294" s="190">
        <v>45850</v>
      </c>
      <c r="C1294" s="197">
        <v>63301.4</v>
      </c>
      <c r="D1294" s="197">
        <v>0</v>
      </c>
      <c r="E1294" s="197">
        <v>0</v>
      </c>
      <c r="F1294" s="197">
        <v>0</v>
      </c>
      <c r="G1294" s="197">
        <v>50988</v>
      </c>
      <c r="H1294" s="197">
        <v>12313.4</v>
      </c>
      <c r="I1294" s="197">
        <v>0</v>
      </c>
      <c r="J1294" s="197">
        <v>63301.4</v>
      </c>
      <c r="K1294" s="197">
        <v>63301.4</v>
      </c>
      <c r="L1294" s="197">
        <v>12012</v>
      </c>
      <c r="M1294" s="197">
        <v>0</v>
      </c>
      <c r="N1294" s="197">
        <v>0</v>
      </c>
      <c r="O1294" s="197">
        <v>0</v>
      </c>
      <c r="P1294" s="197">
        <v>0</v>
      </c>
      <c r="Q1294" s="197">
        <v>0</v>
      </c>
      <c r="R1294" s="260" t="s">
        <v>239</v>
      </c>
      <c r="S1294" s="260" t="s">
        <v>514</v>
      </c>
      <c r="T1294" s="260" t="s">
        <v>239</v>
      </c>
      <c r="U1294" s="260" t="s">
        <v>514</v>
      </c>
    </row>
    <row r="1295" spans="1:21" ht="14.5" x14ac:dyDescent="0.35">
      <c r="A1295" s="260" t="s">
        <v>747</v>
      </c>
      <c r="B1295" s="190">
        <v>45851</v>
      </c>
      <c r="C1295" s="197">
        <v>63301.4</v>
      </c>
      <c r="D1295" s="197">
        <v>0</v>
      </c>
      <c r="E1295" s="197">
        <v>0</v>
      </c>
      <c r="F1295" s="197">
        <v>0</v>
      </c>
      <c r="G1295" s="197">
        <v>50988</v>
      </c>
      <c r="H1295" s="197">
        <v>12313.4</v>
      </c>
      <c r="I1295" s="197">
        <v>0</v>
      </c>
      <c r="J1295" s="197">
        <v>63301.4</v>
      </c>
      <c r="K1295" s="197">
        <v>63301.4</v>
      </c>
      <c r="L1295" s="197">
        <v>12012</v>
      </c>
      <c r="M1295" s="197">
        <v>0</v>
      </c>
      <c r="N1295" s="197">
        <v>0</v>
      </c>
      <c r="O1295" s="197">
        <v>0</v>
      </c>
      <c r="P1295" s="197">
        <v>0</v>
      </c>
      <c r="Q1295" s="197">
        <v>0</v>
      </c>
      <c r="R1295" s="260" t="s">
        <v>239</v>
      </c>
      <c r="S1295" s="260" t="s">
        <v>514</v>
      </c>
      <c r="T1295" s="260" t="s">
        <v>239</v>
      </c>
      <c r="U1295" s="260" t="s">
        <v>514</v>
      </c>
    </row>
    <row r="1296" spans="1:21" ht="14.5" x14ac:dyDescent="0.35">
      <c r="A1296" s="260" t="s">
        <v>747</v>
      </c>
      <c r="B1296" s="190">
        <v>45852</v>
      </c>
      <c r="C1296" s="197">
        <v>63301.4</v>
      </c>
      <c r="D1296" s="197">
        <v>0</v>
      </c>
      <c r="E1296" s="197">
        <v>0</v>
      </c>
      <c r="F1296" s="197">
        <v>0</v>
      </c>
      <c r="G1296" s="197">
        <v>50988</v>
      </c>
      <c r="H1296" s="197">
        <v>12245.4</v>
      </c>
      <c r="I1296" s="197">
        <v>0</v>
      </c>
      <c r="J1296" s="197">
        <v>63233.4</v>
      </c>
      <c r="K1296" s="197">
        <v>63233.4</v>
      </c>
      <c r="L1296" s="197">
        <v>12012</v>
      </c>
      <c r="M1296" s="197">
        <v>0</v>
      </c>
      <c r="N1296" s="197">
        <v>0</v>
      </c>
      <c r="O1296" s="197">
        <v>0</v>
      </c>
      <c r="P1296" s="197">
        <v>-68</v>
      </c>
      <c r="Q1296" s="197">
        <v>-1.0742258465057386E-3</v>
      </c>
      <c r="R1296" s="260" t="s">
        <v>239</v>
      </c>
      <c r="S1296" s="260" t="s">
        <v>514</v>
      </c>
      <c r="T1296" s="260" t="s">
        <v>239</v>
      </c>
      <c r="U1296" s="260" t="s">
        <v>514</v>
      </c>
    </row>
    <row r="1297" spans="1:21" ht="14.5" x14ac:dyDescent="0.35">
      <c r="A1297" s="260" t="s">
        <v>747</v>
      </c>
      <c r="B1297" s="190">
        <v>45853</v>
      </c>
      <c r="C1297" s="197">
        <v>63233.4</v>
      </c>
      <c r="D1297" s="197">
        <v>0</v>
      </c>
      <c r="E1297" s="197">
        <v>0</v>
      </c>
      <c r="F1297" s="197">
        <v>0</v>
      </c>
      <c r="G1297" s="197">
        <v>50988</v>
      </c>
      <c r="H1297" s="197">
        <v>12222.599999999999</v>
      </c>
      <c r="I1297" s="197">
        <v>0</v>
      </c>
      <c r="J1297" s="197">
        <v>63210.6</v>
      </c>
      <c r="K1297" s="197">
        <v>63210.6</v>
      </c>
      <c r="L1297" s="197">
        <v>12012</v>
      </c>
      <c r="M1297" s="197">
        <v>0</v>
      </c>
      <c r="N1297" s="197">
        <v>0</v>
      </c>
      <c r="O1297" s="197">
        <v>0</v>
      </c>
      <c r="P1297" s="197">
        <v>-22.80000000000291</v>
      </c>
      <c r="Q1297" s="197">
        <v>-3.6056893983249516E-4</v>
      </c>
      <c r="R1297" s="260" t="s">
        <v>239</v>
      </c>
      <c r="S1297" s="260" t="s">
        <v>514</v>
      </c>
      <c r="T1297" s="260" t="s">
        <v>239</v>
      </c>
      <c r="U1297" s="260" t="s">
        <v>514</v>
      </c>
    </row>
    <row r="1298" spans="1:21" ht="14.5" x14ac:dyDescent="0.35">
      <c r="A1298" s="260" t="s">
        <v>747</v>
      </c>
      <c r="B1298" s="190">
        <v>45854</v>
      </c>
      <c r="C1298" s="197">
        <v>63210.6</v>
      </c>
      <c r="D1298" s="197">
        <v>0</v>
      </c>
      <c r="E1298" s="197">
        <v>0</v>
      </c>
      <c r="F1298" s="197">
        <v>0</v>
      </c>
      <c r="G1298" s="197">
        <v>50988</v>
      </c>
      <c r="H1298" s="197">
        <v>12200</v>
      </c>
      <c r="I1298" s="197">
        <v>0</v>
      </c>
      <c r="J1298" s="197">
        <v>63188</v>
      </c>
      <c r="K1298" s="197">
        <v>63188</v>
      </c>
      <c r="L1298" s="197">
        <v>12012</v>
      </c>
      <c r="M1298" s="197">
        <v>0</v>
      </c>
      <c r="N1298" s="197">
        <v>0</v>
      </c>
      <c r="O1298" s="197">
        <v>0</v>
      </c>
      <c r="P1298" s="197">
        <v>-22.599999999998545</v>
      </c>
      <c r="Q1298" s="197">
        <v>-3.5753497040047488E-4</v>
      </c>
      <c r="R1298" s="260" t="s">
        <v>239</v>
      </c>
      <c r="S1298" s="260" t="s">
        <v>514</v>
      </c>
      <c r="T1298" s="260" t="s">
        <v>239</v>
      </c>
      <c r="U1298" s="260" t="s">
        <v>514</v>
      </c>
    </row>
    <row r="1299" spans="1:21" ht="14.5" x14ac:dyDescent="0.35">
      <c r="A1299" s="260" t="s">
        <v>747</v>
      </c>
      <c r="B1299" s="190">
        <v>45855</v>
      </c>
      <c r="C1299" s="197">
        <v>63188</v>
      </c>
      <c r="D1299" s="197">
        <v>0</v>
      </c>
      <c r="E1299" s="197">
        <v>0</v>
      </c>
      <c r="F1299" s="197">
        <v>0</v>
      </c>
      <c r="G1299" s="197">
        <v>50988</v>
      </c>
      <c r="H1299" s="197">
        <v>12177.400000000001</v>
      </c>
      <c r="I1299" s="197">
        <v>0</v>
      </c>
      <c r="J1299" s="197">
        <v>63165.4</v>
      </c>
      <c r="K1299" s="197">
        <v>63165.4</v>
      </c>
      <c r="L1299" s="197">
        <v>12012</v>
      </c>
      <c r="M1299" s="197">
        <v>0</v>
      </c>
      <c r="N1299" s="197">
        <v>0</v>
      </c>
      <c r="O1299" s="197">
        <v>0</v>
      </c>
      <c r="P1299" s="197">
        <v>-22.599999999998545</v>
      </c>
      <c r="Q1299" s="197">
        <v>-3.5766284737603904E-4</v>
      </c>
      <c r="R1299" s="260" t="s">
        <v>239</v>
      </c>
      <c r="S1299" s="260" t="s">
        <v>514</v>
      </c>
      <c r="T1299" s="260" t="s">
        <v>239</v>
      </c>
      <c r="U1299" s="260" t="s">
        <v>514</v>
      </c>
    </row>
    <row r="1300" spans="1:21" ht="14.5" x14ac:dyDescent="0.35">
      <c r="A1300" s="260" t="s">
        <v>747</v>
      </c>
      <c r="B1300" s="190">
        <v>45856</v>
      </c>
      <c r="C1300" s="197">
        <v>63165.4</v>
      </c>
      <c r="D1300" s="197">
        <v>0</v>
      </c>
      <c r="E1300" s="197">
        <v>0</v>
      </c>
      <c r="F1300" s="197">
        <v>0</v>
      </c>
      <c r="G1300" s="197">
        <v>50988</v>
      </c>
      <c r="H1300" s="197">
        <v>12154.6</v>
      </c>
      <c r="I1300" s="197">
        <v>0</v>
      </c>
      <c r="J1300" s="197">
        <v>63142.6</v>
      </c>
      <c r="K1300" s="197">
        <v>63142.6</v>
      </c>
      <c r="L1300" s="197">
        <v>12012</v>
      </c>
      <c r="M1300" s="197">
        <v>0</v>
      </c>
      <c r="N1300" s="197">
        <v>0</v>
      </c>
      <c r="O1300" s="197">
        <v>0</v>
      </c>
      <c r="P1300" s="197">
        <v>-22.80000000000291</v>
      </c>
      <c r="Q1300" s="197">
        <v>-3.6095710626393718E-4</v>
      </c>
      <c r="R1300" s="260" t="s">
        <v>239</v>
      </c>
      <c r="S1300" s="260" t="s">
        <v>514</v>
      </c>
      <c r="T1300" s="260" t="s">
        <v>239</v>
      </c>
      <c r="U1300" s="260" t="s">
        <v>514</v>
      </c>
    </row>
    <row r="1301" spans="1:21" ht="14.5" x14ac:dyDescent="0.35">
      <c r="A1301" s="260" t="s">
        <v>747</v>
      </c>
      <c r="B1301" s="190">
        <v>45857</v>
      </c>
      <c r="C1301" s="197">
        <v>63142.6</v>
      </c>
      <c r="D1301" s="197">
        <v>0</v>
      </c>
      <c r="E1301" s="197">
        <v>0</v>
      </c>
      <c r="F1301" s="197">
        <v>0</v>
      </c>
      <c r="G1301" s="197">
        <v>50988</v>
      </c>
      <c r="H1301" s="197">
        <v>12154.6</v>
      </c>
      <c r="I1301" s="197">
        <v>0</v>
      </c>
      <c r="J1301" s="197">
        <v>63142.6</v>
      </c>
      <c r="K1301" s="197">
        <v>63142.6</v>
      </c>
      <c r="L1301" s="197">
        <v>12012</v>
      </c>
      <c r="M1301" s="197">
        <v>0</v>
      </c>
      <c r="N1301" s="197">
        <v>0</v>
      </c>
      <c r="O1301" s="197">
        <v>0</v>
      </c>
      <c r="P1301" s="197">
        <v>0</v>
      </c>
      <c r="Q1301" s="197">
        <v>0</v>
      </c>
      <c r="R1301" s="260" t="s">
        <v>239</v>
      </c>
      <c r="S1301" s="260" t="s">
        <v>514</v>
      </c>
      <c r="T1301" s="260" t="s">
        <v>239</v>
      </c>
      <c r="U1301" s="260" t="s">
        <v>514</v>
      </c>
    </row>
    <row r="1302" spans="1:21" ht="14.5" x14ac:dyDescent="0.35">
      <c r="A1302" s="260" t="s">
        <v>747</v>
      </c>
      <c r="B1302" s="190">
        <v>45858</v>
      </c>
      <c r="C1302" s="197">
        <v>63142.6</v>
      </c>
      <c r="D1302" s="197">
        <v>0</v>
      </c>
      <c r="E1302" s="197">
        <v>0</v>
      </c>
      <c r="F1302" s="197">
        <v>0</v>
      </c>
      <c r="G1302" s="197">
        <v>50988</v>
      </c>
      <c r="H1302" s="197">
        <v>12154.6</v>
      </c>
      <c r="I1302" s="197">
        <v>0</v>
      </c>
      <c r="J1302" s="197">
        <v>63142.6</v>
      </c>
      <c r="K1302" s="197">
        <v>63142.6</v>
      </c>
      <c r="L1302" s="197">
        <v>12012</v>
      </c>
      <c r="M1302" s="197">
        <v>0</v>
      </c>
      <c r="N1302" s="197">
        <v>0</v>
      </c>
      <c r="O1302" s="197">
        <v>0</v>
      </c>
      <c r="P1302" s="197">
        <v>0</v>
      </c>
      <c r="Q1302" s="197">
        <v>0</v>
      </c>
      <c r="R1302" s="260" t="s">
        <v>239</v>
      </c>
      <c r="S1302" s="260" t="s">
        <v>514</v>
      </c>
      <c r="T1302" s="260" t="s">
        <v>239</v>
      </c>
      <c r="U1302" s="260" t="s">
        <v>514</v>
      </c>
    </row>
    <row r="1303" spans="1:21" ht="14.5" x14ac:dyDescent="0.35">
      <c r="A1303" s="260" t="s">
        <v>747</v>
      </c>
      <c r="B1303" s="190">
        <v>45859</v>
      </c>
      <c r="C1303" s="197">
        <v>63142.6</v>
      </c>
      <c r="D1303" s="197">
        <v>0</v>
      </c>
      <c r="E1303" s="197">
        <v>0</v>
      </c>
      <c r="F1303" s="197">
        <v>0</v>
      </c>
      <c r="G1303" s="197">
        <v>50988</v>
      </c>
      <c r="H1303" s="197">
        <v>12086.6</v>
      </c>
      <c r="I1303" s="197">
        <v>0</v>
      </c>
      <c r="J1303" s="197">
        <v>63074.6</v>
      </c>
      <c r="K1303" s="197">
        <v>63074.6</v>
      </c>
      <c r="L1303" s="197">
        <v>12012</v>
      </c>
      <c r="M1303" s="197">
        <v>0</v>
      </c>
      <c r="N1303" s="197">
        <v>0</v>
      </c>
      <c r="O1303" s="197">
        <v>0</v>
      </c>
      <c r="P1303" s="197">
        <v>-68</v>
      </c>
      <c r="Q1303" s="197">
        <v>-1.0769274626005743E-3</v>
      </c>
      <c r="R1303" s="260" t="s">
        <v>239</v>
      </c>
      <c r="S1303" s="260" t="s">
        <v>514</v>
      </c>
      <c r="T1303" s="260" t="s">
        <v>239</v>
      </c>
      <c r="U1303" s="260" t="s">
        <v>514</v>
      </c>
    </row>
    <row r="1304" spans="1:21" ht="14.5" x14ac:dyDescent="0.35">
      <c r="A1304" s="260" t="s">
        <v>747</v>
      </c>
      <c r="B1304" s="190">
        <v>45860</v>
      </c>
      <c r="C1304" s="197">
        <v>63074.6</v>
      </c>
      <c r="D1304" s="197">
        <v>0</v>
      </c>
      <c r="E1304" s="197">
        <v>0</v>
      </c>
      <c r="F1304" s="197">
        <v>0</v>
      </c>
      <c r="G1304" s="197">
        <v>50988</v>
      </c>
      <c r="H1304" s="197">
        <v>12064</v>
      </c>
      <c r="I1304" s="197">
        <v>0</v>
      </c>
      <c r="J1304" s="197">
        <v>63052</v>
      </c>
      <c r="K1304" s="197">
        <v>63052</v>
      </c>
      <c r="L1304" s="197">
        <v>12012</v>
      </c>
      <c r="M1304" s="197">
        <v>0</v>
      </c>
      <c r="N1304" s="197">
        <v>0</v>
      </c>
      <c r="O1304" s="197">
        <v>0</v>
      </c>
      <c r="P1304" s="197">
        <v>-22.599999999998545</v>
      </c>
      <c r="Q1304" s="197">
        <v>-3.5830587907015321E-4</v>
      </c>
      <c r="R1304" s="260" t="s">
        <v>239</v>
      </c>
      <c r="S1304" s="260" t="s">
        <v>514</v>
      </c>
      <c r="T1304" s="260" t="s">
        <v>239</v>
      </c>
      <c r="U1304" s="260" t="s">
        <v>514</v>
      </c>
    </row>
    <row r="1305" spans="1:21" ht="14.5" x14ac:dyDescent="0.35">
      <c r="A1305" s="260" t="s">
        <v>747</v>
      </c>
      <c r="B1305" s="190">
        <v>45861</v>
      </c>
      <c r="C1305" s="197">
        <v>63052</v>
      </c>
      <c r="D1305" s="197">
        <v>0</v>
      </c>
      <c r="E1305" s="197">
        <v>0</v>
      </c>
      <c r="F1305" s="197">
        <v>0</v>
      </c>
      <c r="G1305" s="197">
        <v>50988</v>
      </c>
      <c r="H1305" s="197">
        <v>12041.399999999998</v>
      </c>
      <c r="I1305" s="197">
        <v>0</v>
      </c>
      <c r="J1305" s="197">
        <v>63029.399999999994</v>
      </c>
      <c r="K1305" s="197">
        <v>63029.399999999994</v>
      </c>
      <c r="L1305" s="197">
        <v>12012</v>
      </c>
      <c r="M1305" s="197">
        <v>0</v>
      </c>
      <c r="N1305" s="197">
        <v>0</v>
      </c>
      <c r="O1305" s="197">
        <v>0</v>
      </c>
      <c r="P1305" s="197">
        <v>-22.600000000005821</v>
      </c>
      <c r="Q1305" s="197">
        <v>-3.5843430819015865E-4</v>
      </c>
      <c r="R1305" s="260" t="s">
        <v>239</v>
      </c>
      <c r="S1305" s="260" t="s">
        <v>514</v>
      </c>
      <c r="T1305" s="260" t="s">
        <v>239</v>
      </c>
      <c r="U1305" s="260" t="s">
        <v>514</v>
      </c>
    </row>
    <row r="1306" spans="1:21" ht="14.5" x14ac:dyDescent="0.35">
      <c r="A1306" s="260" t="s">
        <v>747</v>
      </c>
      <c r="B1306" s="190">
        <v>45862</v>
      </c>
      <c r="C1306" s="197">
        <v>63029.399999999994</v>
      </c>
      <c r="D1306" s="197">
        <v>0</v>
      </c>
      <c r="E1306" s="197">
        <v>0</v>
      </c>
      <c r="F1306" s="197">
        <v>0</v>
      </c>
      <c r="G1306" s="197">
        <v>50988</v>
      </c>
      <c r="H1306" s="197">
        <v>12018.600000000002</v>
      </c>
      <c r="I1306" s="197">
        <v>0</v>
      </c>
      <c r="J1306" s="197">
        <v>63006.600000000006</v>
      </c>
      <c r="K1306" s="197">
        <v>63006.600000000006</v>
      </c>
      <c r="L1306" s="197">
        <v>12012</v>
      </c>
      <c r="M1306" s="197">
        <v>0</v>
      </c>
      <c r="N1306" s="197">
        <v>0</v>
      </c>
      <c r="O1306" s="197">
        <v>0</v>
      </c>
      <c r="P1306" s="197">
        <v>-22.799999999988358</v>
      </c>
      <c r="Q1306" s="197">
        <v>-3.6173595179378459E-4</v>
      </c>
      <c r="R1306" s="260" t="s">
        <v>239</v>
      </c>
      <c r="S1306" s="260" t="s">
        <v>514</v>
      </c>
      <c r="T1306" s="260" t="s">
        <v>239</v>
      </c>
      <c r="U1306" s="260" t="s">
        <v>514</v>
      </c>
    </row>
    <row r="1307" spans="1:21" ht="14.5" x14ac:dyDescent="0.35">
      <c r="A1307" s="260" t="s">
        <v>747</v>
      </c>
      <c r="B1307" s="190">
        <v>45863</v>
      </c>
      <c r="C1307" s="197">
        <v>63006.600000000006</v>
      </c>
      <c r="D1307" s="197">
        <v>0</v>
      </c>
      <c r="E1307" s="197">
        <v>0</v>
      </c>
      <c r="F1307" s="197">
        <v>0</v>
      </c>
      <c r="G1307" s="197">
        <v>50988</v>
      </c>
      <c r="H1307" s="197">
        <v>11996</v>
      </c>
      <c r="I1307" s="197">
        <v>0</v>
      </c>
      <c r="J1307" s="197">
        <v>62984</v>
      </c>
      <c r="K1307" s="197">
        <v>62984</v>
      </c>
      <c r="L1307" s="197">
        <v>12012</v>
      </c>
      <c r="M1307" s="197">
        <v>0</v>
      </c>
      <c r="N1307" s="197">
        <v>0</v>
      </c>
      <c r="O1307" s="197">
        <v>0</v>
      </c>
      <c r="P1307" s="197">
        <v>-22.600000000005821</v>
      </c>
      <c r="Q1307" s="197">
        <v>-3.5869258141218996E-4</v>
      </c>
      <c r="R1307" s="260" t="s">
        <v>239</v>
      </c>
      <c r="S1307" s="260" t="s">
        <v>514</v>
      </c>
      <c r="T1307" s="260" t="s">
        <v>239</v>
      </c>
      <c r="U1307" s="260" t="s">
        <v>514</v>
      </c>
    </row>
    <row r="1308" spans="1:21" ht="14.5" x14ac:dyDescent="0.35">
      <c r="A1308" s="260" t="s">
        <v>747</v>
      </c>
      <c r="B1308" s="190">
        <v>45864</v>
      </c>
      <c r="C1308" s="197">
        <v>62984</v>
      </c>
      <c r="D1308" s="197">
        <v>0</v>
      </c>
      <c r="E1308" s="197">
        <v>0</v>
      </c>
      <c r="F1308" s="197">
        <v>0</v>
      </c>
      <c r="G1308" s="197">
        <v>50988</v>
      </c>
      <c r="H1308" s="197">
        <v>11996</v>
      </c>
      <c r="I1308" s="197">
        <v>0</v>
      </c>
      <c r="J1308" s="197">
        <v>62984</v>
      </c>
      <c r="K1308" s="197">
        <v>62984</v>
      </c>
      <c r="L1308" s="197">
        <v>12012</v>
      </c>
      <c r="M1308" s="197">
        <v>0</v>
      </c>
      <c r="N1308" s="197">
        <v>0</v>
      </c>
      <c r="O1308" s="197">
        <v>0</v>
      </c>
      <c r="P1308" s="197">
        <v>0</v>
      </c>
      <c r="Q1308" s="197">
        <v>0</v>
      </c>
      <c r="R1308" s="260" t="s">
        <v>239</v>
      </c>
      <c r="S1308" s="260" t="s">
        <v>514</v>
      </c>
      <c r="T1308" s="260" t="s">
        <v>239</v>
      </c>
      <c r="U1308" s="260" t="s">
        <v>514</v>
      </c>
    </row>
    <row r="1309" spans="1:21" ht="14.5" x14ac:dyDescent="0.35">
      <c r="A1309" s="260" t="s">
        <v>747</v>
      </c>
      <c r="B1309" s="190">
        <v>45865</v>
      </c>
      <c r="C1309" s="197">
        <v>62984</v>
      </c>
      <c r="D1309" s="197">
        <v>0</v>
      </c>
      <c r="E1309" s="197">
        <v>0</v>
      </c>
      <c r="F1309" s="197">
        <v>0</v>
      </c>
      <c r="G1309" s="197">
        <v>50988</v>
      </c>
      <c r="H1309" s="197">
        <v>11996</v>
      </c>
      <c r="I1309" s="197">
        <v>0</v>
      </c>
      <c r="J1309" s="197">
        <v>62984</v>
      </c>
      <c r="K1309" s="197">
        <v>62984</v>
      </c>
      <c r="L1309" s="197">
        <v>12012</v>
      </c>
      <c r="M1309" s="197">
        <v>0</v>
      </c>
      <c r="N1309" s="197">
        <v>0</v>
      </c>
      <c r="O1309" s="197">
        <v>0</v>
      </c>
      <c r="P1309" s="197">
        <v>0</v>
      </c>
      <c r="Q1309" s="197">
        <v>0</v>
      </c>
      <c r="R1309" s="260" t="s">
        <v>239</v>
      </c>
      <c r="S1309" s="260" t="s">
        <v>514</v>
      </c>
      <c r="T1309" s="260" t="s">
        <v>239</v>
      </c>
      <c r="U1309" s="260" t="s">
        <v>514</v>
      </c>
    </row>
    <row r="1310" spans="1:21" ht="14.5" x14ac:dyDescent="0.35">
      <c r="A1310" s="260" t="s">
        <v>747</v>
      </c>
      <c r="B1310" s="190">
        <v>45866</v>
      </c>
      <c r="C1310" s="197">
        <v>62984</v>
      </c>
      <c r="D1310" s="197">
        <v>0</v>
      </c>
      <c r="E1310" s="197">
        <v>0</v>
      </c>
      <c r="F1310" s="197">
        <v>0</v>
      </c>
      <c r="G1310" s="197">
        <v>50988</v>
      </c>
      <c r="H1310" s="197">
        <v>11928</v>
      </c>
      <c r="I1310" s="197">
        <v>0</v>
      </c>
      <c r="J1310" s="197">
        <v>62916</v>
      </c>
      <c r="K1310" s="197">
        <v>62916</v>
      </c>
      <c r="L1310" s="197">
        <v>12012</v>
      </c>
      <c r="M1310" s="197">
        <v>0</v>
      </c>
      <c r="N1310" s="197">
        <v>0</v>
      </c>
      <c r="O1310" s="197">
        <v>0</v>
      </c>
      <c r="P1310" s="197">
        <v>-68</v>
      </c>
      <c r="Q1310" s="197">
        <v>-1.0796392734663263E-3</v>
      </c>
      <c r="R1310" s="260" t="s">
        <v>239</v>
      </c>
      <c r="S1310" s="260" t="s">
        <v>514</v>
      </c>
      <c r="T1310" s="260" t="s">
        <v>239</v>
      </c>
      <c r="U1310" s="260" t="s">
        <v>514</v>
      </c>
    </row>
    <row r="1311" spans="1:21" ht="14.5" x14ac:dyDescent="0.35">
      <c r="A1311" s="260" t="s">
        <v>747</v>
      </c>
      <c r="B1311" s="190">
        <v>45867</v>
      </c>
      <c r="C1311" s="197">
        <v>62916</v>
      </c>
      <c r="D1311" s="197">
        <v>0</v>
      </c>
      <c r="E1311" s="197">
        <v>0</v>
      </c>
      <c r="F1311" s="197">
        <v>0</v>
      </c>
      <c r="G1311" s="197">
        <v>50988</v>
      </c>
      <c r="H1311" s="197">
        <v>11905.4</v>
      </c>
      <c r="I1311" s="197">
        <v>0</v>
      </c>
      <c r="J1311" s="197">
        <v>62893.4</v>
      </c>
      <c r="K1311" s="197">
        <v>62893.4</v>
      </c>
      <c r="L1311" s="197">
        <v>12012</v>
      </c>
      <c r="M1311" s="197">
        <v>0</v>
      </c>
      <c r="N1311" s="197">
        <v>0</v>
      </c>
      <c r="O1311" s="197">
        <v>0</v>
      </c>
      <c r="P1311" s="197">
        <v>-22.599999999998545</v>
      </c>
      <c r="Q1311" s="197">
        <v>-3.5920910420239593E-4</v>
      </c>
      <c r="R1311" s="260" t="s">
        <v>239</v>
      </c>
      <c r="S1311" s="260" t="s">
        <v>514</v>
      </c>
      <c r="T1311" s="260" t="s">
        <v>239</v>
      </c>
      <c r="U1311" s="260" t="s">
        <v>514</v>
      </c>
    </row>
    <row r="1312" spans="1:21" ht="14.5" x14ac:dyDescent="0.35">
      <c r="A1312" s="260" t="s">
        <v>747</v>
      </c>
      <c r="B1312" s="190">
        <v>45868</v>
      </c>
      <c r="C1312" s="197">
        <v>62893.4</v>
      </c>
      <c r="D1312" s="197">
        <v>0</v>
      </c>
      <c r="E1312" s="197">
        <v>0</v>
      </c>
      <c r="F1312" s="197">
        <v>0</v>
      </c>
      <c r="G1312" s="197">
        <v>50988</v>
      </c>
      <c r="H1312" s="197">
        <v>11882.599999999999</v>
      </c>
      <c r="I1312" s="197">
        <v>0</v>
      </c>
      <c r="J1312" s="197">
        <v>62870.6</v>
      </c>
      <c r="K1312" s="197">
        <v>62870.6</v>
      </c>
      <c r="L1312" s="197">
        <v>12012</v>
      </c>
      <c r="M1312" s="197">
        <v>0</v>
      </c>
      <c r="N1312" s="197">
        <v>0</v>
      </c>
      <c r="O1312" s="197">
        <v>0</v>
      </c>
      <c r="P1312" s="197">
        <v>-22.80000000000291</v>
      </c>
      <c r="Q1312" s="197">
        <v>-3.6251816565813222E-4</v>
      </c>
      <c r="R1312" s="260" t="s">
        <v>239</v>
      </c>
      <c r="S1312" s="260" t="s">
        <v>514</v>
      </c>
      <c r="T1312" s="260" t="s">
        <v>239</v>
      </c>
      <c r="U1312" s="260" t="s">
        <v>514</v>
      </c>
    </row>
    <row r="1313" spans="1:21" ht="14.5" x14ac:dyDescent="0.35">
      <c r="A1313" s="260" t="s">
        <v>747</v>
      </c>
      <c r="B1313" s="190">
        <v>45869</v>
      </c>
      <c r="C1313" s="197">
        <v>62870.6</v>
      </c>
      <c r="D1313" s="197">
        <v>0</v>
      </c>
      <c r="E1313" s="197">
        <v>0</v>
      </c>
      <c r="F1313" s="197">
        <v>0</v>
      </c>
      <c r="G1313" s="197">
        <v>50988</v>
      </c>
      <c r="H1313" s="197">
        <v>11860</v>
      </c>
      <c r="I1313" s="197">
        <v>0</v>
      </c>
      <c r="J1313" s="197">
        <v>62848</v>
      </c>
      <c r="K1313" s="197">
        <v>62848</v>
      </c>
      <c r="L1313" s="197">
        <v>12012</v>
      </c>
      <c r="M1313" s="197">
        <v>0</v>
      </c>
      <c r="N1313" s="197">
        <v>0</v>
      </c>
      <c r="O1313" s="197">
        <v>0</v>
      </c>
      <c r="P1313" s="197">
        <v>-22.599999999998545</v>
      </c>
      <c r="Q1313" s="197">
        <v>-3.5946849560841709E-4</v>
      </c>
      <c r="R1313" s="260" t="s">
        <v>239</v>
      </c>
      <c r="S1313" s="260" t="s">
        <v>514</v>
      </c>
      <c r="T1313" s="260" t="s">
        <v>239</v>
      </c>
      <c r="U1313" s="260" t="s">
        <v>514</v>
      </c>
    </row>
    <row r="1314" spans="1:21" ht="14.5" x14ac:dyDescent="0.35">
      <c r="A1314" s="260" t="s">
        <v>747</v>
      </c>
      <c r="B1314" s="190">
        <v>45870</v>
      </c>
      <c r="C1314" s="197">
        <v>62848</v>
      </c>
      <c r="D1314" s="197">
        <v>0</v>
      </c>
      <c r="E1314" s="197">
        <v>0</v>
      </c>
      <c r="F1314" s="197">
        <v>0</v>
      </c>
      <c r="G1314" s="197">
        <v>45645</v>
      </c>
      <c r="H1314" s="197">
        <v>17200</v>
      </c>
      <c r="I1314" s="197">
        <v>0</v>
      </c>
      <c r="J1314" s="197">
        <v>62845</v>
      </c>
      <c r="K1314" s="197">
        <v>62845</v>
      </c>
      <c r="L1314" s="197">
        <v>17355</v>
      </c>
      <c r="M1314" s="197">
        <v>0</v>
      </c>
      <c r="N1314" s="197">
        <v>3</v>
      </c>
      <c r="O1314" s="197">
        <v>0</v>
      </c>
      <c r="P1314" s="197">
        <v>-3</v>
      </c>
      <c r="Q1314" s="197">
        <v>-4.7734215885997244E-5</v>
      </c>
      <c r="R1314" s="260" t="s">
        <v>239</v>
      </c>
      <c r="S1314" s="260" t="s">
        <v>514</v>
      </c>
      <c r="T1314" s="260" t="s">
        <v>239</v>
      </c>
      <c r="U1314" s="260" t="s">
        <v>514</v>
      </c>
    </row>
    <row r="1315" spans="1:21" ht="14.5" x14ac:dyDescent="0.35">
      <c r="A1315" s="260" t="s">
        <v>747</v>
      </c>
      <c r="B1315" s="190">
        <v>45871</v>
      </c>
      <c r="C1315" s="197">
        <v>62845</v>
      </c>
      <c r="D1315" s="197">
        <v>0</v>
      </c>
      <c r="E1315" s="197">
        <v>0</v>
      </c>
      <c r="F1315" s="197">
        <v>0</v>
      </c>
      <c r="G1315" s="197">
        <v>45645</v>
      </c>
      <c r="H1315" s="197">
        <v>17200</v>
      </c>
      <c r="I1315" s="197">
        <v>0</v>
      </c>
      <c r="J1315" s="197">
        <v>62845</v>
      </c>
      <c r="K1315" s="197">
        <v>62845</v>
      </c>
      <c r="L1315" s="197">
        <v>17355</v>
      </c>
      <c r="M1315" s="197">
        <v>0</v>
      </c>
      <c r="N1315" s="197">
        <v>0</v>
      </c>
      <c r="O1315" s="197">
        <v>0</v>
      </c>
      <c r="P1315" s="197">
        <v>0</v>
      </c>
      <c r="Q1315" s="197">
        <v>0</v>
      </c>
      <c r="R1315" s="260" t="s">
        <v>239</v>
      </c>
      <c r="S1315" s="260" t="s">
        <v>514</v>
      </c>
      <c r="T1315" s="260" t="s">
        <v>239</v>
      </c>
      <c r="U1315" s="260" t="s">
        <v>514</v>
      </c>
    </row>
    <row r="1316" spans="1:21" ht="14.5" x14ac:dyDescent="0.35">
      <c r="A1316" s="260" t="s">
        <v>747</v>
      </c>
      <c r="B1316" s="190">
        <v>45872</v>
      </c>
      <c r="C1316" s="197">
        <v>62845</v>
      </c>
      <c r="D1316" s="197">
        <v>0</v>
      </c>
      <c r="E1316" s="197">
        <v>0</v>
      </c>
      <c r="F1316" s="197">
        <v>0</v>
      </c>
      <c r="G1316" s="197">
        <v>45645</v>
      </c>
      <c r="H1316" s="197">
        <v>17200</v>
      </c>
      <c r="I1316" s="197">
        <v>0</v>
      </c>
      <c r="J1316" s="197">
        <v>62845</v>
      </c>
      <c r="K1316" s="197">
        <v>62845</v>
      </c>
      <c r="L1316" s="197">
        <v>17355</v>
      </c>
      <c r="M1316" s="197">
        <v>0</v>
      </c>
      <c r="N1316" s="197">
        <v>0</v>
      </c>
      <c r="O1316" s="197">
        <v>0</v>
      </c>
      <c r="P1316" s="197">
        <v>0</v>
      </c>
      <c r="Q1316" s="197">
        <v>0</v>
      </c>
      <c r="R1316" s="260" t="s">
        <v>239</v>
      </c>
      <c r="S1316" s="260" t="s">
        <v>514</v>
      </c>
      <c r="T1316" s="260" t="s">
        <v>239</v>
      </c>
      <c r="U1316" s="260" t="s">
        <v>514</v>
      </c>
    </row>
    <row r="1317" spans="1:21" ht="14.5" x14ac:dyDescent="0.35">
      <c r="A1317" s="260" t="s">
        <v>747</v>
      </c>
      <c r="B1317" s="190">
        <v>45873</v>
      </c>
      <c r="C1317" s="197">
        <v>62845</v>
      </c>
      <c r="D1317" s="197">
        <v>0</v>
      </c>
      <c r="E1317" s="197">
        <v>0</v>
      </c>
      <c r="F1317" s="197">
        <v>0</v>
      </c>
      <c r="G1317" s="197">
        <v>45645</v>
      </c>
      <c r="H1317" s="197">
        <v>17299</v>
      </c>
      <c r="I1317" s="197">
        <v>0</v>
      </c>
      <c r="J1317" s="197">
        <v>62944</v>
      </c>
      <c r="K1317" s="197">
        <v>62944</v>
      </c>
      <c r="L1317" s="197">
        <v>17355</v>
      </c>
      <c r="M1317" s="197">
        <v>0</v>
      </c>
      <c r="N1317" s="197">
        <v>0</v>
      </c>
      <c r="O1317" s="197">
        <v>0</v>
      </c>
      <c r="P1317" s="197">
        <v>99</v>
      </c>
      <c r="Q1317" s="197">
        <v>1.5753043201527372E-3</v>
      </c>
      <c r="R1317" s="260" t="s">
        <v>239</v>
      </c>
      <c r="S1317" s="260" t="s">
        <v>514</v>
      </c>
      <c r="T1317" s="260" t="s">
        <v>239</v>
      </c>
      <c r="U1317" s="260" t="s">
        <v>514</v>
      </c>
    </row>
    <row r="1318" spans="1:21" ht="14.5" x14ac:dyDescent="0.35">
      <c r="A1318" s="260" t="s">
        <v>747</v>
      </c>
      <c r="B1318" s="190">
        <v>45874</v>
      </c>
      <c r="C1318" s="197">
        <v>62944</v>
      </c>
      <c r="D1318" s="197">
        <v>0</v>
      </c>
      <c r="E1318" s="197">
        <v>0</v>
      </c>
      <c r="F1318" s="197">
        <v>0</v>
      </c>
      <c r="G1318" s="197">
        <v>45645</v>
      </c>
      <c r="H1318" s="197">
        <v>17332.099999999999</v>
      </c>
      <c r="I1318" s="197">
        <v>0</v>
      </c>
      <c r="J1318" s="197">
        <v>62977.1</v>
      </c>
      <c r="K1318" s="197">
        <v>62977.1</v>
      </c>
      <c r="L1318" s="197">
        <v>17355</v>
      </c>
      <c r="M1318" s="197">
        <v>0</v>
      </c>
      <c r="N1318" s="197">
        <v>0</v>
      </c>
      <c r="O1318" s="197">
        <v>0</v>
      </c>
      <c r="P1318" s="197">
        <v>33.099999999998545</v>
      </c>
      <c r="Q1318" s="197">
        <v>5.2586426029477273E-4</v>
      </c>
      <c r="R1318" s="260" t="s">
        <v>239</v>
      </c>
      <c r="S1318" s="260" t="s">
        <v>514</v>
      </c>
      <c r="T1318" s="260" t="s">
        <v>239</v>
      </c>
      <c r="U1318" s="260" t="s">
        <v>514</v>
      </c>
    </row>
    <row r="1319" spans="1:21" ht="14.5" x14ac:dyDescent="0.35">
      <c r="A1319" s="260" t="s">
        <v>747</v>
      </c>
      <c r="B1319" s="190">
        <v>45875</v>
      </c>
      <c r="C1319" s="197">
        <v>62977.1</v>
      </c>
      <c r="D1319" s="197">
        <v>0</v>
      </c>
      <c r="E1319" s="197">
        <v>0</v>
      </c>
      <c r="F1319" s="197">
        <v>0</v>
      </c>
      <c r="G1319" s="197">
        <v>45645</v>
      </c>
      <c r="H1319" s="197">
        <v>17364.900000000001</v>
      </c>
      <c r="I1319" s="197">
        <v>0</v>
      </c>
      <c r="J1319" s="197">
        <v>63009.9</v>
      </c>
      <c r="K1319" s="197">
        <v>63009.9</v>
      </c>
      <c r="L1319" s="197">
        <v>17355</v>
      </c>
      <c r="M1319" s="197">
        <v>0</v>
      </c>
      <c r="N1319" s="197">
        <v>0</v>
      </c>
      <c r="O1319" s="197">
        <v>0</v>
      </c>
      <c r="P1319" s="197">
        <v>32.80000000000291</v>
      </c>
      <c r="Q1319" s="197">
        <v>5.2082423611121698E-4</v>
      </c>
      <c r="R1319" s="260" t="s">
        <v>239</v>
      </c>
      <c r="S1319" s="260" t="s">
        <v>514</v>
      </c>
      <c r="T1319" s="260" t="s">
        <v>239</v>
      </c>
      <c r="U1319" s="260" t="s">
        <v>514</v>
      </c>
    </row>
    <row r="1320" spans="1:21" ht="14.5" x14ac:dyDescent="0.35">
      <c r="A1320" s="260" t="s">
        <v>747</v>
      </c>
      <c r="B1320" s="190">
        <v>45876</v>
      </c>
      <c r="C1320" s="197">
        <v>63009.9</v>
      </c>
      <c r="D1320" s="197">
        <v>0</v>
      </c>
      <c r="E1320" s="197">
        <v>0</v>
      </c>
      <c r="F1320" s="197">
        <v>0</v>
      </c>
      <c r="G1320" s="197">
        <v>45645</v>
      </c>
      <c r="H1320" s="197">
        <v>17398</v>
      </c>
      <c r="I1320" s="197">
        <v>0</v>
      </c>
      <c r="J1320" s="197">
        <v>63043</v>
      </c>
      <c r="K1320" s="197">
        <v>63043</v>
      </c>
      <c r="L1320" s="197">
        <v>17355</v>
      </c>
      <c r="M1320" s="197">
        <v>0</v>
      </c>
      <c r="N1320" s="197">
        <v>0</v>
      </c>
      <c r="O1320" s="197">
        <v>0</v>
      </c>
      <c r="P1320" s="197">
        <v>33.099999999998545</v>
      </c>
      <c r="Q1320" s="197">
        <v>5.2531427601065772E-4</v>
      </c>
      <c r="R1320" s="260" t="s">
        <v>239</v>
      </c>
      <c r="S1320" s="260" t="s">
        <v>514</v>
      </c>
      <c r="T1320" s="260" t="s">
        <v>239</v>
      </c>
      <c r="U1320" s="260" t="s">
        <v>514</v>
      </c>
    </row>
    <row r="1321" spans="1:21" ht="14.5" x14ac:dyDescent="0.35">
      <c r="A1321" s="260" t="s">
        <v>747</v>
      </c>
      <c r="B1321" s="190">
        <v>45877</v>
      </c>
      <c r="C1321" s="197">
        <v>63043</v>
      </c>
      <c r="D1321" s="197">
        <v>0</v>
      </c>
      <c r="E1321" s="197">
        <v>0</v>
      </c>
      <c r="F1321" s="197">
        <v>0</v>
      </c>
      <c r="G1321" s="197">
        <v>45645</v>
      </c>
      <c r="H1321" s="197">
        <v>17431.099999999999</v>
      </c>
      <c r="I1321" s="197">
        <v>0</v>
      </c>
      <c r="J1321" s="197">
        <v>63076.1</v>
      </c>
      <c r="K1321" s="197">
        <v>63076.1</v>
      </c>
      <c r="L1321" s="197">
        <v>17355</v>
      </c>
      <c r="M1321" s="197">
        <v>0</v>
      </c>
      <c r="N1321" s="197">
        <v>0</v>
      </c>
      <c r="O1321" s="197">
        <v>0</v>
      </c>
      <c r="P1321" s="197">
        <v>33.099999999998545</v>
      </c>
      <c r="Q1321" s="197">
        <v>5.2503846580909119E-4</v>
      </c>
      <c r="R1321" s="260" t="s">
        <v>239</v>
      </c>
      <c r="S1321" s="260" t="s">
        <v>514</v>
      </c>
      <c r="T1321" s="260" t="s">
        <v>239</v>
      </c>
      <c r="U1321" s="260" t="s">
        <v>514</v>
      </c>
    </row>
    <row r="1322" spans="1:21" ht="14.5" x14ac:dyDescent="0.35">
      <c r="A1322" s="260" t="s">
        <v>747</v>
      </c>
      <c r="B1322" s="190">
        <v>45878</v>
      </c>
      <c r="C1322" s="197">
        <v>63076.1</v>
      </c>
      <c r="D1322" s="197">
        <v>0</v>
      </c>
      <c r="E1322" s="197">
        <v>0</v>
      </c>
      <c r="F1322" s="197">
        <v>0</v>
      </c>
      <c r="G1322" s="197">
        <v>45645</v>
      </c>
      <c r="H1322" s="197">
        <v>17431.099999999999</v>
      </c>
      <c r="I1322" s="197">
        <v>0</v>
      </c>
      <c r="J1322" s="197">
        <v>63076.1</v>
      </c>
      <c r="K1322" s="197">
        <v>63076.1</v>
      </c>
      <c r="L1322" s="197">
        <v>17355</v>
      </c>
      <c r="M1322" s="197">
        <v>0</v>
      </c>
      <c r="N1322" s="197">
        <v>0</v>
      </c>
      <c r="O1322" s="197">
        <v>0</v>
      </c>
      <c r="P1322" s="197">
        <v>0</v>
      </c>
      <c r="Q1322" s="197">
        <v>0</v>
      </c>
      <c r="R1322" s="260" t="s">
        <v>239</v>
      </c>
      <c r="S1322" s="260" t="s">
        <v>514</v>
      </c>
      <c r="T1322" s="260" t="s">
        <v>239</v>
      </c>
      <c r="U1322" s="260" t="s">
        <v>514</v>
      </c>
    </row>
    <row r="1323" spans="1:21" ht="14.5" x14ac:dyDescent="0.35">
      <c r="A1323" s="260" t="s">
        <v>747</v>
      </c>
      <c r="B1323" s="190">
        <v>45879</v>
      </c>
      <c r="C1323" s="197">
        <v>63076.1</v>
      </c>
      <c r="D1323" s="197">
        <v>0</v>
      </c>
      <c r="E1323" s="197">
        <v>0</v>
      </c>
      <c r="F1323" s="197">
        <v>0</v>
      </c>
      <c r="G1323" s="197">
        <v>45645</v>
      </c>
      <c r="H1323" s="197">
        <v>17431.099999999999</v>
      </c>
      <c r="I1323" s="197">
        <v>0</v>
      </c>
      <c r="J1323" s="197">
        <v>63076.1</v>
      </c>
      <c r="K1323" s="197">
        <v>63076.1</v>
      </c>
      <c r="L1323" s="197">
        <v>17355</v>
      </c>
      <c r="M1323" s="197">
        <v>0</v>
      </c>
      <c r="N1323" s="197">
        <v>0</v>
      </c>
      <c r="O1323" s="197">
        <v>0</v>
      </c>
      <c r="P1323" s="197">
        <v>0</v>
      </c>
      <c r="Q1323" s="197">
        <v>0</v>
      </c>
      <c r="R1323" s="260" t="s">
        <v>239</v>
      </c>
      <c r="S1323" s="260" t="s">
        <v>514</v>
      </c>
      <c r="T1323" s="260" t="s">
        <v>239</v>
      </c>
      <c r="U1323" s="260" t="s">
        <v>514</v>
      </c>
    </row>
    <row r="1324" spans="1:21" ht="14.5" x14ac:dyDescent="0.35">
      <c r="A1324" s="260" t="s">
        <v>747</v>
      </c>
      <c r="B1324" s="190">
        <v>45880</v>
      </c>
      <c r="C1324" s="197">
        <v>63076.1</v>
      </c>
      <c r="D1324" s="197">
        <v>0</v>
      </c>
      <c r="E1324" s="197">
        <v>0</v>
      </c>
      <c r="F1324" s="197">
        <v>0</v>
      </c>
      <c r="G1324" s="197">
        <v>45645</v>
      </c>
      <c r="H1324" s="197">
        <v>17530.099999999999</v>
      </c>
      <c r="I1324" s="197">
        <v>0</v>
      </c>
      <c r="J1324" s="197">
        <v>63175.1</v>
      </c>
      <c r="K1324" s="197">
        <v>63175.1</v>
      </c>
      <c r="L1324" s="197">
        <v>17355</v>
      </c>
      <c r="M1324" s="197">
        <v>0</v>
      </c>
      <c r="N1324" s="197">
        <v>0</v>
      </c>
      <c r="O1324" s="197">
        <v>0</v>
      </c>
      <c r="P1324" s="197">
        <v>99</v>
      </c>
      <c r="Q1324" s="197">
        <v>1.5695326756093309E-3</v>
      </c>
      <c r="R1324" s="260" t="s">
        <v>239</v>
      </c>
      <c r="S1324" s="260" t="s">
        <v>514</v>
      </c>
      <c r="T1324" s="260" t="s">
        <v>239</v>
      </c>
      <c r="U1324" s="260" t="s">
        <v>514</v>
      </c>
    </row>
    <row r="1325" spans="1:21" ht="14.5" x14ac:dyDescent="0.35">
      <c r="A1325" s="260" t="s">
        <v>747</v>
      </c>
      <c r="B1325" s="190">
        <v>45881</v>
      </c>
      <c r="C1325" s="197">
        <v>63175.1</v>
      </c>
      <c r="D1325" s="197">
        <v>0</v>
      </c>
      <c r="E1325" s="197">
        <v>0</v>
      </c>
      <c r="F1325" s="197">
        <v>0</v>
      </c>
      <c r="G1325" s="197">
        <v>45645</v>
      </c>
      <c r="H1325" s="197">
        <v>17562.900000000001</v>
      </c>
      <c r="I1325" s="197">
        <v>0</v>
      </c>
      <c r="J1325" s="197">
        <v>63207.9</v>
      </c>
      <c r="K1325" s="197">
        <v>63207.9</v>
      </c>
      <c r="L1325" s="197">
        <v>17355</v>
      </c>
      <c r="M1325" s="197">
        <v>0</v>
      </c>
      <c r="N1325" s="197">
        <v>0</v>
      </c>
      <c r="O1325" s="197">
        <v>0</v>
      </c>
      <c r="P1325" s="197">
        <v>32.80000000000291</v>
      </c>
      <c r="Q1325" s="197">
        <v>5.1919189680749156E-4</v>
      </c>
      <c r="R1325" s="260" t="s">
        <v>239</v>
      </c>
      <c r="S1325" s="260" t="s">
        <v>514</v>
      </c>
      <c r="T1325" s="260" t="s">
        <v>239</v>
      </c>
      <c r="U1325" s="260" t="s">
        <v>514</v>
      </c>
    </row>
    <row r="1326" spans="1:21" ht="14.5" x14ac:dyDescent="0.35">
      <c r="A1326" s="260" t="s">
        <v>747</v>
      </c>
      <c r="B1326" s="190">
        <v>45882</v>
      </c>
      <c r="C1326" s="197">
        <v>63207.9</v>
      </c>
      <c r="D1326" s="197">
        <v>0</v>
      </c>
      <c r="E1326" s="197">
        <v>0</v>
      </c>
      <c r="F1326" s="197">
        <v>0</v>
      </c>
      <c r="G1326" s="197">
        <v>45645</v>
      </c>
      <c r="H1326" s="197">
        <v>17596</v>
      </c>
      <c r="I1326" s="197">
        <v>0</v>
      </c>
      <c r="J1326" s="197">
        <v>63241</v>
      </c>
      <c r="K1326" s="197">
        <v>63241</v>
      </c>
      <c r="L1326" s="197">
        <v>17355</v>
      </c>
      <c r="M1326" s="197">
        <v>0</v>
      </c>
      <c r="N1326" s="197">
        <v>0</v>
      </c>
      <c r="O1326" s="197">
        <v>0</v>
      </c>
      <c r="P1326" s="197">
        <v>33.099999999998545</v>
      </c>
      <c r="Q1326" s="197">
        <v>5.2366871862541409E-4</v>
      </c>
      <c r="R1326" s="260" t="s">
        <v>239</v>
      </c>
      <c r="S1326" s="260" t="s">
        <v>514</v>
      </c>
      <c r="T1326" s="260" t="s">
        <v>239</v>
      </c>
      <c r="U1326" s="260" t="s">
        <v>514</v>
      </c>
    </row>
    <row r="1327" spans="1:21" ht="14.5" x14ac:dyDescent="0.35">
      <c r="A1327" s="260" t="s">
        <v>747</v>
      </c>
      <c r="B1327" s="190">
        <v>45883</v>
      </c>
      <c r="C1327" s="197">
        <v>63241</v>
      </c>
      <c r="D1327" s="197">
        <v>0</v>
      </c>
      <c r="E1327" s="197">
        <v>0</v>
      </c>
      <c r="F1327" s="197">
        <v>0</v>
      </c>
      <c r="G1327" s="197">
        <v>45645</v>
      </c>
      <c r="H1327" s="197">
        <v>17629.100000000002</v>
      </c>
      <c r="I1327" s="197">
        <v>0</v>
      </c>
      <c r="J1327" s="197">
        <v>63274.100000000006</v>
      </c>
      <c r="K1327" s="197">
        <v>63274.100000000006</v>
      </c>
      <c r="L1327" s="197">
        <v>17355</v>
      </c>
      <c r="M1327" s="197">
        <v>0</v>
      </c>
      <c r="N1327" s="197">
        <v>0</v>
      </c>
      <c r="O1327" s="197">
        <v>0</v>
      </c>
      <c r="P1327" s="197">
        <v>33.100000000005821</v>
      </c>
      <c r="Q1327" s="197">
        <v>5.2339463322859103E-4</v>
      </c>
      <c r="R1327" s="260" t="s">
        <v>239</v>
      </c>
      <c r="S1327" s="260" t="s">
        <v>514</v>
      </c>
      <c r="T1327" s="260" t="s">
        <v>239</v>
      </c>
      <c r="U1327" s="260" t="s">
        <v>514</v>
      </c>
    </row>
    <row r="1328" spans="1:21" ht="14.5" x14ac:dyDescent="0.35">
      <c r="A1328" s="260" t="s">
        <v>747</v>
      </c>
      <c r="B1328" s="190">
        <v>45884</v>
      </c>
      <c r="C1328" s="197">
        <v>63274.100000000006</v>
      </c>
      <c r="D1328" s="197">
        <v>0</v>
      </c>
      <c r="E1328" s="197">
        <v>0</v>
      </c>
      <c r="F1328" s="197">
        <v>0</v>
      </c>
      <c r="G1328" s="197">
        <v>45645</v>
      </c>
      <c r="H1328" s="197">
        <v>17661.900000000001</v>
      </c>
      <c r="I1328" s="197">
        <v>0</v>
      </c>
      <c r="J1328" s="197">
        <v>63306.9</v>
      </c>
      <c r="K1328" s="197">
        <v>63306.9</v>
      </c>
      <c r="L1328" s="197">
        <v>17355</v>
      </c>
      <c r="M1328" s="197">
        <v>0</v>
      </c>
      <c r="N1328" s="197">
        <v>0</v>
      </c>
      <c r="O1328" s="197">
        <v>0</v>
      </c>
      <c r="P1328" s="197">
        <v>32.799999999995634</v>
      </c>
      <c r="Q1328" s="197">
        <v>5.1837955814448833E-4</v>
      </c>
      <c r="R1328" s="260" t="s">
        <v>239</v>
      </c>
      <c r="S1328" s="260" t="s">
        <v>514</v>
      </c>
      <c r="T1328" s="260" t="s">
        <v>239</v>
      </c>
      <c r="U1328" s="260" t="s">
        <v>514</v>
      </c>
    </row>
    <row r="1329" spans="1:21" ht="14.5" x14ac:dyDescent="0.35">
      <c r="A1329" s="260" t="s">
        <v>747</v>
      </c>
      <c r="B1329" s="190">
        <v>45885</v>
      </c>
      <c r="C1329" s="197">
        <v>63306.9</v>
      </c>
      <c r="D1329" s="197">
        <v>0</v>
      </c>
      <c r="E1329" s="197">
        <v>0</v>
      </c>
      <c r="F1329" s="197">
        <v>0</v>
      </c>
      <c r="G1329" s="197">
        <v>45645</v>
      </c>
      <c r="H1329" s="197">
        <v>17661.900000000001</v>
      </c>
      <c r="I1329" s="197">
        <v>0</v>
      </c>
      <c r="J1329" s="197">
        <v>63306.9</v>
      </c>
      <c r="K1329" s="197">
        <v>63306.9</v>
      </c>
      <c r="L1329" s="197">
        <v>17355</v>
      </c>
      <c r="M1329" s="197">
        <v>0</v>
      </c>
      <c r="N1329" s="197">
        <v>0</v>
      </c>
      <c r="O1329" s="197">
        <v>0</v>
      </c>
      <c r="P1329" s="197">
        <v>0</v>
      </c>
      <c r="Q1329" s="197">
        <v>0</v>
      </c>
      <c r="R1329" s="260" t="s">
        <v>239</v>
      </c>
      <c r="S1329" s="260" t="s">
        <v>514</v>
      </c>
      <c r="T1329" s="260" t="s">
        <v>239</v>
      </c>
      <c r="U1329" s="260" t="s">
        <v>514</v>
      </c>
    </row>
    <row r="1330" spans="1:21" ht="14.5" x14ac:dyDescent="0.35">
      <c r="A1330" s="260" t="s">
        <v>747</v>
      </c>
      <c r="B1330" s="190">
        <v>45886</v>
      </c>
      <c r="C1330" s="197">
        <v>63306.9</v>
      </c>
      <c r="D1330" s="197">
        <v>0</v>
      </c>
      <c r="E1330" s="197">
        <v>0</v>
      </c>
      <c r="F1330" s="197">
        <v>0</v>
      </c>
      <c r="G1330" s="197">
        <v>45645</v>
      </c>
      <c r="H1330" s="197">
        <v>17661.900000000001</v>
      </c>
      <c r="I1330" s="197">
        <v>0</v>
      </c>
      <c r="J1330" s="197">
        <v>63306.9</v>
      </c>
      <c r="K1330" s="197">
        <v>63306.9</v>
      </c>
      <c r="L1330" s="197">
        <v>17355</v>
      </c>
      <c r="M1330" s="197">
        <v>0</v>
      </c>
      <c r="N1330" s="197">
        <v>0</v>
      </c>
      <c r="O1330" s="197">
        <v>0</v>
      </c>
      <c r="P1330" s="197">
        <v>0</v>
      </c>
      <c r="Q1330" s="197">
        <v>0</v>
      </c>
      <c r="R1330" s="260" t="s">
        <v>239</v>
      </c>
      <c r="S1330" s="260" t="s">
        <v>514</v>
      </c>
      <c r="T1330" s="260" t="s">
        <v>239</v>
      </c>
      <c r="U1330" s="260" t="s">
        <v>514</v>
      </c>
    </row>
    <row r="1331" spans="1:21" ht="14.5" x14ac:dyDescent="0.35">
      <c r="A1331" s="260" t="s">
        <v>747</v>
      </c>
      <c r="B1331" s="190">
        <v>45887</v>
      </c>
      <c r="C1331" s="197">
        <v>63306.9</v>
      </c>
      <c r="D1331" s="197">
        <v>0</v>
      </c>
      <c r="E1331" s="197">
        <v>0</v>
      </c>
      <c r="F1331" s="197">
        <v>0</v>
      </c>
      <c r="G1331" s="197">
        <v>45645</v>
      </c>
      <c r="H1331" s="197">
        <v>17760.900000000001</v>
      </c>
      <c r="I1331" s="197">
        <v>0</v>
      </c>
      <c r="J1331" s="197">
        <v>63405.9</v>
      </c>
      <c r="K1331" s="197">
        <v>63405.9</v>
      </c>
      <c r="L1331" s="197">
        <v>17355</v>
      </c>
      <c r="M1331" s="197">
        <v>0</v>
      </c>
      <c r="N1331" s="197">
        <v>0</v>
      </c>
      <c r="O1331" s="197">
        <v>0</v>
      </c>
      <c r="P1331" s="197">
        <v>99</v>
      </c>
      <c r="Q1331" s="197">
        <v>1.5638105798894131E-3</v>
      </c>
      <c r="R1331" s="260" t="s">
        <v>239</v>
      </c>
      <c r="S1331" s="260" t="s">
        <v>514</v>
      </c>
      <c r="T1331" s="260" t="s">
        <v>239</v>
      </c>
      <c r="U1331" s="260" t="s">
        <v>514</v>
      </c>
    </row>
    <row r="1332" spans="1:21" ht="14.5" x14ac:dyDescent="0.35">
      <c r="A1332" s="260" t="s">
        <v>747</v>
      </c>
      <c r="B1332" s="190">
        <v>45888</v>
      </c>
      <c r="C1332" s="197">
        <v>63405.9</v>
      </c>
      <c r="D1332" s="197">
        <v>0</v>
      </c>
      <c r="E1332" s="197">
        <v>0</v>
      </c>
      <c r="F1332" s="197">
        <v>0</v>
      </c>
      <c r="G1332" s="197">
        <v>45645</v>
      </c>
      <c r="H1332" s="197">
        <v>17794</v>
      </c>
      <c r="I1332" s="197">
        <v>0</v>
      </c>
      <c r="J1332" s="197">
        <v>63439</v>
      </c>
      <c r="K1332" s="197">
        <v>63439</v>
      </c>
      <c r="L1332" s="197">
        <v>17355</v>
      </c>
      <c r="M1332" s="197">
        <v>0</v>
      </c>
      <c r="N1332" s="197">
        <v>0</v>
      </c>
      <c r="O1332" s="197">
        <v>0</v>
      </c>
      <c r="P1332" s="197">
        <v>33.099999999998545</v>
      </c>
      <c r="Q1332" s="197">
        <v>5.2203343852852413E-4</v>
      </c>
      <c r="R1332" s="260" t="s">
        <v>239</v>
      </c>
      <c r="S1332" s="260" t="s">
        <v>514</v>
      </c>
      <c r="T1332" s="260" t="s">
        <v>239</v>
      </c>
      <c r="U1332" s="260" t="s">
        <v>514</v>
      </c>
    </row>
    <row r="1333" spans="1:21" ht="14.5" x14ac:dyDescent="0.35">
      <c r="A1333" s="260" t="s">
        <v>747</v>
      </c>
      <c r="B1333" s="190">
        <v>45889</v>
      </c>
      <c r="C1333" s="197">
        <v>63439</v>
      </c>
      <c r="D1333" s="197">
        <v>0</v>
      </c>
      <c r="E1333" s="197">
        <v>0</v>
      </c>
      <c r="F1333" s="197">
        <v>0</v>
      </c>
      <c r="G1333" s="197">
        <v>45645</v>
      </c>
      <c r="H1333" s="197">
        <v>17827.099999999999</v>
      </c>
      <c r="I1333" s="197">
        <v>0</v>
      </c>
      <c r="J1333" s="197">
        <v>63472.1</v>
      </c>
      <c r="K1333" s="197">
        <v>63472.1</v>
      </c>
      <c r="L1333" s="197">
        <v>17355</v>
      </c>
      <c r="M1333" s="197">
        <v>0</v>
      </c>
      <c r="N1333" s="197">
        <v>0</v>
      </c>
      <c r="O1333" s="197">
        <v>0</v>
      </c>
      <c r="P1333" s="197">
        <v>33.099999999998545</v>
      </c>
      <c r="Q1333" s="197">
        <v>5.2176106180734649E-4</v>
      </c>
      <c r="R1333" s="260" t="s">
        <v>239</v>
      </c>
      <c r="S1333" s="260" t="s">
        <v>514</v>
      </c>
      <c r="T1333" s="260" t="s">
        <v>239</v>
      </c>
      <c r="U1333" s="260" t="s">
        <v>514</v>
      </c>
    </row>
    <row r="1334" spans="1:21" ht="14.5" x14ac:dyDescent="0.35">
      <c r="A1334" s="260" t="s">
        <v>747</v>
      </c>
      <c r="B1334" s="190">
        <v>45890</v>
      </c>
      <c r="C1334" s="197">
        <v>63472.1</v>
      </c>
      <c r="D1334" s="197">
        <v>0</v>
      </c>
      <c r="E1334" s="197">
        <v>0</v>
      </c>
      <c r="F1334" s="197">
        <v>0</v>
      </c>
      <c r="G1334" s="197">
        <v>45645</v>
      </c>
      <c r="H1334" s="197">
        <v>17859.900000000001</v>
      </c>
      <c r="I1334" s="197">
        <v>0</v>
      </c>
      <c r="J1334" s="197">
        <v>63504.9</v>
      </c>
      <c r="K1334" s="197">
        <v>63504.9</v>
      </c>
      <c r="L1334" s="197">
        <v>17355</v>
      </c>
      <c r="M1334" s="197">
        <v>0</v>
      </c>
      <c r="N1334" s="197">
        <v>0</v>
      </c>
      <c r="O1334" s="197">
        <v>0</v>
      </c>
      <c r="P1334" s="197">
        <v>32.80000000000291</v>
      </c>
      <c r="Q1334" s="197">
        <v>5.1676248304377559E-4</v>
      </c>
      <c r="R1334" s="260" t="s">
        <v>239</v>
      </c>
      <c r="S1334" s="260" t="s">
        <v>514</v>
      </c>
      <c r="T1334" s="260" t="s">
        <v>239</v>
      </c>
      <c r="U1334" s="260" t="s">
        <v>514</v>
      </c>
    </row>
    <row r="1335" spans="1:21" ht="14.5" x14ac:dyDescent="0.35">
      <c r="A1335" s="260" t="s">
        <v>747</v>
      </c>
      <c r="B1335" s="190">
        <v>45891</v>
      </c>
      <c r="C1335" s="197">
        <v>63504.9</v>
      </c>
      <c r="D1335" s="197">
        <v>0</v>
      </c>
      <c r="E1335" s="197">
        <v>0</v>
      </c>
      <c r="F1335" s="197">
        <v>0</v>
      </c>
      <c r="G1335" s="197">
        <v>45645</v>
      </c>
      <c r="H1335" s="197">
        <v>17893</v>
      </c>
      <c r="I1335" s="197">
        <v>0</v>
      </c>
      <c r="J1335" s="197">
        <v>63538</v>
      </c>
      <c r="K1335" s="197">
        <v>63538</v>
      </c>
      <c r="L1335" s="197">
        <v>17355</v>
      </c>
      <c r="M1335" s="197">
        <v>0</v>
      </c>
      <c r="N1335" s="197">
        <v>0</v>
      </c>
      <c r="O1335" s="197">
        <v>0</v>
      </c>
      <c r="P1335" s="197">
        <v>33.099999999998545</v>
      </c>
      <c r="Q1335" s="197">
        <v>5.212196224229082E-4</v>
      </c>
      <c r="R1335" s="260" t="s">
        <v>239</v>
      </c>
      <c r="S1335" s="260" t="s">
        <v>514</v>
      </c>
      <c r="T1335" s="260" t="s">
        <v>239</v>
      </c>
      <c r="U1335" s="260" t="s">
        <v>514</v>
      </c>
    </row>
    <row r="1336" spans="1:21" ht="14.5" x14ac:dyDescent="0.35">
      <c r="A1336" s="260" t="s">
        <v>747</v>
      </c>
      <c r="B1336" s="190">
        <v>45892</v>
      </c>
      <c r="C1336" s="197">
        <v>63538</v>
      </c>
      <c r="D1336" s="197">
        <v>0</v>
      </c>
      <c r="E1336" s="197">
        <v>0</v>
      </c>
      <c r="F1336" s="197">
        <v>0</v>
      </c>
      <c r="G1336" s="197">
        <v>45645</v>
      </c>
      <c r="H1336" s="197">
        <v>17893</v>
      </c>
      <c r="I1336" s="197">
        <v>0</v>
      </c>
      <c r="J1336" s="197">
        <v>63538</v>
      </c>
      <c r="K1336" s="197">
        <v>63538</v>
      </c>
      <c r="L1336" s="197">
        <v>17355</v>
      </c>
      <c r="M1336" s="197">
        <v>0</v>
      </c>
      <c r="N1336" s="197">
        <v>0</v>
      </c>
      <c r="O1336" s="197">
        <v>0</v>
      </c>
      <c r="P1336" s="197">
        <v>0</v>
      </c>
      <c r="Q1336" s="197">
        <v>0</v>
      </c>
      <c r="R1336" s="260" t="s">
        <v>239</v>
      </c>
      <c r="S1336" s="260" t="s">
        <v>514</v>
      </c>
      <c r="T1336" s="260" t="s">
        <v>239</v>
      </c>
      <c r="U1336" s="260" t="s">
        <v>514</v>
      </c>
    </row>
    <row r="1337" spans="1:21" ht="14.5" x14ac:dyDescent="0.35">
      <c r="A1337" s="260" t="s">
        <v>747</v>
      </c>
      <c r="B1337" s="190">
        <v>45893</v>
      </c>
      <c r="C1337" s="197">
        <v>63538</v>
      </c>
      <c r="D1337" s="197">
        <v>0</v>
      </c>
      <c r="E1337" s="197">
        <v>0</v>
      </c>
      <c r="F1337" s="197">
        <v>0</v>
      </c>
      <c r="G1337" s="197">
        <v>45645</v>
      </c>
      <c r="H1337" s="197">
        <v>17893</v>
      </c>
      <c r="I1337" s="197">
        <v>0</v>
      </c>
      <c r="J1337" s="197">
        <v>63538</v>
      </c>
      <c r="K1337" s="197">
        <v>63538</v>
      </c>
      <c r="L1337" s="197">
        <v>17355</v>
      </c>
      <c r="M1337" s="197">
        <v>0</v>
      </c>
      <c r="N1337" s="197">
        <v>0</v>
      </c>
      <c r="O1337" s="197">
        <v>0</v>
      </c>
      <c r="P1337" s="197">
        <v>0</v>
      </c>
      <c r="Q1337" s="197">
        <v>0</v>
      </c>
      <c r="R1337" s="260" t="s">
        <v>239</v>
      </c>
      <c r="S1337" s="260" t="s">
        <v>514</v>
      </c>
      <c r="T1337" s="260" t="s">
        <v>239</v>
      </c>
      <c r="U1337" s="260" t="s">
        <v>514</v>
      </c>
    </row>
    <row r="1338" spans="1:21" ht="14.5" x14ac:dyDescent="0.35">
      <c r="A1338" s="260" t="s">
        <v>747</v>
      </c>
      <c r="B1338" s="190">
        <v>45894</v>
      </c>
      <c r="C1338" s="197">
        <v>63538</v>
      </c>
      <c r="D1338" s="197">
        <v>0</v>
      </c>
      <c r="E1338" s="197">
        <v>0</v>
      </c>
      <c r="F1338" s="197">
        <v>0</v>
      </c>
      <c r="G1338" s="197">
        <v>45645</v>
      </c>
      <c r="H1338" s="197">
        <v>17992</v>
      </c>
      <c r="I1338" s="197">
        <v>0</v>
      </c>
      <c r="J1338" s="197">
        <v>63637</v>
      </c>
      <c r="K1338" s="197">
        <v>63637</v>
      </c>
      <c r="L1338" s="197">
        <v>17355</v>
      </c>
      <c r="M1338" s="197">
        <v>0</v>
      </c>
      <c r="N1338" s="197">
        <v>0</v>
      </c>
      <c r="O1338" s="197">
        <v>0</v>
      </c>
      <c r="P1338" s="197">
        <v>99</v>
      </c>
      <c r="Q1338" s="197">
        <v>1.5581226982277485E-3</v>
      </c>
      <c r="R1338" s="260" t="s">
        <v>239</v>
      </c>
      <c r="S1338" s="260" t="s">
        <v>514</v>
      </c>
      <c r="T1338" s="260" t="s">
        <v>239</v>
      </c>
      <c r="U1338" s="260" t="s">
        <v>514</v>
      </c>
    </row>
    <row r="1339" spans="1:21" ht="14.5" x14ac:dyDescent="0.35">
      <c r="A1339" s="260" t="s">
        <v>747</v>
      </c>
      <c r="B1339" s="190">
        <v>45895</v>
      </c>
      <c r="C1339" s="197">
        <v>63637</v>
      </c>
      <c r="D1339" s="197">
        <v>0</v>
      </c>
      <c r="E1339" s="197">
        <v>0</v>
      </c>
      <c r="F1339" s="197">
        <v>0</v>
      </c>
      <c r="G1339" s="197">
        <v>45645</v>
      </c>
      <c r="H1339" s="197">
        <v>18025.099999999999</v>
      </c>
      <c r="I1339" s="197">
        <v>0</v>
      </c>
      <c r="J1339" s="197">
        <v>63670.1</v>
      </c>
      <c r="K1339" s="197">
        <v>63670.1</v>
      </c>
      <c r="L1339" s="197">
        <v>17355</v>
      </c>
      <c r="M1339" s="197">
        <v>0</v>
      </c>
      <c r="N1339" s="197">
        <v>0</v>
      </c>
      <c r="O1339" s="197">
        <v>0</v>
      </c>
      <c r="P1339" s="197">
        <v>33.099999999998545</v>
      </c>
      <c r="Q1339" s="197">
        <v>5.2013765576619519E-4</v>
      </c>
      <c r="R1339" s="260" t="s">
        <v>239</v>
      </c>
      <c r="S1339" s="260" t="s">
        <v>514</v>
      </c>
      <c r="T1339" s="260" t="s">
        <v>239</v>
      </c>
      <c r="U1339" s="260" t="s">
        <v>514</v>
      </c>
    </row>
    <row r="1340" spans="1:21" ht="14.5" x14ac:dyDescent="0.35">
      <c r="A1340" s="260" t="s">
        <v>747</v>
      </c>
      <c r="B1340" s="190">
        <v>45896</v>
      </c>
      <c r="C1340" s="197">
        <v>63670.1</v>
      </c>
      <c r="D1340" s="197">
        <v>0</v>
      </c>
      <c r="E1340" s="197">
        <v>0</v>
      </c>
      <c r="F1340" s="197">
        <v>0</v>
      </c>
      <c r="G1340" s="197">
        <v>45645</v>
      </c>
      <c r="H1340" s="197">
        <v>18057.900000000001</v>
      </c>
      <c r="I1340" s="197">
        <v>0</v>
      </c>
      <c r="J1340" s="197">
        <v>63702.9</v>
      </c>
      <c r="K1340" s="197">
        <v>63702.9</v>
      </c>
      <c r="L1340" s="197">
        <v>17355</v>
      </c>
      <c r="M1340" s="197">
        <v>0</v>
      </c>
      <c r="N1340" s="197">
        <v>0</v>
      </c>
      <c r="O1340" s="197">
        <v>0</v>
      </c>
      <c r="P1340" s="197">
        <v>32.80000000000291</v>
      </c>
      <c r="Q1340" s="197">
        <v>5.151554654383439E-4</v>
      </c>
      <c r="R1340" s="260" t="s">
        <v>239</v>
      </c>
      <c r="S1340" s="260" t="s">
        <v>514</v>
      </c>
      <c r="T1340" s="260" t="s">
        <v>239</v>
      </c>
      <c r="U1340" s="260" t="s">
        <v>514</v>
      </c>
    </row>
    <row r="1341" spans="1:21" ht="14.5" x14ac:dyDescent="0.35">
      <c r="A1341" s="260" t="s">
        <v>747</v>
      </c>
      <c r="B1341" s="190">
        <v>45897</v>
      </c>
      <c r="C1341" s="197">
        <v>63702.9</v>
      </c>
      <c r="D1341" s="197">
        <v>0</v>
      </c>
      <c r="E1341" s="197">
        <v>0</v>
      </c>
      <c r="F1341" s="197">
        <v>0</v>
      </c>
      <c r="G1341" s="197">
        <v>45645</v>
      </c>
      <c r="H1341" s="197">
        <v>18091</v>
      </c>
      <c r="I1341" s="197">
        <v>0</v>
      </c>
      <c r="J1341" s="197">
        <v>63736</v>
      </c>
      <c r="K1341" s="197">
        <v>63736</v>
      </c>
      <c r="L1341" s="197">
        <v>17355</v>
      </c>
      <c r="M1341" s="197">
        <v>0</v>
      </c>
      <c r="N1341" s="197">
        <v>0</v>
      </c>
      <c r="O1341" s="197">
        <v>0</v>
      </c>
      <c r="P1341" s="197">
        <v>33.099999999998545</v>
      </c>
      <c r="Q1341" s="197">
        <v>5.1959957866909434E-4</v>
      </c>
      <c r="R1341" s="260" t="s">
        <v>239</v>
      </c>
      <c r="S1341" s="260" t="s">
        <v>514</v>
      </c>
      <c r="T1341" s="260" t="s">
        <v>239</v>
      </c>
      <c r="U1341" s="260" t="s">
        <v>514</v>
      </c>
    </row>
    <row r="1342" spans="1:21" ht="14.5" x14ac:dyDescent="0.35">
      <c r="A1342" s="260" t="s">
        <v>747</v>
      </c>
      <c r="B1342" s="190">
        <v>45898</v>
      </c>
      <c r="C1342" s="197">
        <v>63736</v>
      </c>
      <c r="D1342" s="197">
        <v>0</v>
      </c>
      <c r="E1342" s="197">
        <v>0</v>
      </c>
      <c r="F1342" s="197">
        <v>0</v>
      </c>
      <c r="G1342" s="197">
        <v>45645</v>
      </c>
      <c r="H1342" s="197">
        <v>18124.099999999999</v>
      </c>
      <c r="I1342" s="197">
        <v>0</v>
      </c>
      <c r="J1342" s="197">
        <v>63769.1</v>
      </c>
      <c r="K1342" s="197">
        <v>63769.1</v>
      </c>
      <c r="L1342" s="197">
        <v>17355</v>
      </c>
      <c r="M1342" s="197">
        <v>0</v>
      </c>
      <c r="N1342" s="197">
        <v>0</v>
      </c>
      <c r="O1342" s="197">
        <v>0</v>
      </c>
      <c r="P1342" s="197">
        <v>33.099999999998545</v>
      </c>
      <c r="Q1342" s="197">
        <v>5.1932973515755876E-4</v>
      </c>
      <c r="R1342" s="260" t="s">
        <v>239</v>
      </c>
      <c r="S1342" s="260" t="s">
        <v>514</v>
      </c>
      <c r="T1342" s="260" t="s">
        <v>239</v>
      </c>
      <c r="U1342" s="260" t="s">
        <v>514</v>
      </c>
    </row>
    <row r="1343" spans="1:21" ht="14.5" x14ac:dyDescent="0.35">
      <c r="A1343" s="260" t="s">
        <v>747</v>
      </c>
      <c r="B1343" s="190">
        <v>45899</v>
      </c>
      <c r="C1343" s="197">
        <v>63769.1</v>
      </c>
      <c r="D1343" s="197">
        <v>0</v>
      </c>
      <c r="E1343" s="197">
        <v>0</v>
      </c>
      <c r="F1343" s="197">
        <v>0</v>
      </c>
      <c r="G1343" s="197">
        <v>45645</v>
      </c>
      <c r="H1343" s="197">
        <v>18124.099999999999</v>
      </c>
      <c r="I1343" s="197">
        <v>0</v>
      </c>
      <c r="J1343" s="197">
        <v>63769.1</v>
      </c>
      <c r="K1343" s="197">
        <v>63769.1</v>
      </c>
      <c r="L1343" s="197">
        <v>17355</v>
      </c>
      <c r="M1343" s="197">
        <v>0</v>
      </c>
      <c r="N1343" s="197">
        <v>0</v>
      </c>
      <c r="O1343" s="197">
        <v>0</v>
      </c>
      <c r="P1343" s="197">
        <v>0</v>
      </c>
      <c r="Q1343" s="197">
        <v>0</v>
      </c>
      <c r="R1343" s="260" t="s">
        <v>239</v>
      </c>
      <c r="S1343" s="260" t="s">
        <v>514</v>
      </c>
      <c r="T1343" s="260" t="s">
        <v>239</v>
      </c>
      <c r="U1343" s="260" t="s">
        <v>514</v>
      </c>
    </row>
    <row r="1344" spans="1:21" ht="14.5" x14ac:dyDescent="0.35">
      <c r="A1344" s="260" t="s">
        <v>747</v>
      </c>
      <c r="B1344" s="190">
        <v>45900</v>
      </c>
      <c r="C1344" s="197">
        <v>63769.1</v>
      </c>
      <c r="D1344" s="197">
        <v>0</v>
      </c>
      <c r="E1344" s="197">
        <v>0</v>
      </c>
      <c r="F1344" s="197">
        <v>0</v>
      </c>
      <c r="G1344" s="197">
        <v>45645</v>
      </c>
      <c r="H1344" s="197">
        <v>18124.099999999999</v>
      </c>
      <c r="I1344" s="197">
        <v>0</v>
      </c>
      <c r="J1344" s="197">
        <v>63769.1</v>
      </c>
      <c r="K1344" s="197">
        <v>63769.1</v>
      </c>
      <c r="L1344" s="197">
        <v>17355</v>
      </c>
      <c r="M1344" s="197">
        <v>0</v>
      </c>
      <c r="N1344" s="197">
        <v>0</v>
      </c>
      <c r="O1344" s="197">
        <v>0</v>
      </c>
      <c r="P1344" s="197">
        <v>0</v>
      </c>
      <c r="Q1344" s="197">
        <v>0</v>
      </c>
      <c r="R1344" s="260" t="s">
        <v>239</v>
      </c>
      <c r="S1344" s="260" t="s">
        <v>514</v>
      </c>
      <c r="T1344" s="260" t="s">
        <v>239</v>
      </c>
      <c r="U1344" s="260" t="s">
        <v>514</v>
      </c>
    </row>
    <row r="1345" spans="1:21" ht="14.5" x14ac:dyDescent="0.35">
      <c r="A1345" s="260" t="s">
        <v>747</v>
      </c>
      <c r="B1345" s="190">
        <v>45901</v>
      </c>
      <c r="C1345" s="197">
        <v>63769.1</v>
      </c>
      <c r="D1345" s="197">
        <v>0</v>
      </c>
      <c r="E1345" s="197">
        <v>0</v>
      </c>
      <c r="F1345" s="197">
        <v>0</v>
      </c>
      <c r="G1345" s="197">
        <v>45645</v>
      </c>
      <c r="H1345" s="197">
        <v>18100</v>
      </c>
      <c r="I1345" s="197">
        <v>90</v>
      </c>
      <c r="J1345" s="197">
        <v>63835</v>
      </c>
      <c r="K1345" s="197">
        <v>63835</v>
      </c>
      <c r="L1345" s="197">
        <v>17355</v>
      </c>
      <c r="M1345" s="197">
        <v>0</v>
      </c>
      <c r="N1345" s="197">
        <v>0</v>
      </c>
      <c r="O1345" s="197">
        <v>90</v>
      </c>
      <c r="P1345" s="197">
        <v>65.900000000001455</v>
      </c>
      <c r="Q1345" s="197">
        <v>1.0334158706959418E-3</v>
      </c>
      <c r="R1345" s="260" t="s">
        <v>239</v>
      </c>
      <c r="S1345" s="260" t="s">
        <v>514</v>
      </c>
      <c r="T1345" s="260" t="s">
        <v>239</v>
      </c>
      <c r="U1345" s="260" t="s">
        <v>514</v>
      </c>
    </row>
    <row r="1346" spans="1:21" ht="14.5" x14ac:dyDescent="0.35">
      <c r="A1346" s="260" t="s">
        <v>747</v>
      </c>
      <c r="B1346" s="190">
        <v>45902</v>
      </c>
      <c r="C1346" s="197">
        <v>63835</v>
      </c>
      <c r="D1346" s="197">
        <v>0</v>
      </c>
      <c r="E1346" s="197">
        <v>0</v>
      </c>
      <c r="F1346" s="197">
        <v>0</v>
      </c>
      <c r="G1346" s="197">
        <v>45645</v>
      </c>
      <c r="H1346" s="197">
        <v>18090.3</v>
      </c>
      <c r="I1346" s="197">
        <v>90</v>
      </c>
      <c r="J1346" s="197">
        <v>63825.3</v>
      </c>
      <c r="K1346" s="197">
        <v>63825.3</v>
      </c>
      <c r="L1346" s="197">
        <v>17355</v>
      </c>
      <c r="M1346" s="197">
        <v>0</v>
      </c>
      <c r="N1346" s="197">
        <v>0</v>
      </c>
      <c r="O1346" s="197">
        <v>0</v>
      </c>
      <c r="P1346" s="197">
        <v>-9.6999999999970896</v>
      </c>
      <c r="Q1346" s="197">
        <v>-1.519542570689314E-4</v>
      </c>
      <c r="R1346" s="260" t="s">
        <v>239</v>
      </c>
      <c r="S1346" s="260" t="s">
        <v>514</v>
      </c>
      <c r="T1346" s="260" t="s">
        <v>239</v>
      </c>
      <c r="U1346" s="260" t="s">
        <v>514</v>
      </c>
    </row>
    <row r="1347" spans="1:21" ht="14.5" x14ac:dyDescent="0.35">
      <c r="A1347" s="260" t="s">
        <v>747</v>
      </c>
      <c r="B1347" s="190">
        <v>45903</v>
      </c>
      <c r="C1347" s="197">
        <v>63825.3</v>
      </c>
      <c r="D1347" s="197">
        <v>0</v>
      </c>
      <c r="E1347" s="197">
        <v>0</v>
      </c>
      <c r="F1347" s="197">
        <v>0</v>
      </c>
      <c r="G1347" s="197">
        <v>45645</v>
      </c>
      <c r="H1347" s="197">
        <v>18080.599999999999</v>
      </c>
      <c r="I1347" s="197">
        <v>90</v>
      </c>
      <c r="J1347" s="197">
        <v>63815.6</v>
      </c>
      <c r="K1347" s="197">
        <v>63815.6</v>
      </c>
      <c r="L1347" s="197">
        <v>17355</v>
      </c>
      <c r="M1347" s="197">
        <v>0</v>
      </c>
      <c r="N1347" s="197">
        <v>0</v>
      </c>
      <c r="O1347" s="197">
        <v>0</v>
      </c>
      <c r="P1347" s="197">
        <v>-9.7000000000043656</v>
      </c>
      <c r="Q1347" s="197">
        <v>-1.5197735067451479E-4</v>
      </c>
      <c r="R1347" s="260" t="s">
        <v>239</v>
      </c>
      <c r="S1347" s="260" t="s">
        <v>514</v>
      </c>
      <c r="T1347" s="260" t="s">
        <v>239</v>
      </c>
      <c r="U1347" s="260" t="s">
        <v>514</v>
      </c>
    </row>
    <row r="1348" spans="1:21" ht="14.5" x14ac:dyDescent="0.35">
      <c r="A1348" s="260" t="s">
        <v>747</v>
      </c>
      <c r="B1348" s="190">
        <v>45904</v>
      </c>
      <c r="C1348" s="197">
        <v>63815.6</v>
      </c>
      <c r="D1348" s="197">
        <v>0</v>
      </c>
      <c r="E1348" s="197">
        <v>0</v>
      </c>
      <c r="F1348" s="197">
        <v>0</v>
      </c>
      <c r="G1348" s="197">
        <v>45645</v>
      </c>
      <c r="H1348" s="197">
        <v>18072.7</v>
      </c>
      <c r="I1348" s="197">
        <v>90</v>
      </c>
      <c r="J1348" s="197">
        <v>63807.7</v>
      </c>
      <c r="K1348" s="197">
        <v>63807.7</v>
      </c>
      <c r="L1348" s="197">
        <v>17355</v>
      </c>
      <c r="M1348" s="197">
        <v>0</v>
      </c>
      <c r="N1348" s="197">
        <v>0</v>
      </c>
      <c r="O1348" s="197">
        <v>0</v>
      </c>
      <c r="P1348" s="197">
        <v>-7.9000000000014552</v>
      </c>
      <c r="Q1348" s="197">
        <v>-1.237941819868249E-4</v>
      </c>
      <c r="R1348" s="260" t="s">
        <v>239</v>
      </c>
      <c r="S1348" s="260" t="s">
        <v>514</v>
      </c>
      <c r="T1348" s="260" t="s">
        <v>239</v>
      </c>
      <c r="U1348" s="260" t="s">
        <v>514</v>
      </c>
    </row>
    <row r="1349" spans="1:21" ht="14.5" x14ac:dyDescent="0.35">
      <c r="A1349" s="260" t="s">
        <v>747</v>
      </c>
      <c r="B1349" s="190">
        <v>45905</v>
      </c>
      <c r="C1349" s="197">
        <v>63807.7</v>
      </c>
      <c r="D1349" s="197">
        <v>0</v>
      </c>
      <c r="E1349" s="197">
        <v>0</v>
      </c>
      <c r="F1349" s="197">
        <v>0</v>
      </c>
      <c r="G1349" s="197">
        <v>45645</v>
      </c>
      <c r="H1349" s="197">
        <v>18063</v>
      </c>
      <c r="I1349" s="197">
        <v>90</v>
      </c>
      <c r="J1349" s="197">
        <v>63798</v>
      </c>
      <c r="K1349" s="197">
        <v>63798</v>
      </c>
      <c r="L1349" s="197">
        <v>17355</v>
      </c>
      <c r="M1349" s="197">
        <v>0</v>
      </c>
      <c r="N1349" s="197">
        <v>0</v>
      </c>
      <c r="O1349" s="197">
        <v>0</v>
      </c>
      <c r="P1349" s="197">
        <v>-9.6999999999970896</v>
      </c>
      <c r="Q1349" s="197">
        <v>-1.5201927040153773E-4</v>
      </c>
      <c r="R1349" s="260" t="s">
        <v>239</v>
      </c>
      <c r="S1349" s="260" t="s">
        <v>514</v>
      </c>
      <c r="T1349" s="260" t="s">
        <v>239</v>
      </c>
      <c r="U1349" s="260" t="s">
        <v>514</v>
      </c>
    </row>
    <row r="1350" spans="1:21" ht="14.5" x14ac:dyDescent="0.35">
      <c r="A1350" s="260" t="s">
        <v>747</v>
      </c>
      <c r="B1350" s="190">
        <v>45906</v>
      </c>
      <c r="C1350" s="197">
        <v>63798</v>
      </c>
      <c r="D1350" s="197">
        <v>0</v>
      </c>
      <c r="E1350" s="197">
        <v>0</v>
      </c>
      <c r="F1350" s="197">
        <v>0</v>
      </c>
      <c r="G1350" s="197">
        <v>45645</v>
      </c>
      <c r="H1350" s="197">
        <v>18063</v>
      </c>
      <c r="I1350" s="197">
        <v>90</v>
      </c>
      <c r="J1350" s="197">
        <v>63798</v>
      </c>
      <c r="K1350" s="197">
        <v>63798</v>
      </c>
      <c r="L1350" s="197">
        <v>17355</v>
      </c>
      <c r="M1350" s="197">
        <v>0</v>
      </c>
      <c r="N1350" s="197">
        <v>0</v>
      </c>
      <c r="O1350" s="197">
        <v>0</v>
      </c>
      <c r="P1350" s="197">
        <v>0</v>
      </c>
      <c r="Q1350" s="197">
        <v>0</v>
      </c>
      <c r="R1350" s="260" t="s">
        <v>239</v>
      </c>
      <c r="S1350" s="260" t="s">
        <v>514</v>
      </c>
      <c r="T1350" s="260" t="s">
        <v>239</v>
      </c>
      <c r="U1350" s="260" t="s">
        <v>514</v>
      </c>
    </row>
    <row r="1351" spans="1:21" ht="14.5" x14ac:dyDescent="0.35">
      <c r="A1351" s="260" t="s">
        <v>747</v>
      </c>
      <c r="B1351" s="190">
        <v>45907</v>
      </c>
      <c r="C1351" s="197">
        <v>63798</v>
      </c>
      <c r="D1351" s="197">
        <v>0</v>
      </c>
      <c r="E1351" s="197">
        <v>0</v>
      </c>
      <c r="F1351" s="197">
        <v>0</v>
      </c>
      <c r="G1351" s="197">
        <v>45645</v>
      </c>
      <c r="H1351" s="197">
        <v>18063</v>
      </c>
      <c r="I1351" s="197">
        <v>90</v>
      </c>
      <c r="J1351" s="197">
        <v>63798</v>
      </c>
      <c r="K1351" s="197">
        <v>63798</v>
      </c>
      <c r="L1351" s="197">
        <v>17355</v>
      </c>
      <c r="M1351" s="197">
        <v>0</v>
      </c>
      <c r="N1351" s="197">
        <v>0</v>
      </c>
      <c r="O1351" s="197">
        <v>0</v>
      </c>
      <c r="P1351" s="197">
        <v>0</v>
      </c>
      <c r="Q1351" s="197">
        <v>0</v>
      </c>
      <c r="R1351" s="260" t="s">
        <v>239</v>
      </c>
      <c r="S1351" s="260" t="s">
        <v>514</v>
      </c>
      <c r="T1351" s="260" t="s">
        <v>239</v>
      </c>
      <c r="U1351" s="260" t="s">
        <v>514</v>
      </c>
    </row>
    <row r="1352" spans="1:21" ht="14.5" x14ac:dyDescent="0.35">
      <c r="A1352" s="260" t="s">
        <v>747</v>
      </c>
      <c r="B1352" s="190">
        <v>45908</v>
      </c>
      <c r="C1352" s="197">
        <v>63798</v>
      </c>
      <c r="D1352" s="197">
        <v>0</v>
      </c>
      <c r="E1352" s="197">
        <v>0</v>
      </c>
      <c r="F1352" s="197">
        <v>0</v>
      </c>
      <c r="G1352" s="197">
        <v>45645</v>
      </c>
      <c r="H1352" s="197">
        <v>18034.7</v>
      </c>
      <c r="I1352" s="197">
        <v>90</v>
      </c>
      <c r="J1352" s="197">
        <v>63769.7</v>
      </c>
      <c r="K1352" s="197">
        <v>63769.7</v>
      </c>
      <c r="L1352" s="197">
        <v>17355</v>
      </c>
      <c r="M1352" s="197">
        <v>0</v>
      </c>
      <c r="N1352" s="197">
        <v>0</v>
      </c>
      <c r="O1352" s="197">
        <v>0</v>
      </c>
      <c r="P1352" s="197">
        <v>-28.30000000000291</v>
      </c>
      <c r="Q1352" s="197">
        <v>-4.4358757327822573E-4</v>
      </c>
      <c r="R1352" s="260" t="s">
        <v>239</v>
      </c>
      <c r="S1352" s="260" t="s">
        <v>514</v>
      </c>
      <c r="T1352" s="260" t="s">
        <v>239</v>
      </c>
      <c r="U1352" s="260" t="s">
        <v>514</v>
      </c>
    </row>
    <row r="1353" spans="1:21" ht="14.5" x14ac:dyDescent="0.35">
      <c r="A1353" s="260" t="s">
        <v>747</v>
      </c>
      <c r="B1353" s="190">
        <v>45909</v>
      </c>
      <c r="C1353" s="197">
        <v>63769.7</v>
      </c>
      <c r="D1353" s="197">
        <v>0</v>
      </c>
      <c r="E1353" s="197">
        <v>0</v>
      </c>
      <c r="F1353" s="197">
        <v>0</v>
      </c>
      <c r="G1353" s="197">
        <v>45645</v>
      </c>
      <c r="H1353" s="197">
        <v>18026</v>
      </c>
      <c r="I1353" s="197">
        <v>90</v>
      </c>
      <c r="J1353" s="197">
        <v>63761</v>
      </c>
      <c r="K1353" s="197">
        <v>63761</v>
      </c>
      <c r="L1353" s="197">
        <v>17355</v>
      </c>
      <c r="M1353" s="197">
        <v>0</v>
      </c>
      <c r="N1353" s="197">
        <v>0</v>
      </c>
      <c r="O1353" s="197">
        <v>0</v>
      </c>
      <c r="P1353" s="197">
        <v>-8.6999999999970896</v>
      </c>
      <c r="Q1353" s="197">
        <v>-1.3642842917560571E-4</v>
      </c>
      <c r="R1353" s="260" t="s">
        <v>239</v>
      </c>
      <c r="S1353" s="260" t="s">
        <v>514</v>
      </c>
      <c r="T1353" s="260" t="s">
        <v>239</v>
      </c>
      <c r="U1353" s="260" t="s">
        <v>514</v>
      </c>
    </row>
    <row r="1354" spans="1:21" ht="14.5" x14ac:dyDescent="0.35">
      <c r="A1354" s="260" t="s">
        <v>747</v>
      </c>
      <c r="B1354" s="190">
        <v>45910</v>
      </c>
      <c r="C1354" s="197">
        <v>63761</v>
      </c>
      <c r="D1354" s="197">
        <v>0</v>
      </c>
      <c r="E1354" s="197">
        <v>0</v>
      </c>
      <c r="F1354" s="197">
        <v>0</v>
      </c>
      <c r="G1354" s="197">
        <v>45645</v>
      </c>
      <c r="H1354" s="197">
        <v>18016.3</v>
      </c>
      <c r="I1354" s="197">
        <v>90</v>
      </c>
      <c r="J1354" s="197">
        <v>63751.3</v>
      </c>
      <c r="K1354" s="197">
        <v>63751.3</v>
      </c>
      <c r="L1354" s="197">
        <v>17355</v>
      </c>
      <c r="M1354" s="197">
        <v>0</v>
      </c>
      <c r="N1354" s="197">
        <v>0</v>
      </c>
      <c r="O1354" s="197">
        <v>0</v>
      </c>
      <c r="P1354" s="197">
        <v>-9.6999999999970896</v>
      </c>
      <c r="Q1354" s="197">
        <v>-1.5213061275698436E-4</v>
      </c>
      <c r="R1354" s="260" t="s">
        <v>239</v>
      </c>
      <c r="S1354" s="260" t="s">
        <v>514</v>
      </c>
      <c r="T1354" s="260" t="s">
        <v>239</v>
      </c>
      <c r="U1354" s="260" t="s">
        <v>514</v>
      </c>
    </row>
    <row r="1355" spans="1:21" ht="14.5" x14ac:dyDescent="0.35">
      <c r="A1355" s="260" t="s">
        <v>747</v>
      </c>
      <c r="B1355" s="190">
        <v>45911</v>
      </c>
      <c r="C1355" s="197">
        <v>63751.3</v>
      </c>
      <c r="D1355" s="197">
        <v>0</v>
      </c>
      <c r="E1355" s="197">
        <v>0</v>
      </c>
      <c r="F1355" s="197">
        <v>0</v>
      </c>
      <c r="G1355" s="197">
        <v>45645</v>
      </c>
      <c r="H1355" s="197">
        <v>18006.599999999999</v>
      </c>
      <c r="I1355" s="197">
        <v>90</v>
      </c>
      <c r="J1355" s="197">
        <v>63741.599999999999</v>
      </c>
      <c r="K1355" s="197">
        <v>63741.599999999999</v>
      </c>
      <c r="L1355" s="197">
        <v>17355</v>
      </c>
      <c r="M1355" s="197">
        <v>0</v>
      </c>
      <c r="N1355" s="197">
        <v>0</v>
      </c>
      <c r="O1355" s="197">
        <v>0</v>
      </c>
      <c r="P1355" s="197">
        <v>-9.7000000000043656</v>
      </c>
      <c r="Q1355" s="197">
        <v>-1.5215376000177194E-4</v>
      </c>
      <c r="R1355" s="260" t="s">
        <v>239</v>
      </c>
      <c r="S1355" s="260" t="s">
        <v>514</v>
      </c>
      <c r="T1355" s="260" t="s">
        <v>239</v>
      </c>
      <c r="U1355" s="260" t="s">
        <v>514</v>
      </c>
    </row>
    <row r="1356" spans="1:21" ht="14.5" x14ac:dyDescent="0.35">
      <c r="A1356" s="260" t="s">
        <v>747</v>
      </c>
      <c r="B1356" s="190">
        <v>45912</v>
      </c>
      <c r="C1356" s="197">
        <v>63741.599999999999</v>
      </c>
      <c r="D1356" s="197">
        <v>0</v>
      </c>
      <c r="E1356" s="197">
        <v>0</v>
      </c>
      <c r="F1356" s="197">
        <v>0</v>
      </c>
      <c r="G1356" s="197">
        <v>45645</v>
      </c>
      <c r="H1356" s="197">
        <v>17997.7</v>
      </c>
      <c r="I1356" s="197">
        <v>90</v>
      </c>
      <c r="J1356" s="197">
        <v>63732.7</v>
      </c>
      <c r="K1356" s="197">
        <v>63732.7</v>
      </c>
      <c r="L1356" s="197">
        <v>17355</v>
      </c>
      <c r="M1356" s="197">
        <v>0</v>
      </c>
      <c r="N1356" s="197">
        <v>0</v>
      </c>
      <c r="O1356" s="197">
        <v>0</v>
      </c>
      <c r="P1356" s="197">
        <v>-8.9000000000014552</v>
      </c>
      <c r="Q1356" s="197">
        <v>-1.3962624094787657E-4</v>
      </c>
      <c r="R1356" s="260" t="s">
        <v>239</v>
      </c>
      <c r="S1356" s="260" t="s">
        <v>514</v>
      </c>
      <c r="T1356" s="260" t="s">
        <v>239</v>
      </c>
      <c r="U1356" s="260" t="s">
        <v>514</v>
      </c>
    </row>
    <row r="1357" spans="1:21" ht="14.5" x14ac:dyDescent="0.35">
      <c r="A1357" s="260" t="s">
        <v>747</v>
      </c>
      <c r="B1357" s="190">
        <v>45913</v>
      </c>
      <c r="C1357" s="197">
        <v>63732.7</v>
      </c>
      <c r="D1357" s="197">
        <v>0</v>
      </c>
      <c r="E1357" s="197">
        <v>0</v>
      </c>
      <c r="F1357" s="197">
        <v>0</v>
      </c>
      <c r="G1357" s="197">
        <v>45645</v>
      </c>
      <c r="H1357" s="197">
        <v>17997.7</v>
      </c>
      <c r="I1357" s="197">
        <v>90</v>
      </c>
      <c r="J1357" s="197">
        <v>63732.7</v>
      </c>
      <c r="K1357" s="197">
        <v>63732.7</v>
      </c>
      <c r="L1357" s="197">
        <v>17355</v>
      </c>
      <c r="M1357" s="197">
        <v>0</v>
      </c>
      <c r="N1357" s="197">
        <v>0</v>
      </c>
      <c r="O1357" s="197">
        <v>0</v>
      </c>
      <c r="P1357" s="197">
        <v>0</v>
      </c>
      <c r="Q1357" s="197">
        <v>0</v>
      </c>
      <c r="R1357" s="260" t="s">
        <v>239</v>
      </c>
      <c r="S1357" s="260" t="s">
        <v>514</v>
      </c>
      <c r="T1357" s="260" t="s">
        <v>239</v>
      </c>
      <c r="U1357" s="260" t="s">
        <v>514</v>
      </c>
    </row>
    <row r="1358" spans="1:21" ht="14.5" x14ac:dyDescent="0.35">
      <c r="A1358" s="260" t="s">
        <v>747</v>
      </c>
      <c r="B1358" s="190">
        <v>45914</v>
      </c>
      <c r="C1358" s="197">
        <v>63732.7</v>
      </c>
      <c r="D1358" s="197">
        <v>0</v>
      </c>
      <c r="E1358" s="197">
        <v>0</v>
      </c>
      <c r="F1358" s="197">
        <v>0</v>
      </c>
      <c r="G1358" s="197">
        <v>45645</v>
      </c>
      <c r="H1358" s="197">
        <v>17997.7</v>
      </c>
      <c r="I1358" s="197">
        <v>90</v>
      </c>
      <c r="J1358" s="197">
        <v>63732.7</v>
      </c>
      <c r="K1358" s="197">
        <v>63732.7</v>
      </c>
      <c r="L1358" s="197">
        <v>17355</v>
      </c>
      <c r="M1358" s="197">
        <v>0</v>
      </c>
      <c r="N1358" s="197">
        <v>0</v>
      </c>
      <c r="O1358" s="197">
        <v>0</v>
      </c>
      <c r="P1358" s="197">
        <v>0</v>
      </c>
      <c r="Q1358" s="197">
        <v>0</v>
      </c>
      <c r="R1358" s="260" t="s">
        <v>239</v>
      </c>
      <c r="S1358" s="260" t="s">
        <v>514</v>
      </c>
      <c r="T1358" s="260" t="s">
        <v>239</v>
      </c>
      <c r="U1358" s="260" t="s">
        <v>514</v>
      </c>
    </row>
    <row r="1359" spans="1:21" ht="14.5" x14ac:dyDescent="0.35">
      <c r="A1359" s="260" t="s">
        <v>747</v>
      </c>
      <c r="B1359" s="190">
        <v>45915</v>
      </c>
      <c r="C1359" s="197">
        <v>63732.7</v>
      </c>
      <c r="D1359" s="197">
        <v>0</v>
      </c>
      <c r="E1359" s="197">
        <v>0</v>
      </c>
      <c r="F1359" s="197">
        <v>0</v>
      </c>
      <c r="G1359" s="197">
        <v>45735</v>
      </c>
      <c r="H1359" s="197">
        <v>17969.599999999999</v>
      </c>
      <c r="I1359" s="197">
        <v>0</v>
      </c>
      <c r="J1359" s="197">
        <v>63704.6</v>
      </c>
      <c r="K1359" s="197">
        <v>63704.6</v>
      </c>
      <c r="L1359" s="197">
        <v>17355</v>
      </c>
      <c r="M1359" s="197">
        <v>0</v>
      </c>
      <c r="N1359" s="197">
        <v>0</v>
      </c>
      <c r="O1359" s="197">
        <v>0</v>
      </c>
      <c r="P1359" s="197">
        <v>-28.099999999998545</v>
      </c>
      <c r="Q1359" s="197">
        <v>-4.4090396295781709E-4</v>
      </c>
      <c r="R1359" s="260" t="s">
        <v>239</v>
      </c>
      <c r="S1359" s="260" t="s">
        <v>514</v>
      </c>
      <c r="T1359" s="260" t="s">
        <v>239</v>
      </c>
      <c r="U1359" s="260" t="s">
        <v>514</v>
      </c>
    </row>
    <row r="1360" spans="1:21" ht="14.5" x14ac:dyDescent="0.35">
      <c r="A1360" s="260" t="s">
        <v>747</v>
      </c>
      <c r="B1360" s="190">
        <v>45916</v>
      </c>
      <c r="C1360" s="197">
        <v>63704.6</v>
      </c>
      <c r="D1360" s="197">
        <v>0</v>
      </c>
      <c r="E1360" s="197">
        <v>0</v>
      </c>
      <c r="F1360" s="197">
        <v>0</v>
      </c>
      <c r="G1360" s="197">
        <v>45735</v>
      </c>
      <c r="H1360" s="197">
        <v>17960.400000000001</v>
      </c>
      <c r="I1360" s="197">
        <v>0</v>
      </c>
      <c r="J1360" s="197">
        <v>63695.4</v>
      </c>
      <c r="K1360" s="197">
        <v>63695.4</v>
      </c>
      <c r="L1360" s="197">
        <v>17355</v>
      </c>
      <c r="M1360" s="197">
        <v>0</v>
      </c>
      <c r="N1360" s="197">
        <v>0</v>
      </c>
      <c r="O1360" s="197">
        <v>0</v>
      </c>
      <c r="P1360" s="197">
        <v>-9.1999999999970896</v>
      </c>
      <c r="Q1360" s="197">
        <v>-1.4441657274355535E-4</v>
      </c>
      <c r="R1360" s="260" t="s">
        <v>239</v>
      </c>
      <c r="S1360" s="260" t="s">
        <v>514</v>
      </c>
      <c r="T1360" s="260" t="s">
        <v>239</v>
      </c>
      <c r="U1360" s="260" t="s">
        <v>514</v>
      </c>
    </row>
    <row r="1361" spans="1:21" ht="14.5" x14ac:dyDescent="0.35">
      <c r="A1361" s="260" t="s">
        <v>747</v>
      </c>
      <c r="B1361" s="190">
        <v>45917</v>
      </c>
      <c r="C1361" s="197">
        <v>63695.4</v>
      </c>
      <c r="D1361" s="197">
        <v>0</v>
      </c>
      <c r="E1361" s="197">
        <v>0</v>
      </c>
      <c r="F1361" s="197">
        <v>0</v>
      </c>
      <c r="G1361" s="197">
        <v>45735</v>
      </c>
      <c r="H1361" s="197">
        <v>17950.7</v>
      </c>
      <c r="I1361" s="197">
        <v>0</v>
      </c>
      <c r="J1361" s="197">
        <v>63685.7</v>
      </c>
      <c r="K1361" s="197">
        <v>63685.7</v>
      </c>
      <c r="L1361" s="197">
        <v>17355</v>
      </c>
      <c r="M1361" s="197">
        <v>0</v>
      </c>
      <c r="N1361" s="197">
        <v>0</v>
      </c>
      <c r="O1361" s="197">
        <v>0</v>
      </c>
      <c r="P1361" s="197">
        <v>-9.7000000000043656</v>
      </c>
      <c r="Q1361" s="197">
        <v>-1.5228729233196514E-4</v>
      </c>
      <c r="R1361" s="260" t="s">
        <v>239</v>
      </c>
      <c r="S1361" s="260" t="s">
        <v>514</v>
      </c>
      <c r="T1361" s="260" t="s">
        <v>239</v>
      </c>
      <c r="U1361" s="260" t="s">
        <v>514</v>
      </c>
    </row>
    <row r="1362" spans="1:21" ht="14.5" x14ac:dyDescent="0.35">
      <c r="A1362" s="260" t="s">
        <v>747</v>
      </c>
      <c r="B1362" s="190">
        <v>45918</v>
      </c>
      <c r="C1362" s="197">
        <v>63685.7</v>
      </c>
      <c r="D1362" s="197">
        <v>0</v>
      </c>
      <c r="E1362" s="197">
        <v>0</v>
      </c>
      <c r="F1362" s="197">
        <v>0</v>
      </c>
      <c r="G1362" s="197">
        <v>45735</v>
      </c>
      <c r="H1362" s="197">
        <v>17942</v>
      </c>
      <c r="I1362" s="197">
        <v>0</v>
      </c>
      <c r="J1362" s="197">
        <v>63677</v>
      </c>
      <c r="K1362" s="197">
        <v>63677</v>
      </c>
      <c r="L1362" s="197">
        <v>17355</v>
      </c>
      <c r="M1362" s="197">
        <v>0</v>
      </c>
      <c r="N1362" s="197">
        <v>0</v>
      </c>
      <c r="O1362" s="197">
        <v>0</v>
      </c>
      <c r="P1362" s="197">
        <v>-8.6999999999970896</v>
      </c>
      <c r="Q1362" s="197">
        <v>-1.3660837519247071E-4</v>
      </c>
      <c r="R1362" s="260" t="s">
        <v>239</v>
      </c>
      <c r="S1362" s="260" t="s">
        <v>514</v>
      </c>
      <c r="T1362" s="260" t="s">
        <v>239</v>
      </c>
      <c r="U1362" s="260" t="s">
        <v>514</v>
      </c>
    </row>
    <row r="1363" spans="1:21" ht="14.5" x14ac:dyDescent="0.35">
      <c r="A1363" s="260" t="s">
        <v>747</v>
      </c>
      <c r="B1363" s="190">
        <v>45919</v>
      </c>
      <c r="C1363" s="197">
        <v>63677</v>
      </c>
      <c r="D1363" s="197">
        <v>0</v>
      </c>
      <c r="E1363" s="197">
        <v>0</v>
      </c>
      <c r="F1363" s="197">
        <v>0</v>
      </c>
      <c r="G1363" s="197">
        <v>45735</v>
      </c>
      <c r="H1363" s="197">
        <v>17932.3</v>
      </c>
      <c r="I1363" s="197">
        <v>0</v>
      </c>
      <c r="J1363" s="197">
        <v>63667.3</v>
      </c>
      <c r="K1363" s="197">
        <v>63667.3</v>
      </c>
      <c r="L1363" s="197">
        <v>17355</v>
      </c>
      <c r="M1363" s="197">
        <v>0</v>
      </c>
      <c r="N1363" s="197">
        <v>0</v>
      </c>
      <c r="O1363" s="197">
        <v>0</v>
      </c>
      <c r="P1363" s="197">
        <v>-9.6999999999970896</v>
      </c>
      <c r="Q1363" s="197">
        <v>-1.5233129701452963E-4</v>
      </c>
      <c r="R1363" s="260" t="s">
        <v>239</v>
      </c>
      <c r="S1363" s="260" t="s">
        <v>514</v>
      </c>
      <c r="T1363" s="260" t="s">
        <v>239</v>
      </c>
      <c r="U1363" s="260" t="s">
        <v>514</v>
      </c>
    </row>
    <row r="1364" spans="1:21" ht="14.5" x14ac:dyDescent="0.35">
      <c r="A1364" s="260" t="s">
        <v>747</v>
      </c>
      <c r="B1364" s="190">
        <v>45920</v>
      </c>
      <c r="C1364" s="197">
        <v>63667.3</v>
      </c>
      <c r="D1364" s="197">
        <v>0</v>
      </c>
      <c r="E1364" s="197">
        <v>0</v>
      </c>
      <c r="F1364" s="197">
        <v>0</v>
      </c>
      <c r="G1364" s="197">
        <v>45735</v>
      </c>
      <c r="H1364" s="197">
        <v>17932.3</v>
      </c>
      <c r="I1364" s="197">
        <v>0</v>
      </c>
      <c r="J1364" s="197">
        <v>63667.3</v>
      </c>
      <c r="K1364" s="197">
        <v>63667.3</v>
      </c>
      <c r="L1364" s="197">
        <v>17355</v>
      </c>
      <c r="M1364" s="197">
        <v>0</v>
      </c>
      <c r="N1364" s="197">
        <v>0</v>
      </c>
      <c r="O1364" s="197">
        <v>0</v>
      </c>
      <c r="P1364" s="197">
        <v>0</v>
      </c>
      <c r="Q1364" s="197">
        <v>0</v>
      </c>
      <c r="R1364" s="260" t="s">
        <v>239</v>
      </c>
      <c r="S1364" s="260" t="s">
        <v>514</v>
      </c>
      <c r="T1364" s="260" t="s">
        <v>239</v>
      </c>
      <c r="U1364" s="260" t="s">
        <v>514</v>
      </c>
    </row>
    <row r="1365" spans="1:21" ht="14.5" x14ac:dyDescent="0.35">
      <c r="A1365" s="260" t="s">
        <v>747</v>
      </c>
      <c r="B1365" s="190">
        <v>45921</v>
      </c>
      <c r="C1365" s="197">
        <v>63667.3</v>
      </c>
      <c r="D1365" s="197">
        <v>0</v>
      </c>
      <c r="E1365" s="197">
        <v>0</v>
      </c>
      <c r="F1365" s="197">
        <v>0</v>
      </c>
      <c r="G1365" s="197">
        <v>45735</v>
      </c>
      <c r="H1365" s="197">
        <v>17932.3</v>
      </c>
      <c r="I1365" s="197">
        <v>0</v>
      </c>
      <c r="J1365" s="197">
        <v>63667.3</v>
      </c>
      <c r="K1365" s="197">
        <v>63667.3</v>
      </c>
      <c r="L1365" s="197">
        <v>17355</v>
      </c>
      <c r="M1365" s="197">
        <v>0</v>
      </c>
      <c r="N1365" s="197">
        <v>0</v>
      </c>
      <c r="O1365" s="197">
        <v>0</v>
      </c>
      <c r="P1365" s="197">
        <v>0</v>
      </c>
      <c r="Q1365" s="197">
        <v>0</v>
      </c>
      <c r="R1365" s="260" t="s">
        <v>239</v>
      </c>
      <c r="S1365" s="260" t="s">
        <v>514</v>
      </c>
      <c r="T1365" s="260" t="s">
        <v>239</v>
      </c>
      <c r="U1365" s="260" t="s">
        <v>514</v>
      </c>
    </row>
    <row r="1366" spans="1:21" ht="14.5" x14ac:dyDescent="0.35">
      <c r="A1366" s="260" t="s">
        <v>747</v>
      </c>
      <c r="B1366" s="190">
        <v>45922</v>
      </c>
      <c r="C1366" s="197">
        <v>63667.3</v>
      </c>
      <c r="D1366" s="197">
        <v>0</v>
      </c>
      <c r="E1366" s="197">
        <v>0</v>
      </c>
      <c r="F1366" s="197">
        <v>0</v>
      </c>
      <c r="G1366" s="197">
        <v>45735</v>
      </c>
      <c r="H1366" s="197">
        <v>17904</v>
      </c>
      <c r="I1366" s="197">
        <v>0</v>
      </c>
      <c r="J1366" s="197">
        <v>63639</v>
      </c>
      <c r="K1366" s="197">
        <v>63639</v>
      </c>
      <c r="L1366" s="197">
        <v>17355</v>
      </c>
      <c r="M1366" s="197">
        <v>0</v>
      </c>
      <c r="N1366" s="197">
        <v>0</v>
      </c>
      <c r="O1366" s="197">
        <v>0</v>
      </c>
      <c r="P1366" s="197">
        <v>-28.30000000000291</v>
      </c>
      <c r="Q1366" s="197">
        <v>-4.4449819609126973E-4</v>
      </c>
      <c r="R1366" s="260" t="s">
        <v>239</v>
      </c>
      <c r="S1366" s="260" t="s">
        <v>514</v>
      </c>
      <c r="T1366" s="260" t="s">
        <v>239</v>
      </c>
      <c r="U1366" s="260" t="s">
        <v>514</v>
      </c>
    </row>
    <row r="1367" spans="1:21" ht="14.5" x14ac:dyDescent="0.35">
      <c r="A1367" s="260" t="s">
        <v>747</v>
      </c>
      <c r="B1367" s="190">
        <v>45923</v>
      </c>
      <c r="C1367" s="197">
        <v>63639</v>
      </c>
      <c r="D1367" s="197">
        <v>0</v>
      </c>
      <c r="E1367" s="197">
        <v>0</v>
      </c>
      <c r="F1367" s="197">
        <v>0</v>
      </c>
      <c r="G1367" s="197">
        <v>45735</v>
      </c>
      <c r="H1367" s="197">
        <v>17895.3</v>
      </c>
      <c r="I1367" s="197">
        <v>0</v>
      </c>
      <c r="J1367" s="197">
        <v>63630.3</v>
      </c>
      <c r="K1367" s="197">
        <v>63630.3</v>
      </c>
      <c r="L1367" s="197">
        <v>17355</v>
      </c>
      <c r="M1367" s="197">
        <v>0</v>
      </c>
      <c r="N1367" s="197">
        <v>0</v>
      </c>
      <c r="O1367" s="197">
        <v>0</v>
      </c>
      <c r="P1367" s="197">
        <v>-8.6999999999970896</v>
      </c>
      <c r="Q1367" s="197">
        <v>-1.3670862207137979E-4</v>
      </c>
      <c r="R1367" s="260" t="s">
        <v>239</v>
      </c>
      <c r="S1367" s="260" t="s">
        <v>514</v>
      </c>
      <c r="T1367" s="260" t="s">
        <v>239</v>
      </c>
      <c r="U1367" s="260" t="s">
        <v>514</v>
      </c>
    </row>
    <row r="1368" spans="1:21" ht="14.5" x14ac:dyDescent="0.35">
      <c r="A1368" s="260" t="s">
        <v>747</v>
      </c>
      <c r="B1368" s="190">
        <v>45924</v>
      </c>
      <c r="C1368" s="197">
        <v>63630.3</v>
      </c>
      <c r="D1368" s="197">
        <v>0</v>
      </c>
      <c r="E1368" s="197">
        <v>0</v>
      </c>
      <c r="F1368" s="197">
        <v>0</v>
      </c>
      <c r="G1368" s="197">
        <v>45735</v>
      </c>
      <c r="H1368" s="197">
        <v>17886.400000000001</v>
      </c>
      <c r="I1368" s="197">
        <v>0</v>
      </c>
      <c r="J1368" s="197">
        <v>63621.4</v>
      </c>
      <c r="K1368" s="197">
        <v>63621.4</v>
      </c>
      <c r="L1368" s="197">
        <v>17355</v>
      </c>
      <c r="M1368" s="197">
        <v>0</v>
      </c>
      <c r="N1368" s="197">
        <v>0</v>
      </c>
      <c r="O1368" s="197">
        <v>0</v>
      </c>
      <c r="P1368" s="197">
        <v>-8.9000000000014552</v>
      </c>
      <c r="Q1368" s="197">
        <v>-1.3987047051489121E-4</v>
      </c>
      <c r="R1368" s="260" t="s">
        <v>239</v>
      </c>
      <c r="S1368" s="260" t="s">
        <v>514</v>
      </c>
      <c r="T1368" s="260" t="s">
        <v>239</v>
      </c>
      <c r="U1368" s="260" t="s">
        <v>514</v>
      </c>
    </row>
    <row r="1369" spans="1:21" ht="14.5" x14ac:dyDescent="0.35">
      <c r="A1369" s="260" t="s">
        <v>747</v>
      </c>
      <c r="B1369" s="190">
        <v>45925</v>
      </c>
      <c r="C1369" s="197">
        <v>63621.4</v>
      </c>
      <c r="D1369" s="197">
        <v>0</v>
      </c>
      <c r="E1369" s="197">
        <v>0</v>
      </c>
      <c r="F1369" s="197">
        <v>0</v>
      </c>
      <c r="G1369" s="197">
        <v>45735</v>
      </c>
      <c r="H1369" s="197">
        <v>17876.7</v>
      </c>
      <c r="I1369" s="197">
        <v>0</v>
      </c>
      <c r="J1369" s="197">
        <v>63611.7</v>
      </c>
      <c r="K1369" s="197">
        <v>63611.7</v>
      </c>
      <c r="L1369" s="197">
        <v>17355</v>
      </c>
      <c r="M1369" s="197">
        <v>0</v>
      </c>
      <c r="N1369" s="197">
        <v>0</v>
      </c>
      <c r="O1369" s="197">
        <v>0</v>
      </c>
      <c r="P1369" s="197">
        <v>-9.7000000000043656</v>
      </c>
      <c r="Q1369" s="197">
        <v>-1.5246442234850832E-4</v>
      </c>
      <c r="R1369" s="260" t="s">
        <v>239</v>
      </c>
      <c r="S1369" s="260" t="s">
        <v>514</v>
      </c>
      <c r="T1369" s="260" t="s">
        <v>239</v>
      </c>
      <c r="U1369" s="260" t="s">
        <v>514</v>
      </c>
    </row>
    <row r="1370" spans="1:21" ht="14.5" x14ac:dyDescent="0.35">
      <c r="A1370" s="260" t="s">
        <v>747</v>
      </c>
      <c r="B1370" s="190">
        <v>45926</v>
      </c>
      <c r="C1370" s="197">
        <v>63611.7</v>
      </c>
      <c r="D1370" s="197">
        <v>0</v>
      </c>
      <c r="E1370" s="197">
        <v>0</v>
      </c>
      <c r="F1370" s="197">
        <v>0</v>
      </c>
      <c r="G1370" s="197">
        <v>45735</v>
      </c>
      <c r="H1370" s="197">
        <v>17867</v>
      </c>
      <c r="I1370" s="197">
        <v>0</v>
      </c>
      <c r="J1370" s="197">
        <v>63602</v>
      </c>
      <c r="K1370" s="197">
        <v>63602</v>
      </c>
      <c r="L1370" s="197">
        <v>17355</v>
      </c>
      <c r="M1370" s="197">
        <v>0</v>
      </c>
      <c r="N1370" s="197">
        <v>0</v>
      </c>
      <c r="O1370" s="197">
        <v>0</v>
      </c>
      <c r="P1370" s="197">
        <v>-9.6999999999970896</v>
      </c>
      <c r="Q1370" s="197">
        <v>-1.5248767129316665E-4</v>
      </c>
      <c r="R1370" s="260" t="s">
        <v>239</v>
      </c>
      <c r="S1370" s="260" t="s">
        <v>514</v>
      </c>
      <c r="T1370" s="260" t="s">
        <v>239</v>
      </c>
      <c r="U1370" s="260" t="s">
        <v>514</v>
      </c>
    </row>
    <row r="1371" spans="1:21" ht="14.5" x14ac:dyDescent="0.35">
      <c r="A1371" s="260" t="s">
        <v>747</v>
      </c>
      <c r="B1371" s="190">
        <v>45927</v>
      </c>
      <c r="C1371" s="197">
        <v>63602</v>
      </c>
      <c r="D1371" s="197">
        <v>0</v>
      </c>
      <c r="E1371" s="197">
        <v>0</v>
      </c>
      <c r="F1371" s="197">
        <v>0</v>
      </c>
      <c r="G1371" s="197">
        <v>45735</v>
      </c>
      <c r="H1371" s="197">
        <v>17867</v>
      </c>
      <c r="I1371" s="197">
        <v>0</v>
      </c>
      <c r="J1371" s="197">
        <v>63602</v>
      </c>
      <c r="K1371" s="197">
        <v>63602</v>
      </c>
      <c r="L1371" s="197">
        <v>17355</v>
      </c>
      <c r="M1371" s="197">
        <v>0</v>
      </c>
      <c r="N1371" s="197">
        <v>0</v>
      </c>
      <c r="O1371" s="197">
        <v>0</v>
      </c>
      <c r="P1371" s="197">
        <v>0</v>
      </c>
      <c r="Q1371" s="197">
        <v>0</v>
      </c>
      <c r="R1371" s="260" t="s">
        <v>239</v>
      </c>
      <c r="S1371" s="260" t="s">
        <v>514</v>
      </c>
      <c r="T1371" s="260" t="s">
        <v>239</v>
      </c>
      <c r="U1371" s="260" t="s">
        <v>514</v>
      </c>
    </row>
    <row r="1372" spans="1:21" ht="14.5" x14ac:dyDescent="0.35">
      <c r="A1372" s="260" t="s">
        <v>747</v>
      </c>
      <c r="B1372" s="190">
        <v>45928</v>
      </c>
      <c r="C1372" s="197">
        <v>63602</v>
      </c>
      <c r="D1372" s="197">
        <v>0</v>
      </c>
      <c r="E1372" s="197">
        <v>0</v>
      </c>
      <c r="F1372" s="197">
        <v>0</v>
      </c>
      <c r="G1372" s="197">
        <v>45735</v>
      </c>
      <c r="H1372" s="197">
        <v>17867</v>
      </c>
      <c r="I1372" s="197">
        <v>0</v>
      </c>
      <c r="J1372" s="197">
        <v>63602</v>
      </c>
      <c r="K1372" s="197">
        <v>63602</v>
      </c>
      <c r="L1372" s="197">
        <v>17355</v>
      </c>
      <c r="M1372" s="197">
        <v>0</v>
      </c>
      <c r="N1372" s="197">
        <v>0</v>
      </c>
      <c r="O1372" s="197">
        <v>0</v>
      </c>
      <c r="P1372" s="197">
        <v>0</v>
      </c>
      <c r="Q1372" s="197">
        <v>0</v>
      </c>
      <c r="R1372" s="260" t="s">
        <v>239</v>
      </c>
      <c r="S1372" s="260" t="s">
        <v>514</v>
      </c>
      <c r="T1372" s="260" t="s">
        <v>239</v>
      </c>
      <c r="U1372" s="260" t="s">
        <v>514</v>
      </c>
    </row>
    <row r="1373" spans="1:21" ht="14.5" x14ac:dyDescent="0.35">
      <c r="A1373" s="260" t="s">
        <v>747</v>
      </c>
      <c r="B1373" s="190">
        <v>45929</v>
      </c>
      <c r="C1373" s="197">
        <v>63602</v>
      </c>
      <c r="D1373" s="197">
        <v>0</v>
      </c>
      <c r="E1373" s="197">
        <v>0</v>
      </c>
      <c r="F1373" s="197">
        <v>0</v>
      </c>
      <c r="G1373" s="197">
        <v>45735</v>
      </c>
      <c r="H1373" s="197">
        <v>17839.7</v>
      </c>
      <c r="I1373" s="197">
        <v>0</v>
      </c>
      <c r="J1373" s="197">
        <v>63574.7</v>
      </c>
      <c r="K1373" s="197">
        <v>63574.7</v>
      </c>
      <c r="L1373" s="197">
        <v>17355</v>
      </c>
      <c r="M1373" s="197">
        <v>0</v>
      </c>
      <c r="N1373" s="197">
        <v>0</v>
      </c>
      <c r="O1373" s="197">
        <v>0</v>
      </c>
      <c r="P1373" s="197">
        <v>-27.30000000000291</v>
      </c>
      <c r="Q1373" s="197">
        <v>-4.2923178516407479E-4</v>
      </c>
      <c r="R1373" s="260" t="s">
        <v>239</v>
      </c>
      <c r="S1373" s="260" t="s">
        <v>514</v>
      </c>
      <c r="T1373" s="260" t="s">
        <v>239</v>
      </c>
      <c r="U1373" s="260" t="s">
        <v>514</v>
      </c>
    </row>
    <row r="1374" spans="1:21" ht="14.5" x14ac:dyDescent="0.35">
      <c r="A1374" s="260" t="s">
        <v>747</v>
      </c>
      <c r="B1374" s="190">
        <v>45930</v>
      </c>
      <c r="C1374" s="197">
        <v>63574.7</v>
      </c>
      <c r="D1374" s="197">
        <v>0</v>
      </c>
      <c r="E1374" s="197">
        <v>0</v>
      </c>
      <c r="F1374" s="197">
        <v>0</v>
      </c>
      <c r="G1374" s="197">
        <v>45735</v>
      </c>
      <c r="H1374" s="197">
        <v>17830</v>
      </c>
      <c r="I1374" s="197">
        <v>0</v>
      </c>
      <c r="J1374" s="197">
        <v>63565</v>
      </c>
      <c r="K1374" s="197">
        <v>63565</v>
      </c>
      <c r="L1374" s="197">
        <v>17355</v>
      </c>
      <c r="M1374" s="197">
        <v>0</v>
      </c>
      <c r="N1374" s="197">
        <v>0</v>
      </c>
      <c r="O1374" s="197">
        <v>0</v>
      </c>
      <c r="P1374" s="197">
        <v>-9.6999999999970896</v>
      </c>
      <c r="Q1374" s="197">
        <v>-1.5257641797750132E-4</v>
      </c>
      <c r="R1374" s="260" t="s">
        <v>239</v>
      </c>
      <c r="S1374" s="260" t="s">
        <v>514</v>
      </c>
      <c r="T1374" s="260" t="s">
        <v>239</v>
      </c>
      <c r="U1374" s="260" t="s">
        <v>514</v>
      </c>
    </row>
    <row r="1375" spans="1:21" ht="14.5" x14ac:dyDescent="0.35">
      <c r="A1375" s="260" t="s">
        <v>747</v>
      </c>
      <c r="B1375" s="190">
        <v>45931</v>
      </c>
      <c r="C1375" s="197">
        <v>63565</v>
      </c>
      <c r="D1375" s="197">
        <v>0</v>
      </c>
      <c r="E1375" s="197">
        <v>0</v>
      </c>
      <c r="F1375" s="197">
        <v>0</v>
      </c>
      <c r="G1375" s="197">
        <v>45735</v>
      </c>
      <c r="H1375" s="197">
        <v>17830</v>
      </c>
      <c r="I1375" s="197">
        <v>0</v>
      </c>
      <c r="J1375" s="197">
        <v>63565</v>
      </c>
      <c r="K1375" s="197">
        <v>63565</v>
      </c>
      <c r="L1375" s="197">
        <v>17355</v>
      </c>
      <c r="M1375" s="197">
        <v>0</v>
      </c>
      <c r="N1375" s="197">
        <v>0</v>
      </c>
      <c r="O1375" s="197">
        <v>0</v>
      </c>
      <c r="P1375" s="197">
        <v>0</v>
      </c>
      <c r="Q1375" s="197">
        <v>0</v>
      </c>
      <c r="R1375" s="260" t="s">
        <v>239</v>
      </c>
      <c r="S1375" s="260" t="s">
        <v>514</v>
      </c>
      <c r="T1375" s="260" t="s">
        <v>239</v>
      </c>
      <c r="U1375" s="260" t="s">
        <v>514</v>
      </c>
    </row>
    <row r="1376" spans="1:21" ht="14.5" x14ac:dyDescent="0.35">
      <c r="A1376" s="260" t="s">
        <v>747</v>
      </c>
      <c r="B1376" s="190">
        <v>45932</v>
      </c>
      <c r="C1376" s="197">
        <v>63565</v>
      </c>
      <c r="D1376" s="197">
        <v>0</v>
      </c>
      <c r="E1376" s="197">
        <v>0</v>
      </c>
      <c r="F1376" s="197">
        <v>0</v>
      </c>
      <c r="G1376" s="197">
        <v>45735</v>
      </c>
      <c r="H1376" s="197">
        <v>17808.900000000001</v>
      </c>
      <c r="I1376" s="197">
        <v>0</v>
      </c>
      <c r="J1376" s="197">
        <v>63543.9</v>
      </c>
      <c r="K1376" s="197">
        <v>63543.9</v>
      </c>
      <c r="L1376" s="197">
        <v>17355</v>
      </c>
      <c r="M1376" s="197">
        <v>0</v>
      </c>
      <c r="N1376" s="197">
        <v>0</v>
      </c>
      <c r="O1376" s="197">
        <v>0</v>
      </c>
      <c r="P1376" s="197">
        <v>-21.099999999998545</v>
      </c>
      <c r="Q1376" s="197">
        <v>-3.3194367969791028E-4</v>
      </c>
      <c r="R1376" s="260" t="s">
        <v>239</v>
      </c>
      <c r="S1376" s="260" t="s">
        <v>514</v>
      </c>
      <c r="T1376" s="260" t="s">
        <v>239</v>
      </c>
      <c r="U1376" s="260" t="s">
        <v>514</v>
      </c>
    </row>
    <row r="1377" spans="1:21" ht="14.5" x14ac:dyDescent="0.35">
      <c r="A1377" s="260" t="s">
        <v>747</v>
      </c>
      <c r="B1377" s="190">
        <v>45933</v>
      </c>
      <c r="C1377" s="197">
        <v>63543.9</v>
      </c>
      <c r="D1377" s="197">
        <v>0</v>
      </c>
      <c r="E1377" s="197">
        <v>0</v>
      </c>
      <c r="F1377" s="197">
        <v>0</v>
      </c>
      <c r="G1377" s="197">
        <v>45735</v>
      </c>
      <c r="H1377" s="197">
        <v>17789.099999999999</v>
      </c>
      <c r="I1377" s="197">
        <v>0</v>
      </c>
      <c r="J1377" s="197">
        <v>63524.1</v>
      </c>
      <c r="K1377" s="197">
        <v>63524.1</v>
      </c>
      <c r="L1377" s="197">
        <v>17355</v>
      </c>
      <c r="M1377" s="197">
        <v>0</v>
      </c>
      <c r="N1377" s="197">
        <v>0</v>
      </c>
      <c r="O1377" s="197">
        <v>0</v>
      </c>
      <c r="P1377" s="197">
        <v>-19.80000000000291</v>
      </c>
      <c r="Q1377" s="197">
        <v>-3.1159560555782395E-4</v>
      </c>
      <c r="R1377" s="260" t="s">
        <v>239</v>
      </c>
      <c r="S1377" s="260" t="s">
        <v>514</v>
      </c>
      <c r="T1377" s="260" t="s">
        <v>239</v>
      </c>
      <c r="U1377" s="260" t="s">
        <v>514</v>
      </c>
    </row>
    <row r="1378" spans="1:21" ht="14.5" x14ac:dyDescent="0.35">
      <c r="A1378" s="260" t="s">
        <v>747</v>
      </c>
      <c r="B1378" s="190">
        <v>45934</v>
      </c>
      <c r="C1378" s="197">
        <v>63524.1</v>
      </c>
      <c r="D1378" s="197">
        <v>0</v>
      </c>
      <c r="E1378" s="197">
        <v>0</v>
      </c>
      <c r="F1378" s="197">
        <v>0</v>
      </c>
      <c r="G1378" s="197">
        <v>45735</v>
      </c>
      <c r="H1378" s="197">
        <v>17789.099999999999</v>
      </c>
      <c r="I1378" s="197">
        <v>0</v>
      </c>
      <c r="J1378" s="197">
        <v>63524.1</v>
      </c>
      <c r="K1378" s="197">
        <v>63524.1</v>
      </c>
      <c r="L1378" s="197">
        <v>17355</v>
      </c>
      <c r="M1378" s="197">
        <v>0</v>
      </c>
      <c r="N1378" s="197">
        <v>0</v>
      </c>
      <c r="O1378" s="197">
        <v>0</v>
      </c>
      <c r="P1378" s="197">
        <v>0</v>
      </c>
      <c r="Q1378" s="197">
        <v>0</v>
      </c>
      <c r="R1378" s="260" t="s">
        <v>239</v>
      </c>
      <c r="S1378" s="260" t="s">
        <v>514</v>
      </c>
      <c r="T1378" s="260" t="s">
        <v>239</v>
      </c>
      <c r="U1378" s="260" t="s">
        <v>514</v>
      </c>
    </row>
    <row r="1379" spans="1:21" ht="14.5" x14ac:dyDescent="0.35">
      <c r="A1379" s="260" t="s">
        <v>747</v>
      </c>
      <c r="B1379" s="190">
        <v>45935</v>
      </c>
      <c r="C1379" s="197">
        <v>63524.1</v>
      </c>
      <c r="D1379" s="197">
        <v>0</v>
      </c>
      <c r="E1379" s="197">
        <v>0</v>
      </c>
      <c r="F1379" s="197">
        <v>0</v>
      </c>
      <c r="G1379" s="197">
        <v>45735</v>
      </c>
      <c r="H1379" s="197">
        <v>17789.099999999999</v>
      </c>
      <c r="I1379" s="197">
        <v>0</v>
      </c>
      <c r="J1379" s="197">
        <v>63524.1</v>
      </c>
      <c r="K1379" s="197">
        <v>63524.1</v>
      </c>
      <c r="L1379" s="197">
        <v>17355</v>
      </c>
      <c r="M1379" s="197">
        <v>0</v>
      </c>
      <c r="N1379" s="197">
        <v>0</v>
      </c>
      <c r="O1379" s="197">
        <v>0</v>
      </c>
      <c r="P1379" s="197">
        <v>0</v>
      </c>
      <c r="Q1379" s="197">
        <v>0</v>
      </c>
      <c r="R1379" s="260" t="s">
        <v>239</v>
      </c>
      <c r="S1379" s="260" t="s">
        <v>514</v>
      </c>
      <c r="T1379" s="260" t="s">
        <v>239</v>
      </c>
      <c r="U1379" s="260" t="s">
        <v>514</v>
      </c>
    </row>
    <row r="1380" spans="1:21" ht="14.5" x14ac:dyDescent="0.35">
      <c r="A1380" s="260" t="s">
        <v>747</v>
      </c>
      <c r="B1380" s="190">
        <v>45936</v>
      </c>
      <c r="C1380" s="197">
        <v>63524.1</v>
      </c>
      <c r="D1380" s="197">
        <v>0</v>
      </c>
      <c r="E1380" s="197">
        <v>0</v>
      </c>
      <c r="F1380" s="197">
        <v>0</v>
      </c>
      <c r="G1380" s="197">
        <v>45735</v>
      </c>
      <c r="H1380" s="197">
        <v>17727.099999999999</v>
      </c>
      <c r="I1380" s="197">
        <v>0</v>
      </c>
      <c r="J1380" s="197">
        <v>63462.1</v>
      </c>
      <c r="K1380" s="197">
        <v>63462.1</v>
      </c>
      <c r="L1380" s="197">
        <v>17355</v>
      </c>
      <c r="M1380" s="197">
        <v>0</v>
      </c>
      <c r="N1380" s="197">
        <v>0</v>
      </c>
      <c r="O1380" s="197">
        <v>0</v>
      </c>
      <c r="P1380" s="197">
        <v>-62</v>
      </c>
      <c r="Q1380" s="197">
        <v>-9.7600753100002269E-4</v>
      </c>
      <c r="R1380" s="260" t="s">
        <v>239</v>
      </c>
      <c r="S1380" s="260" t="s">
        <v>514</v>
      </c>
      <c r="T1380" s="260" t="s">
        <v>239</v>
      </c>
      <c r="U1380" s="260" t="s">
        <v>514</v>
      </c>
    </row>
    <row r="1381" spans="1:21" ht="14.5" x14ac:dyDescent="0.35">
      <c r="A1381" s="260" t="s">
        <v>747</v>
      </c>
      <c r="B1381" s="190">
        <v>45937</v>
      </c>
      <c r="C1381" s="197">
        <v>63462.1</v>
      </c>
      <c r="D1381" s="197">
        <v>0</v>
      </c>
      <c r="E1381" s="197">
        <v>0</v>
      </c>
      <c r="F1381" s="197">
        <v>0</v>
      </c>
      <c r="G1381" s="197">
        <v>45735</v>
      </c>
      <c r="H1381" s="197">
        <v>17706</v>
      </c>
      <c r="I1381" s="197">
        <v>0</v>
      </c>
      <c r="J1381" s="197">
        <v>63441</v>
      </c>
      <c r="K1381" s="197">
        <v>63441</v>
      </c>
      <c r="L1381" s="197">
        <v>17355</v>
      </c>
      <c r="M1381" s="197">
        <v>0</v>
      </c>
      <c r="N1381" s="197">
        <v>0</v>
      </c>
      <c r="O1381" s="197">
        <v>0</v>
      </c>
      <c r="P1381" s="197">
        <v>-21.099999999998545</v>
      </c>
      <c r="Q1381" s="197">
        <v>-3.3248190652368503E-4</v>
      </c>
      <c r="R1381" s="260" t="s">
        <v>239</v>
      </c>
      <c r="S1381" s="260" t="s">
        <v>514</v>
      </c>
      <c r="T1381" s="260" t="s">
        <v>239</v>
      </c>
      <c r="U1381" s="260" t="s">
        <v>514</v>
      </c>
    </row>
    <row r="1382" spans="1:21" ht="14.5" x14ac:dyDescent="0.35">
      <c r="A1382" s="260" t="s">
        <v>747</v>
      </c>
      <c r="B1382" s="190">
        <v>45938</v>
      </c>
      <c r="C1382" s="197">
        <v>63441</v>
      </c>
      <c r="D1382" s="197">
        <v>0</v>
      </c>
      <c r="E1382" s="197">
        <v>0</v>
      </c>
      <c r="F1382" s="197">
        <v>0</v>
      </c>
      <c r="G1382" s="197">
        <v>45735</v>
      </c>
      <c r="H1382" s="197">
        <v>17684.900000000001</v>
      </c>
      <c r="I1382" s="197">
        <v>0</v>
      </c>
      <c r="J1382" s="197">
        <v>63419.9</v>
      </c>
      <c r="K1382" s="197">
        <v>63419.9</v>
      </c>
      <c r="L1382" s="197">
        <v>17355</v>
      </c>
      <c r="M1382" s="197">
        <v>0</v>
      </c>
      <c r="N1382" s="197">
        <v>0</v>
      </c>
      <c r="O1382" s="197">
        <v>0</v>
      </c>
      <c r="P1382" s="197">
        <v>-21.099999999998545</v>
      </c>
      <c r="Q1382" s="197">
        <v>-3.3259248750805437E-4</v>
      </c>
      <c r="R1382" s="260" t="s">
        <v>239</v>
      </c>
      <c r="S1382" s="260" t="s">
        <v>514</v>
      </c>
      <c r="T1382" s="260" t="s">
        <v>239</v>
      </c>
      <c r="U1382" s="260" t="s">
        <v>514</v>
      </c>
    </row>
    <row r="1383" spans="1:21" ht="14.5" x14ac:dyDescent="0.35">
      <c r="A1383" s="260" t="s">
        <v>747</v>
      </c>
      <c r="B1383" s="190">
        <v>45939</v>
      </c>
      <c r="C1383" s="197">
        <v>63419.9</v>
      </c>
      <c r="D1383" s="197">
        <v>0</v>
      </c>
      <c r="E1383" s="197">
        <v>0</v>
      </c>
      <c r="F1383" s="197">
        <v>0</v>
      </c>
      <c r="G1383" s="197">
        <v>45735</v>
      </c>
      <c r="H1383" s="197">
        <v>17665.099999999999</v>
      </c>
      <c r="I1383" s="197">
        <v>0</v>
      </c>
      <c r="J1383" s="197">
        <v>63400.1</v>
      </c>
      <c r="K1383" s="197">
        <v>63400.1</v>
      </c>
      <c r="L1383" s="197">
        <v>17355</v>
      </c>
      <c r="M1383" s="197">
        <v>0</v>
      </c>
      <c r="N1383" s="197">
        <v>0</v>
      </c>
      <c r="O1383" s="197">
        <v>0</v>
      </c>
      <c r="P1383" s="197">
        <v>-19.80000000000291</v>
      </c>
      <c r="Q1383" s="197">
        <v>-3.12204844220898E-4</v>
      </c>
      <c r="R1383" s="260" t="s">
        <v>239</v>
      </c>
      <c r="S1383" s="260" t="s">
        <v>514</v>
      </c>
      <c r="T1383" s="260" t="s">
        <v>239</v>
      </c>
      <c r="U1383" s="260" t="s">
        <v>514</v>
      </c>
    </row>
    <row r="1384" spans="1:21" ht="14.5" x14ac:dyDescent="0.35">
      <c r="A1384" s="260" t="s">
        <v>747</v>
      </c>
      <c r="B1384" s="190">
        <v>45940</v>
      </c>
      <c r="C1384" s="197">
        <v>63400.1</v>
      </c>
      <c r="D1384" s="197">
        <v>0</v>
      </c>
      <c r="E1384" s="197">
        <v>0</v>
      </c>
      <c r="F1384" s="197">
        <v>0</v>
      </c>
      <c r="G1384" s="197">
        <v>45735</v>
      </c>
      <c r="H1384" s="197">
        <v>17644</v>
      </c>
      <c r="I1384" s="197">
        <v>0</v>
      </c>
      <c r="J1384" s="197">
        <v>63379</v>
      </c>
      <c r="K1384" s="197">
        <v>63379</v>
      </c>
      <c r="L1384" s="197">
        <v>17355</v>
      </c>
      <c r="M1384" s="197">
        <v>0</v>
      </c>
      <c r="N1384" s="197">
        <v>0</v>
      </c>
      <c r="O1384" s="197">
        <v>0</v>
      </c>
      <c r="P1384" s="197">
        <v>-21.099999999998545</v>
      </c>
      <c r="Q1384" s="197">
        <v>-3.3280704604565781E-4</v>
      </c>
      <c r="R1384" s="260" t="s">
        <v>239</v>
      </c>
      <c r="S1384" s="260" t="s">
        <v>514</v>
      </c>
      <c r="T1384" s="260" t="s">
        <v>239</v>
      </c>
      <c r="U1384" s="260" t="s">
        <v>514</v>
      </c>
    </row>
    <row r="1385" spans="1:21" ht="14.5" x14ac:dyDescent="0.35">
      <c r="A1385" s="260" t="s">
        <v>747</v>
      </c>
      <c r="B1385" s="190">
        <v>45941</v>
      </c>
      <c r="C1385" s="197">
        <v>63379</v>
      </c>
      <c r="D1385" s="197">
        <v>0</v>
      </c>
      <c r="E1385" s="197">
        <v>0</v>
      </c>
      <c r="F1385" s="197">
        <v>0</v>
      </c>
      <c r="G1385" s="197">
        <v>45735</v>
      </c>
      <c r="H1385" s="197">
        <v>17644</v>
      </c>
      <c r="I1385" s="197">
        <v>0</v>
      </c>
      <c r="J1385" s="197">
        <v>63379</v>
      </c>
      <c r="K1385" s="197">
        <v>63379</v>
      </c>
      <c r="L1385" s="197">
        <v>17355</v>
      </c>
      <c r="M1385" s="197">
        <v>0</v>
      </c>
      <c r="N1385" s="197">
        <v>0</v>
      </c>
      <c r="O1385" s="197">
        <v>0</v>
      </c>
      <c r="P1385" s="197">
        <v>0</v>
      </c>
      <c r="Q1385" s="197">
        <v>0</v>
      </c>
      <c r="R1385" s="260" t="s">
        <v>239</v>
      </c>
      <c r="S1385" s="260" t="s">
        <v>514</v>
      </c>
      <c r="T1385" s="260" t="s">
        <v>239</v>
      </c>
      <c r="U1385" s="260" t="s">
        <v>514</v>
      </c>
    </row>
    <row r="1386" spans="1:21" ht="14.5" x14ac:dyDescent="0.35">
      <c r="A1386" s="260" t="s">
        <v>747</v>
      </c>
      <c r="B1386" s="190">
        <v>45942</v>
      </c>
      <c r="C1386" s="197">
        <v>63379</v>
      </c>
      <c r="D1386" s="197">
        <v>0</v>
      </c>
      <c r="E1386" s="197">
        <v>0</v>
      </c>
      <c r="F1386" s="197">
        <v>0</v>
      </c>
      <c r="G1386" s="197">
        <v>45735</v>
      </c>
      <c r="H1386" s="197">
        <v>17644</v>
      </c>
      <c r="I1386" s="197">
        <v>0</v>
      </c>
      <c r="J1386" s="197">
        <v>63379</v>
      </c>
      <c r="K1386" s="197">
        <v>63379</v>
      </c>
      <c r="L1386" s="197">
        <v>17355</v>
      </c>
      <c r="M1386" s="197">
        <v>0</v>
      </c>
      <c r="N1386" s="197">
        <v>0</v>
      </c>
      <c r="O1386" s="197">
        <v>0</v>
      </c>
      <c r="P1386" s="197">
        <v>0</v>
      </c>
      <c r="Q1386" s="197">
        <v>0</v>
      </c>
      <c r="R1386" s="260" t="s">
        <v>239</v>
      </c>
      <c r="S1386" s="260" t="s">
        <v>514</v>
      </c>
      <c r="T1386" s="260" t="s">
        <v>239</v>
      </c>
      <c r="U1386" s="260" t="s">
        <v>514</v>
      </c>
    </row>
    <row r="1387" spans="1:21" ht="14.5" x14ac:dyDescent="0.35">
      <c r="A1387" s="260" t="s">
        <v>747</v>
      </c>
      <c r="B1387" s="190">
        <v>45943</v>
      </c>
      <c r="C1387" s="197">
        <v>63379</v>
      </c>
      <c r="D1387" s="197">
        <v>0</v>
      </c>
      <c r="E1387" s="197">
        <v>0</v>
      </c>
      <c r="F1387" s="197">
        <v>0</v>
      </c>
      <c r="G1387" s="197">
        <v>45735</v>
      </c>
      <c r="H1387" s="197">
        <v>17582</v>
      </c>
      <c r="I1387" s="197">
        <v>0</v>
      </c>
      <c r="J1387" s="197">
        <v>63317</v>
      </c>
      <c r="K1387" s="197">
        <v>63317</v>
      </c>
      <c r="L1387" s="197">
        <v>17355</v>
      </c>
      <c r="M1387" s="197">
        <v>0</v>
      </c>
      <c r="N1387" s="197">
        <v>0</v>
      </c>
      <c r="O1387" s="197">
        <v>0</v>
      </c>
      <c r="P1387" s="197">
        <v>-62</v>
      </c>
      <c r="Q1387" s="197">
        <v>-9.7824200444940335E-4</v>
      </c>
      <c r="R1387" s="260" t="s">
        <v>239</v>
      </c>
      <c r="S1387" s="260" t="s">
        <v>514</v>
      </c>
      <c r="T1387" s="260" t="s">
        <v>239</v>
      </c>
      <c r="U1387" s="260" t="s">
        <v>514</v>
      </c>
    </row>
    <row r="1388" spans="1:21" ht="14.5" x14ac:dyDescent="0.35">
      <c r="A1388" s="260" t="s">
        <v>747</v>
      </c>
      <c r="B1388" s="190">
        <v>45944</v>
      </c>
      <c r="C1388" s="197">
        <v>63317</v>
      </c>
      <c r="D1388" s="197">
        <v>0</v>
      </c>
      <c r="E1388" s="197">
        <v>0</v>
      </c>
      <c r="F1388" s="197">
        <v>0</v>
      </c>
      <c r="G1388" s="197">
        <v>45735</v>
      </c>
      <c r="H1388" s="197">
        <v>17560.900000000001</v>
      </c>
      <c r="I1388" s="197">
        <v>0</v>
      </c>
      <c r="J1388" s="197">
        <v>63295.9</v>
      </c>
      <c r="K1388" s="197">
        <v>63295.9</v>
      </c>
      <c r="L1388" s="197">
        <v>17355</v>
      </c>
      <c r="M1388" s="197">
        <v>0</v>
      </c>
      <c r="N1388" s="197">
        <v>0</v>
      </c>
      <c r="O1388" s="197">
        <v>0</v>
      </c>
      <c r="P1388" s="197">
        <v>-21.099999999998545</v>
      </c>
      <c r="Q1388" s="197">
        <v>-3.3324383656840872E-4</v>
      </c>
      <c r="R1388" s="260" t="s">
        <v>239</v>
      </c>
      <c r="S1388" s="260" t="s">
        <v>514</v>
      </c>
      <c r="T1388" s="260" t="s">
        <v>239</v>
      </c>
      <c r="U1388" s="260" t="s">
        <v>514</v>
      </c>
    </row>
    <row r="1389" spans="1:21" ht="14.5" x14ac:dyDescent="0.35">
      <c r="A1389" s="260" t="s">
        <v>747</v>
      </c>
      <c r="B1389" s="190">
        <v>45945</v>
      </c>
      <c r="C1389" s="197">
        <v>63295.9</v>
      </c>
      <c r="D1389" s="197">
        <v>0</v>
      </c>
      <c r="E1389" s="197">
        <v>0</v>
      </c>
      <c r="F1389" s="197">
        <v>0</v>
      </c>
      <c r="G1389" s="197">
        <v>45735</v>
      </c>
      <c r="H1389" s="197">
        <v>17541.099999999999</v>
      </c>
      <c r="I1389" s="197">
        <v>0</v>
      </c>
      <c r="J1389" s="197">
        <v>63276.1</v>
      </c>
      <c r="K1389" s="197">
        <v>63276.1</v>
      </c>
      <c r="L1389" s="197">
        <v>17355</v>
      </c>
      <c r="M1389" s="197">
        <v>0</v>
      </c>
      <c r="N1389" s="197">
        <v>0</v>
      </c>
      <c r="O1389" s="197">
        <v>0</v>
      </c>
      <c r="P1389" s="197">
        <v>-19.80000000000291</v>
      </c>
      <c r="Q1389" s="197">
        <v>-3.1281646994518741E-4</v>
      </c>
      <c r="R1389" s="260" t="s">
        <v>239</v>
      </c>
      <c r="S1389" s="260" t="s">
        <v>514</v>
      </c>
      <c r="T1389" s="260" t="s">
        <v>239</v>
      </c>
      <c r="U1389" s="260" t="s">
        <v>514</v>
      </c>
    </row>
    <row r="1390" spans="1:21" ht="14.5" x14ac:dyDescent="0.35">
      <c r="A1390" s="260" t="s">
        <v>747</v>
      </c>
      <c r="B1390" s="190">
        <v>45946</v>
      </c>
      <c r="C1390" s="197">
        <v>63276.1</v>
      </c>
      <c r="D1390" s="197">
        <v>0</v>
      </c>
      <c r="E1390" s="197">
        <v>0</v>
      </c>
      <c r="F1390" s="197">
        <v>0</v>
      </c>
      <c r="G1390" s="197">
        <v>45735</v>
      </c>
      <c r="H1390" s="197">
        <v>17520</v>
      </c>
      <c r="I1390" s="197">
        <v>0</v>
      </c>
      <c r="J1390" s="197">
        <v>63255</v>
      </c>
      <c r="K1390" s="197">
        <v>63255</v>
      </c>
      <c r="L1390" s="197">
        <v>17355</v>
      </c>
      <c r="M1390" s="197">
        <v>0</v>
      </c>
      <c r="N1390" s="197">
        <v>0</v>
      </c>
      <c r="O1390" s="197">
        <v>0</v>
      </c>
      <c r="P1390" s="197">
        <v>-21.099999999998545</v>
      </c>
      <c r="Q1390" s="197">
        <v>-3.3345923658378851E-4</v>
      </c>
      <c r="R1390" s="260" t="s">
        <v>239</v>
      </c>
      <c r="S1390" s="260" t="s">
        <v>514</v>
      </c>
      <c r="T1390" s="260" t="s">
        <v>239</v>
      </c>
      <c r="U1390" s="260" t="s">
        <v>514</v>
      </c>
    </row>
    <row r="1391" spans="1:21" ht="14.5" x14ac:dyDescent="0.35">
      <c r="A1391" s="260" t="s">
        <v>747</v>
      </c>
      <c r="B1391" s="190">
        <v>45947</v>
      </c>
      <c r="C1391" s="197">
        <v>63255</v>
      </c>
      <c r="D1391" s="197">
        <v>0</v>
      </c>
      <c r="E1391" s="197">
        <v>0</v>
      </c>
      <c r="F1391" s="197">
        <v>0</v>
      </c>
      <c r="G1391" s="197">
        <v>45735</v>
      </c>
      <c r="H1391" s="197">
        <v>17498.900000000001</v>
      </c>
      <c r="I1391" s="197">
        <v>0</v>
      </c>
      <c r="J1391" s="197">
        <v>63233.9</v>
      </c>
      <c r="K1391" s="197">
        <v>63233.9</v>
      </c>
      <c r="L1391" s="197">
        <v>17355</v>
      </c>
      <c r="M1391" s="197">
        <v>0</v>
      </c>
      <c r="N1391" s="197">
        <v>0</v>
      </c>
      <c r="O1391" s="197">
        <v>0</v>
      </c>
      <c r="P1391" s="197">
        <v>-21.099999999998545</v>
      </c>
      <c r="Q1391" s="197">
        <v>-3.3357046873760954E-4</v>
      </c>
      <c r="R1391" s="260" t="s">
        <v>239</v>
      </c>
      <c r="S1391" s="260" t="s">
        <v>514</v>
      </c>
      <c r="T1391" s="260" t="s">
        <v>239</v>
      </c>
      <c r="U1391" s="260" t="s">
        <v>514</v>
      </c>
    </row>
    <row r="1392" spans="1:21" ht="14.5" x14ac:dyDescent="0.35">
      <c r="A1392" s="260" t="s">
        <v>747</v>
      </c>
      <c r="B1392" s="190">
        <v>45948</v>
      </c>
      <c r="C1392" s="197">
        <v>63233.9</v>
      </c>
      <c r="D1392" s="197">
        <v>0</v>
      </c>
      <c r="E1392" s="197">
        <v>0</v>
      </c>
      <c r="F1392" s="197">
        <v>0</v>
      </c>
      <c r="G1392" s="197">
        <v>45735</v>
      </c>
      <c r="H1392" s="197">
        <v>17498.900000000001</v>
      </c>
      <c r="I1392" s="197">
        <v>0</v>
      </c>
      <c r="J1392" s="197">
        <v>63233.9</v>
      </c>
      <c r="K1392" s="197">
        <v>63233.9</v>
      </c>
      <c r="L1392" s="197">
        <v>17355</v>
      </c>
      <c r="M1392" s="197">
        <v>0</v>
      </c>
      <c r="N1392" s="197">
        <v>0</v>
      </c>
      <c r="O1392" s="197">
        <v>0</v>
      </c>
      <c r="P1392" s="197">
        <v>0</v>
      </c>
      <c r="Q1392" s="197">
        <v>0</v>
      </c>
      <c r="R1392" s="260" t="s">
        <v>239</v>
      </c>
      <c r="S1392" s="260" t="s">
        <v>514</v>
      </c>
      <c r="T1392" s="260" t="s">
        <v>239</v>
      </c>
      <c r="U1392" s="260" t="s">
        <v>514</v>
      </c>
    </row>
    <row r="1393" spans="1:21" ht="14.5" x14ac:dyDescent="0.35">
      <c r="A1393" s="260" t="s">
        <v>747</v>
      </c>
      <c r="B1393" s="190">
        <v>45949</v>
      </c>
      <c r="C1393" s="197">
        <v>63233.9</v>
      </c>
      <c r="D1393" s="197">
        <v>0</v>
      </c>
      <c r="E1393" s="197">
        <v>0</v>
      </c>
      <c r="F1393" s="197">
        <v>0</v>
      </c>
      <c r="G1393" s="197">
        <v>45735</v>
      </c>
      <c r="H1393" s="197">
        <v>17498.900000000001</v>
      </c>
      <c r="I1393" s="197">
        <v>0</v>
      </c>
      <c r="J1393" s="197">
        <v>63233.9</v>
      </c>
      <c r="K1393" s="197">
        <v>63233.9</v>
      </c>
      <c r="L1393" s="197">
        <v>17355</v>
      </c>
      <c r="M1393" s="197">
        <v>0</v>
      </c>
      <c r="N1393" s="197">
        <v>0</v>
      </c>
      <c r="O1393" s="197">
        <v>0</v>
      </c>
      <c r="P1393" s="197">
        <v>0</v>
      </c>
      <c r="Q1393" s="197">
        <v>0</v>
      </c>
      <c r="R1393" s="260" t="s">
        <v>239</v>
      </c>
      <c r="S1393" s="260" t="s">
        <v>514</v>
      </c>
      <c r="T1393" s="260" t="s">
        <v>239</v>
      </c>
      <c r="U1393" s="260" t="s">
        <v>514</v>
      </c>
    </row>
    <row r="1394" spans="1:21" ht="14.5" x14ac:dyDescent="0.35">
      <c r="A1394" s="260" t="s">
        <v>747</v>
      </c>
      <c r="B1394" s="190">
        <v>45950</v>
      </c>
      <c r="C1394" s="197">
        <v>63233.9</v>
      </c>
      <c r="D1394" s="197">
        <v>0</v>
      </c>
      <c r="E1394" s="197">
        <v>0</v>
      </c>
      <c r="F1394" s="197">
        <v>0</v>
      </c>
      <c r="G1394" s="197">
        <v>45735</v>
      </c>
      <c r="H1394" s="197">
        <v>17436.900000000001</v>
      </c>
      <c r="I1394" s="197">
        <v>0</v>
      </c>
      <c r="J1394" s="197">
        <v>63171.9</v>
      </c>
      <c r="K1394" s="197">
        <v>63171.9</v>
      </c>
      <c r="L1394" s="197">
        <v>17355</v>
      </c>
      <c r="M1394" s="197">
        <v>0</v>
      </c>
      <c r="N1394" s="197">
        <v>0</v>
      </c>
      <c r="O1394" s="197">
        <v>0</v>
      </c>
      <c r="P1394" s="197">
        <v>-62</v>
      </c>
      <c r="Q1394" s="197">
        <v>-9.8048673259121255E-4</v>
      </c>
      <c r="R1394" s="260" t="s">
        <v>239</v>
      </c>
      <c r="S1394" s="260" t="s">
        <v>514</v>
      </c>
      <c r="T1394" s="260" t="s">
        <v>239</v>
      </c>
      <c r="U1394" s="260" t="s">
        <v>514</v>
      </c>
    </row>
    <row r="1395" spans="1:21" ht="14.5" x14ac:dyDescent="0.35">
      <c r="A1395" s="260" t="s">
        <v>747</v>
      </c>
      <c r="B1395" s="190">
        <v>45951</v>
      </c>
      <c r="C1395" s="197">
        <v>63171.9</v>
      </c>
      <c r="D1395" s="197">
        <v>0</v>
      </c>
      <c r="E1395" s="197">
        <v>0</v>
      </c>
      <c r="F1395" s="197">
        <v>0</v>
      </c>
      <c r="G1395" s="197">
        <v>45735</v>
      </c>
      <c r="H1395" s="197">
        <v>17417.099999999999</v>
      </c>
      <c r="I1395" s="197">
        <v>0</v>
      </c>
      <c r="J1395" s="197">
        <v>63152.1</v>
      </c>
      <c r="K1395" s="197">
        <v>63152.1</v>
      </c>
      <c r="L1395" s="197">
        <v>17355</v>
      </c>
      <c r="M1395" s="197">
        <v>0</v>
      </c>
      <c r="N1395" s="197">
        <v>0</v>
      </c>
      <c r="O1395" s="197">
        <v>0</v>
      </c>
      <c r="P1395" s="197">
        <v>-19.80000000000291</v>
      </c>
      <c r="Q1395" s="197">
        <v>-3.1343049678733692E-4</v>
      </c>
      <c r="R1395" s="260" t="s">
        <v>239</v>
      </c>
      <c r="S1395" s="260" t="s">
        <v>514</v>
      </c>
      <c r="T1395" s="260" t="s">
        <v>239</v>
      </c>
      <c r="U1395" s="260" t="s">
        <v>514</v>
      </c>
    </row>
    <row r="1396" spans="1:21" ht="14.5" x14ac:dyDescent="0.35">
      <c r="A1396" s="260" t="s">
        <v>747</v>
      </c>
      <c r="B1396" s="190">
        <v>45952</v>
      </c>
      <c r="C1396" s="197">
        <v>63152.1</v>
      </c>
      <c r="D1396" s="197">
        <v>0</v>
      </c>
      <c r="E1396" s="197">
        <v>0</v>
      </c>
      <c r="F1396" s="197">
        <v>0</v>
      </c>
      <c r="G1396" s="197">
        <v>45735</v>
      </c>
      <c r="H1396" s="197">
        <v>17396</v>
      </c>
      <c r="I1396" s="197">
        <v>0</v>
      </c>
      <c r="J1396" s="197">
        <v>63131</v>
      </c>
      <c r="K1396" s="197">
        <v>63131</v>
      </c>
      <c r="L1396" s="197">
        <v>17355</v>
      </c>
      <c r="M1396" s="197">
        <v>0</v>
      </c>
      <c r="N1396" s="197">
        <v>0</v>
      </c>
      <c r="O1396" s="197">
        <v>0</v>
      </c>
      <c r="P1396" s="197">
        <v>-21.099999999998545</v>
      </c>
      <c r="Q1396" s="197">
        <v>-3.3411398829175099E-4</v>
      </c>
      <c r="R1396" s="260" t="s">
        <v>239</v>
      </c>
      <c r="S1396" s="260" t="s">
        <v>514</v>
      </c>
      <c r="T1396" s="260" t="s">
        <v>239</v>
      </c>
      <c r="U1396" s="260" t="s">
        <v>514</v>
      </c>
    </row>
    <row r="1397" spans="1:21" ht="14.5" x14ac:dyDescent="0.35">
      <c r="A1397" s="260" t="s">
        <v>747</v>
      </c>
      <c r="B1397" s="190">
        <v>45953</v>
      </c>
      <c r="C1397" s="197">
        <v>63131</v>
      </c>
      <c r="D1397" s="197">
        <v>0</v>
      </c>
      <c r="E1397" s="197">
        <v>0</v>
      </c>
      <c r="F1397" s="197">
        <v>0</v>
      </c>
      <c r="G1397" s="197">
        <v>45735</v>
      </c>
      <c r="H1397" s="197">
        <v>17374.900000000001</v>
      </c>
      <c r="I1397" s="197">
        <v>0</v>
      </c>
      <c r="J1397" s="197">
        <v>63109.9</v>
      </c>
      <c r="K1397" s="197">
        <v>63109.9</v>
      </c>
      <c r="L1397" s="197">
        <v>17355</v>
      </c>
      <c r="M1397" s="197">
        <v>0</v>
      </c>
      <c r="N1397" s="197">
        <v>0</v>
      </c>
      <c r="O1397" s="197">
        <v>0</v>
      </c>
      <c r="P1397" s="197">
        <v>-21.099999999998545</v>
      </c>
      <c r="Q1397" s="197">
        <v>-3.3422565775920177E-4</v>
      </c>
      <c r="R1397" s="260" t="s">
        <v>239</v>
      </c>
      <c r="S1397" s="260" t="s">
        <v>514</v>
      </c>
      <c r="T1397" s="260" t="s">
        <v>239</v>
      </c>
      <c r="U1397" s="260" t="s">
        <v>514</v>
      </c>
    </row>
    <row r="1398" spans="1:21" ht="14.5" x14ac:dyDescent="0.35">
      <c r="A1398" s="260" t="s">
        <v>747</v>
      </c>
      <c r="B1398" s="190">
        <v>45954</v>
      </c>
      <c r="C1398" s="197">
        <v>63109.9</v>
      </c>
      <c r="D1398" s="197">
        <v>0</v>
      </c>
      <c r="E1398" s="197">
        <v>0</v>
      </c>
      <c r="F1398" s="197">
        <v>0</v>
      </c>
      <c r="G1398" s="197">
        <v>45735</v>
      </c>
      <c r="H1398" s="197">
        <v>17355.099999999999</v>
      </c>
      <c r="I1398" s="197">
        <v>0</v>
      </c>
      <c r="J1398" s="197">
        <v>63090.1</v>
      </c>
      <c r="K1398" s="197">
        <v>63090.1</v>
      </c>
      <c r="L1398" s="197">
        <v>17355</v>
      </c>
      <c r="M1398" s="197">
        <v>0</v>
      </c>
      <c r="N1398" s="197">
        <v>0</v>
      </c>
      <c r="O1398" s="197">
        <v>0</v>
      </c>
      <c r="P1398" s="197">
        <v>-19.80000000000291</v>
      </c>
      <c r="Q1398" s="197">
        <v>-3.1373841505066835E-4</v>
      </c>
      <c r="R1398" s="260" t="s">
        <v>239</v>
      </c>
      <c r="S1398" s="260" t="s">
        <v>514</v>
      </c>
      <c r="T1398" s="260" t="s">
        <v>239</v>
      </c>
      <c r="U1398" s="260" t="s">
        <v>514</v>
      </c>
    </row>
    <row r="1399" spans="1:21" ht="14.5" x14ac:dyDescent="0.35">
      <c r="A1399" s="260" t="s">
        <v>747</v>
      </c>
      <c r="B1399" s="190">
        <v>45955</v>
      </c>
      <c r="C1399" s="197">
        <v>63090.1</v>
      </c>
      <c r="D1399" s="197">
        <v>0</v>
      </c>
      <c r="E1399" s="197">
        <v>0</v>
      </c>
      <c r="F1399" s="197">
        <v>0</v>
      </c>
      <c r="G1399" s="197">
        <v>45735</v>
      </c>
      <c r="H1399" s="197">
        <v>17355.099999999999</v>
      </c>
      <c r="I1399" s="197">
        <v>0</v>
      </c>
      <c r="J1399" s="197">
        <v>63090.1</v>
      </c>
      <c r="K1399" s="197">
        <v>63090.1</v>
      </c>
      <c r="L1399" s="197">
        <v>17355</v>
      </c>
      <c r="M1399" s="197">
        <v>0</v>
      </c>
      <c r="N1399" s="197">
        <v>0</v>
      </c>
      <c r="O1399" s="197">
        <v>0</v>
      </c>
      <c r="P1399" s="197">
        <v>0</v>
      </c>
      <c r="Q1399" s="197">
        <v>0</v>
      </c>
      <c r="R1399" s="260" t="s">
        <v>239</v>
      </c>
      <c r="S1399" s="260" t="s">
        <v>514</v>
      </c>
      <c r="T1399" s="260" t="s">
        <v>239</v>
      </c>
      <c r="U1399" s="260" t="s">
        <v>514</v>
      </c>
    </row>
    <row r="1400" spans="1:21" ht="14.5" x14ac:dyDescent="0.35">
      <c r="A1400" s="260" t="s">
        <v>747</v>
      </c>
      <c r="B1400" s="190">
        <v>45956</v>
      </c>
      <c r="C1400" s="197">
        <v>63090.1</v>
      </c>
      <c r="D1400" s="197">
        <v>0</v>
      </c>
      <c r="E1400" s="197">
        <v>0</v>
      </c>
      <c r="F1400" s="197">
        <v>0</v>
      </c>
      <c r="G1400" s="197">
        <v>45735</v>
      </c>
      <c r="H1400" s="197">
        <v>17355.099999999999</v>
      </c>
      <c r="I1400" s="197">
        <v>0</v>
      </c>
      <c r="J1400" s="197">
        <v>63090.1</v>
      </c>
      <c r="K1400" s="197">
        <v>63090.1</v>
      </c>
      <c r="L1400" s="197">
        <v>17355</v>
      </c>
      <c r="M1400" s="197">
        <v>0</v>
      </c>
      <c r="N1400" s="197">
        <v>0</v>
      </c>
      <c r="O1400" s="197">
        <v>0</v>
      </c>
      <c r="P1400" s="197">
        <v>0</v>
      </c>
      <c r="Q1400" s="197">
        <v>0</v>
      </c>
      <c r="R1400" s="260" t="s">
        <v>239</v>
      </c>
      <c r="S1400" s="260" t="s">
        <v>514</v>
      </c>
      <c r="T1400" s="260" t="s">
        <v>239</v>
      </c>
      <c r="U1400" s="260" t="s">
        <v>514</v>
      </c>
    </row>
    <row r="1401" spans="1:21" ht="14.5" x14ac:dyDescent="0.35">
      <c r="A1401" s="260" t="s">
        <v>747</v>
      </c>
      <c r="B1401" s="190">
        <v>45957</v>
      </c>
      <c r="C1401" s="197">
        <v>63090.1</v>
      </c>
      <c r="D1401" s="197">
        <v>0</v>
      </c>
      <c r="E1401" s="197">
        <v>0</v>
      </c>
      <c r="F1401" s="197">
        <v>0</v>
      </c>
      <c r="G1401" s="197">
        <v>45735</v>
      </c>
      <c r="H1401" s="197">
        <v>17293.099999999999</v>
      </c>
      <c r="I1401" s="197">
        <v>0</v>
      </c>
      <c r="J1401" s="197">
        <v>63028.1</v>
      </c>
      <c r="K1401" s="197">
        <v>63028.1</v>
      </c>
      <c r="L1401" s="197">
        <v>17355</v>
      </c>
      <c r="M1401" s="197">
        <v>0</v>
      </c>
      <c r="N1401" s="197">
        <v>0</v>
      </c>
      <c r="O1401" s="197">
        <v>0</v>
      </c>
      <c r="P1401" s="197">
        <v>-62</v>
      </c>
      <c r="Q1401" s="197">
        <v>-9.8272153634249015E-4</v>
      </c>
      <c r="R1401" s="260" t="s">
        <v>239</v>
      </c>
      <c r="S1401" s="260" t="s">
        <v>514</v>
      </c>
      <c r="T1401" s="260" t="s">
        <v>239</v>
      </c>
      <c r="U1401" s="260" t="s">
        <v>514</v>
      </c>
    </row>
    <row r="1402" spans="1:21" ht="14.5" x14ac:dyDescent="0.35">
      <c r="A1402" s="260" t="s">
        <v>747</v>
      </c>
      <c r="B1402" s="190">
        <v>45958</v>
      </c>
      <c r="C1402" s="197">
        <v>63028.1</v>
      </c>
      <c r="D1402" s="197">
        <v>0</v>
      </c>
      <c r="E1402" s="197">
        <v>0</v>
      </c>
      <c r="F1402" s="197">
        <v>0</v>
      </c>
      <c r="G1402" s="197">
        <v>45735</v>
      </c>
      <c r="H1402" s="197">
        <v>17272</v>
      </c>
      <c r="I1402" s="197">
        <v>0</v>
      </c>
      <c r="J1402" s="197">
        <v>63007</v>
      </c>
      <c r="K1402" s="197">
        <v>63007</v>
      </c>
      <c r="L1402" s="197">
        <v>17355</v>
      </c>
      <c r="M1402" s="197">
        <v>0</v>
      </c>
      <c r="N1402" s="197">
        <v>0</v>
      </c>
      <c r="O1402" s="197">
        <v>0</v>
      </c>
      <c r="P1402" s="197">
        <v>-21.099999999998545</v>
      </c>
      <c r="Q1402" s="197">
        <v>-3.3477131628589785E-4</v>
      </c>
      <c r="R1402" s="260" t="s">
        <v>239</v>
      </c>
      <c r="S1402" s="260" t="s">
        <v>514</v>
      </c>
      <c r="T1402" s="260" t="s">
        <v>239</v>
      </c>
      <c r="U1402" s="260" t="s">
        <v>514</v>
      </c>
    </row>
    <row r="1403" spans="1:21" ht="14.5" x14ac:dyDescent="0.35">
      <c r="A1403" s="260" t="s">
        <v>747</v>
      </c>
      <c r="B1403" s="190">
        <v>45959</v>
      </c>
      <c r="C1403" s="197">
        <v>63007</v>
      </c>
      <c r="D1403" s="197">
        <v>0</v>
      </c>
      <c r="E1403" s="197">
        <v>0</v>
      </c>
      <c r="F1403" s="197">
        <v>0</v>
      </c>
      <c r="G1403" s="197">
        <v>45735</v>
      </c>
      <c r="H1403" s="197">
        <v>17250.900000000001</v>
      </c>
      <c r="I1403" s="197">
        <v>0</v>
      </c>
      <c r="J1403" s="197">
        <v>62985.9</v>
      </c>
      <c r="K1403" s="197">
        <v>62985.9</v>
      </c>
      <c r="L1403" s="197">
        <v>17355</v>
      </c>
      <c r="M1403" s="197">
        <v>0</v>
      </c>
      <c r="N1403" s="197">
        <v>0</v>
      </c>
      <c r="O1403" s="197">
        <v>0</v>
      </c>
      <c r="P1403" s="197">
        <v>-21.099999999998545</v>
      </c>
      <c r="Q1403" s="197">
        <v>-3.3488342565113349E-4</v>
      </c>
      <c r="R1403" s="260" t="s">
        <v>239</v>
      </c>
      <c r="S1403" s="260" t="s">
        <v>514</v>
      </c>
      <c r="T1403" s="260" t="s">
        <v>239</v>
      </c>
      <c r="U1403" s="260" t="s">
        <v>514</v>
      </c>
    </row>
    <row r="1404" spans="1:21" ht="14.5" x14ac:dyDescent="0.35">
      <c r="A1404" s="260" t="s">
        <v>747</v>
      </c>
      <c r="B1404" s="190">
        <v>45960</v>
      </c>
      <c r="C1404" s="197">
        <v>62985.9</v>
      </c>
      <c r="D1404" s="197">
        <v>0</v>
      </c>
      <c r="E1404" s="197">
        <v>0</v>
      </c>
      <c r="F1404" s="197">
        <v>0</v>
      </c>
      <c r="G1404" s="197">
        <v>45735</v>
      </c>
      <c r="H1404" s="197">
        <v>17231.099999999999</v>
      </c>
      <c r="I1404" s="197">
        <v>0</v>
      </c>
      <c r="J1404" s="197">
        <v>62966.1</v>
      </c>
      <c r="K1404" s="197">
        <v>62966.1</v>
      </c>
      <c r="L1404" s="197">
        <v>17355</v>
      </c>
      <c r="M1404" s="197">
        <v>0</v>
      </c>
      <c r="N1404" s="197">
        <v>0</v>
      </c>
      <c r="O1404" s="197">
        <v>0</v>
      </c>
      <c r="P1404" s="197">
        <v>-19.80000000000291</v>
      </c>
      <c r="Q1404" s="197">
        <v>-3.1435607016816469E-4</v>
      </c>
      <c r="R1404" s="260" t="s">
        <v>239</v>
      </c>
      <c r="S1404" s="260" t="s">
        <v>514</v>
      </c>
      <c r="T1404" s="260" t="s">
        <v>239</v>
      </c>
      <c r="U1404" s="260" t="s">
        <v>514</v>
      </c>
    </row>
    <row r="1405" spans="1:21" ht="14.5" x14ac:dyDescent="0.35">
      <c r="A1405" s="260" t="s">
        <v>747</v>
      </c>
      <c r="B1405" s="190">
        <v>45961</v>
      </c>
      <c r="C1405" s="197">
        <v>62966.1</v>
      </c>
      <c r="D1405" s="197">
        <v>0</v>
      </c>
      <c r="E1405" s="197">
        <v>0</v>
      </c>
      <c r="F1405" s="197">
        <v>0</v>
      </c>
      <c r="G1405" s="197">
        <v>45735</v>
      </c>
      <c r="H1405" s="197">
        <v>17210</v>
      </c>
      <c r="I1405" s="197">
        <v>0</v>
      </c>
      <c r="J1405" s="197">
        <v>62945</v>
      </c>
      <c r="K1405" s="197">
        <v>62945</v>
      </c>
      <c r="L1405" s="197">
        <v>17355</v>
      </c>
      <c r="M1405" s="197">
        <v>0</v>
      </c>
      <c r="N1405" s="197">
        <v>0</v>
      </c>
      <c r="O1405" s="197">
        <v>0</v>
      </c>
      <c r="P1405" s="197">
        <v>-21.099999999998545</v>
      </c>
      <c r="Q1405" s="197">
        <v>-3.3510095114674954E-4</v>
      </c>
      <c r="R1405" s="260" t="s">
        <v>239</v>
      </c>
      <c r="S1405" s="260" t="s">
        <v>514</v>
      </c>
      <c r="T1405" s="260" t="s">
        <v>239</v>
      </c>
      <c r="U1405" s="260" t="s">
        <v>514</v>
      </c>
    </row>
    <row r="1406" spans="1:21" ht="14.5" x14ac:dyDescent="0.35">
      <c r="A1406" s="260" t="s">
        <v>747</v>
      </c>
      <c r="B1406" s="190">
        <v>45962</v>
      </c>
      <c r="C1406" s="197">
        <v>62945</v>
      </c>
      <c r="D1406" s="197">
        <v>0</v>
      </c>
      <c r="E1406" s="197">
        <v>0</v>
      </c>
      <c r="F1406" s="197">
        <v>0</v>
      </c>
      <c r="G1406" s="197">
        <v>45735</v>
      </c>
      <c r="H1406" s="197">
        <v>17210</v>
      </c>
      <c r="I1406" s="197">
        <v>0</v>
      </c>
      <c r="J1406" s="197">
        <v>62945</v>
      </c>
      <c r="K1406" s="197">
        <v>62945</v>
      </c>
      <c r="L1406" s="197">
        <v>17355</v>
      </c>
      <c r="M1406" s="197">
        <v>0</v>
      </c>
      <c r="N1406" s="197">
        <v>0</v>
      </c>
      <c r="O1406" s="197">
        <v>0</v>
      </c>
      <c r="P1406" s="197">
        <v>0</v>
      </c>
      <c r="Q1406" s="197">
        <v>0</v>
      </c>
      <c r="R1406" s="260" t="s">
        <v>239</v>
      </c>
      <c r="S1406" s="260" t="s">
        <v>514</v>
      </c>
      <c r="T1406" s="260" t="s">
        <v>239</v>
      </c>
      <c r="U1406" s="260" t="s">
        <v>514</v>
      </c>
    </row>
    <row r="1407" spans="1:21" ht="14.5" x14ac:dyDescent="0.35">
      <c r="A1407" s="260" t="s">
        <v>747</v>
      </c>
      <c r="B1407" s="190">
        <v>45963</v>
      </c>
      <c r="C1407" s="197">
        <v>62945</v>
      </c>
      <c r="D1407" s="197">
        <v>0</v>
      </c>
      <c r="E1407" s="197">
        <v>0</v>
      </c>
      <c r="F1407" s="197">
        <v>0</v>
      </c>
      <c r="G1407" s="197">
        <v>45735</v>
      </c>
      <c r="H1407" s="197">
        <v>17210</v>
      </c>
      <c r="I1407" s="197">
        <v>0</v>
      </c>
      <c r="J1407" s="197">
        <v>62945</v>
      </c>
      <c r="K1407" s="197">
        <v>62945</v>
      </c>
      <c r="L1407" s="197">
        <v>17355</v>
      </c>
      <c r="M1407" s="197">
        <v>0</v>
      </c>
      <c r="N1407" s="197">
        <v>0</v>
      </c>
      <c r="O1407" s="197">
        <v>0</v>
      </c>
      <c r="P1407" s="197">
        <v>0</v>
      </c>
      <c r="Q1407" s="197">
        <v>0</v>
      </c>
      <c r="R1407" s="260" t="s">
        <v>239</v>
      </c>
      <c r="S1407" s="260" t="s">
        <v>514</v>
      </c>
      <c r="T1407" s="260" t="s">
        <v>239</v>
      </c>
      <c r="U1407" s="260" t="s">
        <v>514</v>
      </c>
    </row>
    <row r="1408" spans="1:21" ht="14.5" x14ac:dyDescent="0.35">
      <c r="A1408" s="260" t="s">
        <v>747</v>
      </c>
      <c r="B1408" s="190">
        <v>45964</v>
      </c>
      <c r="C1408" s="197">
        <v>62945</v>
      </c>
      <c r="D1408" s="197">
        <v>0</v>
      </c>
      <c r="E1408" s="197">
        <v>0</v>
      </c>
      <c r="F1408" s="197">
        <v>0</v>
      </c>
      <c r="G1408" s="197">
        <v>45735</v>
      </c>
      <c r="H1408" s="197">
        <v>17071.400000000001</v>
      </c>
      <c r="I1408" s="197">
        <v>120</v>
      </c>
      <c r="J1408" s="197">
        <v>62926.400000000001</v>
      </c>
      <c r="K1408" s="197">
        <v>62926.400000000001</v>
      </c>
      <c r="L1408" s="197">
        <v>17355</v>
      </c>
      <c r="M1408" s="197">
        <v>0</v>
      </c>
      <c r="N1408" s="197">
        <v>0</v>
      </c>
      <c r="O1408" s="197">
        <v>120</v>
      </c>
      <c r="P1408" s="197">
        <v>-18.599999999998545</v>
      </c>
      <c r="Q1408" s="197">
        <v>-2.9549606799583739E-4</v>
      </c>
      <c r="R1408" s="260" t="s">
        <v>239</v>
      </c>
      <c r="S1408" s="260" t="s">
        <v>514</v>
      </c>
      <c r="T1408" s="260" t="s">
        <v>239</v>
      </c>
      <c r="U1408" s="260" t="s">
        <v>514</v>
      </c>
    </row>
    <row r="1409" spans="1:21" ht="14.5" x14ac:dyDescent="0.35">
      <c r="A1409" s="260" t="s">
        <v>747</v>
      </c>
      <c r="B1409" s="190">
        <v>45965</v>
      </c>
      <c r="C1409" s="197">
        <v>62926.400000000001</v>
      </c>
      <c r="D1409" s="197">
        <v>0</v>
      </c>
      <c r="E1409" s="197">
        <v>0</v>
      </c>
      <c r="F1409" s="197">
        <v>0</v>
      </c>
      <c r="G1409" s="197">
        <v>45735</v>
      </c>
      <c r="H1409" s="197">
        <v>17062</v>
      </c>
      <c r="I1409" s="197">
        <v>120</v>
      </c>
      <c r="J1409" s="197">
        <v>62917</v>
      </c>
      <c r="K1409" s="197">
        <v>62917</v>
      </c>
      <c r="L1409" s="197">
        <v>17355</v>
      </c>
      <c r="M1409" s="197">
        <v>0</v>
      </c>
      <c r="N1409" s="197">
        <v>0</v>
      </c>
      <c r="O1409" s="197">
        <v>0</v>
      </c>
      <c r="P1409" s="197">
        <v>-9.4000000000014552</v>
      </c>
      <c r="Q1409" s="197">
        <v>-1.4938086399352013E-4</v>
      </c>
      <c r="R1409" s="260" t="s">
        <v>239</v>
      </c>
      <c r="S1409" s="260" t="s">
        <v>514</v>
      </c>
      <c r="T1409" s="260" t="s">
        <v>239</v>
      </c>
      <c r="U1409" s="260" t="s">
        <v>514</v>
      </c>
    </row>
    <row r="1410" spans="1:21" ht="14.5" x14ac:dyDescent="0.35">
      <c r="A1410" s="260" t="s">
        <v>747</v>
      </c>
      <c r="B1410" s="190">
        <v>45966</v>
      </c>
      <c r="C1410" s="197">
        <v>62917</v>
      </c>
      <c r="D1410" s="197">
        <v>0</v>
      </c>
      <c r="E1410" s="197">
        <v>0</v>
      </c>
      <c r="F1410" s="197">
        <v>0</v>
      </c>
      <c r="G1410" s="197">
        <v>45735</v>
      </c>
      <c r="H1410" s="197">
        <v>17052.599999999999</v>
      </c>
      <c r="I1410" s="197">
        <v>120</v>
      </c>
      <c r="J1410" s="197">
        <v>62907.6</v>
      </c>
      <c r="K1410" s="197">
        <v>62907.6</v>
      </c>
      <c r="L1410" s="197">
        <v>17355</v>
      </c>
      <c r="M1410" s="197">
        <v>0</v>
      </c>
      <c r="N1410" s="197">
        <v>0</v>
      </c>
      <c r="O1410" s="197">
        <v>0</v>
      </c>
      <c r="P1410" s="197">
        <v>-9.4000000000014552</v>
      </c>
      <c r="Q1410" s="197">
        <v>-1.4940318196987601E-4</v>
      </c>
      <c r="R1410" s="260" t="s">
        <v>239</v>
      </c>
      <c r="S1410" s="260" t="s">
        <v>514</v>
      </c>
      <c r="T1410" s="260" t="s">
        <v>239</v>
      </c>
      <c r="U1410" s="260" t="s">
        <v>514</v>
      </c>
    </row>
    <row r="1411" spans="1:21" ht="14.5" x14ac:dyDescent="0.35">
      <c r="A1411" s="260" t="s">
        <v>747</v>
      </c>
      <c r="B1411" s="190">
        <v>45967</v>
      </c>
      <c r="C1411" s="197">
        <v>62907.6</v>
      </c>
      <c r="D1411" s="197">
        <v>0</v>
      </c>
      <c r="E1411" s="197">
        <v>0</v>
      </c>
      <c r="F1411" s="197">
        <v>0</v>
      </c>
      <c r="G1411" s="197">
        <v>45735</v>
      </c>
      <c r="H1411" s="197">
        <v>17043.399999999998</v>
      </c>
      <c r="I1411" s="197">
        <v>120</v>
      </c>
      <c r="J1411" s="197">
        <v>62898.399999999994</v>
      </c>
      <c r="K1411" s="197">
        <v>62898.399999999994</v>
      </c>
      <c r="L1411" s="197">
        <v>17355</v>
      </c>
      <c r="M1411" s="197">
        <v>0</v>
      </c>
      <c r="N1411" s="197">
        <v>0</v>
      </c>
      <c r="O1411" s="197">
        <v>0</v>
      </c>
      <c r="P1411" s="197">
        <v>-9.2000000000043656</v>
      </c>
      <c r="Q1411" s="197">
        <v>-1.4624624051795543E-4</v>
      </c>
      <c r="R1411" s="260" t="s">
        <v>239</v>
      </c>
      <c r="S1411" s="260" t="s">
        <v>514</v>
      </c>
      <c r="T1411" s="260" t="s">
        <v>239</v>
      </c>
      <c r="U1411" s="260" t="s">
        <v>514</v>
      </c>
    </row>
    <row r="1412" spans="1:21" ht="14.5" x14ac:dyDescent="0.35">
      <c r="A1412" s="260" t="s">
        <v>747</v>
      </c>
      <c r="B1412" s="190">
        <v>45968</v>
      </c>
      <c r="C1412" s="197">
        <v>62898.399999999994</v>
      </c>
      <c r="D1412" s="197">
        <v>0</v>
      </c>
      <c r="E1412" s="197">
        <v>0</v>
      </c>
      <c r="F1412" s="197">
        <v>0</v>
      </c>
      <c r="G1412" s="197">
        <v>45735</v>
      </c>
      <c r="H1412" s="197">
        <v>17034</v>
      </c>
      <c r="I1412" s="197">
        <v>120</v>
      </c>
      <c r="J1412" s="197">
        <v>62889</v>
      </c>
      <c r="K1412" s="197">
        <v>62889</v>
      </c>
      <c r="L1412" s="197">
        <v>17355</v>
      </c>
      <c r="M1412" s="197">
        <v>0</v>
      </c>
      <c r="N1412" s="197">
        <v>0</v>
      </c>
      <c r="O1412" s="197">
        <v>0</v>
      </c>
      <c r="P1412" s="197">
        <v>-9.3999999999941792</v>
      </c>
      <c r="Q1412" s="197">
        <v>-1.4944736273092563E-4</v>
      </c>
      <c r="R1412" s="260" t="s">
        <v>239</v>
      </c>
      <c r="S1412" s="260" t="s">
        <v>514</v>
      </c>
      <c r="T1412" s="260" t="s">
        <v>239</v>
      </c>
      <c r="U1412" s="260" t="s">
        <v>514</v>
      </c>
    </row>
    <row r="1413" spans="1:21" ht="14.5" x14ac:dyDescent="0.35">
      <c r="A1413" s="260" t="s">
        <v>747</v>
      </c>
      <c r="B1413" s="190">
        <v>45969</v>
      </c>
      <c r="C1413" s="197">
        <v>62889</v>
      </c>
      <c r="D1413" s="197">
        <v>0</v>
      </c>
      <c r="E1413" s="197">
        <v>0</v>
      </c>
      <c r="F1413" s="197">
        <v>0</v>
      </c>
      <c r="G1413" s="197">
        <v>45735</v>
      </c>
      <c r="H1413" s="197">
        <v>17034</v>
      </c>
      <c r="I1413" s="197">
        <v>120</v>
      </c>
      <c r="J1413" s="197">
        <v>62889</v>
      </c>
      <c r="K1413" s="197">
        <v>62889</v>
      </c>
      <c r="L1413" s="197">
        <v>17355</v>
      </c>
      <c r="M1413" s="197">
        <v>0</v>
      </c>
      <c r="N1413" s="197">
        <v>0</v>
      </c>
      <c r="O1413" s="197">
        <v>0</v>
      </c>
      <c r="P1413" s="197">
        <v>0</v>
      </c>
      <c r="Q1413" s="197">
        <v>0</v>
      </c>
      <c r="R1413" s="260" t="s">
        <v>239</v>
      </c>
      <c r="S1413" s="260" t="s">
        <v>514</v>
      </c>
      <c r="T1413" s="260" t="s">
        <v>239</v>
      </c>
      <c r="U1413" s="260" t="s">
        <v>514</v>
      </c>
    </row>
    <row r="1414" spans="1:21" ht="14.5" x14ac:dyDescent="0.35">
      <c r="A1414" s="260" t="s">
        <v>747</v>
      </c>
      <c r="B1414" s="190">
        <v>45970</v>
      </c>
      <c r="C1414" s="197">
        <v>62889</v>
      </c>
      <c r="D1414" s="197">
        <v>0</v>
      </c>
      <c r="E1414" s="197">
        <v>0</v>
      </c>
      <c r="F1414" s="197">
        <v>0</v>
      </c>
      <c r="G1414" s="197">
        <v>45735</v>
      </c>
      <c r="H1414" s="197">
        <v>17034</v>
      </c>
      <c r="I1414" s="197">
        <v>120</v>
      </c>
      <c r="J1414" s="197">
        <v>62889</v>
      </c>
      <c r="K1414" s="197">
        <v>62889</v>
      </c>
      <c r="L1414" s="197">
        <v>17355</v>
      </c>
      <c r="M1414" s="197">
        <v>0</v>
      </c>
      <c r="N1414" s="197">
        <v>0</v>
      </c>
      <c r="O1414" s="197">
        <v>0</v>
      </c>
      <c r="P1414" s="197">
        <v>0</v>
      </c>
      <c r="Q1414" s="197">
        <v>0</v>
      </c>
      <c r="R1414" s="260" t="s">
        <v>239</v>
      </c>
      <c r="S1414" s="260" t="s">
        <v>514</v>
      </c>
      <c r="T1414" s="260" t="s">
        <v>239</v>
      </c>
      <c r="U1414" s="260" t="s">
        <v>514</v>
      </c>
    </row>
    <row r="1415" spans="1:21" ht="14.5" x14ac:dyDescent="0.35">
      <c r="A1415" s="260" t="s">
        <v>747</v>
      </c>
      <c r="B1415" s="190">
        <v>45971</v>
      </c>
      <c r="C1415" s="197">
        <v>62889</v>
      </c>
      <c r="D1415" s="197">
        <v>0</v>
      </c>
      <c r="E1415" s="197">
        <v>0</v>
      </c>
      <c r="F1415" s="197">
        <v>0</v>
      </c>
      <c r="G1415" s="197">
        <v>45735</v>
      </c>
      <c r="H1415" s="197">
        <v>17006.3</v>
      </c>
      <c r="I1415" s="197">
        <v>120</v>
      </c>
      <c r="J1415" s="197">
        <v>62861.3</v>
      </c>
      <c r="K1415" s="197">
        <v>62861.3</v>
      </c>
      <c r="L1415" s="197">
        <v>17355</v>
      </c>
      <c r="M1415" s="197">
        <v>0</v>
      </c>
      <c r="N1415" s="197">
        <v>0</v>
      </c>
      <c r="O1415" s="197">
        <v>0</v>
      </c>
      <c r="P1415" s="197">
        <v>-27.69999999999709</v>
      </c>
      <c r="Q1415" s="197">
        <v>-4.4045858576213792E-4</v>
      </c>
      <c r="R1415" s="260" t="s">
        <v>239</v>
      </c>
      <c r="S1415" s="260" t="s">
        <v>514</v>
      </c>
      <c r="T1415" s="260" t="s">
        <v>239</v>
      </c>
      <c r="U1415" s="260" t="s">
        <v>514</v>
      </c>
    </row>
    <row r="1416" spans="1:21" ht="14.5" x14ac:dyDescent="0.35">
      <c r="A1416" s="260" t="s">
        <v>747</v>
      </c>
      <c r="B1416" s="190">
        <v>45972</v>
      </c>
      <c r="C1416" s="197">
        <v>62861.3</v>
      </c>
      <c r="D1416" s="197">
        <v>0</v>
      </c>
      <c r="E1416" s="197">
        <v>0</v>
      </c>
      <c r="F1416" s="197">
        <v>0</v>
      </c>
      <c r="G1416" s="197">
        <v>45735</v>
      </c>
      <c r="H1416" s="197">
        <v>16996.900000000001</v>
      </c>
      <c r="I1416" s="197">
        <v>120</v>
      </c>
      <c r="J1416" s="197">
        <v>62851.9</v>
      </c>
      <c r="K1416" s="197">
        <v>62851.9</v>
      </c>
      <c r="L1416" s="197">
        <v>17355</v>
      </c>
      <c r="M1416" s="197">
        <v>0</v>
      </c>
      <c r="N1416" s="197">
        <v>0</v>
      </c>
      <c r="O1416" s="197">
        <v>0</v>
      </c>
      <c r="P1416" s="197">
        <v>-9.4000000000014552</v>
      </c>
      <c r="Q1416" s="197">
        <v>-1.4953556480701291E-4</v>
      </c>
      <c r="R1416" s="260" t="s">
        <v>239</v>
      </c>
      <c r="S1416" s="260" t="s">
        <v>514</v>
      </c>
      <c r="T1416" s="260" t="s">
        <v>239</v>
      </c>
      <c r="U1416" s="260" t="s">
        <v>514</v>
      </c>
    </row>
    <row r="1417" spans="1:21" ht="14.5" x14ac:dyDescent="0.35">
      <c r="A1417" s="260" t="s">
        <v>747</v>
      </c>
      <c r="B1417" s="190">
        <v>45973</v>
      </c>
      <c r="C1417" s="197">
        <v>62851.9</v>
      </c>
      <c r="D1417" s="197">
        <v>0</v>
      </c>
      <c r="E1417" s="197">
        <v>0</v>
      </c>
      <c r="F1417" s="197">
        <v>0</v>
      </c>
      <c r="G1417" s="197">
        <v>45735</v>
      </c>
      <c r="H1417" s="197">
        <v>16987.7</v>
      </c>
      <c r="I1417" s="197">
        <v>120</v>
      </c>
      <c r="J1417" s="197">
        <v>62842.7</v>
      </c>
      <c r="K1417" s="197">
        <v>62842.7</v>
      </c>
      <c r="L1417" s="197">
        <v>17355</v>
      </c>
      <c r="M1417" s="197">
        <v>0</v>
      </c>
      <c r="N1417" s="197">
        <v>0</v>
      </c>
      <c r="O1417" s="197">
        <v>0</v>
      </c>
      <c r="P1417" s="197">
        <v>-9.2000000000043656</v>
      </c>
      <c r="Q1417" s="197">
        <v>-1.4637584543986115E-4</v>
      </c>
      <c r="R1417" s="260" t="s">
        <v>239</v>
      </c>
      <c r="S1417" s="260" t="s">
        <v>514</v>
      </c>
      <c r="T1417" s="260" t="s">
        <v>239</v>
      </c>
      <c r="U1417" s="260" t="s">
        <v>514</v>
      </c>
    </row>
    <row r="1418" spans="1:21" ht="14.5" x14ac:dyDescent="0.35">
      <c r="A1418" s="260" t="s">
        <v>747</v>
      </c>
      <c r="B1418" s="190">
        <v>45974</v>
      </c>
      <c r="C1418" s="197">
        <v>62842.7</v>
      </c>
      <c r="D1418" s="197">
        <v>0</v>
      </c>
      <c r="E1418" s="197">
        <v>0</v>
      </c>
      <c r="F1418" s="197">
        <v>0</v>
      </c>
      <c r="G1418" s="197">
        <v>45735</v>
      </c>
      <c r="H1418" s="197">
        <v>16978.3</v>
      </c>
      <c r="I1418" s="197">
        <v>120</v>
      </c>
      <c r="J1418" s="197">
        <v>62833.3</v>
      </c>
      <c r="K1418" s="197">
        <v>62833.3</v>
      </c>
      <c r="L1418" s="197">
        <v>17355</v>
      </c>
      <c r="M1418" s="197">
        <v>0</v>
      </c>
      <c r="N1418" s="197">
        <v>0</v>
      </c>
      <c r="O1418" s="197">
        <v>0</v>
      </c>
      <c r="P1418" s="197">
        <v>-9.3999999999941792</v>
      </c>
      <c r="Q1418" s="197">
        <v>-1.4957982390939595E-4</v>
      </c>
      <c r="R1418" s="260" t="s">
        <v>239</v>
      </c>
      <c r="S1418" s="260" t="s">
        <v>514</v>
      </c>
      <c r="T1418" s="260" t="s">
        <v>239</v>
      </c>
      <c r="U1418" s="260" t="s">
        <v>514</v>
      </c>
    </row>
    <row r="1419" spans="1:21" ht="14.5" x14ac:dyDescent="0.35">
      <c r="A1419" s="260" t="s">
        <v>747</v>
      </c>
      <c r="B1419" s="190">
        <v>45975</v>
      </c>
      <c r="C1419" s="197">
        <v>62833.3</v>
      </c>
      <c r="D1419" s="197">
        <v>0</v>
      </c>
      <c r="E1419" s="197">
        <v>0</v>
      </c>
      <c r="F1419" s="197">
        <v>0</v>
      </c>
      <c r="G1419" s="197">
        <v>45735</v>
      </c>
      <c r="H1419" s="197">
        <v>16968.900000000001</v>
      </c>
      <c r="I1419" s="197">
        <v>120</v>
      </c>
      <c r="J1419" s="197">
        <v>62823.9</v>
      </c>
      <c r="K1419" s="197">
        <v>62823.9</v>
      </c>
      <c r="L1419" s="197">
        <v>17355</v>
      </c>
      <c r="M1419" s="197">
        <v>0</v>
      </c>
      <c r="N1419" s="197">
        <v>0</v>
      </c>
      <c r="O1419" s="197">
        <v>0</v>
      </c>
      <c r="P1419" s="197">
        <v>-9.4000000000014552</v>
      </c>
      <c r="Q1419" s="197">
        <v>-1.4960220138049429E-4</v>
      </c>
      <c r="R1419" s="260" t="s">
        <v>239</v>
      </c>
      <c r="S1419" s="260" t="s">
        <v>514</v>
      </c>
      <c r="T1419" s="260" t="s">
        <v>239</v>
      </c>
      <c r="U1419" s="260" t="s">
        <v>514</v>
      </c>
    </row>
    <row r="1420" spans="1:21" ht="14.5" x14ac:dyDescent="0.35">
      <c r="A1420" s="260" t="s">
        <v>747</v>
      </c>
      <c r="B1420" s="190">
        <v>45976</v>
      </c>
      <c r="C1420" s="197">
        <v>62823.9</v>
      </c>
      <c r="D1420" s="197">
        <v>0</v>
      </c>
      <c r="E1420" s="197">
        <v>0</v>
      </c>
      <c r="F1420" s="197">
        <v>0</v>
      </c>
      <c r="G1420" s="197">
        <v>45735</v>
      </c>
      <c r="H1420" s="197">
        <v>16968.900000000001</v>
      </c>
      <c r="I1420" s="197">
        <v>120</v>
      </c>
      <c r="J1420" s="197">
        <v>62823.9</v>
      </c>
      <c r="K1420" s="197">
        <v>62823.9</v>
      </c>
      <c r="L1420" s="197">
        <v>17355</v>
      </c>
      <c r="M1420" s="197">
        <v>0</v>
      </c>
      <c r="N1420" s="197">
        <v>0</v>
      </c>
      <c r="O1420" s="197">
        <v>0</v>
      </c>
      <c r="P1420" s="197">
        <v>0</v>
      </c>
      <c r="Q1420" s="197">
        <v>0</v>
      </c>
      <c r="R1420" s="260" t="s">
        <v>239</v>
      </c>
      <c r="S1420" s="260" t="s">
        <v>514</v>
      </c>
      <c r="T1420" s="260" t="s">
        <v>239</v>
      </c>
      <c r="U1420" s="260" t="s">
        <v>514</v>
      </c>
    </row>
    <row r="1421" spans="1:21" ht="14.5" x14ac:dyDescent="0.35">
      <c r="A1421" s="260" t="s">
        <v>747</v>
      </c>
      <c r="B1421" s="190">
        <v>45977</v>
      </c>
      <c r="C1421" s="197">
        <v>62823.9</v>
      </c>
      <c r="D1421" s="197">
        <v>0</v>
      </c>
      <c r="E1421" s="197">
        <v>0</v>
      </c>
      <c r="F1421" s="197">
        <v>0</v>
      </c>
      <c r="G1421" s="197">
        <v>45735</v>
      </c>
      <c r="H1421" s="197">
        <v>16968.900000000001</v>
      </c>
      <c r="I1421" s="197">
        <v>120</v>
      </c>
      <c r="J1421" s="197">
        <v>62823.9</v>
      </c>
      <c r="K1421" s="197">
        <v>62823.9</v>
      </c>
      <c r="L1421" s="197">
        <v>17355</v>
      </c>
      <c r="M1421" s="197">
        <v>0</v>
      </c>
      <c r="N1421" s="197">
        <v>0</v>
      </c>
      <c r="O1421" s="197">
        <v>0</v>
      </c>
      <c r="P1421" s="197">
        <v>0</v>
      </c>
      <c r="Q1421" s="197">
        <v>0</v>
      </c>
      <c r="R1421" s="260" t="s">
        <v>239</v>
      </c>
      <c r="S1421" s="260" t="s">
        <v>514</v>
      </c>
      <c r="T1421" s="260" t="s">
        <v>239</v>
      </c>
      <c r="U1421" s="260" t="s">
        <v>514</v>
      </c>
    </row>
    <row r="1422" spans="1:21" ht="14.5" x14ac:dyDescent="0.35">
      <c r="A1422" s="260" t="s">
        <v>747</v>
      </c>
      <c r="B1422" s="190">
        <v>45978</v>
      </c>
      <c r="C1422" s="197">
        <v>62823.9</v>
      </c>
      <c r="D1422" s="197">
        <v>0</v>
      </c>
      <c r="E1422" s="197">
        <v>0</v>
      </c>
      <c r="F1422" s="197">
        <v>0</v>
      </c>
      <c r="G1422" s="197">
        <v>45735</v>
      </c>
      <c r="H1422" s="197">
        <v>16941.099999999999</v>
      </c>
      <c r="I1422" s="197">
        <v>120</v>
      </c>
      <c r="J1422" s="197">
        <v>62796.1</v>
      </c>
      <c r="K1422" s="197">
        <v>62796.1</v>
      </c>
      <c r="L1422" s="197">
        <v>17355</v>
      </c>
      <c r="M1422" s="197">
        <v>0</v>
      </c>
      <c r="N1422" s="197">
        <v>0</v>
      </c>
      <c r="O1422" s="197">
        <v>0</v>
      </c>
      <c r="P1422" s="197">
        <v>-27.80000000000291</v>
      </c>
      <c r="Q1422" s="197">
        <v>-4.4250675300328002E-4</v>
      </c>
      <c r="R1422" s="260" t="s">
        <v>239</v>
      </c>
      <c r="S1422" s="260" t="s">
        <v>514</v>
      </c>
      <c r="T1422" s="260" t="s">
        <v>239</v>
      </c>
      <c r="U1422" s="260" t="s">
        <v>514</v>
      </c>
    </row>
    <row r="1423" spans="1:21" ht="14.5" x14ac:dyDescent="0.35">
      <c r="A1423" s="260" t="s">
        <v>747</v>
      </c>
      <c r="B1423" s="190">
        <v>45979</v>
      </c>
      <c r="C1423" s="197">
        <v>62796.1</v>
      </c>
      <c r="D1423" s="197">
        <v>0</v>
      </c>
      <c r="E1423" s="197">
        <v>0</v>
      </c>
      <c r="F1423" s="197">
        <v>0</v>
      </c>
      <c r="G1423" s="197">
        <v>45735</v>
      </c>
      <c r="H1423" s="197">
        <v>16931.7</v>
      </c>
      <c r="I1423" s="197">
        <v>120</v>
      </c>
      <c r="J1423" s="197">
        <v>62786.7</v>
      </c>
      <c r="K1423" s="197">
        <v>62786.7</v>
      </c>
      <c r="L1423" s="197">
        <v>17355</v>
      </c>
      <c r="M1423" s="197">
        <v>0</v>
      </c>
      <c r="N1423" s="197">
        <v>0</v>
      </c>
      <c r="O1423" s="197">
        <v>0</v>
      </c>
      <c r="P1423" s="197">
        <v>-9.4000000000014552</v>
      </c>
      <c r="Q1423" s="197">
        <v>-1.4969082474869388E-4</v>
      </c>
      <c r="R1423" s="260" t="s">
        <v>239</v>
      </c>
      <c r="S1423" s="260" t="s">
        <v>514</v>
      </c>
      <c r="T1423" s="260" t="s">
        <v>239</v>
      </c>
      <c r="U1423" s="260" t="s">
        <v>514</v>
      </c>
    </row>
    <row r="1424" spans="1:21" ht="14.5" x14ac:dyDescent="0.35">
      <c r="A1424" s="260" t="s">
        <v>747</v>
      </c>
      <c r="B1424" s="190">
        <v>45980</v>
      </c>
      <c r="C1424" s="197">
        <v>62786.7</v>
      </c>
      <c r="D1424" s="197">
        <v>0</v>
      </c>
      <c r="E1424" s="197">
        <v>0</v>
      </c>
      <c r="F1424" s="197">
        <v>0</v>
      </c>
      <c r="G1424" s="197">
        <v>45735</v>
      </c>
      <c r="H1424" s="197">
        <v>16922.3</v>
      </c>
      <c r="I1424" s="197">
        <v>120</v>
      </c>
      <c r="J1424" s="197">
        <v>62777.3</v>
      </c>
      <c r="K1424" s="197">
        <v>62777.3</v>
      </c>
      <c r="L1424" s="197">
        <v>17355</v>
      </c>
      <c r="M1424" s="197">
        <v>0</v>
      </c>
      <c r="N1424" s="197">
        <v>0</v>
      </c>
      <c r="O1424" s="197">
        <v>0</v>
      </c>
      <c r="P1424" s="197">
        <v>-9.3999999999941792</v>
      </c>
      <c r="Q1424" s="197">
        <v>-1.4971323544621384E-4</v>
      </c>
      <c r="R1424" s="260" t="s">
        <v>239</v>
      </c>
      <c r="S1424" s="260" t="s">
        <v>514</v>
      </c>
      <c r="T1424" s="260" t="s">
        <v>239</v>
      </c>
      <c r="U1424" s="260" t="s">
        <v>514</v>
      </c>
    </row>
    <row r="1425" spans="1:21" ht="14.5" x14ac:dyDescent="0.35">
      <c r="A1425" s="260" t="s">
        <v>747</v>
      </c>
      <c r="B1425" s="190">
        <v>45981</v>
      </c>
      <c r="C1425" s="197">
        <v>62777.3</v>
      </c>
      <c r="D1425" s="197">
        <v>0</v>
      </c>
      <c r="E1425" s="197">
        <v>0</v>
      </c>
      <c r="F1425" s="197">
        <v>0</v>
      </c>
      <c r="G1425" s="197">
        <v>45735</v>
      </c>
      <c r="H1425" s="197">
        <v>16913.099999999999</v>
      </c>
      <c r="I1425" s="197">
        <v>120</v>
      </c>
      <c r="J1425" s="197">
        <v>62768.1</v>
      </c>
      <c r="K1425" s="197">
        <v>62768.1</v>
      </c>
      <c r="L1425" s="197">
        <v>17355</v>
      </c>
      <c r="M1425" s="197">
        <v>0</v>
      </c>
      <c r="N1425" s="197">
        <v>0</v>
      </c>
      <c r="O1425" s="197">
        <v>0</v>
      </c>
      <c r="P1425" s="197">
        <v>-9.2000000000043656</v>
      </c>
      <c r="Q1425" s="197">
        <v>-1.4654978790107354E-4</v>
      </c>
      <c r="R1425" s="260" t="s">
        <v>239</v>
      </c>
      <c r="S1425" s="260" t="s">
        <v>514</v>
      </c>
      <c r="T1425" s="260" t="s">
        <v>239</v>
      </c>
      <c r="U1425" s="260" t="s">
        <v>514</v>
      </c>
    </row>
    <row r="1426" spans="1:21" ht="14.5" x14ac:dyDescent="0.35">
      <c r="A1426" s="260" t="s">
        <v>747</v>
      </c>
      <c r="B1426" s="190">
        <v>45982</v>
      </c>
      <c r="C1426" s="197">
        <v>62768.1</v>
      </c>
      <c r="D1426" s="197">
        <v>0</v>
      </c>
      <c r="E1426" s="197">
        <v>0</v>
      </c>
      <c r="F1426" s="197">
        <v>0</v>
      </c>
      <c r="G1426" s="197">
        <v>45735</v>
      </c>
      <c r="H1426" s="197">
        <v>16903.7</v>
      </c>
      <c r="I1426" s="197">
        <v>120</v>
      </c>
      <c r="J1426" s="197">
        <v>62758.7</v>
      </c>
      <c r="K1426" s="197">
        <v>62758.7</v>
      </c>
      <c r="L1426" s="197">
        <v>17355</v>
      </c>
      <c r="M1426" s="197">
        <v>0</v>
      </c>
      <c r="N1426" s="197">
        <v>0</v>
      </c>
      <c r="O1426" s="197">
        <v>0</v>
      </c>
      <c r="P1426" s="197">
        <v>-9.4000000000014552</v>
      </c>
      <c r="Q1426" s="197">
        <v>-1.4975759979996006E-4</v>
      </c>
      <c r="R1426" s="260" t="s">
        <v>239</v>
      </c>
      <c r="S1426" s="260" t="s">
        <v>514</v>
      </c>
      <c r="T1426" s="260" t="s">
        <v>239</v>
      </c>
      <c r="U1426" s="260" t="s">
        <v>514</v>
      </c>
    </row>
    <row r="1427" spans="1:21" ht="14.5" x14ac:dyDescent="0.35">
      <c r="A1427" s="260" t="s">
        <v>747</v>
      </c>
      <c r="B1427" s="190">
        <v>45983</v>
      </c>
      <c r="C1427" s="197">
        <v>62758.7</v>
      </c>
      <c r="D1427" s="197">
        <v>0</v>
      </c>
      <c r="E1427" s="197">
        <v>0</v>
      </c>
      <c r="F1427" s="197">
        <v>0</v>
      </c>
      <c r="G1427" s="197">
        <v>45735</v>
      </c>
      <c r="H1427" s="197">
        <v>16903.7</v>
      </c>
      <c r="I1427" s="197">
        <v>120</v>
      </c>
      <c r="J1427" s="197">
        <v>62758.7</v>
      </c>
      <c r="K1427" s="197">
        <v>62758.7</v>
      </c>
      <c r="L1427" s="197">
        <v>17355</v>
      </c>
      <c r="M1427" s="197">
        <v>0</v>
      </c>
      <c r="N1427" s="197">
        <v>0</v>
      </c>
      <c r="O1427" s="197">
        <v>0</v>
      </c>
      <c r="P1427" s="197">
        <v>0</v>
      </c>
      <c r="Q1427" s="197">
        <v>0</v>
      </c>
      <c r="R1427" s="260" t="s">
        <v>239</v>
      </c>
      <c r="S1427" s="260" t="s">
        <v>514</v>
      </c>
      <c r="T1427" s="260" t="s">
        <v>239</v>
      </c>
      <c r="U1427" s="260" t="s">
        <v>514</v>
      </c>
    </row>
    <row r="1428" spans="1:21" ht="14.5" x14ac:dyDescent="0.35">
      <c r="A1428" s="260" t="s">
        <v>747</v>
      </c>
      <c r="B1428" s="190">
        <v>45984</v>
      </c>
      <c r="C1428" s="197">
        <v>62758.7</v>
      </c>
      <c r="D1428" s="197">
        <v>0</v>
      </c>
      <c r="E1428" s="197">
        <v>0</v>
      </c>
      <c r="F1428" s="197">
        <v>0</v>
      </c>
      <c r="G1428" s="197">
        <v>45735</v>
      </c>
      <c r="H1428" s="197">
        <v>16903.7</v>
      </c>
      <c r="I1428" s="197">
        <v>120</v>
      </c>
      <c r="J1428" s="197">
        <v>62758.7</v>
      </c>
      <c r="K1428" s="197">
        <v>62758.7</v>
      </c>
      <c r="L1428" s="197">
        <v>17355</v>
      </c>
      <c r="M1428" s="197">
        <v>0</v>
      </c>
      <c r="N1428" s="197">
        <v>0</v>
      </c>
      <c r="O1428" s="197">
        <v>0</v>
      </c>
      <c r="P1428" s="197">
        <v>0</v>
      </c>
      <c r="Q1428" s="197">
        <v>0</v>
      </c>
      <c r="R1428" s="260" t="s">
        <v>239</v>
      </c>
      <c r="S1428" s="260" t="s">
        <v>514</v>
      </c>
      <c r="T1428" s="260" t="s">
        <v>239</v>
      </c>
      <c r="U1428" s="260" t="s">
        <v>514</v>
      </c>
    </row>
    <row r="1429" spans="1:21" ht="14.5" x14ac:dyDescent="0.35">
      <c r="A1429" s="260" t="s">
        <v>747</v>
      </c>
      <c r="B1429" s="190">
        <v>45985</v>
      </c>
      <c r="C1429" s="197">
        <v>62758.7</v>
      </c>
      <c r="D1429" s="197">
        <v>0</v>
      </c>
      <c r="E1429" s="197">
        <v>0</v>
      </c>
      <c r="F1429" s="197">
        <v>0</v>
      </c>
      <c r="G1429" s="197">
        <v>45735</v>
      </c>
      <c r="H1429" s="197">
        <v>16876</v>
      </c>
      <c r="I1429" s="197">
        <v>120</v>
      </c>
      <c r="J1429" s="197">
        <v>62731</v>
      </c>
      <c r="K1429" s="197">
        <v>62731</v>
      </c>
      <c r="L1429" s="197">
        <v>17355</v>
      </c>
      <c r="M1429" s="197">
        <v>0</v>
      </c>
      <c r="N1429" s="197">
        <v>0</v>
      </c>
      <c r="O1429" s="197">
        <v>0</v>
      </c>
      <c r="P1429" s="197">
        <v>-27.69999999999709</v>
      </c>
      <c r="Q1429" s="197">
        <v>-4.4137306859437508E-4</v>
      </c>
      <c r="R1429" s="260" t="s">
        <v>239</v>
      </c>
      <c r="S1429" s="260" t="s">
        <v>514</v>
      </c>
      <c r="T1429" s="260" t="s">
        <v>239</v>
      </c>
      <c r="U1429" s="260" t="s">
        <v>514</v>
      </c>
    </row>
    <row r="1430" spans="1:21" ht="14.5" x14ac:dyDescent="0.35">
      <c r="A1430" s="260" t="s">
        <v>747</v>
      </c>
      <c r="B1430" s="190">
        <v>45986</v>
      </c>
      <c r="C1430" s="197">
        <v>62731</v>
      </c>
      <c r="D1430" s="197">
        <v>0</v>
      </c>
      <c r="E1430" s="197">
        <v>0</v>
      </c>
      <c r="F1430" s="197">
        <v>0</v>
      </c>
      <c r="G1430" s="197">
        <v>45735</v>
      </c>
      <c r="H1430" s="197">
        <v>16866.599999999999</v>
      </c>
      <c r="I1430" s="197">
        <v>120</v>
      </c>
      <c r="J1430" s="197">
        <v>62721.599999999999</v>
      </c>
      <c r="K1430" s="197">
        <v>62721.599999999999</v>
      </c>
      <c r="L1430" s="197">
        <v>17355</v>
      </c>
      <c r="M1430" s="197">
        <v>0</v>
      </c>
      <c r="N1430" s="197">
        <v>0</v>
      </c>
      <c r="O1430" s="197">
        <v>0</v>
      </c>
      <c r="P1430" s="197">
        <v>-9.4000000000014552</v>
      </c>
      <c r="Q1430" s="197">
        <v>-1.4984616856106303E-4</v>
      </c>
      <c r="R1430" s="260" t="s">
        <v>239</v>
      </c>
      <c r="S1430" s="260" t="s">
        <v>514</v>
      </c>
      <c r="T1430" s="260" t="s">
        <v>239</v>
      </c>
      <c r="U1430" s="260" t="s">
        <v>514</v>
      </c>
    </row>
    <row r="1431" spans="1:21" ht="14.5" x14ac:dyDescent="0.35">
      <c r="A1431" s="260" t="s">
        <v>747</v>
      </c>
      <c r="B1431" s="190">
        <v>45987</v>
      </c>
      <c r="C1431" s="197">
        <v>62721.599999999999</v>
      </c>
      <c r="D1431" s="197">
        <v>0</v>
      </c>
      <c r="E1431" s="197">
        <v>0</v>
      </c>
      <c r="F1431" s="197">
        <v>0</v>
      </c>
      <c r="G1431" s="197">
        <v>45735</v>
      </c>
      <c r="H1431" s="197">
        <v>16857.400000000001</v>
      </c>
      <c r="I1431" s="197">
        <v>120</v>
      </c>
      <c r="J1431" s="197">
        <v>62712.4</v>
      </c>
      <c r="K1431" s="197">
        <v>62712.4</v>
      </c>
      <c r="L1431" s="197">
        <v>17355</v>
      </c>
      <c r="M1431" s="197">
        <v>0</v>
      </c>
      <c r="N1431" s="197">
        <v>0</v>
      </c>
      <c r="O1431" s="197">
        <v>0</v>
      </c>
      <c r="P1431" s="197">
        <v>-9.1999999999970896</v>
      </c>
      <c r="Q1431" s="197">
        <v>-1.4667993163430815E-4</v>
      </c>
      <c r="R1431" s="260" t="s">
        <v>239</v>
      </c>
      <c r="S1431" s="260" t="s">
        <v>514</v>
      </c>
      <c r="T1431" s="260" t="s">
        <v>239</v>
      </c>
      <c r="U1431" s="260" t="s">
        <v>514</v>
      </c>
    </row>
    <row r="1432" spans="1:21" ht="14.5" x14ac:dyDescent="0.35">
      <c r="A1432" s="260" t="s">
        <v>747</v>
      </c>
      <c r="B1432" s="190">
        <v>45988</v>
      </c>
      <c r="C1432" s="197">
        <v>62712.4</v>
      </c>
      <c r="D1432" s="197">
        <v>0</v>
      </c>
      <c r="E1432" s="197">
        <v>0</v>
      </c>
      <c r="F1432" s="197">
        <v>0</v>
      </c>
      <c r="G1432" s="197">
        <v>45735</v>
      </c>
      <c r="H1432" s="197">
        <v>16848</v>
      </c>
      <c r="I1432" s="197">
        <v>120</v>
      </c>
      <c r="J1432" s="197">
        <v>62703</v>
      </c>
      <c r="K1432" s="197">
        <v>62703</v>
      </c>
      <c r="L1432" s="197">
        <v>17355</v>
      </c>
      <c r="M1432" s="197">
        <v>0</v>
      </c>
      <c r="N1432" s="197">
        <v>0</v>
      </c>
      <c r="O1432" s="197">
        <v>0</v>
      </c>
      <c r="P1432" s="197">
        <v>-9.4000000000014552</v>
      </c>
      <c r="Q1432" s="197">
        <v>-1.4989061174508489E-4</v>
      </c>
      <c r="R1432" s="260" t="s">
        <v>239</v>
      </c>
      <c r="S1432" s="260" t="s">
        <v>514</v>
      </c>
      <c r="T1432" s="260" t="s">
        <v>239</v>
      </c>
      <c r="U1432" s="260" t="s">
        <v>514</v>
      </c>
    </row>
    <row r="1433" spans="1:21" ht="14.5" x14ac:dyDescent="0.35">
      <c r="A1433" s="260" t="s">
        <v>747</v>
      </c>
      <c r="B1433" s="190">
        <v>45989</v>
      </c>
      <c r="C1433" s="197">
        <v>62703</v>
      </c>
      <c r="D1433" s="197">
        <v>0</v>
      </c>
      <c r="E1433" s="197">
        <v>0</v>
      </c>
      <c r="F1433" s="197">
        <v>0</v>
      </c>
      <c r="G1433" s="197">
        <v>45735</v>
      </c>
      <c r="H1433" s="197">
        <v>16838.599999999999</v>
      </c>
      <c r="I1433" s="197">
        <v>120</v>
      </c>
      <c r="J1433" s="197">
        <v>62693.599999999999</v>
      </c>
      <c r="K1433" s="197">
        <v>62693.599999999999</v>
      </c>
      <c r="L1433" s="197">
        <v>17355</v>
      </c>
      <c r="M1433" s="197">
        <v>0</v>
      </c>
      <c r="N1433" s="197">
        <v>0</v>
      </c>
      <c r="O1433" s="197">
        <v>0</v>
      </c>
      <c r="P1433" s="197">
        <v>-9.4000000000014552</v>
      </c>
      <c r="Q1433" s="197">
        <v>-1.4991308230871692E-4</v>
      </c>
      <c r="R1433" s="260" t="s">
        <v>239</v>
      </c>
      <c r="S1433" s="260" t="s">
        <v>514</v>
      </c>
      <c r="T1433" s="260" t="s">
        <v>239</v>
      </c>
      <c r="U1433" s="260" t="s">
        <v>514</v>
      </c>
    </row>
    <row r="1434" spans="1:21" ht="14.5" x14ac:dyDescent="0.35">
      <c r="A1434" s="260" t="s">
        <v>747</v>
      </c>
      <c r="B1434" s="190">
        <v>45990</v>
      </c>
      <c r="C1434" s="197">
        <v>62693.599999999999</v>
      </c>
      <c r="D1434" s="197">
        <v>0</v>
      </c>
      <c r="E1434" s="197">
        <v>0</v>
      </c>
      <c r="F1434" s="197">
        <v>0</v>
      </c>
      <c r="G1434" s="197">
        <v>45735</v>
      </c>
      <c r="H1434" s="197">
        <v>16838.599999999999</v>
      </c>
      <c r="I1434" s="197">
        <v>120</v>
      </c>
      <c r="J1434" s="197">
        <v>62693.599999999999</v>
      </c>
      <c r="K1434" s="197">
        <v>62693.599999999999</v>
      </c>
      <c r="L1434" s="197">
        <v>17355</v>
      </c>
      <c r="M1434" s="197">
        <v>0</v>
      </c>
      <c r="N1434" s="197">
        <v>0</v>
      </c>
      <c r="O1434" s="197">
        <v>0</v>
      </c>
      <c r="P1434" s="197">
        <v>0</v>
      </c>
      <c r="Q1434" s="197">
        <v>0</v>
      </c>
      <c r="R1434" s="260" t="s">
        <v>239</v>
      </c>
      <c r="S1434" s="260" t="s">
        <v>514</v>
      </c>
      <c r="T1434" s="260" t="s">
        <v>239</v>
      </c>
      <c r="U1434" s="260" t="s">
        <v>514</v>
      </c>
    </row>
    <row r="1435" spans="1:21" ht="14.5" x14ac:dyDescent="0.35">
      <c r="A1435" s="260" t="s">
        <v>747</v>
      </c>
      <c r="B1435" s="190">
        <v>45991</v>
      </c>
      <c r="C1435" s="197">
        <v>62693.599999999999</v>
      </c>
      <c r="D1435" s="197">
        <v>0</v>
      </c>
      <c r="E1435" s="197">
        <v>0</v>
      </c>
      <c r="F1435" s="197">
        <v>0</v>
      </c>
      <c r="G1435" s="197">
        <v>45735</v>
      </c>
      <c r="H1435" s="197">
        <v>16838.599999999999</v>
      </c>
      <c r="I1435" s="197">
        <v>120</v>
      </c>
      <c r="J1435" s="197">
        <v>62693.599999999999</v>
      </c>
      <c r="K1435" s="197">
        <v>62693.599999999999</v>
      </c>
      <c r="L1435" s="197">
        <v>17355</v>
      </c>
      <c r="M1435" s="197">
        <v>0</v>
      </c>
      <c r="N1435" s="197">
        <v>0</v>
      </c>
      <c r="O1435" s="197">
        <v>0</v>
      </c>
      <c r="P1435" s="197">
        <v>0</v>
      </c>
      <c r="Q1435" s="197">
        <v>0</v>
      </c>
      <c r="R1435" s="260" t="s">
        <v>239</v>
      </c>
      <c r="S1435" s="260" t="s">
        <v>514</v>
      </c>
      <c r="T1435" s="260" t="s">
        <v>239</v>
      </c>
      <c r="U1435" s="260" t="s">
        <v>514</v>
      </c>
    </row>
    <row r="1436" spans="1:21" ht="14.5" x14ac:dyDescent="0.35">
      <c r="A1436" s="260" t="s">
        <v>747</v>
      </c>
      <c r="B1436" s="190">
        <v>45992</v>
      </c>
      <c r="C1436" s="197">
        <v>62693.599999999999</v>
      </c>
      <c r="D1436" s="197">
        <v>0</v>
      </c>
      <c r="E1436" s="197">
        <v>0</v>
      </c>
      <c r="F1436" s="197">
        <v>0</v>
      </c>
      <c r="G1436" s="197">
        <v>45735</v>
      </c>
      <c r="H1436" s="197">
        <v>16820</v>
      </c>
      <c r="I1436" s="197">
        <v>120</v>
      </c>
      <c r="J1436" s="197">
        <v>62675</v>
      </c>
      <c r="K1436" s="197">
        <v>62675</v>
      </c>
      <c r="L1436" s="197">
        <v>17355</v>
      </c>
      <c r="M1436" s="197">
        <v>0</v>
      </c>
      <c r="N1436" s="197">
        <v>0</v>
      </c>
      <c r="O1436" s="197">
        <v>0</v>
      </c>
      <c r="P1436" s="197">
        <v>-18.599999999998545</v>
      </c>
      <c r="Q1436" s="197">
        <v>-2.9668100093149796E-4</v>
      </c>
      <c r="R1436" s="260" t="s">
        <v>239</v>
      </c>
      <c r="S1436" s="260" t="s">
        <v>514</v>
      </c>
      <c r="T1436" s="260" t="s">
        <v>239</v>
      </c>
      <c r="U1436" s="260" t="s">
        <v>514</v>
      </c>
    </row>
    <row r="1437" spans="1:21" ht="14.5" x14ac:dyDescent="0.35">
      <c r="A1437" s="260" t="s">
        <v>747</v>
      </c>
      <c r="B1437" s="190">
        <v>45993</v>
      </c>
      <c r="C1437" s="197">
        <v>62675</v>
      </c>
      <c r="D1437" s="197">
        <v>0</v>
      </c>
      <c r="E1437" s="197">
        <v>0</v>
      </c>
      <c r="F1437" s="197">
        <v>0</v>
      </c>
      <c r="G1437" s="197">
        <v>45735</v>
      </c>
      <c r="H1437" s="197">
        <v>16814.5</v>
      </c>
      <c r="I1437" s="197">
        <v>120</v>
      </c>
      <c r="J1437" s="197">
        <v>62669.5</v>
      </c>
      <c r="K1437" s="197">
        <v>62669.5</v>
      </c>
      <c r="L1437" s="197">
        <v>17355</v>
      </c>
      <c r="M1437" s="197">
        <v>0</v>
      </c>
      <c r="N1437" s="197">
        <v>0</v>
      </c>
      <c r="O1437" s="197">
        <v>0</v>
      </c>
      <c r="P1437" s="197">
        <v>-5.5</v>
      </c>
      <c r="Q1437" s="197">
        <v>-8.775428799356888E-5</v>
      </c>
      <c r="R1437" s="260" t="s">
        <v>239</v>
      </c>
      <c r="S1437" s="260" t="s">
        <v>514</v>
      </c>
      <c r="T1437" s="260" t="s">
        <v>239</v>
      </c>
      <c r="U1437" s="260" t="s">
        <v>514</v>
      </c>
    </row>
    <row r="1438" spans="1:21" ht="14.5" x14ac:dyDescent="0.35">
      <c r="A1438" s="260" t="s">
        <v>747</v>
      </c>
      <c r="B1438" s="190">
        <v>45994</v>
      </c>
      <c r="C1438" s="197">
        <v>62669.5</v>
      </c>
      <c r="D1438" s="197">
        <v>0</v>
      </c>
      <c r="E1438" s="197">
        <v>0</v>
      </c>
      <c r="F1438" s="197">
        <v>0</v>
      </c>
      <c r="G1438" s="197">
        <v>45735</v>
      </c>
      <c r="H1438" s="197">
        <v>16808.5</v>
      </c>
      <c r="I1438" s="197">
        <v>120</v>
      </c>
      <c r="J1438" s="197">
        <v>62663.5</v>
      </c>
      <c r="K1438" s="197">
        <v>62663.5</v>
      </c>
      <c r="L1438" s="197">
        <v>17355</v>
      </c>
      <c r="M1438" s="197">
        <v>0</v>
      </c>
      <c r="N1438" s="197">
        <v>0</v>
      </c>
      <c r="O1438" s="197">
        <v>0</v>
      </c>
      <c r="P1438" s="197">
        <v>-6</v>
      </c>
      <c r="Q1438" s="197">
        <v>-9.5740352164974674E-5</v>
      </c>
      <c r="R1438" s="260" t="s">
        <v>239</v>
      </c>
      <c r="S1438" s="260" t="s">
        <v>514</v>
      </c>
      <c r="T1438" s="260" t="s">
        <v>239</v>
      </c>
      <c r="U1438" s="260" t="s">
        <v>514</v>
      </c>
    </row>
    <row r="1439" spans="1:21" ht="14.5" x14ac:dyDescent="0.35">
      <c r="A1439" s="260" t="s">
        <v>747</v>
      </c>
      <c r="B1439" s="190">
        <v>45995</v>
      </c>
      <c r="C1439" s="197">
        <v>62663.5</v>
      </c>
      <c r="D1439" s="197">
        <v>0</v>
      </c>
      <c r="E1439" s="197">
        <v>0</v>
      </c>
      <c r="F1439" s="197">
        <v>0</v>
      </c>
      <c r="G1439" s="197">
        <v>45735</v>
      </c>
      <c r="H1439" s="197">
        <v>16803</v>
      </c>
      <c r="I1439" s="197">
        <v>120</v>
      </c>
      <c r="J1439" s="197">
        <v>62658</v>
      </c>
      <c r="K1439" s="197">
        <v>62658</v>
      </c>
      <c r="L1439" s="197">
        <v>17355</v>
      </c>
      <c r="M1439" s="197">
        <v>0</v>
      </c>
      <c r="N1439" s="197">
        <v>0</v>
      </c>
      <c r="O1439" s="197">
        <v>0</v>
      </c>
      <c r="P1439" s="197">
        <v>-5.5</v>
      </c>
      <c r="Q1439" s="197">
        <v>-8.77703926528417E-5</v>
      </c>
      <c r="R1439" s="260" t="s">
        <v>239</v>
      </c>
      <c r="S1439" s="260" t="s">
        <v>514</v>
      </c>
      <c r="T1439" s="260" t="s">
        <v>239</v>
      </c>
      <c r="U1439" s="260" t="s">
        <v>514</v>
      </c>
    </row>
    <row r="1440" spans="1:21" ht="14.5" x14ac:dyDescent="0.35">
      <c r="A1440" s="260" t="s">
        <v>747</v>
      </c>
      <c r="B1440" s="190">
        <v>45996</v>
      </c>
      <c r="C1440" s="197">
        <v>62658</v>
      </c>
      <c r="D1440" s="197">
        <v>0</v>
      </c>
      <c r="E1440" s="197">
        <v>0</v>
      </c>
      <c r="F1440" s="197">
        <v>0</v>
      </c>
      <c r="G1440" s="197">
        <v>45735</v>
      </c>
      <c r="H1440" s="197">
        <v>16797.5</v>
      </c>
      <c r="I1440" s="197">
        <v>120</v>
      </c>
      <c r="J1440" s="197">
        <v>62652.5</v>
      </c>
      <c r="K1440" s="197">
        <v>62652.5</v>
      </c>
      <c r="L1440" s="197">
        <v>17355</v>
      </c>
      <c r="M1440" s="197">
        <v>0</v>
      </c>
      <c r="N1440" s="197">
        <v>0</v>
      </c>
      <c r="O1440" s="197">
        <v>0</v>
      </c>
      <c r="P1440" s="197">
        <v>-5.5</v>
      </c>
      <c r="Q1440" s="197">
        <v>-8.7778096970803077E-5</v>
      </c>
      <c r="R1440" s="260" t="s">
        <v>239</v>
      </c>
      <c r="S1440" s="260" t="s">
        <v>514</v>
      </c>
      <c r="T1440" s="260" t="s">
        <v>239</v>
      </c>
      <c r="U1440" s="260" t="s">
        <v>514</v>
      </c>
    </row>
    <row r="1441" spans="1:21" ht="14.5" x14ac:dyDescent="0.35">
      <c r="A1441" s="260" t="s">
        <v>747</v>
      </c>
      <c r="B1441" s="190">
        <v>45997</v>
      </c>
      <c r="C1441" s="197">
        <v>62652.5</v>
      </c>
      <c r="D1441" s="197">
        <v>0</v>
      </c>
      <c r="E1441" s="197">
        <v>0</v>
      </c>
      <c r="F1441" s="197">
        <v>0</v>
      </c>
      <c r="G1441" s="197">
        <v>45735</v>
      </c>
      <c r="H1441" s="197">
        <v>16797.5</v>
      </c>
      <c r="I1441" s="197">
        <v>120</v>
      </c>
      <c r="J1441" s="197">
        <v>62652.5</v>
      </c>
      <c r="K1441" s="197">
        <v>62652.5</v>
      </c>
      <c r="L1441" s="197">
        <v>17355</v>
      </c>
      <c r="M1441" s="197">
        <v>0</v>
      </c>
      <c r="N1441" s="197">
        <v>0</v>
      </c>
      <c r="O1441" s="197">
        <v>0</v>
      </c>
      <c r="P1441" s="197">
        <v>0</v>
      </c>
      <c r="Q1441" s="197">
        <v>0</v>
      </c>
      <c r="R1441" s="260" t="s">
        <v>239</v>
      </c>
      <c r="S1441" s="260" t="s">
        <v>514</v>
      </c>
      <c r="T1441" s="260" t="s">
        <v>239</v>
      </c>
      <c r="U1441" s="260" t="s">
        <v>514</v>
      </c>
    </row>
    <row r="1442" spans="1:21" ht="14.5" x14ac:dyDescent="0.35">
      <c r="A1442" s="260" t="s">
        <v>747</v>
      </c>
      <c r="B1442" s="190">
        <v>45998</v>
      </c>
      <c r="C1442" s="197">
        <v>62652.5</v>
      </c>
      <c r="D1442" s="197">
        <v>0</v>
      </c>
      <c r="E1442" s="197">
        <v>0</v>
      </c>
      <c r="F1442" s="197">
        <v>0</v>
      </c>
      <c r="G1442" s="197">
        <v>45735</v>
      </c>
      <c r="H1442" s="197">
        <v>16797.5</v>
      </c>
      <c r="I1442" s="197">
        <v>120</v>
      </c>
      <c r="J1442" s="197">
        <v>62652.5</v>
      </c>
      <c r="K1442" s="197">
        <v>62652.5</v>
      </c>
      <c r="L1442" s="197">
        <v>17355</v>
      </c>
      <c r="M1442" s="197">
        <v>0</v>
      </c>
      <c r="N1442" s="197">
        <v>0</v>
      </c>
      <c r="O1442" s="197">
        <v>0</v>
      </c>
      <c r="P1442" s="197">
        <v>0</v>
      </c>
      <c r="Q1442" s="197">
        <v>0</v>
      </c>
      <c r="R1442" s="260" t="s">
        <v>239</v>
      </c>
      <c r="S1442" s="260" t="s">
        <v>514</v>
      </c>
      <c r="T1442" s="260" t="s">
        <v>239</v>
      </c>
      <c r="U1442" s="260" t="s">
        <v>514</v>
      </c>
    </row>
    <row r="1443" spans="1:21" ht="14.5" x14ac:dyDescent="0.35">
      <c r="A1443" s="260" t="s">
        <v>747</v>
      </c>
      <c r="B1443" s="190">
        <v>45999</v>
      </c>
      <c r="C1443" s="197">
        <v>62652.5</v>
      </c>
      <c r="D1443" s="197">
        <v>0</v>
      </c>
      <c r="E1443" s="197">
        <v>0</v>
      </c>
      <c r="F1443" s="197">
        <v>0</v>
      </c>
      <c r="G1443" s="197">
        <v>45735</v>
      </c>
      <c r="H1443" s="197">
        <v>16780.5</v>
      </c>
      <c r="I1443" s="197">
        <v>120</v>
      </c>
      <c r="J1443" s="197">
        <v>62635.5</v>
      </c>
      <c r="K1443" s="197">
        <v>62635.5</v>
      </c>
      <c r="L1443" s="197">
        <v>17355</v>
      </c>
      <c r="M1443" s="197">
        <v>0</v>
      </c>
      <c r="N1443" s="197">
        <v>0</v>
      </c>
      <c r="O1443" s="197">
        <v>0</v>
      </c>
      <c r="P1443" s="197">
        <v>-17</v>
      </c>
      <c r="Q1443" s="197">
        <v>-2.7133793543754336E-4</v>
      </c>
      <c r="R1443" s="260" t="s">
        <v>239</v>
      </c>
      <c r="S1443" s="260" t="s">
        <v>514</v>
      </c>
      <c r="T1443" s="260" t="s">
        <v>239</v>
      </c>
      <c r="U1443" s="260" t="s">
        <v>514</v>
      </c>
    </row>
    <row r="1444" spans="1:21" ht="14.5" x14ac:dyDescent="0.35">
      <c r="A1444" s="260" t="s">
        <v>747</v>
      </c>
      <c r="B1444" s="190">
        <v>46000</v>
      </c>
      <c r="C1444" s="197">
        <v>62635.5</v>
      </c>
      <c r="D1444" s="197">
        <v>0</v>
      </c>
      <c r="E1444" s="197">
        <v>0</v>
      </c>
      <c r="F1444" s="197">
        <v>0</v>
      </c>
      <c r="G1444" s="197">
        <v>45735</v>
      </c>
      <c r="H1444" s="197">
        <v>16774.5</v>
      </c>
      <c r="I1444" s="197">
        <v>120</v>
      </c>
      <c r="J1444" s="197">
        <v>62629.5</v>
      </c>
      <c r="K1444" s="197">
        <v>62629.5</v>
      </c>
      <c r="L1444" s="197">
        <v>17355</v>
      </c>
      <c r="M1444" s="197">
        <v>0</v>
      </c>
      <c r="N1444" s="197">
        <v>0</v>
      </c>
      <c r="O1444" s="197">
        <v>0</v>
      </c>
      <c r="P1444" s="197">
        <v>-6</v>
      </c>
      <c r="Q1444" s="197">
        <v>-9.5792322245324968E-5</v>
      </c>
      <c r="R1444" s="260" t="s">
        <v>239</v>
      </c>
      <c r="S1444" s="260" t="s">
        <v>514</v>
      </c>
      <c r="T1444" s="260" t="s">
        <v>239</v>
      </c>
      <c r="U1444" s="260" t="s">
        <v>514</v>
      </c>
    </row>
    <row r="1445" spans="1:21" ht="14.5" x14ac:dyDescent="0.35">
      <c r="A1445" s="260" t="s">
        <v>747</v>
      </c>
      <c r="B1445" s="190">
        <v>46001</v>
      </c>
      <c r="C1445" s="197">
        <v>62629.5</v>
      </c>
      <c r="D1445" s="197">
        <v>0</v>
      </c>
      <c r="E1445" s="197">
        <v>0</v>
      </c>
      <c r="F1445" s="197">
        <v>0</v>
      </c>
      <c r="G1445" s="197">
        <v>45735</v>
      </c>
      <c r="H1445" s="197">
        <v>16769</v>
      </c>
      <c r="I1445" s="197">
        <v>120</v>
      </c>
      <c r="J1445" s="197">
        <v>62624</v>
      </c>
      <c r="K1445" s="197">
        <v>62624</v>
      </c>
      <c r="L1445" s="197">
        <v>17355</v>
      </c>
      <c r="M1445" s="197">
        <v>0</v>
      </c>
      <c r="N1445" s="197">
        <v>0</v>
      </c>
      <c r="O1445" s="197">
        <v>0</v>
      </c>
      <c r="P1445" s="197">
        <v>-5.5</v>
      </c>
      <c r="Q1445" s="197">
        <v>-8.7818041018983273E-5</v>
      </c>
      <c r="R1445" s="260" t="s">
        <v>239</v>
      </c>
      <c r="S1445" s="260" t="s">
        <v>514</v>
      </c>
      <c r="T1445" s="260" t="s">
        <v>239</v>
      </c>
      <c r="U1445" s="260" t="s">
        <v>514</v>
      </c>
    </row>
    <row r="1446" spans="1:21" ht="14.5" x14ac:dyDescent="0.35">
      <c r="A1446" s="260" t="s">
        <v>747</v>
      </c>
      <c r="B1446" s="190">
        <v>46002</v>
      </c>
      <c r="C1446" s="197">
        <v>62624</v>
      </c>
      <c r="D1446" s="197">
        <v>0</v>
      </c>
      <c r="E1446" s="197">
        <v>0</v>
      </c>
      <c r="F1446" s="197">
        <v>0</v>
      </c>
      <c r="G1446" s="197">
        <v>45735</v>
      </c>
      <c r="H1446" s="197">
        <v>16763.5</v>
      </c>
      <c r="I1446" s="197">
        <v>120</v>
      </c>
      <c r="J1446" s="197">
        <v>62618.5</v>
      </c>
      <c r="K1446" s="197">
        <v>62618.5</v>
      </c>
      <c r="L1446" s="197">
        <v>17355</v>
      </c>
      <c r="M1446" s="197">
        <v>0</v>
      </c>
      <c r="N1446" s="197">
        <v>0</v>
      </c>
      <c r="O1446" s="197">
        <v>0</v>
      </c>
      <c r="P1446" s="197">
        <v>-5.5</v>
      </c>
      <c r="Q1446" s="197">
        <v>-8.7825753704695586E-5</v>
      </c>
      <c r="R1446" s="260" t="s">
        <v>239</v>
      </c>
      <c r="S1446" s="260" t="s">
        <v>514</v>
      </c>
      <c r="T1446" s="260" t="s">
        <v>239</v>
      </c>
      <c r="U1446" s="260" t="s">
        <v>514</v>
      </c>
    </row>
    <row r="1447" spans="1:21" ht="14.5" x14ac:dyDescent="0.35">
      <c r="A1447" s="260" t="s">
        <v>747</v>
      </c>
      <c r="B1447" s="190">
        <v>46003</v>
      </c>
      <c r="C1447" s="197">
        <v>62618.5</v>
      </c>
      <c r="D1447" s="197">
        <v>0</v>
      </c>
      <c r="E1447" s="197">
        <v>0</v>
      </c>
      <c r="F1447" s="197">
        <v>0</v>
      </c>
      <c r="G1447" s="197">
        <v>45735</v>
      </c>
      <c r="H1447" s="197">
        <v>16757.5</v>
      </c>
      <c r="I1447" s="197">
        <v>120</v>
      </c>
      <c r="J1447" s="197">
        <v>62612.5</v>
      </c>
      <c r="K1447" s="197">
        <v>62612.5</v>
      </c>
      <c r="L1447" s="197">
        <v>17355</v>
      </c>
      <c r="M1447" s="197">
        <v>0</v>
      </c>
      <c r="N1447" s="197">
        <v>0</v>
      </c>
      <c r="O1447" s="197">
        <v>0</v>
      </c>
      <c r="P1447" s="197">
        <v>-6</v>
      </c>
      <c r="Q1447" s="197">
        <v>-9.5818328449293055E-5</v>
      </c>
      <c r="R1447" s="260" t="s">
        <v>239</v>
      </c>
      <c r="S1447" s="260" t="s">
        <v>514</v>
      </c>
      <c r="T1447" s="260" t="s">
        <v>239</v>
      </c>
      <c r="U1447" s="260" t="s">
        <v>514</v>
      </c>
    </row>
    <row r="1448" spans="1:21" ht="14.5" x14ac:dyDescent="0.35">
      <c r="A1448" s="260" t="s">
        <v>747</v>
      </c>
      <c r="B1448" s="190">
        <v>46004</v>
      </c>
      <c r="C1448" s="197">
        <v>62612.5</v>
      </c>
      <c r="D1448" s="197">
        <v>0</v>
      </c>
      <c r="E1448" s="197">
        <v>0</v>
      </c>
      <c r="F1448" s="197">
        <v>0</v>
      </c>
      <c r="G1448" s="197">
        <v>45735</v>
      </c>
      <c r="H1448" s="197">
        <v>16757.5</v>
      </c>
      <c r="I1448" s="197">
        <v>120</v>
      </c>
      <c r="J1448" s="197">
        <v>62612.5</v>
      </c>
      <c r="K1448" s="197">
        <v>62612.5</v>
      </c>
      <c r="L1448" s="197">
        <v>17355</v>
      </c>
      <c r="M1448" s="197">
        <v>0</v>
      </c>
      <c r="N1448" s="197">
        <v>0</v>
      </c>
      <c r="O1448" s="197">
        <v>0</v>
      </c>
      <c r="P1448" s="197">
        <v>0</v>
      </c>
      <c r="Q1448" s="197">
        <v>0</v>
      </c>
      <c r="R1448" s="260" t="s">
        <v>239</v>
      </c>
      <c r="S1448" s="260" t="s">
        <v>514</v>
      </c>
      <c r="T1448" s="260" t="s">
        <v>239</v>
      </c>
      <c r="U1448" s="260" t="s">
        <v>514</v>
      </c>
    </row>
    <row r="1449" spans="1:21" ht="14.5" x14ac:dyDescent="0.35">
      <c r="A1449" s="260" t="s">
        <v>747</v>
      </c>
      <c r="B1449" s="190">
        <v>46005</v>
      </c>
      <c r="C1449" s="197">
        <v>62612.5</v>
      </c>
      <c r="D1449" s="197">
        <v>0</v>
      </c>
      <c r="E1449" s="197">
        <v>0</v>
      </c>
      <c r="F1449" s="197">
        <v>0</v>
      </c>
      <c r="G1449" s="197">
        <v>45735</v>
      </c>
      <c r="H1449" s="197">
        <v>16757.5</v>
      </c>
      <c r="I1449" s="197">
        <v>120</v>
      </c>
      <c r="J1449" s="197">
        <v>62612.5</v>
      </c>
      <c r="K1449" s="197">
        <v>62612.5</v>
      </c>
      <c r="L1449" s="197">
        <v>17355</v>
      </c>
      <c r="M1449" s="197">
        <v>0</v>
      </c>
      <c r="N1449" s="197">
        <v>0</v>
      </c>
      <c r="O1449" s="197">
        <v>0</v>
      </c>
      <c r="P1449" s="197">
        <v>0</v>
      </c>
      <c r="Q1449" s="197">
        <v>0</v>
      </c>
      <c r="R1449" s="260" t="s">
        <v>239</v>
      </c>
      <c r="S1449" s="260" t="s">
        <v>514</v>
      </c>
      <c r="T1449" s="260" t="s">
        <v>239</v>
      </c>
      <c r="U1449" s="260" t="s">
        <v>514</v>
      </c>
    </row>
    <row r="1450" spans="1:21" ht="14.5" x14ac:dyDescent="0.35">
      <c r="A1450" s="260" t="s">
        <v>747</v>
      </c>
      <c r="B1450" s="190">
        <v>46006</v>
      </c>
      <c r="C1450" s="197">
        <v>62612.5</v>
      </c>
      <c r="D1450" s="197">
        <v>0</v>
      </c>
      <c r="E1450" s="197">
        <v>0</v>
      </c>
      <c r="F1450" s="197">
        <v>0</v>
      </c>
      <c r="G1450" s="197">
        <v>45855</v>
      </c>
      <c r="H1450" s="197">
        <v>16740.5</v>
      </c>
      <c r="I1450" s="197">
        <v>0</v>
      </c>
      <c r="J1450" s="197">
        <v>62595.5</v>
      </c>
      <c r="K1450" s="197">
        <v>62595.5</v>
      </c>
      <c r="L1450" s="197">
        <v>17355</v>
      </c>
      <c r="M1450" s="197">
        <v>0</v>
      </c>
      <c r="N1450" s="197">
        <v>0</v>
      </c>
      <c r="O1450" s="197">
        <v>0</v>
      </c>
      <c r="P1450" s="197">
        <v>-17</v>
      </c>
      <c r="Q1450" s="197">
        <v>-2.7151127969660127E-4</v>
      </c>
      <c r="R1450" s="260" t="s">
        <v>239</v>
      </c>
      <c r="S1450" s="260" t="s">
        <v>514</v>
      </c>
      <c r="T1450" s="260" t="s">
        <v>239</v>
      </c>
      <c r="U1450" s="260" t="s">
        <v>514</v>
      </c>
    </row>
    <row r="1451" spans="1:21" ht="14.5" x14ac:dyDescent="0.35">
      <c r="A1451" s="260" t="s">
        <v>747</v>
      </c>
      <c r="B1451" s="190">
        <v>46007</v>
      </c>
      <c r="C1451" s="197">
        <v>62595.5</v>
      </c>
      <c r="D1451" s="197">
        <v>0</v>
      </c>
      <c r="E1451" s="197">
        <v>0</v>
      </c>
      <c r="F1451" s="197">
        <v>0</v>
      </c>
      <c r="G1451" s="197">
        <v>45855</v>
      </c>
      <c r="H1451" s="197">
        <v>16735</v>
      </c>
      <c r="I1451" s="197">
        <v>0</v>
      </c>
      <c r="J1451" s="197">
        <v>62590</v>
      </c>
      <c r="K1451" s="197">
        <v>62590</v>
      </c>
      <c r="L1451" s="197">
        <v>17355</v>
      </c>
      <c r="M1451" s="197">
        <v>0</v>
      </c>
      <c r="N1451" s="197">
        <v>0</v>
      </c>
      <c r="O1451" s="197">
        <v>0</v>
      </c>
      <c r="P1451" s="197">
        <v>-5.5</v>
      </c>
      <c r="Q1451" s="197">
        <v>-8.7865741147497012E-5</v>
      </c>
      <c r="R1451" s="260" t="s">
        <v>239</v>
      </c>
      <c r="S1451" s="260" t="s">
        <v>514</v>
      </c>
      <c r="T1451" s="260" t="s">
        <v>239</v>
      </c>
      <c r="U1451" s="260" t="s">
        <v>514</v>
      </c>
    </row>
    <row r="1452" spans="1:21" ht="14.5" x14ac:dyDescent="0.35">
      <c r="A1452" s="260" t="s">
        <v>747</v>
      </c>
      <c r="B1452" s="190">
        <v>46008</v>
      </c>
      <c r="C1452" s="197">
        <v>62590</v>
      </c>
      <c r="D1452" s="197">
        <v>0</v>
      </c>
      <c r="E1452" s="197">
        <v>0</v>
      </c>
      <c r="F1452" s="197">
        <v>0</v>
      </c>
      <c r="G1452" s="197">
        <v>45855</v>
      </c>
      <c r="H1452" s="197">
        <v>16729.5</v>
      </c>
      <c r="I1452" s="197">
        <v>0</v>
      </c>
      <c r="J1452" s="197">
        <v>62584.5</v>
      </c>
      <c r="K1452" s="197">
        <v>62584.5</v>
      </c>
      <c r="L1452" s="197">
        <v>17355</v>
      </c>
      <c r="M1452" s="197">
        <v>0</v>
      </c>
      <c r="N1452" s="197">
        <v>0</v>
      </c>
      <c r="O1452" s="197">
        <v>0</v>
      </c>
      <c r="P1452" s="197">
        <v>-5.5</v>
      </c>
      <c r="Q1452" s="197">
        <v>-8.787346221439396E-5</v>
      </c>
      <c r="R1452" s="260" t="s">
        <v>239</v>
      </c>
      <c r="S1452" s="260" t="s">
        <v>514</v>
      </c>
      <c r="T1452" s="260" t="s">
        <v>239</v>
      </c>
      <c r="U1452" s="260" t="s">
        <v>514</v>
      </c>
    </row>
    <row r="1453" spans="1:21" ht="14.5" x14ac:dyDescent="0.35">
      <c r="A1453" s="260" t="s">
        <v>747</v>
      </c>
      <c r="B1453" s="190">
        <v>46009</v>
      </c>
      <c r="C1453" s="197">
        <v>62584.5</v>
      </c>
      <c r="D1453" s="197">
        <v>0</v>
      </c>
      <c r="E1453" s="197">
        <v>0</v>
      </c>
      <c r="F1453" s="197">
        <v>0</v>
      </c>
      <c r="G1453" s="197">
        <v>45855</v>
      </c>
      <c r="H1453" s="197">
        <v>16723.5</v>
      </c>
      <c r="I1453" s="197">
        <v>0</v>
      </c>
      <c r="J1453" s="197">
        <v>62578.5</v>
      </c>
      <c r="K1453" s="197">
        <v>62578.5</v>
      </c>
      <c r="L1453" s="197">
        <v>17355</v>
      </c>
      <c r="M1453" s="197">
        <v>0</v>
      </c>
      <c r="N1453" s="197">
        <v>0</v>
      </c>
      <c r="O1453" s="197">
        <v>0</v>
      </c>
      <c r="P1453" s="197">
        <v>-6</v>
      </c>
      <c r="Q1453" s="197">
        <v>-9.5870383241880575E-5</v>
      </c>
      <c r="R1453" s="260" t="s">
        <v>239</v>
      </c>
      <c r="S1453" s="260" t="s">
        <v>514</v>
      </c>
      <c r="T1453" s="260" t="s">
        <v>239</v>
      </c>
      <c r="U1453" s="260" t="s">
        <v>514</v>
      </c>
    </row>
    <row r="1454" spans="1:21" ht="14.5" x14ac:dyDescent="0.35">
      <c r="A1454" s="260" t="s">
        <v>747</v>
      </c>
      <c r="B1454" s="190">
        <v>46010</v>
      </c>
      <c r="C1454" s="197">
        <v>62578.5</v>
      </c>
      <c r="D1454" s="197">
        <v>0</v>
      </c>
      <c r="E1454" s="197">
        <v>0</v>
      </c>
      <c r="F1454" s="197">
        <v>0</v>
      </c>
      <c r="G1454" s="197">
        <v>45855</v>
      </c>
      <c r="H1454" s="197">
        <v>16718</v>
      </c>
      <c r="I1454" s="197">
        <v>0</v>
      </c>
      <c r="J1454" s="197">
        <v>62573</v>
      </c>
      <c r="K1454" s="197">
        <v>62573</v>
      </c>
      <c r="L1454" s="197">
        <v>17355</v>
      </c>
      <c r="M1454" s="197">
        <v>0</v>
      </c>
      <c r="N1454" s="197">
        <v>0</v>
      </c>
      <c r="O1454" s="197">
        <v>0</v>
      </c>
      <c r="P1454" s="197">
        <v>-5.5</v>
      </c>
      <c r="Q1454" s="197">
        <v>-8.7889610648983485E-5</v>
      </c>
      <c r="R1454" s="260" t="s">
        <v>239</v>
      </c>
      <c r="S1454" s="260" t="s">
        <v>514</v>
      </c>
      <c r="T1454" s="260" t="s">
        <v>239</v>
      </c>
      <c r="U1454" s="260" t="s">
        <v>514</v>
      </c>
    </row>
    <row r="1455" spans="1:21" ht="14.5" x14ac:dyDescent="0.35">
      <c r="A1455" s="260" t="s">
        <v>747</v>
      </c>
      <c r="B1455" s="190">
        <v>46011</v>
      </c>
      <c r="C1455" s="197">
        <v>62573</v>
      </c>
      <c r="D1455" s="197">
        <v>0</v>
      </c>
      <c r="E1455" s="197">
        <v>0</v>
      </c>
      <c r="F1455" s="197">
        <v>0</v>
      </c>
      <c r="G1455" s="197">
        <v>45855</v>
      </c>
      <c r="H1455" s="197">
        <v>16718</v>
      </c>
      <c r="I1455" s="197">
        <v>0</v>
      </c>
      <c r="J1455" s="197">
        <v>62573</v>
      </c>
      <c r="K1455" s="197">
        <v>62573</v>
      </c>
      <c r="L1455" s="197">
        <v>17355</v>
      </c>
      <c r="M1455" s="197">
        <v>0</v>
      </c>
      <c r="N1455" s="197">
        <v>0</v>
      </c>
      <c r="O1455" s="197">
        <v>0</v>
      </c>
      <c r="P1455" s="197">
        <v>0</v>
      </c>
      <c r="Q1455" s="197">
        <v>0</v>
      </c>
      <c r="R1455" s="260" t="s">
        <v>239</v>
      </c>
      <c r="S1455" s="260" t="s">
        <v>514</v>
      </c>
      <c r="T1455" s="260" t="s">
        <v>239</v>
      </c>
      <c r="U1455" s="260" t="s">
        <v>514</v>
      </c>
    </row>
    <row r="1456" spans="1:21" ht="14.5" x14ac:dyDescent="0.35">
      <c r="A1456" s="260" t="s">
        <v>747</v>
      </c>
      <c r="B1456" s="190">
        <v>46012</v>
      </c>
      <c r="C1456" s="197">
        <v>62573</v>
      </c>
      <c r="D1456" s="197">
        <v>0</v>
      </c>
      <c r="E1456" s="197">
        <v>0</v>
      </c>
      <c r="F1456" s="197">
        <v>0</v>
      </c>
      <c r="G1456" s="197">
        <v>45855</v>
      </c>
      <c r="H1456" s="197">
        <v>16718</v>
      </c>
      <c r="I1456" s="197">
        <v>0</v>
      </c>
      <c r="J1456" s="197">
        <v>62573</v>
      </c>
      <c r="K1456" s="197">
        <v>62573</v>
      </c>
      <c r="L1456" s="197">
        <v>17355</v>
      </c>
      <c r="M1456" s="197">
        <v>0</v>
      </c>
      <c r="N1456" s="197">
        <v>0</v>
      </c>
      <c r="O1456" s="197">
        <v>0</v>
      </c>
      <c r="P1456" s="197">
        <v>0</v>
      </c>
      <c r="Q1456" s="197">
        <v>0</v>
      </c>
      <c r="R1456" s="260" t="s">
        <v>239</v>
      </c>
      <c r="S1456" s="260" t="s">
        <v>514</v>
      </c>
      <c r="T1456" s="260" t="s">
        <v>239</v>
      </c>
      <c r="U1456" s="260" t="s">
        <v>514</v>
      </c>
    </row>
    <row r="1457" spans="1:21" ht="14.5" x14ac:dyDescent="0.35">
      <c r="A1457" s="260" t="s">
        <v>747</v>
      </c>
      <c r="B1457" s="190">
        <v>46013</v>
      </c>
      <c r="C1457" s="197">
        <v>62573</v>
      </c>
      <c r="D1457" s="197">
        <v>0</v>
      </c>
      <c r="E1457" s="197">
        <v>0</v>
      </c>
      <c r="F1457" s="197">
        <v>0</v>
      </c>
      <c r="G1457" s="197">
        <v>45855</v>
      </c>
      <c r="H1457" s="197">
        <v>16701</v>
      </c>
      <c r="I1457" s="197">
        <v>0</v>
      </c>
      <c r="J1457" s="197">
        <v>62556</v>
      </c>
      <c r="K1457" s="197">
        <v>62556</v>
      </c>
      <c r="L1457" s="197">
        <v>17355</v>
      </c>
      <c r="M1457" s="197">
        <v>0</v>
      </c>
      <c r="N1457" s="197">
        <v>0</v>
      </c>
      <c r="O1457" s="197">
        <v>0</v>
      </c>
      <c r="P1457" s="197">
        <v>-17</v>
      </c>
      <c r="Q1457" s="197">
        <v>-2.7168267463606455E-4</v>
      </c>
      <c r="R1457" s="260" t="s">
        <v>239</v>
      </c>
      <c r="S1457" s="260" t="s">
        <v>514</v>
      </c>
      <c r="T1457" s="260" t="s">
        <v>239</v>
      </c>
      <c r="U1457" s="260" t="s">
        <v>514</v>
      </c>
    </row>
    <row r="1458" spans="1:21" ht="14.5" x14ac:dyDescent="0.35">
      <c r="A1458" s="260" t="s">
        <v>747</v>
      </c>
      <c r="B1458" s="190">
        <v>46014</v>
      </c>
      <c r="C1458" s="197">
        <v>62556</v>
      </c>
      <c r="D1458" s="197">
        <v>0</v>
      </c>
      <c r="E1458" s="197">
        <v>0</v>
      </c>
      <c r="F1458" s="197">
        <v>0</v>
      </c>
      <c r="G1458" s="197">
        <v>45855</v>
      </c>
      <c r="H1458" s="197">
        <v>16695.5</v>
      </c>
      <c r="I1458" s="197">
        <v>0</v>
      </c>
      <c r="J1458" s="197">
        <v>62550.5</v>
      </c>
      <c r="K1458" s="197">
        <v>62550.5</v>
      </c>
      <c r="L1458" s="197">
        <v>17355</v>
      </c>
      <c r="M1458" s="197">
        <v>0</v>
      </c>
      <c r="N1458" s="197">
        <v>0</v>
      </c>
      <c r="O1458" s="197">
        <v>0</v>
      </c>
      <c r="P1458" s="197">
        <v>-5.5</v>
      </c>
      <c r="Q1458" s="197">
        <v>-8.7921222584608216E-5</v>
      </c>
      <c r="R1458" s="260" t="s">
        <v>239</v>
      </c>
      <c r="S1458" s="260" t="s">
        <v>514</v>
      </c>
      <c r="T1458" s="260" t="s">
        <v>239</v>
      </c>
      <c r="U1458" s="260" t="s">
        <v>514</v>
      </c>
    </row>
    <row r="1459" spans="1:21" ht="14.5" x14ac:dyDescent="0.35">
      <c r="A1459" s="260" t="s">
        <v>747</v>
      </c>
      <c r="B1459" s="190">
        <v>46015</v>
      </c>
      <c r="C1459" s="197">
        <v>62550.5</v>
      </c>
      <c r="D1459" s="197">
        <v>0</v>
      </c>
      <c r="E1459" s="197">
        <v>0</v>
      </c>
      <c r="F1459" s="197">
        <v>0</v>
      </c>
      <c r="G1459" s="197">
        <v>45855</v>
      </c>
      <c r="H1459" s="197">
        <v>16689.5</v>
      </c>
      <c r="I1459" s="197">
        <v>0</v>
      </c>
      <c r="J1459" s="197">
        <v>62544.5</v>
      </c>
      <c r="K1459" s="197">
        <v>62544.5</v>
      </c>
      <c r="L1459" s="197">
        <v>17355</v>
      </c>
      <c r="M1459" s="197">
        <v>0</v>
      </c>
      <c r="N1459" s="197">
        <v>0</v>
      </c>
      <c r="O1459" s="197">
        <v>0</v>
      </c>
      <c r="P1459" s="197">
        <v>-6</v>
      </c>
      <c r="Q1459" s="197">
        <v>-9.5922494624312016E-5</v>
      </c>
      <c r="R1459" s="260" t="s">
        <v>239</v>
      </c>
      <c r="S1459" s="260" t="s">
        <v>514</v>
      </c>
      <c r="T1459" s="260" t="s">
        <v>239</v>
      </c>
      <c r="U1459" s="260" t="s">
        <v>514</v>
      </c>
    </row>
    <row r="1460" spans="1:21" ht="14.5" x14ac:dyDescent="0.35">
      <c r="A1460" s="260" t="s">
        <v>747</v>
      </c>
      <c r="B1460" s="190">
        <v>46016</v>
      </c>
      <c r="C1460" s="197">
        <v>62544.5</v>
      </c>
      <c r="D1460" s="197">
        <v>0</v>
      </c>
      <c r="E1460" s="197">
        <v>0</v>
      </c>
      <c r="F1460" s="197">
        <v>0</v>
      </c>
      <c r="G1460" s="197">
        <v>45855</v>
      </c>
      <c r="H1460" s="197">
        <v>16684</v>
      </c>
      <c r="I1460" s="197">
        <v>0</v>
      </c>
      <c r="J1460" s="197">
        <v>62539</v>
      </c>
      <c r="K1460" s="197">
        <v>62539</v>
      </c>
      <c r="L1460" s="197">
        <v>17355</v>
      </c>
      <c r="M1460" s="197">
        <v>0</v>
      </c>
      <c r="N1460" s="197">
        <v>0</v>
      </c>
      <c r="O1460" s="197">
        <v>0</v>
      </c>
      <c r="P1460" s="197">
        <v>-5.5</v>
      </c>
      <c r="Q1460" s="197">
        <v>-8.7937388579373277E-5</v>
      </c>
      <c r="R1460" s="260" t="s">
        <v>239</v>
      </c>
      <c r="S1460" s="260" t="s">
        <v>514</v>
      </c>
      <c r="T1460" s="260" t="s">
        <v>239</v>
      </c>
      <c r="U1460" s="260" t="s">
        <v>514</v>
      </c>
    </row>
    <row r="1461" spans="1:21" ht="14.5" x14ac:dyDescent="0.35">
      <c r="A1461" s="260" t="s">
        <v>747</v>
      </c>
      <c r="B1461" s="190">
        <v>46017</v>
      </c>
      <c r="C1461" s="197">
        <v>62539</v>
      </c>
      <c r="D1461" s="197">
        <v>0</v>
      </c>
      <c r="E1461" s="197">
        <v>0</v>
      </c>
      <c r="F1461" s="197">
        <v>0</v>
      </c>
      <c r="G1461" s="197">
        <v>45855</v>
      </c>
      <c r="H1461" s="197">
        <v>16678.5</v>
      </c>
      <c r="I1461" s="197">
        <v>0</v>
      </c>
      <c r="J1461" s="197">
        <v>62533.5</v>
      </c>
      <c r="K1461" s="197">
        <v>62533.5</v>
      </c>
      <c r="L1461" s="197">
        <v>17355</v>
      </c>
      <c r="M1461" s="197">
        <v>0</v>
      </c>
      <c r="N1461" s="197">
        <v>0</v>
      </c>
      <c r="O1461" s="197">
        <v>0</v>
      </c>
      <c r="P1461" s="197">
        <v>-5.5</v>
      </c>
      <c r="Q1461" s="197">
        <v>-8.7945122243748841E-5</v>
      </c>
      <c r="R1461" s="260" t="s">
        <v>239</v>
      </c>
      <c r="S1461" s="260" t="s">
        <v>514</v>
      </c>
      <c r="T1461" s="260" t="s">
        <v>239</v>
      </c>
      <c r="U1461" s="260" t="s">
        <v>514</v>
      </c>
    </row>
    <row r="1462" spans="1:21" ht="14.5" x14ac:dyDescent="0.35">
      <c r="A1462" s="260" t="s">
        <v>747</v>
      </c>
      <c r="B1462" s="190">
        <v>46018</v>
      </c>
      <c r="C1462" s="197">
        <v>62533.5</v>
      </c>
      <c r="D1462" s="197">
        <v>0</v>
      </c>
      <c r="E1462" s="197">
        <v>0</v>
      </c>
      <c r="F1462" s="197">
        <v>0</v>
      </c>
      <c r="G1462" s="197">
        <v>45855</v>
      </c>
      <c r="H1462" s="197">
        <v>16678.5</v>
      </c>
      <c r="I1462" s="197">
        <v>0</v>
      </c>
      <c r="J1462" s="197">
        <v>62533.5</v>
      </c>
      <c r="K1462" s="197">
        <v>62533.5</v>
      </c>
      <c r="L1462" s="197">
        <v>17355</v>
      </c>
      <c r="M1462" s="197">
        <v>0</v>
      </c>
      <c r="N1462" s="197">
        <v>0</v>
      </c>
      <c r="O1462" s="197">
        <v>0</v>
      </c>
      <c r="P1462" s="197">
        <v>0</v>
      </c>
      <c r="Q1462" s="197">
        <v>0</v>
      </c>
      <c r="R1462" s="260" t="s">
        <v>239</v>
      </c>
      <c r="S1462" s="260" t="s">
        <v>514</v>
      </c>
      <c r="T1462" s="260" t="s">
        <v>239</v>
      </c>
      <c r="U1462" s="260" t="s">
        <v>514</v>
      </c>
    </row>
    <row r="1463" spans="1:21" ht="14.5" x14ac:dyDescent="0.35">
      <c r="A1463" s="260" t="s">
        <v>747</v>
      </c>
      <c r="B1463" s="190">
        <v>46019</v>
      </c>
      <c r="C1463" s="197">
        <v>62533.5</v>
      </c>
      <c r="D1463" s="197">
        <v>0</v>
      </c>
      <c r="E1463" s="197">
        <v>0</v>
      </c>
      <c r="F1463" s="197">
        <v>0</v>
      </c>
      <c r="G1463" s="197">
        <v>45855</v>
      </c>
      <c r="H1463" s="197">
        <v>16678.5</v>
      </c>
      <c r="I1463" s="197">
        <v>0</v>
      </c>
      <c r="J1463" s="197">
        <v>62533.5</v>
      </c>
      <c r="K1463" s="197">
        <v>62533.5</v>
      </c>
      <c r="L1463" s="197">
        <v>17355</v>
      </c>
      <c r="M1463" s="197">
        <v>0</v>
      </c>
      <c r="N1463" s="197">
        <v>0</v>
      </c>
      <c r="O1463" s="197">
        <v>0</v>
      </c>
      <c r="P1463" s="197">
        <v>0</v>
      </c>
      <c r="Q1463" s="197">
        <v>0</v>
      </c>
      <c r="R1463" s="260" t="s">
        <v>239</v>
      </c>
      <c r="S1463" s="260" t="s">
        <v>514</v>
      </c>
      <c r="T1463" s="260" t="s">
        <v>239</v>
      </c>
      <c r="U1463" s="260" t="s">
        <v>514</v>
      </c>
    </row>
    <row r="1464" spans="1:21" ht="14.5" x14ac:dyDescent="0.35">
      <c r="A1464" s="260" t="s">
        <v>747</v>
      </c>
      <c r="B1464" s="190">
        <v>46020</v>
      </c>
      <c r="C1464" s="197">
        <v>62533.5</v>
      </c>
      <c r="D1464" s="197">
        <v>0</v>
      </c>
      <c r="E1464" s="197">
        <v>0</v>
      </c>
      <c r="F1464" s="197">
        <v>0</v>
      </c>
      <c r="G1464" s="197">
        <v>45855</v>
      </c>
      <c r="H1464" s="197">
        <v>16661.5</v>
      </c>
      <c r="I1464" s="197">
        <v>0</v>
      </c>
      <c r="J1464" s="197">
        <v>62516.5</v>
      </c>
      <c r="K1464" s="197">
        <v>62516.5</v>
      </c>
      <c r="L1464" s="197">
        <v>17355</v>
      </c>
      <c r="M1464" s="197">
        <v>0</v>
      </c>
      <c r="N1464" s="197">
        <v>0</v>
      </c>
      <c r="O1464" s="197">
        <v>0</v>
      </c>
      <c r="P1464" s="197">
        <v>-17</v>
      </c>
      <c r="Q1464" s="197">
        <v>-2.7185428610265738E-4</v>
      </c>
      <c r="R1464" s="260" t="s">
        <v>239</v>
      </c>
      <c r="S1464" s="260" t="s">
        <v>514</v>
      </c>
      <c r="T1464" s="260" t="s">
        <v>239</v>
      </c>
      <c r="U1464" s="260" t="s">
        <v>514</v>
      </c>
    </row>
    <row r="1465" spans="1:21" ht="14.5" x14ac:dyDescent="0.35">
      <c r="A1465" s="260" t="s">
        <v>747</v>
      </c>
      <c r="B1465" s="190">
        <v>46021</v>
      </c>
      <c r="C1465" s="197">
        <v>62516.5</v>
      </c>
      <c r="D1465" s="197">
        <v>0</v>
      </c>
      <c r="E1465" s="197">
        <v>0</v>
      </c>
      <c r="F1465" s="197">
        <v>0</v>
      </c>
      <c r="G1465" s="197">
        <v>45855</v>
      </c>
      <c r="H1465" s="197">
        <v>16655.5</v>
      </c>
      <c r="I1465" s="197">
        <v>0</v>
      </c>
      <c r="J1465" s="197">
        <v>62510.5</v>
      </c>
      <c r="K1465" s="197">
        <v>62510.5</v>
      </c>
      <c r="L1465" s="197">
        <v>17355</v>
      </c>
      <c r="M1465" s="197">
        <v>0</v>
      </c>
      <c r="N1465" s="197">
        <v>0</v>
      </c>
      <c r="O1465" s="197">
        <v>0</v>
      </c>
      <c r="P1465" s="197">
        <v>-6</v>
      </c>
      <c r="Q1465" s="197">
        <v>-9.5974662689068957E-5</v>
      </c>
      <c r="R1465" s="260" t="s">
        <v>239</v>
      </c>
      <c r="S1465" s="260" t="s">
        <v>514</v>
      </c>
      <c r="T1465" s="260" t="s">
        <v>239</v>
      </c>
      <c r="U1465" s="260" t="s">
        <v>514</v>
      </c>
    </row>
    <row r="1466" spans="1:21" ht="14.5" x14ac:dyDescent="0.35">
      <c r="A1466" s="260" t="s">
        <v>747</v>
      </c>
      <c r="B1466" s="190">
        <v>46022</v>
      </c>
      <c r="C1466" s="197">
        <v>62510.5</v>
      </c>
      <c r="D1466" s="197">
        <v>0</v>
      </c>
      <c r="E1466" s="197">
        <v>0</v>
      </c>
      <c r="F1466" s="197">
        <v>0</v>
      </c>
      <c r="G1466" s="197">
        <v>45840</v>
      </c>
      <c r="H1466" s="197">
        <v>16650</v>
      </c>
      <c r="I1466" s="197">
        <v>0</v>
      </c>
      <c r="J1466" s="197">
        <v>62490</v>
      </c>
      <c r="K1466" s="197">
        <v>62490</v>
      </c>
      <c r="L1466" s="197">
        <v>17355</v>
      </c>
      <c r="M1466" s="197">
        <v>0</v>
      </c>
      <c r="N1466" s="197">
        <v>15</v>
      </c>
      <c r="O1466" s="197">
        <v>0</v>
      </c>
      <c r="P1466" s="197">
        <v>-20.5</v>
      </c>
      <c r="Q1466" s="197">
        <v>-3.279449052558947E-4</v>
      </c>
      <c r="R1466" s="260" t="s">
        <v>239</v>
      </c>
      <c r="S1466" s="260" t="s">
        <v>514</v>
      </c>
      <c r="T1466" s="260" t="s">
        <v>239</v>
      </c>
      <c r="U1466" s="260" t="s">
        <v>514</v>
      </c>
    </row>
    <row r="1467" spans="1:21" ht="14.5" x14ac:dyDescent="0.35">
      <c r="A1467" s="260" t="s">
        <v>649</v>
      </c>
      <c r="B1467" s="190">
        <v>45658</v>
      </c>
      <c r="C1467" s="197">
        <v>0</v>
      </c>
      <c r="D1467" s="197">
        <v>220000</v>
      </c>
      <c r="E1467" s="197">
        <v>0</v>
      </c>
      <c r="F1467" s="197">
        <v>220000</v>
      </c>
      <c r="G1467" s="197">
        <v>220000</v>
      </c>
      <c r="H1467" s="197">
        <v>0</v>
      </c>
      <c r="I1467" s="197">
        <v>0</v>
      </c>
      <c r="J1467" s="197">
        <v>220000</v>
      </c>
      <c r="K1467" s="197">
        <v>220000</v>
      </c>
      <c r="L1467" s="197">
        <v>0</v>
      </c>
      <c r="M1467" s="197">
        <v>0</v>
      </c>
      <c r="N1467" s="197">
        <v>0</v>
      </c>
      <c r="O1467" s="197">
        <v>0</v>
      </c>
      <c r="P1467" s="197">
        <v>0</v>
      </c>
      <c r="Q1467" s="197">
        <v>0</v>
      </c>
      <c r="R1467" s="260" t="s">
        <v>239</v>
      </c>
      <c r="S1467" s="260" t="s">
        <v>514</v>
      </c>
      <c r="T1467" s="260" t="s">
        <v>239</v>
      </c>
      <c r="U1467" s="260" t="s">
        <v>514</v>
      </c>
    </row>
    <row r="1468" spans="1:21" ht="14.5" x14ac:dyDescent="0.35">
      <c r="A1468" s="260" t="s">
        <v>649</v>
      </c>
      <c r="B1468" s="190">
        <v>45659</v>
      </c>
      <c r="C1468" s="197">
        <v>220000</v>
      </c>
      <c r="D1468" s="197">
        <v>0</v>
      </c>
      <c r="E1468" s="197">
        <v>0</v>
      </c>
      <c r="F1468" s="197">
        <v>0</v>
      </c>
      <c r="G1468" s="197">
        <v>163944</v>
      </c>
      <c r="H1468" s="197">
        <v>55994.1</v>
      </c>
      <c r="I1468" s="197">
        <v>0</v>
      </c>
      <c r="J1468" s="197">
        <v>219938.1</v>
      </c>
      <c r="K1468" s="197">
        <v>219938.1</v>
      </c>
      <c r="L1468" s="197">
        <v>56056</v>
      </c>
      <c r="M1468" s="197">
        <v>0</v>
      </c>
      <c r="N1468" s="197">
        <v>56</v>
      </c>
      <c r="O1468" s="197">
        <v>0</v>
      </c>
      <c r="P1468" s="197">
        <v>-61.899999999994179</v>
      </c>
      <c r="Q1468" s="197">
        <v>-2.8136363636366291E-4</v>
      </c>
      <c r="R1468" s="260" t="s">
        <v>239</v>
      </c>
      <c r="S1468" s="260" t="s">
        <v>514</v>
      </c>
      <c r="T1468" s="260" t="s">
        <v>239</v>
      </c>
      <c r="U1468" s="260" t="s">
        <v>514</v>
      </c>
    </row>
    <row r="1469" spans="1:21" ht="14.5" x14ac:dyDescent="0.35">
      <c r="A1469" s="260" t="s">
        <v>649</v>
      </c>
      <c r="B1469" s="190">
        <v>45660</v>
      </c>
      <c r="C1469" s="197">
        <v>219938.1</v>
      </c>
      <c r="D1469" s="197">
        <v>0</v>
      </c>
      <c r="E1469" s="197">
        <v>0</v>
      </c>
      <c r="F1469" s="197">
        <v>0</v>
      </c>
      <c r="G1469" s="197">
        <v>163944</v>
      </c>
      <c r="H1469" s="197">
        <v>55986.9</v>
      </c>
      <c r="I1469" s="197">
        <v>0</v>
      </c>
      <c r="J1469" s="197">
        <v>219930.9</v>
      </c>
      <c r="K1469" s="197">
        <v>219930.9</v>
      </c>
      <c r="L1469" s="197">
        <v>56056</v>
      </c>
      <c r="M1469" s="197">
        <v>0</v>
      </c>
      <c r="N1469" s="197">
        <v>0</v>
      </c>
      <c r="O1469" s="197">
        <v>0</v>
      </c>
      <c r="P1469" s="197">
        <v>-7.2000000000116415</v>
      </c>
      <c r="Q1469" s="197">
        <v>-3.2736483583373222E-5</v>
      </c>
      <c r="R1469" s="260" t="s">
        <v>239</v>
      </c>
      <c r="S1469" s="260" t="s">
        <v>514</v>
      </c>
      <c r="T1469" s="260" t="s">
        <v>239</v>
      </c>
      <c r="U1469" s="260" t="s">
        <v>514</v>
      </c>
    </row>
    <row r="1470" spans="1:21" ht="14.5" x14ac:dyDescent="0.35">
      <c r="A1470" s="260" t="s">
        <v>649</v>
      </c>
      <c r="B1470" s="190">
        <v>45661</v>
      </c>
      <c r="C1470" s="197">
        <v>219930.9</v>
      </c>
      <c r="D1470" s="197">
        <v>0</v>
      </c>
      <c r="E1470" s="197">
        <v>0</v>
      </c>
      <c r="F1470" s="197">
        <v>0</v>
      </c>
      <c r="G1470" s="197">
        <v>163944</v>
      </c>
      <c r="H1470" s="197">
        <v>55986.9</v>
      </c>
      <c r="I1470" s="197">
        <v>0</v>
      </c>
      <c r="J1470" s="197">
        <v>219930.9</v>
      </c>
      <c r="K1470" s="197">
        <v>219930.9</v>
      </c>
      <c r="L1470" s="197">
        <v>56056</v>
      </c>
      <c r="M1470" s="197">
        <v>0</v>
      </c>
      <c r="N1470" s="197">
        <v>0</v>
      </c>
      <c r="O1470" s="197">
        <v>0</v>
      </c>
      <c r="P1470" s="197">
        <v>0</v>
      </c>
      <c r="Q1470" s="197">
        <v>0</v>
      </c>
      <c r="R1470" s="260" t="s">
        <v>239</v>
      </c>
      <c r="S1470" s="260" t="s">
        <v>514</v>
      </c>
      <c r="T1470" s="260" t="s">
        <v>239</v>
      </c>
      <c r="U1470" s="260" t="s">
        <v>514</v>
      </c>
    </row>
    <row r="1471" spans="1:21" ht="14.5" x14ac:dyDescent="0.35">
      <c r="A1471" s="260" t="s">
        <v>649</v>
      </c>
      <c r="B1471" s="190">
        <v>45662</v>
      </c>
      <c r="C1471" s="197">
        <v>219930.9</v>
      </c>
      <c r="D1471" s="197">
        <v>0</v>
      </c>
      <c r="E1471" s="197">
        <v>0</v>
      </c>
      <c r="F1471" s="197">
        <v>0</v>
      </c>
      <c r="G1471" s="197">
        <v>163944</v>
      </c>
      <c r="H1471" s="197">
        <v>55986.9</v>
      </c>
      <c r="I1471" s="197">
        <v>0</v>
      </c>
      <c r="J1471" s="197">
        <v>219930.9</v>
      </c>
      <c r="K1471" s="197">
        <v>219930.9</v>
      </c>
      <c r="L1471" s="197">
        <v>56056</v>
      </c>
      <c r="M1471" s="197">
        <v>0</v>
      </c>
      <c r="N1471" s="197">
        <v>0</v>
      </c>
      <c r="O1471" s="197">
        <v>0</v>
      </c>
      <c r="P1471" s="197">
        <v>0</v>
      </c>
      <c r="Q1471" s="197">
        <v>0</v>
      </c>
      <c r="R1471" s="260" t="s">
        <v>239</v>
      </c>
      <c r="S1471" s="260" t="s">
        <v>514</v>
      </c>
      <c r="T1471" s="260" t="s">
        <v>239</v>
      </c>
      <c r="U1471" s="260" t="s">
        <v>514</v>
      </c>
    </row>
    <row r="1472" spans="1:21" ht="14.5" x14ac:dyDescent="0.35">
      <c r="A1472" s="260" t="s">
        <v>649</v>
      </c>
      <c r="B1472" s="190">
        <v>45663</v>
      </c>
      <c r="C1472" s="197">
        <v>219930.9</v>
      </c>
      <c r="D1472" s="197">
        <v>0</v>
      </c>
      <c r="E1472" s="197">
        <v>0</v>
      </c>
      <c r="F1472" s="197">
        <v>0</v>
      </c>
      <c r="G1472" s="197">
        <v>163944</v>
      </c>
      <c r="H1472" s="197">
        <v>55967.9</v>
      </c>
      <c r="I1472" s="197">
        <v>0</v>
      </c>
      <c r="J1472" s="197">
        <v>219911.9</v>
      </c>
      <c r="K1472" s="197">
        <v>219911.9</v>
      </c>
      <c r="L1472" s="197">
        <v>56056</v>
      </c>
      <c r="M1472" s="197">
        <v>0</v>
      </c>
      <c r="N1472" s="197">
        <v>0</v>
      </c>
      <c r="O1472" s="197">
        <v>0</v>
      </c>
      <c r="P1472" s="197">
        <v>-19</v>
      </c>
      <c r="Q1472" s="197">
        <v>-8.6390770919431148E-5</v>
      </c>
      <c r="R1472" s="260" t="s">
        <v>239</v>
      </c>
      <c r="S1472" s="260" t="s">
        <v>514</v>
      </c>
      <c r="T1472" s="260" t="s">
        <v>239</v>
      </c>
      <c r="U1472" s="260" t="s">
        <v>514</v>
      </c>
    </row>
    <row r="1473" spans="1:21" ht="14.5" x14ac:dyDescent="0.35">
      <c r="A1473" s="260" t="s">
        <v>649</v>
      </c>
      <c r="B1473" s="190">
        <v>45664</v>
      </c>
      <c r="C1473" s="197">
        <v>219911.9</v>
      </c>
      <c r="D1473" s="197">
        <v>0</v>
      </c>
      <c r="E1473" s="197">
        <v>0</v>
      </c>
      <c r="F1473" s="197">
        <v>0</v>
      </c>
      <c r="G1473" s="197">
        <v>163944</v>
      </c>
      <c r="H1473" s="197">
        <v>55962</v>
      </c>
      <c r="I1473" s="197">
        <v>0</v>
      </c>
      <c r="J1473" s="197">
        <v>219906</v>
      </c>
      <c r="K1473" s="197">
        <v>219906</v>
      </c>
      <c r="L1473" s="197">
        <v>56056</v>
      </c>
      <c r="M1473" s="197">
        <v>0</v>
      </c>
      <c r="N1473" s="197">
        <v>0</v>
      </c>
      <c r="O1473" s="197">
        <v>0</v>
      </c>
      <c r="P1473" s="197">
        <v>-5.8999999999941792</v>
      </c>
      <c r="Q1473" s="197">
        <v>-2.682892558336647E-5</v>
      </c>
      <c r="R1473" s="260" t="s">
        <v>239</v>
      </c>
      <c r="S1473" s="260" t="s">
        <v>514</v>
      </c>
      <c r="T1473" s="260" t="s">
        <v>239</v>
      </c>
      <c r="U1473" s="260" t="s">
        <v>514</v>
      </c>
    </row>
    <row r="1474" spans="1:21" ht="14.5" x14ac:dyDescent="0.35">
      <c r="A1474" s="260" t="s">
        <v>649</v>
      </c>
      <c r="B1474" s="190">
        <v>45665</v>
      </c>
      <c r="C1474" s="197">
        <v>219906</v>
      </c>
      <c r="D1474" s="197">
        <v>0</v>
      </c>
      <c r="E1474" s="197">
        <v>0</v>
      </c>
      <c r="F1474" s="197">
        <v>0</v>
      </c>
      <c r="G1474" s="197">
        <v>163944</v>
      </c>
      <c r="H1474" s="197">
        <v>55956.1</v>
      </c>
      <c r="I1474" s="197">
        <v>0</v>
      </c>
      <c r="J1474" s="197">
        <v>219900.1</v>
      </c>
      <c r="K1474" s="197">
        <v>219900.1</v>
      </c>
      <c r="L1474" s="197">
        <v>56056</v>
      </c>
      <c r="M1474" s="197">
        <v>0</v>
      </c>
      <c r="N1474" s="197">
        <v>0</v>
      </c>
      <c r="O1474" s="197">
        <v>0</v>
      </c>
      <c r="P1474" s="197">
        <v>-5.8999999999941792</v>
      </c>
      <c r="Q1474" s="197">
        <v>-2.6829645393910972E-5</v>
      </c>
      <c r="R1474" s="260" t="s">
        <v>239</v>
      </c>
      <c r="S1474" s="260" t="s">
        <v>514</v>
      </c>
      <c r="T1474" s="260" t="s">
        <v>239</v>
      </c>
      <c r="U1474" s="260" t="s">
        <v>514</v>
      </c>
    </row>
    <row r="1475" spans="1:21" ht="14.5" x14ac:dyDescent="0.35">
      <c r="A1475" s="260" t="s">
        <v>649</v>
      </c>
      <c r="B1475" s="190">
        <v>45666</v>
      </c>
      <c r="C1475" s="197">
        <v>219900.1</v>
      </c>
      <c r="D1475" s="197">
        <v>0</v>
      </c>
      <c r="E1475" s="197">
        <v>0</v>
      </c>
      <c r="F1475" s="197">
        <v>0</v>
      </c>
      <c r="G1475" s="197">
        <v>163944</v>
      </c>
      <c r="H1475" s="197">
        <v>55948.9</v>
      </c>
      <c r="I1475" s="197">
        <v>0</v>
      </c>
      <c r="J1475" s="197">
        <v>219892.9</v>
      </c>
      <c r="K1475" s="197">
        <v>219892.9</v>
      </c>
      <c r="L1475" s="197">
        <v>56056</v>
      </c>
      <c r="M1475" s="197">
        <v>0</v>
      </c>
      <c r="N1475" s="197">
        <v>0</v>
      </c>
      <c r="O1475" s="197">
        <v>0</v>
      </c>
      <c r="P1475" s="197">
        <v>-7.2000000000116415</v>
      </c>
      <c r="Q1475" s="197">
        <v>-3.2742140635755312E-5</v>
      </c>
      <c r="R1475" s="260" t="s">
        <v>239</v>
      </c>
      <c r="S1475" s="260" t="s">
        <v>514</v>
      </c>
      <c r="T1475" s="260" t="s">
        <v>239</v>
      </c>
      <c r="U1475" s="260" t="s">
        <v>514</v>
      </c>
    </row>
    <row r="1476" spans="1:21" ht="14.5" x14ac:dyDescent="0.35">
      <c r="A1476" s="260" t="s">
        <v>649</v>
      </c>
      <c r="B1476" s="190">
        <v>45667</v>
      </c>
      <c r="C1476" s="197">
        <v>219892.9</v>
      </c>
      <c r="D1476" s="197">
        <v>0</v>
      </c>
      <c r="E1476" s="197">
        <v>0</v>
      </c>
      <c r="F1476" s="197">
        <v>0</v>
      </c>
      <c r="G1476" s="197">
        <v>163944</v>
      </c>
      <c r="H1476" s="197">
        <v>55943</v>
      </c>
      <c r="I1476" s="197">
        <v>0</v>
      </c>
      <c r="J1476" s="197">
        <v>219887</v>
      </c>
      <c r="K1476" s="197">
        <v>219887</v>
      </c>
      <c r="L1476" s="197">
        <v>56056</v>
      </c>
      <c r="M1476" s="197">
        <v>0</v>
      </c>
      <c r="N1476" s="197">
        <v>0</v>
      </c>
      <c r="O1476" s="197">
        <v>0</v>
      </c>
      <c r="P1476" s="197">
        <v>-5.8999999999941792</v>
      </c>
      <c r="Q1476" s="197">
        <v>-2.6831243755465195E-5</v>
      </c>
      <c r="R1476" s="260" t="s">
        <v>239</v>
      </c>
      <c r="S1476" s="260" t="s">
        <v>514</v>
      </c>
      <c r="T1476" s="260" t="s">
        <v>239</v>
      </c>
      <c r="U1476" s="260" t="s">
        <v>514</v>
      </c>
    </row>
    <row r="1477" spans="1:21" ht="14.5" x14ac:dyDescent="0.35">
      <c r="A1477" s="260" t="s">
        <v>649</v>
      </c>
      <c r="B1477" s="190">
        <v>45668</v>
      </c>
      <c r="C1477" s="197">
        <v>219887</v>
      </c>
      <c r="D1477" s="197">
        <v>0</v>
      </c>
      <c r="E1477" s="197">
        <v>0</v>
      </c>
      <c r="F1477" s="197">
        <v>0</v>
      </c>
      <c r="G1477" s="197">
        <v>163944</v>
      </c>
      <c r="H1477" s="197">
        <v>55943</v>
      </c>
      <c r="I1477" s="197">
        <v>0</v>
      </c>
      <c r="J1477" s="197">
        <v>219887</v>
      </c>
      <c r="K1477" s="197">
        <v>219887</v>
      </c>
      <c r="L1477" s="197">
        <v>56056</v>
      </c>
      <c r="M1477" s="197">
        <v>0</v>
      </c>
      <c r="N1477" s="197">
        <v>0</v>
      </c>
      <c r="O1477" s="197">
        <v>0</v>
      </c>
      <c r="P1477" s="197">
        <v>0</v>
      </c>
      <c r="Q1477" s="197">
        <v>0</v>
      </c>
      <c r="R1477" s="260" t="s">
        <v>239</v>
      </c>
      <c r="S1477" s="260" t="s">
        <v>514</v>
      </c>
      <c r="T1477" s="260" t="s">
        <v>239</v>
      </c>
      <c r="U1477" s="260" t="s">
        <v>514</v>
      </c>
    </row>
    <row r="1478" spans="1:21" ht="14.5" x14ac:dyDescent="0.35">
      <c r="A1478" s="260" t="s">
        <v>649</v>
      </c>
      <c r="B1478" s="190">
        <v>45669</v>
      </c>
      <c r="C1478" s="197">
        <v>219887</v>
      </c>
      <c r="D1478" s="197">
        <v>0</v>
      </c>
      <c r="E1478" s="197">
        <v>0</v>
      </c>
      <c r="F1478" s="197">
        <v>0</v>
      </c>
      <c r="G1478" s="197">
        <v>163944</v>
      </c>
      <c r="H1478" s="197">
        <v>55943</v>
      </c>
      <c r="I1478" s="197">
        <v>0</v>
      </c>
      <c r="J1478" s="197">
        <v>219887</v>
      </c>
      <c r="K1478" s="197">
        <v>219887</v>
      </c>
      <c r="L1478" s="197">
        <v>56056</v>
      </c>
      <c r="M1478" s="197">
        <v>0</v>
      </c>
      <c r="N1478" s="197">
        <v>0</v>
      </c>
      <c r="O1478" s="197">
        <v>0</v>
      </c>
      <c r="P1478" s="197">
        <v>0</v>
      </c>
      <c r="Q1478" s="197">
        <v>0</v>
      </c>
      <c r="R1478" s="260" t="s">
        <v>239</v>
      </c>
      <c r="S1478" s="260" t="s">
        <v>514</v>
      </c>
      <c r="T1478" s="260" t="s">
        <v>239</v>
      </c>
      <c r="U1478" s="260" t="s">
        <v>514</v>
      </c>
    </row>
    <row r="1479" spans="1:21" ht="14.5" x14ac:dyDescent="0.35">
      <c r="A1479" s="260" t="s">
        <v>649</v>
      </c>
      <c r="B1479" s="190">
        <v>45670</v>
      </c>
      <c r="C1479" s="197">
        <v>219887</v>
      </c>
      <c r="D1479" s="197">
        <v>0</v>
      </c>
      <c r="E1479" s="197">
        <v>0</v>
      </c>
      <c r="F1479" s="197">
        <v>0</v>
      </c>
      <c r="G1479" s="197">
        <v>163944</v>
      </c>
      <c r="H1479" s="197">
        <v>55924</v>
      </c>
      <c r="I1479" s="197">
        <v>0</v>
      </c>
      <c r="J1479" s="197">
        <v>219868</v>
      </c>
      <c r="K1479" s="197">
        <v>219868</v>
      </c>
      <c r="L1479" s="197">
        <v>56056</v>
      </c>
      <c r="M1479" s="197">
        <v>0</v>
      </c>
      <c r="N1479" s="197">
        <v>0</v>
      </c>
      <c r="O1479" s="197">
        <v>0</v>
      </c>
      <c r="P1479" s="197">
        <v>-19</v>
      </c>
      <c r="Q1479" s="197">
        <v>-8.6408018664108077E-5</v>
      </c>
      <c r="R1479" s="260" t="s">
        <v>239</v>
      </c>
      <c r="S1479" s="260" t="s">
        <v>514</v>
      </c>
      <c r="T1479" s="260" t="s">
        <v>239</v>
      </c>
      <c r="U1479" s="260" t="s">
        <v>514</v>
      </c>
    </row>
    <row r="1480" spans="1:21" ht="14.5" x14ac:dyDescent="0.35">
      <c r="A1480" s="260" t="s">
        <v>649</v>
      </c>
      <c r="B1480" s="190">
        <v>45671</v>
      </c>
      <c r="C1480" s="197">
        <v>219868</v>
      </c>
      <c r="D1480" s="197">
        <v>0</v>
      </c>
      <c r="E1480" s="197">
        <v>0</v>
      </c>
      <c r="F1480" s="197">
        <v>0</v>
      </c>
      <c r="G1480" s="197">
        <v>163944</v>
      </c>
      <c r="H1480" s="197">
        <v>55918.1</v>
      </c>
      <c r="I1480" s="197">
        <v>0</v>
      </c>
      <c r="J1480" s="197">
        <v>219862.1</v>
      </c>
      <c r="K1480" s="197">
        <v>219862.1</v>
      </c>
      <c r="L1480" s="197">
        <v>56056</v>
      </c>
      <c r="M1480" s="197">
        <v>0</v>
      </c>
      <c r="N1480" s="197">
        <v>0</v>
      </c>
      <c r="O1480" s="197">
        <v>0</v>
      </c>
      <c r="P1480" s="197">
        <v>-5.8999999999941792</v>
      </c>
      <c r="Q1480" s="197">
        <v>-2.6834282387588893E-5</v>
      </c>
      <c r="R1480" s="260" t="s">
        <v>239</v>
      </c>
      <c r="S1480" s="260" t="s">
        <v>514</v>
      </c>
      <c r="T1480" s="260" t="s">
        <v>239</v>
      </c>
      <c r="U1480" s="260" t="s">
        <v>514</v>
      </c>
    </row>
    <row r="1481" spans="1:21" ht="14.5" x14ac:dyDescent="0.35">
      <c r="A1481" s="260" t="s">
        <v>649</v>
      </c>
      <c r="B1481" s="190">
        <v>45672</v>
      </c>
      <c r="C1481" s="197">
        <v>219862.1</v>
      </c>
      <c r="D1481" s="197">
        <v>0</v>
      </c>
      <c r="E1481" s="197">
        <v>0</v>
      </c>
      <c r="F1481" s="197">
        <v>0</v>
      </c>
      <c r="G1481" s="197">
        <v>163944</v>
      </c>
      <c r="H1481" s="197">
        <v>55910.9</v>
      </c>
      <c r="I1481" s="197">
        <v>0</v>
      </c>
      <c r="J1481" s="197">
        <v>219854.9</v>
      </c>
      <c r="K1481" s="197">
        <v>219854.9</v>
      </c>
      <c r="L1481" s="197">
        <v>56056</v>
      </c>
      <c r="M1481" s="197">
        <v>0</v>
      </c>
      <c r="N1481" s="197">
        <v>0</v>
      </c>
      <c r="O1481" s="197">
        <v>0</v>
      </c>
      <c r="P1481" s="197">
        <v>-7.2000000000116415</v>
      </c>
      <c r="Q1481" s="197">
        <v>-3.2747799643573217E-5</v>
      </c>
      <c r="R1481" s="260" t="s">
        <v>239</v>
      </c>
      <c r="S1481" s="260" t="s">
        <v>514</v>
      </c>
      <c r="T1481" s="260" t="s">
        <v>239</v>
      </c>
      <c r="U1481" s="260" t="s">
        <v>514</v>
      </c>
    </row>
    <row r="1482" spans="1:21" ht="14.5" x14ac:dyDescent="0.35">
      <c r="A1482" s="260" t="s">
        <v>649</v>
      </c>
      <c r="B1482" s="190">
        <v>45673</v>
      </c>
      <c r="C1482" s="197">
        <v>219854.9</v>
      </c>
      <c r="D1482" s="197">
        <v>0</v>
      </c>
      <c r="E1482" s="197">
        <v>0</v>
      </c>
      <c r="F1482" s="197">
        <v>0</v>
      </c>
      <c r="G1482" s="197">
        <v>163944</v>
      </c>
      <c r="H1482" s="197">
        <v>55905</v>
      </c>
      <c r="I1482" s="197">
        <v>0</v>
      </c>
      <c r="J1482" s="197">
        <v>219849</v>
      </c>
      <c r="K1482" s="197">
        <v>219849</v>
      </c>
      <c r="L1482" s="197">
        <v>56056</v>
      </c>
      <c r="M1482" s="197">
        <v>0</v>
      </c>
      <c r="N1482" s="197">
        <v>0</v>
      </c>
      <c r="O1482" s="197">
        <v>0</v>
      </c>
      <c r="P1482" s="197">
        <v>-5.8999999999941792</v>
      </c>
      <c r="Q1482" s="197">
        <v>-2.6835881301701114E-5</v>
      </c>
      <c r="R1482" s="260" t="s">
        <v>239</v>
      </c>
      <c r="S1482" s="260" t="s">
        <v>514</v>
      </c>
      <c r="T1482" s="260" t="s">
        <v>239</v>
      </c>
      <c r="U1482" s="260" t="s">
        <v>514</v>
      </c>
    </row>
    <row r="1483" spans="1:21" ht="14.5" x14ac:dyDescent="0.35">
      <c r="A1483" s="260" t="s">
        <v>649</v>
      </c>
      <c r="B1483" s="190">
        <v>45674</v>
      </c>
      <c r="C1483" s="197">
        <v>219849</v>
      </c>
      <c r="D1483" s="197">
        <v>0</v>
      </c>
      <c r="E1483" s="197">
        <v>0</v>
      </c>
      <c r="F1483" s="197">
        <v>0</v>
      </c>
      <c r="G1483" s="197">
        <v>163944</v>
      </c>
      <c r="H1483" s="197">
        <v>55899.1</v>
      </c>
      <c r="I1483" s="197">
        <v>0</v>
      </c>
      <c r="J1483" s="197">
        <v>219843.1</v>
      </c>
      <c r="K1483" s="197">
        <v>219843.1</v>
      </c>
      <c r="L1483" s="197">
        <v>56056</v>
      </c>
      <c r="M1483" s="197">
        <v>0</v>
      </c>
      <c r="N1483" s="197">
        <v>0</v>
      </c>
      <c r="O1483" s="197">
        <v>0</v>
      </c>
      <c r="P1483" s="197">
        <v>-5.8999999999941792</v>
      </c>
      <c r="Q1483" s="197">
        <v>-2.6836601485502598E-5</v>
      </c>
      <c r="R1483" s="260" t="s">
        <v>239</v>
      </c>
      <c r="S1483" s="260" t="s">
        <v>514</v>
      </c>
      <c r="T1483" s="260" t="s">
        <v>239</v>
      </c>
      <c r="U1483" s="260" t="s">
        <v>514</v>
      </c>
    </row>
    <row r="1484" spans="1:21" ht="14.5" x14ac:dyDescent="0.35">
      <c r="A1484" s="260" t="s">
        <v>649</v>
      </c>
      <c r="B1484" s="190">
        <v>45675</v>
      </c>
      <c r="C1484" s="197">
        <v>219843.1</v>
      </c>
      <c r="D1484" s="197">
        <v>0</v>
      </c>
      <c r="E1484" s="197">
        <v>0</v>
      </c>
      <c r="F1484" s="197">
        <v>0</v>
      </c>
      <c r="G1484" s="197">
        <v>163944</v>
      </c>
      <c r="H1484" s="197">
        <v>55899.1</v>
      </c>
      <c r="I1484" s="197">
        <v>0</v>
      </c>
      <c r="J1484" s="197">
        <v>219843.1</v>
      </c>
      <c r="K1484" s="197">
        <v>219843.1</v>
      </c>
      <c r="L1484" s="197">
        <v>56056</v>
      </c>
      <c r="M1484" s="197">
        <v>0</v>
      </c>
      <c r="N1484" s="197">
        <v>0</v>
      </c>
      <c r="O1484" s="197">
        <v>0</v>
      </c>
      <c r="P1484" s="197">
        <v>0</v>
      </c>
      <c r="Q1484" s="197">
        <v>0</v>
      </c>
      <c r="R1484" s="260" t="s">
        <v>239</v>
      </c>
      <c r="S1484" s="260" t="s">
        <v>514</v>
      </c>
      <c r="T1484" s="260" t="s">
        <v>239</v>
      </c>
      <c r="U1484" s="260" t="s">
        <v>514</v>
      </c>
    </row>
    <row r="1485" spans="1:21" ht="14.5" x14ac:dyDescent="0.35">
      <c r="A1485" s="260" t="s">
        <v>649</v>
      </c>
      <c r="B1485" s="190">
        <v>45676</v>
      </c>
      <c r="C1485" s="197">
        <v>219843.1</v>
      </c>
      <c r="D1485" s="197">
        <v>0</v>
      </c>
      <c r="E1485" s="197">
        <v>0</v>
      </c>
      <c r="F1485" s="197">
        <v>0</v>
      </c>
      <c r="G1485" s="197">
        <v>163944</v>
      </c>
      <c r="H1485" s="197">
        <v>55899.1</v>
      </c>
      <c r="I1485" s="197">
        <v>0</v>
      </c>
      <c r="J1485" s="197">
        <v>219843.1</v>
      </c>
      <c r="K1485" s="197">
        <v>219843.1</v>
      </c>
      <c r="L1485" s="197">
        <v>56056</v>
      </c>
      <c r="M1485" s="197">
        <v>0</v>
      </c>
      <c r="N1485" s="197">
        <v>0</v>
      </c>
      <c r="O1485" s="197">
        <v>0</v>
      </c>
      <c r="P1485" s="197">
        <v>0</v>
      </c>
      <c r="Q1485" s="197">
        <v>0</v>
      </c>
      <c r="R1485" s="260" t="s">
        <v>239</v>
      </c>
      <c r="S1485" s="260" t="s">
        <v>514</v>
      </c>
      <c r="T1485" s="260" t="s">
        <v>239</v>
      </c>
      <c r="U1485" s="260" t="s">
        <v>514</v>
      </c>
    </row>
    <row r="1486" spans="1:21" ht="14.5" x14ac:dyDescent="0.35">
      <c r="A1486" s="260" t="s">
        <v>649</v>
      </c>
      <c r="B1486" s="190">
        <v>45677</v>
      </c>
      <c r="C1486" s="197">
        <v>219843.1</v>
      </c>
      <c r="D1486" s="197">
        <v>0</v>
      </c>
      <c r="E1486" s="197">
        <v>0</v>
      </c>
      <c r="F1486" s="197">
        <v>0</v>
      </c>
      <c r="G1486" s="197">
        <v>163944</v>
      </c>
      <c r="H1486" s="197">
        <v>55880.1</v>
      </c>
      <c r="I1486" s="197">
        <v>0</v>
      </c>
      <c r="J1486" s="197">
        <v>219824.1</v>
      </c>
      <c r="K1486" s="197">
        <v>219824.1</v>
      </c>
      <c r="L1486" s="197">
        <v>56056</v>
      </c>
      <c r="M1486" s="197">
        <v>0</v>
      </c>
      <c r="N1486" s="197">
        <v>0</v>
      </c>
      <c r="O1486" s="197">
        <v>0</v>
      </c>
      <c r="P1486" s="197">
        <v>-19</v>
      </c>
      <c r="Q1486" s="197">
        <v>-8.6425273297163763E-5</v>
      </c>
      <c r="R1486" s="260" t="s">
        <v>239</v>
      </c>
      <c r="S1486" s="260" t="s">
        <v>514</v>
      </c>
      <c r="T1486" s="260" t="s">
        <v>239</v>
      </c>
      <c r="U1486" s="260" t="s">
        <v>514</v>
      </c>
    </row>
    <row r="1487" spans="1:21" ht="14.5" x14ac:dyDescent="0.35">
      <c r="A1487" s="260" t="s">
        <v>649</v>
      </c>
      <c r="B1487" s="190">
        <v>45678</v>
      </c>
      <c r="C1487" s="197">
        <v>219824.1</v>
      </c>
      <c r="D1487" s="197">
        <v>0</v>
      </c>
      <c r="E1487" s="197">
        <v>0</v>
      </c>
      <c r="F1487" s="197">
        <v>0</v>
      </c>
      <c r="G1487" s="197">
        <v>163944</v>
      </c>
      <c r="H1487" s="197">
        <v>55872.9</v>
      </c>
      <c r="I1487" s="197">
        <v>0</v>
      </c>
      <c r="J1487" s="197">
        <v>219816.9</v>
      </c>
      <c r="K1487" s="197">
        <v>219816.9</v>
      </c>
      <c r="L1487" s="197">
        <v>56056</v>
      </c>
      <c r="M1487" s="197">
        <v>0</v>
      </c>
      <c r="N1487" s="197">
        <v>0</v>
      </c>
      <c r="O1487" s="197">
        <v>0</v>
      </c>
      <c r="P1487" s="197">
        <v>-7.2000000000116415</v>
      </c>
      <c r="Q1487" s="197">
        <v>-3.2753460607826135E-5</v>
      </c>
      <c r="R1487" s="260" t="s">
        <v>239</v>
      </c>
      <c r="S1487" s="260" t="s">
        <v>514</v>
      </c>
      <c r="T1487" s="260" t="s">
        <v>239</v>
      </c>
      <c r="U1487" s="260" t="s">
        <v>514</v>
      </c>
    </row>
    <row r="1488" spans="1:21" ht="14.5" x14ac:dyDescent="0.35">
      <c r="A1488" s="260" t="s">
        <v>649</v>
      </c>
      <c r="B1488" s="190">
        <v>45679</v>
      </c>
      <c r="C1488" s="197">
        <v>219816.9</v>
      </c>
      <c r="D1488" s="197">
        <v>0</v>
      </c>
      <c r="E1488" s="197">
        <v>0</v>
      </c>
      <c r="F1488" s="197">
        <v>0</v>
      </c>
      <c r="G1488" s="197">
        <v>163944</v>
      </c>
      <c r="H1488" s="197">
        <v>55867</v>
      </c>
      <c r="I1488" s="197">
        <v>0</v>
      </c>
      <c r="J1488" s="197">
        <v>219811</v>
      </c>
      <c r="K1488" s="197">
        <v>219811</v>
      </c>
      <c r="L1488" s="197">
        <v>56056</v>
      </c>
      <c r="M1488" s="197">
        <v>0</v>
      </c>
      <c r="N1488" s="197">
        <v>0</v>
      </c>
      <c r="O1488" s="197">
        <v>0</v>
      </c>
      <c r="P1488" s="197">
        <v>-5.8999999999941792</v>
      </c>
      <c r="Q1488" s="197">
        <v>-2.6840520451321126E-5</v>
      </c>
      <c r="R1488" s="260" t="s">
        <v>239</v>
      </c>
      <c r="S1488" s="260" t="s">
        <v>514</v>
      </c>
      <c r="T1488" s="260" t="s">
        <v>239</v>
      </c>
      <c r="U1488" s="260" t="s">
        <v>514</v>
      </c>
    </row>
    <row r="1489" spans="1:21" ht="14.5" x14ac:dyDescent="0.35">
      <c r="A1489" s="260" t="s">
        <v>649</v>
      </c>
      <c r="B1489" s="190">
        <v>45680</v>
      </c>
      <c r="C1489" s="197">
        <v>219811</v>
      </c>
      <c r="D1489" s="197">
        <v>0</v>
      </c>
      <c r="E1489" s="197">
        <v>0</v>
      </c>
      <c r="F1489" s="197">
        <v>0</v>
      </c>
      <c r="G1489" s="197">
        <v>163944</v>
      </c>
      <c r="H1489" s="197">
        <v>55861.1</v>
      </c>
      <c r="I1489" s="197">
        <v>0</v>
      </c>
      <c r="J1489" s="197">
        <v>219805.1</v>
      </c>
      <c r="K1489" s="197">
        <v>219805.1</v>
      </c>
      <c r="L1489" s="197">
        <v>56056</v>
      </c>
      <c r="M1489" s="197">
        <v>0</v>
      </c>
      <c r="N1489" s="197">
        <v>0</v>
      </c>
      <c r="O1489" s="197">
        <v>0</v>
      </c>
      <c r="P1489" s="197">
        <v>-5.8999999999941792</v>
      </c>
      <c r="Q1489" s="197">
        <v>-2.6841240884145634E-5</v>
      </c>
      <c r="R1489" s="260" t="s">
        <v>239</v>
      </c>
      <c r="S1489" s="260" t="s">
        <v>514</v>
      </c>
      <c r="T1489" s="260" t="s">
        <v>239</v>
      </c>
      <c r="U1489" s="260" t="s">
        <v>514</v>
      </c>
    </row>
    <row r="1490" spans="1:21" ht="14.5" x14ac:dyDescent="0.35">
      <c r="A1490" s="260" t="s">
        <v>649</v>
      </c>
      <c r="B1490" s="190">
        <v>45681</v>
      </c>
      <c r="C1490" s="197">
        <v>219805.1</v>
      </c>
      <c r="D1490" s="197">
        <v>0</v>
      </c>
      <c r="E1490" s="197">
        <v>0</v>
      </c>
      <c r="F1490" s="197">
        <v>0</v>
      </c>
      <c r="G1490" s="197">
        <v>163944</v>
      </c>
      <c r="H1490" s="197">
        <v>55853.9</v>
      </c>
      <c r="I1490" s="197">
        <v>0</v>
      </c>
      <c r="J1490" s="197">
        <v>219797.9</v>
      </c>
      <c r="K1490" s="197">
        <v>219797.9</v>
      </c>
      <c r="L1490" s="197">
        <v>56056</v>
      </c>
      <c r="M1490" s="197">
        <v>0</v>
      </c>
      <c r="N1490" s="197">
        <v>0</v>
      </c>
      <c r="O1490" s="197">
        <v>0</v>
      </c>
      <c r="P1490" s="197">
        <v>-7.2000000000116415</v>
      </c>
      <c r="Q1490" s="197">
        <v>-3.2756291824087569E-5</v>
      </c>
      <c r="R1490" s="260" t="s">
        <v>239</v>
      </c>
      <c r="S1490" s="260" t="s">
        <v>514</v>
      </c>
      <c r="T1490" s="260" t="s">
        <v>239</v>
      </c>
      <c r="U1490" s="260" t="s">
        <v>514</v>
      </c>
    </row>
    <row r="1491" spans="1:21" ht="14.5" x14ac:dyDescent="0.35">
      <c r="A1491" s="260" t="s">
        <v>649</v>
      </c>
      <c r="B1491" s="190">
        <v>45682</v>
      </c>
      <c r="C1491" s="197">
        <v>219797.9</v>
      </c>
      <c r="D1491" s="197">
        <v>0</v>
      </c>
      <c r="E1491" s="197">
        <v>0</v>
      </c>
      <c r="F1491" s="197">
        <v>0</v>
      </c>
      <c r="G1491" s="197">
        <v>163944</v>
      </c>
      <c r="H1491" s="197">
        <v>55853.9</v>
      </c>
      <c r="I1491" s="197">
        <v>0</v>
      </c>
      <c r="J1491" s="197">
        <v>219797.9</v>
      </c>
      <c r="K1491" s="197">
        <v>219797.9</v>
      </c>
      <c r="L1491" s="197">
        <v>56056</v>
      </c>
      <c r="M1491" s="197">
        <v>0</v>
      </c>
      <c r="N1491" s="197">
        <v>0</v>
      </c>
      <c r="O1491" s="197">
        <v>0</v>
      </c>
      <c r="P1491" s="197">
        <v>0</v>
      </c>
      <c r="Q1491" s="197">
        <v>0</v>
      </c>
      <c r="R1491" s="260" t="s">
        <v>239</v>
      </c>
      <c r="S1491" s="260" t="s">
        <v>514</v>
      </c>
      <c r="T1491" s="260" t="s">
        <v>239</v>
      </c>
      <c r="U1491" s="260" t="s">
        <v>514</v>
      </c>
    </row>
    <row r="1492" spans="1:21" ht="14.5" x14ac:dyDescent="0.35">
      <c r="A1492" s="260" t="s">
        <v>649</v>
      </c>
      <c r="B1492" s="190">
        <v>45683</v>
      </c>
      <c r="C1492" s="197">
        <v>219797.9</v>
      </c>
      <c r="D1492" s="197">
        <v>0</v>
      </c>
      <c r="E1492" s="197">
        <v>0</v>
      </c>
      <c r="F1492" s="197">
        <v>0</v>
      </c>
      <c r="G1492" s="197">
        <v>163944</v>
      </c>
      <c r="H1492" s="197">
        <v>55853.9</v>
      </c>
      <c r="I1492" s="197">
        <v>0</v>
      </c>
      <c r="J1492" s="197">
        <v>219797.9</v>
      </c>
      <c r="K1492" s="197">
        <v>219797.9</v>
      </c>
      <c r="L1492" s="197">
        <v>56056</v>
      </c>
      <c r="M1492" s="197">
        <v>0</v>
      </c>
      <c r="N1492" s="197">
        <v>0</v>
      </c>
      <c r="O1492" s="197">
        <v>0</v>
      </c>
      <c r="P1492" s="197">
        <v>0</v>
      </c>
      <c r="Q1492" s="197">
        <v>0</v>
      </c>
      <c r="R1492" s="260" t="s">
        <v>239</v>
      </c>
      <c r="S1492" s="260" t="s">
        <v>514</v>
      </c>
      <c r="T1492" s="260" t="s">
        <v>239</v>
      </c>
      <c r="U1492" s="260" t="s">
        <v>514</v>
      </c>
    </row>
    <row r="1493" spans="1:21" ht="14.5" x14ac:dyDescent="0.35">
      <c r="A1493" s="260" t="s">
        <v>649</v>
      </c>
      <c r="B1493" s="190">
        <v>45684</v>
      </c>
      <c r="C1493" s="197">
        <v>219797.9</v>
      </c>
      <c r="D1493" s="197">
        <v>0</v>
      </c>
      <c r="E1493" s="197">
        <v>0</v>
      </c>
      <c r="F1493" s="197">
        <v>0</v>
      </c>
      <c r="G1493" s="197">
        <v>163944</v>
      </c>
      <c r="H1493" s="197">
        <v>55834.9</v>
      </c>
      <c r="I1493" s="197">
        <v>0</v>
      </c>
      <c r="J1493" s="197">
        <v>219778.9</v>
      </c>
      <c r="K1493" s="197">
        <v>219778.9</v>
      </c>
      <c r="L1493" s="197">
        <v>56056</v>
      </c>
      <c r="M1493" s="197">
        <v>0</v>
      </c>
      <c r="N1493" s="197">
        <v>0</v>
      </c>
      <c r="O1493" s="197">
        <v>0</v>
      </c>
      <c r="P1493" s="197">
        <v>-19</v>
      </c>
      <c r="Q1493" s="197">
        <v>-8.6443046089179632E-5</v>
      </c>
      <c r="R1493" s="260" t="s">
        <v>239</v>
      </c>
      <c r="S1493" s="260" t="s">
        <v>514</v>
      </c>
      <c r="T1493" s="260" t="s">
        <v>239</v>
      </c>
      <c r="U1493" s="260" t="s">
        <v>514</v>
      </c>
    </row>
    <row r="1494" spans="1:21" ht="14.5" x14ac:dyDescent="0.35">
      <c r="A1494" s="260" t="s">
        <v>649</v>
      </c>
      <c r="B1494" s="190">
        <v>45685</v>
      </c>
      <c r="C1494" s="197">
        <v>219778.9</v>
      </c>
      <c r="D1494" s="197">
        <v>0</v>
      </c>
      <c r="E1494" s="197">
        <v>0</v>
      </c>
      <c r="F1494" s="197">
        <v>0</v>
      </c>
      <c r="G1494" s="197">
        <v>163944</v>
      </c>
      <c r="H1494" s="197">
        <v>55829</v>
      </c>
      <c r="I1494" s="197">
        <v>0</v>
      </c>
      <c r="J1494" s="197">
        <v>219773</v>
      </c>
      <c r="K1494" s="197">
        <v>219773</v>
      </c>
      <c r="L1494" s="197">
        <v>56056</v>
      </c>
      <c r="M1494" s="197">
        <v>0</v>
      </c>
      <c r="N1494" s="197">
        <v>0</v>
      </c>
      <c r="O1494" s="197">
        <v>0</v>
      </c>
      <c r="P1494" s="197">
        <v>-5.8999999999941792</v>
      </c>
      <c r="Q1494" s="197">
        <v>-2.6845161205213408E-5</v>
      </c>
      <c r="R1494" s="260" t="s">
        <v>239</v>
      </c>
      <c r="S1494" s="260" t="s">
        <v>514</v>
      </c>
      <c r="T1494" s="260" t="s">
        <v>239</v>
      </c>
      <c r="U1494" s="260" t="s">
        <v>514</v>
      </c>
    </row>
    <row r="1495" spans="1:21" ht="14.5" x14ac:dyDescent="0.35">
      <c r="A1495" s="260" t="s">
        <v>649</v>
      </c>
      <c r="B1495" s="190">
        <v>45686</v>
      </c>
      <c r="C1495" s="197">
        <v>219773</v>
      </c>
      <c r="D1495" s="197">
        <v>0</v>
      </c>
      <c r="E1495" s="197">
        <v>0</v>
      </c>
      <c r="F1495" s="197">
        <v>0</v>
      </c>
      <c r="G1495" s="197">
        <v>163944</v>
      </c>
      <c r="H1495" s="197">
        <v>55823.1</v>
      </c>
      <c r="I1495" s="197">
        <v>0</v>
      </c>
      <c r="J1495" s="197">
        <v>219767.1</v>
      </c>
      <c r="K1495" s="197">
        <v>219767.1</v>
      </c>
      <c r="L1495" s="197">
        <v>56056</v>
      </c>
      <c r="M1495" s="197">
        <v>0</v>
      </c>
      <c r="N1495" s="197">
        <v>0</v>
      </c>
      <c r="O1495" s="197">
        <v>0</v>
      </c>
      <c r="P1495" s="197">
        <v>-5.8999999999941792</v>
      </c>
      <c r="Q1495" s="197">
        <v>-2.6845881887171963E-5</v>
      </c>
      <c r="R1495" s="260" t="s">
        <v>239</v>
      </c>
      <c r="S1495" s="260" t="s">
        <v>514</v>
      </c>
      <c r="T1495" s="260" t="s">
        <v>239</v>
      </c>
      <c r="U1495" s="260" t="s">
        <v>514</v>
      </c>
    </row>
    <row r="1496" spans="1:21" ht="14.5" x14ac:dyDescent="0.35">
      <c r="A1496" s="260" t="s">
        <v>649</v>
      </c>
      <c r="B1496" s="190">
        <v>45687</v>
      </c>
      <c r="C1496" s="197">
        <v>219767.1</v>
      </c>
      <c r="D1496" s="197">
        <v>0</v>
      </c>
      <c r="E1496" s="197">
        <v>0</v>
      </c>
      <c r="F1496" s="197">
        <v>0</v>
      </c>
      <c r="G1496" s="197">
        <v>163944</v>
      </c>
      <c r="H1496" s="197">
        <v>55815.9</v>
      </c>
      <c r="I1496" s="197">
        <v>0</v>
      </c>
      <c r="J1496" s="197">
        <v>219759.9</v>
      </c>
      <c r="K1496" s="197">
        <v>219759.9</v>
      </c>
      <c r="L1496" s="197">
        <v>56056</v>
      </c>
      <c r="M1496" s="197">
        <v>0</v>
      </c>
      <c r="N1496" s="197">
        <v>0</v>
      </c>
      <c r="O1496" s="197">
        <v>0</v>
      </c>
      <c r="P1496" s="197">
        <v>-7.2000000000116415</v>
      </c>
      <c r="Q1496" s="197">
        <v>-3.276195572499141E-5</v>
      </c>
      <c r="R1496" s="260" t="s">
        <v>239</v>
      </c>
      <c r="S1496" s="260" t="s">
        <v>514</v>
      </c>
      <c r="T1496" s="260" t="s">
        <v>239</v>
      </c>
      <c r="U1496" s="260" t="s">
        <v>514</v>
      </c>
    </row>
    <row r="1497" spans="1:21" ht="14.5" x14ac:dyDescent="0.35">
      <c r="A1497" s="260" t="s">
        <v>649</v>
      </c>
      <c r="B1497" s="190">
        <v>45688</v>
      </c>
      <c r="C1497" s="197">
        <v>219759.9</v>
      </c>
      <c r="D1497" s="197">
        <v>0</v>
      </c>
      <c r="E1497" s="197">
        <v>0</v>
      </c>
      <c r="F1497" s="197">
        <v>0</v>
      </c>
      <c r="G1497" s="197">
        <v>163944</v>
      </c>
      <c r="H1497" s="197">
        <v>55810</v>
      </c>
      <c r="I1497" s="197">
        <v>0</v>
      </c>
      <c r="J1497" s="197">
        <v>219754</v>
      </c>
      <c r="K1497" s="197">
        <v>219754</v>
      </c>
      <c r="L1497" s="197">
        <v>56056</v>
      </c>
      <c r="M1497" s="197">
        <v>0</v>
      </c>
      <c r="N1497" s="197">
        <v>0</v>
      </c>
      <c r="O1497" s="197">
        <v>0</v>
      </c>
      <c r="P1497" s="197">
        <v>-5.8999999999941792</v>
      </c>
      <c r="Q1497" s="197">
        <v>-2.684748218395594E-5</v>
      </c>
      <c r="R1497" s="260" t="s">
        <v>239</v>
      </c>
      <c r="S1497" s="260" t="s">
        <v>514</v>
      </c>
      <c r="T1497" s="260" t="s">
        <v>239</v>
      </c>
      <c r="U1497" s="260" t="s">
        <v>514</v>
      </c>
    </row>
    <row r="1498" spans="1:21" ht="14.5" x14ac:dyDescent="0.35">
      <c r="A1498" s="260" t="s">
        <v>649</v>
      </c>
      <c r="B1498" s="190">
        <v>45689</v>
      </c>
      <c r="C1498" s="197">
        <v>219754</v>
      </c>
      <c r="D1498" s="197">
        <v>0</v>
      </c>
      <c r="E1498" s="197">
        <v>0</v>
      </c>
      <c r="F1498" s="197">
        <v>0</v>
      </c>
      <c r="G1498" s="197">
        <v>163944</v>
      </c>
      <c r="H1498" s="197">
        <v>55810</v>
      </c>
      <c r="I1498" s="197">
        <v>0</v>
      </c>
      <c r="J1498" s="197">
        <v>219754</v>
      </c>
      <c r="K1498" s="197">
        <v>219754</v>
      </c>
      <c r="L1498" s="197">
        <v>56056</v>
      </c>
      <c r="M1498" s="197">
        <v>0</v>
      </c>
      <c r="N1498" s="197">
        <v>0</v>
      </c>
      <c r="O1498" s="197">
        <v>0</v>
      </c>
      <c r="P1498" s="197">
        <v>0</v>
      </c>
      <c r="Q1498" s="197">
        <v>0</v>
      </c>
      <c r="R1498" s="260" t="s">
        <v>239</v>
      </c>
      <c r="S1498" s="260" t="s">
        <v>514</v>
      </c>
      <c r="T1498" s="260" t="s">
        <v>239</v>
      </c>
      <c r="U1498" s="260" t="s">
        <v>514</v>
      </c>
    </row>
    <row r="1499" spans="1:21" ht="14.5" x14ac:dyDescent="0.35">
      <c r="A1499" s="260" t="s">
        <v>649</v>
      </c>
      <c r="B1499" s="190">
        <v>45690</v>
      </c>
      <c r="C1499" s="197">
        <v>219754</v>
      </c>
      <c r="D1499" s="197">
        <v>0</v>
      </c>
      <c r="E1499" s="197">
        <v>0</v>
      </c>
      <c r="F1499" s="197">
        <v>0</v>
      </c>
      <c r="G1499" s="197">
        <v>163944</v>
      </c>
      <c r="H1499" s="197">
        <v>55810</v>
      </c>
      <c r="I1499" s="197">
        <v>0</v>
      </c>
      <c r="J1499" s="197">
        <v>219754</v>
      </c>
      <c r="K1499" s="197">
        <v>219754</v>
      </c>
      <c r="L1499" s="197">
        <v>56056</v>
      </c>
      <c r="M1499" s="197">
        <v>0</v>
      </c>
      <c r="N1499" s="197">
        <v>0</v>
      </c>
      <c r="O1499" s="197">
        <v>0</v>
      </c>
      <c r="P1499" s="197">
        <v>0</v>
      </c>
      <c r="Q1499" s="197">
        <v>0</v>
      </c>
      <c r="R1499" s="260" t="s">
        <v>239</v>
      </c>
      <c r="S1499" s="260" t="s">
        <v>514</v>
      </c>
      <c r="T1499" s="260" t="s">
        <v>239</v>
      </c>
      <c r="U1499" s="260" t="s">
        <v>514</v>
      </c>
    </row>
    <row r="1500" spans="1:21" ht="14.5" x14ac:dyDescent="0.35">
      <c r="A1500" s="260" t="s">
        <v>649</v>
      </c>
      <c r="B1500" s="190">
        <v>45691</v>
      </c>
      <c r="C1500" s="197">
        <v>219754</v>
      </c>
      <c r="D1500" s="197">
        <v>0</v>
      </c>
      <c r="E1500" s="197">
        <v>0</v>
      </c>
      <c r="F1500" s="197">
        <v>0</v>
      </c>
      <c r="G1500" s="197">
        <v>159840</v>
      </c>
      <c r="H1500" s="197">
        <v>59864.4</v>
      </c>
      <c r="I1500" s="197">
        <v>0</v>
      </c>
      <c r="J1500" s="197">
        <v>219704.4</v>
      </c>
      <c r="K1500" s="197">
        <v>219704.4</v>
      </c>
      <c r="L1500" s="197">
        <v>60160</v>
      </c>
      <c r="M1500" s="197">
        <v>0</v>
      </c>
      <c r="N1500" s="197">
        <v>4</v>
      </c>
      <c r="O1500" s="197">
        <v>0</v>
      </c>
      <c r="P1500" s="197">
        <v>-49.600000000005821</v>
      </c>
      <c r="Q1500" s="197">
        <v>-2.2570692683643312E-4</v>
      </c>
      <c r="R1500" s="260" t="s">
        <v>239</v>
      </c>
      <c r="S1500" s="260" t="s">
        <v>514</v>
      </c>
      <c r="T1500" s="260" t="s">
        <v>239</v>
      </c>
      <c r="U1500" s="260" t="s">
        <v>514</v>
      </c>
    </row>
    <row r="1501" spans="1:21" ht="14.5" x14ac:dyDescent="0.35">
      <c r="A1501" s="260" t="s">
        <v>649</v>
      </c>
      <c r="B1501" s="190">
        <v>45692</v>
      </c>
      <c r="C1501" s="197">
        <v>219704.4</v>
      </c>
      <c r="D1501" s="197">
        <v>0</v>
      </c>
      <c r="E1501" s="197">
        <v>0</v>
      </c>
      <c r="F1501" s="197">
        <v>0</v>
      </c>
      <c r="G1501" s="197">
        <v>159840</v>
      </c>
      <c r="H1501" s="197">
        <v>59843.7</v>
      </c>
      <c r="I1501" s="197">
        <v>0</v>
      </c>
      <c r="J1501" s="197">
        <v>219683.7</v>
      </c>
      <c r="K1501" s="197">
        <v>219683.7</v>
      </c>
      <c r="L1501" s="197">
        <v>60160</v>
      </c>
      <c r="M1501" s="197">
        <v>0</v>
      </c>
      <c r="N1501" s="197">
        <v>0</v>
      </c>
      <c r="O1501" s="197">
        <v>0</v>
      </c>
      <c r="P1501" s="197">
        <v>-20.699999999982538</v>
      </c>
      <c r="Q1501" s="197">
        <v>-9.4217503154192528E-5</v>
      </c>
      <c r="R1501" s="260" t="s">
        <v>239</v>
      </c>
      <c r="S1501" s="260" t="s">
        <v>514</v>
      </c>
      <c r="T1501" s="260" t="s">
        <v>239</v>
      </c>
      <c r="U1501" s="260" t="s">
        <v>514</v>
      </c>
    </row>
    <row r="1502" spans="1:21" ht="14.5" x14ac:dyDescent="0.35">
      <c r="A1502" s="260" t="s">
        <v>649</v>
      </c>
      <c r="B1502" s="190">
        <v>45693</v>
      </c>
      <c r="C1502" s="197">
        <v>219683.7</v>
      </c>
      <c r="D1502" s="197">
        <v>0</v>
      </c>
      <c r="E1502" s="197">
        <v>0</v>
      </c>
      <c r="F1502" s="197">
        <v>0</v>
      </c>
      <c r="G1502" s="197">
        <v>159840</v>
      </c>
      <c r="H1502" s="197">
        <v>59821.8</v>
      </c>
      <c r="I1502" s="197">
        <v>0</v>
      </c>
      <c r="J1502" s="197">
        <v>219661.8</v>
      </c>
      <c r="K1502" s="197">
        <v>219661.8</v>
      </c>
      <c r="L1502" s="197">
        <v>60160</v>
      </c>
      <c r="M1502" s="197">
        <v>0</v>
      </c>
      <c r="N1502" s="197">
        <v>0</v>
      </c>
      <c r="O1502" s="197">
        <v>0</v>
      </c>
      <c r="P1502" s="197">
        <v>-21.900000000023283</v>
      </c>
      <c r="Q1502" s="197">
        <v>-9.9688779823137175E-5</v>
      </c>
      <c r="R1502" s="260" t="s">
        <v>239</v>
      </c>
      <c r="S1502" s="260" t="s">
        <v>514</v>
      </c>
      <c r="T1502" s="260" t="s">
        <v>239</v>
      </c>
      <c r="U1502" s="260" t="s">
        <v>514</v>
      </c>
    </row>
    <row r="1503" spans="1:21" ht="14.5" x14ac:dyDescent="0.35">
      <c r="A1503" s="260" t="s">
        <v>649</v>
      </c>
      <c r="B1503" s="190">
        <v>45694</v>
      </c>
      <c r="C1503" s="197">
        <v>219661.8</v>
      </c>
      <c r="D1503" s="197">
        <v>0</v>
      </c>
      <c r="E1503" s="197">
        <v>0</v>
      </c>
      <c r="F1503" s="197">
        <v>0</v>
      </c>
      <c r="G1503" s="197">
        <v>159840</v>
      </c>
      <c r="H1503" s="197">
        <v>59798.1</v>
      </c>
      <c r="I1503" s="197">
        <v>0</v>
      </c>
      <c r="J1503" s="197">
        <v>219638.1</v>
      </c>
      <c r="K1503" s="197">
        <v>219638.1</v>
      </c>
      <c r="L1503" s="197">
        <v>60160</v>
      </c>
      <c r="M1503" s="197">
        <v>0</v>
      </c>
      <c r="N1503" s="197">
        <v>0</v>
      </c>
      <c r="O1503" s="197">
        <v>0</v>
      </c>
      <c r="P1503" s="197">
        <v>-23.699999999982538</v>
      </c>
      <c r="Q1503" s="197">
        <v>-1.0789313389936162E-4</v>
      </c>
      <c r="R1503" s="260" t="s">
        <v>239</v>
      </c>
      <c r="S1503" s="260" t="s">
        <v>514</v>
      </c>
      <c r="T1503" s="260" t="s">
        <v>239</v>
      </c>
      <c r="U1503" s="260" t="s">
        <v>514</v>
      </c>
    </row>
    <row r="1504" spans="1:21" ht="14.5" x14ac:dyDescent="0.35">
      <c r="A1504" s="260" t="s">
        <v>649</v>
      </c>
      <c r="B1504" s="190">
        <v>45695</v>
      </c>
      <c r="C1504" s="197">
        <v>219638.1</v>
      </c>
      <c r="D1504" s="197">
        <v>0</v>
      </c>
      <c r="E1504" s="197">
        <v>0</v>
      </c>
      <c r="F1504" s="197">
        <v>0</v>
      </c>
      <c r="G1504" s="197">
        <v>159840</v>
      </c>
      <c r="H1504" s="197">
        <v>59776.2</v>
      </c>
      <c r="I1504" s="197">
        <v>0</v>
      </c>
      <c r="J1504" s="197">
        <v>219616.2</v>
      </c>
      <c r="K1504" s="197">
        <v>219616.2</v>
      </c>
      <c r="L1504" s="197">
        <v>60160</v>
      </c>
      <c r="M1504" s="197">
        <v>0</v>
      </c>
      <c r="N1504" s="197">
        <v>0</v>
      </c>
      <c r="O1504" s="197">
        <v>0</v>
      </c>
      <c r="P1504" s="197">
        <v>-21.899999999994179</v>
      </c>
      <c r="Q1504" s="197">
        <v>-9.9709476634513017E-5</v>
      </c>
      <c r="R1504" s="260" t="s">
        <v>239</v>
      </c>
      <c r="S1504" s="260" t="s">
        <v>514</v>
      </c>
      <c r="T1504" s="260" t="s">
        <v>239</v>
      </c>
      <c r="U1504" s="260" t="s">
        <v>514</v>
      </c>
    </row>
    <row r="1505" spans="1:21" ht="14.5" x14ac:dyDescent="0.35">
      <c r="A1505" s="260" t="s">
        <v>649</v>
      </c>
      <c r="B1505" s="190">
        <v>45696</v>
      </c>
      <c r="C1505" s="197">
        <v>219616.2</v>
      </c>
      <c r="D1505" s="197">
        <v>0</v>
      </c>
      <c r="E1505" s="197">
        <v>0</v>
      </c>
      <c r="F1505" s="197">
        <v>0</v>
      </c>
      <c r="G1505" s="197">
        <v>159840</v>
      </c>
      <c r="H1505" s="197">
        <v>59776.2</v>
      </c>
      <c r="I1505" s="197">
        <v>0</v>
      </c>
      <c r="J1505" s="197">
        <v>219616.2</v>
      </c>
      <c r="K1505" s="197">
        <v>219616.2</v>
      </c>
      <c r="L1505" s="197">
        <v>60160</v>
      </c>
      <c r="M1505" s="197">
        <v>0</v>
      </c>
      <c r="N1505" s="197">
        <v>0</v>
      </c>
      <c r="O1505" s="197">
        <v>0</v>
      </c>
      <c r="P1505" s="197">
        <v>0</v>
      </c>
      <c r="Q1505" s="197">
        <v>0</v>
      </c>
      <c r="R1505" s="260" t="s">
        <v>239</v>
      </c>
      <c r="S1505" s="260" t="s">
        <v>514</v>
      </c>
      <c r="T1505" s="260" t="s">
        <v>239</v>
      </c>
      <c r="U1505" s="260" t="s">
        <v>514</v>
      </c>
    </row>
    <row r="1506" spans="1:21" ht="14.5" x14ac:dyDescent="0.35">
      <c r="A1506" s="260" t="s">
        <v>649</v>
      </c>
      <c r="B1506" s="190">
        <v>45697</v>
      </c>
      <c r="C1506" s="197">
        <v>219616.2</v>
      </c>
      <c r="D1506" s="197">
        <v>0</v>
      </c>
      <c r="E1506" s="197">
        <v>0</v>
      </c>
      <c r="F1506" s="197">
        <v>0</v>
      </c>
      <c r="G1506" s="197">
        <v>159840</v>
      </c>
      <c r="H1506" s="197">
        <v>59776.2</v>
      </c>
      <c r="I1506" s="197">
        <v>0</v>
      </c>
      <c r="J1506" s="197">
        <v>219616.2</v>
      </c>
      <c r="K1506" s="197">
        <v>219616.2</v>
      </c>
      <c r="L1506" s="197">
        <v>60160</v>
      </c>
      <c r="M1506" s="197">
        <v>0</v>
      </c>
      <c r="N1506" s="197">
        <v>0</v>
      </c>
      <c r="O1506" s="197">
        <v>0</v>
      </c>
      <c r="P1506" s="197">
        <v>0</v>
      </c>
      <c r="Q1506" s="197">
        <v>0</v>
      </c>
      <c r="R1506" s="260" t="s">
        <v>239</v>
      </c>
      <c r="S1506" s="260" t="s">
        <v>514</v>
      </c>
      <c r="T1506" s="260" t="s">
        <v>239</v>
      </c>
      <c r="U1506" s="260" t="s">
        <v>514</v>
      </c>
    </row>
    <row r="1507" spans="1:21" ht="14.5" x14ac:dyDescent="0.35">
      <c r="A1507" s="260" t="s">
        <v>649</v>
      </c>
      <c r="B1507" s="190">
        <v>45698</v>
      </c>
      <c r="C1507" s="197">
        <v>219616.2</v>
      </c>
      <c r="D1507" s="197">
        <v>0</v>
      </c>
      <c r="E1507" s="197">
        <v>0</v>
      </c>
      <c r="F1507" s="197">
        <v>0</v>
      </c>
      <c r="G1507" s="197">
        <v>159840</v>
      </c>
      <c r="H1507" s="197">
        <v>59709.9</v>
      </c>
      <c r="I1507" s="197">
        <v>0</v>
      </c>
      <c r="J1507" s="197">
        <v>219549.9</v>
      </c>
      <c r="K1507" s="197">
        <v>219549.9</v>
      </c>
      <c r="L1507" s="197">
        <v>60160</v>
      </c>
      <c r="M1507" s="197">
        <v>0</v>
      </c>
      <c r="N1507" s="197">
        <v>0</v>
      </c>
      <c r="O1507" s="197">
        <v>0</v>
      </c>
      <c r="P1507" s="197">
        <v>-66.300000000017462</v>
      </c>
      <c r="Q1507" s="197">
        <v>-3.0189029771032772E-4</v>
      </c>
      <c r="R1507" s="260" t="s">
        <v>239</v>
      </c>
      <c r="S1507" s="260" t="s">
        <v>514</v>
      </c>
      <c r="T1507" s="260" t="s">
        <v>239</v>
      </c>
      <c r="U1507" s="260" t="s">
        <v>514</v>
      </c>
    </row>
    <row r="1508" spans="1:21" ht="14.5" x14ac:dyDescent="0.35">
      <c r="A1508" s="260" t="s">
        <v>649</v>
      </c>
      <c r="B1508" s="190">
        <v>45699</v>
      </c>
      <c r="C1508" s="197">
        <v>219549.9</v>
      </c>
      <c r="D1508" s="197">
        <v>0</v>
      </c>
      <c r="E1508" s="197">
        <v>0</v>
      </c>
      <c r="F1508" s="197">
        <v>0</v>
      </c>
      <c r="G1508" s="197">
        <v>159840</v>
      </c>
      <c r="H1508" s="197">
        <v>59688</v>
      </c>
      <c r="I1508" s="197">
        <v>0</v>
      </c>
      <c r="J1508" s="197">
        <v>219528</v>
      </c>
      <c r="K1508" s="197">
        <v>219528</v>
      </c>
      <c r="L1508" s="197">
        <v>60160</v>
      </c>
      <c r="M1508" s="197">
        <v>0</v>
      </c>
      <c r="N1508" s="197">
        <v>0</v>
      </c>
      <c r="O1508" s="197">
        <v>0</v>
      </c>
      <c r="P1508" s="197">
        <v>-21.899999999994179</v>
      </c>
      <c r="Q1508" s="197">
        <v>-9.9749533021831205E-5</v>
      </c>
      <c r="R1508" s="260" t="s">
        <v>239</v>
      </c>
      <c r="S1508" s="260" t="s">
        <v>514</v>
      </c>
      <c r="T1508" s="260" t="s">
        <v>239</v>
      </c>
      <c r="U1508" s="260" t="s">
        <v>514</v>
      </c>
    </row>
    <row r="1509" spans="1:21" ht="14.5" x14ac:dyDescent="0.35">
      <c r="A1509" s="260" t="s">
        <v>649</v>
      </c>
      <c r="B1509" s="190">
        <v>45700</v>
      </c>
      <c r="C1509" s="197">
        <v>219528</v>
      </c>
      <c r="D1509" s="197">
        <v>0</v>
      </c>
      <c r="E1509" s="197">
        <v>0</v>
      </c>
      <c r="F1509" s="197">
        <v>0</v>
      </c>
      <c r="G1509" s="197">
        <v>159840</v>
      </c>
      <c r="H1509" s="197">
        <v>59664.3</v>
      </c>
      <c r="I1509" s="197">
        <v>0</v>
      </c>
      <c r="J1509" s="197">
        <v>219504.3</v>
      </c>
      <c r="K1509" s="197">
        <v>219504.3</v>
      </c>
      <c r="L1509" s="197">
        <v>60160</v>
      </c>
      <c r="M1509" s="197">
        <v>0</v>
      </c>
      <c r="N1509" s="197">
        <v>0</v>
      </c>
      <c r="O1509" s="197">
        <v>0</v>
      </c>
      <c r="P1509" s="197">
        <v>-23.700000000011642</v>
      </c>
      <c r="Q1509" s="197">
        <v>-1.0795889362635869E-4</v>
      </c>
      <c r="R1509" s="260" t="s">
        <v>239</v>
      </c>
      <c r="S1509" s="260" t="s">
        <v>514</v>
      </c>
      <c r="T1509" s="260" t="s">
        <v>239</v>
      </c>
      <c r="U1509" s="260" t="s">
        <v>514</v>
      </c>
    </row>
    <row r="1510" spans="1:21" ht="14.5" x14ac:dyDescent="0.35">
      <c r="A1510" s="260" t="s">
        <v>649</v>
      </c>
      <c r="B1510" s="190">
        <v>45701</v>
      </c>
      <c r="C1510" s="197">
        <v>219504.3</v>
      </c>
      <c r="D1510" s="197">
        <v>0</v>
      </c>
      <c r="E1510" s="197">
        <v>0</v>
      </c>
      <c r="F1510" s="197">
        <v>0</v>
      </c>
      <c r="G1510" s="197">
        <v>159840</v>
      </c>
      <c r="H1510" s="197">
        <v>59643.9</v>
      </c>
      <c r="I1510" s="197">
        <v>0</v>
      </c>
      <c r="J1510" s="197">
        <v>219483.9</v>
      </c>
      <c r="K1510" s="197">
        <v>219483.9</v>
      </c>
      <c r="L1510" s="197">
        <v>60160</v>
      </c>
      <c r="M1510" s="197">
        <v>0</v>
      </c>
      <c r="N1510" s="197">
        <v>0</v>
      </c>
      <c r="O1510" s="197">
        <v>0</v>
      </c>
      <c r="P1510" s="197">
        <v>-20.399999999994179</v>
      </c>
      <c r="Q1510" s="197">
        <v>-9.2936675955779258E-5</v>
      </c>
      <c r="R1510" s="260" t="s">
        <v>239</v>
      </c>
      <c r="S1510" s="260" t="s">
        <v>514</v>
      </c>
      <c r="T1510" s="260" t="s">
        <v>239</v>
      </c>
      <c r="U1510" s="260" t="s">
        <v>514</v>
      </c>
    </row>
    <row r="1511" spans="1:21" ht="14.5" x14ac:dyDescent="0.35">
      <c r="A1511" s="260" t="s">
        <v>649</v>
      </c>
      <c r="B1511" s="190">
        <v>45702</v>
      </c>
      <c r="C1511" s="197">
        <v>219483.9</v>
      </c>
      <c r="D1511" s="197">
        <v>0</v>
      </c>
      <c r="E1511" s="197">
        <v>0</v>
      </c>
      <c r="F1511" s="197">
        <v>0</v>
      </c>
      <c r="G1511" s="197">
        <v>159840</v>
      </c>
      <c r="H1511" s="197">
        <v>59620.2</v>
      </c>
      <c r="I1511" s="197">
        <v>0</v>
      </c>
      <c r="J1511" s="197">
        <v>219460.2</v>
      </c>
      <c r="K1511" s="197">
        <v>219460.2</v>
      </c>
      <c r="L1511" s="197">
        <v>60160</v>
      </c>
      <c r="M1511" s="197">
        <v>0</v>
      </c>
      <c r="N1511" s="197">
        <v>0</v>
      </c>
      <c r="O1511" s="197">
        <v>0</v>
      </c>
      <c r="P1511" s="197">
        <v>-23.699999999982538</v>
      </c>
      <c r="Q1511" s="197">
        <v>-1.0798058536398703E-4</v>
      </c>
      <c r="R1511" s="260" t="s">
        <v>239</v>
      </c>
      <c r="S1511" s="260" t="s">
        <v>514</v>
      </c>
      <c r="T1511" s="260" t="s">
        <v>239</v>
      </c>
      <c r="U1511" s="260" t="s">
        <v>514</v>
      </c>
    </row>
    <row r="1512" spans="1:21" ht="14.5" x14ac:dyDescent="0.35">
      <c r="A1512" s="260" t="s">
        <v>649</v>
      </c>
      <c r="B1512" s="190">
        <v>45703</v>
      </c>
      <c r="C1512" s="197">
        <v>219460.2</v>
      </c>
      <c r="D1512" s="197">
        <v>0</v>
      </c>
      <c r="E1512" s="197">
        <v>0</v>
      </c>
      <c r="F1512" s="197">
        <v>0</v>
      </c>
      <c r="G1512" s="197">
        <v>159840</v>
      </c>
      <c r="H1512" s="197">
        <v>59620.2</v>
      </c>
      <c r="I1512" s="197">
        <v>0</v>
      </c>
      <c r="J1512" s="197">
        <v>219460.2</v>
      </c>
      <c r="K1512" s="197">
        <v>219460.2</v>
      </c>
      <c r="L1512" s="197">
        <v>60160</v>
      </c>
      <c r="M1512" s="197">
        <v>0</v>
      </c>
      <c r="N1512" s="197">
        <v>0</v>
      </c>
      <c r="O1512" s="197">
        <v>0</v>
      </c>
      <c r="P1512" s="197">
        <v>0</v>
      </c>
      <c r="Q1512" s="197">
        <v>0</v>
      </c>
      <c r="R1512" s="260" t="s">
        <v>239</v>
      </c>
      <c r="S1512" s="260" t="s">
        <v>514</v>
      </c>
      <c r="T1512" s="260" t="s">
        <v>239</v>
      </c>
      <c r="U1512" s="260" t="s">
        <v>514</v>
      </c>
    </row>
    <row r="1513" spans="1:21" ht="14.5" x14ac:dyDescent="0.35">
      <c r="A1513" s="260" t="s">
        <v>649</v>
      </c>
      <c r="B1513" s="190">
        <v>45704</v>
      </c>
      <c r="C1513" s="197">
        <v>219460.2</v>
      </c>
      <c r="D1513" s="197">
        <v>0</v>
      </c>
      <c r="E1513" s="197">
        <v>0</v>
      </c>
      <c r="F1513" s="197">
        <v>0</v>
      </c>
      <c r="G1513" s="197">
        <v>159840</v>
      </c>
      <c r="H1513" s="197">
        <v>59620.2</v>
      </c>
      <c r="I1513" s="197">
        <v>0</v>
      </c>
      <c r="J1513" s="197">
        <v>219460.2</v>
      </c>
      <c r="K1513" s="197">
        <v>219460.2</v>
      </c>
      <c r="L1513" s="197">
        <v>60160</v>
      </c>
      <c r="M1513" s="197">
        <v>0</v>
      </c>
      <c r="N1513" s="197">
        <v>0</v>
      </c>
      <c r="O1513" s="197">
        <v>0</v>
      </c>
      <c r="P1513" s="197">
        <v>0</v>
      </c>
      <c r="Q1513" s="197">
        <v>0</v>
      </c>
      <c r="R1513" s="260" t="s">
        <v>239</v>
      </c>
      <c r="S1513" s="260" t="s">
        <v>514</v>
      </c>
      <c r="T1513" s="260" t="s">
        <v>239</v>
      </c>
      <c r="U1513" s="260" t="s">
        <v>514</v>
      </c>
    </row>
    <row r="1514" spans="1:21" ht="14.5" x14ac:dyDescent="0.35">
      <c r="A1514" s="260" t="s">
        <v>649</v>
      </c>
      <c r="B1514" s="190">
        <v>45705</v>
      </c>
      <c r="C1514" s="197">
        <v>219460.2</v>
      </c>
      <c r="D1514" s="197">
        <v>0</v>
      </c>
      <c r="E1514" s="197">
        <v>0</v>
      </c>
      <c r="F1514" s="197">
        <v>0</v>
      </c>
      <c r="G1514" s="197">
        <v>159840</v>
      </c>
      <c r="H1514" s="197">
        <v>59555.7</v>
      </c>
      <c r="I1514" s="197">
        <v>0</v>
      </c>
      <c r="J1514" s="197">
        <v>219395.7</v>
      </c>
      <c r="K1514" s="197">
        <v>219395.7</v>
      </c>
      <c r="L1514" s="197">
        <v>60160</v>
      </c>
      <c r="M1514" s="197">
        <v>0</v>
      </c>
      <c r="N1514" s="197">
        <v>0</v>
      </c>
      <c r="O1514" s="197">
        <v>0</v>
      </c>
      <c r="P1514" s="197">
        <v>-64.5</v>
      </c>
      <c r="Q1514" s="197">
        <v>-2.9390294914521942E-4</v>
      </c>
      <c r="R1514" s="260" t="s">
        <v>239</v>
      </c>
      <c r="S1514" s="260" t="s">
        <v>514</v>
      </c>
      <c r="T1514" s="260" t="s">
        <v>239</v>
      </c>
      <c r="U1514" s="260" t="s">
        <v>514</v>
      </c>
    </row>
    <row r="1515" spans="1:21" ht="14.5" x14ac:dyDescent="0.35">
      <c r="A1515" s="260" t="s">
        <v>649</v>
      </c>
      <c r="B1515" s="190">
        <v>45706</v>
      </c>
      <c r="C1515" s="197">
        <v>219395.7</v>
      </c>
      <c r="D1515" s="197">
        <v>0</v>
      </c>
      <c r="E1515" s="197">
        <v>0</v>
      </c>
      <c r="F1515" s="197">
        <v>0</v>
      </c>
      <c r="G1515" s="197">
        <v>159840</v>
      </c>
      <c r="H1515" s="197">
        <v>59532</v>
      </c>
      <c r="I1515" s="197">
        <v>0</v>
      </c>
      <c r="J1515" s="197">
        <v>219372</v>
      </c>
      <c r="K1515" s="197">
        <v>219372</v>
      </c>
      <c r="L1515" s="197">
        <v>60160</v>
      </c>
      <c r="M1515" s="197">
        <v>0</v>
      </c>
      <c r="N1515" s="197">
        <v>0</v>
      </c>
      <c r="O1515" s="197">
        <v>0</v>
      </c>
      <c r="P1515" s="197">
        <v>-23.700000000011642</v>
      </c>
      <c r="Q1515" s="197">
        <v>-1.0802399500087212E-4</v>
      </c>
      <c r="R1515" s="260" t="s">
        <v>239</v>
      </c>
      <c r="S1515" s="260" t="s">
        <v>514</v>
      </c>
      <c r="T1515" s="260" t="s">
        <v>239</v>
      </c>
      <c r="U1515" s="260" t="s">
        <v>514</v>
      </c>
    </row>
    <row r="1516" spans="1:21" ht="14.5" x14ac:dyDescent="0.35">
      <c r="A1516" s="260" t="s">
        <v>649</v>
      </c>
      <c r="B1516" s="190">
        <v>45707</v>
      </c>
      <c r="C1516" s="197">
        <v>219372</v>
      </c>
      <c r="D1516" s="197">
        <v>0</v>
      </c>
      <c r="E1516" s="197">
        <v>0</v>
      </c>
      <c r="F1516" s="197">
        <v>0</v>
      </c>
      <c r="G1516" s="197">
        <v>159840</v>
      </c>
      <c r="H1516" s="197">
        <v>59510.1</v>
      </c>
      <c r="I1516" s="197">
        <v>0</v>
      </c>
      <c r="J1516" s="197">
        <v>219350.1</v>
      </c>
      <c r="K1516" s="197">
        <v>219350.1</v>
      </c>
      <c r="L1516" s="197">
        <v>60160</v>
      </c>
      <c r="M1516" s="197">
        <v>0</v>
      </c>
      <c r="N1516" s="197">
        <v>0</v>
      </c>
      <c r="O1516" s="197">
        <v>0</v>
      </c>
      <c r="P1516" s="197">
        <v>-21.899999999994179</v>
      </c>
      <c r="Q1516" s="197">
        <v>-9.9830425031477432E-5</v>
      </c>
      <c r="R1516" s="260" t="s">
        <v>239</v>
      </c>
      <c r="S1516" s="260" t="s">
        <v>514</v>
      </c>
      <c r="T1516" s="260" t="s">
        <v>239</v>
      </c>
      <c r="U1516" s="260" t="s">
        <v>514</v>
      </c>
    </row>
    <row r="1517" spans="1:21" ht="14.5" x14ac:dyDescent="0.35">
      <c r="A1517" s="260" t="s">
        <v>649</v>
      </c>
      <c r="B1517" s="190">
        <v>45708</v>
      </c>
      <c r="C1517" s="197">
        <v>219350.1</v>
      </c>
      <c r="D1517" s="197">
        <v>0</v>
      </c>
      <c r="E1517" s="197">
        <v>0</v>
      </c>
      <c r="F1517" s="197">
        <v>0</v>
      </c>
      <c r="G1517" s="197">
        <v>159840</v>
      </c>
      <c r="H1517" s="197">
        <v>59487.9</v>
      </c>
      <c r="I1517" s="197">
        <v>0</v>
      </c>
      <c r="J1517" s="197">
        <v>219327.9</v>
      </c>
      <c r="K1517" s="197">
        <v>219327.9</v>
      </c>
      <c r="L1517" s="197">
        <v>60160</v>
      </c>
      <c r="M1517" s="197">
        <v>0</v>
      </c>
      <c r="N1517" s="197">
        <v>0</v>
      </c>
      <c r="O1517" s="197">
        <v>0</v>
      </c>
      <c r="P1517" s="197">
        <v>-22.200000000011642</v>
      </c>
      <c r="Q1517" s="197">
        <v>-1.0120806874491795E-4</v>
      </c>
      <c r="R1517" s="260" t="s">
        <v>239</v>
      </c>
      <c r="S1517" s="260" t="s">
        <v>514</v>
      </c>
      <c r="T1517" s="260" t="s">
        <v>239</v>
      </c>
      <c r="U1517" s="260" t="s">
        <v>514</v>
      </c>
    </row>
    <row r="1518" spans="1:21" ht="14.5" x14ac:dyDescent="0.35">
      <c r="A1518" s="260" t="s">
        <v>649</v>
      </c>
      <c r="B1518" s="190">
        <v>45709</v>
      </c>
      <c r="C1518" s="197">
        <v>219327.9</v>
      </c>
      <c r="D1518" s="197">
        <v>0</v>
      </c>
      <c r="E1518" s="197">
        <v>0</v>
      </c>
      <c r="F1518" s="197">
        <v>0</v>
      </c>
      <c r="G1518" s="197">
        <v>159840</v>
      </c>
      <c r="H1518" s="197">
        <v>59466</v>
      </c>
      <c r="I1518" s="197">
        <v>0</v>
      </c>
      <c r="J1518" s="197">
        <v>219306</v>
      </c>
      <c r="K1518" s="197">
        <v>219306</v>
      </c>
      <c r="L1518" s="197">
        <v>60160</v>
      </c>
      <c r="M1518" s="197">
        <v>0</v>
      </c>
      <c r="N1518" s="197">
        <v>0</v>
      </c>
      <c r="O1518" s="197">
        <v>0</v>
      </c>
      <c r="P1518" s="197">
        <v>-21.899999999994179</v>
      </c>
      <c r="Q1518" s="197">
        <v>-9.985049781624511E-5</v>
      </c>
      <c r="R1518" s="260" t="s">
        <v>239</v>
      </c>
      <c r="S1518" s="260" t="s">
        <v>514</v>
      </c>
      <c r="T1518" s="260" t="s">
        <v>239</v>
      </c>
      <c r="U1518" s="260" t="s">
        <v>514</v>
      </c>
    </row>
    <row r="1519" spans="1:21" ht="14.5" x14ac:dyDescent="0.35">
      <c r="A1519" s="260" t="s">
        <v>649</v>
      </c>
      <c r="B1519" s="190">
        <v>45710</v>
      </c>
      <c r="C1519" s="197">
        <v>219306</v>
      </c>
      <c r="D1519" s="197">
        <v>0</v>
      </c>
      <c r="E1519" s="197">
        <v>0</v>
      </c>
      <c r="F1519" s="197">
        <v>0</v>
      </c>
      <c r="G1519" s="197">
        <v>159840</v>
      </c>
      <c r="H1519" s="197">
        <v>59466</v>
      </c>
      <c r="I1519" s="197">
        <v>0</v>
      </c>
      <c r="J1519" s="197">
        <v>219306</v>
      </c>
      <c r="K1519" s="197">
        <v>219306</v>
      </c>
      <c r="L1519" s="197">
        <v>60160</v>
      </c>
      <c r="M1519" s="197">
        <v>0</v>
      </c>
      <c r="N1519" s="197">
        <v>0</v>
      </c>
      <c r="O1519" s="197">
        <v>0</v>
      </c>
      <c r="P1519" s="197">
        <v>0</v>
      </c>
      <c r="Q1519" s="197">
        <v>0</v>
      </c>
      <c r="R1519" s="260" t="s">
        <v>239</v>
      </c>
      <c r="S1519" s="260" t="s">
        <v>514</v>
      </c>
      <c r="T1519" s="260" t="s">
        <v>239</v>
      </c>
      <c r="U1519" s="260" t="s">
        <v>514</v>
      </c>
    </row>
    <row r="1520" spans="1:21" ht="14.5" x14ac:dyDescent="0.35">
      <c r="A1520" s="260" t="s">
        <v>649</v>
      </c>
      <c r="B1520" s="190">
        <v>45711</v>
      </c>
      <c r="C1520" s="197">
        <v>219306</v>
      </c>
      <c r="D1520" s="197">
        <v>0</v>
      </c>
      <c r="E1520" s="197">
        <v>0</v>
      </c>
      <c r="F1520" s="197">
        <v>0</v>
      </c>
      <c r="G1520" s="197">
        <v>159840</v>
      </c>
      <c r="H1520" s="197">
        <v>59466</v>
      </c>
      <c r="I1520" s="197">
        <v>0</v>
      </c>
      <c r="J1520" s="197">
        <v>219306</v>
      </c>
      <c r="K1520" s="197">
        <v>219306</v>
      </c>
      <c r="L1520" s="197">
        <v>60160</v>
      </c>
      <c r="M1520" s="197">
        <v>0</v>
      </c>
      <c r="N1520" s="197">
        <v>0</v>
      </c>
      <c r="O1520" s="197">
        <v>0</v>
      </c>
      <c r="P1520" s="197">
        <v>0</v>
      </c>
      <c r="Q1520" s="197">
        <v>0</v>
      </c>
      <c r="R1520" s="260" t="s">
        <v>239</v>
      </c>
      <c r="S1520" s="260" t="s">
        <v>514</v>
      </c>
      <c r="T1520" s="260" t="s">
        <v>239</v>
      </c>
      <c r="U1520" s="260" t="s">
        <v>514</v>
      </c>
    </row>
    <row r="1521" spans="1:21" ht="14.5" x14ac:dyDescent="0.35">
      <c r="A1521" s="260" t="s">
        <v>649</v>
      </c>
      <c r="B1521" s="190">
        <v>45712</v>
      </c>
      <c r="C1521" s="197">
        <v>219306</v>
      </c>
      <c r="D1521" s="197">
        <v>0</v>
      </c>
      <c r="E1521" s="197">
        <v>0</v>
      </c>
      <c r="F1521" s="197">
        <v>0</v>
      </c>
      <c r="G1521" s="197">
        <v>159840</v>
      </c>
      <c r="H1521" s="197">
        <v>59398.2</v>
      </c>
      <c r="I1521" s="197">
        <v>0</v>
      </c>
      <c r="J1521" s="197">
        <v>219238.2</v>
      </c>
      <c r="K1521" s="197">
        <v>219238.2</v>
      </c>
      <c r="L1521" s="197">
        <v>60160</v>
      </c>
      <c r="M1521" s="197">
        <v>0</v>
      </c>
      <c r="N1521" s="197">
        <v>0</v>
      </c>
      <c r="O1521" s="197">
        <v>0</v>
      </c>
      <c r="P1521" s="197">
        <v>-67.799999999988358</v>
      </c>
      <c r="Q1521" s="197">
        <v>-3.0915706820600075E-4</v>
      </c>
      <c r="R1521" s="260" t="s">
        <v>239</v>
      </c>
      <c r="S1521" s="260" t="s">
        <v>514</v>
      </c>
      <c r="T1521" s="260" t="s">
        <v>239</v>
      </c>
      <c r="U1521" s="260" t="s">
        <v>514</v>
      </c>
    </row>
    <row r="1522" spans="1:21" ht="14.5" x14ac:dyDescent="0.35">
      <c r="A1522" s="260" t="s">
        <v>649</v>
      </c>
      <c r="B1522" s="190">
        <v>45713</v>
      </c>
      <c r="C1522" s="197">
        <v>219238.2</v>
      </c>
      <c r="D1522" s="197">
        <v>0</v>
      </c>
      <c r="E1522" s="197">
        <v>0</v>
      </c>
      <c r="F1522" s="197">
        <v>0</v>
      </c>
      <c r="G1522" s="197">
        <v>159840</v>
      </c>
      <c r="H1522" s="197">
        <v>59376.3</v>
      </c>
      <c r="I1522" s="197">
        <v>0</v>
      </c>
      <c r="J1522" s="197">
        <v>219216.3</v>
      </c>
      <c r="K1522" s="197">
        <v>219216.3</v>
      </c>
      <c r="L1522" s="197">
        <v>60160</v>
      </c>
      <c r="M1522" s="197">
        <v>0</v>
      </c>
      <c r="N1522" s="197">
        <v>0</v>
      </c>
      <c r="O1522" s="197">
        <v>0</v>
      </c>
      <c r="P1522" s="197">
        <v>-21.900000000023283</v>
      </c>
      <c r="Q1522" s="197">
        <v>-9.9891351051151211E-5</v>
      </c>
      <c r="R1522" s="260" t="s">
        <v>239</v>
      </c>
      <c r="S1522" s="260" t="s">
        <v>514</v>
      </c>
      <c r="T1522" s="260" t="s">
        <v>239</v>
      </c>
      <c r="U1522" s="260" t="s">
        <v>514</v>
      </c>
    </row>
    <row r="1523" spans="1:21" ht="14.5" x14ac:dyDescent="0.35">
      <c r="A1523" s="260" t="s">
        <v>649</v>
      </c>
      <c r="B1523" s="190">
        <v>45714</v>
      </c>
      <c r="C1523" s="197">
        <v>219216.3</v>
      </c>
      <c r="D1523" s="197">
        <v>0</v>
      </c>
      <c r="E1523" s="197">
        <v>0</v>
      </c>
      <c r="F1523" s="197">
        <v>0</v>
      </c>
      <c r="G1523" s="197">
        <v>159840</v>
      </c>
      <c r="H1523" s="197">
        <v>59355.6</v>
      </c>
      <c r="I1523" s="197">
        <v>0</v>
      </c>
      <c r="J1523" s="197">
        <v>219195.6</v>
      </c>
      <c r="K1523" s="197">
        <v>219195.6</v>
      </c>
      <c r="L1523" s="197">
        <v>60160</v>
      </c>
      <c r="M1523" s="197">
        <v>0</v>
      </c>
      <c r="N1523" s="197">
        <v>0</v>
      </c>
      <c r="O1523" s="197">
        <v>0</v>
      </c>
      <c r="P1523" s="197">
        <v>-20.699999999982538</v>
      </c>
      <c r="Q1523" s="197">
        <v>-9.4427284832332425E-5</v>
      </c>
      <c r="R1523" s="260" t="s">
        <v>239</v>
      </c>
      <c r="S1523" s="260" t="s">
        <v>514</v>
      </c>
      <c r="T1523" s="260" t="s">
        <v>239</v>
      </c>
      <c r="U1523" s="260" t="s">
        <v>514</v>
      </c>
    </row>
    <row r="1524" spans="1:21" ht="14.5" x14ac:dyDescent="0.35">
      <c r="A1524" s="260" t="s">
        <v>649</v>
      </c>
      <c r="B1524" s="190">
        <v>45715</v>
      </c>
      <c r="C1524" s="197">
        <v>219195.6</v>
      </c>
      <c r="D1524" s="197">
        <v>0</v>
      </c>
      <c r="E1524" s="197">
        <v>0</v>
      </c>
      <c r="F1524" s="197">
        <v>0</v>
      </c>
      <c r="G1524" s="197">
        <v>159840</v>
      </c>
      <c r="H1524" s="197">
        <v>59333.7</v>
      </c>
      <c r="I1524" s="197">
        <v>0</v>
      </c>
      <c r="J1524" s="197">
        <v>219173.7</v>
      </c>
      <c r="K1524" s="197">
        <v>219173.7</v>
      </c>
      <c r="L1524" s="197">
        <v>60160</v>
      </c>
      <c r="M1524" s="197">
        <v>0</v>
      </c>
      <c r="N1524" s="197">
        <v>0</v>
      </c>
      <c r="O1524" s="197">
        <v>0</v>
      </c>
      <c r="P1524" s="197">
        <v>-21.899999999994179</v>
      </c>
      <c r="Q1524" s="197">
        <v>-9.9910764632116233E-5</v>
      </c>
      <c r="R1524" s="260" t="s">
        <v>239</v>
      </c>
      <c r="S1524" s="260" t="s">
        <v>514</v>
      </c>
      <c r="T1524" s="260" t="s">
        <v>239</v>
      </c>
      <c r="U1524" s="260" t="s">
        <v>514</v>
      </c>
    </row>
    <row r="1525" spans="1:21" ht="14.5" x14ac:dyDescent="0.35">
      <c r="A1525" s="260" t="s">
        <v>649</v>
      </c>
      <c r="B1525" s="190">
        <v>45716</v>
      </c>
      <c r="C1525" s="197">
        <v>219173.7</v>
      </c>
      <c r="D1525" s="197">
        <v>0</v>
      </c>
      <c r="E1525" s="197">
        <v>0</v>
      </c>
      <c r="F1525" s="197">
        <v>0</v>
      </c>
      <c r="G1525" s="197">
        <v>159840</v>
      </c>
      <c r="H1525" s="197">
        <v>59310</v>
      </c>
      <c r="I1525" s="197">
        <v>0</v>
      </c>
      <c r="J1525" s="197">
        <v>219150</v>
      </c>
      <c r="K1525" s="197">
        <v>219150</v>
      </c>
      <c r="L1525" s="197">
        <v>60160</v>
      </c>
      <c r="M1525" s="197">
        <v>0</v>
      </c>
      <c r="N1525" s="197">
        <v>0</v>
      </c>
      <c r="O1525" s="197">
        <v>0</v>
      </c>
      <c r="P1525" s="197">
        <v>-23.700000000011642</v>
      </c>
      <c r="Q1525" s="197">
        <v>-1.0813341199245041E-4</v>
      </c>
      <c r="R1525" s="260" t="s">
        <v>239</v>
      </c>
      <c r="S1525" s="260" t="s">
        <v>514</v>
      </c>
      <c r="T1525" s="260" t="s">
        <v>239</v>
      </c>
      <c r="U1525" s="260" t="s">
        <v>514</v>
      </c>
    </row>
    <row r="1526" spans="1:21" ht="14.5" x14ac:dyDescent="0.35">
      <c r="A1526" s="260" t="s">
        <v>649</v>
      </c>
      <c r="B1526" s="190">
        <v>45717</v>
      </c>
      <c r="C1526" s="197">
        <v>219150</v>
      </c>
      <c r="D1526" s="197">
        <v>0</v>
      </c>
      <c r="E1526" s="197">
        <v>0</v>
      </c>
      <c r="F1526" s="197">
        <v>0</v>
      </c>
      <c r="G1526" s="197">
        <v>159840</v>
      </c>
      <c r="H1526" s="197">
        <v>59310</v>
      </c>
      <c r="I1526" s="197">
        <v>0</v>
      </c>
      <c r="J1526" s="197">
        <v>219150</v>
      </c>
      <c r="K1526" s="197">
        <v>219150</v>
      </c>
      <c r="L1526" s="197">
        <v>60160</v>
      </c>
      <c r="M1526" s="197">
        <v>0</v>
      </c>
      <c r="N1526" s="197">
        <v>0</v>
      </c>
      <c r="O1526" s="197">
        <v>0</v>
      </c>
      <c r="P1526" s="197">
        <v>0</v>
      </c>
      <c r="Q1526" s="197">
        <v>0</v>
      </c>
      <c r="R1526" s="260" t="s">
        <v>239</v>
      </c>
      <c r="S1526" s="260" t="s">
        <v>514</v>
      </c>
      <c r="T1526" s="260" t="s">
        <v>239</v>
      </c>
      <c r="U1526" s="260" t="s">
        <v>514</v>
      </c>
    </row>
    <row r="1527" spans="1:21" ht="14.5" x14ac:dyDescent="0.35">
      <c r="A1527" s="260" t="s">
        <v>649</v>
      </c>
      <c r="B1527" s="190">
        <v>45718</v>
      </c>
      <c r="C1527" s="197">
        <v>219150</v>
      </c>
      <c r="D1527" s="197">
        <v>0</v>
      </c>
      <c r="E1527" s="197">
        <v>0</v>
      </c>
      <c r="F1527" s="197">
        <v>0</v>
      </c>
      <c r="G1527" s="197">
        <v>159840</v>
      </c>
      <c r="H1527" s="197">
        <v>59310</v>
      </c>
      <c r="I1527" s="197">
        <v>0</v>
      </c>
      <c r="J1527" s="197">
        <v>219150</v>
      </c>
      <c r="K1527" s="197">
        <v>219150</v>
      </c>
      <c r="L1527" s="197">
        <v>60160</v>
      </c>
      <c r="M1527" s="197">
        <v>0</v>
      </c>
      <c r="N1527" s="197">
        <v>0</v>
      </c>
      <c r="O1527" s="197">
        <v>0</v>
      </c>
      <c r="P1527" s="197">
        <v>0</v>
      </c>
      <c r="Q1527" s="197">
        <v>0</v>
      </c>
      <c r="R1527" s="260" t="s">
        <v>239</v>
      </c>
      <c r="S1527" s="260" t="s">
        <v>514</v>
      </c>
      <c r="T1527" s="260" t="s">
        <v>239</v>
      </c>
      <c r="U1527" s="260" t="s">
        <v>514</v>
      </c>
    </row>
    <row r="1528" spans="1:21" ht="14.5" x14ac:dyDescent="0.35">
      <c r="A1528" s="260" t="s">
        <v>649</v>
      </c>
      <c r="B1528" s="190">
        <v>45719</v>
      </c>
      <c r="C1528" s="197">
        <v>219150</v>
      </c>
      <c r="D1528" s="197">
        <v>0</v>
      </c>
      <c r="E1528" s="197">
        <v>5000</v>
      </c>
      <c r="F1528" s="197">
        <v>5000</v>
      </c>
      <c r="G1528" s="197">
        <v>159935</v>
      </c>
      <c r="H1528" s="197">
        <v>64238</v>
      </c>
      <c r="I1528" s="197">
        <v>0</v>
      </c>
      <c r="J1528" s="197">
        <v>224173</v>
      </c>
      <c r="K1528" s="197">
        <v>224173</v>
      </c>
      <c r="L1528" s="197">
        <v>65065</v>
      </c>
      <c r="M1528" s="197">
        <v>0</v>
      </c>
      <c r="N1528" s="197">
        <v>5</v>
      </c>
      <c r="O1528" s="197">
        <v>0</v>
      </c>
      <c r="P1528" s="197">
        <v>23</v>
      </c>
      <c r="Q1528" s="197">
        <v>1.0495094684004336E-4</v>
      </c>
      <c r="R1528" s="260" t="s">
        <v>239</v>
      </c>
      <c r="S1528" s="260" t="s">
        <v>514</v>
      </c>
      <c r="T1528" s="260" t="s">
        <v>239</v>
      </c>
      <c r="U1528" s="260" t="s">
        <v>514</v>
      </c>
    </row>
    <row r="1529" spans="1:21" ht="14.5" x14ac:dyDescent="0.35">
      <c r="A1529" s="260" t="s">
        <v>649</v>
      </c>
      <c r="B1529" s="190">
        <v>45720</v>
      </c>
      <c r="C1529" s="197">
        <v>224173</v>
      </c>
      <c r="D1529" s="197">
        <v>0</v>
      </c>
      <c r="E1529" s="197">
        <v>0</v>
      </c>
      <c r="F1529" s="197">
        <v>0</v>
      </c>
      <c r="G1529" s="197">
        <v>159935</v>
      </c>
      <c r="H1529" s="197">
        <v>64277</v>
      </c>
      <c r="I1529" s="197">
        <v>0</v>
      </c>
      <c r="J1529" s="197">
        <v>224212</v>
      </c>
      <c r="K1529" s="197">
        <v>224212</v>
      </c>
      <c r="L1529" s="197">
        <v>65065</v>
      </c>
      <c r="M1529" s="197">
        <v>0</v>
      </c>
      <c r="N1529" s="197">
        <v>0</v>
      </c>
      <c r="O1529" s="197">
        <v>0</v>
      </c>
      <c r="P1529" s="197">
        <v>39</v>
      </c>
      <c r="Q1529" s="197">
        <v>1.7397277995123694E-4</v>
      </c>
      <c r="R1529" s="260" t="s">
        <v>239</v>
      </c>
      <c r="S1529" s="260" t="s">
        <v>514</v>
      </c>
      <c r="T1529" s="260" t="s">
        <v>239</v>
      </c>
      <c r="U1529" s="260" t="s">
        <v>514</v>
      </c>
    </row>
    <row r="1530" spans="1:21" ht="14.5" x14ac:dyDescent="0.35">
      <c r="A1530" s="260" t="s">
        <v>649</v>
      </c>
      <c r="B1530" s="190">
        <v>45721</v>
      </c>
      <c r="C1530" s="197">
        <v>224212</v>
      </c>
      <c r="D1530" s="197">
        <v>0</v>
      </c>
      <c r="E1530" s="197">
        <v>0</v>
      </c>
      <c r="F1530" s="197">
        <v>0</v>
      </c>
      <c r="G1530" s="197">
        <v>159935</v>
      </c>
      <c r="H1530" s="197">
        <v>64316</v>
      </c>
      <c r="I1530" s="197">
        <v>0</v>
      </c>
      <c r="J1530" s="197">
        <v>224251</v>
      </c>
      <c r="K1530" s="197">
        <v>224251</v>
      </c>
      <c r="L1530" s="197">
        <v>65065</v>
      </c>
      <c r="M1530" s="197">
        <v>0</v>
      </c>
      <c r="N1530" s="197">
        <v>0</v>
      </c>
      <c r="O1530" s="197">
        <v>0</v>
      </c>
      <c r="P1530" s="197">
        <v>39</v>
      </c>
      <c r="Q1530" s="197">
        <v>1.7394251868774191E-4</v>
      </c>
      <c r="R1530" s="260" t="s">
        <v>239</v>
      </c>
      <c r="S1530" s="260" t="s">
        <v>514</v>
      </c>
      <c r="T1530" s="260" t="s">
        <v>239</v>
      </c>
      <c r="U1530" s="260" t="s">
        <v>514</v>
      </c>
    </row>
    <row r="1531" spans="1:21" ht="14.5" x14ac:dyDescent="0.35">
      <c r="A1531" s="260" t="s">
        <v>649</v>
      </c>
      <c r="B1531" s="190">
        <v>45722</v>
      </c>
      <c r="C1531" s="197">
        <v>224251</v>
      </c>
      <c r="D1531" s="197">
        <v>0</v>
      </c>
      <c r="E1531" s="197">
        <v>0</v>
      </c>
      <c r="F1531" s="197">
        <v>0</v>
      </c>
      <c r="G1531" s="197">
        <v>159935</v>
      </c>
      <c r="H1531" s="197">
        <v>64355</v>
      </c>
      <c r="I1531" s="197">
        <v>0</v>
      </c>
      <c r="J1531" s="197">
        <v>224290</v>
      </c>
      <c r="K1531" s="197">
        <v>224290</v>
      </c>
      <c r="L1531" s="197">
        <v>65065</v>
      </c>
      <c r="M1531" s="197">
        <v>0</v>
      </c>
      <c r="N1531" s="197">
        <v>0</v>
      </c>
      <c r="O1531" s="197">
        <v>0</v>
      </c>
      <c r="P1531" s="197">
        <v>39</v>
      </c>
      <c r="Q1531" s="197">
        <v>1.7391226794982728E-4</v>
      </c>
      <c r="R1531" s="260" t="s">
        <v>239</v>
      </c>
      <c r="S1531" s="260" t="s">
        <v>514</v>
      </c>
      <c r="T1531" s="260" t="s">
        <v>239</v>
      </c>
      <c r="U1531" s="260" t="s">
        <v>514</v>
      </c>
    </row>
    <row r="1532" spans="1:21" ht="14.5" x14ac:dyDescent="0.35">
      <c r="A1532" s="260" t="s">
        <v>649</v>
      </c>
      <c r="B1532" s="190">
        <v>45723</v>
      </c>
      <c r="C1532" s="197">
        <v>224290</v>
      </c>
      <c r="D1532" s="197">
        <v>0</v>
      </c>
      <c r="E1532" s="197">
        <v>0</v>
      </c>
      <c r="F1532" s="197">
        <v>0</v>
      </c>
      <c r="G1532" s="197">
        <v>159935</v>
      </c>
      <c r="H1532" s="197">
        <v>64394</v>
      </c>
      <c r="I1532" s="197">
        <v>0</v>
      </c>
      <c r="J1532" s="197">
        <v>224329</v>
      </c>
      <c r="K1532" s="197">
        <v>224329</v>
      </c>
      <c r="L1532" s="197">
        <v>65065</v>
      </c>
      <c r="M1532" s="197">
        <v>0</v>
      </c>
      <c r="N1532" s="197">
        <v>0</v>
      </c>
      <c r="O1532" s="197">
        <v>0</v>
      </c>
      <c r="P1532" s="197">
        <v>39</v>
      </c>
      <c r="Q1532" s="197">
        <v>1.7388202773194195E-4</v>
      </c>
      <c r="R1532" s="260" t="s">
        <v>239</v>
      </c>
      <c r="S1532" s="260" t="s">
        <v>514</v>
      </c>
      <c r="T1532" s="260" t="s">
        <v>239</v>
      </c>
      <c r="U1532" s="260" t="s">
        <v>514</v>
      </c>
    </row>
    <row r="1533" spans="1:21" ht="14.5" x14ac:dyDescent="0.35">
      <c r="A1533" s="260" t="s">
        <v>649</v>
      </c>
      <c r="B1533" s="190">
        <v>45724</v>
      </c>
      <c r="C1533" s="197">
        <v>224329</v>
      </c>
      <c r="D1533" s="197">
        <v>0</v>
      </c>
      <c r="E1533" s="197">
        <v>0</v>
      </c>
      <c r="F1533" s="197">
        <v>0</v>
      </c>
      <c r="G1533" s="197">
        <v>159935</v>
      </c>
      <c r="H1533" s="197">
        <v>64394</v>
      </c>
      <c r="I1533" s="197">
        <v>0</v>
      </c>
      <c r="J1533" s="197">
        <v>224329</v>
      </c>
      <c r="K1533" s="197">
        <v>224329</v>
      </c>
      <c r="L1533" s="197">
        <v>65065</v>
      </c>
      <c r="M1533" s="197">
        <v>0</v>
      </c>
      <c r="N1533" s="197">
        <v>0</v>
      </c>
      <c r="O1533" s="197">
        <v>0</v>
      </c>
      <c r="P1533" s="197">
        <v>0</v>
      </c>
      <c r="Q1533" s="197">
        <v>0</v>
      </c>
      <c r="R1533" s="260" t="s">
        <v>239</v>
      </c>
      <c r="S1533" s="260" t="s">
        <v>514</v>
      </c>
      <c r="T1533" s="260" t="s">
        <v>239</v>
      </c>
      <c r="U1533" s="260" t="s">
        <v>514</v>
      </c>
    </row>
    <row r="1534" spans="1:21" ht="14.5" x14ac:dyDescent="0.35">
      <c r="A1534" s="260" t="s">
        <v>649</v>
      </c>
      <c r="B1534" s="190">
        <v>45725</v>
      </c>
      <c r="C1534" s="197">
        <v>224329</v>
      </c>
      <c r="D1534" s="197">
        <v>0</v>
      </c>
      <c r="E1534" s="197">
        <v>0</v>
      </c>
      <c r="F1534" s="197">
        <v>0</v>
      </c>
      <c r="G1534" s="197">
        <v>159935</v>
      </c>
      <c r="H1534" s="197">
        <v>64394</v>
      </c>
      <c r="I1534" s="197">
        <v>0</v>
      </c>
      <c r="J1534" s="197">
        <v>224329</v>
      </c>
      <c r="K1534" s="197">
        <v>224329</v>
      </c>
      <c r="L1534" s="197">
        <v>65065</v>
      </c>
      <c r="M1534" s="197">
        <v>0</v>
      </c>
      <c r="N1534" s="197">
        <v>0</v>
      </c>
      <c r="O1534" s="197">
        <v>0</v>
      </c>
      <c r="P1534" s="197">
        <v>0</v>
      </c>
      <c r="Q1534" s="197">
        <v>0</v>
      </c>
      <c r="R1534" s="260" t="s">
        <v>239</v>
      </c>
      <c r="S1534" s="260" t="s">
        <v>514</v>
      </c>
      <c r="T1534" s="260" t="s">
        <v>239</v>
      </c>
      <c r="U1534" s="260" t="s">
        <v>514</v>
      </c>
    </row>
    <row r="1535" spans="1:21" ht="14.5" x14ac:dyDescent="0.35">
      <c r="A1535" s="260" t="s">
        <v>649</v>
      </c>
      <c r="B1535" s="190">
        <v>45726</v>
      </c>
      <c r="C1535" s="197">
        <v>224329</v>
      </c>
      <c r="D1535" s="197">
        <v>0</v>
      </c>
      <c r="E1535" s="197">
        <v>0</v>
      </c>
      <c r="F1535" s="197">
        <v>0</v>
      </c>
      <c r="G1535" s="197">
        <v>159935</v>
      </c>
      <c r="H1535" s="197">
        <v>64511</v>
      </c>
      <c r="I1535" s="197">
        <v>0</v>
      </c>
      <c r="J1535" s="197">
        <v>224446</v>
      </c>
      <c r="K1535" s="197">
        <v>224446</v>
      </c>
      <c r="L1535" s="197">
        <v>65065</v>
      </c>
      <c r="M1535" s="197">
        <v>0</v>
      </c>
      <c r="N1535" s="197">
        <v>0</v>
      </c>
      <c r="O1535" s="197">
        <v>0</v>
      </c>
      <c r="P1535" s="197">
        <v>117</v>
      </c>
      <c r="Q1535" s="197">
        <v>5.215553940862705E-4</v>
      </c>
      <c r="R1535" s="260" t="s">
        <v>239</v>
      </c>
      <c r="S1535" s="260" t="s">
        <v>514</v>
      </c>
      <c r="T1535" s="260" t="s">
        <v>239</v>
      </c>
      <c r="U1535" s="260" t="s">
        <v>514</v>
      </c>
    </row>
    <row r="1536" spans="1:21" ht="14.5" x14ac:dyDescent="0.35">
      <c r="A1536" s="260" t="s">
        <v>649</v>
      </c>
      <c r="B1536" s="190">
        <v>45727</v>
      </c>
      <c r="C1536" s="197">
        <v>224446</v>
      </c>
      <c r="D1536" s="197">
        <v>0</v>
      </c>
      <c r="E1536" s="197">
        <v>0</v>
      </c>
      <c r="F1536" s="197">
        <v>0</v>
      </c>
      <c r="G1536" s="197">
        <v>159935</v>
      </c>
      <c r="H1536" s="197">
        <v>64550</v>
      </c>
      <c r="I1536" s="197">
        <v>0</v>
      </c>
      <c r="J1536" s="197">
        <v>224485</v>
      </c>
      <c r="K1536" s="197">
        <v>224485</v>
      </c>
      <c r="L1536" s="197">
        <v>65065</v>
      </c>
      <c r="M1536" s="197">
        <v>0</v>
      </c>
      <c r="N1536" s="197">
        <v>0</v>
      </c>
      <c r="O1536" s="197">
        <v>0</v>
      </c>
      <c r="P1536" s="197">
        <v>39</v>
      </c>
      <c r="Q1536" s="197">
        <v>1.7376117195233576E-4</v>
      </c>
      <c r="R1536" s="260" t="s">
        <v>239</v>
      </c>
      <c r="S1536" s="260" t="s">
        <v>514</v>
      </c>
      <c r="T1536" s="260" t="s">
        <v>239</v>
      </c>
      <c r="U1536" s="260" t="s">
        <v>514</v>
      </c>
    </row>
    <row r="1537" spans="1:21" ht="14.5" x14ac:dyDescent="0.35">
      <c r="A1537" s="260" t="s">
        <v>649</v>
      </c>
      <c r="B1537" s="190">
        <v>45728</v>
      </c>
      <c r="C1537" s="197">
        <v>224485</v>
      </c>
      <c r="D1537" s="197">
        <v>0</v>
      </c>
      <c r="E1537" s="197">
        <v>0</v>
      </c>
      <c r="F1537" s="197">
        <v>0</v>
      </c>
      <c r="G1537" s="197">
        <v>159935</v>
      </c>
      <c r="H1537" s="197">
        <v>64589</v>
      </c>
      <c r="I1537" s="197">
        <v>0</v>
      </c>
      <c r="J1537" s="197">
        <v>224524</v>
      </c>
      <c r="K1537" s="197">
        <v>224524</v>
      </c>
      <c r="L1537" s="197">
        <v>65065</v>
      </c>
      <c r="M1537" s="197">
        <v>0</v>
      </c>
      <c r="N1537" s="197">
        <v>0</v>
      </c>
      <c r="O1537" s="197">
        <v>0</v>
      </c>
      <c r="P1537" s="197">
        <v>39</v>
      </c>
      <c r="Q1537" s="197">
        <v>1.7373098425288447E-4</v>
      </c>
      <c r="R1537" s="260" t="s">
        <v>239</v>
      </c>
      <c r="S1537" s="260" t="s">
        <v>514</v>
      </c>
      <c r="T1537" s="260" t="s">
        <v>239</v>
      </c>
      <c r="U1537" s="260" t="s">
        <v>514</v>
      </c>
    </row>
    <row r="1538" spans="1:21" ht="14.5" x14ac:dyDescent="0.35">
      <c r="A1538" s="260" t="s">
        <v>649</v>
      </c>
      <c r="B1538" s="190">
        <v>45729</v>
      </c>
      <c r="C1538" s="197">
        <v>224524</v>
      </c>
      <c r="D1538" s="197">
        <v>0</v>
      </c>
      <c r="E1538" s="197">
        <v>0</v>
      </c>
      <c r="F1538" s="197">
        <v>0</v>
      </c>
      <c r="G1538" s="197">
        <v>159935</v>
      </c>
      <c r="H1538" s="197">
        <v>64628</v>
      </c>
      <c r="I1538" s="197">
        <v>0</v>
      </c>
      <c r="J1538" s="197">
        <v>224563</v>
      </c>
      <c r="K1538" s="197">
        <v>224563</v>
      </c>
      <c r="L1538" s="197">
        <v>65065</v>
      </c>
      <c r="M1538" s="197">
        <v>0</v>
      </c>
      <c r="N1538" s="197">
        <v>0</v>
      </c>
      <c r="O1538" s="197">
        <v>0</v>
      </c>
      <c r="P1538" s="197">
        <v>39</v>
      </c>
      <c r="Q1538" s="197">
        <v>1.7370080704059987E-4</v>
      </c>
      <c r="R1538" s="260" t="s">
        <v>239</v>
      </c>
      <c r="S1538" s="260" t="s">
        <v>514</v>
      </c>
      <c r="T1538" s="260" t="s">
        <v>239</v>
      </c>
      <c r="U1538" s="260" t="s">
        <v>514</v>
      </c>
    </row>
    <row r="1539" spans="1:21" ht="14.5" x14ac:dyDescent="0.35">
      <c r="A1539" s="260" t="s">
        <v>649</v>
      </c>
      <c r="B1539" s="190">
        <v>45730</v>
      </c>
      <c r="C1539" s="197">
        <v>224563</v>
      </c>
      <c r="D1539" s="197">
        <v>0</v>
      </c>
      <c r="E1539" s="197">
        <v>0</v>
      </c>
      <c r="F1539" s="197">
        <v>0</v>
      </c>
      <c r="G1539" s="197">
        <v>159935</v>
      </c>
      <c r="H1539" s="197">
        <v>64667</v>
      </c>
      <c r="I1539" s="197">
        <v>0</v>
      </c>
      <c r="J1539" s="197">
        <v>224602</v>
      </c>
      <c r="K1539" s="197">
        <v>224602</v>
      </c>
      <c r="L1539" s="197">
        <v>65065</v>
      </c>
      <c r="M1539" s="197">
        <v>0</v>
      </c>
      <c r="N1539" s="197">
        <v>0</v>
      </c>
      <c r="O1539" s="197">
        <v>0</v>
      </c>
      <c r="P1539" s="197">
        <v>39</v>
      </c>
      <c r="Q1539" s="197">
        <v>1.7367064031037494E-4</v>
      </c>
      <c r="R1539" s="260" t="s">
        <v>239</v>
      </c>
      <c r="S1539" s="260" t="s">
        <v>514</v>
      </c>
      <c r="T1539" s="260" t="s">
        <v>239</v>
      </c>
      <c r="U1539" s="260" t="s">
        <v>514</v>
      </c>
    </row>
    <row r="1540" spans="1:21" ht="14.5" x14ac:dyDescent="0.35">
      <c r="A1540" s="260" t="s">
        <v>649</v>
      </c>
      <c r="B1540" s="190">
        <v>45731</v>
      </c>
      <c r="C1540" s="197">
        <v>224602</v>
      </c>
      <c r="D1540" s="197">
        <v>0</v>
      </c>
      <c r="E1540" s="197">
        <v>0</v>
      </c>
      <c r="F1540" s="197">
        <v>0</v>
      </c>
      <c r="G1540" s="197">
        <v>159935</v>
      </c>
      <c r="H1540" s="197">
        <v>64667</v>
      </c>
      <c r="I1540" s="197">
        <v>0</v>
      </c>
      <c r="J1540" s="197">
        <v>224602</v>
      </c>
      <c r="K1540" s="197">
        <v>224602</v>
      </c>
      <c r="L1540" s="197">
        <v>65065</v>
      </c>
      <c r="M1540" s="197">
        <v>0</v>
      </c>
      <c r="N1540" s="197">
        <v>0</v>
      </c>
      <c r="O1540" s="197">
        <v>0</v>
      </c>
      <c r="P1540" s="197">
        <v>0</v>
      </c>
      <c r="Q1540" s="197">
        <v>0</v>
      </c>
      <c r="R1540" s="260" t="s">
        <v>239</v>
      </c>
      <c r="S1540" s="260" t="s">
        <v>514</v>
      </c>
      <c r="T1540" s="260" t="s">
        <v>239</v>
      </c>
      <c r="U1540" s="260" t="s">
        <v>514</v>
      </c>
    </row>
    <row r="1541" spans="1:21" ht="14.5" x14ac:dyDescent="0.35">
      <c r="A1541" s="260" t="s">
        <v>649</v>
      </c>
      <c r="B1541" s="190">
        <v>45732</v>
      </c>
      <c r="C1541" s="197">
        <v>224602</v>
      </c>
      <c r="D1541" s="197">
        <v>0</v>
      </c>
      <c r="E1541" s="197">
        <v>0</v>
      </c>
      <c r="F1541" s="197">
        <v>0</v>
      </c>
      <c r="G1541" s="197">
        <v>159935</v>
      </c>
      <c r="H1541" s="197">
        <v>64667</v>
      </c>
      <c r="I1541" s="197">
        <v>0</v>
      </c>
      <c r="J1541" s="197">
        <v>224602</v>
      </c>
      <c r="K1541" s="197">
        <v>224602</v>
      </c>
      <c r="L1541" s="197">
        <v>65065</v>
      </c>
      <c r="M1541" s="197">
        <v>0</v>
      </c>
      <c r="N1541" s="197">
        <v>0</v>
      </c>
      <c r="O1541" s="197">
        <v>0</v>
      </c>
      <c r="P1541" s="197">
        <v>0</v>
      </c>
      <c r="Q1541" s="197">
        <v>0</v>
      </c>
      <c r="R1541" s="260" t="s">
        <v>239</v>
      </c>
      <c r="S1541" s="260" t="s">
        <v>514</v>
      </c>
      <c r="T1541" s="260" t="s">
        <v>239</v>
      </c>
      <c r="U1541" s="260" t="s">
        <v>514</v>
      </c>
    </row>
    <row r="1542" spans="1:21" ht="14.5" x14ac:dyDescent="0.35">
      <c r="A1542" s="260" t="s">
        <v>649</v>
      </c>
      <c r="B1542" s="190">
        <v>45733</v>
      </c>
      <c r="C1542" s="197">
        <v>224602</v>
      </c>
      <c r="D1542" s="197">
        <v>0</v>
      </c>
      <c r="E1542" s="197">
        <v>0</v>
      </c>
      <c r="F1542" s="197">
        <v>0</v>
      </c>
      <c r="G1542" s="197">
        <v>159935</v>
      </c>
      <c r="H1542" s="197">
        <v>64784</v>
      </c>
      <c r="I1542" s="197">
        <v>0</v>
      </c>
      <c r="J1542" s="197">
        <v>224719</v>
      </c>
      <c r="K1542" s="197">
        <v>224719</v>
      </c>
      <c r="L1542" s="197">
        <v>65065</v>
      </c>
      <c r="M1542" s="197">
        <v>0</v>
      </c>
      <c r="N1542" s="197">
        <v>0</v>
      </c>
      <c r="O1542" s="197">
        <v>0</v>
      </c>
      <c r="P1542" s="197">
        <v>117</v>
      </c>
      <c r="Q1542" s="197">
        <v>5.2092145216864338E-4</v>
      </c>
      <c r="R1542" s="260" t="s">
        <v>239</v>
      </c>
      <c r="S1542" s="260" t="s">
        <v>514</v>
      </c>
      <c r="T1542" s="260" t="s">
        <v>239</v>
      </c>
      <c r="U1542" s="260" t="s">
        <v>514</v>
      </c>
    </row>
    <row r="1543" spans="1:21" ht="14.5" x14ac:dyDescent="0.35">
      <c r="A1543" s="260" t="s">
        <v>649</v>
      </c>
      <c r="B1543" s="190">
        <v>45734</v>
      </c>
      <c r="C1543" s="197">
        <v>224719</v>
      </c>
      <c r="D1543" s="197">
        <v>0</v>
      </c>
      <c r="E1543" s="197">
        <v>0</v>
      </c>
      <c r="F1543" s="197">
        <v>0</v>
      </c>
      <c r="G1543" s="197">
        <v>159935</v>
      </c>
      <c r="H1543" s="197">
        <v>64823</v>
      </c>
      <c r="I1543" s="197">
        <v>0</v>
      </c>
      <c r="J1543" s="197">
        <v>224758</v>
      </c>
      <c r="K1543" s="197">
        <v>224758</v>
      </c>
      <c r="L1543" s="197">
        <v>65065</v>
      </c>
      <c r="M1543" s="197">
        <v>0</v>
      </c>
      <c r="N1543" s="197">
        <v>0</v>
      </c>
      <c r="O1543" s="197">
        <v>0</v>
      </c>
      <c r="P1543" s="197">
        <v>39</v>
      </c>
      <c r="Q1543" s="197">
        <v>1.7355007809749523E-4</v>
      </c>
      <c r="R1543" s="260" t="s">
        <v>239</v>
      </c>
      <c r="S1543" s="260" t="s">
        <v>514</v>
      </c>
      <c r="T1543" s="260" t="s">
        <v>239</v>
      </c>
      <c r="U1543" s="260" t="s">
        <v>514</v>
      </c>
    </row>
    <row r="1544" spans="1:21" ht="14.5" x14ac:dyDescent="0.35">
      <c r="A1544" s="260" t="s">
        <v>649</v>
      </c>
      <c r="B1544" s="190">
        <v>45735</v>
      </c>
      <c r="C1544" s="197">
        <v>224758</v>
      </c>
      <c r="D1544" s="197">
        <v>0</v>
      </c>
      <c r="E1544" s="197">
        <v>0</v>
      </c>
      <c r="F1544" s="197">
        <v>0</v>
      </c>
      <c r="G1544" s="197">
        <v>159935</v>
      </c>
      <c r="H1544" s="197">
        <v>64862</v>
      </c>
      <c r="I1544" s="197">
        <v>0</v>
      </c>
      <c r="J1544" s="197">
        <v>224797</v>
      </c>
      <c r="K1544" s="197">
        <v>224797</v>
      </c>
      <c r="L1544" s="197">
        <v>65065</v>
      </c>
      <c r="M1544" s="197">
        <v>0</v>
      </c>
      <c r="N1544" s="197">
        <v>0</v>
      </c>
      <c r="O1544" s="197">
        <v>0</v>
      </c>
      <c r="P1544" s="197">
        <v>39</v>
      </c>
      <c r="Q1544" s="197">
        <v>1.7351996369430189E-4</v>
      </c>
      <c r="R1544" s="260" t="s">
        <v>239</v>
      </c>
      <c r="S1544" s="260" t="s">
        <v>514</v>
      </c>
      <c r="T1544" s="260" t="s">
        <v>239</v>
      </c>
      <c r="U1544" s="260" t="s">
        <v>514</v>
      </c>
    </row>
    <row r="1545" spans="1:21" ht="14.5" x14ac:dyDescent="0.35">
      <c r="A1545" s="260" t="s">
        <v>649</v>
      </c>
      <c r="B1545" s="190">
        <v>45736</v>
      </c>
      <c r="C1545" s="197">
        <v>224797</v>
      </c>
      <c r="D1545" s="197">
        <v>0</v>
      </c>
      <c r="E1545" s="197">
        <v>0</v>
      </c>
      <c r="F1545" s="197">
        <v>0</v>
      </c>
      <c r="G1545" s="197">
        <v>159935</v>
      </c>
      <c r="H1545" s="197">
        <v>64901</v>
      </c>
      <c r="I1545" s="197">
        <v>0</v>
      </c>
      <c r="J1545" s="197">
        <v>224836</v>
      </c>
      <c r="K1545" s="197">
        <v>224836</v>
      </c>
      <c r="L1545" s="197">
        <v>65065</v>
      </c>
      <c r="M1545" s="197">
        <v>0</v>
      </c>
      <c r="N1545" s="197">
        <v>0</v>
      </c>
      <c r="O1545" s="197">
        <v>0</v>
      </c>
      <c r="P1545" s="197">
        <v>39</v>
      </c>
      <c r="Q1545" s="197">
        <v>1.7348985974008357E-4</v>
      </c>
      <c r="R1545" s="260" t="s">
        <v>239</v>
      </c>
      <c r="S1545" s="260" t="s">
        <v>514</v>
      </c>
      <c r="T1545" s="260" t="s">
        <v>239</v>
      </c>
      <c r="U1545" s="260" t="s">
        <v>514</v>
      </c>
    </row>
    <row r="1546" spans="1:21" ht="14.5" x14ac:dyDescent="0.35">
      <c r="A1546" s="260" t="s">
        <v>649</v>
      </c>
      <c r="B1546" s="190">
        <v>45737</v>
      </c>
      <c r="C1546" s="197">
        <v>224836</v>
      </c>
      <c r="D1546" s="197">
        <v>0</v>
      </c>
      <c r="E1546" s="197">
        <v>0</v>
      </c>
      <c r="F1546" s="197">
        <v>0</v>
      </c>
      <c r="G1546" s="197">
        <v>159935</v>
      </c>
      <c r="H1546" s="197">
        <v>64940</v>
      </c>
      <c r="I1546" s="197">
        <v>0</v>
      </c>
      <c r="J1546" s="197">
        <v>224875</v>
      </c>
      <c r="K1546" s="197">
        <v>224875</v>
      </c>
      <c r="L1546" s="197">
        <v>65065</v>
      </c>
      <c r="M1546" s="197">
        <v>0</v>
      </c>
      <c r="N1546" s="197">
        <v>0</v>
      </c>
      <c r="O1546" s="197">
        <v>0</v>
      </c>
      <c r="P1546" s="197">
        <v>39</v>
      </c>
      <c r="Q1546" s="197">
        <v>1.734597662295112E-4</v>
      </c>
      <c r="R1546" s="260" t="s">
        <v>239</v>
      </c>
      <c r="S1546" s="260" t="s">
        <v>514</v>
      </c>
      <c r="T1546" s="260" t="s">
        <v>239</v>
      </c>
      <c r="U1546" s="260" t="s">
        <v>514</v>
      </c>
    </row>
    <row r="1547" spans="1:21" ht="14.5" x14ac:dyDescent="0.35">
      <c r="A1547" s="260" t="s">
        <v>649</v>
      </c>
      <c r="B1547" s="190">
        <v>45738</v>
      </c>
      <c r="C1547" s="197">
        <v>224875</v>
      </c>
      <c r="D1547" s="197">
        <v>0</v>
      </c>
      <c r="E1547" s="197">
        <v>0</v>
      </c>
      <c r="F1547" s="197">
        <v>0</v>
      </c>
      <c r="G1547" s="197">
        <v>159935</v>
      </c>
      <c r="H1547" s="197">
        <v>64940</v>
      </c>
      <c r="I1547" s="197">
        <v>0</v>
      </c>
      <c r="J1547" s="197">
        <v>224875</v>
      </c>
      <c r="K1547" s="197">
        <v>224875</v>
      </c>
      <c r="L1547" s="197">
        <v>65065</v>
      </c>
      <c r="M1547" s="197">
        <v>0</v>
      </c>
      <c r="N1547" s="197">
        <v>0</v>
      </c>
      <c r="O1547" s="197">
        <v>0</v>
      </c>
      <c r="P1547" s="197">
        <v>0</v>
      </c>
      <c r="Q1547" s="197">
        <v>0</v>
      </c>
      <c r="R1547" s="260" t="s">
        <v>239</v>
      </c>
      <c r="S1547" s="260" t="s">
        <v>514</v>
      </c>
      <c r="T1547" s="260" t="s">
        <v>239</v>
      </c>
      <c r="U1547" s="260" t="s">
        <v>514</v>
      </c>
    </row>
    <row r="1548" spans="1:21" ht="14.5" x14ac:dyDescent="0.35">
      <c r="A1548" s="260" t="s">
        <v>649</v>
      </c>
      <c r="B1548" s="190">
        <v>45739</v>
      </c>
      <c r="C1548" s="197">
        <v>224875</v>
      </c>
      <c r="D1548" s="197">
        <v>0</v>
      </c>
      <c r="E1548" s="197">
        <v>0</v>
      </c>
      <c r="F1548" s="197">
        <v>0</v>
      </c>
      <c r="G1548" s="197">
        <v>159935</v>
      </c>
      <c r="H1548" s="197">
        <v>64940</v>
      </c>
      <c r="I1548" s="197">
        <v>0</v>
      </c>
      <c r="J1548" s="197">
        <v>224875</v>
      </c>
      <c r="K1548" s="197">
        <v>224875</v>
      </c>
      <c r="L1548" s="197">
        <v>65065</v>
      </c>
      <c r="M1548" s="197">
        <v>0</v>
      </c>
      <c r="N1548" s="197">
        <v>0</v>
      </c>
      <c r="O1548" s="197">
        <v>0</v>
      </c>
      <c r="P1548" s="197">
        <v>0</v>
      </c>
      <c r="Q1548" s="197">
        <v>0</v>
      </c>
      <c r="R1548" s="260" t="s">
        <v>239</v>
      </c>
      <c r="S1548" s="260" t="s">
        <v>514</v>
      </c>
      <c r="T1548" s="260" t="s">
        <v>239</v>
      </c>
      <c r="U1548" s="260" t="s">
        <v>514</v>
      </c>
    </row>
    <row r="1549" spans="1:21" ht="14.5" x14ac:dyDescent="0.35">
      <c r="A1549" s="260" t="s">
        <v>649</v>
      </c>
      <c r="B1549" s="190">
        <v>45740</v>
      </c>
      <c r="C1549" s="197">
        <v>224875</v>
      </c>
      <c r="D1549" s="197">
        <v>0</v>
      </c>
      <c r="E1549" s="197">
        <v>0</v>
      </c>
      <c r="F1549" s="197">
        <v>0</v>
      </c>
      <c r="G1549" s="197">
        <v>159935</v>
      </c>
      <c r="H1549" s="197">
        <v>65057</v>
      </c>
      <c r="I1549" s="197">
        <v>0</v>
      </c>
      <c r="J1549" s="197">
        <v>224992</v>
      </c>
      <c r="K1549" s="197">
        <v>224992</v>
      </c>
      <c r="L1549" s="197">
        <v>65065</v>
      </c>
      <c r="M1549" s="197">
        <v>0</v>
      </c>
      <c r="N1549" s="197">
        <v>0</v>
      </c>
      <c r="O1549" s="197">
        <v>0</v>
      </c>
      <c r="P1549" s="197">
        <v>117</v>
      </c>
      <c r="Q1549" s="197">
        <v>5.2028904947198917E-4</v>
      </c>
      <c r="R1549" s="260" t="s">
        <v>239</v>
      </c>
      <c r="S1549" s="260" t="s">
        <v>514</v>
      </c>
      <c r="T1549" s="260" t="s">
        <v>239</v>
      </c>
      <c r="U1549" s="260" t="s">
        <v>514</v>
      </c>
    </row>
    <row r="1550" spans="1:21" ht="14.5" x14ac:dyDescent="0.35">
      <c r="A1550" s="260" t="s">
        <v>649</v>
      </c>
      <c r="B1550" s="190">
        <v>45741</v>
      </c>
      <c r="C1550" s="197">
        <v>224992</v>
      </c>
      <c r="D1550" s="197">
        <v>0</v>
      </c>
      <c r="E1550" s="197">
        <v>0</v>
      </c>
      <c r="F1550" s="197">
        <v>0</v>
      </c>
      <c r="G1550" s="197">
        <v>159935</v>
      </c>
      <c r="H1550" s="197">
        <v>65096</v>
      </c>
      <c r="I1550" s="197">
        <v>0</v>
      </c>
      <c r="J1550" s="197">
        <v>225031</v>
      </c>
      <c r="K1550" s="197">
        <v>225031</v>
      </c>
      <c r="L1550" s="197">
        <v>65065</v>
      </c>
      <c r="M1550" s="197">
        <v>0</v>
      </c>
      <c r="N1550" s="197">
        <v>0</v>
      </c>
      <c r="O1550" s="197">
        <v>0</v>
      </c>
      <c r="P1550" s="197">
        <v>39</v>
      </c>
      <c r="Q1550" s="197">
        <v>1.7333949651532343E-4</v>
      </c>
      <c r="R1550" s="260" t="s">
        <v>239</v>
      </c>
      <c r="S1550" s="260" t="s">
        <v>514</v>
      </c>
      <c r="T1550" s="260" t="s">
        <v>239</v>
      </c>
      <c r="U1550" s="260" t="s">
        <v>514</v>
      </c>
    </row>
    <row r="1551" spans="1:21" ht="14.5" x14ac:dyDescent="0.35">
      <c r="A1551" s="260" t="s">
        <v>649</v>
      </c>
      <c r="B1551" s="190">
        <v>45742</v>
      </c>
      <c r="C1551" s="197">
        <v>225031</v>
      </c>
      <c r="D1551" s="197">
        <v>0</v>
      </c>
      <c r="E1551" s="197">
        <v>0</v>
      </c>
      <c r="F1551" s="197">
        <v>0</v>
      </c>
      <c r="G1551" s="197">
        <v>159935</v>
      </c>
      <c r="H1551" s="197">
        <v>65135</v>
      </c>
      <c r="I1551" s="197">
        <v>0</v>
      </c>
      <c r="J1551" s="197">
        <v>225070</v>
      </c>
      <c r="K1551" s="197">
        <v>225070</v>
      </c>
      <c r="L1551" s="197">
        <v>65065</v>
      </c>
      <c r="M1551" s="197">
        <v>0</v>
      </c>
      <c r="N1551" s="197">
        <v>0</v>
      </c>
      <c r="O1551" s="197">
        <v>0</v>
      </c>
      <c r="P1551" s="197">
        <v>39</v>
      </c>
      <c r="Q1551" s="197">
        <v>1.7330945514171248E-4</v>
      </c>
      <c r="R1551" s="260" t="s">
        <v>239</v>
      </c>
      <c r="S1551" s="260" t="s">
        <v>514</v>
      </c>
      <c r="T1551" s="260" t="s">
        <v>239</v>
      </c>
      <c r="U1551" s="260" t="s">
        <v>514</v>
      </c>
    </row>
    <row r="1552" spans="1:21" ht="14.5" x14ac:dyDescent="0.35">
      <c r="A1552" s="260" t="s">
        <v>649</v>
      </c>
      <c r="B1552" s="190">
        <v>45743</v>
      </c>
      <c r="C1552" s="197">
        <v>225070</v>
      </c>
      <c r="D1552" s="197">
        <v>0</v>
      </c>
      <c r="E1552" s="197">
        <v>0</v>
      </c>
      <c r="F1552" s="197">
        <v>0</v>
      </c>
      <c r="G1552" s="197">
        <v>159935</v>
      </c>
      <c r="H1552" s="197">
        <v>65174</v>
      </c>
      <c r="I1552" s="197">
        <v>0</v>
      </c>
      <c r="J1552" s="197">
        <v>225109</v>
      </c>
      <c r="K1552" s="197">
        <v>225109</v>
      </c>
      <c r="L1552" s="197">
        <v>65065</v>
      </c>
      <c r="M1552" s="197">
        <v>0</v>
      </c>
      <c r="N1552" s="197">
        <v>0</v>
      </c>
      <c r="O1552" s="197">
        <v>0</v>
      </c>
      <c r="P1552" s="197">
        <v>39</v>
      </c>
      <c r="Q1552" s="197">
        <v>1.7327942417910691E-4</v>
      </c>
      <c r="R1552" s="260" t="s">
        <v>239</v>
      </c>
      <c r="S1552" s="260" t="s">
        <v>514</v>
      </c>
      <c r="T1552" s="260" t="s">
        <v>239</v>
      </c>
      <c r="U1552" s="260" t="s">
        <v>514</v>
      </c>
    </row>
    <row r="1553" spans="1:21" ht="14.5" x14ac:dyDescent="0.35">
      <c r="A1553" s="260" t="s">
        <v>649</v>
      </c>
      <c r="B1553" s="190">
        <v>45744</v>
      </c>
      <c r="C1553" s="197">
        <v>225109</v>
      </c>
      <c r="D1553" s="197">
        <v>0</v>
      </c>
      <c r="E1553" s="197">
        <v>0</v>
      </c>
      <c r="F1553" s="197">
        <v>0</v>
      </c>
      <c r="G1553" s="197">
        <v>159935</v>
      </c>
      <c r="H1553" s="197">
        <v>65213</v>
      </c>
      <c r="I1553" s="197">
        <v>0</v>
      </c>
      <c r="J1553" s="197">
        <v>225148</v>
      </c>
      <c r="K1553" s="197">
        <v>225148</v>
      </c>
      <c r="L1553" s="197">
        <v>65065</v>
      </c>
      <c r="M1553" s="197">
        <v>0</v>
      </c>
      <c r="N1553" s="197">
        <v>0</v>
      </c>
      <c r="O1553" s="197">
        <v>0</v>
      </c>
      <c r="P1553" s="197">
        <v>39</v>
      </c>
      <c r="Q1553" s="197">
        <v>1.7324940362217767E-4</v>
      </c>
      <c r="R1553" s="260" t="s">
        <v>239</v>
      </c>
      <c r="S1553" s="260" t="s">
        <v>514</v>
      </c>
      <c r="T1553" s="260" t="s">
        <v>239</v>
      </c>
      <c r="U1553" s="260" t="s">
        <v>514</v>
      </c>
    </row>
    <row r="1554" spans="1:21" ht="14.5" x14ac:dyDescent="0.35">
      <c r="A1554" s="260" t="s">
        <v>649</v>
      </c>
      <c r="B1554" s="190">
        <v>45745</v>
      </c>
      <c r="C1554" s="197">
        <v>225148</v>
      </c>
      <c r="D1554" s="197">
        <v>0</v>
      </c>
      <c r="E1554" s="197">
        <v>0</v>
      </c>
      <c r="F1554" s="197">
        <v>0</v>
      </c>
      <c r="G1554" s="197">
        <v>159935</v>
      </c>
      <c r="H1554" s="197">
        <v>65213</v>
      </c>
      <c r="I1554" s="197">
        <v>0</v>
      </c>
      <c r="J1554" s="197">
        <v>225148</v>
      </c>
      <c r="K1554" s="197">
        <v>225148</v>
      </c>
      <c r="L1554" s="197">
        <v>65065</v>
      </c>
      <c r="M1554" s="197">
        <v>0</v>
      </c>
      <c r="N1554" s="197">
        <v>0</v>
      </c>
      <c r="O1554" s="197">
        <v>0</v>
      </c>
      <c r="P1554" s="197">
        <v>0</v>
      </c>
      <c r="Q1554" s="197">
        <v>0</v>
      </c>
      <c r="R1554" s="260" t="s">
        <v>239</v>
      </c>
      <c r="S1554" s="260" t="s">
        <v>514</v>
      </c>
      <c r="T1554" s="260" t="s">
        <v>239</v>
      </c>
      <c r="U1554" s="260" t="s">
        <v>514</v>
      </c>
    </row>
    <row r="1555" spans="1:21" ht="14.5" x14ac:dyDescent="0.35">
      <c r="A1555" s="260" t="s">
        <v>649</v>
      </c>
      <c r="B1555" s="190">
        <v>45746</v>
      </c>
      <c r="C1555" s="197">
        <v>225148</v>
      </c>
      <c r="D1555" s="197">
        <v>0</v>
      </c>
      <c r="E1555" s="197">
        <v>0</v>
      </c>
      <c r="F1555" s="197">
        <v>0</v>
      </c>
      <c r="G1555" s="197">
        <v>159935</v>
      </c>
      <c r="H1555" s="197">
        <v>65213</v>
      </c>
      <c r="I1555" s="197">
        <v>0</v>
      </c>
      <c r="J1555" s="197">
        <v>225148</v>
      </c>
      <c r="K1555" s="197">
        <v>225148</v>
      </c>
      <c r="L1555" s="197">
        <v>65065</v>
      </c>
      <c r="M1555" s="197">
        <v>0</v>
      </c>
      <c r="N1555" s="197">
        <v>0</v>
      </c>
      <c r="O1555" s="197">
        <v>0</v>
      </c>
      <c r="P1555" s="197">
        <v>0</v>
      </c>
      <c r="Q1555" s="197">
        <v>0</v>
      </c>
      <c r="R1555" s="260" t="s">
        <v>239</v>
      </c>
      <c r="S1555" s="260" t="s">
        <v>514</v>
      </c>
      <c r="T1555" s="260" t="s">
        <v>239</v>
      </c>
      <c r="U1555" s="260" t="s">
        <v>514</v>
      </c>
    </row>
    <row r="1556" spans="1:21" ht="14.5" x14ac:dyDescent="0.35">
      <c r="A1556" s="260" t="s">
        <v>649</v>
      </c>
      <c r="B1556" s="190">
        <v>45747</v>
      </c>
      <c r="C1556" s="197">
        <v>225148</v>
      </c>
      <c r="D1556" s="197">
        <v>0</v>
      </c>
      <c r="E1556" s="197">
        <v>0</v>
      </c>
      <c r="F1556" s="197">
        <v>0</v>
      </c>
      <c r="G1556" s="197">
        <v>159935</v>
      </c>
      <c r="H1556" s="197">
        <v>65330</v>
      </c>
      <c r="I1556" s="197">
        <v>0</v>
      </c>
      <c r="J1556" s="197">
        <v>225265</v>
      </c>
      <c r="K1556" s="197">
        <v>225265</v>
      </c>
      <c r="L1556" s="197">
        <v>65065</v>
      </c>
      <c r="M1556" s="197">
        <v>0</v>
      </c>
      <c r="N1556" s="197">
        <v>0</v>
      </c>
      <c r="O1556" s="197">
        <v>0</v>
      </c>
      <c r="P1556" s="197">
        <v>117</v>
      </c>
      <c r="Q1556" s="197">
        <v>5.1965818039678702E-4</v>
      </c>
      <c r="R1556" s="260" t="s">
        <v>239</v>
      </c>
      <c r="S1556" s="260" t="s">
        <v>514</v>
      </c>
      <c r="T1556" s="260" t="s">
        <v>239</v>
      </c>
      <c r="U1556" s="260" t="s">
        <v>514</v>
      </c>
    </row>
    <row r="1557" spans="1:21" ht="14.5" x14ac:dyDescent="0.35">
      <c r="A1557" s="260" t="s">
        <v>649</v>
      </c>
      <c r="B1557" s="190">
        <v>45748</v>
      </c>
      <c r="C1557" s="197">
        <v>225265</v>
      </c>
      <c r="D1557" s="197">
        <v>0</v>
      </c>
      <c r="E1557" s="197">
        <v>2000</v>
      </c>
      <c r="F1557" s="197">
        <v>2000</v>
      </c>
      <c r="G1557" s="197">
        <v>161935</v>
      </c>
      <c r="H1557" s="197">
        <v>65330</v>
      </c>
      <c r="I1557" s="197">
        <v>0</v>
      </c>
      <c r="J1557" s="197">
        <v>227265</v>
      </c>
      <c r="K1557" s="197">
        <v>227265</v>
      </c>
      <c r="L1557" s="197">
        <v>65065</v>
      </c>
      <c r="M1557" s="197">
        <v>0</v>
      </c>
      <c r="N1557" s="197">
        <v>0</v>
      </c>
      <c r="O1557" s="197">
        <v>0</v>
      </c>
      <c r="P1557" s="197">
        <v>0</v>
      </c>
      <c r="Q1557" s="197">
        <v>0</v>
      </c>
      <c r="R1557" s="260" t="s">
        <v>239</v>
      </c>
      <c r="S1557" s="260" t="s">
        <v>514</v>
      </c>
      <c r="T1557" s="260" t="s">
        <v>239</v>
      </c>
      <c r="U1557" s="260" t="s">
        <v>514</v>
      </c>
    </row>
    <row r="1558" spans="1:21" ht="14.5" x14ac:dyDescent="0.35">
      <c r="A1558" s="260" t="s">
        <v>649</v>
      </c>
      <c r="B1558" s="190">
        <v>45749</v>
      </c>
      <c r="C1558" s="197">
        <v>227265</v>
      </c>
      <c r="D1558" s="197">
        <v>0</v>
      </c>
      <c r="E1558" s="197">
        <v>0</v>
      </c>
      <c r="F1558" s="197">
        <v>0</v>
      </c>
      <c r="G1558" s="197">
        <v>161935</v>
      </c>
      <c r="H1558" s="197">
        <v>65254.9</v>
      </c>
      <c r="I1558" s="197">
        <v>0</v>
      </c>
      <c r="J1558" s="197">
        <v>227189.9</v>
      </c>
      <c r="K1558" s="197">
        <v>227189.9</v>
      </c>
      <c r="L1558" s="197">
        <v>65065</v>
      </c>
      <c r="M1558" s="197">
        <v>0</v>
      </c>
      <c r="N1558" s="197">
        <v>0</v>
      </c>
      <c r="O1558" s="197">
        <v>0</v>
      </c>
      <c r="P1558" s="197">
        <v>-75.100000000005821</v>
      </c>
      <c r="Q1558" s="197">
        <v>-3.3045123534203302E-4</v>
      </c>
      <c r="R1558" s="260" t="s">
        <v>239</v>
      </c>
      <c r="S1558" s="260" t="s">
        <v>514</v>
      </c>
      <c r="T1558" s="260" t="s">
        <v>239</v>
      </c>
      <c r="U1558" s="260" t="s">
        <v>514</v>
      </c>
    </row>
    <row r="1559" spans="1:21" ht="14.5" x14ac:dyDescent="0.35">
      <c r="A1559" s="260" t="s">
        <v>649</v>
      </c>
      <c r="B1559" s="190">
        <v>45750</v>
      </c>
      <c r="C1559" s="197">
        <v>227189.9</v>
      </c>
      <c r="D1559" s="197">
        <v>0</v>
      </c>
      <c r="E1559" s="197">
        <v>0</v>
      </c>
      <c r="F1559" s="197">
        <v>0</v>
      </c>
      <c r="G1559" s="197">
        <v>161935</v>
      </c>
      <c r="H1559" s="197">
        <v>65179.8</v>
      </c>
      <c r="I1559" s="197">
        <v>0</v>
      </c>
      <c r="J1559" s="197">
        <v>227114.8</v>
      </c>
      <c r="K1559" s="197">
        <v>227114.8</v>
      </c>
      <c r="L1559" s="197">
        <v>65065</v>
      </c>
      <c r="M1559" s="197">
        <v>0</v>
      </c>
      <c r="N1559" s="197">
        <v>0</v>
      </c>
      <c r="O1559" s="197">
        <v>0</v>
      </c>
      <c r="P1559" s="197">
        <v>-75.100000000005821</v>
      </c>
      <c r="Q1559" s="197">
        <v>-3.3056046945756368E-4</v>
      </c>
      <c r="R1559" s="260" t="s">
        <v>239</v>
      </c>
      <c r="S1559" s="260" t="s">
        <v>514</v>
      </c>
      <c r="T1559" s="260" t="s">
        <v>239</v>
      </c>
      <c r="U1559" s="260" t="s">
        <v>514</v>
      </c>
    </row>
    <row r="1560" spans="1:21" ht="14.5" x14ac:dyDescent="0.35">
      <c r="A1560" s="260" t="s">
        <v>649</v>
      </c>
      <c r="B1560" s="190">
        <v>45751</v>
      </c>
      <c r="C1560" s="197">
        <v>227114.8</v>
      </c>
      <c r="D1560" s="197">
        <v>0</v>
      </c>
      <c r="E1560" s="197">
        <v>0</v>
      </c>
      <c r="F1560" s="197">
        <v>0</v>
      </c>
      <c r="G1560" s="197">
        <v>161935</v>
      </c>
      <c r="H1560" s="197">
        <v>65100.9</v>
      </c>
      <c r="I1560" s="197">
        <v>0</v>
      </c>
      <c r="J1560" s="197">
        <v>227035.9</v>
      </c>
      <c r="K1560" s="197">
        <v>227035.9</v>
      </c>
      <c r="L1560" s="197">
        <v>65065</v>
      </c>
      <c r="M1560" s="197">
        <v>0</v>
      </c>
      <c r="N1560" s="197">
        <v>0</v>
      </c>
      <c r="O1560" s="197">
        <v>0</v>
      </c>
      <c r="P1560" s="197">
        <v>-78.899999999994179</v>
      </c>
      <c r="Q1560" s="197">
        <v>-3.4740140228639582E-4</v>
      </c>
      <c r="R1560" s="260" t="s">
        <v>239</v>
      </c>
      <c r="S1560" s="260" t="s">
        <v>514</v>
      </c>
      <c r="T1560" s="260" t="s">
        <v>239</v>
      </c>
      <c r="U1560" s="260" t="s">
        <v>514</v>
      </c>
    </row>
    <row r="1561" spans="1:21" ht="14.5" x14ac:dyDescent="0.35">
      <c r="A1561" s="260" t="s">
        <v>649</v>
      </c>
      <c r="B1561" s="190">
        <v>45752</v>
      </c>
      <c r="C1561" s="197">
        <v>227035.9</v>
      </c>
      <c r="D1561" s="197">
        <v>0</v>
      </c>
      <c r="E1561" s="197">
        <v>0</v>
      </c>
      <c r="F1561" s="197">
        <v>0</v>
      </c>
      <c r="G1561" s="197">
        <v>161935</v>
      </c>
      <c r="H1561" s="197">
        <v>65100.9</v>
      </c>
      <c r="I1561" s="197">
        <v>0</v>
      </c>
      <c r="J1561" s="197">
        <v>227035.9</v>
      </c>
      <c r="K1561" s="197">
        <v>227035.9</v>
      </c>
      <c r="L1561" s="197">
        <v>65065</v>
      </c>
      <c r="M1561" s="197">
        <v>0</v>
      </c>
      <c r="N1561" s="197">
        <v>0</v>
      </c>
      <c r="O1561" s="197">
        <v>0</v>
      </c>
      <c r="P1561" s="197">
        <v>0</v>
      </c>
      <c r="Q1561" s="197">
        <v>0</v>
      </c>
      <c r="R1561" s="260" t="s">
        <v>239</v>
      </c>
      <c r="S1561" s="260" t="s">
        <v>514</v>
      </c>
      <c r="T1561" s="260" t="s">
        <v>239</v>
      </c>
      <c r="U1561" s="260" t="s">
        <v>514</v>
      </c>
    </row>
    <row r="1562" spans="1:21" ht="14.5" x14ac:dyDescent="0.35">
      <c r="A1562" s="260" t="s">
        <v>649</v>
      </c>
      <c r="B1562" s="190">
        <v>45753</v>
      </c>
      <c r="C1562" s="197">
        <v>227035.9</v>
      </c>
      <c r="D1562" s="197">
        <v>0</v>
      </c>
      <c r="E1562" s="197">
        <v>0</v>
      </c>
      <c r="F1562" s="197">
        <v>0</v>
      </c>
      <c r="G1562" s="197">
        <v>161935</v>
      </c>
      <c r="H1562" s="197">
        <v>65100.9</v>
      </c>
      <c r="I1562" s="197">
        <v>0</v>
      </c>
      <c r="J1562" s="197">
        <v>227035.9</v>
      </c>
      <c r="K1562" s="197">
        <v>227035.9</v>
      </c>
      <c r="L1562" s="197">
        <v>65065</v>
      </c>
      <c r="M1562" s="197">
        <v>0</v>
      </c>
      <c r="N1562" s="197">
        <v>0</v>
      </c>
      <c r="O1562" s="197">
        <v>0</v>
      </c>
      <c r="P1562" s="197">
        <v>0</v>
      </c>
      <c r="Q1562" s="197">
        <v>0</v>
      </c>
      <c r="R1562" s="260" t="s">
        <v>239</v>
      </c>
      <c r="S1562" s="260" t="s">
        <v>514</v>
      </c>
      <c r="T1562" s="260" t="s">
        <v>239</v>
      </c>
      <c r="U1562" s="260" t="s">
        <v>514</v>
      </c>
    </row>
    <row r="1563" spans="1:21" ht="14.5" x14ac:dyDescent="0.35">
      <c r="A1563" s="260" t="s">
        <v>649</v>
      </c>
      <c r="B1563" s="190">
        <v>45754</v>
      </c>
      <c r="C1563" s="197">
        <v>227035.9</v>
      </c>
      <c r="D1563" s="197">
        <v>0</v>
      </c>
      <c r="E1563" s="197">
        <v>0</v>
      </c>
      <c r="F1563" s="197">
        <v>0</v>
      </c>
      <c r="G1563" s="197">
        <v>161935</v>
      </c>
      <c r="H1563" s="197">
        <v>64875.6</v>
      </c>
      <c r="I1563" s="197">
        <v>0</v>
      </c>
      <c r="J1563" s="197">
        <v>226810.6</v>
      </c>
      <c r="K1563" s="197">
        <v>226810.6</v>
      </c>
      <c r="L1563" s="197">
        <v>65065</v>
      </c>
      <c r="M1563" s="197">
        <v>0</v>
      </c>
      <c r="N1563" s="197">
        <v>0</v>
      </c>
      <c r="O1563" s="197">
        <v>0</v>
      </c>
      <c r="P1563" s="197">
        <v>-225.29999999998836</v>
      </c>
      <c r="Q1563" s="197">
        <v>-9.9235407263775777E-4</v>
      </c>
      <c r="R1563" s="260" t="s">
        <v>239</v>
      </c>
      <c r="S1563" s="260" t="s">
        <v>514</v>
      </c>
      <c r="T1563" s="260" t="s">
        <v>239</v>
      </c>
      <c r="U1563" s="260" t="s">
        <v>514</v>
      </c>
    </row>
    <row r="1564" spans="1:21" ht="14.5" x14ac:dyDescent="0.35">
      <c r="A1564" s="260" t="s">
        <v>649</v>
      </c>
      <c r="B1564" s="190">
        <v>45755</v>
      </c>
      <c r="C1564" s="197">
        <v>226810.6</v>
      </c>
      <c r="D1564" s="197">
        <v>0</v>
      </c>
      <c r="E1564" s="197">
        <v>0</v>
      </c>
      <c r="F1564" s="197">
        <v>0</v>
      </c>
      <c r="G1564" s="197">
        <v>161935</v>
      </c>
      <c r="H1564" s="197">
        <v>64798.2</v>
      </c>
      <c r="I1564" s="197">
        <v>0</v>
      </c>
      <c r="J1564" s="197">
        <v>226733.2</v>
      </c>
      <c r="K1564" s="197">
        <v>226733.2</v>
      </c>
      <c r="L1564" s="197">
        <v>65065</v>
      </c>
      <c r="M1564" s="197">
        <v>0</v>
      </c>
      <c r="N1564" s="197">
        <v>0</v>
      </c>
      <c r="O1564" s="197">
        <v>0</v>
      </c>
      <c r="P1564" s="197">
        <v>-77.399999999994179</v>
      </c>
      <c r="Q1564" s="197">
        <v>-3.41253892013893E-4</v>
      </c>
      <c r="R1564" s="260" t="s">
        <v>239</v>
      </c>
      <c r="S1564" s="260" t="s">
        <v>514</v>
      </c>
      <c r="T1564" s="260" t="s">
        <v>239</v>
      </c>
      <c r="U1564" s="260" t="s">
        <v>514</v>
      </c>
    </row>
    <row r="1565" spans="1:21" ht="14.5" x14ac:dyDescent="0.35">
      <c r="A1565" s="260" t="s">
        <v>649</v>
      </c>
      <c r="B1565" s="190">
        <v>45756</v>
      </c>
      <c r="C1565" s="197">
        <v>226733.2</v>
      </c>
      <c r="D1565" s="197">
        <v>0</v>
      </c>
      <c r="E1565" s="197">
        <v>0</v>
      </c>
      <c r="F1565" s="197">
        <v>0</v>
      </c>
      <c r="G1565" s="197">
        <v>161935</v>
      </c>
      <c r="H1565" s="197">
        <v>64723.1</v>
      </c>
      <c r="I1565" s="197">
        <v>0</v>
      </c>
      <c r="J1565" s="197">
        <v>226658.1</v>
      </c>
      <c r="K1565" s="197">
        <v>226658.1</v>
      </c>
      <c r="L1565" s="197">
        <v>65065</v>
      </c>
      <c r="M1565" s="197">
        <v>0</v>
      </c>
      <c r="N1565" s="197">
        <v>0</v>
      </c>
      <c r="O1565" s="197">
        <v>0</v>
      </c>
      <c r="P1565" s="197">
        <v>-75.100000000005821</v>
      </c>
      <c r="Q1565" s="197">
        <v>-3.3122630474935466E-4</v>
      </c>
      <c r="R1565" s="260" t="s">
        <v>239</v>
      </c>
      <c r="S1565" s="260" t="s">
        <v>514</v>
      </c>
      <c r="T1565" s="260" t="s">
        <v>239</v>
      </c>
      <c r="U1565" s="260" t="s">
        <v>514</v>
      </c>
    </row>
    <row r="1566" spans="1:21" ht="14.5" x14ac:dyDescent="0.35">
      <c r="A1566" s="260" t="s">
        <v>649</v>
      </c>
      <c r="B1566" s="190">
        <v>45757</v>
      </c>
      <c r="C1566" s="197">
        <v>226658.1</v>
      </c>
      <c r="D1566" s="197">
        <v>0</v>
      </c>
      <c r="E1566" s="197">
        <v>0</v>
      </c>
      <c r="F1566" s="197">
        <v>0</v>
      </c>
      <c r="G1566" s="197">
        <v>161935</v>
      </c>
      <c r="H1566" s="197">
        <v>64648</v>
      </c>
      <c r="I1566" s="197">
        <v>0</v>
      </c>
      <c r="J1566" s="197">
        <v>226583</v>
      </c>
      <c r="K1566" s="197">
        <v>226583</v>
      </c>
      <c r="L1566" s="197">
        <v>65065</v>
      </c>
      <c r="M1566" s="197">
        <v>0</v>
      </c>
      <c r="N1566" s="197">
        <v>0</v>
      </c>
      <c r="O1566" s="197">
        <v>0</v>
      </c>
      <c r="P1566" s="197">
        <v>-75.100000000005821</v>
      </c>
      <c r="Q1566" s="197">
        <v>-3.3133605196555838E-4</v>
      </c>
      <c r="R1566" s="260" t="s">
        <v>239</v>
      </c>
      <c r="S1566" s="260" t="s">
        <v>514</v>
      </c>
      <c r="T1566" s="260" t="s">
        <v>239</v>
      </c>
      <c r="U1566" s="260" t="s">
        <v>514</v>
      </c>
    </row>
    <row r="1567" spans="1:21" ht="14.5" x14ac:dyDescent="0.35">
      <c r="A1567" s="260" t="s">
        <v>649</v>
      </c>
      <c r="B1567" s="190">
        <v>45758</v>
      </c>
      <c r="C1567" s="197">
        <v>226583</v>
      </c>
      <c r="D1567" s="197">
        <v>0</v>
      </c>
      <c r="E1567" s="197">
        <v>0</v>
      </c>
      <c r="F1567" s="197">
        <v>0</v>
      </c>
      <c r="G1567" s="197">
        <v>161935</v>
      </c>
      <c r="H1567" s="197">
        <v>64572.9</v>
      </c>
      <c r="I1567" s="197">
        <v>0</v>
      </c>
      <c r="J1567" s="197">
        <v>226507.9</v>
      </c>
      <c r="K1567" s="197">
        <v>226507.9</v>
      </c>
      <c r="L1567" s="197">
        <v>65065</v>
      </c>
      <c r="M1567" s="197">
        <v>0</v>
      </c>
      <c r="N1567" s="197">
        <v>0</v>
      </c>
      <c r="O1567" s="197">
        <v>0</v>
      </c>
      <c r="P1567" s="197">
        <v>-75.100000000005821</v>
      </c>
      <c r="Q1567" s="197">
        <v>-3.3144587193212338E-4</v>
      </c>
      <c r="R1567" s="260" t="s">
        <v>239</v>
      </c>
      <c r="S1567" s="260" t="s">
        <v>514</v>
      </c>
      <c r="T1567" s="260" t="s">
        <v>239</v>
      </c>
      <c r="U1567" s="260" t="s">
        <v>514</v>
      </c>
    </row>
    <row r="1568" spans="1:21" ht="14.5" x14ac:dyDescent="0.35">
      <c r="A1568" s="260" t="s">
        <v>649</v>
      </c>
      <c r="B1568" s="190">
        <v>45759</v>
      </c>
      <c r="C1568" s="197">
        <v>226507.9</v>
      </c>
      <c r="D1568" s="197">
        <v>0</v>
      </c>
      <c r="E1568" s="197">
        <v>0</v>
      </c>
      <c r="F1568" s="197">
        <v>0</v>
      </c>
      <c r="G1568" s="197">
        <v>161935</v>
      </c>
      <c r="H1568" s="197">
        <v>64572.9</v>
      </c>
      <c r="I1568" s="197">
        <v>0</v>
      </c>
      <c r="J1568" s="197">
        <v>226507.9</v>
      </c>
      <c r="K1568" s="197">
        <v>226507.9</v>
      </c>
      <c r="L1568" s="197">
        <v>65065</v>
      </c>
      <c r="M1568" s="197">
        <v>0</v>
      </c>
      <c r="N1568" s="197">
        <v>0</v>
      </c>
      <c r="O1568" s="197">
        <v>0</v>
      </c>
      <c r="P1568" s="197">
        <v>0</v>
      </c>
      <c r="Q1568" s="197">
        <v>0</v>
      </c>
      <c r="R1568" s="260" t="s">
        <v>239</v>
      </c>
      <c r="S1568" s="260" t="s">
        <v>514</v>
      </c>
      <c r="T1568" s="260" t="s">
        <v>239</v>
      </c>
      <c r="U1568" s="260" t="s">
        <v>514</v>
      </c>
    </row>
    <row r="1569" spans="1:21" ht="14.5" x14ac:dyDescent="0.35">
      <c r="A1569" s="260" t="s">
        <v>649</v>
      </c>
      <c r="B1569" s="190">
        <v>45760</v>
      </c>
      <c r="C1569" s="197">
        <v>226507.9</v>
      </c>
      <c r="D1569" s="197">
        <v>0</v>
      </c>
      <c r="E1569" s="197">
        <v>0</v>
      </c>
      <c r="F1569" s="197">
        <v>0</v>
      </c>
      <c r="G1569" s="197">
        <v>161935</v>
      </c>
      <c r="H1569" s="197">
        <v>64572.9</v>
      </c>
      <c r="I1569" s="197">
        <v>0</v>
      </c>
      <c r="J1569" s="197">
        <v>226507.9</v>
      </c>
      <c r="K1569" s="197">
        <v>226507.9</v>
      </c>
      <c r="L1569" s="197">
        <v>65065</v>
      </c>
      <c r="M1569" s="197">
        <v>0</v>
      </c>
      <c r="N1569" s="197">
        <v>0</v>
      </c>
      <c r="O1569" s="197">
        <v>0</v>
      </c>
      <c r="P1569" s="197">
        <v>0</v>
      </c>
      <c r="Q1569" s="197">
        <v>0</v>
      </c>
      <c r="R1569" s="260" t="s">
        <v>239</v>
      </c>
      <c r="S1569" s="260" t="s">
        <v>514</v>
      </c>
      <c r="T1569" s="260" t="s">
        <v>239</v>
      </c>
      <c r="U1569" s="260" t="s">
        <v>514</v>
      </c>
    </row>
    <row r="1570" spans="1:21" ht="14.5" x14ac:dyDescent="0.35">
      <c r="A1570" s="260" t="s">
        <v>649</v>
      </c>
      <c r="B1570" s="190">
        <v>45761</v>
      </c>
      <c r="C1570" s="197">
        <v>226507.9</v>
      </c>
      <c r="D1570" s="197">
        <v>0</v>
      </c>
      <c r="E1570" s="197">
        <v>0</v>
      </c>
      <c r="F1570" s="197">
        <v>0</v>
      </c>
      <c r="G1570" s="197">
        <v>161935</v>
      </c>
      <c r="H1570" s="197">
        <v>64343.8</v>
      </c>
      <c r="I1570" s="197">
        <v>0</v>
      </c>
      <c r="J1570" s="197">
        <v>226278.8</v>
      </c>
      <c r="K1570" s="197">
        <v>226278.8</v>
      </c>
      <c r="L1570" s="197">
        <v>65065</v>
      </c>
      <c r="M1570" s="197">
        <v>0</v>
      </c>
      <c r="N1570" s="197">
        <v>0</v>
      </c>
      <c r="O1570" s="197">
        <v>0</v>
      </c>
      <c r="P1570" s="197">
        <v>-229.10000000000582</v>
      </c>
      <c r="Q1570" s="197">
        <v>-1.0114437509685104E-3</v>
      </c>
      <c r="R1570" s="260" t="s">
        <v>239</v>
      </c>
      <c r="S1570" s="260" t="s">
        <v>514</v>
      </c>
      <c r="T1570" s="260" t="s">
        <v>239</v>
      </c>
      <c r="U1570" s="260" t="s">
        <v>514</v>
      </c>
    </row>
    <row r="1571" spans="1:21" ht="14.5" x14ac:dyDescent="0.35">
      <c r="A1571" s="260" t="s">
        <v>649</v>
      </c>
      <c r="B1571" s="190">
        <v>45762</v>
      </c>
      <c r="C1571" s="197">
        <v>226278.8</v>
      </c>
      <c r="D1571" s="197">
        <v>0</v>
      </c>
      <c r="E1571" s="197">
        <v>0</v>
      </c>
      <c r="F1571" s="197">
        <v>0</v>
      </c>
      <c r="G1571" s="197">
        <v>161935</v>
      </c>
      <c r="H1571" s="197">
        <v>64268.7</v>
      </c>
      <c r="I1571" s="197">
        <v>0</v>
      </c>
      <c r="J1571" s="197">
        <v>226203.7</v>
      </c>
      <c r="K1571" s="197">
        <v>226203.7</v>
      </c>
      <c r="L1571" s="197">
        <v>65065</v>
      </c>
      <c r="M1571" s="197">
        <v>0</v>
      </c>
      <c r="N1571" s="197">
        <v>0</v>
      </c>
      <c r="O1571" s="197">
        <v>0</v>
      </c>
      <c r="P1571" s="197">
        <v>-75.099999999976717</v>
      </c>
      <c r="Q1571" s="197">
        <v>-3.3189145425893685E-4</v>
      </c>
      <c r="R1571" s="260" t="s">
        <v>239</v>
      </c>
      <c r="S1571" s="260" t="s">
        <v>514</v>
      </c>
      <c r="T1571" s="260" t="s">
        <v>239</v>
      </c>
      <c r="U1571" s="260" t="s">
        <v>514</v>
      </c>
    </row>
    <row r="1572" spans="1:21" ht="14.5" x14ac:dyDescent="0.35">
      <c r="A1572" s="260" t="s">
        <v>649</v>
      </c>
      <c r="B1572" s="190">
        <v>45763</v>
      </c>
      <c r="C1572" s="197">
        <v>226203.7</v>
      </c>
      <c r="D1572" s="197">
        <v>0</v>
      </c>
      <c r="E1572" s="197">
        <v>0</v>
      </c>
      <c r="F1572" s="197">
        <v>0</v>
      </c>
      <c r="G1572" s="197">
        <v>161935</v>
      </c>
      <c r="H1572" s="197">
        <v>64191.3</v>
      </c>
      <c r="I1572" s="197">
        <v>0</v>
      </c>
      <c r="J1572" s="197">
        <v>226126.3</v>
      </c>
      <c r="K1572" s="197">
        <v>226126.3</v>
      </c>
      <c r="L1572" s="197">
        <v>65065</v>
      </c>
      <c r="M1572" s="197">
        <v>0</v>
      </c>
      <c r="N1572" s="197">
        <v>0</v>
      </c>
      <c r="O1572" s="197">
        <v>0</v>
      </c>
      <c r="P1572" s="197">
        <v>-77.400000000023283</v>
      </c>
      <c r="Q1572" s="197">
        <v>-3.4216946937659642E-4</v>
      </c>
      <c r="R1572" s="260" t="s">
        <v>239</v>
      </c>
      <c r="S1572" s="260" t="s">
        <v>514</v>
      </c>
      <c r="T1572" s="260" t="s">
        <v>239</v>
      </c>
      <c r="U1572" s="260" t="s">
        <v>514</v>
      </c>
    </row>
    <row r="1573" spans="1:21" ht="14.5" x14ac:dyDescent="0.35">
      <c r="A1573" s="260" t="s">
        <v>649</v>
      </c>
      <c r="B1573" s="190">
        <v>45764</v>
      </c>
      <c r="C1573" s="197">
        <v>226126.3</v>
      </c>
      <c r="D1573" s="197">
        <v>0</v>
      </c>
      <c r="E1573" s="197">
        <v>0</v>
      </c>
      <c r="F1573" s="197">
        <v>0</v>
      </c>
      <c r="G1573" s="197">
        <v>161935</v>
      </c>
      <c r="H1573" s="197">
        <v>64116.2</v>
      </c>
      <c r="I1573" s="197">
        <v>0</v>
      </c>
      <c r="J1573" s="197">
        <v>226051.20000000001</v>
      </c>
      <c r="K1573" s="197">
        <v>226051.20000000001</v>
      </c>
      <c r="L1573" s="197">
        <v>65065</v>
      </c>
      <c r="M1573" s="197">
        <v>0</v>
      </c>
      <c r="N1573" s="197">
        <v>0</v>
      </c>
      <c r="O1573" s="197">
        <v>0</v>
      </c>
      <c r="P1573" s="197">
        <v>-75.099999999976717</v>
      </c>
      <c r="Q1573" s="197">
        <v>-3.3211528247700794E-4</v>
      </c>
      <c r="R1573" s="260" t="s">
        <v>239</v>
      </c>
      <c r="S1573" s="260" t="s">
        <v>514</v>
      </c>
      <c r="T1573" s="260" t="s">
        <v>239</v>
      </c>
      <c r="U1573" s="260" t="s">
        <v>514</v>
      </c>
    </row>
    <row r="1574" spans="1:21" ht="14.5" x14ac:dyDescent="0.35">
      <c r="A1574" s="260" t="s">
        <v>649</v>
      </c>
      <c r="B1574" s="190">
        <v>45765</v>
      </c>
      <c r="C1574" s="197">
        <v>226051.20000000001</v>
      </c>
      <c r="D1574" s="197">
        <v>0</v>
      </c>
      <c r="E1574" s="197">
        <v>0</v>
      </c>
      <c r="F1574" s="197">
        <v>0</v>
      </c>
      <c r="G1574" s="197">
        <v>161935</v>
      </c>
      <c r="H1574" s="197">
        <v>64039.6</v>
      </c>
      <c r="I1574" s="197">
        <v>0</v>
      </c>
      <c r="J1574" s="197">
        <v>225974.6</v>
      </c>
      <c r="K1574" s="197">
        <v>225974.6</v>
      </c>
      <c r="L1574" s="197">
        <v>65065</v>
      </c>
      <c r="M1574" s="197">
        <v>0</v>
      </c>
      <c r="N1574" s="197">
        <v>0</v>
      </c>
      <c r="O1574" s="197">
        <v>0</v>
      </c>
      <c r="P1574" s="197">
        <v>-76.600000000005821</v>
      </c>
      <c r="Q1574" s="197">
        <v>-3.3886128452320641E-4</v>
      </c>
      <c r="R1574" s="260" t="s">
        <v>239</v>
      </c>
      <c r="S1574" s="260" t="s">
        <v>514</v>
      </c>
      <c r="T1574" s="260" t="s">
        <v>239</v>
      </c>
      <c r="U1574" s="260" t="s">
        <v>514</v>
      </c>
    </row>
    <row r="1575" spans="1:21" ht="14.5" x14ac:dyDescent="0.35">
      <c r="A1575" s="260" t="s">
        <v>649</v>
      </c>
      <c r="B1575" s="190">
        <v>45766</v>
      </c>
      <c r="C1575" s="197">
        <v>225974.6</v>
      </c>
      <c r="D1575" s="197">
        <v>0</v>
      </c>
      <c r="E1575" s="197">
        <v>0</v>
      </c>
      <c r="F1575" s="197">
        <v>0</v>
      </c>
      <c r="G1575" s="197">
        <v>161935</v>
      </c>
      <c r="H1575" s="197">
        <v>64039.6</v>
      </c>
      <c r="I1575" s="197">
        <v>0</v>
      </c>
      <c r="J1575" s="197">
        <v>225974.6</v>
      </c>
      <c r="K1575" s="197">
        <v>225974.6</v>
      </c>
      <c r="L1575" s="197">
        <v>65065</v>
      </c>
      <c r="M1575" s="197">
        <v>0</v>
      </c>
      <c r="N1575" s="197">
        <v>0</v>
      </c>
      <c r="O1575" s="197">
        <v>0</v>
      </c>
      <c r="P1575" s="197">
        <v>0</v>
      </c>
      <c r="Q1575" s="197">
        <v>0</v>
      </c>
      <c r="R1575" s="260" t="s">
        <v>239</v>
      </c>
      <c r="S1575" s="260" t="s">
        <v>514</v>
      </c>
      <c r="T1575" s="260" t="s">
        <v>239</v>
      </c>
      <c r="U1575" s="260" t="s">
        <v>514</v>
      </c>
    </row>
    <row r="1576" spans="1:21" ht="14.5" x14ac:dyDescent="0.35">
      <c r="A1576" s="260" t="s">
        <v>649</v>
      </c>
      <c r="B1576" s="190">
        <v>45767</v>
      </c>
      <c r="C1576" s="197">
        <v>225974.6</v>
      </c>
      <c r="D1576" s="197">
        <v>0</v>
      </c>
      <c r="E1576" s="197">
        <v>0</v>
      </c>
      <c r="F1576" s="197">
        <v>0</v>
      </c>
      <c r="G1576" s="197">
        <v>161935</v>
      </c>
      <c r="H1576" s="197">
        <v>64039.6</v>
      </c>
      <c r="I1576" s="197">
        <v>0</v>
      </c>
      <c r="J1576" s="197">
        <v>225974.6</v>
      </c>
      <c r="K1576" s="197">
        <v>225974.6</v>
      </c>
      <c r="L1576" s="197">
        <v>65065</v>
      </c>
      <c r="M1576" s="197">
        <v>0</v>
      </c>
      <c r="N1576" s="197">
        <v>0</v>
      </c>
      <c r="O1576" s="197">
        <v>0</v>
      </c>
      <c r="P1576" s="197">
        <v>0</v>
      </c>
      <c r="Q1576" s="197">
        <v>0</v>
      </c>
      <c r="R1576" s="260" t="s">
        <v>239</v>
      </c>
      <c r="S1576" s="260" t="s">
        <v>514</v>
      </c>
      <c r="T1576" s="260" t="s">
        <v>239</v>
      </c>
      <c r="U1576" s="260" t="s">
        <v>514</v>
      </c>
    </row>
    <row r="1577" spans="1:21" ht="14.5" x14ac:dyDescent="0.35">
      <c r="A1577" s="260" t="s">
        <v>649</v>
      </c>
      <c r="B1577" s="190">
        <v>45768</v>
      </c>
      <c r="C1577" s="197">
        <v>225974.6</v>
      </c>
      <c r="D1577" s="197">
        <v>0</v>
      </c>
      <c r="E1577" s="197">
        <v>0</v>
      </c>
      <c r="F1577" s="197">
        <v>0</v>
      </c>
      <c r="G1577" s="197">
        <v>161935</v>
      </c>
      <c r="H1577" s="197">
        <v>63812</v>
      </c>
      <c r="I1577" s="197">
        <v>0</v>
      </c>
      <c r="J1577" s="197">
        <v>225747</v>
      </c>
      <c r="K1577" s="197">
        <v>225747</v>
      </c>
      <c r="L1577" s="197">
        <v>65065</v>
      </c>
      <c r="M1577" s="197">
        <v>0</v>
      </c>
      <c r="N1577" s="197">
        <v>0</v>
      </c>
      <c r="O1577" s="197">
        <v>0</v>
      </c>
      <c r="P1577" s="197">
        <v>-227.60000000000582</v>
      </c>
      <c r="Q1577" s="197">
        <v>-1.0071928437974664E-3</v>
      </c>
      <c r="R1577" s="260" t="s">
        <v>239</v>
      </c>
      <c r="S1577" s="260" t="s">
        <v>514</v>
      </c>
      <c r="T1577" s="260" t="s">
        <v>239</v>
      </c>
      <c r="U1577" s="260" t="s">
        <v>514</v>
      </c>
    </row>
    <row r="1578" spans="1:21" ht="14.5" x14ac:dyDescent="0.35">
      <c r="A1578" s="260" t="s">
        <v>649</v>
      </c>
      <c r="B1578" s="190">
        <v>45769</v>
      </c>
      <c r="C1578" s="197">
        <v>225747</v>
      </c>
      <c r="D1578" s="197">
        <v>0</v>
      </c>
      <c r="E1578" s="197">
        <v>0</v>
      </c>
      <c r="F1578" s="197">
        <v>0</v>
      </c>
      <c r="G1578" s="197">
        <v>161935</v>
      </c>
      <c r="H1578" s="197">
        <v>63736.9</v>
      </c>
      <c r="I1578" s="197">
        <v>0</v>
      </c>
      <c r="J1578" s="197">
        <v>225671.9</v>
      </c>
      <c r="K1578" s="197">
        <v>225671.9</v>
      </c>
      <c r="L1578" s="197">
        <v>65065</v>
      </c>
      <c r="M1578" s="197">
        <v>0</v>
      </c>
      <c r="N1578" s="197">
        <v>0</v>
      </c>
      <c r="O1578" s="197">
        <v>0</v>
      </c>
      <c r="P1578" s="197">
        <v>-75.100000000005821</v>
      </c>
      <c r="Q1578" s="197">
        <v>-3.3267330241382176E-4</v>
      </c>
      <c r="R1578" s="260" t="s">
        <v>239</v>
      </c>
      <c r="S1578" s="260" t="s">
        <v>514</v>
      </c>
      <c r="T1578" s="260" t="s">
        <v>239</v>
      </c>
      <c r="U1578" s="260" t="s">
        <v>514</v>
      </c>
    </row>
    <row r="1579" spans="1:21" ht="14.5" x14ac:dyDescent="0.35">
      <c r="A1579" s="260" t="s">
        <v>649</v>
      </c>
      <c r="B1579" s="190">
        <v>45770</v>
      </c>
      <c r="C1579" s="197">
        <v>225671.9</v>
      </c>
      <c r="D1579" s="197">
        <v>0</v>
      </c>
      <c r="E1579" s="197">
        <v>0</v>
      </c>
      <c r="F1579" s="197">
        <v>0</v>
      </c>
      <c r="G1579" s="197">
        <v>161935</v>
      </c>
      <c r="H1579" s="197">
        <v>63661.8</v>
      </c>
      <c r="I1579" s="197">
        <v>0</v>
      </c>
      <c r="J1579" s="197">
        <v>225596.79999999999</v>
      </c>
      <c r="K1579" s="197">
        <v>225596.79999999999</v>
      </c>
      <c r="L1579" s="197">
        <v>65065</v>
      </c>
      <c r="M1579" s="197">
        <v>0</v>
      </c>
      <c r="N1579" s="197">
        <v>0</v>
      </c>
      <c r="O1579" s="197">
        <v>0</v>
      </c>
      <c r="P1579" s="197">
        <v>-75.100000000005821</v>
      </c>
      <c r="Q1579" s="197">
        <v>-3.3278401076963782E-4</v>
      </c>
      <c r="R1579" s="260" t="s">
        <v>239</v>
      </c>
      <c r="S1579" s="260" t="s">
        <v>514</v>
      </c>
      <c r="T1579" s="260" t="s">
        <v>239</v>
      </c>
      <c r="U1579" s="260" t="s">
        <v>514</v>
      </c>
    </row>
    <row r="1580" spans="1:21" ht="14.5" x14ac:dyDescent="0.35">
      <c r="A1580" s="260" t="s">
        <v>649</v>
      </c>
      <c r="B1580" s="190">
        <v>45771</v>
      </c>
      <c r="C1580" s="197">
        <v>225596.79999999999</v>
      </c>
      <c r="D1580" s="197">
        <v>0</v>
      </c>
      <c r="E1580" s="197">
        <v>0</v>
      </c>
      <c r="F1580" s="197">
        <v>0</v>
      </c>
      <c r="G1580" s="197">
        <v>161935</v>
      </c>
      <c r="H1580" s="197">
        <v>63584.4</v>
      </c>
      <c r="I1580" s="197">
        <v>0</v>
      </c>
      <c r="J1580" s="197">
        <v>225519.4</v>
      </c>
      <c r="K1580" s="197">
        <v>225519.4</v>
      </c>
      <c r="L1580" s="197">
        <v>65065</v>
      </c>
      <c r="M1580" s="197">
        <v>0</v>
      </c>
      <c r="N1580" s="197">
        <v>0</v>
      </c>
      <c r="O1580" s="197">
        <v>0</v>
      </c>
      <c r="P1580" s="197">
        <v>-77.399999999994179</v>
      </c>
      <c r="Q1580" s="197">
        <v>-3.4308997290743992E-4</v>
      </c>
      <c r="R1580" s="260" t="s">
        <v>239</v>
      </c>
      <c r="S1580" s="260" t="s">
        <v>514</v>
      </c>
      <c r="T1580" s="260" t="s">
        <v>239</v>
      </c>
      <c r="U1580" s="260" t="s">
        <v>514</v>
      </c>
    </row>
    <row r="1581" spans="1:21" ht="14.5" x14ac:dyDescent="0.35">
      <c r="A1581" s="260" t="s">
        <v>649</v>
      </c>
      <c r="B1581" s="190">
        <v>45772</v>
      </c>
      <c r="C1581" s="197">
        <v>225519.4</v>
      </c>
      <c r="D1581" s="197">
        <v>0</v>
      </c>
      <c r="E1581" s="197">
        <v>0</v>
      </c>
      <c r="F1581" s="197">
        <v>0</v>
      </c>
      <c r="G1581" s="197">
        <v>161935</v>
      </c>
      <c r="H1581" s="197">
        <v>63509.3</v>
      </c>
      <c r="I1581" s="197">
        <v>0</v>
      </c>
      <c r="J1581" s="197">
        <v>225444.3</v>
      </c>
      <c r="K1581" s="197">
        <v>225444.3</v>
      </c>
      <c r="L1581" s="197">
        <v>65065</v>
      </c>
      <c r="M1581" s="197">
        <v>0</v>
      </c>
      <c r="N1581" s="197">
        <v>0</v>
      </c>
      <c r="O1581" s="197">
        <v>0</v>
      </c>
      <c r="P1581" s="197">
        <v>-75.100000000005821</v>
      </c>
      <c r="Q1581" s="197">
        <v>-3.330090448981915E-4</v>
      </c>
      <c r="R1581" s="260" t="s">
        <v>239</v>
      </c>
      <c r="S1581" s="260" t="s">
        <v>514</v>
      </c>
      <c r="T1581" s="260" t="s">
        <v>239</v>
      </c>
      <c r="U1581" s="260" t="s">
        <v>514</v>
      </c>
    </row>
    <row r="1582" spans="1:21" ht="14.5" x14ac:dyDescent="0.35">
      <c r="A1582" s="260" t="s">
        <v>649</v>
      </c>
      <c r="B1582" s="190">
        <v>45773</v>
      </c>
      <c r="C1582" s="197">
        <v>225444.3</v>
      </c>
      <c r="D1582" s="197">
        <v>0</v>
      </c>
      <c r="E1582" s="197">
        <v>0</v>
      </c>
      <c r="F1582" s="197">
        <v>0</v>
      </c>
      <c r="G1582" s="197">
        <v>161935</v>
      </c>
      <c r="H1582" s="197">
        <v>63509.3</v>
      </c>
      <c r="I1582" s="197">
        <v>0</v>
      </c>
      <c r="J1582" s="197">
        <v>225444.3</v>
      </c>
      <c r="K1582" s="197">
        <v>225444.3</v>
      </c>
      <c r="L1582" s="197">
        <v>65065</v>
      </c>
      <c r="M1582" s="197">
        <v>0</v>
      </c>
      <c r="N1582" s="197">
        <v>0</v>
      </c>
      <c r="O1582" s="197">
        <v>0</v>
      </c>
      <c r="P1582" s="197">
        <v>0</v>
      </c>
      <c r="Q1582" s="197">
        <v>0</v>
      </c>
      <c r="R1582" s="260" t="s">
        <v>239</v>
      </c>
      <c r="S1582" s="260" t="s">
        <v>514</v>
      </c>
      <c r="T1582" s="260" t="s">
        <v>239</v>
      </c>
      <c r="U1582" s="260" t="s">
        <v>514</v>
      </c>
    </row>
    <row r="1583" spans="1:21" ht="14.5" x14ac:dyDescent="0.35">
      <c r="A1583" s="260" t="s">
        <v>649</v>
      </c>
      <c r="B1583" s="190">
        <v>45774</v>
      </c>
      <c r="C1583" s="197">
        <v>225444.3</v>
      </c>
      <c r="D1583" s="197">
        <v>0</v>
      </c>
      <c r="E1583" s="197">
        <v>0</v>
      </c>
      <c r="F1583" s="197">
        <v>0</v>
      </c>
      <c r="G1583" s="197">
        <v>161935</v>
      </c>
      <c r="H1583" s="197">
        <v>63509.3</v>
      </c>
      <c r="I1583" s="197">
        <v>0</v>
      </c>
      <c r="J1583" s="197">
        <v>225444.3</v>
      </c>
      <c r="K1583" s="197">
        <v>225444.3</v>
      </c>
      <c r="L1583" s="197">
        <v>65065</v>
      </c>
      <c r="M1583" s="197">
        <v>0</v>
      </c>
      <c r="N1583" s="197">
        <v>0</v>
      </c>
      <c r="O1583" s="197">
        <v>0</v>
      </c>
      <c r="P1583" s="197">
        <v>0</v>
      </c>
      <c r="Q1583" s="197">
        <v>0</v>
      </c>
      <c r="R1583" s="260" t="s">
        <v>239</v>
      </c>
      <c r="S1583" s="260" t="s">
        <v>514</v>
      </c>
      <c r="T1583" s="260" t="s">
        <v>239</v>
      </c>
      <c r="U1583" s="260" t="s">
        <v>514</v>
      </c>
    </row>
    <row r="1584" spans="1:21" ht="14.5" x14ac:dyDescent="0.35">
      <c r="A1584" s="260" t="s">
        <v>649</v>
      </c>
      <c r="B1584" s="190">
        <v>45775</v>
      </c>
      <c r="C1584" s="197">
        <v>225444.3</v>
      </c>
      <c r="D1584" s="197">
        <v>0</v>
      </c>
      <c r="E1584" s="197">
        <v>0</v>
      </c>
      <c r="F1584" s="197">
        <v>0</v>
      </c>
      <c r="G1584" s="197">
        <v>161935</v>
      </c>
      <c r="H1584" s="197">
        <v>63280.2</v>
      </c>
      <c r="I1584" s="197">
        <v>0</v>
      </c>
      <c r="J1584" s="197">
        <v>225215.2</v>
      </c>
      <c r="K1584" s="197">
        <v>225215.2</v>
      </c>
      <c r="L1584" s="197">
        <v>65065</v>
      </c>
      <c r="M1584" s="197">
        <v>0</v>
      </c>
      <c r="N1584" s="197">
        <v>0</v>
      </c>
      <c r="O1584" s="197">
        <v>0</v>
      </c>
      <c r="P1584" s="197">
        <v>-229.09999999997672</v>
      </c>
      <c r="Q1584" s="197">
        <v>-1.0162155352784197E-3</v>
      </c>
      <c r="R1584" s="260" t="s">
        <v>239</v>
      </c>
      <c r="S1584" s="260" t="s">
        <v>514</v>
      </c>
      <c r="T1584" s="260" t="s">
        <v>239</v>
      </c>
      <c r="U1584" s="260" t="s">
        <v>514</v>
      </c>
    </row>
    <row r="1585" spans="1:21" ht="14.5" x14ac:dyDescent="0.35">
      <c r="A1585" s="260" t="s">
        <v>649</v>
      </c>
      <c r="B1585" s="190">
        <v>45776</v>
      </c>
      <c r="C1585" s="197">
        <v>225215.2</v>
      </c>
      <c r="D1585" s="197">
        <v>0</v>
      </c>
      <c r="E1585" s="197">
        <v>0</v>
      </c>
      <c r="F1585" s="197">
        <v>0</v>
      </c>
      <c r="G1585" s="197">
        <v>161935</v>
      </c>
      <c r="H1585" s="197">
        <v>63205.1</v>
      </c>
      <c r="I1585" s="197">
        <v>0</v>
      </c>
      <c r="J1585" s="197">
        <v>225140.1</v>
      </c>
      <c r="K1585" s="197">
        <v>225140.1</v>
      </c>
      <c r="L1585" s="197">
        <v>65065</v>
      </c>
      <c r="M1585" s="197">
        <v>0</v>
      </c>
      <c r="N1585" s="197">
        <v>0</v>
      </c>
      <c r="O1585" s="197">
        <v>0</v>
      </c>
      <c r="P1585" s="197">
        <v>-75.100000000005821</v>
      </c>
      <c r="Q1585" s="197">
        <v>-3.3345884292002026E-4</v>
      </c>
      <c r="R1585" s="260" t="s">
        <v>239</v>
      </c>
      <c r="S1585" s="260" t="s">
        <v>514</v>
      </c>
      <c r="T1585" s="260" t="s">
        <v>239</v>
      </c>
      <c r="U1585" s="260" t="s">
        <v>514</v>
      </c>
    </row>
    <row r="1586" spans="1:21" ht="14.5" x14ac:dyDescent="0.35">
      <c r="A1586" s="260" t="s">
        <v>649</v>
      </c>
      <c r="B1586" s="190">
        <v>45777</v>
      </c>
      <c r="C1586" s="197">
        <v>225140.1</v>
      </c>
      <c r="D1586" s="197">
        <v>0</v>
      </c>
      <c r="E1586" s="197">
        <v>0</v>
      </c>
      <c r="F1586" s="197">
        <v>0</v>
      </c>
      <c r="G1586" s="197">
        <v>161935</v>
      </c>
      <c r="H1586" s="197">
        <v>63130</v>
      </c>
      <c r="I1586" s="197">
        <v>0</v>
      </c>
      <c r="J1586" s="197">
        <v>225065</v>
      </c>
      <c r="K1586" s="197">
        <v>225065</v>
      </c>
      <c r="L1586" s="197">
        <v>65065</v>
      </c>
      <c r="M1586" s="197">
        <v>0</v>
      </c>
      <c r="N1586" s="197">
        <v>0</v>
      </c>
      <c r="O1586" s="197">
        <v>0</v>
      </c>
      <c r="P1586" s="197">
        <v>-75.100000000005821</v>
      </c>
      <c r="Q1586" s="197">
        <v>-3.3357007481127354E-4</v>
      </c>
      <c r="R1586" s="260" t="s">
        <v>239</v>
      </c>
      <c r="S1586" s="260" t="s">
        <v>514</v>
      </c>
      <c r="T1586" s="260" t="s">
        <v>239</v>
      </c>
      <c r="U1586" s="260" t="s">
        <v>514</v>
      </c>
    </row>
    <row r="1587" spans="1:21" ht="14.5" x14ac:dyDescent="0.35">
      <c r="A1587" s="260" t="s">
        <v>649</v>
      </c>
      <c r="B1587" s="190">
        <v>45778</v>
      </c>
      <c r="C1587" s="197">
        <v>225065</v>
      </c>
      <c r="D1587" s="197">
        <v>0</v>
      </c>
      <c r="E1587" s="197">
        <v>10000</v>
      </c>
      <c r="F1587" s="197">
        <v>10000</v>
      </c>
      <c r="G1587" s="197">
        <v>171935</v>
      </c>
      <c r="H1587" s="197">
        <v>63130</v>
      </c>
      <c r="I1587" s="197">
        <v>0</v>
      </c>
      <c r="J1587" s="197">
        <v>235065</v>
      </c>
      <c r="K1587" s="197">
        <v>235065</v>
      </c>
      <c r="L1587" s="197">
        <v>65065</v>
      </c>
      <c r="M1587" s="197">
        <v>0</v>
      </c>
      <c r="N1587" s="197">
        <v>0</v>
      </c>
      <c r="O1587" s="197">
        <v>0</v>
      </c>
      <c r="P1587" s="197">
        <v>0</v>
      </c>
      <c r="Q1587" s="197">
        <v>0</v>
      </c>
      <c r="R1587" s="260" t="s">
        <v>239</v>
      </c>
      <c r="S1587" s="260" t="s">
        <v>514</v>
      </c>
      <c r="T1587" s="260" t="s">
        <v>239</v>
      </c>
      <c r="U1587" s="260" t="s">
        <v>514</v>
      </c>
    </row>
    <row r="1588" spans="1:21" ht="14.5" x14ac:dyDescent="0.35">
      <c r="A1588" s="260" t="s">
        <v>649</v>
      </c>
      <c r="B1588" s="190">
        <v>45779</v>
      </c>
      <c r="C1588" s="197">
        <v>235065</v>
      </c>
      <c r="D1588" s="197">
        <v>0</v>
      </c>
      <c r="E1588" s="197">
        <v>0</v>
      </c>
      <c r="F1588" s="197">
        <v>0</v>
      </c>
      <c r="G1588" s="197">
        <v>171935</v>
      </c>
      <c r="H1588" s="197">
        <v>63173.9</v>
      </c>
      <c r="I1588" s="197">
        <v>0</v>
      </c>
      <c r="J1588" s="197">
        <v>235108.9</v>
      </c>
      <c r="K1588" s="197">
        <v>235108.9</v>
      </c>
      <c r="L1588" s="197">
        <v>65065</v>
      </c>
      <c r="M1588" s="197">
        <v>0</v>
      </c>
      <c r="N1588" s="197">
        <v>0</v>
      </c>
      <c r="O1588" s="197">
        <v>0</v>
      </c>
      <c r="P1588" s="197">
        <v>43.899999999994179</v>
      </c>
      <c r="Q1588" s="197">
        <v>1.8675685448710233E-4</v>
      </c>
      <c r="R1588" s="260" t="s">
        <v>239</v>
      </c>
      <c r="S1588" s="260" t="s">
        <v>514</v>
      </c>
      <c r="T1588" s="260" t="s">
        <v>239</v>
      </c>
      <c r="U1588" s="260" t="s">
        <v>514</v>
      </c>
    </row>
    <row r="1589" spans="1:21" ht="14.5" x14ac:dyDescent="0.35">
      <c r="A1589" s="260" t="s">
        <v>649</v>
      </c>
      <c r="B1589" s="190">
        <v>45780</v>
      </c>
      <c r="C1589" s="197">
        <v>235108.9</v>
      </c>
      <c r="D1589" s="197">
        <v>0</v>
      </c>
      <c r="E1589" s="197">
        <v>0</v>
      </c>
      <c r="F1589" s="197">
        <v>0</v>
      </c>
      <c r="G1589" s="197">
        <v>171935</v>
      </c>
      <c r="H1589" s="197">
        <v>63173.9</v>
      </c>
      <c r="I1589" s="197">
        <v>0</v>
      </c>
      <c r="J1589" s="197">
        <v>235108.9</v>
      </c>
      <c r="K1589" s="197">
        <v>235108.9</v>
      </c>
      <c r="L1589" s="197">
        <v>65065</v>
      </c>
      <c r="M1589" s="197">
        <v>0</v>
      </c>
      <c r="N1589" s="197">
        <v>0</v>
      </c>
      <c r="O1589" s="197">
        <v>0</v>
      </c>
      <c r="P1589" s="197">
        <v>0</v>
      </c>
      <c r="Q1589" s="197">
        <v>0</v>
      </c>
      <c r="R1589" s="260" t="s">
        <v>239</v>
      </c>
      <c r="S1589" s="260" t="s">
        <v>514</v>
      </c>
      <c r="T1589" s="260" t="s">
        <v>239</v>
      </c>
      <c r="U1589" s="260" t="s">
        <v>514</v>
      </c>
    </row>
    <row r="1590" spans="1:21" ht="14.5" x14ac:dyDescent="0.35">
      <c r="A1590" s="260" t="s">
        <v>649</v>
      </c>
      <c r="B1590" s="190">
        <v>45781</v>
      </c>
      <c r="C1590" s="197">
        <v>235108.9</v>
      </c>
      <c r="D1590" s="197">
        <v>0</v>
      </c>
      <c r="E1590" s="197">
        <v>0</v>
      </c>
      <c r="F1590" s="197">
        <v>0</v>
      </c>
      <c r="G1590" s="197">
        <v>171935</v>
      </c>
      <c r="H1590" s="197">
        <v>63173.9</v>
      </c>
      <c r="I1590" s="197">
        <v>0</v>
      </c>
      <c r="J1590" s="197">
        <v>235108.9</v>
      </c>
      <c r="K1590" s="197">
        <v>235108.9</v>
      </c>
      <c r="L1590" s="197">
        <v>65065</v>
      </c>
      <c r="M1590" s="197">
        <v>0</v>
      </c>
      <c r="N1590" s="197">
        <v>0</v>
      </c>
      <c r="O1590" s="197">
        <v>0</v>
      </c>
      <c r="P1590" s="197">
        <v>0</v>
      </c>
      <c r="Q1590" s="197">
        <v>0</v>
      </c>
      <c r="R1590" s="260" t="s">
        <v>239</v>
      </c>
      <c r="S1590" s="260" t="s">
        <v>514</v>
      </c>
      <c r="T1590" s="260" t="s">
        <v>239</v>
      </c>
      <c r="U1590" s="260" t="s">
        <v>514</v>
      </c>
    </row>
    <row r="1591" spans="1:21" ht="14.5" x14ac:dyDescent="0.35">
      <c r="A1591" s="260" t="s">
        <v>649</v>
      </c>
      <c r="B1591" s="190">
        <v>45782</v>
      </c>
      <c r="C1591" s="197">
        <v>235108.9</v>
      </c>
      <c r="D1591" s="197">
        <v>0</v>
      </c>
      <c r="E1591" s="197">
        <v>0</v>
      </c>
      <c r="F1591" s="197">
        <v>0</v>
      </c>
      <c r="G1591" s="197">
        <v>171935</v>
      </c>
      <c r="H1591" s="197">
        <v>63307.9</v>
      </c>
      <c r="I1591" s="197">
        <v>0</v>
      </c>
      <c r="J1591" s="197">
        <v>235242.9</v>
      </c>
      <c r="K1591" s="197">
        <v>235242.9</v>
      </c>
      <c r="L1591" s="197">
        <v>65065</v>
      </c>
      <c r="M1591" s="197">
        <v>0</v>
      </c>
      <c r="N1591" s="197">
        <v>0</v>
      </c>
      <c r="O1591" s="197">
        <v>0</v>
      </c>
      <c r="P1591" s="197">
        <v>134</v>
      </c>
      <c r="Q1591" s="197">
        <v>5.6994864932802258E-4</v>
      </c>
      <c r="R1591" s="260" t="s">
        <v>239</v>
      </c>
      <c r="S1591" s="260" t="s">
        <v>514</v>
      </c>
      <c r="T1591" s="260" t="s">
        <v>239</v>
      </c>
      <c r="U1591" s="260" t="s">
        <v>514</v>
      </c>
    </row>
    <row r="1592" spans="1:21" ht="14.5" x14ac:dyDescent="0.35">
      <c r="A1592" s="260" t="s">
        <v>649</v>
      </c>
      <c r="B1592" s="190">
        <v>45783</v>
      </c>
      <c r="C1592" s="197">
        <v>235242.9</v>
      </c>
      <c r="D1592" s="197">
        <v>0</v>
      </c>
      <c r="E1592" s="197">
        <v>0</v>
      </c>
      <c r="F1592" s="197">
        <v>0</v>
      </c>
      <c r="G1592" s="197">
        <v>171935</v>
      </c>
      <c r="H1592" s="197">
        <v>63354.1</v>
      </c>
      <c r="I1592" s="197">
        <v>0</v>
      </c>
      <c r="J1592" s="197">
        <v>235289.1</v>
      </c>
      <c r="K1592" s="197">
        <v>235289.1</v>
      </c>
      <c r="L1592" s="197">
        <v>65065</v>
      </c>
      <c r="M1592" s="197">
        <v>0</v>
      </c>
      <c r="N1592" s="197">
        <v>0</v>
      </c>
      <c r="O1592" s="197">
        <v>0</v>
      </c>
      <c r="P1592" s="197">
        <v>46.200000000011642</v>
      </c>
      <c r="Q1592" s="197">
        <v>1.9639274979188492E-4</v>
      </c>
      <c r="R1592" s="260" t="s">
        <v>239</v>
      </c>
      <c r="S1592" s="260" t="s">
        <v>514</v>
      </c>
      <c r="T1592" s="260" t="s">
        <v>239</v>
      </c>
      <c r="U1592" s="260" t="s">
        <v>514</v>
      </c>
    </row>
    <row r="1593" spans="1:21" ht="14.5" x14ac:dyDescent="0.35">
      <c r="A1593" s="260" t="s">
        <v>649</v>
      </c>
      <c r="B1593" s="190">
        <v>45784</v>
      </c>
      <c r="C1593" s="197">
        <v>235289.1</v>
      </c>
      <c r="D1593" s="197">
        <v>0</v>
      </c>
      <c r="E1593" s="197">
        <v>0</v>
      </c>
      <c r="F1593" s="197">
        <v>0</v>
      </c>
      <c r="G1593" s="197">
        <v>171935</v>
      </c>
      <c r="H1593" s="197">
        <v>63398</v>
      </c>
      <c r="I1593" s="197">
        <v>0</v>
      </c>
      <c r="J1593" s="197">
        <v>235333</v>
      </c>
      <c r="K1593" s="197">
        <v>235333</v>
      </c>
      <c r="L1593" s="197">
        <v>65065</v>
      </c>
      <c r="M1593" s="197">
        <v>0</v>
      </c>
      <c r="N1593" s="197">
        <v>0</v>
      </c>
      <c r="O1593" s="197">
        <v>0</v>
      </c>
      <c r="P1593" s="197">
        <v>43.899999999994179</v>
      </c>
      <c r="Q1593" s="197">
        <v>1.8657897879670315E-4</v>
      </c>
      <c r="R1593" s="260" t="s">
        <v>239</v>
      </c>
      <c r="S1593" s="260" t="s">
        <v>514</v>
      </c>
      <c r="T1593" s="260" t="s">
        <v>239</v>
      </c>
      <c r="U1593" s="260" t="s">
        <v>514</v>
      </c>
    </row>
    <row r="1594" spans="1:21" ht="14.5" x14ac:dyDescent="0.35">
      <c r="A1594" s="260" t="s">
        <v>649</v>
      </c>
      <c r="B1594" s="190">
        <v>45785</v>
      </c>
      <c r="C1594" s="197">
        <v>235333</v>
      </c>
      <c r="D1594" s="197">
        <v>0</v>
      </c>
      <c r="E1594" s="197">
        <v>0</v>
      </c>
      <c r="F1594" s="197">
        <v>0</v>
      </c>
      <c r="G1594" s="197">
        <v>171935</v>
      </c>
      <c r="H1594" s="197">
        <v>63441.9</v>
      </c>
      <c r="I1594" s="197">
        <v>0</v>
      </c>
      <c r="J1594" s="197">
        <v>235376.9</v>
      </c>
      <c r="K1594" s="197">
        <v>235376.9</v>
      </c>
      <c r="L1594" s="197">
        <v>65065</v>
      </c>
      <c r="M1594" s="197">
        <v>0</v>
      </c>
      <c r="N1594" s="197">
        <v>0</v>
      </c>
      <c r="O1594" s="197">
        <v>0</v>
      </c>
      <c r="P1594" s="197">
        <v>43.899999999994179</v>
      </c>
      <c r="Q1594" s="197">
        <v>1.8654417357533148E-4</v>
      </c>
      <c r="R1594" s="260" t="s">
        <v>239</v>
      </c>
      <c r="S1594" s="260" t="s">
        <v>514</v>
      </c>
      <c r="T1594" s="260" t="s">
        <v>239</v>
      </c>
      <c r="U1594" s="260" t="s">
        <v>514</v>
      </c>
    </row>
    <row r="1595" spans="1:21" ht="14.5" x14ac:dyDescent="0.35">
      <c r="A1595" s="260" t="s">
        <v>649</v>
      </c>
      <c r="B1595" s="190">
        <v>45786</v>
      </c>
      <c r="C1595" s="197">
        <v>235376.9</v>
      </c>
      <c r="D1595" s="197">
        <v>0</v>
      </c>
      <c r="E1595" s="197">
        <v>0</v>
      </c>
      <c r="F1595" s="197">
        <v>0</v>
      </c>
      <c r="G1595" s="197">
        <v>171935</v>
      </c>
      <c r="H1595" s="197">
        <v>63488.1</v>
      </c>
      <c r="I1595" s="197">
        <v>0</v>
      </c>
      <c r="J1595" s="197">
        <v>235423.1</v>
      </c>
      <c r="K1595" s="197">
        <v>235423.1</v>
      </c>
      <c r="L1595" s="197">
        <v>65065</v>
      </c>
      <c r="M1595" s="197">
        <v>0</v>
      </c>
      <c r="N1595" s="197">
        <v>0</v>
      </c>
      <c r="O1595" s="197">
        <v>0</v>
      </c>
      <c r="P1595" s="197">
        <v>46.200000000011642</v>
      </c>
      <c r="Q1595" s="197">
        <v>1.9628094345702785E-4</v>
      </c>
      <c r="R1595" s="260" t="s">
        <v>239</v>
      </c>
      <c r="S1595" s="260" t="s">
        <v>514</v>
      </c>
      <c r="T1595" s="260" t="s">
        <v>239</v>
      </c>
      <c r="U1595" s="260" t="s">
        <v>514</v>
      </c>
    </row>
    <row r="1596" spans="1:21" ht="14.5" x14ac:dyDescent="0.35">
      <c r="A1596" s="260" t="s">
        <v>649</v>
      </c>
      <c r="B1596" s="190">
        <v>45787</v>
      </c>
      <c r="C1596" s="197">
        <v>235423.1</v>
      </c>
      <c r="D1596" s="197">
        <v>0</v>
      </c>
      <c r="E1596" s="197">
        <v>0</v>
      </c>
      <c r="F1596" s="197">
        <v>0</v>
      </c>
      <c r="G1596" s="197">
        <v>171935</v>
      </c>
      <c r="H1596" s="197">
        <v>63488.1</v>
      </c>
      <c r="I1596" s="197">
        <v>0</v>
      </c>
      <c r="J1596" s="197">
        <v>235423.1</v>
      </c>
      <c r="K1596" s="197">
        <v>235423.1</v>
      </c>
      <c r="L1596" s="197">
        <v>65065</v>
      </c>
      <c r="M1596" s="197">
        <v>0</v>
      </c>
      <c r="N1596" s="197">
        <v>0</v>
      </c>
      <c r="O1596" s="197">
        <v>0</v>
      </c>
      <c r="P1596" s="197">
        <v>0</v>
      </c>
      <c r="Q1596" s="197">
        <v>0</v>
      </c>
      <c r="R1596" s="260" t="s">
        <v>239</v>
      </c>
      <c r="S1596" s="260" t="s">
        <v>514</v>
      </c>
      <c r="T1596" s="260" t="s">
        <v>239</v>
      </c>
      <c r="U1596" s="260" t="s">
        <v>514</v>
      </c>
    </row>
    <row r="1597" spans="1:21" ht="14.5" x14ac:dyDescent="0.35">
      <c r="A1597" s="260" t="s">
        <v>649</v>
      </c>
      <c r="B1597" s="190">
        <v>45788</v>
      </c>
      <c r="C1597" s="197">
        <v>235423.1</v>
      </c>
      <c r="D1597" s="197">
        <v>0</v>
      </c>
      <c r="E1597" s="197">
        <v>0</v>
      </c>
      <c r="F1597" s="197">
        <v>0</v>
      </c>
      <c r="G1597" s="197">
        <v>171935</v>
      </c>
      <c r="H1597" s="197">
        <v>63488.1</v>
      </c>
      <c r="I1597" s="197">
        <v>0</v>
      </c>
      <c r="J1597" s="197">
        <v>235423.1</v>
      </c>
      <c r="K1597" s="197">
        <v>235423.1</v>
      </c>
      <c r="L1597" s="197">
        <v>65065</v>
      </c>
      <c r="M1597" s="197">
        <v>0</v>
      </c>
      <c r="N1597" s="197">
        <v>0</v>
      </c>
      <c r="O1597" s="197">
        <v>0</v>
      </c>
      <c r="P1597" s="197">
        <v>0</v>
      </c>
      <c r="Q1597" s="197">
        <v>0</v>
      </c>
      <c r="R1597" s="260" t="s">
        <v>239</v>
      </c>
      <c r="S1597" s="260" t="s">
        <v>514</v>
      </c>
      <c r="T1597" s="260" t="s">
        <v>239</v>
      </c>
      <c r="U1597" s="260" t="s">
        <v>514</v>
      </c>
    </row>
    <row r="1598" spans="1:21" ht="14.5" x14ac:dyDescent="0.35">
      <c r="A1598" s="260" t="s">
        <v>649</v>
      </c>
      <c r="B1598" s="190">
        <v>45789</v>
      </c>
      <c r="C1598" s="197">
        <v>235423.1</v>
      </c>
      <c r="D1598" s="197">
        <v>0</v>
      </c>
      <c r="E1598" s="197">
        <v>0</v>
      </c>
      <c r="F1598" s="197">
        <v>0</v>
      </c>
      <c r="G1598" s="197">
        <v>171935</v>
      </c>
      <c r="H1598" s="197">
        <v>63622.1</v>
      </c>
      <c r="I1598" s="197">
        <v>0</v>
      </c>
      <c r="J1598" s="197">
        <v>235557.1</v>
      </c>
      <c r="K1598" s="197">
        <v>235557.1</v>
      </c>
      <c r="L1598" s="197">
        <v>65065</v>
      </c>
      <c r="M1598" s="197">
        <v>0</v>
      </c>
      <c r="N1598" s="197">
        <v>0</v>
      </c>
      <c r="O1598" s="197">
        <v>0</v>
      </c>
      <c r="P1598" s="197">
        <v>134</v>
      </c>
      <c r="Q1598" s="197">
        <v>5.6918798537619608E-4</v>
      </c>
      <c r="R1598" s="260" t="s">
        <v>239</v>
      </c>
      <c r="S1598" s="260" t="s">
        <v>514</v>
      </c>
      <c r="T1598" s="260" t="s">
        <v>239</v>
      </c>
      <c r="U1598" s="260" t="s">
        <v>514</v>
      </c>
    </row>
    <row r="1599" spans="1:21" ht="14.5" x14ac:dyDescent="0.35">
      <c r="A1599" s="260" t="s">
        <v>649</v>
      </c>
      <c r="B1599" s="190">
        <v>45790</v>
      </c>
      <c r="C1599" s="197">
        <v>235557.1</v>
      </c>
      <c r="D1599" s="197">
        <v>0</v>
      </c>
      <c r="E1599" s="197">
        <v>0</v>
      </c>
      <c r="F1599" s="197">
        <v>0</v>
      </c>
      <c r="G1599" s="197">
        <v>171935</v>
      </c>
      <c r="H1599" s="197">
        <v>63666</v>
      </c>
      <c r="I1599" s="197">
        <v>0</v>
      </c>
      <c r="J1599" s="197">
        <v>235601</v>
      </c>
      <c r="K1599" s="197">
        <v>235601</v>
      </c>
      <c r="L1599" s="197">
        <v>65065</v>
      </c>
      <c r="M1599" s="197">
        <v>0</v>
      </c>
      <c r="N1599" s="197">
        <v>0</v>
      </c>
      <c r="O1599" s="197">
        <v>0</v>
      </c>
      <c r="P1599" s="197">
        <v>43.899999999994179</v>
      </c>
      <c r="Q1599" s="197">
        <v>1.863667025956417E-4</v>
      </c>
      <c r="R1599" s="260" t="s">
        <v>239</v>
      </c>
      <c r="S1599" s="260" t="s">
        <v>514</v>
      </c>
      <c r="T1599" s="260" t="s">
        <v>239</v>
      </c>
      <c r="U1599" s="260" t="s">
        <v>514</v>
      </c>
    </row>
    <row r="1600" spans="1:21" ht="14.5" x14ac:dyDescent="0.35">
      <c r="A1600" s="260" t="s">
        <v>649</v>
      </c>
      <c r="B1600" s="190">
        <v>45791</v>
      </c>
      <c r="C1600" s="197">
        <v>235601</v>
      </c>
      <c r="D1600" s="197">
        <v>0</v>
      </c>
      <c r="E1600" s="197">
        <v>0</v>
      </c>
      <c r="F1600" s="197">
        <v>0</v>
      </c>
      <c r="G1600" s="197">
        <v>171935</v>
      </c>
      <c r="H1600" s="197">
        <v>63709.9</v>
      </c>
      <c r="I1600" s="197">
        <v>0</v>
      </c>
      <c r="J1600" s="197">
        <v>235644.9</v>
      </c>
      <c r="K1600" s="197">
        <v>235644.9</v>
      </c>
      <c r="L1600" s="197">
        <v>65065</v>
      </c>
      <c r="M1600" s="197">
        <v>0</v>
      </c>
      <c r="N1600" s="197">
        <v>0</v>
      </c>
      <c r="O1600" s="197">
        <v>0</v>
      </c>
      <c r="P1600" s="197">
        <v>43.899999999994179</v>
      </c>
      <c r="Q1600" s="197">
        <v>1.8633197651962696E-4</v>
      </c>
      <c r="R1600" s="260" t="s">
        <v>239</v>
      </c>
      <c r="S1600" s="260" t="s">
        <v>514</v>
      </c>
      <c r="T1600" s="260" t="s">
        <v>239</v>
      </c>
      <c r="U1600" s="260" t="s">
        <v>514</v>
      </c>
    </row>
    <row r="1601" spans="1:21" ht="14.5" x14ac:dyDescent="0.35">
      <c r="A1601" s="260" t="s">
        <v>649</v>
      </c>
      <c r="B1601" s="190">
        <v>45792</v>
      </c>
      <c r="C1601" s="197">
        <v>235644.9</v>
      </c>
      <c r="D1601" s="197">
        <v>0</v>
      </c>
      <c r="E1601" s="197">
        <v>0</v>
      </c>
      <c r="F1601" s="197">
        <v>0</v>
      </c>
      <c r="G1601" s="197">
        <v>171935</v>
      </c>
      <c r="H1601" s="197">
        <v>63756.1</v>
      </c>
      <c r="I1601" s="197">
        <v>0</v>
      </c>
      <c r="J1601" s="197">
        <v>235691.1</v>
      </c>
      <c r="K1601" s="197">
        <v>235691.1</v>
      </c>
      <c r="L1601" s="197">
        <v>65065</v>
      </c>
      <c r="M1601" s="197">
        <v>0</v>
      </c>
      <c r="N1601" s="197">
        <v>0</v>
      </c>
      <c r="O1601" s="197">
        <v>0</v>
      </c>
      <c r="P1601" s="197">
        <v>46.200000000011642</v>
      </c>
      <c r="Q1601" s="197">
        <v>1.9605771226127722E-4</v>
      </c>
      <c r="R1601" s="260" t="s">
        <v>239</v>
      </c>
      <c r="S1601" s="260" t="s">
        <v>514</v>
      </c>
      <c r="T1601" s="260" t="s">
        <v>239</v>
      </c>
      <c r="U1601" s="260" t="s">
        <v>514</v>
      </c>
    </row>
    <row r="1602" spans="1:21" ht="14.5" x14ac:dyDescent="0.35">
      <c r="A1602" s="260" t="s">
        <v>649</v>
      </c>
      <c r="B1602" s="190">
        <v>45793</v>
      </c>
      <c r="C1602" s="197">
        <v>235691.1</v>
      </c>
      <c r="D1602" s="197">
        <v>0</v>
      </c>
      <c r="E1602" s="197">
        <v>0</v>
      </c>
      <c r="F1602" s="197">
        <v>0</v>
      </c>
      <c r="G1602" s="197">
        <v>171935</v>
      </c>
      <c r="H1602" s="197">
        <v>63800</v>
      </c>
      <c r="I1602" s="197">
        <v>0</v>
      </c>
      <c r="J1602" s="197">
        <v>235735</v>
      </c>
      <c r="K1602" s="197">
        <v>235735</v>
      </c>
      <c r="L1602" s="197">
        <v>65065</v>
      </c>
      <c r="M1602" s="197">
        <v>0</v>
      </c>
      <c r="N1602" s="197">
        <v>0</v>
      </c>
      <c r="O1602" s="197">
        <v>0</v>
      </c>
      <c r="P1602" s="197">
        <v>43.899999999994179</v>
      </c>
      <c r="Q1602" s="197">
        <v>1.862607455267451E-4</v>
      </c>
      <c r="R1602" s="260" t="s">
        <v>239</v>
      </c>
      <c r="S1602" s="260" t="s">
        <v>514</v>
      </c>
      <c r="T1602" s="260" t="s">
        <v>239</v>
      </c>
      <c r="U1602" s="260" t="s">
        <v>514</v>
      </c>
    </row>
    <row r="1603" spans="1:21" ht="14.5" x14ac:dyDescent="0.35">
      <c r="A1603" s="260" t="s">
        <v>649</v>
      </c>
      <c r="B1603" s="190">
        <v>45794</v>
      </c>
      <c r="C1603" s="197">
        <v>235735</v>
      </c>
      <c r="D1603" s="197">
        <v>0</v>
      </c>
      <c r="E1603" s="197">
        <v>0</v>
      </c>
      <c r="F1603" s="197">
        <v>0</v>
      </c>
      <c r="G1603" s="197">
        <v>171935</v>
      </c>
      <c r="H1603" s="197">
        <v>63800</v>
      </c>
      <c r="I1603" s="197">
        <v>0</v>
      </c>
      <c r="J1603" s="197">
        <v>235735</v>
      </c>
      <c r="K1603" s="197">
        <v>235735</v>
      </c>
      <c r="L1603" s="197">
        <v>65065</v>
      </c>
      <c r="M1603" s="197">
        <v>0</v>
      </c>
      <c r="N1603" s="197">
        <v>0</v>
      </c>
      <c r="O1603" s="197">
        <v>0</v>
      </c>
      <c r="P1603" s="197">
        <v>0</v>
      </c>
      <c r="Q1603" s="197">
        <v>0</v>
      </c>
      <c r="R1603" s="260" t="s">
        <v>239</v>
      </c>
      <c r="S1603" s="260" t="s">
        <v>514</v>
      </c>
      <c r="T1603" s="260" t="s">
        <v>239</v>
      </c>
      <c r="U1603" s="260" t="s">
        <v>514</v>
      </c>
    </row>
    <row r="1604" spans="1:21" ht="14.5" x14ac:dyDescent="0.35">
      <c r="A1604" s="260" t="s">
        <v>649</v>
      </c>
      <c r="B1604" s="190">
        <v>45795</v>
      </c>
      <c r="C1604" s="197">
        <v>235735</v>
      </c>
      <c r="D1604" s="197">
        <v>0</v>
      </c>
      <c r="E1604" s="197">
        <v>0</v>
      </c>
      <c r="F1604" s="197">
        <v>0</v>
      </c>
      <c r="G1604" s="197">
        <v>171935</v>
      </c>
      <c r="H1604" s="197">
        <v>63800</v>
      </c>
      <c r="I1604" s="197">
        <v>0</v>
      </c>
      <c r="J1604" s="197">
        <v>235735</v>
      </c>
      <c r="K1604" s="197">
        <v>235735</v>
      </c>
      <c r="L1604" s="197">
        <v>65065</v>
      </c>
      <c r="M1604" s="197">
        <v>0</v>
      </c>
      <c r="N1604" s="197">
        <v>0</v>
      </c>
      <c r="O1604" s="197">
        <v>0</v>
      </c>
      <c r="P1604" s="197">
        <v>0</v>
      </c>
      <c r="Q1604" s="197">
        <v>0</v>
      </c>
      <c r="R1604" s="260" t="s">
        <v>239</v>
      </c>
      <c r="S1604" s="260" t="s">
        <v>514</v>
      </c>
      <c r="T1604" s="260" t="s">
        <v>239</v>
      </c>
      <c r="U1604" s="260" t="s">
        <v>514</v>
      </c>
    </row>
    <row r="1605" spans="1:21" ht="14.5" x14ac:dyDescent="0.35">
      <c r="A1605" s="260" t="s">
        <v>649</v>
      </c>
      <c r="B1605" s="190">
        <v>45796</v>
      </c>
      <c r="C1605" s="197">
        <v>235735</v>
      </c>
      <c r="D1605" s="197">
        <v>0</v>
      </c>
      <c r="E1605" s="197">
        <v>0</v>
      </c>
      <c r="F1605" s="197">
        <v>0</v>
      </c>
      <c r="G1605" s="197">
        <v>171935</v>
      </c>
      <c r="H1605" s="197">
        <v>63934</v>
      </c>
      <c r="I1605" s="197">
        <v>0</v>
      </c>
      <c r="J1605" s="197">
        <v>235869</v>
      </c>
      <c r="K1605" s="197">
        <v>235869</v>
      </c>
      <c r="L1605" s="197">
        <v>65065</v>
      </c>
      <c r="M1605" s="197">
        <v>0</v>
      </c>
      <c r="N1605" s="197">
        <v>0</v>
      </c>
      <c r="O1605" s="197">
        <v>0</v>
      </c>
      <c r="P1605" s="197">
        <v>134</v>
      </c>
      <c r="Q1605" s="197">
        <v>5.6843489511537726E-4</v>
      </c>
      <c r="R1605" s="260" t="s">
        <v>239</v>
      </c>
      <c r="S1605" s="260" t="s">
        <v>514</v>
      </c>
      <c r="T1605" s="260" t="s">
        <v>239</v>
      </c>
      <c r="U1605" s="260" t="s">
        <v>514</v>
      </c>
    </row>
    <row r="1606" spans="1:21" ht="14.5" x14ac:dyDescent="0.35">
      <c r="A1606" s="260" t="s">
        <v>649</v>
      </c>
      <c r="B1606" s="190">
        <v>45797</v>
      </c>
      <c r="C1606" s="197">
        <v>235869</v>
      </c>
      <c r="D1606" s="197">
        <v>0</v>
      </c>
      <c r="E1606" s="197">
        <v>0</v>
      </c>
      <c r="F1606" s="197">
        <v>0</v>
      </c>
      <c r="G1606" s="197">
        <v>171935</v>
      </c>
      <c r="H1606" s="197">
        <v>63977.9</v>
      </c>
      <c r="I1606" s="197">
        <v>0</v>
      </c>
      <c r="J1606" s="197">
        <v>235912.9</v>
      </c>
      <c r="K1606" s="197">
        <v>235912.9</v>
      </c>
      <c r="L1606" s="197">
        <v>65065</v>
      </c>
      <c r="M1606" s="197">
        <v>0</v>
      </c>
      <c r="N1606" s="197">
        <v>0</v>
      </c>
      <c r="O1606" s="197">
        <v>0</v>
      </c>
      <c r="P1606" s="197">
        <v>43.899999999994179</v>
      </c>
      <c r="Q1606" s="197">
        <v>1.8612026167064144E-4</v>
      </c>
      <c r="R1606" s="260" t="s">
        <v>239</v>
      </c>
      <c r="S1606" s="260" t="s">
        <v>514</v>
      </c>
      <c r="T1606" s="260" t="s">
        <v>239</v>
      </c>
      <c r="U1606" s="260" t="s">
        <v>514</v>
      </c>
    </row>
    <row r="1607" spans="1:21" ht="14.5" x14ac:dyDescent="0.35">
      <c r="A1607" s="260" t="s">
        <v>649</v>
      </c>
      <c r="B1607" s="190">
        <v>45798</v>
      </c>
      <c r="C1607" s="197">
        <v>235912.9</v>
      </c>
      <c r="D1607" s="197">
        <v>0</v>
      </c>
      <c r="E1607" s="197">
        <v>0</v>
      </c>
      <c r="F1607" s="197">
        <v>0</v>
      </c>
      <c r="G1607" s="197">
        <v>171935</v>
      </c>
      <c r="H1607" s="197">
        <v>64024.1</v>
      </c>
      <c r="I1607" s="197">
        <v>0</v>
      </c>
      <c r="J1607" s="197">
        <v>235959.1</v>
      </c>
      <c r="K1607" s="197">
        <v>235959.1</v>
      </c>
      <c r="L1607" s="197">
        <v>65065</v>
      </c>
      <c r="M1607" s="197">
        <v>0</v>
      </c>
      <c r="N1607" s="197">
        <v>0</v>
      </c>
      <c r="O1607" s="197">
        <v>0</v>
      </c>
      <c r="P1607" s="197">
        <v>46.200000000011642</v>
      </c>
      <c r="Q1607" s="197">
        <v>1.958349882520416E-4</v>
      </c>
      <c r="R1607" s="260" t="s">
        <v>239</v>
      </c>
      <c r="S1607" s="260" t="s">
        <v>514</v>
      </c>
      <c r="T1607" s="260" t="s">
        <v>239</v>
      </c>
      <c r="U1607" s="260" t="s">
        <v>514</v>
      </c>
    </row>
    <row r="1608" spans="1:21" ht="14.5" x14ac:dyDescent="0.35">
      <c r="A1608" s="260" t="s">
        <v>649</v>
      </c>
      <c r="B1608" s="190">
        <v>45799</v>
      </c>
      <c r="C1608" s="197">
        <v>235959.1</v>
      </c>
      <c r="D1608" s="197">
        <v>0</v>
      </c>
      <c r="E1608" s="197">
        <v>0</v>
      </c>
      <c r="F1608" s="197">
        <v>0</v>
      </c>
      <c r="G1608" s="197">
        <v>171935</v>
      </c>
      <c r="H1608" s="197">
        <v>64068</v>
      </c>
      <c r="I1608" s="197">
        <v>0</v>
      </c>
      <c r="J1608" s="197">
        <v>236003</v>
      </c>
      <c r="K1608" s="197">
        <v>236003</v>
      </c>
      <c r="L1608" s="197">
        <v>65065</v>
      </c>
      <c r="M1608" s="197">
        <v>0</v>
      </c>
      <c r="N1608" s="197">
        <v>0</v>
      </c>
      <c r="O1608" s="197">
        <v>0</v>
      </c>
      <c r="P1608" s="197">
        <v>43.899999999994179</v>
      </c>
      <c r="Q1608" s="197">
        <v>1.860491924234875E-4</v>
      </c>
      <c r="R1608" s="260" t="s">
        <v>239</v>
      </c>
      <c r="S1608" s="260" t="s">
        <v>514</v>
      </c>
      <c r="T1608" s="260" t="s">
        <v>239</v>
      </c>
      <c r="U1608" s="260" t="s">
        <v>514</v>
      </c>
    </row>
    <row r="1609" spans="1:21" ht="14.5" x14ac:dyDescent="0.35">
      <c r="A1609" s="260" t="s">
        <v>649</v>
      </c>
      <c r="B1609" s="190">
        <v>45800</v>
      </c>
      <c r="C1609" s="197">
        <v>236003</v>
      </c>
      <c r="D1609" s="197">
        <v>0</v>
      </c>
      <c r="E1609" s="197">
        <v>0</v>
      </c>
      <c r="F1609" s="197">
        <v>0</v>
      </c>
      <c r="G1609" s="197">
        <v>171935</v>
      </c>
      <c r="H1609" s="197">
        <v>64111.9</v>
      </c>
      <c r="I1609" s="197">
        <v>0</v>
      </c>
      <c r="J1609" s="197">
        <v>236046.9</v>
      </c>
      <c r="K1609" s="197">
        <v>236046.9</v>
      </c>
      <c r="L1609" s="197">
        <v>65065</v>
      </c>
      <c r="M1609" s="197">
        <v>0</v>
      </c>
      <c r="N1609" s="197">
        <v>0</v>
      </c>
      <c r="O1609" s="197">
        <v>0</v>
      </c>
      <c r="P1609" s="197">
        <v>43.899999999994179</v>
      </c>
      <c r="Q1609" s="197">
        <v>1.8601458456024567E-4</v>
      </c>
      <c r="R1609" s="260" t="s">
        <v>239</v>
      </c>
      <c r="S1609" s="260" t="s">
        <v>514</v>
      </c>
      <c r="T1609" s="260" t="s">
        <v>239</v>
      </c>
      <c r="U1609" s="260" t="s">
        <v>514</v>
      </c>
    </row>
    <row r="1610" spans="1:21" ht="14.5" x14ac:dyDescent="0.35">
      <c r="A1610" s="260" t="s">
        <v>649</v>
      </c>
      <c r="B1610" s="190">
        <v>45801</v>
      </c>
      <c r="C1610" s="197">
        <v>236046.9</v>
      </c>
      <c r="D1610" s="197">
        <v>0</v>
      </c>
      <c r="E1610" s="197">
        <v>0</v>
      </c>
      <c r="F1610" s="197">
        <v>0</v>
      </c>
      <c r="G1610" s="197">
        <v>171935</v>
      </c>
      <c r="H1610" s="197">
        <v>64111.9</v>
      </c>
      <c r="I1610" s="197">
        <v>0</v>
      </c>
      <c r="J1610" s="197">
        <v>236046.9</v>
      </c>
      <c r="K1610" s="197">
        <v>236046.9</v>
      </c>
      <c r="L1610" s="197">
        <v>65065</v>
      </c>
      <c r="M1610" s="197">
        <v>0</v>
      </c>
      <c r="N1610" s="197">
        <v>0</v>
      </c>
      <c r="O1610" s="197">
        <v>0</v>
      </c>
      <c r="P1610" s="197">
        <v>0</v>
      </c>
      <c r="Q1610" s="197">
        <v>0</v>
      </c>
      <c r="R1610" s="260" t="s">
        <v>239</v>
      </c>
      <c r="S1610" s="260" t="s">
        <v>514</v>
      </c>
      <c r="T1610" s="260" t="s">
        <v>239</v>
      </c>
      <c r="U1610" s="260" t="s">
        <v>514</v>
      </c>
    </row>
    <row r="1611" spans="1:21" ht="14.5" x14ac:dyDescent="0.35">
      <c r="A1611" s="260" t="s">
        <v>649</v>
      </c>
      <c r="B1611" s="190">
        <v>45802</v>
      </c>
      <c r="C1611" s="197">
        <v>236046.9</v>
      </c>
      <c r="D1611" s="197">
        <v>0</v>
      </c>
      <c r="E1611" s="197">
        <v>0</v>
      </c>
      <c r="F1611" s="197">
        <v>0</v>
      </c>
      <c r="G1611" s="197">
        <v>171935</v>
      </c>
      <c r="H1611" s="197">
        <v>64111.9</v>
      </c>
      <c r="I1611" s="197">
        <v>0</v>
      </c>
      <c r="J1611" s="197">
        <v>236046.9</v>
      </c>
      <c r="K1611" s="197">
        <v>236046.9</v>
      </c>
      <c r="L1611" s="197">
        <v>65065</v>
      </c>
      <c r="M1611" s="197">
        <v>0</v>
      </c>
      <c r="N1611" s="197">
        <v>0</v>
      </c>
      <c r="O1611" s="197">
        <v>0</v>
      </c>
      <c r="P1611" s="197">
        <v>0</v>
      </c>
      <c r="Q1611" s="197">
        <v>0</v>
      </c>
      <c r="R1611" s="260" t="s">
        <v>239</v>
      </c>
      <c r="S1611" s="260" t="s">
        <v>514</v>
      </c>
      <c r="T1611" s="260" t="s">
        <v>239</v>
      </c>
      <c r="U1611" s="260" t="s">
        <v>514</v>
      </c>
    </row>
    <row r="1612" spans="1:21" ht="14.5" x14ac:dyDescent="0.35">
      <c r="A1612" s="260" t="s">
        <v>649</v>
      </c>
      <c r="B1612" s="190">
        <v>45803</v>
      </c>
      <c r="C1612" s="197">
        <v>236046.9</v>
      </c>
      <c r="D1612" s="197">
        <v>0</v>
      </c>
      <c r="E1612" s="197">
        <v>0</v>
      </c>
      <c r="F1612" s="197">
        <v>0</v>
      </c>
      <c r="G1612" s="197">
        <v>171935</v>
      </c>
      <c r="H1612" s="197">
        <v>64245.9</v>
      </c>
      <c r="I1612" s="197">
        <v>0</v>
      </c>
      <c r="J1612" s="197">
        <v>236180.9</v>
      </c>
      <c r="K1612" s="197">
        <v>236180.9</v>
      </c>
      <c r="L1612" s="197">
        <v>65065</v>
      </c>
      <c r="M1612" s="197">
        <v>0</v>
      </c>
      <c r="N1612" s="197">
        <v>0</v>
      </c>
      <c r="O1612" s="197">
        <v>0</v>
      </c>
      <c r="P1612" s="197">
        <v>134</v>
      </c>
      <c r="Q1612" s="197">
        <v>5.6768379504235078E-4</v>
      </c>
      <c r="R1612" s="260" t="s">
        <v>239</v>
      </c>
      <c r="S1612" s="260" t="s">
        <v>514</v>
      </c>
      <c r="T1612" s="260" t="s">
        <v>239</v>
      </c>
      <c r="U1612" s="260" t="s">
        <v>514</v>
      </c>
    </row>
    <row r="1613" spans="1:21" ht="14.5" x14ac:dyDescent="0.35">
      <c r="A1613" s="260" t="s">
        <v>649</v>
      </c>
      <c r="B1613" s="190">
        <v>45804</v>
      </c>
      <c r="C1613" s="197">
        <v>236180.9</v>
      </c>
      <c r="D1613" s="197">
        <v>0</v>
      </c>
      <c r="E1613" s="197">
        <v>0</v>
      </c>
      <c r="F1613" s="197">
        <v>0</v>
      </c>
      <c r="G1613" s="197">
        <v>171935</v>
      </c>
      <c r="H1613" s="197">
        <v>64292.1</v>
      </c>
      <c r="I1613" s="197">
        <v>0</v>
      </c>
      <c r="J1613" s="197">
        <v>236227.1</v>
      </c>
      <c r="K1613" s="197">
        <v>236227.1</v>
      </c>
      <c r="L1613" s="197">
        <v>65065</v>
      </c>
      <c r="M1613" s="197">
        <v>0</v>
      </c>
      <c r="N1613" s="197">
        <v>0</v>
      </c>
      <c r="O1613" s="197">
        <v>0</v>
      </c>
      <c r="P1613" s="197">
        <v>46.200000000011642</v>
      </c>
      <c r="Q1613" s="197">
        <v>1.9561276970336827E-4</v>
      </c>
      <c r="R1613" s="260" t="s">
        <v>239</v>
      </c>
      <c r="S1613" s="260" t="s">
        <v>514</v>
      </c>
      <c r="T1613" s="260" t="s">
        <v>239</v>
      </c>
      <c r="U1613" s="260" t="s">
        <v>514</v>
      </c>
    </row>
    <row r="1614" spans="1:21" ht="14.5" x14ac:dyDescent="0.35">
      <c r="A1614" s="260" t="s">
        <v>649</v>
      </c>
      <c r="B1614" s="190">
        <v>45805</v>
      </c>
      <c r="C1614" s="197">
        <v>236227.1</v>
      </c>
      <c r="D1614" s="197">
        <v>0</v>
      </c>
      <c r="E1614" s="197">
        <v>0</v>
      </c>
      <c r="F1614" s="197">
        <v>0</v>
      </c>
      <c r="G1614" s="197">
        <v>171935</v>
      </c>
      <c r="H1614" s="197">
        <v>64336</v>
      </c>
      <c r="I1614" s="197">
        <v>0</v>
      </c>
      <c r="J1614" s="197">
        <v>236271</v>
      </c>
      <c r="K1614" s="197">
        <v>236271</v>
      </c>
      <c r="L1614" s="197">
        <v>65065</v>
      </c>
      <c r="M1614" s="197">
        <v>0</v>
      </c>
      <c r="N1614" s="197">
        <v>0</v>
      </c>
      <c r="O1614" s="197">
        <v>0</v>
      </c>
      <c r="P1614" s="197">
        <v>43.899999999994179</v>
      </c>
      <c r="Q1614" s="197">
        <v>1.858381193351466E-4</v>
      </c>
      <c r="R1614" s="260" t="s">
        <v>239</v>
      </c>
      <c r="S1614" s="260" t="s">
        <v>514</v>
      </c>
      <c r="T1614" s="260" t="s">
        <v>239</v>
      </c>
      <c r="U1614" s="260" t="s">
        <v>514</v>
      </c>
    </row>
    <row r="1615" spans="1:21" ht="14.5" x14ac:dyDescent="0.35">
      <c r="A1615" s="260" t="s">
        <v>649</v>
      </c>
      <c r="B1615" s="190">
        <v>45806</v>
      </c>
      <c r="C1615" s="197">
        <v>236271</v>
      </c>
      <c r="D1615" s="197">
        <v>0</v>
      </c>
      <c r="E1615" s="197">
        <v>0</v>
      </c>
      <c r="F1615" s="197">
        <v>0</v>
      </c>
      <c r="G1615" s="197">
        <v>171935</v>
      </c>
      <c r="H1615" s="197">
        <v>64379.9</v>
      </c>
      <c r="I1615" s="197">
        <v>0</v>
      </c>
      <c r="J1615" s="197">
        <v>236314.9</v>
      </c>
      <c r="K1615" s="197">
        <v>236314.9</v>
      </c>
      <c r="L1615" s="197">
        <v>65065</v>
      </c>
      <c r="M1615" s="197">
        <v>0</v>
      </c>
      <c r="N1615" s="197">
        <v>0</v>
      </c>
      <c r="O1615" s="197">
        <v>0</v>
      </c>
      <c r="P1615" s="197">
        <v>43.899999999994179</v>
      </c>
      <c r="Q1615" s="197">
        <v>1.8580358994535473E-4</v>
      </c>
      <c r="R1615" s="260" t="s">
        <v>239</v>
      </c>
      <c r="S1615" s="260" t="s">
        <v>514</v>
      </c>
      <c r="T1615" s="260" t="s">
        <v>239</v>
      </c>
      <c r="U1615" s="260" t="s">
        <v>514</v>
      </c>
    </row>
    <row r="1616" spans="1:21" ht="14.5" x14ac:dyDescent="0.35">
      <c r="A1616" s="260" t="s">
        <v>649</v>
      </c>
      <c r="B1616" s="190">
        <v>45807</v>
      </c>
      <c r="C1616" s="197">
        <v>236314.9</v>
      </c>
      <c r="D1616" s="197">
        <v>0</v>
      </c>
      <c r="E1616" s="197">
        <v>0</v>
      </c>
      <c r="F1616" s="197">
        <v>0</v>
      </c>
      <c r="G1616" s="197">
        <v>171935</v>
      </c>
      <c r="H1616" s="197">
        <v>64426.1</v>
      </c>
      <c r="I1616" s="197">
        <v>0</v>
      </c>
      <c r="J1616" s="197">
        <v>236361.1</v>
      </c>
      <c r="K1616" s="197">
        <v>236361.1</v>
      </c>
      <c r="L1616" s="197">
        <v>65065</v>
      </c>
      <c r="M1616" s="197">
        <v>0</v>
      </c>
      <c r="N1616" s="197">
        <v>0</v>
      </c>
      <c r="O1616" s="197">
        <v>0</v>
      </c>
      <c r="P1616" s="197">
        <v>46.200000000011642</v>
      </c>
      <c r="Q1616" s="197">
        <v>1.9550184943906146E-4</v>
      </c>
      <c r="R1616" s="260" t="s">
        <v>239</v>
      </c>
      <c r="S1616" s="260" t="s">
        <v>514</v>
      </c>
      <c r="T1616" s="260" t="s">
        <v>239</v>
      </c>
      <c r="U1616" s="260" t="s">
        <v>514</v>
      </c>
    </row>
    <row r="1617" spans="1:21" ht="14.5" x14ac:dyDescent="0.35">
      <c r="A1617" s="260" t="s">
        <v>649</v>
      </c>
      <c r="B1617" s="190">
        <v>45808</v>
      </c>
      <c r="C1617" s="197">
        <v>236361.1</v>
      </c>
      <c r="D1617" s="197">
        <v>0</v>
      </c>
      <c r="E1617" s="197">
        <v>0</v>
      </c>
      <c r="F1617" s="197">
        <v>0</v>
      </c>
      <c r="G1617" s="197">
        <v>171935</v>
      </c>
      <c r="H1617" s="197">
        <v>64426.1</v>
      </c>
      <c r="I1617" s="197">
        <v>0</v>
      </c>
      <c r="J1617" s="197">
        <v>236361.1</v>
      </c>
      <c r="K1617" s="197">
        <v>236361.1</v>
      </c>
      <c r="L1617" s="197">
        <v>65065</v>
      </c>
      <c r="M1617" s="197">
        <v>0</v>
      </c>
      <c r="N1617" s="197">
        <v>0</v>
      </c>
      <c r="O1617" s="197">
        <v>0</v>
      </c>
      <c r="P1617" s="197">
        <v>0</v>
      </c>
      <c r="Q1617" s="197">
        <v>0</v>
      </c>
      <c r="R1617" s="260" t="s">
        <v>239</v>
      </c>
      <c r="S1617" s="260" t="s">
        <v>514</v>
      </c>
      <c r="T1617" s="260" t="s">
        <v>239</v>
      </c>
      <c r="U1617" s="260" t="s">
        <v>514</v>
      </c>
    </row>
    <row r="1618" spans="1:21" ht="14.5" x14ac:dyDescent="0.35">
      <c r="A1618" s="260" t="s">
        <v>649</v>
      </c>
      <c r="B1618" s="190">
        <v>45809</v>
      </c>
      <c r="C1618" s="197">
        <v>236361.1</v>
      </c>
      <c r="D1618" s="197">
        <v>0</v>
      </c>
      <c r="E1618" s="197">
        <v>0</v>
      </c>
      <c r="F1618" s="197">
        <v>0</v>
      </c>
      <c r="G1618" s="197">
        <v>171935</v>
      </c>
      <c r="H1618" s="197">
        <v>64426.1</v>
      </c>
      <c r="I1618" s="197">
        <v>0</v>
      </c>
      <c r="J1618" s="197">
        <v>236361.1</v>
      </c>
      <c r="K1618" s="197">
        <v>236361.1</v>
      </c>
      <c r="L1618" s="197">
        <v>65065</v>
      </c>
      <c r="M1618" s="197">
        <v>0</v>
      </c>
      <c r="N1618" s="197">
        <v>0</v>
      </c>
      <c r="O1618" s="197">
        <v>0</v>
      </c>
      <c r="P1618" s="197">
        <v>0</v>
      </c>
      <c r="Q1618" s="197">
        <v>0</v>
      </c>
      <c r="R1618" s="260" t="s">
        <v>239</v>
      </c>
      <c r="S1618" s="260" t="s">
        <v>514</v>
      </c>
      <c r="T1618" s="260" t="s">
        <v>239</v>
      </c>
      <c r="U1618" s="260" t="s">
        <v>514</v>
      </c>
    </row>
    <row r="1619" spans="1:21" ht="14.5" x14ac:dyDescent="0.35">
      <c r="A1619" s="260" t="s">
        <v>649</v>
      </c>
      <c r="B1619" s="190">
        <v>45810</v>
      </c>
      <c r="C1619" s="197">
        <v>236361.1</v>
      </c>
      <c r="D1619" s="197">
        <v>0</v>
      </c>
      <c r="E1619" s="197">
        <v>0</v>
      </c>
      <c r="F1619" s="197">
        <v>0</v>
      </c>
      <c r="G1619" s="197">
        <v>171935</v>
      </c>
      <c r="H1619" s="197">
        <v>64486.3</v>
      </c>
      <c r="I1619" s="197">
        <v>0</v>
      </c>
      <c r="J1619" s="197">
        <v>236421.3</v>
      </c>
      <c r="K1619" s="197">
        <v>236421.3</v>
      </c>
      <c r="L1619" s="197">
        <v>65065</v>
      </c>
      <c r="M1619" s="197">
        <v>0</v>
      </c>
      <c r="N1619" s="197">
        <v>0</v>
      </c>
      <c r="O1619" s="197">
        <v>0</v>
      </c>
      <c r="P1619" s="197">
        <v>60.199999999982538</v>
      </c>
      <c r="Q1619" s="197">
        <v>2.5469504076602867E-4</v>
      </c>
      <c r="R1619" s="260" t="s">
        <v>239</v>
      </c>
      <c r="S1619" s="260" t="s">
        <v>514</v>
      </c>
      <c r="T1619" s="260" t="s">
        <v>239</v>
      </c>
      <c r="U1619" s="260" t="s">
        <v>514</v>
      </c>
    </row>
    <row r="1620" spans="1:21" ht="14.5" x14ac:dyDescent="0.35">
      <c r="A1620" s="260" t="s">
        <v>649</v>
      </c>
      <c r="B1620" s="190">
        <v>45811</v>
      </c>
      <c r="C1620" s="197">
        <v>236421.3</v>
      </c>
      <c r="D1620" s="197">
        <v>0</v>
      </c>
      <c r="E1620" s="197">
        <v>0</v>
      </c>
      <c r="F1620" s="197">
        <v>0</v>
      </c>
      <c r="G1620" s="197">
        <v>171935</v>
      </c>
      <c r="H1620" s="197">
        <v>64504.9</v>
      </c>
      <c r="I1620" s="197">
        <v>0</v>
      </c>
      <c r="J1620" s="197">
        <v>236439.9</v>
      </c>
      <c r="K1620" s="197">
        <v>236439.9</v>
      </c>
      <c r="L1620" s="197">
        <v>65065</v>
      </c>
      <c r="M1620" s="197">
        <v>0</v>
      </c>
      <c r="N1620" s="197">
        <v>0</v>
      </c>
      <c r="O1620" s="197">
        <v>0</v>
      </c>
      <c r="P1620" s="197">
        <v>18.600000000005821</v>
      </c>
      <c r="Q1620" s="197">
        <v>7.8673114478178263E-5</v>
      </c>
      <c r="R1620" s="260" t="s">
        <v>239</v>
      </c>
      <c r="S1620" s="260" t="s">
        <v>514</v>
      </c>
      <c r="T1620" s="260" t="s">
        <v>239</v>
      </c>
      <c r="U1620" s="260" t="s">
        <v>514</v>
      </c>
    </row>
    <row r="1621" spans="1:21" ht="14.5" x14ac:dyDescent="0.35">
      <c r="A1621" s="260" t="s">
        <v>649</v>
      </c>
      <c r="B1621" s="190">
        <v>45812</v>
      </c>
      <c r="C1621" s="197">
        <v>236439.9</v>
      </c>
      <c r="D1621" s="197">
        <v>0</v>
      </c>
      <c r="E1621" s="197">
        <v>0</v>
      </c>
      <c r="F1621" s="197">
        <v>0</v>
      </c>
      <c r="G1621" s="197">
        <v>171935</v>
      </c>
      <c r="H1621" s="197">
        <v>64522.7</v>
      </c>
      <c r="I1621" s="197">
        <v>0</v>
      </c>
      <c r="J1621" s="197">
        <v>236457.7</v>
      </c>
      <c r="K1621" s="197">
        <v>236457.7</v>
      </c>
      <c r="L1621" s="197">
        <v>65065</v>
      </c>
      <c r="M1621" s="197">
        <v>0</v>
      </c>
      <c r="N1621" s="197">
        <v>0</v>
      </c>
      <c r="O1621" s="197">
        <v>0</v>
      </c>
      <c r="P1621" s="197">
        <v>17.800000000017462</v>
      </c>
      <c r="Q1621" s="197">
        <v>7.528340182871851E-5</v>
      </c>
      <c r="R1621" s="260" t="s">
        <v>239</v>
      </c>
      <c r="S1621" s="260" t="s">
        <v>514</v>
      </c>
      <c r="T1621" s="260" t="s">
        <v>239</v>
      </c>
      <c r="U1621" s="260" t="s">
        <v>514</v>
      </c>
    </row>
    <row r="1622" spans="1:21" ht="14.5" x14ac:dyDescent="0.35">
      <c r="A1622" s="260" t="s">
        <v>649</v>
      </c>
      <c r="B1622" s="190">
        <v>45813</v>
      </c>
      <c r="C1622" s="197">
        <v>236457.7</v>
      </c>
      <c r="D1622" s="197">
        <v>0</v>
      </c>
      <c r="E1622" s="197">
        <v>0</v>
      </c>
      <c r="F1622" s="197">
        <v>0</v>
      </c>
      <c r="G1622" s="197">
        <v>171935</v>
      </c>
      <c r="H1622" s="197">
        <v>64541.3</v>
      </c>
      <c r="I1622" s="197">
        <v>0</v>
      </c>
      <c r="J1622" s="197">
        <v>236476.3</v>
      </c>
      <c r="K1622" s="197">
        <v>236476.3</v>
      </c>
      <c r="L1622" s="197">
        <v>65065</v>
      </c>
      <c r="M1622" s="197">
        <v>0</v>
      </c>
      <c r="N1622" s="197">
        <v>0</v>
      </c>
      <c r="O1622" s="197">
        <v>0</v>
      </c>
      <c r="P1622" s="197">
        <v>18.599999999976717</v>
      </c>
      <c r="Q1622" s="197">
        <v>7.866100363829176E-5</v>
      </c>
      <c r="R1622" s="260" t="s">
        <v>239</v>
      </c>
      <c r="S1622" s="260" t="s">
        <v>514</v>
      </c>
      <c r="T1622" s="260" t="s">
        <v>239</v>
      </c>
      <c r="U1622" s="260" t="s">
        <v>514</v>
      </c>
    </row>
    <row r="1623" spans="1:21" ht="14.5" x14ac:dyDescent="0.35">
      <c r="A1623" s="260" t="s">
        <v>649</v>
      </c>
      <c r="B1623" s="190">
        <v>45814</v>
      </c>
      <c r="C1623" s="197">
        <v>236476.3</v>
      </c>
      <c r="D1623" s="197">
        <v>0</v>
      </c>
      <c r="E1623" s="197">
        <v>0</v>
      </c>
      <c r="F1623" s="197">
        <v>0</v>
      </c>
      <c r="G1623" s="197">
        <v>171935</v>
      </c>
      <c r="H1623" s="197">
        <v>64557.599999999999</v>
      </c>
      <c r="I1623" s="197">
        <v>0</v>
      </c>
      <c r="J1623" s="197">
        <v>236492.6</v>
      </c>
      <c r="K1623" s="197">
        <v>236492.6</v>
      </c>
      <c r="L1623" s="197">
        <v>65065</v>
      </c>
      <c r="M1623" s="197">
        <v>0</v>
      </c>
      <c r="N1623" s="197">
        <v>0</v>
      </c>
      <c r="O1623" s="197">
        <v>0</v>
      </c>
      <c r="P1623" s="197">
        <v>16.300000000017462</v>
      </c>
      <c r="Q1623" s="197">
        <v>6.8928683339519736E-5</v>
      </c>
      <c r="R1623" s="260" t="s">
        <v>239</v>
      </c>
      <c r="S1623" s="260" t="s">
        <v>514</v>
      </c>
      <c r="T1623" s="260" t="s">
        <v>239</v>
      </c>
      <c r="U1623" s="260" t="s">
        <v>514</v>
      </c>
    </row>
    <row r="1624" spans="1:21" ht="14.5" x14ac:dyDescent="0.35">
      <c r="A1624" s="260" t="s">
        <v>649</v>
      </c>
      <c r="B1624" s="190">
        <v>45815</v>
      </c>
      <c r="C1624" s="197">
        <v>236492.6</v>
      </c>
      <c r="D1624" s="197">
        <v>0</v>
      </c>
      <c r="E1624" s="197">
        <v>0</v>
      </c>
      <c r="F1624" s="197">
        <v>0</v>
      </c>
      <c r="G1624" s="197">
        <v>171935</v>
      </c>
      <c r="H1624" s="197">
        <v>64557.599999999999</v>
      </c>
      <c r="I1624" s="197">
        <v>0</v>
      </c>
      <c r="J1624" s="197">
        <v>236492.6</v>
      </c>
      <c r="K1624" s="197">
        <v>236492.6</v>
      </c>
      <c r="L1624" s="197">
        <v>65065</v>
      </c>
      <c r="M1624" s="197">
        <v>0</v>
      </c>
      <c r="N1624" s="197">
        <v>0</v>
      </c>
      <c r="O1624" s="197">
        <v>0</v>
      </c>
      <c r="P1624" s="197">
        <v>0</v>
      </c>
      <c r="Q1624" s="197">
        <v>0</v>
      </c>
      <c r="R1624" s="260" t="s">
        <v>239</v>
      </c>
      <c r="S1624" s="260" t="s">
        <v>514</v>
      </c>
      <c r="T1624" s="260" t="s">
        <v>239</v>
      </c>
      <c r="U1624" s="260" t="s">
        <v>514</v>
      </c>
    </row>
    <row r="1625" spans="1:21" ht="14.5" x14ac:dyDescent="0.35">
      <c r="A1625" s="260" t="s">
        <v>649</v>
      </c>
      <c r="B1625" s="190">
        <v>45816</v>
      </c>
      <c r="C1625" s="197">
        <v>236492.6</v>
      </c>
      <c r="D1625" s="197">
        <v>0</v>
      </c>
      <c r="E1625" s="197">
        <v>0</v>
      </c>
      <c r="F1625" s="197">
        <v>0</v>
      </c>
      <c r="G1625" s="197">
        <v>171935</v>
      </c>
      <c r="H1625" s="197">
        <v>64557.599999999999</v>
      </c>
      <c r="I1625" s="197">
        <v>0</v>
      </c>
      <c r="J1625" s="197">
        <v>236492.6</v>
      </c>
      <c r="K1625" s="197">
        <v>236492.6</v>
      </c>
      <c r="L1625" s="197">
        <v>65065</v>
      </c>
      <c r="M1625" s="197">
        <v>0</v>
      </c>
      <c r="N1625" s="197">
        <v>0</v>
      </c>
      <c r="O1625" s="197">
        <v>0</v>
      </c>
      <c r="P1625" s="197">
        <v>0</v>
      </c>
      <c r="Q1625" s="197">
        <v>0</v>
      </c>
      <c r="R1625" s="260" t="s">
        <v>239</v>
      </c>
      <c r="S1625" s="260" t="s">
        <v>514</v>
      </c>
      <c r="T1625" s="260" t="s">
        <v>239</v>
      </c>
      <c r="U1625" s="260" t="s">
        <v>514</v>
      </c>
    </row>
    <row r="1626" spans="1:21" ht="14.5" x14ac:dyDescent="0.35">
      <c r="A1626" s="260" t="s">
        <v>649</v>
      </c>
      <c r="B1626" s="190">
        <v>45817</v>
      </c>
      <c r="C1626" s="197">
        <v>236492.6</v>
      </c>
      <c r="D1626" s="197">
        <v>0</v>
      </c>
      <c r="E1626" s="197">
        <v>0</v>
      </c>
      <c r="F1626" s="197">
        <v>0</v>
      </c>
      <c r="G1626" s="197">
        <v>171935</v>
      </c>
      <c r="H1626" s="197">
        <v>64611.8</v>
      </c>
      <c r="I1626" s="197">
        <v>0</v>
      </c>
      <c r="J1626" s="197">
        <v>236546.8</v>
      </c>
      <c r="K1626" s="197">
        <v>236546.8</v>
      </c>
      <c r="L1626" s="197">
        <v>65065</v>
      </c>
      <c r="M1626" s="197">
        <v>0</v>
      </c>
      <c r="N1626" s="197">
        <v>0</v>
      </c>
      <c r="O1626" s="197">
        <v>0</v>
      </c>
      <c r="P1626" s="197">
        <v>54.199999999982538</v>
      </c>
      <c r="Q1626" s="197">
        <v>2.2918264672977529E-4</v>
      </c>
      <c r="R1626" s="260" t="s">
        <v>239</v>
      </c>
      <c r="S1626" s="260" t="s">
        <v>514</v>
      </c>
      <c r="T1626" s="260" t="s">
        <v>239</v>
      </c>
      <c r="U1626" s="260" t="s">
        <v>514</v>
      </c>
    </row>
    <row r="1627" spans="1:21" ht="14.5" x14ac:dyDescent="0.35">
      <c r="A1627" s="260" t="s">
        <v>649</v>
      </c>
      <c r="B1627" s="190">
        <v>45818</v>
      </c>
      <c r="C1627" s="197">
        <v>236546.8</v>
      </c>
      <c r="D1627" s="197">
        <v>0</v>
      </c>
      <c r="E1627" s="197">
        <v>0</v>
      </c>
      <c r="F1627" s="197">
        <v>0</v>
      </c>
      <c r="G1627" s="197">
        <v>171935</v>
      </c>
      <c r="H1627" s="197">
        <v>64628.1</v>
      </c>
      <c r="I1627" s="197">
        <v>0</v>
      </c>
      <c r="J1627" s="197">
        <v>236563.1</v>
      </c>
      <c r="K1627" s="197">
        <v>236563.1</v>
      </c>
      <c r="L1627" s="197">
        <v>65065</v>
      </c>
      <c r="M1627" s="197">
        <v>0</v>
      </c>
      <c r="N1627" s="197">
        <v>0</v>
      </c>
      <c r="O1627" s="197">
        <v>0</v>
      </c>
      <c r="P1627" s="197">
        <v>16.300000000017462</v>
      </c>
      <c r="Q1627" s="197">
        <v>6.890813995386047E-5</v>
      </c>
      <c r="R1627" s="260" t="s">
        <v>239</v>
      </c>
      <c r="S1627" s="260" t="s">
        <v>514</v>
      </c>
      <c r="T1627" s="260" t="s">
        <v>239</v>
      </c>
      <c r="U1627" s="260" t="s">
        <v>514</v>
      </c>
    </row>
    <row r="1628" spans="1:21" ht="14.5" x14ac:dyDescent="0.35">
      <c r="A1628" s="260" t="s">
        <v>649</v>
      </c>
      <c r="B1628" s="190">
        <v>45819</v>
      </c>
      <c r="C1628" s="197">
        <v>236563.1</v>
      </c>
      <c r="D1628" s="197">
        <v>0</v>
      </c>
      <c r="E1628" s="197">
        <v>0</v>
      </c>
      <c r="F1628" s="197">
        <v>0</v>
      </c>
      <c r="G1628" s="197">
        <v>171935</v>
      </c>
      <c r="H1628" s="197">
        <v>64646.7</v>
      </c>
      <c r="I1628" s="197">
        <v>0</v>
      </c>
      <c r="J1628" s="197">
        <v>236581.7</v>
      </c>
      <c r="K1628" s="197">
        <v>236581.7</v>
      </c>
      <c r="L1628" s="197">
        <v>65065</v>
      </c>
      <c r="M1628" s="197">
        <v>0</v>
      </c>
      <c r="N1628" s="197">
        <v>0</v>
      </c>
      <c r="O1628" s="197">
        <v>0</v>
      </c>
      <c r="P1628" s="197">
        <v>18.600000000005821</v>
      </c>
      <c r="Q1628" s="197">
        <v>7.8625956457356594E-5</v>
      </c>
      <c r="R1628" s="260" t="s">
        <v>239</v>
      </c>
      <c r="S1628" s="260" t="s">
        <v>514</v>
      </c>
      <c r="T1628" s="260" t="s">
        <v>239</v>
      </c>
      <c r="U1628" s="260" t="s">
        <v>514</v>
      </c>
    </row>
    <row r="1629" spans="1:21" ht="14.5" x14ac:dyDescent="0.35">
      <c r="A1629" s="260" t="s">
        <v>649</v>
      </c>
      <c r="B1629" s="190">
        <v>45820</v>
      </c>
      <c r="C1629" s="197">
        <v>236581.7</v>
      </c>
      <c r="D1629" s="197">
        <v>0</v>
      </c>
      <c r="E1629" s="197">
        <v>0</v>
      </c>
      <c r="F1629" s="197">
        <v>0</v>
      </c>
      <c r="G1629" s="197">
        <v>171935</v>
      </c>
      <c r="H1629" s="197">
        <v>64663</v>
      </c>
      <c r="I1629" s="197">
        <v>0</v>
      </c>
      <c r="J1629" s="197">
        <v>236598</v>
      </c>
      <c r="K1629" s="197">
        <v>236598</v>
      </c>
      <c r="L1629" s="197">
        <v>65065</v>
      </c>
      <c r="M1629" s="197">
        <v>0</v>
      </c>
      <c r="N1629" s="197">
        <v>0</v>
      </c>
      <c r="O1629" s="197">
        <v>0</v>
      </c>
      <c r="P1629" s="197">
        <v>16.299999999988358</v>
      </c>
      <c r="Q1629" s="197">
        <v>6.8897974779824622E-5</v>
      </c>
      <c r="R1629" s="260" t="s">
        <v>239</v>
      </c>
      <c r="S1629" s="260" t="s">
        <v>514</v>
      </c>
      <c r="T1629" s="260" t="s">
        <v>239</v>
      </c>
      <c r="U1629" s="260" t="s">
        <v>514</v>
      </c>
    </row>
    <row r="1630" spans="1:21" ht="14.5" x14ac:dyDescent="0.35">
      <c r="A1630" s="260" t="s">
        <v>649</v>
      </c>
      <c r="B1630" s="190">
        <v>45821</v>
      </c>
      <c r="C1630" s="197">
        <v>236598</v>
      </c>
      <c r="D1630" s="197">
        <v>0</v>
      </c>
      <c r="E1630" s="197">
        <v>0</v>
      </c>
      <c r="F1630" s="197">
        <v>0</v>
      </c>
      <c r="G1630" s="197">
        <v>171935</v>
      </c>
      <c r="H1630" s="197">
        <v>64681.599999999999</v>
      </c>
      <c r="I1630" s="197">
        <v>0</v>
      </c>
      <c r="J1630" s="197">
        <v>236616.6</v>
      </c>
      <c r="K1630" s="197">
        <v>236616.6</v>
      </c>
      <c r="L1630" s="197">
        <v>65065</v>
      </c>
      <c r="M1630" s="197">
        <v>0</v>
      </c>
      <c r="N1630" s="197">
        <v>0</v>
      </c>
      <c r="O1630" s="197">
        <v>0</v>
      </c>
      <c r="P1630" s="197">
        <v>18.600000000005821</v>
      </c>
      <c r="Q1630" s="197">
        <v>7.8614358532291817E-5</v>
      </c>
      <c r="R1630" s="260" t="s">
        <v>239</v>
      </c>
      <c r="S1630" s="260" t="s">
        <v>514</v>
      </c>
      <c r="T1630" s="260" t="s">
        <v>239</v>
      </c>
      <c r="U1630" s="260" t="s">
        <v>514</v>
      </c>
    </row>
    <row r="1631" spans="1:21" ht="14.5" x14ac:dyDescent="0.35">
      <c r="A1631" s="260" t="s">
        <v>649</v>
      </c>
      <c r="B1631" s="190">
        <v>45822</v>
      </c>
      <c r="C1631" s="197">
        <v>236616.6</v>
      </c>
      <c r="D1631" s="197">
        <v>0</v>
      </c>
      <c r="E1631" s="197">
        <v>0</v>
      </c>
      <c r="F1631" s="197">
        <v>0</v>
      </c>
      <c r="G1631" s="197">
        <v>171935</v>
      </c>
      <c r="H1631" s="197">
        <v>64681.599999999999</v>
      </c>
      <c r="I1631" s="197">
        <v>0</v>
      </c>
      <c r="J1631" s="197">
        <v>236616.6</v>
      </c>
      <c r="K1631" s="197">
        <v>236616.6</v>
      </c>
      <c r="L1631" s="197">
        <v>65065</v>
      </c>
      <c r="M1631" s="197">
        <v>0</v>
      </c>
      <c r="N1631" s="197">
        <v>0</v>
      </c>
      <c r="O1631" s="197">
        <v>0</v>
      </c>
      <c r="P1631" s="197">
        <v>0</v>
      </c>
      <c r="Q1631" s="197">
        <v>0</v>
      </c>
      <c r="R1631" s="260" t="s">
        <v>239</v>
      </c>
      <c r="S1631" s="260" t="s">
        <v>514</v>
      </c>
      <c r="T1631" s="260" t="s">
        <v>239</v>
      </c>
      <c r="U1631" s="260" t="s">
        <v>514</v>
      </c>
    </row>
    <row r="1632" spans="1:21" ht="14.5" x14ac:dyDescent="0.35">
      <c r="A1632" s="260" t="s">
        <v>649</v>
      </c>
      <c r="B1632" s="190">
        <v>45823</v>
      </c>
      <c r="C1632" s="197">
        <v>236616.6</v>
      </c>
      <c r="D1632" s="197">
        <v>0</v>
      </c>
      <c r="E1632" s="197">
        <v>0</v>
      </c>
      <c r="F1632" s="197">
        <v>0</v>
      </c>
      <c r="G1632" s="197">
        <v>171935</v>
      </c>
      <c r="H1632" s="197">
        <v>64681.599999999999</v>
      </c>
      <c r="I1632" s="197">
        <v>0</v>
      </c>
      <c r="J1632" s="197">
        <v>236616.6</v>
      </c>
      <c r="K1632" s="197">
        <v>236616.6</v>
      </c>
      <c r="L1632" s="197">
        <v>65065</v>
      </c>
      <c r="M1632" s="197">
        <v>0</v>
      </c>
      <c r="N1632" s="197">
        <v>0</v>
      </c>
      <c r="O1632" s="197">
        <v>0</v>
      </c>
      <c r="P1632" s="197">
        <v>0</v>
      </c>
      <c r="Q1632" s="197">
        <v>0</v>
      </c>
      <c r="R1632" s="260" t="s">
        <v>239</v>
      </c>
      <c r="S1632" s="260" t="s">
        <v>514</v>
      </c>
      <c r="T1632" s="260" t="s">
        <v>239</v>
      </c>
      <c r="U1632" s="260" t="s">
        <v>514</v>
      </c>
    </row>
    <row r="1633" spans="1:21" ht="14.5" x14ac:dyDescent="0.35">
      <c r="A1633" s="260" t="s">
        <v>649</v>
      </c>
      <c r="B1633" s="190">
        <v>45824</v>
      </c>
      <c r="C1633" s="197">
        <v>236616.6</v>
      </c>
      <c r="D1633" s="197">
        <v>0</v>
      </c>
      <c r="E1633" s="197">
        <v>0</v>
      </c>
      <c r="F1633" s="197">
        <v>0</v>
      </c>
      <c r="G1633" s="197">
        <v>171935</v>
      </c>
      <c r="H1633" s="197">
        <v>64732</v>
      </c>
      <c r="I1633" s="197">
        <v>0</v>
      </c>
      <c r="J1633" s="197">
        <v>236667</v>
      </c>
      <c r="K1633" s="197">
        <v>236667</v>
      </c>
      <c r="L1633" s="197">
        <v>65065</v>
      </c>
      <c r="M1633" s="197">
        <v>0</v>
      </c>
      <c r="N1633" s="197">
        <v>0</v>
      </c>
      <c r="O1633" s="197">
        <v>0</v>
      </c>
      <c r="P1633" s="197">
        <v>50.399999999994179</v>
      </c>
      <c r="Q1633" s="197">
        <v>2.1300280707259311E-4</v>
      </c>
      <c r="R1633" s="260" t="s">
        <v>239</v>
      </c>
      <c r="S1633" s="260" t="s">
        <v>514</v>
      </c>
      <c r="T1633" s="260" t="s">
        <v>239</v>
      </c>
      <c r="U1633" s="260" t="s">
        <v>514</v>
      </c>
    </row>
    <row r="1634" spans="1:21" ht="14.5" x14ac:dyDescent="0.35">
      <c r="A1634" s="260" t="s">
        <v>649</v>
      </c>
      <c r="B1634" s="190">
        <v>45825</v>
      </c>
      <c r="C1634" s="197">
        <v>236667</v>
      </c>
      <c r="D1634" s="197">
        <v>0</v>
      </c>
      <c r="E1634" s="197">
        <v>0</v>
      </c>
      <c r="F1634" s="197">
        <v>0</v>
      </c>
      <c r="G1634" s="197">
        <v>171935</v>
      </c>
      <c r="H1634" s="197">
        <v>64750.6</v>
      </c>
      <c r="I1634" s="197">
        <v>0</v>
      </c>
      <c r="J1634" s="197">
        <v>236685.6</v>
      </c>
      <c r="K1634" s="197">
        <v>236685.6</v>
      </c>
      <c r="L1634" s="197">
        <v>65065</v>
      </c>
      <c r="M1634" s="197">
        <v>0</v>
      </c>
      <c r="N1634" s="197">
        <v>0</v>
      </c>
      <c r="O1634" s="197">
        <v>0</v>
      </c>
      <c r="P1634" s="197">
        <v>18.600000000005821</v>
      </c>
      <c r="Q1634" s="197">
        <v>7.8591438603670127E-5</v>
      </c>
      <c r="R1634" s="260" t="s">
        <v>239</v>
      </c>
      <c r="S1634" s="260" t="s">
        <v>514</v>
      </c>
      <c r="T1634" s="260" t="s">
        <v>239</v>
      </c>
      <c r="U1634" s="260" t="s">
        <v>514</v>
      </c>
    </row>
    <row r="1635" spans="1:21" ht="14.5" x14ac:dyDescent="0.35">
      <c r="A1635" s="260" t="s">
        <v>649</v>
      </c>
      <c r="B1635" s="190">
        <v>45826</v>
      </c>
      <c r="C1635" s="197">
        <v>236685.6</v>
      </c>
      <c r="D1635" s="197">
        <v>0</v>
      </c>
      <c r="E1635" s="197">
        <v>0</v>
      </c>
      <c r="F1635" s="197">
        <v>0</v>
      </c>
      <c r="G1635" s="197">
        <v>171935</v>
      </c>
      <c r="H1635" s="197">
        <v>64770.7</v>
      </c>
      <c r="I1635" s="197">
        <v>0</v>
      </c>
      <c r="J1635" s="197">
        <v>236705.7</v>
      </c>
      <c r="K1635" s="197">
        <v>236705.7</v>
      </c>
      <c r="L1635" s="197">
        <v>65065</v>
      </c>
      <c r="M1635" s="197">
        <v>0</v>
      </c>
      <c r="N1635" s="197">
        <v>0</v>
      </c>
      <c r="O1635" s="197">
        <v>0</v>
      </c>
      <c r="P1635" s="197">
        <v>20.100000000005821</v>
      </c>
      <c r="Q1635" s="197">
        <v>8.4922783642138455E-5</v>
      </c>
      <c r="R1635" s="260" t="s">
        <v>239</v>
      </c>
      <c r="S1635" s="260" t="s">
        <v>514</v>
      </c>
      <c r="T1635" s="260" t="s">
        <v>239</v>
      </c>
      <c r="U1635" s="260" t="s">
        <v>514</v>
      </c>
    </row>
    <row r="1636" spans="1:21" ht="14.5" x14ac:dyDescent="0.35">
      <c r="A1636" s="260" t="s">
        <v>649</v>
      </c>
      <c r="B1636" s="190">
        <v>45827</v>
      </c>
      <c r="C1636" s="197">
        <v>236705.7</v>
      </c>
      <c r="D1636" s="197">
        <v>0</v>
      </c>
      <c r="E1636" s="197">
        <v>0</v>
      </c>
      <c r="F1636" s="197">
        <v>0</v>
      </c>
      <c r="G1636" s="197">
        <v>171935</v>
      </c>
      <c r="H1636" s="197">
        <v>64784.7</v>
      </c>
      <c r="I1636" s="197">
        <v>0</v>
      </c>
      <c r="J1636" s="197">
        <v>236719.7</v>
      </c>
      <c r="K1636" s="197">
        <v>236719.7</v>
      </c>
      <c r="L1636" s="197">
        <v>65065</v>
      </c>
      <c r="M1636" s="197">
        <v>0</v>
      </c>
      <c r="N1636" s="197">
        <v>0</v>
      </c>
      <c r="O1636" s="197">
        <v>0</v>
      </c>
      <c r="P1636" s="197">
        <v>14</v>
      </c>
      <c r="Q1636" s="197">
        <v>5.9145174788888255E-5</v>
      </c>
      <c r="R1636" s="260" t="s">
        <v>239</v>
      </c>
      <c r="S1636" s="260" t="s">
        <v>514</v>
      </c>
      <c r="T1636" s="260" t="s">
        <v>239</v>
      </c>
      <c r="U1636" s="260" t="s">
        <v>514</v>
      </c>
    </row>
    <row r="1637" spans="1:21" ht="14.5" x14ac:dyDescent="0.35">
      <c r="A1637" s="260" t="s">
        <v>649</v>
      </c>
      <c r="B1637" s="190">
        <v>45828</v>
      </c>
      <c r="C1637" s="197">
        <v>236719.7</v>
      </c>
      <c r="D1637" s="197">
        <v>0</v>
      </c>
      <c r="E1637" s="197">
        <v>0</v>
      </c>
      <c r="F1637" s="197">
        <v>0</v>
      </c>
      <c r="G1637" s="197">
        <v>171935</v>
      </c>
      <c r="H1637" s="197">
        <v>64803.3</v>
      </c>
      <c r="I1637" s="197">
        <v>0</v>
      </c>
      <c r="J1637" s="197">
        <v>236738.3</v>
      </c>
      <c r="K1637" s="197">
        <v>236738.3</v>
      </c>
      <c r="L1637" s="197">
        <v>65065</v>
      </c>
      <c r="M1637" s="197">
        <v>0</v>
      </c>
      <c r="N1637" s="197">
        <v>0</v>
      </c>
      <c r="O1637" s="197">
        <v>0</v>
      </c>
      <c r="P1637" s="197">
        <v>18.599999999976717</v>
      </c>
      <c r="Q1637" s="197">
        <v>7.8573942092541316E-5</v>
      </c>
      <c r="R1637" s="260" t="s">
        <v>239</v>
      </c>
      <c r="S1637" s="260" t="s">
        <v>514</v>
      </c>
      <c r="T1637" s="260" t="s">
        <v>239</v>
      </c>
      <c r="U1637" s="260" t="s">
        <v>514</v>
      </c>
    </row>
    <row r="1638" spans="1:21" ht="14.5" x14ac:dyDescent="0.35">
      <c r="A1638" s="260" t="s">
        <v>649</v>
      </c>
      <c r="B1638" s="190">
        <v>45829</v>
      </c>
      <c r="C1638" s="197">
        <v>236738.3</v>
      </c>
      <c r="D1638" s="197">
        <v>0</v>
      </c>
      <c r="E1638" s="197">
        <v>0</v>
      </c>
      <c r="F1638" s="197">
        <v>0</v>
      </c>
      <c r="G1638" s="197">
        <v>171935</v>
      </c>
      <c r="H1638" s="197">
        <v>64803.3</v>
      </c>
      <c r="I1638" s="197">
        <v>0</v>
      </c>
      <c r="J1638" s="197">
        <v>236738.3</v>
      </c>
      <c r="K1638" s="197">
        <v>236738.3</v>
      </c>
      <c r="L1638" s="197">
        <v>65065</v>
      </c>
      <c r="M1638" s="197">
        <v>0</v>
      </c>
      <c r="N1638" s="197">
        <v>0</v>
      </c>
      <c r="O1638" s="197">
        <v>0</v>
      </c>
      <c r="P1638" s="197">
        <v>0</v>
      </c>
      <c r="Q1638" s="197">
        <v>0</v>
      </c>
      <c r="R1638" s="260" t="s">
        <v>239</v>
      </c>
      <c r="S1638" s="260" t="s">
        <v>514</v>
      </c>
      <c r="T1638" s="260" t="s">
        <v>239</v>
      </c>
      <c r="U1638" s="260" t="s">
        <v>514</v>
      </c>
    </row>
    <row r="1639" spans="1:21" ht="14.5" x14ac:dyDescent="0.35">
      <c r="A1639" s="260" t="s">
        <v>649</v>
      </c>
      <c r="B1639" s="190">
        <v>45830</v>
      </c>
      <c r="C1639" s="197">
        <v>236738.3</v>
      </c>
      <c r="D1639" s="197">
        <v>0</v>
      </c>
      <c r="E1639" s="197">
        <v>0</v>
      </c>
      <c r="F1639" s="197">
        <v>0</v>
      </c>
      <c r="G1639" s="197">
        <v>171935</v>
      </c>
      <c r="H1639" s="197">
        <v>64803.3</v>
      </c>
      <c r="I1639" s="197">
        <v>0</v>
      </c>
      <c r="J1639" s="197">
        <v>236738.3</v>
      </c>
      <c r="K1639" s="197">
        <v>236738.3</v>
      </c>
      <c r="L1639" s="197">
        <v>65065</v>
      </c>
      <c r="M1639" s="197">
        <v>0</v>
      </c>
      <c r="N1639" s="197">
        <v>0</v>
      </c>
      <c r="O1639" s="197">
        <v>0</v>
      </c>
      <c r="P1639" s="197">
        <v>0</v>
      </c>
      <c r="Q1639" s="197">
        <v>0</v>
      </c>
      <c r="R1639" s="260" t="s">
        <v>239</v>
      </c>
      <c r="S1639" s="260" t="s">
        <v>514</v>
      </c>
      <c r="T1639" s="260" t="s">
        <v>239</v>
      </c>
      <c r="U1639" s="260" t="s">
        <v>514</v>
      </c>
    </row>
    <row r="1640" spans="1:21" ht="14.5" x14ac:dyDescent="0.35">
      <c r="A1640" s="260" t="s">
        <v>649</v>
      </c>
      <c r="B1640" s="190">
        <v>45831</v>
      </c>
      <c r="C1640" s="197">
        <v>236738.3</v>
      </c>
      <c r="D1640" s="197">
        <v>0</v>
      </c>
      <c r="E1640" s="197">
        <v>0</v>
      </c>
      <c r="F1640" s="197">
        <v>0</v>
      </c>
      <c r="G1640" s="197">
        <v>171935</v>
      </c>
      <c r="H1640" s="197">
        <v>64857.5</v>
      </c>
      <c r="I1640" s="197">
        <v>0</v>
      </c>
      <c r="J1640" s="197">
        <v>236792.5</v>
      </c>
      <c r="K1640" s="197">
        <v>236792.5</v>
      </c>
      <c r="L1640" s="197">
        <v>65065</v>
      </c>
      <c r="M1640" s="197">
        <v>0</v>
      </c>
      <c r="N1640" s="197">
        <v>0</v>
      </c>
      <c r="O1640" s="197">
        <v>0</v>
      </c>
      <c r="P1640" s="197">
        <v>54.200000000011642</v>
      </c>
      <c r="Q1640" s="197">
        <v>2.2894478840140842E-4</v>
      </c>
      <c r="R1640" s="260" t="s">
        <v>239</v>
      </c>
      <c r="S1640" s="260" t="s">
        <v>514</v>
      </c>
      <c r="T1640" s="260" t="s">
        <v>239</v>
      </c>
      <c r="U1640" s="260" t="s">
        <v>514</v>
      </c>
    </row>
    <row r="1641" spans="1:21" ht="14.5" x14ac:dyDescent="0.35">
      <c r="A1641" s="260" t="s">
        <v>649</v>
      </c>
      <c r="B1641" s="190">
        <v>45832</v>
      </c>
      <c r="C1641" s="197">
        <v>236792.5</v>
      </c>
      <c r="D1641" s="197">
        <v>0</v>
      </c>
      <c r="E1641" s="197">
        <v>0</v>
      </c>
      <c r="F1641" s="197">
        <v>0</v>
      </c>
      <c r="G1641" s="197">
        <v>171935</v>
      </c>
      <c r="H1641" s="197">
        <v>64876.1</v>
      </c>
      <c r="I1641" s="197">
        <v>0</v>
      </c>
      <c r="J1641" s="197">
        <v>236811.1</v>
      </c>
      <c r="K1641" s="197">
        <v>236811.1</v>
      </c>
      <c r="L1641" s="197">
        <v>65065</v>
      </c>
      <c r="M1641" s="197">
        <v>0</v>
      </c>
      <c r="N1641" s="197">
        <v>0</v>
      </c>
      <c r="O1641" s="197">
        <v>0</v>
      </c>
      <c r="P1641" s="197">
        <v>18.600000000005821</v>
      </c>
      <c r="Q1641" s="197">
        <v>7.8549785149428786E-5</v>
      </c>
      <c r="R1641" s="260" t="s">
        <v>239</v>
      </c>
      <c r="S1641" s="260" t="s">
        <v>514</v>
      </c>
      <c r="T1641" s="260" t="s">
        <v>239</v>
      </c>
      <c r="U1641" s="260" t="s">
        <v>514</v>
      </c>
    </row>
    <row r="1642" spans="1:21" ht="14.5" x14ac:dyDescent="0.35">
      <c r="A1642" s="260" t="s">
        <v>649</v>
      </c>
      <c r="B1642" s="190">
        <v>45833</v>
      </c>
      <c r="C1642" s="197">
        <v>236811.1</v>
      </c>
      <c r="D1642" s="197">
        <v>0</v>
      </c>
      <c r="E1642" s="197">
        <v>0</v>
      </c>
      <c r="F1642" s="197">
        <v>0</v>
      </c>
      <c r="G1642" s="197">
        <v>171935</v>
      </c>
      <c r="H1642" s="197">
        <v>64894.7</v>
      </c>
      <c r="I1642" s="197">
        <v>0</v>
      </c>
      <c r="J1642" s="197">
        <v>236829.7</v>
      </c>
      <c r="K1642" s="197">
        <v>236829.7</v>
      </c>
      <c r="L1642" s="197">
        <v>65065</v>
      </c>
      <c r="M1642" s="197">
        <v>0</v>
      </c>
      <c r="N1642" s="197">
        <v>0</v>
      </c>
      <c r="O1642" s="197">
        <v>0</v>
      </c>
      <c r="P1642" s="197">
        <v>18.600000000005821</v>
      </c>
      <c r="Q1642" s="197">
        <v>7.8543615565251912E-5</v>
      </c>
      <c r="R1642" s="260" t="s">
        <v>239</v>
      </c>
      <c r="S1642" s="260" t="s">
        <v>514</v>
      </c>
      <c r="T1642" s="260" t="s">
        <v>239</v>
      </c>
      <c r="U1642" s="260" t="s">
        <v>514</v>
      </c>
    </row>
    <row r="1643" spans="1:21" ht="14.5" x14ac:dyDescent="0.35">
      <c r="A1643" s="260" t="s">
        <v>649</v>
      </c>
      <c r="B1643" s="190">
        <v>45834</v>
      </c>
      <c r="C1643" s="197">
        <v>236829.7</v>
      </c>
      <c r="D1643" s="197">
        <v>0</v>
      </c>
      <c r="E1643" s="197">
        <v>0</v>
      </c>
      <c r="F1643" s="197">
        <v>0</v>
      </c>
      <c r="G1643" s="197">
        <v>171935</v>
      </c>
      <c r="H1643" s="197">
        <v>64908.7</v>
      </c>
      <c r="I1643" s="197">
        <v>0</v>
      </c>
      <c r="J1643" s="197">
        <v>236843.7</v>
      </c>
      <c r="K1643" s="197">
        <v>236843.7</v>
      </c>
      <c r="L1643" s="197">
        <v>65065</v>
      </c>
      <c r="M1643" s="197">
        <v>0</v>
      </c>
      <c r="N1643" s="197">
        <v>0</v>
      </c>
      <c r="O1643" s="197">
        <v>0</v>
      </c>
      <c r="P1643" s="197">
        <v>14</v>
      </c>
      <c r="Q1643" s="197">
        <v>5.9114207382027217E-5</v>
      </c>
      <c r="R1643" s="260" t="s">
        <v>239</v>
      </c>
      <c r="S1643" s="260" t="s">
        <v>514</v>
      </c>
      <c r="T1643" s="260" t="s">
        <v>239</v>
      </c>
      <c r="U1643" s="260" t="s">
        <v>514</v>
      </c>
    </row>
    <row r="1644" spans="1:21" ht="14.5" x14ac:dyDescent="0.35">
      <c r="A1644" s="260" t="s">
        <v>649</v>
      </c>
      <c r="B1644" s="190">
        <v>45835</v>
      </c>
      <c r="C1644" s="197">
        <v>236843.7</v>
      </c>
      <c r="D1644" s="197">
        <v>0</v>
      </c>
      <c r="E1644" s="197">
        <v>0</v>
      </c>
      <c r="F1644" s="197">
        <v>0</v>
      </c>
      <c r="G1644" s="197">
        <v>171935</v>
      </c>
      <c r="H1644" s="197">
        <v>64927.3</v>
      </c>
      <c r="I1644" s="197">
        <v>0</v>
      </c>
      <c r="J1644" s="197">
        <v>236862.3</v>
      </c>
      <c r="K1644" s="197">
        <v>236862.3</v>
      </c>
      <c r="L1644" s="197">
        <v>65065</v>
      </c>
      <c r="M1644" s="197">
        <v>0</v>
      </c>
      <c r="N1644" s="197">
        <v>0</v>
      </c>
      <c r="O1644" s="197">
        <v>0</v>
      </c>
      <c r="P1644" s="197">
        <v>18.599999999976717</v>
      </c>
      <c r="Q1644" s="197">
        <v>7.8532804545616841E-5</v>
      </c>
      <c r="R1644" s="260" t="s">
        <v>239</v>
      </c>
      <c r="S1644" s="260" t="s">
        <v>514</v>
      </c>
      <c r="T1644" s="260" t="s">
        <v>239</v>
      </c>
      <c r="U1644" s="260" t="s">
        <v>514</v>
      </c>
    </row>
    <row r="1645" spans="1:21" ht="14.5" x14ac:dyDescent="0.35">
      <c r="A1645" s="260" t="s">
        <v>649</v>
      </c>
      <c r="B1645" s="190">
        <v>45836</v>
      </c>
      <c r="C1645" s="197">
        <v>236862.3</v>
      </c>
      <c r="D1645" s="197">
        <v>0</v>
      </c>
      <c r="E1645" s="197">
        <v>0</v>
      </c>
      <c r="F1645" s="197">
        <v>0</v>
      </c>
      <c r="G1645" s="197">
        <v>171935</v>
      </c>
      <c r="H1645" s="197">
        <v>64927.3</v>
      </c>
      <c r="I1645" s="197">
        <v>0</v>
      </c>
      <c r="J1645" s="197">
        <v>236862.3</v>
      </c>
      <c r="K1645" s="197">
        <v>236862.3</v>
      </c>
      <c r="L1645" s="197">
        <v>65065</v>
      </c>
      <c r="M1645" s="197">
        <v>0</v>
      </c>
      <c r="N1645" s="197">
        <v>0</v>
      </c>
      <c r="O1645" s="197">
        <v>0</v>
      </c>
      <c r="P1645" s="197">
        <v>0</v>
      </c>
      <c r="Q1645" s="197">
        <v>0</v>
      </c>
      <c r="R1645" s="260" t="s">
        <v>239</v>
      </c>
      <c r="S1645" s="260" t="s">
        <v>514</v>
      </c>
      <c r="T1645" s="260" t="s">
        <v>239</v>
      </c>
      <c r="U1645" s="260" t="s">
        <v>514</v>
      </c>
    </row>
    <row r="1646" spans="1:21" ht="14.5" x14ac:dyDescent="0.35">
      <c r="A1646" s="260" t="s">
        <v>649</v>
      </c>
      <c r="B1646" s="190">
        <v>45837</v>
      </c>
      <c r="C1646" s="197">
        <v>236862.3</v>
      </c>
      <c r="D1646" s="197">
        <v>0</v>
      </c>
      <c r="E1646" s="197">
        <v>0</v>
      </c>
      <c r="F1646" s="197">
        <v>0</v>
      </c>
      <c r="G1646" s="197">
        <v>171935</v>
      </c>
      <c r="H1646" s="197">
        <v>64927.3</v>
      </c>
      <c r="I1646" s="197">
        <v>0</v>
      </c>
      <c r="J1646" s="197">
        <v>236862.3</v>
      </c>
      <c r="K1646" s="197">
        <v>236862.3</v>
      </c>
      <c r="L1646" s="197">
        <v>65065</v>
      </c>
      <c r="M1646" s="197">
        <v>0</v>
      </c>
      <c r="N1646" s="197">
        <v>0</v>
      </c>
      <c r="O1646" s="197">
        <v>0</v>
      </c>
      <c r="P1646" s="197">
        <v>0</v>
      </c>
      <c r="Q1646" s="197">
        <v>0</v>
      </c>
      <c r="R1646" s="260" t="s">
        <v>239</v>
      </c>
      <c r="S1646" s="260" t="s">
        <v>514</v>
      </c>
      <c r="T1646" s="260" t="s">
        <v>239</v>
      </c>
      <c r="U1646" s="260" t="s">
        <v>514</v>
      </c>
    </row>
    <row r="1647" spans="1:21" ht="14.5" x14ac:dyDescent="0.35">
      <c r="A1647" s="260" t="s">
        <v>649</v>
      </c>
      <c r="B1647" s="190">
        <v>45838</v>
      </c>
      <c r="C1647" s="197">
        <v>236862.3</v>
      </c>
      <c r="D1647" s="197">
        <v>0</v>
      </c>
      <c r="E1647" s="197">
        <v>0</v>
      </c>
      <c r="F1647" s="197">
        <v>0</v>
      </c>
      <c r="G1647" s="197">
        <v>171935</v>
      </c>
      <c r="H1647" s="197">
        <v>64980</v>
      </c>
      <c r="I1647" s="197">
        <v>0</v>
      </c>
      <c r="J1647" s="197">
        <v>236915</v>
      </c>
      <c r="K1647" s="197">
        <v>236915</v>
      </c>
      <c r="L1647" s="197">
        <v>65065</v>
      </c>
      <c r="M1647" s="197">
        <v>0</v>
      </c>
      <c r="N1647" s="197">
        <v>0</v>
      </c>
      <c r="O1647" s="197">
        <v>0</v>
      </c>
      <c r="P1647" s="197">
        <v>52.700000000011642</v>
      </c>
      <c r="Q1647" s="197">
        <v>2.2249213994807171E-4</v>
      </c>
      <c r="R1647" s="260" t="s">
        <v>239</v>
      </c>
      <c r="S1647" s="260" t="s">
        <v>514</v>
      </c>
      <c r="T1647" s="260" t="s">
        <v>239</v>
      </c>
      <c r="U1647" s="260" t="s">
        <v>514</v>
      </c>
    </row>
    <row r="1648" spans="1:21" ht="14.5" x14ac:dyDescent="0.35">
      <c r="A1648" s="260" t="s">
        <v>649</v>
      </c>
      <c r="B1648" s="190">
        <v>45839</v>
      </c>
      <c r="C1648" s="197">
        <v>236915</v>
      </c>
      <c r="D1648" s="197">
        <v>0</v>
      </c>
      <c r="E1648" s="197">
        <v>0</v>
      </c>
      <c r="F1648" s="197">
        <v>0</v>
      </c>
      <c r="G1648" s="197">
        <v>176327</v>
      </c>
      <c r="H1648" s="197">
        <v>60540</v>
      </c>
      <c r="I1648" s="197">
        <v>0</v>
      </c>
      <c r="J1648" s="197">
        <v>236867</v>
      </c>
      <c r="K1648" s="197">
        <v>236867</v>
      </c>
      <c r="L1648" s="197">
        <v>61087.666666666664</v>
      </c>
      <c r="M1648" s="197">
        <v>414.66666666666652</v>
      </c>
      <c r="N1648" s="197">
        <v>8</v>
      </c>
      <c r="O1648" s="197">
        <v>0</v>
      </c>
      <c r="P1648" s="197">
        <v>-48</v>
      </c>
      <c r="Q1648" s="197">
        <v>-2.0260430956253739E-4</v>
      </c>
      <c r="R1648" s="260" t="s">
        <v>239</v>
      </c>
      <c r="S1648" s="260" t="s">
        <v>514</v>
      </c>
      <c r="T1648" s="260" t="s">
        <v>239</v>
      </c>
      <c r="U1648" s="260" t="s">
        <v>514</v>
      </c>
    </row>
    <row r="1649" spans="1:21" ht="14.5" x14ac:dyDescent="0.35">
      <c r="A1649" s="260" t="s">
        <v>649</v>
      </c>
      <c r="B1649" s="190">
        <v>45840</v>
      </c>
      <c r="C1649" s="197">
        <v>236867</v>
      </c>
      <c r="D1649" s="197">
        <v>0</v>
      </c>
      <c r="E1649" s="197">
        <v>0</v>
      </c>
      <c r="F1649" s="197">
        <v>0</v>
      </c>
      <c r="G1649" s="197">
        <v>176327</v>
      </c>
      <c r="H1649" s="197">
        <v>60455.4</v>
      </c>
      <c r="I1649" s="197">
        <v>0</v>
      </c>
      <c r="J1649" s="197">
        <v>236782.40000000002</v>
      </c>
      <c r="K1649" s="197">
        <v>236782.40000000002</v>
      </c>
      <c r="L1649" s="197">
        <v>61087.666666666664</v>
      </c>
      <c r="M1649" s="197">
        <v>414.66666666666652</v>
      </c>
      <c r="N1649" s="197">
        <v>0</v>
      </c>
      <c r="O1649" s="197">
        <v>0</v>
      </c>
      <c r="P1649" s="197">
        <v>-84.599999999976717</v>
      </c>
      <c r="Q1649" s="197">
        <v>-3.571624582571209E-4</v>
      </c>
      <c r="R1649" s="260" t="s">
        <v>239</v>
      </c>
      <c r="S1649" s="260" t="s">
        <v>514</v>
      </c>
      <c r="T1649" s="260" t="s">
        <v>239</v>
      </c>
      <c r="U1649" s="260" t="s">
        <v>514</v>
      </c>
    </row>
    <row r="1650" spans="1:21" ht="14.5" x14ac:dyDescent="0.35">
      <c r="A1650" s="260" t="s">
        <v>649</v>
      </c>
      <c r="B1650" s="190">
        <v>45841</v>
      </c>
      <c r="C1650" s="197">
        <v>236782.40000000002</v>
      </c>
      <c r="D1650" s="197">
        <v>0</v>
      </c>
      <c r="E1650" s="197">
        <v>0</v>
      </c>
      <c r="F1650" s="197">
        <v>0</v>
      </c>
      <c r="G1650" s="197">
        <v>176327</v>
      </c>
      <c r="H1650" s="197">
        <v>60371.600000000006</v>
      </c>
      <c r="I1650" s="197">
        <v>0</v>
      </c>
      <c r="J1650" s="197">
        <v>236698.59999999998</v>
      </c>
      <c r="K1650" s="197">
        <v>236698.59999999998</v>
      </c>
      <c r="L1650" s="197">
        <v>61087.666666666664</v>
      </c>
      <c r="M1650" s="197">
        <v>414.66666666666652</v>
      </c>
      <c r="N1650" s="197">
        <v>0</v>
      </c>
      <c r="O1650" s="197">
        <v>0</v>
      </c>
      <c r="P1650" s="197">
        <v>-83.800000000046566</v>
      </c>
      <c r="Q1650" s="197">
        <v>-3.5391143936391867E-4</v>
      </c>
      <c r="R1650" s="260" t="s">
        <v>239</v>
      </c>
      <c r="S1650" s="260" t="s">
        <v>514</v>
      </c>
      <c r="T1650" s="260" t="s">
        <v>239</v>
      </c>
      <c r="U1650" s="260" t="s">
        <v>514</v>
      </c>
    </row>
    <row r="1651" spans="1:21" ht="14.5" x14ac:dyDescent="0.35">
      <c r="A1651" s="260" t="s">
        <v>649</v>
      </c>
      <c r="B1651" s="190">
        <v>45842</v>
      </c>
      <c r="C1651" s="197">
        <v>236698.59999999998</v>
      </c>
      <c r="D1651" s="197">
        <v>0</v>
      </c>
      <c r="E1651" s="197">
        <v>0</v>
      </c>
      <c r="F1651" s="197">
        <v>0</v>
      </c>
      <c r="G1651" s="197">
        <v>176327</v>
      </c>
      <c r="H1651" s="197">
        <v>60287</v>
      </c>
      <c r="I1651" s="197">
        <v>0</v>
      </c>
      <c r="J1651" s="197">
        <v>236614</v>
      </c>
      <c r="K1651" s="197">
        <v>236614</v>
      </c>
      <c r="L1651" s="197">
        <v>61087.666666666664</v>
      </c>
      <c r="M1651" s="197">
        <v>414.66666666666652</v>
      </c>
      <c r="N1651" s="197">
        <v>0</v>
      </c>
      <c r="O1651" s="197">
        <v>0</v>
      </c>
      <c r="P1651" s="197">
        <v>-84.599999999976717</v>
      </c>
      <c r="Q1651" s="197">
        <v>-3.5741656266652377E-4</v>
      </c>
      <c r="R1651" s="260" t="s">
        <v>239</v>
      </c>
      <c r="S1651" s="260" t="s">
        <v>514</v>
      </c>
      <c r="T1651" s="260" t="s">
        <v>239</v>
      </c>
      <c r="U1651" s="260" t="s">
        <v>514</v>
      </c>
    </row>
    <row r="1652" spans="1:21" ht="14.5" x14ac:dyDescent="0.35">
      <c r="A1652" s="260" t="s">
        <v>649</v>
      </c>
      <c r="B1652" s="190">
        <v>45843</v>
      </c>
      <c r="C1652" s="197">
        <v>236614</v>
      </c>
      <c r="D1652" s="197">
        <v>0</v>
      </c>
      <c r="E1652" s="197">
        <v>0</v>
      </c>
      <c r="F1652" s="197">
        <v>0</v>
      </c>
      <c r="G1652" s="197">
        <v>176327</v>
      </c>
      <c r="H1652" s="197">
        <v>60287</v>
      </c>
      <c r="I1652" s="197">
        <v>0</v>
      </c>
      <c r="J1652" s="197">
        <v>236614</v>
      </c>
      <c r="K1652" s="197">
        <v>236614</v>
      </c>
      <c r="L1652" s="197">
        <v>61087.666666666664</v>
      </c>
      <c r="M1652" s="197">
        <v>414.66666666666652</v>
      </c>
      <c r="N1652" s="197">
        <v>0</v>
      </c>
      <c r="O1652" s="197">
        <v>0</v>
      </c>
      <c r="P1652" s="197">
        <v>0</v>
      </c>
      <c r="Q1652" s="197">
        <v>0</v>
      </c>
      <c r="R1652" s="260" t="s">
        <v>239</v>
      </c>
      <c r="S1652" s="260" t="s">
        <v>514</v>
      </c>
      <c r="T1652" s="260" t="s">
        <v>239</v>
      </c>
      <c r="U1652" s="260" t="s">
        <v>514</v>
      </c>
    </row>
    <row r="1653" spans="1:21" ht="14.5" x14ac:dyDescent="0.35">
      <c r="A1653" s="260" t="s">
        <v>649</v>
      </c>
      <c r="B1653" s="190">
        <v>45844</v>
      </c>
      <c r="C1653" s="197">
        <v>236614</v>
      </c>
      <c r="D1653" s="197">
        <v>0</v>
      </c>
      <c r="E1653" s="197">
        <v>0</v>
      </c>
      <c r="F1653" s="197">
        <v>0</v>
      </c>
      <c r="G1653" s="197">
        <v>176327</v>
      </c>
      <c r="H1653" s="197">
        <v>60287</v>
      </c>
      <c r="I1653" s="197">
        <v>0</v>
      </c>
      <c r="J1653" s="197">
        <v>236614</v>
      </c>
      <c r="K1653" s="197">
        <v>236614</v>
      </c>
      <c r="L1653" s="197">
        <v>61087.666666666664</v>
      </c>
      <c r="M1653" s="197">
        <v>414.66666666666652</v>
      </c>
      <c r="N1653" s="197">
        <v>0</v>
      </c>
      <c r="O1653" s="197">
        <v>0</v>
      </c>
      <c r="P1653" s="197">
        <v>0</v>
      </c>
      <c r="Q1653" s="197">
        <v>0</v>
      </c>
      <c r="R1653" s="260" t="s">
        <v>239</v>
      </c>
      <c r="S1653" s="260" t="s">
        <v>514</v>
      </c>
      <c r="T1653" s="260" t="s">
        <v>239</v>
      </c>
      <c r="U1653" s="260" t="s">
        <v>514</v>
      </c>
    </row>
    <row r="1654" spans="1:21" ht="14.5" x14ac:dyDescent="0.35">
      <c r="A1654" s="260" t="s">
        <v>649</v>
      </c>
      <c r="B1654" s="190">
        <v>45845</v>
      </c>
      <c r="C1654" s="197">
        <v>236614</v>
      </c>
      <c r="D1654" s="197">
        <v>0</v>
      </c>
      <c r="E1654" s="197">
        <v>0</v>
      </c>
      <c r="F1654" s="197">
        <v>0</v>
      </c>
      <c r="G1654" s="197">
        <v>176327</v>
      </c>
      <c r="H1654" s="197">
        <v>60034</v>
      </c>
      <c r="I1654" s="197">
        <v>0</v>
      </c>
      <c r="J1654" s="197">
        <v>236361</v>
      </c>
      <c r="K1654" s="197">
        <v>236361</v>
      </c>
      <c r="L1654" s="197">
        <v>61087.666666666664</v>
      </c>
      <c r="M1654" s="197">
        <v>414.66666666666652</v>
      </c>
      <c r="N1654" s="197">
        <v>0</v>
      </c>
      <c r="O1654" s="197">
        <v>0</v>
      </c>
      <c r="P1654" s="197">
        <v>-253</v>
      </c>
      <c r="Q1654" s="197">
        <v>-1.0692520307336029E-3</v>
      </c>
      <c r="R1654" s="260" t="s">
        <v>239</v>
      </c>
      <c r="S1654" s="260" t="s">
        <v>514</v>
      </c>
      <c r="T1654" s="260" t="s">
        <v>239</v>
      </c>
      <c r="U1654" s="260" t="s">
        <v>514</v>
      </c>
    </row>
    <row r="1655" spans="1:21" ht="14.5" x14ac:dyDescent="0.35">
      <c r="A1655" s="260" t="s">
        <v>649</v>
      </c>
      <c r="B1655" s="190">
        <v>45846</v>
      </c>
      <c r="C1655" s="197">
        <v>236361</v>
      </c>
      <c r="D1655" s="197">
        <v>0</v>
      </c>
      <c r="E1655" s="197">
        <v>0</v>
      </c>
      <c r="F1655" s="197">
        <v>0</v>
      </c>
      <c r="G1655" s="197">
        <v>176327</v>
      </c>
      <c r="H1655" s="197">
        <v>59949.399999999994</v>
      </c>
      <c r="I1655" s="197">
        <v>0</v>
      </c>
      <c r="J1655" s="197">
        <v>236276.40000000002</v>
      </c>
      <c r="K1655" s="197">
        <v>236276.40000000002</v>
      </c>
      <c r="L1655" s="197">
        <v>61087.666666666664</v>
      </c>
      <c r="M1655" s="197">
        <v>414.66666666666652</v>
      </c>
      <c r="N1655" s="197">
        <v>0</v>
      </c>
      <c r="O1655" s="197">
        <v>0</v>
      </c>
      <c r="P1655" s="197">
        <v>-84.599999999976717</v>
      </c>
      <c r="Q1655" s="197">
        <v>-3.5792706918646999E-4</v>
      </c>
      <c r="R1655" s="260" t="s">
        <v>239</v>
      </c>
      <c r="S1655" s="260" t="s">
        <v>514</v>
      </c>
      <c r="T1655" s="260" t="s">
        <v>239</v>
      </c>
      <c r="U1655" s="260" t="s">
        <v>514</v>
      </c>
    </row>
    <row r="1656" spans="1:21" ht="14.5" x14ac:dyDescent="0.35">
      <c r="A1656" s="260" t="s">
        <v>649</v>
      </c>
      <c r="B1656" s="190">
        <v>45847</v>
      </c>
      <c r="C1656" s="197">
        <v>236276.40000000002</v>
      </c>
      <c r="D1656" s="197">
        <v>0</v>
      </c>
      <c r="E1656" s="197">
        <v>0</v>
      </c>
      <c r="F1656" s="197">
        <v>0</v>
      </c>
      <c r="G1656" s="197">
        <v>176327</v>
      </c>
      <c r="H1656" s="197">
        <v>59865.600000000006</v>
      </c>
      <c r="I1656" s="197">
        <v>0</v>
      </c>
      <c r="J1656" s="197">
        <v>236192.59999999998</v>
      </c>
      <c r="K1656" s="197">
        <v>236192.59999999998</v>
      </c>
      <c r="L1656" s="197">
        <v>61087.666666666664</v>
      </c>
      <c r="M1656" s="197">
        <v>414.66666666666652</v>
      </c>
      <c r="N1656" s="197">
        <v>0</v>
      </c>
      <c r="O1656" s="197">
        <v>0</v>
      </c>
      <c r="P1656" s="197">
        <v>-83.800000000046566</v>
      </c>
      <c r="Q1656" s="197">
        <v>-3.5466936181538511E-4</v>
      </c>
      <c r="R1656" s="260" t="s">
        <v>239</v>
      </c>
      <c r="S1656" s="260" t="s">
        <v>514</v>
      </c>
      <c r="T1656" s="260" t="s">
        <v>239</v>
      </c>
      <c r="U1656" s="260" t="s">
        <v>514</v>
      </c>
    </row>
    <row r="1657" spans="1:21" ht="14.5" x14ac:dyDescent="0.35">
      <c r="A1657" s="260" t="s">
        <v>649</v>
      </c>
      <c r="B1657" s="190">
        <v>45848</v>
      </c>
      <c r="C1657" s="197">
        <v>236192.59999999998</v>
      </c>
      <c r="D1657" s="197">
        <v>0</v>
      </c>
      <c r="E1657" s="197">
        <v>0</v>
      </c>
      <c r="F1657" s="197">
        <v>0</v>
      </c>
      <c r="G1657" s="197">
        <v>176327</v>
      </c>
      <c r="H1657" s="197">
        <v>59781</v>
      </c>
      <c r="I1657" s="197">
        <v>0</v>
      </c>
      <c r="J1657" s="197">
        <v>236108</v>
      </c>
      <c r="K1657" s="197">
        <v>236108</v>
      </c>
      <c r="L1657" s="197">
        <v>61087.666666666664</v>
      </c>
      <c r="M1657" s="197">
        <v>414.66666666666652</v>
      </c>
      <c r="N1657" s="197">
        <v>0</v>
      </c>
      <c r="O1657" s="197">
        <v>0</v>
      </c>
      <c r="P1657" s="197">
        <v>-84.599999999976717</v>
      </c>
      <c r="Q1657" s="197">
        <v>-3.5818226311912227E-4</v>
      </c>
      <c r="R1657" s="260" t="s">
        <v>239</v>
      </c>
      <c r="S1657" s="260" t="s">
        <v>514</v>
      </c>
      <c r="T1657" s="260" t="s">
        <v>239</v>
      </c>
      <c r="U1657" s="260" t="s">
        <v>514</v>
      </c>
    </row>
    <row r="1658" spans="1:21" ht="14.5" x14ac:dyDescent="0.35">
      <c r="A1658" s="260" t="s">
        <v>649</v>
      </c>
      <c r="B1658" s="190">
        <v>45849</v>
      </c>
      <c r="C1658" s="197">
        <v>236108</v>
      </c>
      <c r="D1658" s="197">
        <v>0</v>
      </c>
      <c r="E1658" s="197">
        <v>0</v>
      </c>
      <c r="F1658" s="197">
        <v>0</v>
      </c>
      <c r="G1658" s="197">
        <v>176327</v>
      </c>
      <c r="H1658" s="197">
        <v>59696.399999999994</v>
      </c>
      <c r="I1658" s="197">
        <v>0</v>
      </c>
      <c r="J1658" s="197">
        <v>236023.40000000002</v>
      </c>
      <c r="K1658" s="197">
        <v>236023.40000000002</v>
      </c>
      <c r="L1658" s="197">
        <v>61087.666666666664</v>
      </c>
      <c r="M1658" s="197">
        <v>414.66666666666652</v>
      </c>
      <c r="N1658" s="197">
        <v>0</v>
      </c>
      <c r="O1658" s="197">
        <v>0</v>
      </c>
      <c r="P1658" s="197">
        <v>-84.599999999976717</v>
      </c>
      <c r="Q1658" s="197">
        <v>-3.5831060362201406E-4</v>
      </c>
      <c r="R1658" s="260" t="s">
        <v>239</v>
      </c>
      <c r="S1658" s="260" t="s">
        <v>514</v>
      </c>
      <c r="T1658" s="260" t="s">
        <v>239</v>
      </c>
      <c r="U1658" s="260" t="s">
        <v>514</v>
      </c>
    </row>
    <row r="1659" spans="1:21" ht="14.5" x14ac:dyDescent="0.35">
      <c r="A1659" s="260" t="s">
        <v>649</v>
      </c>
      <c r="B1659" s="190">
        <v>45850</v>
      </c>
      <c r="C1659" s="197">
        <v>236023.40000000002</v>
      </c>
      <c r="D1659" s="197">
        <v>0</v>
      </c>
      <c r="E1659" s="197">
        <v>0</v>
      </c>
      <c r="F1659" s="197">
        <v>0</v>
      </c>
      <c r="G1659" s="197">
        <v>176327</v>
      </c>
      <c r="H1659" s="197">
        <v>59696.399999999994</v>
      </c>
      <c r="I1659" s="197">
        <v>0</v>
      </c>
      <c r="J1659" s="197">
        <v>236023.40000000002</v>
      </c>
      <c r="K1659" s="197">
        <v>236023.40000000002</v>
      </c>
      <c r="L1659" s="197">
        <v>61087.666666666664</v>
      </c>
      <c r="M1659" s="197">
        <v>414.66666666666652</v>
      </c>
      <c r="N1659" s="197">
        <v>0</v>
      </c>
      <c r="O1659" s="197">
        <v>0</v>
      </c>
      <c r="P1659" s="197">
        <v>0</v>
      </c>
      <c r="Q1659" s="197">
        <v>0</v>
      </c>
      <c r="R1659" s="260" t="s">
        <v>239</v>
      </c>
      <c r="S1659" s="260" t="s">
        <v>514</v>
      </c>
      <c r="T1659" s="260" t="s">
        <v>239</v>
      </c>
      <c r="U1659" s="260" t="s">
        <v>514</v>
      </c>
    </row>
    <row r="1660" spans="1:21" ht="14.5" x14ac:dyDescent="0.35">
      <c r="A1660" s="260" t="s">
        <v>649</v>
      </c>
      <c r="B1660" s="190">
        <v>45851</v>
      </c>
      <c r="C1660" s="197">
        <v>236023.40000000002</v>
      </c>
      <c r="D1660" s="197">
        <v>0</v>
      </c>
      <c r="E1660" s="197">
        <v>0</v>
      </c>
      <c r="F1660" s="197">
        <v>0</v>
      </c>
      <c r="G1660" s="197">
        <v>176327</v>
      </c>
      <c r="H1660" s="197">
        <v>59696.399999999994</v>
      </c>
      <c r="I1660" s="197">
        <v>0</v>
      </c>
      <c r="J1660" s="197">
        <v>236023.40000000002</v>
      </c>
      <c r="K1660" s="197">
        <v>236023.40000000002</v>
      </c>
      <c r="L1660" s="197">
        <v>61087.666666666664</v>
      </c>
      <c r="M1660" s="197">
        <v>414.66666666666652</v>
      </c>
      <c r="N1660" s="197">
        <v>0</v>
      </c>
      <c r="O1660" s="197">
        <v>0</v>
      </c>
      <c r="P1660" s="197">
        <v>0</v>
      </c>
      <c r="Q1660" s="197">
        <v>0</v>
      </c>
      <c r="R1660" s="260" t="s">
        <v>239</v>
      </c>
      <c r="S1660" s="260" t="s">
        <v>514</v>
      </c>
      <c r="T1660" s="260" t="s">
        <v>239</v>
      </c>
      <c r="U1660" s="260" t="s">
        <v>514</v>
      </c>
    </row>
    <row r="1661" spans="1:21" ht="14.5" x14ac:dyDescent="0.35">
      <c r="A1661" s="260" t="s">
        <v>649</v>
      </c>
      <c r="B1661" s="190">
        <v>45852</v>
      </c>
      <c r="C1661" s="197">
        <v>236023.40000000002</v>
      </c>
      <c r="D1661" s="197">
        <v>0</v>
      </c>
      <c r="E1661" s="197">
        <v>0</v>
      </c>
      <c r="F1661" s="197">
        <v>0</v>
      </c>
      <c r="G1661" s="197">
        <v>176327</v>
      </c>
      <c r="H1661" s="197">
        <v>59443.399999999994</v>
      </c>
      <c r="I1661" s="197">
        <v>0</v>
      </c>
      <c r="J1661" s="197">
        <v>235770.40000000002</v>
      </c>
      <c r="K1661" s="197">
        <v>235770.40000000002</v>
      </c>
      <c r="L1661" s="197">
        <v>61087.666666666664</v>
      </c>
      <c r="M1661" s="197">
        <v>414.66666666666652</v>
      </c>
      <c r="N1661" s="197">
        <v>0</v>
      </c>
      <c r="O1661" s="197">
        <v>0</v>
      </c>
      <c r="P1661" s="197">
        <v>-253</v>
      </c>
      <c r="Q1661" s="197">
        <v>-1.0719276139569134E-3</v>
      </c>
      <c r="R1661" s="260" t="s">
        <v>239</v>
      </c>
      <c r="S1661" s="260" t="s">
        <v>514</v>
      </c>
      <c r="T1661" s="260" t="s">
        <v>239</v>
      </c>
      <c r="U1661" s="260" t="s">
        <v>514</v>
      </c>
    </row>
    <row r="1662" spans="1:21" ht="14.5" x14ac:dyDescent="0.35">
      <c r="A1662" s="260" t="s">
        <v>649</v>
      </c>
      <c r="B1662" s="190">
        <v>45853</v>
      </c>
      <c r="C1662" s="197">
        <v>235770.40000000002</v>
      </c>
      <c r="D1662" s="197">
        <v>0</v>
      </c>
      <c r="E1662" s="197">
        <v>0</v>
      </c>
      <c r="F1662" s="197">
        <v>0</v>
      </c>
      <c r="G1662" s="197">
        <v>176327</v>
      </c>
      <c r="H1662" s="197">
        <v>59359.6</v>
      </c>
      <c r="I1662" s="197">
        <v>0</v>
      </c>
      <c r="J1662" s="197">
        <v>235686.59999999998</v>
      </c>
      <c r="K1662" s="197">
        <v>235686.59999999998</v>
      </c>
      <c r="L1662" s="197">
        <v>61087.666666666664</v>
      </c>
      <c r="M1662" s="197">
        <v>414.66666666666652</v>
      </c>
      <c r="N1662" s="197">
        <v>0</v>
      </c>
      <c r="O1662" s="197">
        <v>0</v>
      </c>
      <c r="P1662" s="197">
        <v>-83.800000000046566</v>
      </c>
      <c r="Q1662" s="197">
        <v>-3.5543053750619613E-4</v>
      </c>
      <c r="R1662" s="260" t="s">
        <v>239</v>
      </c>
      <c r="S1662" s="260" t="s">
        <v>514</v>
      </c>
      <c r="T1662" s="260" t="s">
        <v>239</v>
      </c>
      <c r="U1662" s="260" t="s">
        <v>514</v>
      </c>
    </row>
    <row r="1663" spans="1:21" ht="14.5" x14ac:dyDescent="0.35">
      <c r="A1663" s="260" t="s">
        <v>649</v>
      </c>
      <c r="B1663" s="190">
        <v>45854</v>
      </c>
      <c r="C1663" s="197">
        <v>235686.59999999998</v>
      </c>
      <c r="D1663" s="197">
        <v>0</v>
      </c>
      <c r="E1663" s="197">
        <v>0</v>
      </c>
      <c r="F1663" s="197">
        <v>0</v>
      </c>
      <c r="G1663" s="197">
        <v>176327</v>
      </c>
      <c r="H1663" s="197">
        <v>59275</v>
      </c>
      <c r="I1663" s="197">
        <v>0</v>
      </c>
      <c r="J1663" s="197">
        <v>235602</v>
      </c>
      <c r="K1663" s="197">
        <v>235602</v>
      </c>
      <c r="L1663" s="197">
        <v>61087.666666666664</v>
      </c>
      <c r="M1663" s="197">
        <v>414.66666666666652</v>
      </c>
      <c r="N1663" s="197">
        <v>0</v>
      </c>
      <c r="O1663" s="197">
        <v>0</v>
      </c>
      <c r="P1663" s="197">
        <v>-84.599999999976717</v>
      </c>
      <c r="Q1663" s="197">
        <v>-3.5895125136509165E-4</v>
      </c>
      <c r="R1663" s="260" t="s">
        <v>239</v>
      </c>
      <c r="S1663" s="260" t="s">
        <v>514</v>
      </c>
      <c r="T1663" s="260" t="s">
        <v>239</v>
      </c>
      <c r="U1663" s="260" t="s">
        <v>514</v>
      </c>
    </row>
    <row r="1664" spans="1:21" ht="14.5" x14ac:dyDescent="0.35">
      <c r="A1664" s="260" t="s">
        <v>649</v>
      </c>
      <c r="B1664" s="190">
        <v>45855</v>
      </c>
      <c r="C1664" s="197">
        <v>235602</v>
      </c>
      <c r="D1664" s="197">
        <v>0</v>
      </c>
      <c r="E1664" s="197">
        <v>0</v>
      </c>
      <c r="F1664" s="197">
        <v>0</v>
      </c>
      <c r="G1664" s="197">
        <v>176327</v>
      </c>
      <c r="H1664" s="197">
        <v>59190.400000000001</v>
      </c>
      <c r="I1664" s="197">
        <v>0</v>
      </c>
      <c r="J1664" s="197">
        <v>235517.40000000002</v>
      </c>
      <c r="K1664" s="197">
        <v>235517.40000000002</v>
      </c>
      <c r="L1664" s="197">
        <v>61087.666666666664</v>
      </c>
      <c r="M1664" s="197">
        <v>414.66666666666652</v>
      </c>
      <c r="N1664" s="197">
        <v>0</v>
      </c>
      <c r="O1664" s="197">
        <v>0</v>
      </c>
      <c r="P1664" s="197">
        <v>-84.599999999976717</v>
      </c>
      <c r="Q1664" s="197">
        <v>-3.5908014363195129E-4</v>
      </c>
      <c r="R1664" s="260" t="s">
        <v>239</v>
      </c>
      <c r="S1664" s="260" t="s">
        <v>514</v>
      </c>
      <c r="T1664" s="260" t="s">
        <v>239</v>
      </c>
      <c r="U1664" s="260" t="s">
        <v>514</v>
      </c>
    </row>
    <row r="1665" spans="1:21" ht="14.5" x14ac:dyDescent="0.35">
      <c r="A1665" s="260" t="s">
        <v>649</v>
      </c>
      <c r="B1665" s="190">
        <v>45856</v>
      </c>
      <c r="C1665" s="197">
        <v>235517.40000000002</v>
      </c>
      <c r="D1665" s="197">
        <v>0</v>
      </c>
      <c r="E1665" s="197">
        <v>0</v>
      </c>
      <c r="F1665" s="197">
        <v>0</v>
      </c>
      <c r="G1665" s="197">
        <v>176327</v>
      </c>
      <c r="H1665" s="197">
        <v>59106.600000000006</v>
      </c>
      <c r="I1665" s="197">
        <v>0</v>
      </c>
      <c r="J1665" s="197">
        <v>235433.59999999998</v>
      </c>
      <c r="K1665" s="197">
        <v>235433.59999999998</v>
      </c>
      <c r="L1665" s="197">
        <v>61087.666666666664</v>
      </c>
      <c r="M1665" s="197">
        <v>414.66666666666652</v>
      </c>
      <c r="N1665" s="197">
        <v>0</v>
      </c>
      <c r="O1665" s="197">
        <v>0</v>
      </c>
      <c r="P1665" s="197">
        <v>-83.800000000046566</v>
      </c>
      <c r="Q1665" s="197">
        <v>-3.5581235186887827E-4</v>
      </c>
      <c r="R1665" s="260" t="s">
        <v>239</v>
      </c>
      <c r="S1665" s="260" t="s">
        <v>514</v>
      </c>
      <c r="T1665" s="260" t="s">
        <v>239</v>
      </c>
      <c r="U1665" s="260" t="s">
        <v>514</v>
      </c>
    </row>
    <row r="1666" spans="1:21" ht="14.5" x14ac:dyDescent="0.35">
      <c r="A1666" s="260" t="s">
        <v>649</v>
      </c>
      <c r="B1666" s="190">
        <v>45857</v>
      </c>
      <c r="C1666" s="197">
        <v>235433.59999999998</v>
      </c>
      <c r="D1666" s="197">
        <v>0</v>
      </c>
      <c r="E1666" s="197">
        <v>0</v>
      </c>
      <c r="F1666" s="197">
        <v>0</v>
      </c>
      <c r="G1666" s="197">
        <v>176327</v>
      </c>
      <c r="H1666" s="197">
        <v>59106.600000000006</v>
      </c>
      <c r="I1666" s="197">
        <v>0</v>
      </c>
      <c r="J1666" s="197">
        <v>235433.59999999998</v>
      </c>
      <c r="K1666" s="197">
        <v>235433.59999999998</v>
      </c>
      <c r="L1666" s="197">
        <v>61087.666666666664</v>
      </c>
      <c r="M1666" s="197">
        <v>414.66666666666652</v>
      </c>
      <c r="N1666" s="197">
        <v>0</v>
      </c>
      <c r="O1666" s="197">
        <v>0</v>
      </c>
      <c r="P1666" s="197">
        <v>0</v>
      </c>
      <c r="Q1666" s="197">
        <v>0</v>
      </c>
      <c r="R1666" s="260" t="s">
        <v>239</v>
      </c>
      <c r="S1666" s="260" t="s">
        <v>514</v>
      </c>
      <c r="T1666" s="260" t="s">
        <v>239</v>
      </c>
      <c r="U1666" s="260" t="s">
        <v>514</v>
      </c>
    </row>
    <row r="1667" spans="1:21" ht="14.5" x14ac:dyDescent="0.35">
      <c r="A1667" s="260" t="s">
        <v>649</v>
      </c>
      <c r="B1667" s="190">
        <v>45858</v>
      </c>
      <c r="C1667" s="197">
        <v>235433.59999999998</v>
      </c>
      <c r="D1667" s="197">
        <v>0</v>
      </c>
      <c r="E1667" s="197">
        <v>0</v>
      </c>
      <c r="F1667" s="197">
        <v>0</v>
      </c>
      <c r="G1667" s="197">
        <v>176327</v>
      </c>
      <c r="H1667" s="197">
        <v>59106.600000000006</v>
      </c>
      <c r="I1667" s="197">
        <v>0</v>
      </c>
      <c r="J1667" s="197">
        <v>235433.59999999998</v>
      </c>
      <c r="K1667" s="197">
        <v>235433.59999999998</v>
      </c>
      <c r="L1667" s="197">
        <v>61087.666666666664</v>
      </c>
      <c r="M1667" s="197">
        <v>414.66666666666652</v>
      </c>
      <c r="N1667" s="197">
        <v>0</v>
      </c>
      <c r="O1667" s="197">
        <v>0</v>
      </c>
      <c r="P1667" s="197">
        <v>0</v>
      </c>
      <c r="Q1667" s="197">
        <v>0</v>
      </c>
      <c r="R1667" s="260" t="s">
        <v>239</v>
      </c>
      <c r="S1667" s="260" t="s">
        <v>514</v>
      </c>
      <c r="T1667" s="260" t="s">
        <v>239</v>
      </c>
      <c r="U1667" s="260" t="s">
        <v>514</v>
      </c>
    </row>
    <row r="1668" spans="1:21" ht="14.5" x14ac:dyDescent="0.35">
      <c r="A1668" s="260" t="s">
        <v>649</v>
      </c>
      <c r="B1668" s="190">
        <v>45859</v>
      </c>
      <c r="C1668" s="197">
        <v>235433.59999999998</v>
      </c>
      <c r="D1668" s="197">
        <v>0</v>
      </c>
      <c r="E1668" s="197">
        <v>0</v>
      </c>
      <c r="F1668" s="197">
        <v>0</v>
      </c>
      <c r="G1668" s="197">
        <v>176327</v>
      </c>
      <c r="H1668" s="197">
        <v>58853.600000000006</v>
      </c>
      <c r="I1668" s="197">
        <v>0</v>
      </c>
      <c r="J1668" s="197">
        <v>235180.59999999998</v>
      </c>
      <c r="K1668" s="197">
        <v>235180.59999999998</v>
      </c>
      <c r="L1668" s="197">
        <v>61087.666666666664</v>
      </c>
      <c r="M1668" s="197">
        <v>414.66666666666652</v>
      </c>
      <c r="N1668" s="197">
        <v>0</v>
      </c>
      <c r="O1668" s="197">
        <v>0</v>
      </c>
      <c r="P1668" s="197">
        <v>-253</v>
      </c>
      <c r="Q1668" s="197">
        <v>-1.0746129694316764E-3</v>
      </c>
      <c r="R1668" s="260" t="s">
        <v>239</v>
      </c>
      <c r="S1668" s="260" t="s">
        <v>514</v>
      </c>
      <c r="T1668" s="260" t="s">
        <v>239</v>
      </c>
      <c r="U1668" s="260" t="s">
        <v>514</v>
      </c>
    </row>
    <row r="1669" spans="1:21" ht="14.5" x14ac:dyDescent="0.35">
      <c r="A1669" s="260" t="s">
        <v>649</v>
      </c>
      <c r="B1669" s="190">
        <v>45860</v>
      </c>
      <c r="C1669" s="197">
        <v>235180.59999999998</v>
      </c>
      <c r="D1669" s="197">
        <v>0</v>
      </c>
      <c r="E1669" s="197">
        <v>0</v>
      </c>
      <c r="F1669" s="197">
        <v>0</v>
      </c>
      <c r="G1669" s="197">
        <v>176327</v>
      </c>
      <c r="H1669" s="197">
        <v>58769</v>
      </c>
      <c r="I1669" s="197">
        <v>0</v>
      </c>
      <c r="J1669" s="197">
        <v>235096</v>
      </c>
      <c r="K1669" s="197">
        <v>235096</v>
      </c>
      <c r="L1669" s="197">
        <v>61087.666666666664</v>
      </c>
      <c r="M1669" s="197">
        <v>414.66666666666652</v>
      </c>
      <c r="N1669" s="197">
        <v>0</v>
      </c>
      <c r="O1669" s="197">
        <v>0</v>
      </c>
      <c r="P1669" s="197">
        <v>-84.599999999976717</v>
      </c>
      <c r="Q1669" s="197">
        <v>-3.5972354862590095E-4</v>
      </c>
      <c r="R1669" s="260" t="s">
        <v>239</v>
      </c>
      <c r="S1669" s="260" t="s">
        <v>514</v>
      </c>
      <c r="T1669" s="260" t="s">
        <v>239</v>
      </c>
      <c r="U1669" s="260" t="s">
        <v>514</v>
      </c>
    </row>
    <row r="1670" spans="1:21" ht="14.5" x14ac:dyDescent="0.35">
      <c r="A1670" s="260" t="s">
        <v>649</v>
      </c>
      <c r="B1670" s="190">
        <v>45861</v>
      </c>
      <c r="C1670" s="197">
        <v>235096</v>
      </c>
      <c r="D1670" s="197">
        <v>0</v>
      </c>
      <c r="E1670" s="197">
        <v>0</v>
      </c>
      <c r="F1670" s="197">
        <v>0</v>
      </c>
      <c r="G1670" s="197">
        <v>176327</v>
      </c>
      <c r="H1670" s="197">
        <v>58684.399999999994</v>
      </c>
      <c r="I1670" s="197">
        <v>0</v>
      </c>
      <c r="J1670" s="197">
        <v>235011.40000000002</v>
      </c>
      <c r="K1670" s="197">
        <v>235011.40000000002</v>
      </c>
      <c r="L1670" s="197">
        <v>61087.666666666664</v>
      </c>
      <c r="M1670" s="197">
        <v>414.66666666666652</v>
      </c>
      <c r="N1670" s="197">
        <v>0</v>
      </c>
      <c r="O1670" s="197">
        <v>0</v>
      </c>
      <c r="P1670" s="197">
        <v>-84.599999999976717</v>
      </c>
      <c r="Q1670" s="197">
        <v>-3.5985299622276479E-4</v>
      </c>
      <c r="R1670" s="260" t="s">
        <v>239</v>
      </c>
      <c r="S1670" s="260" t="s">
        <v>514</v>
      </c>
      <c r="T1670" s="260" t="s">
        <v>239</v>
      </c>
      <c r="U1670" s="260" t="s">
        <v>514</v>
      </c>
    </row>
    <row r="1671" spans="1:21" ht="14.5" x14ac:dyDescent="0.35">
      <c r="A1671" s="260" t="s">
        <v>649</v>
      </c>
      <c r="B1671" s="190">
        <v>45862</v>
      </c>
      <c r="C1671" s="197">
        <v>235011.40000000002</v>
      </c>
      <c r="D1671" s="197">
        <v>0</v>
      </c>
      <c r="E1671" s="197">
        <v>0</v>
      </c>
      <c r="F1671" s="197">
        <v>0</v>
      </c>
      <c r="G1671" s="197">
        <v>176327</v>
      </c>
      <c r="H1671" s="197">
        <v>58600.600000000006</v>
      </c>
      <c r="I1671" s="197">
        <v>0</v>
      </c>
      <c r="J1671" s="197">
        <v>234927.59999999998</v>
      </c>
      <c r="K1671" s="197">
        <v>234927.59999999998</v>
      </c>
      <c r="L1671" s="197">
        <v>61087.666666666664</v>
      </c>
      <c r="M1671" s="197">
        <v>414.66666666666652</v>
      </c>
      <c r="N1671" s="197">
        <v>0</v>
      </c>
      <c r="O1671" s="197">
        <v>0</v>
      </c>
      <c r="P1671" s="197">
        <v>-83.800000000046566</v>
      </c>
      <c r="Q1671" s="197">
        <v>-3.5657844683301132E-4</v>
      </c>
      <c r="R1671" s="260" t="s">
        <v>239</v>
      </c>
      <c r="S1671" s="260" t="s">
        <v>514</v>
      </c>
      <c r="T1671" s="260" t="s">
        <v>239</v>
      </c>
      <c r="U1671" s="260" t="s">
        <v>514</v>
      </c>
    </row>
    <row r="1672" spans="1:21" ht="14.5" x14ac:dyDescent="0.35">
      <c r="A1672" s="260" t="s">
        <v>649</v>
      </c>
      <c r="B1672" s="190">
        <v>45863</v>
      </c>
      <c r="C1672" s="197">
        <v>234927.59999999998</v>
      </c>
      <c r="D1672" s="197">
        <v>0</v>
      </c>
      <c r="E1672" s="197">
        <v>0</v>
      </c>
      <c r="F1672" s="197">
        <v>0</v>
      </c>
      <c r="G1672" s="197">
        <v>176327</v>
      </c>
      <c r="H1672" s="197">
        <v>58516</v>
      </c>
      <c r="I1672" s="197">
        <v>0</v>
      </c>
      <c r="J1672" s="197">
        <v>234843</v>
      </c>
      <c r="K1672" s="197">
        <v>234843</v>
      </c>
      <c r="L1672" s="197">
        <v>61087.666666666664</v>
      </c>
      <c r="M1672" s="197">
        <v>414.66666666666652</v>
      </c>
      <c r="N1672" s="197">
        <v>0</v>
      </c>
      <c r="O1672" s="197">
        <v>0</v>
      </c>
      <c r="P1672" s="197">
        <v>-84.599999999976717</v>
      </c>
      <c r="Q1672" s="197">
        <v>-3.6011094481869232E-4</v>
      </c>
      <c r="R1672" s="260" t="s">
        <v>239</v>
      </c>
      <c r="S1672" s="260" t="s">
        <v>514</v>
      </c>
      <c r="T1672" s="260" t="s">
        <v>239</v>
      </c>
      <c r="U1672" s="260" t="s">
        <v>514</v>
      </c>
    </row>
    <row r="1673" spans="1:21" ht="14.5" x14ac:dyDescent="0.35">
      <c r="A1673" s="260" t="s">
        <v>649</v>
      </c>
      <c r="B1673" s="190">
        <v>45864</v>
      </c>
      <c r="C1673" s="197">
        <v>234843</v>
      </c>
      <c r="D1673" s="197">
        <v>0</v>
      </c>
      <c r="E1673" s="197">
        <v>0</v>
      </c>
      <c r="F1673" s="197">
        <v>0</v>
      </c>
      <c r="G1673" s="197">
        <v>176327</v>
      </c>
      <c r="H1673" s="197">
        <v>58516</v>
      </c>
      <c r="I1673" s="197">
        <v>0</v>
      </c>
      <c r="J1673" s="197">
        <v>234843</v>
      </c>
      <c r="K1673" s="197">
        <v>234843</v>
      </c>
      <c r="L1673" s="197">
        <v>61087.666666666664</v>
      </c>
      <c r="M1673" s="197">
        <v>414.66666666666652</v>
      </c>
      <c r="N1673" s="197">
        <v>0</v>
      </c>
      <c r="O1673" s="197">
        <v>0</v>
      </c>
      <c r="P1673" s="197">
        <v>0</v>
      </c>
      <c r="Q1673" s="197">
        <v>0</v>
      </c>
      <c r="R1673" s="260" t="s">
        <v>239</v>
      </c>
      <c r="S1673" s="260" t="s">
        <v>514</v>
      </c>
      <c r="T1673" s="260" t="s">
        <v>239</v>
      </c>
      <c r="U1673" s="260" t="s">
        <v>514</v>
      </c>
    </row>
    <row r="1674" spans="1:21" ht="14.5" x14ac:dyDescent="0.35">
      <c r="A1674" s="260" t="s">
        <v>649</v>
      </c>
      <c r="B1674" s="190">
        <v>45865</v>
      </c>
      <c r="C1674" s="197">
        <v>234843</v>
      </c>
      <c r="D1674" s="197">
        <v>0</v>
      </c>
      <c r="E1674" s="197">
        <v>0</v>
      </c>
      <c r="F1674" s="197">
        <v>0</v>
      </c>
      <c r="G1674" s="197">
        <v>176327</v>
      </c>
      <c r="H1674" s="197">
        <v>58516</v>
      </c>
      <c r="I1674" s="197">
        <v>0</v>
      </c>
      <c r="J1674" s="197">
        <v>234843</v>
      </c>
      <c r="K1674" s="197">
        <v>234843</v>
      </c>
      <c r="L1674" s="197">
        <v>61087.666666666664</v>
      </c>
      <c r="M1674" s="197">
        <v>414.66666666666652</v>
      </c>
      <c r="N1674" s="197">
        <v>0</v>
      </c>
      <c r="O1674" s="197">
        <v>0</v>
      </c>
      <c r="P1674" s="197">
        <v>0</v>
      </c>
      <c r="Q1674" s="197">
        <v>0</v>
      </c>
      <c r="R1674" s="260" t="s">
        <v>239</v>
      </c>
      <c r="S1674" s="260" t="s">
        <v>514</v>
      </c>
      <c r="T1674" s="260" t="s">
        <v>239</v>
      </c>
      <c r="U1674" s="260" t="s">
        <v>514</v>
      </c>
    </row>
    <row r="1675" spans="1:21" ht="14.5" x14ac:dyDescent="0.35">
      <c r="A1675" s="260" t="s">
        <v>649</v>
      </c>
      <c r="B1675" s="190">
        <v>45866</v>
      </c>
      <c r="C1675" s="197">
        <v>234843</v>
      </c>
      <c r="D1675" s="197">
        <v>0</v>
      </c>
      <c r="E1675" s="197">
        <v>0</v>
      </c>
      <c r="F1675" s="197">
        <v>0</v>
      </c>
      <c r="G1675" s="197">
        <v>176327</v>
      </c>
      <c r="H1675" s="197">
        <v>58263</v>
      </c>
      <c r="I1675" s="197">
        <v>0</v>
      </c>
      <c r="J1675" s="197">
        <v>234590</v>
      </c>
      <c r="K1675" s="197">
        <v>234590</v>
      </c>
      <c r="L1675" s="197">
        <v>61087.666666666664</v>
      </c>
      <c r="M1675" s="197">
        <v>414.66666666666652</v>
      </c>
      <c r="N1675" s="197">
        <v>0</v>
      </c>
      <c r="O1675" s="197">
        <v>0</v>
      </c>
      <c r="P1675" s="197">
        <v>-253</v>
      </c>
      <c r="Q1675" s="197">
        <v>-1.0773154831099641E-3</v>
      </c>
      <c r="R1675" s="260" t="s">
        <v>239</v>
      </c>
      <c r="S1675" s="260" t="s">
        <v>514</v>
      </c>
      <c r="T1675" s="260" t="s">
        <v>239</v>
      </c>
      <c r="U1675" s="260" t="s">
        <v>514</v>
      </c>
    </row>
    <row r="1676" spans="1:21" ht="14.5" x14ac:dyDescent="0.35">
      <c r="A1676" s="260" t="s">
        <v>649</v>
      </c>
      <c r="B1676" s="190">
        <v>45867</v>
      </c>
      <c r="C1676" s="197">
        <v>234590</v>
      </c>
      <c r="D1676" s="197">
        <v>0</v>
      </c>
      <c r="E1676" s="197">
        <v>0</v>
      </c>
      <c r="F1676" s="197">
        <v>0</v>
      </c>
      <c r="G1676" s="197">
        <v>176327</v>
      </c>
      <c r="H1676" s="197">
        <v>58178.399999999994</v>
      </c>
      <c r="I1676" s="197">
        <v>0</v>
      </c>
      <c r="J1676" s="197">
        <v>234505.40000000002</v>
      </c>
      <c r="K1676" s="197">
        <v>234505.40000000002</v>
      </c>
      <c r="L1676" s="197">
        <v>61087.666666666664</v>
      </c>
      <c r="M1676" s="197">
        <v>414.66666666666652</v>
      </c>
      <c r="N1676" s="197">
        <v>0</v>
      </c>
      <c r="O1676" s="197">
        <v>0</v>
      </c>
      <c r="P1676" s="197">
        <v>-84.599999999976717</v>
      </c>
      <c r="Q1676" s="197">
        <v>-3.6062918282953049E-4</v>
      </c>
      <c r="R1676" s="260" t="s">
        <v>239</v>
      </c>
      <c r="S1676" s="260" t="s">
        <v>514</v>
      </c>
      <c r="T1676" s="260" t="s">
        <v>239</v>
      </c>
      <c r="U1676" s="260" t="s">
        <v>514</v>
      </c>
    </row>
    <row r="1677" spans="1:21" ht="14.5" x14ac:dyDescent="0.35">
      <c r="A1677" s="260" t="s">
        <v>649</v>
      </c>
      <c r="B1677" s="190">
        <v>45868</v>
      </c>
      <c r="C1677" s="197">
        <v>234505.40000000002</v>
      </c>
      <c r="D1677" s="197">
        <v>0</v>
      </c>
      <c r="E1677" s="197">
        <v>0</v>
      </c>
      <c r="F1677" s="197">
        <v>0</v>
      </c>
      <c r="G1677" s="197">
        <v>176327</v>
      </c>
      <c r="H1677" s="197">
        <v>58094.6</v>
      </c>
      <c r="I1677" s="197">
        <v>0</v>
      </c>
      <c r="J1677" s="197">
        <v>234421.59999999998</v>
      </c>
      <c r="K1677" s="197">
        <v>234421.59999999998</v>
      </c>
      <c r="L1677" s="197">
        <v>61087.666666666664</v>
      </c>
      <c r="M1677" s="197">
        <v>414.66666666666652</v>
      </c>
      <c r="N1677" s="197">
        <v>0</v>
      </c>
      <c r="O1677" s="197">
        <v>0</v>
      </c>
      <c r="P1677" s="197">
        <v>-83.800000000046566</v>
      </c>
      <c r="Q1677" s="197">
        <v>-3.5734784785357299E-4</v>
      </c>
      <c r="R1677" s="260" t="s">
        <v>239</v>
      </c>
      <c r="S1677" s="260" t="s">
        <v>514</v>
      </c>
      <c r="T1677" s="260" t="s">
        <v>239</v>
      </c>
      <c r="U1677" s="260" t="s">
        <v>514</v>
      </c>
    </row>
    <row r="1678" spans="1:21" ht="14.5" x14ac:dyDescent="0.35">
      <c r="A1678" s="260" t="s">
        <v>649</v>
      </c>
      <c r="B1678" s="190">
        <v>45869</v>
      </c>
      <c r="C1678" s="197">
        <v>234421.59999999998</v>
      </c>
      <c r="D1678" s="197">
        <v>0</v>
      </c>
      <c r="E1678" s="197">
        <v>0</v>
      </c>
      <c r="F1678" s="197">
        <v>0</v>
      </c>
      <c r="G1678" s="197">
        <v>176327</v>
      </c>
      <c r="H1678" s="197">
        <v>58010</v>
      </c>
      <c r="I1678" s="197">
        <v>0</v>
      </c>
      <c r="J1678" s="197">
        <v>234337</v>
      </c>
      <c r="K1678" s="197">
        <v>234337</v>
      </c>
      <c r="L1678" s="197">
        <v>61087.666666666664</v>
      </c>
      <c r="M1678" s="197">
        <v>414.66666666666652</v>
      </c>
      <c r="N1678" s="197">
        <v>0</v>
      </c>
      <c r="O1678" s="197">
        <v>0</v>
      </c>
      <c r="P1678" s="197">
        <v>-84.599999999976717</v>
      </c>
      <c r="Q1678" s="197">
        <v>-3.6088824579294521E-4</v>
      </c>
      <c r="R1678" s="260" t="s">
        <v>239</v>
      </c>
      <c r="S1678" s="260" t="s">
        <v>514</v>
      </c>
      <c r="T1678" s="260" t="s">
        <v>239</v>
      </c>
      <c r="U1678" s="260" t="s">
        <v>514</v>
      </c>
    </row>
    <row r="1679" spans="1:21" ht="14.5" x14ac:dyDescent="0.35">
      <c r="A1679" s="260" t="s">
        <v>649</v>
      </c>
      <c r="B1679" s="190">
        <v>45870</v>
      </c>
      <c r="C1679" s="197">
        <v>234337</v>
      </c>
      <c r="D1679" s="197">
        <v>0</v>
      </c>
      <c r="E1679" s="197">
        <v>0</v>
      </c>
      <c r="F1679" s="197">
        <v>0</v>
      </c>
      <c r="G1679" s="197">
        <v>176327</v>
      </c>
      <c r="H1679" s="197">
        <v>58010</v>
      </c>
      <c r="I1679" s="197">
        <v>0</v>
      </c>
      <c r="J1679" s="197">
        <v>234337</v>
      </c>
      <c r="K1679" s="197">
        <v>234337</v>
      </c>
      <c r="L1679" s="197">
        <v>61087.666666666664</v>
      </c>
      <c r="M1679" s="197">
        <v>414.66666666666652</v>
      </c>
      <c r="N1679" s="197">
        <v>0</v>
      </c>
      <c r="O1679" s="197">
        <v>0</v>
      </c>
      <c r="P1679" s="197">
        <v>0</v>
      </c>
      <c r="Q1679" s="197">
        <v>0</v>
      </c>
      <c r="R1679" s="260" t="s">
        <v>239</v>
      </c>
      <c r="S1679" s="260" t="s">
        <v>514</v>
      </c>
      <c r="T1679" s="260" t="s">
        <v>239</v>
      </c>
      <c r="U1679" s="260" t="s">
        <v>514</v>
      </c>
    </row>
    <row r="1680" spans="1:21" ht="14.5" x14ac:dyDescent="0.35">
      <c r="A1680" s="260" t="s">
        <v>649</v>
      </c>
      <c r="B1680" s="190">
        <v>45871</v>
      </c>
      <c r="C1680" s="197">
        <v>234337</v>
      </c>
      <c r="D1680" s="197">
        <v>0</v>
      </c>
      <c r="E1680" s="197">
        <v>0</v>
      </c>
      <c r="F1680" s="197">
        <v>0</v>
      </c>
      <c r="G1680" s="197">
        <v>176327</v>
      </c>
      <c r="H1680" s="197">
        <v>58010</v>
      </c>
      <c r="I1680" s="197">
        <v>0</v>
      </c>
      <c r="J1680" s="197">
        <v>234337</v>
      </c>
      <c r="K1680" s="197">
        <v>234337</v>
      </c>
      <c r="L1680" s="197">
        <v>61087.666666666664</v>
      </c>
      <c r="M1680" s="197">
        <v>414.66666666666652</v>
      </c>
      <c r="N1680" s="197">
        <v>0</v>
      </c>
      <c r="O1680" s="197">
        <v>0</v>
      </c>
      <c r="P1680" s="197">
        <v>0</v>
      </c>
      <c r="Q1680" s="197">
        <v>0</v>
      </c>
      <c r="R1680" s="260" t="s">
        <v>239</v>
      </c>
      <c r="S1680" s="260" t="s">
        <v>514</v>
      </c>
      <c r="T1680" s="260" t="s">
        <v>239</v>
      </c>
      <c r="U1680" s="260" t="s">
        <v>514</v>
      </c>
    </row>
    <row r="1681" spans="1:21" ht="14.5" x14ac:dyDescent="0.35">
      <c r="A1681" s="260" t="s">
        <v>649</v>
      </c>
      <c r="B1681" s="190">
        <v>45872</v>
      </c>
      <c r="C1681" s="197">
        <v>234337</v>
      </c>
      <c r="D1681" s="197">
        <v>0</v>
      </c>
      <c r="E1681" s="197">
        <v>0</v>
      </c>
      <c r="F1681" s="197">
        <v>0</v>
      </c>
      <c r="G1681" s="197">
        <v>176327</v>
      </c>
      <c r="H1681" s="197">
        <v>58010</v>
      </c>
      <c r="I1681" s="197">
        <v>0</v>
      </c>
      <c r="J1681" s="197">
        <v>234337</v>
      </c>
      <c r="K1681" s="197">
        <v>234337</v>
      </c>
      <c r="L1681" s="197">
        <v>61087.666666666664</v>
      </c>
      <c r="M1681" s="197">
        <v>414.66666666666652</v>
      </c>
      <c r="N1681" s="197">
        <v>0</v>
      </c>
      <c r="O1681" s="197">
        <v>0</v>
      </c>
      <c r="P1681" s="197">
        <v>0</v>
      </c>
      <c r="Q1681" s="197">
        <v>0</v>
      </c>
      <c r="R1681" s="260" t="s">
        <v>239</v>
      </c>
      <c r="S1681" s="260" t="s">
        <v>514</v>
      </c>
      <c r="T1681" s="260" t="s">
        <v>239</v>
      </c>
      <c r="U1681" s="260" t="s">
        <v>514</v>
      </c>
    </row>
    <row r="1682" spans="1:21" ht="14.5" x14ac:dyDescent="0.35">
      <c r="A1682" s="260" t="s">
        <v>649</v>
      </c>
      <c r="B1682" s="190">
        <v>45873</v>
      </c>
      <c r="C1682" s="197">
        <v>234337</v>
      </c>
      <c r="D1682" s="197">
        <v>0</v>
      </c>
      <c r="E1682" s="197">
        <v>0</v>
      </c>
      <c r="F1682" s="197">
        <v>0</v>
      </c>
      <c r="G1682" s="197">
        <v>176327</v>
      </c>
      <c r="H1682" s="197">
        <v>58196</v>
      </c>
      <c r="I1682" s="197">
        <v>0</v>
      </c>
      <c r="J1682" s="197">
        <v>234523</v>
      </c>
      <c r="K1682" s="197">
        <v>234523</v>
      </c>
      <c r="L1682" s="197">
        <v>61087.666666666664</v>
      </c>
      <c r="M1682" s="197">
        <v>414.66666666666652</v>
      </c>
      <c r="N1682" s="197">
        <v>0</v>
      </c>
      <c r="O1682" s="197">
        <v>0</v>
      </c>
      <c r="P1682" s="197">
        <v>186</v>
      </c>
      <c r="Q1682" s="197">
        <v>7.9372868987825917E-4</v>
      </c>
      <c r="R1682" s="260" t="s">
        <v>239</v>
      </c>
      <c r="S1682" s="260" t="s">
        <v>514</v>
      </c>
      <c r="T1682" s="260" t="s">
        <v>239</v>
      </c>
      <c r="U1682" s="260" t="s">
        <v>514</v>
      </c>
    </row>
    <row r="1683" spans="1:21" ht="14.5" x14ac:dyDescent="0.35">
      <c r="A1683" s="260" t="s">
        <v>649</v>
      </c>
      <c r="B1683" s="190">
        <v>45874</v>
      </c>
      <c r="C1683" s="197">
        <v>234523</v>
      </c>
      <c r="D1683" s="197">
        <v>0</v>
      </c>
      <c r="E1683" s="197">
        <v>0</v>
      </c>
      <c r="F1683" s="197">
        <v>0</v>
      </c>
      <c r="G1683" s="197">
        <v>176327</v>
      </c>
      <c r="H1683" s="197">
        <v>58258.5</v>
      </c>
      <c r="I1683" s="197">
        <v>0</v>
      </c>
      <c r="J1683" s="197">
        <v>234585.5</v>
      </c>
      <c r="K1683" s="197">
        <v>234585.5</v>
      </c>
      <c r="L1683" s="197">
        <v>61087.666666666664</v>
      </c>
      <c r="M1683" s="197">
        <v>414.66666666666652</v>
      </c>
      <c r="N1683" s="197">
        <v>0</v>
      </c>
      <c r="O1683" s="197">
        <v>0</v>
      </c>
      <c r="P1683" s="197">
        <v>62.5</v>
      </c>
      <c r="Q1683" s="197">
        <v>2.6649838182191132E-4</v>
      </c>
      <c r="R1683" s="260" t="s">
        <v>239</v>
      </c>
      <c r="S1683" s="260" t="s">
        <v>514</v>
      </c>
      <c r="T1683" s="260" t="s">
        <v>239</v>
      </c>
      <c r="U1683" s="260" t="s">
        <v>514</v>
      </c>
    </row>
    <row r="1684" spans="1:21" ht="14.5" x14ac:dyDescent="0.35">
      <c r="A1684" s="260" t="s">
        <v>649</v>
      </c>
      <c r="B1684" s="190">
        <v>45875</v>
      </c>
      <c r="C1684" s="197">
        <v>234585.5</v>
      </c>
      <c r="D1684" s="197">
        <v>0</v>
      </c>
      <c r="E1684" s="197">
        <v>0</v>
      </c>
      <c r="F1684" s="197">
        <v>0</v>
      </c>
      <c r="G1684" s="197">
        <v>176327</v>
      </c>
      <c r="H1684" s="197">
        <v>58319.5</v>
      </c>
      <c r="I1684" s="197">
        <v>0</v>
      </c>
      <c r="J1684" s="197">
        <v>234646.5</v>
      </c>
      <c r="K1684" s="197">
        <v>234646.5</v>
      </c>
      <c r="L1684" s="197">
        <v>61087.666666666664</v>
      </c>
      <c r="M1684" s="197">
        <v>414.66666666666652</v>
      </c>
      <c r="N1684" s="197">
        <v>0</v>
      </c>
      <c r="O1684" s="197">
        <v>0</v>
      </c>
      <c r="P1684" s="197">
        <v>61</v>
      </c>
      <c r="Q1684" s="197">
        <v>2.6003312225175712E-4</v>
      </c>
      <c r="R1684" s="260" t="s">
        <v>239</v>
      </c>
      <c r="S1684" s="260" t="s">
        <v>514</v>
      </c>
      <c r="T1684" s="260" t="s">
        <v>239</v>
      </c>
      <c r="U1684" s="260" t="s">
        <v>514</v>
      </c>
    </row>
    <row r="1685" spans="1:21" ht="14.5" x14ac:dyDescent="0.35">
      <c r="A1685" s="260" t="s">
        <v>649</v>
      </c>
      <c r="B1685" s="190">
        <v>45876</v>
      </c>
      <c r="C1685" s="197">
        <v>234646.5</v>
      </c>
      <c r="D1685" s="197">
        <v>0</v>
      </c>
      <c r="E1685" s="197">
        <v>0</v>
      </c>
      <c r="F1685" s="197">
        <v>0</v>
      </c>
      <c r="G1685" s="197">
        <v>176327</v>
      </c>
      <c r="H1685" s="197">
        <v>58382</v>
      </c>
      <c r="I1685" s="197">
        <v>0</v>
      </c>
      <c r="J1685" s="197">
        <v>234709</v>
      </c>
      <c r="K1685" s="197">
        <v>234709</v>
      </c>
      <c r="L1685" s="197">
        <v>61087.666666666664</v>
      </c>
      <c r="M1685" s="197">
        <v>414.66666666666652</v>
      </c>
      <c r="N1685" s="197">
        <v>0</v>
      </c>
      <c r="O1685" s="197">
        <v>0</v>
      </c>
      <c r="P1685" s="197">
        <v>62.5</v>
      </c>
      <c r="Q1685" s="197">
        <v>2.663581174233709E-4</v>
      </c>
      <c r="R1685" s="260" t="s">
        <v>239</v>
      </c>
      <c r="S1685" s="260" t="s">
        <v>514</v>
      </c>
      <c r="T1685" s="260" t="s">
        <v>239</v>
      </c>
      <c r="U1685" s="260" t="s">
        <v>514</v>
      </c>
    </row>
    <row r="1686" spans="1:21" ht="14.5" x14ac:dyDescent="0.35">
      <c r="A1686" s="260" t="s">
        <v>649</v>
      </c>
      <c r="B1686" s="190">
        <v>45877</v>
      </c>
      <c r="C1686" s="197">
        <v>234709</v>
      </c>
      <c r="D1686" s="197">
        <v>0</v>
      </c>
      <c r="E1686" s="197">
        <v>0</v>
      </c>
      <c r="F1686" s="197">
        <v>0</v>
      </c>
      <c r="G1686" s="197">
        <v>176327</v>
      </c>
      <c r="H1686" s="197">
        <v>58444.5</v>
      </c>
      <c r="I1686" s="197">
        <v>0</v>
      </c>
      <c r="J1686" s="197">
        <v>234771.5</v>
      </c>
      <c r="K1686" s="197">
        <v>234771.5</v>
      </c>
      <c r="L1686" s="197">
        <v>61087.666666666664</v>
      </c>
      <c r="M1686" s="197">
        <v>414.66666666666652</v>
      </c>
      <c r="N1686" s="197">
        <v>0</v>
      </c>
      <c r="O1686" s="197">
        <v>0</v>
      </c>
      <c r="P1686" s="197">
        <v>62.5</v>
      </c>
      <c r="Q1686" s="197">
        <v>2.6628718966881237E-4</v>
      </c>
      <c r="R1686" s="260" t="s">
        <v>239</v>
      </c>
      <c r="S1686" s="260" t="s">
        <v>514</v>
      </c>
      <c r="T1686" s="260" t="s">
        <v>239</v>
      </c>
      <c r="U1686" s="260" t="s">
        <v>514</v>
      </c>
    </row>
    <row r="1687" spans="1:21" ht="14.5" x14ac:dyDescent="0.35">
      <c r="A1687" s="260" t="s">
        <v>649</v>
      </c>
      <c r="B1687" s="190">
        <v>45878</v>
      </c>
      <c r="C1687" s="197">
        <v>234771.5</v>
      </c>
      <c r="D1687" s="197">
        <v>0</v>
      </c>
      <c r="E1687" s="197">
        <v>0</v>
      </c>
      <c r="F1687" s="197">
        <v>0</v>
      </c>
      <c r="G1687" s="197">
        <v>176327</v>
      </c>
      <c r="H1687" s="197">
        <v>58444.5</v>
      </c>
      <c r="I1687" s="197">
        <v>0</v>
      </c>
      <c r="J1687" s="197">
        <v>234771.5</v>
      </c>
      <c r="K1687" s="197">
        <v>234771.5</v>
      </c>
      <c r="L1687" s="197">
        <v>61087.666666666664</v>
      </c>
      <c r="M1687" s="197">
        <v>414.66666666666652</v>
      </c>
      <c r="N1687" s="197">
        <v>0</v>
      </c>
      <c r="O1687" s="197">
        <v>0</v>
      </c>
      <c r="P1687" s="197">
        <v>0</v>
      </c>
      <c r="Q1687" s="197">
        <v>0</v>
      </c>
      <c r="R1687" s="260" t="s">
        <v>239</v>
      </c>
      <c r="S1687" s="260" t="s">
        <v>514</v>
      </c>
      <c r="T1687" s="260" t="s">
        <v>239</v>
      </c>
      <c r="U1687" s="260" t="s">
        <v>514</v>
      </c>
    </row>
    <row r="1688" spans="1:21" ht="14.5" x14ac:dyDescent="0.35">
      <c r="A1688" s="260" t="s">
        <v>649</v>
      </c>
      <c r="B1688" s="190">
        <v>45879</v>
      </c>
      <c r="C1688" s="197">
        <v>234771.5</v>
      </c>
      <c r="D1688" s="197">
        <v>0</v>
      </c>
      <c r="E1688" s="197">
        <v>0</v>
      </c>
      <c r="F1688" s="197">
        <v>0</v>
      </c>
      <c r="G1688" s="197">
        <v>176327</v>
      </c>
      <c r="H1688" s="197">
        <v>58444.5</v>
      </c>
      <c r="I1688" s="197">
        <v>0</v>
      </c>
      <c r="J1688" s="197">
        <v>234771.5</v>
      </c>
      <c r="K1688" s="197">
        <v>234771.5</v>
      </c>
      <c r="L1688" s="197">
        <v>61087.666666666664</v>
      </c>
      <c r="M1688" s="197">
        <v>414.66666666666652</v>
      </c>
      <c r="N1688" s="197">
        <v>0</v>
      </c>
      <c r="O1688" s="197">
        <v>0</v>
      </c>
      <c r="P1688" s="197">
        <v>0</v>
      </c>
      <c r="Q1688" s="197">
        <v>0</v>
      </c>
      <c r="R1688" s="260" t="s">
        <v>239</v>
      </c>
      <c r="S1688" s="260" t="s">
        <v>514</v>
      </c>
      <c r="T1688" s="260" t="s">
        <v>239</v>
      </c>
      <c r="U1688" s="260" t="s">
        <v>514</v>
      </c>
    </row>
    <row r="1689" spans="1:21" ht="14.5" x14ac:dyDescent="0.35">
      <c r="A1689" s="260" t="s">
        <v>649</v>
      </c>
      <c r="B1689" s="190">
        <v>45880</v>
      </c>
      <c r="C1689" s="197">
        <v>234771.5</v>
      </c>
      <c r="D1689" s="197">
        <v>0</v>
      </c>
      <c r="E1689" s="197">
        <v>0</v>
      </c>
      <c r="F1689" s="197">
        <v>0</v>
      </c>
      <c r="G1689" s="197">
        <v>176327</v>
      </c>
      <c r="H1689" s="197">
        <v>58630.5</v>
      </c>
      <c r="I1689" s="197">
        <v>0</v>
      </c>
      <c r="J1689" s="197">
        <v>234957.5</v>
      </c>
      <c r="K1689" s="197">
        <v>234957.5</v>
      </c>
      <c r="L1689" s="197">
        <v>61087.666666666664</v>
      </c>
      <c r="M1689" s="197">
        <v>414.66666666666652</v>
      </c>
      <c r="N1689" s="197">
        <v>0</v>
      </c>
      <c r="O1689" s="197">
        <v>0</v>
      </c>
      <c r="P1689" s="197">
        <v>186</v>
      </c>
      <c r="Q1689" s="197">
        <v>7.9225970784357891E-4</v>
      </c>
      <c r="R1689" s="260" t="s">
        <v>239</v>
      </c>
      <c r="S1689" s="260" t="s">
        <v>514</v>
      </c>
      <c r="T1689" s="260" t="s">
        <v>239</v>
      </c>
      <c r="U1689" s="260" t="s">
        <v>514</v>
      </c>
    </row>
    <row r="1690" spans="1:21" ht="14.5" x14ac:dyDescent="0.35">
      <c r="A1690" s="260" t="s">
        <v>649</v>
      </c>
      <c r="B1690" s="190">
        <v>45881</v>
      </c>
      <c r="C1690" s="197">
        <v>234957.5</v>
      </c>
      <c r="D1690" s="197">
        <v>0</v>
      </c>
      <c r="E1690" s="197">
        <v>0</v>
      </c>
      <c r="F1690" s="197">
        <v>0</v>
      </c>
      <c r="G1690" s="197">
        <v>176327</v>
      </c>
      <c r="H1690" s="197">
        <v>58691.5</v>
      </c>
      <c r="I1690" s="197">
        <v>0</v>
      </c>
      <c r="J1690" s="197">
        <v>235018.5</v>
      </c>
      <c r="K1690" s="197">
        <v>235018.5</v>
      </c>
      <c r="L1690" s="197">
        <v>61087.666666666664</v>
      </c>
      <c r="M1690" s="197">
        <v>414.66666666666652</v>
      </c>
      <c r="N1690" s="197">
        <v>0</v>
      </c>
      <c r="O1690" s="197">
        <v>0</v>
      </c>
      <c r="P1690" s="197">
        <v>61</v>
      </c>
      <c r="Q1690" s="197">
        <v>2.5962142089519524E-4</v>
      </c>
      <c r="R1690" s="260" t="s">
        <v>239</v>
      </c>
      <c r="S1690" s="260" t="s">
        <v>514</v>
      </c>
      <c r="T1690" s="260" t="s">
        <v>239</v>
      </c>
      <c r="U1690" s="260" t="s">
        <v>514</v>
      </c>
    </row>
    <row r="1691" spans="1:21" ht="14.5" x14ac:dyDescent="0.35">
      <c r="A1691" s="260" t="s">
        <v>649</v>
      </c>
      <c r="B1691" s="190">
        <v>45882</v>
      </c>
      <c r="C1691" s="197">
        <v>235018.5</v>
      </c>
      <c r="D1691" s="197">
        <v>0</v>
      </c>
      <c r="E1691" s="197">
        <v>0</v>
      </c>
      <c r="F1691" s="197">
        <v>0</v>
      </c>
      <c r="G1691" s="197">
        <v>176327</v>
      </c>
      <c r="H1691" s="197">
        <v>58754</v>
      </c>
      <c r="I1691" s="197">
        <v>0</v>
      </c>
      <c r="J1691" s="197">
        <v>235081</v>
      </c>
      <c r="K1691" s="197">
        <v>235081</v>
      </c>
      <c r="L1691" s="197">
        <v>61087.666666666664</v>
      </c>
      <c r="M1691" s="197">
        <v>414.66666666666652</v>
      </c>
      <c r="N1691" s="197">
        <v>0</v>
      </c>
      <c r="O1691" s="197">
        <v>0</v>
      </c>
      <c r="P1691" s="197">
        <v>62.5</v>
      </c>
      <c r="Q1691" s="197">
        <v>2.6593651138107077E-4</v>
      </c>
      <c r="R1691" s="260" t="s">
        <v>239</v>
      </c>
      <c r="S1691" s="260" t="s">
        <v>514</v>
      </c>
      <c r="T1691" s="260" t="s">
        <v>239</v>
      </c>
      <c r="U1691" s="260" t="s">
        <v>514</v>
      </c>
    </row>
    <row r="1692" spans="1:21" ht="14.5" x14ac:dyDescent="0.35">
      <c r="A1692" s="260" t="s">
        <v>649</v>
      </c>
      <c r="B1692" s="190">
        <v>45883</v>
      </c>
      <c r="C1692" s="197">
        <v>235081</v>
      </c>
      <c r="D1692" s="197">
        <v>0</v>
      </c>
      <c r="E1692" s="197">
        <v>0</v>
      </c>
      <c r="F1692" s="197">
        <v>0</v>
      </c>
      <c r="G1692" s="197">
        <v>176327</v>
      </c>
      <c r="H1692" s="197">
        <v>58816.5</v>
      </c>
      <c r="I1692" s="197">
        <v>0</v>
      </c>
      <c r="J1692" s="197">
        <v>235143.5</v>
      </c>
      <c r="K1692" s="197">
        <v>235143.5</v>
      </c>
      <c r="L1692" s="197">
        <v>61087.666666666664</v>
      </c>
      <c r="M1692" s="197">
        <v>414.66666666666652</v>
      </c>
      <c r="N1692" s="197">
        <v>0</v>
      </c>
      <c r="O1692" s="197">
        <v>0</v>
      </c>
      <c r="P1692" s="197">
        <v>62.5</v>
      </c>
      <c r="Q1692" s="197">
        <v>2.6586580795551207E-4</v>
      </c>
      <c r="R1692" s="260" t="s">
        <v>239</v>
      </c>
      <c r="S1692" s="260" t="s">
        <v>514</v>
      </c>
      <c r="T1692" s="260" t="s">
        <v>239</v>
      </c>
      <c r="U1692" s="260" t="s">
        <v>514</v>
      </c>
    </row>
    <row r="1693" spans="1:21" ht="14.5" x14ac:dyDescent="0.35">
      <c r="A1693" s="260" t="s">
        <v>649</v>
      </c>
      <c r="B1693" s="190">
        <v>45884</v>
      </c>
      <c r="C1693" s="197">
        <v>235143.5</v>
      </c>
      <c r="D1693" s="197">
        <v>0</v>
      </c>
      <c r="E1693" s="197">
        <v>0</v>
      </c>
      <c r="F1693" s="197">
        <v>0</v>
      </c>
      <c r="G1693" s="197">
        <v>176327</v>
      </c>
      <c r="H1693" s="197">
        <v>58877.5</v>
      </c>
      <c r="I1693" s="197">
        <v>0</v>
      </c>
      <c r="J1693" s="197">
        <v>235204.5</v>
      </c>
      <c r="K1693" s="197">
        <v>235204.5</v>
      </c>
      <c r="L1693" s="197">
        <v>61087.666666666664</v>
      </c>
      <c r="M1693" s="197">
        <v>414.66666666666652</v>
      </c>
      <c r="N1693" s="197">
        <v>0</v>
      </c>
      <c r="O1693" s="197">
        <v>0</v>
      </c>
      <c r="P1693" s="197">
        <v>61</v>
      </c>
      <c r="Q1693" s="197">
        <v>2.5941605870460904E-4</v>
      </c>
      <c r="R1693" s="260" t="s">
        <v>239</v>
      </c>
      <c r="S1693" s="260" t="s">
        <v>514</v>
      </c>
      <c r="T1693" s="260" t="s">
        <v>239</v>
      </c>
      <c r="U1693" s="260" t="s">
        <v>514</v>
      </c>
    </row>
    <row r="1694" spans="1:21" ht="14.5" x14ac:dyDescent="0.35">
      <c r="A1694" s="260" t="s">
        <v>649</v>
      </c>
      <c r="B1694" s="190">
        <v>45885</v>
      </c>
      <c r="C1694" s="197">
        <v>235204.5</v>
      </c>
      <c r="D1694" s="197">
        <v>0</v>
      </c>
      <c r="E1694" s="197">
        <v>0</v>
      </c>
      <c r="F1694" s="197">
        <v>0</v>
      </c>
      <c r="G1694" s="197">
        <v>176327</v>
      </c>
      <c r="H1694" s="197">
        <v>58877.5</v>
      </c>
      <c r="I1694" s="197">
        <v>0</v>
      </c>
      <c r="J1694" s="197">
        <v>235204.5</v>
      </c>
      <c r="K1694" s="197">
        <v>235204.5</v>
      </c>
      <c r="L1694" s="197">
        <v>61087.666666666664</v>
      </c>
      <c r="M1694" s="197">
        <v>414.66666666666652</v>
      </c>
      <c r="N1694" s="197">
        <v>0</v>
      </c>
      <c r="O1694" s="197">
        <v>0</v>
      </c>
      <c r="P1694" s="197">
        <v>0</v>
      </c>
      <c r="Q1694" s="197">
        <v>0</v>
      </c>
      <c r="R1694" s="260" t="s">
        <v>239</v>
      </c>
      <c r="S1694" s="260" t="s">
        <v>514</v>
      </c>
      <c r="T1694" s="260" t="s">
        <v>239</v>
      </c>
      <c r="U1694" s="260" t="s">
        <v>514</v>
      </c>
    </row>
    <row r="1695" spans="1:21" ht="14.5" x14ac:dyDescent="0.35">
      <c r="A1695" s="260" t="s">
        <v>649</v>
      </c>
      <c r="B1695" s="190">
        <v>45886</v>
      </c>
      <c r="C1695" s="197">
        <v>235204.5</v>
      </c>
      <c r="D1695" s="197">
        <v>0</v>
      </c>
      <c r="E1695" s="197">
        <v>0</v>
      </c>
      <c r="F1695" s="197">
        <v>0</v>
      </c>
      <c r="G1695" s="197">
        <v>176327</v>
      </c>
      <c r="H1695" s="197">
        <v>58877.5</v>
      </c>
      <c r="I1695" s="197">
        <v>0</v>
      </c>
      <c r="J1695" s="197">
        <v>235204.5</v>
      </c>
      <c r="K1695" s="197">
        <v>235204.5</v>
      </c>
      <c r="L1695" s="197">
        <v>61087.666666666664</v>
      </c>
      <c r="M1695" s="197">
        <v>414.66666666666652</v>
      </c>
      <c r="N1695" s="197">
        <v>0</v>
      </c>
      <c r="O1695" s="197">
        <v>0</v>
      </c>
      <c r="P1695" s="197">
        <v>0</v>
      </c>
      <c r="Q1695" s="197">
        <v>0</v>
      </c>
      <c r="R1695" s="260" t="s">
        <v>239</v>
      </c>
      <c r="S1695" s="260" t="s">
        <v>514</v>
      </c>
      <c r="T1695" s="260" t="s">
        <v>239</v>
      </c>
      <c r="U1695" s="260" t="s">
        <v>514</v>
      </c>
    </row>
    <row r="1696" spans="1:21" ht="14.5" x14ac:dyDescent="0.35">
      <c r="A1696" s="260" t="s">
        <v>649</v>
      </c>
      <c r="B1696" s="190">
        <v>45887</v>
      </c>
      <c r="C1696" s="197">
        <v>235204.5</v>
      </c>
      <c r="D1696" s="197">
        <v>0</v>
      </c>
      <c r="E1696" s="197">
        <v>0</v>
      </c>
      <c r="F1696" s="197">
        <v>0</v>
      </c>
      <c r="G1696" s="197">
        <v>176327</v>
      </c>
      <c r="H1696" s="197">
        <v>59063.5</v>
      </c>
      <c r="I1696" s="197">
        <v>0</v>
      </c>
      <c r="J1696" s="197">
        <v>235390.5</v>
      </c>
      <c r="K1696" s="197">
        <v>235390.5</v>
      </c>
      <c r="L1696" s="197">
        <v>61087.666666666664</v>
      </c>
      <c r="M1696" s="197">
        <v>414.66666666666652</v>
      </c>
      <c r="N1696" s="197">
        <v>0</v>
      </c>
      <c r="O1696" s="197">
        <v>0</v>
      </c>
      <c r="P1696" s="197">
        <v>186</v>
      </c>
      <c r="Q1696" s="197">
        <v>7.9080119640573265E-4</v>
      </c>
      <c r="R1696" s="260" t="s">
        <v>239</v>
      </c>
      <c r="S1696" s="260" t="s">
        <v>514</v>
      </c>
      <c r="T1696" s="260" t="s">
        <v>239</v>
      </c>
      <c r="U1696" s="260" t="s">
        <v>514</v>
      </c>
    </row>
    <row r="1697" spans="1:21" ht="14.5" x14ac:dyDescent="0.35">
      <c r="A1697" s="260" t="s">
        <v>649</v>
      </c>
      <c r="B1697" s="190">
        <v>45888</v>
      </c>
      <c r="C1697" s="197">
        <v>235390.5</v>
      </c>
      <c r="D1697" s="197">
        <v>0</v>
      </c>
      <c r="E1697" s="197">
        <v>0</v>
      </c>
      <c r="F1697" s="197">
        <v>0</v>
      </c>
      <c r="G1697" s="197">
        <v>176327</v>
      </c>
      <c r="H1697" s="197">
        <v>59126</v>
      </c>
      <c r="I1697" s="197">
        <v>0</v>
      </c>
      <c r="J1697" s="197">
        <v>235453</v>
      </c>
      <c r="K1697" s="197">
        <v>235453</v>
      </c>
      <c r="L1697" s="197">
        <v>61087.666666666664</v>
      </c>
      <c r="M1697" s="197">
        <v>414.66666666666652</v>
      </c>
      <c r="N1697" s="197">
        <v>0</v>
      </c>
      <c r="O1697" s="197">
        <v>0</v>
      </c>
      <c r="P1697" s="197">
        <v>62.5</v>
      </c>
      <c r="Q1697" s="197">
        <v>2.6551623791104539E-4</v>
      </c>
      <c r="R1697" s="260" t="s">
        <v>239</v>
      </c>
      <c r="S1697" s="260" t="s">
        <v>514</v>
      </c>
      <c r="T1697" s="260" t="s">
        <v>239</v>
      </c>
      <c r="U1697" s="260" t="s">
        <v>514</v>
      </c>
    </row>
    <row r="1698" spans="1:21" ht="14.5" x14ac:dyDescent="0.35">
      <c r="A1698" s="260" t="s">
        <v>649</v>
      </c>
      <c r="B1698" s="190">
        <v>45889</v>
      </c>
      <c r="C1698" s="197">
        <v>235453</v>
      </c>
      <c r="D1698" s="197">
        <v>0</v>
      </c>
      <c r="E1698" s="197">
        <v>0</v>
      </c>
      <c r="F1698" s="197">
        <v>0</v>
      </c>
      <c r="G1698" s="197">
        <v>176327</v>
      </c>
      <c r="H1698" s="197">
        <v>59188.5</v>
      </c>
      <c r="I1698" s="197">
        <v>0</v>
      </c>
      <c r="J1698" s="197">
        <v>235515.5</v>
      </c>
      <c r="K1698" s="197">
        <v>235515.5</v>
      </c>
      <c r="L1698" s="197">
        <v>61087.666666666664</v>
      </c>
      <c r="M1698" s="197">
        <v>414.66666666666652</v>
      </c>
      <c r="N1698" s="197">
        <v>0</v>
      </c>
      <c r="O1698" s="197">
        <v>0</v>
      </c>
      <c r="P1698" s="197">
        <v>62.5</v>
      </c>
      <c r="Q1698" s="197">
        <v>2.6544575775200308E-4</v>
      </c>
      <c r="R1698" s="260" t="s">
        <v>239</v>
      </c>
      <c r="S1698" s="260" t="s">
        <v>514</v>
      </c>
      <c r="T1698" s="260" t="s">
        <v>239</v>
      </c>
      <c r="U1698" s="260" t="s">
        <v>514</v>
      </c>
    </row>
    <row r="1699" spans="1:21" ht="14.5" x14ac:dyDescent="0.35">
      <c r="A1699" s="260" t="s">
        <v>649</v>
      </c>
      <c r="B1699" s="190">
        <v>45890</v>
      </c>
      <c r="C1699" s="197">
        <v>235515.5</v>
      </c>
      <c r="D1699" s="197">
        <v>0</v>
      </c>
      <c r="E1699" s="197">
        <v>0</v>
      </c>
      <c r="F1699" s="197">
        <v>0</v>
      </c>
      <c r="G1699" s="197">
        <v>176327</v>
      </c>
      <c r="H1699" s="197">
        <v>59249.5</v>
      </c>
      <c r="I1699" s="197">
        <v>0</v>
      </c>
      <c r="J1699" s="197">
        <v>235576.5</v>
      </c>
      <c r="K1699" s="197">
        <v>235576.5</v>
      </c>
      <c r="L1699" s="197">
        <v>61087.666666666664</v>
      </c>
      <c r="M1699" s="197">
        <v>414.66666666666652</v>
      </c>
      <c r="N1699" s="197">
        <v>0</v>
      </c>
      <c r="O1699" s="197">
        <v>0</v>
      </c>
      <c r="P1699" s="197">
        <v>61</v>
      </c>
      <c r="Q1699" s="197">
        <v>2.5900630744057906E-4</v>
      </c>
      <c r="R1699" s="260" t="s">
        <v>239</v>
      </c>
      <c r="S1699" s="260" t="s">
        <v>514</v>
      </c>
      <c r="T1699" s="260" t="s">
        <v>239</v>
      </c>
      <c r="U1699" s="260" t="s">
        <v>514</v>
      </c>
    </row>
    <row r="1700" spans="1:21" ht="14.5" x14ac:dyDescent="0.35">
      <c r="A1700" s="260" t="s">
        <v>649</v>
      </c>
      <c r="B1700" s="190">
        <v>45891</v>
      </c>
      <c r="C1700" s="197">
        <v>235576.5</v>
      </c>
      <c r="D1700" s="197">
        <v>0</v>
      </c>
      <c r="E1700" s="197">
        <v>0</v>
      </c>
      <c r="F1700" s="197">
        <v>0</v>
      </c>
      <c r="G1700" s="197">
        <v>176327</v>
      </c>
      <c r="H1700" s="197">
        <v>59312</v>
      </c>
      <c r="I1700" s="197">
        <v>0</v>
      </c>
      <c r="J1700" s="197">
        <v>235639</v>
      </c>
      <c r="K1700" s="197">
        <v>235639</v>
      </c>
      <c r="L1700" s="197">
        <v>61087.666666666664</v>
      </c>
      <c r="M1700" s="197">
        <v>414.66666666666652</v>
      </c>
      <c r="N1700" s="197">
        <v>0</v>
      </c>
      <c r="O1700" s="197">
        <v>0</v>
      </c>
      <c r="P1700" s="197">
        <v>62.5</v>
      </c>
      <c r="Q1700" s="197">
        <v>2.6530659891799147E-4</v>
      </c>
      <c r="R1700" s="260" t="s">
        <v>239</v>
      </c>
      <c r="S1700" s="260" t="s">
        <v>514</v>
      </c>
      <c r="T1700" s="260" t="s">
        <v>239</v>
      </c>
      <c r="U1700" s="260" t="s">
        <v>514</v>
      </c>
    </row>
    <row r="1701" spans="1:21" ht="14.5" x14ac:dyDescent="0.35">
      <c r="A1701" s="260" t="s">
        <v>649</v>
      </c>
      <c r="B1701" s="190">
        <v>45892</v>
      </c>
      <c r="C1701" s="197">
        <v>235639</v>
      </c>
      <c r="D1701" s="197">
        <v>0</v>
      </c>
      <c r="E1701" s="197">
        <v>0</v>
      </c>
      <c r="F1701" s="197">
        <v>0</v>
      </c>
      <c r="G1701" s="197">
        <v>176327</v>
      </c>
      <c r="H1701" s="197">
        <v>59312</v>
      </c>
      <c r="I1701" s="197">
        <v>0</v>
      </c>
      <c r="J1701" s="197">
        <v>235639</v>
      </c>
      <c r="K1701" s="197">
        <v>235639</v>
      </c>
      <c r="L1701" s="197">
        <v>61087.666666666664</v>
      </c>
      <c r="M1701" s="197">
        <v>414.66666666666652</v>
      </c>
      <c r="N1701" s="197">
        <v>0</v>
      </c>
      <c r="O1701" s="197">
        <v>0</v>
      </c>
      <c r="P1701" s="197">
        <v>0</v>
      </c>
      <c r="Q1701" s="197">
        <v>0</v>
      </c>
      <c r="R1701" s="260" t="s">
        <v>239</v>
      </c>
      <c r="S1701" s="260" t="s">
        <v>514</v>
      </c>
      <c r="T1701" s="260" t="s">
        <v>239</v>
      </c>
      <c r="U1701" s="260" t="s">
        <v>514</v>
      </c>
    </row>
    <row r="1702" spans="1:21" ht="14.5" x14ac:dyDescent="0.35">
      <c r="A1702" s="260" t="s">
        <v>649</v>
      </c>
      <c r="B1702" s="190">
        <v>45893</v>
      </c>
      <c r="C1702" s="197">
        <v>235639</v>
      </c>
      <c r="D1702" s="197">
        <v>0</v>
      </c>
      <c r="E1702" s="197">
        <v>0</v>
      </c>
      <c r="F1702" s="197">
        <v>0</v>
      </c>
      <c r="G1702" s="197">
        <v>176327</v>
      </c>
      <c r="H1702" s="197">
        <v>59312</v>
      </c>
      <c r="I1702" s="197">
        <v>0</v>
      </c>
      <c r="J1702" s="197">
        <v>235639</v>
      </c>
      <c r="K1702" s="197">
        <v>235639</v>
      </c>
      <c r="L1702" s="197">
        <v>61087.666666666664</v>
      </c>
      <c r="M1702" s="197">
        <v>414.66666666666652</v>
      </c>
      <c r="N1702" s="197">
        <v>0</v>
      </c>
      <c r="O1702" s="197">
        <v>0</v>
      </c>
      <c r="P1702" s="197">
        <v>0</v>
      </c>
      <c r="Q1702" s="197">
        <v>0</v>
      </c>
      <c r="R1702" s="260" t="s">
        <v>239</v>
      </c>
      <c r="S1702" s="260" t="s">
        <v>514</v>
      </c>
      <c r="T1702" s="260" t="s">
        <v>239</v>
      </c>
      <c r="U1702" s="260" t="s">
        <v>514</v>
      </c>
    </row>
    <row r="1703" spans="1:21" ht="14.5" x14ac:dyDescent="0.35">
      <c r="A1703" s="260" t="s">
        <v>649</v>
      </c>
      <c r="B1703" s="190">
        <v>45894</v>
      </c>
      <c r="C1703" s="197">
        <v>235639</v>
      </c>
      <c r="D1703" s="197">
        <v>0</v>
      </c>
      <c r="E1703" s="197">
        <v>0</v>
      </c>
      <c r="F1703" s="197">
        <v>0</v>
      </c>
      <c r="G1703" s="197">
        <v>176327</v>
      </c>
      <c r="H1703" s="197">
        <v>59498</v>
      </c>
      <c r="I1703" s="197">
        <v>0</v>
      </c>
      <c r="J1703" s="197">
        <v>235825</v>
      </c>
      <c r="K1703" s="197">
        <v>235825</v>
      </c>
      <c r="L1703" s="197">
        <v>61087.666666666664</v>
      </c>
      <c r="M1703" s="197">
        <v>414.66666666666652</v>
      </c>
      <c r="N1703" s="197">
        <v>0</v>
      </c>
      <c r="O1703" s="197">
        <v>0</v>
      </c>
      <c r="P1703" s="197">
        <v>186</v>
      </c>
      <c r="Q1703" s="197">
        <v>7.8934302046773652E-4</v>
      </c>
      <c r="R1703" s="260" t="s">
        <v>239</v>
      </c>
      <c r="S1703" s="260" t="s">
        <v>514</v>
      </c>
      <c r="T1703" s="260" t="s">
        <v>239</v>
      </c>
      <c r="U1703" s="260" t="s">
        <v>514</v>
      </c>
    </row>
    <row r="1704" spans="1:21" ht="14.5" x14ac:dyDescent="0.35">
      <c r="A1704" s="260" t="s">
        <v>649</v>
      </c>
      <c r="B1704" s="190">
        <v>45895</v>
      </c>
      <c r="C1704" s="197">
        <v>235825</v>
      </c>
      <c r="D1704" s="197">
        <v>0</v>
      </c>
      <c r="E1704" s="197">
        <v>0</v>
      </c>
      <c r="F1704" s="197">
        <v>0</v>
      </c>
      <c r="G1704" s="197">
        <v>176327</v>
      </c>
      <c r="H1704" s="197">
        <v>59560.5</v>
      </c>
      <c r="I1704" s="197">
        <v>0</v>
      </c>
      <c r="J1704" s="197">
        <v>235887.5</v>
      </c>
      <c r="K1704" s="197">
        <v>235887.5</v>
      </c>
      <c r="L1704" s="197">
        <v>61087.666666666664</v>
      </c>
      <c r="M1704" s="197">
        <v>414.66666666666652</v>
      </c>
      <c r="N1704" s="197">
        <v>0</v>
      </c>
      <c r="O1704" s="197">
        <v>0</v>
      </c>
      <c r="P1704" s="197">
        <v>62.5</v>
      </c>
      <c r="Q1704" s="197">
        <v>2.6502703275732564E-4</v>
      </c>
      <c r="R1704" s="260" t="s">
        <v>239</v>
      </c>
      <c r="S1704" s="260" t="s">
        <v>514</v>
      </c>
      <c r="T1704" s="260" t="s">
        <v>239</v>
      </c>
      <c r="U1704" s="260" t="s">
        <v>514</v>
      </c>
    </row>
    <row r="1705" spans="1:21" ht="14.5" x14ac:dyDescent="0.35">
      <c r="A1705" s="260" t="s">
        <v>649</v>
      </c>
      <c r="B1705" s="190">
        <v>45896</v>
      </c>
      <c r="C1705" s="197">
        <v>235887.5</v>
      </c>
      <c r="D1705" s="197">
        <v>0</v>
      </c>
      <c r="E1705" s="197">
        <v>0</v>
      </c>
      <c r="F1705" s="197">
        <v>0</v>
      </c>
      <c r="G1705" s="197">
        <v>176327</v>
      </c>
      <c r="H1705" s="197">
        <v>59621.5</v>
      </c>
      <c r="I1705" s="197">
        <v>0</v>
      </c>
      <c r="J1705" s="197">
        <v>235948.5</v>
      </c>
      <c r="K1705" s="197">
        <v>235948.5</v>
      </c>
      <c r="L1705" s="197">
        <v>61087.666666666664</v>
      </c>
      <c r="M1705" s="197">
        <v>414.66666666666652</v>
      </c>
      <c r="N1705" s="197">
        <v>0</v>
      </c>
      <c r="O1705" s="197">
        <v>0</v>
      </c>
      <c r="P1705" s="197">
        <v>61</v>
      </c>
      <c r="Q1705" s="197">
        <v>2.5859784855075674E-4</v>
      </c>
      <c r="R1705" s="260" t="s">
        <v>239</v>
      </c>
      <c r="S1705" s="260" t="s">
        <v>514</v>
      </c>
      <c r="T1705" s="260" t="s">
        <v>239</v>
      </c>
      <c r="U1705" s="260" t="s">
        <v>514</v>
      </c>
    </row>
    <row r="1706" spans="1:21" ht="14.5" x14ac:dyDescent="0.35">
      <c r="A1706" s="260" t="s">
        <v>649</v>
      </c>
      <c r="B1706" s="190">
        <v>45897</v>
      </c>
      <c r="C1706" s="197">
        <v>235948.5</v>
      </c>
      <c r="D1706" s="197">
        <v>0</v>
      </c>
      <c r="E1706" s="197">
        <v>0</v>
      </c>
      <c r="F1706" s="197">
        <v>0</v>
      </c>
      <c r="G1706" s="197">
        <v>176327</v>
      </c>
      <c r="H1706" s="197">
        <v>59684</v>
      </c>
      <c r="I1706" s="197">
        <v>0</v>
      </c>
      <c r="J1706" s="197">
        <v>236011</v>
      </c>
      <c r="K1706" s="197">
        <v>236011</v>
      </c>
      <c r="L1706" s="197">
        <v>61087.666666666664</v>
      </c>
      <c r="M1706" s="197">
        <v>414.66666666666652</v>
      </c>
      <c r="N1706" s="197">
        <v>0</v>
      </c>
      <c r="O1706" s="197">
        <v>0</v>
      </c>
      <c r="P1706" s="197">
        <v>62.5</v>
      </c>
      <c r="Q1706" s="197">
        <v>2.6488831249182887E-4</v>
      </c>
      <c r="R1706" s="260" t="s">
        <v>239</v>
      </c>
      <c r="S1706" s="260" t="s">
        <v>514</v>
      </c>
      <c r="T1706" s="260" t="s">
        <v>239</v>
      </c>
      <c r="U1706" s="260" t="s">
        <v>514</v>
      </c>
    </row>
    <row r="1707" spans="1:21" ht="14.5" x14ac:dyDescent="0.35">
      <c r="A1707" s="260" t="s">
        <v>649</v>
      </c>
      <c r="B1707" s="190">
        <v>45898</v>
      </c>
      <c r="C1707" s="197">
        <v>236011</v>
      </c>
      <c r="D1707" s="197">
        <v>0</v>
      </c>
      <c r="E1707" s="197">
        <v>0</v>
      </c>
      <c r="F1707" s="197">
        <v>0</v>
      </c>
      <c r="G1707" s="197">
        <v>176327</v>
      </c>
      <c r="H1707" s="197">
        <v>59746.5</v>
      </c>
      <c r="I1707" s="197">
        <v>0</v>
      </c>
      <c r="J1707" s="197">
        <v>236073.5</v>
      </c>
      <c r="K1707" s="197">
        <v>236073.5</v>
      </c>
      <c r="L1707" s="197">
        <v>61087.666666666664</v>
      </c>
      <c r="M1707" s="197">
        <v>414.66666666666652</v>
      </c>
      <c r="N1707" s="197">
        <v>0</v>
      </c>
      <c r="O1707" s="197">
        <v>0</v>
      </c>
      <c r="P1707" s="197">
        <v>62.5</v>
      </c>
      <c r="Q1707" s="197">
        <v>2.6481816525492086E-4</v>
      </c>
      <c r="R1707" s="260" t="s">
        <v>239</v>
      </c>
      <c r="S1707" s="260" t="s">
        <v>514</v>
      </c>
      <c r="T1707" s="260" t="s">
        <v>239</v>
      </c>
      <c r="U1707" s="260" t="s">
        <v>514</v>
      </c>
    </row>
    <row r="1708" spans="1:21" ht="14.5" x14ac:dyDescent="0.35">
      <c r="A1708" s="260" t="s">
        <v>649</v>
      </c>
      <c r="B1708" s="190">
        <v>45899</v>
      </c>
      <c r="C1708" s="197">
        <v>236073.5</v>
      </c>
      <c r="D1708" s="197">
        <v>0</v>
      </c>
      <c r="E1708" s="197">
        <v>0</v>
      </c>
      <c r="F1708" s="197">
        <v>0</v>
      </c>
      <c r="G1708" s="197">
        <v>176327</v>
      </c>
      <c r="H1708" s="197">
        <v>59746.5</v>
      </c>
      <c r="I1708" s="197">
        <v>0</v>
      </c>
      <c r="J1708" s="197">
        <v>236073.5</v>
      </c>
      <c r="K1708" s="197">
        <v>236073.5</v>
      </c>
      <c r="L1708" s="197">
        <v>61087.666666666664</v>
      </c>
      <c r="M1708" s="197">
        <v>414.66666666666652</v>
      </c>
      <c r="N1708" s="197">
        <v>0</v>
      </c>
      <c r="O1708" s="197">
        <v>0</v>
      </c>
      <c r="P1708" s="197">
        <v>0</v>
      </c>
      <c r="Q1708" s="197">
        <v>0</v>
      </c>
      <c r="R1708" s="260" t="s">
        <v>239</v>
      </c>
      <c r="S1708" s="260" t="s">
        <v>514</v>
      </c>
      <c r="T1708" s="260" t="s">
        <v>239</v>
      </c>
      <c r="U1708" s="260" t="s">
        <v>514</v>
      </c>
    </row>
    <row r="1709" spans="1:21" ht="14.5" x14ac:dyDescent="0.35">
      <c r="A1709" s="260" t="s">
        <v>649</v>
      </c>
      <c r="B1709" s="190">
        <v>45900</v>
      </c>
      <c r="C1709" s="197">
        <v>236073.5</v>
      </c>
      <c r="D1709" s="197">
        <v>0</v>
      </c>
      <c r="E1709" s="197">
        <v>0</v>
      </c>
      <c r="F1709" s="197">
        <v>0</v>
      </c>
      <c r="G1709" s="197">
        <v>176327</v>
      </c>
      <c r="H1709" s="197">
        <v>59746.5</v>
      </c>
      <c r="I1709" s="197">
        <v>0</v>
      </c>
      <c r="J1709" s="197">
        <v>236073.5</v>
      </c>
      <c r="K1709" s="197">
        <v>236073.5</v>
      </c>
      <c r="L1709" s="197">
        <v>61087.666666666664</v>
      </c>
      <c r="M1709" s="197">
        <v>414.66666666666652</v>
      </c>
      <c r="N1709" s="197">
        <v>0</v>
      </c>
      <c r="O1709" s="197">
        <v>0</v>
      </c>
      <c r="P1709" s="197">
        <v>0</v>
      </c>
      <c r="Q1709" s="197">
        <v>0</v>
      </c>
      <c r="R1709" s="260" t="s">
        <v>239</v>
      </c>
      <c r="S1709" s="260" t="s">
        <v>514</v>
      </c>
      <c r="T1709" s="260" t="s">
        <v>239</v>
      </c>
      <c r="U1709" s="260" t="s">
        <v>514</v>
      </c>
    </row>
    <row r="1710" spans="1:21" ht="14.5" x14ac:dyDescent="0.35">
      <c r="A1710" s="260" t="s">
        <v>649</v>
      </c>
      <c r="B1710" s="190">
        <v>45901</v>
      </c>
      <c r="C1710" s="197">
        <v>236073.5</v>
      </c>
      <c r="D1710" s="197">
        <v>0</v>
      </c>
      <c r="E1710" s="197">
        <v>0</v>
      </c>
      <c r="F1710" s="197">
        <v>0</v>
      </c>
      <c r="G1710" s="197">
        <v>179261</v>
      </c>
      <c r="H1710" s="197">
        <v>56480</v>
      </c>
      <c r="I1710" s="197">
        <v>450</v>
      </c>
      <c r="J1710" s="197">
        <v>236191</v>
      </c>
      <c r="K1710" s="197">
        <v>236191</v>
      </c>
      <c r="L1710" s="197">
        <v>58084.666666666664</v>
      </c>
      <c r="M1710" s="197">
        <v>345.66666666666652</v>
      </c>
      <c r="N1710" s="197">
        <v>6</v>
      </c>
      <c r="O1710" s="197">
        <v>450</v>
      </c>
      <c r="P1710" s="197">
        <v>117.5</v>
      </c>
      <c r="Q1710" s="197">
        <v>4.9772634370226498E-4</v>
      </c>
      <c r="R1710" s="260" t="s">
        <v>239</v>
      </c>
      <c r="S1710" s="260" t="s">
        <v>514</v>
      </c>
      <c r="T1710" s="260" t="s">
        <v>239</v>
      </c>
      <c r="U1710" s="260" t="s">
        <v>514</v>
      </c>
    </row>
    <row r="1711" spans="1:21" ht="14.5" x14ac:dyDescent="0.35">
      <c r="A1711" s="260" t="s">
        <v>649</v>
      </c>
      <c r="B1711" s="190">
        <v>45902</v>
      </c>
      <c r="C1711" s="197">
        <v>236191</v>
      </c>
      <c r="D1711" s="197">
        <v>0</v>
      </c>
      <c r="E1711" s="197">
        <v>0</v>
      </c>
      <c r="F1711" s="197">
        <v>0</v>
      </c>
      <c r="G1711" s="197">
        <v>179261</v>
      </c>
      <c r="H1711" s="197">
        <v>56466.9</v>
      </c>
      <c r="I1711" s="197">
        <v>450</v>
      </c>
      <c r="J1711" s="197">
        <v>236177.9</v>
      </c>
      <c r="K1711" s="197">
        <v>236177.9</v>
      </c>
      <c r="L1711" s="197">
        <v>58084.666666666664</v>
      </c>
      <c r="M1711" s="197">
        <v>345.66666666666652</v>
      </c>
      <c r="N1711" s="197">
        <v>0</v>
      </c>
      <c r="O1711" s="197">
        <v>0</v>
      </c>
      <c r="P1711" s="197">
        <v>-13.100000000005821</v>
      </c>
      <c r="Q1711" s="197">
        <v>-5.5463586673520915E-5</v>
      </c>
      <c r="R1711" s="260" t="s">
        <v>239</v>
      </c>
      <c r="S1711" s="260" t="s">
        <v>514</v>
      </c>
      <c r="T1711" s="260" t="s">
        <v>239</v>
      </c>
      <c r="U1711" s="260" t="s">
        <v>514</v>
      </c>
    </row>
    <row r="1712" spans="1:21" ht="14.5" x14ac:dyDescent="0.35">
      <c r="A1712" s="260" t="s">
        <v>649</v>
      </c>
      <c r="B1712" s="190">
        <v>45903</v>
      </c>
      <c r="C1712" s="197">
        <v>236177.9</v>
      </c>
      <c r="D1712" s="197">
        <v>0</v>
      </c>
      <c r="E1712" s="197">
        <v>0</v>
      </c>
      <c r="F1712" s="197">
        <v>0</v>
      </c>
      <c r="G1712" s="197">
        <v>179261</v>
      </c>
      <c r="H1712" s="197">
        <v>56453.8</v>
      </c>
      <c r="I1712" s="197">
        <v>450</v>
      </c>
      <c r="J1712" s="197">
        <v>236164.8</v>
      </c>
      <c r="K1712" s="197">
        <v>236164.8</v>
      </c>
      <c r="L1712" s="197">
        <v>58084.666666666664</v>
      </c>
      <c r="M1712" s="197">
        <v>345.66666666666652</v>
      </c>
      <c r="N1712" s="197">
        <v>0</v>
      </c>
      <c r="O1712" s="197">
        <v>0</v>
      </c>
      <c r="P1712" s="197">
        <v>-13.100000000005821</v>
      </c>
      <c r="Q1712" s="197">
        <v>-5.5466663053560517E-5</v>
      </c>
      <c r="R1712" s="260" t="s">
        <v>239</v>
      </c>
      <c r="S1712" s="260" t="s">
        <v>514</v>
      </c>
      <c r="T1712" s="260" t="s">
        <v>239</v>
      </c>
      <c r="U1712" s="260" t="s">
        <v>514</v>
      </c>
    </row>
    <row r="1713" spans="1:21" ht="14.5" x14ac:dyDescent="0.35">
      <c r="A1713" s="260" t="s">
        <v>649</v>
      </c>
      <c r="B1713" s="190">
        <v>45904</v>
      </c>
      <c r="C1713" s="197">
        <v>236164.8</v>
      </c>
      <c r="D1713" s="197">
        <v>0</v>
      </c>
      <c r="E1713" s="197">
        <v>0</v>
      </c>
      <c r="F1713" s="197">
        <v>0</v>
      </c>
      <c r="G1713" s="197">
        <v>179261</v>
      </c>
      <c r="H1713" s="197">
        <v>56445.4</v>
      </c>
      <c r="I1713" s="197">
        <v>450</v>
      </c>
      <c r="J1713" s="197">
        <v>236156.4</v>
      </c>
      <c r="K1713" s="197">
        <v>236156.4</v>
      </c>
      <c r="L1713" s="197">
        <v>58084.666666666664</v>
      </c>
      <c r="M1713" s="197">
        <v>345.66666666666652</v>
      </c>
      <c r="N1713" s="197">
        <v>0</v>
      </c>
      <c r="O1713" s="197">
        <v>0</v>
      </c>
      <c r="P1713" s="197">
        <v>-8.3999999999941792</v>
      </c>
      <c r="Q1713" s="197">
        <v>-3.5568382756423489E-5</v>
      </c>
      <c r="R1713" s="260" t="s">
        <v>239</v>
      </c>
      <c r="S1713" s="260" t="s">
        <v>514</v>
      </c>
      <c r="T1713" s="260" t="s">
        <v>239</v>
      </c>
      <c r="U1713" s="260" t="s">
        <v>514</v>
      </c>
    </row>
    <row r="1714" spans="1:21" ht="14.5" x14ac:dyDescent="0.35">
      <c r="A1714" s="260" t="s">
        <v>649</v>
      </c>
      <c r="B1714" s="190">
        <v>45905</v>
      </c>
      <c r="C1714" s="197">
        <v>236156.4</v>
      </c>
      <c r="D1714" s="197">
        <v>0</v>
      </c>
      <c r="E1714" s="197">
        <v>0</v>
      </c>
      <c r="F1714" s="197">
        <v>0</v>
      </c>
      <c r="G1714" s="197">
        <v>179261</v>
      </c>
      <c r="H1714" s="197">
        <v>56432.3</v>
      </c>
      <c r="I1714" s="197">
        <v>450</v>
      </c>
      <c r="J1714" s="197">
        <v>236143.3</v>
      </c>
      <c r="K1714" s="197">
        <v>236143.3</v>
      </c>
      <c r="L1714" s="197">
        <v>58084.666666666664</v>
      </c>
      <c r="M1714" s="197">
        <v>345.66666666666652</v>
      </c>
      <c r="N1714" s="197">
        <v>0</v>
      </c>
      <c r="O1714" s="197">
        <v>0</v>
      </c>
      <c r="P1714" s="197">
        <v>-13.100000000005821</v>
      </c>
      <c r="Q1714" s="197">
        <v>-5.547171281405916E-5</v>
      </c>
      <c r="R1714" s="260" t="s">
        <v>239</v>
      </c>
      <c r="S1714" s="260" t="s">
        <v>514</v>
      </c>
      <c r="T1714" s="260" t="s">
        <v>239</v>
      </c>
      <c r="U1714" s="260" t="s">
        <v>514</v>
      </c>
    </row>
    <row r="1715" spans="1:21" ht="14.5" x14ac:dyDescent="0.35">
      <c r="A1715" s="260" t="s">
        <v>649</v>
      </c>
      <c r="B1715" s="190">
        <v>45906</v>
      </c>
      <c r="C1715" s="197">
        <v>236143.3</v>
      </c>
      <c r="D1715" s="197">
        <v>0</v>
      </c>
      <c r="E1715" s="197">
        <v>0</v>
      </c>
      <c r="F1715" s="197">
        <v>0</v>
      </c>
      <c r="G1715" s="197">
        <v>179261</v>
      </c>
      <c r="H1715" s="197">
        <v>56432.3</v>
      </c>
      <c r="I1715" s="197">
        <v>450</v>
      </c>
      <c r="J1715" s="197">
        <v>236143.3</v>
      </c>
      <c r="K1715" s="197">
        <v>236143.3</v>
      </c>
      <c r="L1715" s="197">
        <v>58084.666666666664</v>
      </c>
      <c r="M1715" s="197">
        <v>345.66666666666652</v>
      </c>
      <c r="N1715" s="197">
        <v>0</v>
      </c>
      <c r="O1715" s="197">
        <v>0</v>
      </c>
      <c r="P1715" s="197">
        <v>0</v>
      </c>
      <c r="Q1715" s="197">
        <v>0</v>
      </c>
      <c r="R1715" s="260" t="s">
        <v>239</v>
      </c>
      <c r="S1715" s="260" t="s">
        <v>514</v>
      </c>
      <c r="T1715" s="260" t="s">
        <v>239</v>
      </c>
      <c r="U1715" s="260" t="s">
        <v>514</v>
      </c>
    </row>
    <row r="1716" spans="1:21" ht="14.5" x14ac:dyDescent="0.35">
      <c r="A1716" s="260" t="s">
        <v>649</v>
      </c>
      <c r="B1716" s="190">
        <v>45907</v>
      </c>
      <c r="C1716" s="197">
        <v>236143.3</v>
      </c>
      <c r="D1716" s="197">
        <v>0</v>
      </c>
      <c r="E1716" s="197">
        <v>0</v>
      </c>
      <c r="F1716" s="197">
        <v>0</v>
      </c>
      <c r="G1716" s="197">
        <v>179261</v>
      </c>
      <c r="H1716" s="197">
        <v>56432.3</v>
      </c>
      <c r="I1716" s="197">
        <v>450</v>
      </c>
      <c r="J1716" s="197">
        <v>236143.3</v>
      </c>
      <c r="K1716" s="197">
        <v>236143.3</v>
      </c>
      <c r="L1716" s="197">
        <v>58084.666666666664</v>
      </c>
      <c r="M1716" s="197">
        <v>345.66666666666652</v>
      </c>
      <c r="N1716" s="197">
        <v>0</v>
      </c>
      <c r="O1716" s="197">
        <v>0</v>
      </c>
      <c r="P1716" s="197">
        <v>0</v>
      </c>
      <c r="Q1716" s="197">
        <v>0</v>
      </c>
      <c r="R1716" s="260" t="s">
        <v>239</v>
      </c>
      <c r="S1716" s="260" t="s">
        <v>514</v>
      </c>
      <c r="T1716" s="260" t="s">
        <v>239</v>
      </c>
      <c r="U1716" s="260" t="s">
        <v>514</v>
      </c>
    </row>
    <row r="1717" spans="1:21" ht="14.5" x14ac:dyDescent="0.35">
      <c r="A1717" s="260" t="s">
        <v>649</v>
      </c>
      <c r="B1717" s="190">
        <v>45908</v>
      </c>
      <c r="C1717" s="197">
        <v>236143.3</v>
      </c>
      <c r="D1717" s="197">
        <v>0</v>
      </c>
      <c r="E1717" s="197">
        <v>0</v>
      </c>
      <c r="F1717" s="197">
        <v>0</v>
      </c>
      <c r="G1717" s="197">
        <v>179261</v>
      </c>
      <c r="H1717" s="197">
        <v>56396.2</v>
      </c>
      <c r="I1717" s="197">
        <v>450</v>
      </c>
      <c r="J1717" s="197">
        <v>236107.2</v>
      </c>
      <c r="K1717" s="197">
        <v>236107.2</v>
      </c>
      <c r="L1717" s="197">
        <v>58084.666666666664</v>
      </c>
      <c r="M1717" s="197">
        <v>345.66666666666652</v>
      </c>
      <c r="N1717" s="197">
        <v>0</v>
      </c>
      <c r="O1717" s="197">
        <v>0</v>
      </c>
      <c r="P1717" s="197">
        <v>-36.099999999976717</v>
      </c>
      <c r="Q1717" s="197">
        <v>-1.5287327652313554E-4</v>
      </c>
      <c r="R1717" s="260" t="s">
        <v>239</v>
      </c>
      <c r="S1717" s="260" t="s">
        <v>514</v>
      </c>
      <c r="T1717" s="260" t="s">
        <v>239</v>
      </c>
      <c r="U1717" s="260" t="s">
        <v>514</v>
      </c>
    </row>
    <row r="1718" spans="1:21" ht="14.5" x14ac:dyDescent="0.35">
      <c r="A1718" s="260" t="s">
        <v>649</v>
      </c>
      <c r="B1718" s="190">
        <v>45909</v>
      </c>
      <c r="C1718" s="197">
        <v>236107.2</v>
      </c>
      <c r="D1718" s="197">
        <v>0</v>
      </c>
      <c r="E1718" s="197">
        <v>0</v>
      </c>
      <c r="F1718" s="197">
        <v>0</v>
      </c>
      <c r="G1718" s="197">
        <v>179261</v>
      </c>
      <c r="H1718" s="197">
        <v>56384.6</v>
      </c>
      <c r="I1718" s="197">
        <v>450</v>
      </c>
      <c r="J1718" s="197">
        <v>236095.6</v>
      </c>
      <c r="K1718" s="197">
        <v>236095.6</v>
      </c>
      <c r="L1718" s="197">
        <v>58084.666666666664</v>
      </c>
      <c r="M1718" s="197">
        <v>345.66666666666652</v>
      </c>
      <c r="N1718" s="197">
        <v>0</v>
      </c>
      <c r="O1718" s="197">
        <v>0</v>
      </c>
      <c r="P1718" s="197">
        <v>-11.600000000005821</v>
      </c>
      <c r="Q1718" s="197">
        <v>-4.9130225592497467E-5</v>
      </c>
      <c r="R1718" s="260" t="s">
        <v>239</v>
      </c>
      <c r="S1718" s="260" t="s">
        <v>514</v>
      </c>
      <c r="T1718" s="260" t="s">
        <v>239</v>
      </c>
      <c r="U1718" s="260" t="s">
        <v>514</v>
      </c>
    </row>
    <row r="1719" spans="1:21" ht="14.5" x14ac:dyDescent="0.35">
      <c r="A1719" s="260" t="s">
        <v>649</v>
      </c>
      <c r="B1719" s="190">
        <v>45910</v>
      </c>
      <c r="C1719" s="197">
        <v>236095.6</v>
      </c>
      <c r="D1719" s="197">
        <v>0</v>
      </c>
      <c r="E1719" s="197">
        <v>0</v>
      </c>
      <c r="F1719" s="197">
        <v>0</v>
      </c>
      <c r="G1719" s="197">
        <v>182956</v>
      </c>
      <c r="H1719" s="197">
        <v>52707.3</v>
      </c>
      <c r="I1719" s="197">
        <v>450</v>
      </c>
      <c r="J1719" s="197">
        <v>236113.3</v>
      </c>
      <c r="K1719" s="197">
        <v>236113.3</v>
      </c>
      <c r="L1719" s="197">
        <v>54080.666666666664</v>
      </c>
      <c r="M1719" s="197">
        <v>36.666666666666515</v>
      </c>
      <c r="N1719" s="197">
        <v>5</v>
      </c>
      <c r="O1719" s="197">
        <v>0</v>
      </c>
      <c r="P1719" s="197">
        <v>17.699999999982538</v>
      </c>
      <c r="Q1719" s="197">
        <v>7.4969630946108978E-5</v>
      </c>
      <c r="R1719" s="260" t="s">
        <v>239</v>
      </c>
      <c r="S1719" s="260" t="s">
        <v>514</v>
      </c>
      <c r="T1719" s="260" t="s">
        <v>239</v>
      </c>
      <c r="U1719" s="260" t="s">
        <v>514</v>
      </c>
    </row>
    <row r="1720" spans="1:21" ht="14.5" x14ac:dyDescent="0.35">
      <c r="A1720" s="260" t="s">
        <v>649</v>
      </c>
      <c r="B1720" s="190">
        <v>45911</v>
      </c>
      <c r="C1720" s="197">
        <v>236113.3</v>
      </c>
      <c r="D1720" s="197">
        <v>0</v>
      </c>
      <c r="E1720" s="197">
        <v>0</v>
      </c>
      <c r="F1720" s="197">
        <v>0</v>
      </c>
      <c r="G1720" s="197">
        <v>182956</v>
      </c>
      <c r="H1720" s="197">
        <v>52700.4</v>
      </c>
      <c r="I1720" s="197">
        <v>450</v>
      </c>
      <c r="J1720" s="197">
        <v>236106.4</v>
      </c>
      <c r="K1720" s="197">
        <v>236106.4</v>
      </c>
      <c r="L1720" s="197">
        <v>54080.666666666664</v>
      </c>
      <c r="M1720" s="197">
        <v>36.666666666666515</v>
      </c>
      <c r="N1720" s="197">
        <v>0</v>
      </c>
      <c r="O1720" s="197">
        <v>0</v>
      </c>
      <c r="P1720" s="197">
        <v>-6.8999999999941792</v>
      </c>
      <c r="Q1720" s="197">
        <v>-2.9223258494970317E-5</v>
      </c>
      <c r="R1720" s="260" t="s">
        <v>239</v>
      </c>
      <c r="S1720" s="260" t="s">
        <v>514</v>
      </c>
      <c r="T1720" s="260" t="s">
        <v>239</v>
      </c>
      <c r="U1720" s="260" t="s">
        <v>514</v>
      </c>
    </row>
    <row r="1721" spans="1:21" ht="14.5" x14ac:dyDescent="0.35">
      <c r="A1721" s="260" t="s">
        <v>649</v>
      </c>
      <c r="B1721" s="190">
        <v>45912</v>
      </c>
      <c r="C1721" s="197">
        <v>236106.4</v>
      </c>
      <c r="D1721" s="197">
        <v>0</v>
      </c>
      <c r="E1721" s="197">
        <v>0</v>
      </c>
      <c r="F1721" s="197">
        <v>0</v>
      </c>
      <c r="G1721" s="197">
        <v>182956</v>
      </c>
      <c r="H1721" s="197">
        <v>52696.7</v>
      </c>
      <c r="I1721" s="197">
        <v>450</v>
      </c>
      <c r="J1721" s="197">
        <v>236102.7</v>
      </c>
      <c r="K1721" s="197">
        <v>236102.7</v>
      </c>
      <c r="L1721" s="197">
        <v>54080.666666666664</v>
      </c>
      <c r="M1721" s="197">
        <v>36.666666666666515</v>
      </c>
      <c r="N1721" s="197">
        <v>0</v>
      </c>
      <c r="O1721" s="197">
        <v>0</v>
      </c>
      <c r="P1721" s="197">
        <v>-3.6999999999825377</v>
      </c>
      <c r="Q1721" s="197">
        <v>-1.5670900915809582E-5</v>
      </c>
      <c r="R1721" s="260" t="s">
        <v>239</v>
      </c>
      <c r="S1721" s="260" t="s">
        <v>514</v>
      </c>
      <c r="T1721" s="260" t="s">
        <v>239</v>
      </c>
      <c r="U1721" s="260" t="s">
        <v>514</v>
      </c>
    </row>
    <row r="1722" spans="1:21" ht="14.5" x14ac:dyDescent="0.35">
      <c r="A1722" s="260" t="s">
        <v>649</v>
      </c>
      <c r="B1722" s="190">
        <v>45913</v>
      </c>
      <c r="C1722" s="197">
        <v>236102.7</v>
      </c>
      <c r="D1722" s="197">
        <v>0</v>
      </c>
      <c r="E1722" s="197">
        <v>0</v>
      </c>
      <c r="F1722" s="197">
        <v>0</v>
      </c>
      <c r="G1722" s="197">
        <v>182956</v>
      </c>
      <c r="H1722" s="197">
        <v>52696.7</v>
      </c>
      <c r="I1722" s="197">
        <v>450</v>
      </c>
      <c r="J1722" s="197">
        <v>236102.7</v>
      </c>
      <c r="K1722" s="197">
        <v>236102.7</v>
      </c>
      <c r="L1722" s="197">
        <v>54080.666666666664</v>
      </c>
      <c r="M1722" s="197">
        <v>36.666666666666515</v>
      </c>
      <c r="N1722" s="197">
        <v>0</v>
      </c>
      <c r="O1722" s="197">
        <v>0</v>
      </c>
      <c r="P1722" s="197">
        <v>0</v>
      </c>
      <c r="Q1722" s="197">
        <v>0</v>
      </c>
      <c r="R1722" s="260" t="s">
        <v>239</v>
      </c>
      <c r="S1722" s="260" t="s">
        <v>514</v>
      </c>
      <c r="T1722" s="260" t="s">
        <v>239</v>
      </c>
      <c r="U1722" s="260" t="s">
        <v>514</v>
      </c>
    </row>
    <row r="1723" spans="1:21" ht="14.5" x14ac:dyDescent="0.35">
      <c r="A1723" s="260" t="s">
        <v>649</v>
      </c>
      <c r="B1723" s="190">
        <v>45914</v>
      </c>
      <c r="C1723" s="197">
        <v>236102.7</v>
      </c>
      <c r="D1723" s="197">
        <v>0</v>
      </c>
      <c r="E1723" s="197">
        <v>0</v>
      </c>
      <c r="F1723" s="197">
        <v>0</v>
      </c>
      <c r="G1723" s="197">
        <v>182956</v>
      </c>
      <c r="H1723" s="197">
        <v>52696.7</v>
      </c>
      <c r="I1723" s="197">
        <v>450</v>
      </c>
      <c r="J1723" s="197">
        <v>236102.7</v>
      </c>
      <c r="K1723" s="197">
        <v>236102.7</v>
      </c>
      <c r="L1723" s="197">
        <v>54080.666666666664</v>
      </c>
      <c r="M1723" s="197">
        <v>36.666666666666515</v>
      </c>
      <c r="N1723" s="197">
        <v>0</v>
      </c>
      <c r="O1723" s="197">
        <v>0</v>
      </c>
      <c r="P1723" s="197">
        <v>0</v>
      </c>
      <c r="Q1723" s="197">
        <v>0</v>
      </c>
      <c r="R1723" s="260" t="s">
        <v>239</v>
      </c>
      <c r="S1723" s="260" t="s">
        <v>514</v>
      </c>
      <c r="T1723" s="260" t="s">
        <v>239</v>
      </c>
      <c r="U1723" s="260" t="s">
        <v>514</v>
      </c>
    </row>
    <row r="1724" spans="1:21" ht="14.5" x14ac:dyDescent="0.35">
      <c r="A1724" s="260" t="s">
        <v>649</v>
      </c>
      <c r="B1724" s="190">
        <v>45915</v>
      </c>
      <c r="C1724" s="197">
        <v>236102.7</v>
      </c>
      <c r="D1724" s="197">
        <v>0</v>
      </c>
      <c r="E1724" s="197">
        <v>0</v>
      </c>
      <c r="F1724" s="197">
        <v>0</v>
      </c>
      <c r="G1724" s="197">
        <v>183406</v>
      </c>
      <c r="H1724" s="197">
        <v>52677.5</v>
      </c>
      <c r="I1724" s="197">
        <v>0</v>
      </c>
      <c r="J1724" s="197">
        <v>236083.5</v>
      </c>
      <c r="K1724" s="197">
        <v>236083.5</v>
      </c>
      <c r="L1724" s="197">
        <v>54080.666666666664</v>
      </c>
      <c r="M1724" s="197">
        <v>36.666666666666515</v>
      </c>
      <c r="N1724" s="197">
        <v>0</v>
      </c>
      <c r="O1724" s="197">
        <v>0</v>
      </c>
      <c r="P1724" s="197">
        <v>-19.200000000011642</v>
      </c>
      <c r="Q1724" s="197">
        <v>-8.1320543983687266E-5</v>
      </c>
      <c r="R1724" s="260" t="s">
        <v>239</v>
      </c>
      <c r="S1724" s="260" t="s">
        <v>514</v>
      </c>
      <c r="T1724" s="260" t="s">
        <v>239</v>
      </c>
      <c r="U1724" s="260" t="s">
        <v>514</v>
      </c>
    </row>
    <row r="1725" spans="1:21" ht="14.5" x14ac:dyDescent="0.35">
      <c r="A1725" s="260" t="s">
        <v>649</v>
      </c>
      <c r="B1725" s="190">
        <v>45916</v>
      </c>
      <c r="C1725" s="197">
        <v>236083.5</v>
      </c>
      <c r="D1725" s="197">
        <v>0</v>
      </c>
      <c r="E1725" s="197">
        <v>0</v>
      </c>
      <c r="F1725" s="197">
        <v>0</v>
      </c>
      <c r="G1725" s="197">
        <v>183406</v>
      </c>
      <c r="H1725" s="197">
        <v>52672.5</v>
      </c>
      <c r="I1725" s="197">
        <v>0</v>
      </c>
      <c r="J1725" s="197">
        <v>236078.5</v>
      </c>
      <c r="K1725" s="197">
        <v>236078.5</v>
      </c>
      <c r="L1725" s="197">
        <v>54080.666666666664</v>
      </c>
      <c r="M1725" s="197">
        <v>36.666666666666515</v>
      </c>
      <c r="N1725" s="197">
        <v>0</v>
      </c>
      <c r="O1725" s="197">
        <v>0</v>
      </c>
      <c r="P1725" s="197">
        <v>-5</v>
      </c>
      <c r="Q1725" s="197">
        <v>-2.1178947279265614E-5</v>
      </c>
      <c r="R1725" s="260" t="s">
        <v>239</v>
      </c>
      <c r="S1725" s="260" t="s">
        <v>514</v>
      </c>
      <c r="T1725" s="260" t="s">
        <v>239</v>
      </c>
      <c r="U1725" s="260" t="s">
        <v>514</v>
      </c>
    </row>
    <row r="1726" spans="1:21" ht="14.5" x14ac:dyDescent="0.35">
      <c r="A1726" s="260" t="s">
        <v>649</v>
      </c>
      <c r="B1726" s="190">
        <v>45917</v>
      </c>
      <c r="C1726" s="197">
        <v>236078.5</v>
      </c>
      <c r="D1726" s="197">
        <v>0</v>
      </c>
      <c r="E1726" s="197">
        <v>0</v>
      </c>
      <c r="F1726" s="197">
        <v>0</v>
      </c>
      <c r="G1726" s="197">
        <v>183406</v>
      </c>
      <c r="H1726" s="197">
        <v>52665.599999999999</v>
      </c>
      <c r="I1726" s="197">
        <v>0</v>
      </c>
      <c r="J1726" s="197">
        <v>236071.6</v>
      </c>
      <c r="K1726" s="197">
        <v>236071.6</v>
      </c>
      <c r="L1726" s="197">
        <v>54080.666666666664</v>
      </c>
      <c r="M1726" s="197">
        <v>36.666666666666515</v>
      </c>
      <c r="N1726" s="197">
        <v>0</v>
      </c>
      <c r="O1726" s="197">
        <v>0</v>
      </c>
      <c r="P1726" s="197">
        <v>-6.8999999999941792</v>
      </c>
      <c r="Q1726" s="197">
        <v>-2.9227566254452775E-5</v>
      </c>
      <c r="R1726" s="260" t="s">
        <v>239</v>
      </c>
      <c r="S1726" s="260" t="s">
        <v>514</v>
      </c>
      <c r="T1726" s="260" t="s">
        <v>239</v>
      </c>
      <c r="U1726" s="260" t="s">
        <v>514</v>
      </c>
    </row>
    <row r="1727" spans="1:21" ht="14.5" x14ac:dyDescent="0.35">
      <c r="A1727" s="260" t="s">
        <v>649</v>
      </c>
      <c r="B1727" s="190">
        <v>45918</v>
      </c>
      <c r="C1727" s="197">
        <v>236071.6</v>
      </c>
      <c r="D1727" s="197">
        <v>0</v>
      </c>
      <c r="E1727" s="197">
        <v>0</v>
      </c>
      <c r="F1727" s="197">
        <v>0</v>
      </c>
      <c r="G1727" s="197">
        <v>183406</v>
      </c>
      <c r="H1727" s="197">
        <v>52660.2</v>
      </c>
      <c r="I1727" s="197">
        <v>0</v>
      </c>
      <c r="J1727" s="197">
        <v>236066.2</v>
      </c>
      <c r="K1727" s="197">
        <v>236066.2</v>
      </c>
      <c r="L1727" s="197">
        <v>54080.666666666664</v>
      </c>
      <c r="M1727" s="197">
        <v>36.666666666666515</v>
      </c>
      <c r="N1727" s="197">
        <v>0</v>
      </c>
      <c r="O1727" s="197">
        <v>0</v>
      </c>
      <c r="P1727" s="197">
        <v>-5.3999999999941792</v>
      </c>
      <c r="Q1727" s="197">
        <v>-2.287441606696472E-5</v>
      </c>
      <c r="R1727" s="260" t="s">
        <v>239</v>
      </c>
      <c r="S1727" s="260" t="s">
        <v>514</v>
      </c>
      <c r="T1727" s="260" t="s">
        <v>239</v>
      </c>
      <c r="U1727" s="260" t="s">
        <v>514</v>
      </c>
    </row>
    <row r="1728" spans="1:21" ht="14.5" x14ac:dyDescent="0.35">
      <c r="A1728" s="260" t="s">
        <v>649</v>
      </c>
      <c r="B1728" s="190">
        <v>45919</v>
      </c>
      <c r="C1728" s="197">
        <v>236066.2</v>
      </c>
      <c r="D1728" s="197">
        <v>0</v>
      </c>
      <c r="E1728" s="197">
        <v>0</v>
      </c>
      <c r="F1728" s="197">
        <v>0</v>
      </c>
      <c r="G1728" s="197">
        <v>183406</v>
      </c>
      <c r="H1728" s="197">
        <v>52653.3</v>
      </c>
      <c r="I1728" s="197">
        <v>0</v>
      </c>
      <c r="J1728" s="197">
        <v>236059.3</v>
      </c>
      <c r="K1728" s="197">
        <v>236059.3</v>
      </c>
      <c r="L1728" s="197">
        <v>54080.666666666664</v>
      </c>
      <c r="M1728" s="197">
        <v>36.666666666666515</v>
      </c>
      <c r="N1728" s="197">
        <v>0</v>
      </c>
      <c r="O1728" s="197">
        <v>0</v>
      </c>
      <c r="P1728" s="197">
        <v>-6.9000000000232831</v>
      </c>
      <c r="Q1728" s="197">
        <v>-2.9229089128501862E-5</v>
      </c>
      <c r="R1728" s="260" t="s">
        <v>239</v>
      </c>
      <c r="S1728" s="260" t="s">
        <v>514</v>
      </c>
      <c r="T1728" s="260" t="s">
        <v>239</v>
      </c>
      <c r="U1728" s="260" t="s">
        <v>514</v>
      </c>
    </row>
    <row r="1729" spans="1:21" ht="14.5" x14ac:dyDescent="0.35">
      <c r="A1729" s="260" t="s">
        <v>649</v>
      </c>
      <c r="B1729" s="190">
        <v>45920</v>
      </c>
      <c r="C1729" s="197">
        <v>236059.3</v>
      </c>
      <c r="D1729" s="197">
        <v>0</v>
      </c>
      <c r="E1729" s="197">
        <v>0</v>
      </c>
      <c r="F1729" s="197">
        <v>0</v>
      </c>
      <c r="G1729" s="197">
        <v>183406</v>
      </c>
      <c r="H1729" s="197">
        <v>52653.3</v>
      </c>
      <c r="I1729" s="197">
        <v>0</v>
      </c>
      <c r="J1729" s="197">
        <v>236059.3</v>
      </c>
      <c r="K1729" s="197">
        <v>236059.3</v>
      </c>
      <c r="L1729" s="197">
        <v>54080.666666666664</v>
      </c>
      <c r="M1729" s="197">
        <v>36.666666666666515</v>
      </c>
      <c r="N1729" s="197">
        <v>0</v>
      </c>
      <c r="O1729" s="197">
        <v>0</v>
      </c>
      <c r="P1729" s="197">
        <v>0</v>
      </c>
      <c r="Q1729" s="197">
        <v>0</v>
      </c>
      <c r="R1729" s="260" t="s">
        <v>239</v>
      </c>
      <c r="S1729" s="260" t="s">
        <v>514</v>
      </c>
      <c r="T1729" s="260" t="s">
        <v>239</v>
      </c>
      <c r="U1729" s="260" t="s">
        <v>514</v>
      </c>
    </row>
    <row r="1730" spans="1:21" ht="14.5" x14ac:dyDescent="0.35">
      <c r="A1730" s="260" t="s">
        <v>649</v>
      </c>
      <c r="B1730" s="190">
        <v>45921</v>
      </c>
      <c r="C1730" s="197">
        <v>236059.3</v>
      </c>
      <c r="D1730" s="197">
        <v>0</v>
      </c>
      <c r="E1730" s="197">
        <v>0</v>
      </c>
      <c r="F1730" s="197">
        <v>0</v>
      </c>
      <c r="G1730" s="197">
        <v>183406</v>
      </c>
      <c r="H1730" s="197">
        <v>52653.3</v>
      </c>
      <c r="I1730" s="197">
        <v>0</v>
      </c>
      <c r="J1730" s="197">
        <v>236059.3</v>
      </c>
      <c r="K1730" s="197">
        <v>236059.3</v>
      </c>
      <c r="L1730" s="197">
        <v>54080.666666666664</v>
      </c>
      <c r="M1730" s="197">
        <v>36.666666666666515</v>
      </c>
      <c r="N1730" s="197">
        <v>0</v>
      </c>
      <c r="O1730" s="197">
        <v>0</v>
      </c>
      <c r="P1730" s="197">
        <v>0</v>
      </c>
      <c r="Q1730" s="197">
        <v>0</v>
      </c>
      <c r="R1730" s="260" t="s">
        <v>239</v>
      </c>
      <c r="S1730" s="260" t="s">
        <v>514</v>
      </c>
      <c r="T1730" s="260" t="s">
        <v>239</v>
      </c>
      <c r="U1730" s="260" t="s">
        <v>514</v>
      </c>
    </row>
    <row r="1731" spans="1:21" ht="14.5" x14ac:dyDescent="0.35">
      <c r="A1731" s="260" t="s">
        <v>649</v>
      </c>
      <c r="B1731" s="190">
        <v>45922</v>
      </c>
      <c r="C1731" s="197">
        <v>236059.3</v>
      </c>
      <c r="D1731" s="197">
        <v>0</v>
      </c>
      <c r="E1731" s="197">
        <v>0</v>
      </c>
      <c r="F1731" s="197">
        <v>0</v>
      </c>
      <c r="G1731" s="197">
        <v>183406</v>
      </c>
      <c r="H1731" s="197">
        <v>52635.8</v>
      </c>
      <c r="I1731" s="197">
        <v>0</v>
      </c>
      <c r="J1731" s="197">
        <v>236041.8</v>
      </c>
      <c r="K1731" s="197">
        <v>236041.8</v>
      </c>
      <c r="L1731" s="197">
        <v>54080.666666666664</v>
      </c>
      <c r="M1731" s="197">
        <v>36.666666666666515</v>
      </c>
      <c r="N1731" s="197">
        <v>0</v>
      </c>
      <c r="O1731" s="197">
        <v>0</v>
      </c>
      <c r="P1731" s="197">
        <v>-17.5</v>
      </c>
      <c r="Q1731" s="197">
        <v>-7.4133914656160371E-5</v>
      </c>
      <c r="R1731" s="260" t="s">
        <v>239</v>
      </c>
      <c r="S1731" s="260" t="s">
        <v>514</v>
      </c>
      <c r="T1731" s="260" t="s">
        <v>239</v>
      </c>
      <c r="U1731" s="260" t="s">
        <v>514</v>
      </c>
    </row>
    <row r="1732" spans="1:21" ht="14.5" x14ac:dyDescent="0.35">
      <c r="A1732" s="260" t="s">
        <v>649</v>
      </c>
      <c r="B1732" s="190">
        <v>45923</v>
      </c>
      <c r="C1732" s="197">
        <v>236041.8</v>
      </c>
      <c r="D1732" s="197">
        <v>0</v>
      </c>
      <c r="E1732" s="197">
        <v>0</v>
      </c>
      <c r="F1732" s="197">
        <v>0</v>
      </c>
      <c r="G1732" s="197">
        <v>183406</v>
      </c>
      <c r="H1732" s="197">
        <v>52630.399999999994</v>
      </c>
      <c r="I1732" s="197">
        <v>0</v>
      </c>
      <c r="J1732" s="197">
        <v>236036.4</v>
      </c>
      <c r="K1732" s="197">
        <v>236036.4</v>
      </c>
      <c r="L1732" s="197">
        <v>54080.666666666664</v>
      </c>
      <c r="M1732" s="197">
        <v>36.666666666666515</v>
      </c>
      <c r="N1732" s="197">
        <v>0</v>
      </c>
      <c r="O1732" s="197">
        <v>0</v>
      </c>
      <c r="P1732" s="197">
        <v>-5.3999999999941792</v>
      </c>
      <c r="Q1732" s="197">
        <v>-2.2877303935131543E-5</v>
      </c>
      <c r="R1732" s="260" t="s">
        <v>239</v>
      </c>
      <c r="S1732" s="260" t="s">
        <v>514</v>
      </c>
      <c r="T1732" s="260" t="s">
        <v>239</v>
      </c>
      <c r="U1732" s="260" t="s">
        <v>514</v>
      </c>
    </row>
    <row r="1733" spans="1:21" ht="14.5" x14ac:dyDescent="0.35">
      <c r="A1733" s="260" t="s">
        <v>649</v>
      </c>
      <c r="B1733" s="190">
        <v>45924</v>
      </c>
      <c r="C1733" s="197">
        <v>236036.4</v>
      </c>
      <c r="D1733" s="197">
        <v>0</v>
      </c>
      <c r="E1733" s="197">
        <v>0</v>
      </c>
      <c r="F1733" s="197">
        <v>0</v>
      </c>
      <c r="G1733" s="197">
        <v>183406</v>
      </c>
      <c r="H1733" s="197">
        <v>52626.7</v>
      </c>
      <c r="I1733" s="197">
        <v>0</v>
      </c>
      <c r="J1733" s="197">
        <v>236032.7</v>
      </c>
      <c r="K1733" s="197">
        <v>236032.7</v>
      </c>
      <c r="L1733" s="197">
        <v>54080.666666666664</v>
      </c>
      <c r="M1733" s="197">
        <v>36.666666666666515</v>
      </c>
      <c r="N1733" s="197">
        <v>0</v>
      </c>
      <c r="O1733" s="197">
        <v>0</v>
      </c>
      <c r="P1733" s="197">
        <v>-3.6999999999825377</v>
      </c>
      <c r="Q1733" s="197">
        <v>-1.5675548347582335E-5</v>
      </c>
      <c r="R1733" s="260" t="s">
        <v>239</v>
      </c>
      <c r="S1733" s="260" t="s">
        <v>514</v>
      </c>
      <c r="T1733" s="260" t="s">
        <v>239</v>
      </c>
      <c r="U1733" s="260" t="s">
        <v>514</v>
      </c>
    </row>
    <row r="1734" spans="1:21" ht="14.5" x14ac:dyDescent="0.35">
      <c r="A1734" s="260" t="s">
        <v>649</v>
      </c>
      <c r="B1734" s="190">
        <v>45925</v>
      </c>
      <c r="C1734" s="197">
        <v>236032.7</v>
      </c>
      <c r="D1734" s="197">
        <v>0</v>
      </c>
      <c r="E1734" s="197">
        <v>0</v>
      </c>
      <c r="F1734" s="197">
        <v>0</v>
      </c>
      <c r="G1734" s="197">
        <v>183406</v>
      </c>
      <c r="H1734" s="197">
        <v>52619.8</v>
      </c>
      <c r="I1734" s="197">
        <v>0</v>
      </c>
      <c r="J1734" s="197">
        <v>236025.8</v>
      </c>
      <c r="K1734" s="197">
        <v>236025.8</v>
      </c>
      <c r="L1734" s="197">
        <v>54080.666666666664</v>
      </c>
      <c r="M1734" s="197">
        <v>36.666666666666515</v>
      </c>
      <c r="N1734" s="197">
        <v>0</v>
      </c>
      <c r="O1734" s="197">
        <v>0</v>
      </c>
      <c r="P1734" s="197">
        <v>-6.9000000000232831</v>
      </c>
      <c r="Q1734" s="197">
        <v>-2.9233237598069728E-5</v>
      </c>
      <c r="R1734" s="260" t="s">
        <v>239</v>
      </c>
      <c r="S1734" s="260" t="s">
        <v>514</v>
      </c>
      <c r="T1734" s="260" t="s">
        <v>239</v>
      </c>
      <c r="U1734" s="260" t="s">
        <v>514</v>
      </c>
    </row>
    <row r="1735" spans="1:21" ht="14.5" x14ac:dyDescent="0.35">
      <c r="A1735" s="260" t="s">
        <v>649</v>
      </c>
      <c r="B1735" s="190">
        <v>45926</v>
      </c>
      <c r="C1735" s="197">
        <v>236025.8</v>
      </c>
      <c r="D1735" s="197">
        <v>0</v>
      </c>
      <c r="E1735" s="197">
        <v>0</v>
      </c>
      <c r="F1735" s="197">
        <v>0</v>
      </c>
      <c r="G1735" s="197">
        <v>183406</v>
      </c>
      <c r="H1735" s="197">
        <v>52612.9</v>
      </c>
      <c r="I1735" s="197">
        <v>0</v>
      </c>
      <c r="J1735" s="197">
        <v>236018.9</v>
      </c>
      <c r="K1735" s="197">
        <v>236018.9</v>
      </c>
      <c r="L1735" s="197">
        <v>54080.666666666664</v>
      </c>
      <c r="M1735" s="197">
        <v>36.666666666666515</v>
      </c>
      <c r="N1735" s="197">
        <v>0</v>
      </c>
      <c r="O1735" s="197">
        <v>0</v>
      </c>
      <c r="P1735" s="197">
        <v>-6.8999999999941792</v>
      </c>
      <c r="Q1735" s="197">
        <v>-2.923409220512152E-5</v>
      </c>
      <c r="R1735" s="260" t="s">
        <v>239</v>
      </c>
      <c r="S1735" s="260" t="s">
        <v>514</v>
      </c>
      <c r="T1735" s="260" t="s">
        <v>239</v>
      </c>
      <c r="U1735" s="260" t="s">
        <v>514</v>
      </c>
    </row>
    <row r="1736" spans="1:21" ht="14.5" x14ac:dyDescent="0.35">
      <c r="A1736" s="260" t="s">
        <v>649</v>
      </c>
      <c r="B1736" s="190">
        <v>45927</v>
      </c>
      <c r="C1736" s="197">
        <v>236018.9</v>
      </c>
      <c r="D1736" s="197">
        <v>0</v>
      </c>
      <c r="E1736" s="197">
        <v>0</v>
      </c>
      <c r="F1736" s="197">
        <v>0</v>
      </c>
      <c r="G1736" s="197">
        <v>183406</v>
      </c>
      <c r="H1736" s="197">
        <v>52612.9</v>
      </c>
      <c r="I1736" s="197">
        <v>0</v>
      </c>
      <c r="J1736" s="197">
        <v>236018.9</v>
      </c>
      <c r="K1736" s="197">
        <v>236018.9</v>
      </c>
      <c r="L1736" s="197">
        <v>54080.666666666664</v>
      </c>
      <c r="M1736" s="197">
        <v>36.666666666666515</v>
      </c>
      <c r="N1736" s="197">
        <v>0</v>
      </c>
      <c r="O1736" s="197">
        <v>0</v>
      </c>
      <c r="P1736" s="197">
        <v>0</v>
      </c>
      <c r="Q1736" s="197">
        <v>0</v>
      </c>
      <c r="R1736" s="260" t="s">
        <v>239</v>
      </c>
      <c r="S1736" s="260" t="s">
        <v>514</v>
      </c>
      <c r="T1736" s="260" t="s">
        <v>239</v>
      </c>
      <c r="U1736" s="260" t="s">
        <v>514</v>
      </c>
    </row>
    <row r="1737" spans="1:21" ht="14.5" x14ac:dyDescent="0.35">
      <c r="A1737" s="260" t="s">
        <v>649</v>
      </c>
      <c r="B1737" s="190">
        <v>45928</v>
      </c>
      <c r="C1737" s="197">
        <v>236018.9</v>
      </c>
      <c r="D1737" s="197">
        <v>0</v>
      </c>
      <c r="E1737" s="197">
        <v>0</v>
      </c>
      <c r="F1737" s="197">
        <v>0</v>
      </c>
      <c r="G1737" s="197">
        <v>183406</v>
      </c>
      <c r="H1737" s="197">
        <v>52612.9</v>
      </c>
      <c r="I1737" s="197">
        <v>0</v>
      </c>
      <c r="J1737" s="197">
        <v>236018.9</v>
      </c>
      <c r="K1737" s="197">
        <v>236018.9</v>
      </c>
      <c r="L1737" s="197">
        <v>54080.666666666664</v>
      </c>
      <c r="M1737" s="197">
        <v>36.666666666666515</v>
      </c>
      <c r="N1737" s="197">
        <v>0</v>
      </c>
      <c r="O1737" s="197">
        <v>0</v>
      </c>
      <c r="P1737" s="197">
        <v>0</v>
      </c>
      <c r="Q1737" s="197">
        <v>0</v>
      </c>
      <c r="R1737" s="260" t="s">
        <v>239</v>
      </c>
      <c r="S1737" s="260" t="s">
        <v>514</v>
      </c>
      <c r="T1737" s="260" t="s">
        <v>239</v>
      </c>
      <c r="U1737" s="260" t="s">
        <v>514</v>
      </c>
    </row>
    <row r="1738" spans="1:21" ht="14.5" x14ac:dyDescent="0.35">
      <c r="A1738" s="260" t="s">
        <v>649</v>
      </c>
      <c r="B1738" s="190">
        <v>45929</v>
      </c>
      <c r="C1738" s="197">
        <v>236018.9</v>
      </c>
      <c r="D1738" s="197">
        <v>0</v>
      </c>
      <c r="E1738" s="197">
        <v>0</v>
      </c>
      <c r="F1738" s="197">
        <v>0</v>
      </c>
      <c r="G1738" s="197">
        <v>183406</v>
      </c>
      <c r="H1738" s="197">
        <v>52596.9</v>
      </c>
      <c r="I1738" s="197">
        <v>0</v>
      </c>
      <c r="J1738" s="197">
        <v>236002.9</v>
      </c>
      <c r="K1738" s="197">
        <v>236002.9</v>
      </c>
      <c r="L1738" s="197">
        <v>54080.666666666664</v>
      </c>
      <c r="M1738" s="197">
        <v>36.666666666666515</v>
      </c>
      <c r="N1738" s="197">
        <v>0</v>
      </c>
      <c r="O1738" s="197">
        <v>0</v>
      </c>
      <c r="P1738" s="197">
        <v>-16</v>
      </c>
      <c r="Q1738" s="197">
        <v>-6.7791181129983613E-5</v>
      </c>
      <c r="R1738" s="260" t="s">
        <v>239</v>
      </c>
      <c r="S1738" s="260" t="s">
        <v>514</v>
      </c>
      <c r="T1738" s="260" t="s">
        <v>239</v>
      </c>
      <c r="U1738" s="260" t="s">
        <v>514</v>
      </c>
    </row>
    <row r="1739" spans="1:21" ht="14.5" x14ac:dyDescent="0.35">
      <c r="A1739" s="260" t="s">
        <v>649</v>
      </c>
      <c r="B1739" s="190">
        <v>45930</v>
      </c>
      <c r="C1739" s="197">
        <v>236002.9</v>
      </c>
      <c r="D1739" s="197">
        <v>0</v>
      </c>
      <c r="E1739" s="197">
        <v>0</v>
      </c>
      <c r="F1739" s="197">
        <v>0</v>
      </c>
      <c r="G1739" s="197">
        <v>183406</v>
      </c>
      <c r="H1739" s="197">
        <v>52590</v>
      </c>
      <c r="I1739" s="197">
        <v>0</v>
      </c>
      <c r="J1739" s="197">
        <v>235996</v>
      </c>
      <c r="K1739" s="197">
        <v>235996</v>
      </c>
      <c r="L1739" s="197">
        <v>54080.666666666664</v>
      </c>
      <c r="M1739" s="197">
        <v>36.666666666666515</v>
      </c>
      <c r="N1739" s="197">
        <v>0</v>
      </c>
      <c r="O1739" s="197">
        <v>0</v>
      </c>
      <c r="P1739" s="197">
        <v>-6.8999999999941792</v>
      </c>
      <c r="Q1739" s="197">
        <v>-2.9236928868248135E-5</v>
      </c>
      <c r="R1739" s="260" t="s">
        <v>239</v>
      </c>
      <c r="S1739" s="260" t="s">
        <v>514</v>
      </c>
      <c r="T1739" s="260" t="s">
        <v>239</v>
      </c>
      <c r="U1739" s="260" t="s">
        <v>514</v>
      </c>
    </row>
    <row r="1740" spans="1:21" ht="14.5" x14ac:dyDescent="0.35">
      <c r="A1740" s="260" t="s">
        <v>649</v>
      </c>
      <c r="B1740" s="190">
        <v>45931</v>
      </c>
      <c r="C1740" s="197">
        <v>235996</v>
      </c>
      <c r="D1740" s="197">
        <v>0</v>
      </c>
      <c r="E1740" s="197">
        <v>0</v>
      </c>
      <c r="F1740" s="197">
        <v>0</v>
      </c>
      <c r="G1740" s="197">
        <v>183406</v>
      </c>
      <c r="H1740" s="197">
        <v>52590</v>
      </c>
      <c r="I1740" s="197">
        <v>0</v>
      </c>
      <c r="J1740" s="197">
        <v>235996</v>
      </c>
      <c r="K1740" s="197">
        <v>235996</v>
      </c>
      <c r="L1740" s="197">
        <v>54080.666666666664</v>
      </c>
      <c r="M1740" s="197">
        <v>36.666666666666515</v>
      </c>
      <c r="N1740" s="197">
        <v>0</v>
      </c>
      <c r="O1740" s="197">
        <v>0</v>
      </c>
      <c r="P1740" s="197">
        <v>0</v>
      </c>
      <c r="Q1740" s="197">
        <v>0</v>
      </c>
      <c r="R1740" s="260" t="s">
        <v>239</v>
      </c>
      <c r="S1740" s="260" t="s">
        <v>514</v>
      </c>
      <c r="T1740" s="260" t="s">
        <v>239</v>
      </c>
      <c r="U1740" s="260" t="s">
        <v>514</v>
      </c>
    </row>
    <row r="1741" spans="1:21" ht="14.5" x14ac:dyDescent="0.35">
      <c r="A1741" s="260" t="s">
        <v>649</v>
      </c>
      <c r="B1741" s="190">
        <v>45932</v>
      </c>
      <c r="C1741" s="197">
        <v>235996</v>
      </c>
      <c r="D1741" s="197">
        <v>0</v>
      </c>
      <c r="E1741" s="197">
        <v>0</v>
      </c>
      <c r="F1741" s="197">
        <v>0</v>
      </c>
      <c r="G1741" s="197">
        <v>183406</v>
      </c>
      <c r="H1741" s="197">
        <v>52549.4</v>
      </c>
      <c r="I1741" s="197">
        <v>0</v>
      </c>
      <c r="J1741" s="197">
        <v>235955.4</v>
      </c>
      <c r="K1741" s="197">
        <v>235955.4</v>
      </c>
      <c r="L1741" s="197">
        <v>54080.666666666664</v>
      </c>
      <c r="M1741" s="197">
        <v>36.666666666666515</v>
      </c>
      <c r="N1741" s="197">
        <v>0</v>
      </c>
      <c r="O1741" s="197">
        <v>0</v>
      </c>
      <c r="P1741" s="197">
        <v>-40.600000000005821</v>
      </c>
      <c r="Q1741" s="197">
        <v>-1.720368141833184E-4</v>
      </c>
      <c r="R1741" s="260" t="s">
        <v>239</v>
      </c>
      <c r="S1741" s="260" t="s">
        <v>514</v>
      </c>
      <c r="T1741" s="260" t="s">
        <v>239</v>
      </c>
      <c r="U1741" s="260" t="s">
        <v>514</v>
      </c>
    </row>
    <row r="1742" spans="1:21" ht="14.5" x14ac:dyDescent="0.35">
      <c r="A1742" s="260" t="s">
        <v>649</v>
      </c>
      <c r="B1742" s="190">
        <v>45933</v>
      </c>
      <c r="C1742" s="197">
        <v>235955.4</v>
      </c>
      <c r="D1742" s="197">
        <v>0</v>
      </c>
      <c r="E1742" s="197">
        <v>0</v>
      </c>
      <c r="F1742" s="197">
        <v>0</v>
      </c>
      <c r="G1742" s="197">
        <v>183406</v>
      </c>
      <c r="H1742" s="197">
        <v>52511.6</v>
      </c>
      <c r="I1742" s="197">
        <v>0</v>
      </c>
      <c r="J1742" s="197">
        <v>235917.6</v>
      </c>
      <c r="K1742" s="197">
        <v>235917.6</v>
      </c>
      <c r="L1742" s="197">
        <v>54080.666666666664</v>
      </c>
      <c r="M1742" s="197">
        <v>36.666666666666515</v>
      </c>
      <c r="N1742" s="197">
        <v>0</v>
      </c>
      <c r="O1742" s="197">
        <v>0</v>
      </c>
      <c r="P1742" s="197">
        <v>-37.799999999988358</v>
      </c>
      <c r="Q1742" s="197">
        <v>-1.6019976656600488E-4</v>
      </c>
      <c r="R1742" s="260" t="s">
        <v>239</v>
      </c>
      <c r="S1742" s="260" t="s">
        <v>514</v>
      </c>
      <c r="T1742" s="260" t="s">
        <v>239</v>
      </c>
      <c r="U1742" s="260" t="s">
        <v>514</v>
      </c>
    </row>
    <row r="1743" spans="1:21" ht="14.5" x14ac:dyDescent="0.35">
      <c r="A1743" s="260" t="s">
        <v>649</v>
      </c>
      <c r="B1743" s="190">
        <v>45934</v>
      </c>
      <c r="C1743" s="197">
        <v>235917.6</v>
      </c>
      <c r="D1743" s="197">
        <v>0</v>
      </c>
      <c r="E1743" s="197">
        <v>0</v>
      </c>
      <c r="F1743" s="197">
        <v>0</v>
      </c>
      <c r="G1743" s="197">
        <v>183406</v>
      </c>
      <c r="H1743" s="197">
        <v>52511.6</v>
      </c>
      <c r="I1743" s="197">
        <v>0</v>
      </c>
      <c r="J1743" s="197">
        <v>235917.6</v>
      </c>
      <c r="K1743" s="197">
        <v>235917.6</v>
      </c>
      <c r="L1743" s="197">
        <v>54080.666666666664</v>
      </c>
      <c r="M1743" s="197">
        <v>36.666666666666515</v>
      </c>
      <c r="N1743" s="197">
        <v>0</v>
      </c>
      <c r="O1743" s="197">
        <v>0</v>
      </c>
      <c r="P1743" s="197">
        <v>0</v>
      </c>
      <c r="Q1743" s="197">
        <v>0</v>
      </c>
      <c r="R1743" s="260" t="s">
        <v>239</v>
      </c>
      <c r="S1743" s="260" t="s">
        <v>514</v>
      </c>
      <c r="T1743" s="260" t="s">
        <v>239</v>
      </c>
      <c r="U1743" s="260" t="s">
        <v>514</v>
      </c>
    </row>
    <row r="1744" spans="1:21" ht="14.5" x14ac:dyDescent="0.35">
      <c r="A1744" s="260" t="s">
        <v>649</v>
      </c>
      <c r="B1744" s="190">
        <v>45935</v>
      </c>
      <c r="C1744" s="197">
        <v>235917.6</v>
      </c>
      <c r="D1744" s="197">
        <v>0</v>
      </c>
      <c r="E1744" s="197">
        <v>0</v>
      </c>
      <c r="F1744" s="197">
        <v>0</v>
      </c>
      <c r="G1744" s="197">
        <v>183406</v>
      </c>
      <c r="H1744" s="197">
        <v>52511.6</v>
      </c>
      <c r="I1744" s="197">
        <v>0</v>
      </c>
      <c r="J1744" s="197">
        <v>235917.6</v>
      </c>
      <c r="K1744" s="197">
        <v>235917.6</v>
      </c>
      <c r="L1744" s="197">
        <v>54080.666666666664</v>
      </c>
      <c r="M1744" s="197">
        <v>36.666666666666515</v>
      </c>
      <c r="N1744" s="197">
        <v>0</v>
      </c>
      <c r="O1744" s="197">
        <v>0</v>
      </c>
      <c r="P1744" s="197">
        <v>0</v>
      </c>
      <c r="Q1744" s="197">
        <v>0</v>
      </c>
      <c r="R1744" s="260" t="s">
        <v>239</v>
      </c>
      <c r="S1744" s="260" t="s">
        <v>514</v>
      </c>
      <c r="T1744" s="260" t="s">
        <v>239</v>
      </c>
      <c r="U1744" s="260" t="s">
        <v>514</v>
      </c>
    </row>
    <row r="1745" spans="1:21" ht="14.5" x14ac:dyDescent="0.35">
      <c r="A1745" s="260" t="s">
        <v>649</v>
      </c>
      <c r="B1745" s="190">
        <v>45936</v>
      </c>
      <c r="C1745" s="197">
        <v>235917.6</v>
      </c>
      <c r="D1745" s="197">
        <v>0</v>
      </c>
      <c r="E1745" s="197">
        <v>0</v>
      </c>
      <c r="F1745" s="197">
        <v>0</v>
      </c>
      <c r="G1745" s="197">
        <v>183406</v>
      </c>
      <c r="H1745" s="197">
        <v>52392.6</v>
      </c>
      <c r="I1745" s="197">
        <v>0</v>
      </c>
      <c r="J1745" s="197">
        <v>235798.6</v>
      </c>
      <c r="K1745" s="197">
        <v>235798.6</v>
      </c>
      <c r="L1745" s="197">
        <v>54080.666666666664</v>
      </c>
      <c r="M1745" s="197">
        <v>36.666666666666515</v>
      </c>
      <c r="N1745" s="197">
        <v>0</v>
      </c>
      <c r="O1745" s="197">
        <v>0</v>
      </c>
      <c r="P1745" s="197">
        <v>-119</v>
      </c>
      <c r="Q1745" s="197">
        <v>-5.0441340535845036E-4</v>
      </c>
      <c r="R1745" s="260" t="s">
        <v>239</v>
      </c>
      <c r="S1745" s="260" t="s">
        <v>514</v>
      </c>
      <c r="T1745" s="260" t="s">
        <v>239</v>
      </c>
      <c r="U1745" s="260" t="s">
        <v>514</v>
      </c>
    </row>
    <row r="1746" spans="1:21" ht="14.5" x14ac:dyDescent="0.35">
      <c r="A1746" s="260" t="s">
        <v>649</v>
      </c>
      <c r="B1746" s="190">
        <v>45937</v>
      </c>
      <c r="C1746" s="197">
        <v>235798.6</v>
      </c>
      <c r="D1746" s="197">
        <v>0</v>
      </c>
      <c r="E1746" s="197">
        <v>0</v>
      </c>
      <c r="F1746" s="197">
        <v>0</v>
      </c>
      <c r="G1746" s="197">
        <v>183406</v>
      </c>
      <c r="H1746" s="197">
        <v>52352</v>
      </c>
      <c r="I1746" s="197">
        <v>0</v>
      </c>
      <c r="J1746" s="197">
        <v>235758</v>
      </c>
      <c r="K1746" s="197">
        <v>235758</v>
      </c>
      <c r="L1746" s="197">
        <v>54080.666666666664</v>
      </c>
      <c r="M1746" s="197">
        <v>36.666666666666515</v>
      </c>
      <c r="N1746" s="197">
        <v>0</v>
      </c>
      <c r="O1746" s="197">
        <v>0</v>
      </c>
      <c r="P1746" s="197">
        <v>-40.600000000005821</v>
      </c>
      <c r="Q1746" s="197">
        <v>-1.7218083567926978E-4</v>
      </c>
      <c r="R1746" s="260" t="s">
        <v>239</v>
      </c>
      <c r="S1746" s="260" t="s">
        <v>514</v>
      </c>
      <c r="T1746" s="260" t="s">
        <v>239</v>
      </c>
      <c r="U1746" s="260" t="s">
        <v>514</v>
      </c>
    </row>
    <row r="1747" spans="1:21" ht="14.5" x14ac:dyDescent="0.35">
      <c r="A1747" s="260" t="s">
        <v>649</v>
      </c>
      <c r="B1747" s="190">
        <v>45938</v>
      </c>
      <c r="C1747" s="197">
        <v>235758</v>
      </c>
      <c r="D1747" s="197">
        <v>0</v>
      </c>
      <c r="E1747" s="197">
        <v>0</v>
      </c>
      <c r="F1747" s="197">
        <v>0</v>
      </c>
      <c r="G1747" s="197">
        <v>183406</v>
      </c>
      <c r="H1747" s="197">
        <v>52311.4</v>
      </c>
      <c r="I1747" s="197">
        <v>0</v>
      </c>
      <c r="J1747" s="197">
        <v>235717.4</v>
      </c>
      <c r="K1747" s="197">
        <v>235717.4</v>
      </c>
      <c r="L1747" s="197">
        <v>54080.666666666664</v>
      </c>
      <c r="M1747" s="197">
        <v>36.666666666666515</v>
      </c>
      <c r="N1747" s="197">
        <v>0</v>
      </c>
      <c r="O1747" s="197">
        <v>0</v>
      </c>
      <c r="P1747" s="197">
        <v>-40.600000000005821</v>
      </c>
      <c r="Q1747" s="197">
        <v>-1.7221048702487085E-4</v>
      </c>
      <c r="R1747" s="260" t="s">
        <v>239</v>
      </c>
      <c r="S1747" s="260" t="s">
        <v>514</v>
      </c>
      <c r="T1747" s="260" t="s">
        <v>239</v>
      </c>
      <c r="U1747" s="260" t="s">
        <v>514</v>
      </c>
    </row>
    <row r="1748" spans="1:21" ht="14.5" x14ac:dyDescent="0.35">
      <c r="A1748" s="260" t="s">
        <v>649</v>
      </c>
      <c r="B1748" s="190">
        <v>45939</v>
      </c>
      <c r="C1748" s="197">
        <v>235717.4</v>
      </c>
      <c r="D1748" s="197">
        <v>0</v>
      </c>
      <c r="E1748" s="197">
        <v>0</v>
      </c>
      <c r="F1748" s="197">
        <v>0</v>
      </c>
      <c r="G1748" s="197">
        <v>183406</v>
      </c>
      <c r="H1748" s="197">
        <v>52273.599999999999</v>
      </c>
      <c r="I1748" s="197">
        <v>0</v>
      </c>
      <c r="J1748" s="197">
        <v>235679.6</v>
      </c>
      <c r="K1748" s="197">
        <v>235679.6</v>
      </c>
      <c r="L1748" s="197">
        <v>54080.666666666664</v>
      </c>
      <c r="M1748" s="197">
        <v>36.666666666666515</v>
      </c>
      <c r="N1748" s="197">
        <v>0</v>
      </c>
      <c r="O1748" s="197">
        <v>0</v>
      </c>
      <c r="P1748" s="197">
        <v>-37.799999999988358</v>
      </c>
      <c r="Q1748" s="197">
        <v>-1.6036151764775575E-4</v>
      </c>
      <c r="R1748" s="260" t="s">
        <v>239</v>
      </c>
      <c r="S1748" s="260" t="s">
        <v>514</v>
      </c>
      <c r="T1748" s="260" t="s">
        <v>239</v>
      </c>
      <c r="U1748" s="260" t="s">
        <v>514</v>
      </c>
    </row>
    <row r="1749" spans="1:21" ht="14.5" x14ac:dyDescent="0.35">
      <c r="A1749" s="260" t="s">
        <v>649</v>
      </c>
      <c r="B1749" s="190">
        <v>45940</v>
      </c>
      <c r="C1749" s="197">
        <v>235679.6</v>
      </c>
      <c r="D1749" s="197">
        <v>0</v>
      </c>
      <c r="E1749" s="197">
        <v>0</v>
      </c>
      <c r="F1749" s="197">
        <v>0</v>
      </c>
      <c r="G1749" s="197">
        <v>183406</v>
      </c>
      <c r="H1749" s="197">
        <v>52233</v>
      </c>
      <c r="I1749" s="197">
        <v>0</v>
      </c>
      <c r="J1749" s="197">
        <v>235639</v>
      </c>
      <c r="K1749" s="197">
        <v>235639</v>
      </c>
      <c r="L1749" s="197">
        <v>54080.666666666664</v>
      </c>
      <c r="M1749" s="197">
        <v>36.666666666666515</v>
      </c>
      <c r="N1749" s="197">
        <v>0</v>
      </c>
      <c r="O1749" s="197">
        <v>0</v>
      </c>
      <c r="P1749" s="197">
        <v>-40.600000000005821</v>
      </c>
      <c r="Q1749" s="197">
        <v>-1.7226777370638047E-4</v>
      </c>
      <c r="R1749" s="260" t="s">
        <v>239</v>
      </c>
      <c r="S1749" s="260" t="s">
        <v>514</v>
      </c>
      <c r="T1749" s="260" t="s">
        <v>239</v>
      </c>
      <c r="U1749" s="260" t="s">
        <v>514</v>
      </c>
    </row>
    <row r="1750" spans="1:21" ht="14.5" x14ac:dyDescent="0.35">
      <c r="A1750" s="260" t="s">
        <v>649</v>
      </c>
      <c r="B1750" s="190">
        <v>45941</v>
      </c>
      <c r="C1750" s="197">
        <v>235639</v>
      </c>
      <c r="D1750" s="197">
        <v>0</v>
      </c>
      <c r="E1750" s="197">
        <v>0</v>
      </c>
      <c r="F1750" s="197">
        <v>0</v>
      </c>
      <c r="G1750" s="197">
        <v>183406</v>
      </c>
      <c r="H1750" s="197">
        <v>52233</v>
      </c>
      <c r="I1750" s="197">
        <v>0</v>
      </c>
      <c r="J1750" s="197">
        <v>235639</v>
      </c>
      <c r="K1750" s="197">
        <v>235639</v>
      </c>
      <c r="L1750" s="197">
        <v>54080.666666666664</v>
      </c>
      <c r="M1750" s="197">
        <v>36.666666666666515</v>
      </c>
      <c r="N1750" s="197">
        <v>0</v>
      </c>
      <c r="O1750" s="197">
        <v>0</v>
      </c>
      <c r="P1750" s="197">
        <v>0</v>
      </c>
      <c r="Q1750" s="197">
        <v>0</v>
      </c>
      <c r="R1750" s="260" t="s">
        <v>239</v>
      </c>
      <c r="S1750" s="260" t="s">
        <v>514</v>
      </c>
      <c r="T1750" s="260" t="s">
        <v>239</v>
      </c>
      <c r="U1750" s="260" t="s">
        <v>514</v>
      </c>
    </row>
    <row r="1751" spans="1:21" ht="14.5" x14ac:dyDescent="0.35">
      <c r="A1751" s="260" t="s">
        <v>649</v>
      </c>
      <c r="B1751" s="190">
        <v>45942</v>
      </c>
      <c r="C1751" s="197">
        <v>235639</v>
      </c>
      <c r="D1751" s="197">
        <v>0</v>
      </c>
      <c r="E1751" s="197">
        <v>0</v>
      </c>
      <c r="F1751" s="197">
        <v>0</v>
      </c>
      <c r="G1751" s="197">
        <v>183406</v>
      </c>
      <c r="H1751" s="197">
        <v>52233</v>
      </c>
      <c r="I1751" s="197">
        <v>0</v>
      </c>
      <c r="J1751" s="197">
        <v>235639</v>
      </c>
      <c r="K1751" s="197">
        <v>235639</v>
      </c>
      <c r="L1751" s="197">
        <v>54080.666666666664</v>
      </c>
      <c r="M1751" s="197">
        <v>36.666666666666515</v>
      </c>
      <c r="N1751" s="197">
        <v>0</v>
      </c>
      <c r="O1751" s="197">
        <v>0</v>
      </c>
      <c r="P1751" s="197">
        <v>0</v>
      </c>
      <c r="Q1751" s="197">
        <v>0</v>
      </c>
      <c r="R1751" s="260" t="s">
        <v>239</v>
      </c>
      <c r="S1751" s="260" t="s">
        <v>514</v>
      </c>
      <c r="T1751" s="260" t="s">
        <v>239</v>
      </c>
      <c r="U1751" s="260" t="s">
        <v>514</v>
      </c>
    </row>
    <row r="1752" spans="1:21" ht="14.5" x14ac:dyDescent="0.35">
      <c r="A1752" s="260" t="s">
        <v>649</v>
      </c>
      <c r="B1752" s="190">
        <v>45943</v>
      </c>
      <c r="C1752" s="197">
        <v>235639</v>
      </c>
      <c r="D1752" s="197">
        <v>0</v>
      </c>
      <c r="E1752" s="197">
        <v>0</v>
      </c>
      <c r="F1752" s="197">
        <v>0</v>
      </c>
      <c r="G1752" s="197">
        <v>183406</v>
      </c>
      <c r="H1752" s="197">
        <v>52114</v>
      </c>
      <c r="I1752" s="197">
        <v>0</v>
      </c>
      <c r="J1752" s="197">
        <v>235520</v>
      </c>
      <c r="K1752" s="197">
        <v>235520</v>
      </c>
      <c r="L1752" s="197">
        <v>54080.666666666664</v>
      </c>
      <c r="M1752" s="197">
        <v>36.666666666666515</v>
      </c>
      <c r="N1752" s="197">
        <v>0</v>
      </c>
      <c r="O1752" s="197">
        <v>0</v>
      </c>
      <c r="P1752" s="197">
        <v>-119</v>
      </c>
      <c r="Q1752" s="197">
        <v>-5.0500978191214685E-4</v>
      </c>
      <c r="R1752" s="260" t="s">
        <v>239</v>
      </c>
      <c r="S1752" s="260" t="s">
        <v>514</v>
      </c>
      <c r="T1752" s="260" t="s">
        <v>239</v>
      </c>
      <c r="U1752" s="260" t="s">
        <v>514</v>
      </c>
    </row>
    <row r="1753" spans="1:21" ht="14.5" x14ac:dyDescent="0.35">
      <c r="A1753" s="260" t="s">
        <v>649</v>
      </c>
      <c r="B1753" s="190">
        <v>45944</v>
      </c>
      <c r="C1753" s="197">
        <v>235520</v>
      </c>
      <c r="D1753" s="197">
        <v>0</v>
      </c>
      <c r="E1753" s="197">
        <v>0</v>
      </c>
      <c r="F1753" s="197">
        <v>0</v>
      </c>
      <c r="G1753" s="197">
        <v>183406</v>
      </c>
      <c r="H1753" s="197">
        <v>52073.4</v>
      </c>
      <c r="I1753" s="197">
        <v>0</v>
      </c>
      <c r="J1753" s="197">
        <v>235479.4</v>
      </c>
      <c r="K1753" s="197">
        <v>235479.4</v>
      </c>
      <c r="L1753" s="197">
        <v>54080.666666666664</v>
      </c>
      <c r="M1753" s="197">
        <v>36.666666666666515</v>
      </c>
      <c r="N1753" s="197">
        <v>0</v>
      </c>
      <c r="O1753" s="197">
        <v>0</v>
      </c>
      <c r="P1753" s="197">
        <v>-40.600000000005821</v>
      </c>
      <c r="Q1753" s="197">
        <v>-1.7238451086953877E-4</v>
      </c>
      <c r="R1753" s="260" t="s">
        <v>239</v>
      </c>
      <c r="S1753" s="260" t="s">
        <v>514</v>
      </c>
      <c r="T1753" s="260" t="s">
        <v>239</v>
      </c>
      <c r="U1753" s="260" t="s">
        <v>514</v>
      </c>
    </row>
    <row r="1754" spans="1:21" ht="14.5" x14ac:dyDescent="0.35">
      <c r="A1754" s="260" t="s">
        <v>649</v>
      </c>
      <c r="B1754" s="190">
        <v>45945</v>
      </c>
      <c r="C1754" s="197">
        <v>235479.4</v>
      </c>
      <c r="D1754" s="197">
        <v>0</v>
      </c>
      <c r="E1754" s="197">
        <v>0</v>
      </c>
      <c r="F1754" s="197">
        <v>0</v>
      </c>
      <c r="G1754" s="197">
        <v>183406</v>
      </c>
      <c r="H1754" s="197">
        <v>52035.6</v>
      </c>
      <c r="I1754" s="197">
        <v>0</v>
      </c>
      <c r="J1754" s="197">
        <v>235441.6</v>
      </c>
      <c r="K1754" s="197">
        <v>235441.6</v>
      </c>
      <c r="L1754" s="197">
        <v>54080.666666666664</v>
      </c>
      <c r="M1754" s="197">
        <v>36.666666666666515</v>
      </c>
      <c r="N1754" s="197">
        <v>0</v>
      </c>
      <c r="O1754" s="197">
        <v>0</v>
      </c>
      <c r="P1754" s="197">
        <v>-37.799999999988358</v>
      </c>
      <c r="Q1754" s="197">
        <v>-1.6052359569451724E-4</v>
      </c>
      <c r="R1754" s="260" t="s">
        <v>239</v>
      </c>
      <c r="S1754" s="260" t="s">
        <v>514</v>
      </c>
      <c r="T1754" s="260" t="s">
        <v>239</v>
      </c>
      <c r="U1754" s="260" t="s">
        <v>514</v>
      </c>
    </row>
    <row r="1755" spans="1:21" ht="14.5" x14ac:dyDescent="0.35">
      <c r="A1755" s="260" t="s">
        <v>649</v>
      </c>
      <c r="B1755" s="190">
        <v>45946</v>
      </c>
      <c r="C1755" s="197">
        <v>235441.6</v>
      </c>
      <c r="D1755" s="197">
        <v>0</v>
      </c>
      <c r="E1755" s="197">
        <v>0</v>
      </c>
      <c r="F1755" s="197">
        <v>0</v>
      </c>
      <c r="G1755" s="197">
        <v>183406</v>
      </c>
      <c r="H1755" s="197">
        <v>51995</v>
      </c>
      <c r="I1755" s="197">
        <v>0</v>
      </c>
      <c r="J1755" s="197">
        <v>235401</v>
      </c>
      <c r="K1755" s="197">
        <v>235401</v>
      </c>
      <c r="L1755" s="197">
        <v>54080.666666666664</v>
      </c>
      <c r="M1755" s="197">
        <v>36.666666666666515</v>
      </c>
      <c r="N1755" s="197">
        <v>0</v>
      </c>
      <c r="O1755" s="197">
        <v>0</v>
      </c>
      <c r="P1755" s="197">
        <v>-40.600000000005821</v>
      </c>
      <c r="Q1755" s="197">
        <v>-1.7244191340870518E-4</v>
      </c>
      <c r="R1755" s="260" t="s">
        <v>239</v>
      </c>
      <c r="S1755" s="260" t="s">
        <v>514</v>
      </c>
      <c r="T1755" s="260" t="s">
        <v>239</v>
      </c>
      <c r="U1755" s="260" t="s">
        <v>514</v>
      </c>
    </row>
    <row r="1756" spans="1:21" ht="14.5" x14ac:dyDescent="0.35">
      <c r="A1756" s="260" t="s">
        <v>649</v>
      </c>
      <c r="B1756" s="190">
        <v>45947</v>
      </c>
      <c r="C1756" s="197">
        <v>235401</v>
      </c>
      <c r="D1756" s="197">
        <v>0</v>
      </c>
      <c r="E1756" s="197">
        <v>0</v>
      </c>
      <c r="F1756" s="197">
        <v>0</v>
      </c>
      <c r="G1756" s="197">
        <v>183406</v>
      </c>
      <c r="H1756" s="197">
        <v>51954.400000000001</v>
      </c>
      <c r="I1756" s="197">
        <v>0</v>
      </c>
      <c r="J1756" s="197">
        <v>235360.4</v>
      </c>
      <c r="K1756" s="197">
        <v>235360.4</v>
      </c>
      <c r="L1756" s="197">
        <v>54080.666666666664</v>
      </c>
      <c r="M1756" s="197">
        <v>36.666666666666515</v>
      </c>
      <c r="N1756" s="197">
        <v>0</v>
      </c>
      <c r="O1756" s="197">
        <v>0</v>
      </c>
      <c r="P1756" s="197">
        <v>-40.600000000005821</v>
      </c>
      <c r="Q1756" s="197">
        <v>-1.7247165475087201E-4</v>
      </c>
      <c r="R1756" s="260" t="s">
        <v>239</v>
      </c>
      <c r="S1756" s="260" t="s">
        <v>514</v>
      </c>
      <c r="T1756" s="260" t="s">
        <v>239</v>
      </c>
      <c r="U1756" s="260" t="s">
        <v>514</v>
      </c>
    </row>
    <row r="1757" spans="1:21" ht="14.5" x14ac:dyDescent="0.35">
      <c r="A1757" s="260" t="s">
        <v>649</v>
      </c>
      <c r="B1757" s="190">
        <v>45948</v>
      </c>
      <c r="C1757" s="197">
        <v>235360.4</v>
      </c>
      <c r="D1757" s="197">
        <v>0</v>
      </c>
      <c r="E1757" s="197">
        <v>0</v>
      </c>
      <c r="F1757" s="197">
        <v>0</v>
      </c>
      <c r="G1757" s="197">
        <v>183406</v>
      </c>
      <c r="H1757" s="197">
        <v>51954.400000000001</v>
      </c>
      <c r="I1757" s="197">
        <v>0</v>
      </c>
      <c r="J1757" s="197">
        <v>235360.4</v>
      </c>
      <c r="K1757" s="197">
        <v>235360.4</v>
      </c>
      <c r="L1757" s="197">
        <v>54080.666666666664</v>
      </c>
      <c r="M1757" s="197">
        <v>36.666666666666515</v>
      </c>
      <c r="N1757" s="197">
        <v>0</v>
      </c>
      <c r="O1757" s="197">
        <v>0</v>
      </c>
      <c r="P1757" s="197">
        <v>0</v>
      </c>
      <c r="Q1757" s="197">
        <v>0</v>
      </c>
      <c r="R1757" s="260" t="s">
        <v>239</v>
      </c>
      <c r="S1757" s="260" t="s">
        <v>514</v>
      </c>
      <c r="T1757" s="260" t="s">
        <v>239</v>
      </c>
      <c r="U1757" s="260" t="s">
        <v>514</v>
      </c>
    </row>
    <row r="1758" spans="1:21" ht="14.5" x14ac:dyDescent="0.35">
      <c r="A1758" s="260" t="s">
        <v>649</v>
      </c>
      <c r="B1758" s="190">
        <v>45949</v>
      </c>
      <c r="C1758" s="197">
        <v>235360.4</v>
      </c>
      <c r="D1758" s="197">
        <v>0</v>
      </c>
      <c r="E1758" s="197">
        <v>0</v>
      </c>
      <c r="F1758" s="197">
        <v>0</v>
      </c>
      <c r="G1758" s="197">
        <v>183406</v>
      </c>
      <c r="H1758" s="197">
        <v>51954.400000000001</v>
      </c>
      <c r="I1758" s="197">
        <v>0</v>
      </c>
      <c r="J1758" s="197">
        <v>235360.4</v>
      </c>
      <c r="K1758" s="197">
        <v>235360.4</v>
      </c>
      <c r="L1758" s="197">
        <v>54080.666666666664</v>
      </c>
      <c r="M1758" s="197">
        <v>36.666666666666515</v>
      </c>
      <c r="N1758" s="197">
        <v>0</v>
      </c>
      <c r="O1758" s="197">
        <v>0</v>
      </c>
      <c r="P1758" s="197">
        <v>0</v>
      </c>
      <c r="Q1758" s="197">
        <v>0</v>
      </c>
      <c r="R1758" s="260" t="s">
        <v>239</v>
      </c>
      <c r="S1758" s="260" t="s">
        <v>514</v>
      </c>
      <c r="T1758" s="260" t="s">
        <v>239</v>
      </c>
      <c r="U1758" s="260" t="s">
        <v>514</v>
      </c>
    </row>
    <row r="1759" spans="1:21" ht="14.5" x14ac:dyDescent="0.35">
      <c r="A1759" s="260" t="s">
        <v>649</v>
      </c>
      <c r="B1759" s="190">
        <v>45950</v>
      </c>
      <c r="C1759" s="197">
        <v>235360.4</v>
      </c>
      <c r="D1759" s="197">
        <v>0</v>
      </c>
      <c r="E1759" s="197">
        <v>0</v>
      </c>
      <c r="F1759" s="197">
        <v>0</v>
      </c>
      <c r="G1759" s="197">
        <v>183406</v>
      </c>
      <c r="H1759" s="197">
        <v>51835.4</v>
      </c>
      <c r="I1759" s="197">
        <v>0</v>
      </c>
      <c r="J1759" s="197">
        <v>235241.4</v>
      </c>
      <c r="K1759" s="197">
        <v>235241.4</v>
      </c>
      <c r="L1759" s="197">
        <v>54080.666666666664</v>
      </c>
      <c r="M1759" s="197">
        <v>36.666666666666515</v>
      </c>
      <c r="N1759" s="197">
        <v>0</v>
      </c>
      <c r="O1759" s="197">
        <v>0</v>
      </c>
      <c r="P1759" s="197">
        <v>-119</v>
      </c>
      <c r="Q1759" s="197">
        <v>-5.0560757034745496E-4</v>
      </c>
      <c r="R1759" s="260" t="s">
        <v>239</v>
      </c>
      <c r="S1759" s="260" t="s">
        <v>514</v>
      </c>
      <c r="T1759" s="260" t="s">
        <v>239</v>
      </c>
      <c r="U1759" s="260" t="s">
        <v>514</v>
      </c>
    </row>
    <row r="1760" spans="1:21" ht="14.5" x14ac:dyDescent="0.35">
      <c r="A1760" s="260" t="s">
        <v>649</v>
      </c>
      <c r="B1760" s="190">
        <v>45951</v>
      </c>
      <c r="C1760" s="197">
        <v>235241.4</v>
      </c>
      <c r="D1760" s="197">
        <v>0</v>
      </c>
      <c r="E1760" s="197">
        <v>0</v>
      </c>
      <c r="F1760" s="197">
        <v>0</v>
      </c>
      <c r="G1760" s="197">
        <v>183406</v>
      </c>
      <c r="H1760" s="197">
        <v>51797.599999999999</v>
      </c>
      <c r="I1760" s="197">
        <v>0</v>
      </c>
      <c r="J1760" s="197">
        <v>235203.6</v>
      </c>
      <c r="K1760" s="197">
        <v>235203.6</v>
      </c>
      <c r="L1760" s="197">
        <v>54080.666666666664</v>
      </c>
      <c r="M1760" s="197">
        <v>36.666666666666515</v>
      </c>
      <c r="N1760" s="197">
        <v>0</v>
      </c>
      <c r="O1760" s="197">
        <v>0</v>
      </c>
      <c r="P1760" s="197">
        <v>-37.799999999988358</v>
      </c>
      <c r="Q1760" s="197">
        <v>-1.606860016986067E-4</v>
      </c>
      <c r="R1760" s="260" t="s">
        <v>239</v>
      </c>
      <c r="S1760" s="260" t="s">
        <v>514</v>
      </c>
      <c r="T1760" s="260" t="s">
        <v>239</v>
      </c>
      <c r="U1760" s="260" t="s">
        <v>514</v>
      </c>
    </row>
    <row r="1761" spans="1:21" ht="14.5" x14ac:dyDescent="0.35">
      <c r="A1761" s="260" t="s">
        <v>649</v>
      </c>
      <c r="B1761" s="190">
        <v>45952</v>
      </c>
      <c r="C1761" s="197">
        <v>235203.6</v>
      </c>
      <c r="D1761" s="197">
        <v>0</v>
      </c>
      <c r="E1761" s="197">
        <v>0</v>
      </c>
      <c r="F1761" s="197">
        <v>0</v>
      </c>
      <c r="G1761" s="197">
        <v>183406</v>
      </c>
      <c r="H1761" s="197">
        <v>51757</v>
      </c>
      <c r="I1761" s="197">
        <v>0</v>
      </c>
      <c r="J1761" s="197">
        <v>235163</v>
      </c>
      <c r="K1761" s="197">
        <v>235163</v>
      </c>
      <c r="L1761" s="197">
        <v>54080.666666666664</v>
      </c>
      <c r="M1761" s="197">
        <v>36.666666666666515</v>
      </c>
      <c r="N1761" s="197">
        <v>0</v>
      </c>
      <c r="O1761" s="197">
        <v>0</v>
      </c>
      <c r="P1761" s="197">
        <v>-40.600000000005821</v>
      </c>
      <c r="Q1761" s="197">
        <v>-1.7261640553123403E-4</v>
      </c>
      <c r="R1761" s="260" t="s">
        <v>239</v>
      </c>
      <c r="S1761" s="260" t="s">
        <v>514</v>
      </c>
      <c r="T1761" s="260" t="s">
        <v>239</v>
      </c>
      <c r="U1761" s="260" t="s">
        <v>514</v>
      </c>
    </row>
    <row r="1762" spans="1:21" ht="14.5" x14ac:dyDescent="0.35">
      <c r="A1762" s="260" t="s">
        <v>649</v>
      </c>
      <c r="B1762" s="190">
        <v>45953</v>
      </c>
      <c r="C1762" s="197">
        <v>235163</v>
      </c>
      <c r="D1762" s="197">
        <v>0</v>
      </c>
      <c r="E1762" s="197">
        <v>0</v>
      </c>
      <c r="F1762" s="197">
        <v>0</v>
      </c>
      <c r="G1762" s="197">
        <v>183406</v>
      </c>
      <c r="H1762" s="197">
        <v>51716.4</v>
      </c>
      <c r="I1762" s="197">
        <v>0</v>
      </c>
      <c r="J1762" s="197">
        <v>235122.4</v>
      </c>
      <c r="K1762" s="197">
        <v>235122.4</v>
      </c>
      <c r="L1762" s="197">
        <v>54080.666666666664</v>
      </c>
      <c r="M1762" s="197">
        <v>36.666666666666515</v>
      </c>
      <c r="N1762" s="197">
        <v>0</v>
      </c>
      <c r="O1762" s="197">
        <v>0</v>
      </c>
      <c r="P1762" s="197">
        <v>-40.600000000005821</v>
      </c>
      <c r="Q1762" s="197">
        <v>-1.7264620709889211E-4</v>
      </c>
      <c r="R1762" s="260" t="s">
        <v>239</v>
      </c>
      <c r="S1762" s="260" t="s">
        <v>514</v>
      </c>
      <c r="T1762" s="260" t="s">
        <v>239</v>
      </c>
      <c r="U1762" s="260" t="s">
        <v>514</v>
      </c>
    </row>
    <row r="1763" spans="1:21" ht="14.5" x14ac:dyDescent="0.35">
      <c r="A1763" s="260" t="s">
        <v>649</v>
      </c>
      <c r="B1763" s="190">
        <v>45954</v>
      </c>
      <c r="C1763" s="197">
        <v>235122.4</v>
      </c>
      <c r="D1763" s="197">
        <v>0</v>
      </c>
      <c r="E1763" s="197">
        <v>0</v>
      </c>
      <c r="F1763" s="197">
        <v>0</v>
      </c>
      <c r="G1763" s="197">
        <v>183406</v>
      </c>
      <c r="H1763" s="197">
        <v>51678.6</v>
      </c>
      <c r="I1763" s="197">
        <v>0</v>
      </c>
      <c r="J1763" s="197">
        <v>235084.6</v>
      </c>
      <c r="K1763" s="197">
        <v>235084.6</v>
      </c>
      <c r="L1763" s="197">
        <v>54080.666666666664</v>
      </c>
      <c r="M1763" s="197">
        <v>36.666666666666515</v>
      </c>
      <c r="N1763" s="197">
        <v>0</v>
      </c>
      <c r="O1763" s="197">
        <v>0</v>
      </c>
      <c r="P1763" s="197">
        <v>-37.799999999988358</v>
      </c>
      <c r="Q1763" s="197">
        <v>-1.6076732799596982E-4</v>
      </c>
      <c r="R1763" s="260" t="s">
        <v>239</v>
      </c>
      <c r="S1763" s="260" t="s">
        <v>514</v>
      </c>
      <c r="T1763" s="260" t="s">
        <v>239</v>
      </c>
      <c r="U1763" s="260" t="s">
        <v>514</v>
      </c>
    </row>
    <row r="1764" spans="1:21" ht="14.5" x14ac:dyDescent="0.35">
      <c r="A1764" s="260" t="s">
        <v>649</v>
      </c>
      <c r="B1764" s="190">
        <v>45955</v>
      </c>
      <c r="C1764" s="197">
        <v>235084.6</v>
      </c>
      <c r="D1764" s="197">
        <v>0</v>
      </c>
      <c r="E1764" s="197">
        <v>0</v>
      </c>
      <c r="F1764" s="197">
        <v>0</v>
      </c>
      <c r="G1764" s="197">
        <v>183406</v>
      </c>
      <c r="H1764" s="197">
        <v>51678.6</v>
      </c>
      <c r="I1764" s="197">
        <v>0</v>
      </c>
      <c r="J1764" s="197">
        <v>235084.6</v>
      </c>
      <c r="K1764" s="197">
        <v>235084.6</v>
      </c>
      <c r="L1764" s="197">
        <v>54080.666666666664</v>
      </c>
      <c r="M1764" s="197">
        <v>36.666666666666515</v>
      </c>
      <c r="N1764" s="197">
        <v>0</v>
      </c>
      <c r="O1764" s="197">
        <v>0</v>
      </c>
      <c r="P1764" s="197">
        <v>0</v>
      </c>
      <c r="Q1764" s="197">
        <v>0</v>
      </c>
      <c r="R1764" s="260" t="s">
        <v>239</v>
      </c>
      <c r="S1764" s="260" t="s">
        <v>514</v>
      </c>
      <c r="T1764" s="260" t="s">
        <v>239</v>
      </c>
      <c r="U1764" s="260" t="s">
        <v>514</v>
      </c>
    </row>
    <row r="1765" spans="1:21" ht="14.5" x14ac:dyDescent="0.35">
      <c r="A1765" s="260" t="s">
        <v>649</v>
      </c>
      <c r="B1765" s="190">
        <v>45956</v>
      </c>
      <c r="C1765" s="197">
        <v>235084.6</v>
      </c>
      <c r="D1765" s="197">
        <v>0</v>
      </c>
      <c r="E1765" s="197">
        <v>0</v>
      </c>
      <c r="F1765" s="197">
        <v>0</v>
      </c>
      <c r="G1765" s="197">
        <v>183406</v>
      </c>
      <c r="H1765" s="197">
        <v>51678.6</v>
      </c>
      <c r="I1765" s="197">
        <v>0</v>
      </c>
      <c r="J1765" s="197">
        <v>235084.6</v>
      </c>
      <c r="K1765" s="197">
        <v>235084.6</v>
      </c>
      <c r="L1765" s="197">
        <v>54080.666666666664</v>
      </c>
      <c r="M1765" s="197">
        <v>36.666666666666515</v>
      </c>
      <c r="N1765" s="197">
        <v>0</v>
      </c>
      <c r="O1765" s="197">
        <v>0</v>
      </c>
      <c r="P1765" s="197">
        <v>0</v>
      </c>
      <c r="Q1765" s="197">
        <v>0</v>
      </c>
      <c r="R1765" s="260" t="s">
        <v>239</v>
      </c>
      <c r="S1765" s="260" t="s">
        <v>514</v>
      </c>
      <c r="T1765" s="260" t="s">
        <v>239</v>
      </c>
      <c r="U1765" s="260" t="s">
        <v>514</v>
      </c>
    </row>
    <row r="1766" spans="1:21" ht="14.5" x14ac:dyDescent="0.35">
      <c r="A1766" s="260" t="s">
        <v>649</v>
      </c>
      <c r="B1766" s="190">
        <v>45957</v>
      </c>
      <c r="C1766" s="197">
        <v>235084.6</v>
      </c>
      <c r="D1766" s="197">
        <v>0</v>
      </c>
      <c r="E1766" s="197">
        <v>0</v>
      </c>
      <c r="F1766" s="197">
        <v>0</v>
      </c>
      <c r="G1766" s="197">
        <v>183406</v>
      </c>
      <c r="H1766" s="197">
        <v>51559.6</v>
      </c>
      <c r="I1766" s="197">
        <v>0</v>
      </c>
      <c r="J1766" s="197">
        <v>234965.6</v>
      </c>
      <c r="K1766" s="197">
        <v>234965.6</v>
      </c>
      <c r="L1766" s="197">
        <v>54080.666666666664</v>
      </c>
      <c r="M1766" s="197">
        <v>36.666666666666515</v>
      </c>
      <c r="N1766" s="197">
        <v>0</v>
      </c>
      <c r="O1766" s="197">
        <v>0</v>
      </c>
      <c r="P1766" s="197">
        <v>-119</v>
      </c>
      <c r="Q1766" s="197">
        <v>-5.0620074645468804E-4</v>
      </c>
      <c r="R1766" s="260" t="s">
        <v>239</v>
      </c>
      <c r="S1766" s="260" t="s">
        <v>514</v>
      </c>
      <c r="T1766" s="260" t="s">
        <v>239</v>
      </c>
      <c r="U1766" s="260" t="s">
        <v>514</v>
      </c>
    </row>
    <row r="1767" spans="1:21" ht="14.5" x14ac:dyDescent="0.35">
      <c r="A1767" s="260" t="s">
        <v>649</v>
      </c>
      <c r="B1767" s="190">
        <v>45958</v>
      </c>
      <c r="C1767" s="197">
        <v>234965.6</v>
      </c>
      <c r="D1767" s="197">
        <v>0</v>
      </c>
      <c r="E1767" s="197">
        <v>0</v>
      </c>
      <c r="F1767" s="197">
        <v>0</v>
      </c>
      <c r="G1767" s="197">
        <v>183406</v>
      </c>
      <c r="H1767" s="197">
        <v>51519</v>
      </c>
      <c r="I1767" s="197">
        <v>0</v>
      </c>
      <c r="J1767" s="197">
        <v>234925</v>
      </c>
      <c r="K1767" s="197">
        <v>234925</v>
      </c>
      <c r="L1767" s="197">
        <v>54080.666666666664</v>
      </c>
      <c r="M1767" s="197">
        <v>36.666666666666515</v>
      </c>
      <c r="N1767" s="197">
        <v>0</v>
      </c>
      <c r="O1767" s="197">
        <v>0</v>
      </c>
      <c r="P1767" s="197">
        <v>-40.600000000005821</v>
      </c>
      <c r="Q1767" s="197">
        <v>-1.7279125114488814E-4</v>
      </c>
      <c r="R1767" s="260" t="s">
        <v>239</v>
      </c>
      <c r="S1767" s="260" t="s">
        <v>514</v>
      </c>
      <c r="T1767" s="260" t="s">
        <v>239</v>
      </c>
      <c r="U1767" s="260" t="s">
        <v>514</v>
      </c>
    </row>
    <row r="1768" spans="1:21" ht="14.5" x14ac:dyDescent="0.35">
      <c r="A1768" s="260" t="s">
        <v>649</v>
      </c>
      <c r="B1768" s="190">
        <v>45959</v>
      </c>
      <c r="C1768" s="197">
        <v>234925</v>
      </c>
      <c r="D1768" s="197">
        <v>0</v>
      </c>
      <c r="E1768" s="197">
        <v>0</v>
      </c>
      <c r="F1768" s="197">
        <v>0</v>
      </c>
      <c r="G1768" s="197">
        <v>183406</v>
      </c>
      <c r="H1768" s="197">
        <v>51478.400000000001</v>
      </c>
      <c r="I1768" s="197">
        <v>0</v>
      </c>
      <c r="J1768" s="197">
        <v>234884.4</v>
      </c>
      <c r="K1768" s="197">
        <v>234884.4</v>
      </c>
      <c r="L1768" s="197">
        <v>54080.666666666664</v>
      </c>
      <c r="M1768" s="197">
        <v>36.666666666666515</v>
      </c>
      <c r="N1768" s="197">
        <v>0</v>
      </c>
      <c r="O1768" s="197">
        <v>0</v>
      </c>
      <c r="P1768" s="197">
        <v>-40.600000000005821</v>
      </c>
      <c r="Q1768" s="197">
        <v>-1.7282111312122428E-4</v>
      </c>
      <c r="R1768" s="260" t="s">
        <v>239</v>
      </c>
      <c r="S1768" s="260" t="s">
        <v>514</v>
      </c>
      <c r="T1768" s="260" t="s">
        <v>239</v>
      </c>
      <c r="U1768" s="260" t="s">
        <v>514</v>
      </c>
    </row>
    <row r="1769" spans="1:21" ht="14.5" x14ac:dyDescent="0.35">
      <c r="A1769" s="260" t="s">
        <v>649</v>
      </c>
      <c r="B1769" s="190">
        <v>45960</v>
      </c>
      <c r="C1769" s="197">
        <v>234884.4</v>
      </c>
      <c r="D1769" s="197">
        <v>0</v>
      </c>
      <c r="E1769" s="197">
        <v>0</v>
      </c>
      <c r="F1769" s="197">
        <v>0</v>
      </c>
      <c r="G1769" s="197">
        <v>183406</v>
      </c>
      <c r="H1769" s="197">
        <v>51440.6</v>
      </c>
      <c r="I1769" s="197">
        <v>0</v>
      </c>
      <c r="J1769" s="197">
        <v>234846.6</v>
      </c>
      <c r="K1769" s="197">
        <v>234846.6</v>
      </c>
      <c r="L1769" s="197">
        <v>54080.666666666664</v>
      </c>
      <c r="M1769" s="197">
        <v>36.666666666666515</v>
      </c>
      <c r="N1769" s="197">
        <v>0</v>
      </c>
      <c r="O1769" s="197">
        <v>0</v>
      </c>
      <c r="P1769" s="197">
        <v>-37.799999999988358</v>
      </c>
      <c r="Q1769" s="197">
        <v>-1.6093022780561128E-4</v>
      </c>
      <c r="R1769" s="260" t="s">
        <v>239</v>
      </c>
      <c r="S1769" s="260" t="s">
        <v>514</v>
      </c>
      <c r="T1769" s="260" t="s">
        <v>239</v>
      </c>
      <c r="U1769" s="260" t="s">
        <v>514</v>
      </c>
    </row>
    <row r="1770" spans="1:21" ht="14.5" x14ac:dyDescent="0.35">
      <c r="A1770" s="260" t="s">
        <v>649</v>
      </c>
      <c r="B1770" s="190">
        <v>45961</v>
      </c>
      <c r="C1770" s="197">
        <v>234846.6</v>
      </c>
      <c r="D1770" s="197">
        <v>0</v>
      </c>
      <c r="E1770" s="197">
        <v>0</v>
      </c>
      <c r="F1770" s="197">
        <v>0</v>
      </c>
      <c r="G1770" s="197">
        <v>183406</v>
      </c>
      <c r="H1770" s="197">
        <v>51400</v>
      </c>
      <c r="I1770" s="197">
        <v>0</v>
      </c>
      <c r="J1770" s="197">
        <v>234806</v>
      </c>
      <c r="K1770" s="197">
        <v>234806</v>
      </c>
      <c r="L1770" s="197">
        <v>54080.666666666664</v>
      </c>
      <c r="M1770" s="197">
        <v>36.666666666666515</v>
      </c>
      <c r="N1770" s="197">
        <v>0</v>
      </c>
      <c r="O1770" s="197">
        <v>0</v>
      </c>
      <c r="P1770" s="197">
        <v>-40.600000000005821</v>
      </c>
      <c r="Q1770" s="197">
        <v>-1.7287880684668799E-4</v>
      </c>
      <c r="R1770" s="260" t="s">
        <v>239</v>
      </c>
      <c r="S1770" s="260" t="s">
        <v>514</v>
      </c>
      <c r="T1770" s="260" t="s">
        <v>239</v>
      </c>
      <c r="U1770" s="260" t="s">
        <v>514</v>
      </c>
    </row>
    <row r="1771" spans="1:21" ht="14.5" x14ac:dyDescent="0.35">
      <c r="A1771" s="260" t="s">
        <v>649</v>
      </c>
      <c r="B1771" s="190">
        <v>45962</v>
      </c>
      <c r="C1771" s="197">
        <v>234806</v>
      </c>
      <c r="D1771" s="197">
        <v>0</v>
      </c>
      <c r="E1771" s="197">
        <v>0</v>
      </c>
      <c r="F1771" s="197">
        <v>0</v>
      </c>
      <c r="G1771" s="197">
        <v>183406</v>
      </c>
      <c r="H1771" s="197">
        <v>51400</v>
      </c>
      <c r="I1771" s="197">
        <v>0</v>
      </c>
      <c r="J1771" s="197">
        <v>234806</v>
      </c>
      <c r="K1771" s="197">
        <v>234806</v>
      </c>
      <c r="L1771" s="197">
        <v>54080.666666666664</v>
      </c>
      <c r="M1771" s="197">
        <v>36.666666666666515</v>
      </c>
      <c r="N1771" s="197">
        <v>0</v>
      </c>
      <c r="O1771" s="197">
        <v>0</v>
      </c>
      <c r="P1771" s="197">
        <v>0</v>
      </c>
      <c r="Q1771" s="197">
        <v>0</v>
      </c>
      <c r="R1771" s="260" t="s">
        <v>239</v>
      </c>
      <c r="S1771" s="260" t="s">
        <v>514</v>
      </c>
      <c r="T1771" s="260" t="s">
        <v>239</v>
      </c>
      <c r="U1771" s="260" t="s">
        <v>514</v>
      </c>
    </row>
    <row r="1772" spans="1:21" ht="14.5" x14ac:dyDescent="0.35">
      <c r="A1772" s="260" t="s">
        <v>649</v>
      </c>
      <c r="B1772" s="190">
        <v>45963</v>
      </c>
      <c r="C1772" s="197">
        <v>234806</v>
      </c>
      <c r="D1772" s="197">
        <v>0</v>
      </c>
      <c r="E1772" s="197">
        <v>0</v>
      </c>
      <c r="F1772" s="197">
        <v>0</v>
      </c>
      <c r="G1772" s="197">
        <v>183406</v>
      </c>
      <c r="H1772" s="197">
        <v>51400</v>
      </c>
      <c r="I1772" s="197">
        <v>0</v>
      </c>
      <c r="J1772" s="197">
        <v>234806</v>
      </c>
      <c r="K1772" s="197">
        <v>234806</v>
      </c>
      <c r="L1772" s="197">
        <v>54080.666666666664</v>
      </c>
      <c r="M1772" s="197">
        <v>36.666666666666515</v>
      </c>
      <c r="N1772" s="197">
        <v>0</v>
      </c>
      <c r="O1772" s="197">
        <v>0</v>
      </c>
      <c r="P1772" s="197">
        <v>0</v>
      </c>
      <c r="Q1772" s="197">
        <v>0</v>
      </c>
      <c r="R1772" s="260" t="s">
        <v>239</v>
      </c>
      <c r="S1772" s="260" t="s">
        <v>514</v>
      </c>
      <c r="T1772" s="260" t="s">
        <v>239</v>
      </c>
      <c r="U1772" s="260" t="s">
        <v>514</v>
      </c>
    </row>
    <row r="1773" spans="1:21" ht="14.5" x14ac:dyDescent="0.35">
      <c r="A1773" s="260" t="s">
        <v>649</v>
      </c>
      <c r="B1773" s="190">
        <v>45964</v>
      </c>
      <c r="C1773" s="197">
        <v>234806</v>
      </c>
      <c r="D1773" s="197">
        <v>0</v>
      </c>
      <c r="E1773" s="197">
        <v>0</v>
      </c>
      <c r="F1773" s="197">
        <v>0</v>
      </c>
      <c r="G1773" s="197">
        <v>183406</v>
      </c>
      <c r="H1773" s="197">
        <v>51085.5</v>
      </c>
      <c r="I1773" s="197">
        <v>180</v>
      </c>
      <c r="J1773" s="197">
        <v>234671.5</v>
      </c>
      <c r="K1773" s="197">
        <v>234671.5</v>
      </c>
      <c r="L1773" s="197">
        <v>54080.666666666664</v>
      </c>
      <c r="M1773" s="197">
        <v>36.666666666666515</v>
      </c>
      <c r="N1773" s="197">
        <v>0</v>
      </c>
      <c r="O1773" s="197">
        <v>180</v>
      </c>
      <c r="P1773" s="197">
        <v>-134.5</v>
      </c>
      <c r="Q1773" s="197">
        <v>-5.7281330119329787E-4</v>
      </c>
      <c r="R1773" s="260" t="s">
        <v>239</v>
      </c>
      <c r="S1773" s="260" t="s">
        <v>514</v>
      </c>
      <c r="T1773" s="260" t="s">
        <v>239</v>
      </c>
      <c r="U1773" s="260" t="s">
        <v>514</v>
      </c>
    </row>
    <row r="1774" spans="1:21" ht="14.5" x14ac:dyDescent="0.35">
      <c r="A1774" s="260" t="s">
        <v>649</v>
      </c>
      <c r="B1774" s="190">
        <v>45965</v>
      </c>
      <c r="C1774" s="197">
        <v>234671.5</v>
      </c>
      <c r="D1774" s="197">
        <v>0</v>
      </c>
      <c r="E1774" s="197">
        <v>0</v>
      </c>
      <c r="F1774" s="197">
        <v>0</v>
      </c>
      <c r="G1774" s="197">
        <v>183406</v>
      </c>
      <c r="H1774" s="197">
        <v>51019.1</v>
      </c>
      <c r="I1774" s="197">
        <v>180</v>
      </c>
      <c r="J1774" s="197">
        <v>234605.1</v>
      </c>
      <c r="K1774" s="197">
        <v>234605.1</v>
      </c>
      <c r="L1774" s="197">
        <v>54080.666666666664</v>
      </c>
      <c r="M1774" s="197">
        <v>36.666666666666515</v>
      </c>
      <c r="N1774" s="197">
        <v>0</v>
      </c>
      <c r="O1774" s="197">
        <v>0</v>
      </c>
      <c r="P1774" s="197">
        <v>-66.399999999994179</v>
      </c>
      <c r="Q1774" s="197">
        <v>-2.829487176755352E-4</v>
      </c>
      <c r="R1774" s="260" t="s">
        <v>239</v>
      </c>
      <c r="S1774" s="260" t="s">
        <v>514</v>
      </c>
      <c r="T1774" s="260" t="s">
        <v>239</v>
      </c>
      <c r="U1774" s="260" t="s">
        <v>514</v>
      </c>
    </row>
    <row r="1775" spans="1:21" ht="14.5" x14ac:dyDescent="0.35">
      <c r="A1775" s="260" t="s">
        <v>649</v>
      </c>
      <c r="B1775" s="190">
        <v>45966</v>
      </c>
      <c r="C1775" s="197">
        <v>234605.1</v>
      </c>
      <c r="D1775" s="197">
        <v>0</v>
      </c>
      <c r="E1775" s="197">
        <v>0</v>
      </c>
      <c r="F1775" s="197">
        <v>0</v>
      </c>
      <c r="G1775" s="197">
        <v>183406</v>
      </c>
      <c r="H1775" s="197">
        <v>50952.7</v>
      </c>
      <c r="I1775" s="197">
        <v>180</v>
      </c>
      <c r="J1775" s="197">
        <v>234538.7</v>
      </c>
      <c r="K1775" s="197">
        <v>234538.7</v>
      </c>
      <c r="L1775" s="197">
        <v>54080.666666666664</v>
      </c>
      <c r="M1775" s="197">
        <v>36.666666666666515</v>
      </c>
      <c r="N1775" s="197">
        <v>0</v>
      </c>
      <c r="O1775" s="197">
        <v>0</v>
      </c>
      <c r="P1775" s="197">
        <v>-66.399999999994179</v>
      </c>
      <c r="Q1775" s="197">
        <v>-2.8302880031161326E-4</v>
      </c>
      <c r="R1775" s="260" t="s">
        <v>239</v>
      </c>
      <c r="S1775" s="260" t="s">
        <v>514</v>
      </c>
      <c r="T1775" s="260" t="s">
        <v>239</v>
      </c>
      <c r="U1775" s="260" t="s">
        <v>514</v>
      </c>
    </row>
    <row r="1776" spans="1:21" ht="14.5" x14ac:dyDescent="0.35">
      <c r="A1776" s="260" t="s">
        <v>649</v>
      </c>
      <c r="B1776" s="190">
        <v>45967</v>
      </c>
      <c r="C1776" s="197">
        <v>234538.7</v>
      </c>
      <c r="D1776" s="197">
        <v>0</v>
      </c>
      <c r="E1776" s="197">
        <v>0</v>
      </c>
      <c r="F1776" s="197">
        <v>0</v>
      </c>
      <c r="G1776" s="197">
        <v>183406</v>
      </c>
      <c r="H1776" s="197">
        <v>50884.6</v>
      </c>
      <c r="I1776" s="197">
        <v>180</v>
      </c>
      <c r="J1776" s="197">
        <v>234470.6</v>
      </c>
      <c r="K1776" s="197">
        <v>234470.6</v>
      </c>
      <c r="L1776" s="197">
        <v>54080.666666666664</v>
      </c>
      <c r="M1776" s="197">
        <v>36.666666666666515</v>
      </c>
      <c r="N1776" s="197">
        <v>0</v>
      </c>
      <c r="O1776" s="197">
        <v>0</v>
      </c>
      <c r="P1776" s="197">
        <v>-68.100000000005821</v>
      </c>
      <c r="Q1776" s="197">
        <v>-2.9035719904646484E-4</v>
      </c>
      <c r="R1776" s="260" t="s">
        <v>239</v>
      </c>
      <c r="S1776" s="260" t="s">
        <v>514</v>
      </c>
      <c r="T1776" s="260" t="s">
        <v>239</v>
      </c>
      <c r="U1776" s="260" t="s">
        <v>514</v>
      </c>
    </row>
    <row r="1777" spans="1:21" ht="14.5" x14ac:dyDescent="0.35">
      <c r="A1777" s="260" t="s">
        <v>649</v>
      </c>
      <c r="B1777" s="190">
        <v>45968</v>
      </c>
      <c r="C1777" s="197">
        <v>234470.6</v>
      </c>
      <c r="D1777" s="197">
        <v>0</v>
      </c>
      <c r="E1777" s="197">
        <v>0</v>
      </c>
      <c r="F1777" s="197">
        <v>0</v>
      </c>
      <c r="G1777" s="197">
        <v>183406</v>
      </c>
      <c r="H1777" s="197">
        <v>50818.2</v>
      </c>
      <c r="I1777" s="197">
        <v>180</v>
      </c>
      <c r="J1777" s="197">
        <v>234404.2</v>
      </c>
      <c r="K1777" s="197">
        <v>234404.2</v>
      </c>
      <c r="L1777" s="197">
        <v>54080.666666666664</v>
      </c>
      <c r="M1777" s="197">
        <v>36.666666666666515</v>
      </c>
      <c r="N1777" s="197">
        <v>0</v>
      </c>
      <c r="O1777" s="197">
        <v>0</v>
      </c>
      <c r="P1777" s="197">
        <v>-66.399999999994179</v>
      </c>
      <c r="Q1777" s="197">
        <v>-2.8319115488251168E-4</v>
      </c>
      <c r="R1777" s="260" t="s">
        <v>239</v>
      </c>
      <c r="S1777" s="260" t="s">
        <v>514</v>
      </c>
      <c r="T1777" s="260" t="s">
        <v>239</v>
      </c>
      <c r="U1777" s="260" t="s">
        <v>514</v>
      </c>
    </row>
    <row r="1778" spans="1:21" ht="14.5" x14ac:dyDescent="0.35">
      <c r="A1778" s="260" t="s">
        <v>649</v>
      </c>
      <c r="B1778" s="190">
        <v>45969</v>
      </c>
      <c r="C1778" s="197">
        <v>234404.2</v>
      </c>
      <c r="D1778" s="197">
        <v>0</v>
      </c>
      <c r="E1778" s="197">
        <v>0</v>
      </c>
      <c r="F1778" s="197">
        <v>0</v>
      </c>
      <c r="G1778" s="197">
        <v>183406</v>
      </c>
      <c r="H1778" s="197">
        <v>50818.2</v>
      </c>
      <c r="I1778" s="197">
        <v>180</v>
      </c>
      <c r="J1778" s="197">
        <v>234404.2</v>
      </c>
      <c r="K1778" s="197">
        <v>234404.2</v>
      </c>
      <c r="L1778" s="197">
        <v>54080.666666666664</v>
      </c>
      <c r="M1778" s="197">
        <v>36.666666666666515</v>
      </c>
      <c r="N1778" s="197">
        <v>0</v>
      </c>
      <c r="O1778" s="197">
        <v>0</v>
      </c>
      <c r="P1778" s="197">
        <v>0</v>
      </c>
      <c r="Q1778" s="197">
        <v>0</v>
      </c>
      <c r="R1778" s="260" t="s">
        <v>239</v>
      </c>
      <c r="S1778" s="260" t="s">
        <v>514</v>
      </c>
      <c r="T1778" s="260" t="s">
        <v>239</v>
      </c>
      <c r="U1778" s="260" t="s">
        <v>514</v>
      </c>
    </row>
    <row r="1779" spans="1:21" ht="14.5" x14ac:dyDescent="0.35">
      <c r="A1779" s="260" t="s">
        <v>649</v>
      </c>
      <c r="B1779" s="190">
        <v>45970</v>
      </c>
      <c r="C1779" s="197">
        <v>234404.2</v>
      </c>
      <c r="D1779" s="197">
        <v>0</v>
      </c>
      <c r="E1779" s="197">
        <v>0</v>
      </c>
      <c r="F1779" s="197">
        <v>0</v>
      </c>
      <c r="G1779" s="197">
        <v>183406</v>
      </c>
      <c r="H1779" s="197">
        <v>50818.2</v>
      </c>
      <c r="I1779" s="197">
        <v>180</v>
      </c>
      <c r="J1779" s="197">
        <v>234404.2</v>
      </c>
      <c r="K1779" s="197">
        <v>234404.2</v>
      </c>
      <c r="L1779" s="197">
        <v>54080.666666666664</v>
      </c>
      <c r="M1779" s="197">
        <v>36.666666666666515</v>
      </c>
      <c r="N1779" s="197">
        <v>0</v>
      </c>
      <c r="O1779" s="197">
        <v>0</v>
      </c>
      <c r="P1779" s="197">
        <v>0</v>
      </c>
      <c r="Q1779" s="197">
        <v>0</v>
      </c>
      <c r="R1779" s="260" t="s">
        <v>239</v>
      </c>
      <c r="S1779" s="260" t="s">
        <v>514</v>
      </c>
      <c r="T1779" s="260" t="s">
        <v>239</v>
      </c>
      <c r="U1779" s="260" t="s">
        <v>514</v>
      </c>
    </row>
    <row r="1780" spans="1:21" ht="14.5" x14ac:dyDescent="0.35">
      <c r="A1780" s="260" t="s">
        <v>649</v>
      </c>
      <c r="B1780" s="190">
        <v>45971</v>
      </c>
      <c r="C1780" s="197">
        <v>234404.2</v>
      </c>
      <c r="D1780" s="197">
        <v>0</v>
      </c>
      <c r="E1780" s="197">
        <v>0</v>
      </c>
      <c r="F1780" s="197">
        <v>0</v>
      </c>
      <c r="G1780" s="197">
        <v>191098</v>
      </c>
      <c r="H1780" s="197">
        <v>42945.599999999999</v>
      </c>
      <c r="I1780" s="197">
        <v>180</v>
      </c>
      <c r="J1780" s="197">
        <v>234223.6</v>
      </c>
      <c r="K1780" s="197">
        <v>234223.6</v>
      </c>
      <c r="L1780" s="197">
        <v>46072.666666666664</v>
      </c>
      <c r="M1780" s="197">
        <v>-279.33333333333348</v>
      </c>
      <c r="N1780" s="197">
        <v>8</v>
      </c>
      <c r="O1780" s="197">
        <v>0</v>
      </c>
      <c r="P1780" s="197">
        <v>-180.60000000000582</v>
      </c>
      <c r="Q1780" s="197">
        <v>-7.7046401045721691E-4</v>
      </c>
      <c r="R1780" s="260" t="s">
        <v>239</v>
      </c>
      <c r="S1780" s="260" t="s">
        <v>514</v>
      </c>
      <c r="T1780" s="260" t="s">
        <v>239</v>
      </c>
      <c r="U1780" s="260" t="s">
        <v>514</v>
      </c>
    </row>
    <row r="1781" spans="1:21" ht="14.5" x14ac:dyDescent="0.35">
      <c r="A1781" s="260" t="s">
        <v>649</v>
      </c>
      <c r="B1781" s="190">
        <v>45972</v>
      </c>
      <c r="C1781" s="197">
        <v>234223.6</v>
      </c>
      <c r="D1781" s="197">
        <v>0</v>
      </c>
      <c r="E1781" s="197">
        <v>0</v>
      </c>
      <c r="F1781" s="197">
        <v>0</v>
      </c>
      <c r="G1781" s="197">
        <v>191098</v>
      </c>
      <c r="H1781" s="197">
        <v>42869.2</v>
      </c>
      <c r="I1781" s="197">
        <v>180</v>
      </c>
      <c r="J1781" s="197">
        <v>234147.20000000001</v>
      </c>
      <c r="K1781" s="197">
        <v>234147.20000000001</v>
      </c>
      <c r="L1781" s="197">
        <v>46072.666666666664</v>
      </c>
      <c r="M1781" s="197">
        <v>-279.33333333333348</v>
      </c>
      <c r="N1781" s="197">
        <v>0</v>
      </c>
      <c r="O1781" s="197">
        <v>0</v>
      </c>
      <c r="P1781" s="197">
        <v>-76.399999999994179</v>
      </c>
      <c r="Q1781" s="197">
        <v>-3.2618403952455743E-4</v>
      </c>
      <c r="R1781" s="260" t="s">
        <v>239</v>
      </c>
      <c r="S1781" s="260" t="s">
        <v>514</v>
      </c>
      <c r="T1781" s="260" t="s">
        <v>239</v>
      </c>
      <c r="U1781" s="260" t="s">
        <v>514</v>
      </c>
    </row>
    <row r="1782" spans="1:21" ht="14.5" x14ac:dyDescent="0.35">
      <c r="A1782" s="260" t="s">
        <v>649</v>
      </c>
      <c r="B1782" s="190">
        <v>45973</v>
      </c>
      <c r="C1782" s="197">
        <v>234147.20000000001</v>
      </c>
      <c r="D1782" s="197">
        <v>0</v>
      </c>
      <c r="E1782" s="197">
        <v>0</v>
      </c>
      <c r="F1782" s="197">
        <v>0</v>
      </c>
      <c r="G1782" s="197">
        <v>191098</v>
      </c>
      <c r="H1782" s="197">
        <v>42790.100000000006</v>
      </c>
      <c r="I1782" s="197">
        <v>180</v>
      </c>
      <c r="J1782" s="197">
        <v>234068.1</v>
      </c>
      <c r="K1782" s="197">
        <v>234068.1</v>
      </c>
      <c r="L1782" s="197">
        <v>46072.666666666664</v>
      </c>
      <c r="M1782" s="197">
        <v>-279.33333333333348</v>
      </c>
      <c r="N1782" s="197">
        <v>0</v>
      </c>
      <c r="O1782" s="197">
        <v>0</v>
      </c>
      <c r="P1782" s="197">
        <v>-79.100000000005821</v>
      </c>
      <c r="Q1782" s="197">
        <v>-3.3782167798723783E-4</v>
      </c>
      <c r="R1782" s="260" t="s">
        <v>239</v>
      </c>
      <c r="S1782" s="260" t="s">
        <v>514</v>
      </c>
      <c r="T1782" s="260" t="s">
        <v>239</v>
      </c>
      <c r="U1782" s="260" t="s">
        <v>514</v>
      </c>
    </row>
    <row r="1783" spans="1:21" ht="14.5" x14ac:dyDescent="0.35">
      <c r="A1783" s="260" t="s">
        <v>649</v>
      </c>
      <c r="B1783" s="190">
        <v>45974</v>
      </c>
      <c r="C1783" s="197">
        <v>234068.1</v>
      </c>
      <c r="D1783" s="197">
        <v>0</v>
      </c>
      <c r="E1783" s="197">
        <v>0</v>
      </c>
      <c r="F1783" s="197">
        <v>0</v>
      </c>
      <c r="G1783" s="197">
        <v>191098</v>
      </c>
      <c r="H1783" s="197">
        <v>42713.7</v>
      </c>
      <c r="I1783" s="197">
        <v>180</v>
      </c>
      <c r="J1783" s="197">
        <v>233991.7</v>
      </c>
      <c r="K1783" s="197">
        <v>233991.7</v>
      </c>
      <c r="L1783" s="197">
        <v>46072.666666666664</v>
      </c>
      <c r="M1783" s="197">
        <v>-279.33333333333348</v>
      </c>
      <c r="N1783" s="197">
        <v>0</v>
      </c>
      <c r="O1783" s="197">
        <v>0</v>
      </c>
      <c r="P1783" s="197">
        <v>-76.399999999994179</v>
      </c>
      <c r="Q1783" s="197">
        <v>-3.2640073551237769E-4</v>
      </c>
      <c r="R1783" s="260" t="s">
        <v>239</v>
      </c>
      <c r="S1783" s="260" t="s">
        <v>514</v>
      </c>
      <c r="T1783" s="260" t="s">
        <v>239</v>
      </c>
      <c r="U1783" s="260" t="s">
        <v>514</v>
      </c>
    </row>
    <row r="1784" spans="1:21" ht="14.5" x14ac:dyDescent="0.35">
      <c r="A1784" s="260" t="s">
        <v>649</v>
      </c>
      <c r="B1784" s="190">
        <v>45975</v>
      </c>
      <c r="C1784" s="197">
        <v>233991.7</v>
      </c>
      <c r="D1784" s="197">
        <v>0</v>
      </c>
      <c r="E1784" s="197">
        <v>0</v>
      </c>
      <c r="F1784" s="197">
        <v>0</v>
      </c>
      <c r="G1784" s="197">
        <v>191098</v>
      </c>
      <c r="H1784" s="197">
        <v>42637.3</v>
      </c>
      <c r="I1784" s="197">
        <v>180</v>
      </c>
      <c r="J1784" s="197">
        <v>233915.3</v>
      </c>
      <c r="K1784" s="197">
        <v>233915.3</v>
      </c>
      <c r="L1784" s="197">
        <v>46072.666666666664</v>
      </c>
      <c r="M1784" s="197">
        <v>-279.33333333333348</v>
      </c>
      <c r="N1784" s="197">
        <v>0</v>
      </c>
      <c r="O1784" s="197">
        <v>0</v>
      </c>
      <c r="P1784" s="197">
        <v>-76.400000000023283</v>
      </c>
      <c r="Q1784" s="197">
        <v>-3.2650730773797765E-4</v>
      </c>
      <c r="R1784" s="260" t="s">
        <v>239</v>
      </c>
      <c r="S1784" s="260" t="s">
        <v>514</v>
      </c>
      <c r="T1784" s="260" t="s">
        <v>239</v>
      </c>
      <c r="U1784" s="260" t="s">
        <v>514</v>
      </c>
    </row>
    <row r="1785" spans="1:21" ht="14.5" x14ac:dyDescent="0.35">
      <c r="A1785" s="260" t="s">
        <v>649</v>
      </c>
      <c r="B1785" s="190">
        <v>45976</v>
      </c>
      <c r="C1785" s="197">
        <v>233915.3</v>
      </c>
      <c r="D1785" s="197">
        <v>0</v>
      </c>
      <c r="E1785" s="197">
        <v>0</v>
      </c>
      <c r="F1785" s="197">
        <v>0</v>
      </c>
      <c r="G1785" s="197">
        <v>191098</v>
      </c>
      <c r="H1785" s="197">
        <v>42637.3</v>
      </c>
      <c r="I1785" s="197">
        <v>180</v>
      </c>
      <c r="J1785" s="197">
        <v>233915.3</v>
      </c>
      <c r="K1785" s="197">
        <v>233915.3</v>
      </c>
      <c r="L1785" s="197">
        <v>46072.666666666664</v>
      </c>
      <c r="M1785" s="197">
        <v>-279.33333333333348</v>
      </c>
      <c r="N1785" s="197">
        <v>0</v>
      </c>
      <c r="O1785" s="197">
        <v>0</v>
      </c>
      <c r="P1785" s="197">
        <v>0</v>
      </c>
      <c r="Q1785" s="197">
        <v>0</v>
      </c>
      <c r="R1785" s="260" t="s">
        <v>239</v>
      </c>
      <c r="S1785" s="260" t="s">
        <v>514</v>
      </c>
      <c r="T1785" s="260" t="s">
        <v>239</v>
      </c>
      <c r="U1785" s="260" t="s">
        <v>514</v>
      </c>
    </row>
    <row r="1786" spans="1:21" ht="14.5" x14ac:dyDescent="0.35">
      <c r="A1786" s="260" t="s">
        <v>649</v>
      </c>
      <c r="B1786" s="190">
        <v>45977</v>
      </c>
      <c r="C1786" s="197">
        <v>233915.3</v>
      </c>
      <c r="D1786" s="197">
        <v>0</v>
      </c>
      <c r="E1786" s="197">
        <v>0</v>
      </c>
      <c r="F1786" s="197">
        <v>0</v>
      </c>
      <c r="G1786" s="197">
        <v>191098</v>
      </c>
      <c r="H1786" s="197">
        <v>42637.3</v>
      </c>
      <c r="I1786" s="197">
        <v>180</v>
      </c>
      <c r="J1786" s="197">
        <v>233915.3</v>
      </c>
      <c r="K1786" s="197">
        <v>233915.3</v>
      </c>
      <c r="L1786" s="197">
        <v>46072.666666666664</v>
      </c>
      <c r="M1786" s="197">
        <v>-279.33333333333348</v>
      </c>
      <c r="N1786" s="197">
        <v>0</v>
      </c>
      <c r="O1786" s="197">
        <v>0</v>
      </c>
      <c r="P1786" s="197">
        <v>0</v>
      </c>
      <c r="Q1786" s="197">
        <v>0</v>
      </c>
      <c r="R1786" s="260" t="s">
        <v>239</v>
      </c>
      <c r="S1786" s="260" t="s">
        <v>514</v>
      </c>
      <c r="T1786" s="260" t="s">
        <v>239</v>
      </c>
      <c r="U1786" s="260" t="s">
        <v>514</v>
      </c>
    </row>
    <row r="1787" spans="1:21" ht="14.5" x14ac:dyDescent="0.35">
      <c r="A1787" s="260" t="s">
        <v>649</v>
      </c>
      <c r="B1787" s="190">
        <v>45978</v>
      </c>
      <c r="C1787" s="197">
        <v>233915.3</v>
      </c>
      <c r="D1787" s="197">
        <v>0</v>
      </c>
      <c r="E1787" s="197">
        <v>0</v>
      </c>
      <c r="F1787" s="197">
        <v>0</v>
      </c>
      <c r="G1787" s="197">
        <v>191098</v>
      </c>
      <c r="H1787" s="197">
        <v>42402.7</v>
      </c>
      <c r="I1787" s="197">
        <v>180</v>
      </c>
      <c r="J1787" s="197">
        <v>233680.7</v>
      </c>
      <c r="K1787" s="197">
        <v>233680.7</v>
      </c>
      <c r="L1787" s="197">
        <v>46072.666666666664</v>
      </c>
      <c r="M1787" s="197">
        <v>-279.33333333333348</v>
      </c>
      <c r="N1787" s="197">
        <v>0</v>
      </c>
      <c r="O1787" s="197">
        <v>0</v>
      </c>
      <c r="P1787" s="197">
        <v>-234.59999999997672</v>
      </c>
      <c r="Q1787" s="197">
        <v>-1.0029271278961804E-3</v>
      </c>
      <c r="R1787" s="260" t="s">
        <v>239</v>
      </c>
      <c r="S1787" s="260" t="s">
        <v>514</v>
      </c>
      <c r="T1787" s="260" t="s">
        <v>239</v>
      </c>
      <c r="U1787" s="260" t="s">
        <v>514</v>
      </c>
    </row>
    <row r="1788" spans="1:21" ht="14.5" x14ac:dyDescent="0.35">
      <c r="A1788" s="260" t="s">
        <v>649</v>
      </c>
      <c r="B1788" s="190">
        <v>45979</v>
      </c>
      <c r="C1788" s="197">
        <v>233680.7</v>
      </c>
      <c r="D1788" s="197">
        <v>0</v>
      </c>
      <c r="E1788" s="197">
        <v>0</v>
      </c>
      <c r="F1788" s="197">
        <v>0</v>
      </c>
      <c r="G1788" s="197">
        <v>191098</v>
      </c>
      <c r="H1788" s="197">
        <v>42326.3</v>
      </c>
      <c r="I1788" s="197">
        <v>180</v>
      </c>
      <c r="J1788" s="197">
        <v>233604.3</v>
      </c>
      <c r="K1788" s="197">
        <v>233604.3</v>
      </c>
      <c r="L1788" s="197">
        <v>46072.666666666664</v>
      </c>
      <c r="M1788" s="197">
        <v>-279.33333333333348</v>
      </c>
      <c r="N1788" s="197">
        <v>0</v>
      </c>
      <c r="O1788" s="197">
        <v>0</v>
      </c>
      <c r="P1788" s="197">
        <v>-76.400000000023283</v>
      </c>
      <c r="Q1788" s="197">
        <v>-3.269418484282971E-4</v>
      </c>
      <c r="R1788" s="260" t="s">
        <v>239</v>
      </c>
      <c r="S1788" s="260" t="s">
        <v>514</v>
      </c>
      <c r="T1788" s="260" t="s">
        <v>239</v>
      </c>
      <c r="U1788" s="260" t="s">
        <v>514</v>
      </c>
    </row>
    <row r="1789" spans="1:21" ht="14.5" x14ac:dyDescent="0.35">
      <c r="A1789" s="260" t="s">
        <v>649</v>
      </c>
      <c r="B1789" s="190">
        <v>45980</v>
      </c>
      <c r="C1789" s="197">
        <v>233604.3</v>
      </c>
      <c r="D1789" s="197">
        <v>0</v>
      </c>
      <c r="E1789" s="197">
        <v>0</v>
      </c>
      <c r="F1789" s="197">
        <v>0</v>
      </c>
      <c r="G1789" s="197">
        <v>191098</v>
      </c>
      <c r="H1789" s="197">
        <v>42249.899999999994</v>
      </c>
      <c r="I1789" s="197">
        <v>180</v>
      </c>
      <c r="J1789" s="197">
        <v>233527.9</v>
      </c>
      <c r="K1789" s="197">
        <v>233527.9</v>
      </c>
      <c r="L1789" s="197">
        <v>46072.666666666664</v>
      </c>
      <c r="M1789" s="197">
        <v>-279.33333333333348</v>
      </c>
      <c r="N1789" s="197">
        <v>0</v>
      </c>
      <c r="O1789" s="197">
        <v>0</v>
      </c>
      <c r="P1789" s="197">
        <v>-76.399999999994179</v>
      </c>
      <c r="Q1789" s="197">
        <v>-3.2704877435896229E-4</v>
      </c>
      <c r="R1789" s="260" t="s">
        <v>239</v>
      </c>
      <c r="S1789" s="260" t="s">
        <v>514</v>
      </c>
      <c r="T1789" s="260" t="s">
        <v>239</v>
      </c>
      <c r="U1789" s="260" t="s">
        <v>514</v>
      </c>
    </row>
    <row r="1790" spans="1:21" ht="14.5" x14ac:dyDescent="0.35">
      <c r="A1790" s="260" t="s">
        <v>649</v>
      </c>
      <c r="B1790" s="190">
        <v>45981</v>
      </c>
      <c r="C1790" s="197">
        <v>233527.9</v>
      </c>
      <c r="D1790" s="197">
        <v>0</v>
      </c>
      <c r="E1790" s="197">
        <v>0</v>
      </c>
      <c r="F1790" s="197">
        <v>0</v>
      </c>
      <c r="G1790" s="197">
        <v>191098</v>
      </c>
      <c r="H1790" s="197">
        <v>42170.8</v>
      </c>
      <c r="I1790" s="197">
        <v>180</v>
      </c>
      <c r="J1790" s="197">
        <v>233448.8</v>
      </c>
      <c r="K1790" s="197">
        <v>233448.8</v>
      </c>
      <c r="L1790" s="197">
        <v>46072.666666666664</v>
      </c>
      <c r="M1790" s="197">
        <v>-279.33333333333348</v>
      </c>
      <c r="N1790" s="197">
        <v>0</v>
      </c>
      <c r="O1790" s="197">
        <v>0</v>
      </c>
      <c r="P1790" s="197">
        <v>-79.100000000005821</v>
      </c>
      <c r="Q1790" s="197">
        <v>-3.3871755794490088E-4</v>
      </c>
      <c r="R1790" s="260" t="s">
        <v>239</v>
      </c>
      <c r="S1790" s="260" t="s">
        <v>514</v>
      </c>
      <c r="T1790" s="260" t="s">
        <v>239</v>
      </c>
      <c r="U1790" s="260" t="s">
        <v>514</v>
      </c>
    </row>
    <row r="1791" spans="1:21" ht="14.5" x14ac:dyDescent="0.35">
      <c r="A1791" s="260" t="s">
        <v>649</v>
      </c>
      <c r="B1791" s="190">
        <v>45982</v>
      </c>
      <c r="C1791" s="197">
        <v>233448.8</v>
      </c>
      <c r="D1791" s="197">
        <v>0</v>
      </c>
      <c r="E1791" s="197">
        <v>0</v>
      </c>
      <c r="F1791" s="197">
        <v>0</v>
      </c>
      <c r="G1791" s="197">
        <v>191098</v>
      </c>
      <c r="H1791" s="197">
        <v>42094.400000000001</v>
      </c>
      <c r="I1791" s="197">
        <v>180</v>
      </c>
      <c r="J1791" s="197">
        <v>233372.4</v>
      </c>
      <c r="K1791" s="197">
        <v>233372.4</v>
      </c>
      <c r="L1791" s="197">
        <v>46072.666666666664</v>
      </c>
      <c r="M1791" s="197">
        <v>-279.33333333333348</v>
      </c>
      <c r="N1791" s="197">
        <v>0</v>
      </c>
      <c r="O1791" s="197">
        <v>0</v>
      </c>
      <c r="P1791" s="197">
        <v>-76.399999999994179</v>
      </c>
      <c r="Q1791" s="197">
        <v>-3.2726662120341476E-4</v>
      </c>
      <c r="R1791" s="260" t="s">
        <v>239</v>
      </c>
      <c r="S1791" s="260" t="s">
        <v>514</v>
      </c>
      <c r="T1791" s="260" t="s">
        <v>239</v>
      </c>
      <c r="U1791" s="260" t="s">
        <v>514</v>
      </c>
    </row>
    <row r="1792" spans="1:21" ht="14.5" x14ac:dyDescent="0.35">
      <c r="A1792" s="260" t="s">
        <v>649</v>
      </c>
      <c r="B1792" s="190">
        <v>45983</v>
      </c>
      <c r="C1792" s="197">
        <v>233372.4</v>
      </c>
      <c r="D1792" s="197">
        <v>0</v>
      </c>
      <c r="E1792" s="197">
        <v>0</v>
      </c>
      <c r="F1792" s="197">
        <v>0</v>
      </c>
      <c r="G1792" s="197">
        <v>191098</v>
      </c>
      <c r="H1792" s="197">
        <v>42094.400000000001</v>
      </c>
      <c r="I1792" s="197">
        <v>180</v>
      </c>
      <c r="J1792" s="197">
        <v>233372.4</v>
      </c>
      <c r="K1792" s="197">
        <v>233372.4</v>
      </c>
      <c r="L1792" s="197">
        <v>46072.666666666664</v>
      </c>
      <c r="M1792" s="197">
        <v>-279.33333333333348</v>
      </c>
      <c r="N1792" s="197">
        <v>0</v>
      </c>
      <c r="O1792" s="197">
        <v>0</v>
      </c>
      <c r="P1792" s="197">
        <v>0</v>
      </c>
      <c r="Q1792" s="197">
        <v>0</v>
      </c>
      <c r="R1792" s="260" t="s">
        <v>239</v>
      </c>
      <c r="S1792" s="260" t="s">
        <v>514</v>
      </c>
      <c r="T1792" s="260" t="s">
        <v>239</v>
      </c>
      <c r="U1792" s="260" t="s">
        <v>514</v>
      </c>
    </row>
    <row r="1793" spans="1:21" ht="14.5" x14ac:dyDescent="0.35">
      <c r="A1793" s="260" t="s">
        <v>649</v>
      </c>
      <c r="B1793" s="190">
        <v>45984</v>
      </c>
      <c r="C1793" s="197">
        <v>233372.4</v>
      </c>
      <c r="D1793" s="197">
        <v>0</v>
      </c>
      <c r="E1793" s="197">
        <v>0</v>
      </c>
      <c r="F1793" s="197">
        <v>0</v>
      </c>
      <c r="G1793" s="197">
        <v>191098</v>
      </c>
      <c r="H1793" s="197">
        <v>42094.400000000001</v>
      </c>
      <c r="I1793" s="197">
        <v>180</v>
      </c>
      <c r="J1793" s="197">
        <v>233372.4</v>
      </c>
      <c r="K1793" s="197">
        <v>233372.4</v>
      </c>
      <c r="L1793" s="197">
        <v>46072.666666666664</v>
      </c>
      <c r="M1793" s="197">
        <v>-279.33333333333348</v>
      </c>
      <c r="N1793" s="197">
        <v>0</v>
      </c>
      <c r="O1793" s="197">
        <v>0</v>
      </c>
      <c r="P1793" s="197">
        <v>0</v>
      </c>
      <c r="Q1793" s="197">
        <v>0</v>
      </c>
      <c r="R1793" s="260" t="s">
        <v>239</v>
      </c>
      <c r="S1793" s="260" t="s">
        <v>514</v>
      </c>
      <c r="T1793" s="260" t="s">
        <v>239</v>
      </c>
      <c r="U1793" s="260" t="s">
        <v>514</v>
      </c>
    </row>
    <row r="1794" spans="1:21" ht="14.5" x14ac:dyDescent="0.35">
      <c r="A1794" s="260" t="s">
        <v>649</v>
      </c>
      <c r="B1794" s="190">
        <v>45985</v>
      </c>
      <c r="C1794" s="197">
        <v>233372.4</v>
      </c>
      <c r="D1794" s="197">
        <v>0</v>
      </c>
      <c r="E1794" s="197">
        <v>0</v>
      </c>
      <c r="F1794" s="197">
        <v>0</v>
      </c>
      <c r="G1794" s="197">
        <v>191098</v>
      </c>
      <c r="H1794" s="197">
        <v>41863.800000000003</v>
      </c>
      <c r="I1794" s="197">
        <v>180</v>
      </c>
      <c r="J1794" s="197">
        <v>233141.8</v>
      </c>
      <c r="K1794" s="197">
        <v>233141.8</v>
      </c>
      <c r="L1794" s="197">
        <v>46072.666666666664</v>
      </c>
      <c r="M1794" s="197">
        <v>-279.33333333333348</v>
      </c>
      <c r="N1794" s="197">
        <v>0</v>
      </c>
      <c r="O1794" s="197">
        <v>0</v>
      </c>
      <c r="P1794" s="197">
        <v>-230.60000000000582</v>
      </c>
      <c r="Q1794" s="197">
        <v>-9.8812027471972819E-4</v>
      </c>
      <c r="R1794" s="260" t="s">
        <v>239</v>
      </c>
      <c r="S1794" s="260" t="s">
        <v>514</v>
      </c>
      <c r="T1794" s="260" t="s">
        <v>239</v>
      </c>
      <c r="U1794" s="260" t="s">
        <v>514</v>
      </c>
    </row>
    <row r="1795" spans="1:21" ht="14.5" x14ac:dyDescent="0.35">
      <c r="A1795" s="260" t="s">
        <v>649</v>
      </c>
      <c r="B1795" s="190">
        <v>45986</v>
      </c>
      <c r="C1795" s="197">
        <v>233141.8</v>
      </c>
      <c r="D1795" s="197">
        <v>0</v>
      </c>
      <c r="E1795" s="197">
        <v>0</v>
      </c>
      <c r="F1795" s="197">
        <v>0</v>
      </c>
      <c r="G1795" s="197">
        <v>191098</v>
      </c>
      <c r="H1795" s="197">
        <v>41787.4</v>
      </c>
      <c r="I1795" s="197">
        <v>180</v>
      </c>
      <c r="J1795" s="197">
        <v>233065.4</v>
      </c>
      <c r="K1795" s="197">
        <v>233065.4</v>
      </c>
      <c r="L1795" s="197">
        <v>46072.666666666664</v>
      </c>
      <c r="M1795" s="197">
        <v>-279.33333333333348</v>
      </c>
      <c r="N1795" s="197">
        <v>0</v>
      </c>
      <c r="O1795" s="197">
        <v>0</v>
      </c>
      <c r="P1795" s="197">
        <v>-76.399999999994179</v>
      </c>
      <c r="Q1795" s="197">
        <v>-3.2769756431494379E-4</v>
      </c>
      <c r="R1795" s="260" t="s">
        <v>239</v>
      </c>
      <c r="S1795" s="260" t="s">
        <v>514</v>
      </c>
      <c r="T1795" s="260" t="s">
        <v>239</v>
      </c>
      <c r="U1795" s="260" t="s">
        <v>514</v>
      </c>
    </row>
    <row r="1796" spans="1:21" ht="14.5" x14ac:dyDescent="0.35">
      <c r="A1796" s="260" t="s">
        <v>649</v>
      </c>
      <c r="B1796" s="190">
        <v>45987</v>
      </c>
      <c r="C1796" s="197">
        <v>233065.4</v>
      </c>
      <c r="D1796" s="197">
        <v>0</v>
      </c>
      <c r="E1796" s="197">
        <v>0</v>
      </c>
      <c r="F1796" s="197">
        <v>0</v>
      </c>
      <c r="G1796" s="197">
        <v>191098</v>
      </c>
      <c r="H1796" s="197">
        <v>41708.300000000003</v>
      </c>
      <c r="I1796" s="197">
        <v>180</v>
      </c>
      <c r="J1796" s="197">
        <v>232986.3</v>
      </c>
      <c r="K1796" s="197">
        <v>232986.3</v>
      </c>
      <c r="L1796" s="197">
        <v>46072.666666666664</v>
      </c>
      <c r="M1796" s="197">
        <v>-279.33333333333348</v>
      </c>
      <c r="N1796" s="197">
        <v>0</v>
      </c>
      <c r="O1796" s="197">
        <v>0</v>
      </c>
      <c r="P1796" s="197">
        <v>-79.100000000005821</v>
      </c>
      <c r="Q1796" s="197">
        <v>-3.3938971636293669E-4</v>
      </c>
      <c r="R1796" s="260" t="s">
        <v>239</v>
      </c>
      <c r="S1796" s="260" t="s">
        <v>514</v>
      </c>
      <c r="T1796" s="260" t="s">
        <v>239</v>
      </c>
      <c r="U1796" s="260" t="s">
        <v>514</v>
      </c>
    </row>
    <row r="1797" spans="1:21" ht="14.5" x14ac:dyDescent="0.35">
      <c r="A1797" s="260" t="s">
        <v>649</v>
      </c>
      <c r="B1797" s="190">
        <v>45988</v>
      </c>
      <c r="C1797" s="197">
        <v>232986.3</v>
      </c>
      <c r="D1797" s="197">
        <v>0</v>
      </c>
      <c r="E1797" s="197">
        <v>0</v>
      </c>
      <c r="F1797" s="197">
        <v>0</v>
      </c>
      <c r="G1797" s="197">
        <v>191098</v>
      </c>
      <c r="H1797" s="197">
        <v>41631.9</v>
      </c>
      <c r="I1797" s="197">
        <v>180</v>
      </c>
      <c r="J1797" s="197">
        <v>232909.9</v>
      </c>
      <c r="K1797" s="197">
        <v>232909.9</v>
      </c>
      <c r="L1797" s="197">
        <v>46072.666666666664</v>
      </c>
      <c r="M1797" s="197">
        <v>-279.33333333333348</v>
      </c>
      <c r="N1797" s="197">
        <v>0</v>
      </c>
      <c r="O1797" s="197">
        <v>0</v>
      </c>
      <c r="P1797" s="197">
        <v>-76.399999999994179</v>
      </c>
      <c r="Q1797" s="197">
        <v>-3.2791627662220879E-4</v>
      </c>
      <c r="R1797" s="260" t="s">
        <v>239</v>
      </c>
      <c r="S1797" s="260" t="s">
        <v>514</v>
      </c>
      <c r="T1797" s="260" t="s">
        <v>239</v>
      </c>
      <c r="U1797" s="260" t="s">
        <v>514</v>
      </c>
    </row>
    <row r="1798" spans="1:21" ht="14.5" x14ac:dyDescent="0.35">
      <c r="A1798" s="260" t="s">
        <v>649</v>
      </c>
      <c r="B1798" s="190">
        <v>45989</v>
      </c>
      <c r="C1798" s="197">
        <v>232909.9</v>
      </c>
      <c r="D1798" s="197">
        <v>0</v>
      </c>
      <c r="E1798" s="197">
        <v>0</v>
      </c>
      <c r="F1798" s="197">
        <v>0</v>
      </c>
      <c r="G1798" s="197">
        <v>191098</v>
      </c>
      <c r="H1798" s="197">
        <v>41555.5</v>
      </c>
      <c r="I1798" s="197">
        <v>180</v>
      </c>
      <c r="J1798" s="197">
        <v>232833.5</v>
      </c>
      <c r="K1798" s="197">
        <v>232833.5</v>
      </c>
      <c r="L1798" s="197">
        <v>46072.666666666664</v>
      </c>
      <c r="M1798" s="197">
        <v>-279.33333333333348</v>
      </c>
      <c r="N1798" s="197">
        <v>0</v>
      </c>
      <c r="O1798" s="197">
        <v>0</v>
      </c>
      <c r="P1798" s="197">
        <v>-76.399999999994179</v>
      </c>
      <c r="Q1798" s="197">
        <v>-3.2802384097885273E-4</v>
      </c>
      <c r="R1798" s="260" t="s">
        <v>239</v>
      </c>
      <c r="S1798" s="260" t="s">
        <v>514</v>
      </c>
      <c r="T1798" s="260" t="s">
        <v>239</v>
      </c>
      <c r="U1798" s="260" t="s">
        <v>514</v>
      </c>
    </row>
    <row r="1799" spans="1:21" ht="14.5" x14ac:dyDescent="0.35">
      <c r="A1799" s="260" t="s">
        <v>649</v>
      </c>
      <c r="B1799" s="190">
        <v>45990</v>
      </c>
      <c r="C1799" s="197">
        <v>232833.5</v>
      </c>
      <c r="D1799" s="197">
        <v>0</v>
      </c>
      <c r="E1799" s="197">
        <v>0</v>
      </c>
      <c r="F1799" s="197">
        <v>0</v>
      </c>
      <c r="G1799" s="197">
        <v>191098</v>
      </c>
      <c r="H1799" s="197">
        <v>41555.5</v>
      </c>
      <c r="I1799" s="197">
        <v>180</v>
      </c>
      <c r="J1799" s="197">
        <v>232833.5</v>
      </c>
      <c r="K1799" s="197">
        <v>232833.5</v>
      </c>
      <c r="L1799" s="197">
        <v>46072.666666666664</v>
      </c>
      <c r="M1799" s="197">
        <v>-279.33333333333348</v>
      </c>
      <c r="N1799" s="197">
        <v>0</v>
      </c>
      <c r="O1799" s="197">
        <v>0</v>
      </c>
      <c r="P1799" s="197">
        <v>0</v>
      </c>
      <c r="Q1799" s="197">
        <v>0</v>
      </c>
      <c r="R1799" s="260" t="s">
        <v>239</v>
      </c>
      <c r="S1799" s="260" t="s">
        <v>514</v>
      </c>
      <c r="T1799" s="260" t="s">
        <v>239</v>
      </c>
      <c r="U1799" s="260" t="s">
        <v>514</v>
      </c>
    </row>
    <row r="1800" spans="1:21" ht="14.5" x14ac:dyDescent="0.35">
      <c r="A1800" s="260" t="s">
        <v>649</v>
      </c>
      <c r="B1800" s="190">
        <v>45991</v>
      </c>
      <c r="C1800" s="197">
        <v>232833.5</v>
      </c>
      <c r="D1800" s="197">
        <v>0</v>
      </c>
      <c r="E1800" s="197">
        <v>0</v>
      </c>
      <c r="F1800" s="197">
        <v>0</v>
      </c>
      <c r="G1800" s="197">
        <v>191098</v>
      </c>
      <c r="H1800" s="197">
        <v>41555.5</v>
      </c>
      <c r="I1800" s="197">
        <v>180</v>
      </c>
      <c r="J1800" s="197">
        <v>232833.5</v>
      </c>
      <c r="K1800" s="197">
        <v>232833.5</v>
      </c>
      <c r="L1800" s="197">
        <v>46072.666666666664</v>
      </c>
      <c r="M1800" s="197">
        <v>-279.33333333333348</v>
      </c>
      <c r="N1800" s="197">
        <v>0</v>
      </c>
      <c r="O1800" s="197">
        <v>0</v>
      </c>
      <c r="P1800" s="197">
        <v>0</v>
      </c>
      <c r="Q1800" s="197">
        <v>0</v>
      </c>
      <c r="R1800" s="260" t="s">
        <v>239</v>
      </c>
      <c r="S1800" s="260" t="s">
        <v>514</v>
      </c>
      <c r="T1800" s="260" t="s">
        <v>239</v>
      </c>
      <c r="U1800" s="260" t="s">
        <v>514</v>
      </c>
    </row>
    <row r="1801" spans="1:21" ht="14.5" x14ac:dyDescent="0.35">
      <c r="A1801" s="260" t="s">
        <v>649</v>
      </c>
      <c r="B1801" s="190">
        <v>45992</v>
      </c>
      <c r="C1801" s="197">
        <v>232833.5</v>
      </c>
      <c r="D1801" s="197">
        <v>0</v>
      </c>
      <c r="E1801" s="197">
        <v>0</v>
      </c>
      <c r="F1801" s="197">
        <v>0</v>
      </c>
      <c r="G1801" s="197">
        <v>191098</v>
      </c>
      <c r="H1801" s="197">
        <v>41400</v>
      </c>
      <c r="I1801" s="197">
        <v>180</v>
      </c>
      <c r="J1801" s="197">
        <v>232678</v>
      </c>
      <c r="K1801" s="197">
        <v>232678</v>
      </c>
      <c r="L1801" s="197">
        <v>46072.666666666664</v>
      </c>
      <c r="M1801" s="197">
        <v>-279.33333333333348</v>
      </c>
      <c r="N1801" s="197">
        <v>0</v>
      </c>
      <c r="O1801" s="197">
        <v>0</v>
      </c>
      <c r="P1801" s="197">
        <v>-155.5</v>
      </c>
      <c r="Q1801" s="197">
        <v>-6.6785922128898001E-4</v>
      </c>
      <c r="R1801" s="260" t="s">
        <v>239</v>
      </c>
      <c r="S1801" s="260" t="s">
        <v>514</v>
      </c>
      <c r="T1801" s="260" t="s">
        <v>239</v>
      </c>
      <c r="U1801" s="260" t="s">
        <v>514</v>
      </c>
    </row>
    <row r="1802" spans="1:21" ht="14.5" x14ac:dyDescent="0.35">
      <c r="A1802" s="260" t="s">
        <v>649</v>
      </c>
      <c r="B1802" s="190">
        <v>45993</v>
      </c>
      <c r="C1802" s="197">
        <v>232678</v>
      </c>
      <c r="D1802" s="197">
        <v>0</v>
      </c>
      <c r="E1802" s="197">
        <v>0</v>
      </c>
      <c r="F1802" s="197">
        <v>0</v>
      </c>
      <c r="G1802" s="197">
        <v>191098</v>
      </c>
      <c r="H1802" s="197">
        <v>41388.199999999997</v>
      </c>
      <c r="I1802" s="197">
        <v>180</v>
      </c>
      <c r="J1802" s="197">
        <v>232666.2</v>
      </c>
      <c r="K1802" s="197">
        <v>232666.2</v>
      </c>
      <c r="L1802" s="197">
        <v>46072.666666666664</v>
      </c>
      <c r="M1802" s="197">
        <v>-279.33333333333348</v>
      </c>
      <c r="N1802" s="197">
        <v>0</v>
      </c>
      <c r="O1802" s="197">
        <v>0</v>
      </c>
      <c r="P1802" s="197">
        <v>-11.799999999988358</v>
      </c>
      <c r="Q1802" s="197">
        <v>-5.0713862075446592E-5</v>
      </c>
      <c r="R1802" s="260" t="s">
        <v>239</v>
      </c>
      <c r="S1802" s="260" t="s">
        <v>514</v>
      </c>
      <c r="T1802" s="260" t="s">
        <v>239</v>
      </c>
      <c r="U1802" s="260" t="s">
        <v>514</v>
      </c>
    </row>
    <row r="1803" spans="1:21" ht="14.5" x14ac:dyDescent="0.35">
      <c r="A1803" s="260" t="s">
        <v>649</v>
      </c>
      <c r="B1803" s="190">
        <v>45994</v>
      </c>
      <c r="C1803" s="197">
        <v>232666.2</v>
      </c>
      <c r="D1803" s="197">
        <v>0</v>
      </c>
      <c r="E1803" s="197">
        <v>0</v>
      </c>
      <c r="F1803" s="197">
        <v>0</v>
      </c>
      <c r="G1803" s="197">
        <v>191098</v>
      </c>
      <c r="H1803" s="197">
        <v>41377.800000000003</v>
      </c>
      <c r="I1803" s="197">
        <v>180</v>
      </c>
      <c r="J1803" s="197">
        <v>232655.8</v>
      </c>
      <c r="K1803" s="197">
        <v>232655.8</v>
      </c>
      <c r="L1803" s="197">
        <v>46072.666666666664</v>
      </c>
      <c r="M1803" s="197">
        <v>-279.33333333333348</v>
      </c>
      <c r="N1803" s="197">
        <v>0</v>
      </c>
      <c r="O1803" s="197">
        <v>0</v>
      </c>
      <c r="P1803" s="197">
        <v>-10.400000000023283</v>
      </c>
      <c r="Q1803" s="197">
        <v>-4.4699230055900152E-5</v>
      </c>
      <c r="R1803" s="260" t="s">
        <v>239</v>
      </c>
      <c r="S1803" s="260" t="s">
        <v>514</v>
      </c>
      <c r="T1803" s="260" t="s">
        <v>239</v>
      </c>
      <c r="U1803" s="260" t="s">
        <v>514</v>
      </c>
    </row>
    <row r="1804" spans="1:21" ht="14.5" x14ac:dyDescent="0.35">
      <c r="A1804" s="260" t="s">
        <v>649</v>
      </c>
      <c r="B1804" s="190">
        <v>45995</v>
      </c>
      <c r="C1804" s="197">
        <v>232655.8</v>
      </c>
      <c r="D1804" s="197">
        <v>0</v>
      </c>
      <c r="E1804" s="197">
        <v>0</v>
      </c>
      <c r="F1804" s="197">
        <v>0</v>
      </c>
      <c r="G1804" s="197">
        <v>191098</v>
      </c>
      <c r="H1804" s="197">
        <v>41366</v>
      </c>
      <c r="I1804" s="197">
        <v>180</v>
      </c>
      <c r="J1804" s="197">
        <v>232644</v>
      </c>
      <c r="K1804" s="197">
        <v>232644</v>
      </c>
      <c r="L1804" s="197">
        <v>46072.666666666664</v>
      </c>
      <c r="M1804" s="197">
        <v>-279.33333333333348</v>
      </c>
      <c r="N1804" s="197">
        <v>0</v>
      </c>
      <c r="O1804" s="197">
        <v>0</v>
      </c>
      <c r="P1804" s="197">
        <v>-11.799999999988358</v>
      </c>
      <c r="Q1804" s="197">
        <v>-5.0718701188556814E-5</v>
      </c>
      <c r="R1804" s="260" t="s">
        <v>239</v>
      </c>
      <c r="S1804" s="260" t="s">
        <v>514</v>
      </c>
      <c r="T1804" s="260" t="s">
        <v>239</v>
      </c>
      <c r="U1804" s="260" t="s">
        <v>514</v>
      </c>
    </row>
    <row r="1805" spans="1:21" ht="14.5" x14ac:dyDescent="0.35">
      <c r="A1805" s="260" t="s">
        <v>649</v>
      </c>
      <c r="B1805" s="190">
        <v>45996</v>
      </c>
      <c r="C1805" s="197">
        <v>232644</v>
      </c>
      <c r="D1805" s="197">
        <v>0</v>
      </c>
      <c r="E1805" s="197">
        <v>0</v>
      </c>
      <c r="F1805" s="197">
        <v>0</v>
      </c>
      <c r="G1805" s="197">
        <v>191098</v>
      </c>
      <c r="H1805" s="197">
        <v>41354.199999999997</v>
      </c>
      <c r="I1805" s="197">
        <v>180</v>
      </c>
      <c r="J1805" s="197">
        <v>232632.2</v>
      </c>
      <c r="K1805" s="197">
        <v>232632.2</v>
      </c>
      <c r="L1805" s="197">
        <v>46072.666666666664</v>
      </c>
      <c r="M1805" s="197">
        <v>-279.33333333333348</v>
      </c>
      <c r="N1805" s="197">
        <v>0</v>
      </c>
      <c r="O1805" s="197">
        <v>0</v>
      </c>
      <c r="P1805" s="197">
        <v>-11.799999999988358</v>
      </c>
      <c r="Q1805" s="197">
        <v>-5.0721273705645054E-5</v>
      </c>
      <c r="R1805" s="260" t="s">
        <v>239</v>
      </c>
      <c r="S1805" s="260" t="s">
        <v>514</v>
      </c>
      <c r="T1805" s="260" t="s">
        <v>239</v>
      </c>
      <c r="U1805" s="260" t="s">
        <v>514</v>
      </c>
    </row>
    <row r="1806" spans="1:21" ht="14.5" x14ac:dyDescent="0.35">
      <c r="A1806" s="260" t="s">
        <v>649</v>
      </c>
      <c r="B1806" s="190">
        <v>45997</v>
      </c>
      <c r="C1806" s="197">
        <v>232632.2</v>
      </c>
      <c r="D1806" s="197">
        <v>0</v>
      </c>
      <c r="E1806" s="197">
        <v>0</v>
      </c>
      <c r="F1806" s="197">
        <v>0</v>
      </c>
      <c r="G1806" s="197">
        <v>191098</v>
      </c>
      <c r="H1806" s="197">
        <v>41354.199999999997</v>
      </c>
      <c r="I1806" s="197">
        <v>180</v>
      </c>
      <c r="J1806" s="197">
        <v>232632.2</v>
      </c>
      <c r="K1806" s="197">
        <v>232632.2</v>
      </c>
      <c r="L1806" s="197">
        <v>46072.666666666664</v>
      </c>
      <c r="M1806" s="197">
        <v>-279.33333333333348</v>
      </c>
      <c r="N1806" s="197">
        <v>0</v>
      </c>
      <c r="O1806" s="197">
        <v>0</v>
      </c>
      <c r="P1806" s="197">
        <v>0</v>
      </c>
      <c r="Q1806" s="197">
        <v>0</v>
      </c>
      <c r="R1806" s="260" t="s">
        <v>239</v>
      </c>
      <c r="S1806" s="260" t="s">
        <v>514</v>
      </c>
      <c r="T1806" s="260" t="s">
        <v>239</v>
      </c>
      <c r="U1806" s="260" t="s">
        <v>514</v>
      </c>
    </row>
    <row r="1807" spans="1:21" ht="14.5" x14ac:dyDescent="0.35">
      <c r="A1807" s="260" t="s">
        <v>649</v>
      </c>
      <c r="B1807" s="190">
        <v>45998</v>
      </c>
      <c r="C1807" s="197">
        <v>232632.2</v>
      </c>
      <c r="D1807" s="197">
        <v>0</v>
      </c>
      <c r="E1807" s="197">
        <v>0</v>
      </c>
      <c r="F1807" s="197">
        <v>0</v>
      </c>
      <c r="G1807" s="197">
        <v>191098</v>
      </c>
      <c r="H1807" s="197">
        <v>41354.199999999997</v>
      </c>
      <c r="I1807" s="197">
        <v>180</v>
      </c>
      <c r="J1807" s="197">
        <v>232632.2</v>
      </c>
      <c r="K1807" s="197">
        <v>232632.2</v>
      </c>
      <c r="L1807" s="197">
        <v>46072.666666666664</v>
      </c>
      <c r="M1807" s="197">
        <v>-279.33333333333348</v>
      </c>
      <c r="N1807" s="197">
        <v>0</v>
      </c>
      <c r="O1807" s="197">
        <v>0</v>
      </c>
      <c r="P1807" s="197">
        <v>0</v>
      </c>
      <c r="Q1807" s="197">
        <v>0</v>
      </c>
      <c r="R1807" s="260" t="s">
        <v>239</v>
      </c>
      <c r="S1807" s="260" t="s">
        <v>514</v>
      </c>
      <c r="T1807" s="260" t="s">
        <v>239</v>
      </c>
      <c r="U1807" s="260" t="s">
        <v>514</v>
      </c>
    </row>
    <row r="1808" spans="1:21" ht="14.5" x14ac:dyDescent="0.35">
      <c r="A1808" s="260" t="s">
        <v>649</v>
      </c>
      <c r="B1808" s="190">
        <v>45999</v>
      </c>
      <c r="C1808" s="197">
        <v>232632.2</v>
      </c>
      <c r="D1808" s="197">
        <v>0</v>
      </c>
      <c r="E1808" s="197">
        <v>0</v>
      </c>
      <c r="F1808" s="197">
        <v>0</v>
      </c>
      <c r="G1808" s="197">
        <v>191098</v>
      </c>
      <c r="H1808" s="197">
        <v>41320.199999999997</v>
      </c>
      <c r="I1808" s="197">
        <v>180</v>
      </c>
      <c r="J1808" s="197">
        <v>232598.2</v>
      </c>
      <c r="K1808" s="197">
        <v>232598.2</v>
      </c>
      <c r="L1808" s="197">
        <v>46072.666666666664</v>
      </c>
      <c r="M1808" s="197">
        <v>-279.33333333333348</v>
      </c>
      <c r="N1808" s="197">
        <v>0</v>
      </c>
      <c r="O1808" s="197">
        <v>0</v>
      </c>
      <c r="P1808" s="197">
        <v>-34</v>
      </c>
      <c r="Q1808" s="197">
        <v>-1.4615345597046581E-4</v>
      </c>
      <c r="R1808" s="260" t="s">
        <v>239</v>
      </c>
      <c r="S1808" s="260" t="s">
        <v>514</v>
      </c>
      <c r="T1808" s="260" t="s">
        <v>239</v>
      </c>
      <c r="U1808" s="260" t="s">
        <v>514</v>
      </c>
    </row>
    <row r="1809" spans="1:21" ht="14.5" x14ac:dyDescent="0.35">
      <c r="A1809" s="260" t="s">
        <v>649</v>
      </c>
      <c r="B1809" s="190">
        <v>46000</v>
      </c>
      <c r="C1809" s="197">
        <v>232598.2</v>
      </c>
      <c r="D1809" s="197">
        <v>0</v>
      </c>
      <c r="E1809" s="197">
        <v>0</v>
      </c>
      <c r="F1809" s="197">
        <v>0</v>
      </c>
      <c r="G1809" s="197">
        <v>191098</v>
      </c>
      <c r="H1809" s="197">
        <v>41309.800000000003</v>
      </c>
      <c r="I1809" s="197">
        <v>180</v>
      </c>
      <c r="J1809" s="197">
        <v>232587.8</v>
      </c>
      <c r="K1809" s="197">
        <v>232587.8</v>
      </c>
      <c r="L1809" s="197">
        <v>46072.666666666664</v>
      </c>
      <c r="M1809" s="197">
        <v>-279.33333333333348</v>
      </c>
      <c r="N1809" s="197">
        <v>0</v>
      </c>
      <c r="O1809" s="197">
        <v>0</v>
      </c>
      <c r="P1809" s="197">
        <v>-10.400000000023283</v>
      </c>
      <c r="Q1809" s="197">
        <v>-4.4712297859628158E-5</v>
      </c>
      <c r="R1809" s="260" t="s">
        <v>239</v>
      </c>
      <c r="S1809" s="260" t="s">
        <v>514</v>
      </c>
      <c r="T1809" s="260" t="s">
        <v>239</v>
      </c>
      <c r="U1809" s="260" t="s">
        <v>514</v>
      </c>
    </row>
    <row r="1810" spans="1:21" ht="14.5" x14ac:dyDescent="0.35">
      <c r="A1810" s="260" t="s">
        <v>649</v>
      </c>
      <c r="B1810" s="190">
        <v>46001</v>
      </c>
      <c r="C1810" s="197">
        <v>232587.8</v>
      </c>
      <c r="D1810" s="197">
        <v>0</v>
      </c>
      <c r="E1810" s="197">
        <v>0</v>
      </c>
      <c r="F1810" s="197">
        <v>0</v>
      </c>
      <c r="G1810" s="197">
        <v>191098</v>
      </c>
      <c r="H1810" s="197">
        <v>41298</v>
      </c>
      <c r="I1810" s="197">
        <v>180</v>
      </c>
      <c r="J1810" s="197">
        <v>232576</v>
      </c>
      <c r="K1810" s="197">
        <v>232576</v>
      </c>
      <c r="L1810" s="197">
        <v>46072.666666666664</v>
      </c>
      <c r="M1810" s="197">
        <v>-279.33333333333348</v>
      </c>
      <c r="N1810" s="197">
        <v>0</v>
      </c>
      <c r="O1810" s="197">
        <v>0</v>
      </c>
      <c r="P1810" s="197">
        <v>-11.799999999988358</v>
      </c>
      <c r="Q1810" s="197">
        <v>-5.0733529445623482E-5</v>
      </c>
      <c r="R1810" s="260" t="s">
        <v>239</v>
      </c>
      <c r="S1810" s="260" t="s">
        <v>514</v>
      </c>
      <c r="T1810" s="260" t="s">
        <v>239</v>
      </c>
      <c r="U1810" s="260" t="s">
        <v>514</v>
      </c>
    </row>
    <row r="1811" spans="1:21" ht="14.5" x14ac:dyDescent="0.35">
      <c r="A1811" s="260" t="s">
        <v>649</v>
      </c>
      <c r="B1811" s="190">
        <v>46002</v>
      </c>
      <c r="C1811" s="197">
        <v>232576</v>
      </c>
      <c r="D1811" s="197">
        <v>0</v>
      </c>
      <c r="E1811" s="197">
        <v>0</v>
      </c>
      <c r="F1811" s="197">
        <v>0</v>
      </c>
      <c r="G1811" s="197">
        <v>191098</v>
      </c>
      <c r="H1811" s="197">
        <v>41286.199999999997</v>
      </c>
      <c r="I1811" s="197">
        <v>180</v>
      </c>
      <c r="J1811" s="197">
        <v>232564.2</v>
      </c>
      <c r="K1811" s="197">
        <v>232564.2</v>
      </c>
      <c r="L1811" s="197">
        <v>46072.666666666664</v>
      </c>
      <c r="M1811" s="197">
        <v>-279.33333333333348</v>
      </c>
      <c r="N1811" s="197">
        <v>0</v>
      </c>
      <c r="O1811" s="197">
        <v>0</v>
      </c>
      <c r="P1811" s="197">
        <v>-11.799999999988358</v>
      </c>
      <c r="Q1811" s="197">
        <v>-5.0736103467174942E-5</v>
      </c>
      <c r="R1811" s="260" t="s">
        <v>239</v>
      </c>
      <c r="S1811" s="260" t="s">
        <v>514</v>
      </c>
      <c r="T1811" s="260" t="s">
        <v>239</v>
      </c>
      <c r="U1811" s="260" t="s">
        <v>514</v>
      </c>
    </row>
    <row r="1812" spans="1:21" ht="14.5" x14ac:dyDescent="0.35">
      <c r="A1812" s="260" t="s">
        <v>649</v>
      </c>
      <c r="B1812" s="190">
        <v>46003</v>
      </c>
      <c r="C1812" s="197">
        <v>232564.2</v>
      </c>
      <c r="D1812" s="197">
        <v>0</v>
      </c>
      <c r="E1812" s="197">
        <v>0</v>
      </c>
      <c r="F1812" s="197">
        <v>0</v>
      </c>
      <c r="G1812" s="197">
        <v>191098</v>
      </c>
      <c r="H1812" s="197">
        <v>41275.800000000003</v>
      </c>
      <c r="I1812" s="197">
        <v>180</v>
      </c>
      <c r="J1812" s="197">
        <v>232553.8</v>
      </c>
      <c r="K1812" s="197">
        <v>232553.8</v>
      </c>
      <c r="L1812" s="197">
        <v>46072.666666666664</v>
      </c>
      <c r="M1812" s="197">
        <v>-279.33333333333348</v>
      </c>
      <c r="N1812" s="197">
        <v>0</v>
      </c>
      <c r="O1812" s="197">
        <v>0</v>
      </c>
      <c r="P1812" s="197">
        <v>-10.400000000023283</v>
      </c>
      <c r="Q1812" s="197">
        <v>-4.4718834627310855E-5</v>
      </c>
      <c r="R1812" s="260" t="s">
        <v>239</v>
      </c>
      <c r="S1812" s="260" t="s">
        <v>514</v>
      </c>
      <c r="T1812" s="260" t="s">
        <v>239</v>
      </c>
      <c r="U1812" s="260" t="s">
        <v>514</v>
      </c>
    </row>
    <row r="1813" spans="1:21" ht="14.5" x14ac:dyDescent="0.35">
      <c r="A1813" s="260" t="s">
        <v>649</v>
      </c>
      <c r="B1813" s="190">
        <v>46004</v>
      </c>
      <c r="C1813" s="197">
        <v>232553.8</v>
      </c>
      <c r="D1813" s="197">
        <v>0</v>
      </c>
      <c r="E1813" s="197">
        <v>0</v>
      </c>
      <c r="F1813" s="197">
        <v>0</v>
      </c>
      <c r="G1813" s="197">
        <v>191098</v>
      </c>
      <c r="H1813" s="197">
        <v>41275.800000000003</v>
      </c>
      <c r="I1813" s="197">
        <v>180</v>
      </c>
      <c r="J1813" s="197">
        <v>232553.8</v>
      </c>
      <c r="K1813" s="197">
        <v>232553.8</v>
      </c>
      <c r="L1813" s="197">
        <v>46072.666666666664</v>
      </c>
      <c r="M1813" s="197">
        <v>-279.33333333333348</v>
      </c>
      <c r="N1813" s="197">
        <v>0</v>
      </c>
      <c r="O1813" s="197">
        <v>0</v>
      </c>
      <c r="P1813" s="197">
        <v>0</v>
      </c>
      <c r="Q1813" s="197">
        <v>0</v>
      </c>
      <c r="R1813" s="260" t="s">
        <v>239</v>
      </c>
      <c r="S1813" s="260" t="s">
        <v>514</v>
      </c>
      <c r="T1813" s="260" t="s">
        <v>239</v>
      </c>
      <c r="U1813" s="260" t="s">
        <v>514</v>
      </c>
    </row>
    <row r="1814" spans="1:21" ht="14.5" x14ac:dyDescent="0.35">
      <c r="A1814" s="260" t="s">
        <v>649</v>
      </c>
      <c r="B1814" s="190">
        <v>46005</v>
      </c>
      <c r="C1814" s="197">
        <v>232553.8</v>
      </c>
      <c r="D1814" s="197">
        <v>0</v>
      </c>
      <c r="E1814" s="197">
        <v>0</v>
      </c>
      <c r="F1814" s="197">
        <v>0</v>
      </c>
      <c r="G1814" s="197">
        <v>191098</v>
      </c>
      <c r="H1814" s="197">
        <v>41275.800000000003</v>
      </c>
      <c r="I1814" s="197">
        <v>180</v>
      </c>
      <c r="J1814" s="197">
        <v>232553.8</v>
      </c>
      <c r="K1814" s="197">
        <v>232553.8</v>
      </c>
      <c r="L1814" s="197">
        <v>46072.666666666664</v>
      </c>
      <c r="M1814" s="197">
        <v>-279.33333333333348</v>
      </c>
      <c r="N1814" s="197">
        <v>0</v>
      </c>
      <c r="O1814" s="197">
        <v>0</v>
      </c>
      <c r="P1814" s="197">
        <v>0</v>
      </c>
      <c r="Q1814" s="197">
        <v>0</v>
      </c>
      <c r="R1814" s="260" t="s">
        <v>239</v>
      </c>
      <c r="S1814" s="260" t="s">
        <v>514</v>
      </c>
      <c r="T1814" s="260" t="s">
        <v>239</v>
      </c>
      <c r="U1814" s="260" t="s">
        <v>514</v>
      </c>
    </row>
    <row r="1815" spans="1:21" ht="14.5" x14ac:dyDescent="0.35">
      <c r="A1815" s="260" t="s">
        <v>649</v>
      </c>
      <c r="B1815" s="190">
        <v>46006</v>
      </c>
      <c r="C1815" s="197">
        <v>232553.8</v>
      </c>
      <c r="D1815" s="197">
        <v>0</v>
      </c>
      <c r="E1815" s="197">
        <v>0</v>
      </c>
      <c r="F1815" s="197">
        <v>0</v>
      </c>
      <c r="G1815" s="197">
        <v>191278</v>
      </c>
      <c r="H1815" s="197">
        <v>41241.800000000003</v>
      </c>
      <c r="I1815" s="197">
        <v>0</v>
      </c>
      <c r="J1815" s="197">
        <v>232519.8</v>
      </c>
      <c r="K1815" s="197">
        <v>232519.8</v>
      </c>
      <c r="L1815" s="197">
        <v>46072.666666666664</v>
      </c>
      <c r="M1815" s="197">
        <v>-279.33333333333348</v>
      </c>
      <c r="N1815" s="197">
        <v>0</v>
      </c>
      <c r="O1815" s="197">
        <v>0</v>
      </c>
      <c r="P1815" s="197">
        <v>-34</v>
      </c>
      <c r="Q1815" s="197">
        <v>-1.4620272814291901E-4</v>
      </c>
      <c r="R1815" s="260" t="s">
        <v>239</v>
      </c>
      <c r="S1815" s="260" t="s">
        <v>514</v>
      </c>
      <c r="T1815" s="260" t="s">
        <v>239</v>
      </c>
      <c r="U1815" s="260" t="s">
        <v>514</v>
      </c>
    </row>
    <row r="1816" spans="1:21" ht="14.5" x14ac:dyDescent="0.35">
      <c r="A1816" s="260" t="s">
        <v>649</v>
      </c>
      <c r="B1816" s="190">
        <v>46007</v>
      </c>
      <c r="C1816" s="197">
        <v>232519.8</v>
      </c>
      <c r="D1816" s="197">
        <v>0</v>
      </c>
      <c r="E1816" s="197">
        <v>0</v>
      </c>
      <c r="F1816" s="197">
        <v>0</v>
      </c>
      <c r="G1816" s="197">
        <v>191278</v>
      </c>
      <c r="H1816" s="197">
        <v>41230</v>
      </c>
      <c r="I1816" s="197">
        <v>0</v>
      </c>
      <c r="J1816" s="197">
        <v>232508</v>
      </c>
      <c r="K1816" s="197">
        <v>232508</v>
      </c>
      <c r="L1816" s="197">
        <v>46072.666666666664</v>
      </c>
      <c r="M1816" s="197">
        <v>-279.33333333333348</v>
      </c>
      <c r="N1816" s="197">
        <v>0</v>
      </c>
      <c r="O1816" s="197">
        <v>0</v>
      </c>
      <c r="P1816" s="197">
        <v>-11.799999999988358</v>
      </c>
      <c r="Q1816" s="197">
        <v>-5.0748366375641396E-5</v>
      </c>
      <c r="R1816" s="260" t="s">
        <v>239</v>
      </c>
      <c r="S1816" s="260" t="s">
        <v>514</v>
      </c>
      <c r="T1816" s="260" t="s">
        <v>239</v>
      </c>
      <c r="U1816" s="260" t="s">
        <v>514</v>
      </c>
    </row>
    <row r="1817" spans="1:21" ht="14.5" x14ac:dyDescent="0.35">
      <c r="A1817" s="260" t="s">
        <v>649</v>
      </c>
      <c r="B1817" s="190">
        <v>46008</v>
      </c>
      <c r="C1817" s="197">
        <v>232508</v>
      </c>
      <c r="D1817" s="197">
        <v>0</v>
      </c>
      <c r="E1817" s="197">
        <v>0</v>
      </c>
      <c r="F1817" s="197">
        <v>0</v>
      </c>
      <c r="G1817" s="197">
        <v>191278</v>
      </c>
      <c r="H1817" s="197">
        <v>41218.199999999997</v>
      </c>
      <c r="I1817" s="197">
        <v>0</v>
      </c>
      <c r="J1817" s="197">
        <v>232496.2</v>
      </c>
      <c r="K1817" s="197">
        <v>232496.2</v>
      </c>
      <c r="L1817" s="197">
        <v>46072.666666666664</v>
      </c>
      <c r="M1817" s="197">
        <v>-279.33333333333348</v>
      </c>
      <c r="N1817" s="197">
        <v>0</v>
      </c>
      <c r="O1817" s="197">
        <v>0</v>
      </c>
      <c r="P1817" s="197">
        <v>-11.799999999988358</v>
      </c>
      <c r="Q1817" s="197">
        <v>-5.0750941902988345E-5</v>
      </c>
      <c r="R1817" s="260" t="s">
        <v>239</v>
      </c>
      <c r="S1817" s="260" t="s">
        <v>514</v>
      </c>
      <c r="T1817" s="260" t="s">
        <v>239</v>
      </c>
      <c r="U1817" s="260" t="s">
        <v>514</v>
      </c>
    </row>
    <row r="1818" spans="1:21" ht="14.5" x14ac:dyDescent="0.35">
      <c r="A1818" s="260" t="s">
        <v>649</v>
      </c>
      <c r="B1818" s="190">
        <v>46009</v>
      </c>
      <c r="C1818" s="197">
        <v>232496.2</v>
      </c>
      <c r="D1818" s="197">
        <v>0</v>
      </c>
      <c r="E1818" s="197">
        <v>-9000</v>
      </c>
      <c r="F1818" s="197">
        <v>-9000</v>
      </c>
      <c r="G1818" s="197">
        <v>182278</v>
      </c>
      <c r="H1818" s="197">
        <v>41207.800000000003</v>
      </c>
      <c r="I1818" s="197">
        <v>0</v>
      </c>
      <c r="J1818" s="197">
        <v>223485.8</v>
      </c>
      <c r="K1818" s="197">
        <v>223485.8</v>
      </c>
      <c r="L1818" s="197">
        <v>46072.666666666664</v>
      </c>
      <c r="M1818" s="197">
        <v>-279.33333333333348</v>
      </c>
      <c r="N1818" s="197">
        <v>0</v>
      </c>
      <c r="O1818" s="197">
        <v>0</v>
      </c>
      <c r="P1818" s="197">
        <v>-10.400000000023283</v>
      </c>
      <c r="Q1818" s="197">
        <v>-4.4731913898088393E-5</v>
      </c>
      <c r="R1818" s="260" t="s">
        <v>239</v>
      </c>
      <c r="S1818" s="260" t="s">
        <v>514</v>
      </c>
      <c r="T1818" s="260" t="s">
        <v>239</v>
      </c>
      <c r="U1818" s="260" t="s">
        <v>514</v>
      </c>
    </row>
    <row r="1819" spans="1:21" ht="14.5" x14ac:dyDescent="0.35">
      <c r="A1819" s="260" t="s">
        <v>649</v>
      </c>
      <c r="B1819" s="190">
        <v>46010</v>
      </c>
      <c r="C1819" s="197">
        <v>223485.8</v>
      </c>
      <c r="D1819" s="197">
        <v>0</v>
      </c>
      <c r="E1819" s="197">
        <v>0</v>
      </c>
      <c r="F1819" s="197">
        <v>0</v>
      </c>
      <c r="G1819" s="197">
        <v>182278</v>
      </c>
      <c r="H1819" s="197">
        <v>41196</v>
      </c>
      <c r="I1819" s="197">
        <v>0</v>
      </c>
      <c r="J1819" s="197">
        <v>223474</v>
      </c>
      <c r="K1819" s="197">
        <v>223474</v>
      </c>
      <c r="L1819" s="197">
        <v>46072.666666666664</v>
      </c>
      <c r="M1819" s="197">
        <v>-279.33333333333348</v>
      </c>
      <c r="N1819" s="197">
        <v>0</v>
      </c>
      <c r="O1819" s="197">
        <v>0</v>
      </c>
      <c r="P1819" s="197">
        <v>-11.799999999988358</v>
      </c>
      <c r="Q1819" s="197">
        <v>-5.2799775198231202E-5</v>
      </c>
      <c r="R1819" s="260" t="s">
        <v>239</v>
      </c>
      <c r="S1819" s="260" t="s">
        <v>514</v>
      </c>
      <c r="T1819" s="260" t="s">
        <v>239</v>
      </c>
      <c r="U1819" s="260" t="s">
        <v>514</v>
      </c>
    </row>
    <row r="1820" spans="1:21" ht="14.5" x14ac:dyDescent="0.35">
      <c r="A1820" s="260" t="s">
        <v>649</v>
      </c>
      <c r="B1820" s="190">
        <v>46011</v>
      </c>
      <c r="C1820" s="197">
        <v>223474</v>
      </c>
      <c r="D1820" s="197">
        <v>0</v>
      </c>
      <c r="E1820" s="197">
        <v>0</v>
      </c>
      <c r="F1820" s="197">
        <v>0</v>
      </c>
      <c r="G1820" s="197">
        <v>182278</v>
      </c>
      <c r="H1820" s="197">
        <v>41196</v>
      </c>
      <c r="I1820" s="197">
        <v>0</v>
      </c>
      <c r="J1820" s="197">
        <v>223474</v>
      </c>
      <c r="K1820" s="197">
        <v>223474</v>
      </c>
      <c r="L1820" s="197">
        <v>46072.666666666664</v>
      </c>
      <c r="M1820" s="197">
        <v>-279.33333333333348</v>
      </c>
      <c r="N1820" s="197">
        <v>0</v>
      </c>
      <c r="O1820" s="197">
        <v>0</v>
      </c>
      <c r="P1820" s="197">
        <v>0</v>
      </c>
      <c r="Q1820" s="197">
        <v>0</v>
      </c>
      <c r="R1820" s="260" t="s">
        <v>239</v>
      </c>
      <c r="S1820" s="260" t="s">
        <v>514</v>
      </c>
      <c r="T1820" s="260" t="s">
        <v>239</v>
      </c>
      <c r="U1820" s="260" t="s">
        <v>514</v>
      </c>
    </row>
    <row r="1821" spans="1:21" ht="14.5" x14ac:dyDescent="0.35">
      <c r="A1821" s="260" t="s">
        <v>649</v>
      </c>
      <c r="B1821" s="190">
        <v>46012</v>
      </c>
      <c r="C1821" s="197">
        <v>223474</v>
      </c>
      <c r="D1821" s="197">
        <v>0</v>
      </c>
      <c r="E1821" s="197">
        <v>0</v>
      </c>
      <c r="F1821" s="197">
        <v>0</v>
      </c>
      <c r="G1821" s="197">
        <v>182278</v>
      </c>
      <c r="H1821" s="197">
        <v>41196</v>
      </c>
      <c r="I1821" s="197">
        <v>0</v>
      </c>
      <c r="J1821" s="197">
        <v>223474</v>
      </c>
      <c r="K1821" s="197">
        <v>223474</v>
      </c>
      <c r="L1821" s="197">
        <v>46072.666666666664</v>
      </c>
      <c r="M1821" s="197">
        <v>-279.33333333333348</v>
      </c>
      <c r="N1821" s="197">
        <v>0</v>
      </c>
      <c r="O1821" s="197">
        <v>0</v>
      </c>
      <c r="P1821" s="197">
        <v>0</v>
      </c>
      <c r="Q1821" s="197">
        <v>0</v>
      </c>
      <c r="R1821" s="260" t="s">
        <v>239</v>
      </c>
      <c r="S1821" s="260" t="s">
        <v>514</v>
      </c>
      <c r="T1821" s="260" t="s">
        <v>239</v>
      </c>
      <c r="U1821" s="260" t="s">
        <v>514</v>
      </c>
    </row>
    <row r="1822" spans="1:21" ht="14.5" x14ac:dyDescent="0.35">
      <c r="A1822" s="260" t="s">
        <v>649</v>
      </c>
      <c r="B1822" s="190">
        <v>46013</v>
      </c>
      <c r="C1822" s="197">
        <v>223474</v>
      </c>
      <c r="D1822" s="197">
        <v>0</v>
      </c>
      <c r="E1822" s="197">
        <v>0</v>
      </c>
      <c r="F1822" s="197">
        <v>0</v>
      </c>
      <c r="G1822" s="197">
        <v>182278</v>
      </c>
      <c r="H1822" s="197">
        <v>41162</v>
      </c>
      <c r="I1822" s="197">
        <v>0</v>
      </c>
      <c r="J1822" s="197">
        <v>223440</v>
      </c>
      <c r="K1822" s="197">
        <v>223440</v>
      </c>
      <c r="L1822" s="197">
        <v>46072.666666666664</v>
      </c>
      <c r="M1822" s="197">
        <v>-279.33333333333348</v>
      </c>
      <c r="N1822" s="197">
        <v>0</v>
      </c>
      <c r="O1822" s="197">
        <v>0</v>
      </c>
      <c r="P1822" s="197">
        <v>-34</v>
      </c>
      <c r="Q1822" s="197">
        <v>-1.521429786015549E-4</v>
      </c>
      <c r="R1822" s="260" t="s">
        <v>239</v>
      </c>
      <c r="S1822" s="260" t="s">
        <v>514</v>
      </c>
      <c r="T1822" s="260" t="s">
        <v>239</v>
      </c>
      <c r="U1822" s="260" t="s">
        <v>514</v>
      </c>
    </row>
    <row r="1823" spans="1:21" ht="14.5" x14ac:dyDescent="0.35">
      <c r="A1823" s="260" t="s">
        <v>649</v>
      </c>
      <c r="B1823" s="190">
        <v>46014</v>
      </c>
      <c r="C1823" s="197">
        <v>223440</v>
      </c>
      <c r="D1823" s="197">
        <v>0</v>
      </c>
      <c r="E1823" s="197">
        <v>0</v>
      </c>
      <c r="F1823" s="197">
        <v>0</v>
      </c>
      <c r="G1823" s="197">
        <v>182278</v>
      </c>
      <c r="H1823" s="197">
        <v>41150.199999999997</v>
      </c>
      <c r="I1823" s="197">
        <v>0</v>
      </c>
      <c r="J1823" s="197">
        <v>223428.2</v>
      </c>
      <c r="K1823" s="197">
        <v>223428.2</v>
      </c>
      <c r="L1823" s="197">
        <v>46072.666666666664</v>
      </c>
      <c r="M1823" s="197">
        <v>-279.33333333333348</v>
      </c>
      <c r="N1823" s="197">
        <v>0</v>
      </c>
      <c r="O1823" s="197">
        <v>0</v>
      </c>
      <c r="P1823" s="197">
        <v>-11.799999999988358</v>
      </c>
      <c r="Q1823" s="197">
        <v>-5.2810597923280689E-5</v>
      </c>
      <c r="R1823" s="260" t="s">
        <v>239</v>
      </c>
      <c r="S1823" s="260" t="s">
        <v>514</v>
      </c>
      <c r="T1823" s="260" t="s">
        <v>239</v>
      </c>
      <c r="U1823" s="260" t="s">
        <v>514</v>
      </c>
    </row>
    <row r="1824" spans="1:21" ht="14.5" x14ac:dyDescent="0.35">
      <c r="A1824" s="260" t="s">
        <v>649</v>
      </c>
      <c r="B1824" s="190">
        <v>46015</v>
      </c>
      <c r="C1824" s="197">
        <v>223428.2</v>
      </c>
      <c r="D1824" s="197">
        <v>0</v>
      </c>
      <c r="E1824" s="197">
        <v>0</v>
      </c>
      <c r="F1824" s="197">
        <v>0</v>
      </c>
      <c r="G1824" s="197">
        <v>182278</v>
      </c>
      <c r="H1824" s="197">
        <v>41139.800000000003</v>
      </c>
      <c r="I1824" s="197">
        <v>0</v>
      </c>
      <c r="J1824" s="197">
        <v>223417.8</v>
      </c>
      <c r="K1824" s="197">
        <v>223417.8</v>
      </c>
      <c r="L1824" s="197">
        <v>46072.666666666664</v>
      </c>
      <c r="M1824" s="197">
        <v>-279.33333333333348</v>
      </c>
      <c r="N1824" s="197">
        <v>0</v>
      </c>
      <c r="O1824" s="197">
        <v>0</v>
      </c>
      <c r="P1824" s="197">
        <v>-10.400000000023283</v>
      </c>
      <c r="Q1824" s="197">
        <v>-4.6547391958640105E-5</v>
      </c>
      <c r="R1824" s="260" t="s">
        <v>239</v>
      </c>
      <c r="S1824" s="260" t="s">
        <v>514</v>
      </c>
      <c r="T1824" s="260" t="s">
        <v>239</v>
      </c>
      <c r="U1824" s="260" t="s">
        <v>514</v>
      </c>
    </row>
    <row r="1825" spans="1:21" ht="14.5" x14ac:dyDescent="0.35">
      <c r="A1825" s="260" t="s">
        <v>649</v>
      </c>
      <c r="B1825" s="190">
        <v>46016</v>
      </c>
      <c r="C1825" s="197">
        <v>223417.8</v>
      </c>
      <c r="D1825" s="197">
        <v>0</v>
      </c>
      <c r="E1825" s="197">
        <v>0</v>
      </c>
      <c r="F1825" s="197">
        <v>0</v>
      </c>
      <c r="G1825" s="197">
        <v>182278</v>
      </c>
      <c r="H1825" s="197">
        <v>41128</v>
      </c>
      <c r="I1825" s="197">
        <v>0</v>
      </c>
      <c r="J1825" s="197">
        <v>223406</v>
      </c>
      <c r="K1825" s="197">
        <v>223406</v>
      </c>
      <c r="L1825" s="197">
        <v>46072.666666666664</v>
      </c>
      <c r="M1825" s="197">
        <v>-279.33333333333348</v>
      </c>
      <c r="N1825" s="197">
        <v>0</v>
      </c>
      <c r="O1825" s="197">
        <v>0</v>
      </c>
      <c r="P1825" s="197">
        <v>-11.799999999988358</v>
      </c>
      <c r="Q1825" s="197">
        <v>-5.2815845469789124E-5</v>
      </c>
      <c r="R1825" s="260" t="s">
        <v>239</v>
      </c>
      <c r="S1825" s="260" t="s">
        <v>514</v>
      </c>
      <c r="T1825" s="260" t="s">
        <v>239</v>
      </c>
      <c r="U1825" s="260" t="s">
        <v>514</v>
      </c>
    </row>
    <row r="1826" spans="1:21" ht="14.5" x14ac:dyDescent="0.35">
      <c r="A1826" s="260" t="s">
        <v>649</v>
      </c>
      <c r="B1826" s="190">
        <v>46017</v>
      </c>
      <c r="C1826" s="197">
        <v>223406</v>
      </c>
      <c r="D1826" s="197">
        <v>0</v>
      </c>
      <c r="E1826" s="197">
        <v>0</v>
      </c>
      <c r="F1826" s="197">
        <v>0</v>
      </c>
      <c r="G1826" s="197">
        <v>182278</v>
      </c>
      <c r="H1826" s="197">
        <v>41116.199999999997</v>
      </c>
      <c r="I1826" s="197">
        <v>0</v>
      </c>
      <c r="J1826" s="197">
        <v>223394.2</v>
      </c>
      <c r="K1826" s="197">
        <v>223394.2</v>
      </c>
      <c r="L1826" s="197">
        <v>46072.666666666664</v>
      </c>
      <c r="M1826" s="197">
        <v>-279.33333333333348</v>
      </c>
      <c r="N1826" s="197">
        <v>0</v>
      </c>
      <c r="O1826" s="197">
        <v>0</v>
      </c>
      <c r="P1826" s="197">
        <v>-11.799999999988358</v>
      </c>
      <c r="Q1826" s="197">
        <v>-5.2818635130624791E-5</v>
      </c>
      <c r="R1826" s="260" t="s">
        <v>239</v>
      </c>
      <c r="S1826" s="260" t="s">
        <v>514</v>
      </c>
      <c r="T1826" s="260" t="s">
        <v>239</v>
      </c>
      <c r="U1826" s="260" t="s">
        <v>514</v>
      </c>
    </row>
    <row r="1827" spans="1:21" ht="14.5" x14ac:dyDescent="0.35">
      <c r="A1827" s="260" t="s">
        <v>649</v>
      </c>
      <c r="B1827" s="190">
        <v>46018</v>
      </c>
      <c r="C1827" s="197">
        <v>223394.2</v>
      </c>
      <c r="D1827" s="197">
        <v>0</v>
      </c>
      <c r="E1827" s="197">
        <v>0</v>
      </c>
      <c r="F1827" s="197">
        <v>0</v>
      </c>
      <c r="G1827" s="197">
        <v>182278</v>
      </c>
      <c r="H1827" s="197">
        <v>41116.199999999997</v>
      </c>
      <c r="I1827" s="197">
        <v>0</v>
      </c>
      <c r="J1827" s="197">
        <v>223394.2</v>
      </c>
      <c r="K1827" s="197">
        <v>223394.2</v>
      </c>
      <c r="L1827" s="197">
        <v>46072.666666666664</v>
      </c>
      <c r="M1827" s="197">
        <v>-279.33333333333348</v>
      </c>
      <c r="N1827" s="197">
        <v>0</v>
      </c>
      <c r="O1827" s="197">
        <v>0</v>
      </c>
      <c r="P1827" s="197">
        <v>0</v>
      </c>
      <c r="Q1827" s="197">
        <v>0</v>
      </c>
      <c r="R1827" s="260" t="s">
        <v>239</v>
      </c>
      <c r="S1827" s="260" t="s">
        <v>514</v>
      </c>
      <c r="T1827" s="260" t="s">
        <v>239</v>
      </c>
      <c r="U1827" s="260" t="s">
        <v>514</v>
      </c>
    </row>
    <row r="1828" spans="1:21" ht="14.5" x14ac:dyDescent="0.35">
      <c r="A1828" s="260" t="s">
        <v>649</v>
      </c>
      <c r="B1828" s="190">
        <v>46019</v>
      </c>
      <c r="C1828" s="197">
        <v>223394.2</v>
      </c>
      <c r="D1828" s="197">
        <v>0</v>
      </c>
      <c r="E1828" s="197">
        <v>0</v>
      </c>
      <c r="F1828" s="197">
        <v>0</v>
      </c>
      <c r="G1828" s="197">
        <v>182278</v>
      </c>
      <c r="H1828" s="197">
        <v>41116.199999999997</v>
      </c>
      <c r="I1828" s="197">
        <v>0</v>
      </c>
      <c r="J1828" s="197">
        <v>223394.2</v>
      </c>
      <c r="K1828" s="197">
        <v>223394.2</v>
      </c>
      <c r="L1828" s="197">
        <v>46072.666666666664</v>
      </c>
      <c r="M1828" s="197">
        <v>-279.33333333333348</v>
      </c>
      <c r="N1828" s="197">
        <v>0</v>
      </c>
      <c r="O1828" s="197">
        <v>0</v>
      </c>
      <c r="P1828" s="197">
        <v>0</v>
      </c>
      <c r="Q1828" s="197">
        <v>0</v>
      </c>
      <c r="R1828" s="260" t="s">
        <v>239</v>
      </c>
      <c r="S1828" s="260" t="s">
        <v>514</v>
      </c>
      <c r="T1828" s="260" t="s">
        <v>239</v>
      </c>
      <c r="U1828" s="260" t="s">
        <v>514</v>
      </c>
    </row>
    <row r="1829" spans="1:21" ht="14.5" x14ac:dyDescent="0.35">
      <c r="A1829" s="260" t="s">
        <v>649</v>
      </c>
      <c r="B1829" s="190">
        <v>46020</v>
      </c>
      <c r="C1829" s="197">
        <v>223394.2</v>
      </c>
      <c r="D1829" s="197">
        <v>0</v>
      </c>
      <c r="E1829" s="197">
        <v>0</v>
      </c>
      <c r="F1829" s="197">
        <v>0</v>
      </c>
      <c r="G1829" s="197">
        <v>182278</v>
      </c>
      <c r="H1829" s="197">
        <v>41082.199999999997</v>
      </c>
      <c r="I1829" s="197">
        <v>0</v>
      </c>
      <c r="J1829" s="197">
        <v>223360.2</v>
      </c>
      <c r="K1829" s="197">
        <v>223360.2</v>
      </c>
      <c r="L1829" s="197">
        <v>46072.666666666664</v>
      </c>
      <c r="M1829" s="197">
        <v>-279.33333333333348</v>
      </c>
      <c r="N1829" s="197">
        <v>0</v>
      </c>
      <c r="O1829" s="197">
        <v>0</v>
      </c>
      <c r="P1829" s="197">
        <v>-34</v>
      </c>
      <c r="Q1829" s="197">
        <v>-1.5219732651972073E-4</v>
      </c>
      <c r="R1829" s="260" t="s">
        <v>239</v>
      </c>
      <c r="S1829" s="260" t="s">
        <v>514</v>
      </c>
      <c r="T1829" s="260" t="s">
        <v>239</v>
      </c>
      <c r="U1829" s="260" t="s">
        <v>514</v>
      </c>
    </row>
    <row r="1830" spans="1:21" ht="14.5" x14ac:dyDescent="0.35">
      <c r="A1830" s="260" t="s">
        <v>649</v>
      </c>
      <c r="B1830" s="190">
        <v>46021</v>
      </c>
      <c r="C1830" s="197">
        <v>223360.2</v>
      </c>
      <c r="D1830" s="197">
        <v>0</v>
      </c>
      <c r="E1830" s="197">
        <v>0</v>
      </c>
      <c r="F1830" s="197">
        <v>0</v>
      </c>
      <c r="G1830" s="197">
        <v>182278</v>
      </c>
      <c r="H1830" s="197">
        <v>41071.800000000003</v>
      </c>
      <c r="I1830" s="197">
        <v>0</v>
      </c>
      <c r="J1830" s="197">
        <v>223349.8</v>
      </c>
      <c r="K1830" s="197">
        <v>223349.8</v>
      </c>
      <c r="L1830" s="197">
        <v>46072.666666666664</v>
      </c>
      <c r="M1830" s="197">
        <v>-279.33333333333348</v>
      </c>
      <c r="N1830" s="197">
        <v>0</v>
      </c>
      <c r="O1830" s="197">
        <v>0</v>
      </c>
      <c r="P1830" s="197">
        <v>-10.400000000023283</v>
      </c>
      <c r="Q1830" s="197">
        <v>-4.6561562892732944E-5</v>
      </c>
      <c r="R1830" s="260" t="s">
        <v>239</v>
      </c>
      <c r="S1830" s="260" t="s">
        <v>514</v>
      </c>
      <c r="T1830" s="260" t="s">
        <v>239</v>
      </c>
      <c r="U1830" s="260" t="s">
        <v>514</v>
      </c>
    </row>
    <row r="1831" spans="1:21" ht="14.5" x14ac:dyDescent="0.35">
      <c r="A1831" s="260" t="s">
        <v>649</v>
      </c>
      <c r="B1831" s="190">
        <v>46022</v>
      </c>
      <c r="C1831" s="197">
        <v>223349.8</v>
      </c>
      <c r="D1831" s="197">
        <v>0</v>
      </c>
      <c r="E1831" s="197">
        <v>0</v>
      </c>
      <c r="F1831" s="197">
        <v>0</v>
      </c>
      <c r="G1831" s="197">
        <v>182223</v>
      </c>
      <c r="H1831" s="197">
        <v>41060</v>
      </c>
      <c r="I1831" s="197">
        <v>0</v>
      </c>
      <c r="J1831" s="197">
        <v>223283</v>
      </c>
      <c r="K1831" s="197">
        <v>223283</v>
      </c>
      <c r="L1831" s="197">
        <v>46072.666666666664</v>
      </c>
      <c r="M1831" s="197">
        <v>-279.33333333333348</v>
      </c>
      <c r="N1831" s="197">
        <v>55</v>
      </c>
      <c r="O1831" s="197">
        <v>0</v>
      </c>
      <c r="P1831" s="197">
        <v>-66.799999999988358</v>
      </c>
      <c r="Q1831" s="197">
        <v>-2.9908242586285105E-4</v>
      </c>
      <c r="R1831" s="260" t="s">
        <v>239</v>
      </c>
      <c r="S1831" s="260" t="s">
        <v>514</v>
      </c>
      <c r="T1831" s="260" t="s">
        <v>239</v>
      </c>
      <c r="U1831" s="260" t="s">
        <v>514</v>
      </c>
    </row>
  </sheetData>
  <mergeCells count="2">
    <mergeCell ref="A1:P2"/>
    <mergeCell ref="A3:P4"/>
  </mergeCells>
  <phoneticPr fontId="136" type="noConversion"/>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CE646-2ED9-4F52-B877-93832CD95F16}">
  <dimension ref="A1:P4386"/>
  <sheetViews>
    <sheetView showGridLines="0" workbookViewId="0">
      <pane ySplit="6" topLeftCell="A7" activePane="bottomLeft" state="frozenSplit"/>
      <selection pane="bottomLeft" sqref="A1:P2"/>
    </sheetView>
  </sheetViews>
  <sheetFormatPr defaultColWidth="18.6328125" defaultRowHeight="20" customHeight="1" x14ac:dyDescent="0.35"/>
  <cols>
    <col min="1" max="1" width="11.90625" style="184" bestFit="1" customWidth="1"/>
    <col min="2" max="2" width="10.08984375" style="187" bestFit="1" customWidth="1"/>
    <col min="3" max="3" width="14.1796875" style="184" bestFit="1" customWidth="1"/>
    <col min="4" max="4" width="7.453125" style="193" bestFit="1" customWidth="1"/>
    <col min="5" max="5" width="8.90625" style="193" bestFit="1" customWidth="1"/>
    <col min="6" max="6" width="7.26953125" style="193" bestFit="1" customWidth="1"/>
    <col min="7" max="7" width="11.1796875" style="187" bestFit="1" customWidth="1"/>
    <col min="8" max="8" width="14.36328125" style="184" bestFit="1" customWidth="1"/>
    <col min="9" max="9" width="13.54296875" style="193" bestFit="1" customWidth="1"/>
    <col min="10" max="10" width="17" style="193" bestFit="1" customWidth="1"/>
    <col min="11" max="11" width="19.81640625" style="193" bestFit="1" customWidth="1"/>
    <col min="12" max="12" width="15.1796875" style="193" bestFit="1" customWidth="1"/>
    <col min="13" max="13" width="8.453125" style="184" bestFit="1" customWidth="1"/>
    <col min="14" max="14" width="9.26953125" style="184" bestFit="1" customWidth="1"/>
    <col min="15" max="16384" width="18.6328125" style="184"/>
  </cols>
  <sheetData>
    <row r="1" spans="1:16" ht="20" customHeight="1" x14ac:dyDescent="0.35">
      <c r="A1" s="224" t="s">
        <v>630</v>
      </c>
      <c r="B1" s="224"/>
      <c r="C1" s="224"/>
      <c r="D1" s="224"/>
      <c r="E1" s="224"/>
      <c r="F1" s="224"/>
      <c r="G1" s="224"/>
      <c r="H1" s="224"/>
      <c r="I1" s="224"/>
      <c r="J1" s="224"/>
      <c r="K1" s="224"/>
      <c r="L1" s="224"/>
      <c r="M1" s="224"/>
      <c r="N1" s="224"/>
      <c r="O1" s="224"/>
      <c r="P1" s="224"/>
    </row>
    <row r="2" spans="1:16" ht="20" customHeight="1" x14ac:dyDescent="0.35">
      <c r="A2" s="224"/>
      <c r="B2" s="224"/>
      <c r="C2" s="224"/>
      <c r="D2" s="224"/>
      <c r="E2" s="224"/>
      <c r="F2" s="224"/>
      <c r="G2" s="224"/>
      <c r="H2" s="224"/>
      <c r="I2" s="224"/>
      <c r="J2" s="224"/>
      <c r="K2" s="224"/>
      <c r="L2" s="224"/>
      <c r="M2" s="224"/>
      <c r="N2" s="224"/>
      <c r="O2" s="224"/>
      <c r="P2" s="224"/>
    </row>
    <row r="3" spans="1:16" ht="20" customHeight="1" x14ac:dyDescent="0.35">
      <c r="A3" s="225" t="s">
        <v>622</v>
      </c>
      <c r="B3" s="225"/>
      <c r="C3" s="225"/>
      <c r="D3" s="225"/>
      <c r="E3" s="225"/>
      <c r="F3" s="225"/>
      <c r="G3" s="225"/>
      <c r="H3" s="225"/>
      <c r="I3" s="225"/>
      <c r="J3" s="225"/>
      <c r="K3" s="225"/>
      <c r="L3" s="225"/>
      <c r="M3" s="225"/>
      <c r="N3" s="225"/>
      <c r="O3" s="225"/>
      <c r="P3" s="225"/>
    </row>
    <row r="4" spans="1:16" ht="20" customHeight="1" x14ac:dyDescent="0.35">
      <c r="A4" s="225"/>
      <c r="B4" s="225"/>
      <c r="C4" s="225"/>
      <c r="D4" s="225"/>
      <c r="E4" s="225"/>
      <c r="F4" s="225"/>
      <c r="G4" s="225"/>
      <c r="H4" s="225"/>
      <c r="I4" s="225"/>
      <c r="J4" s="225"/>
      <c r="K4" s="225"/>
      <c r="L4" s="225"/>
      <c r="M4" s="225"/>
      <c r="N4" s="225"/>
      <c r="O4" s="225"/>
      <c r="P4" s="225"/>
    </row>
    <row r="6" spans="1:16" ht="14.5" x14ac:dyDescent="0.35">
      <c r="A6" s="194" t="s">
        <v>557</v>
      </c>
      <c r="B6" s="189" t="s">
        <v>72</v>
      </c>
      <c r="C6" s="194" t="s">
        <v>568</v>
      </c>
      <c r="D6" s="195" t="s">
        <v>13</v>
      </c>
      <c r="E6" s="195" t="s">
        <v>27</v>
      </c>
      <c r="F6" s="195" t="s">
        <v>75</v>
      </c>
      <c r="G6" s="189" t="s">
        <v>631</v>
      </c>
      <c r="H6" s="194" t="s">
        <v>632</v>
      </c>
      <c r="I6" s="195" t="s">
        <v>633</v>
      </c>
      <c r="J6" s="195" t="s">
        <v>634</v>
      </c>
      <c r="K6" s="195" t="s">
        <v>635</v>
      </c>
      <c r="L6" s="195" t="s">
        <v>636</v>
      </c>
      <c r="M6" s="194" t="s">
        <v>236</v>
      </c>
      <c r="N6" s="194" t="s">
        <v>624</v>
      </c>
    </row>
    <row r="7" spans="1:16" ht="14.5" x14ac:dyDescent="0.35">
      <c r="A7" s="260" t="s">
        <v>563</v>
      </c>
      <c r="B7" s="190">
        <v>45658</v>
      </c>
      <c r="C7" s="260" t="s">
        <v>749</v>
      </c>
      <c r="D7" s="197">
        <v>0</v>
      </c>
      <c r="E7" s="197">
        <v>0</v>
      </c>
      <c r="F7" s="197">
        <v>100</v>
      </c>
      <c r="G7" s="190">
        <v>45658</v>
      </c>
      <c r="H7" s="196">
        <v>0</v>
      </c>
      <c r="I7" s="197">
        <v>0</v>
      </c>
      <c r="J7" s="197">
        <v>0</v>
      </c>
      <c r="K7" s="197">
        <v>0</v>
      </c>
      <c r="L7" s="197">
        <v>0</v>
      </c>
      <c r="M7" s="260" t="s">
        <v>239</v>
      </c>
      <c r="N7" s="260" t="s">
        <v>514</v>
      </c>
    </row>
    <row r="8" spans="1:16" ht="14.5" x14ac:dyDescent="0.35">
      <c r="A8" s="260" t="s">
        <v>563</v>
      </c>
      <c r="B8" s="190">
        <v>45658</v>
      </c>
      <c r="C8" s="260" t="s">
        <v>752</v>
      </c>
      <c r="D8" s="197">
        <v>0</v>
      </c>
      <c r="E8" s="197">
        <v>0</v>
      </c>
      <c r="F8" s="197">
        <v>200</v>
      </c>
      <c r="G8" s="190">
        <v>45658</v>
      </c>
      <c r="H8" s="196">
        <v>0</v>
      </c>
      <c r="I8" s="197">
        <v>0</v>
      </c>
      <c r="J8" s="197">
        <v>0</v>
      </c>
      <c r="K8" s="197">
        <v>0</v>
      </c>
      <c r="L8" s="197">
        <v>0</v>
      </c>
      <c r="M8" s="260" t="s">
        <v>239</v>
      </c>
      <c r="N8" s="260" t="s">
        <v>514</v>
      </c>
    </row>
    <row r="9" spans="1:16" ht="14.5" x14ac:dyDescent="0.35">
      <c r="A9" s="260" t="s">
        <v>563</v>
      </c>
      <c r="B9" s="190">
        <v>45658</v>
      </c>
      <c r="C9" s="260" t="s">
        <v>754</v>
      </c>
      <c r="D9" s="197">
        <v>0</v>
      </c>
      <c r="E9" s="197">
        <v>0</v>
      </c>
      <c r="F9" s="197">
        <v>80</v>
      </c>
      <c r="G9" s="190">
        <v>45658</v>
      </c>
      <c r="H9" s="196">
        <v>0</v>
      </c>
      <c r="I9" s="197">
        <v>0</v>
      </c>
      <c r="J9" s="197">
        <v>0</v>
      </c>
      <c r="K9" s="197">
        <v>0</v>
      </c>
      <c r="L9" s="197">
        <v>0</v>
      </c>
      <c r="M9" s="260" t="s">
        <v>239</v>
      </c>
      <c r="N9" s="260" t="s">
        <v>514</v>
      </c>
    </row>
    <row r="10" spans="1:16" ht="14.5" x14ac:dyDescent="0.35">
      <c r="A10" s="260" t="s">
        <v>563</v>
      </c>
      <c r="B10" s="190">
        <v>45659</v>
      </c>
      <c r="C10" s="260" t="s">
        <v>749</v>
      </c>
      <c r="D10" s="197">
        <v>100</v>
      </c>
      <c r="E10" s="197">
        <v>10010</v>
      </c>
      <c r="F10" s="197">
        <v>100.07</v>
      </c>
      <c r="G10" s="190">
        <v>45659</v>
      </c>
      <c r="H10" s="196">
        <v>0</v>
      </c>
      <c r="I10" s="197">
        <v>10007</v>
      </c>
      <c r="J10" s="197">
        <v>10007</v>
      </c>
      <c r="K10" s="197">
        <v>0</v>
      </c>
      <c r="L10" s="197">
        <v>-3</v>
      </c>
      <c r="M10" s="260" t="s">
        <v>239</v>
      </c>
      <c r="N10" s="260" t="s">
        <v>514</v>
      </c>
    </row>
    <row r="11" spans="1:16" ht="14.5" x14ac:dyDescent="0.35">
      <c r="A11" s="260" t="s">
        <v>563</v>
      </c>
      <c r="B11" s="190">
        <v>45659</v>
      </c>
      <c r="C11" s="260" t="s">
        <v>752</v>
      </c>
      <c r="D11" s="197">
        <v>50</v>
      </c>
      <c r="E11" s="197">
        <v>10010</v>
      </c>
      <c r="F11" s="197">
        <v>199.83</v>
      </c>
      <c r="G11" s="190">
        <v>45659</v>
      </c>
      <c r="H11" s="196">
        <v>0</v>
      </c>
      <c r="I11" s="197">
        <v>9991.5</v>
      </c>
      <c r="J11" s="197">
        <v>9991.5</v>
      </c>
      <c r="K11" s="197">
        <v>0</v>
      </c>
      <c r="L11" s="197">
        <v>-18.5</v>
      </c>
      <c r="M11" s="260" t="s">
        <v>239</v>
      </c>
      <c r="N11" s="260" t="s">
        <v>514</v>
      </c>
    </row>
    <row r="12" spans="1:16" ht="14.5" x14ac:dyDescent="0.35">
      <c r="A12" s="260" t="s">
        <v>563</v>
      </c>
      <c r="B12" s="190">
        <v>45659</v>
      </c>
      <c r="C12" s="260" t="s">
        <v>754</v>
      </c>
      <c r="D12" s="197">
        <v>100</v>
      </c>
      <c r="E12" s="197">
        <v>8008</v>
      </c>
      <c r="F12" s="197">
        <v>80.069999999999993</v>
      </c>
      <c r="G12" s="190">
        <v>45659</v>
      </c>
      <c r="H12" s="196">
        <v>0</v>
      </c>
      <c r="I12" s="197">
        <v>8006.9999999999991</v>
      </c>
      <c r="J12" s="197">
        <v>8006.9999999999991</v>
      </c>
      <c r="K12" s="197">
        <v>0</v>
      </c>
      <c r="L12" s="197">
        <v>-1.0000000000009095</v>
      </c>
      <c r="M12" s="260" t="s">
        <v>239</v>
      </c>
      <c r="N12" s="260" t="s">
        <v>514</v>
      </c>
    </row>
    <row r="13" spans="1:16" ht="14.5" x14ac:dyDescent="0.35">
      <c r="A13" s="260" t="s">
        <v>563</v>
      </c>
      <c r="B13" s="190">
        <v>45660</v>
      </c>
      <c r="C13" s="260" t="s">
        <v>749</v>
      </c>
      <c r="D13" s="197">
        <v>100</v>
      </c>
      <c r="E13" s="197">
        <v>10010</v>
      </c>
      <c r="F13" s="197">
        <v>100.13</v>
      </c>
      <c r="G13" s="190">
        <v>45660</v>
      </c>
      <c r="H13" s="196">
        <v>0</v>
      </c>
      <c r="I13" s="197">
        <v>10013</v>
      </c>
      <c r="J13" s="197">
        <v>10013</v>
      </c>
      <c r="K13" s="197">
        <v>0</v>
      </c>
      <c r="L13" s="197">
        <v>3</v>
      </c>
      <c r="M13" s="260" t="s">
        <v>239</v>
      </c>
      <c r="N13" s="260" t="s">
        <v>514</v>
      </c>
    </row>
    <row r="14" spans="1:16" ht="14.5" x14ac:dyDescent="0.35">
      <c r="A14" s="260" t="s">
        <v>563</v>
      </c>
      <c r="B14" s="190">
        <v>45660</v>
      </c>
      <c r="C14" s="260" t="s">
        <v>752</v>
      </c>
      <c r="D14" s="197">
        <v>50</v>
      </c>
      <c r="E14" s="197">
        <v>10010</v>
      </c>
      <c r="F14" s="197">
        <v>199.67</v>
      </c>
      <c r="G14" s="190">
        <v>45660</v>
      </c>
      <c r="H14" s="196">
        <v>0</v>
      </c>
      <c r="I14" s="197">
        <v>9983.5</v>
      </c>
      <c r="J14" s="197">
        <v>9983.5</v>
      </c>
      <c r="K14" s="197">
        <v>0</v>
      </c>
      <c r="L14" s="197">
        <v>-26.5</v>
      </c>
      <c r="M14" s="260" t="s">
        <v>239</v>
      </c>
      <c r="N14" s="260" t="s">
        <v>514</v>
      </c>
    </row>
    <row r="15" spans="1:16" ht="14.5" x14ac:dyDescent="0.35">
      <c r="A15" s="260" t="s">
        <v>563</v>
      </c>
      <c r="B15" s="190">
        <v>45660</v>
      </c>
      <c r="C15" s="260" t="s">
        <v>754</v>
      </c>
      <c r="D15" s="197">
        <v>100</v>
      </c>
      <c r="E15" s="197">
        <v>8008</v>
      </c>
      <c r="F15" s="197">
        <v>80.13</v>
      </c>
      <c r="G15" s="190">
        <v>45660</v>
      </c>
      <c r="H15" s="196">
        <v>0</v>
      </c>
      <c r="I15" s="197">
        <v>8013</v>
      </c>
      <c r="J15" s="197">
        <v>8013</v>
      </c>
      <c r="K15" s="197">
        <v>0</v>
      </c>
      <c r="L15" s="197">
        <v>5</v>
      </c>
      <c r="M15" s="260" t="s">
        <v>239</v>
      </c>
      <c r="N15" s="260" t="s">
        <v>514</v>
      </c>
    </row>
    <row r="16" spans="1:16" ht="14.5" x14ac:dyDescent="0.35">
      <c r="A16" s="260" t="s">
        <v>563</v>
      </c>
      <c r="B16" s="190">
        <v>45661</v>
      </c>
      <c r="C16" s="260" t="s">
        <v>749</v>
      </c>
      <c r="D16" s="197">
        <v>100</v>
      </c>
      <c r="E16" s="197">
        <v>10010</v>
      </c>
      <c r="F16" s="197">
        <v>100.13</v>
      </c>
      <c r="G16" s="190">
        <v>45660</v>
      </c>
      <c r="H16" s="196">
        <v>1</v>
      </c>
      <c r="I16" s="197">
        <v>10013</v>
      </c>
      <c r="J16" s="197">
        <v>10013</v>
      </c>
      <c r="K16" s="197">
        <v>0</v>
      </c>
      <c r="L16" s="197">
        <v>3</v>
      </c>
      <c r="M16" s="260" t="s">
        <v>239</v>
      </c>
      <c r="N16" s="260" t="s">
        <v>514</v>
      </c>
    </row>
    <row r="17" spans="1:14" ht="14.5" x14ac:dyDescent="0.35">
      <c r="A17" s="260" t="s">
        <v>563</v>
      </c>
      <c r="B17" s="190">
        <v>45661</v>
      </c>
      <c r="C17" s="260" t="s">
        <v>752</v>
      </c>
      <c r="D17" s="197">
        <v>50</v>
      </c>
      <c r="E17" s="197">
        <v>10010</v>
      </c>
      <c r="F17" s="197">
        <v>199.67</v>
      </c>
      <c r="G17" s="190">
        <v>45660</v>
      </c>
      <c r="H17" s="196">
        <v>1</v>
      </c>
      <c r="I17" s="197">
        <v>9983.5</v>
      </c>
      <c r="J17" s="197">
        <v>9983.5</v>
      </c>
      <c r="K17" s="197">
        <v>0</v>
      </c>
      <c r="L17" s="197">
        <v>-26.5</v>
      </c>
      <c r="M17" s="260" t="s">
        <v>239</v>
      </c>
      <c r="N17" s="260" t="s">
        <v>514</v>
      </c>
    </row>
    <row r="18" spans="1:14" ht="14.5" x14ac:dyDescent="0.35">
      <c r="A18" s="260" t="s">
        <v>563</v>
      </c>
      <c r="B18" s="190">
        <v>45661</v>
      </c>
      <c r="C18" s="260" t="s">
        <v>754</v>
      </c>
      <c r="D18" s="197">
        <v>100</v>
      </c>
      <c r="E18" s="197">
        <v>8008</v>
      </c>
      <c r="F18" s="197">
        <v>80.13</v>
      </c>
      <c r="G18" s="190">
        <v>45660</v>
      </c>
      <c r="H18" s="196">
        <v>1</v>
      </c>
      <c r="I18" s="197">
        <v>8013</v>
      </c>
      <c r="J18" s="197">
        <v>8013</v>
      </c>
      <c r="K18" s="197">
        <v>0</v>
      </c>
      <c r="L18" s="197">
        <v>5</v>
      </c>
      <c r="M18" s="260" t="s">
        <v>239</v>
      </c>
      <c r="N18" s="260" t="s">
        <v>514</v>
      </c>
    </row>
    <row r="19" spans="1:14" ht="14.5" x14ac:dyDescent="0.35">
      <c r="A19" s="260" t="s">
        <v>563</v>
      </c>
      <c r="B19" s="190">
        <v>45662</v>
      </c>
      <c r="C19" s="260" t="s">
        <v>749</v>
      </c>
      <c r="D19" s="197">
        <v>100</v>
      </c>
      <c r="E19" s="197">
        <v>10010</v>
      </c>
      <c r="F19" s="197">
        <v>100.13</v>
      </c>
      <c r="G19" s="190">
        <v>45660</v>
      </c>
      <c r="H19" s="196">
        <v>2</v>
      </c>
      <c r="I19" s="197">
        <v>10013</v>
      </c>
      <c r="J19" s="197">
        <v>10013</v>
      </c>
      <c r="K19" s="197">
        <v>0</v>
      </c>
      <c r="L19" s="197">
        <v>3</v>
      </c>
      <c r="M19" s="260" t="s">
        <v>239</v>
      </c>
      <c r="N19" s="260" t="s">
        <v>514</v>
      </c>
    </row>
    <row r="20" spans="1:14" ht="14.5" x14ac:dyDescent="0.35">
      <c r="A20" s="260" t="s">
        <v>563</v>
      </c>
      <c r="B20" s="190">
        <v>45662</v>
      </c>
      <c r="C20" s="260" t="s">
        <v>752</v>
      </c>
      <c r="D20" s="197">
        <v>50</v>
      </c>
      <c r="E20" s="197">
        <v>10010</v>
      </c>
      <c r="F20" s="197">
        <v>199.67</v>
      </c>
      <c r="G20" s="190">
        <v>45660</v>
      </c>
      <c r="H20" s="196">
        <v>2</v>
      </c>
      <c r="I20" s="197">
        <v>9983.5</v>
      </c>
      <c r="J20" s="197">
        <v>9983.5</v>
      </c>
      <c r="K20" s="197">
        <v>0</v>
      </c>
      <c r="L20" s="197">
        <v>-26.5</v>
      </c>
      <c r="M20" s="260" t="s">
        <v>239</v>
      </c>
      <c r="N20" s="260" t="s">
        <v>514</v>
      </c>
    </row>
    <row r="21" spans="1:14" ht="14.5" x14ac:dyDescent="0.35">
      <c r="A21" s="260" t="s">
        <v>563</v>
      </c>
      <c r="B21" s="190">
        <v>45662</v>
      </c>
      <c r="C21" s="260" t="s">
        <v>754</v>
      </c>
      <c r="D21" s="197">
        <v>100</v>
      </c>
      <c r="E21" s="197">
        <v>8008</v>
      </c>
      <c r="F21" s="197">
        <v>80.13</v>
      </c>
      <c r="G21" s="190">
        <v>45660</v>
      </c>
      <c r="H21" s="196">
        <v>2</v>
      </c>
      <c r="I21" s="197">
        <v>8013</v>
      </c>
      <c r="J21" s="197">
        <v>8013</v>
      </c>
      <c r="K21" s="197">
        <v>0</v>
      </c>
      <c r="L21" s="197">
        <v>5</v>
      </c>
      <c r="M21" s="260" t="s">
        <v>239</v>
      </c>
      <c r="N21" s="260" t="s">
        <v>514</v>
      </c>
    </row>
    <row r="22" spans="1:14" ht="14.5" x14ac:dyDescent="0.35">
      <c r="A22" s="260" t="s">
        <v>563</v>
      </c>
      <c r="B22" s="190">
        <v>45663</v>
      </c>
      <c r="C22" s="260" t="s">
        <v>749</v>
      </c>
      <c r="D22" s="197">
        <v>100</v>
      </c>
      <c r="E22" s="197">
        <v>10010</v>
      </c>
      <c r="F22" s="197">
        <v>100.33</v>
      </c>
      <c r="G22" s="190">
        <v>45663</v>
      </c>
      <c r="H22" s="196">
        <v>0</v>
      </c>
      <c r="I22" s="197">
        <v>10033</v>
      </c>
      <c r="J22" s="197">
        <v>10033</v>
      </c>
      <c r="K22" s="197">
        <v>0</v>
      </c>
      <c r="L22" s="197">
        <v>23</v>
      </c>
      <c r="M22" s="260" t="s">
        <v>239</v>
      </c>
      <c r="N22" s="260" t="s">
        <v>514</v>
      </c>
    </row>
    <row r="23" spans="1:14" ht="14.5" x14ac:dyDescent="0.35">
      <c r="A23" s="260" t="s">
        <v>563</v>
      </c>
      <c r="B23" s="190">
        <v>45663</v>
      </c>
      <c r="C23" s="260" t="s">
        <v>752</v>
      </c>
      <c r="D23" s="197">
        <v>50</v>
      </c>
      <c r="E23" s="197">
        <v>10010</v>
      </c>
      <c r="F23" s="197">
        <v>199.17</v>
      </c>
      <c r="G23" s="190">
        <v>45663</v>
      </c>
      <c r="H23" s="196">
        <v>0</v>
      </c>
      <c r="I23" s="197">
        <v>9958.5</v>
      </c>
      <c r="J23" s="197">
        <v>9958.5</v>
      </c>
      <c r="K23" s="197">
        <v>0</v>
      </c>
      <c r="L23" s="197">
        <v>-51.5</v>
      </c>
      <c r="M23" s="260" t="s">
        <v>239</v>
      </c>
      <c r="N23" s="260" t="s">
        <v>514</v>
      </c>
    </row>
    <row r="24" spans="1:14" ht="14.5" x14ac:dyDescent="0.35">
      <c r="A24" s="260" t="s">
        <v>563</v>
      </c>
      <c r="B24" s="190">
        <v>45663</v>
      </c>
      <c r="C24" s="260" t="s">
        <v>754</v>
      </c>
      <c r="D24" s="197">
        <v>100</v>
      </c>
      <c r="E24" s="197">
        <v>8008</v>
      </c>
      <c r="F24" s="197">
        <v>80.33</v>
      </c>
      <c r="G24" s="190">
        <v>45663</v>
      </c>
      <c r="H24" s="196">
        <v>0</v>
      </c>
      <c r="I24" s="197">
        <v>8033</v>
      </c>
      <c r="J24" s="197">
        <v>8033</v>
      </c>
      <c r="K24" s="197">
        <v>0</v>
      </c>
      <c r="L24" s="197">
        <v>25</v>
      </c>
      <c r="M24" s="260" t="s">
        <v>239</v>
      </c>
      <c r="N24" s="260" t="s">
        <v>514</v>
      </c>
    </row>
    <row r="25" spans="1:14" ht="14.5" x14ac:dyDescent="0.35">
      <c r="A25" s="260" t="s">
        <v>563</v>
      </c>
      <c r="B25" s="190">
        <v>45664</v>
      </c>
      <c r="C25" s="260" t="s">
        <v>749</v>
      </c>
      <c r="D25" s="197">
        <v>100</v>
      </c>
      <c r="E25" s="197">
        <v>10010</v>
      </c>
      <c r="F25" s="197">
        <v>100.4</v>
      </c>
      <c r="G25" s="190">
        <v>45664</v>
      </c>
      <c r="H25" s="196">
        <v>0</v>
      </c>
      <c r="I25" s="197">
        <v>10040</v>
      </c>
      <c r="J25" s="197">
        <v>10040</v>
      </c>
      <c r="K25" s="197">
        <v>0</v>
      </c>
      <c r="L25" s="197">
        <v>30</v>
      </c>
      <c r="M25" s="260" t="s">
        <v>239</v>
      </c>
      <c r="N25" s="260" t="s">
        <v>514</v>
      </c>
    </row>
    <row r="26" spans="1:14" ht="14.5" x14ac:dyDescent="0.35">
      <c r="A26" s="260" t="s">
        <v>563</v>
      </c>
      <c r="B26" s="190">
        <v>45664</v>
      </c>
      <c r="C26" s="260" t="s">
        <v>752</v>
      </c>
      <c r="D26" s="197">
        <v>50</v>
      </c>
      <c r="E26" s="197">
        <v>10010</v>
      </c>
      <c r="F26" s="197">
        <v>199</v>
      </c>
      <c r="G26" s="190">
        <v>45664</v>
      </c>
      <c r="H26" s="196">
        <v>0</v>
      </c>
      <c r="I26" s="197">
        <v>9950</v>
      </c>
      <c r="J26" s="197">
        <v>9950</v>
      </c>
      <c r="K26" s="197">
        <v>0</v>
      </c>
      <c r="L26" s="197">
        <v>-60</v>
      </c>
      <c r="M26" s="260" t="s">
        <v>239</v>
      </c>
      <c r="N26" s="260" t="s">
        <v>514</v>
      </c>
    </row>
    <row r="27" spans="1:14" ht="14.5" x14ac:dyDescent="0.35">
      <c r="A27" s="260" t="s">
        <v>563</v>
      </c>
      <c r="B27" s="190">
        <v>45664</v>
      </c>
      <c r="C27" s="260" t="s">
        <v>754</v>
      </c>
      <c r="D27" s="197">
        <v>100</v>
      </c>
      <c r="E27" s="197">
        <v>8008</v>
      </c>
      <c r="F27" s="197">
        <v>80.400000000000006</v>
      </c>
      <c r="G27" s="190">
        <v>45664</v>
      </c>
      <c r="H27" s="196">
        <v>0</v>
      </c>
      <c r="I27" s="197">
        <v>8040.0000000000009</v>
      </c>
      <c r="J27" s="197">
        <v>8040.0000000000009</v>
      </c>
      <c r="K27" s="197">
        <v>0</v>
      </c>
      <c r="L27" s="197">
        <v>32.000000000000909</v>
      </c>
      <c r="M27" s="260" t="s">
        <v>239</v>
      </c>
      <c r="N27" s="260" t="s">
        <v>514</v>
      </c>
    </row>
    <row r="28" spans="1:14" ht="14.5" x14ac:dyDescent="0.35">
      <c r="A28" s="260" t="s">
        <v>563</v>
      </c>
      <c r="B28" s="190">
        <v>45665</v>
      </c>
      <c r="C28" s="260" t="s">
        <v>749</v>
      </c>
      <c r="D28" s="197">
        <v>100</v>
      </c>
      <c r="E28" s="197">
        <v>10010</v>
      </c>
      <c r="F28" s="197">
        <v>100.47</v>
      </c>
      <c r="G28" s="190">
        <v>45665</v>
      </c>
      <c r="H28" s="196">
        <v>0</v>
      </c>
      <c r="I28" s="197">
        <v>10047</v>
      </c>
      <c r="J28" s="197">
        <v>10047</v>
      </c>
      <c r="K28" s="197">
        <v>0</v>
      </c>
      <c r="L28" s="197">
        <v>37</v>
      </c>
      <c r="M28" s="260" t="s">
        <v>239</v>
      </c>
      <c r="N28" s="260" t="s">
        <v>514</v>
      </c>
    </row>
    <row r="29" spans="1:14" ht="14.5" x14ac:dyDescent="0.35">
      <c r="A29" s="260" t="s">
        <v>563</v>
      </c>
      <c r="B29" s="190">
        <v>45665</v>
      </c>
      <c r="C29" s="260" t="s">
        <v>752</v>
      </c>
      <c r="D29" s="197">
        <v>50</v>
      </c>
      <c r="E29" s="197">
        <v>10010</v>
      </c>
      <c r="F29" s="197">
        <v>198.83</v>
      </c>
      <c r="G29" s="190">
        <v>45665</v>
      </c>
      <c r="H29" s="196">
        <v>0</v>
      </c>
      <c r="I29" s="197">
        <v>9941.5</v>
      </c>
      <c r="J29" s="197">
        <v>9941.5</v>
      </c>
      <c r="K29" s="197">
        <v>0</v>
      </c>
      <c r="L29" s="197">
        <v>-68.5</v>
      </c>
      <c r="M29" s="260" t="s">
        <v>239</v>
      </c>
      <c r="N29" s="260" t="s">
        <v>514</v>
      </c>
    </row>
    <row r="30" spans="1:14" ht="14.5" x14ac:dyDescent="0.35">
      <c r="A30" s="260" t="s">
        <v>563</v>
      </c>
      <c r="B30" s="190">
        <v>45665</v>
      </c>
      <c r="C30" s="260" t="s">
        <v>754</v>
      </c>
      <c r="D30" s="197">
        <v>100</v>
      </c>
      <c r="E30" s="197">
        <v>8008</v>
      </c>
      <c r="F30" s="197">
        <v>80.47</v>
      </c>
      <c r="G30" s="190">
        <v>45665</v>
      </c>
      <c r="H30" s="196">
        <v>0</v>
      </c>
      <c r="I30" s="197">
        <v>8047</v>
      </c>
      <c r="J30" s="197">
        <v>8047</v>
      </c>
      <c r="K30" s="197">
        <v>0</v>
      </c>
      <c r="L30" s="197">
        <v>39</v>
      </c>
      <c r="M30" s="260" t="s">
        <v>239</v>
      </c>
      <c r="N30" s="260" t="s">
        <v>514</v>
      </c>
    </row>
    <row r="31" spans="1:14" ht="14.5" x14ac:dyDescent="0.35">
      <c r="A31" s="260" t="s">
        <v>563</v>
      </c>
      <c r="B31" s="190">
        <v>45666</v>
      </c>
      <c r="C31" s="260" t="s">
        <v>749</v>
      </c>
      <c r="D31" s="197">
        <v>100</v>
      </c>
      <c r="E31" s="197">
        <v>10010</v>
      </c>
      <c r="F31" s="197">
        <v>100.53</v>
      </c>
      <c r="G31" s="190">
        <v>45666</v>
      </c>
      <c r="H31" s="196">
        <v>0</v>
      </c>
      <c r="I31" s="197">
        <v>10053</v>
      </c>
      <c r="J31" s="197">
        <v>10053</v>
      </c>
      <c r="K31" s="197">
        <v>0</v>
      </c>
      <c r="L31" s="197">
        <v>43</v>
      </c>
      <c r="M31" s="260" t="s">
        <v>239</v>
      </c>
      <c r="N31" s="260" t="s">
        <v>514</v>
      </c>
    </row>
    <row r="32" spans="1:14" ht="14.5" x14ac:dyDescent="0.35">
      <c r="A32" s="260" t="s">
        <v>563</v>
      </c>
      <c r="B32" s="190">
        <v>45666</v>
      </c>
      <c r="C32" s="260" t="s">
        <v>752</v>
      </c>
      <c r="D32" s="197">
        <v>50</v>
      </c>
      <c r="E32" s="197">
        <v>10010</v>
      </c>
      <c r="F32" s="197">
        <v>198.67</v>
      </c>
      <c r="G32" s="190">
        <v>45666</v>
      </c>
      <c r="H32" s="196">
        <v>0</v>
      </c>
      <c r="I32" s="197">
        <v>9933.5</v>
      </c>
      <c r="J32" s="197">
        <v>9933.5</v>
      </c>
      <c r="K32" s="197">
        <v>0</v>
      </c>
      <c r="L32" s="197">
        <v>-76.5</v>
      </c>
      <c r="M32" s="260" t="s">
        <v>239</v>
      </c>
      <c r="N32" s="260" t="s">
        <v>514</v>
      </c>
    </row>
    <row r="33" spans="1:14" ht="14.5" x14ac:dyDescent="0.35">
      <c r="A33" s="260" t="s">
        <v>563</v>
      </c>
      <c r="B33" s="190">
        <v>45666</v>
      </c>
      <c r="C33" s="260" t="s">
        <v>754</v>
      </c>
      <c r="D33" s="197">
        <v>100</v>
      </c>
      <c r="E33" s="197">
        <v>8008</v>
      </c>
      <c r="F33" s="197">
        <v>80.53</v>
      </c>
      <c r="G33" s="190">
        <v>45666</v>
      </c>
      <c r="H33" s="196">
        <v>0</v>
      </c>
      <c r="I33" s="197">
        <v>8053</v>
      </c>
      <c r="J33" s="197">
        <v>8053</v>
      </c>
      <c r="K33" s="197">
        <v>0</v>
      </c>
      <c r="L33" s="197">
        <v>45</v>
      </c>
      <c r="M33" s="260" t="s">
        <v>239</v>
      </c>
      <c r="N33" s="260" t="s">
        <v>514</v>
      </c>
    </row>
    <row r="34" spans="1:14" ht="14.5" x14ac:dyDescent="0.35">
      <c r="A34" s="260" t="s">
        <v>563</v>
      </c>
      <c r="B34" s="190">
        <v>45667</v>
      </c>
      <c r="C34" s="260" t="s">
        <v>749</v>
      </c>
      <c r="D34" s="197">
        <v>100</v>
      </c>
      <c r="E34" s="197">
        <v>10010</v>
      </c>
      <c r="F34" s="197">
        <v>100.6</v>
      </c>
      <c r="G34" s="190">
        <v>45667</v>
      </c>
      <c r="H34" s="196">
        <v>0</v>
      </c>
      <c r="I34" s="197">
        <v>10060</v>
      </c>
      <c r="J34" s="197">
        <v>10060</v>
      </c>
      <c r="K34" s="197">
        <v>0</v>
      </c>
      <c r="L34" s="197">
        <v>50</v>
      </c>
      <c r="M34" s="260" t="s">
        <v>239</v>
      </c>
      <c r="N34" s="260" t="s">
        <v>514</v>
      </c>
    </row>
    <row r="35" spans="1:14" ht="14.5" x14ac:dyDescent="0.35">
      <c r="A35" s="260" t="s">
        <v>563</v>
      </c>
      <c r="B35" s="190">
        <v>45667</v>
      </c>
      <c r="C35" s="260" t="s">
        <v>752</v>
      </c>
      <c r="D35" s="197">
        <v>50</v>
      </c>
      <c r="E35" s="197">
        <v>10010</v>
      </c>
      <c r="F35" s="197">
        <v>198.5</v>
      </c>
      <c r="G35" s="190">
        <v>45667</v>
      </c>
      <c r="H35" s="196">
        <v>0</v>
      </c>
      <c r="I35" s="197">
        <v>9925</v>
      </c>
      <c r="J35" s="197">
        <v>9925</v>
      </c>
      <c r="K35" s="197">
        <v>0</v>
      </c>
      <c r="L35" s="197">
        <v>-85</v>
      </c>
      <c r="M35" s="260" t="s">
        <v>239</v>
      </c>
      <c r="N35" s="260" t="s">
        <v>514</v>
      </c>
    </row>
    <row r="36" spans="1:14" ht="14.5" x14ac:dyDescent="0.35">
      <c r="A36" s="260" t="s">
        <v>563</v>
      </c>
      <c r="B36" s="190">
        <v>45667</v>
      </c>
      <c r="C36" s="260" t="s">
        <v>754</v>
      </c>
      <c r="D36" s="197">
        <v>100</v>
      </c>
      <c r="E36" s="197">
        <v>8008</v>
      </c>
      <c r="F36" s="197">
        <v>80.599999999999994</v>
      </c>
      <c r="G36" s="190">
        <v>45667</v>
      </c>
      <c r="H36" s="196">
        <v>0</v>
      </c>
      <c r="I36" s="197">
        <v>8059.9999999999991</v>
      </c>
      <c r="J36" s="197">
        <v>8059.9999999999991</v>
      </c>
      <c r="K36" s="197">
        <v>0</v>
      </c>
      <c r="L36" s="197">
        <v>51.999999999999091</v>
      </c>
      <c r="M36" s="260" t="s">
        <v>239</v>
      </c>
      <c r="N36" s="260" t="s">
        <v>514</v>
      </c>
    </row>
    <row r="37" spans="1:14" ht="14.5" x14ac:dyDescent="0.35">
      <c r="A37" s="260" t="s">
        <v>563</v>
      </c>
      <c r="B37" s="190">
        <v>45668</v>
      </c>
      <c r="C37" s="260" t="s">
        <v>749</v>
      </c>
      <c r="D37" s="197">
        <v>100</v>
      </c>
      <c r="E37" s="197">
        <v>10010</v>
      </c>
      <c r="F37" s="197">
        <v>100.6</v>
      </c>
      <c r="G37" s="190">
        <v>45667</v>
      </c>
      <c r="H37" s="196">
        <v>1</v>
      </c>
      <c r="I37" s="197">
        <v>10060</v>
      </c>
      <c r="J37" s="197">
        <v>10060</v>
      </c>
      <c r="K37" s="197">
        <v>0</v>
      </c>
      <c r="L37" s="197">
        <v>50</v>
      </c>
      <c r="M37" s="260" t="s">
        <v>239</v>
      </c>
      <c r="N37" s="260" t="s">
        <v>514</v>
      </c>
    </row>
    <row r="38" spans="1:14" ht="14.5" x14ac:dyDescent="0.35">
      <c r="A38" s="260" t="s">
        <v>563</v>
      </c>
      <c r="B38" s="190">
        <v>45668</v>
      </c>
      <c r="C38" s="260" t="s">
        <v>752</v>
      </c>
      <c r="D38" s="197">
        <v>50</v>
      </c>
      <c r="E38" s="197">
        <v>10010</v>
      </c>
      <c r="F38" s="197">
        <v>198.5</v>
      </c>
      <c r="G38" s="190">
        <v>45667</v>
      </c>
      <c r="H38" s="196">
        <v>1</v>
      </c>
      <c r="I38" s="197">
        <v>9925</v>
      </c>
      <c r="J38" s="197">
        <v>9925</v>
      </c>
      <c r="K38" s="197">
        <v>0</v>
      </c>
      <c r="L38" s="197">
        <v>-85</v>
      </c>
      <c r="M38" s="260" t="s">
        <v>239</v>
      </c>
      <c r="N38" s="260" t="s">
        <v>514</v>
      </c>
    </row>
    <row r="39" spans="1:14" ht="14.5" x14ac:dyDescent="0.35">
      <c r="A39" s="260" t="s">
        <v>563</v>
      </c>
      <c r="B39" s="190">
        <v>45668</v>
      </c>
      <c r="C39" s="260" t="s">
        <v>754</v>
      </c>
      <c r="D39" s="197">
        <v>100</v>
      </c>
      <c r="E39" s="197">
        <v>8008</v>
      </c>
      <c r="F39" s="197">
        <v>80.599999999999994</v>
      </c>
      <c r="G39" s="190">
        <v>45667</v>
      </c>
      <c r="H39" s="196">
        <v>1</v>
      </c>
      <c r="I39" s="197">
        <v>8059.9999999999991</v>
      </c>
      <c r="J39" s="197">
        <v>8059.9999999999991</v>
      </c>
      <c r="K39" s="197">
        <v>0</v>
      </c>
      <c r="L39" s="197">
        <v>51.999999999999091</v>
      </c>
      <c r="M39" s="260" t="s">
        <v>239</v>
      </c>
      <c r="N39" s="260" t="s">
        <v>514</v>
      </c>
    </row>
    <row r="40" spans="1:14" ht="14.5" x14ac:dyDescent="0.35">
      <c r="A40" s="260" t="s">
        <v>563</v>
      </c>
      <c r="B40" s="190">
        <v>45669</v>
      </c>
      <c r="C40" s="260" t="s">
        <v>749</v>
      </c>
      <c r="D40" s="197">
        <v>100</v>
      </c>
      <c r="E40" s="197">
        <v>10010</v>
      </c>
      <c r="F40" s="197">
        <v>100.6</v>
      </c>
      <c r="G40" s="190">
        <v>45667</v>
      </c>
      <c r="H40" s="196">
        <v>2</v>
      </c>
      <c r="I40" s="197">
        <v>10060</v>
      </c>
      <c r="J40" s="197">
        <v>10060</v>
      </c>
      <c r="K40" s="197">
        <v>0</v>
      </c>
      <c r="L40" s="197">
        <v>50</v>
      </c>
      <c r="M40" s="260" t="s">
        <v>239</v>
      </c>
      <c r="N40" s="260" t="s">
        <v>514</v>
      </c>
    </row>
    <row r="41" spans="1:14" ht="14.5" x14ac:dyDescent="0.35">
      <c r="A41" s="260" t="s">
        <v>563</v>
      </c>
      <c r="B41" s="190">
        <v>45669</v>
      </c>
      <c r="C41" s="260" t="s">
        <v>752</v>
      </c>
      <c r="D41" s="197">
        <v>50</v>
      </c>
      <c r="E41" s="197">
        <v>10010</v>
      </c>
      <c r="F41" s="197">
        <v>198.5</v>
      </c>
      <c r="G41" s="190">
        <v>45667</v>
      </c>
      <c r="H41" s="196">
        <v>2</v>
      </c>
      <c r="I41" s="197">
        <v>9925</v>
      </c>
      <c r="J41" s="197">
        <v>9925</v>
      </c>
      <c r="K41" s="197">
        <v>0</v>
      </c>
      <c r="L41" s="197">
        <v>-85</v>
      </c>
      <c r="M41" s="260" t="s">
        <v>239</v>
      </c>
      <c r="N41" s="260" t="s">
        <v>514</v>
      </c>
    </row>
    <row r="42" spans="1:14" ht="14.5" x14ac:dyDescent="0.35">
      <c r="A42" s="260" t="s">
        <v>563</v>
      </c>
      <c r="B42" s="190">
        <v>45669</v>
      </c>
      <c r="C42" s="260" t="s">
        <v>754</v>
      </c>
      <c r="D42" s="197">
        <v>100</v>
      </c>
      <c r="E42" s="197">
        <v>8008</v>
      </c>
      <c r="F42" s="197">
        <v>80.599999999999994</v>
      </c>
      <c r="G42" s="190">
        <v>45667</v>
      </c>
      <c r="H42" s="196">
        <v>2</v>
      </c>
      <c r="I42" s="197">
        <v>8059.9999999999991</v>
      </c>
      <c r="J42" s="197">
        <v>8059.9999999999991</v>
      </c>
      <c r="K42" s="197">
        <v>0</v>
      </c>
      <c r="L42" s="197">
        <v>51.999999999999091</v>
      </c>
      <c r="M42" s="260" t="s">
        <v>239</v>
      </c>
      <c r="N42" s="260" t="s">
        <v>514</v>
      </c>
    </row>
    <row r="43" spans="1:14" ht="14.5" x14ac:dyDescent="0.35">
      <c r="A43" s="260" t="s">
        <v>563</v>
      </c>
      <c r="B43" s="190">
        <v>45670</v>
      </c>
      <c r="C43" s="260" t="s">
        <v>749</v>
      </c>
      <c r="D43" s="197">
        <v>100</v>
      </c>
      <c r="E43" s="197">
        <v>10010</v>
      </c>
      <c r="F43" s="197">
        <v>100.8</v>
      </c>
      <c r="G43" s="190">
        <v>45670</v>
      </c>
      <c r="H43" s="196">
        <v>0</v>
      </c>
      <c r="I43" s="197">
        <v>10080</v>
      </c>
      <c r="J43" s="197">
        <v>10080</v>
      </c>
      <c r="K43" s="197">
        <v>0</v>
      </c>
      <c r="L43" s="197">
        <v>70</v>
      </c>
      <c r="M43" s="260" t="s">
        <v>239</v>
      </c>
      <c r="N43" s="260" t="s">
        <v>514</v>
      </c>
    </row>
    <row r="44" spans="1:14" ht="14.5" x14ac:dyDescent="0.35">
      <c r="A44" s="260" t="s">
        <v>563</v>
      </c>
      <c r="B44" s="190">
        <v>45670</v>
      </c>
      <c r="C44" s="260" t="s">
        <v>752</v>
      </c>
      <c r="D44" s="197">
        <v>50</v>
      </c>
      <c r="E44" s="197">
        <v>10010</v>
      </c>
      <c r="F44" s="197">
        <v>198</v>
      </c>
      <c r="G44" s="190">
        <v>45670</v>
      </c>
      <c r="H44" s="196">
        <v>0</v>
      </c>
      <c r="I44" s="197">
        <v>9900</v>
      </c>
      <c r="J44" s="197">
        <v>9900</v>
      </c>
      <c r="K44" s="197">
        <v>0</v>
      </c>
      <c r="L44" s="197">
        <v>-110</v>
      </c>
      <c r="M44" s="260" t="s">
        <v>239</v>
      </c>
      <c r="N44" s="260" t="s">
        <v>514</v>
      </c>
    </row>
    <row r="45" spans="1:14" ht="14.5" x14ac:dyDescent="0.35">
      <c r="A45" s="260" t="s">
        <v>563</v>
      </c>
      <c r="B45" s="190">
        <v>45670</v>
      </c>
      <c r="C45" s="260" t="s">
        <v>754</v>
      </c>
      <c r="D45" s="197">
        <v>100</v>
      </c>
      <c r="E45" s="197">
        <v>8008</v>
      </c>
      <c r="F45" s="197">
        <v>80.8</v>
      </c>
      <c r="G45" s="190">
        <v>45670</v>
      </c>
      <c r="H45" s="196">
        <v>0</v>
      </c>
      <c r="I45" s="197">
        <v>8080</v>
      </c>
      <c r="J45" s="197">
        <v>8080</v>
      </c>
      <c r="K45" s="197">
        <v>0</v>
      </c>
      <c r="L45" s="197">
        <v>72</v>
      </c>
      <c r="M45" s="260" t="s">
        <v>239</v>
      </c>
      <c r="N45" s="260" t="s">
        <v>514</v>
      </c>
    </row>
    <row r="46" spans="1:14" ht="14.5" x14ac:dyDescent="0.35">
      <c r="A46" s="260" t="s">
        <v>563</v>
      </c>
      <c r="B46" s="190">
        <v>45671</v>
      </c>
      <c r="C46" s="260" t="s">
        <v>749</v>
      </c>
      <c r="D46" s="197">
        <v>100</v>
      </c>
      <c r="E46" s="197">
        <v>10010</v>
      </c>
      <c r="F46" s="197">
        <v>100.87</v>
      </c>
      <c r="G46" s="190">
        <v>45671</v>
      </c>
      <c r="H46" s="196">
        <v>0</v>
      </c>
      <c r="I46" s="197">
        <v>10087</v>
      </c>
      <c r="J46" s="197">
        <v>10087</v>
      </c>
      <c r="K46" s="197">
        <v>0</v>
      </c>
      <c r="L46" s="197">
        <v>77</v>
      </c>
      <c r="M46" s="260" t="s">
        <v>239</v>
      </c>
      <c r="N46" s="260" t="s">
        <v>514</v>
      </c>
    </row>
    <row r="47" spans="1:14" ht="14.5" x14ac:dyDescent="0.35">
      <c r="A47" s="260" t="s">
        <v>563</v>
      </c>
      <c r="B47" s="190">
        <v>45671</v>
      </c>
      <c r="C47" s="260" t="s">
        <v>752</v>
      </c>
      <c r="D47" s="197">
        <v>50</v>
      </c>
      <c r="E47" s="197">
        <v>10010</v>
      </c>
      <c r="F47" s="197">
        <v>197.83</v>
      </c>
      <c r="G47" s="190">
        <v>45671</v>
      </c>
      <c r="H47" s="196">
        <v>0</v>
      </c>
      <c r="I47" s="197">
        <v>9891.5</v>
      </c>
      <c r="J47" s="197">
        <v>9891.5</v>
      </c>
      <c r="K47" s="197">
        <v>0</v>
      </c>
      <c r="L47" s="197">
        <v>-118.5</v>
      </c>
      <c r="M47" s="260" t="s">
        <v>239</v>
      </c>
      <c r="N47" s="260" t="s">
        <v>514</v>
      </c>
    </row>
    <row r="48" spans="1:14" ht="14.5" x14ac:dyDescent="0.35">
      <c r="A48" s="260" t="s">
        <v>563</v>
      </c>
      <c r="B48" s="190">
        <v>45671</v>
      </c>
      <c r="C48" s="260" t="s">
        <v>754</v>
      </c>
      <c r="D48" s="197">
        <v>100</v>
      </c>
      <c r="E48" s="197">
        <v>8008</v>
      </c>
      <c r="F48" s="197">
        <v>80.87</v>
      </c>
      <c r="G48" s="190">
        <v>45671</v>
      </c>
      <c r="H48" s="196">
        <v>0</v>
      </c>
      <c r="I48" s="197">
        <v>8087</v>
      </c>
      <c r="J48" s="197">
        <v>8087</v>
      </c>
      <c r="K48" s="197">
        <v>0</v>
      </c>
      <c r="L48" s="197">
        <v>79</v>
      </c>
      <c r="M48" s="260" t="s">
        <v>239</v>
      </c>
      <c r="N48" s="260" t="s">
        <v>514</v>
      </c>
    </row>
    <row r="49" spans="1:14" ht="14.5" x14ac:dyDescent="0.35">
      <c r="A49" s="260" t="s">
        <v>563</v>
      </c>
      <c r="B49" s="190">
        <v>45672</v>
      </c>
      <c r="C49" s="260" t="s">
        <v>749</v>
      </c>
      <c r="D49" s="197">
        <v>100</v>
      </c>
      <c r="E49" s="197">
        <v>10010</v>
      </c>
      <c r="F49" s="197">
        <v>100.93</v>
      </c>
      <c r="G49" s="190">
        <v>45672</v>
      </c>
      <c r="H49" s="196">
        <v>0</v>
      </c>
      <c r="I49" s="197">
        <v>10093</v>
      </c>
      <c r="J49" s="197">
        <v>10093</v>
      </c>
      <c r="K49" s="197">
        <v>0</v>
      </c>
      <c r="L49" s="197">
        <v>83</v>
      </c>
      <c r="M49" s="260" t="s">
        <v>239</v>
      </c>
      <c r="N49" s="260" t="s">
        <v>514</v>
      </c>
    </row>
    <row r="50" spans="1:14" ht="14.5" x14ac:dyDescent="0.35">
      <c r="A50" s="260" t="s">
        <v>563</v>
      </c>
      <c r="B50" s="190">
        <v>45672</v>
      </c>
      <c r="C50" s="260" t="s">
        <v>752</v>
      </c>
      <c r="D50" s="197">
        <v>50</v>
      </c>
      <c r="E50" s="197">
        <v>10010</v>
      </c>
      <c r="F50" s="197">
        <v>197.67</v>
      </c>
      <c r="G50" s="190">
        <v>45672</v>
      </c>
      <c r="H50" s="196">
        <v>0</v>
      </c>
      <c r="I50" s="197">
        <v>9883.5</v>
      </c>
      <c r="J50" s="197">
        <v>9883.5</v>
      </c>
      <c r="K50" s="197">
        <v>0</v>
      </c>
      <c r="L50" s="197">
        <v>-126.5</v>
      </c>
      <c r="M50" s="260" t="s">
        <v>239</v>
      </c>
      <c r="N50" s="260" t="s">
        <v>514</v>
      </c>
    </row>
    <row r="51" spans="1:14" ht="14.5" x14ac:dyDescent="0.35">
      <c r="A51" s="260" t="s">
        <v>563</v>
      </c>
      <c r="B51" s="190">
        <v>45672</v>
      </c>
      <c r="C51" s="260" t="s">
        <v>754</v>
      </c>
      <c r="D51" s="197">
        <v>100</v>
      </c>
      <c r="E51" s="197">
        <v>8008</v>
      </c>
      <c r="F51" s="197">
        <v>80.930000000000007</v>
      </c>
      <c r="G51" s="190">
        <v>45672</v>
      </c>
      <c r="H51" s="196">
        <v>0</v>
      </c>
      <c r="I51" s="197">
        <v>8093.0000000000009</v>
      </c>
      <c r="J51" s="197">
        <v>8093.0000000000009</v>
      </c>
      <c r="K51" s="197">
        <v>0</v>
      </c>
      <c r="L51" s="197">
        <v>85.000000000000909</v>
      </c>
      <c r="M51" s="260" t="s">
        <v>239</v>
      </c>
      <c r="N51" s="260" t="s">
        <v>514</v>
      </c>
    </row>
    <row r="52" spans="1:14" ht="14.5" x14ac:dyDescent="0.35">
      <c r="A52" s="260" t="s">
        <v>563</v>
      </c>
      <c r="B52" s="190">
        <v>45673</v>
      </c>
      <c r="C52" s="260" t="s">
        <v>749</v>
      </c>
      <c r="D52" s="197">
        <v>100</v>
      </c>
      <c r="E52" s="197">
        <v>10010</v>
      </c>
      <c r="F52" s="197">
        <v>101</v>
      </c>
      <c r="G52" s="190">
        <v>45673</v>
      </c>
      <c r="H52" s="196">
        <v>0</v>
      </c>
      <c r="I52" s="197">
        <v>10100</v>
      </c>
      <c r="J52" s="197">
        <v>10100</v>
      </c>
      <c r="K52" s="197">
        <v>0</v>
      </c>
      <c r="L52" s="197">
        <v>90</v>
      </c>
      <c r="M52" s="260" t="s">
        <v>239</v>
      </c>
      <c r="N52" s="260" t="s">
        <v>514</v>
      </c>
    </row>
    <row r="53" spans="1:14" ht="14.5" x14ac:dyDescent="0.35">
      <c r="A53" s="260" t="s">
        <v>563</v>
      </c>
      <c r="B53" s="190">
        <v>45673</v>
      </c>
      <c r="C53" s="260" t="s">
        <v>752</v>
      </c>
      <c r="D53" s="197">
        <v>50</v>
      </c>
      <c r="E53" s="197">
        <v>10010</v>
      </c>
      <c r="F53" s="197">
        <v>197.5</v>
      </c>
      <c r="G53" s="190">
        <v>45673</v>
      </c>
      <c r="H53" s="196">
        <v>0</v>
      </c>
      <c r="I53" s="197">
        <v>9875</v>
      </c>
      <c r="J53" s="197">
        <v>9875</v>
      </c>
      <c r="K53" s="197">
        <v>0</v>
      </c>
      <c r="L53" s="197">
        <v>-135</v>
      </c>
      <c r="M53" s="260" t="s">
        <v>239</v>
      </c>
      <c r="N53" s="260" t="s">
        <v>514</v>
      </c>
    </row>
    <row r="54" spans="1:14" ht="14.5" x14ac:dyDescent="0.35">
      <c r="A54" s="260" t="s">
        <v>563</v>
      </c>
      <c r="B54" s="190">
        <v>45673</v>
      </c>
      <c r="C54" s="260" t="s">
        <v>754</v>
      </c>
      <c r="D54" s="197">
        <v>100</v>
      </c>
      <c r="E54" s="197">
        <v>8008</v>
      </c>
      <c r="F54" s="197">
        <v>81</v>
      </c>
      <c r="G54" s="190">
        <v>45673</v>
      </c>
      <c r="H54" s="196">
        <v>0</v>
      </c>
      <c r="I54" s="197">
        <v>8100</v>
      </c>
      <c r="J54" s="197">
        <v>8100</v>
      </c>
      <c r="K54" s="197">
        <v>0</v>
      </c>
      <c r="L54" s="197">
        <v>92</v>
      </c>
      <c r="M54" s="260" t="s">
        <v>239</v>
      </c>
      <c r="N54" s="260" t="s">
        <v>514</v>
      </c>
    </row>
    <row r="55" spans="1:14" ht="14.5" x14ac:dyDescent="0.35">
      <c r="A55" s="260" t="s">
        <v>563</v>
      </c>
      <c r="B55" s="190">
        <v>45674</v>
      </c>
      <c r="C55" s="260" t="s">
        <v>749</v>
      </c>
      <c r="D55" s="197">
        <v>100</v>
      </c>
      <c r="E55" s="197">
        <v>10010</v>
      </c>
      <c r="F55" s="197">
        <v>101.07</v>
      </c>
      <c r="G55" s="190">
        <v>45674</v>
      </c>
      <c r="H55" s="196">
        <v>0</v>
      </c>
      <c r="I55" s="197">
        <v>10107</v>
      </c>
      <c r="J55" s="197">
        <v>10107</v>
      </c>
      <c r="K55" s="197">
        <v>0</v>
      </c>
      <c r="L55" s="197">
        <v>97</v>
      </c>
      <c r="M55" s="260" t="s">
        <v>239</v>
      </c>
      <c r="N55" s="260" t="s">
        <v>514</v>
      </c>
    </row>
    <row r="56" spans="1:14" ht="14.5" x14ac:dyDescent="0.35">
      <c r="A56" s="260" t="s">
        <v>563</v>
      </c>
      <c r="B56" s="190">
        <v>45674</v>
      </c>
      <c r="C56" s="260" t="s">
        <v>752</v>
      </c>
      <c r="D56" s="197">
        <v>50</v>
      </c>
      <c r="E56" s="197">
        <v>10010</v>
      </c>
      <c r="F56" s="197">
        <v>197.33</v>
      </c>
      <c r="G56" s="190">
        <v>45674</v>
      </c>
      <c r="H56" s="196">
        <v>0</v>
      </c>
      <c r="I56" s="197">
        <v>9866.5</v>
      </c>
      <c r="J56" s="197">
        <v>9866.5</v>
      </c>
      <c r="K56" s="197">
        <v>0</v>
      </c>
      <c r="L56" s="197">
        <v>-143.5</v>
      </c>
      <c r="M56" s="260" t="s">
        <v>239</v>
      </c>
      <c r="N56" s="260" t="s">
        <v>514</v>
      </c>
    </row>
    <row r="57" spans="1:14" ht="14.5" x14ac:dyDescent="0.35">
      <c r="A57" s="260" t="s">
        <v>563</v>
      </c>
      <c r="B57" s="190">
        <v>45674</v>
      </c>
      <c r="C57" s="260" t="s">
        <v>754</v>
      </c>
      <c r="D57" s="197">
        <v>100</v>
      </c>
      <c r="E57" s="197">
        <v>8008</v>
      </c>
      <c r="F57" s="197">
        <v>81.069999999999993</v>
      </c>
      <c r="G57" s="190">
        <v>45674</v>
      </c>
      <c r="H57" s="196">
        <v>0</v>
      </c>
      <c r="I57" s="197">
        <v>8106.9999999999991</v>
      </c>
      <c r="J57" s="197">
        <v>8106.9999999999991</v>
      </c>
      <c r="K57" s="197">
        <v>0</v>
      </c>
      <c r="L57" s="197">
        <v>98.999999999999091</v>
      </c>
      <c r="M57" s="260" t="s">
        <v>239</v>
      </c>
      <c r="N57" s="260" t="s">
        <v>514</v>
      </c>
    </row>
    <row r="58" spans="1:14" ht="14.5" x14ac:dyDescent="0.35">
      <c r="A58" s="260" t="s">
        <v>563</v>
      </c>
      <c r="B58" s="190">
        <v>45675</v>
      </c>
      <c r="C58" s="260" t="s">
        <v>749</v>
      </c>
      <c r="D58" s="197">
        <v>100</v>
      </c>
      <c r="E58" s="197">
        <v>10010</v>
      </c>
      <c r="F58" s="197">
        <v>101.07</v>
      </c>
      <c r="G58" s="190">
        <v>45674</v>
      </c>
      <c r="H58" s="196">
        <v>1</v>
      </c>
      <c r="I58" s="197">
        <v>10107</v>
      </c>
      <c r="J58" s="197">
        <v>10107</v>
      </c>
      <c r="K58" s="197">
        <v>0</v>
      </c>
      <c r="L58" s="197">
        <v>97</v>
      </c>
      <c r="M58" s="260" t="s">
        <v>239</v>
      </c>
      <c r="N58" s="260" t="s">
        <v>514</v>
      </c>
    </row>
    <row r="59" spans="1:14" ht="14.5" x14ac:dyDescent="0.35">
      <c r="A59" s="260" t="s">
        <v>563</v>
      </c>
      <c r="B59" s="190">
        <v>45675</v>
      </c>
      <c r="C59" s="260" t="s">
        <v>752</v>
      </c>
      <c r="D59" s="197">
        <v>50</v>
      </c>
      <c r="E59" s="197">
        <v>10010</v>
      </c>
      <c r="F59" s="197">
        <v>197.33</v>
      </c>
      <c r="G59" s="190">
        <v>45674</v>
      </c>
      <c r="H59" s="196">
        <v>1</v>
      </c>
      <c r="I59" s="197">
        <v>9866.5</v>
      </c>
      <c r="J59" s="197">
        <v>9866.5</v>
      </c>
      <c r="K59" s="197">
        <v>0</v>
      </c>
      <c r="L59" s="197">
        <v>-143.5</v>
      </c>
      <c r="M59" s="260" t="s">
        <v>239</v>
      </c>
      <c r="N59" s="260" t="s">
        <v>514</v>
      </c>
    </row>
    <row r="60" spans="1:14" ht="14.5" x14ac:dyDescent="0.35">
      <c r="A60" s="260" t="s">
        <v>563</v>
      </c>
      <c r="B60" s="190">
        <v>45675</v>
      </c>
      <c r="C60" s="260" t="s">
        <v>754</v>
      </c>
      <c r="D60" s="197">
        <v>100</v>
      </c>
      <c r="E60" s="197">
        <v>8008</v>
      </c>
      <c r="F60" s="197">
        <v>81.069999999999993</v>
      </c>
      <c r="G60" s="190">
        <v>45674</v>
      </c>
      <c r="H60" s="196">
        <v>1</v>
      </c>
      <c r="I60" s="197">
        <v>8106.9999999999991</v>
      </c>
      <c r="J60" s="197">
        <v>8106.9999999999991</v>
      </c>
      <c r="K60" s="197">
        <v>0</v>
      </c>
      <c r="L60" s="197">
        <v>98.999999999999091</v>
      </c>
      <c r="M60" s="260" t="s">
        <v>239</v>
      </c>
      <c r="N60" s="260" t="s">
        <v>514</v>
      </c>
    </row>
    <row r="61" spans="1:14" ht="14.5" x14ac:dyDescent="0.35">
      <c r="A61" s="260" t="s">
        <v>563</v>
      </c>
      <c r="B61" s="190">
        <v>45676</v>
      </c>
      <c r="C61" s="260" t="s">
        <v>749</v>
      </c>
      <c r="D61" s="197">
        <v>100</v>
      </c>
      <c r="E61" s="197">
        <v>10010</v>
      </c>
      <c r="F61" s="197">
        <v>101.07</v>
      </c>
      <c r="G61" s="190">
        <v>45674</v>
      </c>
      <c r="H61" s="196">
        <v>2</v>
      </c>
      <c r="I61" s="197">
        <v>10107</v>
      </c>
      <c r="J61" s="197">
        <v>10107</v>
      </c>
      <c r="K61" s="197">
        <v>0</v>
      </c>
      <c r="L61" s="197">
        <v>97</v>
      </c>
      <c r="M61" s="260" t="s">
        <v>239</v>
      </c>
      <c r="N61" s="260" t="s">
        <v>514</v>
      </c>
    </row>
    <row r="62" spans="1:14" ht="14.5" x14ac:dyDescent="0.35">
      <c r="A62" s="260" t="s">
        <v>563</v>
      </c>
      <c r="B62" s="190">
        <v>45676</v>
      </c>
      <c r="C62" s="260" t="s">
        <v>752</v>
      </c>
      <c r="D62" s="197">
        <v>50</v>
      </c>
      <c r="E62" s="197">
        <v>10010</v>
      </c>
      <c r="F62" s="197">
        <v>197.33</v>
      </c>
      <c r="G62" s="190">
        <v>45674</v>
      </c>
      <c r="H62" s="196">
        <v>2</v>
      </c>
      <c r="I62" s="197">
        <v>9866.5</v>
      </c>
      <c r="J62" s="197">
        <v>9866.5</v>
      </c>
      <c r="K62" s="197">
        <v>0</v>
      </c>
      <c r="L62" s="197">
        <v>-143.5</v>
      </c>
      <c r="M62" s="260" t="s">
        <v>239</v>
      </c>
      <c r="N62" s="260" t="s">
        <v>514</v>
      </c>
    </row>
    <row r="63" spans="1:14" ht="14.5" x14ac:dyDescent="0.35">
      <c r="A63" s="260" t="s">
        <v>563</v>
      </c>
      <c r="B63" s="190">
        <v>45676</v>
      </c>
      <c r="C63" s="260" t="s">
        <v>754</v>
      </c>
      <c r="D63" s="197">
        <v>100</v>
      </c>
      <c r="E63" s="197">
        <v>8008</v>
      </c>
      <c r="F63" s="197">
        <v>81.069999999999993</v>
      </c>
      <c r="G63" s="190">
        <v>45674</v>
      </c>
      <c r="H63" s="196">
        <v>2</v>
      </c>
      <c r="I63" s="197">
        <v>8106.9999999999991</v>
      </c>
      <c r="J63" s="197">
        <v>8106.9999999999991</v>
      </c>
      <c r="K63" s="197">
        <v>0</v>
      </c>
      <c r="L63" s="197">
        <v>98.999999999999091</v>
      </c>
      <c r="M63" s="260" t="s">
        <v>239</v>
      </c>
      <c r="N63" s="260" t="s">
        <v>514</v>
      </c>
    </row>
    <row r="64" spans="1:14" ht="14.5" x14ac:dyDescent="0.35">
      <c r="A64" s="260" t="s">
        <v>563</v>
      </c>
      <c r="B64" s="190">
        <v>45677</v>
      </c>
      <c r="C64" s="260" t="s">
        <v>749</v>
      </c>
      <c r="D64" s="197">
        <v>100</v>
      </c>
      <c r="E64" s="197">
        <v>10010</v>
      </c>
      <c r="F64" s="197">
        <v>101.27</v>
      </c>
      <c r="G64" s="190">
        <v>45677</v>
      </c>
      <c r="H64" s="196">
        <v>0</v>
      </c>
      <c r="I64" s="197">
        <v>10127</v>
      </c>
      <c r="J64" s="197">
        <v>10127</v>
      </c>
      <c r="K64" s="197">
        <v>0</v>
      </c>
      <c r="L64" s="197">
        <v>117</v>
      </c>
      <c r="M64" s="260" t="s">
        <v>239</v>
      </c>
      <c r="N64" s="260" t="s">
        <v>514</v>
      </c>
    </row>
    <row r="65" spans="1:14" ht="14.5" x14ac:dyDescent="0.35">
      <c r="A65" s="260" t="s">
        <v>563</v>
      </c>
      <c r="B65" s="190">
        <v>45677</v>
      </c>
      <c r="C65" s="260" t="s">
        <v>752</v>
      </c>
      <c r="D65" s="197">
        <v>50</v>
      </c>
      <c r="E65" s="197">
        <v>10010</v>
      </c>
      <c r="F65" s="197">
        <v>196.83</v>
      </c>
      <c r="G65" s="190">
        <v>45677</v>
      </c>
      <c r="H65" s="196">
        <v>0</v>
      </c>
      <c r="I65" s="197">
        <v>9841.5</v>
      </c>
      <c r="J65" s="197">
        <v>9841.5</v>
      </c>
      <c r="K65" s="197">
        <v>0</v>
      </c>
      <c r="L65" s="197">
        <v>-168.5</v>
      </c>
      <c r="M65" s="260" t="s">
        <v>239</v>
      </c>
      <c r="N65" s="260" t="s">
        <v>514</v>
      </c>
    </row>
    <row r="66" spans="1:14" ht="14.5" x14ac:dyDescent="0.35">
      <c r="A66" s="260" t="s">
        <v>563</v>
      </c>
      <c r="B66" s="190">
        <v>45677</v>
      </c>
      <c r="C66" s="260" t="s">
        <v>754</v>
      </c>
      <c r="D66" s="197">
        <v>100</v>
      </c>
      <c r="E66" s="197">
        <v>8008</v>
      </c>
      <c r="F66" s="197">
        <v>81.27</v>
      </c>
      <c r="G66" s="190">
        <v>45677</v>
      </c>
      <c r="H66" s="196">
        <v>0</v>
      </c>
      <c r="I66" s="197">
        <v>8127</v>
      </c>
      <c r="J66" s="197">
        <v>8127</v>
      </c>
      <c r="K66" s="197">
        <v>0</v>
      </c>
      <c r="L66" s="197">
        <v>119</v>
      </c>
      <c r="M66" s="260" t="s">
        <v>239</v>
      </c>
      <c r="N66" s="260" t="s">
        <v>514</v>
      </c>
    </row>
    <row r="67" spans="1:14" ht="14.5" x14ac:dyDescent="0.35">
      <c r="A67" s="260" t="s">
        <v>563</v>
      </c>
      <c r="B67" s="190">
        <v>45678</v>
      </c>
      <c r="C67" s="260" t="s">
        <v>749</v>
      </c>
      <c r="D67" s="197">
        <v>100</v>
      </c>
      <c r="E67" s="197">
        <v>10010</v>
      </c>
      <c r="F67" s="197">
        <v>101.33</v>
      </c>
      <c r="G67" s="190">
        <v>45678</v>
      </c>
      <c r="H67" s="196">
        <v>0</v>
      </c>
      <c r="I67" s="197">
        <v>10133</v>
      </c>
      <c r="J67" s="197">
        <v>10133</v>
      </c>
      <c r="K67" s="197">
        <v>0</v>
      </c>
      <c r="L67" s="197">
        <v>123</v>
      </c>
      <c r="M67" s="260" t="s">
        <v>239</v>
      </c>
      <c r="N67" s="260" t="s">
        <v>514</v>
      </c>
    </row>
    <row r="68" spans="1:14" ht="14.5" x14ac:dyDescent="0.35">
      <c r="A68" s="260" t="s">
        <v>563</v>
      </c>
      <c r="B68" s="190">
        <v>45678</v>
      </c>
      <c r="C68" s="260" t="s">
        <v>752</v>
      </c>
      <c r="D68" s="197">
        <v>50</v>
      </c>
      <c r="E68" s="197">
        <v>10010</v>
      </c>
      <c r="F68" s="197">
        <v>196.67</v>
      </c>
      <c r="G68" s="190">
        <v>45678</v>
      </c>
      <c r="H68" s="196">
        <v>0</v>
      </c>
      <c r="I68" s="197">
        <v>9833.5</v>
      </c>
      <c r="J68" s="197">
        <v>9833.5</v>
      </c>
      <c r="K68" s="197">
        <v>0</v>
      </c>
      <c r="L68" s="197">
        <v>-176.5</v>
      </c>
      <c r="M68" s="260" t="s">
        <v>239</v>
      </c>
      <c r="N68" s="260" t="s">
        <v>514</v>
      </c>
    </row>
    <row r="69" spans="1:14" ht="14.5" x14ac:dyDescent="0.35">
      <c r="A69" s="260" t="s">
        <v>563</v>
      </c>
      <c r="B69" s="190">
        <v>45678</v>
      </c>
      <c r="C69" s="260" t="s">
        <v>754</v>
      </c>
      <c r="D69" s="197">
        <v>100</v>
      </c>
      <c r="E69" s="197">
        <v>8008</v>
      </c>
      <c r="F69" s="197">
        <v>81.33</v>
      </c>
      <c r="G69" s="190">
        <v>45678</v>
      </c>
      <c r="H69" s="196">
        <v>0</v>
      </c>
      <c r="I69" s="197">
        <v>8133</v>
      </c>
      <c r="J69" s="197">
        <v>8133</v>
      </c>
      <c r="K69" s="197">
        <v>0</v>
      </c>
      <c r="L69" s="197">
        <v>125</v>
      </c>
      <c r="M69" s="260" t="s">
        <v>239</v>
      </c>
      <c r="N69" s="260" t="s">
        <v>514</v>
      </c>
    </row>
    <row r="70" spans="1:14" ht="14.5" x14ac:dyDescent="0.35">
      <c r="A70" s="260" t="s">
        <v>563</v>
      </c>
      <c r="B70" s="190">
        <v>45679</v>
      </c>
      <c r="C70" s="260" t="s">
        <v>749</v>
      </c>
      <c r="D70" s="197">
        <v>100</v>
      </c>
      <c r="E70" s="197">
        <v>10010</v>
      </c>
      <c r="F70" s="197">
        <v>101.4</v>
      </c>
      <c r="G70" s="190">
        <v>45679</v>
      </c>
      <c r="H70" s="196">
        <v>0</v>
      </c>
      <c r="I70" s="197">
        <v>10140</v>
      </c>
      <c r="J70" s="197">
        <v>10140</v>
      </c>
      <c r="K70" s="197">
        <v>0</v>
      </c>
      <c r="L70" s="197">
        <v>130</v>
      </c>
      <c r="M70" s="260" t="s">
        <v>239</v>
      </c>
      <c r="N70" s="260" t="s">
        <v>514</v>
      </c>
    </row>
    <row r="71" spans="1:14" ht="14.5" x14ac:dyDescent="0.35">
      <c r="A71" s="260" t="s">
        <v>563</v>
      </c>
      <c r="B71" s="190">
        <v>45679</v>
      </c>
      <c r="C71" s="260" t="s">
        <v>752</v>
      </c>
      <c r="D71" s="197">
        <v>50</v>
      </c>
      <c r="E71" s="197">
        <v>10010</v>
      </c>
      <c r="F71" s="197">
        <v>196.5</v>
      </c>
      <c r="G71" s="190">
        <v>45679</v>
      </c>
      <c r="H71" s="196">
        <v>0</v>
      </c>
      <c r="I71" s="197">
        <v>9825</v>
      </c>
      <c r="J71" s="197">
        <v>9825</v>
      </c>
      <c r="K71" s="197">
        <v>0</v>
      </c>
      <c r="L71" s="197">
        <v>-185</v>
      </c>
      <c r="M71" s="260" t="s">
        <v>239</v>
      </c>
      <c r="N71" s="260" t="s">
        <v>514</v>
      </c>
    </row>
    <row r="72" spans="1:14" ht="14.5" x14ac:dyDescent="0.35">
      <c r="A72" s="260" t="s">
        <v>563</v>
      </c>
      <c r="B72" s="190">
        <v>45679</v>
      </c>
      <c r="C72" s="260" t="s">
        <v>754</v>
      </c>
      <c r="D72" s="197">
        <v>100</v>
      </c>
      <c r="E72" s="197">
        <v>8008</v>
      </c>
      <c r="F72" s="197">
        <v>81.400000000000006</v>
      </c>
      <c r="G72" s="190">
        <v>45679</v>
      </c>
      <c r="H72" s="196">
        <v>0</v>
      </c>
      <c r="I72" s="197">
        <v>8140.0000000000009</v>
      </c>
      <c r="J72" s="197">
        <v>8140.0000000000009</v>
      </c>
      <c r="K72" s="197">
        <v>0</v>
      </c>
      <c r="L72" s="197">
        <v>132.00000000000091</v>
      </c>
      <c r="M72" s="260" t="s">
        <v>239</v>
      </c>
      <c r="N72" s="260" t="s">
        <v>514</v>
      </c>
    </row>
    <row r="73" spans="1:14" ht="14.5" x14ac:dyDescent="0.35">
      <c r="A73" s="260" t="s">
        <v>563</v>
      </c>
      <c r="B73" s="190">
        <v>45680</v>
      </c>
      <c r="C73" s="260" t="s">
        <v>749</v>
      </c>
      <c r="D73" s="197">
        <v>100</v>
      </c>
      <c r="E73" s="197">
        <v>10010</v>
      </c>
      <c r="F73" s="197">
        <v>101.47</v>
      </c>
      <c r="G73" s="190">
        <v>45680</v>
      </c>
      <c r="H73" s="196">
        <v>0</v>
      </c>
      <c r="I73" s="197">
        <v>10147</v>
      </c>
      <c r="J73" s="197">
        <v>10147</v>
      </c>
      <c r="K73" s="197">
        <v>0</v>
      </c>
      <c r="L73" s="197">
        <v>137</v>
      </c>
      <c r="M73" s="260" t="s">
        <v>239</v>
      </c>
      <c r="N73" s="260" t="s">
        <v>514</v>
      </c>
    </row>
    <row r="74" spans="1:14" ht="14.5" x14ac:dyDescent="0.35">
      <c r="A74" s="260" t="s">
        <v>563</v>
      </c>
      <c r="B74" s="190">
        <v>45680</v>
      </c>
      <c r="C74" s="260" t="s">
        <v>752</v>
      </c>
      <c r="D74" s="197">
        <v>50</v>
      </c>
      <c r="E74" s="197">
        <v>10010</v>
      </c>
      <c r="F74" s="197">
        <v>196.33</v>
      </c>
      <c r="G74" s="190">
        <v>45680</v>
      </c>
      <c r="H74" s="196">
        <v>0</v>
      </c>
      <c r="I74" s="197">
        <v>9816.5</v>
      </c>
      <c r="J74" s="197">
        <v>9816.5</v>
      </c>
      <c r="K74" s="197">
        <v>0</v>
      </c>
      <c r="L74" s="197">
        <v>-193.5</v>
      </c>
      <c r="M74" s="260" t="s">
        <v>239</v>
      </c>
      <c r="N74" s="260" t="s">
        <v>514</v>
      </c>
    </row>
    <row r="75" spans="1:14" ht="14.5" x14ac:dyDescent="0.35">
      <c r="A75" s="260" t="s">
        <v>563</v>
      </c>
      <c r="B75" s="190">
        <v>45680</v>
      </c>
      <c r="C75" s="260" t="s">
        <v>754</v>
      </c>
      <c r="D75" s="197">
        <v>100</v>
      </c>
      <c r="E75" s="197">
        <v>8008</v>
      </c>
      <c r="F75" s="197">
        <v>81.47</v>
      </c>
      <c r="G75" s="190">
        <v>45680</v>
      </c>
      <c r="H75" s="196">
        <v>0</v>
      </c>
      <c r="I75" s="197">
        <v>8147</v>
      </c>
      <c r="J75" s="197">
        <v>8147</v>
      </c>
      <c r="K75" s="197">
        <v>0</v>
      </c>
      <c r="L75" s="197">
        <v>139</v>
      </c>
      <c r="M75" s="260" t="s">
        <v>239</v>
      </c>
      <c r="N75" s="260" t="s">
        <v>514</v>
      </c>
    </row>
    <row r="76" spans="1:14" ht="14.5" x14ac:dyDescent="0.35">
      <c r="A76" s="260" t="s">
        <v>563</v>
      </c>
      <c r="B76" s="190">
        <v>45681</v>
      </c>
      <c r="C76" s="260" t="s">
        <v>749</v>
      </c>
      <c r="D76" s="197">
        <v>100</v>
      </c>
      <c r="E76" s="197">
        <v>10010</v>
      </c>
      <c r="F76" s="197">
        <v>101.53</v>
      </c>
      <c r="G76" s="190">
        <v>45681</v>
      </c>
      <c r="H76" s="196">
        <v>0</v>
      </c>
      <c r="I76" s="197">
        <v>10153</v>
      </c>
      <c r="J76" s="197">
        <v>10153</v>
      </c>
      <c r="K76" s="197">
        <v>0</v>
      </c>
      <c r="L76" s="197">
        <v>143</v>
      </c>
      <c r="M76" s="260" t="s">
        <v>239</v>
      </c>
      <c r="N76" s="260" t="s">
        <v>514</v>
      </c>
    </row>
    <row r="77" spans="1:14" ht="14.5" x14ac:dyDescent="0.35">
      <c r="A77" s="260" t="s">
        <v>563</v>
      </c>
      <c r="B77" s="190">
        <v>45681</v>
      </c>
      <c r="C77" s="260" t="s">
        <v>752</v>
      </c>
      <c r="D77" s="197">
        <v>50</v>
      </c>
      <c r="E77" s="197">
        <v>10010</v>
      </c>
      <c r="F77" s="197">
        <v>196.17</v>
      </c>
      <c r="G77" s="190">
        <v>45681</v>
      </c>
      <c r="H77" s="196">
        <v>0</v>
      </c>
      <c r="I77" s="197">
        <v>9808.5</v>
      </c>
      <c r="J77" s="197">
        <v>9808.5</v>
      </c>
      <c r="K77" s="197">
        <v>0</v>
      </c>
      <c r="L77" s="197">
        <v>-201.5</v>
      </c>
      <c r="M77" s="260" t="s">
        <v>239</v>
      </c>
      <c r="N77" s="260" t="s">
        <v>514</v>
      </c>
    </row>
    <row r="78" spans="1:14" ht="14.5" x14ac:dyDescent="0.35">
      <c r="A78" s="260" t="s">
        <v>563</v>
      </c>
      <c r="B78" s="190">
        <v>45681</v>
      </c>
      <c r="C78" s="260" t="s">
        <v>754</v>
      </c>
      <c r="D78" s="197">
        <v>100</v>
      </c>
      <c r="E78" s="197">
        <v>8008</v>
      </c>
      <c r="F78" s="197">
        <v>81.53</v>
      </c>
      <c r="G78" s="190">
        <v>45681</v>
      </c>
      <c r="H78" s="196">
        <v>0</v>
      </c>
      <c r="I78" s="197">
        <v>8153</v>
      </c>
      <c r="J78" s="197">
        <v>8153</v>
      </c>
      <c r="K78" s="197">
        <v>0</v>
      </c>
      <c r="L78" s="197">
        <v>145</v>
      </c>
      <c r="M78" s="260" t="s">
        <v>239</v>
      </c>
      <c r="N78" s="260" t="s">
        <v>514</v>
      </c>
    </row>
    <row r="79" spans="1:14" ht="14.5" x14ac:dyDescent="0.35">
      <c r="A79" s="260" t="s">
        <v>563</v>
      </c>
      <c r="B79" s="190">
        <v>45682</v>
      </c>
      <c r="C79" s="260" t="s">
        <v>749</v>
      </c>
      <c r="D79" s="197">
        <v>100</v>
      </c>
      <c r="E79" s="197">
        <v>10010</v>
      </c>
      <c r="F79" s="197">
        <v>101.53</v>
      </c>
      <c r="G79" s="190">
        <v>45681</v>
      </c>
      <c r="H79" s="196">
        <v>1</v>
      </c>
      <c r="I79" s="197">
        <v>10153</v>
      </c>
      <c r="J79" s="197">
        <v>10153</v>
      </c>
      <c r="K79" s="197">
        <v>0</v>
      </c>
      <c r="L79" s="197">
        <v>143</v>
      </c>
      <c r="M79" s="260" t="s">
        <v>239</v>
      </c>
      <c r="N79" s="260" t="s">
        <v>514</v>
      </c>
    </row>
    <row r="80" spans="1:14" ht="14.5" x14ac:dyDescent="0.35">
      <c r="A80" s="260" t="s">
        <v>563</v>
      </c>
      <c r="B80" s="190">
        <v>45682</v>
      </c>
      <c r="C80" s="260" t="s">
        <v>752</v>
      </c>
      <c r="D80" s="197">
        <v>50</v>
      </c>
      <c r="E80" s="197">
        <v>10010</v>
      </c>
      <c r="F80" s="197">
        <v>196.17</v>
      </c>
      <c r="G80" s="190">
        <v>45681</v>
      </c>
      <c r="H80" s="196">
        <v>1</v>
      </c>
      <c r="I80" s="197">
        <v>9808.5</v>
      </c>
      <c r="J80" s="197">
        <v>9808.5</v>
      </c>
      <c r="K80" s="197">
        <v>0</v>
      </c>
      <c r="L80" s="197">
        <v>-201.5</v>
      </c>
      <c r="M80" s="260" t="s">
        <v>239</v>
      </c>
      <c r="N80" s="260" t="s">
        <v>514</v>
      </c>
    </row>
    <row r="81" spans="1:14" ht="14.5" x14ac:dyDescent="0.35">
      <c r="A81" s="260" t="s">
        <v>563</v>
      </c>
      <c r="B81" s="190">
        <v>45682</v>
      </c>
      <c r="C81" s="260" t="s">
        <v>754</v>
      </c>
      <c r="D81" s="197">
        <v>100</v>
      </c>
      <c r="E81" s="197">
        <v>8008</v>
      </c>
      <c r="F81" s="197">
        <v>81.53</v>
      </c>
      <c r="G81" s="190">
        <v>45681</v>
      </c>
      <c r="H81" s="196">
        <v>1</v>
      </c>
      <c r="I81" s="197">
        <v>8153</v>
      </c>
      <c r="J81" s="197">
        <v>8153</v>
      </c>
      <c r="K81" s="197">
        <v>0</v>
      </c>
      <c r="L81" s="197">
        <v>145</v>
      </c>
      <c r="M81" s="260" t="s">
        <v>239</v>
      </c>
      <c r="N81" s="260" t="s">
        <v>514</v>
      </c>
    </row>
    <row r="82" spans="1:14" ht="14.5" x14ac:dyDescent="0.35">
      <c r="A82" s="260" t="s">
        <v>563</v>
      </c>
      <c r="B82" s="190">
        <v>45683</v>
      </c>
      <c r="C82" s="260" t="s">
        <v>749</v>
      </c>
      <c r="D82" s="197">
        <v>100</v>
      </c>
      <c r="E82" s="197">
        <v>10010</v>
      </c>
      <c r="F82" s="197">
        <v>101.53</v>
      </c>
      <c r="G82" s="190">
        <v>45681</v>
      </c>
      <c r="H82" s="196">
        <v>2</v>
      </c>
      <c r="I82" s="197">
        <v>10153</v>
      </c>
      <c r="J82" s="197">
        <v>10153</v>
      </c>
      <c r="K82" s="197">
        <v>0</v>
      </c>
      <c r="L82" s="197">
        <v>143</v>
      </c>
      <c r="M82" s="260" t="s">
        <v>239</v>
      </c>
      <c r="N82" s="260" t="s">
        <v>514</v>
      </c>
    </row>
    <row r="83" spans="1:14" ht="14.5" x14ac:dyDescent="0.35">
      <c r="A83" s="260" t="s">
        <v>563</v>
      </c>
      <c r="B83" s="190">
        <v>45683</v>
      </c>
      <c r="C83" s="260" t="s">
        <v>752</v>
      </c>
      <c r="D83" s="197">
        <v>50</v>
      </c>
      <c r="E83" s="197">
        <v>10010</v>
      </c>
      <c r="F83" s="197">
        <v>196.17</v>
      </c>
      <c r="G83" s="190">
        <v>45681</v>
      </c>
      <c r="H83" s="196">
        <v>2</v>
      </c>
      <c r="I83" s="197">
        <v>9808.5</v>
      </c>
      <c r="J83" s="197">
        <v>9808.5</v>
      </c>
      <c r="K83" s="197">
        <v>0</v>
      </c>
      <c r="L83" s="197">
        <v>-201.5</v>
      </c>
      <c r="M83" s="260" t="s">
        <v>239</v>
      </c>
      <c r="N83" s="260" t="s">
        <v>514</v>
      </c>
    </row>
    <row r="84" spans="1:14" ht="14.5" x14ac:dyDescent="0.35">
      <c r="A84" s="260" t="s">
        <v>563</v>
      </c>
      <c r="B84" s="190">
        <v>45683</v>
      </c>
      <c r="C84" s="260" t="s">
        <v>754</v>
      </c>
      <c r="D84" s="197">
        <v>100</v>
      </c>
      <c r="E84" s="197">
        <v>8008</v>
      </c>
      <c r="F84" s="197">
        <v>81.53</v>
      </c>
      <c r="G84" s="190">
        <v>45681</v>
      </c>
      <c r="H84" s="196">
        <v>2</v>
      </c>
      <c r="I84" s="197">
        <v>8153</v>
      </c>
      <c r="J84" s="197">
        <v>8153</v>
      </c>
      <c r="K84" s="197">
        <v>0</v>
      </c>
      <c r="L84" s="197">
        <v>145</v>
      </c>
      <c r="M84" s="260" t="s">
        <v>239</v>
      </c>
      <c r="N84" s="260" t="s">
        <v>514</v>
      </c>
    </row>
    <row r="85" spans="1:14" ht="14.5" x14ac:dyDescent="0.35">
      <c r="A85" s="260" t="s">
        <v>563</v>
      </c>
      <c r="B85" s="190">
        <v>45684</v>
      </c>
      <c r="C85" s="260" t="s">
        <v>749</v>
      </c>
      <c r="D85" s="197">
        <v>100</v>
      </c>
      <c r="E85" s="197">
        <v>10010</v>
      </c>
      <c r="F85" s="197">
        <v>101.73</v>
      </c>
      <c r="G85" s="190">
        <v>45684</v>
      </c>
      <c r="H85" s="196">
        <v>0</v>
      </c>
      <c r="I85" s="197">
        <v>10173</v>
      </c>
      <c r="J85" s="197">
        <v>10173</v>
      </c>
      <c r="K85" s="197">
        <v>0</v>
      </c>
      <c r="L85" s="197">
        <v>163</v>
      </c>
      <c r="M85" s="260" t="s">
        <v>239</v>
      </c>
      <c r="N85" s="260" t="s">
        <v>514</v>
      </c>
    </row>
    <row r="86" spans="1:14" ht="14.5" x14ac:dyDescent="0.35">
      <c r="A86" s="260" t="s">
        <v>563</v>
      </c>
      <c r="B86" s="190">
        <v>45684</v>
      </c>
      <c r="C86" s="260" t="s">
        <v>752</v>
      </c>
      <c r="D86" s="197">
        <v>50</v>
      </c>
      <c r="E86" s="197">
        <v>10010</v>
      </c>
      <c r="F86" s="197">
        <v>195.67</v>
      </c>
      <c r="G86" s="190">
        <v>45684</v>
      </c>
      <c r="H86" s="196">
        <v>0</v>
      </c>
      <c r="I86" s="197">
        <v>9783.5</v>
      </c>
      <c r="J86" s="197">
        <v>9783.5</v>
      </c>
      <c r="K86" s="197">
        <v>0</v>
      </c>
      <c r="L86" s="197">
        <v>-226.5</v>
      </c>
      <c r="M86" s="260" t="s">
        <v>239</v>
      </c>
      <c r="N86" s="260" t="s">
        <v>514</v>
      </c>
    </row>
    <row r="87" spans="1:14" ht="14.5" x14ac:dyDescent="0.35">
      <c r="A87" s="260" t="s">
        <v>563</v>
      </c>
      <c r="B87" s="190">
        <v>45684</v>
      </c>
      <c r="C87" s="260" t="s">
        <v>754</v>
      </c>
      <c r="D87" s="197">
        <v>100</v>
      </c>
      <c r="E87" s="197">
        <v>8008</v>
      </c>
      <c r="F87" s="197">
        <v>81.73</v>
      </c>
      <c r="G87" s="190">
        <v>45684</v>
      </c>
      <c r="H87" s="196">
        <v>0</v>
      </c>
      <c r="I87" s="197">
        <v>8173</v>
      </c>
      <c r="J87" s="197">
        <v>8173</v>
      </c>
      <c r="K87" s="197">
        <v>0</v>
      </c>
      <c r="L87" s="197">
        <v>165</v>
      </c>
      <c r="M87" s="260" t="s">
        <v>239</v>
      </c>
      <c r="N87" s="260" t="s">
        <v>514</v>
      </c>
    </row>
    <row r="88" spans="1:14" ht="14.5" x14ac:dyDescent="0.35">
      <c r="A88" s="260" t="s">
        <v>563</v>
      </c>
      <c r="B88" s="190">
        <v>45685</v>
      </c>
      <c r="C88" s="260" t="s">
        <v>749</v>
      </c>
      <c r="D88" s="197">
        <v>100</v>
      </c>
      <c r="E88" s="197">
        <v>10010</v>
      </c>
      <c r="F88" s="197">
        <v>101.8</v>
      </c>
      <c r="G88" s="190">
        <v>45685</v>
      </c>
      <c r="H88" s="196">
        <v>0</v>
      </c>
      <c r="I88" s="197">
        <v>10180</v>
      </c>
      <c r="J88" s="197">
        <v>10180</v>
      </c>
      <c r="K88" s="197">
        <v>0</v>
      </c>
      <c r="L88" s="197">
        <v>170</v>
      </c>
      <c r="M88" s="260" t="s">
        <v>239</v>
      </c>
      <c r="N88" s="260" t="s">
        <v>514</v>
      </c>
    </row>
    <row r="89" spans="1:14" ht="14.5" x14ac:dyDescent="0.35">
      <c r="A89" s="260" t="s">
        <v>563</v>
      </c>
      <c r="B89" s="190">
        <v>45685</v>
      </c>
      <c r="C89" s="260" t="s">
        <v>752</v>
      </c>
      <c r="D89" s="197">
        <v>50</v>
      </c>
      <c r="E89" s="197">
        <v>10010</v>
      </c>
      <c r="F89" s="197">
        <v>195.5</v>
      </c>
      <c r="G89" s="190">
        <v>45685</v>
      </c>
      <c r="H89" s="196">
        <v>0</v>
      </c>
      <c r="I89" s="197">
        <v>9775</v>
      </c>
      <c r="J89" s="197">
        <v>9775</v>
      </c>
      <c r="K89" s="197">
        <v>0</v>
      </c>
      <c r="L89" s="197">
        <v>-235</v>
      </c>
      <c r="M89" s="260" t="s">
        <v>239</v>
      </c>
      <c r="N89" s="260" t="s">
        <v>514</v>
      </c>
    </row>
    <row r="90" spans="1:14" ht="14.5" x14ac:dyDescent="0.35">
      <c r="A90" s="260" t="s">
        <v>563</v>
      </c>
      <c r="B90" s="190">
        <v>45685</v>
      </c>
      <c r="C90" s="260" t="s">
        <v>754</v>
      </c>
      <c r="D90" s="197">
        <v>100</v>
      </c>
      <c r="E90" s="197">
        <v>8008</v>
      </c>
      <c r="F90" s="197">
        <v>81.8</v>
      </c>
      <c r="G90" s="190">
        <v>45685</v>
      </c>
      <c r="H90" s="196">
        <v>0</v>
      </c>
      <c r="I90" s="197">
        <v>8180</v>
      </c>
      <c r="J90" s="197">
        <v>8180</v>
      </c>
      <c r="K90" s="197">
        <v>0</v>
      </c>
      <c r="L90" s="197">
        <v>172</v>
      </c>
      <c r="M90" s="260" t="s">
        <v>239</v>
      </c>
      <c r="N90" s="260" t="s">
        <v>514</v>
      </c>
    </row>
    <row r="91" spans="1:14" ht="14.5" x14ac:dyDescent="0.35">
      <c r="A91" s="260" t="s">
        <v>563</v>
      </c>
      <c r="B91" s="190">
        <v>45686</v>
      </c>
      <c r="C91" s="260" t="s">
        <v>749</v>
      </c>
      <c r="D91" s="197">
        <v>100</v>
      </c>
      <c r="E91" s="197">
        <v>10010</v>
      </c>
      <c r="F91" s="197">
        <v>101.87</v>
      </c>
      <c r="G91" s="190">
        <v>45686</v>
      </c>
      <c r="H91" s="196">
        <v>0</v>
      </c>
      <c r="I91" s="197">
        <v>10187</v>
      </c>
      <c r="J91" s="197">
        <v>10187</v>
      </c>
      <c r="K91" s="197">
        <v>0</v>
      </c>
      <c r="L91" s="197">
        <v>177</v>
      </c>
      <c r="M91" s="260" t="s">
        <v>239</v>
      </c>
      <c r="N91" s="260" t="s">
        <v>514</v>
      </c>
    </row>
    <row r="92" spans="1:14" ht="14.5" x14ac:dyDescent="0.35">
      <c r="A92" s="260" t="s">
        <v>563</v>
      </c>
      <c r="B92" s="190">
        <v>45686</v>
      </c>
      <c r="C92" s="260" t="s">
        <v>752</v>
      </c>
      <c r="D92" s="197">
        <v>50</v>
      </c>
      <c r="E92" s="197">
        <v>10010</v>
      </c>
      <c r="F92" s="197">
        <v>195.33</v>
      </c>
      <c r="G92" s="190">
        <v>45686</v>
      </c>
      <c r="H92" s="196">
        <v>0</v>
      </c>
      <c r="I92" s="197">
        <v>9766.5</v>
      </c>
      <c r="J92" s="197">
        <v>9766.5</v>
      </c>
      <c r="K92" s="197">
        <v>0</v>
      </c>
      <c r="L92" s="197">
        <v>-243.5</v>
      </c>
      <c r="M92" s="260" t="s">
        <v>239</v>
      </c>
      <c r="N92" s="260" t="s">
        <v>514</v>
      </c>
    </row>
    <row r="93" spans="1:14" ht="14.5" x14ac:dyDescent="0.35">
      <c r="A93" s="260" t="s">
        <v>563</v>
      </c>
      <c r="B93" s="190">
        <v>45686</v>
      </c>
      <c r="C93" s="260" t="s">
        <v>754</v>
      </c>
      <c r="D93" s="197">
        <v>100</v>
      </c>
      <c r="E93" s="197">
        <v>8008</v>
      </c>
      <c r="F93" s="197">
        <v>81.87</v>
      </c>
      <c r="G93" s="190">
        <v>45686</v>
      </c>
      <c r="H93" s="196">
        <v>0</v>
      </c>
      <c r="I93" s="197">
        <v>8187</v>
      </c>
      <c r="J93" s="197">
        <v>8187</v>
      </c>
      <c r="K93" s="197">
        <v>0</v>
      </c>
      <c r="L93" s="197">
        <v>179</v>
      </c>
      <c r="M93" s="260" t="s">
        <v>239</v>
      </c>
      <c r="N93" s="260" t="s">
        <v>514</v>
      </c>
    </row>
    <row r="94" spans="1:14" ht="14.5" x14ac:dyDescent="0.35">
      <c r="A94" s="260" t="s">
        <v>563</v>
      </c>
      <c r="B94" s="190">
        <v>45687</v>
      </c>
      <c r="C94" s="260" t="s">
        <v>749</v>
      </c>
      <c r="D94" s="197">
        <v>100</v>
      </c>
      <c r="E94" s="197">
        <v>10010</v>
      </c>
      <c r="F94" s="197">
        <v>101.93</v>
      </c>
      <c r="G94" s="190">
        <v>45687</v>
      </c>
      <c r="H94" s="196">
        <v>0</v>
      </c>
      <c r="I94" s="197">
        <v>10193</v>
      </c>
      <c r="J94" s="197">
        <v>10193</v>
      </c>
      <c r="K94" s="197">
        <v>0</v>
      </c>
      <c r="L94" s="197">
        <v>183</v>
      </c>
      <c r="M94" s="260" t="s">
        <v>239</v>
      </c>
      <c r="N94" s="260" t="s">
        <v>514</v>
      </c>
    </row>
    <row r="95" spans="1:14" ht="14.5" x14ac:dyDescent="0.35">
      <c r="A95" s="260" t="s">
        <v>563</v>
      </c>
      <c r="B95" s="190">
        <v>45687</v>
      </c>
      <c r="C95" s="260" t="s">
        <v>752</v>
      </c>
      <c r="D95" s="197">
        <v>50</v>
      </c>
      <c r="E95" s="197">
        <v>10010</v>
      </c>
      <c r="F95" s="197">
        <v>195.17</v>
      </c>
      <c r="G95" s="190">
        <v>45687</v>
      </c>
      <c r="H95" s="196">
        <v>0</v>
      </c>
      <c r="I95" s="197">
        <v>9758.5</v>
      </c>
      <c r="J95" s="197">
        <v>9758.5</v>
      </c>
      <c r="K95" s="197">
        <v>0</v>
      </c>
      <c r="L95" s="197">
        <v>-251.5</v>
      </c>
      <c r="M95" s="260" t="s">
        <v>239</v>
      </c>
      <c r="N95" s="260" t="s">
        <v>514</v>
      </c>
    </row>
    <row r="96" spans="1:14" ht="14.5" x14ac:dyDescent="0.35">
      <c r="A96" s="260" t="s">
        <v>563</v>
      </c>
      <c r="B96" s="190">
        <v>45687</v>
      </c>
      <c r="C96" s="260" t="s">
        <v>754</v>
      </c>
      <c r="D96" s="197">
        <v>100</v>
      </c>
      <c r="E96" s="197">
        <v>8008</v>
      </c>
      <c r="F96" s="197">
        <v>81.93</v>
      </c>
      <c r="G96" s="190">
        <v>45687</v>
      </c>
      <c r="H96" s="196">
        <v>0</v>
      </c>
      <c r="I96" s="197">
        <v>8193</v>
      </c>
      <c r="J96" s="197">
        <v>8193</v>
      </c>
      <c r="K96" s="197">
        <v>0</v>
      </c>
      <c r="L96" s="197">
        <v>185</v>
      </c>
      <c r="M96" s="260" t="s">
        <v>239</v>
      </c>
      <c r="N96" s="260" t="s">
        <v>514</v>
      </c>
    </row>
    <row r="97" spans="1:14" ht="14.5" x14ac:dyDescent="0.35">
      <c r="A97" s="260" t="s">
        <v>563</v>
      </c>
      <c r="B97" s="190">
        <v>45688</v>
      </c>
      <c r="C97" s="260" t="s">
        <v>749</v>
      </c>
      <c r="D97" s="197">
        <v>100</v>
      </c>
      <c r="E97" s="197">
        <v>10010</v>
      </c>
      <c r="F97" s="197">
        <v>102</v>
      </c>
      <c r="G97" s="190">
        <v>45688</v>
      </c>
      <c r="H97" s="196">
        <v>0</v>
      </c>
      <c r="I97" s="197">
        <v>10200</v>
      </c>
      <c r="J97" s="197">
        <v>10200</v>
      </c>
      <c r="K97" s="197">
        <v>0</v>
      </c>
      <c r="L97" s="197">
        <v>190</v>
      </c>
      <c r="M97" s="260" t="s">
        <v>239</v>
      </c>
      <c r="N97" s="260" t="s">
        <v>514</v>
      </c>
    </row>
    <row r="98" spans="1:14" ht="14.5" x14ac:dyDescent="0.35">
      <c r="A98" s="260" t="s">
        <v>563</v>
      </c>
      <c r="B98" s="190">
        <v>45688</v>
      </c>
      <c r="C98" s="260" t="s">
        <v>752</v>
      </c>
      <c r="D98" s="197">
        <v>50</v>
      </c>
      <c r="E98" s="197">
        <v>10010</v>
      </c>
      <c r="F98" s="197">
        <v>195</v>
      </c>
      <c r="G98" s="190">
        <v>45688</v>
      </c>
      <c r="H98" s="196">
        <v>0</v>
      </c>
      <c r="I98" s="197">
        <v>9750</v>
      </c>
      <c r="J98" s="197">
        <v>9750</v>
      </c>
      <c r="K98" s="197">
        <v>0</v>
      </c>
      <c r="L98" s="197">
        <v>-260</v>
      </c>
      <c r="M98" s="260" t="s">
        <v>239</v>
      </c>
      <c r="N98" s="260" t="s">
        <v>514</v>
      </c>
    </row>
    <row r="99" spans="1:14" ht="14.5" x14ac:dyDescent="0.35">
      <c r="A99" s="260" t="s">
        <v>563</v>
      </c>
      <c r="B99" s="190">
        <v>45688</v>
      </c>
      <c r="C99" s="260" t="s">
        <v>754</v>
      </c>
      <c r="D99" s="197">
        <v>100</v>
      </c>
      <c r="E99" s="197">
        <v>8008</v>
      </c>
      <c r="F99" s="197">
        <v>82</v>
      </c>
      <c r="G99" s="190">
        <v>45688</v>
      </c>
      <c r="H99" s="196">
        <v>0</v>
      </c>
      <c r="I99" s="197">
        <v>8200</v>
      </c>
      <c r="J99" s="197">
        <v>8200</v>
      </c>
      <c r="K99" s="197">
        <v>0</v>
      </c>
      <c r="L99" s="197">
        <v>192</v>
      </c>
      <c r="M99" s="260" t="s">
        <v>239</v>
      </c>
      <c r="N99" s="260" t="s">
        <v>514</v>
      </c>
    </row>
    <row r="100" spans="1:14" ht="14.5" x14ac:dyDescent="0.35">
      <c r="A100" s="260" t="s">
        <v>563</v>
      </c>
      <c r="B100" s="190">
        <v>45689</v>
      </c>
      <c r="C100" s="260" t="s">
        <v>749</v>
      </c>
      <c r="D100" s="197">
        <v>100</v>
      </c>
      <c r="E100" s="197">
        <v>10010</v>
      </c>
      <c r="F100" s="197">
        <v>102</v>
      </c>
      <c r="G100" s="190">
        <v>45688</v>
      </c>
      <c r="H100" s="196">
        <v>1</v>
      </c>
      <c r="I100" s="197">
        <v>10200</v>
      </c>
      <c r="J100" s="197">
        <v>10200</v>
      </c>
      <c r="K100" s="197">
        <v>0</v>
      </c>
      <c r="L100" s="197">
        <v>190</v>
      </c>
      <c r="M100" s="260" t="s">
        <v>239</v>
      </c>
      <c r="N100" s="260" t="s">
        <v>514</v>
      </c>
    </row>
    <row r="101" spans="1:14" ht="14.5" x14ac:dyDescent="0.35">
      <c r="A101" s="260" t="s">
        <v>563</v>
      </c>
      <c r="B101" s="190">
        <v>45689</v>
      </c>
      <c r="C101" s="260" t="s">
        <v>752</v>
      </c>
      <c r="D101" s="197">
        <v>50</v>
      </c>
      <c r="E101" s="197">
        <v>10010</v>
      </c>
      <c r="F101" s="197">
        <v>195</v>
      </c>
      <c r="G101" s="190">
        <v>45688</v>
      </c>
      <c r="H101" s="196">
        <v>1</v>
      </c>
      <c r="I101" s="197">
        <v>9750</v>
      </c>
      <c r="J101" s="197">
        <v>9750</v>
      </c>
      <c r="K101" s="197">
        <v>0</v>
      </c>
      <c r="L101" s="197">
        <v>-260</v>
      </c>
      <c r="M101" s="260" t="s">
        <v>239</v>
      </c>
      <c r="N101" s="260" t="s">
        <v>514</v>
      </c>
    </row>
    <row r="102" spans="1:14" ht="14.5" x14ac:dyDescent="0.35">
      <c r="A102" s="260" t="s">
        <v>563</v>
      </c>
      <c r="B102" s="190">
        <v>45689</v>
      </c>
      <c r="C102" s="260" t="s">
        <v>754</v>
      </c>
      <c r="D102" s="197">
        <v>100</v>
      </c>
      <c r="E102" s="197">
        <v>8008</v>
      </c>
      <c r="F102" s="197">
        <v>82</v>
      </c>
      <c r="G102" s="190">
        <v>45688</v>
      </c>
      <c r="H102" s="196">
        <v>1</v>
      </c>
      <c r="I102" s="197">
        <v>8200</v>
      </c>
      <c r="J102" s="197">
        <v>8200</v>
      </c>
      <c r="K102" s="197">
        <v>0</v>
      </c>
      <c r="L102" s="197">
        <v>192</v>
      </c>
      <c r="M102" s="260" t="s">
        <v>239</v>
      </c>
      <c r="N102" s="260" t="s">
        <v>514</v>
      </c>
    </row>
    <row r="103" spans="1:14" ht="14.5" x14ac:dyDescent="0.35">
      <c r="A103" s="260" t="s">
        <v>563</v>
      </c>
      <c r="B103" s="190">
        <v>45690</v>
      </c>
      <c r="C103" s="260" t="s">
        <v>749</v>
      </c>
      <c r="D103" s="197">
        <v>100</v>
      </c>
      <c r="E103" s="197">
        <v>10010</v>
      </c>
      <c r="F103" s="197">
        <v>102</v>
      </c>
      <c r="G103" s="190">
        <v>45688</v>
      </c>
      <c r="H103" s="196">
        <v>2</v>
      </c>
      <c r="I103" s="197">
        <v>10200</v>
      </c>
      <c r="J103" s="197">
        <v>10200</v>
      </c>
      <c r="K103" s="197">
        <v>0</v>
      </c>
      <c r="L103" s="197">
        <v>190</v>
      </c>
      <c r="M103" s="260" t="s">
        <v>239</v>
      </c>
      <c r="N103" s="260" t="s">
        <v>514</v>
      </c>
    </row>
    <row r="104" spans="1:14" ht="14.5" x14ac:dyDescent="0.35">
      <c r="A104" s="260" t="s">
        <v>563</v>
      </c>
      <c r="B104" s="190">
        <v>45690</v>
      </c>
      <c r="C104" s="260" t="s">
        <v>752</v>
      </c>
      <c r="D104" s="197">
        <v>50</v>
      </c>
      <c r="E104" s="197">
        <v>10010</v>
      </c>
      <c r="F104" s="197">
        <v>195</v>
      </c>
      <c r="G104" s="190">
        <v>45688</v>
      </c>
      <c r="H104" s="196">
        <v>2</v>
      </c>
      <c r="I104" s="197">
        <v>9750</v>
      </c>
      <c r="J104" s="197">
        <v>9750</v>
      </c>
      <c r="K104" s="197">
        <v>0</v>
      </c>
      <c r="L104" s="197">
        <v>-260</v>
      </c>
      <c r="M104" s="260" t="s">
        <v>239</v>
      </c>
      <c r="N104" s="260" t="s">
        <v>514</v>
      </c>
    </row>
    <row r="105" spans="1:14" ht="14.5" x14ac:dyDescent="0.35">
      <c r="A105" s="260" t="s">
        <v>563</v>
      </c>
      <c r="B105" s="190">
        <v>45690</v>
      </c>
      <c r="C105" s="260" t="s">
        <v>754</v>
      </c>
      <c r="D105" s="197">
        <v>100</v>
      </c>
      <c r="E105" s="197">
        <v>8008</v>
      </c>
      <c r="F105" s="197">
        <v>82</v>
      </c>
      <c r="G105" s="190">
        <v>45688</v>
      </c>
      <c r="H105" s="196">
        <v>2</v>
      </c>
      <c r="I105" s="197">
        <v>8200</v>
      </c>
      <c r="J105" s="197">
        <v>8200</v>
      </c>
      <c r="K105" s="197">
        <v>0</v>
      </c>
      <c r="L105" s="197">
        <v>192</v>
      </c>
      <c r="M105" s="260" t="s">
        <v>239</v>
      </c>
      <c r="N105" s="260" t="s">
        <v>514</v>
      </c>
    </row>
    <row r="106" spans="1:14" ht="14.5" x14ac:dyDescent="0.35">
      <c r="A106" s="260" t="s">
        <v>563</v>
      </c>
      <c r="B106" s="190">
        <v>45691</v>
      </c>
      <c r="C106" s="260" t="s">
        <v>749</v>
      </c>
      <c r="D106" s="197">
        <v>100</v>
      </c>
      <c r="E106" s="197">
        <v>10010</v>
      </c>
      <c r="F106" s="197">
        <v>101.63</v>
      </c>
      <c r="G106" s="190">
        <v>45691</v>
      </c>
      <c r="H106" s="196">
        <v>0</v>
      </c>
      <c r="I106" s="197">
        <v>10163</v>
      </c>
      <c r="J106" s="197">
        <v>10163</v>
      </c>
      <c r="K106" s="197">
        <v>0</v>
      </c>
      <c r="L106" s="197">
        <v>153</v>
      </c>
      <c r="M106" s="260" t="s">
        <v>239</v>
      </c>
      <c r="N106" s="260" t="s">
        <v>514</v>
      </c>
    </row>
    <row r="107" spans="1:14" ht="14.5" x14ac:dyDescent="0.35">
      <c r="A107" s="260" t="s">
        <v>563</v>
      </c>
      <c r="B107" s="190">
        <v>45691</v>
      </c>
      <c r="C107" s="260" t="s">
        <v>752</v>
      </c>
      <c r="D107" s="197">
        <v>50</v>
      </c>
      <c r="E107" s="197">
        <v>10010</v>
      </c>
      <c r="F107" s="197">
        <v>195.44</v>
      </c>
      <c r="G107" s="190">
        <v>45691</v>
      </c>
      <c r="H107" s="196">
        <v>0</v>
      </c>
      <c r="I107" s="197">
        <v>9772</v>
      </c>
      <c r="J107" s="197">
        <v>9772</v>
      </c>
      <c r="K107" s="197">
        <v>0</v>
      </c>
      <c r="L107" s="197">
        <v>-238</v>
      </c>
      <c r="M107" s="260" t="s">
        <v>239</v>
      </c>
      <c r="N107" s="260" t="s">
        <v>514</v>
      </c>
    </row>
    <row r="108" spans="1:14" ht="14.5" x14ac:dyDescent="0.35">
      <c r="A108" s="260" t="s">
        <v>563</v>
      </c>
      <c r="B108" s="190">
        <v>45691</v>
      </c>
      <c r="C108" s="260" t="s">
        <v>754</v>
      </c>
      <c r="D108" s="197">
        <v>100</v>
      </c>
      <c r="E108" s="197">
        <v>8008</v>
      </c>
      <c r="F108" s="197">
        <v>81.7</v>
      </c>
      <c r="G108" s="190">
        <v>45691</v>
      </c>
      <c r="H108" s="196">
        <v>0</v>
      </c>
      <c r="I108" s="197">
        <v>8170</v>
      </c>
      <c r="J108" s="197">
        <v>8170</v>
      </c>
      <c r="K108" s="197">
        <v>0</v>
      </c>
      <c r="L108" s="197">
        <v>162</v>
      </c>
      <c r="M108" s="260" t="s">
        <v>239</v>
      </c>
      <c r="N108" s="260" t="s">
        <v>514</v>
      </c>
    </row>
    <row r="109" spans="1:14" ht="14.5" x14ac:dyDescent="0.35">
      <c r="A109" s="260" t="s">
        <v>563</v>
      </c>
      <c r="B109" s="190">
        <v>45692</v>
      </c>
      <c r="C109" s="260" t="s">
        <v>749</v>
      </c>
      <c r="D109" s="197">
        <v>100</v>
      </c>
      <c r="E109" s="197">
        <v>10010</v>
      </c>
      <c r="F109" s="197">
        <v>101.44</v>
      </c>
      <c r="G109" s="190">
        <v>45692</v>
      </c>
      <c r="H109" s="196">
        <v>0</v>
      </c>
      <c r="I109" s="197">
        <v>10144</v>
      </c>
      <c r="J109" s="197">
        <v>10144</v>
      </c>
      <c r="K109" s="197">
        <v>0</v>
      </c>
      <c r="L109" s="197">
        <v>134</v>
      </c>
      <c r="M109" s="260" t="s">
        <v>239</v>
      </c>
      <c r="N109" s="260" t="s">
        <v>514</v>
      </c>
    </row>
    <row r="110" spans="1:14" ht="14.5" x14ac:dyDescent="0.35">
      <c r="A110" s="260" t="s">
        <v>563</v>
      </c>
      <c r="B110" s="190">
        <v>45692</v>
      </c>
      <c r="C110" s="260" t="s">
        <v>752</v>
      </c>
      <c r="D110" s="197">
        <v>50</v>
      </c>
      <c r="E110" s="197">
        <v>10010</v>
      </c>
      <c r="F110" s="197">
        <v>195.67</v>
      </c>
      <c r="G110" s="190">
        <v>45692</v>
      </c>
      <c r="H110" s="196">
        <v>0</v>
      </c>
      <c r="I110" s="197">
        <v>9783.5</v>
      </c>
      <c r="J110" s="197">
        <v>9783.5</v>
      </c>
      <c r="K110" s="197">
        <v>0</v>
      </c>
      <c r="L110" s="197">
        <v>-226.5</v>
      </c>
      <c r="M110" s="260" t="s">
        <v>239</v>
      </c>
      <c r="N110" s="260" t="s">
        <v>514</v>
      </c>
    </row>
    <row r="111" spans="1:14" ht="14.5" x14ac:dyDescent="0.35">
      <c r="A111" s="260" t="s">
        <v>563</v>
      </c>
      <c r="B111" s="190">
        <v>45692</v>
      </c>
      <c r="C111" s="260" t="s">
        <v>754</v>
      </c>
      <c r="D111" s="197">
        <v>100</v>
      </c>
      <c r="E111" s="197">
        <v>8008</v>
      </c>
      <c r="F111" s="197">
        <v>81.56</v>
      </c>
      <c r="G111" s="190">
        <v>45692</v>
      </c>
      <c r="H111" s="196">
        <v>0</v>
      </c>
      <c r="I111" s="197">
        <v>8156</v>
      </c>
      <c r="J111" s="197">
        <v>8156</v>
      </c>
      <c r="K111" s="197">
        <v>0</v>
      </c>
      <c r="L111" s="197">
        <v>148</v>
      </c>
      <c r="M111" s="260" t="s">
        <v>239</v>
      </c>
      <c r="N111" s="260" t="s">
        <v>514</v>
      </c>
    </row>
    <row r="112" spans="1:14" ht="14.5" x14ac:dyDescent="0.35">
      <c r="A112" s="260" t="s">
        <v>563</v>
      </c>
      <c r="B112" s="190">
        <v>45693</v>
      </c>
      <c r="C112" s="260" t="s">
        <v>749</v>
      </c>
      <c r="D112" s="197">
        <v>100</v>
      </c>
      <c r="E112" s="197">
        <v>10010</v>
      </c>
      <c r="F112" s="197">
        <v>101.26</v>
      </c>
      <c r="G112" s="190">
        <v>45693</v>
      </c>
      <c r="H112" s="196">
        <v>0</v>
      </c>
      <c r="I112" s="197">
        <v>10126</v>
      </c>
      <c r="J112" s="197">
        <v>10126</v>
      </c>
      <c r="K112" s="197">
        <v>0</v>
      </c>
      <c r="L112" s="197">
        <v>116</v>
      </c>
      <c r="M112" s="260" t="s">
        <v>239</v>
      </c>
      <c r="N112" s="260" t="s">
        <v>514</v>
      </c>
    </row>
    <row r="113" spans="1:14" ht="14.5" x14ac:dyDescent="0.35">
      <c r="A113" s="260" t="s">
        <v>563</v>
      </c>
      <c r="B113" s="190">
        <v>45693</v>
      </c>
      <c r="C113" s="260" t="s">
        <v>752</v>
      </c>
      <c r="D113" s="197">
        <v>50</v>
      </c>
      <c r="E113" s="197">
        <v>10010</v>
      </c>
      <c r="F113" s="197">
        <v>195.89</v>
      </c>
      <c r="G113" s="190">
        <v>45693</v>
      </c>
      <c r="H113" s="196">
        <v>0</v>
      </c>
      <c r="I113" s="197">
        <v>9794.5</v>
      </c>
      <c r="J113" s="197">
        <v>9794.5</v>
      </c>
      <c r="K113" s="197">
        <v>0</v>
      </c>
      <c r="L113" s="197">
        <v>-215.5</v>
      </c>
      <c r="M113" s="260" t="s">
        <v>239</v>
      </c>
      <c r="N113" s="260" t="s">
        <v>514</v>
      </c>
    </row>
    <row r="114" spans="1:14" ht="14.5" x14ac:dyDescent="0.35">
      <c r="A114" s="260" t="s">
        <v>563</v>
      </c>
      <c r="B114" s="190">
        <v>45693</v>
      </c>
      <c r="C114" s="260" t="s">
        <v>754</v>
      </c>
      <c r="D114" s="197">
        <v>100</v>
      </c>
      <c r="E114" s="197">
        <v>8008</v>
      </c>
      <c r="F114" s="197">
        <v>81.41</v>
      </c>
      <c r="G114" s="190">
        <v>45693</v>
      </c>
      <c r="H114" s="196">
        <v>0</v>
      </c>
      <c r="I114" s="197">
        <v>8141</v>
      </c>
      <c r="J114" s="197">
        <v>8141</v>
      </c>
      <c r="K114" s="197">
        <v>0</v>
      </c>
      <c r="L114" s="197">
        <v>133</v>
      </c>
      <c r="M114" s="260" t="s">
        <v>239</v>
      </c>
      <c r="N114" s="260" t="s">
        <v>514</v>
      </c>
    </row>
    <row r="115" spans="1:14" ht="14.5" x14ac:dyDescent="0.35">
      <c r="A115" s="260" t="s">
        <v>563</v>
      </c>
      <c r="B115" s="190">
        <v>45694</v>
      </c>
      <c r="C115" s="260" t="s">
        <v>749</v>
      </c>
      <c r="D115" s="197">
        <v>100</v>
      </c>
      <c r="E115" s="197">
        <v>10010</v>
      </c>
      <c r="F115" s="197">
        <v>101.07</v>
      </c>
      <c r="G115" s="190">
        <v>45694</v>
      </c>
      <c r="H115" s="196">
        <v>0</v>
      </c>
      <c r="I115" s="197">
        <v>10107</v>
      </c>
      <c r="J115" s="197">
        <v>10107</v>
      </c>
      <c r="K115" s="197">
        <v>0</v>
      </c>
      <c r="L115" s="197">
        <v>97</v>
      </c>
      <c r="M115" s="260" t="s">
        <v>239</v>
      </c>
      <c r="N115" s="260" t="s">
        <v>514</v>
      </c>
    </row>
    <row r="116" spans="1:14" ht="14.5" x14ac:dyDescent="0.35">
      <c r="A116" s="260" t="s">
        <v>563</v>
      </c>
      <c r="B116" s="190">
        <v>45694</v>
      </c>
      <c r="C116" s="260" t="s">
        <v>752</v>
      </c>
      <c r="D116" s="197">
        <v>50</v>
      </c>
      <c r="E116" s="197">
        <v>10010</v>
      </c>
      <c r="F116" s="197">
        <v>196.11</v>
      </c>
      <c r="G116" s="190">
        <v>45694</v>
      </c>
      <c r="H116" s="196">
        <v>0</v>
      </c>
      <c r="I116" s="197">
        <v>9805.5</v>
      </c>
      <c r="J116" s="197">
        <v>9805.5</v>
      </c>
      <c r="K116" s="197">
        <v>0</v>
      </c>
      <c r="L116" s="197">
        <v>-204.5</v>
      </c>
      <c r="M116" s="260" t="s">
        <v>239</v>
      </c>
      <c r="N116" s="260" t="s">
        <v>514</v>
      </c>
    </row>
    <row r="117" spans="1:14" ht="14.5" x14ac:dyDescent="0.35">
      <c r="A117" s="260" t="s">
        <v>563</v>
      </c>
      <c r="B117" s="190">
        <v>45694</v>
      </c>
      <c r="C117" s="260" t="s">
        <v>754</v>
      </c>
      <c r="D117" s="197">
        <v>100</v>
      </c>
      <c r="E117" s="197">
        <v>8008</v>
      </c>
      <c r="F117" s="197">
        <v>81.260000000000005</v>
      </c>
      <c r="G117" s="190">
        <v>45694</v>
      </c>
      <c r="H117" s="196">
        <v>0</v>
      </c>
      <c r="I117" s="197">
        <v>8126.0000000000009</v>
      </c>
      <c r="J117" s="197">
        <v>8126.0000000000009</v>
      </c>
      <c r="K117" s="197">
        <v>0</v>
      </c>
      <c r="L117" s="197">
        <v>118.00000000000091</v>
      </c>
      <c r="M117" s="260" t="s">
        <v>239</v>
      </c>
      <c r="N117" s="260" t="s">
        <v>514</v>
      </c>
    </row>
    <row r="118" spans="1:14" ht="14.5" x14ac:dyDescent="0.35">
      <c r="A118" s="260" t="s">
        <v>563</v>
      </c>
      <c r="B118" s="190">
        <v>45695</v>
      </c>
      <c r="C118" s="260" t="s">
        <v>749</v>
      </c>
      <c r="D118" s="197">
        <v>100</v>
      </c>
      <c r="E118" s="197">
        <v>10010</v>
      </c>
      <c r="F118" s="197">
        <v>100.89</v>
      </c>
      <c r="G118" s="190">
        <v>45695</v>
      </c>
      <c r="H118" s="196">
        <v>0</v>
      </c>
      <c r="I118" s="197">
        <v>10089</v>
      </c>
      <c r="J118" s="197">
        <v>10089</v>
      </c>
      <c r="K118" s="197">
        <v>0</v>
      </c>
      <c r="L118" s="197">
        <v>79</v>
      </c>
      <c r="M118" s="260" t="s">
        <v>239</v>
      </c>
      <c r="N118" s="260" t="s">
        <v>514</v>
      </c>
    </row>
    <row r="119" spans="1:14" ht="14.5" x14ac:dyDescent="0.35">
      <c r="A119" s="260" t="s">
        <v>563</v>
      </c>
      <c r="B119" s="190">
        <v>45695</v>
      </c>
      <c r="C119" s="260" t="s">
        <v>752</v>
      </c>
      <c r="D119" s="197">
        <v>50</v>
      </c>
      <c r="E119" s="197">
        <v>10010</v>
      </c>
      <c r="F119" s="197">
        <v>196.33</v>
      </c>
      <c r="G119" s="190">
        <v>45695</v>
      </c>
      <c r="H119" s="196">
        <v>0</v>
      </c>
      <c r="I119" s="197">
        <v>9816.5</v>
      </c>
      <c r="J119" s="197">
        <v>9816.5</v>
      </c>
      <c r="K119" s="197">
        <v>0</v>
      </c>
      <c r="L119" s="197">
        <v>-193.5</v>
      </c>
      <c r="M119" s="260" t="s">
        <v>239</v>
      </c>
      <c r="N119" s="260" t="s">
        <v>514</v>
      </c>
    </row>
    <row r="120" spans="1:14" ht="14.5" x14ac:dyDescent="0.35">
      <c r="A120" s="260" t="s">
        <v>563</v>
      </c>
      <c r="B120" s="190">
        <v>45695</v>
      </c>
      <c r="C120" s="260" t="s">
        <v>754</v>
      </c>
      <c r="D120" s="197">
        <v>100</v>
      </c>
      <c r="E120" s="197">
        <v>8008</v>
      </c>
      <c r="F120" s="197">
        <v>81.11</v>
      </c>
      <c r="G120" s="190">
        <v>45695</v>
      </c>
      <c r="H120" s="196">
        <v>0</v>
      </c>
      <c r="I120" s="197">
        <v>8111</v>
      </c>
      <c r="J120" s="197">
        <v>8111</v>
      </c>
      <c r="K120" s="197">
        <v>0</v>
      </c>
      <c r="L120" s="197">
        <v>103</v>
      </c>
      <c r="M120" s="260" t="s">
        <v>239</v>
      </c>
      <c r="N120" s="260" t="s">
        <v>514</v>
      </c>
    </row>
    <row r="121" spans="1:14" ht="14.5" x14ac:dyDescent="0.35">
      <c r="A121" s="260" t="s">
        <v>563</v>
      </c>
      <c r="B121" s="190">
        <v>45696</v>
      </c>
      <c r="C121" s="260" t="s">
        <v>749</v>
      </c>
      <c r="D121" s="197">
        <v>100</v>
      </c>
      <c r="E121" s="197">
        <v>10010</v>
      </c>
      <c r="F121" s="197">
        <v>100.89</v>
      </c>
      <c r="G121" s="190">
        <v>45695</v>
      </c>
      <c r="H121" s="196">
        <v>1</v>
      </c>
      <c r="I121" s="197">
        <v>10089</v>
      </c>
      <c r="J121" s="197">
        <v>10089</v>
      </c>
      <c r="K121" s="197">
        <v>0</v>
      </c>
      <c r="L121" s="197">
        <v>79</v>
      </c>
      <c r="M121" s="260" t="s">
        <v>239</v>
      </c>
      <c r="N121" s="260" t="s">
        <v>514</v>
      </c>
    </row>
    <row r="122" spans="1:14" ht="14.5" x14ac:dyDescent="0.35">
      <c r="A122" s="260" t="s">
        <v>563</v>
      </c>
      <c r="B122" s="190">
        <v>45696</v>
      </c>
      <c r="C122" s="260" t="s">
        <v>752</v>
      </c>
      <c r="D122" s="197">
        <v>50</v>
      </c>
      <c r="E122" s="197">
        <v>10010</v>
      </c>
      <c r="F122" s="197">
        <v>196.33</v>
      </c>
      <c r="G122" s="190">
        <v>45695</v>
      </c>
      <c r="H122" s="196">
        <v>1</v>
      </c>
      <c r="I122" s="197">
        <v>9816.5</v>
      </c>
      <c r="J122" s="197">
        <v>9816.5</v>
      </c>
      <c r="K122" s="197">
        <v>0</v>
      </c>
      <c r="L122" s="197">
        <v>-193.5</v>
      </c>
      <c r="M122" s="260" t="s">
        <v>239</v>
      </c>
      <c r="N122" s="260" t="s">
        <v>514</v>
      </c>
    </row>
    <row r="123" spans="1:14" ht="14.5" x14ac:dyDescent="0.35">
      <c r="A123" s="260" t="s">
        <v>563</v>
      </c>
      <c r="B123" s="190">
        <v>45696</v>
      </c>
      <c r="C123" s="260" t="s">
        <v>754</v>
      </c>
      <c r="D123" s="197">
        <v>100</v>
      </c>
      <c r="E123" s="197">
        <v>8008</v>
      </c>
      <c r="F123" s="197">
        <v>81.11</v>
      </c>
      <c r="G123" s="190">
        <v>45695</v>
      </c>
      <c r="H123" s="196">
        <v>1</v>
      </c>
      <c r="I123" s="197">
        <v>8111</v>
      </c>
      <c r="J123" s="197">
        <v>8111</v>
      </c>
      <c r="K123" s="197">
        <v>0</v>
      </c>
      <c r="L123" s="197">
        <v>103</v>
      </c>
      <c r="M123" s="260" t="s">
        <v>239</v>
      </c>
      <c r="N123" s="260" t="s">
        <v>514</v>
      </c>
    </row>
    <row r="124" spans="1:14" ht="14.5" x14ac:dyDescent="0.35">
      <c r="A124" s="260" t="s">
        <v>563</v>
      </c>
      <c r="B124" s="190">
        <v>45697</v>
      </c>
      <c r="C124" s="260" t="s">
        <v>749</v>
      </c>
      <c r="D124" s="197">
        <v>100</v>
      </c>
      <c r="E124" s="197">
        <v>10010</v>
      </c>
      <c r="F124" s="197">
        <v>100.89</v>
      </c>
      <c r="G124" s="190">
        <v>45695</v>
      </c>
      <c r="H124" s="196">
        <v>2</v>
      </c>
      <c r="I124" s="197">
        <v>10089</v>
      </c>
      <c r="J124" s="197">
        <v>10089</v>
      </c>
      <c r="K124" s="197">
        <v>0</v>
      </c>
      <c r="L124" s="197">
        <v>79</v>
      </c>
      <c r="M124" s="260" t="s">
        <v>239</v>
      </c>
      <c r="N124" s="260" t="s">
        <v>514</v>
      </c>
    </row>
    <row r="125" spans="1:14" ht="14.5" x14ac:dyDescent="0.35">
      <c r="A125" s="260" t="s">
        <v>563</v>
      </c>
      <c r="B125" s="190">
        <v>45697</v>
      </c>
      <c r="C125" s="260" t="s">
        <v>752</v>
      </c>
      <c r="D125" s="197">
        <v>50</v>
      </c>
      <c r="E125" s="197">
        <v>10010</v>
      </c>
      <c r="F125" s="197">
        <v>196.33</v>
      </c>
      <c r="G125" s="190">
        <v>45695</v>
      </c>
      <c r="H125" s="196">
        <v>2</v>
      </c>
      <c r="I125" s="197">
        <v>9816.5</v>
      </c>
      <c r="J125" s="197">
        <v>9816.5</v>
      </c>
      <c r="K125" s="197">
        <v>0</v>
      </c>
      <c r="L125" s="197">
        <v>-193.5</v>
      </c>
      <c r="M125" s="260" t="s">
        <v>239</v>
      </c>
      <c r="N125" s="260" t="s">
        <v>514</v>
      </c>
    </row>
    <row r="126" spans="1:14" ht="14.5" x14ac:dyDescent="0.35">
      <c r="A126" s="260" t="s">
        <v>563</v>
      </c>
      <c r="B126" s="190">
        <v>45697</v>
      </c>
      <c r="C126" s="260" t="s">
        <v>754</v>
      </c>
      <c r="D126" s="197">
        <v>100</v>
      </c>
      <c r="E126" s="197">
        <v>8008</v>
      </c>
      <c r="F126" s="197">
        <v>81.11</v>
      </c>
      <c r="G126" s="190">
        <v>45695</v>
      </c>
      <c r="H126" s="196">
        <v>2</v>
      </c>
      <c r="I126" s="197">
        <v>8111</v>
      </c>
      <c r="J126" s="197">
        <v>8111</v>
      </c>
      <c r="K126" s="197">
        <v>0</v>
      </c>
      <c r="L126" s="197">
        <v>103</v>
      </c>
      <c r="M126" s="260" t="s">
        <v>239</v>
      </c>
      <c r="N126" s="260" t="s">
        <v>514</v>
      </c>
    </row>
    <row r="127" spans="1:14" ht="14.5" x14ac:dyDescent="0.35">
      <c r="A127" s="260" t="s">
        <v>563</v>
      </c>
      <c r="B127" s="190">
        <v>45698</v>
      </c>
      <c r="C127" s="260" t="s">
        <v>749</v>
      </c>
      <c r="D127" s="197">
        <v>100</v>
      </c>
      <c r="E127" s="197">
        <v>10010</v>
      </c>
      <c r="F127" s="197">
        <v>100.33</v>
      </c>
      <c r="G127" s="190">
        <v>45698</v>
      </c>
      <c r="H127" s="196">
        <v>0</v>
      </c>
      <c r="I127" s="197">
        <v>10033</v>
      </c>
      <c r="J127" s="197">
        <v>10033</v>
      </c>
      <c r="K127" s="197">
        <v>0</v>
      </c>
      <c r="L127" s="197">
        <v>23</v>
      </c>
      <c r="M127" s="260" t="s">
        <v>239</v>
      </c>
      <c r="N127" s="260" t="s">
        <v>514</v>
      </c>
    </row>
    <row r="128" spans="1:14" ht="14.5" x14ac:dyDescent="0.35">
      <c r="A128" s="260" t="s">
        <v>563</v>
      </c>
      <c r="B128" s="190">
        <v>45698</v>
      </c>
      <c r="C128" s="260" t="s">
        <v>752</v>
      </c>
      <c r="D128" s="197">
        <v>50</v>
      </c>
      <c r="E128" s="197">
        <v>10010</v>
      </c>
      <c r="F128" s="197">
        <v>197</v>
      </c>
      <c r="G128" s="190">
        <v>45698</v>
      </c>
      <c r="H128" s="196">
        <v>0</v>
      </c>
      <c r="I128" s="197">
        <v>9850</v>
      </c>
      <c r="J128" s="197">
        <v>9850</v>
      </c>
      <c r="K128" s="197">
        <v>0</v>
      </c>
      <c r="L128" s="197">
        <v>-160</v>
      </c>
      <c r="M128" s="260" t="s">
        <v>239</v>
      </c>
      <c r="N128" s="260" t="s">
        <v>514</v>
      </c>
    </row>
    <row r="129" spans="1:14" ht="14.5" x14ac:dyDescent="0.35">
      <c r="A129" s="260" t="s">
        <v>563</v>
      </c>
      <c r="B129" s="190">
        <v>45698</v>
      </c>
      <c r="C129" s="260" t="s">
        <v>754</v>
      </c>
      <c r="D129" s="197">
        <v>100</v>
      </c>
      <c r="E129" s="197">
        <v>8008</v>
      </c>
      <c r="F129" s="197">
        <v>80.67</v>
      </c>
      <c r="G129" s="190">
        <v>45698</v>
      </c>
      <c r="H129" s="196">
        <v>0</v>
      </c>
      <c r="I129" s="197">
        <v>8067</v>
      </c>
      <c r="J129" s="197">
        <v>8067</v>
      </c>
      <c r="K129" s="197">
        <v>0</v>
      </c>
      <c r="L129" s="197">
        <v>59</v>
      </c>
      <c r="M129" s="260" t="s">
        <v>239</v>
      </c>
      <c r="N129" s="260" t="s">
        <v>514</v>
      </c>
    </row>
    <row r="130" spans="1:14" ht="14.5" x14ac:dyDescent="0.35">
      <c r="A130" s="260" t="s">
        <v>563</v>
      </c>
      <c r="B130" s="190">
        <v>45699</v>
      </c>
      <c r="C130" s="260" t="s">
        <v>749</v>
      </c>
      <c r="D130" s="197">
        <v>100</v>
      </c>
      <c r="E130" s="197">
        <v>10010</v>
      </c>
      <c r="F130" s="197">
        <v>100.15</v>
      </c>
      <c r="G130" s="190">
        <v>45699</v>
      </c>
      <c r="H130" s="196">
        <v>0</v>
      </c>
      <c r="I130" s="197">
        <v>10015</v>
      </c>
      <c r="J130" s="197">
        <v>10015</v>
      </c>
      <c r="K130" s="197">
        <v>0</v>
      </c>
      <c r="L130" s="197">
        <v>5</v>
      </c>
      <c r="M130" s="260" t="s">
        <v>239</v>
      </c>
      <c r="N130" s="260" t="s">
        <v>514</v>
      </c>
    </row>
    <row r="131" spans="1:14" ht="14.5" x14ac:dyDescent="0.35">
      <c r="A131" s="260" t="s">
        <v>563</v>
      </c>
      <c r="B131" s="190">
        <v>45699</v>
      </c>
      <c r="C131" s="260" t="s">
        <v>752</v>
      </c>
      <c r="D131" s="197">
        <v>50</v>
      </c>
      <c r="E131" s="197">
        <v>10010</v>
      </c>
      <c r="F131" s="197">
        <v>197.22</v>
      </c>
      <c r="G131" s="190">
        <v>45699</v>
      </c>
      <c r="H131" s="196">
        <v>0</v>
      </c>
      <c r="I131" s="197">
        <v>9861</v>
      </c>
      <c r="J131" s="197">
        <v>9861</v>
      </c>
      <c r="K131" s="197">
        <v>0</v>
      </c>
      <c r="L131" s="197">
        <v>-149</v>
      </c>
      <c r="M131" s="260" t="s">
        <v>239</v>
      </c>
      <c r="N131" s="260" t="s">
        <v>514</v>
      </c>
    </row>
    <row r="132" spans="1:14" ht="14.5" x14ac:dyDescent="0.35">
      <c r="A132" s="260" t="s">
        <v>563</v>
      </c>
      <c r="B132" s="190">
        <v>45699</v>
      </c>
      <c r="C132" s="260" t="s">
        <v>754</v>
      </c>
      <c r="D132" s="197">
        <v>100</v>
      </c>
      <c r="E132" s="197">
        <v>8008</v>
      </c>
      <c r="F132" s="197">
        <v>80.52</v>
      </c>
      <c r="G132" s="190">
        <v>45699</v>
      </c>
      <c r="H132" s="196">
        <v>0</v>
      </c>
      <c r="I132" s="197">
        <v>8052</v>
      </c>
      <c r="J132" s="197">
        <v>8052</v>
      </c>
      <c r="K132" s="197">
        <v>0</v>
      </c>
      <c r="L132" s="197">
        <v>44</v>
      </c>
      <c r="M132" s="260" t="s">
        <v>239</v>
      </c>
      <c r="N132" s="260" t="s">
        <v>514</v>
      </c>
    </row>
    <row r="133" spans="1:14" ht="14.5" x14ac:dyDescent="0.35">
      <c r="A133" s="260" t="s">
        <v>563</v>
      </c>
      <c r="B133" s="190">
        <v>45700</v>
      </c>
      <c r="C133" s="260" t="s">
        <v>749</v>
      </c>
      <c r="D133" s="197">
        <v>100</v>
      </c>
      <c r="E133" s="197">
        <v>10010</v>
      </c>
      <c r="F133" s="197">
        <v>99.96</v>
      </c>
      <c r="G133" s="190">
        <v>45700</v>
      </c>
      <c r="H133" s="196">
        <v>0</v>
      </c>
      <c r="I133" s="197">
        <v>9996</v>
      </c>
      <c r="J133" s="197">
        <v>9996</v>
      </c>
      <c r="K133" s="197">
        <v>0</v>
      </c>
      <c r="L133" s="197">
        <v>-14</v>
      </c>
      <c r="M133" s="260" t="s">
        <v>239</v>
      </c>
      <c r="N133" s="260" t="s">
        <v>514</v>
      </c>
    </row>
    <row r="134" spans="1:14" ht="14.5" x14ac:dyDescent="0.35">
      <c r="A134" s="260" t="s">
        <v>563</v>
      </c>
      <c r="B134" s="190">
        <v>45700</v>
      </c>
      <c r="C134" s="260" t="s">
        <v>752</v>
      </c>
      <c r="D134" s="197">
        <v>50</v>
      </c>
      <c r="E134" s="197">
        <v>10010</v>
      </c>
      <c r="F134" s="197">
        <v>197.44</v>
      </c>
      <c r="G134" s="190">
        <v>45700</v>
      </c>
      <c r="H134" s="196">
        <v>0</v>
      </c>
      <c r="I134" s="197">
        <v>9872</v>
      </c>
      <c r="J134" s="197">
        <v>9872</v>
      </c>
      <c r="K134" s="197">
        <v>0</v>
      </c>
      <c r="L134" s="197">
        <v>-138</v>
      </c>
      <c r="M134" s="260" t="s">
        <v>239</v>
      </c>
      <c r="N134" s="260" t="s">
        <v>514</v>
      </c>
    </row>
    <row r="135" spans="1:14" ht="14.5" x14ac:dyDescent="0.35">
      <c r="A135" s="260" t="s">
        <v>563</v>
      </c>
      <c r="B135" s="190">
        <v>45700</v>
      </c>
      <c r="C135" s="260" t="s">
        <v>754</v>
      </c>
      <c r="D135" s="197">
        <v>100</v>
      </c>
      <c r="E135" s="197">
        <v>8008</v>
      </c>
      <c r="F135" s="197">
        <v>80.37</v>
      </c>
      <c r="G135" s="190">
        <v>45700</v>
      </c>
      <c r="H135" s="196">
        <v>0</v>
      </c>
      <c r="I135" s="197">
        <v>8037</v>
      </c>
      <c r="J135" s="197">
        <v>8037</v>
      </c>
      <c r="K135" s="197">
        <v>0</v>
      </c>
      <c r="L135" s="197">
        <v>29</v>
      </c>
      <c r="M135" s="260" t="s">
        <v>239</v>
      </c>
      <c r="N135" s="260" t="s">
        <v>514</v>
      </c>
    </row>
    <row r="136" spans="1:14" ht="14.5" x14ac:dyDescent="0.35">
      <c r="A136" s="260" t="s">
        <v>563</v>
      </c>
      <c r="B136" s="190">
        <v>45701</v>
      </c>
      <c r="C136" s="260" t="s">
        <v>749</v>
      </c>
      <c r="D136" s="197">
        <v>100</v>
      </c>
      <c r="E136" s="197">
        <v>10010</v>
      </c>
      <c r="F136" s="197">
        <v>99.78</v>
      </c>
      <c r="G136" s="190">
        <v>45701</v>
      </c>
      <c r="H136" s="196">
        <v>0</v>
      </c>
      <c r="I136" s="197">
        <v>9978</v>
      </c>
      <c r="J136" s="197">
        <v>9978</v>
      </c>
      <c r="K136" s="197">
        <v>0</v>
      </c>
      <c r="L136" s="197">
        <v>-32</v>
      </c>
      <c r="M136" s="260" t="s">
        <v>239</v>
      </c>
      <c r="N136" s="260" t="s">
        <v>514</v>
      </c>
    </row>
    <row r="137" spans="1:14" ht="14.5" x14ac:dyDescent="0.35">
      <c r="A137" s="260" t="s">
        <v>563</v>
      </c>
      <c r="B137" s="190">
        <v>45701</v>
      </c>
      <c r="C137" s="260" t="s">
        <v>752</v>
      </c>
      <c r="D137" s="197">
        <v>50</v>
      </c>
      <c r="E137" s="197">
        <v>10010</v>
      </c>
      <c r="F137" s="197">
        <v>197.67</v>
      </c>
      <c r="G137" s="190">
        <v>45701</v>
      </c>
      <c r="H137" s="196">
        <v>0</v>
      </c>
      <c r="I137" s="197">
        <v>9883.5</v>
      </c>
      <c r="J137" s="197">
        <v>9883.5</v>
      </c>
      <c r="K137" s="197">
        <v>0</v>
      </c>
      <c r="L137" s="197">
        <v>-126.5</v>
      </c>
      <c r="M137" s="260" t="s">
        <v>239</v>
      </c>
      <c r="N137" s="260" t="s">
        <v>514</v>
      </c>
    </row>
    <row r="138" spans="1:14" ht="14.5" x14ac:dyDescent="0.35">
      <c r="A138" s="260" t="s">
        <v>563</v>
      </c>
      <c r="B138" s="190">
        <v>45701</v>
      </c>
      <c r="C138" s="260" t="s">
        <v>754</v>
      </c>
      <c r="D138" s="197">
        <v>100</v>
      </c>
      <c r="E138" s="197">
        <v>8008</v>
      </c>
      <c r="F138" s="197">
        <v>80.22</v>
      </c>
      <c r="G138" s="190">
        <v>45701</v>
      </c>
      <c r="H138" s="196">
        <v>0</v>
      </c>
      <c r="I138" s="197">
        <v>8022</v>
      </c>
      <c r="J138" s="197">
        <v>8022</v>
      </c>
      <c r="K138" s="197">
        <v>0</v>
      </c>
      <c r="L138" s="197">
        <v>14</v>
      </c>
      <c r="M138" s="260" t="s">
        <v>239</v>
      </c>
      <c r="N138" s="260" t="s">
        <v>514</v>
      </c>
    </row>
    <row r="139" spans="1:14" ht="14.5" x14ac:dyDescent="0.35">
      <c r="A139" s="260" t="s">
        <v>563</v>
      </c>
      <c r="B139" s="190">
        <v>45702</v>
      </c>
      <c r="C139" s="260" t="s">
        <v>749</v>
      </c>
      <c r="D139" s="197">
        <v>100</v>
      </c>
      <c r="E139" s="197">
        <v>10010</v>
      </c>
      <c r="F139" s="197">
        <v>99.59</v>
      </c>
      <c r="G139" s="190">
        <v>45702</v>
      </c>
      <c r="H139" s="196">
        <v>0</v>
      </c>
      <c r="I139" s="197">
        <v>9959</v>
      </c>
      <c r="J139" s="197">
        <v>9959</v>
      </c>
      <c r="K139" s="197">
        <v>0</v>
      </c>
      <c r="L139" s="197">
        <v>-51</v>
      </c>
      <c r="M139" s="260" t="s">
        <v>239</v>
      </c>
      <c r="N139" s="260" t="s">
        <v>514</v>
      </c>
    </row>
    <row r="140" spans="1:14" ht="14.5" x14ac:dyDescent="0.35">
      <c r="A140" s="260" t="s">
        <v>563</v>
      </c>
      <c r="B140" s="190">
        <v>45702</v>
      </c>
      <c r="C140" s="260" t="s">
        <v>752</v>
      </c>
      <c r="D140" s="197">
        <v>50</v>
      </c>
      <c r="E140" s="197">
        <v>10010</v>
      </c>
      <c r="F140" s="197">
        <v>197.89</v>
      </c>
      <c r="G140" s="190">
        <v>45702</v>
      </c>
      <c r="H140" s="196">
        <v>0</v>
      </c>
      <c r="I140" s="197">
        <v>9894.5</v>
      </c>
      <c r="J140" s="197">
        <v>9894.5</v>
      </c>
      <c r="K140" s="197">
        <v>0</v>
      </c>
      <c r="L140" s="197">
        <v>-115.5</v>
      </c>
      <c r="M140" s="260" t="s">
        <v>239</v>
      </c>
      <c r="N140" s="260" t="s">
        <v>514</v>
      </c>
    </row>
    <row r="141" spans="1:14" ht="14.5" x14ac:dyDescent="0.35">
      <c r="A141" s="260" t="s">
        <v>563</v>
      </c>
      <c r="B141" s="190">
        <v>45702</v>
      </c>
      <c r="C141" s="260" t="s">
        <v>754</v>
      </c>
      <c r="D141" s="197">
        <v>100</v>
      </c>
      <c r="E141" s="197">
        <v>8008</v>
      </c>
      <c r="F141" s="197">
        <v>80.069999999999993</v>
      </c>
      <c r="G141" s="190">
        <v>45702</v>
      </c>
      <c r="H141" s="196">
        <v>0</v>
      </c>
      <c r="I141" s="197">
        <v>8006.9999999999991</v>
      </c>
      <c r="J141" s="197">
        <v>8006.9999999999991</v>
      </c>
      <c r="K141" s="197">
        <v>0</v>
      </c>
      <c r="L141" s="197">
        <v>-1.0000000000009095</v>
      </c>
      <c r="M141" s="260" t="s">
        <v>239</v>
      </c>
      <c r="N141" s="260" t="s">
        <v>514</v>
      </c>
    </row>
    <row r="142" spans="1:14" ht="14.5" x14ac:dyDescent="0.35">
      <c r="A142" s="260" t="s">
        <v>563</v>
      </c>
      <c r="B142" s="190">
        <v>45703</v>
      </c>
      <c r="C142" s="260" t="s">
        <v>749</v>
      </c>
      <c r="D142" s="197">
        <v>100</v>
      </c>
      <c r="E142" s="197">
        <v>10010</v>
      </c>
      <c r="F142" s="197">
        <v>99.59</v>
      </c>
      <c r="G142" s="190">
        <v>45702</v>
      </c>
      <c r="H142" s="196">
        <v>1</v>
      </c>
      <c r="I142" s="197">
        <v>9959</v>
      </c>
      <c r="J142" s="197">
        <v>9959</v>
      </c>
      <c r="K142" s="197">
        <v>0</v>
      </c>
      <c r="L142" s="197">
        <v>-51</v>
      </c>
      <c r="M142" s="260" t="s">
        <v>239</v>
      </c>
      <c r="N142" s="260" t="s">
        <v>514</v>
      </c>
    </row>
    <row r="143" spans="1:14" ht="14.5" x14ac:dyDescent="0.35">
      <c r="A143" s="260" t="s">
        <v>563</v>
      </c>
      <c r="B143" s="190">
        <v>45703</v>
      </c>
      <c r="C143" s="260" t="s">
        <v>752</v>
      </c>
      <c r="D143" s="197">
        <v>50</v>
      </c>
      <c r="E143" s="197">
        <v>10010</v>
      </c>
      <c r="F143" s="197">
        <v>197.89</v>
      </c>
      <c r="G143" s="190">
        <v>45702</v>
      </c>
      <c r="H143" s="196">
        <v>1</v>
      </c>
      <c r="I143" s="197">
        <v>9894.5</v>
      </c>
      <c r="J143" s="197">
        <v>9894.5</v>
      </c>
      <c r="K143" s="197">
        <v>0</v>
      </c>
      <c r="L143" s="197">
        <v>-115.5</v>
      </c>
      <c r="M143" s="260" t="s">
        <v>239</v>
      </c>
      <c r="N143" s="260" t="s">
        <v>514</v>
      </c>
    </row>
    <row r="144" spans="1:14" ht="14.5" x14ac:dyDescent="0.35">
      <c r="A144" s="260" t="s">
        <v>563</v>
      </c>
      <c r="B144" s="190">
        <v>45703</v>
      </c>
      <c r="C144" s="260" t="s">
        <v>754</v>
      </c>
      <c r="D144" s="197">
        <v>100</v>
      </c>
      <c r="E144" s="197">
        <v>8008</v>
      </c>
      <c r="F144" s="197">
        <v>80.069999999999993</v>
      </c>
      <c r="G144" s="190">
        <v>45702</v>
      </c>
      <c r="H144" s="196">
        <v>1</v>
      </c>
      <c r="I144" s="197">
        <v>8006.9999999999991</v>
      </c>
      <c r="J144" s="197">
        <v>8006.9999999999991</v>
      </c>
      <c r="K144" s="197">
        <v>0</v>
      </c>
      <c r="L144" s="197">
        <v>-1.0000000000009095</v>
      </c>
      <c r="M144" s="260" t="s">
        <v>239</v>
      </c>
      <c r="N144" s="260" t="s">
        <v>514</v>
      </c>
    </row>
    <row r="145" spans="1:14" ht="14.5" x14ac:dyDescent="0.35">
      <c r="A145" s="260" t="s">
        <v>563</v>
      </c>
      <c r="B145" s="190">
        <v>45704</v>
      </c>
      <c r="C145" s="260" t="s">
        <v>749</v>
      </c>
      <c r="D145" s="197">
        <v>100</v>
      </c>
      <c r="E145" s="197">
        <v>10010</v>
      </c>
      <c r="F145" s="197">
        <v>99.59</v>
      </c>
      <c r="G145" s="190">
        <v>45702</v>
      </c>
      <c r="H145" s="196">
        <v>2</v>
      </c>
      <c r="I145" s="197">
        <v>9959</v>
      </c>
      <c r="J145" s="197">
        <v>9959</v>
      </c>
      <c r="K145" s="197">
        <v>0</v>
      </c>
      <c r="L145" s="197">
        <v>-51</v>
      </c>
      <c r="M145" s="260" t="s">
        <v>239</v>
      </c>
      <c r="N145" s="260" t="s">
        <v>514</v>
      </c>
    </row>
    <row r="146" spans="1:14" ht="14.5" x14ac:dyDescent="0.35">
      <c r="A146" s="260" t="s">
        <v>563</v>
      </c>
      <c r="B146" s="190">
        <v>45704</v>
      </c>
      <c r="C146" s="260" t="s">
        <v>752</v>
      </c>
      <c r="D146" s="197">
        <v>50</v>
      </c>
      <c r="E146" s="197">
        <v>10010</v>
      </c>
      <c r="F146" s="197">
        <v>197.89</v>
      </c>
      <c r="G146" s="190">
        <v>45702</v>
      </c>
      <c r="H146" s="196">
        <v>2</v>
      </c>
      <c r="I146" s="197">
        <v>9894.5</v>
      </c>
      <c r="J146" s="197">
        <v>9894.5</v>
      </c>
      <c r="K146" s="197">
        <v>0</v>
      </c>
      <c r="L146" s="197">
        <v>-115.5</v>
      </c>
      <c r="M146" s="260" t="s">
        <v>239</v>
      </c>
      <c r="N146" s="260" t="s">
        <v>514</v>
      </c>
    </row>
    <row r="147" spans="1:14" ht="14.5" x14ac:dyDescent="0.35">
      <c r="A147" s="260" t="s">
        <v>563</v>
      </c>
      <c r="B147" s="190">
        <v>45704</v>
      </c>
      <c r="C147" s="260" t="s">
        <v>754</v>
      </c>
      <c r="D147" s="197">
        <v>100</v>
      </c>
      <c r="E147" s="197">
        <v>8008</v>
      </c>
      <c r="F147" s="197">
        <v>80.069999999999993</v>
      </c>
      <c r="G147" s="190">
        <v>45702</v>
      </c>
      <c r="H147" s="196">
        <v>2</v>
      </c>
      <c r="I147" s="197">
        <v>8006.9999999999991</v>
      </c>
      <c r="J147" s="197">
        <v>8006.9999999999991</v>
      </c>
      <c r="K147" s="197">
        <v>0</v>
      </c>
      <c r="L147" s="197">
        <v>-1.0000000000009095</v>
      </c>
      <c r="M147" s="260" t="s">
        <v>239</v>
      </c>
      <c r="N147" s="260" t="s">
        <v>514</v>
      </c>
    </row>
    <row r="148" spans="1:14" ht="14.5" x14ac:dyDescent="0.35">
      <c r="A148" s="260" t="s">
        <v>563</v>
      </c>
      <c r="B148" s="190">
        <v>45705</v>
      </c>
      <c r="C148" s="260" t="s">
        <v>749</v>
      </c>
      <c r="D148" s="197">
        <v>100</v>
      </c>
      <c r="E148" s="197">
        <v>10010</v>
      </c>
      <c r="F148" s="197">
        <v>99.04</v>
      </c>
      <c r="G148" s="190">
        <v>45705</v>
      </c>
      <c r="H148" s="196">
        <v>0</v>
      </c>
      <c r="I148" s="197">
        <v>9904</v>
      </c>
      <c r="J148" s="197">
        <v>9904</v>
      </c>
      <c r="K148" s="197">
        <v>0</v>
      </c>
      <c r="L148" s="197">
        <v>-106</v>
      </c>
      <c r="M148" s="260" t="s">
        <v>239</v>
      </c>
      <c r="N148" s="260" t="s">
        <v>514</v>
      </c>
    </row>
    <row r="149" spans="1:14" ht="14.5" x14ac:dyDescent="0.35">
      <c r="A149" s="260" t="s">
        <v>563</v>
      </c>
      <c r="B149" s="190">
        <v>45705</v>
      </c>
      <c r="C149" s="260" t="s">
        <v>752</v>
      </c>
      <c r="D149" s="197">
        <v>50</v>
      </c>
      <c r="E149" s="197">
        <v>10010</v>
      </c>
      <c r="F149" s="197">
        <v>198.56</v>
      </c>
      <c r="G149" s="190">
        <v>45705</v>
      </c>
      <c r="H149" s="196">
        <v>0</v>
      </c>
      <c r="I149" s="197">
        <v>9928</v>
      </c>
      <c r="J149" s="197">
        <v>9928</v>
      </c>
      <c r="K149" s="197">
        <v>0</v>
      </c>
      <c r="L149" s="197">
        <v>-82</v>
      </c>
      <c r="M149" s="260" t="s">
        <v>239</v>
      </c>
      <c r="N149" s="260" t="s">
        <v>514</v>
      </c>
    </row>
    <row r="150" spans="1:14" ht="14.5" x14ac:dyDescent="0.35">
      <c r="A150" s="260" t="s">
        <v>563</v>
      </c>
      <c r="B150" s="190">
        <v>45705</v>
      </c>
      <c r="C150" s="260" t="s">
        <v>754</v>
      </c>
      <c r="D150" s="197">
        <v>100</v>
      </c>
      <c r="E150" s="197">
        <v>8008</v>
      </c>
      <c r="F150" s="197">
        <v>79.63</v>
      </c>
      <c r="G150" s="190">
        <v>45705</v>
      </c>
      <c r="H150" s="196">
        <v>0</v>
      </c>
      <c r="I150" s="197">
        <v>7963</v>
      </c>
      <c r="J150" s="197">
        <v>7963</v>
      </c>
      <c r="K150" s="197">
        <v>0</v>
      </c>
      <c r="L150" s="197">
        <v>-45</v>
      </c>
      <c r="M150" s="260" t="s">
        <v>239</v>
      </c>
      <c r="N150" s="260" t="s">
        <v>514</v>
      </c>
    </row>
    <row r="151" spans="1:14" ht="14.5" x14ac:dyDescent="0.35">
      <c r="A151" s="260" t="s">
        <v>563</v>
      </c>
      <c r="B151" s="190">
        <v>45706</v>
      </c>
      <c r="C151" s="260" t="s">
        <v>749</v>
      </c>
      <c r="D151" s="197">
        <v>100</v>
      </c>
      <c r="E151" s="197">
        <v>10010</v>
      </c>
      <c r="F151" s="197">
        <v>98.85</v>
      </c>
      <c r="G151" s="190">
        <v>45706</v>
      </c>
      <c r="H151" s="196">
        <v>0</v>
      </c>
      <c r="I151" s="197">
        <v>9885</v>
      </c>
      <c r="J151" s="197">
        <v>9885</v>
      </c>
      <c r="K151" s="197">
        <v>0</v>
      </c>
      <c r="L151" s="197">
        <v>-125</v>
      </c>
      <c r="M151" s="260" t="s">
        <v>239</v>
      </c>
      <c r="N151" s="260" t="s">
        <v>514</v>
      </c>
    </row>
    <row r="152" spans="1:14" ht="14.5" x14ac:dyDescent="0.35">
      <c r="A152" s="260" t="s">
        <v>563</v>
      </c>
      <c r="B152" s="190">
        <v>45706</v>
      </c>
      <c r="C152" s="260" t="s">
        <v>752</v>
      </c>
      <c r="D152" s="197">
        <v>50</v>
      </c>
      <c r="E152" s="197">
        <v>10010</v>
      </c>
      <c r="F152" s="197">
        <v>198.78</v>
      </c>
      <c r="G152" s="190">
        <v>45706</v>
      </c>
      <c r="H152" s="196">
        <v>0</v>
      </c>
      <c r="I152" s="197">
        <v>9939</v>
      </c>
      <c r="J152" s="197">
        <v>9939</v>
      </c>
      <c r="K152" s="197">
        <v>0</v>
      </c>
      <c r="L152" s="197">
        <v>-71</v>
      </c>
      <c r="M152" s="260" t="s">
        <v>239</v>
      </c>
      <c r="N152" s="260" t="s">
        <v>514</v>
      </c>
    </row>
    <row r="153" spans="1:14" ht="14.5" x14ac:dyDescent="0.35">
      <c r="A153" s="260" t="s">
        <v>563</v>
      </c>
      <c r="B153" s="190">
        <v>45706</v>
      </c>
      <c r="C153" s="260" t="s">
        <v>754</v>
      </c>
      <c r="D153" s="197">
        <v>100</v>
      </c>
      <c r="E153" s="197">
        <v>8008</v>
      </c>
      <c r="F153" s="197">
        <v>79.48</v>
      </c>
      <c r="G153" s="190">
        <v>45706</v>
      </c>
      <c r="H153" s="196">
        <v>0</v>
      </c>
      <c r="I153" s="197">
        <v>7948</v>
      </c>
      <c r="J153" s="197">
        <v>7948</v>
      </c>
      <c r="K153" s="197">
        <v>0</v>
      </c>
      <c r="L153" s="197">
        <v>-60</v>
      </c>
      <c r="M153" s="260" t="s">
        <v>239</v>
      </c>
      <c r="N153" s="260" t="s">
        <v>514</v>
      </c>
    </row>
    <row r="154" spans="1:14" ht="14.5" x14ac:dyDescent="0.35">
      <c r="A154" s="260" t="s">
        <v>563</v>
      </c>
      <c r="B154" s="190">
        <v>45707</v>
      </c>
      <c r="C154" s="260" t="s">
        <v>749</v>
      </c>
      <c r="D154" s="197">
        <v>100</v>
      </c>
      <c r="E154" s="197">
        <v>10010</v>
      </c>
      <c r="F154" s="197">
        <v>98.67</v>
      </c>
      <c r="G154" s="190">
        <v>45707</v>
      </c>
      <c r="H154" s="196">
        <v>0</v>
      </c>
      <c r="I154" s="197">
        <v>9867</v>
      </c>
      <c r="J154" s="197">
        <v>9867</v>
      </c>
      <c r="K154" s="197">
        <v>0</v>
      </c>
      <c r="L154" s="197">
        <v>-143</v>
      </c>
      <c r="M154" s="260" t="s">
        <v>239</v>
      </c>
      <c r="N154" s="260" t="s">
        <v>514</v>
      </c>
    </row>
    <row r="155" spans="1:14" ht="14.5" x14ac:dyDescent="0.35">
      <c r="A155" s="260" t="s">
        <v>563</v>
      </c>
      <c r="B155" s="190">
        <v>45707</v>
      </c>
      <c r="C155" s="260" t="s">
        <v>752</v>
      </c>
      <c r="D155" s="197">
        <v>50</v>
      </c>
      <c r="E155" s="197">
        <v>10010</v>
      </c>
      <c r="F155" s="197">
        <v>199</v>
      </c>
      <c r="G155" s="190">
        <v>45707</v>
      </c>
      <c r="H155" s="196">
        <v>0</v>
      </c>
      <c r="I155" s="197">
        <v>9950</v>
      </c>
      <c r="J155" s="197">
        <v>9950</v>
      </c>
      <c r="K155" s="197">
        <v>0</v>
      </c>
      <c r="L155" s="197">
        <v>-60</v>
      </c>
      <c r="M155" s="260" t="s">
        <v>239</v>
      </c>
      <c r="N155" s="260" t="s">
        <v>514</v>
      </c>
    </row>
    <row r="156" spans="1:14" ht="14.5" x14ac:dyDescent="0.35">
      <c r="A156" s="260" t="s">
        <v>563</v>
      </c>
      <c r="B156" s="190">
        <v>45707</v>
      </c>
      <c r="C156" s="260" t="s">
        <v>754</v>
      </c>
      <c r="D156" s="197">
        <v>100</v>
      </c>
      <c r="E156" s="197">
        <v>8008</v>
      </c>
      <c r="F156" s="197">
        <v>79.33</v>
      </c>
      <c r="G156" s="190">
        <v>45707</v>
      </c>
      <c r="H156" s="196">
        <v>0</v>
      </c>
      <c r="I156" s="197">
        <v>7933</v>
      </c>
      <c r="J156" s="197">
        <v>7933</v>
      </c>
      <c r="K156" s="197">
        <v>0</v>
      </c>
      <c r="L156" s="197">
        <v>-75</v>
      </c>
      <c r="M156" s="260" t="s">
        <v>239</v>
      </c>
      <c r="N156" s="260" t="s">
        <v>514</v>
      </c>
    </row>
    <row r="157" spans="1:14" ht="14.5" x14ac:dyDescent="0.35">
      <c r="A157" s="260" t="s">
        <v>563</v>
      </c>
      <c r="B157" s="190">
        <v>45708</v>
      </c>
      <c r="C157" s="260" t="s">
        <v>749</v>
      </c>
      <c r="D157" s="197">
        <v>100</v>
      </c>
      <c r="E157" s="197">
        <v>10010</v>
      </c>
      <c r="F157" s="197">
        <v>98.48</v>
      </c>
      <c r="G157" s="190">
        <v>45708</v>
      </c>
      <c r="H157" s="196">
        <v>0</v>
      </c>
      <c r="I157" s="197">
        <v>9848</v>
      </c>
      <c r="J157" s="197">
        <v>9848</v>
      </c>
      <c r="K157" s="197">
        <v>0</v>
      </c>
      <c r="L157" s="197">
        <v>-162</v>
      </c>
      <c r="M157" s="260" t="s">
        <v>239</v>
      </c>
      <c r="N157" s="260" t="s">
        <v>514</v>
      </c>
    </row>
    <row r="158" spans="1:14" ht="14.5" x14ac:dyDescent="0.35">
      <c r="A158" s="260" t="s">
        <v>563</v>
      </c>
      <c r="B158" s="190">
        <v>45708</v>
      </c>
      <c r="C158" s="260" t="s">
        <v>752</v>
      </c>
      <c r="D158" s="197">
        <v>50</v>
      </c>
      <c r="E158" s="197">
        <v>10010</v>
      </c>
      <c r="F158" s="197">
        <v>199.22</v>
      </c>
      <c r="G158" s="190">
        <v>45708</v>
      </c>
      <c r="H158" s="196">
        <v>0</v>
      </c>
      <c r="I158" s="197">
        <v>9961</v>
      </c>
      <c r="J158" s="197">
        <v>9961</v>
      </c>
      <c r="K158" s="197">
        <v>0</v>
      </c>
      <c r="L158" s="197">
        <v>-49</v>
      </c>
      <c r="M158" s="260" t="s">
        <v>239</v>
      </c>
      <c r="N158" s="260" t="s">
        <v>514</v>
      </c>
    </row>
    <row r="159" spans="1:14" ht="14.5" x14ac:dyDescent="0.35">
      <c r="A159" s="260" t="s">
        <v>563</v>
      </c>
      <c r="B159" s="190">
        <v>45708</v>
      </c>
      <c r="C159" s="260" t="s">
        <v>754</v>
      </c>
      <c r="D159" s="197">
        <v>100</v>
      </c>
      <c r="E159" s="197">
        <v>8008</v>
      </c>
      <c r="F159" s="197">
        <v>79.19</v>
      </c>
      <c r="G159" s="190">
        <v>45708</v>
      </c>
      <c r="H159" s="196">
        <v>0</v>
      </c>
      <c r="I159" s="197">
        <v>7919</v>
      </c>
      <c r="J159" s="197">
        <v>7919</v>
      </c>
      <c r="K159" s="197">
        <v>0</v>
      </c>
      <c r="L159" s="197">
        <v>-89</v>
      </c>
      <c r="M159" s="260" t="s">
        <v>239</v>
      </c>
      <c r="N159" s="260" t="s">
        <v>514</v>
      </c>
    </row>
    <row r="160" spans="1:14" ht="14.5" x14ac:dyDescent="0.35">
      <c r="A160" s="260" t="s">
        <v>563</v>
      </c>
      <c r="B160" s="190">
        <v>45709</v>
      </c>
      <c r="C160" s="260" t="s">
        <v>749</v>
      </c>
      <c r="D160" s="197">
        <v>100</v>
      </c>
      <c r="E160" s="197">
        <v>10010</v>
      </c>
      <c r="F160" s="197">
        <v>98.3</v>
      </c>
      <c r="G160" s="190">
        <v>45709</v>
      </c>
      <c r="H160" s="196">
        <v>0</v>
      </c>
      <c r="I160" s="197">
        <v>9830</v>
      </c>
      <c r="J160" s="197">
        <v>9830</v>
      </c>
      <c r="K160" s="197">
        <v>0</v>
      </c>
      <c r="L160" s="197">
        <v>-180</v>
      </c>
      <c r="M160" s="260" t="s">
        <v>239</v>
      </c>
      <c r="N160" s="260" t="s">
        <v>514</v>
      </c>
    </row>
    <row r="161" spans="1:14" ht="14.5" x14ac:dyDescent="0.35">
      <c r="A161" s="260" t="s">
        <v>563</v>
      </c>
      <c r="B161" s="190">
        <v>45709</v>
      </c>
      <c r="C161" s="260" t="s">
        <v>752</v>
      </c>
      <c r="D161" s="197">
        <v>50</v>
      </c>
      <c r="E161" s="197">
        <v>10010</v>
      </c>
      <c r="F161" s="197">
        <v>199.44</v>
      </c>
      <c r="G161" s="190">
        <v>45709</v>
      </c>
      <c r="H161" s="196">
        <v>0</v>
      </c>
      <c r="I161" s="197">
        <v>9972</v>
      </c>
      <c r="J161" s="197">
        <v>9972</v>
      </c>
      <c r="K161" s="197">
        <v>0</v>
      </c>
      <c r="L161" s="197">
        <v>-38</v>
      </c>
      <c r="M161" s="260" t="s">
        <v>239</v>
      </c>
      <c r="N161" s="260" t="s">
        <v>514</v>
      </c>
    </row>
    <row r="162" spans="1:14" ht="14.5" x14ac:dyDescent="0.35">
      <c r="A162" s="260" t="s">
        <v>563</v>
      </c>
      <c r="B162" s="190">
        <v>45709</v>
      </c>
      <c r="C162" s="260" t="s">
        <v>754</v>
      </c>
      <c r="D162" s="197">
        <v>100</v>
      </c>
      <c r="E162" s="197">
        <v>8008</v>
      </c>
      <c r="F162" s="197">
        <v>79.040000000000006</v>
      </c>
      <c r="G162" s="190">
        <v>45709</v>
      </c>
      <c r="H162" s="196">
        <v>0</v>
      </c>
      <c r="I162" s="197">
        <v>7904.0000000000009</v>
      </c>
      <c r="J162" s="197">
        <v>7904.0000000000009</v>
      </c>
      <c r="K162" s="197">
        <v>0</v>
      </c>
      <c r="L162" s="197">
        <v>-103.99999999999909</v>
      </c>
      <c r="M162" s="260" t="s">
        <v>239</v>
      </c>
      <c r="N162" s="260" t="s">
        <v>514</v>
      </c>
    </row>
    <row r="163" spans="1:14" ht="14.5" x14ac:dyDescent="0.35">
      <c r="A163" s="260" t="s">
        <v>563</v>
      </c>
      <c r="B163" s="190">
        <v>45710</v>
      </c>
      <c r="C163" s="260" t="s">
        <v>749</v>
      </c>
      <c r="D163" s="197">
        <v>100</v>
      </c>
      <c r="E163" s="197">
        <v>10010</v>
      </c>
      <c r="F163" s="197">
        <v>98.3</v>
      </c>
      <c r="G163" s="190">
        <v>45709</v>
      </c>
      <c r="H163" s="196">
        <v>1</v>
      </c>
      <c r="I163" s="197">
        <v>9830</v>
      </c>
      <c r="J163" s="197">
        <v>9830</v>
      </c>
      <c r="K163" s="197">
        <v>0</v>
      </c>
      <c r="L163" s="197">
        <v>-180</v>
      </c>
      <c r="M163" s="260" t="s">
        <v>239</v>
      </c>
      <c r="N163" s="260" t="s">
        <v>514</v>
      </c>
    </row>
    <row r="164" spans="1:14" ht="14.5" x14ac:dyDescent="0.35">
      <c r="A164" s="260" t="s">
        <v>563</v>
      </c>
      <c r="B164" s="190">
        <v>45710</v>
      </c>
      <c r="C164" s="260" t="s">
        <v>752</v>
      </c>
      <c r="D164" s="197">
        <v>50</v>
      </c>
      <c r="E164" s="197">
        <v>10010</v>
      </c>
      <c r="F164" s="197">
        <v>199.44</v>
      </c>
      <c r="G164" s="190">
        <v>45709</v>
      </c>
      <c r="H164" s="196">
        <v>1</v>
      </c>
      <c r="I164" s="197">
        <v>9972</v>
      </c>
      <c r="J164" s="197">
        <v>9972</v>
      </c>
      <c r="K164" s="197">
        <v>0</v>
      </c>
      <c r="L164" s="197">
        <v>-38</v>
      </c>
      <c r="M164" s="260" t="s">
        <v>239</v>
      </c>
      <c r="N164" s="260" t="s">
        <v>514</v>
      </c>
    </row>
    <row r="165" spans="1:14" ht="14.5" x14ac:dyDescent="0.35">
      <c r="A165" s="260" t="s">
        <v>563</v>
      </c>
      <c r="B165" s="190">
        <v>45710</v>
      </c>
      <c r="C165" s="260" t="s">
        <v>754</v>
      </c>
      <c r="D165" s="197">
        <v>100</v>
      </c>
      <c r="E165" s="197">
        <v>8008</v>
      </c>
      <c r="F165" s="197">
        <v>79.040000000000006</v>
      </c>
      <c r="G165" s="190">
        <v>45709</v>
      </c>
      <c r="H165" s="196">
        <v>1</v>
      </c>
      <c r="I165" s="197">
        <v>7904.0000000000009</v>
      </c>
      <c r="J165" s="197">
        <v>7904.0000000000009</v>
      </c>
      <c r="K165" s="197">
        <v>0</v>
      </c>
      <c r="L165" s="197">
        <v>-103.99999999999909</v>
      </c>
      <c r="M165" s="260" t="s">
        <v>239</v>
      </c>
      <c r="N165" s="260" t="s">
        <v>514</v>
      </c>
    </row>
    <row r="166" spans="1:14" ht="14.5" x14ac:dyDescent="0.35">
      <c r="A166" s="260" t="s">
        <v>563</v>
      </c>
      <c r="B166" s="190">
        <v>45711</v>
      </c>
      <c r="C166" s="260" t="s">
        <v>749</v>
      </c>
      <c r="D166" s="197">
        <v>100</v>
      </c>
      <c r="E166" s="197">
        <v>10010</v>
      </c>
      <c r="F166" s="197">
        <v>98.3</v>
      </c>
      <c r="G166" s="190">
        <v>45709</v>
      </c>
      <c r="H166" s="196">
        <v>2</v>
      </c>
      <c r="I166" s="197">
        <v>9830</v>
      </c>
      <c r="J166" s="197">
        <v>9830</v>
      </c>
      <c r="K166" s="197">
        <v>0</v>
      </c>
      <c r="L166" s="197">
        <v>-180</v>
      </c>
      <c r="M166" s="260" t="s">
        <v>239</v>
      </c>
      <c r="N166" s="260" t="s">
        <v>514</v>
      </c>
    </row>
    <row r="167" spans="1:14" ht="14.5" x14ac:dyDescent="0.35">
      <c r="A167" s="260" t="s">
        <v>563</v>
      </c>
      <c r="B167" s="190">
        <v>45711</v>
      </c>
      <c r="C167" s="260" t="s">
        <v>752</v>
      </c>
      <c r="D167" s="197">
        <v>50</v>
      </c>
      <c r="E167" s="197">
        <v>10010</v>
      </c>
      <c r="F167" s="197">
        <v>199.44</v>
      </c>
      <c r="G167" s="190">
        <v>45709</v>
      </c>
      <c r="H167" s="196">
        <v>2</v>
      </c>
      <c r="I167" s="197">
        <v>9972</v>
      </c>
      <c r="J167" s="197">
        <v>9972</v>
      </c>
      <c r="K167" s="197">
        <v>0</v>
      </c>
      <c r="L167" s="197">
        <v>-38</v>
      </c>
      <c r="M167" s="260" t="s">
        <v>239</v>
      </c>
      <c r="N167" s="260" t="s">
        <v>514</v>
      </c>
    </row>
    <row r="168" spans="1:14" ht="14.5" x14ac:dyDescent="0.35">
      <c r="A168" s="260" t="s">
        <v>563</v>
      </c>
      <c r="B168" s="190">
        <v>45711</v>
      </c>
      <c r="C168" s="260" t="s">
        <v>754</v>
      </c>
      <c r="D168" s="197">
        <v>100</v>
      </c>
      <c r="E168" s="197">
        <v>8008</v>
      </c>
      <c r="F168" s="197">
        <v>79.040000000000006</v>
      </c>
      <c r="G168" s="190">
        <v>45709</v>
      </c>
      <c r="H168" s="196">
        <v>2</v>
      </c>
      <c r="I168" s="197">
        <v>7904.0000000000009</v>
      </c>
      <c r="J168" s="197">
        <v>7904.0000000000009</v>
      </c>
      <c r="K168" s="197">
        <v>0</v>
      </c>
      <c r="L168" s="197">
        <v>-103.99999999999909</v>
      </c>
      <c r="M168" s="260" t="s">
        <v>239</v>
      </c>
      <c r="N168" s="260" t="s">
        <v>514</v>
      </c>
    </row>
    <row r="169" spans="1:14" ht="14.5" x14ac:dyDescent="0.35">
      <c r="A169" s="260" t="s">
        <v>563</v>
      </c>
      <c r="B169" s="190">
        <v>45712</v>
      </c>
      <c r="C169" s="260" t="s">
        <v>749</v>
      </c>
      <c r="D169" s="197">
        <v>100</v>
      </c>
      <c r="E169" s="197">
        <v>10010</v>
      </c>
      <c r="F169" s="197">
        <v>97.74</v>
      </c>
      <c r="G169" s="190">
        <v>45712</v>
      </c>
      <c r="H169" s="196">
        <v>0</v>
      </c>
      <c r="I169" s="197">
        <v>9774</v>
      </c>
      <c r="J169" s="197">
        <v>9774</v>
      </c>
      <c r="K169" s="197">
        <v>0</v>
      </c>
      <c r="L169" s="197">
        <v>-236</v>
      </c>
      <c r="M169" s="260" t="s">
        <v>239</v>
      </c>
      <c r="N169" s="260" t="s">
        <v>514</v>
      </c>
    </row>
    <row r="170" spans="1:14" ht="14.5" x14ac:dyDescent="0.35">
      <c r="A170" s="260" t="s">
        <v>563</v>
      </c>
      <c r="B170" s="190">
        <v>45712</v>
      </c>
      <c r="C170" s="260" t="s">
        <v>752</v>
      </c>
      <c r="D170" s="197">
        <v>50</v>
      </c>
      <c r="E170" s="197">
        <v>10010</v>
      </c>
      <c r="F170" s="197">
        <v>200.11</v>
      </c>
      <c r="G170" s="190">
        <v>45712</v>
      </c>
      <c r="H170" s="196">
        <v>0</v>
      </c>
      <c r="I170" s="197">
        <v>10005.5</v>
      </c>
      <c r="J170" s="197">
        <v>10005.5</v>
      </c>
      <c r="K170" s="197">
        <v>0</v>
      </c>
      <c r="L170" s="197">
        <v>-4.5</v>
      </c>
      <c r="M170" s="260" t="s">
        <v>239</v>
      </c>
      <c r="N170" s="260" t="s">
        <v>514</v>
      </c>
    </row>
    <row r="171" spans="1:14" ht="14.5" x14ac:dyDescent="0.35">
      <c r="A171" s="260" t="s">
        <v>563</v>
      </c>
      <c r="B171" s="190">
        <v>45712</v>
      </c>
      <c r="C171" s="260" t="s">
        <v>754</v>
      </c>
      <c r="D171" s="197">
        <v>100</v>
      </c>
      <c r="E171" s="197">
        <v>8008</v>
      </c>
      <c r="F171" s="197">
        <v>78.59</v>
      </c>
      <c r="G171" s="190">
        <v>45712</v>
      </c>
      <c r="H171" s="196">
        <v>0</v>
      </c>
      <c r="I171" s="197">
        <v>7859</v>
      </c>
      <c r="J171" s="197">
        <v>7859</v>
      </c>
      <c r="K171" s="197">
        <v>0</v>
      </c>
      <c r="L171" s="197">
        <v>-149</v>
      </c>
      <c r="M171" s="260" t="s">
        <v>239</v>
      </c>
      <c r="N171" s="260" t="s">
        <v>514</v>
      </c>
    </row>
    <row r="172" spans="1:14" ht="14.5" x14ac:dyDescent="0.35">
      <c r="A172" s="260" t="s">
        <v>563</v>
      </c>
      <c r="B172" s="190">
        <v>45713</v>
      </c>
      <c r="C172" s="260" t="s">
        <v>749</v>
      </c>
      <c r="D172" s="197">
        <v>100</v>
      </c>
      <c r="E172" s="197">
        <v>10010</v>
      </c>
      <c r="F172" s="197">
        <v>97.56</v>
      </c>
      <c r="G172" s="190">
        <v>45713</v>
      </c>
      <c r="H172" s="196">
        <v>0</v>
      </c>
      <c r="I172" s="197">
        <v>9756</v>
      </c>
      <c r="J172" s="197">
        <v>9756</v>
      </c>
      <c r="K172" s="197">
        <v>0</v>
      </c>
      <c r="L172" s="197">
        <v>-254</v>
      </c>
      <c r="M172" s="260" t="s">
        <v>239</v>
      </c>
      <c r="N172" s="260" t="s">
        <v>514</v>
      </c>
    </row>
    <row r="173" spans="1:14" ht="14.5" x14ac:dyDescent="0.35">
      <c r="A173" s="260" t="s">
        <v>563</v>
      </c>
      <c r="B173" s="190">
        <v>45713</v>
      </c>
      <c r="C173" s="260" t="s">
        <v>752</v>
      </c>
      <c r="D173" s="197">
        <v>50</v>
      </c>
      <c r="E173" s="197">
        <v>10010</v>
      </c>
      <c r="F173" s="197">
        <v>200.33</v>
      </c>
      <c r="G173" s="190">
        <v>45713</v>
      </c>
      <c r="H173" s="196">
        <v>0</v>
      </c>
      <c r="I173" s="197">
        <v>10016.5</v>
      </c>
      <c r="J173" s="197">
        <v>10016.5</v>
      </c>
      <c r="K173" s="197">
        <v>0</v>
      </c>
      <c r="L173" s="197">
        <v>6.5</v>
      </c>
      <c r="M173" s="260" t="s">
        <v>239</v>
      </c>
      <c r="N173" s="260" t="s">
        <v>514</v>
      </c>
    </row>
    <row r="174" spans="1:14" ht="14.5" x14ac:dyDescent="0.35">
      <c r="A174" s="260" t="s">
        <v>563</v>
      </c>
      <c r="B174" s="190">
        <v>45713</v>
      </c>
      <c r="C174" s="260" t="s">
        <v>754</v>
      </c>
      <c r="D174" s="197">
        <v>100</v>
      </c>
      <c r="E174" s="197">
        <v>8008</v>
      </c>
      <c r="F174" s="197">
        <v>78.44</v>
      </c>
      <c r="G174" s="190">
        <v>45713</v>
      </c>
      <c r="H174" s="196">
        <v>0</v>
      </c>
      <c r="I174" s="197">
        <v>7844</v>
      </c>
      <c r="J174" s="197">
        <v>7844</v>
      </c>
      <c r="K174" s="197">
        <v>0</v>
      </c>
      <c r="L174" s="197">
        <v>-164</v>
      </c>
      <c r="M174" s="260" t="s">
        <v>239</v>
      </c>
      <c r="N174" s="260" t="s">
        <v>514</v>
      </c>
    </row>
    <row r="175" spans="1:14" ht="14.5" x14ac:dyDescent="0.35">
      <c r="A175" s="260" t="s">
        <v>563</v>
      </c>
      <c r="B175" s="190">
        <v>45714</v>
      </c>
      <c r="C175" s="260" t="s">
        <v>749</v>
      </c>
      <c r="D175" s="197">
        <v>100</v>
      </c>
      <c r="E175" s="197">
        <v>10010</v>
      </c>
      <c r="F175" s="197">
        <v>97.37</v>
      </c>
      <c r="G175" s="190">
        <v>45714</v>
      </c>
      <c r="H175" s="196">
        <v>0</v>
      </c>
      <c r="I175" s="197">
        <v>9737</v>
      </c>
      <c r="J175" s="197">
        <v>9737</v>
      </c>
      <c r="K175" s="197">
        <v>0</v>
      </c>
      <c r="L175" s="197">
        <v>-273</v>
      </c>
      <c r="M175" s="260" t="s">
        <v>239</v>
      </c>
      <c r="N175" s="260" t="s">
        <v>514</v>
      </c>
    </row>
    <row r="176" spans="1:14" ht="14.5" x14ac:dyDescent="0.35">
      <c r="A176" s="260" t="s">
        <v>563</v>
      </c>
      <c r="B176" s="190">
        <v>45714</v>
      </c>
      <c r="C176" s="260" t="s">
        <v>752</v>
      </c>
      <c r="D176" s="197">
        <v>50</v>
      </c>
      <c r="E176" s="197">
        <v>10010</v>
      </c>
      <c r="F176" s="197">
        <v>200.56</v>
      </c>
      <c r="G176" s="190">
        <v>45714</v>
      </c>
      <c r="H176" s="196">
        <v>0</v>
      </c>
      <c r="I176" s="197">
        <v>10028</v>
      </c>
      <c r="J176" s="197">
        <v>10028</v>
      </c>
      <c r="K176" s="197">
        <v>0</v>
      </c>
      <c r="L176" s="197">
        <v>18</v>
      </c>
      <c r="M176" s="260" t="s">
        <v>239</v>
      </c>
      <c r="N176" s="260" t="s">
        <v>514</v>
      </c>
    </row>
    <row r="177" spans="1:14" ht="14.5" x14ac:dyDescent="0.35">
      <c r="A177" s="260" t="s">
        <v>563</v>
      </c>
      <c r="B177" s="190">
        <v>45714</v>
      </c>
      <c r="C177" s="260" t="s">
        <v>754</v>
      </c>
      <c r="D177" s="197">
        <v>100</v>
      </c>
      <c r="E177" s="197">
        <v>8008</v>
      </c>
      <c r="F177" s="197">
        <v>78.3</v>
      </c>
      <c r="G177" s="190">
        <v>45714</v>
      </c>
      <c r="H177" s="196">
        <v>0</v>
      </c>
      <c r="I177" s="197">
        <v>7830</v>
      </c>
      <c r="J177" s="197">
        <v>7830</v>
      </c>
      <c r="K177" s="197">
        <v>0</v>
      </c>
      <c r="L177" s="197">
        <v>-178</v>
      </c>
      <c r="M177" s="260" t="s">
        <v>239</v>
      </c>
      <c r="N177" s="260" t="s">
        <v>514</v>
      </c>
    </row>
    <row r="178" spans="1:14" ht="14.5" x14ac:dyDescent="0.35">
      <c r="A178" s="260" t="s">
        <v>563</v>
      </c>
      <c r="B178" s="190">
        <v>45715</v>
      </c>
      <c r="C178" s="260" t="s">
        <v>749</v>
      </c>
      <c r="D178" s="197">
        <v>100</v>
      </c>
      <c r="E178" s="197">
        <v>10010</v>
      </c>
      <c r="F178" s="197">
        <v>97.19</v>
      </c>
      <c r="G178" s="190">
        <v>45715</v>
      </c>
      <c r="H178" s="196">
        <v>0</v>
      </c>
      <c r="I178" s="197">
        <v>9719</v>
      </c>
      <c r="J178" s="197">
        <v>9719</v>
      </c>
      <c r="K178" s="197">
        <v>0</v>
      </c>
      <c r="L178" s="197">
        <v>-291</v>
      </c>
      <c r="M178" s="260" t="s">
        <v>239</v>
      </c>
      <c r="N178" s="260" t="s">
        <v>514</v>
      </c>
    </row>
    <row r="179" spans="1:14" ht="14.5" x14ac:dyDescent="0.35">
      <c r="A179" s="260" t="s">
        <v>563</v>
      </c>
      <c r="B179" s="190">
        <v>45715</v>
      </c>
      <c r="C179" s="260" t="s">
        <v>752</v>
      </c>
      <c r="D179" s="197">
        <v>50</v>
      </c>
      <c r="E179" s="197">
        <v>10010</v>
      </c>
      <c r="F179" s="197">
        <v>200.78</v>
      </c>
      <c r="G179" s="190">
        <v>45715</v>
      </c>
      <c r="H179" s="196">
        <v>0</v>
      </c>
      <c r="I179" s="197">
        <v>10039</v>
      </c>
      <c r="J179" s="197">
        <v>10039</v>
      </c>
      <c r="K179" s="197">
        <v>0</v>
      </c>
      <c r="L179" s="197">
        <v>29</v>
      </c>
      <c r="M179" s="260" t="s">
        <v>239</v>
      </c>
      <c r="N179" s="260" t="s">
        <v>514</v>
      </c>
    </row>
    <row r="180" spans="1:14" ht="14.5" x14ac:dyDescent="0.35">
      <c r="A180" s="260" t="s">
        <v>563</v>
      </c>
      <c r="B180" s="190">
        <v>45715</v>
      </c>
      <c r="C180" s="260" t="s">
        <v>754</v>
      </c>
      <c r="D180" s="197">
        <v>100</v>
      </c>
      <c r="E180" s="197">
        <v>8008</v>
      </c>
      <c r="F180" s="197">
        <v>78.150000000000006</v>
      </c>
      <c r="G180" s="190">
        <v>45715</v>
      </c>
      <c r="H180" s="196">
        <v>0</v>
      </c>
      <c r="I180" s="197">
        <v>7815.0000000000009</v>
      </c>
      <c r="J180" s="197">
        <v>7815.0000000000009</v>
      </c>
      <c r="K180" s="197">
        <v>0</v>
      </c>
      <c r="L180" s="197">
        <v>-192.99999999999909</v>
      </c>
      <c r="M180" s="260" t="s">
        <v>239</v>
      </c>
      <c r="N180" s="260" t="s">
        <v>514</v>
      </c>
    </row>
    <row r="181" spans="1:14" ht="14.5" x14ac:dyDescent="0.35">
      <c r="A181" s="260" t="s">
        <v>563</v>
      </c>
      <c r="B181" s="190">
        <v>45716</v>
      </c>
      <c r="C181" s="260" t="s">
        <v>749</v>
      </c>
      <c r="D181" s="197">
        <v>100</v>
      </c>
      <c r="E181" s="197">
        <v>10010</v>
      </c>
      <c r="F181" s="197">
        <v>97</v>
      </c>
      <c r="G181" s="190">
        <v>45716</v>
      </c>
      <c r="H181" s="196">
        <v>0</v>
      </c>
      <c r="I181" s="197">
        <v>9700</v>
      </c>
      <c r="J181" s="197">
        <v>9700</v>
      </c>
      <c r="K181" s="197">
        <v>0</v>
      </c>
      <c r="L181" s="197">
        <v>-310</v>
      </c>
      <c r="M181" s="260" t="s">
        <v>239</v>
      </c>
      <c r="N181" s="260" t="s">
        <v>514</v>
      </c>
    </row>
    <row r="182" spans="1:14" ht="14.5" x14ac:dyDescent="0.35">
      <c r="A182" s="260" t="s">
        <v>563</v>
      </c>
      <c r="B182" s="190">
        <v>45716</v>
      </c>
      <c r="C182" s="260" t="s">
        <v>752</v>
      </c>
      <c r="D182" s="197">
        <v>50</v>
      </c>
      <c r="E182" s="197">
        <v>10010</v>
      </c>
      <c r="F182" s="197">
        <v>201</v>
      </c>
      <c r="G182" s="190">
        <v>45716</v>
      </c>
      <c r="H182" s="196">
        <v>0</v>
      </c>
      <c r="I182" s="197">
        <v>10050</v>
      </c>
      <c r="J182" s="197">
        <v>10050</v>
      </c>
      <c r="K182" s="197">
        <v>0</v>
      </c>
      <c r="L182" s="197">
        <v>40</v>
      </c>
      <c r="M182" s="260" t="s">
        <v>239</v>
      </c>
      <c r="N182" s="260" t="s">
        <v>514</v>
      </c>
    </row>
    <row r="183" spans="1:14" ht="14.5" x14ac:dyDescent="0.35">
      <c r="A183" s="260" t="s">
        <v>563</v>
      </c>
      <c r="B183" s="190">
        <v>45716</v>
      </c>
      <c r="C183" s="260" t="s">
        <v>754</v>
      </c>
      <c r="D183" s="197">
        <v>100</v>
      </c>
      <c r="E183" s="197">
        <v>8008</v>
      </c>
      <c r="F183" s="197">
        <v>78</v>
      </c>
      <c r="G183" s="190">
        <v>45716</v>
      </c>
      <c r="H183" s="196">
        <v>0</v>
      </c>
      <c r="I183" s="197">
        <v>7800</v>
      </c>
      <c r="J183" s="197">
        <v>7800</v>
      </c>
      <c r="K183" s="197">
        <v>0</v>
      </c>
      <c r="L183" s="197">
        <v>-208</v>
      </c>
      <c r="M183" s="260" t="s">
        <v>239</v>
      </c>
      <c r="N183" s="260" t="s">
        <v>514</v>
      </c>
    </row>
    <row r="184" spans="1:14" ht="14.5" x14ac:dyDescent="0.35">
      <c r="A184" s="260" t="s">
        <v>563</v>
      </c>
      <c r="B184" s="190">
        <v>45717</v>
      </c>
      <c r="C184" s="260" t="s">
        <v>749</v>
      </c>
      <c r="D184" s="197">
        <v>100</v>
      </c>
      <c r="E184" s="197">
        <v>10010</v>
      </c>
      <c r="F184" s="197">
        <v>97</v>
      </c>
      <c r="G184" s="190">
        <v>45716</v>
      </c>
      <c r="H184" s="196">
        <v>1</v>
      </c>
      <c r="I184" s="197">
        <v>9700</v>
      </c>
      <c r="J184" s="197">
        <v>9700</v>
      </c>
      <c r="K184" s="197">
        <v>0</v>
      </c>
      <c r="L184" s="197">
        <v>-310</v>
      </c>
      <c r="M184" s="260" t="s">
        <v>239</v>
      </c>
      <c r="N184" s="260" t="s">
        <v>514</v>
      </c>
    </row>
    <row r="185" spans="1:14" ht="14.5" x14ac:dyDescent="0.35">
      <c r="A185" s="260" t="s">
        <v>563</v>
      </c>
      <c r="B185" s="190">
        <v>45717</v>
      </c>
      <c r="C185" s="260" t="s">
        <v>752</v>
      </c>
      <c r="D185" s="197">
        <v>50</v>
      </c>
      <c r="E185" s="197">
        <v>10010</v>
      </c>
      <c r="F185" s="197">
        <v>201</v>
      </c>
      <c r="G185" s="190">
        <v>45716</v>
      </c>
      <c r="H185" s="196">
        <v>1</v>
      </c>
      <c r="I185" s="197">
        <v>10050</v>
      </c>
      <c r="J185" s="197">
        <v>10050</v>
      </c>
      <c r="K185" s="197">
        <v>0</v>
      </c>
      <c r="L185" s="197">
        <v>40</v>
      </c>
      <c r="M185" s="260" t="s">
        <v>239</v>
      </c>
      <c r="N185" s="260" t="s">
        <v>514</v>
      </c>
    </row>
    <row r="186" spans="1:14" ht="14.5" x14ac:dyDescent="0.35">
      <c r="A186" s="260" t="s">
        <v>563</v>
      </c>
      <c r="B186" s="190">
        <v>45717</v>
      </c>
      <c r="C186" s="260" t="s">
        <v>754</v>
      </c>
      <c r="D186" s="197">
        <v>100</v>
      </c>
      <c r="E186" s="197">
        <v>8008</v>
      </c>
      <c r="F186" s="197">
        <v>78</v>
      </c>
      <c r="G186" s="190">
        <v>45716</v>
      </c>
      <c r="H186" s="196">
        <v>1</v>
      </c>
      <c r="I186" s="197">
        <v>7800</v>
      </c>
      <c r="J186" s="197">
        <v>7800</v>
      </c>
      <c r="K186" s="197">
        <v>0</v>
      </c>
      <c r="L186" s="197">
        <v>-208</v>
      </c>
      <c r="M186" s="260" t="s">
        <v>239</v>
      </c>
      <c r="N186" s="260" t="s">
        <v>514</v>
      </c>
    </row>
    <row r="187" spans="1:14" ht="14.5" x14ac:dyDescent="0.35">
      <c r="A187" s="260" t="s">
        <v>563</v>
      </c>
      <c r="B187" s="190">
        <v>45718</v>
      </c>
      <c r="C187" s="260" t="s">
        <v>749</v>
      </c>
      <c r="D187" s="197">
        <v>100</v>
      </c>
      <c r="E187" s="197">
        <v>10010</v>
      </c>
      <c r="F187" s="197">
        <v>97</v>
      </c>
      <c r="G187" s="190">
        <v>45716</v>
      </c>
      <c r="H187" s="196">
        <v>2</v>
      </c>
      <c r="I187" s="197">
        <v>9700</v>
      </c>
      <c r="J187" s="197">
        <v>9700</v>
      </c>
      <c r="K187" s="197">
        <v>0</v>
      </c>
      <c r="L187" s="197">
        <v>-310</v>
      </c>
      <c r="M187" s="260" t="s">
        <v>239</v>
      </c>
      <c r="N187" s="260" t="s">
        <v>514</v>
      </c>
    </row>
    <row r="188" spans="1:14" ht="14.5" x14ac:dyDescent="0.35">
      <c r="A188" s="260" t="s">
        <v>563</v>
      </c>
      <c r="B188" s="190">
        <v>45718</v>
      </c>
      <c r="C188" s="260" t="s">
        <v>752</v>
      </c>
      <c r="D188" s="197">
        <v>50</v>
      </c>
      <c r="E188" s="197">
        <v>10010</v>
      </c>
      <c r="F188" s="197">
        <v>201</v>
      </c>
      <c r="G188" s="190">
        <v>45716</v>
      </c>
      <c r="H188" s="196">
        <v>2</v>
      </c>
      <c r="I188" s="197">
        <v>10050</v>
      </c>
      <c r="J188" s="197">
        <v>10050</v>
      </c>
      <c r="K188" s="197">
        <v>0</v>
      </c>
      <c r="L188" s="197">
        <v>40</v>
      </c>
      <c r="M188" s="260" t="s">
        <v>239</v>
      </c>
      <c r="N188" s="260" t="s">
        <v>514</v>
      </c>
    </row>
    <row r="189" spans="1:14" ht="14.5" x14ac:dyDescent="0.35">
      <c r="A189" s="260" t="s">
        <v>563</v>
      </c>
      <c r="B189" s="190">
        <v>45718</v>
      </c>
      <c r="C189" s="260" t="s">
        <v>754</v>
      </c>
      <c r="D189" s="197">
        <v>100</v>
      </c>
      <c r="E189" s="197">
        <v>8008</v>
      </c>
      <c r="F189" s="197">
        <v>78</v>
      </c>
      <c r="G189" s="190">
        <v>45716</v>
      </c>
      <c r="H189" s="196">
        <v>2</v>
      </c>
      <c r="I189" s="197">
        <v>7800</v>
      </c>
      <c r="J189" s="197">
        <v>7800</v>
      </c>
      <c r="K189" s="197">
        <v>0</v>
      </c>
      <c r="L189" s="197">
        <v>-208</v>
      </c>
      <c r="M189" s="260" t="s">
        <v>239</v>
      </c>
      <c r="N189" s="260" t="s">
        <v>514</v>
      </c>
    </row>
    <row r="190" spans="1:14" ht="14.5" x14ac:dyDescent="0.35">
      <c r="A190" s="260" t="s">
        <v>563</v>
      </c>
      <c r="B190" s="190">
        <v>45719</v>
      </c>
      <c r="C190" s="260" t="s">
        <v>749</v>
      </c>
      <c r="D190" s="197">
        <v>150</v>
      </c>
      <c r="E190" s="197">
        <v>14915</v>
      </c>
      <c r="F190" s="197">
        <v>97.6</v>
      </c>
      <c r="G190" s="190">
        <v>45719</v>
      </c>
      <c r="H190" s="196">
        <v>0</v>
      </c>
      <c r="I190" s="197">
        <v>14640</v>
      </c>
      <c r="J190" s="197">
        <v>14640</v>
      </c>
      <c r="K190" s="197">
        <v>0</v>
      </c>
      <c r="L190" s="197">
        <v>-275</v>
      </c>
      <c r="M190" s="260" t="s">
        <v>239</v>
      </c>
      <c r="N190" s="260" t="s">
        <v>514</v>
      </c>
    </row>
    <row r="191" spans="1:14" ht="14.5" x14ac:dyDescent="0.35">
      <c r="A191" s="260" t="s">
        <v>563</v>
      </c>
      <c r="B191" s="190">
        <v>45719</v>
      </c>
      <c r="C191" s="260" t="s">
        <v>752</v>
      </c>
      <c r="D191" s="197">
        <v>50</v>
      </c>
      <c r="E191" s="197">
        <v>10010</v>
      </c>
      <c r="F191" s="197">
        <v>200.8</v>
      </c>
      <c r="G191" s="190">
        <v>45719</v>
      </c>
      <c r="H191" s="196">
        <v>0</v>
      </c>
      <c r="I191" s="197">
        <v>10040</v>
      </c>
      <c r="J191" s="197">
        <v>10040</v>
      </c>
      <c r="K191" s="197">
        <v>0</v>
      </c>
      <c r="L191" s="197">
        <v>30</v>
      </c>
      <c r="M191" s="260" t="s">
        <v>239</v>
      </c>
      <c r="N191" s="260" t="s">
        <v>514</v>
      </c>
    </row>
    <row r="192" spans="1:14" ht="14.5" x14ac:dyDescent="0.35">
      <c r="A192" s="260" t="s">
        <v>563</v>
      </c>
      <c r="B192" s="190">
        <v>45719</v>
      </c>
      <c r="C192" s="260" t="s">
        <v>754</v>
      </c>
      <c r="D192" s="197">
        <v>100</v>
      </c>
      <c r="E192" s="197">
        <v>8008</v>
      </c>
      <c r="F192" s="197">
        <v>77.8</v>
      </c>
      <c r="G192" s="190">
        <v>45719</v>
      </c>
      <c r="H192" s="196">
        <v>0</v>
      </c>
      <c r="I192" s="197">
        <v>7780</v>
      </c>
      <c r="J192" s="197">
        <v>7780</v>
      </c>
      <c r="K192" s="197">
        <v>0</v>
      </c>
      <c r="L192" s="197">
        <v>-228</v>
      </c>
      <c r="M192" s="260" t="s">
        <v>239</v>
      </c>
      <c r="N192" s="260" t="s">
        <v>514</v>
      </c>
    </row>
    <row r="193" spans="1:14" ht="14.5" x14ac:dyDescent="0.35">
      <c r="A193" s="260" t="s">
        <v>563</v>
      </c>
      <c r="B193" s="190">
        <v>45720</v>
      </c>
      <c r="C193" s="260" t="s">
        <v>749</v>
      </c>
      <c r="D193" s="197">
        <v>150</v>
      </c>
      <c r="E193" s="197">
        <v>14915</v>
      </c>
      <c r="F193" s="197">
        <v>97.9</v>
      </c>
      <c r="G193" s="190">
        <v>45720</v>
      </c>
      <c r="H193" s="196">
        <v>0</v>
      </c>
      <c r="I193" s="197">
        <v>14685</v>
      </c>
      <c r="J193" s="197">
        <v>14685</v>
      </c>
      <c r="K193" s="197">
        <v>0</v>
      </c>
      <c r="L193" s="197">
        <v>-230</v>
      </c>
      <c r="M193" s="260" t="s">
        <v>239</v>
      </c>
      <c r="N193" s="260" t="s">
        <v>514</v>
      </c>
    </row>
    <row r="194" spans="1:14" ht="14.5" x14ac:dyDescent="0.35">
      <c r="A194" s="260" t="s">
        <v>563</v>
      </c>
      <c r="B194" s="190">
        <v>45720</v>
      </c>
      <c r="C194" s="260" t="s">
        <v>752</v>
      </c>
      <c r="D194" s="197">
        <v>50</v>
      </c>
      <c r="E194" s="197">
        <v>10010</v>
      </c>
      <c r="F194" s="197">
        <v>200.7</v>
      </c>
      <c r="G194" s="190">
        <v>45720</v>
      </c>
      <c r="H194" s="196">
        <v>0</v>
      </c>
      <c r="I194" s="197">
        <v>10035</v>
      </c>
      <c r="J194" s="197">
        <v>10035</v>
      </c>
      <c r="K194" s="197">
        <v>0</v>
      </c>
      <c r="L194" s="197">
        <v>25</v>
      </c>
      <c r="M194" s="260" t="s">
        <v>239</v>
      </c>
      <c r="N194" s="260" t="s">
        <v>514</v>
      </c>
    </row>
    <row r="195" spans="1:14" ht="14.5" x14ac:dyDescent="0.35">
      <c r="A195" s="260" t="s">
        <v>563</v>
      </c>
      <c r="B195" s="190">
        <v>45720</v>
      </c>
      <c r="C195" s="260" t="s">
        <v>754</v>
      </c>
      <c r="D195" s="197">
        <v>100</v>
      </c>
      <c r="E195" s="197">
        <v>8008</v>
      </c>
      <c r="F195" s="197">
        <v>77.7</v>
      </c>
      <c r="G195" s="190">
        <v>45720</v>
      </c>
      <c r="H195" s="196">
        <v>0</v>
      </c>
      <c r="I195" s="197">
        <v>7770</v>
      </c>
      <c r="J195" s="197">
        <v>7770</v>
      </c>
      <c r="K195" s="197">
        <v>0</v>
      </c>
      <c r="L195" s="197">
        <v>-238</v>
      </c>
      <c r="M195" s="260" t="s">
        <v>239</v>
      </c>
      <c r="N195" s="260" t="s">
        <v>514</v>
      </c>
    </row>
    <row r="196" spans="1:14" ht="14.5" x14ac:dyDescent="0.35">
      <c r="A196" s="260" t="s">
        <v>563</v>
      </c>
      <c r="B196" s="190">
        <v>45721</v>
      </c>
      <c r="C196" s="260" t="s">
        <v>749</v>
      </c>
      <c r="D196" s="197">
        <v>150</v>
      </c>
      <c r="E196" s="197">
        <v>14915</v>
      </c>
      <c r="F196" s="197">
        <v>98.2</v>
      </c>
      <c r="G196" s="190">
        <v>45721</v>
      </c>
      <c r="H196" s="196">
        <v>0</v>
      </c>
      <c r="I196" s="197">
        <v>14730</v>
      </c>
      <c r="J196" s="197">
        <v>14730</v>
      </c>
      <c r="K196" s="197">
        <v>0</v>
      </c>
      <c r="L196" s="197">
        <v>-185</v>
      </c>
      <c r="M196" s="260" t="s">
        <v>239</v>
      </c>
      <c r="N196" s="260" t="s">
        <v>514</v>
      </c>
    </row>
    <row r="197" spans="1:14" ht="14.5" x14ac:dyDescent="0.35">
      <c r="A197" s="260" t="s">
        <v>563</v>
      </c>
      <c r="B197" s="190">
        <v>45721</v>
      </c>
      <c r="C197" s="260" t="s">
        <v>752</v>
      </c>
      <c r="D197" s="197">
        <v>50</v>
      </c>
      <c r="E197" s="197">
        <v>10010</v>
      </c>
      <c r="F197" s="197">
        <v>200.6</v>
      </c>
      <c r="G197" s="190">
        <v>45721</v>
      </c>
      <c r="H197" s="196">
        <v>0</v>
      </c>
      <c r="I197" s="197">
        <v>10030</v>
      </c>
      <c r="J197" s="197">
        <v>10030</v>
      </c>
      <c r="K197" s="197">
        <v>0</v>
      </c>
      <c r="L197" s="197">
        <v>20</v>
      </c>
      <c r="M197" s="260" t="s">
        <v>239</v>
      </c>
      <c r="N197" s="260" t="s">
        <v>514</v>
      </c>
    </row>
    <row r="198" spans="1:14" ht="14.5" x14ac:dyDescent="0.35">
      <c r="A198" s="260" t="s">
        <v>563</v>
      </c>
      <c r="B198" s="190">
        <v>45721</v>
      </c>
      <c r="C198" s="260" t="s">
        <v>754</v>
      </c>
      <c r="D198" s="197">
        <v>100</v>
      </c>
      <c r="E198" s="197">
        <v>8008</v>
      </c>
      <c r="F198" s="197">
        <v>77.599999999999994</v>
      </c>
      <c r="G198" s="190">
        <v>45721</v>
      </c>
      <c r="H198" s="196">
        <v>0</v>
      </c>
      <c r="I198" s="197">
        <v>7759.9999999999991</v>
      </c>
      <c r="J198" s="197">
        <v>7759.9999999999991</v>
      </c>
      <c r="K198" s="197">
        <v>0</v>
      </c>
      <c r="L198" s="197">
        <v>-248.00000000000091</v>
      </c>
      <c r="M198" s="260" t="s">
        <v>239</v>
      </c>
      <c r="N198" s="260" t="s">
        <v>514</v>
      </c>
    </row>
    <row r="199" spans="1:14" ht="14.5" x14ac:dyDescent="0.35">
      <c r="A199" s="260" t="s">
        <v>563</v>
      </c>
      <c r="B199" s="190">
        <v>45722</v>
      </c>
      <c r="C199" s="260" t="s">
        <v>749</v>
      </c>
      <c r="D199" s="197">
        <v>150</v>
      </c>
      <c r="E199" s="197">
        <v>14915</v>
      </c>
      <c r="F199" s="197">
        <v>98.5</v>
      </c>
      <c r="G199" s="190">
        <v>45722</v>
      </c>
      <c r="H199" s="196">
        <v>0</v>
      </c>
      <c r="I199" s="197">
        <v>14775</v>
      </c>
      <c r="J199" s="197">
        <v>14775</v>
      </c>
      <c r="K199" s="197">
        <v>0</v>
      </c>
      <c r="L199" s="197">
        <v>-140</v>
      </c>
      <c r="M199" s="260" t="s">
        <v>239</v>
      </c>
      <c r="N199" s="260" t="s">
        <v>514</v>
      </c>
    </row>
    <row r="200" spans="1:14" ht="14.5" x14ac:dyDescent="0.35">
      <c r="A200" s="260" t="s">
        <v>563</v>
      </c>
      <c r="B200" s="190">
        <v>45722</v>
      </c>
      <c r="C200" s="260" t="s">
        <v>752</v>
      </c>
      <c r="D200" s="197">
        <v>50</v>
      </c>
      <c r="E200" s="197">
        <v>10010</v>
      </c>
      <c r="F200" s="197">
        <v>200.5</v>
      </c>
      <c r="G200" s="190">
        <v>45722</v>
      </c>
      <c r="H200" s="196">
        <v>0</v>
      </c>
      <c r="I200" s="197">
        <v>10025</v>
      </c>
      <c r="J200" s="197">
        <v>10025</v>
      </c>
      <c r="K200" s="197">
        <v>0</v>
      </c>
      <c r="L200" s="197">
        <v>15</v>
      </c>
      <c r="M200" s="260" t="s">
        <v>239</v>
      </c>
      <c r="N200" s="260" t="s">
        <v>514</v>
      </c>
    </row>
    <row r="201" spans="1:14" ht="14.5" x14ac:dyDescent="0.35">
      <c r="A201" s="260" t="s">
        <v>563</v>
      </c>
      <c r="B201" s="190">
        <v>45722</v>
      </c>
      <c r="C201" s="260" t="s">
        <v>754</v>
      </c>
      <c r="D201" s="197">
        <v>100</v>
      </c>
      <c r="E201" s="197">
        <v>8008</v>
      </c>
      <c r="F201" s="197">
        <v>77.5</v>
      </c>
      <c r="G201" s="190">
        <v>45722</v>
      </c>
      <c r="H201" s="196">
        <v>0</v>
      </c>
      <c r="I201" s="197">
        <v>7750</v>
      </c>
      <c r="J201" s="197">
        <v>7750</v>
      </c>
      <c r="K201" s="197">
        <v>0</v>
      </c>
      <c r="L201" s="197">
        <v>-258</v>
      </c>
      <c r="M201" s="260" t="s">
        <v>239</v>
      </c>
      <c r="N201" s="260" t="s">
        <v>514</v>
      </c>
    </row>
    <row r="202" spans="1:14" ht="14.5" x14ac:dyDescent="0.35">
      <c r="A202" s="260" t="s">
        <v>563</v>
      </c>
      <c r="B202" s="190">
        <v>45723</v>
      </c>
      <c r="C202" s="260" t="s">
        <v>749</v>
      </c>
      <c r="D202" s="197">
        <v>150</v>
      </c>
      <c r="E202" s="197">
        <v>14915</v>
      </c>
      <c r="F202" s="197">
        <v>98.8</v>
      </c>
      <c r="G202" s="190">
        <v>45723</v>
      </c>
      <c r="H202" s="196">
        <v>0</v>
      </c>
      <c r="I202" s="197">
        <v>14820</v>
      </c>
      <c r="J202" s="197">
        <v>14820</v>
      </c>
      <c r="K202" s="197">
        <v>0</v>
      </c>
      <c r="L202" s="197">
        <v>-95</v>
      </c>
      <c r="M202" s="260" t="s">
        <v>239</v>
      </c>
      <c r="N202" s="260" t="s">
        <v>514</v>
      </c>
    </row>
    <row r="203" spans="1:14" ht="14.5" x14ac:dyDescent="0.35">
      <c r="A203" s="260" t="s">
        <v>563</v>
      </c>
      <c r="B203" s="190">
        <v>45723</v>
      </c>
      <c r="C203" s="260" t="s">
        <v>752</v>
      </c>
      <c r="D203" s="197">
        <v>50</v>
      </c>
      <c r="E203" s="197">
        <v>10010</v>
      </c>
      <c r="F203" s="197">
        <v>200.4</v>
      </c>
      <c r="G203" s="190">
        <v>45723</v>
      </c>
      <c r="H203" s="196">
        <v>0</v>
      </c>
      <c r="I203" s="197">
        <v>10020</v>
      </c>
      <c r="J203" s="197">
        <v>10020</v>
      </c>
      <c r="K203" s="197">
        <v>0</v>
      </c>
      <c r="L203" s="197">
        <v>10</v>
      </c>
      <c r="M203" s="260" t="s">
        <v>239</v>
      </c>
      <c r="N203" s="260" t="s">
        <v>514</v>
      </c>
    </row>
    <row r="204" spans="1:14" ht="14.5" x14ac:dyDescent="0.35">
      <c r="A204" s="260" t="s">
        <v>563</v>
      </c>
      <c r="B204" s="190">
        <v>45723</v>
      </c>
      <c r="C204" s="260" t="s">
        <v>754</v>
      </c>
      <c r="D204" s="197">
        <v>100</v>
      </c>
      <c r="E204" s="197">
        <v>8008</v>
      </c>
      <c r="F204" s="197">
        <v>77.400000000000006</v>
      </c>
      <c r="G204" s="190">
        <v>45723</v>
      </c>
      <c r="H204" s="196">
        <v>0</v>
      </c>
      <c r="I204" s="197">
        <v>7740.0000000000009</v>
      </c>
      <c r="J204" s="197">
        <v>7740.0000000000009</v>
      </c>
      <c r="K204" s="197">
        <v>0</v>
      </c>
      <c r="L204" s="197">
        <v>-267.99999999999909</v>
      </c>
      <c r="M204" s="260" t="s">
        <v>239</v>
      </c>
      <c r="N204" s="260" t="s">
        <v>514</v>
      </c>
    </row>
    <row r="205" spans="1:14" ht="14.5" x14ac:dyDescent="0.35">
      <c r="A205" s="260" t="s">
        <v>563</v>
      </c>
      <c r="B205" s="190">
        <v>45724</v>
      </c>
      <c r="C205" s="260" t="s">
        <v>749</v>
      </c>
      <c r="D205" s="197">
        <v>150</v>
      </c>
      <c r="E205" s="197">
        <v>14915</v>
      </c>
      <c r="F205" s="197">
        <v>98.8</v>
      </c>
      <c r="G205" s="190">
        <v>45723</v>
      </c>
      <c r="H205" s="196">
        <v>1</v>
      </c>
      <c r="I205" s="197">
        <v>14820</v>
      </c>
      <c r="J205" s="197">
        <v>14820</v>
      </c>
      <c r="K205" s="197">
        <v>0</v>
      </c>
      <c r="L205" s="197">
        <v>-95</v>
      </c>
      <c r="M205" s="260" t="s">
        <v>239</v>
      </c>
      <c r="N205" s="260" t="s">
        <v>514</v>
      </c>
    </row>
    <row r="206" spans="1:14" ht="14.5" x14ac:dyDescent="0.35">
      <c r="A206" s="260" t="s">
        <v>563</v>
      </c>
      <c r="B206" s="190">
        <v>45724</v>
      </c>
      <c r="C206" s="260" t="s">
        <v>752</v>
      </c>
      <c r="D206" s="197">
        <v>50</v>
      </c>
      <c r="E206" s="197">
        <v>10010</v>
      </c>
      <c r="F206" s="197">
        <v>200.4</v>
      </c>
      <c r="G206" s="190">
        <v>45723</v>
      </c>
      <c r="H206" s="196">
        <v>1</v>
      </c>
      <c r="I206" s="197">
        <v>10020</v>
      </c>
      <c r="J206" s="197">
        <v>10020</v>
      </c>
      <c r="K206" s="197">
        <v>0</v>
      </c>
      <c r="L206" s="197">
        <v>10</v>
      </c>
      <c r="M206" s="260" t="s">
        <v>239</v>
      </c>
      <c r="N206" s="260" t="s">
        <v>514</v>
      </c>
    </row>
    <row r="207" spans="1:14" ht="14.5" x14ac:dyDescent="0.35">
      <c r="A207" s="260" t="s">
        <v>563</v>
      </c>
      <c r="B207" s="190">
        <v>45724</v>
      </c>
      <c r="C207" s="260" t="s">
        <v>754</v>
      </c>
      <c r="D207" s="197">
        <v>100</v>
      </c>
      <c r="E207" s="197">
        <v>8008</v>
      </c>
      <c r="F207" s="197">
        <v>77.400000000000006</v>
      </c>
      <c r="G207" s="190">
        <v>45723</v>
      </c>
      <c r="H207" s="196">
        <v>1</v>
      </c>
      <c r="I207" s="197">
        <v>7740.0000000000009</v>
      </c>
      <c r="J207" s="197">
        <v>7740.0000000000009</v>
      </c>
      <c r="K207" s="197">
        <v>0</v>
      </c>
      <c r="L207" s="197">
        <v>-267.99999999999909</v>
      </c>
      <c r="M207" s="260" t="s">
        <v>239</v>
      </c>
      <c r="N207" s="260" t="s">
        <v>514</v>
      </c>
    </row>
    <row r="208" spans="1:14" ht="14.5" x14ac:dyDescent="0.35">
      <c r="A208" s="260" t="s">
        <v>563</v>
      </c>
      <c r="B208" s="190">
        <v>45725</v>
      </c>
      <c r="C208" s="260" t="s">
        <v>749</v>
      </c>
      <c r="D208" s="197">
        <v>150</v>
      </c>
      <c r="E208" s="197">
        <v>14915</v>
      </c>
      <c r="F208" s="197">
        <v>98.8</v>
      </c>
      <c r="G208" s="190">
        <v>45723</v>
      </c>
      <c r="H208" s="196">
        <v>2</v>
      </c>
      <c r="I208" s="197">
        <v>14820</v>
      </c>
      <c r="J208" s="197">
        <v>14820</v>
      </c>
      <c r="K208" s="197">
        <v>0</v>
      </c>
      <c r="L208" s="197">
        <v>-95</v>
      </c>
      <c r="M208" s="260" t="s">
        <v>239</v>
      </c>
      <c r="N208" s="260" t="s">
        <v>514</v>
      </c>
    </row>
    <row r="209" spans="1:14" ht="14.5" x14ac:dyDescent="0.35">
      <c r="A209" s="260" t="s">
        <v>563</v>
      </c>
      <c r="B209" s="190">
        <v>45725</v>
      </c>
      <c r="C209" s="260" t="s">
        <v>752</v>
      </c>
      <c r="D209" s="197">
        <v>50</v>
      </c>
      <c r="E209" s="197">
        <v>10010</v>
      </c>
      <c r="F209" s="197">
        <v>200.4</v>
      </c>
      <c r="G209" s="190">
        <v>45723</v>
      </c>
      <c r="H209" s="196">
        <v>2</v>
      </c>
      <c r="I209" s="197">
        <v>10020</v>
      </c>
      <c r="J209" s="197">
        <v>10020</v>
      </c>
      <c r="K209" s="197">
        <v>0</v>
      </c>
      <c r="L209" s="197">
        <v>10</v>
      </c>
      <c r="M209" s="260" t="s">
        <v>239</v>
      </c>
      <c r="N209" s="260" t="s">
        <v>514</v>
      </c>
    </row>
    <row r="210" spans="1:14" ht="14.5" x14ac:dyDescent="0.35">
      <c r="A210" s="260" t="s">
        <v>563</v>
      </c>
      <c r="B210" s="190">
        <v>45725</v>
      </c>
      <c r="C210" s="260" t="s">
        <v>754</v>
      </c>
      <c r="D210" s="197">
        <v>100</v>
      </c>
      <c r="E210" s="197">
        <v>8008</v>
      </c>
      <c r="F210" s="197">
        <v>77.400000000000006</v>
      </c>
      <c r="G210" s="190">
        <v>45723</v>
      </c>
      <c r="H210" s="196">
        <v>2</v>
      </c>
      <c r="I210" s="197">
        <v>7740.0000000000009</v>
      </c>
      <c r="J210" s="197">
        <v>7740.0000000000009</v>
      </c>
      <c r="K210" s="197">
        <v>0</v>
      </c>
      <c r="L210" s="197">
        <v>-267.99999999999909</v>
      </c>
      <c r="M210" s="260" t="s">
        <v>239</v>
      </c>
      <c r="N210" s="260" t="s">
        <v>514</v>
      </c>
    </row>
    <row r="211" spans="1:14" ht="14.5" x14ac:dyDescent="0.35">
      <c r="A211" s="260" t="s">
        <v>563</v>
      </c>
      <c r="B211" s="190">
        <v>45726</v>
      </c>
      <c r="C211" s="260" t="s">
        <v>749</v>
      </c>
      <c r="D211" s="197">
        <v>150</v>
      </c>
      <c r="E211" s="197">
        <v>14915</v>
      </c>
      <c r="F211" s="197">
        <v>99.7</v>
      </c>
      <c r="G211" s="190">
        <v>45726</v>
      </c>
      <c r="H211" s="196">
        <v>0</v>
      </c>
      <c r="I211" s="197">
        <v>14955</v>
      </c>
      <c r="J211" s="197">
        <v>14955</v>
      </c>
      <c r="K211" s="197">
        <v>0</v>
      </c>
      <c r="L211" s="197">
        <v>40</v>
      </c>
      <c r="M211" s="260" t="s">
        <v>239</v>
      </c>
      <c r="N211" s="260" t="s">
        <v>514</v>
      </c>
    </row>
    <row r="212" spans="1:14" ht="14.5" x14ac:dyDescent="0.35">
      <c r="A212" s="260" t="s">
        <v>563</v>
      </c>
      <c r="B212" s="190">
        <v>45726</v>
      </c>
      <c r="C212" s="260" t="s">
        <v>752</v>
      </c>
      <c r="D212" s="197">
        <v>50</v>
      </c>
      <c r="E212" s="197">
        <v>10010</v>
      </c>
      <c r="F212" s="197">
        <v>200.1</v>
      </c>
      <c r="G212" s="190">
        <v>45726</v>
      </c>
      <c r="H212" s="196">
        <v>0</v>
      </c>
      <c r="I212" s="197">
        <v>10005</v>
      </c>
      <c r="J212" s="197">
        <v>10005</v>
      </c>
      <c r="K212" s="197">
        <v>0</v>
      </c>
      <c r="L212" s="197">
        <v>-5</v>
      </c>
      <c r="M212" s="260" t="s">
        <v>239</v>
      </c>
      <c r="N212" s="260" t="s">
        <v>514</v>
      </c>
    </row>
    <row r="213" spans="1:14" ht="14.5" x14ac:dyDescent="0.35">
      <c r="A213" s="260" t="s">
        <v>563</v>
      </c>
      <c r="B213" s="190">
        <v>45726</v>
      </c>
      <c r="C213" s="260" t="s">
        <v>754</v>
      </c>
      <c r="D213" s="197">
        <v>100</v>
      </c>
      <c r="E213" s="197">
        <v>8008</v>
      </c>
      <c r="F213" s="197">
        <v>77.099999999999994</v>
      </c>
      <c r="G213" s="190">
        <v>45726</v>
      </c>
      <c r="H213" s="196">
        <v>0</v>
      </c>
      <c r="I213" s="197">
        <v>7709.9999999999991</v>
      </c>
      <c r="J213" s="197">
        <v>7709.9999999999991</v>
      </c>
      <c r="K213" s="197">
        <v>0</v>
      </c>
      <c r="L213" s="197">
        <v>-298.00000000000091</v>
      </c>
      <c r="M213" s="260" t="s">
        <v>239</v>
      </c>
      <c r="N213" s="260" t="s">
        <v>514</v>
      </c>
    </row>
    <row r="214" spans="1:14" ht="14.5" x14ac:dyDescent="0.35">
      <c r="A214" s="260" t="s">
        <v>563</v>
      </c>
      <c r="B214" s="190">
        <v>45727</v>
      </c>
      <c r="C214" s="260" t="s">
        <v>749</v>
      </c>
      <c r="D214" s="197">
        <v>150</v>
      </c>
      <c r="E214" s="197">
        <v>14915</v>
      </c>
      <c r="F214" s="197">
        <v>100</v>
      </c>
      <c r="G214" s="190">
        <v>45727</v>
      </c>
      <c r="H214" s="196">
        <v>0</v>
      </c>
      <c r="I214" s="197">
        <v>15000</v>
      </c>
      <c r="J214" s="197">
        <v>15000</v>
      </c>
      <c r="K214" s="197">
        <v>0</v>
      </c>
      <c r="L214" s="197">
        <v>85</v>
      </c>
      <c r="M214" s="260" t="s">
        <v>239</v>
      </c>
      <c r="N214" s="260" t="s">
        <v>514</v>
      </c>
    </row>
    <row r="215" spans="1:14" ht="14.5" x14ac:dyDescent="0.35">
      <c r="A215" s="260" t="s">
        <v>563</v>
      </c>
      <c r="B215" s="190">
        <v>45727</v>
      </c>
      <c r="C215" s="260" t="s">
        <v>752</v>
      </c>
      <c r="D215" s="197">
        <v>50</v>
      </c>
      <c r="E215" s="197">
        <v>10010</v>
      </c>
      <c r="F215" s="197">
        <v>200</v>
      </c>
      <c r="G215" s="190">
        <v>45727</v>
      </c>
      <c r="H215" s="196">
        <v>0</v>
      </c>
      <c r="I215" s="197">
        <v>10000</v>
      </c>
      <c r="J215" s="197">
        <v>10000</v>
      </c>
      <c r="K215" s="197">
        <v>0</v>
      </c>
      <c r="L215" s="197">
        <v>-10</v>
      </c>
      <c r="M215" s="260" t="s">
        <v>239</v>
      </c>
      <c r="N215" s="260" t="s">
        <v>514</v>
      </c>
    </row>
    <row r="216" spans="1:14" ht="14.5" x14ac:dyDescent="0.35">
      <c r="A216" s="260" t="s">
        <v>563</v>
      </c>
      <c r="B216" s="190">
        <v>45727</v>
      </c>
      <c r="C216" s="260" t="s">
        <v>754</v>
      </c>
      <c r="D216" s="197">
        <v>100</v>
      </c>
      <c r="E216" s="197">
        <v>8008</v>
      </c>
      <c r="F216" s="197">
        <v>77</v>
      </c>
      <c r="G216" s="190">
        <v>45727</v>
      </c>
      <c r="H216" s="196">
        <v>0</v>
      </c>
      <c r="I216" s="197">
        <v>7700</v>
      </c>
      <c r="J216" s="197">
        <v>7700</v>
      </c>
      <c r="K216" s="197">
        <v>0</v>
      </c>
      <c r="L216" s="197">
        <v>-308</v>
      </c>
      <c r="M216" s="260" t="s">
        <v>239</v>
      </c>
      <c r="N216" s="260" t="s">
        <v>514</v>
      </c>
    </row>
    <row r="217" spans="1:14" ht="14.5" x14ac:dyDescent="0.35">
      <c r="A217" s="260" t="s">
        <v>563</v>
      </c>
      <c r="B217" s="190">
        <v>45728</v>
      </c>
      <c r="C217" s="260" t="s">
        <v>749</v>
      </c>
      <c r="D217" s="197">
        <v>150</v>
      </c>
      <c r="E217" s="197">
        <v>14915</v>
      </c>
      <c r="F217" s="197">
        <v>100.3</v>
      </c>
      <c r="G217" s="190">
        <v>45728</v>
      </c>
      <c r="H217" s="196">
        <v>0</v>
      </c>
      <c r="I217" s="197">
        <v>15045</v>
      </c>
      <c r="J217" s="197">
        <v>15045</v>
      </c>
      <c r="K217" s="197">
        <v>0</v>
      </c>
      <c r="L217" s="197">
        <v>130</v>
      </c>
      <c r="M217" s="260" t="s">
        <v>239</v>
      </c>
      <c r="N217" s="260" t="s">
        <v>514</v>
      </c>
    </row>
    <row r="218" spans="1:14" ht="14.5" x14ac:dyDescent="0.35">
      <c r="A218" s="260" t="s">
        <v>563</v>
      </c>
      <c r="B218" s="190">
        <v>45728</v>
      </c>
      <c r="C218" s="260" t="s">
        <v>752</v>
      </c>
      <c r="D218" s="197">
        <v>50</v>
      </c>
      <c r="E218" s="197">
        <v>10010</v>
      </c>
      <c r="F218" s="197">
        <v>199.9</v>
      </c>
      <c r="G218" s="190">
        <v>45728</v>
      </c>
      <c r="H218" s="196">
        <v>0</v>
      </c>
      <c r="I218" s="197">
        <v>9995</v>
      </c>
      <c r="J218" s="197">
        <v>9995</v>
      </c>
      <c r="K218" s="197">
        <v>0</v>
      </c>
      <c r="L218" s="197">
        <v>-15</v>
      </c>
      <c r="M218" s="260" t="s">
        <v>239</v>
      </c>
      <c r="N218" s="260" t="s">
        <v>514</v>
      </c>
    </row>
    <row r="219" spans="1:14" ht="14.5" x14ac:dyDescent="0.35">
      <c r="A219" s="260" t="s">
        <v>563</v>
      </c>
      <c r="B219" s="190">
        <v>45728</v>
      </c>
      <c r="C219" s="260" t="s">
        <v>754</v>
      </c>
      <c r="D219" s="197">
        <v>100</v>
      </c>
      <c r="E219" s="197">
        <v>8008</v>
      </c>
      <c r="F219" s="197">
        <v>76.900000000000006</v>
      </c>
      <c r="G219" s="190">
        <v>45728</v>
      </c>
      <c r="H219" s="196">
        <v>0</v>
      </c>
      <c r="I219" s="197">
        <v>7690.0000000000009</v>
      </c>
      <c r="J219" s="197">
        <v>7690.0000000000009</v>
      </c>
      <c r="K219" s="197">
        <v>0</v>
      </c>
      <c r="L219" s="197">
        <v>-317.99999999999909</v>
      </c>
      <c r="M219" s="260" t="s">
        <v>239</v>
      </c>
      <c r="N219" s="260" t="s">
        <v>514</v>
      </c>
    </row>
    <row r="220" spans="1:14" ht="14.5" x14ac:dyDescent="0.35">
      <c r="A220" s="260" t="s">
        <v>563</v>
      </c>
      <c r="B220" s="190">
        <v>45729</v>
      </c>
      <c r="C220" s="260" t="s">
        <v>749</v>
      </c>
      <c r="D220" s="197">
        <v>150</v>
      </c>
      <c r="E220" s="197">
        <v>14915</v>
      </c>
      <c r="F220" s="197">
        <v>100.6</v>
      </c>
      <c r="G220" s="190">
        <v>45729</v>
      </c>
      <c r="H220" s="196">
        <v>0</v>
      </c>
      <c r="I220" s="197">
        <v>15090</v>
      </c>
      <c r="J220" s="197">
        <v>15090</v>
      </c>
      <c r="K220" s="197">
        <v>0</v>
      </c>
      <c r="L220" s="197">
        <v>175</v>
      </c>
      <c r="M220" s="260" t="s">
        <v>239</v>
      </c>
      <c r="N220" s="260" t="s">
        <v>514</v>
      </c>
    </row>
    <row r="221" spans="1:14" ht="14.5" x14ac:dyDescent="0.35">
      <c r="A221" s="260" t="s">
        <v>563</v>
      </c>
      <c r="B221" s="190">
        <v>45729</v>
      </c>
      <c r="C221" s="260" t="s">
        <v>752</v>
      </c>
      <c r="D221" s="197">
        <v>50</v>
      </c>
      <c r="E221" s="197">
        <v>10010</v>
      </c>
      <c r="F221" s="197">
        <v>199.8</v>
      </c>
      <c r="G221" s="190">
        <v>45729</v>
      </c>
      <c r="H221" s="196">
        <v>0</v>
      </c>
      <c r="I221" s="197">
        <v>9990</v>
      </c>
      <c r="J221" s="197">
        <v>9990</v>
      </c>
      <c r="K221" s="197">
        <v>0</v>
      </c>
      <c r="L221" s="197">
        <v>-20</v>
      </c>
      <c r="M221" s="260" t="s">
        <v>239</v>
      </c>
      <c r="N221" s="260" t="s">
        <v>514</v>
      </c>
    </row>
    <row r="222" spans="1:14" ht="14.5" x14ac:dyDescent="0.35">
      <c r="A222" s="260" t="s">
        <v>563</v>
      </c>
      <c r="B222" s="190">
        <v>45729</v>
      </c>
      <c r="C222" s="260" t="s">
        <v>754</v>
      </c>
      <c r="D222" s="197">
        <v>100</v>
      </c>
      <c r="E222" s="197">
        <v>8008</v>
      </c>
      <c r="F222" s="197">
        <v>76.8</v>
      </c>
      <c r="G222" s="190">
        <v>45729</v>
      </c>
      <c r="H222" s="196">
        <v>0</v>
      </c>
      <c r="I222" s="197">
        <v>7680</v>
      </c>
      <c r="J222" s="197">
        <v>7680</v>
      </c>
      <c r="K222" s="197">
        <v>0</v>
      </c>
      <c r="L222" s="197">
        <v>-328</v>
      </c>
      <c r="M222" s="260" t="s">
        <v>239</v>
      </c>
      <c r="N222" s="260" t="s">
        <v>514</v>
      </c>
    </row>
    <row r="223" spans="1:14" ht="14.5" x14ac:dyDescent="0.35">
      <c r="A223" s="260" t="s">
        <v>563</v>
      </c>
      <c r="B223" s="190">
        <v>45730</v>
      </c>
      <c r="C223" s="260" t="s">
        <v>749</v>
      </c>
      <c r="D223" s="197">
        <v>150</v>
      </c>
      <c r="E223" s="197">
        <v>14915</v>
      </c>
      <c r="F223" s="197">
        <v>100.9</v>
      </c>
      <c r="G223" s="190">
        <v>45730</v>
      </c>
      <c r="H223" s="196">
        <v>0</v>
      </c>
      <c r="I223" s="197">
        <v>15135</v>
      </c>
      <c r="J223" s="197">
        <v>15135</v>
      </c>
      <c r="K223" s="197">
        <v>0</v>
      </c>
      <c r="L223" s="197">
        <v>220</v>
      </c>
      <c r="M223" s="260" t="s">
        <v>239</v>
      </c>
      <c r="N223" s="260" t="s">
        <v>514</v>
      </c>
    </row>
    <row r="224" spans="1:14" ht="14.5" x14ac:dyDescent="0.35">
      <c r="A224" s="260" t="s">
        <v>563</v>
      </c>
      <c r="B224" s="190">
        <v>45730</v>
      </c>
      <c r="C224" s="260" t="s">
        <v>752</v>
      </c>
      <c r="D224" s="197">
        <v>50</v>
      </c>
      <c r="E224" s="197">
        <v>10010</v>
      </c>
      <c r="F224" s="197">
        <v>199.7</v>
      </c>
      <c r="G224" s="190">
        <v>45730</v>
      </c>
      <c r="H224" s="196">
        <v>0</v>
      </c>
      <c r="I224" s="197">
        <v>9985</v>
      </c>
      <c r="J224" s="197">
        <v>9985</v>
      </c>
      <c r="K224" s="197">
        <v>0</v>
      </c>
      <c r="L224" s="197">
        <v>-25</v>
      </c>
      <c r="M224" s="260" t="s">
        <v>239</v>
      </c>
      <c r="N224" s="260" t="s">
        <v>514</v>
      </c>
    </row>
    <row r="225" spans="1:14" ht="14.5" x14ac:dyDescent="0.35">
      <c r="A225" s="260" t="s">
        <v>563</v>
      </c>
      <c r="B225" s="190">
        <v>45730</v>
      </c>
      <c r="C225" s="260" t="s">
        <v>754</v>
      </c>
      <c r="D225" s="197">
        <v>100</v>
      </c>
      <c r="E225" s="197">
        <v>8008</v>
      </c>
      <c r="F225" s="197">
        <v>76.7</v>
      </c>
      <c r="G225" s="190">
        <v>45730</v>
      </c>
      <c r="H225" s="196">
        <v>0</v>
      </c>
      <c r="I225" s="197">
        <v>7670</v>
      </c>
      <c r="J225" s="197">
        <v>7670</v>
      </c>
      <c r="K225" s="197">
        <v>0</v>
      </c>
      <c r="L225" s="197">
        <v>-338</v>
      </c>
      <c r="M225" s="260" t="s">
        <v>239</v>
      </c>
      <c r="N225" s="260" t="s">
        <v>514</v>
      </c>
    </row>
    <row r="226" spans="1:14" ht="14.5" x14ac:dyDescent="0.35">
      <c r="A226" s="260" t="s">
        <v>563</v>
      </c>
      <c r="B226" s="190">
        <v>45731</v>
      </c>
      <c r="C226" s="260" t="s">
        <v>749</v>
      </c>
      <c r="D226" s="197">
        <v>150</v>
      </c>
      <c r="E226" s="197">
        <v>14915</v>
      </c>
      <c r="F226" s="197">
        <v>100.9</v>
      </c>
      <c r="G226" s="190">
        <v>45730</v>
      </c>
      <c r="H226" s="196">
        <v>1</v>
      </c>
      <c r="I226" s="197">
        <v>15135</v>
      </c>
      <c r="J226" s="197">
        <v>15135</v>
      </c>
      <c r="K226" s="197">
        <v>0</v>
      </c>
      <c r="L226" s="197">
        <v>220</v>
      </c>
      <c r="M226" s="260" t="s">
        <v>239</v>
      </c>
      <c r="N226" s="260" t="s">
        <v>514</v>
      </c>
    </row>
    <row r="227" spans="1:14" ht="14.5" x14ac:dyDescent="0.35">
      <c r="A227" s="260" t="s">
        <v>563</v>
      </c>
      <c r="B227" s="190">
        <v>45731</v>
      </c>
      <c r="C227" s="260" t="s">
        <v>752</v>
      </c>
      <c r="D227" s="197">
        <v>50</v>
      </c>
      <c r="E227" s="197">
        <v>10010</v>
      </c>
      <c r="F227" s="197">
        <v>199.7</v>
      </c>
      <c r="G227" s="190">
        <v>45730</v>
      </c>
      <c r="H227" s="196">
        <v>1</v>
      </c>
      <c r="I227" s="197">
        <v>9985</v>
      </c>
      <c r="J227" s="197">
        <v>9985</v>
      </c>
      <c r="K227" s="197">
        <v>0</v>
      </c>
      <c r="L227" s="197">
        <v>-25</v>
      </c>
      <c r="M227" s="260" t="s">
        <v>239</v>
      </c>
      <c r="N227" s="260" t="s">
        <v>514</v>
      </c>
    </row>
    <row r="228" spans="1:14" ht="14.5" x14ac:dyDescent="0.35">
      <c r="A228" s="260" t="s">
        <v>563</v>
      </c>
      <c r="B228" s="190">
        <v>45731</v>
      </c>
      <c r="C228" s="260" t="s">
        <v>754</v>
      </c>
      <c r="D228" s="197">
        <v>100</v>
      </c>
      <c r="E228" s="197">
        <v>8008</v>
      </c>
      <c r="F228" s="197">
        <v>76.7</v>
      </c>
      <c r="G228" s="190">
        <v>45730</v>
      </c>
      <c r="H228" s="196">
        <v>1</v>
      </c>
      <c r="I228" s="197">
        <v>7670</v>
      </c>
      <c r="J228" s="197">
        <v>7670</v>
      </c>
      <c r="K228" s="197">
        <v>0</v>
      </c>
      <c r="L228" s="197">
        <v>-338</v>
      </c>
      <c r="M228" s="260" t="s">
        <v>239</v>
      </c>
      <c r="N228" s="260" t="s">
        <v>514</v>
      </c>
    </row>
    <row r="229" spans="1:14" ht="14.5" x14ac:dyDescent="0.35">
      <c r="A229" s="260" t="s">
        <v>563</v>
      </c>
      <c r="B229" s="190">
        <v>45732</v>
      </c>
      <c r="C229" s="260" t="s">
        <v>749</v>
      </c>
      <c r="D229" s="197">
        <v>150</v>
      </c>
      <c r="E229" s="197">
        <v>14915</v>
      </c>
      <c r="F229" s="197">
        <v>100.9</v>
      </c>
      <c r="G229" s="190">
        <v>45730</v>
      </c>
      <c r="H229" s="196">
        <v>2</v>
      </c>
      <c r="I229" s="197">
        <v>15135</v>
      </c>
      <c r="J229" s="197">
        <v>15135</v>
      </c>
      <c r="K229" s="197">
        <v>0</v>
      </c>
      <c r="L229" s="197">
        <v>220</v>
      </c>
      <c r="M229" s="260" t="s">
        <v>239</v>
      </c>
      <c r="N229" s="260" t="s">
        <v>514</v>
      </c>
    </row>
    <row r="230" spans="1:14" ht="14.5" x14ac:dyDescent="0.35">
      <c r="A230" s="260" t="s">
        <v>563</v>
      </c>
      <c r="B230" s="190">
        <v>45732</v>
      </c>
      <c r="C230" s="260" t="s">
        <v>752</v>
      </c>
      <c r="D230" s="197">
        <v>50</v>
      </c>
      <c r="E230" s="197">
        <v>10010</v>
      </c>
      <c r="F230" s="197">
        <v>199.7</v>
      </c>
      <c r="G230" s="190">
        <v>45730</v>
      </c>
      <c r="H230" s="196">
        <v>2</v>
      </c>
      <c r="I230" s="197">
        <v>9985</v>
      </c>
      <c r="J230" s="197">
        <v>9985</v>
      </c>
      <c r="K230" s="197">
        <v>0</v>
      </c>
      <c r="L230" s="197">
        <v>-25</v>
      </c>
      <c r="M230" s="260" t="s">
        <v>239</v>
      </c>
      <c r="N230" s="260" t="s">
        <v>514</v>
      </c>
    </row>
    <row r="231" spans="1:14" ht="14.5" x14ac:dyDescent="0.35">
      <c r="A231" s="260" t="s">
        <v>563</v>
      </c>
      <c r="B231" s="190">
        <v>45732</v>
      </c>
      <c r="C231" s="260" t="s">
        <v>754</v>
      </c>
      <c r="D231" s="197">
        <v>100</v>
      </c>
      <c r="E231" s="197">
        <v>8008</v>
      </c>
      <c r="F231" s="197">
        <v>76.7</v>
      </c>
      <c r="G231" s="190">
        <v>45730</v>
      </c>
      <c r="H231" s="196">
        <v>2</v>
      </c>
      <c r="I231" s="197">
        <v>7670</v>
      </c>
      <c r="J231" s="197">
        <v>7670</v>
      </c>
      <c r="K231" s="197">
        <v>0</v>
      </c>
      <c r="L231" s="197">
        <v>-338</v>
      </c>
      <c r="M231" s="260" t="s">
        <v>239</v>
      </c>
      <c r="N231" s="260" t="s">
        <v>514</v>
      </c>
    </row>
    <row r="232" spans="1:14" ht="14.5" x14ac:dyDescent="0.35">
      <c r="A232" s="260" t="s">
        <v>563</v>
      </c>
      <c r="B232" s="190">
        <v>45733</v>
      </c>
      <c r="C232" s="260" t="s">
        <v>749</v>
      </c>
      <c r="D232" s="197">
        <v>150</v>
      </c>
      <c r="E232" s="197">
        <v>14915</v>
      </c>
      <c r="F232" s="197">
        <v>101.8</v>
      </c>
      <c r="G232" s="190">
        <v>45733</v>
      </c>
      <c r="H232" s="196">
        <v>0</v>
      </c>
      <c r="I232" s="197">
        <v>15270</v>
      </c>
      <c r="J232" s="197">
        <v>15270</v>
      </c>
      <c r="K232" s="197">
        <v>0</v>
      </c>
      <c r="L232" s="197">
        <v>355</v>
      </c>
      <c r="M232" s="260" t="s">
        <v>239</v>
      </c>
      <c r="N232" s="260" t="s">
        <v>514</v>
      </c>
    </row>
    <row r="233" spans="1:14" ht="14.5" x14ac:dyDescent="0.35">
      <c r="A233" s="260" t="s">
        <v>563</v>
      </c>
      <c r="B233" s="190">
        <v>45733</v>
      </c>
      <c r="C233" s="260" t="s">
        <v>752</v>
      </c>
      <c r="D233" s="197">
        <v>50</v>
      </c>
      <c r="E233" s="197">
        <v>10010</v>
      </c>
      <c r="F233" s="197">
        <v>199.4</v>
      </c>
      <c r="G233" s="190">
        <v>45733</v>
      </c>
      <c r="H233" s="196">
        <v>0</v>
      </c>
      <c r="I233" s="197">
        <v>9970</v>
      </c>
      <c r="J233" s="197">
        <v>9970</v>
      </c>
      <c r="K233" s="197">
        <v>0</v>
      </c>
      <c r="L233" s="197">
        <v>-40</v>
      </c>
      <c r="M233" s="260" t="s">
        <v>239</v>
      </c>
      <c r="N233" s="260" t="s">
        <v>514</v>
      </c>
    </row>
    <row r="234" spans="1:14" ht="14.5" x14ac:dyDescent="0.35">
      <c r="A234" s="260" t="s">
        <v>563</v>
      </c>
      <c r="B234" s="190">
        <v>45733</v>
      </c>
      <c r="C234" s="260" t="s">
        <v>754</v>
      </c>
      <c r="D234" s="197">
        <v>100</v>
      </c>
      <c r="E234" s="197">
        <v>8008</v>
      </c>
      <c r="F234" s="197">
        <v>76.400000000000006</v>
      </c>
      <c r="G234" s="190">
        <v>45733</v>
      </c>
      <c r="H234" s="196">
        <v>0</v>
      </c>
      <c r="I234" s="197">
        <v>7640.0000000000009</v>
      </c>
      <c r="J234" s="197">
        <v>7640.0000000000009</v>
      </c>
      <c r="K234" s="197">
        <v>0</v>
      </c>
      <c r="L234" s="197">
        <v>-367.99999999999909</v>
      </c>
      <c r="M234" s="260" t="s">
        <v>239</v>
      </c>
      <c r="N234" s="260" t="s">
        <v>514</v>
      </c>
    </row>
    <row r="235" spans="1:14" ht="14.5" x14ac:dyDescent="0.35">
      <c r="A235" s="260" t="s">
        <v>563</v>
      </c>
      <c r="B235" s="190">
        <v>45734</v>
      </c>
      <c r="C235" s="260" t="s">
        <v>749</v>
      </c>
      <c r="D235" s="197">
        <v>150</v>
      </c>
      <c r="E235" s="197">
        <v>14915</v>
      </c>
      <c r="F235" s="197">
        <v>102.1</v>
      </c>
      <c r="G235" s="190">
        <v>45734</v>
      </c>
      <c r="H235" s="196">
        <v>0</v>
      </c>
      <c r="I235" s="197">
        <v>15315</v>
      </c>
      <c r="J235" s="197">
        <v>15315</v>
      </c>
      <c r="K235" s="197">
        <v>0</v>
      </c>
      <c r="L235" s="197">
        <v>400</v>
      </c>
      <c r="M235" s="260" t="s">
        <v>239</v>
      </c>
      <c r="N235" s="260" t="s">
        <v>514</v>
      </c>
    </row>
    <row r="236" spans="1:14" ht="14.5" x14ac:dyDescent="0.35">
      <c r="A236" s="260" t="s">
        <v>563</v>
      </c>
      <c r="B236" s="190">
        <v>45734</v>
      </c>
      <c r="C236" s="260" t="s">
        <v>752</v>
      </c>
      <c r="D236" s="197">
        <v>50</v>
      </c>
      <c r="E236" s="197">
        <v>10010</v>
      </c>
      <c r="F236" s="197">
        <v>199.3</v>
      </c>
      <c r="G236" s="190">
        <v>45734</v>
      </c>
      <c r="H236" s="196">
        <v>0</v>
      </c>
      <c r="I236" s="197">
        <v>9965</v>
      </c>
      <c r="J236" s="197">
        <v>9965</v>
      </c>
      <c r="K236" s="197">
        <v>0</v>
      </c>
      <c r="L236" s="197">
        <v>-45</v>
      </c>
      <c r="M236" s="260" t="s">
        <v>239</v>
      </c>
      <c r="N236" s="260" t="s">
        <v>514</v>
      </c>
    </row>
    <row r="237" spans="1:14" ht="14.5" x14ac:dyDescent="0.35">
      <c r="A237" s="260" t="s">
        <v>563</v>
      </c>
      <c r="B237" s="190">
        <v>45734</v>
      </c>
      <c r="C237" s="260" t="s">
        <v>754</v>
      </c>
      <c r="D237" s="197">
        <v>100</v>
      </c>
      <c r="E237" s="197">
        <v>8008</v>
      </c>
      <c r="F237" s="197">
        <v>76.3</v>
      </c>
      <c r="G237" s="190">
        <v>45734</v>
      </c>
      <c r="H237" s="196">
        <v>0</v>
      </c>
      <c r="I237" s="197">
        <v>7630</v>
      </c>
      <c r="J237" s="197">
        <v>7630</v>
      </c>
      <c r="K237" s="197">
        <v>0</v>
      </c>
      <c r="L237" s="197">
        <v>-378</v>
      </c>
      <c r="M237" s="260" t="s">
        <v>239</v>
      </c>
      <c r="N237" s="260" t="s">
        <v>514</v>
      </c>
    </row>
    <row r="238" spans="1:14" ht="14.5" x14ac:dyDescent="0.35">
      <c r="A238" s="260" t="s">
        <v>563</v>
      </c>
      <c r="B238" s="190">
        <v>45735</v>
      </c>
      <c r="C238" s="260" t="s">
        <v>749</v>
      </c>
      <c r="D238" s="197">
        <v>150</v>
      </c>
      <c r="E238" s="197">
        <v>14915</v>
      </c>
      <c r="F238" s="197">
        <v>102.4</v>
      </c>
      <c r="G238" s="190">
        <v>45735</v>
      </c>
      <c r="H238" s="196">
        <v>0</v>
      </c>
      <c r="I238" s="197">
        <v>15360</v>
      </c>
      <c r="J238" s="197">
        <v>15360</v>
      </c>
      <c r="K238" s="197">
        <v>0</v>
      </c>
      <c r="L238" s="197">
        <v>445</v>
      </c>
      <c r="M238" s="260" t="s">
        <v>239</v>
      </c>
      <c r="N238" s="260" t="s">
        <v>514</v>
      </c>
    </row>
    <row r="239" spans="1:14" ht="14.5" x14ac:dyDescent="0.35">
      <c r="A239" s="260" t="s">
        <v>563</v>
      </c>
      <c r="B239" s="190">
        <v>45735</v>
      </c>
      <c r="C239" s="260" t="s">
        <v>752</v>
      </c>
      <c r="D239" s="197">
        <v>50</v>
      </c>
      <c r="E239" s="197">
        <v>10010</v>
      </c>
      <c r="F239" s="197">
        <v>199.2</v>
      </c>
      <c r="G239" s="190">
        <v>45735</v>
      </c>
      <c r="H239" s="196">
        <v>0</v>
      </c>
      <c r="I239" s="197">
        <v>9960</v>
      </c>
      <c r="J239" s="197">
        <v>9960</v>
      </c>
      <c r="K239" s="197">
        <v>0</v>
      </c>
      <c r="L239" s="197">
        <v>-50</v>
      </c>
      <c r="M239" s="260" t="s">
        <v>239</v>
      </c>
      <c r="N239" s="260" t="s">
        <v>514</v>
      </c>
    </row>
    <row r="240" spans="1:14" ht="14.5" x14ac:dyDescent="0.35">
      <c r="A240" s="260" t="s">
        <v>563</v>
      </c>
      <c r="B240" s="190">
        <v>45735</v>
      </c>
      <c r="C240" s="260" t="s">
        <v>754</v>
      </c>
      <c r="D240" s="197">
        <v>100</v>
      </c>
      <c r="E240" s="197">
        <v>8008</v>
      </c>
      <c r="F240" s="197">
        <v>76.2</v>
      </c>
      <c r="G240" s="190">
        <v>45735</v>
      </c>
      <c r="H240" s="196">
        <v>0</v>
      </c>
      <c r="I240" s="197">
        <v>7620</v>
      </c>
      <c r="J240" s="197">
        <v>7620</v>
      </c>
      <c r="K240" s="197">
        <v>0</v>
      </c>
      <c r="L240" s="197">
        <v>-388</v>
      </c>
      <c r="M240" s="260" t="s">
        <v>239</v>
      </c>
      <c r="N240" s="260" t="s">
        <v>514</v>
      </c>
    </row>
    <row r="241" spans="1:14" ht="14.5" x14ac:dyDescent="0.35">
      <c r="A241" s="260" t="s">
        <v>563</v>
      </c>
      <c r="B241" s="190">
        <v>45736</v>
      </c>
      <c r="C241" s="260" t="s">
        <v>749</v>
      </c>
      <c r="D241" s="197">
        <v>150</v>
      </c>
      <c r="E241" s="197">
        <v>14915</v>
      </c>
      <c r="F241" s="197">
        <v>102.7</v>
      </c>
      <c r="G241" s="190">
        <v>45736</v>
      </c>
      <c r="H241" s="196">
        <v>0</v>
      </c>
      <c r="I241" s="197">
        <v>15405</v>
      </c>
      <c r="J241" s="197">
        <v>15405</v>
      </c>
      <c r="K241" s="197">
        <v>0</v>
      </c>
      <c r="L241" s="197">
        <v>490</v>
      </c>
      <c r="M241" s="260" t="s">
        <v>239</v>
      </c>
      <c r="N241" s="260" t="s">
        <v>514</v>
      </c>
    </row>
    <row r="242" spans="1:14" ht="14.5" x14ac:dyDescent="0.35">
      <c r="A242" s="260" t="s">
        <v>563</v>
      </c>
      <c r="B242" s="190">
        <v>45736</v>
      </c>
      <c r="C242" s="260" t="s">
        <v>752</v>
      </c>
      <c r="D242" s="197">
        <v>50</v>
      </c>
      <c r="E242" s="197">
        <v>10010</v>
      </c>
      <c r="F242" s="197">
        <v>199.1</v>
      </c>
      <c r="G242" s="190">
        <v>45736</v>
      </c>
      <c r="H242" s="196">
        <v>0</v>
      </c>
      <c r="I242" s="197">
        <v>9955</v>
      </c>
      <c r="J242" s="197">
        <v>9955</v>
      </c>
      <c r="K242" s="197">
        <v>0</v>
      </c>
      <c r="L242" s="197">
        <v>-55</v>
      </c>
      <c r="M242" s="260" t="s">
        <v>239</v>
      </c>
      <c r="N242" s="260" t="s">
        <v>514</v>
      </c>
    </row>
    <row r="243" spans="1:14" ht="14.5" x14ac:dyDescent="0.35">
      <c r="A243" s="260" t="s">
        <v>563</v>
      </c>
      <c r="B243" s="190">
        <v>45736</v>
      </c>
      <c r="C243" s="260" t="s">
        <v>754</v>
      </c>
      <c r="D243" s="197">
        <v>100</v>
      </c>
      <c r="E243" s="197">
        <v>8008</v>
      </c>
      <c r="F243" s="197">
        <v>76.099999999999994</v>
      </c>
      <c r="G243" s="190">
        <v>45736</v>
      </c>
      <c r="H243" s="196">
        <v>0</v>
      </c>
      <c r="I243" s="197">
        <v>7609.9999999999991</v>
      </c>
      <c r="J243" s="197">
        <v>7609.9999999999991</v>
      </c>
      <c r="K243" s="197">
        <v>0</v>
      </c>
      <c r="L243" s="197">
        <v>-398.00000000000091</v>
      </c>
      <c r="M243" s="260" t="s">
        <v>239</v>
      </c>
      <c r="N243" s="260" t="s">
        <v>514</v>
      </c>
    </row>
    <row r="244" spans="1:14" ht="14.5" x14ac:dyDescent="0.35">
      <c r="A244" s="260" t="s">
        <v>563</v>
      </c>
      <c r="B244" s="190">
        <v>45737</v>
      </c>
      <c r="C244" s="260" t="s">
        <v>749</v>
      </c>
      <c r="D244" s="197">
        <v>150</v>
      </c>
      <c r="E244" s="197">
        <v>14915</v>
      </c>
      <c r="F244" s="197">
        <v>103</v>
      </c>
      <c r="G244" s="190">
        <v>45737</v>
      </c>
      <c r="H244" s="196">
        <v>0</v>
      </c>
      <c r="I244" s="197">
        <v>15450</v>
      </c>
      <c r="J244" s="197">
        <v>15450</v>
      </c>
      <c r="K244" s="197">
        <v>0</v>
      </c>
      <c r="L244" s="197">
        <v>535</v>
      </c>
      <c r="M244" s="260" t="s">
        <v>239</v>
      </c>
      <c r="N244" s="260" t="s">
        <v>514</v>
      </c>
    </row>
    <row r="245" spans="1:14" ht="14.5" x14ac:dyDescent="0.35">
      <c r="A245" s="260" t="s">
        <v>563</v>
      </c>
      <c r="B245" s="190">
        <v>45737</v>
      </c>
      <c r="C245" s="260" t="s">
        <v>752</v>
      </c>
      <c r="D245" s="197">
        <v>50</v>
      </c>
      <c r="E245" s="197">
        <v>10010</v>
      </c>
      <c r="F245" s="197">
        <v>199</v>
      </c>
      <c r="G245" s="190">
        <v>45737</v>
      </c>
      <c r="H245" s="196">
        <v>0</v>
      </c>
      <c r="I245" s="197">
        <v>9950</v>
      </c>
      <c r="J245" s="197">
        <v>9950</v>
      </c>
      <c r="K245" s="197">
        <v>0</v>
      </c>
      <c r="L245" s="197">
        <v>-60</v>
      </c>
      <c r="M245" s="260" t="s">
        <v>239</v>
      </c>
      <c r="N245" s="260" t="s">
        <v>514</v>
      </c>
    </row>
    <row r="246" spans="1:14" ht="14.5" x14ac:dyDescent="0.35">
      <c r="A246" s="260" t="s">
        <v>563</v>
      </c>
      <c r="B246" s="190">
        <v>45737</v>
      </c>
      <c r="C246" s="260" t="s">
        <v>754</v>
      </c>
      <c r="D246" s="197">
        <v>100</v>
      </c>
      <c r="E246" s="197">
        <v>8008</v>
      </c>
      <c r="F246" s="197">
        <v>76</v>
      </c>
      <c r="G246" s="190">
        <v>45737</v>
      </c>
      <c r="H246" s="196">
        <v>0</v>
      </c>
      <c r="I246" s="197">
        <v>7600</v>
      </c>
      <c r="J246" s="197">
        <v>7600</v>
      </c>
      <c r="K246" s="197">
        <v>0</v>
      </c>
      <c r="L246" s="197">
        <v>-408</v>
      </c>
      <c r="M246" s="260" t="s">
        <v>239</v>
      </c>
      <c r="N246" s="260" t="s">
        <v>514</v>
      </c>
    </row>
    <row r="247" spans="1:14" ht="14.5" x14ac:dyDescent="0.35">
      <c r="A247" s="260" t="s">
        <v>563</v>
      </c>
      <c r="B247" s="190">
        <v>45738</v>
      </c>
      <c r="C247" s="260" t="s">
        <v>749</v>
      </c>
      <c r="D247" s="197">
        <v>150</v>
      </c>
      <c r="E247" s="197">
        <v>14915</v>
      </c>
      <c r="F247" s="197">
        <v>103</v>
      </c>
      <c r="G247" s="190">
        <v>45737</v>
      </c>
      <c r="H247" s="196">
        <v>1</v>
      </c>
      <c r="I247" s="197">
        <v>15450</v>
      </c>
      <c r="J247" s="197">
        <v>15450</v>
      </c>
      <c r="K247" s="197">
        <v>0</v>
      </c>
      <c r="L247" s="197">
        <v>535</v>
      </c>
      <c r="M247" s="260" t="s">
        <v>239</v>
      </c>
      <c r="N247" s="260" t="s">
        <v>514</v>
      </c>
    </row>
    <row r="248" spans="1:14" ht="14.5" x14ac:dyDescent="0.35">
      <c r="A248" s="260" t="s">
        <v>563</v>
      </c>
      <c r="B248" s="190">
        <v>45738</v>
      </c>
      <c r="C248" s="260" t="s">
        <v>752</v>
      </c>
      <c r="D248" s="197">
        <v>50</v>
      </c>
      <c r="E248" s="197">
        <v>10010</v>
      </c>
      <c r="F248" s="197">
        <v>199</v>
      </c>
      <c r="G248" s="190">
        <v>45737</v>
      </c>
      <c r="H248" s="196">
        <v>1</v>
      </c>
      <c r="I248" s="197">
        <v>9950</v>
      </c>
      <c r="J248" s="197">
        <v>9950</v>
      </c>
      <c r="K248" s="197">
        <v>0</v>
      </c>
      <c r="L248" s="197">
        <v>-60</v>
      </c>
      <c r="M248" s="260" t="s">
        <v>239</v>
      </c>
      <c r="N248" s="260" t="s">
        <v>514</v>
      </c>
    </row>
    <row r="249" spans="1:14" ht="14.5" x14ac:dyDescent="0.35">
      <c r="A249" s="260" t="s">
        <v>563</v>
      </c>
      <c r="B249" s="190">
        <v>45738</v>
      </c>
      <c r="C249" s="260" t="s">
        <v>754</v>
      </c>
      <c r="D249" s="197">
        <v>100</v>
      </c>
      <c r="E249" s="197">
        <v>8008</v>
      </c>
      <c r="F249" s="197">
        <v>76</v>
      </c>
      <c r="G249" s="190">
        <v>45737</v>
      </c>
      <c r="H249" s="196">
        <v>1</v>
      </c>
      <c r="I249" s="197">
        <v>7600</v>
      </c>
      <c r="J249" s="197">
        <v>7600</v>
      </c>
      <c r="K249" s="197">
        <v>0</v>
      </c>
      <c r="L249" s="197">
        <v>-408</v>
      </c>
      <c r="M249" s="260" t="s">
        <v>239</v>
      </c>
      <c r="N249" s="260" t="s">
        <v>514</v>
      </c>
    </row>
    <row r="250" spans="1:14" ht="14.5" x14ac:dyDescent="0.35">
      <c r="A250" s="260" t="s">
        <v>563</v>
      </c>
      <c r="B250" s="190">
        <v>45739</v>
      </c>
      <c r="C250" s="260" t="s">
        <v>749</v>
      </c>
      <c r="D250" s="197">
        <v>150</v>
      </c>
      <c r="E250" s="197">
        <v>14915</v>
      </c>
      <c r="F250" s="197">
        <v>103</v>
      </c>
      <c r="G250" s="190">
        <v>45737</v>
      </c>
      <c r="H250" s="196">
        <v>2</v>
      </c>
      <c r="I250" s="197">
        <v>15450</v>
      </c>
      <c r="J250" s="197">
        <v>15450</v>
      </c>
      <c r="K250" s="197">
        <v>0</v>
      </c>
      <c r="L250" s="197">
        <v>535</v>
      </c>
      <c r="M250" s="260" t="s">
        <v>239</v>
      </c>
      <c r="N250" s="260" t="s">
        <v>514</v>
      </c>
    </row>
    <row r="251" spans="1:14" ht="14.5" x14ac:dyDescent="0.35">
      <c r="A251" s="260" t="s">
        <v>563</v>
      </c>
      <c r="B251" s="190">
        <v>45739</v>
      </c>
      <c r="C251" s="260" t="s">
        <v>752</v>
      </c>
      <c r="D251" s="197">
        <v>50</v>
      </c>
      <c r="E251" s="197">
        <v>10010</v>
      </c>
      <c r="F251" s="197">
        <v>199</v>
      </c>
      <c r="G251" s="190">
        <v>45737</v>
      </c>
      <c r="H251" s="196">
        <v>2</v>
      </c>
      <c r="I251" s="197">
        <v>9950</v>
      </c>
      <c r="J251" s="197">
        <v>9950</v>
      </c>
      <c r="K251" s="197">
        <v>0</v>
      </c>
      <c r="L251" s="197">
        <v>-60</v>
      </c>
      <c r="M251" s="260" t="s">
        <v>239</v>
      </c>
      <c r="N251" s="260" t="s">
        <v>514</v>
      </c>
    </row>
    <row r="252" spans="1:14" ht="14.5" x14ac:dyDescent="0.35">
      <c r="A252" s="260" t="s">
        <v>563</v>
      </c>
      <c r="B252" s="190">
        <v>45739</v>
      </c>
      <c r="C252" s="260" t="s">
        <v>754</v>
      </c>
      <c r="D252" s="197">
        <v>100</v>
      </c>
      <c r="E252" s="197">
        <v>8008</v>
      </c>
      <c r="F252" s="197">
        <v>76</v>
      </c>
      <c r="G252" s="190">
        <v>45737</v>
      </c>
      <c r="H252" s="196">
        <v>2</v>
      </c>
      <c r="I252" s="197">
        <v>7600</v>
      </c>
      <c r="J252" s="197">
        <v>7600</v>
      </c>
      <c r="K252" s="197">
        <v>0</v>
      </c>
      <c r="L252" s="197">
        <v>-408</v>
      </c>
      <c r="M252" s="260" t="s">
        <v>239</v>
      </c>
      <c r="N252" s="260" t="s">
        <v>514</v>
      </c>
    </row>
    <row r="253" spans="1:14" ht="14.5" x14ac:dyDescent="0.35">
      <c r="A253" s="260" t="s">
        <v>563</v>
      </c>
      <c r="B253" s="190">
        <v>45740</v>
      </c>
      <c r="C253" s="260" t="s">
        <v>749</v>
      </c>
      <c r="D253" s="197">
        <v>150</v>
      </c>
      <c r="E253" s="197">
        <v>14915</v>
      </c>
      <c r="F253" s="197">
        <v>103.9</v>
      </c>
      <c r="G253" s="190">
        <v>45740</v>
      </c>
      <c r="H253" s="196">
        <v>0</v>
      </c>
      <c r="I253" s="197">
        <v>15585</v>
      </c>
      <c r="J253" s="197">
        <v>15585</v>
      </c>
      <c r="K253" s="197">
        <v>0</v>
      </c>
      <c r="L253" s="197">
        <v>670</v>
      </c>
      <c r="M253" s="260" t="s">
        <v>239</v>
      </c>
      <c r="N253" s="260" t="s">
        <v>514</v>
      </c>
    </row>
    <row r="254" spans="1:14" ht="14.5" x14ac:dyDescent="0.35">
      <c r="A254" s="260" t="s">
        <v>563</v>
      </c>
      <c r="B254" s="190">
        <v>45740</v>
      </c>
      <c r="C254" s="260" t="s">
        <v>752</v>
      </c>
      <c r="D254" s="197">
        <v>50</v>
      </c>
      <c r="E254" s="197">
        <v>10010</v>
      </c>
      <c r="F254" s="197">
        <v>198.7</v>
      </c>
      <c r="G254" s="190">
        <v>45740</v>
      </c>
      <c r="H254" s="196">
        <v>0</v>
      </c>
      <c r="I254" s="197">
        <v>9935</v>
      </c>
      <c r="J254" s="197">
        <v>9935</v>
      </c>
      <c r="K254" s="197">
        <v>0</v>
      </c>
      <c r="L254" s="197">
        <v>-75</v>
      </c>
      <c r="M254" s="260" t="s">
        <v>239</v>
      </c>
      <c r="N254" s="260" t="s">
        <v>514</v>
      </c>
    </row>
    <row r="255" spans="1:14" ht="14.5" x14ac:dyDescent="0.35">
      <c r="A255" s="260" t="s">
        <v>563</v>
      </c>
      <c r="B255" s="190">
        <v>45740</v>
      </c>
      <c r="C255" s="260" t="s">
        <v>754</v>
      </c>
      <c r="D255" s="197">
        <v>100</v>
      </c>
      <c r="E255" s="197">
        <v>8008</v>
      </c>
      <c r="F255" s="197">
        <v>75.7</v>
      </c>
      <c r="G255" s="190">
        <v>45740</v>
      </c>
      <c r="H255" s="196">
        <v>0</v>
      </c>
      <c r="I255" s="197">
        <v>7570</v>
      </c>
      <c r="J255" s="197">
        <v>7570</v>
      </c>
      <c r="K255" s="197">
        <v>0</v>
      </c>
      <c r="L255" s="197">
        <v>-438</v>
      </c>
      <c r="M255" s="260" t="s">
        <v>239</v>
      </c>
      <c r="N255" s="260" t="s">
        <v>514</v>
      </c>
    </row>
    <row r="256" spans="1:14" ht="14.5" x14ac:dyDescent="0.35">
      <c r="A256" s="260" t="s">
        <v>563</v>
      </c>
      <c r="B256" s="190">
        <v>45741</v>
      </c>
      <c r="C256" s="260" t="s">
        <v>749</v>
      </c>
      <c r="D256" s="197">
        <v>150</v>
      </c>
      <c r="E256" s="197">
        <v>14915</v>
      </c>
      <c r="F256" s="197">
        <v>104.2</v>
      </c>
      <c r="G256" s="190">
        <v>45741</v>
      </c>
      <c r="H256" s="196">
        <v>0</v>
      </c>
      <c r="I256" s="197">
        <v>15630</v>
      </c>
      <c r="J256" s="197">
        <v>15630</v>
      </c>
      <c r="K256" s="197">
        <v>0</v>
      </c>
      <c r="L256" s="197">
        <v>715</v>
      </c>
      <c r="M256" s="260" t="s">
        <v>239</v>
      </c>
      <c r="N256" s="260" t="s">
        <v>514</v>
      </c>
    </row>
    <row r="257" spans="1:14" ht="14.5" x14ac:dyDescent="0.35">
      <c r="A257" s="260" t="s">
        <v>563</v>
      </c>
      <c r="B257" s="190">
        <v>45741</v>
      </c>
      <c r="C257" s="260" t="s">
        <v>752</v>
      </c>
      <c r="D257" s="197">
        <v>50</v>
      </c>
      <c r="E257" s="197">
        <v>10010</v>
      </c>
      <c r="F257" s="197">
        <v>198.6</v>
      </c>
      <c r="G257" s="190">
        <v>45741</v>
      </c>
      <c r="H257" s="196">
        <v>0</v>
      </c>
      <c r="I257" s="197">
        <v>9930</v>
      </c>
      <c r="J257" s="197">
        <v>9930</v>
      </c>
      <c r="K257" s="197">
        <v>0</v>
      </c>
      <c r="L257" s="197">
        <v>-80</v>
      </c>
      <c r="M257" s="260" t="s">
        <v>239</v>
      </c>
      <c r="N257" s="260" t="s">
        <v>514</v>
      </c>
    </row>
    <row r="258" spans="1:14" ht="14.5" x14ac:dyDescent="0.35">
      <c r="A258" s="260" t="s">
        <v>563</v>
      </c>
      <c r="B258" s="190">
        <v>45741</v>
      </c>
      <c r="C258" s="260" t="s">
        <v>754</v>
      </c>
      <c r="D258" s="197">
        <v>100</v>
      </c>
      <c r="E258" s="197">
        <v>8008</v>
      </c>
      <c r="F258" s="197">
        <v>75.599999999999994</v>
      </c>
      <c r="G258" s="190">
        <v>45741</v>
      </c>
      <c r="H258" s="196">
        <v>0</v>
      </c>
      <c r="I258" s="197">
        <v>7559.9999999999991</v>
      </c>
      <c r="J258" s="197">
        <v>7559.9999999999991</v>
      </c>
      <c r="K258" s="197">
        <v>0</v>
      </c>
      <c r="L258" s="197">
        <v>-448.00000000000091</v>
      </c>
      <c r="M258" s="260" t="s">
        <v>239</v>
      </c>
      <c r="N258" s="260" t="s">
        <v>514</v>
      </c>
    </row>
    <row r="259" spans="1:14" ht="14.5" x14ac:dyDescent="0.35">
      <c r="A259" s="260" t="s">
        <v>563</v>
      </c>
      <c r="B259" s="190">
        <v>45742</v>
      </c>
      <c r="C259" s="260" t="s">
        <v>749</v>
      </c>
      <c r="D259" s="197">
        <v>150</v>
      </c>
      <c r="E259" s="197">
        <v>14915</v>
      </c>
      <c r="F259" s="197">
        <v>104.5</v>
      </c>
      <c r="G259" s="190">
        <v>45742</v>
      </c>
      <c r="H259" s="196">
        <v>0</v>
      </c>
      <c r="I259" s="197">
        <v>15675</v>
      </c>
      <c r="J259" s="197">
        <v>15675</v>
      </c>
      <c r="K259" s="197">
        <v>0</v>
      </c>
      <c r="L259" s="197">
        <v>760</v>
      </c>
      <c r="M259" s="260" t="s">
        <v>239</v>
      </c>
      <c r="N259" s="260" t="s">
        <v>514</v>
      </c>
    </row>
    <row r="260" spans="1:14" ht="14.5" x14ac:dyDescent="0.35">
      <c r="A260" s="260" t="s">
        <v>563</v>
      </c>
      <c r="B260" s="190">
        <v>45742</v>
      </c>
      <c r="C260" s="260" t="s">
        <v>752</v>
      </c>
      <c r="D260" s="197">
        <v>50</v>
      </c>
      <c r="E260" s="197">
        <v>10010</v>
      </c>
      <c r="F260" s="197">
        <v>198.5</v>
      </c>
      <c r="G260" s="190">
        <v>45742</v>
      </c>
      <c r="H260" s="196">
        <v>0</v>
      </c>
      <c r="I260" s="197">
        <v>9925</v>
      </c>
      <c r="J260" s="197">
        <v>9925</v>
      </c>
      <c r="K260" s="197">
        <v>0</v>
      </c>
      <c r="L260" s="197">
        <v>-85</v>
      </c>
      <c r="M260" s="260" t="s">
        <v>239</v>
      </c>
      <c r="N260" s="260" t="s">
        <v>514</v>
      </c>
    </row>
    <row r="261" spans="1:14" ht="14.5" x14ac:dyDescent="0.35">
      <c r="A261" s="260" t="s">
        <v>563</v>
      </c>
      <c r="B261" s="190">
        <v>45742</v>
      </c>
      <c r="C261" s="260" t="s">
        <v>754</v>
      </c>
      <c r="D261" s="197">
        <v>100</v>
      </c>
      <c r="E261" s="197">
        <v>8008</v>
      </c>
      <c r="F261" s="197">
        <v>75.5</v>
      </c>
      <c r="G261" s="190">
        <v>45742</v>
      </c>
      <c r="H261" s="196">
        <v>0</v>
      </c>
      <c r="I261" s="197">
        <v>7550</v>
      </c>
      <c r="J261" s="197">
        <v>7550</v>
      </c>
      <c r="K261" s="197">
        <v>0</v>
      </c>
      <c r="L261" s="197">
        <v>-458</v>
      </c>
      <c r="M261" s="260" t="s">
        <v>239</v>
      </c>
      <c r="N261" s="260" t="s">
        <v>514</v>
      </c>
    </row>
    <row r="262" spans="1:14" ht="14.5" x14ac:dyDescent="0.35">
      <c r="A262" s="260" t="s">
        <v>563</v>
      </c>
      <c r="B262" s="190">
        <v>45743</v>
      </c>
      <c r="C262" s="260" t="s">
        <v>749</v>
      </c>
      <c r="D262" s="197">
        <v>150</v>
      </c>
      <c r="E262" s="197">
        <v>14915</v>
      </c>
      <c r="F262" s="197">
        <v>104.8</v>
      </c>
      <c r="G262" s="190">
        <v>45743</v>
      </c>
      <c r="H262" s="196">
        <v>0</v>
      </c>
      <c r="I262" s="197">
        <v>15720</v>
      </c>
      <c r="J262" s="197">
        <v>15720</v>
      </c>
      <c r="K262" s="197">
        <v>0</v>
      </c>
      <c r="L262" s="197">
        <v>805</v>
      </c>
      <c r="M262" s="260" t="s">
        <v>239</v>
      </c>
      <c r="N262" s="260" t="s">
        <v>514</v>
      </c>
    </row>
    <row r="263" spans="1:14" ht="14.5" x14ac:dyDescent="0.35">
      <c r="A263" s="260" t="s">
        <v>563</v>
      </c>
      <c r="B263" s="190">
        <v>45743</v>
      </c>
      <c r="C263" s="260" t="s">
        <v>752</v>
      </c>
      <c r="D263" s="197">
        <v>50</v>
      </c>
      <c r="E263" s="197">
        <v>10010</v>
      </c>
      <c r="F263" s="197">
        <v>198.4</v>
      </c>
      <c r="G263" s="190">
        <v>45743</v>
      </c>
      <c r="H263" s="196">
        <v>0</v>
      </c>
      <c r="I263" s="197">
        <v>9920</v>
      </c>
      <c r="J263" s="197">
        <v>9920</v>
      </c>
      <c r="K263" s="197">
        <v>0</v>
      </c>
      <c r="L263" s="197">
        <v>-90</v>
      </c>
      <c r="M263" s="260" t="s">
        <v>239</v>
      </c>
      <c r="N263" s="260" t="s">
        <v>514</v>
      </c>
    </row>
    <row r="264" spans="1:14" ht="14.5" x14ac:dyDescent="0.35">
      <c r="A264" s="260" t="s">
        <v>563</v>
      </c>
      <c r="B264" s="190">
        <v>45743</v>
      </c>
      <c r="C264" s="260" t="s">
        <v>754</v>
      </c>
      <c r="D264" s="197">
        <v>100</v>
      </c>
      <c r="E264" s="197">
        <v>8008</v>
      </c>
      <c r="F264" s="197">
        <v>75.400000000000006</v>
      </c>
      <c r="G264" s="190">
        <v>45743</v>
      </c>
      <c r="H264" s="196">
        <v>0</v>
      </c>
      <c r="I264" s="197">
        <v>7540.0000000000009</v>
      </c>
      <c r="J264" s="197">
        <v>7540.0000000000009</v>
      </c>
      <c r="K264" s="197">
        <v>0</v>
      </c>
      <c r="L264" s="197">
        <v>-467.99999999999909</v>
      </c>
      <c r="M264" s="260" t="s">
        <v>239</v>
      </c>
      <c r="N264" s="260" t="s">
        <v>514</v>
      </c>
    </row>
    <row r="265" spans="1:14" ht="14.5" x14ac:dyDescent="0.35">
      <c r="A265" s="260" t="s">
        <v>563</v>
      </c>
      <c r="B265" s="190">
        <v>45744</v>
      </c>
      <c r="C265" s="260" t="s">
        <v>749</v>
      </c>
      <c r="D265" s="197">
        <v>150</v>
      </c>
      <c r="E265" s="197">
        <v>14915</v>
      </c>
      <c r="F265" s="197">
        <v>105.1</v>
      </c>
      <c r="G265" s="190">
        <v>45744</v>
      </c>
      <c r="H265" s="196">
        <v>0</v>
      </c>
      <c r="I265" s="197">
        <v>15765</v>
      </c>
      <c r="J265" s="197">
        <v>15765</v>
      </c>
      <c r="K265" s="197">
        <v>0</v>
      </c>
      <c r="L265" s="197">
        <v>850</v>
      </c>
      <c r="M265" s="260" t="s">
        <v>239</v>
      </c>
      <c r="N265" s="260" t="s">
        <v>514</v>
      </c>
    </row>
    <row r="266" spans="1:14" ht="14.5" x14ac:dyDescent="0.35">
      <c r="A266" s="260" t="s">
        <v>563</v>
      </c>
      <c r="B266" s="190">
        <v>45744</v>
      </c>
      <c r="C266" s="260" t="s">
        <v>752</v>
      </c>
      <c r="D266" s="197">
        <v>50</v>
      </c>
      <c r="E266" s="197">
        <v>10010</v>
      </c>
      <c r="F266" s="197">
        <v>198.3</v>
      </c>
      <c r="G266" s="190">
        <v>45744</v>
      </c>
      <c r="H266" s="196">
        <v>0</v>
      </c>
      <c r="I266" s="197">
        <v>9915</v>
      </c>
      <c r="J266" s="197">
        <v>9915</v>
      </c>
      <c r="K266" s="197">
        <v>0</v>
      </c>
      <c r="L266" s="197">
        <v>-95</v>
      </c>
      <c r="M266" s="260" t="s">
        <v>239</v>
      </c>
      <c r="N266" s="260" t="s">
        <v>514</v>
      </c>
    </row>
    <row r="267" spans="1:14" ht="14.5" x14ac:dyDescent="0.35">
      <c r="A267" s="260" t="s">
        <v>563</v>
      </c>
      <c r="B267" s="190">
        <v>45744</v>
      </c>
      <c r="C267" s="260" t="s">
        <v>754</v>
      </c>
      <c r="D267" s="197">
        <v>100</v>
      </c>
      <c r="E267" s="197">
        <v>8008</v>
      </c>
      <c r="F267" s="197">
        <v>75.3</v>
      </c>
      <c r="G267" s="190">
        <v>45744</v>
      </c>
      <c r="H267" s="196">
        <v>0</v>
      </c>
      <c r="I267" s="197">
        <v>7530</v>
      </c>
      <c r="J267" s="197">
        <v>7530</v>
      </c>
      <c r="K267" s="197">
        <v>0</v>
      </c>
      <c r="L267" s="197">
        <v>-478</v>
      </c>
      <c r="M267" s="260" t="s">
        <v>239</v>
      </c>
      <c r="N267" s="260" t="s">
        <v>514</v>
      </c>
    </row>
    <row r="268" spans="1:14" ht="14.5" x14ac:dyDescent="0.35">
      <c r="A268" s="260" t="s">
        <v>563</v>
      </c>
      <c r="B268" s="190">
        <v>45745</v>
      </c>
      <c r="C268" s="260" t="s">
        <v>749</v>
      </c>
      <c r="D268" s="197">
        <v>150</v>
      </c>
      <c r="E268" s="197">
        <v>14915</v>
      </c>
      <c r="F268" s="197">
        <v>105.1</v>
      </c>
      <c r="G268" s="190">
        <v>45744</v>
      </c>
      <c r="H268" s="196">
        <v>1</v>
      </c>
      <c r="I268" s="197">
        <v>15765</v>
      </c>
      <c r="J268" s="197">
        <v>15765</v>
      </c>
      <c r="K268" s="197">
        <v>0</v>
      </c>
      <c r="L268" s="197">
        <v>850</v>
      </c>
      <c r="M268" s="260" t="s">
        <v>239</v>
      </c>
      <c r="N268" s="260" t="s">
        <v>514</v>
      </c>
    </row>
    <row r="269" spans="1:14" ht="14.5" x14ac:dyDescent="0.35">
      <c r="A269" s="260" t="s">
        <v>563</v>
      </c>
      <c r="B269" s="190">
        <v>45745</v>
      </c>
      <c r="C269" s="260" t="s">
        <v>752</v>
      </c>
      <c r="D269" s="197">
        <v>50</v>
      </c>
      <c r="E269" s="197">
        <v>10010</v>
      </c>
      <c r="F269" s="197">
        <v>198.3</v>
      </c>
      <c r="G269" s="190">
        <v>45744</v>
      </c>
      <c r="H269" s="196">
        <v>1</v>
      </c>
      <c r="I269" s="197">
        <v>9915</v>
      </c>
      <c r="J269" s="197">
        <v>9915</v>
      </c>
      <c r="K269" s="197">
        <v>0</v>
      </c>
      <c r="L269" s="197">
        <v>-95</v>
      </c>
      <c r="M269" s="260" t="s">
        <v>239</v>
      </c>
      <c r="N269" s="260" t="s">
        <v>514</v>
      </c>
    </row>
    <row r="270" spans="1:14" ht="14.5" x14ac:dyDescent="0.35">
      <c r="A270" s="260" t="s">
        <v>563</v>
      </c>
      <c r="B270" s="190">
        <v>45745</v>
      </c>
      <c r="C270" s="260" t="s">
        <v>754</v>
      </c>
      <c r="D270" s="197">
        <v>100</v>
      </c>
      <c r="E270" s="197">
        <v>8008</v>
      </c>
      <c r="F270" s="197">
        <v>75.3</v>
      </c>
      <c r="G270" s="190">
        <v>45744</v>
      </c>
      <c r="H270" s="196">
        <v>1</v>
      </c>
      <c r="I270" s="197">
        <v>7530</v>
      </c>
      <c r="J270" s="197">
        <v>7530</v>
      </c>
      <c r="K270" s="197">
        <v>0</v>
      </c>
      <c r="L270" s="197">
        <v>-478</v>
      </c>
      <c r="M270" s="260" t="s">
        <v>239</v>
      </c>
      <c r="N270" s="260" t="s">
        <v>514</v>
      </c>
    </row>
    <row r="271" spans="1:14" ht="14.5" x14ac:dyDescent="0.35">
      <c r="A271" s="260" t="s">
        <v>563</v>
      </c>
      <c r="B271" s="190">
        <v>45746</v>
      </c>
      <c r="C271" s="260" t="s">
        <v>749</v>
      </c>
      <c r="D271" s="197">
        <v>150</v>
      </c>
      <c r="E271" s="197">
        <v>14915</v>
      </c>
      <c r="F271" s="197">
        <v>105.1</v>
      </c>
      <c r="G271" s="190">
        <v>45744</v>
      </c>
      <c r="H271" s="196">
        <v>2</v>
      </c>
      <c r="I271" s="197">
        <v>15765</v>
      </c>
      <c r="J271" s="197">
        <v>15765</v>
      </c>
      <c r="K271" s="197">
        <v>0</v>
      </c>
      <c r="L271" s="197">
        <v>850</v>
      </c>
      <c r="M271" s="260" t="s">
        <v>239</v>
      </c>
      <c r="N271" s="260" t="s">
        <v>514</v>
      </c>
    </row>
    <row r="272" spans="1:14" ht="14.5" x14ac:dyDescent="0.35">
      <c r="A272" s="260" t="s">
        <v>563</v>
      </c>
      <c r="B272" s="190">
        <v>45746</v>
      </c>
      <c r="C272" s="260" t="s">
        <v>752</v>
      </c>
      <c r="D272" s="197">
        <v>50</v>
      </c>
      <c r="E272" s="197">
        <v>10010</v>
      </c>
      <c r="F272" s="197">
        <v>198.3</v>
      </c>
      <c r="G272" s="190">
        <v>45744</v>
      </c>
      <c r="H272" s="196">
        <v>2</v>
      </c>
      <c r="I272" s="197">
        <v>9915</v>
      </c>
      <c r="J272" s="197">
        <v>9915</v>
      </c>
      <c r="K272" s="197">
        <v>0</v>
      </c>
      <c r="L272" s="197">
        <v>-95</v>
      </c>
      <c r="M272" s="260" t="s">
        <v>239</v>
      </c>
      <c r="N272" s="260" t="s">
        <v>514</v>
      </c>
    </row>
    <row r="273" spans="1:14" ht="14.5" x14ac:dyDescent="0.35">
      <c r="A273" s="260" t="s">
        <v>563</v>
      </c>
      <c r="B273" s="190">
        <v>45746</v>
      </c>
      <c r="C273" s="260" t="s">
        <v>754</v>
      </c>
      <c r="D273" s="197">
        <v>100</v>
      </c>
      <c r="E273" s="197">
        <v>8008</v>
      </c>
      <c r="F273" s="197">
        <v>75.3</v>
      </c>
      <c r="G273" s="190">
        <v>45744</v>
      </c>
      <c r="H273" s="196">
        <v>2</v>
      </c>
      <c r="I273" s="197">
        <v>7530</v>
      </c>
      <c r="J273" s="197">
        <v>7530</v>
      </c>
      <c r="K273" s="197">
        <v>0</v>
      </c>
      <c r="L273" s="197">
        <v>-478</v>
      </c>
      <c r="M273" s="260" t="s">
        <v>239</v>
      </c>
      <c r="N273" s="260" t="s">
        <v>514</v>
      </c>
    </row>
    <row r="274" spans="1:14" ht="14.5" x14ac:dyDescent="0.35">
      <c r="A274" s="260" t="s">
        <v>563</v>
      </c>
      <c r="B274" s="190">
        <v>45747</v>
      </c>
      <c r="C274" s="260" t="s">
        <v>749</v>
      </c>
      <c r="D274" s="197">
        <v>150</v>
      </c>
      <c r="E274" s="197">
        <v>14915</v>
      </c>
      <c r="F274" s="197">
        <v>106</v>
      </c>
      <c r="G274" s="190">
        <v>45747</v>
      </c>
      <c r="H274" s="196">
        <v>0</v>
      </c>
      <c r="I274" s="197">
        <v>15900</v>
      </c>
      <c r="J274" s="197">
        <v>15900</v>
      </c>
      <c r="K274" s="197">
        <v>0</v>
      </c>
      <c r="L274" s="197">
        <v>985</v>
      </c>
      <c r="M274" s="260" t="s">
        <v>239</v>
      </c>
      <c r="N274" s="260" t="s">
        <v>514</v>
      </c>
    </row>
    <row r="275" spans="1:14" ht="14.5" x14ac:dyDescent="0.35">
      <c r="A275" s="260" t="s">
        <v>563</v>
      </c>
      <c r="B275" s="190">
        <v>45747</v>
      </c>
      <c r="C275" s="260" t="s">
        <v>752</v>
      </c>
      <c r="D275" s="197">
        <v>50</v>
      </c>
      <c r="E275" s="197">
        <v>10010</v>
      </c>
      <c r="F275" s="197">
        <v>198</v>
      </c>
      <c r="G275" s="190">
        <v>45747</v>
      </c>
      <c r="H275" s="196">
        <v>0</v>
      </c>
      <c r="I275" s="197">
        <v>9900</v>
      </c>
      <c r="J275" s="197">
        <v>9900</v>
      </c>
      <c r="K275" s="197">
        <v>0</v>
      </c>
      <c r="L275" s="197">
        <v>-110</v>
      </c>
      <c r="M275" s="260" t="s">
        <v>239</v>
      </c>
      <c r="N275" s="260" t="s">
        <v>514</v>
      </c>
    </row>
    <row r="276" spans="1:14" ht="14.5" x14ac:dyDescent="0.35">
      <c r="A276" s="260" t="s">
        <v>563</v>
      </c>
      <c r="B276" s="190">
        <v>45747</v>
      </c>
      <c r="C276" s="260" t="s">
        <v>754</v>
      </c>
      <c r="D276" s="197">
        <v>100</v>
      </c>
      <c r="E276" s="197">
        <v>8008</v>
      </c>
      <c r="F276" s="197">
        <v>75</v>
      </c>
      <c r="G276" s="190">
        <v>45747</v>
      </c>
      <c r="H276" s="196">
        <v>0</v>
      </c>
      <c r="I276" s="197">
        <v>7500</v>
      </c>
      <c r="J276" s="197">
        <v>7500</v>
      </c>
      <c r="K276" s="197">
        <v>0</v>
      </c>
      <c r="L276" s="197">
        <v>-508</v>
      </c>
      <c r="M276" s="260" t="s">
        <v>239</v>
      </c>
      <c r="N276" s="260" t="s">
        <v>514</v>
      </c>
    </row>
    <row r="277" spans="1:14" ht="14.5" x14ac:dyDescent="0.35">
      <c r="A277" s="260" t="s">
        <v>563</v>
      </c>
      <c r="B277" s="190">
        <v>45748</v>
      </c>
      <c r="C277" s="260" t="s">
        <v>749</v>
      </c>
      <c r="D277" s="197">
        <v>150</v>
      </c>
      <c r="E277" s="197">
        <v>14915</v>
      </c>
      <c r="F277" s="197">
        <v>106</v>
      </c>
      <c r="G277" s="190">
        <v>45748</v>
      </c>
      <c r="H277" s="196">
        <v>0</v>
      </c>
      <c r="I277" s="197">
        <v>15900</v>
      </c>
      <c r="J277" s="197">
        <v>15900</v>
      </c>
      <c r="K277" s="197">
        <v>0</v>
      </c>
      <c r="L277" s="197">
        <v>985</v>
      </c>
      <c r="M277" s="260" t="s">
        <v>239</v>
      </c>
      <c r="N277" s="260" t="s">
        <v>514</v>
      </c>
    </row>
    <row r="278" spans="1:14" ht="14.5" x14ac:dyDescent="0.35">
      <c r="A278" s="260" t="s">
        <v>563</v>
      </c>
      <c r="B278" s="190">
        <v>45748</v>
      </c>
      <c r="C278" s="260" t="s">
        <v>752</v>
      </c>
      <c r="D278" s="197">
        <v>50</v>
      </c>
      <c r="E278" s="197">
        <v>10010</v>
      </c>
      <c r="F278" s="197">
        <v>198</v>
      </c>
      <c r="G278" s="190">
        <v>45748</v>
      </c>
      <c r="H278" s="196">
        <v>0</v>
      </c>
      <c r="I278" s="197">
        <v>9900</v>
      </c>
      <c r="J278" s="197">
        <v>9900</v>
      </c>
      <c r="K278" s="197">
        <v>0</v>
      </c>
      <c r="L278" s="197">
        <v>-110</v>
      </c>
      <c r="M278" s="260" t="s">
        <v>239</v>
      </c>
      <c r="N278" s="260" t="s">
        <v>514</v>
      </c>
    </row>
    <row r="279" spans="1:14" ht="14.5" x14ac:dyDescent="0.35">
      <c r="A279" s="260" t="s">
        <v>563</v>
      </c>
      <c r="B279" s="190">
        <v>45748</v>
      </c>
      <c r="C279" s="260" t="s">
        <v>754</v>
      </c>
      <c r="D279" s="197">
        <v>100</v>
      </c>
      <c r="E279" s="197">
        <v>8008</v>
      </c>
      <c r="F279" s="197">
        <v>75</v>
      </c>
      <c r="G279" s="190">
        <v>45748</v>
      </c>
      <c r="H279" s="196">
        <v>0</v>
      </c>
      <c r="I279" s="197">
        <v>7500</v>
      </c>
      <c r="J279" s="197">
        <v>7500</v>
      </c>
      <c r="K279" s="197">
        <v>0</v>
      </c>
      <c r="L279" s="197">
        <v>-508</v>
      </c>
      <c r="M279" s="260" t="s">
        <v>239</v>
      </c>
      <c r="N279" s="260" t="s">
        <v>514</v>
      </c>
    </row>
    <row r="280" spans="1:14" ht="14.5" x14ac:dyDescent="0.35">
      <c r="A280" s="260" t="s">
        <v>563</v>
      </c>
      <c r="B280" s="190">
        <v>45749</v>
      </c>
      <c r="C280" s="260" t="s">
        <v>749</v>
      </c>
      <c r="D280" s="197">
        <v>150</v>
      </c>
      <c r="E280" s="197">
        <v>14915</v>
      </c>
      <c r="F280" s="197">
        <v>105.83</v>
      </c>
      <c r="G280" s="190">
        <v>45749</v>
      </c>
      <c r="H280" s="196">
        <v>0</v>
      </c>
      <c r="I280" s="197">
        <v>15874.5</v>
      </c>
      <c r="J280" s="197">
        <v>15874.5</v>
      </c>
      <c r="K280" s="197">
        <v>0</v>
      </c>
      <c r="L280" s="197">
        <v>959.5</v>
      </c>
      <c r="M280" s="260" t="s">
        <v>239</v>
      </c>
      <c r="N280" s="260" t="s">
        <v>514</v>
      </c>
    </row>
    <row r="281" spans="1:14" ht="14.5" x14ac:dyDescent="0.35">
      <c r="A281" s="260" t="s">
        <v>563</v>
      </c>
      <c r="B281" s="190">
        <v>45749</v>
      </c>
      <c r="C281" s="260" t="s">
        <v>752</v>
      </c>
      <c r="D281" s="197">
        <v>50</v>
      </c>
      <c r="E281" s="197">
        <v>10010</v>
      </c>
      <c r="F281" s="197">
        <v>197.62</v>
      </c>
      <c r="G281" s="190">
        <v>45749</v>
      </c>
      <c r="H281" s="196">
        <v>0</v>
      </c>
      <c r="I281" s="197">
        <v>9881</v>
      </c>
      <c r="J281" s="197">
        <v>9881</v>
      </c>
      <c r="K281" s="197">
        <v>0</v>
      </c>
      <c r="L281" s="197">
        <v>-129</v>
      </c>
      <c r="M281" s="260" t="s">
        <v>239</v>
      </c>
      <c r="N281" s="260" t="s">
        <v>514</v>
      </c>
    </row>
    <row r="282" spans="1:14" ht="14.5" x14ac:dyDescent="0.35">
      <c r="A282" s="260" t="s">
        <v>563</v>
      </c>
      <c r="B282" s="190">
        <v>45749</v>
      </c>
      <c r="C282" s="260" t="s">
        <v>754</v>
      </c>
      <c r="D282" s="197">
        <v>100</v>
      </c>
      <c r="E282" s="197">
        <v>8008</v>
      </c>
      <c r="F282" s="197">
        <v>75.14</v>
      </c>
      <c r="G282" s="190">
        <v>45749</v>
      </c>
      <c r="H282" s="196">
        <v>0</v>
      </c>
      <c r="I282" s="197">
        <v>7514</v>
      </c>
      <c r="J282" s="197">
        <v>7514</v>
      </c>
      <c r="K282" s="197">
        <v>0</v>
      </c>
      <c r="L282" s="197">
        <v>-494</v>
      </c>
      <c r="M282" s="260" t="s">
        <v>239</v>
      </c>
      <c r="N282" s="260" t="s">
        <v>514</v>
      </c>
    </row>
    <row r="283" spans="1:14" ht="14.5" x14ac:dyDescent="0.35">
      <c r="A283" s="260" t="s">
        <v>563</v>
      </c>
      <c r="B283" s="190">
        <v>45750</v>
      </c>
      <c r="C283" s="260" t="s">
        <v>749</v>
      </c>
      <c r="D283" s="197">
        <v>150</v>
      </c>
      <c r="E283" s="197">
        <v>14915</v>
      </c>
      <c r="F283" s="197">
        <v>105.66</v>
      </c>
      <c r="G283" s="190">
        <v>45750</v>
      </c>
      <c r="H283" s="196">
        <v>0</v>
      </c>
      <c r="I283" s="197">
        <v>15849</v>
      </c>
      <c r="J283" s="197">
        <v>15849</v>
      </c>
      <c r="K283" s="197">
        <v>0</v>
      </c>
      <c r="L283" s="197">
        <v>934</v>
      </c>
      <c r="M283" s="260" t="s">
        <v>239</v>
      </c>
      <c r="N283" s="260" t="s">
        <v>514</v>
      </c>
    </row>
    <row r="284" spans="1:14" ht="14.5" x14ac:dyDescent="0.35">
      <c r="A284" s="260" t="s">
        <v>563</v>
      </c>
      <c r="B284" s="190">
        <v>45750</v>
      </c>
      <c r="C284" s="260" t="s">
        <v>752</v>
      </c>
      <c r="D284" s="197">
        <v>50</v>
      </c>
      <c r="E284" s="197">
        <v>10010</v>
      </c>
      <c r="F284" s="197">
        <v>197.24</v>
      </c>
      <c r="G284" s="190">
        <v>45750</v>
      </c>
      <c r="H284" s="196">
        <v>0</v>
      </c>
      <c r="I284" s="197">
        <v>9862</v>
      </c>
      <c r="J284" s="197">
        <v>9862</v>
      </c>
      <c r="K284" s="197">
        <v>0</v>
      </c>
      <c r="L284" s="197">
        <v>-148</v>
      </c>
      <c r="M284" s="260" t="s">
        <v>239</v>
      </c>
      <c r="N284" s="260" t="s">
        <v>514</v>
      </c>
    </row>
    <row r="285" spans="1:14" ht="14.5" x14ac:dyDescent="0.35">
      <c r="A285" s="260" t="s">
        <v>563</v>
      </c>
      <c r="B285" s="190">
        <v>45750</v>
      </c>
      <c r="C285" s="260" t="s">
        <v>754</v>
      </c>
      <c r="D285" s="197">
        <v>100</v>
      </c>
      <c r="E285" s="197">
        <v>8008</v>
      </c>
      <c r="F285" s="197">
        <v>75.28</v>
      </c>
      <c r="G285" s="190">
        <v>45750</v>
      </c>
      <c r="H285" s="196">
        <v>0</v>
      </c>
      <c r="I285" s="197">
        <v>7528</v>
      </c>
      <c r="J285" s="197">
        <v>7528</v>
      </c>
      <c r="K285" s="197">
        <v>0</v>
      </c>
      <c r="L285" s="197">
        <v>-480</v>
      </c>
      <c r="M285" s="260" t="s">
        <v>239</v>
      </c>
      <c r="N285" s="260" t="s">
        <v>514</v>
      </c>
    </row>
    <row r="286" spans="1:14" ht="14.5" x14ac:dyDescent="0.35">
      <c r="A286" s="260" t="s">
        <v>563</v>
      </c>
      <c r="B286" s="190">
        <v>45751</v>
      </c>
      <c r="C286" s="260" t="s">
        <v>749</v>
      </c>
      <c r="D286" s="197">
        <v>150</v>
      </c>
      <c r="E286" s="197">
        <v>14915</v>
      </c>
      <c r="F286" s="197">
        <v>105.48</v>
      </c>
      <c r="G286" s="190">
        <v>45751</v>
      </c>
      <c r="H286" s="196">
        <v>0</v>
      </c>
      <c r="I286" s="197">
        <v>15822</v>
      </c>
      <c r="J286" s="197">
        <v>15822</v>
      </c>
      <c r="K286" s="197">
        <v>0</v>
      </c>
      <c r="L286" s="197">
        <v>907</v>
      </c>
      <c r="M286" s="260" t="s">
        <v>239</v>
      </c>
      <c r="N286" s="260" t="s">
        <v>514</v>
      </c>
    </row>
    <row r="287" spans="1:14" ht="14.5" x14ac:dyDescent="0.35">
      <c r="A287" s="260" t="s">
        <v>563</v>
      </c>
      <c r="B287" s="190">
        <v>45751</v>
      </c>
      <c r="C287" s="260" t="s">
        <v>752</v>
      </c>
      <c r="D287" s="197">
        <v>50</v>
      </c>
      <c r="E287" s="197">
        <v>10010</v>
      </c>
      <c r="F287" s="197">
        <v>196.86</v>
      </c>
      <c r="G287" s="190">
        <v>45751</v>
      </c>
      <c r="H287" s="196">
        <v>0</v>
      </c>
      <c r="I287" s="197">
        <v>9843</v>
      </c>
      <c r="J287" s="197">
        <v>9843</v>
      </c>
      <c r="K287" s="197">
        <v>0</v>
      </c>
      <c r="L287" s="197">
        <v>-167</v>
      </c>
      <c r="M287" s="260" t="s">
        <v>239</v>
      </c>
      <c r="N287" s="260" t="s">
        <v>514</v>
      </c>
    </row>
    <row r="288" spans="1:14" ht="14.5" x14ac:dyDescent="0.35">
      <c r="A288" s="260" t="s">
        <v>563</v>
      </c>
      <c r="B288" s="190">
        <v>45751</v>
      </c>
      <c r="C288" s="260" t="s">
        <v>754</v>
      </c>
      <c r="D288" s="197">
        <v>100</v>
      </c>
      <c r="E288" s="197">
        <v>8008</v>
      </c>
      <c r="F288" s="197">
        <v>75.41</v>
      </c>
      <c r="G288" s="190">
        <v>45751</v>
      </c>
      <c r="H288" s="196">
        <v>0</v>
      </c>
      <c r="I288" s="197">
        <v>7541</v>
      </c>
      <c r="J288" s="197">
        <v>7541</v>
      </c>
      <c r="K288" s="197">
        <v>0</v>
      </c>
      <c r="L288" s="197">
        <v>-467</v>
      </c>
      <c r="M288" s="260" t="s">
        <v>239</v>
      </c>
      <c r="N288" s="260" t="s">
        <v>514</v>
      </c>
    </row>
    <row r="289" spans="1:14" ht="14.5" x14ac:dyDescent="0.35">
      <c r="A289" s="260" t="s">
        <v>563</v>
      </c>
      <c r="B289" s="190">
        <v>45752</v>
      </c>
      <c r="C289" s="260" t="s">
        <v>749</v>
      </c>
      <c r="D289" s="197">
        <v>150</v>
      </c>
      <c r="E289" s="197">
        <v>14915</v>
      </c>
      <c r="F289" s="197">
        <v>105.48</v>
      </c>
      <c r="G289" s="190">
        <v>45751</v>
      </c>
      <c r="H289" s="196">
        <v>1</v>
      </c>
      <c r="I289" s="197">
        <v>15822</v>
      </c>
      <c r="J289" s="197">
        <v>15822</v>
      </c>
      <c r="K289" s="197">
        <v>0</v>
      </c>
      <c r="L289" s="197">
        <v>907</v>
      </c>
      <c r="M289" s="260" t="s">
        <v>239</v>
      </c>
      <c r="N289" s="260" t="s">
        <v>514</v>
      </c>
    </row>
    <row r="290" spans="1:14" ht="14.5" x14ac:dyDescent="0.35">
      <c r="A290" s="260" t="s">
        <v>563</v>
      </c>
      <c r="B290" s="190">
        <v>45752</v>
      </c>
      <c r="C290" s="260" t="s">
        <v>752</v>
      </c>
      <c r="D290" s="197">
        <v>50</v>
      </c>
      <c r="E290" s="197">
        <v>10010</v>
      </c>
      <c r="F290" s="197">
        <v>196.86</v>
      </c>
      <c r="G290" s="190">
        <v>45751</v>
      </c>
      <c r="H290" s="196">
        <v>1</v>
      </c>
      <c r="I290" s="197">
        <v>9843</v>
      </c>
      <c r="J290" s="197">
        <v>9843</v>
      </c>
      <c r="K290" s="197">
        <v>0</v>
      </c>
      <c r="L290" s="197">
        <v>-167</v>
      </c>
      <c r="M290" s="260" t="s">
        <v>239</v>
      </c>
      <c r="N290" s="260" t="s">
        <v>514</v>
      </c>
    </row>
    <row r="291" spans="1:14" ht="14.5" x14ac:dyDescent="0.35">
      <c r="A291" s="260" t="s">
        <v>563</v>
      </c>
      <c r="B291" s="190">
        <v>45752</v>
      </c>
      <c r="C291" s="260" t="s">
        <v>754</v>
      </c>
      <c r="D291" s="197">
        <v>100</v>
      </c>
      <c r="E291" s="197">
        <v>8008</v>
      </c>
      <c r="F291" s="197">
        <v>75.41</v>
      </c>
      <c r="G291" s="190">
        <v>45751</v>
      </c>
      <c r="H291" s="196">
        <v>1</v>
      </c>
      <c r="I291" s="197">
        <v>7541</v>
      </c>
      <c r="J291" s="197">
        <v>7541</v>
      </c>
      <c r="K291" s="197">
        <v>0</v>
      </c>
      <c r="L291" s="197">
        <v>-467</v>
      </c>
      <c r="M291" s="260" t="s">
        <v>239</v>
      </c>
      <c r="N291" s="260" t="s">
        <v>514</v>
      </c>
    </row>
    <row r="292" spans="1:14" ht="14.5" x14ac:dyDescent="0.35">
      <c r="A292" s="260" t="s">
        <v>563</v>
      </c>
      <c r="B292" s="190">
        <v>45753</v>
      </c>
      <c r="C292" s="260" t="s">
        <v>749</v>
      </c>
      <c r="D292" s="197">
        <v>150</v>
      </c>
      <c r="E292" s="197">
        <v>14915</v>
      </c>
      <c r="F292" s="197">
        <v>105.48</v>
      </c>
      <c r="G292" s="190">
        <v>45751</v>
      </c>
      <c r="H292" s="196">
        <v>2</v>
      </c>
      <c r="I292" s="197">
        <v>15822</v>
      </c>
      <c r="J292" s="197">
        <v>15822</v>
      </c>
      <c r="K292" s="197">
        <v>0</v>
      </c>
      <c r="L292" s="197">
        <v>907</v>
      </c>
      <c r="M292" s="260" t="s">
        <v>239</v>
      </c>
      <c r="N292" s="260" t="s">
        <v>514</v>
      </c>
    </row>
    <row r="293" spans="1:14" ht="14.5" x14ac:dyDescent="0.35">
      <c r="A293" s="260" t="s">
        <v>563</v>
      </c>
      <c r="B293" s="190">
        <v>45753</v>
      </c>
      <c r="C293" s="260" t="s">
        <v>752</v>
      </c>
      <c r="D293" s="197">
        <v>50</v>
      </c>
      <c r="E293" s="197">
        <v>10010</v>
      </c>
      <c r="F293" s="197">
        <v>196.86</v>
      </c>
      <c r="G293" s="190">
        <v>45751</v>
      </c>
      <c r="H293" s="196">
        <v>2</v>
      </c>
      <c r="I293" s="197">
        <v>9843</v>
      </c>
      <c r="J293" s="197">
        <v>9843</v>
      </c>
      <c r="K293" s="197">
        <v>0</v>
      </c>
      <c r="L293" s="197">
        <v>-167</v>
      </c>
      <c r="M293" s="260" t="s">
        <v>239</v>
      </c>
      <c r="N293" s="260" t="s">
        <v>514</v>
      </c>
    </row>
    <row r="294" spans="1:14" ht="14.5" x14ac:dyDescent="0.35">
      <c r="A294" s="260" t="s">
        <v>563</v>
      </c>
      <c r="B294" s="190">
        <v>45753</v>
      </c>
      <c r="C294" s="260" t="s">
        <v>754</v>
      </c>
      <c r="D294" s="197">
        <v>100</v>
      </c>
      <c r="E294" s="197">
        <v>8008</v>
      </c>
      <c r="F294" s="197">
        <v>75.41</v>
      </c>
      <c r="G294" s="190">
        <v>45751</v>
      </c>
      <c r="H294" s="196">
        <v>2</v>
      </c>
      <c r="I294" s="197">
        <v>7541</v>
      </c>
      <c r="J294" s="197">
        <v>7541</v>
      </c>
      <c r="K294" s="197">
        <v>0</v>
      </c>
      <c r="L294" s="197">
        <v>-467</v>
      </c>
      <c r="M294" s="260" t="s">
        <v>239</v>
      </c>
      <c r="N294" s="260" t="s">
        <v>514</v>
      </c>
    </row>
    <row r="295" spans="1:14" ht="14.5" x14ac:dyDescent="0.35">
      <c r="A295" s="260" t="s">
        <v>563</v>
      </c>
      <c r="B295" s="190">
        <v>45754</v>
      </c>
      <c r="C295" s="260" t="s">
        <v>749</v>
      </c>
      <c r="D295" s="197">
        <v>150</v>
      </c>
      <c r="E295" s="197">
        <v>14915</v>
      </c>
      <c r="F295" s="197">
        <v>104.97</v>
      </c>
      <c r="G295" s="190">
        <v>45754</v>
      </c>
      <c r="H295" s="196">
        <v>0</v>
      </c>
      <c r="I295" s="197">
        <v>15745.5</v>
      </c>
      <c r="J295" s="197">
        <v>15745.5</v>
      </c>
      <c r="K295" s="197">
        <v>0</v>
      </c>
      <c r="L295" s="197">
        <v>830.5</v>
      </c>
      <c r="M295" s="260" t="s">
        <v>239</v>
      </c>
      <c r="N295" s="260" t="s">
        <v>514</v>
      </c>
    </row>
    <row r="296" spans="1:14" ht="14.5" x14ac:dyDescent="0.35">
      <c r="A296" s="260" t="s">
        <v>563</v>
      </c>
      <c r="B296" s="190">
        <v>45754</v>
      </c>
      <c r="C296" s="260" t="s">
        <v>752</v>
      </c>
      <c r="D296" s="197">
        <v>50</v>
      </c>
      <c r="E296" s="197">
        <v>10010</v>
      </c>
      <c r="F296" s="197">
        <v>195.72</v>
      </c>
      <c r="G296" s="190">
        <v>45754</v>
      </c>
      <c r="H296" s="196">
        <v>0</v>
      </c>
      <c r="I296" s="197">
        <v>9786</v>
      </c>
      <c r="J296" s="197">
        <v>9786</v>
      </c>
      <c r="K296" s="197">
        <v>0</v>
      </c>
      <c r="L296" s="197">
        <v>-224</v>
      </c>
      <c r="M296" s="260" t="s">
        <v>239</v>
      </c>
      <c r="N296" s="260" t="s">
        <v>514</v>
      </c>
    </row>
    <row r="297" spans="1:14" ht="14.5" x14ac:dyDescent="0.35">
      <c r="A297" s="260" t="s">
        <v>563</v>
      </c>
      <c r="B297" s="190">
        <v>45754</v>
      </c>
      <c r="C297" s="260" t="s">
        <v>754</v>
      </c>
      <c r="D297" s="197">
        <v>100</v>
      </c>
      <c r="E297" s="197">
        <v>8008</v>
      </c>
      <c r="F297" s="197">
        <v>75.83</v>
      </c>
      <c r="G297" s="190">
        <v>45754</v>
      </c>
      <c r="H297" s="196">
        <v>0</v>
      </c>
      <c r="I297" s="197">
        <v>7583</v>
      </c>
      <c r="J297" s="197">
        <v>7583</v>
      </c>
      <c r="K297" s="197">
        <v>0</v>
      </c>
      <c r="L297" s="197">
        <v>-425</v>
      </c>
      <c r="M297" s="260" t="s">
        <v>239</v>
      </c>
      <c r="N297" s="260" t="s">
        <v>514</v>
      </c>
    </row>
    <row r="298" spans="1:14" ht="14.5" x14ac:dyDescent="0.35">
      <c r="A298" s="260" t="s">
        <v>563</v>
      </c>
      <c r="B298" s="190">
        <v>45755</v>
      </c>
      <c r="C298" s="260" t="s">
        <v>749</v>
      </c>
      <c r="D298" s="197">
        <v>150</v>
      </c>
      <c r="E298" s="197">
        <v>14915</v>
      </c>
      <c r="F298" s="197">
        <v>104.79</v>
      </c>
      <c r="G298" s="190">
        <v>45755</v>
      </c>
      <c r="H298" s="196">
        <v>0</v>
      </c>
      <c r="I298" s="197">
        <v>15718.500000000002</v>
      </c>
      <c r="J298" s="197">
        <v>15718.500000000002</v>
      </c>
      <c r="K298" s="197">
        <v>0</v>
      </c>
      <c r="L298" s="197">
        <v>803.50000000000182</v>
      </c>
      <c r="M298" s="260" t="s">
        <v>239</v>
      </c>
      <c r="N298" s="260" t="s">
        <v>514</v>
      </c>
    </row>
    <row r="299" spans="1:14" ht="14.5" x14ac:dyDescent="0.35">
      <c r="A299" s="260" t="s">
        <v>563</v>
      </c>
      <c r="B299" s="190">
        <v>45755</v>
      </c>
      <c r="C299" s="260" t="s">
        <v>752</v>
      </c>
      <c r="D299" s="197">
        <v>50</v>
      </c>
      <c r="E299" s="197">
        <v>10010</v>
      </c>
      <c r="F299" s="197">
        <v>195.34</v>
      </c>
      <c r="G299" s="190">
        <v>45755</v>
      </c>
      <c r="H299" s="196">
        <v>0</v>
      </c>
      <c r="I299" s="197">
        <v>9767</v>
      </c>
      <c r="J299" s="197">
        <v>9767</v>
      </c>
      <c r="K299" s="197">
        <v>0</v>
      </c>
      <c r="L299" s="197">
        <v>-243</v>
      </c>
      <c r="M299" s="260" t="s">
        <v>239</v>
      </c>
      <c r="N299" s="260" t="s">
        <v>514</v>
      </c>
    </row>
    <row r="300" spans="1:14" ht="14.5" x14ac:dyDescent="0.35">
      <c r="A300" s="260" t="s">
        <v>563</v>
      </c>
      <c r="B300" s="190">
        <v>45755</v>
      </c>
      <c r="C300" s="260" t="s">
        <v>754</v>
      </c>
      <c r="D300" s="197">
        <v>100</v>
      </c>
      <c r="E300" s="197">
        <v>8008</v>
      </c>
      <c r="F300" s="197">
        <v>75.97</v>
      </c>
      <c r="G300" s="190">
        <v>45755</v>
      </c>
      <c r="H300" s="196">
        <v>0</v>
      </c>
      <c r="I300" s="197">
        <v>7597</v>
      </c>
      <c r="J300" s="197">
        <v>7597</v>
      </c>
      <c r="K300" s="197">
        <v>0</v>
      </c>
      <c r="L300" s="197">
        <v>-411</v>
      </c>
      <c r="M300" s="260" t="s">
        <v>239</v>
      </c>
      <c r="N300" s="260" t="s">
        <v>514</v>
      </c>
    </row>
    <row r="301" spans="1:14" ht="14.5" x14ac:dyDescent="0.35">
      <c r="A301" s="260" t="s">
        <v>563</v>
      </c>
      <c r="B301" s="190">
        <v>45756</v>
      </c>
      <c r="C301" s="260" t="s">
        <v>749</v>
      </c>
      <c r="D301" s="197">
        <v>150</v>
      </c>
      <c r="E301" s="197">
        <v>14915</v>
      </c>
      <c r="F301" s="197">
        <v>104.62</v>
      </c>
      <c r="G301" s="190">
        <v>45756</v>
      </c>
      <c r="H301" s="196">
        <v>0</v>
      </c>
      <c r="I301" s="197">
        <v>15693</v>
      </c>
      <c r="J301" s="197">
        <v>15693</v>
      </c>
      <c r="K301" s="197">
        <v>0</v>
      </c>
      <c r="L301" s="197">
        <v>778</v>
      </c>
      <c r="M301" s="260" t="s">
        <v>239</v>
      </c>
      <c r="N301" s="260" t="s">
        <v>514</v>
      </c>
    </row>
    <row r="302" spans="1:14" ht="14.5" x14ac:dyDescent="0.35">
      <c r="A302" s="260" t="s">
        <v>563</v>
      </c>
      <c r="B302" s="190">
        <v>45756</v>
      </c>
      <c r="C302" s="260" t="s">
        <v>752</v>
      </c>
      <c r="D302" s="197">
        <v>50</v>
      </c>
      <c r="E302" s="197">
        <v>10010</v>
      </c>
      <c r="F302" s="197">
        <v>194.97</v>
      </c>
      <c r="G302" s="190">
        <v>45756</v>
      </c>
      <c r="H302" s="196">
        <v>0</v>
      </c>
      <c r="I302" s="197">
        <v>9748.5</v>
      </c>
      <c r="J302" s="197">
        <v>9748.5</v>
      </c>
      <c r="K302" s="197">
        <v>0</v>
      </c>
      <c r="L302" s="197">
        <v>-261.5</v>
      </c>
      <c r="M302" s="260" t="s">
        <v>239</v>
      </c>
      <c r="N302" s="260" t="s">
        <v>514</v>
      </c>
    </row>
    <row r="303" spans="1:14" ht="14.5" x14ac:dyDescent="0.35">
      <c r="A303" s="260" t="s">
        <v>563</v>
      </c>
      <c r="B303" s="190">
        <v>45756</v>
      </c>
      <c r="C303" s="260" t="s">
        <v>754</v>
      </c>
      <c r="D303" s="197">
        <v>100</v>
      </c>
      <c r="E303" s="197">
        <v>8008</v>
      </c>
      <c r="F303" s="197">
        <v>76.099999999999994</v>
      </c>
      <c r="G303" s="190">
        <v>45756</v>
      </c>
      <c r="H303" s="196">
        <v>0</v>
      </c>
      <c r="I303" s="197">
        <v>7609.9999999999991</v>
      </c>
      <c r="J303" s="197">
        <v>7609.9999999999991</v>
      </c>
      <c r="K303" s="197">
        <v>0</v>
      </c>
      <c r="L303" s="197">
        <v>-398.00000000000091</v>
      </c>
      <c r="M303" s="260" t="s">
        <v>239</v>
      </c>
      <c r="N303" s="260" t="s">
        <v>514</v>
      </c>
    </row>
    <row r="304" spans="1:14" ht="14.5" x14ac:dyDescent="0.35">
      <c r="A304" s="260" t="s">
        <v>563</v>
      </c>
      <c r="B304" s="190">
        <v>45757</v>
      </c>
      <c r="C304" s="260" t="s">
        <v>749</v>
      </c>
      <c r="D304" s="197">
        <v>150</v>
      </c>
      <c r="E304" s="197">
        <v>14915</v>
      </c>
      <c r="F304" s="197">
        <v>104.45</v>
      </c>
      <c r="G304" s="190">
        <v>45757</v>
      </c>
      <c r="H304" s="196">
        <v>0</v>
      </c>
      <c r="I304" s="197">
        <v>15667.5</v>
      </c>
      <c r="J304" s="197">
        <v>15667.5</v>
      </c>
      <c r="K304" s="197">
        <v>0</v>
      </c>
      <c r="L304" s="197">
        <v>752.5</v>
      </c>
      <c r="M304" s="260" t="s">
        <v>239</v>
      </c>
      <c r="N304" s="260" t="s">
        <v>514</v>
      </c>
    </row>
    <row r="305" spans="1:14" ht="14.5" x14ac:dyDescent="0.35">
      <c r="A305" s="260" t="s">
        <v>563</v>
      </c>
      <c r="B305" s="190">
        <v>45757</v>
      </c>
      <c r="C305" s="260" t="s">
        <v>752</v>
      </c>
      <c r="D305" s="197">
        <v>50</v>
      </c>
      <c r="E305" s="197">
        <v>10010</v>
      </c>
      <c r="F305" s="197">
        <v>194.59</v>
      </c>
      <c r="G305" s="190">
        <v>45757</v>
      </c>
      <c r="H305" s="196">
        <v>0</v>
      </c>
      <c r="I305" s="197">
        <v>9729.5</v>
      </c>
      <c r="J305" s="197">
        <v>9729.5</v>
      </c>
      <c r="K305" s="197">
        <v>0</v>
      </c>
      <c r="L305" s="197">
        <v>-280.5</v>
      </c>
      <c r="M305" s="260" t="s">
        <v>239</v>
      </c>
      <c r="N305" s="260" t="s">
        <v>514</v>
      </c>
    </row>
    <row r="306" spans="1:14" ht="14.5" x14ac:dyDescent="0.35">
      <c r="A306" s="260" t="s">
        <v>563</v>
      </c>
      <c r="B306" s="190">
        <v>45757</v>
      </c>
      <c r="C306" s="260" t="s">
        <v>754</v>
      </c>
      <c r="D306" s="197">
        <v>100</v>
      </c>
      <c r="E306" s="197">
        <v>8008</v>
      </c>
      <c r="F306" s="197">
        <v>76.239999999999995</v>
      </c>
      <c r="G306" s="190">
        <v>45757</v>
      </c>
      <c r="H306" s="196">
        <v>0</v>
      </c>
      <c r="I306" s="197">
        <v>7623.9999999999991</v>
      </c>
      <c r="J306" s="197">
        <v>7623.9999999999991</v>
      </c>
      <c r="K306" s="197">
        <v>0</v>
      </c>
      <c r="L306" s="197">
        <v>-384.00000000000091</v>
      </c>
      <c r="M306" s="260" t="s">
        <v>239</v>
      </c>
      <c r="N306" s="260" t="s">
        <v>514</v>
      </c>
    </row>
    <row r="307" spans="1:14" ht="14.5" x14ac:dyDescent="0.35">
      <c r="A307" s="260" t="s">
        <v>563</v>
      </c>
      <c r="B307" s="190">
        <v>45758</v>
      </c>
      <c r="C307" s="260" t="s">
        <v>749</v>
      </c>
      <c r="D307" s="197">
        <v>150</v>
      </c>
      <c r="E307" s="197">
        <v>14915</v>
      </c>
      <c r="F307" s="197">
        <v>104.28</v>
      </c>
      <c r="G307" s="190">
        <v>45758</v>
      </c>
      <c r="H307" s="196">
        <v>0</v>
      </c>
      <c r="I307" s="197">
        <v>15642</v>
      </c>
      <c r="J307" s="197">
        <v>15642</v>
      </c>
      <c r="K307" s="197">
        <v>0</v>
      </c>
      <c r="L307" s="197">
        <v>727</v>
      </c>
      <c r="M307" s="260" t="s">
        <v>239</v>
      </c>
      <c r="N307" s="260" t="s">
        <v>514</v>
      </c>
    </row>
    <row r="308" spans="1:14" ht="14.5" x14ac:dyDescent="0.35">
      <c r="A308" s="260" t="s">
        <v>563</v>
      </c>
      <c r="B308" s="190">
        <v>45758</v>
      </c>
      <c r="C308" s="260" t="s">
        <v>752</v>
      </c>
      <c r="D308" s="197">
        <v>50</v>
      </c>
      <c r="E308" s="197">
        <v>10010</v>
      </c>
      <c r="F308" s="197">
        <v>194.21</v>
      </c>
      <c r="G308" s="190">
        <v>45758</v>
      </c>
      <c r="H308" s="196">
        <v>0</v>
      </c>
      <c r="I308" s="197">
        <v>9710.5</v>
      </c>
      <c r="J308" s="197">
        <v>9710.5</v>
      </c>
      <c r="K308" s="197">
        <v>0</v>
      </c>
      <c r="L308" s="197">
        <v>-299.5</v>
      </c>
      <c r="M308" s="260" t="s">
        <v>239</v>
      </c>
      <c r="N308" s="260" t="s">
        <v>514</v>
      </c>
    </row>
    <row r="309" spans="1:14" ht="14.5" x14ac:dyDescent="0.35">
      <c r="A309" s="260" t="s">
        <v>563</v>
      </c>
      <c r="B309" s="190">
        <v>45758</v>
      </c>
      <c r="C309" s="260" t="s">
        <v>754</v>
      </c>
      <c r="D309" s="197">
        <v>100</v>
      </c>
      <c r="E309" s="197">
        <v>8008</v>
      </c>
      <c r="F309" s="197">
        <v>76.38</v>
      </c>
      <c r="G309" s="190">
        <v>45758</v>
      </c>
      <c r="H309" s="196">
        <v>0</v>
      </c>
      <c r="I309" s="197">
        <v>7638</v>
      </c>
      <c r="J309" s="197">
        <v>7638</v>
      </c>
      <c r="K309" s="197">
        <v>0</v>
      </c>
      <c r="L309" s="197">
        <v>-370</v>
      </c>
      <c r="M309" s="260" t="s">
        <v>239</v>
      </c>
      <c r="N309" s="260" t="s">
        <v>514</v>
      </c>
    </row>
    <row r="310" spans="1:14" ht="14.5" x14ac:dyDescent="0.35">
      <c r="A310" s="260" t="s">
        <v>563</v>
      </c>
      <c r="B310" s="190">
        <v>45759</v>
      </c>
      <c r="C310" s="260" t="s">
        <v>749</v>
      </c>
      <c r="D310" s="197">
        <v>150</v>
      </c>
      <c r="E310" s="197">
        <v>14915</v>
      </c>
      <c r="F310" s="197">
        <v>104.28</v>
      </c>
      <c r="G310" s="190">
        <v>45758</v>
      </c>
      <c r="H310" s="196">
        <v>1</v>
      </c>
      <c r="I310" s="197">
        <v>15642</v>
      </c>
      <c r="J310" s="197">
        <v>15642</v>
      </c>
      <c r="K310" s="197">
        <v>0</v>
      </c>
      <c r="L310" s="197">
        <v>727</v>
      </c>
      <c r="M310" s="260" t="s">
        <v>239</v>
      </c>
      <c r="N310" s="260" t="s">
        <v>514</v>
      </c>
    </row>
    <row r="311" spans="1:14" ht="14.5" x14ac:dyDescent="0.35">
      <c r="A311" s="260" t="s">
        <v>563</v>
      </c>
      <c r="B311" s="190">
        <v>45759</v>
      </c>
      <c r="C311" s="260" t="s">
        <v>752</v>
      </c>
      <c r="D311" s="197">
        <v>50</v>
      </c>
      <c r="E311" s="197">
        <v>10010</v>
      </c>
      <c r="F311" s="197">
        <v>194.21</v>
      </c>
      <c r="G311" s="190">
        <v>45758</v>
      </c>
      <c r="H311" s="196">
        <v>1</v>
      </c>
      <c r="I311" s="197">
        <v>9710.5</v>
      </c>
      <c r="J311" s="197">
        <v>9710.5</v>
      </c>
      <c r="K311" s="197">
        <v>0</v>
      </c>
      <c r="L311" s="197">
        <v>-299.5</v>
      </c>
      <c r="M311" s="260" t="s">
        <v>239</v>
      </c>
      <c r="N311" s="260" t="s">
        <v>514</v>
      </c>
    </row>
    <row r="312" spans="1:14" ht="14.5" x14ac:dyDescent="0.35">
      <c r="A312" s="260" t="s">
        <v>563</v>
      </c>
      <c r="B312" s="190">
        <v>45759</v>
      </c>
      <c r="C312" s="260" t="s">
        <v>754</v>
      </c>
      <c r="D312" s="197">
        <v>100</v>
      </c>
      <c r="E312" s="197">
        <v>8008</v>
      </c>
      <c r="F312" s="197">
        <v>76.38</v>
      </c>
      <c r="G312" s="190">
        <v>45758</v>
      </c>
      <c r="H312" s="196">
        <v>1</v>
      </c>
      <c r="I312" s="197">
        <v>7638</v>
      </c>
      <c r="J312" s="197">
        <v>7638</v>
      </c>
      <c r="K312" s="197">
        <v>0</v>
      </c>
      <c r="L312" s="197">
        <v>-370</v>
      </c>
      <c r="M312" s="260" t="s">
        <v>239</v>
      </c>
      <c r="N312" s="260" t="s">
        <v>514</v>
      </c>
    </row>
    <row r="313" spans="1:14" ht="14.5" x14ac:dyDescent="0.35">
      <c r="A313" s="260" t="s">
        <v>563</v>
      </c>
      <c r="B313" s="190">
        <v>45760</v>
      </c>
      <c r="C313" s="260" t="s">
        <v>749</v>
      </c>
      <c r="D313" s="197">
        <v>150</v>
      </c>
      <c r="E313" s="197">
        <v>14915</v>
      </c>
      <c r="F313" s="197">
        <v>104.28</v>
      </c>
      <c r="G313" s="190">
        <v>45758</v>
      </c>
      <c r="H313" s="196">
        <v>2</v>
      </c>
      <c r="I313" s="197">
        <v>15642</v>
      </c>
      <c r="J313" s="197">
        <v>15642</v>
      </c>
      <c r="K313" s="197">
        <v>0</v>
      </c>
      <c r="L313" s="197">
        <v>727</v>
      </c>
      <c r="M313" s="260" t="s">
        <v>239</v>
      </c>
      <c r="N313" s="260" t="s">
        <v>514</v>
      </c>
    </row>
    <row r="314" spans="1:14" ht="14.5" x14ac:dyDescent="0.35">
      <c r="A314" s="260" t="s">
        <v>563</v>
      </c>
      <c r="B314" s="190">
        <v>45760</v>
      </c>
      <c r="C314" s="260" t="s">
        <v>752</v>
      </c>
      <c r="D314" s="197">
        <v>50</v>
      </c>
      <c r="E314" s="197">
        <v>10010</v>
      </c>
      <c r="F314" s="197">
        <v>194.21</v>
      </c>
      <c r="G314" s="190">
        <v>45758</v>
      </c>
      <c r="H314" s="196">
        <v>2</v>
      </c>
      <c r="I314" s="197">
        <v>9710.5</v>
      </c>
      <c r="J314" s="197">
        <v>9710.5</v>
      </c>
      <c r="K314" s="197">
        <v>0</v>
      </c>
      <c r="L314" s="197">
        <v>-299.5</v>
      </c>
      <c r="M314" s="260" t="s">
        <v>239</v>
      </c>
      <c r="N314" s="260" t="s">
        <v>514</v>
      </c>
    </row>
    <row r="315" spans="1:14" ht="14.5" x14ac:dyDescent="0.35">
      <c r="A315" s="260" t="s">
        <v>563</v>
      </c>
      <c r="B315" s="190">
        <v>45760</v>
      </c>
      <c r="C315" s="260" t="s">
        <v>754</v>
      </c>
      <c r="D315" s="197">
        <v>100</v>
      </c>
      <c r="E315" s="197">
        <v>8008</v>
      </c>
      <c r="F315" s="197">
        <v>76.38</v>
      </c>
      <c r="G315" s="190">
        <v>45758</v>
      </c>
      <c r="H315" s="196">
        <v>2</v>
      </c>
      <c r="I315" s="197">
        <v>7638</v>
      </c>
      <c r="J315" s="197">
        <v>7638</v>
      </c>
      <c r="K315" s="197">
        <v>0</v>
      </c>
      <c r="L315" s="197">
        <v>-370</v>
      </c>
      <c r="M315" s="260" t="s">
        <v>239</v>
      </c>
      <c r="N315" s="260" t="s">
        <v>514</v>
      </c>
    </row>
    <row r="316" spans="1:14" ht="14.5" x14ac:dyDescent="0.35">
      <c r="A316" s="260" t="s">
        <v>563</v>
      </c>
      <c r="B316" s="190">
        <v>45761</v>
      </c>
      <c r="C316" s="260" t="s">
        <v>749</v>
      </c>
      <c r="D316" s="197">
        <v>150</v>
      </c>
      <c r="E316" s="197">
        <v>14915</v>
      </c>
      <c r="F316" s="197">
        <v>103.76</v>
      </c>
      <c r="G316" s="190">
        <v>45761</v>
      </c>
      <c r="H316" s="196">
        <v>0</v>
      </c>
      <c r="I316" s="197">
        <v>15564</v>
      </c>
      <c r="J316" s="197">
        <v>15564</v>
      </c>
      <c r="K316" s="197">
        <v>0</v>
      </c>
      <c r="L316" s="197">
        <v>649</v>
      </c>
      <c r="M316" s="260" t="s">
        <v>239</v>
      </c>
      <c r="N316" s="260" t="s">
        <v>514</v>
      </c>
    </row>
    <row r="317" spans="1:14" ht="14.5" x14ac:dyDescent="0.35">
      <c r="A317" s="260" t="s">
        <v>563</v>
      </c>
      <c r="B317" s="190">
        <v>45761</v>
      </c>
      <c r="C317" s="260" t="s">
        <v>752</v>
      </c>
      <c r="D317" s="197">
        <v>50</v>
      </c>
      <c r="E317" s="197">
        <v>10010</v>
      </c>
      <c r="F317" s="197">
        <v>193.07</v>
      </c>
      <c r="G317" s="190">
        <v>45761</v>
      </c>
      <c r="H317" s="196">
        <v>0</v>
      </c>
      <c r="I317" s="197">
        <v>9653.5</v>
      </c>
      <c r="J317" s="197">
        <v>9653.5</v>
      </c>
      <c r="K317" s="197">
        <v>0</v>
      </c>
      <c r="L317" s="197">
        <v>-356.5</v>
      </c>
      <c r="M317" s="260" t="s">
        <v>239</v>
      </c>
      <c r="N317" s="260" t="s">
        <v>514</v>
      </c>
    </row>
    <row r="318" spans="1:14" ht="14.5" x14ac:dyDescent="0.35">
      <c r="A318" s="260" t="s">
        <v>563</v>
      </c>
      <c r="B318" s="190">
        <v>45761</v>
      </c>
      <c r="C318" s="260" t="s">
        <v>754</v>
      </c>
      <c r="D318" s="197">
        <v>100</v>
      </c>
      <c r="E318" s="197">
        <v>8008</v>
      </c>
      <c r="F318" s="197">
        <v>76.790000000000006</v>
      </c>
      <c r="G318" s="190">
        <v>45761</v>
      </c>
      <c r="H318" s="196">
        <v>0</v>
      </c>
      <c r="I318" s="197">
        <v>7679.0000000000009</v>
      </c>
      <c r="J318" s="197">
        <v>7679.0000000000009</v>
      </c>
      <c r="K318" s="197">
        <v>0</v>
      </c>
      <c r="L318" s="197">
        <v>-328.99999999999909</v>
      </c>
      <c r="M318" s="260" t="s">
        <v>239</v>
      </c>
      <c r="N318" s="260" t="s">
        <v>514</v>
      </c>
    </row>
    <row r="319" spans="1:14" ht="14.5" x14ac:dyDescent="0.35">
      <c r="A319" s="260" t="s">
        <v>563</v>
      </c>
      <c r="B319" s="190">
        <v>45762</v>
      </c>
      <c r="C319" s="260" t="s">
        <v>749</v>
      </c>
      <c r="D319" s="197">
        <v>150</v>
      </c>
      <c r="E319" s="197">
        <v>14915</v>
      </c>
      <c r="F319" s="197">
        <v>103.59</v>
      </c>
      <c r="G319" s="190">
        <v>45762</v>
      </c>
      <c r="H319" s="196">
        <v>0</v>
      </c>
      <c r="I319" s="197">
        <v>15538.5</v>
      </c>
      <c r="J319" s="197">
        <v>15538.5</v>
      </c>
      <c r="K319" s="197">
        <v>0</v>
      </c>
      <c r="L319" s="197">
        <v>623.5</v>
      </c>
      <c r="M319" s="260" t="s">
        <v>239</v>
      </c>
      <c r="N319" s="260" t="s">
        <v>514</v>
      </c>
    </row>
    <row r="320" spans="1:14" ht="14.5" x14ac:dyDescent="0.35">
      <c r="A320" s="260" t="s">
        <v>563</v>
      </c>
      <c r="B320" s="190">
        <v>45762</v>
      </c>
      <c r="C320" s="260" t="s">
        <v>752</v>
      </c>
      <c r="D320" s="197">
        <v>50</v>
      </c>
      <c r="E320" s="197">
        <v>10010</v>
      </c>
      <c r="F320" s="197">
        <v>192.69</v>
      </c>
      <c r="G320" s="190">
        <v>45762</v>
      </c>
      <c r="H320" s="196">
        <v>0</v>
      </c>
      <c r="I320" s="197">
        <v>9634.5</v>
      </c>
      <c r="J320" s="197">
        <v>9634.5</v>
      </c>
      <c r="K320" s="197">
        <v>0</v>
      </c>
      <c r="L320" s="197">
        <v>-375.5</v>
      </c>
      <c r="M320" s="260" t="s">
        <v>239</v>
      </c>
      <c r="N320" s="260" t="s">
        <v>514</v>
      </c>
    </row>
    <row r="321" spans="1:14" ht="14.5" x14ac:dyDescent="0.35">
      <c r="A321" s="260" t="s">
        <v>563</v>
      </c>
      <c r="B321" s="190">
        <v>45762</v>
      </c>
      <c r="C321" s="260" t="s">
        <v>754</v>
      </c>
      <c r="D321" s="197">
        <v>100</v>
      </c>
      <c r="E321" s="197">
        <v>8008</v>
      </c>
      <c r="F321" s="197">
        <v>76.930000000000007</v>
      </c>
      <c r="G321" s="190">
        <v>45762</v>
      </c>
      <c r="H321" s="196">
        <v>0</v>
      </c>
      <c r="I321" s="197">
        <v>7693.0000000000009</v>
      </c>
      <c r="J321" s="197">
        <v>7693.0000000000009</v>
      </c>
      <c r="K321" s="197">
        <v>0</v>
      </c>
      <c r="L321" s="197">
        <v>-314.99999999999909</v>
      </c>
      <c r="M321" s="260" t="s">
        <v>239</v>
      </c>
      <c r="N321" s="260" t="s">
        <v>514</v>
      </c>
    </row>
    <row r="322" spans="1:14" ht="14.5" x14ac:dyDescent="0.35">
      <c r="A322" s="260" t="s">
        <v>563</v>
      </c>
      <c r="B322" s="190">
        <v>45763</v>
      </c>
      <c r="C322" s="260" t="s">
        <v>749</v>
      </c>
      <c r="D322" s="197">
        <v>150</v>
      </c>
      <c r="E322" s="197">
        <v>14915</v>
      </c>
      <c r="F322" s="197">
        <v>103.41</v>
      </c>
      <c r="G322" s="190">
        <v>45763</v>
      </c>
      <c r="H322" s="196">
        <v>0</v>
      </c>
      <c r="I322" s="197">
        <v>15511.5</v>
      </c>
      <c r="J322" s="197">
        <v>15511.5</v>
      </c>
      <c r="K322" s="197">
        <v>0</v>
      </c>
      <c r="L322" s="197">
        <v>596.5</v>
      </c>
      <c r="M322" s="260" t="s">
        <v>239</v>
      </c>
      <c r="N322" s="260" t="s">
        <v>514</v>
      </c>
    </row>
    <row r="323" spans="1:14" ht="14.5" x14ac:dyDescent="0.35">
      <c r="A323" s="260" t="s">
        <v>563</v>
      </c>
      <c r="B323" s="190">
        <v>45763</v>
      </c>
      <c r="C323" s="260" t="s">
        <v>752</v>
      </c>
      <c r="D323" s="197">
        <v>50</v>
      </c>
      <c r="E323" s="197">
        <v>10010</v>
      </c>
      <c r="F323" s="197">
        <v>192.31</v>
      </c>
      <c r="G323" s="190">
        <v>45763</v>
      </c>
      <c r="H323" s="196">
        <v>0</v>
      </c>
      <c r="I323" s="197">
        <v>9615.5</v>
      </c>
      <c r="J323" s="197">
        <v>9615.5</v>
      </c>
      <c r="K323" s="197">
        <v>0</v>
      </c>
      <c r="L323" s="197">
        <v>-394.5</v>
      </c>
      <c r="M323" s="260" t="s">
        <v>239</v>
      </c>
      <c r="N323" s="260" t="s">
        <v>514</v>
      </c>
    </row>
    <row r="324" spans="1:14" ht="14.5" x14ac:dyDescent="0.35">
      <c r="A324" s="260" t="s">
        <v>563</v>
      </c>
      <c r="B324" s="190">
        <v>45763</v>
      </c>
      <c r="C324" s="260" t="s">
        <v>754</v>
      </c>
      <c r="D324" s="197">
        <v>100</v>
      </c>
      <c r="E324" s="197">
        <v>8008</v>
      </c>
      <c r="F324" s="197">
        <v>77.069999999999993</v>
      </c>
      <c r="G324" s="190">
        <v>45763</v>
      </c>
      <c r="H324" s="196">
        <v>0</v>
      </c>
      <c r="I324" s="197">
        <v>7706.9999999999991</v>
      </c>
      <c r="J324" s="197">
        <v>7706.9999999999991</v>
      </c>
      <c r="K324" s="197">
        <v>0</v>
      </c>
      <c r="L324" s="197">
        <v>-301.00000000000091</v>
      </c>
      <c r="M324" s="260" t="s">
        <v>239</v>
      </c>
      <c r="N324" s="260" t="s">
        <v>514</v>
      </c>
    </row>
    <row r="325" spans="1:14" ht="14.5" x14ac:dyDescent="0.35">
      <c r="A325" s="260" t="s">
        <v>563</v>
      </c>
      <c r="B325" s="190">
        <v>45764</v>
      </c>
      <c r="C325" s="260" t="s">
        <v>749</v>
      </c>
      <c r="D325" s="197">
        <v>150</v>
      </c>
      <c r="E325" s="197">
        <v>14915</v>
      </c>
      <c r="F325" s="197">
        <v>103.24</v>
      </c>
      <c r="G325" s="190">
        <v>45764</v>
      </c>
      <c r="H325" s="196">
        <v>0</v>
      </c>
      <c r="I325" s="197">
        <v>15486</v>
      </c>
      <c r="J325" s="197">
        <v>15486</v>
      </c>
      <c r="K325" s="197">
        <v>0</v>
      </c>
      <c r="L325" s="197">
        <v>571</v>
      </c>
      <c r="M325" s="260" t="s">
        <v>239</v>
      </c>
      <c r="N325" s="260" t="s">
        <v>514</v>
      </c>
    </row>
    <row r="326" spans="1:14" ht="14.5" x14ac:dyDescent="0.35">
      <c r="A326" s="260" t="s">
        <v>563</v>
      </c>
      <c r="B326" s="190">
        <v>45764</v>
      </c>
      <c r="C326" s="260" t="s">
        <v>752</v>
      </c>
      <c r="D326" s="197">
        <v>50</v>
      </c>
      <c r="E326" s="197">
        <v>10010</v>
      </c>
      <c r="F326" s="197">
        <v>191.93</v>
      </c>
      <c r="G326" s="190">
        <v>45764</v>
      </c>
      <c r="H326" s="196">
        <v>0</v>
      </c>
      <c r="I326" s="197">
        <v>9596.5</v>
      </c>
      <c r="J326" s="197">
        <v>9596.5</v>
      </c>
      <c r="K326" s="197">
        <v>0</v>
      </c>
      <c r="L326" s="197">
        <v>-413.5</v>
      </c>
      <c r="M326" s="260" t="s">
        <v>239</v>
      </c>
      <c r="N326" s="260" t="s">
        <v>514</v>
      </c>
    </row>
    <row r="327" spans="1:14" ht="14.5" x14ac:dyDescent="0.35">
      <c r="A327" s="260" t="s">
        <v>563</v>
      </c>
      <c r="B327" s="190">
        <v>45764</v>
      </c>
      <c r="C327" s="260" t="s">
        <v>754</v>
      </c>
      <c r="D327" s="197">
        <v>100</v>
      </c>
      <c r="E327" s="197">
        <v>8008</v>
      </c>
      <c r="F327" s="197">
        <v>77.209999999999994</v>
      </c>
      <c r="G327" s="190">
        <v>45764</v>
      </c>
      <c r="H327" s="196">
        <v>0</v>
      </c>
      <c r="I327" s="197">
        <v>7720.9999999999991</v>
      </c>
      <c r="J327" s="197">
        <v>7720.9999999999991</v>
      </c>
      <c r="K327" s="197">
        <v>0</v>
      </c>
      <c r="L327" s="197">
        <v>-287.00000000000091</v>
      </c>
      <c r="M327" s="260" t="s">
        <v>239</v>
      </c>
      <c r="N327" s="260" t="s">
        <v>514</v>
      </c>
    </row>
    <row r="328" spans="1:14" ht="14.5" x14ac:dyDescent="0.35">
      <c r="A328" s="260" t="s">
        <v>563</v>
      </c>
      <c r="B328" s="190">
        <v>45765</v>
      </c>
      <c r="C328" s="260" t="s">
        <v>749</v>
      </c>
      <c r="D328" s="197">
        <v>150</v>
      </c>
      <c r="E328" s="197">
        <v>14915</v>
      </c>
      <c r="F328" s="197">
        <v>103.07</v>
      </c>
      <c r="G328" s="190">
        <v>45765</v>
      </c>
      <c r="H328" s="196">
        <v>0</v>
      </c>
      <c r="I328" s="197">
        <v>15460.499999999998</v>
      </c>
      <c r="J328" s="197">
        <v>15460.499999999998</v>
      </c>
      <c r="K328" s="197">
        <v>0</v>
      </c>
      <c r="L328" s="197">
        <v>545.49999999999818</v>
      </c>
      <c r="M328" s="260" t="s">
        <v>239</v>
      </c>
      <c r="N328" s="260" t="s">
        <v>514</v>
      </c>
    </row>
    <row r="329" spans="1:14" ht="14.5" x14ac:dyDescent="0.35">
      <c r="A329" s="260" t="s">
        <v>563</v>
      </c>
      <c r="B329" s="190">
        <v>45765</v>
      </c>
      <c r="C329" s="260" t="s">
        <v>752</v>
      </c>
      <c r="D329" s="197">
        <v>50</v>
      </c>
      <c r="E329" s="197">
        <v>10010</v>
      </c>
      <c r="F329" s="197">
        <v>191.55</v>
      </c>
      <c r="G329" s="190">
        <v>45765</v>
      </c>
      <c r="H329" s="196">
        <v>0</v>
      </c>
      <c r="I329" s="197">
        <v>9577.5</v>
      </c>
      <c r="J329" s="197">
        <v>9577.5</v>
      </c>
      <c r="K329" s="197">
        <v>0</v>
      </c>
      <c r="L329" s="197">
        <v>-432.5</v>
      </c>
      <c r="M329" s="260" t="s">
        <v>239</v>
      </c>
      <c r="N329" s="260" t="s">
        <v>514</v>
      </c>
    </row>
    <row r="330" spans="1:14" ht="14.5" x14ac:dyDescent="0.35">
      <c r="A330" s="260" t="s">
        <v>563</v>
      </c>
      <c r="B330" s="190">
        <v>45765</v>
      </c>
      <c r="C330" s="260" t="s">
        <v>754</v>
      </c>
      <c r="D330" s="197">
        <v>100</v>
      </c>
      <c r="E330" s="197">
        <v>8008</v>
      </c>
      <c r="F330" s="197">
        <v>77.34</v>
      </c>
      <c r="G330" s="190">
        <v>45765</v>
      </c>
      <c r="H330" s="196">
        <v>0</v>
      </c>
      <c r="I330" s="197">
        <v>7734</v>
      </c>
      <c r="J330" s="197">
        <v>7734</v>
      </c>
      <c r="K330" s="197">
        <v>0</v>
      </c>
      <c r="L330" s="197">
        <v>-274</v>
      </c>
      <c r="M330" s="260" t="s">
        <v>239</v>
      </c>
      <c r="N330" s="260" t="s">
        <v>514</v>
      </c>
    </row>
    <row r="331" spans="1:14" ht="14.5" x14ac:dyDescent="0.35">
      <c r="A331" s="260" t="s">
        <v>563</v>
      </c>
      <c r="B331" s="190">
        <v>45766</v>
      </c>
      <c r="C331" s="260" t="s">
        <v>749</v>
      </c>
      <c r="D331" s="197">
        <v>150</v>
      </c>
      <c r="E331" s="197">
        <v>14915</v>
      </c>
      <c r="F331" s="197">
        <v>103.07</v>
      </c>
      <c r="G331" s="190">
        <v>45765</v>
      </c>
      <c r="H331" s="196">
        <v>1</v>
      </c>
      <c r="I331" s="197">
        <v>15460.499999999998</v>
      </c>
      <c r="J331" s="197">
        <v>15460.499999999998</v>
      </c>
      <c r="K331" s="197">
        <v>0</v>
      </c>
      <c r="L331" s="197">
        <v>545.49999999999818</v>
      </c>
      <c r="M331" s="260" t="s">
        <v>239</v>
      </c>
      <c r="N331" s="260" t="s">
        <v>514</v>
      </c>
    </row>
    <row r="332" spans="1:14" ht="14.5" x14ac:dyDescent="0.35">
      <c r="A332" s="260" t="s">
        <v>563</v>
      </c>
      <c r="B332" s="190">
        <v>45766</v>
      </c>
      <c r="C332" s="260" t="s">
        <v>752</v>
      </c>
      <c r="D332" s="197">
        <v>50</v>
      </c>
      <c r="E332" s="197">
        <v>10010</v>
      </c>
      <c r="F332" s="197">
        <v>191.55</v>
      </c>
      <c r="G332" s="190">
        <v>45765</v>
      </c>
      <c r="H332" s="196">
        <v>1</v>
      </c>
      <c r="I332" s="197">
        <v>9577.5</v>
      </c>
      <c r="J332" s="197">
        <v>9577.5</v>
      </c>
      <c r="K332" s="197">
        <v>0</v>
      </c>
      <c r="L332" s="197">
        <v>-432.5</v>
      </c>
      <c r="M332" s="260" t="s">
        <v>239</v>
      </c>
      <c r="N332" s="260" t="s">
        <v>514</v>
      </c>
    </row>
    <row r="333" spans="1:14" ht="14.5" x14ac:dyDescent="0.35">
      <c r="A333" s="260" t="s">
        <v>563</v>
      </c>
      <c r="B333" s="190">
        <v>45766</v>
      </c>
      <c r="C333" s="260" t="s">
        <v>754</v>
      </c>
      <c r="D333" s="197">
        <v>100</v>
      </c>
      <c r="E333" s="197">
        <v>8008</v>
      </c>
      <c r="F333" s="197">
        <v>77.34</v>
      </c>
      <c r="G333" s="190">
        <v>45765</v>
      </c>
      <c r="H333" s="196">
        <v>1</v>
      </c>
      <c r="I333" s="197">
        <v>7734</v>
      </c>
      <c r="J333" s="197">
        <v>7734</v>
      </c>
      <c r="K333" s="197">
        <v>0</v>
      </c>
      <c r="L333" s="197">
        <v>-274</v>
      </c>
      <c r="M333" s="260" t="s">
        <v>239</v>
      </c>
      <c r="N333" s="260" t="s">
        <v>514</v>
      </c>
    </row>
    <row r="334" spans="1:14" ht="14.5" x14ac:dyDescent="0.35">
      <c r="A334" s="260" t="s">
        <v>563</v>
      </c>
      <c r="B334" s="190">
        <v>45767</v>
      </c>
      <c r="C334" s="260" t="s">
        <v>749</v>
      </c>
      <c r="D334" s="197">
        <v>150</v>
      </c>
      <c r="E334" s="197">
        <v>14915</v>
      </c>
      <c r="F334" s="197">
        <v>103.07</v>
      </c>
      <c r="G334" s="190">
        <v>45765</v>
      </c>
      <c r="H334" s="196">
        <v>2</v>
      </c>
      <c r="I334" s="197">
        <v>15460.499999999998</v>
      </c>
      <c r="J334" s="197">
        <v>15460.499999999998</v>
      </c>
      <c r="K334" s="197">
        <v>0</v>
      </c>
      <c r="L334" s="197">
        <v>545.49999999999818</v>
      </c>
      <c r="M334" s="260" t="s">
        <v>239</v>
      </c>
      <c r="N334" s="260" t="s">
        <v>514</v>
      </c>
    </row>
    <row r="335" spans="1:14" ht="14.5" x14ac:dyDescent="0.35">
      <c r="A335" s="260" t="s">
        <v>563</v>
      </c>
      <c r="B335" s="190">
        <v>45767</v>
      </c>
      <c r="C335" s="260" t="s">
        <v>752</v>
      </c>
      <c r="D335" s="197">
        <v>50</v>
      </c>
      <c r="E335" s="197">
        <v>10010</v>
      </c>
      <c r="F335" s="197">
        <v>191.55</v>
      </c>
      <c r="G335" s="190">
        <v>45765</v>
      </c>
      <c r="H335" s="196">
        <v>2</v>
      </c>
      <c r="I335" s="197">
        <v>9577.5</v>
      </c>
      <c r="J335" s="197">
        <v>9577.5</v>
      </c>
      <c r="K335" s="197">
        <v>0</v>
      </c>
      <c r="L335" s="197">
        <v>-432.5</v>
      </c>
      <c r="M335" s="260" t="s">
        <v>239</v>
      </c>
      <c r="N335" s="260" t="s">
        <v>514</v>
      </c>
    </row>
    <row r="336" spans="1:14" ht="14.5" x14ac:dyDescent="0.35">
      <c r="A336" s="260" t="s">
        <v>563</v>
      </c>
      <c r="B336" s="190">
        <v>45767</v>
      </c>
      <c r="C336" s="260" t="s">
        <v>754</v>
      </c>
      <c r="D336" s="197">
        <v>100</v>
      </c>
      <c r="E336" s="197">
        <v>8008</v>
      </c>
      <c r="F336" s="197">
        <v>77.34</v>
      </c>
      <c r="G336" s="190">
        <v>45765</v>
      </c>
      <c r="H336" s="196">
        <v>2</v>
      </c>
      <c r="I336" s="197">
        <v>7734</v>
      </c>
      <c r="J336" s="197">
        <v>7734</v>
      </c>
      <c r="K336" s="197">
        <v>0</v>
      </c>
      <c r="L336" s="197">
        <v>-274</v>
      </c>
      <c r="M336" s="260" t="s">
        <v>239</v>
      </c>
      <c r="N336" s="260" t="s">
        <v>514</v>
      </c>
    </row>
    <row r="337" spans="1:14" ht="14.5" x14ac:dyDescent="0.35">
      <c r="A337" s="260" t="s">
        <v>563</v>
      </c>
      <c r="B337" s="190">
        <v>45768</v>
      </c>
      <c r="C337" s="260" t="s">
        <v>749</v>
      </c>
      <c r="D337" s="197">
        <v>150</v>
      </c>
      <c r="E337" s="197">
        <v>14915</v>
      </c>
      <c r="F337" s="197">
        <v>102.55</v>
      </c>
      <c r="G337" s="190">
        <v>45768</v>
      </c>
      <c r="H337" s="196">
        <v>0</v>
      </c>
      <c r="I337" s="197">
        <v>15382.5</v>
      </c>
      <c r="J337" s="197">
        <v>15382.5</v>
      </c>
      <c r="K337" s="197">
        <v>0</v>
      </c>
      <c r="L337" s="197">
        <v>467.5</v>
      </c>
      <c r="M337" s="260" t="s">
        <v>239</v>
      </c>
      <c r="N337" s="260" t="s">
        <v>514</v>
      </c>
    </row>
    <row r="338" spans="1:14" ht="14.5" x14ac:dyDescent="0.35">
      <c r="A338" s="260" t="s">
        <v>563</v>
      </c>
      <c r="B338" s="190">
        <v>45768</v>
      </c>
      <c r="C338" s="260" t="s">
        <v>752</v>
      </c>
      <c r="D338" s="197">
        <v>50</v>
      </c>
      <c r="E338" s="197">
        <v>10010</v>
      </c>
      <c r="F338" s="197">
        <v>190.41</v>
      </c>
      <c r="G338" s="190">
        <v>45768</v>
      </c>
      <c r="H338" s="196">
        <v>0</v>
      </c>
      <c r="I338" s="197">
        <v>9520.5</v>
      </c>
      <c r="J338" s="197">
        <v>9520.5</v>
      </c>
      <c r="K338" s="197">
        <v>0</v>
      </c>
      <c r="L338" s="197">
        <v>-489.5</v>
      </c>
      <c r="M338" s="260" t="s">
        <v>239</v>
      </c>
      <c r="N338" s="260" t="s">
        <v>514</v>
      </c>
    </row>
    <row r="339" spans="1:14" ht="14.5" x14ac:dyDescent="0.35">
      <c r="A339" s="260" t="s">
        <v>563</v>
      </c>
      <c r="B339" s="190">
        <v>45768</v>
      </c>
      <c r="C339" s="260" t="s">
        <v>754</v>
      </c>
      <c r="D339" s="197">
        <v>100</v>
      </c>
      <c r="E339" s="197">
        <v>8008</v>
      </c>
      <c r="F339" s="197">
        <v>77.760000000000005</v>
      </c>
      <c r="G339" s="190">
        <v>45768</v>
      </c>
      <c r="H339" s="196">
        <v>0</v>
      </c>
      <c r="I339" s="197">
        <v>7776.0000000000009</v>
      </c>
      <c r="J339" s="197">
        <v>7776.0000000000009</v>
      </c>
      <c r="K339" s="197">
        <v>0</v>
      </c>
      <c r="L339" s="197">
        <v>-231.99999999999909</v>
      </c>
      <c r="M339" s="260" t="s">
        <v>239</v>
      </c>
      <c r="N339" s="260" t="s">
        <v>514</v>
      </c>
    </row>
    <row r="340" spans="1:14" ht="14.5" x14ac:dyDescent="0.35">
      <c r="A340" s="260" t="s">
        <v>563</v>
      </c>
      <c r="B340" s="190">
        <v>45769</v>
      </c>
      <c r="C340" s="260" t="s">
        <v>749</v>
      </c>
      <c r="D340" s="197">
        <v>150</v>
      </c>
      <c r="E340" s="197">
        <v>14915</v>
      </c>
      <c r="F340" s="197">
        <v>102.38</v>
      </c>
      <c r="G340" s="190">
        <v>45769</v>
      </c>
      <c r="H340" s="196">
        <v>0</v>
      </c>
      <c r="I340" s="197">
        <v>15357</v>
      </c>
      <c r="J340" s="197">
        <v>15357</v>
      </c>
      <c r="K340" s="197">
        <v>0</v>
      </c>
      <c r="L340" s="197">
        <v>442</v>
      </c>
      <c r="M340" s="260" t="s">
        <v>239</v>
      </c>
      <c r="N340" s="260" t="s">
        <v>514</v>
      </c>
    </row>
    <row r="341" spans="1:14" ht="14.5" x14ac:dyDescent="0.35">
      <c r="A341" s="260" t="s">
        <v>563</v>
      </c>
      <c r="B341" s="190">
        <v>45769</v>
      </c>
      <c r="C341" s="260" t="s">
        <v>752</v>
      </c>
      <c r="D341" s="197">
        <v>50</v>
      </c>
      <c r="E341" s="197">
        <v>10010</v>
      </c>
      <c r="F341" s="197">
        <v>190.03</v>
      </c>
      <c r="G341" s="190">
        <v>45769</v>
      </c>
      <c r="H341" s="196">
        <v>0</v>
      </c>
      <c r="I341" s="197">
        <v>9501.5</v>
      </c>
      <c r="J341" s="197">
        <v>9501.5</v>
      </c>
      <c r="K341" s="197">
        <v>0</v>
      </c>
      <c r="L341" s="197">
        <v>-508.5</v>
      </c>
      <c r="M341" s="260" t="s">
        <v>239</v>
      </c>
      <c r="N341" s="260" t="s">
        <v>514</v>
      </c>
    </row>
    <row r="342" spans="1:14" ht="14.5" x14ac:dyDescent="0.35">
      <c r="A342" s="260" t="s">
        <v>563</v>
      </c>
      <c r="B342" s="190">
        <v>45769</v>
      </c>
      <c r="C342" s="260" t="s">
        <v>754</v>
      </c>
      <c r="D342" s="197">
        <v>100</v>
      </c>
      <c r="E342" s="197">
        <v>8008</v>
      </c>
      <c r="F342" s="197">
        <v>77.900000000000006</v>
      </c>
      <c r="G342" s="190">
        <v>45769</v>
      </c>
      <c r="H342" s="196">
        <v>0</v>
      </c>
      <c r="I342" s="197">
        <v>7790.0000000000009</v>
      </c>
      <c r="J342" s="197">
        <v>7790.0000000000009</v>
      </c>
      <c r="K342" s="197">
        <v>0</v>
      </c>
      <c r="L342" s="197">
        <v>-217.99999999999909</v>
      </c>
      <c r="M342" s="260" t="s">
        <v>239</v>
      </c>
      <c r="N342" s="260" t="s">
        <v>514</v>
      </c>
    </row>
    <row r="343" spans="1:14" ht="14.5" x14ac:dyDescent="0.35">
      <c r="A343" s="260" t="s">
        <v>563</v>
      </c>
      <c r="B343" s="190">
        <v>45770</v>
      </c>
      <c r="C343" s="260" t="s">
        <v>749</v>
      </c>
      <c r="D343" s="197">
        <v>150</v>
      </c>
      <c r="E343" s="197">
        <v>14915</v>
      </c>
      <c r="F343" s="197">
        <v>102.21</v>
      </c>
      <c r="G343" s="190">
        <v>45770</v>
      </c>
      <c r="H343" s="196">
        <v>0</v>
      </c>
      <c r="I343" s="197">
        <v>15331.499999999998</v>
      </c>
      <c r="J343" s="197">
        <v>15331.499999999998</v>
      </c>
      <c r="K343" s="197">
        <v>0</v>
      </c>
      <c r="L343" s="197">
        <v>416.49999999999818</v>
      </c>
      <c r="M343" s="260" t="s">
        <v>239</v>
      </c>
      <c r="N343" s="260" t="s">
        <v>514</v>
      </c>
    </row>
    <row r="344" spans="1:14" ht="14.5" x14ac:dyDescent="0.35">
      <c r="A344" s="260" t="s">
        <v>563</v>
      </c>
      <c r="B344" s="190">
        <v>45770</v>
      </c>
      <c r="C344" s="260" t="s">
        <v>752</v>
      </c>
      <c r="D344" s="197">
        <v>50</v>
      </c>
      <c r="E344" s="197">
        <v>10010</v>
      </c>
      <c r="F344" s="197">
        <v>189.66</v>
      </c>
      <c r="G344" s="190">
        <v>45770</v>
      </c>
      <c r="H344" s="196">
        <v>0</v>
      </c>
      <c r="I344" s="197">
        <v>9483</v>
      </c>
      <c r="J344" s="197">
        <v>9483</v>
      </c>
      <c r="K344" s="197">
        <v>0</v>
      </c>
      <c r="L344" s="197">
        <v>-527</v>
      </c>
      <c r="M344" s="260" t="s">
        <v>239</v>
      </c>
      <c r="N344" s="260" t="s">
        <v>514</v>
      </c>
    </row>
    <row r="345" spans="1:14" ht="14.5" x14ac:dyDescent="0.35">
      <c r="A345" s="260" t="s">
        <v>563</v>
      </c>
      <c r="B345" s="190">
        <v>45770</v>
      </c>
      <c r="C345" s="260" t="s">
        <v>754</v>
      </c>
      <c r="D345" s="197">
        <v>100</v>
      </c>
      <c r="E345" s="197">
        <v>8008</v>
      </c>
      <c r="F345" s="197">
        <v>78.03</v>
      </c>
      <c r="G345" s="190">
        <v>45770</v>
      </c>
      <c r="H345" s="196">
        <v>0</v>
      </c>
      <c r="I345" s="197">
        <v>7803</v>
      </c>
      <c r="J345" s="197">
        <v>7803</v>
      </c>
      <c r="K345" s="197">
        <v>0</v>
      </c>
      <c r="L345" s="197">
        <v>-205</v>
      </c>
      <c r="M345" s="260" t="s">
        <v>239</v>
      </c>
      <c r="N345" s="260" t="s">
        <v>514</v>
      </c>
    </row>
    <row r="346" spans="1:14" ht="14.5" x14ac:dyDescent="0.35">
      <c r="A346" s="260" t="s">
        <v>563</v>
      </c>
      <c r="B346" s="190">
        <v>45771</v>
      </c>
      <c r="C346" s="260" t="s">
        <v>749</v>
      </c>
      <c r="D346" s="197">
        <v>150</v>
      </c>
      <c r="E346" s="197">
        <v>14915</v>
      </c>
      <c r="F346" s="197">
        <v>102.03</v>
      </c>
      <c r="G346" s="190">
        <v>45771</v>
      </c>
      <c r="H346" s="196">
        <v>0</v>
      </c>
      <c r="I346" s="197">
        <v>15304.5</v>
      </c>
      <c r="J346" s="197">
        <v>15304.5</v>
      </c>
      <c r="K346" s="197">
        <v>0</v>
      </c>
      <c r="L346" s="197">
        <v>389.5</v>
      </c>
      <c r="M346" s="260" t="s">
        <v>239</v>
      </c>
      <c r="N346" s="260" t="s">
        <v>514</v>
      </c>
    </row>
    <row r="347" spans="1:14" ht="14.5" x14ac:dyDescent="0.35">
      <c r="A347" s="260" t="s">
        <v>563</v>
      </c>
      <c r="B347" s="190">
        <v>45771</v>
      </c>
      <c r="C347" s="260" t="s">
        <v>752</v>
      </c>
      <c r="D347" s="197">
        <v>50</v>
      </c>
      <c r="E347" s="197">
        <v>10010</v>
      </c>
      <c r="F347" s="197">
        <v>189.28</v>
      </c>
      <c r="G347" s="190">
        <v>45771</v>
      </c>
      <c r="H347" s="196">
        <v>0</v>
      </c>
      <c r="I347" s="197">
        <v>9464</v>
      </c>
      <c r="J347" s="197">
        <v>9464</v>
      </c>
      <c r="K347" s="197">
        <v>0</v>
      </c>
      <c r="L347" s="197">
        <v>-546</v>
      </c>
      <c r="M347" s="260" t="s">
        <v>239</v>
      </c>
      <c r="N347" s="260" t="s">
        <v>514</v>
      </c>
    </row>
    <row r="348" spans="1:14" ht="14.5" x14ac:dyDescent="0.35">
      <c r="A348" s="260" t="s">
        <v>563</v>
      </c>
      <c r="B348" s="190">
        <v>45771</v>
      </c>
      <c r="C348" s="260" t="s">
        <v>754</v>
      </c>
      <c r="D348" s="197">
        <v>100</v>
      </c>
      <c r="E348" s="197">
        <v>8008</v>
      </c>
      <c r="F348" s="197">
        <v>78.17</v>
      </c>
      <c r="G348" s="190">
        <v>45771</v>
      </c>
      <c r="H348" s="196">
        <v>0</v>
      </c>
      <c r="I348" s="197">
        <v>7817</v>
      </c>
      <c r="J348" s="197">
        <v>7817</v>
      </c>
      <c r="K348" s="197">
        <v>0</v>
      </c>
      <c r="L348" s="197">
        <v>-191</v>
      </c>
      <c r="M348" s="260" t="s">
        <v>239</v>
      </c>
      <c r="N348" s="260" t="s">
        <v>514</v>
      </c>
    </row>
    <row r="349" spans="1:14" ht="14.5" x14ac:dyDescent="0.35">
      <c r="A349" s="260" t="s">
        <v>563</v>
      </c>
      <c r="B349" s="190">
        <v>45772</v>
      </c>
      <c r="C349" s="260" t="s">
        <v>749</v>
      </c>
      <c r="D349" s="197">
        <v>150</v>
      </c>
      <c r="E349" s="197">
        <v>14915</v>
      </c>
      <c r="F349" s="197">
        <v>101.86</v>
      </c>
      <c r="G349" s="190">
        <v>45772</v>
      </c>
      <c r="H349" s="196">
        <v>0</v>
      </c>
      <c r="I349" s="197">
        <v>15279</v>
      </c>
      <c r="J349" s="197">
        <v>15279</v>
      </c>
      <c r="K349" s="197">
        <v>0</v>
      </c>
      <c r="L349" s="197">
        <v>364</v>
      </c>
      <c r="M349" s="260" t="s">
        <v>239</v>
      </c>
      <c r="N349" s="260" t="s">
        <v>514</v>
      </c>
    </row>
    <row r="350" spans="1:14" ht="14.5" x14ac:dyDescent="0.35">
      <c r="A350" s="260" t="s">
        <v>563</v>
      </c>
      <c r="B350" s="190">
        <v>45772</v>
      </c>
      <c r="C350" s="260" t="s">
        <v>752</v>
      </c>
      <c r="D350" s="197">
        <v>50</v>
      </c>
      <c r="E350" s="197">
        <v>10010</v>
      </c>
      <c r="F350" s="197">
        <v>188.9</v>
      </c>
      <c r="G350" s="190">
        <v>45772</v>
      </c>
      <c r="H350" s="196">
        <v>0</v>
      </c>
      <c r="I350" s="197">
        <v>9445</v>
      </c>
      <c r="J350" s="197">
        <v>9445</v>
      </c>
      <c r="K350" s="197">
        <v>0</v>
      </c>
      <c r="L350" s="197">
        <v>-565</v>
      </c>
      <c r="M350" s="260" t="s">
        <v>239</v>
      </c>
      <c r="N350" s="260" t="s">
        <v>514</v>
      </c>
    </row>
    <row r="351" spans="1:14" ht="14.5" x14ac:dyDescent="0.35">
      <c r="A351" s="260" t="s">
        <v>563</v>
      </c>
      <c r="B351" s="190">
        <v>45772</v>
      </c>
      <c r="C351" s="260" t="s">
        <v>754</v>
      </c>
      <c r="D351" s="197">
        <v>100</v>
      </c>
      <c r="E351" s="197">
        <v>8008</v>
      </c>
      <c r="F351" s="197">
        <v>78.31</v>
      </c>
      <c r="G351" s="190">
        <v>45772</v>
      </c>
      <c r="H351" s="196">
        <v>0</v>
      </c>
      <c r="I351" s="197">
        <v>7831</v>
      </c>
      <c r="J351" s="197">
        <v>7831</v>
      </c>
      <c r="K351" s="197">
        <v>0</v>
      </c>
      <c r="L351" s="197">
        <v>-177</v>
      </c>
      <c r="M351" s="260" t="s">
        <v>239</v>
      </c>
      <c r="N351" s="260" t="s">
        <v>514</v>
      </c>
    </row>
    <row r="352" spans="1:14" ht="14.5" x14ac:dyDescent="0.35">
      <c r="A352" s="260" t="s">
        <v>563</v>
      </c>
      <c r="B352" s="190">
        <v>45773</v>
      </c>
      <c r="C352" s="260" t="s">
        <v>749</v>
      </c>
      <c r="D352" s="197">
        <v>150</v>
      </c>
      <c r="E352" s="197">
        <v>14915</v>
      </c>
      <c r="F352" s="197">
        <v>101.86</v>
      </c>
      <c r="G352" s="190">
        <v>45772</v>
      </c>
      <c r="H352" s="196">
        <v>1</v>
      </c>
      <c r="I352" s="197">
        <v>15279</v>
      </c>
      <c r="J352" s="197">
        <v>15279</v>
      </c>
      <c r="K352" s="197">
        <v>0</v>
      </c>
      <c r="L352" s="197">
        <v>364</v>
      </c>
      <c r="M352" s="260" t="s">
        <v>239</v>
      </c>
      <c r="N352" s="260" t="s">
        <v>514</v>
      </c>
    </row>
    <row r="353" spans="1:14" ht="14.5" x14ac:dyDescent="0.35">
      <c r="A353" s="260" t="s">
        <v>563</v>
      </c>
      <c r="B353" s="190">
        <v>45773</v>
      </c>
      <c r="C353" s="260" t="s">
        <v>752</v>
      </c>
      <c r="D353" s="197">
        <v>50</v>
      </c>
      <c r="E353" s="197">
        <v>10010</v>
      </c>
      <c r="F353" s="197">
        <v>188.9</v>
      </c>
      <c r="G353" s="190">
        <v>45772</v>
      </c>
      <c r="H353" s="196">
        <v>1</v>
      </c>
      <c r="I353" s="197">
        <v>9445</v>
      </c>
      <c r="J353" s="197">
        <v>9445</v>
      </c>
      <c r="K353" s="197">
        <v>0</v>
      </c>
      <c r="L353" s="197">
        <v>-565</v>
      </c>
      <c r="M353" s="260" t="s">
        <v>239</v>
      </c>
      <c r="N353" s="260" t="s">
        <v>514</v>
      </c>
    </row>
    <row r="354" spans="1:14" ht="14.5" x14ac:dyDescent="0.35">
      <c r="A354" s="260" t="s">
        <v>563</v>
      </c>
      <c r="B354" s="190">
        <v>45773</v>
      </c>
      <c r="C354" s="260" t="s">
        <v>754</v>
      </c>
      <c r="D354" s="197">
        <v>100</v>
      </c>
      <c r="E354" s="197">
        <v>8008</v>
      </c>
      <c r="F354" s="197">
        <v>78.31</v>
      </c>
      <c r="G354" s="190">
        <v>45772</v>
      </c>
      <c r="H354" s="196">
        <v>1</v>
      </c>
      <c r="I354" s="197">
        <v>7831</v>
      </c>
      <c r="J354" s="197">
        <v>7831</v>
      </c>
      <c r="K354" s="197">
        <v>0</v>
      </c>
      <c r="L354" s="197">
        <v>-177</v>
      </c>
      <c r="M354" s="260" t="s">
        <v>239</v>
      </c>
      <c r="N354" s="260" t="s">
        <v>514</v>
      </c>
    </row>
    <row r="355" spans="1:14" ht="14.5" x14ac:dyDescent="0.35">
      <c r="A355" s="260" t="s">
        <v>563</v>
      </c>
      <c r="B355" s="190">
        <v>45774</v>
      </c>
      <c r="C355" s="260" t="s">
        <v>749</v>
      </c>
      <c r="D355" s="197">
        <v>150</v>
      </c>
      <c r="E355" s="197">
        <v>14915</v>
      </c>
      <c r="F355" s="197">
        <v>101.86</v>
      </c>
      <c r="G355" s="190">
        <v>45772</v>
      </c>
      <c r="H355" s="196">
        <v>2</v>
      </c>
      <c r="I355" s="197">
        <v>15279</v>
      </c>
      <c r="J355" s="197">
        <v>15279</v>
      </c>
      <c r="K355" s="197">
        <v>0</v>
      </c>
      <c r="L355" s="197">
        <v>364</v>
      </c>
      <c r="M355" s="260" t="s">
        <v>239</v>
      </c>
      <c r="N355" s="260" t="s">
        <v>514</v>
      </c>
    </row>
    <row r="356" spans="1:14" ht="14.5" x14ac:dyDescent="0.35">
      <c r="A356" s="260" t="s">
        <v>563</v>
      </c>
      <c r="B356" s="190">
        <v>45774</v>
      </c>
      <c r="C356" s="260" t="s">
        <v>752</v>
      </c>
      <c r="D356" s="197">
        <v>50</v>
      </c>
      <c r="E356" s="197">
        <v>10010</v>
      </c>
      <c r="F356" s="197">
        <v>188.9</v>
      </c>
      <c r="G356" s="190">
        <v>45772</v>
      </c>
      <c r="H356" s="196">
        <v>2</v>
      </c>
      <c r="I356" s="197">
        <v>9445</v>
      </c>
      <c r="J356" s="197">
        <v>9445</v>
      </c>
      <c r="K356" s="197">
        <v>0</v>
      </c>
      <c r="L356" s="197">
        <v>-565</v>
      </c>
      <c r="M356" s="260" t="s">
        <v>239</v>
      </c>
      <c r="N356" s="260" t="s">
        <v>514</v>
      </c>
    </row>
    <row r="357" spans="1:14" ht="14.5" x14ac:dyDescent="0.35">
      <c r="A357" s="260" t="s">
        <v>563</v>
      </c>
      <c r="B357" s="190">
        <v>45774</v>
      </c>
      <c r="C357" s="260" t="s">
        <v>754</v>
      </c>
      <c r="D357" s="197">
        <v>100</v>
      </c>
      <c r="E357" s="197">
        <v>8008</v>
      </c>
      <c r="F357" s="197">
        <v>78.31</v>
      </c>
      <c r="G357" s="190">
        <v>45772</v>
      </c>
      <c r="H357" s="196">
        <v>2</v>
      </c>
      <c r="I357" s="197">
        <v>7831</v>
      </c>
      <c r="J357" s="197">
        <v>7831</v>
      </c>
      <c r="K357" s="197">
        <v>0</v>
      </c>
      <c r="L357" s="197">
        <v>-177</v>
      </c>
      <c r="M357" s="260" t="s">
        <v>239</v>
      </c>
      <c r="N357" s="260" t="s">
        <v>514</v>
      </c>
    </row>
    <row r="358" spans="1:14" ht="14.5" x14ac:dyDescent="0.35">
      <c r="A358" s="260" t="s">
        <v>563</v>
      </c>
      <c r="B358" s="190">
        <v>45775</v>
      </c>
      <c r="C358" s="260" t="s">
        <v>749</v>
      </c>
      <c r="D358" s="197">
        <v>150</v>
      </c>
      <c r="E358" s="197">
        <v>14915</v>
      </c>
      <c r="F358" s="197">
        <v>101.34</v>
      </c>
      <c r="G358" s="190">
        <v>45775</v>
      </c>
      <c r="H358" s="196">
        <v>0</v>
      </c>
      <c r="I358" s="197">
        <v>15201</v>
      </c>
      <c r="J358" s="197">
        <v>15201</v>
      </c>
      <c r="K358" s="197">
        <v>0</v>
      </c>
      <c r="L358" s="197">
        <v>286</v>
      </c>
      <c r="M358" s="260" t="s">
        <v>239</v>
      </c>
      <c r="N358" s="260" t="s">
        <v>514</v>
      </c>
    </row>
    <row r="359" spans="1:14" ht="14.5" x14ac:dyDescent="0.35">
      <c r="A359" s="260" t="s">
        <v>563</v>
      </c>
      <c r="B359" s="190">
        <v>45775</v>
      </c>
      <c r="C359" s="260" t="s">
        <v>752</v>
      </c>
      <c r="D359" s="197">
        <v>50</v>
      </c>
      <c r="E359" s="197">
        <v>10010</v>
      </c>
      <c r="F359" s="197">
        <v>187.76</v>
      </c>
      <c r="G359" s="190">
        <v>45775</v>
      </c>
      <c r="H359" s="196">
        <v>0</v>
      </c>
      <c r="I359" s="197">
        <v>9388</v>
      </c>
      <c r="J359" s="197">
        <v>9388</v>
      </c>
      <c r="K359" s="197">
        <v>0</v>
      </c>
      <c r="L359" s="197">
        <v>-622</v>
      </c>
      <c r="M359" s="260" t="s">
        <v>239</v>
      </c>
      <c r="N359" s="260" t="s">
        <v>514</v>
      </c>
    </row>
    <row r="360" spans="1:14" ht="14.5" x14ac:dyDescent="0.35">
      <c r="A360" s="260" t="s">
        <v>563</v>
      </c>
      <c r="B360" s="190">
        <v>45775</v>
      </c>
      <c r="C360" s="260" t="s">
        <v>754</v>
      </c>
      <c r="D360" s="197">
        <v>100</v>
      </c>
      <c r="E360" s="197">
        <v>8008</v>
      </c>
      <c r="F360" s="197">
        <v>78.72</v>
      </c>
      <c r="G360" s="190">
        <v>45775</v>
      </c>
      <c r="H360" s="196">
        <v>0</v>
      </c>
      <c r="I360" s="197">
        <v>7872</v>
      </c>
      <c r="J360" s="197">
        <v>7872</v>
      </c>
      <c r="K360" s="197">
        <v>0</v>
      </c>
      <c r="L360" s="197">
        <v>-136</v>
      </c>
      <c r="M360" s="260" t="s">
        <v>239</v>
      </c>
      <c r="N360" s="260" t="s">
        <v>514</v>
      </c>
    </row>
    <row r="361" spans="1:14" ht="14.5" x14ac:dyDescent="0.35">
      <c r="A361" s="260" t="s">
        <v>563</v>
      </c>
      <c r="B361" s="190">
        <v>45776</v>
      </c>
      <c r="C361" s="260" t="s">
        <v>749</v>
      </c>
      <c r="D361" s="197">
        <v>150</v>
      </c>
      <c r="E361" s="197">
        <v>14915</v>
      </c>
      <c r="F361" s="197">
        <v>101.17</v>
      </c>
      <c r="G361" s="190">
        <v>45776</v>
      </c>
      <c r="H361" s="196">
        <v>0</v>
      </c>
      <c r="I361" s="197">
        <v>15175.5</v>
      </c>
      <c r="J361" s="197">
        <v>15175.5</v>
      </c>
      <c r="K361" s="197">
        <v>0</v>
      </c>
      <c r="L361" s="197">
        <v>260.5</v>
      </c>
      <c r="M361" s="260" t="s">
        <v>239</v>
      </c>
      <c r="N361" s="260" t="s">
        <v>514</v>
      </c>
    </row>
    <row r="362" spans="1:14" ht="14.5" x14ac:dyDescent="0.35">
      <c r="A362" s="260" t="s">
        <v>563</v>
      </c>
      <c r="B362" s="190">
        <v>45776</v>
      </c>
      <c r="C362" s="260" t="s">
        <v>752</v>
      </c>
      <c r="D362" s="197">
        <v>50</v>
      </c>
      <c r="E362" s="197">
        <v>10010</v>
      </c>
      <c r="F362" s="197">
        <v>187.38</v>
      </c>
      <c r="G362" s="190">
        <v>45776</v>
      </c>
      <c r="H362" s="196">
        <v>0</v>
      </c>
      <c r="I362" s="197">
        <v>9369</v>
      </c>
      <c r="J362" s="197">
        <v>9369</v>
      </c>
      <c r="K362" s="197">
        <v>0</v>
      </c>
      <c r="L362" s="197">
        <v>-641</v>
      </c>
      <c r="M362" s="260" t="s">
        <v>239</v>
      </c>
      <c r="N362" s="260" t="s">
        <v>514</v>
      </c>
    </row>
    <row r="363" spans="1:14" ht="14.5" x14ac:dyDescent="0.35">
      <c r="A363" s="260" t="s">
        <v>563</v>
      </c>
      <c r="B363" s="190">
        <v>45776</v>
      </c>
      <c r="C363" s="260" t="s">
        <v>754</v>
      </c>
      <c r="D363" s="197">
        <v>100</v>
      </c>
      <c r="E363" s="197">
        <v>8008</v>
      </c>
      <c r="F363" s="197">
        <v>78.86</v>
      </c>
      <c r="G363" s="190">
        <v>45776</v>
      </c>
      <c r="H363" s="196">
        <v>0</v>
      </c>
      <c r="I363" s="197">
        <v>7886</v>
      </c>
      <c r="J363" s="197">
        <v>7886</v>
      </c>
      <c r="K363" s="197">
        <v>0</v>
      </c>
      <c r="L363" s="197">
        <v>-122</v>
      </c>
      <c r="M363" s="260" t="s">
        <v>239</v>
      </c>
      <c r="N363" s="260" t="s">
        <v>514</v>
      </c>
    </row>
    <row r="364" spans="1:14" ht="14.5" x14ac:dyDescent="0.35">
      <c r="A364" s="260" t="s">
        <v>563</v>
      </c>
      <c r="B364" s="190">
        <v>45777</v>
      </c>
      <c r="C364" s="260" t="s">
        <v>749</v>
      </c>
      <c r="D364" s="197">
        <v>150</v>
      </c>
      <c r="E364" s="197">
        <v>14915</v>
      </c>
      <c r="F364" s="197">
        <v>101</v>
      </c>
      <c r="G364" s="190">
        <v>45777</v>
      </c>
      <c r="H364" s="196">
        <v>0</v>
      </c>
      <c r="I364" s="197">
        <v>15150</v>
      </c>
      <c r="J364" s="197">
        <v>15150</v>
      </c>
      <c r="K364" s="197">
        <v>0</v>
      </c>
      <c r="L364" s="197">
        <v>235</v>
      </c>
      <c r="M364" s="260" t="s">
        <v>239</v>
      </c>
      <c r="N364" s="260" t="s">
        <v>514</v>
      </c>
    </row>
    <row r="365" spans="1:14" ht="14.5" x14ac:dyDescent="0.35">
      <c r="A365" s="260" t="s">
        <v>563</v>
      </c>
      <c r="B365" s="190">
        <v>45777</v>
      </c>
      <c r="C365" s="260" t="s">
        <v>752</v>
      </c>
      <c r="D365" s="197">
        <v>50</v>
      </c>
      <c r="E365" s="197">
        <v>10010</v>
      </c>
      <c r="F365" s="197">
        <v>187</v>
      </c>
      <c r="G365" s="190">
        <v>45777</v>
      </c>
      <c r="H365" s="196">
        <v>0</v>
      </c>
      <c r="I365" s="197">
        <v>9350</v>
      </c>
      <c r="J365" s="197">
        <v>9350</v>
      </c>
      <c r="K365" s="197">
        <v>0</v>
      </c>
      <c r="L365" s="197">
        <v>-660</v>
      </c>
      <c r="M365" s="260" t="s">
        <v>239</v>
      </c>
      <c r="N365" s="260" t="s">
        <v>514</v>
      </c>
    </row>
    <row r="366" spans="1:14" ht="14.5" x14ac:dyDescent="0.35">
      <c r="A366" s="260" t="s">
        <v>563</v>
      </c>
      <c r="B366" s="190">
        <v>45777</v>
      </c>
      <c r="C366" s="260" t="s">
        <v>754</v>
      </c>
      <c r="D366" s="197">
        <v>100</v>
      </c>
      <c r="E366" s="197">
        <v>8008</v>
      </c>
      <c r="F366" s="197">
        <v>79</v>
      </c>
      <c r="G366" s="190">
        <v>45777</v>
      </c>
      <c r="H366" s="196">
        <v>0</v>
      </c>
      <c r="I366" s="197">
        <v>7900</v>
      </c>
      <c r="J366" s="197">
        <v>7900</v>
      </c>
      <c r="K366" s="197">
        <v>0</v>
      </c>
      <c r="L366" s="197">
        <v>-108</v>
      </c>
      <c r="M366" s="260" t="s">
        <v>239</v>
      </c>
      <c r="N366" s="260" t="s">
        <v>514</v>
      </c>
    </row>
    <row r="367" spans="1:14" ht="14.5" x14ac:dyDescent="0.35">
      <c r="A367" s="260" t="s">
        <v>563</v>
      </c>
      <c r="B367" s="190">
        <v>45778</v>
      </c>
      <c r="C367" s="260" t="s">
        <v>749</v>
      </c>
      <c r="D367" s="197">
        <v>150</v>
      </c>
      <c r="E367" s="197">
        <v>14915</v>
      </c>
      <c r="F367" s="197">
        <v>101</v>
      </c>
      <c r="G367" s="190">
        <v>45778</v>
      </c>
      <c r="H367" s="196">
        <v>0</v>
      </c>
      <c r="I367" s="197">
        <v>15150</v>
      </c>
      <c r="J367" s="197">
        <v>15150</v>
      </c>
      <c r="K367" s="197">
        <v>0</v>
      </c>
      <c r="L367" s="197">
        <v>235</v>
      </c>
      <c r="M367" s="260" t="s">
        <v>239</v>
      </c>
      <c r="N367" s="260" t="s">
        <v>514</v>
      </c>
    </row>
    <row r="368" spans="1:14" ht="14.5" x14ac:dyDescent="0.35">
      <c r="A368" s="260" t="s">
        <v>563</v>
      </c>
      <c r="B368" s="190">
        <v>45778</v>
      </c>
      <c r="C368" s="260" t="s">
        <v>752</v>
      </c>
      <c r="D368" s="197">
        <v>50</v>
      </c>
      <c r="E368" s="197">
        <v>10010</v>
      </c>
      <c r="F368" s="197">
        <v>187</v>
      </c>
      <c r="G368" s="190">
        <v>45778</v>
      </c>
      <c r="H368" s="196">
        <v>0</v>
      </c>
      <c r="I368" s="197">
        <v>9350</v>
      </c>
      <c r="J368" s="197">
        <v>9350</v>
      </c>
      <c r="K368" s="197">
        <v>0</v>
      </c>
      <c r="L368" s="197">
        <v>-660</v>
      </c>
      <c r="M368" s="260" t="s">
        <v>239</v>
      </c>
      <c r="N368" s="260" t="s">
        <v>514</v>
      </c>
    </row>
    <row r="369" spans="1:14" ht="14.5" x14ac:dyDescent="0.35">
      <c r="A369" s="260" t="s">
        <v>563</v>
      </c>
      <c r="B369" s="190">
        <v>45778</v>
      </c>
      <c r="C369" s="260" t="s">
        <v>754</v>
      </c>
      <c r="D369" s="197">
        <v>100</v>
      </c>
      <c r="E369" s="197">
        <v>8008</v>
      </c>
      <c r="F369" s="197">
        <v>79</v>
      </c>
      <c r="G369" s="190">
        <v>45778</v>
      </c>
      <c r="H369" s="196">
        <v>0</v>
      </c>
      <c r="I369" s="197">
        <v>7900</v>
      </c>
      <c r="J369" s="197">
        <v>7900</v>
      </c>
      <c r="K369" s="197">
        <v>0</v>
      </c>
      <c r="L369" s="197">
        <v>-108</v>
      </c>
      <c r="M369" s="260" t="s">
        <v>239</v>
      </c>
      <c r="N369" s="260" t="s">
        <v>514</v>
      </c>
    </row>
    <row r="370" spans="1:14" ht="14.5" x14ac:dyDescent="0.35">
      <c r="A370" s="260" t="s">
        <v>563</v>
      </c>
      <c r="B370" s="190">
        <v>45779</v>
      </c>
      <c r="C370" s="260" t="s">
        <v>749</v>
      </c>
      <c r="D370" s="197">
        <v>150</v>
      </c>
      <c r="E370" s="197">
        <v>14915</v>
      </c>
      <c r="F370" s="197">
        <v>100.93</v>
      </c>
      <c r="G370" s="190">
        <v>45779</v>
      </c>
      <c r="H370" s="196">
        <v>0</v>
      </c>
      <c r="I370" s="197">
        <v>15139.500000000002</v>
      </c>
      <c r="J370" s="197">
        <v>15139.500000000002</v>
      </c>
      <c r="K370" s="197">
        <v>0</v>
      </c>
      <c r="L370" s="197">
        <v>224.50000000000182</v>
      </c>
      <c r="M370" s="260" t="s">
        <v>239</v>
      </c>
      <c r="N370" s="260" t="s">
        <v>514</v>
      </c>
    </row>
    <row r="371" spans="1:14" ht="14.5" x14ac:dyDescent="0.35">
      <c r="A371" s="260" t="s">
        <v>563</v>
      </c>
      <c r="B371" s="190">
        <v>45779</v>
      </c>
      <c r="C371" s="260" t="s">
        <v>752</v>
      </c>
      <c r="D371" s="197">
        <v>50</v>
      </c>
      <c r="E371" s="197">
        <v>10010</v>
      </c>
      <c r="F371" s="197">
        <v>187.2</v>
      </c>
      <c r="G371" s="190">
        <v>45779</v>
      </c>
      <c r="H371" s="196">
        <v>0</v>
      </c>
      <c r="I371" s="197">
        <v>9360</v>
      </c>
      <c r="J371" s="197">
        <v>9360</v>
      </c>
      <c r="K371" s="197">
        <v>0</v>
      </c>
      <c r="L371" s="197">
        <v>-650</v>
      </c>
      <c r="M371" s="260" t="s">
        <v>239</v>
      </c>
      <c r="N371" s="260" t="s">
        <v>514</v>
      </c>
    </row>
    <row r="372" spans="1:14" ht="14.5" x14ac:dyDescent="0.35">
      <c r="A372" s="260" t="s">
        <v>563</v>
      </c>
      <c r="B372" s="190">
        <v>45779</v>
      </c>
      <c r="C372" s="260" t="s">
        <v>754</v>
      </c>
      <c r="D372" s="197">
        <v>100</v>
      </c>
      <c r="E372" s="197">
        <v>8008</v>
      </c>
      <c r="F372" s="197">
        <v>79.2</v>
      </c>
      <c r="G372" s="190">
        <v>45779</v>
      </c>
      <c r="H372" s="196">
        <v>0</v>
      </c>
      <c r="I372" s="197">
        <v>7920</v>
      </c>
      <c r="J372" s="197">
        <v>7920</v>
      </c>
      <c r="K372" s="197">
        <v>0</v>
      </c>
      <c r="L372" s="197">
        <v>-88</v>
      </c>
      <c r="M372" s="260" t="s">
        <v>239</v>
      </c>
      <c r="N372" s="260" t="s">
        <v>514</v>
      </c>
    </row>
    <row r="373" spans="1:14" ht="14.5" x14ac:dyDescent="0.35">
      <c r="A373" s="260" t="s">
        <v>563</v>
      </c>
      <c r="B373" s="190">
        <v>45780</v>
      </c>
      <c r="C373" s="260" t="s">
        <v>749</v>
      </c>
      <c r="D373" s="197">
        <v>150</v>
      </c>
      <c r="E373" s="197">
        <v>14915</v>
      </c>
      <c r="F373" s="197">
        <v>100.93</v>
      </c>
      <c r="G373" s="190">
        <v>45779</v>
      </c>
      <c r="H373" s="196">
        <v>1</v>
      </c>
      <c r="I373" s="197">
        <v>15139.500000000002</v>
      </c>
      <c r="J373" s="197">
        <v>15139.500000000002</v>
      </c>
      <c r="K373" s="197">
        <v>0</v>
      </c>
      <c r="L373" s="197">
        <v>224.50000000000182</v>
      </c>
      <c r="M373" s="260" t="s">
        <v>239</v>
      </c>
      <c r="N373" s="260" t="s">
        <v>514</v>
      </c>
    </row>
    <row r="374" spans="1:14" ht="14.5" x14ac:dyDescent="0.35">
      <c r="A374" s="260" t="s">
        <v>563</v>
      </c>
      <c r="B374" s="190">
        <v>45780</v>
      </c>
      <c r="C374" s="260" t="s">
        <v>752</v>
      </c>
      <c r="D374" s="197">
        <v>50</v>
      </c>
      <c r="E374" s="197">
        <v>10010</v>
      </c>
      <c r="F374" s="197">
        <v>187.2</v>
      </c>
      <c r="G374" s="190">
        <v>45779</v>
      </c>
      <c r="H374" s="196">
        <v>1</v>
      </c>
      <c r="I374" s="197">
        <v>9360</v>
      </c>
      <c r="J374" s="197">
        <v>9360</v>
      </c>
      <c r="K374" s="197">
        <v>0</v>
      </c>
      <c r="L374" s="197">
        <v>-650</v>
      </c>
      <c r="M374" s="260" t="s">
        <v>239</v>
      </c>
      <c r="N374" s="260" t="s">
        <v>514</v>
      </c>
    </row>
    <row r="375" spans="1:14" ht="14.5" x14ac:dyDescent="0.35">
      <c r="A375" s="260" t="s">
        <v>563</v>
      </c>
      <c r="B375" s="190">
        <v>45780</v>
      </c>
      <c r="C375" s="260" t="s">
        <v>754</v>
      </c>
      <c r="D375" s="197">
        <v>100</v>
      </c>
      <c r="E375" s="197">
        <v>8008</v>
      </c>
      <c r="F375" s="197">
        <v>79.2</v>
      </c>
      <c r="G375" s="190">
        <v>45779</v>
      </c>
      <c r="H375" s="196">
        <v>1</v>
      </c>
      <c r="I375" s="197">
        <v>7920</v>
      </c>
      <c r="J375" s="197">
        <v>7920</v>
      </c>
      <c r="K375" s="197">
        <v>0</v>
      </c>
      <c r="L375" s="197">
        <v>-88</v>
      </c>
      <c r="M375" s="260" t="s">
        <v>239</v>
      </c>
      <c r="N375" s="260" t="s">
        <v>514</v>
      </c>
    </row>
    <row r="376" spans="1:14" ht="14.5" x14ac:dyDescent="0.35">
      <c r="A376" s="260" t="s">
        <v>563</v>
      </c>
      <c r="B376" s="190">
        <v>45781</v>
      </c>
      <c r="C376" s="260" t="s">
        <v>749</v>
      </c>
      <c r="D376" s="197">
        <v>150</v>
      </c>
      <c r="E376" s="197">
        <v>14915</v>
      </c>
      <c r="F376" s="197">
        <v>100.93</v>
      </c>
      <c r="G376" s="190">
        <v>45779</v>
      </c>
      <c r="H376" s="196">
        <v>2</v>
      </c>
      <c r="I376" s="197">
        <v>15139.500000000002</v>
      </c>
      <c r="J376" s="197">
        <v>15139.500000000002</v>
      </c>
      <c r="K376" s="197">
        <v>0</v>
      </c>
      <c r="L376" s="197">
        <v>224.50000000000182</v>
      </c>
      <c r="M376" s="260" t="s">
        <v>239</v>
      </c>
      <c r="N376" s="260" t="s">
        <v>514</v>
      </c>
    </row>
    <row r="377" spans="1:14" ht="14.5" x14ac:dyDescent="0.35">
      <c r="A377" s="260" t="s">
        <v>563</v>
      </c>
      <c r="B377" s="190">
        <v>45781</v>
      </c>
      <c r="C377" s="260" t="s">
        <v>752</v>
      </c>
      <c r="D377" s="197">
        <v>50</v>
      </c>
      <c r="E377" s="197">
        <v>10010</v>
      </c>
      <c r="F377" s="197">
        <v>187.2</v>
      </c>
      <c r="G377" s="190">
        <v>45779</v>
      </c>
      <c r="H377" s="196">
        <v>2</v>
      </c>
      <c r="I377" s="197">
        <v>9360</v>
      </c>
      <c r="J377" s="197">
        <v>9360</v>
      </c>
      <c r="K377" s="197">
        <v>0</v>
      </c>
      <c r="L377" s="197">
        <v>-650</v>
      </c>
      <c r="M377" s="260" t="s">
        <v>239</v>
      </c>
      <c r="N377" s="260" t="s">
        <v>514</v>
      </c>
    </row>
    <row r="378" spans="1:14" ht="14.5" x14ac:dyDescent="0.35">
      <c r="A378" s="260" t="s">
        <v>563</v>
      </c>
      <c r="B378" s="190">
        <v>45781</v>
      </c>
      <c r="C378" s="260" t="s">
        <v>754</v>
      </c>
      <c r="D378" s="197">
        <v>100</v>
      </c>
      <c r="E378" s="197">
        <v>8008</v>
      </c>
      <c r="F378" s="197">
        <v>79.2</v>
      </c>
      <c r="G378" s="190">
        <v>45779</v>
      </c>
      <c r="H378" s="196">
        <v>2</v>
      </c>
      <c r="I378" s="197">
        <v>7920</v>
      </c>
      <c r="J378" s="197">
        <v>7920</v>
      </c>
      <c r="K378" s="197">
        <v>0</v>
      </c>
      <c r="L378" s="197">
        <v>-88</v>
      </c>
      <c r="M378" s="260" t="s">
        <v>239</v>
      </c>
      <c r="N378" s="260" t="s">
        <v>514</v>
      </c>
    </row>
    <row r="379" spans="1:14" ht="14.5" x14ac:dyDescent="0.35">
      <c r="A379" s="260" t="s">
        <v>563</v>
      </c>
      <c r="B379" s="190">
        <v>45782</v>
      </c>
      <c r="C379" s="260" t="s">
        <v>749</v>
      </c>
      <c r="D379" s="197">
        <v>150</v>
      </c>
      <c r="E379" s="197">
        <v>14915</v>
      </c>
      <c r="F379" s="197">
        <v>100.73</v>
      </c>
      <c r="G379" s="190">
        <v>45782</v>
      </c>
      <c r="H379" s="196">
        <v>0</v>
      </c>
      <c r="I379" s="197">
        <v>15109.5</v>
      </c>
      <c r="J379" s="197">
        <v>15109.5</v>
      </c>
      <c r="K379" s="197">
        <v>0</v>
      </c>
      <c r="L379" s="197">
        <v>194.5</v>
      </c>
      <c r="M379" s="260" t="s">
        <v>239</v>
      </c>
      <c r="N379" s="260" t="s">
        <v>514</v>
      </c>
    </row>
    <row r="380" spans="1:14" ht="14.5" x14ac:dyDescent="0.35">
      <c r="A380" s="260" t="s">
        <v>563</v>
      </c>
      <c r="B380" s="190">
        <v>45782</v>
      </c>
      <c r="C380" s="260" t="s">
        <v>752</v>
      </c>
      <c r="D380" s="197">
        <v>50</v>
      </c>
      <c r="E380" s="197">
        <v>10010</v>
      </c>
      <c r="F380" s="197">
        <v>187.8</v>
      </c>
      <c r="G380" s="190">
        <v>45782</v>
      </c>
      <c r="H380" s="196">
        <v>0</v>
      </c>
      <c r="I380" s="197">
        <v>9390</v>
      </c>
      <c r="J380" s="197">
        <v>9390</v>
      </c>
      <c r="K380" s="197">
        <v>0</v>
      </c>
      <c r="L380" s="197">
        <v>-620</v>
      </c>
      <c r="M380" s="260" t="s">
        <v>239</v>
      </c>
      <c r="N380" s="260" t="s">
        <v>514</v>
      </c>
    </row>
    <row r="381" spans="1:14" ht="14.5" x14ac:dyDescent="0.35">
      <c r="A381" s="260" t="s">
        <v>563</v>
      </c>
      <c r="B381" s="190">
        <v>45782</v>
      </c>
      <c r="C381" s="260" t="s">
        <v>754</v>
      </c>
      <c r="D381" s="197">
        <v>100</v>
      </c>
      <c r="E381" s="197">
        <v>8008</v>
      </c>
      <c r="F381" s="197">
        <v>79.8</v>
      </c>
      <c r="G381" s="190">
        <v>45782</v>
      </c>
      <c r="H381" s="196">
        <v>0</v>
      </c>
      <c r="I381" s="197">
        <v>7980</v>
      </c>
      <c r="J381" s="197">
        <v>7980</v>
      </c>
      <c r="K381" s="197">
        <v>0</v>
      </c>
      <c r="L381" s="197">
        <v>-28</v>
      </c>
      <c r="M381" s="260" t="s">
        <v>239</v>
      </c>
      <c r="N381" s="260" t="s">
        <v>514</v>
      </c>
    </row>
    <row r="382" spans="1:14" ht="14.5" x14ac:dyDescent="0.35">
      <c r="A382" s="260" t="s">
        <v>563</v>
      </c>
      <c r="B382" s="190">
        <v>45783</v>
      </c>
      <c r="C382" s="260" t="s">
        <v>749</v>
      </c>
      <c r="D382" s="197">
        <v>150</v>
      </c>
      <c r="E382" s="197">
        <v>14915</v>
      </c>
      <c r="F382" s="197">
        <v>100.67</v>
      </c>
      <c r="G382" s="190">
        <v>45783</v>
      </c>
      <c r="H382" s="196">
        <v>0</v>
      </c>
      <c r="I382" s="197">
        <v>15100.5</v>
      </c>
      <c r="J382" s="197">
        <v>15100.5</v>
      </c>
      <c r="K382" s="197">
        <v>0</v>
      </c>
      <c r="L382" s="197">
        <v>185.5</v>
      </c>
      <c r="M382" s="260" t="s">
        <v>239</v>
      </c>
      <c r="N382" s="260" t="s">
        <v>514</v>
      </c>
    </row>
    <row r="383" spans="1:14" ht="14.5" x14ac:dyDescent="0.35">
      <c r="A383" s="260" t="s">
        <v>563</v>
      </c>
      <c r="B383" s="190">
        <v>45783</v>
      </c>
      <c r="C383" s="260" t="s">
        <v>752</v>
      </c>
      <c r="D383" s="197">
        <v>50</v>
      </c>
      <c r="E383" s="197">
        <v>10010</v>
      </c>
      <c r="F383" s="197">
        <v>188</v>
      </c>
      <c r="G383" s="190">
        <v>45783</v>
      </c>
      <c r="H383" s="196">
        <v>0</v>
      </c>
      <c r="I383" s="197">
        <v>9400</v>
      </c>
      <c r="J383" s="197">
        <v>9400</v>
      </c>
      <c r="K383" s="197">
        <v>0</v>
      </c>
      <c r="L383" s="197">
        <v>-610</v>
      </c>
      <c r="M383" s="260" t="s">
        <v>239</v>
      </c>
      <c r="N383" s="260" t="s">
        <v>514</v>
      </c>
    </row>
    <row r="384" spans="1:14" ht="14.5" x14ac:dyDescent="0.35">
      <c r="A384" s="260" t="s">
        <v>563</v>
      </c>
      <c r="B384" s="190">
        <v>45783</v>
      </c>
      <c r="C384" s="260" t="s">
        <v>754</v>
      </c>
      <c r="D384" s="197">
        <v>100</v>
      </c>
      <c r="E384" s="197">
        <v>8008</v>
      </c>
      <c r="F384" s="197">
        <v>80</v>
      </c>
      <c r="G384" s="190">
        <v>45783</v>
      </c>
      <c r="H384" s="196">
        <v>0</v>
      </c>
      <c r="I384" s="197">
        <v>8000</v>
      </c>
      <c r="J384" s="197">
        <v>8000</v>
      </c>
      <c r="K384" s="197">
        <v>0</v>
      </c>
      <c r="L384" s="197">
        <v>-8</v>
      </c>
      <c r="M384" s="260" t="s">
        <v>239</v>
      </c>
      <c r="N384" s="260" t="s">
        <v>514</v>
      </c>
    </row>
    <row r="385" spans="1:14" ht="14.5" x14ac:dyDescent="0.35">
      <c r="A385" s="260" t="s">
        <v>563</v>
      </c>
      <c r="B385" s="190">
        <v>45784</v>
      </c>
      <c r="C385" s="260" t="s">
        <v>749</v>
      </c>
      <c r="D385" s="197">
        <v>150</v>
      </c>
      <c r="E385" s="197">
        <v>14915</v>
      </c>
      <c r="F385" s="197">
        <v>100.6</v>
      </c>
      <c r="G385" s="190">
        <v>45784</v>
      </c>
      <c r="H385" s="196">
        <v>0</v>
      </c>
      <c r="I385" s="197">
        <v>15090</v>
      </c>
      <c r="J385" s="197">
        <v>15090</v>
      </c>
      <c r="K385" s="197">
        <v>0</v>
      </c>
      <c r="L385" s="197">
        <v>175</v>
      </c>
      <c r="M385" s="260" t="s">
        <v>239</v>
      </c>
      <c r="N385" s="260" t="s">
        <v>514</v>
      </c>
    </row>
    <row r="386" spans="1:14" ht="14.5" x14ac:dyDescent="0.35">
      <c r="A386" s="260" t="s">
        <v>563</v>
      </c>
      <c r="B386" s="190">
        <v>45784</v>
      </c>
      <c r="C386" s="260" t="s">
        <v>752</v>
      </c>
      <c r="D386" s="197">
        <v>50</v>
      </c>
      <c r="E386" s="197">
        <v>10010</v>
      </c>
      <c r="F386" s="197">
        <v>188.2</v>
      </c>
      <c r="G386" s="190">
        <v>45784</v>
      </c>
      <c r="H386" s="196">
        <v>0</v>
      </c>
      <c r="I386" s="197">
        <v>9410</v>
      </c>
      <c r="J386" s="197">
        <v>9410</v>
      </c>
      <c r="K386" s="197">
        <v>0</v>
      </c>
      <c r="L386" s="197">
        <v>-600</v>
      </c>
      <c r="M386" s="260" t="s">
        <v>239</v>
      </c>
      <c r="N386" s="260" t="s">
        <v>514</v>
      </c>
    </row>
    <row r="387" spans="1:14" ht="14.5" x14ac:dyDescent="0.35">
      <c r="A387" s="260" t="s">
        <v>563</v>
      </c>
      <c r="B387" s="190">
        <v>45784</v>
      </c>
      <c r="C387" s="260" t="s">
        <v>754</v>
      </c>
      <c r="D387" s="197">
        <v>100</v>
      </c>
      <c r="E387" s="197">
        <v>8008</v>
      </c>
      <c r="F387" s="197">
        <v>80.2</v>
      </c>
      <c r="G387" s="190">
        <v>45784</v>
      </c>
      <c r="H387" s="196">
        <v>0</v>
      </c>
      <c r="I387" s="197">
        <v>8020</v>
      </c>
      <c r="J387" s="197">
        <v>8020</v>
      </c>
      <c r="K387" s="197">
        <v>0</v>
      </c>
      <c r="L387" s="197">
        <v>12</v>
      </c>
      <c r="M387" s="260" t="s">
        <v>239</v>
      </c>
      <c r="N387" s="260" t="s">
        <v>514</v>
      </c>
    </row>
    <row r="388" spans="1:14" ht="14.5" x14ac:dyDescent="0.35">
      <c r="A388" s="260" t="s">
        <v>563</v>
      </c>
      <c r="B388" s="190">
        <v>45785</v>
      </c>
      <c r="C388" s="260" t="s">
        <v>749</v>
      </c>
      <c r="D388" s="197">
        <v>150</v>
      </c>
      <c r="E388" s="197">
        <v>14915</v>
      </c>
      <c r="F388" s="197">
        <v>100.53</v>
      </c>
      <c r="G388" s="190">
        <v>45785</v>
      </c>
      <c r="H388" s="196">
        <v>0</v>
      </c>
      <c r="I388" s="197">
        <v>15079.5</v>
      </c>
      <c r="J388" s="197">
        <v>15079.5</v>
      </c>
      <c r="K388" s="197">
        <v>0</v>
      </c>
      <c r="L388" s="197">
        <v>164.5</v>
      </c>
      <c r="M388" s="260" t="s">
        <v>239</v>
      </c>
      <c r="N388" s="260" t="s">
        <v>514</v>
      </c>
    </row>
    <row r="389" spans="1:14" ht="14.5" x14ac:dyDescent="0.35">
      <c r="A389" s="260" t="s">
        <v>563</v>
      </c>
      <c r="B389" s="190">
        <v>45785</v>
      </c>
      <c r="C389" s="260" t="s">
        <v>752</v>
      </c>
      <c r="D389" s="197">
        <v>50</v>
      </c>
      <c r="E389" s="197">
        <v>10010</v>
      </c>
      <c r="F389" s="197">
        <v>188.4</v>
      </c>
      <c r="G389" s="190">
        <v>45785</v>
      </c>
      <c r="H389" s="196">
        <v>0</v>
      </c>
      <c r="I389" s="197">
        <v>9420</v>
      </c>
      <c r="J389" s="197">
        <v>9420</v>
      </c>
      <c r="K389" s="197">
        <v>0</v>
      </c>
      <c r="L389" s="197">
        <v>-590</v>
      </c>
      <c r="M389" s="260" t="s">
        <v>239</v>
      </c>
      <c r="N389" s="260" t="s">
        <v>514</v>
      </c>
    </row>
    <row r="390" spans="1:14" ht="14.5" x14ac:dyDescent="0.35">
      <c r="A390" s="260" t="s">
        <v>563</v>
      </c>
      <c r="B390" s="190">
        <v>45785</v>
      </c>
      <c r="C390" s="260" t="s">
        <v>754</v>
      </c>
      <c r="D390" s="197">
        <v>100</v>
      </c>
      <c r="E390" s="197">
        <v>8008</v>
      </c>
      <c r="F390" s="197">
        <v>80.400000000000006</v>
      </c>
      <c r="G390" s="190">
        <v>45785</v>
      </c>
      <c r="H390" s="196">
        <v>0</v>
      </c>
      <c r="I390" s="197">
        <v>8040.0000000000009</v>
      </c>
      <c r="J390" s="197">
        <v>8040.0000000000009</v>
      </c>
      <c r="K390" s="197">
        <v>0</v>
      </c>
      <c r="L390" s="197">
        <v>32.000000000000909</v>
      </c>
      <c r="M390" s="260" t="s">
        <v>239</v>
      </c>
      <c r="N390" s="260" t="s">
        <v>514</v>
      </c>
    </row>
    <row r="391" spans="1:14" ht="14.5" x14ac:dyDescent="0.35">
      <c r="A391" s="260" t="s">
        <v>563</v>
      </c>
      <c r="B391" s="190">
        <v>45786</v>
      </c>
      <c r="C391" s="260" t="s">
        <v>749</v>
      </c>
      <c r="D391" s="197">
        <v>150</v>
      </c>
      <c r="E391" s="197">
        <v>14915</v>
      </c>
      <c r="F391" s="197">
        <v>100.47</v>
      </c>
      <c r="G391" s="190">
        <v>45786</v>
      </c>
      <c r="H391" s="196">
        <v>0</v>
      </c>
      <c r="I391" s="197">
        <v>15070.5</v>
      </c>
      <c r="J391" s="197">
        <v>15070.5</v>
      </c>
      <c r="K391" s="197">
        <v>0</v>
      </c>
      <c r="L391" s="197">
        <v>155.5</v>
      </c>
      <c r="M391" s="260" t="s">
        <v>239</v>
      </c>
      <c r="N391" s="260" t="s">
        <v>514</v>
      </c>
    </row>
    <row r="392" spans="1:14" ht="14.5" x14ac:dyDescent="0.35">
      <c r="A392" s="260" t="s">
        <v>563</v>
      </c>
      <c r="B392" s="190">
        <v>45786</v>
      </c>
      <c r="C392" s="260" t="s">
        <v>752</v>
      </c>
      <c r="D392" s="197">
        <v>50</v>
      </c>
      <c r="E392" s="197">
        <v>10010</v>
      </c>
      <c r="F392" s="197">
        <v>188.6</v>
      </c>
      <c r="G392" s="190">
        <v>45786</v>
      </c>
      <c r="H392" s="196">
        <v>0</v>
      </c>
      <c r="I392" s="197">
        <v>9430</v>
      </c>
      <c r="J392" s="197">
        <v>9430</v>
      </c>
      <c r="K392" s="197">
        <v>0</v>
      </c>
      <c r="L392" s="197">
        <v>-580</v>
      </c>
      <c r="M392" s="260" t="s">
        <v>239</v>
      </c>
      <c r="N392" s="260" t="s">
        <v>514</v>
      </c>
    </row>
    <row r="393" spans="1:14" ht="14.5" x14ac:dyDescent="0.35">
      <c r="A393" s="260" t="s">
        <v>563</v>
      </c>
      <c r="B393" s="190">
        <v>45786</v>
      </c>
      <c r="C393" s="260" t="s">
        <v>754</v>
      </c>
      <c r="D393" s="197">
        <v>100</v>
      </c>
      <c r="E393" s="197">
        <v>8008</v>
      </c>
      <c r="F393" s="197">
        <v>80.599999999999994</v>
      </c>
      <c r="G393" s="190">
        <v>45786</v>
      </c>
      <c r="H393" s="196">
        <v>0</v>
      </c>
      <c r="I393" s="197">
        <v>8059.9999999999991</v>
      </c>
      <c r="J393" s="197">
        <v>8059.9999999999991</v>
      </c>
      <c r="K393" s="197">
        <v>0</v>
      </c>
      <c r="L393" s="197">
        <v>51.999999999999091</v>
      </c>
      <c r="M393" s="260" t="s">
        <v>239</v>
      </c>
      <c r="N393" s="260" t="s">
        <v>514</v>
      </c>
    </row>
    <row r="394" spans="1:14" ht="14.5" x14ac:dyDescent="0.35">
      <c r="A394" s="260" t="s">
        <v>563</v>
      </c>
      <c r="B394" s="190">
        <v>45787</v>
      </c>
      <c r="C394" s="260" t="s">
        <v>749</v>
      </c>
      <c r="D394" s="197">
        <v>150</v>
      </c>
      <c r="E394" s="197">
        <v>14915</v>
      </c>
      <c r="F394" s="197">
        <v>100.47</v>
      </c>
      <c r="G394" s="190">
        <v>45786</v>
      </c>
      <c r="H394" s="196">
        <v>1</v>
      </c>
      <c r="I394" s="197">
        <v>15070.5</v>
      </c>
      <c r="J394" s="197">
        <v>15070.5</v>
      </c>
      <c r="K394" s="197">
        <v>0</v>
      </c>
      <c r="L394" s="197">
        <v>155.5</v>
      </c>
      <c r="M394" s="260" t="s">
        <v>239</v>
      </c>
      <c r="N394" s="260" t="s">
        <v>514</v>
      </c>
    </row>
    <row r="395" spans="1:14" ht="14.5" x14ac:dyDescent="0.35">
      <c r="A395" s="260" t="s">
        <v>563</v>
      </c>
      <c r="B395" s="190">
        <v>45787</v>
      </c>
      <c r="C395" s="260" t="s">
        <v>752</v>
      </c>
      <c r="D395" s="197">
        <v>50</v>
      </c>
      <c r="E395" s="197">
        <v>10010</v>
      </c>
      <c r="F395" s="197">
        <v>188.6</v>
      </c>
      <c r="G395" s="190">
        <v>45786</v>
      </c>
      <c r="H395" s="196">
        <v>1</v>
      </c>
      <c r="I395" s="197">
        <v>9430</v>
      </c>
      <c r="J395" s="197">
        <v>9430</v>
      </c>
      <c r="K395" s="197">
        <v>0</v>
      </c>
      <c r="L395" s="197">
        <v>-580</v>
      </c>
      <c r="M395" s="260" t="s">
        <v>239</v>
      </c>
      <c r="N395" s="260" t="s">
        <v>514</v>
      </c>
    </row>
    <row r="396" spans="1:14" ht="14.5" x14ac:dyDescent="0.35">
      <c r="A396" s="260" t="s">
        <v>563</v>
      </c>
      <c r="B396" s="190">
        <v>45787</v>
      </c>
      <c r="C396" s="260" t="s">
        <v>754</v>
      </c>
      <c r="D396" s="197">
        <v>100</v>
      </c>
      <c r="E396" s="197">
        <v>8008</v>
      </c>
      <c r="F396" s="197">
        <v>80.599999999999994</v>
      </c>
      <c r="G396" s="190">
        <v>45786</v>
      </c>
      <c r="H396" s="196">
        <v>1</v>
      </c>
      <c r="I396" s="197">
        <v>8059.9999999999991</v>
      </c>
      <c r="J396" s="197">
        <v>8059.9999999999991</v>
      </c>
      <c r="K396" s="197">
        <v>0</v>
      </c>
      <c r="L396" s="197">
        <v>51.999999999999091</v>
      </c>
      <c r="M396" s="260" t="s">
        <v>239</v>
      </c>
      <c r="N396" s="260" t="s">
        <v>514</v>
      </c>
    </row>
    <row r="397" spans="1:14" ht="14.5" x14ac:dyDescent="0.35">
      <c r="A397" s="260" t="s">
        <v>563</v>
      </c>
      <c r="B397" s="190">
        <v>45788</v>
      </c>
      <c r="C397" s="260" t="s">
        <v>749</v>
      </c>
      <c r="D397" s="197">
        <v>150</v>
      </c>
      <c r="E397" s="197">
        <v>14915</v>
      </c>
      <c r="F397" s="197">
        <v>100.47</v>
      </c>
      <c r="G397" s="190">
        <v>45786</v>
      </c>
      <c r="H397" s="196">
        <v>2</v>
      </c>
      <c r="I397" s="197">
        <v>15070.5</v>
      </c>
      <c r="J397" s="197">
        <v>15070.5</v>
      </c>
      <c r="K397" s="197">
        <v>0</v>
      </c>
      <c r="L397" s="197">
        <v>155.5</v>
      </c>
      <c r="M397" s="260" t="s">
        <v>239</v>
      </c>
      <c r="N397" s="260" t="s">
        <v>514</v>
      </c>
    </row>
    <row r="398" spans="1:14" ht="14.5" x14ac:dyDescent="0.35">
      <c r="A398" s="260" t="s">
        <v>563</v>
      </c>
      <c r="B398" s="190">
        <v>45788</v>
      </c>
      <c r="C398" s="260" t="s">
        <v>752</v>
      </c>
      <c r="D398" s="197">
        <v>50</v>
      </c>
      <c r="E398" s="197">
        <v>10010</v>
      </c>
      <c r="F398" s="197">
        <v>188.6</v>
      </c>
      <c r="G398" s="190">
        <v>45786</v>
      </c>
      <c r="H398" s="196">
        <v>2</v>
      </c>
      <c r="I398" s="197">
        <v>9430</v>
      </c>
      <c r="J398" s="197">
        <v>9430</v>
      </c>
      <c r="K398" s="197">
        <v>0</v>
      </c>
      <c r="L398" s="197">
        <v>-580</v>
      </c>
      <c r="M398" s="260" t="s">
        <v>239</v>
      </c>
      <c r="N398" s="260" t="s">
        <v>514</v>
      </c>
    </row>
    <row r="399" spans="1:14" ht="14.5" x14ac:dyDescent="0.35">
      <c r="A399" s="260" t="s">
        <v>563</v>
      </c>
      <c r="B399" s="190">
        <v>45788</v>
      </c>
      <c r="C399" s="260" t="s">
        <v>754</v>
      </c>
      <c r="D399" s="197">
        <v>100</v>
      </c>
      <c r="E399" s="197">
        <v>8008</v>
      </c>
      <c r="F399" s="197">
        <v>80.599999999999994</v>
      </c>
      <c r="G399" s="190">
        <v>45786</v>
      </c>
      <c r="H399" s="196">
        <v>2</v>
      </c>
      <c r="I399" s="197">
        <v>8059.9999999999991</v>
      </c>
      <c r="J399" s="197">
        <v>8059.9999999999991</v>
      </c>
      <c r="K399" s="197">
        <v>0</v>
      </c>
      <c r="L399" s="197">
        <v>51.999999999999091</v>
      </c>
      <c r="M399" s="260" t="s">
        <v>239</v>
      </c>
      <c r="N399" s="260" t="s">
        <v>514</v>
      </c>
    </row>
    <row r="400" spans="1:14" ht="14.5" x14ac:dyDescent="0.35">
      <c r="A400" s="260" t="s">
        <v>563</v>
      </c>
      <c r="B400" s="190">
        <v>45789</v>
      </c>
      <c r="C400" s="260" t="s">
        <v>749</v>
      </c>
      <c r="D400" s="197">
        <v>150</v>
      </c>
      <c r="E400" s="197">
        <v>14915</v>
      </c>
      <c r="F400" s="197">
        <v>100.27</v>
      </c>
      <c r="G400" s="190">
        <v>45789</v>
      </c>
      <c r="H400" s="196">
        <v>0</v>
      </c>
      <c r="I400" s="197">
        <v>15040.5</v>
      </c>
      <c r="J400" s="197">
        <v>15040.5</v>
      </c>
      <c r="K400" s="197">
        <v>0</v>
      </c>
      <c r="L400" s="197">
        <v>125.5</v>
      </c>
      <c r="M400" s="260" t="s">
        <v>239</v>
      </c>
      <c r="N400" s="260" t="s">
        <v>514</v>
      </c>
    </row>
    <row r="401" spans="1:14" ht="14.5" x14ac:dyDescent="0.35">
      <c r="A401" s="260" t="s">
        <v>563</v>
      </c>
      <c r="B401" s="190">
        <v>45789</v>
      </c>
      <c r="C401" s="260" t="s">
        <v>752</v>
      </c>
      <c r="D401" s="197">
        <v>50</v>
      </c>
      <c r="E401" s="197">
        <v>10010</v>
      </c>
      <c r="F401" s="197">
        <v>189.2</v>
      </c>
      <c r="G401" s="190">
        <v>45789</v>
      </c>
      <c r="H401" s="196">
        <v>0</v>
      </c>
      <c r="I401" s="197">
        <v>9460</v>
      </c>
      <c r="J401" s="197">
        <v>9460</v>
      </c>
      <c r="K401" s="197">
        <v>0</v>
      </c>
      <c r="L401" s="197">
        <v>-550</v>
      </c>
      <c r="M401" s="260" t="s">
        <v>239</v>
      </c>
      <c r="N401" s="260" t="s">
        <v>514</v>
      </c>
    </row>
    <row r="402" spans="1:14" ht="14.5" x14ac:dyDescent="0.35">
      <c r="A402" s="260" t="s">
        <v>563</v>
      </c>
      <c r="B402" s="190">
        <v>45789</v>
      </c>
      <c r="C402" s="260" t="s">
        <v>754</v>
      </c>
      <c r="D402" s="197">
        <v>100</v>
      </c>
      <c r="E402" s="197">
        <v>8008</v>
      </c>
      <c r="F402" s="197">
        <v>81.2</v>
      </c>
      <c r="G402" s="190">
        <v>45789</v>
      </c>
      <c r="H402" s="196">
        <v>0</v>
      </c>
      <c r="I402" s="197">
        <v>8120</v>
      </c>
      <c r="J402" s="197">
        <v>8120</v>
      </c>
      <c r="K402" s="197">
        <v>0</v>
      </c>
      <c r="L402" s="197">
        <v>112</v>
      </c>
      <c r="M402" s="260" t="s">
        <v>239</v>
      </c>
      <c r="N402" s="260" t="s">
        <v>514</v>
      </c>
    </row>
    <row r="403" spans="1:14" ht="14.5" x14ac:dyDescent="0.35">
      <c r="A403" s="260" t="s">
        <v>563</v>
      </c>
      <c r="B403" s="190">
        <v>45790</v>
      </c>
      <c r="C403" s="260" t="s">
        <v>749</v>
      </c>
      <c r="D403" s="197">
        <v>150</v>
      </c>
      <c r="E403" s="197">
        <v>14915</v>
      </c>
      <c r="F403" s="197">
        <v>100.2</v>
      </c>
      <c r="G403" s="190">
        <v>45790</v>
      </c>
      <c r="H403" s="196">
        <v>0</v>
      </c>
      <c r="I403" s="197">
        <v>15030</v>
      </c>
      <c r="J403" s="197">
        <v>15030</v>
      </c>
      <c r="K403" s="197">
        <v>0</v>
      </c>
      <c r="L403" s="197">
        <v>115</v>
      </c>
      <c r="M403" s="260" t="s">
        <v>239</v>
      </c>
      <c r="N403" s="260" t="s">
        <v>514</v>
      </c>
    </row>
    <row r="404" spans="1:14" ht="14.5" x14ac:dyDescent="0.35">
      <c r="A404" s="260" t="s">
        <v>563</v>
      </c>
      <c r="B404" s="190">
        <v>45790</v>
      </c>
      <c r="C404" s="260" t="s">
        <v>752</v>
      </c>
      <c r="D404" s="197">
        <v>50</v>
      </c>
      <c r="E404" s="197">
        <v>10010</v>
      </c>
      <c r="F404" s="197">
        <v>189.4</v>
      </c>
      <c r="G404" s="190">
        <v>45790</v>
      </c>
      <c r="H404" s="196">
        <v>0</v>
      </c>
      <c r="I404" s="197">
        <v>9470</v>
      </c>
      <c r="J404" s="197">
        <v>9470</v>
      </c>
      <c r="K404" s="197">
        <v>0</v>
      </c>
      <c r="L404" s="197">
        <v>-540</v>
      </c>
      <c r="M404" s="260" t="s">
        <v>239</v>
      </c>
      <c r="N404" s="260" t="s">
        <v>514</v>
      </c>
    </row>
    <row r="405" spans="1:14" ht="14.5" x14ac:dyDescent="0.35">
      <c r="A405" s="260" t="s">
        <v>563</v>
      </c>
      <c r="B405" s="190">
        <v>45790</v>
      </c>
      <c r="C405" s="260" t="s">
        <v>754</v>
      </c>
      <c r="D405" s="197">
        <v>100</v>
      </c>
      <c r="E405" s="197">
        <v>8008</v>
      </c>
      <c r="F405" s="197">
        <v>81.400000000000006</v>
      </c>
      <c r="G405" s="190">
        <v>45790</v>
      </c>
      <c r="H405" s="196">
        <v>0</v>
      </c>
      <c r="I405" s="197">
        <v>8140.0000000000009</v>
      </c>
      <c r="J405" s="197">
        <v>8140.0000000000009</v>
      </c>
      <c r="K405" s="197">
        <v>0</v>
      </c>
      <c r="L405" s="197">
        <v>132.00000000000091</v>
      </c>
      <c r="M405" s="260" t="s">
        <v>239</v>
      </c>
      <c r="N405" s="260" t="s">
        <v>514</v>
      </c>
    </row>
    <row r="406" spans="1:14" ht="14.5" x14ac:dyDescent="0.35">
      <c r="A406" s="260" t="s">
        <v>563</v>
      </c>
      <c r="B406" s="190">
        <v>45791</v>
      </c>
      <c r="C406" s="260" t="s">
        <v>749</v>
      </c>
      <c r="D406" s="197">
        <v>150</v>
      </c>
      <c r="E406" s="197">
        <v>14915</v>
      </c>
      <c r="F406" s="197">
        <v>100.13</v>
      </c>
      <c r="G406" s="190">
        <v>45791</v>
      </c>
      <c r="H406" s="196">
        <v>0</v>
      </c>
      <c r="I406" s="197">
        <v>15019.5</v>
      </c>
      <c r="J406" s="197">
        <v>15019.5</v>
      </c>
      <c r="K406" s="197">
        <v>0</v>
      </c>
      <c r="L406" s="197">
        <v>104.5</v>
      </c>
      <c r="M406" s="260" t="s">
        <v>239</v>
      </c>
      <c r="N406" s="260" t="s">
        <v>514</v>
      </c>
    </row>
    <row r="407" spans="1:14" ht="14.5" x14ac:dyDescent="0.35">
      <c r="A407" s="260" t="s">
        <v>563</v>
      </c>
      <c r="B407" s="190">
        <v>45791</v>
      </c>
      <c r="C407" s="260" t="s">
        <v>752</v>
      </c>
      <c r="D407" s="197">
        <v>50</v>
      </c>
      <c r="E407" s="197">
        <v>10010</v>
      </c>
      <c r="F407" s="197">
        <v>189.6</v>
      </c>
      <c r="G407" s="190">
        <v>45791</v>
      </c>
      <c r="H407" s="196">
        <v>0</v>
      </c>
      <c r="I407" s="197">
        <v>9480</v>
      </c>
      <c r="J407" s="197">
        <v>9480</v>
      </c>
      <c r="K407" s="197">
        <v>0</v>
      </c>
      <c r="L407" s="197">
        <v>-530</v>
      </c>
      <c r="M407" s="260" t="s">
        <v>239</v>
      </c>
      <c r="N407" s="260" t="s">
        <v>514</v>
      </c>
    </row>
    <row r="408" spans="1:14" ht="14.5" x14ac:dyDescent="0.35">
      <c r="A408" s="260" t="s">
        <v>563</v>
      </c>
      <c r="B408" s="190">
        <v>45791</v>
      </c>
      <c r="C408" s="260" t="s">
        <v>754</v>
      </c>
      <c r="D408" s="197">
        <v>100</v>
      </c>
      <c r="E408" s="197">
        <v>8008</v>
      </c>
      <c r="F408" s="197">
        <v>81.599999999999994</v>
      </c>
      <c r="G408" s="190">
        <v>45791</v>
      </c>
      <c r="H408" s="196">
        <v>0</v>
      </c>
      <c r="I408" s="197">
        <v>8159.9999999999991</v>
      </c>
      <c r="J408" s="197">
        <v>8159.9999999999991</v>
      </c>
      <c r="K408" s="197">
        <v>0</v>
      </c>
      <c r="L408" s="197">
        <v>151.99999999999909</v>
      </c>
      <c r="M408" s="260" t="s">
        <v>239</v>
      </c>
      <c r="N408" s="260" t="s">
        <v>514</v>
      </c>
    </row>
    <row r="409" spans="1:14" ht="14.5" x14ac:dyDescent="0.35">
      <c r="A409" s="260" t="s">
        <v>563</v>
      </c>
      <c r="B409" s="190">
        <v>45792</v>
      </c>
      <c r="C409" s="260" t="s">
        <v>749</v>
      </c>
      <c r="D409" s="197">
        <v>150</v>
      </c>
      <c r="E409" s="197">
        <v>14915</v>
      </c>
      <c r="F409" s="197">
        <v>100.07</v>
      </c>
      <c r="G409" s="190">
        <v>45792</v>
      </c>
      <c r="H409" s="196">
        <v>0</v>
      </c>
      <c r="I409" s="197">
        <v>15010.499999999998</v>
      </c>
      <c r="J409" s="197">
        <v>15010.499999999998</v>
      </c>
      <c r="K409" s="197">
        <v>0</v>
      </c>
      <c r="L409" s="197">
        <v>95.499999999998181</v>
      </c>
      <c r="M409" s="260" t="s">
        <v>239</v>
      </c>
      <c r="N409" s="260" t="s">
        <v>514</v>
      </c>
    </row>
    <row r="410" spans="1:14" ht="14.5" x14ac:dyDescent="0.35">
      <c r="A410" s="260" t="s">
        <v>563</v>
      </c>
      <c r="B410" s="190">
        <v>45792</v>
      </c>
      <c r="C410" s="260" t="s">
        <v>752</v>
      </c>
      <c r="D410" s="197">
        <v>50</v>
      </c>
      <c r="E410" s="197">
        <v>10010</v>
      </c>
      <c r="F410" s="197">
        <v>189.8</v>
      </c>
      <c r="G410" s="190">
        <v>45792</v>
      </c>
      <c r="H410" s="196">
        <v>0</v>
      </c>
      <c r="I410" s="197">
        <v>9490</v>
      </c>
      <c r="J410" s="197">
        <v>9490</v>
      </c>
      <c r="K410" s="197">
        <v>0</v>
      </c>
      <c r="L410" s="197">
        <v>-520</v>
      </c>
      <c r="M410" s="260" t="s">
        <v>239</v>
      </c>
      <c r="N410" s="260" t="s">
        <v>514</v>
      </c>
    </row>
    <row r="411" spans="1:14" ht="14.5" x14ac:dyDescent="0.35">
      <c r="A411" s="260" t="s">
        <v>563</v>
      </c>
      <c r="B411" s="190">
        <v>45792</v>
      </c>
      <c r="C411" s="260" t="s">
        <v>754</v>
      </c>
      <c r="D411" s="197">
        <v>100</v>
      </c>
      <c r="E411" s="197">
        <v>8008</v>
      </c>
      <c r="F411" s="197">
        <v>81.8</v>
      </c>
      <c r="G411" s="190">
        <v>45792</v>
      </c>
      <c r="H411" s="196">
        <v>0</v>
      </c>
      <c r="I411" s="197">
        <v>8180</v>
      </c>
      <c r="J411" s="197">
        <v>8180</v>
      </c>
      <c r="K411" s="197">
        <v>0</v>
      </c>
      <c r="L411" s="197">
        <v>172</v>
      </c>
      <c r="M411" s="260" t="s">
        <v>239</v>
      </c>
      <c r="N411" s="260" t="s">
        <v>514</v>
      </c>
    </row>
    <row r="412" spans="1:14" ht="14.5" x14ac:dyDescent="0.35">
      <c r="A412" s="260" t="s">
        <v>563</v>
      </c>
      <c r="B412" s="190">
        <v>45793</v>
      </c>
      <c r="C412" s="260" t="s">
        <v>749</v>
      </c>
      <c r="D412" s="197">
        <v>150</v>
      </c>
      <c r="E412" s="197">
        <v>14915</v>
      </c>
      <c r="F412" s="197">
        <v>100</v>
      </c>
      <c r="G412" s="190">
        <v>45793</v>
      </c>
      <c r="H412" s="196">
        <v>0</v>
      </c>
      <c r="I412" s="197">
        <v>15000</v>
      </c>
      <c r="J412" s="197">
        <v>15000</v>
      </c>
      <c r="K412" s="197">
        <v>0</v>
      </c>
      <c r="L412" s="197">
        <v>85</v>
      </c>
      <c r="M412" s="260" t="s">
        <v>239</v>
      </c>
      <c r="N412" s="260" t="s">
        <v>514</v>
      </c>
    </row>
    <row r="413" spans="1:14" ht="14.5" x14ac:dyDescent="0.35">
      <c r="A413" s="260" t="s">
        <v>563</v>
      </c>
      <c r="B413" s="190">
        <v>45793</v>
      </c>
      <c r="C413" s="260" t="s">
        <v>752</v>
      </c>
      <c r="D413" s="197">
        <v>50</v>
      </c>
      <c r="E413" s="197">
        <v>10010</v>
      </c>
      <c r="F413" s="197">
        <v>190</v>
      </c>
      <c r="G413" s="190">
        <v>45793</v>
      </c>
      <c r="H413" s="196">
        <v>0</v>
      </c>
      <c r="I413" s="197">
        <v>9500</v>
      </c>
      <c r="J413" s="197">
        <v>9500</v>
      </c>
      <c r="K413" s="197">
        <v>0</v>
      </c>
      <c r="L413" s="197">
        <v>-510</v>
      </c>
      <c r="M413" s="260" t="s">
        <v>239</v>
      </c>
      <c r="N413" s="260" t="s">
        <v>514</v>
      </c>
    </row>
    <row r="414" spans="1:14" ht="14.5" x14ac:dyDescent="0.35">
      <c r="A414" s="260" t="s">
        <v>563</v>
      </c>
      <c r="B414" s="190">
        <v>45793</v>
      </c>
      <c r="C414" s="260" t="s">
        <v>754</v>
      </c>
      <c r="D414" s="197">
        <v>100</v>
      </c>
      <c r="E414" s="197">
        <v>8008</v>
      </c>
      <c r="F414" s="197">
        <v>82</v>
      </c>
      <c r="G414" s="190">
        <v>45793</v>
      </c>
      <c r="H414" s="196">
        <v>0</v>
      </c>
      <c r="I414" s="197">
        <v>8200</v>
      </c>
      <c r="J414" s="197">
        <v>8200</v>
      </c>
      <c r="K414" s="197">
        <v>0</v>
      </c>
      <c r="L414" s="197">
        <v>192</v>
      </c>
      <c r="M414" s="260" t="s">
        <v>239</v>
      </c>
      <c r="N414" s="260" t="s">
        <v>514</v>
      </c>
    </row>
    <row r="415" spans="1:14" ht="14.5" x14ac:dyDescent="0.35">
      <c r="A415" s="260" t="s">
        <v>563</v>
      </c>
      <c r="B415" s="190">
        <v>45794</v>
      </c>
      <c r="C415" s="260" t="s">
        <v>749</v>
      </c>
      <c r="D415" s="197">
        <v>150</v>
      </c>
      <c r="E415" s="197">
        <v>14915</v>
      </c>
      <c r="F415" s="197">
        <v>100</v>
      </c>
      <c r="G415" s="190">
        <v>45793</v>
      </c>
      <c r="H415" s="196">
        <v>1</v>
      </c>
      <c r="I415" s="197">
        <v>15000</v>
      </c>
      <c r="J415" s="197">
        <v>15000</v>
      </c>
      <c r="K415" s="197">
        <v>0</v>
      </c>
      <c r="L415" s="197">
        <v>85</v>
      </c>
      <c r="M415" s="260" t="s">
        <v>239</v>
      </c>
      <c r="N415" s="260" t="s">
        <v>514</v>
      </c>
    </row>
    <row r="416" spans="1:14" ht="14.5" x14ac:dyDescent="0.35">
      <c r="A416" s="260" t="s">
        <v>563</v>
      </c>
      <c r="B416" s="190">
        <v>45794</v>
      </c>
      <c r="C416" s="260" t="s">
        <v>752</v>
      </c>
      <c r="D416" s="197">
        <v>50</v>
      </c>
      <c r="E416" s="197">
        <v>10010</v>
      </c>
      <c r="F416" s="197">
        <v>190</v>
      </c>
      <c r="G416" s="190">
        <v>45793</v>
      </c>
      <c r="H416" s="196">
        <v>1</v>
      </c>
      <c r="I416" s="197">
        <v>9500</v>
      </c>
      <c r="J416" s="197">
        <v>9500</v>
      </c>
      <c r="K416" s="197">
        <v>0</v>
      </c>
      <c r="L416" s="197">
        <v>-510</v>
      </c>
      <c r="M416" s="260" t="s">
        <v>239</v>
      </c>
      <c r="N416" s="260" t="s">
        <v>514</v>
      </c>
    </row>
    <row r="417" spans="1:14" ht="14.5" x14ac:dyDescent="0.35">
      <c r="A417" s="260" t="s">
        <v>563</v>
      </c>
      <c r="B417" s="190">
        <v>45794</v>
      </c>
      <c r="C417" s="260" t="s">
        <v>754</v>
      </c>
      <c r="D417" s="197">
        <v>100</v>
      </c>
      <c r="E417" s="197">
        <v>8008</v>
      </c>
      <c r="F417" s="197">
        <v>82</v>
      </c>
      <c r="G417" s="190">
        <v>45793</v>
      </c>
      <c r="H417" s="196">
        <v>1</v>
      </c>
      <c r="I417" s="197">
        <v>8200</v>
      </c>
      <c r="J417" s="197">
        <v>8200</v>
      </c>
      <c r="K417" s="197">
        <v>0</v>
      </c>
      <c r="L417" s="197">
        <v>192</v>
      </c>
      <c r="M417" s="260" t="s">
        <v>239</v>
      </c>
      <c r="N417" s="260" t="s">
        <v>514</v>
      </c>
    </row>
    <row r="418" spans="1:14" ht="14.5" x14ac:dyDescent="0.35">
      <c r="A418" s="260" t="s">
        <v>563</v>
      </c>
      <c r="B418" s="190">
        <v>45795</v>
      </c>
      <c r="C418" s="260" t="s">
        <v>749</v>
      </c>
      <c r="D418" s="197">
        <v>150</v>
      </c>
      <c r="E418" s="197">
        <v>14915</v>
      </c>
      <c r="F418" s="197">
        <v>100</v>
      </c>
      <c r="G418" s="190">
        <v>45793</v>
      </c>
      <c r="H418" s="196">
        <v>2</v>
      </c>
      <c r="I418" s="197">
        <v>15000</v>
      </c>
      <c r="J418" s="197">
        <v>15000</v>
      </c>
      <c r="K418" s="197">
        <v>0</v>
      </c>
      <c r="L418" s="197">
        <v>85</v>
      </c>
      <c r="M418" s="260" t="s">
        <v>239</v>
      </c>
      <c r="N418" s="260" t="s">
        <v>514</v>
      </c>
    </row>
    <row r="419" spans="1:14" ht="14.5" x14ac:dyDescent="0.35">
      <c r="A419" s="260" t="s">
        <v>563</v>
      </c>
      <c r="B419" s="190">
        <v>45795</v>
      </c>
      <c r="C419" s="260" t="s">
        <v>752</v>
      </c>
      <c r="D419" s="197">
        <v>50</v>
      </c>
      <c r="E419" s="197">
        <v>10010</v>
      </c>
      <c r="F419" s="197">
        <v>190</v>
      </c>
      <c r="G419" s="190">
        <v>45793</v>
      </c>
      <c r="H419" s="196">
        <v>2</v>
      </c>
      <c r="I419" s="197">
        <v>9500</v>
      </c>
      <c r="J419" s="197">
        <v>9500</v>
      </c>
      <c r="K419" s="197">
        <v>0</v>
      </c>
      <c r="L419" s="197">
        <v>-510</v>
      </c>
      <c r="M419" s="260" t="s">
        <v>239</v>
      </c>
      <c r="N419" s="260" t="s">
        <v>514</v>
      </c>
    </row>
    <row r="420" spans="1:14" ht="14.5" x14ac:dyDescent="0.35">
      <c r="A420" s="260" t="s">
        <v>563</v>
      </c>
      <c r="B420" s="190">
        <v>45795</v>
      </c>
      <c r="C420" s="260" t="s">
        <v>754</v>
      </c>
      <c r="D420" s="197">
        <v>100</v>
      </c>
      <c r="E420" s="197">
        <v>8008</v>
      </c>
      <c r="F420" s="197">
        <v>82</v>
      </c>
      <c r="G420" s="190">
        <v>45793</v>
      </c>
      <c r="H420" s="196">
        <v>2</v>
      </c>
      <c r="I420" s="197">
        <v>8200</v>
      </c>
      <c r="J420" s="197">
        <v>8200</v>
      </c>
      <c r="K420" s="197">
        <v>0</v>
      </c>
      <c r="L420" s="197">
        <v>192</v>
      </c>
      <c r="M420" s="260" t="s">
        <v>239</v>
      </c>
      <c r="N420" s="260" t="s">
        <v>514</v>
      </c>
    </row>
    <row r="421" spans="1:14" ht="14.5" x14ac:dyDescent="0.35">
      <c r="A421" s="260" t="s">
        <v>563</v>
      </c>
      <c r="B421" s="190">
        <v>45796</v>
      </c>
      <c r="C421" s="260" t="s">
        <v>749</v>
      </c>
      <c r="D421" s="197">
        <v>150</v>
      </c>
      <c r="E421" s="197">
        <v>14915</v>
      </c>
      <c r="F421" s="197">
        <v>99.8</v>
      </c>
      <c r="G421" s="190">
        <v>45796</v>
      </c>
      <c r="H421" s="196">
        <v>0</v>
      </c>
      <c r="I421" s="197">
        <v>14970</v>
      </c>
      <c r="J421" s="197">
        <v>14970</v>
      </c>
      <c r="K421" s="197">
        <v>0</v>
      </c>
      <c r="L421" s="197">
        <v>55</v>
      </c>
      <c r="M421" s="260" t="s">
        <v>239</v>
      </c>
      <c r="N421" s="260" t="s">
        <v>514</v>
      </c>
    </row>
    <row r="422" spans="1:14" ht="14.5" x14ac:dyDescent="0.35">
      <c r="A422" s="260" t="s">
        <v>563</v>
      </c>
      <c r="B422" s="190">
        <v>45796</v>
      </c>
      <c r="C422" s="260" t="s">
        <v>752</v>
      </c>
      <c r="D422" s="197">
        <v>50</v>
      </c>
      <c r="E422" s="197">
        <v>10010</v>
      </c>
      <c r="F422" s="197">
        <v>190.6</v>
      </c>
      <c r="G422" s="190">
        <v>45796</v>
      </c>
      <c r="H422" s="196">
        <v>0</v>
      </c>
      <c r="I422" s="197">
        <v>9530</v>
      </c>
      <c r="J422" s="197">
        <v>9530</v>
      </c>
      <c r="K422" s="197">
        <v>0</v>
      </c>
      <c r="L422" s="197">
        <v>-480</v>
      </c>
      <c r="M422" s="260" t="s">
        <v>239</v>
      </c>
      <c r="N422" s="260" t="s">
        <v>514</v>
      </c>
    </row>
    <row r="423" spans="1:14" ht="14.5" x14ac:dyDescent="0.35">
      <c r="A423" s="260" t="s">
        <v>563</v>
      </c>
      <c r="B423" s="190">
        <v>45796</v>
      </c>
      <c r="C423" s="260" t="s">
        <v>754</v>
      </c>
      <c r="D423" s="197">
        <v>100</v>
      </c>
      <c r="E423" s="197">
        <v>8008</v>
      </c>
      <c r="F423" s="197">
        <v>82.6</v>
      </c>
      <c r="G423" s="190">
        <v>45796</v>
      </c>
      <c r="H423" s="196">
        <v>0</v>
      </c>
      <c r="I423" s="197">
        <v>8260</v>
      </c>
      <c r="J423" s="197">
        <v>8260</v>
      </c>
      <c r="K423" s="197">
        <v>0</v>
      </c>
      <c r="L423" s="197">
        <v>252</v>
      </c>
      <c r="M423" s="260" t="s">
        <v>239</v>
      </c>
      <c r="N423" s="260" t="s">
        <v>514</v>
      </c>
    </row>
    <row r="424" spans="1:14" ht="14.5" x14ac:dyDescent="0.35">
      <c r="A424" s="260" t="s">
        <v>563</v>
      </c>
      <c r="B424" s="190">
        <v>45797</v>
      </c>
      <c r="C424" s="260" t="s">
        <v>749</v>
      </c>
      <c r="D424" s="197">
        <v>150</v>
      </c>
      <c r="E424" s="197">
        <v>14915</v>
      </c>
      <c r="F424" s="197">
        <v>99.73</v>
      </c>
      <c r="G424" s="190">
        <v>45797</v>
      </c>
      <c r="H424" s="196">
        <v>0</v>
      </c>
      <c r="I424" s="197">
        <v>14959.5</v>
      </c>
      <c r="J424" s="197">
        <v>14959.5</v>
      </c>
      <c r="K424" s="197">
        <v>0</v>
      </c>
      <c r="L424" s="197">
        <v>44.5</v>
      </c>
      <c r="M424" s="260" t="s">
        <v>239</v>
      </c>
      <c r="N424" s="260" t="s">
        <v>514</v>
      </c>
    </row>
    <row r="425" spans="1:14" ht="14.5" x14ac:dyDescent="0.35">
      <c r="A425" s="260" t="s">
        <v>563</v>
      </c>
      <c r="B425" s="190">
        <v>45797</v>
      </c>
      <c r="C425" s="260" t="s">
        <v>752</v>
      </c>
      <c r="D425" s="197">
        <v>50</v>
      </c>
      <c r="E425" s="197">
        <v>10010</v>
      </c>
      <c r="F425" s="197">
        <v>190.8</v>
      </c>
      <c r="G425" s="190">
        <v>45797</v>
      </c>
      <c r="H425" s="196">
        <v>0</v>
      </c>
      <c r="I425" s="197">
        <v>9540</v>
      </c>
      <c r="J425" s="197">
        <v>9540</v>
      </c>
      <c r="K425" s="197">
        <v>0</v>
      </c>
      <c r="L425" s="197">
        <v>-470</v>
      </c>
      <c r="M425" s="260" t="s">
        <v>239</v>
      </c>
      <c r="N425" s="260" t="s">
        <v>514</v>
      </c>
    </row>
    <row r="426" spans="1:14" ht="14.5" x14ac:dyDescent="0.35">
      <c r="A426" s="260" t="s">
        <v>563</v>
      </c>
      <c r="B426" s="190">
        <v>45797</v>
      </c>
      <c r="C426" s="260" t="s">
        <v>754</v>
      </c>
      <c r="D426" s="197">
        <v>100</v>
      </c>
      <c r="E426" s="197">
        <v>8008</v>
      </c>
      <c r="F426" s="197">
        <v>82.8</v>
      </c>
      <c r="G426" s="190">
        <v>45797</v>
      </c>
      <c r="H426" s="196">
        <v>0</v>
      </c>
      <c r="I426" s="197">
        <v>8280</v>
      </c>
      <c r="J426" s="197">
        <v>8280</v>
      </c>
      <c r="K426" s="197">
        <v>0</v>
      </c>
      <c r="L426" s="197">
        <v>272</v>
      </c>
      <c r="M426" s="260" t="s">
        <v>239</v>
      </c>
      <c r="N426" s="260" t="s">
        <v>514</v>
      </c>
    </row>
    <row r="427" spans="1:14" ht="14.5" x14ac:dyDescent="0.35">
      <c r="A427" s="260" t="s">
        <v>563</v>
      </c>
      <c r="B427" s="190">
        <v>45798</v>
      </c>
      <c r="C427" s="260" t="s">
        <v>749</v>
      </c>
      <c r="D427" s="197">
        <v>150</v>
      </c>
      <c r="E427" s="197">
        <v>14915</v>
      </c>
      <c r="F427" s="197">
        <v>99.67</v>
      </c>
      <c r="G427" s="190">
        <v>45798</v>
      </c>
      <c r="H427" s="196">
        <v>0</v>
      </c>
      <c r="I427" s="197">
        <v>14950.5</v>
      </c>
      <c r="J427" s="197">
        <v>14950.5</v>
      </c>
      <c r="K427" s="197">
        <v>0</v>
      </c>
      <c r="L427" s="197">
        <v>35.5</v>
      </c>
      <c r="M427" s="260" t="s">
        <v>239</v>
      </c>
      <c r="N427" s="260" t="s">
        <v>514</v>
      </c>
    </row>
    <row r="428" spans="1:14" ht="14.5" x14ac:dyDescent="0.35">
      <c r="A428" s="260" t="s">
        <v>563</v>
      </c>
      <c r="B428" s="190">
        <v>45798</v>
      </c>
      <c r="C428" s="260" t="s">
        <v>752</v>
      </c>
      <c r="D428" s="197">
        <v>50</v>
      </c>
      <c r="E428" s="197">
        <v>10010</v>
      </c>
      <c r="F428" s="197">
        <v>191</v>
      </c>
      <c r="G428" s="190">
        <v>45798</v>
      </c>
      <c r="H428" s="196">
        <v>0</v>
      </c>
      <c r="I428" s="197">
        <v>9550</v>
      </c>
      <c r="J428" s="197">
        <v>9550</v>
      </c>
      <c r="K428" s="197">
        <v>0</v>
      </c>
      <c r="L428" s="197">
        <v>-460</v>
      </c>
      <c r="M428" s="260" t="s">
        <v>239</v>
      </c>
      <c r="N428" s="260" t="s">
        <v>514</v>
      </c>
    </row>
    <row r="429" spans="1:14" ht="14.5" x14ac:dyDescent="0.35">
      <c r="A429" s="260" t="s">
        <v>563</v>
      </c>
      <c r="B429" s="190">
        <v>45798</v>
      </c>
      <c r="C429" s="260" t="s">
        <v>754</v>
      </c>
      <c r="D429" s="197">
        <v>100</v>
      </c>
      <c r="E429" s="197">
        <v>8008</v>
      </c>
      <c r="F429" s="197">
        <v>83</v>
      </c>
      <c r="G429" s="190">
        <v>45798</v>
      </c>
      <c r="H429" s="196">
        <v>0</v>
      </c>
      <c r="I429" s="197">
        <v>8300</v>
      </c>
      <c r="J429" s="197">
        <v>8300</v>
      </c>
      <c r="K429" s="197">
        <v>0</v>
      </c>
      <c r="L429" s="197">
        <v>292</v>
      </c>
      <c r="M429" s="260" t="s">
        <v>239</v>
      </c>
      <c r="N429" s="260" t="s">
        <v>514</v>
      </c>
    </row>
    <row r="430" spans="1:14" ht="14.5" x14ac:dyDescent="0.35">
      <c r="A430" s="260" t="s">
        <v>563</v>
      </c>
      <c r="B430" s="190">
        <v>45799</v>
      </c>
      <c r="C430" s="260" t="s">
        <v>749</v>
      </c>
      <c r="D430" s="197">
        <v>150</v>
      </c>
      <c r="E430" s="197">
        <v>14915</v>
      </c>
      <c r="F430" s="197">
        <v>99.6</v>
      </c>
      <c r="G430" s="190">
        <v>45799</v>
      </c>
      <c r="H430" s="196">
        <v>0</v>
      </c>
      <c r="I430" s="197">
        <v>14940</v>
      </c>
      <c r="J430" s="197">
        <v>14940</v>
      </c>
      <c r="K430" s="197">
        <v>0</v>
      </c>
      <c r="L430" s="197">
        <v>25</v>
      </c>
      <c r="M430" s="260" t="s">
        <v>239</v>
      </c>
      <c r="N430" s="260" t="s">
        <v>514</v>
      </c>
    </row>
    <row r="431" spans="1:14" ht="14.5" x14ac:dyDescent="0.35">
      <c r="A431" s="260" t="s">
        <v>563</v>
      </c>
      <c r="B431" s="190">
        <v>45799</v>
      </c>
      <c r="C431" s="260" t="s">
        <v>752</v>
      </c>
      <c r="D431" s="197">
        <v>50</v>
      </c>
      <c r="E431" s="197">
        <v>10010</v>
      </c>
      <c r="F431" s="197">
        <v>191.2</v>
      </c>
      <c r="G431" s="190">
        <v>45799</v>
      </c>
      <c r="H431" s="196">
        <v>0</v>
      </c>
      <c r="I431" s="197">
        <v>9560</v>
      </c>
      <c r="J431" s="197">
        <v>9560</v>
      </c>
      <c r="K431" s="197">
        <v>0</v>
      </c>
      <c r="L431" s="197">
        <v>-450</v>
      </c>
      <c r="M431" s="260" t="s">
        <v>239</v>
      </c>
      <c r="N431" s="260" t="s">
        <v>514</v>
      </c>
    </row>
    <row r="432" spans="1:14" ht="14.5" x14ac:dyDescent="0.35">
      <c r="A432" s="260" t="s">
        <v>563</v>
      </c>
      <c r="B432" s="190">
        <v>45799</v>
      </c>
      <c r="C432" s="260" t="s">
        <v>754</v>
      </c>
      <c r="D432" s="197">
        <v>100</v>
      </c>
      <c r="E432" s="197">
        <v>8008</v>
      </c>
      <c r="F432" s="197">
        <v>83.2</v>
      </c>
      <c r="G432" s="190">
        <v>45799</v>
      </c>
      <c r="H432" s="196">
        <v>0</v>
      </c>
      <c r="I432" s="197">
        <v>8320</v>
      </c>
      <c r="J432" s="197">
        <v>8320</v>
      </c>
      <c r="K432" s="197">
        <v>0</v>
      </c>
      <c r="L432" s="197">
        <v>312</v>
      </c>
      <c r="M432" s="260" t="s">
        <v>239</v>
      </c>
      <c r="N432" s="260" t="s">
        <v>514</v>
      </c>
    </row>
    <row r="433" spans="1:14" ht="14.5" x14ac:dyDescent="0.35">
      <c r="A433" s="260" t="s">
        <v>563</v>
      </c>
      <c r="B433" s="190">
        <v>45800</v>
      </c>
      <c r="C433" s="260" t="s">
        <v>749</v>
      </c>
      <c r="D433" s="197">
        <v>150</v>
      </c>
      <c r="E433" s="197">
        <v>14915</v>
      </c>
      <c r="F433" s="197">
        <v>99.53</v>
      </c>
      <c r="G433" s="190">
        <v>45800</v>
      </c>
      <c r="H433" s="196">
        <v>0</v>
      </c>
      <c r="I433" s="197">
        <v>14929.5</v>
      </c>
      <c r="J433" s="197">
        <v>14929.5</v>
      </c>
      <c r="K433" s="197">
        <v>0</v>
      </c>
      <c r="L433" s="197">
        <v>14.5</v>
      </c>
      <c r="M433" s="260" t="s">
        <v>239</v>
      </c>
      <c r="N433" s="260" t="s">
        <v>514</v>
      </c>
    </row>
    <row r="434" spans="1:14" ht="14.5" x14ac:dyDescent="0.35">
      <c r="A434" s="260" t="s">
        <v>563</v>
      </c>
      <c r="B434" s="190">
        <v>45800</v>
      </c>
      <c r="C434" s="260" t="s">
        <v>752</v>
      </c>
      <c r="D434" s="197">
        <v>50</v>
      </c>
      <c r="E434" s="197">
        <v>10010</v>
      </c>
      <c r="F434" s="197">
        <v>191.4</v>
      </c>
      <c r="G434" s="190">
        <v>45800</v>
      </c>
      <c r="H434" s="196">
        <v>0</v>
      </c>
      <c r="I434" s="197">
        <v>9570</v>
      </c>
      <c r="J434" s="197">
        <v>9570</v>
      </c>
      <c r="K434" s="197">
        <v>0</v>
      </c>
      <c r="L434" s="197">
        <v>-440</v>
      </c>
      <c r="M434" s="260" t="s">
        <v>239</v>
      </c>
      <c r="N434" s="260" t="s">
        <v>514</v>
      </c>
    </row>
    <row r="435" spans="1:14" ht="14.5" x14ac:dyDescent="0.35">
      <c r="A435" s="260" t="s">
        <v>563</v>
      </c>
      <c r="B435" s="190">
        <v>45800</v>
      </c>
      <c r="C435" s="260" t="s">
        <v>754</v>
      </c>
      <c r="D435" s="197">
        <v>100</v>
      </c>
      <c r="E435" s="197">
        <v>8008</v>
      </c>
      <c r="F435" s="197">
        <v>83.4</v>
      </c>
      <c r="G435" s="190">
        <v>45800</v>
      </c>
      <c r="H435" s="196">
        <v>0</v>
      </c>
      <c r="I435" s="197">
        <v>8340</v>
      </c>
      <c r="J435" s="197">
        <v>8340</v>
      </c>
      <c r="K435" s="197">
        <v>0</v>
      </c>
      <c r="L435" s="197">
        <v>332</v>
      </c>
      <c r="M435" s="260" t="s">
        <v>239</v>
      </c>
      <c r="N435" s="260" t="s">
        <v>514</v>
      </c>
    </row>
    <row r="436" spans="1:14" ht="14.5" x14ac:dyDescent="0.35">
      <c r="A436" s="260" t="s">
        <v>563</v>
      </c>
      <c r="B436" s="190">
        <v>45801</v>
      </c>
      <c r="C436" s="260" t="s">
        <v>749</v>
      </c>
      <c r="D436" s="197">
        <v>150</v>
      </c>
      <c r="E436" s="197">
        <v>14915</v>
      </c>
      <c r="F436" s="197">
        <v>99.53</v>
      </c>
      <c r="G436" s="190">
        <v>45800</v>
      </c>
      <c r="H436" s="196">
        <v>1</v>
      </c>
      <c r="I436" s="197">
        <v>14929.5</v>
      </c>
      <c r="J436" s="197">
        <v>14929.5</v>
      </c>
      <c r="K436" s="197">
        <v>0</v>
      </c>
      <c r="L436" s="197">
        <v>14.5</v>
      </c>
      <c r="M436" s="260" t="s">
        <v>239</v>
      </c>
      <c r="N436" s="260" t="s">
        <v>514</v>
      </c>
    </row>
    <row r="437" spans="1:14" ht="14.5" x14ac:dyDescent="0.35">
      <c r="A437" s="260" t="s">
        <v>563</v>
      </c>
      <c r="B437" s="190">
        <v>45801</v>
      </c>
      <c r="C437" s="260" t="s">
        <v>752</v>
      </c>
      <c r="D437" s="197">
        <v>50</v>
      </c>
      <c r="E437" s="197">
        <v>10010</v>
      </c>
      <c r="F437" s="197">
        <v>191.4</v>
      </c>
      <c r="G437" s="190">
        <v>45800</v>
      </c>
      <c r="H437" s="196">
        <v>1</v>
      </c>
      <c r="I437" s="197">
        <v>9570</v>
      </c>
      <c r="J437" s="197">
        <v>9570</v>
      </c>
      <c r="K437" s="197">
        <v>0</v>
      </c>
      <c r="L437" s="197">
        <v>-440</v>
      </c>
      <c r="M437" s="260" t="s">
        <v>239</v>
      </c>
      <c r="N437" s="260" t="s">
        <v>514</v>
      </c>
    </row>
    <row r="438" spans="1:14" ht="14.5" x14ac:dyDescent="0.35">
      <c r="A438" s="260" t="s">
        <v>563</v>
      </c>
      <c r="B438" s="190">
        <v>45801</v>
      </c>
      <c r="C438" s="260" t="s">
        <v>754</v>
      </c>
      <c r="D438" s="197">
        <v>100</v>
      </c>
      <c r="E438" s="197">
        <v>8008</v>
      </c>
      <c r="F438" s="197">
        <v>83.4</v>
      </c>
      <c r="G438" s="190">
        <v>45800</v>
      </c>
      <c r="H438" s="196">
        <v>1</v>
      </c>
      <c r="I438" s="197">
        <v>8340</v>
      </c>
      <c r="J438" s="197">
        <v>8340</v>
      </c>
      <c r="K438" s="197">
        <v>0</v>
      </c>
      <c r="L438" s="197">
        <v>332</v>
      </c>
      <c r="M438" s="260" t="s">
        <v>239</v>
      </c>
      <c r="N438" s="260" t="s">
        <v>514</v>
      </c>
    </row>
    <row r="439" spans="1:14" ht="14.5" x14ac:dyDescent="0.35">
      <c r="A439" s="260" t="s">
        <v>563</v>
      </c>
      <c r="B439" s="190">
        <v>45802</v>
      </c>
      <c r="C439" s="260" t="s">
        <v>749</v>
      </c>
      <c r="D439" s="197">
        <v>150</v>
      </c>
      <c r="E439" s="197">
        <v>14915</v>
      </c>
      <c r="F439" s="197">
        <v>99.53</v>
      </c>
      <c r="G439" s="190">
        <v>45800</v>
      </c>
      <c r="H439" s="196">
        <v>2</v>
      </c>
      <c r="I439" s="197">
        <v>14929.5</v>
      </c>
      <c r="J439" s="197">
        <v>14929.5</v>
      </c>
      <c r="K439" s="197">
        <v>0</v>
      </c>
      <c r="L439" s="197">
        <v>14.5</v>
      </c>
      <c r="M439" s="260" t="s">
        <v>239</v>
      </c>
      <c r="N439" s="260" t="s">
        <v>514</v>
      </c>
    </row>
    <row r="440" spans="1:14" ht="14.5" x14ac:dyDescent="0.35">
      <c r="A440" s="260" t="s">
        <v>563</v>
      </c>
      <c r="B440" s="190">
        <v>45802</v>
      </c>
      <c r="C440" s="260" t="s">
        <v>752</v>
      </c>
      <c r="D440" s="197">
        <v>50</v>
      </c>
      <c r="E440" s="197">
        <v>10010</v>
      </c>
      <c r="F440" s="197">
        <v>191.4</v>
      </c>
      <c r="G440" s="190">
        <v>45800</v>
      </c>
      <c r="H440" s="196">
        <v>2</v>
      </c>
      <c r="I440" s="197">
        <v>9570</v>
      </c>
      <c r="J440" s="197">
        <v>9570</v>
      </c>
      <c r="K440" s="197">
        <v>0</v>
      </c>
      <c r="L440" s="197">
        <v>-440</v>
      </c>
      <c r="M440" s="260" t="s">
        <v>239</v>
      </c>
      <c r="N440" s="260" t="s">
        <v>514</v>
      </c>
    </row>
    <row r="441" spans="1:14" ht="14.5" x14ac:dyDescent="0.35">
      <c r="A441" s="260" t="s">
        <v>563</v>
      </c>
      <c r="B441" s="190">
        <v>45802</v>
      </c>
      <c r="C441" s="260" t="s">
        <v>754</v>
      </c>
      <c r="D441" s="197">
        <v>100</v>
      </c>
      <c r="E441" s="197">
        <v>8008</v>
      </c>
      <c r="F441" s="197">
        <v>83.4</v>
      </c>
      <c r="G441" s="190">
        <v>45800</v>
      </c>
      <c r="H441" s="196">
        <v>2</v>
      </c>
      <c r="I441" s="197">
        <v>8340</v>
      </c>
      <c r="J441" s="197">
        <v>8340</v>
      </c>
      <c r="K441" s="197">
        <v>0</v>
      </c>
      <c r="L441" s="197">
        <v>332</v>
      </c>
      <c r="M441" s="260" t="s">
        <v>239</v>
      </c>
      <c r="N441" s="260" t="s">
        <v>514</v>
      </c>
    </row>
    <row r="442" spans="1:14" ht="14.5" x14ac:dyDescent="0.35">
      <c r="A442" s="260" t="s">
        <v>563</v>
      </c>
      <c r="B442" s="190">
        <v>45803</v>
      </c>
      <c r="C442" s="260" t="s">
        <v>749</v>
      </c>
      <c r="D442" s="197">
        <v>150</v>
      </c>
      <c r="E442" s="197">
        <v>14915</v>
      </c>
      <c r="F442" s="197">
        <v>99.33</v>
      </c>
      <c r="G442" s="190">
        <v>45803</v>
      </c>
      <c r="H442" s="196">
        <v>0</v>
      </c>
      <c r="I442" s="197">
        <v>14899.5</v>
      </c>
      <c r="J442" s="197">
        <v>14899.5</v>
      </c>
      <c r="K442" s="197">
        <v>0</v>
      </c>
      <c r="L442" s="197">
        <v>-15.5</v>
      </c>
      <c r="M442" s="260" t="s">
        <v>239</v>
      </c>
      <c r="N442" s="260" t="s">
        <v>514</v>
      </c>
    </row>
    <row r="443" spans="1:14" ht="14.5" x14ac:dyDescent="0.35">
      <c r="A443" s="260" t="s">
        <v>563</v>
      </c>
      <c r="B443" s="190">
        <v>45803</v>
      </c>
      <c r="C443" s="260" t="s">
        <v>752</v>
      </c>
      <c r="D443" s="197">
        <v>50</v>
      </c>
      <c r="E443" s="197">
        <v>10010</v>
      </c>
      <c r="F443" s="197">
        <v>192</v>
      </c>
      <c r="G443" s="190">
        <v>45803</v>
      </c>
      <c r="H443" s="196">
        <v>0</v>
      </c>
      <c r="I443" s="197">
        <v>9600</v>
      </c>
      <c r="J443" s="197">
        <v>9600</v>
      </c>
      <c r="K443" s="197">
        <v>0</v>
      </c>
      <c r="L443" s="197">
        <v>-410</v>
      </c>
      <c r="M443" s="260" t="s">
        <v>239</v>
      </c>
      <c r="N443" s="260" t="s">
        <v>514</v>
      </c>
    </row>
    <row r="444" spans="1:14" ht="14.5" x14ac:dyDescent="0.35">
      <c r="A444" s="260" t="s">
        <v>563</v>
      </c>
      <c r="B444" s="190">
        <v>45803</v>
      </c>
      <c r="C444" s="260" t="s">
        <v>754</v>
      </c>
      <c r="D444" s="197">
        <v>100</v>
      </c>
      <c r="E444" s="197">
        <v>8008</v>
      </c>
      <c r="F444" s="197">
        <v>84</v>
      </c>
      <c r="G444" s="190">
        <v>45803</v>
      </c>
      <c r="H444" s="196">
        <v>0</v>
      </c>
      <c r="I444" s="197">
        <v>8400</v>
      </c>
      <c r="J444" s="197">
        <v>8400</v>
      </c>
      <c r="K444" s="197">
        <v>0</v>
      </c>
      <c r="L444" s="197">
        <v>392</v>
      </c>
      <c r="M444" s="260" t="s">
        <v>239</v>
      </c>
      <c r="N444" s="260" t="s">
        <v>514</v>
      </c>
    </row>
    <row r="445" spans="1:14" ht="14.5" x14ac:dyDescent="0.35">
      <c r="A445" s="260" t="s">
        <v>563</v>
      </c>
      <c r="B445" s="190">
        <v>45804</v>
      </c>
      <c r="C445" s="260" t="s">
        <v>749</v>
      </c>
      <c r="D445" s="197">
        <v>150</v>
      </c>
      <c r="E445" s="197">
        <v>14915</v>
      </c>
      <c r="F445" s="197">
        <v>99.27</v>
      </c>
      <c r="G445" s="190">
        <v>45804</v>
      </c>
      <c r="H445" s="196">
        <v>0</v>
      </c>
      <c r="I445" s="197">
        <v>14890.5</v>
      </c>
      <c r="J445" s="197">
        <v>14890.5</v>
      </c>
      <c r="K445" s="197">
        <v>0</v>
      </c>
      <c r="L445" s="197">
        <v>-24.5</v>
      </c>
      <c r="M445" s="260" t="s">
        <v>239</v>
      </c>
      <c r="N445" s="260" t="s">
        <v>514</v>
      </c>
    </row>
    <row r="446" spans="1:14" ht="14.5" x14ac:dyDescent="0.35">
      <c r="A446" s="260" t="s">
        <v>563</v>
      </c>
      <c r="B446" s="190">
        <v>45804</v>
      </c>
      <c r="C446" s="260" t="s">
        <v>752</v>
      </c>
      <c r="D446" s="197">
        <v>50</v>
      </c>
      <c r="E446" s="197">
        <v>10010</v>
      </c>
      <c r="F446" s="197">
        <v>192.2</v>
      </c>
      <c r="G446" s="190">
        <v>45804</v>
      </c>
      <c r="H446" s="196">
        <v>0</v>
      </c>
      <c r="I446" s="197">
        <v>9610</v>
      </c>
      <c r="J446" s="197">
        <v>9610</v>
      </c>
      <c r="K446" s="197">
        <v>0</v>
      </c>
      <c r="L446" s="197">
        <v>-400</v>
      </c>
      <c r="M446" s="260" t="s">
        <v>239</v>
      </c>
      <c r="N446" s="260" t="s">
        <v>514</v>
      </c>
    </row>
    <row r="447" spans="1:14" ht="14.5" x14ac:dyDescent="0.35">
      <c r="A447" s="260" t="s">
        <v>563</v>
      </c>
      <c r="B447" s="190">
        <v>45804</v>
      </c>
      <c r="C447" s="260" t="s">
        <v>754</v>
      </c>
      <c r="D447" s="197">
        <v>100</v>
      </c>
      <c r="E447" s="197">
        <v>8008</v>
      </c>
      <c r="F447" s="197">
        <v>84.2</v>
      </c>
      <c r="G447" s="190">
        <v>45804</v>
      </c>
      <c r="H447" s="196">
        <v>0</v>
      </c>
      <c r="I447" s="197">
        <v>8420</v>
      </c>
      <c r="J447" s="197">
        <v>8420</v>
      </c>
      <c r="K447" s="197">
        <v>0</v>
      </c>
      <c r="L447" s="197">
        <v>412</v>
      </c>
      <c r="M447" s="260" t="s">
        <v>239</v>
      </c>
      <c r="N447" s="260" t="s">
        <v>514</v>
      </c>
    </row>
    <row r="448" spans="1:14" ht="14.5" x14ac:dyDescent="0.35">
      <c r="A448" s="260" t="s">
        <v>563</v>
      </c>
      <c r="B448" s="190">
        <v>45805</v>
      </c>
      <c r="C448" s="260" t="s">
        <v>749</v>
      </c>
      <c r="D448" s="197">
        <v>150</v>
      </c>
      <c r="E448" s="197">
        <v>14915</v>
      </c>
      <c r="F448" s="197">
        <v>99.2</v>
      </c>
      <c r="G448" s="190">
        <v>45805</v>
      </c>
      <c r="H448" s="196">
        <v>0</v>
      </c>
      <c r="I448" s="197">
        <v>14880</v>
      </c>
      <c r="J448" s="197">
        <v>14880</v>
      </c>
      <c r="K448" s="197">
        <v>0</v>
      </c>
      <c r="L448" s="197">
        <v>-35</v>
      </c>
      <c r="M448" s="260" t="s">
        <v>239</v>
      </c>
      <c r="N448" s="260" t="s">
        <v>514</v>
      </c>
    </row>
    <row r="449" spans="1:14" ht="14.5" x14ac:dyDescent="0.35">
      <c r="A449" s="260" t="s">
        <v>563</v>
      </c>
      <c r="B449" s="190">
        <v>45805</v>
      </c>
      <c r="C449" s="260" t="s">
        <v>752</v>
      </c>
      <c r="D449" s="197">
        <v>50</v>
      </c>
      <c r="E449" s="197">
        <v>10010</v>
      </c>
      <c r="F449" s="197">
        <v>192.4</v>
      </c>
      <c r="G449" s="190">
        <v>45805</v>
      </c>
      <c r="H449" s="196">
        <v>0</v>
      </c>
      <c r="I449" s="197">
        <v>9620</v>
      </c>
      <c r="J449" s="197">
        <v>9620</v>
      </c>
      <c r="K449" s="197">
        <v>0</v>
      </c>
      <c r="L449" s="197">
        <v>-390</v>
      </c>
      <c r="M449" s="260" t="s">
        <v>239</v>
      </c>
      <c r="N449" s="260" t="s">
        <v>514</v>
      </c>
    </row>
    <row r="450" spans="1:14" ht="14.5" x14ac:dyDescent="0.35">
      <c r="A450" s="260" t="s">
        <v>563</v>
      </c>
      <c r="B450" s="190">
        <v>45805</v>
      </c>
      <c r="C450" s="260" t="s">
        <v>754</v>
      </c>
      <c r="D450" s="197">
        <v>100</v>
      </c>
      <c r="E450" s="197">
        <v>8008</v>
      </c>
      <c r="F450" s="197">
        <v>84.4</v>
      </c>
      <c r="G450" s="190">
        <v>45805</v>
      </c>
      <c r="H450" s="196">
        <v>0</v>
      </c>
      <c r="I450" s="197">
        <v>8440</v>
      </c>
      <c r="J450" s="197">
        <v>8440</v>
      </c>
      <c r="K450" s="197">
        <v>0</v>
      </c>
      <c r="L450" s="197">
        <v>432</v>
      </c>
      <c r="M450" s="260" t="s">
        <v>239</v>
      </c>
      <c r="N450" s="260" t="s">
        <v>514</v>
      </c>
    </row>
    <row r="451" spans="1:14" ht="14.5" x14ac:dyDescent="0.35">
      <c r="A451" s="260" t="s">
        <v>563</v>
      </c>
      <c r="B451" s="190">
        <v>45806</v>
      </c>
      <c r="C451" s="260" t="s">
        <v>749</v>
      </c>
      <c r="D451" s="197">
        <v>150</v>
      </c>
      <c r="E451" s="197">
        <v>14915</v>
      </c>
      <c r="F451" s="197">
        <v>99.13</v>
      </c>
      <c r="G451" s="190">
        <v>45806</v>
      </c>
      <c r="H451" s="196">
        <v>0</v>
      </c>
      <c r="I451" s="197">
        <v>14869.5</v>
      </c>
      <c r="J451" s="197">
        <v>14869.5</v>
      </c>
      <c r="K451" s="197">
        <v>0</v>
      </c>
      <c r="L451" s="197">
        <v>-45.5</v>
      </c>
      <c r="M451" s="260" t="s">
        <v>239</v>
      </c>
      <c r="N451" s="260" t="s">
        <v>514</v>
      </c>
    </row>
    <row r="452" spans="1:14" ht="14.5" x14ac:dyDescent="0.35">
      <c r="A452" s="260" t="s">
        <v>563</v>
      </c>
      <c r="B452" s="190">
        <v>45806</v>
      </c>
      <c r="C452" s="260" t="s">
        <v>752</v>
      </c>
      <c r="D452" s="197">
        <v>50</v>
      </c>
      <c r="E452" s="197">
        <v>10010</v>
      </c>
      <c r="F452" s="197">
        <v>192.6</v>
      </c>
      <c r="G452" s="190">
        <v>45806</v>
      </c>
      <c r="H452" s="196">
        <v>0</v>
      </c>
      <c r="I452" s="197">
        <v>9630</v>
      </c>
      <c r="J452" s="197">
        <v>9630</v>
      </c>
      <c r="K452" s="197">
        <v>0</v>
      </c>
      <c r="L452" s="197">
        <v>-380</v>
      </c>
      <c r="M452" s="260" t="s">
        <v>239</v>
      </c>
      <c r="N452" s="260" t="s">
        <v>514</v>
      </c>
    </row>
    <row r="453" spans="1:14" ht="14.5" x14ac:dyDescent="0.35">
      <c r="A453" s="260" t="s">
        <v>563</v>
      </c>
      <c r="B453" s="190">
        <v>45806</v>
      </c>
      <c r="C453" s="260" t="s">
        <v>754</v>
      </c>
      <c r="D453" s="197">
        <v>100</v>
      </c>
      <c r="E453" s="197">
        <v>8008</v>
      </c>
      <c r="F453" s="197">
        <v>84.6</v>
      </c>
      <c r="G453" s="190">
        <v>45806</v>
      </c>
      <c r="H453" s="196">
        <v>0</v>
      </c>
      <c r="I453" s="197">
        <v>8460</v>
      </c>
      <c r="J453" s="197">
        <v>8460</v>
      </c>
      <c r="K453" s="197">
        <v>0</v>
      </c>
      <c r="L453" s="197">
        <v>452</v>
      </c>
      <c r="M453" s="260" t="s">
        <v>239</v>
      </c>
      <c r="N453" s="260" t="s">
        <v>514</v>
      </c>
    </row>
    <row r="454" spans="1:14" ht="14.5" x14ac:dyDescent="0.35">
      <c r="A454" s="260" t="s">
        <v>563</v>
      </c>
      <c r="B454" s="190">
        <v>45807</v>
      </c>
      <c r="C454" s="260" t="s">
        <v>749</v>
      </c>
      <c r="D454" s="197">
        <v>150</v>
      </c>
      <c r="E454" s="197">
        <v>14915</v>
      </c>
      <c r="F454" s="197">
        <v>99.07</v>
      </c>
      <c r="G454" s="190">
        <v>45807</v>
      </c>
      <c r="H454" s="196">
        <v>0</v>
      </c>
      <c r="I454" s="197">
        <v>14860.499999999998</v>
      </c>
      <c r="J454" s="197">
        <v>14860.499999999998</v>
      </c>
      <c r="K454" s="197">
        <v>0</v>
      </c>
      <c r="L454" s="197">
        <v>-54.500000000001819</v>
      </c>
      <c r="M454" s="260" t="s">
        <v>239</v>
      </c>
      <c r="N454" s="260" t="s">
        <v>514</v>
      </c>
    </row>
    <row r="455" spans="1:14" ht="14.5" x14ac:dyDescent="0.35">
      <c r="A455" s="260" t="s">
        <v>563</v>
      </c>
      <c r="B455" s="190">
        <v>45807</v>
      </c>
      <c r="C455" s="260" t="s">
        <v>752</v>
      </c>
      <c r="D455" s="197">
        <v>50</v>
      </c>
      <c r="E455" s="197">
        <v>10010</v>
      </c>
      <c r="F455" s="197">
        <v>192.8</v>
      </c>
      <c r="G455" s="190">
        <v>45807</v>
      </c>
      <c r="H455" s="196">
        <v>0</v>
      </c>
      <c r="I455" s="197">
        <v>9640</v>
      </c>
      <c r="J455" s="197">
        <v>9640</v>
      </c>
      <c r="K455" s="197">
        <v>0</v>
      </c>
      <c r="L455" s="197">
        <v>-370</v>
      </c>
      <c r="M455" s="260" t="s">
        <v>239</v>
      </c>
      <c r="N455" s="260" t="s">
        <v>514</v>
      </c>
    </row>
    <row r="456" spans="1:14" ht="14.5" x14ac:dyDescent="0.35">
      <c r="A456" s="260" t="s">
        <v>563</v>
      </c>
      <c r="B456" s="190">
        <v>45807</v>
      </c>
      <c r="C456" s="260" t="s">
        <v>754</v>
      </c>
      <c r="D456" s="197">
        <v>100</v>
      </c>
      <c r="E456" s="197">
        <v>8008</v>
      </c>
      <c r="F456" s="197">
        <v>84.8</v>
      </c>
      <c r="G456" s="190">
        <v>45807</v>
      </c>
      <c r="H456" s="196">
        <v>0</v>
      </c>
      <c r="I456" s="197">
        <v>8480</v>
      </c>
      <c r="J456" s="197">
        <v>8480</v>
      </c>
      <c r="K456" s="197">
        <v>0</v>
      </c>
      <c r="L456" s="197">
        <v>472</v>
      </c>
      <c r="M456" s="260" t="s">
        <v>239</v>
      </c>
      <c r="N456" s="260" t="s">
        <v>514</v>
      </c>
    </row>
    <row r="457" spans="1:14" ht="14.5" x14ac:dyDescent="0.35">
      <c r="A457" s="260" t="s">
        <v>563</v>
      </c>
      <c r="B457" s="190">
        <v>45808</v>
      </c>
      <c r="C457" s="260" t="s">
        <v>749</v>
      </c>
      <c r="D457" s="197">
        <v>150</v>
      </c>
      <c r="E457" s="197">
        <v>14915</v>
      </c>
      <c r="F457" s="197">
        <v>99.07</v>
      </c>
      <c r="G457" s="190">
        <v>45807</v>
      </c>
      <c r="H457" s="196">
        <v>1</v>
      </c>
      <c r="I457" s="197">
        <v>14860.499999999998</v>
      </c>
      <c r="J457" s="197">
        <v>14860.499999999998</v>
      </c>
      <c r="K457" s="197">
        <v>0</v>
      </c>
      <c r="L457" s="197">
        <v>-54.500000000001819</v>
      </c>
      <c r="M457" s="260" t="s">
        <v>239</v>
      </c>
      <c r="N457" s="260" t="s">
        <v>514</v>
      </c>
    </row>
    <row r="458" spans="1:14" ht="14.5" x14ac:dyDescent="0.35">
      <c r="A458" s="260" t="s">
        <v>563</v>
      </c>
      <c r="B458" s="190">
        <v>45808</v>
      </c>
      <c r="C458" s="260" t="s">
        <v>752</v>
      </c>
      <c r="D458" s="197">
        <v>50</v>
      </c>
      <c r="E458" s="197">
        <v>10010</v>
      </c>
      <c r="F458" s="197">
        <v>192.8</v>
      </c>
      <c r="G458" s="190">
        <v>45807</v>
      </c>
      <c r="H458" s="196">
        <v>1</v>
      </c>
      <c r="I458" s="197">
        <v>9640</v>
      </c>
      <c r="J458" s="197">
        <v>9640</v>
      </c>
      <c r="K458" s="197">
        <v>0</v>
      </c>
      <c r="L458" s="197">
        <v>-370</v>
      </c>
      <c r="M458" s="260" t="s">
        <v>239</v>
      </c>
      <c r="N458" s="260" t="s">
        <v>514</v>
      </c>
    </row>
    <row r="459" spans="1:14" ht="14.5" x14ac:dyDescent="0.35">
      <c r="A459" s="260" t="s">
        <v>563</v>
      </c>
      <c r="B459" s="190">
        <v>45808</v>
      </c>
      <c r="C459" s="260" t="s">
        <v>754</v>
      </c>
      <c r="D459" s="197">
        <v>100</v>
      </c>
      <c r="E459" s="197">
        <v>8008</v>
      </c>
      <c r="F459" s="197">
        <v>84.8</v>
      </c>
      <c r="G459" s="190">
        <v>45807</v>
      </c>
      <c r="H459" s="196">
        <v>1</v>
      </c>
      <c r="I459" s="197">
        <v>8480</v>
      </c>
      <c r="J459" s="197">
        <v>8480</v>
      </c>
      <c r="K459" s="197">
        <v>0</v>
      </c>
      <c r="L459" s="197">
        <v>472</v>
      </c>
      <c r="M459" s="260" t="s">
        <v>239</v>
      </c>
      <c r="N459" s="260" t="s">
        <v>514</v>
      </c>
    </row>
    <row r="460" spans="1:14" ht="14.5" x14ac:dyDescent="0.35">
      <c r="A460" s="260" t="s">
        <v>563</v>
      </c>
      <c r="B460" s="190">
        <v>45809</v>
      </c>
      <c r="C460" s="260" t="s">
        <v>749</v>
      </c>
      <c r="D460" s="197">
        <v>150</v>
      </c>
      <c r="E460" s="197">
        <v>14915</v>
      </c>
      <c r="F460" s="197">
        <v>99.07</v>
      </c>
      <c r="G460" s="190">
        <v>45807</v>
      </c>
      <c r="H460" s="196">
        <v>2</v>
      </c>
      <c r="I460" s="197">
        <v>14860.499999999998</v>
      </c>
      <c r="J460" s="197">
        <v>14860.499999999998</v>
      </c>
      <c r="K460" s="197">
        <v>0</v>
      </c>
      <c r="L460" s="197">
        <v>-54.500000000001819</v>
      </c>
      <c r="M460" s="260" t="s">
        <v>239</v>
      </c>
      <c r="N460" s="260" t="s">
        <v>514</v>
      </c>
    </row>
    <row r="461" spans="1:14" ht="14.5" x14ac:dyDescent="0.35">
      <c r="A461" s="260" t="s">
        <v>563</v>
      </c>
      <c r="B461" s="190">
        <v>45809</v>
      </c>
      <c r="C461" s="260" t="s">
        <v>752</v>
      </c>
      <c r="D461" s="197">
        <v>50</v>
      </c>
      <c r="E461" s="197">
        <v>10010</v>
      </c>
      <c r="F461" s="197">
        <v>192.8</v>
      </c>
      <c r="G461" s="190">
        <v>45807</v>
      </c>
      <c r="H461" s="196">
        <v>2</v>
      </c>
      <c r="I461" s="197">
        <v>9640</v>
      </c>
      <c r="J461" s="197">
        <v>9640</v>
      </c>
      <c r="K461" s="197">
        <v>0</v>
      </c>
      <c r="L461" s="197">
        <v>-370</v>
      </c>
      <c r="M461" s="260" t="s">
        <v>239</v>
      </c>
      <c r="N461" s="260" t="s">
        <v>514</v>
      </c>
    </row>
    <row r="462" spans="1:14" ht="14.5" x14ac:dyDescent="0.35">
      <c r="A462" s="260" t="s">
        <v>563</v>
      </c>
      <c r="B462" s="190">
        <v>45809</v>
      </c>
      <c r="C462" s="260" t="s">
        <v>754</v>
      </c>
      <c r="D462" s="197">
        <v>100</v>
      </c>
      <c r="E462" s="197">
        <v>8008</v>
      </c>
      <c r="F462" s="197">
        <v>84.8</v>
      </c>
      <c r="G462" s="190">
        <v>45807</v>
      </c>
      <c r="H462" s="196">
        <v>2</v>
      </c>
      <c r="I462" s="197">
        <v>8480</v>
      </c>
      <c r="J462" s="197">
        <v>8480</v>
      </c>
      <c r="K462" s="197">
        <v>0</v>
      </c>
      <c r="L462" s="197">
        <v>472</v>
      </c>
      <c r="M462" s="260" t="s">
        <v>239</v>
      </c>
      <c r="N462" s="260" t="s">
        <v>514</v>
      </c>
    </row>
    <row r="463" spans="1:14" ht="14.5" x14ac:dyDescent="0.35">
      <c r="A463" s="260" t="s">
        <v>563</v>
      </c>
      <c r="B463" s="190">
        <v>45810</v>
      </c>
      <c r="C463" s="260" t="s">
        <v>749</v>
      </c>
      <c r="D463" s="197">
        <v>150</v>
      </c>
      <c r="E463" s="197">
        <v>14915</v>
      </c>
      <c r="F463" s="197">
        <v>99.41</v>
      </c>
      <c r="G463" s="190">
        <v>45810</v>
      </c>
      <c r="H463" s="196">
        <v>0</v>
      </c>
      <c r="I463" s="197">
        <v>14911.5</v>
      </c>
      <c r="J463" s="197">
        <v>14911.5</v>
      </c>
      <c r="K463" s="197">
        <v>0</v>
      </c>
      <c r="L463" s="197">
        <v>-3.5</v>
      </c>
      <c r="M463" s="260" t="s">
        <v>239</v>
      </c>
      <c r="N463" s="260" t="s">
        <v>514</v>
      </c>
    </row>
    <row r="464" spans="1:14" ht="14.5" x14ac:dyDescent="0.35">
      <c r="A464" s="260" t="s">
        <v>563</v>
      </c>
      <c r="B464" s="190">
        <v>45810</v>
      </c>
      <c r="C464" s="260" t="s">
        <v>752</v>
      </c>
      <c r="D464" s="197">
        <v>50</v>
      </c>
      <c r="E464" s="197">
        <v>10010</v>
      </c>
      <c r="F464" s="197">
        <v>192.62</v>
      </c>
      <c r="G464" s="190">
        <v>45810</v>
      </c>
      <c r="H464" s="196">
        <v>0</v>
      </c>
      <c r="I464" s="197">
        <v>9631</v>
      </c>
      <c r="J464" s="197">
        <v>9631</v>
      </c>
      <c r="K464" s="197">
        <v>0</v>
      </c>
      <c r="L464" s="197">
        <v>-379</v>
      </c>
      <c r="M464" s="260" t="s">
        <v>239</v>
      </c>
      <c r="N464" s="260" t="s">
        <v>514</v>
      </c>
    </row>
    <row r="465" spans="1:14" ht="14.5" x14ac:dyDescent="0.35">
      <c r="A465" s="260" t="s">
        <v>563</v>
      </c>
      <c r="B465" s="190">
        <v>45810</v>
      </c>
      <c r="C465" s="260" t="s">
        <v>754</v>
      </c>
      <c r="D465" s="197">
        <v>100</v>
      </c>
      <c r="E465" s="197">
        <v>8008</v>
      </c>
      <c r="F465" s="197">
        <v>84.86</v>
      </c>
      <c r="G465" s="190">
        <v>45810</v>
      </c>
      <c r="H465" s="196">
        <v>0</v>
      </c>
      <c r="I465" s="197">
        <v>8486</v>
      </c>
      <c r="J465" s="197">
        <v>8486</v>
      </c>
      <c r="K465" s="197">
        <v>0</v>
      </c>
      <c r="L465" s="197">
        <v>478</v>
      </c>
      <c r="M465" s="260" t="s">
        <v>239</v>
      </c>
      <c r="N465" s="260" t="s">
        <v>514</v>
      </c>
    </row>
    <row r="466" spans="1:14" ht="14.5" x14ac:dyDescent="0.35">
      <c r="A466" s="260" t="s">
        <v>563</v>
      </c>
      <c r="B466" s="190">
        <v>45811</v>
      </c>
      <c r="C466" s="260" t="s">
        <v>749</v>
      </c>
      <c r="D466" s="197">
        <v>150</v>
      </c>
      <c r="E466" s="197">
        <v>14915</v>
      </c>
      <c r="F466" s="197">
        <v>99.83</v>
      </c>
      <c r="G466" s="190">
        <v>45811</v>
      </c>
      <c r="H466" s="196">
        <v>0</v>
      </c>
      <c r="I466" s="197">
        <v>14974.5</v>
      </c>
      <c r="J466" s="197">
        <v>14974.5</v>
      </c>
      <c r="K466" s="197">
        <v>0</v>
      </c>
      <c r="L466" s="197">
        <v>59.5</v>
      </c>
      <c r="M466" s="260" t="s">
        <v>239</v>
      </c>
      <c r="N466" s="260" t="s">
        <v>514</v>
      </c>
    </row>
    <row r="467" spans="1:14" ht="14.5" x14ac:dyDescent="0.35">
      <c r="A467" s="260" t="s">
        <v>563</v>
      </c>
      <c r="B467" s="190">
        <v>45811</v>
      </c>
      <c r="C467" s="260" t="s">
        <v>752</v>
      </c>
      <c r="D467" s="197">
        <v>50</v>
      </c>
      <c r="E467" s="197">
        <v>10010</v>
      </c>
      <c r="F467" s="197">
        <v>192.24</v>
      </c>
      <c r="G467" s="190">
        <v>45811</v>
      </c>
      <c r="H467" s="196">
        <v>0</v>
      </c>
      <c r="I467" s="197">
        <v>9612</v>
      </c>
      <c r="J467" s="197">
        <v>9612</v>
      </c>
      <c r="K467" s="197">
        <v>0</v>
      </c>
      <c r="L467" s="197">
        <v>-398</v>
      </c>
      <c r="M467" s="260" t="s">
        <v>239</v>
      </c>
      <c r="N467" s="260" t="s">
        <v>514</v>
      </c>
    </row>
    <row r="468" spans="1:14" ht="14.5" x14ac:dyDescent="0.35">
      <c r="A468" s="260" t="s">
        <v>563</v>
      </c>
      <c r="B468" s="190">
        <v>45811</v>
      </c>
      <c r="C468" s="260" t="s">
        <v>754</v>
      </c>
      <c r="D468" s="197">
        <v>100</v>
      </c>
      <c r="E468" s="197">
        <v>8008</v>
      </c>
      <c r="F468" s="197">
        <v>84.72</v>
      </c>
      <c r="G468" s="190">
        <v>45811</v>
      </c>
      <c r="H468" s="196">
        <v>0</v>
      </c>
      <c r="I468" s="197">
        <v>8472</v>
      </c>
      <c r="J468" s="197">
        <v>8472</v>
      </c>
      <c r="K468" s="197">
        <v>0</v>
      </c>
      <c r="L468" s="197">
        <v>464</v>
      </c>
      <c r="M468" s="260" t="s">
        <v>239</v>
      </c>
      <c r="N468" s="260" t="s">
        <v>514</v>
      </c>
    </row>
    <row r="469" spans="1:14" ht="14.5" x14ac:dyDescent="0.35">
      <c r="A469" s="260" t="s">
        <v>563</v>
      </c>
      <c r="B469" s="190">
        <v>45812</v>
      </c>
      <c r="C469" s="260" t="s">
        <v>749</v>
      </c>
      <c r="D469" s="197">
        <v>150</v>
      </c>
      <c r="E469" s="197">
        <v>14915</v>
      </c>
      <c r="F469" s="197">
        <v>100.24</v>
      </c>
      <c r="G469" s="190">
        <v>45812</v>
      </c>
      <c r="H469" s="196">
        <v>0</v>
      </c>
      <c r="I469" s="197">
        <v>15036</v>
      </c>
      <c r="J469" s="197">
        <v>15036</v>
      </c>
      <c r="K469" s="197">
        <v>0</v>
      </c>
      <c r="L469" s="197">
        <v>121</v>
      </c>
      <c r="M469" s="260" t="s">
        <v>239</v>
      </c>
      <c r="N469" s="260" t="s">
        <v>514</v>
      </c>
    </row>
    <row r="470" spans="1:14" ht="14.5" x14ac:dyDescent="0.35">
      <c r="A470" s="260" t="s">
        <v>563</v>
      </c>
      <c r="B470" s="190">
        <v>45812</v>
      </c>
      <c r="C470" s="260" t="s">
        <v>752</v>
      </c>
      <c r="D470" s="197">
        <v>50</v>
      </c>
      <c r="E470" s="197">
        <v>10010</v>
      </c>
      <c r="F470" s="197">
        <v>191.86</v>
      </c>
      <c r="G470" s="190">
        <v>45812</v>
      </c>
      <c r="H470" s="196">
        <v>0</v>
      </c>
      <c r="I470" s="197">
        <v>9593</v>
      </c>
      <c r="J470" s="197">
        <v>9593</v>
      </c>
      <c r="K470" s="197">
        <v>0</v>
      </c>
      <c r="L470" s="197">
        <v>-417</v>
      </c>
      <c r="M470" s="260" t="s">
        <v>239</v>
      </c>
      <c r="N470" s="260" t="s">
        <v>514</v>
      </c>
    </row>
    <row r="471" spans="1:14" ht="14.5" x14ac:dyDescent="0.35">
      <c r="A471" s="260" t="s">
        <v>563</v>
      </c>
      <c r="B471" s="190">
        <v>45812</v>
      </c>
      <c r="C471" s="260" t="s">
        <v>754</v>
      </c>
      <c r="D471" s="197">
        <v>100</v>
      </c>
      <c r="E471" s="197">
        <v>8008</v>
      </c>
      <c r="F471" s="197">
        <v>84.59</v>
      </c>
      <c r="G471" s="190">
        <v>45812</v>
      </c>
      <c r="H471" s="196">
        <v>0</v>
      </c>
      <c r="I471" s="197">
        <v>8459</v>
      </c>
      <c r="J471" s="197">
        <v>8459</v>
      </c>
      <c r="K471" s="197">
        <v>0</v>
      </c>
      <c r="L471" s="197">
        <v>451</v>
      </c>
      <c r="M471" s="260" t="s">
        <v>239</v>
      </c>
      <c r="N471" s="260" t="s">
        <v>514</v>
      </c>
    </row>
    <row r="472" spans="1:14" ht="14.5" x14ac:dyDescent="0.35">
      <c r="A472" s="260" t="s">
        <v>563</v>
      </c>
      <c r="B472" s="190">
        <v>45813</v>
      </c>
      <c r="C472" s="260" t="s">
        <v>749</v>
      </c>
      <c r="D472" s="197">
        <v>150</v>
      </c>
      <c r="E472" s="197">
        <v>14915</v>
      </c>
      <c r="F472" s="197">
        <v>100.66</v>
      </c>
      <c r="G472" s="190">
        <v>45813</v>
      </c>
      <c r="H472" s="196">
        <v>0</v>
      </c>
      <c r="I472" s="197">
        <v>15099</v>
      </c>
      <c r="J472" s="197">
        <v>15099</v>
      </c>
      <c r="K472" s="197">
        <v>0</v>
      </c>
      <c r="L472" s="197">
        <v>184</v>
      </c>
      <c r="M472" s="260" t="s">
        <v>239</v>
      </c>
      <c r="N472" s="260" t="s">
        <v>514</v>
      </c>
    </row>
    <row r="473" spans="1:14" ht="14.5" x14ac:dyDescent="0.35">
      <c r="A473" s="260" t="s">
        <v>563</v>
      </c>
      <c r="B473" s="190">
        <v>45813</v>
      </c>
      <c r="C473" s="260" t="s">
        <v>752</v>
      </c>
      <c r="D473" s="197">
        <v>50</v>
      </c>
      <c r="E473" s="197">
        <v>10010</v>
      </c>
      <c r="F473" s="197">
        <v>191.48</v>
      </c>
      <c r="G473" s="190">
        <v>45813</v>
      </c>
      <c r="H473" s="196">
        <v>0</v>
      </c>
      <c r="I473" s="197">
        <v>9574</v>
      </c>
      <c r="J473" s="197">
        <v>9574</v>
      </c>
      <c r="K473" s="197">
        <v>0</v>
      </c>
      <c r="L473" s="197">
        <v>-436</v>
      </c>
      <c r="M473" s="260" t="s">
        <v>239</v>
      </c>
      <c r="N473" s="260" t="s">
        <v>514</v>
      </c>
    </row>
    <row r="474" spans="1:14" ht="14.5" x14ac:dyDescent="0.35">
      <c r="A474" s="260" t="s">
        <v>563</v>
      </c>
      <c r="B474" s="190">
        <v>45813</v>
      </c>
      <c r="C474" s="260" t="s">
        <v>754</v>
      </c>
      <c r="D474" s="197">
        <v>100</v>
      </c>
      <c r="E474" s="197">
        <v>8008</v>
      </c>
      <c r="F474" s="197">
        <v>84.45</v>
      </c>
      <c r="G474" s="190">
        <v>45813</v>
      </c>
      <c r="H474" s="196">
        <v>0</v>
      </c>
      <c r="I474" s="197">
        <v>8445</v>
      </c>
      <c r="J474" s="197">
        <v>8445</v>
      </c>
      <c r="K474" s="197">
        <v>0</v>
      </c>
      <c r="L474" s="197">
        <v>437</v>
      </c>
      <c r="M474" s="260" t="s">
        <v>239</v>
      </c>
      <c r="N474" s="260" t="s">
        <v>514</v>
      </c>
    </row>
    <row r="475" spans="1:14" ht="14.5" x14ac:dyDescent="0.35">
      <c r="A475" s="260" t="s">
        <v>563</v>
      </c>
      <c r="B475" s="190">
        <v>45814</v>
      </c>
      <c r="C475" s="260" t="s">
        <v>749</v>
      </c>
      <c r="D475" s="197">
        <v>150</v>
      </c>
      <c r="E475" s="197">
        <v>14915</v>
      </c>
      <c r="F475" s="197">
        <v>101.07</v>
      </c>
      <c r="G475" s="190">
        <v>45814</v>
      </c>
      <c r="H475" s="196">
        <v>0</v>
      </c>
      <c r="I475" s="197">
        <v>15160.499999999998</v>
      </c>
      <c r="J475" s="197">
        <v>15160.499999999998</v>
      </c>
      <c r="K475" s="197">
        <v>0</v>
      </c>
      <c r="L475" s="197">
        <v>245.49999999999818</v>
      </c>
      <c r="M475" s="260" t="s">
        <v>239</v>
      </c>
      <c r="N475" s="260" t="s">
        <v>514</v>
      </c>
    </row>
    <row r="476" spans="1:14" ht="14.5" x14ac:dyDescent="0.35">
      <c r="A476" s="260" t="s">
        <v>563</v>
      </c>
      <c r="B476" s="190">
        <v>45814</v>
      </c>
      <c r="C476" s="260" t="s">
        <v>752</v>
      </c>
      <c r="D476" s="197">
        <v>50</v>
      </c>
      <c r="E476" s="197">
        <v>10010</v>
      </c>
      <c r="F476" s="197">
        <v>191.1</v>
      </c>
      <c r="G476" s="190">
        <v>45814</v>
      </c>
      <c r="H476" s="196">
        <v>0</v>
      </c>
      <c r="I476" s="197">
        <v>9555</v>
      </c>
      <c r="J476" s="197">
        <v>9555</v>
      </c>
      <c r="K476" s="197">
        <v>0</v>
      </c>
      <c r="L476" s="197">
        <v>-455</v>
      </c>
      <c r="M476" s="260" t="s">
        <v>239</v>
      </c>
      <c r="N476" s="260" t="s">
        <v>514</v>
      </c>
    </row>
    <row r="477" spans="1:14" ht="14.5" x14ac:dyDescent="0.35">
      <c r="A477" s="260" t="s">
        <v>563</v>
      </c>
      <c r="B477" s="190">
        <v>45814</v>
      </c>
      <c r="C477" s="260" t="s">
        <v>754</v>
      </c>
      <c r="D477" s="197">
        <v>100</v>
      </c>
      <c r="E477" s="197">
        <v>8008</v>
      </c>
      <c r="F477" s="197">
        <v>84.31</v>
      </c>
      <c r="G477" s="190">
        <v>45814</v>
      </c>
      <c r="H477" s="196">
        <v>0</v>
      </c>
      <c r="I477" s="197">
        <v>8431</v>
      </c>
      <c r="J477" s="197">
        <v>8431</v>
      </c>
      <c r="K477" s="197">
        <v>0</v>
      </c>
      <c r="L477" s="197">
        <v>423</v>
      </c>
      <c r="M477" s="260" t="s">
        <v>239</v>
      </c>
      <c r="N477" s="260" t="s">
        <v>514</v>
      </c>
    </row>
    <row r="478" spans="1:14" ht="14.5" x14ac:dyDescent="0.35">
      <c r="A478" s="260" t="s">
        <v>563</v>
      </c>
      <c r="B478" s="190">
        <v>45815</v>
      </c>
      <c r="C478" s="260" t="s">
        <v>749</v>
      </c>
      <c r="D478" s="197">
        <v>150</v>
      </c>
      <c r="E478" s="197">
        <v>14915</v>
      </c>
      <c r="F478" s="197">
        <v>101.07</v>
      </c>
      <c r="G478" s="190">
        <v>45814</v>
      </c>
      <c r="H478" s="196">
        <v>1</v>
      </c>
      <c r="I478" s="197">
        <v>15160.499999999998</v>
      </c>
      <c r="J478" s="197">
        <v>15160.499999999998</v>
      </c>
      <c r="K478" s="197">
        <v>0</v>
      </c>
      <c r="L478" s="197">
        <v>245.49999999999818</v>
      </c>
      <c r="M478" s="260" t="s">
        <v>239</v>
      </c>
      <c r="N478" s="260" t="s">
        <v>514</v>
      </c>
    </row>
    <row r="479" spans="1:14" ht="14.5" x14ac:dyDescent="0.35">
      <c r="A479" s="260" t="s">
        <v>563</v>
      </c>
      <c r="B479" s="190">
        <v>45815</v>
      </c>
      <c r="C479" s="260" t="s">
        <v>752</v>
      </c>
      <c r="D479" s="197">
        <v>50</v>
      </c>
      <c r="E479" s="197">
        <v>10010</v>
      </c>
      <c r="F479" s="197">
        <v>191.1</v>
      </c>
      <c r="G479" s="190">
        <v>45814</v>
      </c>
      <c r="H479" s="196">
        <v>1</v>
      </c>
      <c r="I479" s="197">
        <v>9555</v>
      </c>
      <c r="J479" s="197">
        <v>9555</v>
      </c>
      <c r="K479" s="197">
        <v>0</v>
      </c>
      <c r="L479" s="197">
        <v>-455</v>
      </c>
      <c r="M479" s="260" t="s">
        <v>239</v>
      </c>
      <c r="N479" s="260" t="s">
        <v>514</v>
      </c>
    </row>
    <row r="480" spans="1:14" ht="14.5" x14ac:dyDescent="0.35">
      <c r="A480" s="260" t="s">
        <v>563</v>
      </c>
      <c r="B480" s="190">
        <v>45815</v>
      </c>
      <c r="C480" s="260" t="s">
        <v>754</v>
      </c>
      <c r="D480" s="197">
        <v>100</v>
      </c>
      <c r="E480" s="197">
        <v>8008</v>
      </c>
      <c r="F480" s="197">
        <v>84.31</v>
      </c>
      <c r="G480" s="190">
        <v>45814</v>
      </c>
      <c r="H480" s="196">
        <v>1</v>
      </c>
      <c r="I480" s="197">
        <v>8431</v>
      </c>
      <c r="J480" s="197">
        <v>8431</v>
      </c>
      <c r="K480" s="197">
        <v>0</v>
      </c>
      <c r="L480" s="197">
        <v>423</v>
      </c>
      <c r="M480" s="260" t="s">
        <v>239</v>
      </c>
      <c r="N480" s="260" t="s">
        <v>514</v>
      </c>
    </row>
    <row r="481" spans="1:14" ht="14.5" x14ac:dyDescent="0.35">
      <c r="A481" s="260" t="s">
        <v>563</v>
      </c>
      <c r="B481" s="190">
        <v>45816</v>
      </c>
      <c r="C481" s="260" t="s">
        <v>749</v>
      </c>
      <c r="D481" s="197">
        <v>150</v>
      </c>
      <c r="E481" s="197">
        <v>14915</v>
      </c>
      <c r="F481" s="197">
        <v>101.07</v>
      </c>
      <c r="G481" s="190">
        <v>45814</v>
      </c>
      <c r="H481" s="196">
        <v>2</v>
      </c>
      <c r="I481" s="197">
        <v>15160.499999999998</v>
      </c>
      <c r="J481" s="197">
        <v>15160.499999999998</v>
      </c>
      <c r="K481" s="197">
        <v>0</v>
      </c>
      <c r="L481" s="197">
        <v>245.49999999999818</v>
      </c>
      <c r="M481" s="260" t="s">
        <v>239</v>
      </c>
      <c r="N481" s="260" t="s">
        <v>514</v>
      </c>
    </row>
    <row r="482" spans="1:14" ht="14.5" x14ac:dyDescent="0.35">
      <c r="A482" s="260" t="s">
        <v>563</v>
      </c>
      <c r="B482" s="190">
        <v>45816</v>
      </c>
      <c r="C482" s="260" t="s">
        <v>752</v>
      </c>
      <c r="D482" s="197">
        <v>50</v>
      </c>
      <c r="E482" s="197">
        <v>10010</v>
      </c>
      <c r="F482" s="197">
        <v>191.1</v>
      </c>
      <c r="G482" s="190">
        <v>45814</v>
      </c>
      <c r="H482" s="196">
        <v>2</v>
      </c>
      <c r="I482" s="197">
        <v>9555</v>
      </c>
      <c r="J482" s="197">
        <v>9555</v>
      </c>
      <c r="K482" s="197">
        <v>0</v>
      </c>
      <c r="L482" s="197">
        <v>-455</v>
      </c>
      <c r="M482" s="260" t="s">
        <v>239</v>
      </c>
      <c r="N482" s="260" t="s">
        <v>514</v>
      </c>
    </row>
    <row r="483" spans="1:14" ht="14.5" x14ac:dyDescent="0.35">
      <c r="A483" s="260" t="s">
        <v>563</v>
      </c>
      <c r="B483" s="190">
        <v>45816</v>
      </c>
      <c r="C483" s="260" t="s">
        <v>754</v>
      </c>
      <c r="D483" s="197">
        <v>100</v>
      </c>
      <c r="E483" s="197">
        <v>8008</v>
      </c>
      <c r="F483" s="197">
        <v>84.31</v>
      </c>
      <c r="G483" s="190">
        <v>45814</v>
      </c>
      <c r="H483" s="196">
        <v>2</v>
      </c>
      <c r="I483" s="197">
        <v>8431</v>
      </c>
      <c r="J483" s="197">
        <v>8431</v>
      </c>
      <c r="K483" s="197">
        <v>0</v>
      </c>
      <c r="L483" s="197">
        <v>423</v>
      </c>
      <c r="M483" s="260" t="s">
        <v>239</v>
      </c>
      <c r="N483" s="260" t="s">
        <v>514</v>
      </c>
    </row>
    <row r="484" spans="1:14" ht="14.5" x14ac:dyDescent="0.35">
      <c r="A484" s="260" t="s">
        <v>563</v>
      </c>
      <c r="B484" s="190">
        <v>45817</v>
      </c>
      <c r="C484" s="260" t="s">
        <v>749</v>
      </c>
      <c r="D484" s="197">
        <v>150</v>
      </c>
      <c r="E484" s="197">
        <v>14915</v>
      </c>
      <c r="F484" s="197">
        <v>102.31</v>
      </c>
      <c r="G484" s="190">
        <v>45817</v>
      </c>
      <c r="H484" s="196">
        <v>0</v>
      </c>
      <c r="I484" s="197">
        <v>15346.5</v>
      </c>
      <c r="J484" s="197">
        <v>15346.5</v>
      </c>
      <c r="K484" s="197">
        <v>0</v>
      </c>
      <c r="L484" s="197">
        <v>431.5</v>
      </c>
      <c r="M484" s="260" t="s">
        <v>239</v>
      </c>
      <c r="N484" s="260" t="s">
        <v>514</v>
      </c>
    </row>
    <row r="485" spans="1:14" ht="14.5" x14ac:dyDescent="0.35">
      <c r="A485" s="260" t="s">
        <v>563</v>
      </c>
      <c r="B485" s="190">
        <v>45817</v>
      </c>
      <c r="C485" s="260" t="s">
        <v>752</v>
      </c>
      <c r="D485" s="197">
        <v>50</v>
      </c>
      <c r="E485" s="197">
        <v>10010</v>
      </c>
      <c r="F485" s="197">
        <v>189.97</v>
      </c>
      <c r="G485" s="190">
        <v>45817</v>
      </c>
      <c r="H485" s="196">
        <v>0</v>
      </c>
      <c r="I485" s="197">
        <v>9498.5</v>
      </c>
      <c r="J485" s="197">
        <v>9498.5</v>
      </c>
      <c r="K485" s="197">
        <v>0</v>
      </c>
      <c r="L485" s="197">
        <v>-511.5</v>
      </c>
      <c r="M485" s="260" t="s">
        <v>239</v>
      </c>
      <c r="N485" s="260" t="s">
        <v>514</v>
      </c>
    </row>
    <row r="486" spans="1:14" ht="14.5" x14ac:dyDescent="0.35">
      <c r="A486" s="260" t="s">
        <v>563</v>
      </c>
      <c r="B486" s="190">
        <v>45817</v>
      </c>
      <c r="C486" s="260" t="s">
        <v>754</v>
      </c>
      <c r="D486" s="197">
        <v>100</v>
      </c>
      <c r="E486" s="197">
        <v>8008</v>
      </c>
      <c r="F486" s="197">
        <v>83.9</v>
      </c>
      <c r="G486" s="190">
        <v>45817</v>
      </c>
      <c r="H486" s="196">
        <v>0</v>
      </c>
      <c r="I486" s="197">
        <v>8390</v>
      </c>
      <c r="J486" s="197">
        <v>8390</v>
      </c>
      <c r="K486" s="197">
        <v>0</v>
      </c>
      <c r="L486" s="197">
        <v>382</v>
      </c>
      <c r="M486" s="260" t="s">
        <v>239</v>
      </c>
      <c r="N486" s="260" t="s">
        <v>514</v>
      </c>
    </row>
    <row r="487" spans="1:14" ht="14.5" x14ac:dyDescent="0.35">
      <c r="A487" s="260" t="s">
        <v>563</v>
      </c>
      <c r="B487" s="190">
        <v>45818</v>
      </c>
      <c r="C487" s="260" t="s">
        <v>749</v>
      </c>
      <c r="D487" s="197">
        <v>150</v>
      </c>
      <c r="E487" s="197">
        <v>14915</v>
      </c>
      <c r="F487" s="197">
        <v>102.72</v>
      </c>
      <c r="G487" s="190">
        <v>45818</v>
      </c>
      <c r="H487" s="196">
        <v>0</v>
      </c>
      <c r="I487" s="197">
        <v>15408</v>
      </c>
      <c r="J487" s="197">
        <v>15408</v>
      </c>
      <c r="K487" s="197">
        <v>0</v>
      </c>
      <c r="L487" s="197">
        <v>493</v>
      </c>
      <c r="M487" s="260" t="s">
        <v>239</v>
      </c>
      <c r="N487" s="260" t="s">
        <v>514</v>
      </c>
    </row>
    <row r="488" spans="1:14" ht="14.5" x14ac:dyDescent="0.35">
      <c r="A488" s="260" t="s">
        <v>563</v>
      </c>
      <c r="B488" s="190">
        <v>45818</v>
      </c>
      <c r="C488" s="260" t="s">
        <v>752</v>
      </c>
      <c r="D488" s="197">
        <v>50</v>
      </c>
      <c r="E488" s="197">
        <v>10010</v>
      </c>
      <c r="F488" s="197">
        <v>189.59</v>
      </c>
      <c r="G488" s="190">
        <v>45818</v>
      </c>
      <c r="H488" s="196">
        <v>0</v>
      </c>
      <c r="I488" s="197">
        <v>9479.5</v>
      </c>
      <c r="J488" s="197">
        <v>9479.5</v>
      </c>
      <c r="K488" s="197">
        <v>0</v>
      </c>
      <c r="L488" s="197">
        <v>-530.5</v>
      </c>
      <c r="M488" s="260" t="s">
        <v>239</v>
      </c>
      <c r="N488" s="260" t="s">
        <v>514</v>
      </c>
    </row>
    <row r="489" spans="1:14" ht="14.5" x14ac:dyDescent="0.35">
      <c r="A489" s="260" t="s">
        <v>563</v>
      </c>
      <c r="B489" s="190">
        <v>45818</v>
      </c>
      <c r="C489" s="260" t="s">
        <v>754</v>
      </c>
      <c r="D489" s="197">
        <v>100</v>
      </c>
      <c r="E489" s="197">
        <v>8008</v>
      </c>
      <c r="F489" s="197">
        <v>83.76</v>
      </c>
      <c r="G489" s="190">
        <v>45818</v>
      </c>
      <c r="H489" s="196">
        <v>0</v>
      </c>
      <c r="I489" s="197">
        <v>8376</v>
      </c>
      <c r="J489" s="197">
        <v>8376</v>
      </c>
      <c r="K489" s="197">
        <v>0</v>
      </c>
      <c r="L489" s="197">
        <v>368</v>
      </c>
      <c r="M489" s="260" t="s">
        <v>239</v>
      </c>
      <c r="N489" s="260" t="s">
        <v>514</v>
      </c>
    </row>
    <row r="490" spans="1:14" ht="14.5" x14ac:dyDescent="0.35">
      <c r="A490" s="260" t="s">
        <v>563</v>
      </c>
      <c r="B490" s="190">
        <v>45819</v>
      </c>
      <c r="C490" s="260" t="s">
        <v>749</v>
      </c>
      <c r="D490" s="197">
        <v>150</v>
      </c>
      <c r="E490" s="197">
        <v>14915</v>
      </c>
      <c r="F490" s="197">
        <v>103.14</v>
      </c>
      <c r="G490" s="190">
        <v>45819</v>
      </c>
      <c r="H490" s="196">
        <v>0</v>
      </c>
      <c r="I490" s="197">
        <v>15471</v>
      </c>
      <c r="J490" s="197">
        <v>15471</v>
      </c>
      <c r="K490" s="197">
        <v>0</v>
      </c>
      <c r="L490" s="197">
        <v>556</v>
      </c>
      <c r="M490" s="260" t="s">
        <v>239</v>
      </c>
      <c r="N490" s="260" t="s">
        <v>514</v>
      </c>
    </row>
    <row r="491" spans="1:14" ht="14.5" x14ac:dyDescent="0.35">
      <c r="A491" s="260" t="s">
        <v>563</v>
      </c>
      <c r="B491" s="190">
        <v>45819</v>
      </c>
      <c r="C491" s="260" t="s">
        <v>752</v>
      </c>
      <c r="D491" s="197">
        <v>50</v>
      </c>
      <c r="E491" s="197">
        <v>10010</v>
      </c>
      <c r="F491" s="197">
        <v>189.21</v>
      </c>
      <c r="G491" s="190">
        <v>45819</v>
      </c>
      <c r="H491" s="196">
        <v>0</v>
      </c>
      <c r="I491" s="197">
        <v>9460.5</v>
      </c>
      <c r="J491" s="197">
        <v>9460.5</v>
      </c>
      <c r="K491" s="197">
        <v>0</v>
      </c>
      <c r="L491" s="197">
        <v>-549.5</v>
      </c>
      <c r="M491" s="260" t="s">
        <v>239</v>
      </c>
      <c r="N491" s="260" t="s">
        <v>514</v>
      </c>
    </row>
    <row r="492" spans="1:14" ht="14.5" x14ac:dyDescent="0.35">
      <c r="A492" s="260" t="s">
        <v>563</v>
      </c>
      <c r="B492" s="190">
        <v>45819</v>
      </c>
      <c r="C492" s="260" t="s">
        <v>754</v>
      </c>
      <c r="D492" s="197">
        <v>100</v>
      </c>
      <c r="E492" s="197">
        <v>8008</v>
      </c>
      <c r="F492" s="197">
        <v>83.62</v>
      </c>
      <c r="G492" s="190">
        <v>45819</v>
      </c>
      <c r="H492" s="196">
        <v>0</v>
      </c>
      <c r="I492" s="197">
        <v>8362</v>
      </c>
      <c r="J492" s="197">
        <v>8362</v>
      </c>
      <c r="K492" s="197">
        <v>0</v>
      </c>
      <c r="L492" s="197">
        <v>354</v>
      </c>
      <c r="M492" s="260" t="s">
        <v>239</v>
      </c>
      <c r="N492" s="260" t="s">
        <v>514</v>
      </c>
    </row>
    <row r="493" spans="1:14" ht="14.5" x14ac:dyDescent="0.35">
      <c r="A493" s="260" t="s">
        <v>563</v>
      </c>
      <c r="B493" s="190">
        <v>45820</v>
      </c>
      <c r="C493" s="260" t="s">
        <v>749</v>
      </c>
      <c r="D493" s="197">
        <v>150</v>
      </c>
      <c r="E493" s="197">
        <v>14915</v>
      </c>
      <c r="F493" s="197">
        <v>103.55</v>
      </c>
      <c r="G493" s="190">
        <v>45820</v>
      </c>
      <c r="H493" s="196">
        <v>0</v>
      </c>
      <c r="I493" s="197">
        <v>15532.5</v>
      </c>
      <c r="J493" s="197">
        <v>15532.5</v>
      </c>
      <c r="K493" s="197">
        <v>0</v>
      </c>
      <c r="L493" s="197">
        <v>617.5</v>
      </c>
      <c r="M493" s="260" t="s">
        <v>239</v>
      </c>
      <c r="N493" s="260" t="s">
        <v>514</v>
      </c>
    </row>
    <row r="494" spans="1:14" ht="14.5" x14ac:dyDescent="0.35">
      <c r="A494" s="260" t="s">
        <v>563</v>
      </c>
      <c r="B494" s="190">
        <v>45820</v>
      </c>
      <c r="C494" s="260" t="s">
        <v>752</v>
      </c>
      <c r="D494" s="197">
        <v>50</v>
      </c>
      <c r="E494" s="197">
        <v>10010</v>
      </c>
      <c r="F494" s="197">
        <v>188.83</v>
      </c>
      <c r="G494" s="190">
        <v>45820</v>
      </c>
      <c r="H494" s="196">
        <v>0</v>
      </c>
      <c r="I494" s="197">
        <v>9441.5</v>
      </c>
      <c r="J494" s="197">
        <v>9441.5</v>
      </c>
      <c r="K494" s="197">
        <v>0</v>
      </c>
      <c r="L494" s="197">
        <v>-568.5</v>
      </c>
      <c r="M494" s="260" t="s">
        <v>239</v>
      </c>
      <c r="N494" s="260" t="s">
        <v>514</v>
      </c>
    </row>
    <row r="495" spans="1:14" ht="14.5" x14ac:dyDescent="0.35">
      <c r="A495" s="260" t="s">
        <v>563</v>
      </c>
      <c r="B495" s="190">
        <v>45820</v>
      </c>
      <c r="C495" s="260" t="s">
        <v>754</v>
      </c>
      <c r="D495" s="197">
        <v>100</v>
      </c>
      <c r="E495" s="197">
        <v>8008</v>
      </c>
      <c r="F495" s="197">
        <v>83.48</v>
      </c>
      <c r="G495" s="190">
        <v>45820</v>
      </c>
      <c r="H495" s="196">
        <v>0</v>
      </c>
      <c r="I495" s="197">
        <v>8348</v>
      </c>
      <c r="J495" s="197">
        <v>8348</v>
      </c>
      <c r="K495" s="197">
        <v>0</v>
      </c>
      <c r="L495" s="197">
        <v>340</v>
      </c>
      <c r="M495" s="260" t="s">
        <v>239</v>
      </c>
      <c r="N495" s="260" t="s">
        <v>514</v>
      </c>
    </row>
    <row r="496" spans="1:14" ht="14.5" x14ac:dyDescent="0.35">
      <c r="A496" s="260" t="s">
        <v>563</v>
      </c>
      <c r="B496" s="190">
        <v>45821</v>
      </c>
      <c r="C496" s="260" t="s">
        <v>749</v>
      </c>
      <c r="D496" s="197">
        <v>150</v>
      </c>
      <c r="E496" s="197">
        <v>14915</v>
      </c>
      <c r="F496" s="197">
        <v>103.97</v>
      </c>
      <c r="G496" s="190">
        <v>45821</v>
      </c>
      <c r="H496" s="196">
        <v>0</v>
      </c>
      <c r="I496" s="197">
        <v>15595.5</v>
      </c>
      <c r="J496" s="197">
        <v>15595.5</v>
      </c>
      <c r="K496" s="197">
        <v>0</v>
      </c>
      <c r="L496" s="197">
        <v>680.5</v>
      </c>
      <c r="M496" s="260" t="s">
        <v>239</v>
      </c>
      <c r="N496" s="260" t="s">
        <v>514</v>
      </c>
    </row>
    <row r="497" spans="1:14" ht="14.5" x14ac:dyDescent="0.35">
      <c r="A497" s="260" t="s">
        <v>563</v>
      </c>
      <c r="B497" s="190">
        <v>45821</v>
      </c>
      <c r="C497" s="260" t="s">
        <v>752</v>
      </c>
      <c r="D497" s="197">
        <v>50</v>
      </c>
      <c r="E497" s="197">
        <v>10010</v>
      </c>
      <c r="F497" s="197">
        <v>188.45</v>
      </c>
      <c r="G497" s="190">
        <v>45821</v>
      </c>
      <c r="H497" s="196">
        <v>0</v>
      </c>
      <c r="I497" s="197">
        <v>9422.5</v>
      </c>
      <c r="J497" s="197">
        <v>9422.5</v>
      </c>
      <c r="K497" s="197">
        <v>0</v>
      </c>
      <c r="L497" s="197">
        <v>-587.5</v>
      </c>
      <c r="M497" s="260" t="s">
        <v>239</v>
      </c>
      <c r="N497" s="260" t="s">
        <v>514</v>
      </c>
    </row>
    <row r="498" spans="1:14" ht="14.5" x14ac:dyDescent="0.35">
      <c r="A498" s="260" t="s">
        <v>563</v>
      </c>
      <c r="B498" s="190">
        <v>45821</v>
      </c>
      <c r="C498" s="260" t="s">
        <v>754</v>
      </c>
      <c r="D498" s="197">
        <v>100</v>
      </c>
      <c r="E498" s="197">
        <v>8008</v>
      </c>
      <c r="F498" s="197">
        <v>83.34</v>
      </c>
      <c r="G498" s="190">
        <v>45821</v>
      </c>
      <c r="H498" s="196">
        <v>0</v>
      </c>
      <c r="I498" s="197">
        <v>8334</v>
      </c>
      <c r="J498" s="197">
        <v>8334</v>
      </c>
      <c r="K498" s="197">
        <v>0</v>
      </c>
      <c r="L498" s="197">
        <v>326</v>
      </c>
      <c r="M498" s="260" t="s">
        <v>239</v>
      </c>
      <c r="N498" s="260" t="s">
        <v>514</v>
      </c>
    </row>
    <row r="499" spans="1:14" ht="14.5" x14ac:dyDescent="0.35">
      <c r="A499" s="260" t="s">
        <v>563</v>
      </c>
      <c r="B499" s="190">
        <v>45822</v>
      </c>
      <c r="C499" s="260" t="s">
        <v>749</v>
      </c>
      <c r="D499" s="197">
        <v>150</v>
      </c>
      <c r="E499" s="197">
        <v>14915</v>
      </c>
      <c r="F499" s="197">
        <v>103.97</v>
      </c>
      <c r="G499" s="190">
        <v>45821</v>
      </c>
      <c r="H499" s="196">
        <v>1</v>
      </c>
      <c r="I499" s="197">
        <v>15595.5</v>
      </c>
      <c r="J499" s="197">
        <v>15595.5</v>
      </c>
      <c r="K499" s="197">
        <v>0</v>
      </c>
      <c r="L499" s="197">
        <v>680.5</v>
      </c>
      <c r="M499" s="260" t="s">
        <v>239</v>
      </c>
      <c r="N499" s="260" t="s">
        <v>514</v>
      </c>
    </row>
    <row r="500" spans="1:14" ht="14.5" x14ac:dyDescent="0.35">
      <c r="A500" s="260" t="s">
        <v>563</v>
      </c>
      <c r="B500" s="190">
        <v>45822</v>
      </c>
      <c r="C500" s="260" t="s">
        <v>752</v>
      </c>
      <c r="D500" s="197">
        <v>50</v>
      </c>
      <c r="E500" s="197">
        <v>10010</v>
      </c>
      <c r="F500" s="197">
        <v>188.45</v>
      </c>
      <c r="G500" s="190">
        <v>45821</v>
      </c>
      <c r="H500" s="196">
        <v>1</v>
      </c>
      <c r="I500" s="197">
        <v>9422.5</v>
      </c>
      <c r="J500" s="197">
        <v>9422.5</v>
      </c>
      <c r="K500" s="197">
        <v>0</v>
      </c>
      <c r="L500" s="197">
        <v>-587.5</v>
      </c>
      <c r="M500" s="260" t="s">
        <v>239</v>
      </c>
      <c r="N500" s="260" t="s">
        <v>514</v>
      </c>
    </row>
    <row r="501" spans="1:14" ht="14.5" x14ac:dyDescent="0.35">
      <c r="A501" s="260" t="s">
        <v>563</v>
      </c>
      <c r="B501" s="190">
        <v>45822</v>
      </c>
      <c r="C501" s="260" t="s">
        <v>754</v>
      </c>
      <c r="D501" s="197">
        <v>100</v>
      </c>
      <c r="E501" s="197">
        <v>8008</v>
      </c>
      <c r="F501" s="197">
        <v>83.34</v>
      </c>
      <c r="G501" s="190">
        <v>45821</v>
      </c>
      <c r="H501" s="196">
        <v>1</v>
      </c>
      <c r="I501" s="197">
        <v>8334</v>
      </c>
      <c r="J501" s="197">
        <v>8334</v>
      </c>
      <c r="K501" s="197">
        <v>0</v>
      </c>
      <c r="L501" s="197">
        <v>326</v>
      </c>
      <c r="M501" s="260" t="s">
        <v>239</v>
      </c>
      <c r="N501" s="260" t="s">
        <v>514</v>
      </c>
    </row>
    <row r="502" spans="1:14" ht="14.5" x14ac:dyDescent="0.35">
      <c r="A502" s="260" t="s">
        <v>563</v>
      </c>
      <c r="B502" s="190">
        <v>45823</v>
      </c>
      <c r="C502" s="260" t="s">
        <v>749</v>
      </c>
      <c r="D502" s="197">
        <v>150</v>
      </c>
      <c r="E502" s="197">
        <v>14915</v>
      </c>
      <c r="F502" s="197">
        <v>103.97</v>
      </c>
      <c r="G502" s="190">
        <v>45821</v>
      </c>
      <c r="H502" s="196">
        <v>2</v>
      </c>
      <c r="I502" s="197">
        <v>15595.5</v>
      </c>
      <c r="J502" s="197">
        <v>15595.5</v>
      </c>
      <c r="K502" s="197">
        <v>0</v>
      </c>
      <c r="L502" s="197">
        <v>680.5</v>
      </c>
      <c r="M502" s="260" t="s">
        <v>239</v>
      </c>
      <c r="N502" s="260" t="s">
        <v>514</v>
      </c>
    </row>
    <row r="503" spans="1:14" ht="14.5" x14ac:dyDescent="0.35">
      <c r="A503" s="260" t="s">
        <v>563</v>
      </c>
      <c r="B503" s="190">
        <v>45823</v>
      </c>
      <c r="C503" s="260" t="s">
        <v>752</v>
      </c>
      <c r="D503" s="197">
        <v>50</v>
      </c>
      <c r="E503" s="197">
        <v>10010</v>
      </c>
      <c r="F503" s="197">
        <v>188.45</v>
      </c>
      <c r="G503" s="190">
        <v>45821</v>
      </c>
      <c r="H503" s="196">
        <v>2</v>
      </c>
      <c r="I503" s="197">
        <v>9422.5</v>
      </c>
      <c r="J503" s="197">
        <v>9422.5</v>
      </c>
      <c r="K503" s="197">
        <v>0</v>
      </c>
      <c r="L503" s="197">
        <v>-587.5</v>
      </c>
      <c r="M503" s="260" t="s">
        <v>239</v>
      </c>
      <c r="N503" s="260" t="s">
        <v>514</v>
      </c>
    </row>
    <row r="504" spans="1:14" ht="14.5" x14ac:dyDescent="0.35">
      <c r="A504" s="260" t="s">
        <v>563</v>
      </c>
      <c r="B504" s="190">
        <v>45823</v>
      </c>
      <c r="C504" s="260" t="s">
        <v>754</v>
      </c>
      <c r="D504" s="197">
        <v>100</v>
      </c>
      <c r="E504" s="197">
        <v>8008</v>
      </c>
      <c r="F504" s="197">
        <v>83.34</v>
      </c>
      <c r="G504" s="190">
        <v>45821</v>
      </c>
      <c r="H504" s="196">
        <v>2</v>
      </c>
      <c r="I504" s="197">
        <v>8334</v>
      </c>
      <c r="J504" s="197">
        <v>8334</v>
      </c>
      <c r="K504" s="197">
        <v>0</v>
      </c>
      <c r="L504" s="197">
        <v>326</v>
      </c>
      <c r="M504" s="260" t="s">
        <v>239</v>
      </c>
      <c r="N504" s="260" t="s">
        <v>514</v>
      </c>
    </row>
    <row r="505" spans="1:14" ht="14.5" x14ac:dyDescent="0.35">
      <c r="A505" s="260" t="s">
        <v>563</v>
      </c>
      <c r="B505" s="190">
        <v>45824</v>
      </c>
      <c r="C505" s="260" t="s">
        <v>749</v>
      </c>
      <c r="D505" s="197">
        <v>300</v>
      </c>
      <c r="E505" s="197">
        <v>14915</v>
      </c>
      <c r="F505" s="197">
        <v>52.6</v>
      </c>
      <c r="G505" s="190">
        <v>45824</v>
      </c>
      <c r="H505" s="196">
        <v>0</v>
      </c>
      <c r="I505" s="197">
        <v>15780</v>
      </c>
      <c r="J505" s="197">
        <v>15780</v>
      </c>
      <c r="K505" s="197">
        <v>0</v>
      </c>
      <c r="L505" s="197">
        <v>865</v>
      </c>
      <c r="M505" s="260" t="s">
        <v>239</v>
      </c>
      <c r="N505" s="260" t="s">
        <v>514</v>
      </c>
    </row>
    <row r="506" spans="1:14" ht="14.5" x14ac:dyDescent="0.35">
      <c r="A506" s="260" t="s">
        <v>563</v>
      </c>
      <c r="B506" s="190">
        <v>45824</v>
      </c>
      <c r="C506" s="260" t="s">
        <v>752</v>
      </c>
      <c r="D506" s="197">
        <v>50</v>
      </c>
      <c r="E506" s="197">
        <v>10010</v>
      </c>
      <c r="F506" s="197">
        <v>187.31</v>
      </c>
      <c r="G506" s="190">
        <v>45824</v>
      </c>
      <c r="H506" s="196">
        <v>0</v>
      </c>
      <c r="I506" s="197">
        <v>9365.5</v>
      </c>
      <c r="J506" s="197">
        <v>9365.5</v>
      </c>
      <c r="K506" s="197">
        <v>0</v>
      </c>
      <c r="L506" s="197">
        <v>-644.5</v>
      </c>
      <c r="M506" s="260" t="s">
        <v>239</v>
      </c>
      <c r="N506" s="260" t="s">
        <v>514</v>
      </c>
    </row>
    <row r="507" spans="1:14" ht="14.5" x14ac:dyDescent="0.35">
      <c r="A507" s="260" t="s">
        <v>563</v>
      </c>
      <c r="B507" s="190">
        <v>45824</v>
      </c>
      <c r="C507" s="260" t="s">
        <v>754</v>
      </c>
      <c r="D507" s="197">
        <v>100</v>
      </c>
      <c r="E507" s="197">
        <v>8008</v>
      </c>
      <c r="F507" s="197">
        <v>82.93</v>
      </c>
      <c r="G507" s="190">
        <v>45824</v>
      </c>
      <c r="H507" s="196">
        <v>0</v>
      </c>
      <c r="I507" s="197">
        <v>8293</v>
      </c>
      <c r="J507" s="197">
        <v>8293</v>
      </c>
      <c r="K507" s="197">
        <v>0</v>
      </c>
      <c r="L507" s="197">
        <v>285</v>
      </c>
      <c r="M507" s="260" t="s">
        <v>239</v>
      </c>
      <c r="N507" s="260" t="s">
        <v>514</v>
      </c>
    </row>
    <row r="508" spans="1:14" ht="14.5" x14ac:dyDescent="0.35">
      <c r="A508" s="260" t="s">
        <v>563</v>
      </c>
      <c r="B508" s="190">
        <v>45825</v>
      </c>
      <c r="C508" s="260" t="s">
        <v>749</v>
      </c>
      <c r="D508" s="197">
        <v>300</v>
      </c>
      <c r="E508" s="197">
        <v>14915</v>
      </c>
      <c r="F508" s="197">
        <v>52.81</v>
      </c>
      <c r="G508" s="190">
        <v>45825</v>
      </c>
      <c r="H508" s="196">
        <v>0</v>
      </c>
      <c r="I508" s="197">
        <v>15843</v>
      </c>
      <c r="J508" s="197">
        <v>15843</v>
      </c>
      <c r="K508" s="197">
        <v>0</v>
      </c>
      <c r="L508" s="197">
        <v>928</v>
      </c>
      <c r="M508" s="260" t="s">
        <v>239</v>
      </c>
      <c r="N508" s="260" t="s">
        <v>514</v>
      </c>
    </row>
    <row r="509" spans="1:14" ht="14.5" x14ac:dyDescent="0.35">
      <c r="A509" s="260" t="s">
        <v>563</v>
      </c>
      <c r="B509" s="190">
        <v>45825</v>
      </c>
      <c r="C509" s="260" t="s">
        <v>752</v>
      </c>
      <c r="D509" s="197">
        <v>50</v>
      </c>
      <c r="E509" s="197">
        <v>10010</v>
      </c>
      <c r="F509" s="197">
        <v>186.93</v>
      </c>
      <c r="G509" s="190">
        <v>45825</v>
      </c>
      <c r="H509" s="196">
        <v>0</v>
      </c>
      <c r="I509" s="197">
        <v>9346.5</v>
      </c>
      <c r="J509" s="197">
        <v>9346.5</v>
      </c>
      <c r="K509" s="197">
        <v>0</v>
      </c>
      <c r="L509" s="197">
        <v>-663.5</v>
      </c>
      <c r="M509" s="260" t="s">
        <v>239</v>
      </c>
      <c r="N509" s="260" t="s">
        <v>514</v>
      </c>
    </row>
    <row r="510" spans="1:14" ht="14.5" x14ac:dyDescent="0.35">
      <c r="A510" s="260" t="s">
        <v>563</v>
      </c>
      <c r="B510" s="190">
        <v>45825</v>
      </c>
      <c r="C510" s="260" t="s">
        <v>754</v>
      </c>
      <c r="D510" s="197">
        <v>100</v>
      </c>
      <c r="E510" s="197">
        <v>8008</v>
      </c>
      <c r="F510" s="197">
        <v>82.79</v>
      </c>
      <c r="G510" s="190">
        <v>45825</v>
      </c>
      <c r="H510" s="196">
        <v>0</v>
      </c>
      <c r="I510" s="197">
        <v>8279</v>
      </c>
      <c r="J510" s="197">
        <v>8279</v>
      </c>
      <c r="K510" s="197">
        <v>0</v>
      </c>
      <c r="L510" s="197">
        <v>271</v>
      </c>
      <c r="M510" s="260" t="s">
        <v>239</v>
      </c>
      <c r="N510" s="260" t="s">
        <v>514</v>
      </c>
    </row>
    <row r="511" spans="1:14" ht="14.5" x14ac:dyDescent="0.35">
      <c r="A511" s="260" t="s">
        <v>563</v>
      </c>
      <c r="B511" s="190">
        <v>45826</v>
      </c>
      <c r="C511" s="260" t="s">
        <v>749</v>
      </c>
      <c r="D511" s="197">
        <v>300</v>
      </c>
      <c r="E511" s="197">
        <v>14915</v>
      </c>
      <c r="F511" s="197">
        <v>53.02</v>
      </c>
      <c r="G511" s="190">
        <v>45826</v>
      </c>
      <c r="H511" s="196">
        <v>0</v>
      </c>
      <c r="I511" s="197">
        <v>15906.000000000002</v>
      </c>
      <c r="J511" s="197">
        <v>15906.000000000002</v>
      </c>
      <c r="K511" s="197">
        <v>0</v>
      </c>
      <c r="L511" s="197">
        <v>991.00000000000182</v>
      </c>
      <c r="M511" s="260" t="s">
        <v>239</v>
      </c>
      <c r="N511" s="260" t="s">
        <v>514</v>
      </c>
    </row>
    <row r="512" spans="1:14" ht="14.5" x14ac:dyDescent="0.35">
      <c r="A512" s="260" t="s">
        <v>563</v>
      </c>
      <c r="B512" s="190">
        <v>45826</v>
      </c>
      <c r="C512" s="260" t="s">
        <v>752</v>
      </c>
      <c r="D512" s="197">
        <v>50</v>
      </c>
      <c r="E512" s="197">
        <v>10010</v>
      </c>
      <c r="F512" s="197">
        <v>186.55</v>
      </c>
      <c r="G512" s="190">
        <v>45826</v>
      </c>
      <c r="H512" s="196">
        <v>0</v>
      </c>
      <c r="I512" s="197">
        <v>9327.5</v>
      </c>
      <c r="J512" s="197">
        <v>9327.5</v>
      </c>
      <c r="K512" s="197">
        <v>0</v>
      </c>
      <c r="L512" s="197">
        <v>-682.5</v>
      </c>
      <c r="M512" s="260" t="s">
        <v>239</v>
      </c>
      <c r="N512" s="260" t="s">
        <v>514</v>
      </c>
    </row>
    <row r="513" spans="1:14" ht="14.5" x14ac:dyDescent="0.35">
      <c r="A513" s="260" t="s">
        <v>563</v>
      </c>
      <c r="B513" s="190">
        <v>45826</v>
      </c>
      <c r="C513" s="260" t="s">
        <v>754</v>
      </c>
      <c r="D513" s="197">
        <v>100</v>
      </c>
      <c r="E513" s="197">
        <v>8008</v>
      </c>
      <c r="F513" s="197">
        <v>82.66</v>
      </c>
      <c r="G513" s="190">
        <v>45826</v>
      </c>
      <c r="H513" s="196">
        <v>0</v>
      </c>
      <c r="I513" s="197">
        <v>8266</v>
      </c>
      <c r="J513" s="197">
        <v>8266</v>
      </c>
      <c r="K513" s="197">
        <v>0</v>
      </c>
      <c r="L513" s="197">
        <v>258</v>
      </c>
      <c r="M513" s="260" t="s">
        <v>239</v>
      </c>
      <c r="N513" s="260" t="s">
        <v>514</v>
      </c>
    </row>
    <row r="514" spans="1:14" ht="14.5" x14ac:dyDescent="0.35">
      <c r="A514" s="260" t="s">
        <v>563</v>
      </c>
      <c r="B514" s="190">
        <v>45827</v>
      </c>
      <c r="C514" s="260" t="s">
        <v>749</v>
      </c>
      <c r="D514" s="197">
        <v>300</v>
      </c>
      <c r="E514" s="197">
        <v>14915</v>
      </c>
      <c r="F514" s="197">
        <v>53.22</v>
      </c>
      <c r="G514" s="190">
        <v>45827</v>
      </c>
      <c r="H514" s="196">
        <v>0</v>
      </c>
      <c r="I514" s="197">
        <v>15966</v>
      </c>
      <c r="J514" s="197">
        <v>15966</v>
      </c>
      <c r="K514" s="197">
        <v>0</v>
      </c>
      <c r="L514" s="197">
        <v>1051</v>
      </c>
      <c r="M514" s="260" t="s">
        <v>239</v>
      </c>
      <c r="N514" s="260" t="s">
        <v>514</v>
      </c>
    </row>
    <row r="515" spans="1:14" ht="14.5" x14ac:dyDescent="0.35">
      <c r="A515" s="260" t="s">
        <v>563</v>
      </c>
      <c r="B515" s="190">
        <v>45827</v>
      </c>
      <c r="C515" s="260" t="s">
        <v>752</v>
      </c>
      <c r="D515" s="197">
        <v>50</v>
      </c>
      <c r="E515" s="197">
        <v>10010</v>
      </c>
      <c r="F515" s="197">
        <v>186.17</v>
      </c>
      <c r="G515" s="190">
        <v>45827</v>
      </c>
      <c r="H515" s="196">
        <v>0</v>
      </c>
      <c r="I515" s="197">
        <v>9308.5</v>
      </c>
      <c r="J515" s="197">
        <v>9308.5</v>
      </c>
      <c r="K515" s="197">
        <v>0</v>
      </c>
      <c r="L515" s="197">
        <v>-701.5</v>
      </c>
      <c r="M515" s="260" t="s">
        <v>239</v>
      </c>
      <c r="N515" s="260" t="s">
        <v>514</v>
      </c>
    </row>
    <row r="516" spans="1:14" ht="14.5" x14ac:dyDescent="0.35">
      <c r="A516" s="260" t="s">
        <v>563</v>
      </c>
      <c r="B516" s="190">
        <v>45827</v>
      </c>
      <c r="C516" s="260" t="s">
        <v>754</v>
      </c>
      <c r="D516" s="197">
        <v>100</v>
      </c>
      <c r="E516" s="197">
        <v>8008</v>
      </c>
      <c r="F516" s="197">
        <v>82.52</v>
      </c>
      <c r="G516" s="190">
        <v>45827</v>
      </c>
      <c r="H516" s="196">
        <v>0</v>
      </c>
      <c r="I516" s="197">
        <v>8252</v>
      </c>
      <c r="J516" s="197">
        <v>8252</v>
      </c>
      <c r="K516" s="197">
        <v>0</v>
      </c>
      <c r="L516" s="197">
        <v>244</v>
      </c>
      <c r="M516" s="260" t="s">
        <v>239</v>
      </c>
      <c r="N516" s="260" t="s">
        <v>514</v>
      </c>
    </row>
    <row r="517" spans="1:14" ht="14.5" x14ac:dyDescent="0.35">
      <c r="A517" s="260" t="s">
        <v>563</v>
      </c>
      <c r="B517" s="190">
        <v>45828</v>
      </c>
      <c r="C517" s="260" t="s">
        <v>749</v>
      </c>
      <c r="D517" s="197">
        <v>300</v>
      </c>
      <c r="E517" s="197">
        <v>14915</v>
      </c>
      <c r="F517" s="197">
        <v>53.43</v>
      </c>
      <c r="G517" s="190">
        <v>45828</v>
      </c>
      <c r="H517" s="196">
        <v>0</v>
      </c>
      <c r="I517" s="197">
        <v>16029</v>
      </c>
      <c r="J517" s="197">
        <v>16029</v>
      </c>
      <c r="K517" s="197">
        <v>0</v>
      </c>
      <c r="L517" s="197">
        <v>1114</v>
      </c>
      <c r="M517" s="260" t="s">
        <v>239</v>
      </c>
      <c r="N517" s="260" t="s">
        <v>514</v>
      </c>
    </row>
    <row r="518" spans="1:14" ht="14.5" x14ac:dyDescent="0.35">
      <c r="A518" s="260" t="s">
        <v>563</v>
      </c>
      <c r="B518" s="190">
        <v>45828</v>
      </c>
      <c r="C518" s="260" t="s">
        <v>752</v>
      </c>
      <c r="D518" s="197">
        <v>50</v>
      </c>
      <c r="E518" s="197">
        <v>10010</v>
      </c>
      <c r="F518" s="197">
        <v>185.79</v>
      </c>
      <c r="G518" s="190">
        <v>45828</v>
      </c>
      <c r="H518" s="196">
        <v>0</v>
      </c>
      <c r="I518" s="197">
        <v>9289.5</v>
      </c>
      <c r="J518" s="197">
        <v>9289.5</v>
      </c>
      <c r="K518" s="197">
        <v>0</v>
      </c>
      <c r="L518" s="197">
        <v>-720.5</v>
      </c>
      <c r="M518" s="260" t="s">
        <v>239</v>
      </c>
      <c r="N518" s="260" t="s">
        <v>514</v>
      </c>
    </row>
    <row r="519" spans="1:14" ht="14.5" x14ac:dyDescent="0.35">
      <c r="A519" s="260" t="s">
        <v>563</v>
      </c>
      <c r="B519" s="190">
        <v>45828</v>
      </c>
      <c r="C519" s="260" t="s">
        <v>754</v>
      </c>
      <c r="D519" s="197">
        <v>100</v>
      </c>
      <c r="E519" s="197">
        <v>8008</v>
      </c>
      <c r="F519" s="197">
        <v>82.38</v>
      </c>
      <c r="G519" s="190">
        <v>45828</v>
      </c>
      <c r="H519" s="196">
        <v>0</v>
      </c>
      <c r="I519" s="197">
        <v>8238</v>
      </c>
      <c r="J519" s="197">
        <v>8238</v>
      </c>
      <c r="K519" s="197">
        <v>0</v>
      </c>
      <c r="L519" s="197">
        <v>230</v>
      </c>
      <c r="M519" s="260" t="s">
        <v>239</v>
      </c>
      <c r="N519" s="260" t="s">
        <v>514</v>
      </c>
    </row>
    <row r="520" spans="1:14" ht="14.5" x14ac:dyDescent="0.35">
      <c r="A520" s="260" t="s">
        <v>563</v>
      </c>
      <c r="B520" s="190">
        <v>45829</v>
      </c>
      <c r="C520" s="260" t="s">
        <v>749</v>
      </c>
      <c r="D520" s="197">
        <v>300</v>
      </c>
      <c r="E520" s="197">
        <v>14915</v>
      </c>
      <c r="F520" s="197">
        <v>53.43</v>
      </c>
      <c r="G520" s="190">
        <v>45828</v>
      </c>
      <c r="H520" s="196">
        <v>1</v>
      </c>
      <c r="I520" s="197">
        <v>16029</v>
      </c>
      <c r="J520" s="197">
        <v>16029</v>
      </c>
      <c r="K520" s="197">
        <v>0</v>
      </c>
      <c r="L520" s="197">
        <v>1114</v>
      </c>
      <c r="M520" s="260" t="s">
        <v>239</v>
      </c>
      <c r="N520" s="260" t="s">
        <v>514</v>
      </c>
    </row>
    <row r="521" spans="1:14" ht="14.5" x14ac:dyDescent="0.35">
      <c r="A521" s="260" t="s">
        <v>563</v>
      </c>
      <c r="B521" s="190">
        <v>45829</v>
      </c>
      <c r="C521" s="260" t="s">
        <v>752</v>
      </c>
      <c r="D521" s="197">
        <v>50</v>
      </c>
      <c r="E521" s="197">
        <v>10010</v>
      </c>
      <c r="F521" s="197">
        <v>185.79</v>
      </c>
      <c r="G521" s="190">
        <v>45828</v>
      </c>
      <c r="H521" s="196">
        <v>1</v>
      </c>
      <c r="I521" s="197">
        <v>9289.5</v>
      </c>
      <c r="J521" s="197">
        <v>9289.5</v>
      </c>
      <c r="K521" s="197">
        <v>0</v>
      </c>
      <c r="L521" s="197">
        <v>-720.5</v>
      </c>
      <c r="M521" s="260" t="s">
        <v>239</v>
      </c>
      <c r="N521" s="260" t="s">
        <v>514</v>
      </c>
    </row>
    <row r="522" spans="1:14" ht="14.5" x14ac:dyDescent="0.35">
      <c r="A522" s="260" t="s">
        <v>563</v>
      </c>
      <c r="B522" s="190">
        <v>45829</v>
      </c>
      <c r="C522" s="260" t="s">
        <v>754</v>
      </c>
      <c r="D522" s="197">
        <v>100</v>
      </c>
      <c r="E522" s="197">
        <v>8008</v>
      </c>
      <c r="F522" s="197">
        <v>82.38</v>
      </c>
      <c r="G522" s="190">
        <v>45828</v>
      </c>
      <c r="H522" s="196">
        <v>1</v>
      </c>
      <c r="I522" s="197">
        <v>8238</v>
      </c>
      <c r="J522" s="197">
        <v>8238</v>
      </c>
      <c r="K522" s="197">
        <v>0</v>
      </c>
      <c r="L522" s="197">
        <v>230</v>
      </c>
      <c r="M522" s="260" t="s">
        <v>239</v>
      </c>
      <c r="N522" s="260" t="s">
        <v>514</v>
      </c>
    </row>
    <row r="523" spans="1:14" ht="14.5" x14ac:dyDescent="0.35">
      <c r="A523" s="260" t="s">
        <v>563</v>
      </c>
      <c r="B523" s="190">
        <v>45830</v>
      </c>
      <c r="C523" s="260" t="s">
        <v>749</v>
      </c>
      <c r="D523" s="197">
        <v>300</v>
      </c>
      <c r="E523" s="197">
        <v>14915</v>
      </c>
      <c r="F523" s="197">
        <v>53.43</v>
      </c>
      <c r="G523" s="190">
        <v>45828</v>
      </c>
      <c r="H523" s="196">
        <v>2</v>
      </c>
      <c r="I523" s="197">
        <v>16029</v>
      </c>
      <c r="J523" s="197">
        <v>16029</v>
      </c>
      <c r="K523" s="197">
        <v>0</v>
      </c>
      <c r="L523" s="197">
        <v>1114</v>
      </c>
      <c r="M523" s="260" t="s">
        <v>239</v>
      </c>
      <c r="N523" s="260" t="s">
        <v>514</v>
      </c>
    </row>
    <row r="524" spans="1:14" ht="14.5" x14ac:dyDescent="0.35">
      <c r="A524" s="260" t="s">
        <v>563</v>
      </c>
      <c r="B524" s="190">
        <v>45830</v>
      </c>
      <c r="C524" s="260" t="s">
        <v>752</v>
      </c>
      <c r="D524" s="197">
        <v>50</v>
      </c>
      <c r="E524" s="197">
        <v>10010</v>
      </c>
      <c r="F524" s="197">
        <v>185.79</v>
      </c>
      <c r="G524" s="190">
        <v>45828</v>
      </c>
      <c r="H524" s="196">
        <v>2</v>
      </c>
      <c r="I524" s="197">
        <v>9289.5</v>
      </c>
      <c r="J524" s="197">
        <v>9289.5</v>
      </c>
      <c r="K524" s="197">
        <v>0</v>
      </c>
      <c r="L524" s="197">
        <v>-720.5</v>
      </c>
      <c r="M524" s="260" t="s">
        <v>239</v>
      </c>
      <c r="N524" s="260" t="s">
        <v>514</v>
      </c>
    </row>
    <row r="525" spans="1:14" ht="14.5" x14ac:dyDescent="0.35">
      <c r="A525" s="260" t="s">
        <v>563</v>
      </c>
      <c r="B525" s="190">
        <v>45830</v>
      </c>
      <c r="C525" s="260" t="s">
        <v>754</v>
      </c>
      <c r="D525" s="197">
        <v>100</v>
      </c>
      <c r="E525" s="197">
        <v>8008</v>
      </c>
      <c r="F525" s="197">
        <v>82.38</v>
      </c>
      <c r="G525" s="190">
        <v>45828</v>
      </c>
      <c r="H525" s="196">
        <v>2</v>
      </c>
      <c r="I525" s="197">
        <v>8238</v>
      </c>
      <c r="J525" s="197">
        <v>8238</v>
      </c>
      <c r="K525" s="197">
        <v>0</v>
      </c>
      <c r="L525" s="197">
        <v>230</v>
      </c>
      <c r="M525" s="260" t="s">
        <v>239</v>
      </c>
      <c r="N525" s="260" t="s">
        <v>514</v>
      </c>
    </row>
    <row r="526" spans="1:14" ht="14.5" x14ac:dyDescent="0.35">
      <c r="A526" s="260" t="s">
        <v>563</v>
      </c>
      <c r="B526" s="190">
        <v>45831</v>
      </c>
      <c r="C526" s="260" t="s">
        <v>749</v>
      </c>
      <c r="D526" s="197">
        <v>300</v>
      </c>
      <c r="E526" s="197">
        <v>14915</v>
      </c>
      <c r="F526" s="197">
        <v>54.05</v>
      </c>
      <c r="G526" s="190">
        <v>45831</v>
      </c>
      <c r="H526" s="196">
        <v>0</v>
      </c>
      <c r="I526" s="197">
        <v>16215</v>
      </c>
      <c r="J526" s="197">
        <v>16215</v>
      </c>
      <c r="K526" s="197">
        <v>0</v>
      </c>
      <c r="L526" s="197">
        <v>1300</v>
      </c>
      <c r="M526" s="260" t="s">
        <v>239</v>
      </c>
      <c r="N526" s="260" t="s">
        <v>514</v>
      </c>
    </row>
    <row r="527" spans="1:14" ht="14.5" x14ac:dyDescent="0.35">
      <c r="A527" s="260" t="s">
        <v>563</v>
      </c>
      <c r="B527" s="190">
        <v>45831</v>
      </c>
      <c r="C527" s="260" t="s">
        <v>752</v>
      </c>
      <c r="D527" s="197">
        <v>50</v>
      </c>
      <c r="E527" s="197">
        <v>10010</v>
      </c>
      <c r="F527" s="197">
        <v>184.66</v>
      </c>
      <c r="G527" s="190">
        <v>45831</v>
      </c>
      <c r="H527" s="196">
        <v>0</v>
      </c>
      <c r="I527" s="197">
        <v>9233</v>
      </c>
      <c r="J527" s="197">
        <v>9233</v>
      </c>
      <c r="K527" s="197">
        <v>0</v>
      </c>
      <c r="L527" s="197">
        <v>-777</v>
      </c>
      <c r="M527" s="260" t="s">
        <v>239</v>
      </c>
      <c r="N527" s="260" t="s">
        <v>514</v>
      </c>
    </row>
    <row r="528" spans="1:14" ht="14.5" x14ac:dyDescent="0.35">
      <c r="A528" s="260" t="s">
        <v>563</v>
      </c>
      <c r="B528" s="190">
        <v>45831</v>
      </c>
      <c r="C528" s="260" t="s">
        <v>754</v>
      </c>
      <c r="D528" s="197">
        <v>100</v>
      </c>
      <c r="E528" s="197">
        <v>8008</v>
      </c>
      <c r="F528" s="197">
        <v>81.97</v>
      </c>
      <c r="G528" s="190">
        <v>45831</v>
      </c>
      <c r="H528" s="196">
        <v>0</v>
      </c>
      <c r="I528" s="197">
        <v>8197</v>
      </c>
      <c r="J528" s="197">
        <v>8197</v>
      </c>
      <c r="K528" s="197">
        <v>0</v>
      </c>
      <c r="L528" s="197">
        <v>189</v>
      </c>
      <c r="M528" s="260" t="s">
        <v>239</v>
      </c>
      <c r="N528" s="260" t="s">
        <v>514</v>
      </c>
    </row>
    <row r="529" spans="1:14" ht="14.5" x14ac:dyDescent="0.35">
      <c r="A529" s="260" t="s">
        <v>563</v>
      </c>
      <c r="B529" s="190">
        <v>45832</v>
      </c>
      <c r="C529" s="260" t="s">
        <v>749</v>
      </c>
      <c r="D529" s="197">
        <v>300</v>
      </c>
      <c r="E529" s="197">
        <v>14915</v>
      </c>
      <c r="F529" s="197">
        <v>54.26</v>
      </c>
      <c r="G529" s="190">
        <v>45832</v>
      </c>
      <c r="H529" s="196">
        <v>0</v>
      </c>
      <c r="I529" s="197">
        <v>16278</v>
      </c>
      <c r="J529" s="197">
        <v>16278</v>
      </c>
      <c r="K529" s="197">
        <v>0</v>
      </c>
      <c r="L529" s="197">
        <v>1363</v>
      </c>
      <c r="M529" s="260" t="s">
        <v>239</v>
      </c>
      <c r="N529" s="260" t="s">
        <v>514</v>
      </c>
    </row>
    <row r="530" spans="1:14" ht="14.5" x14ac:dyDescent="0.35">
      <c r="A530" s="260" t="s">
        <v>563</v>
      </c>
      <c r="B530" s="190">
        <v>45832</v>
      </c>
      <c r="C530" s="260" t="s">
        <v>752</v>
      </c>
      <c r="D530" s="197">
        <v>50</v>
      </c>
      <c r="E530" s="197">
        <v>10010</v>
      </c>
      <c r="F530" s="197">
        <v>184.28</v>
      </c>
      <c r="G530" s="190">
        <v>45832</v>
      </c>
      <c r="H530" s="196">
        <v>0</v>
      </c>
      <c r="I530" s="197">
        <v>9214</v>
      </c>
      <c r="J530" s="197">
        <v>9214</v>
      </c>
      <c r="K530" s="197">
        <v>0</v>
      </c>
      <c r="L530" s="197">
        <v>-796</v>
      </c>
      <c r="M530" s="260" t="s">
        <v>239</v>
      </c>
      <c r="N530" s="260" t="s">
        <v>514</v>
      </c>
    </row>
    <row r="531" spans="1:14" ht="14.5" x14ac:dyDescent="0.35">
      <c r="A531" s="260" t="s">
        <v>563</v>
      </c>
      <c r="B531" s="190">
        <v>45832</v>
      </c>
      <c r="C531" s="260" t="s">
        <v>754</v>
      </c>
      <c r="D531" s="197">
        <v>100</v>
      </c>
      <c r="E531" s="197">
        <v>8008</v>
      </c>
      <c r="F531" s="197">
        <v>81.83</v>
      </c>
      <c r="G531" s="190">
        <v>45832</v>
      </c>
      <c r="H531" s="196">
        <v>0</v>
      </c>
      <c r="I531" s="197">
        <v>8183</v>
      </c>
      <c r="J531" s="197">
        <v>8183</v>
      </c>
      <c r="K531" s="197">
        <v>0</v>
      </c>
      <c r="L531" s="197">
        <v>175</v>
      </c>
      <c r="M531" s="260" t="s">
        <v>239</v>
      </c>
      <c r="N531" s="260" t="s">
        <v>514</v>
      </c>
    </row>
    <row r="532" spans="1:14" ht="14.5" x14ac:dyDescent="0.35">
      <c r="A532" s="260" t="s">
        <v>563</v>
      </c>
      <c r="B532" s="190">
        <v>45833</v>
      </c>
      <c r="C532" s="260" t="s">
        <v>749</v>
      </c>
      <c r="D532" s="197">
        <v>300</v>
      </c>
      <c r="E532" s="197">
        <v>14915</v>
      </c>
      <c r="F532" s="197">
        <v>54.47</v>
      </c>
      <c r="G532" s="190">
        <v>45833</v>
      </c>
      <c r="H532" s="196">
        <v>0</v>
      </c>
      <c r="I532" s="197">
        <v>16341</v>
      </c>
      <c r="J532" s="197">
        <v>16341</v>
      </c>
      <c r="K532" s="197">
        <v>0</v>
      </c>
      <c r="L532" s="197">
        <v>1426</v>
      </c>
      <c r="M532" s="260" t="s">
        <v>239</v>
      </c>
      <c r="N532" s="260" t="s">
        <v>514</v>
      </c>
    </row>
    <row r="533" spans="1:14" ht="14.5" x14ac:dyDescent="0.35">
      <c r="A533" s="260" t="s">
        <v>563</v>
      </c>
      <c r="B533" s="190">
        <v>45833</v>
      </c>
      <c r="C533" s="260" t="s">
        <v>752</v>
      </c>
      <c r="D533" s="197">
        <v>50</v>
      </c>
      <c r="E533" s="197">
        <v>10010</v>
      </c>
      <c r="F533" s="197">
        <v>183.9</v>
      </c>
      <c r="G533" s="190">
        <v>45833</v>
      </c>
      <c r="H533" s="196">
        <v>0</v>
      </c>
      <c r="I533" s="197">
        <v>9195</v>
      </c>
      <c r="J533" s="197">
        <v>9195</v>
      </c>
      <c r="K533" s="197">
        <v>0</v>
      </c>
      <c r="L533" s="197">
        <v>-815</v>
      </c>
      <c r="M533" s="260" t="s">
        <v>239</v>
      </c>
      <c r="N533" s="260" t="s">
        <v>514</v>
      </c>
    </row>
    <row r="534" spans="1:14" ht="14.5" x14ac:dyDescent="0.35">
      <c r="A534" s="260" t="s">
        <v>563</v>
      </c>
      <c r="B534" s="190">
        <v>45833</v>
      </c>
      <c r="C534" s="260" t="s">
        <v>754</v>
      </c>
      <c r="D534" s="197">
        <v>100</v>
      </c>
      <c r="E534" s="197">
        <v>8008</v>
      </c>
      <c r="F534" s="197">
        <v>81.69</v>
      </c>
      <c r="G534" s="190">
        <v>45833</v>
      </c>
      <c r="H534" s="196">
        <v>0</v>
      </c>
      <c r="I534" s="197">
        <v>8169</v>
      </c>
      <c r="J534" s="197">
        <v>8169</v>
      </c>
      <c r="K534" s="197">
        <v>0</v>
      </c>
      <c r="L534" s="197">
        <v>161</v>
      </c>
      <c r="M534" s="260" t="s">
        <v>239</v>
      </c>
      <c r="N534" s="260" t="s">
        <v>514</v>
      </c>
    </row>
    <row r="535" spans="1:14" ht="14.5" x14ac:dyDescent="0.35">
      <c r="A535" s="260" t="s">
        <v>563</v>
      </c>
      <c r="B535" s="190">
        <v>45834</v>
      </c>
      <c r="C535" s="260" t="s">
        <v>749</v>
      </c>
      <c r="D535" s="197">
        <v>300</v>
      </c>
      <c r="E535" s="197">
        <v>14915</v>
      </c>
      <c r="F535" s="197">
        <v>54.67</v>
      </c>
      <c r="G535" s="190">
        <v>45834</v>
      </c>
      <c r="H535" s="196">
        <v>0</v>
      </c>
      <c r="I535" s="197">
        <v>16401</v>
      </c>
      <c r="J535" s="197">
        <v>16401</v>
      </c>
      <c r="K535" s="197">
        <v>0</v>
      </c>
      <c r="L535" s="197">
        <v>1486</v>
      </c>
      <c r="M535" s="260" t="s">
        <v>239</v>
      </c>
      <c r="N535" s="260" t="s">
        <v>514</v>
      </c>
    </row>
    <row r="536" spans="1:14" ht="14.5" x14ac:dyDescent="0.35">
      <c r="A536" s="260" t="s">
        <v>563</v>
      </c>
      <c r="B536" s="190">
        <v>45834</v>
      </c>
      <c r="C536" s="260" t="s">
        <v>752</v>
      </c>
      <c r="D536" s="197">
        <v>50</v>
      </c>
      <c r="E536" s="197">
        <v>10010</v>
      </c>
      <c r="F536" s="197">
        <v>183.52</v>
      </c>
      <c r="G536" s="190">
        <v>45834</v>
      </c>
      <c r="H536" s="196">
        <v>0</v>
      </c>
      <c r="I536" s="197">
        <v>9176</v>
      </c>
      <c r="J536" s="197">
        <v>9176</v>
      </c>
      <c r="K536" s="197">
        <v>0</v>
      </c>
      <c r="L536" s="197">
        <v>-834</v>
      </c>
      <c r="M536" s="260" t="s">
        <v>239</v>
      </c>
      <c r="N536" s="260" t="s">
        <v>514</v>
      </c>
    </row>
    <row r="537" spans="1:14" ht="14.5" x14ac:dyDescent="0.35">
      <c r="A537" s="260" t="s">
        <v>563</v>
      </c>
      <c r="B537" s="190">
        <v>45834</v>
      </c>
      <c r="C537" s="260" t="s">
        <v>754</v>
      </c>
      <c r="D537" s="197">
        <v>100</v>
      </c>
      <c r="E537" s="197">
        <v>8008</v>
      </c>
      <c r="F537" s="197">
        <v>81.55</v>
      </c>
      <c r="G537" s="190">
        <v>45834</v>
      </c>
      <c r="H537" s="196">
        <v>0</v>
      </c>
      <c r="I537" s="197">
        <v>8155</v>
      </c>
      <c r="J537" s="197">
        <v>8155</v>
      </c>
      <c r="K537" s="197">
        <v>0</v>
      </c>
      <c r="L537" s="197">
        <v>147</v>
      </c>
      <c r="M537" s="260" t="s">
        <v>239</v>
      </c>
      <c r="N537" s="260" t="s">
        <v>514</v>
      </c>
    </row>
    <row r="538" spans="1:14" ht="14.5" x14ac:dyDescent="0.35">
      <c r="A538" s="260" t="s">
        <v>563</v>
      </c>
      <c r="B538" s="190">
        <v>45835</v>
      </c>
      <c r="C538" s="260" t="s">
        <v>749</v>
      </c>
      <c r="D538" s="197">
        <v>300</v>
      </c>
      <c r="E538" s="197">
        <v>14915</v>
      </c>
      <c r="F538" s="197">
        <v>54.88</v>
      </c>
      <c r="G538" s="190">
        <v>45835</v>
      </c>
      <c r="H538" s="196">
        <v>0</v>
      </c>
      <c r="I538" s="197">
        <v>16464</v>
      </c>
      <c r="J538" s="197">
        <v>16464</v>
      </c>
      <c r="K538" s="197">
        <v>0</v>
      </c>
      <c r="L538" s="197">
        <v>1549</v>
      </c>
      <c r="M538" s="260" t="s">
        <v>239</v>
      </c>
      <c r="N538" s="260" t="s">
        <v>514</v>
      </c>
    </row>
    <row r="539" spans="1:14" ht="14.5" x14ac:dyDescent="0.35">
      <c r="A539" s="260" t="s">
        <v>563</v>
      </c>
      <c r="B539" s="190">
        <v>45835</v>
      </c>
      <c r="C539" s="260" t="s">
        <v>752</v>
      </c>
      <c r="D539" s="197">
        <v>50</v>
      </c>
      <c r="E539" s="197">
        <v>10010</v>
      </c>
      <c r="F539" s="197">
        <v>183.14</v>
      </c>
      <c r="G539" s="190">
        <v>45835</v>
      </c>
      <c r="H539" s="196">
        <v>0</v>
      </c>
      <c r="I539" s="197">
        <v>9157</v>
      </c>
      <c r="J539" s="197">
        <v>9157</v>
      </c>
      <c r="K539" s="197">
        <v>0</v>
      </c>
      <c r="L539" s="197">
        <v>-853</v>
      </c>
      <c r="M539" s="260" t="s">
        <v>239</v>
      </c>
      <c r="N539" s="260" t="s">
        <v>514</v>
      </c>
    </row>
    <row r="540" spans="1:14" ht="14.5" x14ac:dyDescent="0.35">
      <c r="A540" s="260" t="s">
        <v>563</v>
      </c>
      <c r="B540" s="190">
        <v>45835</v>
      </c>
      <c r="C540" s="260" t="s">
        <v>754</v>
      </c>
      <c r="D540" s="197">
        <v>100</v>
      </c>
      <c r="E540" s="197">
        <v>8008</v>
      </c>
      <c r="F540" s="197">
        <v>81.41</v>
      </c>
      <c r="G540" s="190">
        <v>45835</v>
      </c>
      <c r="H540" s="196">
        <v>0</v>
      </c>
      <c r="I540" s="197">
        <v>8141</v>
      </c>
      <c r="J540" s="197">
        <v>8141</v>
      </c>
      <c r="K540" s="197">
        <v>0</v>
      </c>
      <c r="L540" s="197">
        <v>133</v>
      </c>
      <c r="M540" s="260" t="s">
        <v>239</v>
      </c>
      <c r="N540" s="260" t="s">
        <v>514</v>
      </c>
    </row>
    <row r="541" spans="1:14" ht="14.5" x14ac:dyDescent="0.35">
      <c r="A541" s="260" t="s">
        <v>563</v>
      </c>
      <c r="B541" s="190">
        <v>45836</v>
      </c>
      <c r="C541" s="260" t="s">
        <v>749</v>
      </c>
      <c r="D541" s="197">
        <v>300</v>
      </c>
      <c r="E541" s="197">
        <v>14915</v>
      </c>
      <c r="F541" s="197">
        <v>54.88</v>
      </c>
      <c r="G541" s="190">
        <v>45835</v>
      </c>
      <c r="H541" s="196">
        <v>1</v>
      </c>
      <c r="I541" s="197">
        <v>16464</v>
      </c>
      <c r="J541" s="197">
        <v>16464</v>
      </c>
      <c r="K541" s="197">
        <v>0</v>
      </c>
      <c r="L541" s="197">
        <v>1549</v>
      </c>
      <c r="M541" s="260" t="s">
        <v>239</v>
      </c>
      <c r="N541" s="260" t="s">
        <v>514</v>
      </c>
    </row>
    <row r="542" spans="1:14" ht="14.5" x14ac:dyDescent="0.35">
      <c r="A542" s="260" t="s">
        <v>563</v>
      </c>
      <c r="B542" s="190">
        <v>45836</v>
      </c>
      <c r="C542" s="260" t="s">
        <v>752</v>
      </c>
      <c r="D542" s="197">
        <v>50</v>
      </c>
      <c r="E542" s="197">
        <v>10010</v>
      </c>
      <c r="F542" s="197">
        <v>183.14</v>
      </c>
      <c r="G542" s="190">
        <v>45835</v>
      </c>
      <c r="H542" s="196">
        <v>1</v>
      </c>
      <c r="I542" s="197">
        <v>9157</v>
      </c>
      <c r="J542" s="197">
        <v>9157</v>
      </c>
      <c r="K542" s="197">
        <v>0</v>
      </c>
      <c r="L542" s="197">
        <v>-853</v>
      </c>
      <c r="M542" s="260" t="s">
        <v>239</v>
      </c>
      <c r="N542" s="260" t="s">
        <v>514</v>
      </c>
    </row>
    <row r="543" spans="1:14" ht="14.5" x14ac:dyDescent="0.35">
      <c r="A543" s="260" t="s">
        <v>563</v>
      </c>
      <c r="B543" s="190">
        <v>45836</v>
      </c>
      <c r="C543" s="260" t="s">
        <v>754</v>
      </c>
      <c r="D543" s="197">
        <v>100</v>
      </c>
      <c r="E543" s="197">
        <v>8008</v>
      </c>
      <c r="F543" s="197">
        <v>81.41</v>
      </c>
      <c r="G543" s="190">
        <v>45835</v>
      </c>
      <c r="H543" s="196">
        <v>1</v>
      </c>
      <c r="I543" s="197">
        <v>8141</v>
      </c>
      <c r="J543" s="197">
        <v>8141</v>
      </c>
      <c r="K543" s="197">
        <v>0</v>
      </c>
      <c r="L543" s="197">
        <v>133</v>
      </c>
      <c r="M543" s="260" t="s">
        <v>239</v>
      </c>
      <c r="N543" s="260" t="s">
        <v>514</v>
      </c>
    </row>
    <row r="544" spans="1:14" ht="14.5" x14ac:dyDescent="0.35">
      <c r="A544" s="260" t="s">
        <v>563</v>
      </c>
      <c r="B544" s="190">
        <v>45837</v>
      </c>
      <c r="C544" s="260" t="s">
        <v>749</v>
      </c>
      <c r="D544" s="197">
        <v>300</v>
      </c>
      <c r="E544" s="197">
        <v>14915</v>
      </c>
      <c r="F544" s="197">
        <v>54.88</v>
      </c>
      <c r="G544" s="190">
        <v>45835</v>
      </c>
      <c r="H544" s="196">
        <v>2</v>
      </c>
      <c r="I544" s="197">
        <v>16464</v>
      </c>
      <c r="J544" s="197">
        <v>16464</v>
      </c>
      <c r="K544" s="197">
        <v>0</v>
      </c>
      <c r="L544" s="197">
        <v>1549</v>
      </c>
      <c r="M544" s="260" t="s">
        <v>239</v>
      </c>
      <c r="N544" s="260" t="s">
        <v>514</v>
      </c>
    </row>
    <row r="545" spans="1:14" ht="14.5" x14ac:dyDescent="0.35">
      <c r="A545" s="260" t="s">
        <v>563</v>
      </c>
      <c r="B545" s="190">
        <v>45837</v>
      </c>
      <c r="C545" s="260" t="s">
        <v>752</v>
      </c>
      <c r="D545" s="197">
        <v>50</v>
      </c>
      <c r="E545" s="197">
        <v>10010</v>
      </c>
      <c r="F545" s="197">
        <v>183.14</v>
      </c>
      <c r="G545" s="190">
        <v>45835</v>
      </c>
      <c r="H545" s="196">
        <v>2</v>
      </c>
      <c r="I545" s="197">
        <v>9157</v>
      </c>
      <c r="J545" s="197">
        <v>9157</v>
      </c>
      <c r="K545" s="197">
        <v>0</v>
      </c>
      <c r="L545" s="197">
        <v>-853</v>
      </c>
      <c r="M545" s="260" t="s">
        <v>239</v>
      </c>
      <c r="N545" s="260" t="s">
        <v>514</v>
      </c>
    </row>
    <row r="546" spans="1:14" ht="14.5" x14ac:dyDescent="0.35">
      <c r="A546" s="260" t="s">
        <v>563</v>
      </c>
      <c r="B546" s="190">
        <v>45837</v>
      </c>
      <c r="C546" s="260" t="s">
        <v>754</v>
      </c>
      <c r="D546" s="197">
        <v>100</v>
      </c>
      <c r="E546" s="197">
        <v>8008</v>
      </c>
      <c r="F546" s="197">
        <v>81.41</v>
      </c>
      <c r="G546" s="190">
        <v>45835</v>
      </c>
      <c r="H546" s="196">
        <v>2</v>
      </c>
      <c r="I546" s="197">
        <v>8141</v>
      </c>
      <c r="J546" s="197">
        <v>8141</v>
      </c>
      <c r="K546" s="197">
        <v>0</v>
      </c>
      <c r="L546" s="197">
        <v>133</v>
      </c>
      <c r="M546" s="260" t="s">
        <v>239</v>
      </c>
      <c r="N546" s="260" t="s">
        <v>514</v>
      </c>
    </row>
    <row r="547" spans="1:14" ht="14.5" x14ac:dyDescent="0.35">
      <c r="A547" s="260" t="s">
        <v>563</v>
      </c>
      <c r="B547" s="190">
        <v>45838</v>
      </c>
      <c r="C547" s="260" t="s">
        <v>749</v>
      </c>
      <c r="D547" s="197">
        <v>300</v>
      </c>
      <c r="E547" s="197">
        <v>14915</v>
      </c>
      <c r="F547" s="197">
        <v>55.5</v>
      </c>
      <c r="G547" s="190">
        <v>45838</v>
      </c>
      <c r="H547" s="196">
        <v>0</v>
      </c>
      <c r="I547" s="197">
        <v>16650</v>
      </c>
      <c r="J547" s="197">
        <v>16650</v>
      </c>
      <c r="K547" s="197">
        <v>0</v>
      </c>
      <c r="L547" s="197">
        <v>1735</v>
      </c>
      <c r="M547" s="260" t="s">
        <v>239</v>
      </c>
      <c r="N547" s="260" t="s">
        <v>514</v>
      </c>
    </row>
    <row r="548" spans="1:14" ht="14.5" x14ac:dyDescent="0.35">
      <c r="A548" s="260" t="s">
        <v>563</v>
      </c>
      <c r="B548" s="190">
        <v>45838</v>
      </c>
      <c r="C548" s="260" t="s">
        <v>752</v>
      </c>
      <c r="D548" s="197">
        <v>50</v>
      </c>
      <c r="E548" s="197">
        <v>10010</v>
      </c>
      <c r="F548" s="197">
        <v>182</v>
      </c>
      <c r="G548" s="190">
        <v>45838</v>
      </c>
      <c r="H548" s="196">
        <v>0</v>
      </c>
      <c r="I548" s="197">
        <v>9100</v>
      </c>
      <c r="J548" s="197">
        <v>9100</v>
      </c>
      <c r="K548" s="197">
        <v>0</v>
      </c>
      <c r="L548" s="197">
        <v>-910</v>
      </c>
      <c r="M548" s="260" t="s">
        <v>239</v>
      </c>
      <c r="N548" s="260" t="s">
        <v>514</v>
      </c>
    </row>
    <row r="549" spans="1:14" ht="14.5" x14ac:dyDescent="0.35">
      <c r="A549" s="260" t="s">
        <v>563</v>
      </c>
      <c r="B549" s="190">
        <v>45838</v>
      </c>
      <c r="C549" s="260" t="s">
        <v>754</v>
      </c>
      <c r="D549" s="197">
        <v>100</v>
      </c>
      <c r="E549" s="197">
        <v>8008</v>
      </c>
      <c r="F549" s="197">
        <v>81</v>
      </c>
      <c r="G549" s="190">
        <v>45838</v>
      </c>
      <c r="H549" s="196">
        <v>0</v>
      </c>
      <c r="I549" s="197">
        <v>8100</v>
      </c>
      <c r="J549" s="197">
        <v>8100</v>
      </c>
      <c r="K549" s="197">
        <v>0</v>
      </c>
      <c r="L549" s="197">
        <v>92</v>
      </c>
      <c r="M549" s="260" t="s">
        <v>239</v>
      </c>
      <c r="N549" s="260" t="s">
        <v>514</v>
      </c>
    </row>
    <row r="550" spans="1:14" ht="14.5" x14ac:dyDescent="0.35">
      <c r="A550" s="260" t="s">
        <v>563</v>
      </c>
      <c r="B550" s="190">
        <v>45839</v>
      </c>
      <c r="C550" s="260" t="s">
        <v>749</v>
      </c>
      <c r="D550" s="197">
        <v>220</v>
      </c>
      <c r="E550" s="197">
        <v>10937.666666666666</v>
      </c>
      <c r="F550" s="197">
        <v>55.5</v>
      </c>
      <c r="G550" s="190">
        <v>45839</v>
      </c>
      <c r="H550" s="196">
        <v>0</v>
      </c>
      <c r="I550" s="197">
        <v>12210</v>
      </c>
      <c r="J550" s="197">
        <v>12210</v>
      </c>
      <c r="K550" s="197">
        <v>0</v>
      </c>
      <c r="L550" s="197">
        <v>1272.3333333333339</v>
      </c>
      <c r="M550" s="260" t="s">
        <v>239</v>
      </c>
      <c r="N550" s="260" t="s">
        <v>514</v>
      </c>
    </row>
    <row r="551" spans="1:14" ht="14.5" x14ac:dyDescent="0.35">
      <c r="A551" s="260" t="s">
        <v>563</v>
      </c>
      <c r="B551" s="190">
        <v>45839</v>
      </c>
      <c r="C551" s="260" t="s">
        <v>752</v>
      </c>
      <c r="D551" s="197">
        <v>50</v>
      </c>
      <c r="E551" s="197">
        <v>10010</v>
      </c>
      <c r="F551" s="197">
        <v>182</v>
      </c>
      <c r="G551" s="190">
        <v>45839</v>
      </c>
      <c r="H551" s="196">
        <v>0</v>
      </c>
      <c r="I551" s="197">
        <v>9100</v>
      </c>
      <c r="J551" s="197">
        <v>9100</v>
      </c>
      <c r="K551" s="197">
        <v>0</v>
      </c>
      <c r="L551" s="197">
        <v>-910</v>
      </c>
      <c r="M551" s="260" t="s">
        <v>239</v>
      </c>
      <c r="N551" s="260" t="s">
        <v>514</v>
      </c>
    </row>
    <row r="552" spans="1:14" ht="14.5" x14ac:dyDescent="0.35">
      <c r="A552" s="260" t="s">
        <v>563</v>
      </c>
      <c r="B552" s="190">
        <v>45839</v>
      </c>
      <c r="C552" s="260" t="s">
        <v>754</v>
      </c>
      <c r="D552" s="197">
        <v>100</v>
      </c>
      <c r="E552" s="197">
        <v>8008</v>
      </c>
      <c r="F552" s="197">
        <v>81</v>
      </c>
      <c r="G552" s="190">
        <v>45839</v>
      </c>
      <c r="H552" s="196">
        <v>0</v>
      </c>
      <c r="I552" s="197">
        <v>8100</v>
      </c>
      <c r="J552" s="197">
        <v>8100</v>
      </c>
      <c r="K552" s="197">
        <v>0</v>
      </c>
      <c r="L552" s="197">
        <v>92</v>
      </c>
      <c r="M552" s="260" t="s">
        <v>239</v>
      </c>
      <c r="N552" s="260" t="s">
        <v>514</v>
      </c>
    </row>
    <row r="553" spans="1:14" ht="14.5" x14ac:dyDescent="0.35">
      <c r="A553" s="260" t="s">
        <v>563</v>
      </c>
      <c r="B553" s="190">
        <v>45840</v>
      </c>
      <c r="C553" s="260" t="s">
        <v>749</v>
      </c>
      <c r="D553" s="197">
        <v>220</v>
      </c>
      <c r="E553" s="197">
        <v>10937.666666666666</v>
      </c>
      <c r="F553" s="197">
        <v>55.38</v>
      </c>
      <c r="G553" s="190">
        <v>45840</v>
      </c>
      <c r="H553" s="196">
        <v>0</v>
      </c>
      <c r="I553" s="197">
        <v>12183.6</v>
      </c>
      <c r="J553" s="197">
        <v>12183.6</v>
      </c>
      <c r="K553" s="197">
        <v>0</v>
      </c>
      <c r="L553" s="197">
        <v>1245.9333333333343</v>
      </c>
      <c r="M553" s="260" t="s">
        <v>239</v>
      </c>
      <c r="N553" s="260" t="s">
        <v>514</v>
      </c>
    </row>
    <row r="554" spans="1:14" ht="14.5" x14ac:dyDescent="0.35">
      <c r="A554" s="260" t="s">
        <v>563</v>
      </c>
      <c r="B554" s="190">
        <v>45840</v>
      </c>
      <c r="C554" s="260" t="s">
        <v>752</v>
      </c>
      <c r="D554" s="197">
        <v>50</v>
      </c>
      <c r="E554" s="197">
        <v>10010</v>
      </c>
      <c r="F554" s="197">
        <v>181.87</v>
      </c>
      <c r="G554" s="190">
        <v>45840</v>
      </c>
      <c r="H554" s="196">
        <v>0</v>
      </c>
      <c r="I554" s="197">
        <v>9093.5</v>
      </c>
      <c r="J554" s="197">
        <v>9093.5</v>
      </c>
      <c r="K554" s="197">
        <v>0</v>
      </c>
      <c r="L554" s="197">
        <v>-916.5</v>
      </c>
      <c r="M554" s="260" t="s">
        <v>239</v>
      </c>
      <c r="N554" s="260" t="s">
        <v>514</v>
      </c>
    </row>
    <row r="555" spans="1:14" ht="14.5" x14ac:dyDescent="0.35">
      <c r="A555" s="260" t="s">
        <v>563</v>
      </c>
      <c r="B555" s="190">
        <v>45840</v>
      </c>
      <c r="C555" s="260" t="s">
        <v>754</v>
      </c>
      <c r="D555" s="197">
        <v>100</v>
      </c>
      <c r="E555" s="197">
        <v>8008</v>
      </c>
      <c r="F555" s="197">
        <v>80.87</v>
      </c>
      <c r="G555" s="190">
        <v>45840</v>
      </c>
      <c r="H555" s="196">
        <v>0</v>
      </c>
      <c r="I555" s="197">
        <v>8087</v>
      </c>
      <c r="J555" s="197">
        <v>8087</v>
      </c>
      <c r="K555" s="197">
        <v>0</v>
      </c>
      <c r="L555" s="197">
        <v>79</v>
      </c>
      <c r="M555" s="260" t="s">
        <v>239</v>
      </c>
      <c r="N555" s="260" t="s">
        <v>514</v>
      </c>
    </row>
    <row r="556" spans="1:14" ht="14.5" x14ac:dyDescent="0.35">
      <c r="A556" s="260" t="s">
        <v>563</v>
      </c>
      <c r="B556" s="190">
        <v>45841</v>
      </c>
      <c r="C556" s="260" t="s">
        <v>749</v>
      </c>
      <c r="D556" s="197">
        <v>220</v>
      </c>
      <c r="E556" s="197">
        <v>10937.666666666666</v>
      </c>
      <c r="F556" s="197">
        <v>55.27</v>
      </c>
      <c r="G556" s="190">
        <v>45841</v>
      </c>
      <c r="H556" s="196">
        <v>0</v>
      </c>
      <c r="I556" s="197">
        <v>12159.400000000001</v>
      </c>
      <c r="J556" s="197">
        <v>12159.400000000001</v>
      </c>
      <c r="K556" s="197">
        <v>0</v>
      </c>
      <c r="L556" s="197">
        <v>1221.7333333333354</v>
      </c>
      <c r="M556" s="260" t="s">
        <v>239</v>
      </c>
      <c r="N556" s="260" t="s">
        <v>514</v>
      </c>
    </row>
    <row r="557" spans="1:14" ht="14.5" x14ac:dyDescent="0.35">
      <c r="A557" s="260" t="s">
        <v>563</v>
      </c>
      <c r="B557" s="190">
        <v>45841</v>
      </c>
      <c r="C557" s="260" t="s">
        <v>752</v>
      </c>
      <c r="D557" s="197">
        <v>50</v>
      </c>
      <c r="E557" s="197">
        <v>10010</v>
      </c>
      <c r="F557" s="197">
        <v>181.73</v>
      </c>
      <c r="G557" s="190">
        <v>45841</v>
      </c>
      <c r="H557" s="196">
        <v>0</v>
      </c>
      <c r="I557" s="197">
        <v>9086.5</v>
      </c>
      <c r="J557" s="197">
        <v>9086.5</v>
      </c>
      <c r="K557" s="197">
        <v>0</v>
      </c>
      <c r="L557" s="197">
        <v>-923.5</v>
      </c>
      <c r="M557" s="260" t="s">
        <v>239</v>
      </c>
      <c r="N557" s="260" t="s">
        <v>514</v>
      </c>
    </row>
    <row r="558" spans="1:14" ht="14.5" x14ac:dyDescent="0.35">
      <c r="A558" s="260" t="s">
        <v>563</v>
      </c>
      <c r="B558" s="190">
        <v>45841</v>
      </c>
      <c r="C558" s="260" t="s">
        <v>754</v>
      </c>
      <c r="D558" s="197">
        <v>100</v>
      </c>
      <c r="E558" s="197">
        <v>8008</v>
      </c>
      <c r="F558" s="197">
        <v>80.73</v>
      </c>
      <c r="G558" s="190">
        <v>45841</v>
      </c>
      <c r="H558" s="196">
        <v>0</v>
      </c>
      <c r="I558" s="197">
        <v>8073</v>
      </c>
      <c r="J558" s="197">
        <v>8073</v>
      </c>
      <c r="K558" s="197">
        <v>0</v>
      </c>
      <c r="L558" s="197">
        <v>65</v>
      </c>
      <c r="M558" s="260" t="s">
        <v>239</v>
      </c>
      <c r="N558" s="260" t="s">
        <v>514</v>
      </c>
    </row>
    <row r="559" spans="1:14" ht="14.5" x14ac:dyDescent="0.35">
      <c r="A559" s="260" t="s">
        <v>563</v>
      </c>
      <c r="B559" s="190">
        <v>45842</v>
      </c>
      <c r="C559" s="260" t="s">
        <v>749</v>
      </c>
      <c r="D559" s="197">
        <v>220</v>
      </c>
      <c r="E559" s="197">
        <v>10937.666666666666</v>
      </c>
      <c r="F559" s="197">
        <v>55.15</v>
      </c>
      <c r="G559" s="190">
        <v>45842</v>
      </c>
      <c r="H559" s="196">
        <v>0</v>
      </c>
      <c r="I559" s="197">
        <v>12133</v>
      </c>
      <c r="J559" s="197">
        <v>12133</v>
      </c>
      <c r="K559" s="197">
        <v>0</v>
      </c>
      <c r="L559" s="197">
        <v>1195.3333333333339</v>
      </c>
      <c r="M559" s="260" t="s">
        <v>239</v>
      </c>
      <c r="N559" s="260" t="s">
        <v>514</v>
      </c>
    </row>
    <row r="560" spans="1:14" ht="14.5" x14ac:dyDescent="0.35">
      <c r="A560" s="260" t="s">
        <v>563</v>
      </c>
      <c r="B560" s="190">
        <v>45842</v>
      </c>
      <c r="C560" s="260" t="s">
        <v>752</v>
      </c>
      <c r="D560" s="197">
        <v>50</v>
      </c>
      <c r="E560" s="197">
        <v>10010</v>
      </c>
      <c r="F560" s="197">
        <v>181.6</v>
      </c>
      <c r="G560" s="190">
        <v>45842</v>
      </c>
      <c r="H560" s="196">
        <v>0</v>
      </c>
      <c r="I560" s="197">
        <v>9080</v>
      </c>
      <c r="J560" s="197">
        <v>9080</v>
      </c>
      <c r="K560" s="197">
        <v>0</v>
      </c>
      <c r="L560" s="197">
        <v>-930</v>
      </c>
      <c r="M560" s="260" t="s">
        <v>239</v>
      </c>
      <c r="N560" s="260" t="s">
        <v>514</v>
      </c>
    </row>
    <row r="561" spans="1:14" ht="14.5" x14ac:dyDescent="0.35">
      <c r="A561" s="260" t="s">
        <v>563</v>
      </c>
      <c r="B561" s="190">
        <v>45842</v>
      </c>
      <c r="C561" s="260" t="s">
        <v>754</v>
      </c>
      <c r="D561" s="197">
        <v>100</v>
      </c>
      <c r="E561" s="197">
        <v>8008</v>
      </c>
      <c r="F561" s="197">
        <v>80.599999999999994</v>
      </c>
      <c r="G561" s="190">
        <v>45842</v>
      </c>
      <c r="H561" s="196">
        <v>0</v>
      </c>
      <c r="I561" s="197">
        <v>8059.9999999999991</v>
      </c>
      <c r="J561" s="197">
        <v>8059.9999999999991</v>
      </c>
      <c r="K561" s="197">
        <v>0</v>
      </c>
      <c r="L561" s="197">
        <v>51.999999999999091</v>
      </c>
      <c r="M561" s="260" t="s">
        <v>239</v>
      </c>
      <c r="N561" s="260" t="s">
        <v>514</v>
      </c>
    </row>
    <row r="562" spans="1:14" ht="14.5" x14ac:dyDescent="0.35">
      <c r="A562" s="260" t="s">
        <v>563</v>
      </c>
      <c r="B562" s="190">
        <v>45843</v>
      </c>
      <c r="C562" s="260" t="s">
        <v>749</v>
      </c>
      <c r="D562" s="197">
        <v>220</v>
      </c>
      <c r="E562" s="197">
        <v>10937.666666666666</v>
      </c>
      <c r="F562" s="197">
        <v>55.15</v>
      </c>
      <c r="G562" s="190">
        <v>45842</v>
      </c>
      <c r="H562" s="196">
        <v>1</v>
      </c>
      <c r="I562" s="197">
        <v>12133</v>
      </c>
      <c r="J562" s="197">
        <v>12133</v>
      </c>
      <c r="K562" s="197">
        <v>0</v>
      </c>
      <c r="L562" s="197">
        <v>1195.3333333333339</v>
      </c>
      <c r="M562" s="260" t="s">
        <v>239</v>
      </c>
      <c r="N562" s="260" t="s">
        <v>514</v>
      </c>
    </row>
    <row r="563" spans="1:14" ht="14.5" x14ac:dyDescent="0.35">
      <c r="A563" s="260" t="s">
        <v>563</v>
      </c>
      <c r="B563" s="190">
        <v>45843</v>
      </c>
      <c r="C563" s="260" t="s">
        <v>752</v>
      </c>
      <c r="D563" s="197">
        <v>50</v>
      </c>
      <c r="E563" s="197">
        <v>10010</v>
      </c>
      <c r="F563" s="197">
        <v>181.6</v>
      </c>
      <c r="G563" s="190">
        <v>45842</v>
      </c>
      <c r="H563" s="196">
        <v>1</v>
      </c>
      <c r="I563" s="197">
        <v>9080</v>
      </c>
      <c r="J563" s="197">
        <v>9080</v>
      </c>
      <c r="K563" s="197">
        <v>0</v>
      </c>
      <c r="L563" s="197">
        <v>-930</v>
      </c>
      <c r="M563" s="260" t="s">
        <v>239</v>
      </c>
      <c r="N563" s="260" t="s">
        <v>514</v>
      </c>
    </row>
    <row r="564" spans="1:14" ht="14.5" x14ac:dyDescent="0.35">
      <c r="A564" s="260" t="s">
        <v>563</v>
      </c>
      <c r="B564" s="190">
        <v>45843</v>
      </c>
      <c r="C564" s="260" t="s">
        <v>754</v>
      </c>
      <c r="D564" s="197">
        <v>100</v>
      </c>
      <c r="E564" s="197">
        <v>8008</v>
      </c>
      <c r="F564" s="197">
        <v>80.599999999999994</v>
      </c>
      <c r="G564" s="190">
        <v>45842</v>
      </c>
      <c r="H564" s="196">
        <v>1</v>
      </c>
      <c r="I564" s="197">
        <v>8059.9999999999991</v>
      </c>
      <c r="J564" s="197">
        <v>8059.9999999999991</v>
      </c>
      <c r="K564" s="197">
        <v>0</v>
      </c>
      <c r="L564" s="197">
        <v>51.999999999999091</v>
      </c>
      <c r="M564" s="260" t="s">
        <v>239</v>
      </c>
      <c r="N564" s="260" t="s">
        <v>514</v>
      </c>
    </row>
    <row r="565" spans="1:14" ht="14.5" x14ac:dyDescent="0.35">
      <c r="A565" s="260" t="s">
        <v>563</v>
      </c>
      <c r="B565" s="190">
        <v>45844</v>
      </c>
      <c r="C565" s="260" t="s">
        <v>749</v>
      </c>
      <c r="D565" s="197">
        <v>220</v>
      </c>
      <c r="E565" s="197">
        <v>10937.666666666666</v>
      </c>
      <c r="F565" s="197">
        <v>55.15</v>
      </c>
      <c r="G565" s="190">
        <v>45842</v>
      </c>
      <c r="H565" s="196">
        <v>2</v>
      </c>
      <c r="I565" s="197">
        <v>12133</v>
      </c>
      <c r="J565" s="197">
        <v>12133</v>
      </c>
      <c r="K565" s="197">
        <v>0</v>
      </c>
      <c r="L565" s="197">
        <v>1195.3333333333339</v>
      </c>
      <c r="M565" s="260" t="s">
        <v>239</v>
      </c>
      <c r="N565" s="260" t="s">
        <v>514</v>
      </c>
    </row>
    <row r="566" spans="1:14" ht="14.5" x14ac:dyDescent="0.35">
      <c r="A566" s="260" t="s">
        <v>563</v>
      </c>
      <c r="B566" s="190">
        <v>45844</v>
      </c>
      <c r="C566" s="260" t="s">
        <v>752</v>
      </c>
      <c r="D566" s="197">
        <v>50</v>
      </c>
      <c r="E566" s="197">
        <v>10010</v>
      </c>
      <c r="F566" s="197">
        <v>181.6</v>
      </c>
      <c r="G566" s="190">
        <v>45842</v>
      </c>
      <c r="H566" s="196">
        <v>2</v>
      </c>
      <c r="I566" s="197">
        <v>9080</v>
      </c>
      <c r="J566" s="197">
        <v>9080</v>
      </c>
      <c r="K566" s="197">
        <v>0</v>
      </c>
      <c r="L566" s="197">
        <v>-930</v>
      </c>
      <c r="M566" s="260" t="s">
        <v>239</v>
      </c>
      <c r="N566" s="260" t="s">
        <v>514</v>
      </c>
    </row>
    <row r="567" spans="1:14" ht="14.5" x14ac:dyDescent="0.35">
      <c r="A567" s="260" t="s">
        <v>563</v>
      </c>
      <c r="B567" s="190">
        <v>45844</v>
      </c>
      <c r="C567" s="260" t="s">
        <v>754</v>
      </c>
      <c r="D567" s="197">
        <v>100</v>
      </c>
      <c r="E567" s="197">
        <v>8008</v>
      </c>
      <c r="F567" s="197">
        <v>80.599999999999994</v>
      </c>
      <c r="G567" s="190">
        <v>45842</v>
      </c>
      <c r="H567" s="196">
        <v>2</v>
      </c>
      <c r="I567" s="197">
        <v>8059.9999999999991</v>
      </c>
      <c r="J567" s="197">
        <v>8059.9999999999991</v>
      </c>
      <c r="K567" s="197">
        <v>0</v>
      </c>
      <c r="L567" s="197">
        <v>51.999999999999091</v>
      </c>
      <c r="M567" s="260" t="s">
        <v>239</v>
      </c>
      <c r="N567" s="260" t="s">
        <v>514</v>
      </c>
    </row>
    <row r="568" spans="1:14" ht="14.5" x14ac:dyDescent="0.35">
      <c r="A568" s="260" t="s">
        <v>563</v>
      </c>
      <c r="B568" s="190">
        <v>45845</v>
      </c>
      <c r="C568" s="260" t="s">
        <v>749</v>
      </c>
      <c r="D568" s="197">
        <v>220</v>
      </c>
      <c r="E568" s="197">
        <v>10937.666666666666</v>
      </c>
      <c r="F568" s="197">
        <v>54.8</v>
      </c>
      <c r="G568" s="190">
        <v>45845</v>
      </c>
      <c r="H568" s="196">
        <v>0</v>
      </c>
      <c r="I568" s="197">
        <v>12056</v>
      </c>
      <c r="J568" s="197">
        <v>12056</v>
      </c>
      <c r="K568" s="197">
        <v>0</v>
      </c>
      <c r="L568" s="197">
        <v>1118.3333333333339</v>
      </c>
      <c r="M568" s="260" t="s">
        <v>239</v>
      </c>
      <c r="N568" s="260" t="s">
        <v>514</v>
      </c>
    </row>
    <row r="569" spans="1:14" ht="14.5" x14ac:dyDescent="0.35">
      <c r="A569" s="260" t="s">
        <v>563</v>
      </c>
      <c r="B569" s="190">
        <v>45845</v>
      </c>
      <c r="C569" s="260" t="s">
        <v>752</v>
      </c>
      <c r="D569" s="197">
        <v>50</v>
      </c>
      <c r="E569" s="197">
        <v>10010</v>
      </c>
      <c r="F569" s="197">
        <v>181.2</v>
      </c>
      <c r="G569" s="190">
        <v>45845</v>
      </c>
      <c r="H569" s="196">
        <v>0</v>
      </c>
      <c r="I569" s="197">
        <v>9060</v>
      </c>
      <c r="J569" s="197">
        <v>9060</v>
      </c>
      <c r="K569" s="197">
        <v>0</v>
      </c>
      <c r="L569" s="197">
        <v>-950</v>
      </c>
      <c r="M569" s="260" t="s">
        <v>239</v>
      </c>
      <c r="N569" s="260" t="s">
        <v>514</v>
      </c>
    </row>
    <row r="570" spans="1:14" ht="14.5" x14ac:dyDescent="0.35">
      <c r="A570" s="260" t="s">
        <v>563</v>
      </c>
      <c r="B570" s="190">
        <v>45845</v>
      </c>
      <c r="C570" s="260" t="s">
        <v>754</v>
      </c>
      <c r="D570" s="197">
        <v>100</v>
      </c>
      <c r="E570" s="197">
        <v>8008</v>
      </c>
      <c r="F570" s="197">
        <v>80.2</v>
      </c>
      <c r="G570" s="190">
        <v>45845</v>
      </c>
      <c r="H570" s="196">
        <v>0</v>
      </c>
      <c r="I570" s="197">
        <v>8020</v>
      </c>
      <c r="J570" s="197">
        <v>8020</v>
      </c>
      <c r="K570" s="197">
        <v>0</v>
      </c>
      <c r="L570" s="197">
        <v>12</v>
      </c>
      <c r="M570" s="260" t="s">
        <v>239</v>
      </c>
      <c r="N570" s="260" t="s">
        <v>514</v>
      </c>
    </row>
    <row r="571" spans="1:14" ht="14.5" x14ac:dyDescent="0.35">
      <c r="A571" s="260" t="s">
        <v>563</v>
      </c>
      <c r="B571" s="190">
        <v>45846</v>
      </c>
      <c r="C571" s="260" t="s">
        <v>749</v>
      </c>
      <c r="D571" s="197">
        <v>220</v>
      </c>
      <c r="E571" s="197">
        <v>10937.666666666666</v>
      </c>
      <c r="F571" s="197">
        <v>54.68</v>
      </c>
      <c r="G571" s="190">
        <v>45846</v>
      </c>
      <c r="H571" s="196">
        <v>0</v>
      </c>
      <c r="I571" s="197">
        <v>12029.6</v>
      </c>
      <c r="J571" s="197">
        <v>12029.6</v>
      </c>
      <c r="K571" s="197">
        <v>0</v>
      </c>
      <c r="L571" s="197">
        <v>1091.9333333333343</v>
      </c>
      <c r="M571" s="260" t="s">
        <v>239</v>
      </c>
      <c r="N571" s="260" t="s">
        <v>514</v>
      </c>
    </row>
    <row r="572" spans="1:14" ht="14.5" x14ac:dyDescent="0.35">
      <c r="A572" s="260" t="s">
        <v>563</v>
      </c>
      <c r="B572" s="190">
        <v>45846</v>
      </c>
      <c r="C572" s="260" t="s">
        <v>752</v>
      </c>
      <c r="D572" s="197">
        <v>50</v>
      </c>
      <c r="E572" s="197">
        <v>10010</v>
      </c>
      <c r="F572" s="197">
        <v>181.07</v>
      </c>
      <c r="G572" s="190">
        <v>45846</v>
      </c>
      <c r="H572" s="196">
        <v>0</v>
      </c>
      <c r="I572" s="197">
        <v>9053.5</v>
      </c>
      <c r="J572" s="197">
        <v>9053.5</v>
      </c>
      <c r="K572" s="197">
        <v>0</v>
      </c>
      <c r="L572" s="197">
        <v>-956.5</v>
      </c>
      <c r="M572" s="260" t="s">
        <v>239</v>
      </c>
      <c r="N572" s="260" t="s">
        <v>514</v>
      </c>
    </row>
    <row r="573" spans="1:14" ht="14.5" x14ac:dyDescent="0.35">
      <c r="A573" s="260" t="s">
        <v>563</v>
      </c>
      <c r="B573" s="190">
        <v>45846</v>
      </c>
      <c r="C573" s="260" t="s">
        <v>754</v>
      </c>
      <c r="D573" s="197">
        <v>100</v>
      </c>
      <c r="E573" s="197">
        <v>8008</v>
      </c>
      <c r="F573" s="197">
        <v>80.069999999999993</v>
      </c>
      <c r="G573" s="190">
        <v>45846</v>
      </c>
      <c r="H573" s="196">
        <v>0</v>
      </c>
      <c r="I573" s="197">
        <v>8006.9999999999991</v>
      </c>
      <c r="J573" s="197">
        <v>8006.9999999999991</v>
      </c>
      <c r="K573" s="197">
        <v>0</v>
      </c>
      <c r="L573" s="197">
        <v>-1.0000000000009095</v>
      </c>
      <c r="M573" s="260" t="s">
        <v>239</v>
      </c>
      <c r="N573" s="260" t="s">
        <v>514</v>
      </c>
    </row>
    <row r="574" spans="1:14" ht="14.5" x14ac:dyDescent="0.35">
      <c r="A574" s="260" t="s">
        <v>563</v>
      </c>
      <c r="B574" s="190">
        <v>45847</v>
      </c>
      <c r="C574" s="260" t="s">
        <v>749</v>
      </c>
      <c r="D574" s="197">
        <v>220</v>
      </c>
      <c r="E574" s="197">
        <v>10937.666666666666</v>
      </c>
      <c r="F574" s="197">
        <v>54.57</v>
      </c>
      <c r="G574" s="190">
        <v>45847</v>
      </c>
      <c r="H574" s="196">
        <v>0</v>
      </c>
      <c r="I574" s="197">
        <v>12005.4</v>
      </c>
      <c r="J574" s="197">
        <v>12005.4</v>
      </c>
      <c r="K574" s="197">
        <v>0</v>
      </c>
      <c r="L574" s="197">
        <v>1067.7333333333336</v>
      </c>
      <c r="M574" s="260" t="s">
        <v>239</v>
      </c>
      <c r="N574" s="260" t="s">
        <v>514</v>
      </c>
    </row>
    <row r="575" spans="1:14" ht="14.5" x14ac:dyDescent="0.35">
      <c r="A575" s="260" t="s">
        <v>563</v>
      </c>
      <c r="B575" s="190">
        <v>45847</v>
      </c>
      <c r="C575" s="260" t="s">
        <v>752</v>
      </c>
      <c r="D575" s="197">
        <v>50</v>
      </c>
      <c r="E575" s="197">
        <v>10010</v>
      </c>
      <c r="F575" s="197">
        <v>180.93</v>
      </c>
      <c r="G575" s="190">
        <v>45847</v>
      </c>
      <c r="H575" s="196">
        <v>0</v>
      </c>
      <c r="I575" s="197">
        <v>9046.5</v>
      </c>
      <c r="J575" s="197">
        <v>9046.5</v>
      </c>
      <c r="K575" s="197">
        <v>0</v>
      </c>
      <c r="L575" s="197">
        <v>-963.5</v>
      </c>
      <c r="M575" s="260" t="s">
        <v>239</v>
      </c>
      <c r="N575" s="260" t="s">
        <v>514</v>
      </c>
    </row>
    <row r="576" spans="1:14" ht="14.5" x14ac:dyDescent="0.35">
      <c r="A576" s="260" t="s">
        <v>563</v>
      </c>
      <c r="B576" s="190">
        <v>45847</v>
      </c>
      <c r="C576" s="260" t="s">
        <v>754</v>
      </c>
      <c r="D576" s="197">
        <v>100</v>
      </c>
      <c r="E576" s="197">
        <v>8008</v>
      </c>
      <c r="F576" s="197">
        <v>79.930000000000007</v>
      </c>
      <c r="G576" s="190">
        <v>45847</v>
      </c>
      <c r="H576" s="196">
        <v>0</v>
      </c>
      <c r="I576" s="197">
        <v>7993.0000000000009</v>
      </c>
      <c r="J576" s="197">
        <v>7993.0000000000009</v>
      </c>
      <c r="K576" s="197">
        <v>0</v>
      </c>
      <c r="L576" s="197">
        <v>-14.999999999999091</v>
      </c>
      <c r="M576" s="260" t="s">
        <v>239</v>
      </c>
      <c r="N576" s="260" t="s">
        <v>514</v>
      </c>
    </row>
    <row r="577" spans="1:14" ht="14.5" x14ac:dyDescent="0.35">
      <c r="A577" s="260" t="s">
        <v>563</v>
      </c>
      <c r="B577" s="190">
        <v>45848</v>
      </c>
      <c r="C577" s="260" t="s">
        <v>749</v>
      </c>
      <c r="D577" s="197">
        <v>220</v>
      </c>
      <c r="E577" s="197">
        <v>10937.666666666666</v>
      </c>
      <c r="F577" s="197">
        <v>54.45</v>
      </c>
      <c r="G577" s="190">
        <v>45848</v>
      </c>
      <c r="H577" s="196">
        <v>0</v>
      </c>
      <c r="I577" s="197">
        <v>11979</v>
      </c>
      <c r="J577" s="197">
        <v>11979</v>
      </c>
      <c r="K577" s="197">
        <v>0</v>
      </c>
      <c r="L577" s="197">
        <v>1041.3333333333339</v>
      </c>
      <c r="M577" s="260" t="s">
        <v>239</v>
      </c>
      <c r="N577" s="260" t="s">
        <v>514</v>
      </c>
    </row>
    <row r="578" spans="1:14" ht="14.5" x14ac:dyDescent="0.35">
      <c r="A578" s="260" t="s">
        <v>563</v>
      </c>
      <c r="B578" s="190">
        <v>45848</v>
      </c>
      <c r="C578" s="260" t="s">
        <v>752</v>
      </c>
      <c r="D578" s="197">
        <v>50</v>
      </c>
      <c r="E578" s="197">
        <v>10010</v>
      </c>
      <c r="F578" s="197">
        <v>180.8</v>
      </c>
      <c r="G578" s="190">
        <v>45848</v>
      </c>
      <c r="H578" s="196">
        <v>0</v>
      </c>
      <c r="I578" s="197">
        <v>9040</v>
      </c>
      <c r="J578" s="197">
        <v>9040</v>
      </c>
      <c r="K578" s="197">
        <v>0</v>
      </c>
      <c r="L578" s="197">
        <v>-970</v>
      </c>
      <c r="M578" s="260" t="s">
        <v>239</v>
      </c>
      <c r="N578" s="260" t="s">
        <v>514</v>
      </c>
    </row>
    <row r="579" spans="1:14" ht="14.5" x14ac:dyDescent="0.35">
      <c r="A579" s="260" t="s">
        <v>563</v>
      </c>
      <c r="B579" s="190">
        <v>45848</v>
      </c>
      <c r="C579" s="260" t="s">
        <v>754</v>
      </c>
      <c r="D579" s="197">
        <v>100</v>
      </c>
      <c r="E579" s="197">
        <v>8008</v>
      </c>
      <c r="F579" s="197">
        <v>79.8</v>
      </c>
      <c r="G579" s="190">
        <v>45848</v>
      </c>
      <c r="H579" s="196">
        <v>0</v>
      </c>
      <c r="I579" s="197">
        <v>7980</v>
      </c>
      <c r="J579" s="197">
        <v>7980</v>
      </c>
      <c r="K579" s="197">
        <v>0</v>
      </c>
      <c r="L579" s="197">
        <v>-28</v>
      </c>
      <c r="M579" s="260" t="s">
        <v>239</v>
      </c>
      <c r="N579" s="260" t="s">
        <v>514</v>
      </c>
    </row>
    <row r="580" spans="1:14" ht="14.5" x14ac:dyDescent="0.35">
      <c r="A580" s="260" t="s">
        <v>563</v>
      </c>
      <c r="B580" s="190">
        <v>45849</v>
      </c>
      <c r="C580" s="260" t="s">
        <v>749</v>
      </c>
      <c r="D580" s="197">
        <v>220</v>
      </c>
      <c r="E580" s="197">
        <v>10937.666666666666</v>
      </c>
      <c r="F580" s="197">
        <v>54.33</v>
      </c>
      <c r="G580" s="190">
        <v>45849</v>
      </c>
      <c r="H580" s="196">
        <v>0</v>
      </c>
      <c r="I580" s="197">
        <v>11952.6</v>
      </c>
      <c r="J580" s="197">
        <v>11952.6</v>
      </c>
      <c r="K580" s="197">
        <v>0</v>
      </c>
      <c r="L580" s="197">
        <v>1014.9333333333343</v>
      </c>
      <c r="M580" s="260" t="s">
        <v>239</v>
      </c>
      <c r="N580" s="260" t="s">
        <v>514</v>
      </c>
    </row>
    <row r="581" spans="1:14" ht="14.5" x14ac:dyDescent="0.35">
      <c r="A581" s="260" t="s">
        <v>563</v>
      </c>
      <c r="B581" s="190">
        <v>45849</v>
      </c>
      <c r="C581" s="260" t="s">
        <v>752</v>
      </c>
      <c r="D581" s="197">
        <v>50</v>
      </c>
      <c r="E581" s="197">
        <v>10010</v>
      </c>
      <c r="F581" s="197">
        <v>180.67</v>
      </c>
      <c r="G581" s="190">
        <v>45849</v>
      </c>
      <c r="H581" s="196">
        <v>0</v>
      </c>
      <c r="I581" s="197">
        <v>9033.5</v>
      </c>
      <c r="J581" s="197">
        <v>9033.5</v>
      </c>
      <c r="K581" s="197">
        <v>0</v>
      </c>
      <c r="L581" s="197">
        <v>-976.5</v>
      </c>
      <c r="M581" s="260" t="s">
        <v>239</v>
      </c>
      <c r="N581" s="260" t="s">
        <v>514</v>
      </c>
    </row>
    <row r="582" spans="1:14" ht="14.5" x14ac:dyDescent="0.35">
      <c r="A582" s="260" t="s">
        <v>563</v>
      </c>
      <c r="B582" s="190">
        <v>45849</v>
      </c>
      <c r="C582" s="260" t="s">
        <v>754</v>
      </c>
      <c r="D582" s="197">
        <v>100</v>
      </c>
      <c r="E582" s="197">
        <v>8008</v>
      </c>
      <c r="F582" s="197">
        <v>79.67</v>
      </c>
      <c r="G582" s="190">
        <v>45849</v>
      </c>
      <c r="H582" s="196">
        <v>0</v>
      </c>
      <c r="I582" s="197">
        <v>7967</v>
      </c>
      <c r="J582" s="197">
        <v>7967</v>
      </c>
      <c r="K582" s="197">
        <v>0</v>
      </c>
      <c r="L582" s="197">
        <v>-41</v>
      </c>
      <c r="M582" s="260" t="s">
        <v>239</v>
      </c>
      <c r="N582" s="260" t="s">
        <v>514</v>
      </c>
    </row>
    <row r="583" spans="1:14" ht="14.5" x14ac:dyDescent="0.35">
      <c r="A583" s="260" t="s">
        <v>563</v>
      </c>
      <c r="B583" s="190">
        <v>45850</v>
      </c>
      <c r="C583" s="260" t="s">
        <v>749</v>
      </c>
      <c r="D583" s="197">
        <v>220</v>
      </c>
      <c r="E583" s="197">
        <v>10937.666666666666</v>
      </c>
      <c r="F583" s="197">
        <v>54.33</v>
      </c>
      <c r="G583" s="190">
        <v>45849</v>
      </c>
      <c r="H583" s="196">
        <v>1</v>
      </c>
      <c r="I583" s="197">
        <v>11952.6</v>
      </c>
      <c r="J583" s="197">
        <v>11952.6</v>
      </c>
      <c r="K583" s="197">
        <v>0</v>
      </c>
      <c r="L583" s="197">
        <v>1014.9333333333343</v>
      </c>
      <c r="M583" s="260" t="s">
        <v>239</v>
      </c>
      <c r="N583" s="260" t="s">
        <v>514</v>
      </c>
    </row>
    <row r="584" spans="1:14" ht="14.5" x14ac:dyDescent="0.35">
      <c r="A584" s="260" t="s">
        <v>563</v>
      </c>
      <c r="B584" s="190">
        <v>45850</v>
      </c>
      <c r="C584" s="260" t="s">
        <v>752</v>
      </c>
      <c r="D584" s="197">
        <v>50</v>
      </c>
      <c r="E584" s="197">
        <v>10010</v>
      </c>
      <c r="F584" s="197">
        <v>180.67</v>
      </c>
      <c r="G584" s="190">
        <v>45849</v>
      </c>
      <c r="H584" s="196">
        <v>1</v>
      </c>
      <c r="I584" s="197">
        <v>9033.5</v>
      </c>
      <c r="J584" s="197">
        <v>9033.5</v>
      </c>
      <c r="K584" s="197">
        <v>0</v>
      </c>
      <c r="L584" s="197">
        <v>-976.5</v>
      </c>
      <c r="M584" s="260" t="s">
        <v>239</v>
      </c>
      <c r="N584" s="260" t="s">
        <v>514</v>
      </c>
    </row>
    <row r="585" spans="1:14" ht="14.5" x14ac:dyDescent="0.35">
      <c r="A585" s="260" t="s">
        <v>563</v>
      </c>
      <c r="B585" s="190">
        <v>45850</v>
      </c>
      <c r="C585" s="260" t="s">
        <v>754</v>
      </c>
      <c r="D585" s="197">
        <v>100</v>
      </c>
      <c r="E585" s="197">
        <v>8008</v>
      </c>
      <c r="F585" s="197">
        <v>79.67</v>
      </c>
      <c r="G585" s="190">
        <v>45849</v>
      </c>
      <c r="H585" s="196">
        <v>1</v>
      </c>
      <c r="I585" s="197">
        <v>7967</v>
      </c>
      <c r="J585" s="197">
        <v>7967</v>
      </c>
      <c r="K585" s="197">
        <v>0</v>
      </c>
      <c r="L585" s="197">
        <v>-41</v>
      </c>
      <c r="M585" s="260" t="s">
        <v>239</v>
      </c>
      <c r="N585" s="260" t="s">
        <v>514</v>
      </c>
    </row>
    <row r="586" spans="1:14" ht="14.5" x14ac:dyDescent="0.35">
      <c r="A586" s="260" t="s">
        <v>563</v>
      </c>
      <c r="B586" s="190">
        <v>45851</v>
      </c>
      <c r="C586" s="260" t="s">
        <v>749</v>
      </c>
      <c r="D586" s="197">
        <v>220</v>
      </c>
      <c r="E586" s="197">
        <v>10937.666666666666</v>
      </c>
      <c r="F586" s="197">
        <v>54.33</v>
      </c>
      <c r="G586" s="190">
        <v>45849</v>
      </c>
      <c r="H586" s="196">
        <v>2</v>
      </c>
      <c r="I586" s="197">
        <v>11952.6</v>
      </c>
      <c r="J586" s="197">
        <v>11952.6</v>
      </c>
      <c r="K586" s="197">
        <v>0</v>
      </c>
      <c r="L586" s="197">
        <v>1014.9333333333343</v>
      </c>
      <c r="M586" s="260" t="s">
        <v>239</v>
      </c>
      <c r="N586" s="260" t="s">
        <v>514</v>
      </c>
    </row>
    <row r="587" spans="1:14" ht="14.5" x14ac:dyDescent="0.35">
      <c r="A587" s="260" t="s">
        <v>563</v>
      </c>
      <c r="B587" s="190">
        <v>45851</v>
      </c>
      <c r="C587" s="260" t="s">
        <v>752</v>
      </c>
      <c r="D587" s="197">
        <v>50</v>
      </c>
      <c r="E587" s="197">
        <v>10010</v>
      </c>
      <c r="F587" s="197">
        <v>180.67</v>
      </c>
      <c r="G587" s="190">
        <v>45849</v>
      </c>
      <c r="H587" s="196">
        <v>2</v>
      </c>
      <c r="I587" s="197">
        <v>9033.5</v>
      </c>
      <c r="J587" s="197">
        <v>9033.5</v>
      </c>
      <c r="K587" s="197">
        <v>0</v>
      </c>
      <c r="L587" s="197">
        <v>-976.5</v>
      </c>
      <c r="M587" s="260" t="s">
        <v>239</v>
      </c>
      <c r="N587" s="260" t="s">
        <v>514</v>
      </c>
    </row>
    <row r="588" spans="1:14" ht="14.5" x14ac:dyDescent="0.35">
      <c r="A588" s="260" t="s">
        <v>563</v>
      </c>
      <c r="B588" s="190">
        <v>45851</v>
      </c>
      <c r="C588" s="260" t="s">
        <v>754</v>
      </c>
      <c r="D588" s="197">
        <v>100</v>
      </c>
      <c r="E588" s="197">
        <v>8008</v>
      </c>
      <c r="F588" s="197">
        <v>79.67</v>
      </c>
      <c r="G588" s="190">
        <v>45849</v>
      </c>
      <c r="H588" s="196">
        <v>2</v>
      </c>
      <c r="I588" s="197">
        <v>7967</v>
      </c>
      <c r="J588" s="197">
        <v>7967</v>
      </c>
      <c r="K588" s="197">
        <v>0</v>
      </c>
      <c r="L588" s="197">
        <v>-41</v>
      </c>
      <c r="M588" s="260" t="s">
        <v>239</v>
      </c>
      <c r="N588" s="260" t="s">
        <v>514</v>
      </c>
    </row>
    <row r="589" spans="1:14" ht="14.5" x14ac:dyDescent="0.35">
      <c r="A589" s="260" t="s">
        <v>563</v>
      </c>
      <c r="B589" s="190">
        <v>45852</v>
      </c>
      <c r="C589" s="260" t="s">
        <v>749</v>
      </c>
      <c r="D589" s="197">
        <v>220</v>
      </c>
      <c r="E589" s="197">
        <v>10937.666666666666</v>
      </c>
      <c r="F589" s="197">
        <v>53.98</v>
      </c>
      <c r="G589" s="190">
        <v>45852</v>
      </c>
      <c r="H589" s="196">
        <v>0</v>
      </c>
      <c r="I589" s="197">
        <v>11875.599999999999</v>
      </c>
      <c r="J589" s="197">
        <v>11875.599999999999</v>
      </c>
      <c r="K589" s="197">
        <v>0</v>
      </c>
      <c r="L589" s="197">
        <v>937.93333333333248</v>
      </c>
      <c r="M589" s="260" t="s">
        <v>239</v>
      </c>
      <c r="N589" s="260" t="s">
        <v>514</v>
      </c>
    </row>
    <row r="590" spans="1:14" ht="14.5" x14ac:dyDescent="0.35">
      <c r="A590" s="260" t="s">
        <v>563</v>
      </c>
      <c r="B590" s="190">
        <v>45852</v>
      </c>
      <c r="C590" s="260" t="s">
        <v>752</v>
      </c>
      <c r="D590" s="197">
        <v>50</v>
      </c>
      <c r="E590" s="197">
        <v>10010</v>
      </c>
      <c r="F590" s="197">
        <v>180.27</v>
      </c>
      <c r="G590" s="190">
        <v>45852</v>
      </c>
      <c r="H590" s="196">
        <v>0</v>
      </c>
      <c r="I590" s="197">
        <v>9013.5</v>
      </c>
      <c r="J590" s="197">
        <v>9013.5</v>
      </c>
      <c r="K590" s="197">
        <v>0</v>
      </c>
      <c r="L590" s="197">
        <v>-996.5</v>
      </c>
      <c r="M590" s="260" t="s">
        <v>239</v>
      </c>
      <c r="N590" s="260" t="s">
        <v>514</v>
      </c>
    </row>
    <row r="591" spans="1:14" ht="14.5" x14ac:dyDescent="0.35">
      <c r="A591" s="260" t="s">
        <v>563</v>
      </c>
      <c r="B591" s="190">
        <v>45852</v>
      </c>
      <c r="C591" s="260" t="s">
        <v>754</v>
      </c>
      <c r="D591" s="197">
        <v>100</v>
      </c>
      <c r="E591" s="197">
        <v>8008</v>
      </c>
      <c r="F591" s="197">
        <v>79.27</v>
      </c>
      <c r="G591" s="190">
        <v>45852</v>
      </c>
      <c r="H591" s="196">
        <v>0</v>
      </c>
      <c r="I591" s="197">
        <v>7927</v>
      </c>
      <c r="J591" s="197">
        <v>7927</v>
      </c>
      <c r="K591" s="197">
        <v>0</v>
      </c>
      <c r="L591" s="197">
        <v>-81</v>
      </c>
      <c r="M591" s="260" t="s">
        <v>239</v>
      </c>
      <c r="N591" s="260" t="s">
        <v>514</v>
      </c>
    </row>
    <row r="592" spans="1:14" ht="14.5" x14ac:dyDescent="0.35">
      <c r="A592" s="260" t="s">
        <v>563</v>
      </c>
      <c r="B592" s="190">
        <v>45853</v>
      </c>
      <c r="C592" s="260" t="s">
        <v>749</v>
      </c>
      <c r="D592" s="197">
        <v>220</v>
      </c>
      <c r="E592" s="197">
        <v>10937.666666666666</v>
      </c>
      <c r="F592" s="197">
        <v>53.87</v>
      </c>
      <c r="G592" s="190">
        <v>45853</v>
      </c>
      <c r="H592" s="196">
        <v>0</v>
      </c>
      <c r="I592" s="197">
        <v>11851.4</v>
      </c>
      <c r="J592" s="197">
        <v>11851.4</v>
      </c>
      <c r="K592" s="197">
        <v>0</v>
      </c>
      <c r="L592" s="197">
        <v>913.73333333333358</v>
      </c>
      <c r="M592" s="260" t="s">
        <v>239</v>
      </c>
      <c r="N592" s="260" t="s">
        <v>514</v>
      </c>
    </row>
    <row r="593" spans="1:14" ht="14.5" x14ac:dyDescent="0.35">
      <c r="A593" s="260" t="s">
        <v>563</v>
      </c>
      <c r="B593" s="190">
        <v>45853</v>
      </c>
      <c r="C593" s="260" t="s">
        <v>752</v>
      </c>
      <c r="D593" s="197">
        <v>50</v>
      </c>
      <c r="E593" s="197">
        <v>10010</v>
      </c>
      <c r="F593" s="197">
        <v>180.13</v>
      </c>
      <c r="G593" s="190">
        <v>45853</v>
      </c>
      <c r="H593" s="196">
        <v>0</v>
      </c>
      <c r="I593" s="197">
        <v>9006.5</v>
      </c>
      <c r="J593" s="197">
        <v>9006.5</v>
      </c>
      <c r="K593" s="197">
        <v>0</v>
      </c>
      <c r="L593" s="197">
        <v>-1003.5</v>
      </c>
      <c r="M593" s="260" t="s">
        <v>239</v>
      </c>
      <c r="N593" s="260" t="s">
        <v>514</v>
      </c>
    </row>
    <row r="594" spans="1:14" ht="14.5" x14ac:dyDescent="0.35">
      <c r="A594" s="260" t="s">
        <v>563</v>
      </c>
      <c r="B594" s="190">
        <v>45853</v>
      </c>
      <c r="C594" s="260" t="s">
        <v>754</v>
      </c>
      <c r="D594" s="197">
        <v>100</v>
      </c>
      <c r="E594" s="197">
        <v>8008</v>
      </c>
      <c r="F594" s="197">
        <v>79.13</v>
      </c>
      <c r="G594" s="190">
        <v>45853</v>
      </c>
      <c r="H594" s="196">
        <v>0</v>
      </c>
      <c r="I594" s="197">
        <v>7913</v>
      </c>
      <c r="J594" s="197">
        <v>7913</v>
      </c>
      <c r="K594" s="197">
        <v>0</v>
      </c>
      <c r="L594" s="197">
        <v>-95</v>
      </c>
      <c r="M594" s="260" t="s">
        <v>239</v>
      </c>
      <c r="N594" s="260" t="s">
        <v>514</v>
      </c>
    </row>
    <row r="595" spans="1:14" ht="14.5" x14ac:dyDescent="0.35">
      <c r="A595" s="260" t="s">
        <v>563</v>
      </c>
      <c r="B595" s="190">
        <v>45854</v>
      </c>
      <c r="C595" s="260" t="s">
        <v>749</v>
      </c>
      <c r="D595" s="197">
        <v>220</v>
      </c>
      <c r="E595" s="197">
        <v>10937.666666666666</v>
      </c>
      <c r="F595" s="197">
        <v>53.75</v>
      </c>
      <c r="G595" s="190">
        <v>45854</v>
      </c>
      <c r="H595" s="196">
        <v>0</v>
      </c>
      <c r="I595" s="197">
        <v>11825</v>
      </c>
      <c r="J595" s="197">
        <v>11825</v>
      </c>
      <c r="K595" s="197">
        <v>0</v>
      </c>
      <c r="L595" s="197">
        <v>887.33333333333394</v>
      </c>
      <c r="M595" s="260" t="s">
        <v>239</v>
      </c>
      <c r="N595" s="260" t="s">
        <v>514</v>
      </c>
    </row>
    <row r="596" spans="1:14" ht="14.5" x14ac:dyDescent="0.35">
      <c r="A596" s="260" t="s">
        <v>563</v>
      </c>
      <c r="B596" s="190">
        <v>45854</v>
      </c>
      <c r="C596" s="260" t="s">
        <v>752</v>
      </c>
      <c r="D596" s="197">
        <v>50</v>
      </c>
      <c r="E596" s="197">
        <v>10010</v>
      </c>
      <c r="F596" s="197">
        <v>180</v>
      </c>
      <c r="G596" s="190">
        <v>45854</v>
      </c>
      <c r="H596" s="196">
        <v>0</v>
      </c>
      <c r="I596" s="197">
        <v>9000</v>
      </c>
      <c r="J596" s="197">
        <v>9000</v>
      </c>
      <c r="K596" s="197">
        <v>0</v>
      </c>
      <c r="L596" s="197">
        <v>-1010</v>
      </c>
      <c r="M596" s="260" t="s">
        <v>239</v>
      </c>
      <c r="N596" s="260" t="s">
        <v>514</v>
      </c>
    </row>
    <row r="597" spans="1:14" ht="14.5" x14ac:dyDescent="0.35">
      <c r="A597" s="260" t="s">
        <v>563</v>
      </c>
      <c r="B597" s="190">
        <v>45854</v>
      </c>
      <c r="C597" s="260" t="s">
        <v>754</v>
      </c>
      <c r="D597" s="197">
        <v>100</v>
      </c>
      <c r="E597" s="197">
        <v>8008</v>
      </c>
      <c r="F597" s="197">
        <v>79</v>
      </c>
      <c r="G597" s="190">
        <v>45854</v>
      </c>
      <c r="H597" s="196">
        <v>0</v>
      </c>
      <c r="I597" s="197">
        <v>7900</v>
      </c>
      <c r="J597" s="197">
        <v>7900</v>
      </c>
      <c r="K597" s="197">
        <v>0</v>
      </c>
      <c r="L597" s="197">
        <v>-108</v>
      </c>
      <c r="M597" s="260" t="s">
        <v>239</v>
      </c>
      <c r="N597" s="260" t="s">
        <v>514</v>
      </c>
    </row>
    <row r="598" spans="1:14" ht="14.5" x14ac:dyDescent="0.35">
      <c r="A598" s="260" t="s">
        <v>563</v>
      </c>
      <c r="B598" s="190">
        <v>45855</v>
      </c>
      <c r="C598" s="260" t="s">
        <v>749</v>
      </c>
      <c r="D598" s="197">
        <v>220</v>
      </c>
      <c r="E598" s="197">
        <v>10937.666666666666</v>
      </c>
      <c r="F598" s="197">
        <v>53.63</v>
      </c>
      <c r="G598" s="190">
        <v>45855</v>
      </c>
      <c r="H598" s="196">
        <v>0</v>
      </c>
      <c r="I598" s="197">
        <v>11798.6</v>
      </c>
      <c r="J598" s="197">
        <v>11798.6</v>
      </c>
      <c r="K598" s="197">
        <v>0</v>
      </c>
      <c r="L598" s="197">
        <v>860.9333333333343</v>
      </c>
      <c r="M598" s="260" t="s">
        <v>239</v>
      </c>
      <c r="N598" s="260" t="s">
        <v>514</v>
      </c>
    </row>
    <row r="599" spans="1:14" ht="14.5" x14ac:dyDescent="0.35">
      <c r="A599" s="260" t="s">
        <v>563</v>
      </c>
      <c r="B599" s="190">
        <v>45855</v>
      </c>
      <c r="C599" s="260" t="s">
        <v>752</v>
      </c>
      <c r="D599" s="197">
        <v>50</v>
      </c>
      <c r="E599" s="197">
        <v>10010</v>
      </c>
      <c r="F599" s="197">
        <v>179.87</v>
      </c>
      <c r="G599" s="190">
        <v>45855</v>
      </c>
      <c r="H599" s="196">
        <v>0</v>
      </c>
      <c r="I599" s="197">
        <v>8993.5</v>
      </c>
      <c r="J599" s="197">
        <v>8993.5</v>
      </c>
      <c r="K599" s="197">
        <v>0</v>
      </c>
      <c r="L599" s="197">
        <v>-1016.5</v>
      </c>
      <c r="M599" s="260" t="s">
        <v>239</v>
      </c>
      <c r="N599" s="260" t="s">
        <v>514</v>
      </c>
    </row>
    <row r="600" spans="1:14" ht="14.5" x14ac:dyDescent="0.35">
      <c r="A600" s="260" t="s">
        <v>563</v>
      </c>
      <c r="B600" s="190">
        <v>45855</v>
      </c>
      <c r="C600" s="260" t="s">
        <v>754</v>
      </c>
      <c r="D600" s="197">
        <v>100</v>
      </c>
      <c r="E600" s="197">
        <v>8008</v>
      </c>
      <c r="F600" s="197">
        <v>78.87</v>
      </c>
      <c r="G600" s="190">
        <v>45855</v>
      </c>
      <c r="H600" s="196">
        <v>0</v>
      </c>
      <c r="I600" s="197">
        <v>7887</v>
      </c>
      <c r="J600" s="197">
        <v>7887</v>
      </c>
      <c r="K600" s="197">
        <v>0</v>
      </c>
      <c r="L600" s="197">
        <v>-121</v>
      </c>
      <c r="M600" s="260" t="s">
        <v>239</v>
      </c>
      <c r="N600" s="260" t="s">
        <v>514</v>
      </c>
    </row>
    <row r="601" spans="1:14" ht="14.5" x14ac:dyDescent="0.35">
      <c r="A601" s="260" t="s">
        <v>563</v>
      </c>
      <c r="B601" s="190">
        <v>45856</v>
      </c>
      <c r="C601" s="260" t="s">
        <v>749</v>
      </c>
      <c r="D601" s="197">
        <v>220</v>
      </c>
      <c r="E601" s="197">
        <v>10937.666666666666</v>
      </c>
      <c r="F601" s="197">
        <v>53.52</v>
      </c>
      <c r="G601" s="190">
        <v>45856</v>
      </c>
      <c r="H601" s="196">
        <v>0</v>
      </c>
      <c r="I601" s="197">
        <v>11774.400000000001</v>
      </c>
      <c r="J601" s="197">
        <v>11774.400000000001</v>
      </c>
      <c r="K601" s="197">
        <v>0</v>
      </c>
      <c r="L601" s="197">
        <v>836.73333333333539</v>
      </c>
      <c r="M601" s="260" t="s">
        <v>239</v>
      </c>
      <c r="N601" s="260" t="s">
        <v>514</v>
      </c>
    </row>
    <row r="602" spans="1:14" ht="14.5" x14ac:dyDescent="0.35">
      <c r="A602" s="260" t="s">
        <v>563</v>
      </c>
      <c r="B602" s="190">
        <v>45856</v>
      </c>
      <c r="C602" s="260" t="s">
        <v>752</v>
      </c>
      <c r="D602" s="197">
        <v>50</v>
      </c>
      <c r="E602" s="197">
        <v>10010</v>
      </c>
      <c r="F602" s="197">
        <v>179.73</v>
      </c>
      <c r="G602" s="190">
        <v>45856</v>
      </c>
      <c r="H602" s="196">
        <v>0</v>
      </c>
      <c r="I602" s="197">
        <v>8986.5</v>
      </c>
      <c r="J602" s="197">
        <v>8986.5</v>
      </c>
      <c r="K602" s="197">
        <v>0</v>
      </c>
      <c r="L602" s="197">
        <v>-1023.5</v>
      </c>
      <c r="M602" s="260" t="s">
        <v>239</v>
      </c>
      <c r="N602" s="260" t="s">
        <v>514</v>
      </c>
    </row>
    <row r="603" spans="1:14" ht="14.5" x14ac:dyDescent="0.35">
      <c r="A603" s="260" t="s">
        <v>563</v>
      </c>
      <c r="B603" s="190">
        <v>45856</v>
      </c>
      <c r="C603" s="260" t="s">
        <v>754</v>
      </c>
      <c r="D603" s="197">
        <v>100</v>
      </c>
      <c r="E603" s="197">
        <v>8008</v>
      </c>
      <c r="F603" s="197">
        <v>78.73</v>
      </c>
      <c r="G603" s="190">
        <v>45856</v>
      </c>
      <c r="H603" s="196">
        <v>0</v>
      </c>
      <c r="I603" s="197">
        <v>7873</v>
      </c>
      <c r="J603" s="197">
        <v>7873</v>
      </c>
      <c r="K603" s="197">
        <v>0</v>
      </c>
      <c r="L603" s="197">
        <v>-135</v>
      </c>
      <c r="M603" s="260" t="s">
        <v>239</v>
      </c>
      <c r="N603" s="260" t="s">
        <v>514</v>
      </c>
    </row>
    <row r="604" spans="1:14" ht="14.5" x14ac:dyDescent="0.35">
      <c r="A604" s="260" t="s">
        <v>563</v>
      </c>
      <c r="B604" s="190">
        <v>45857</v>
      </c>
      <c r="C604" s="260" t="s">
        <v>749</v>
      </c>
      <c r="D604" s="197">
        <v>220</v>
      </c>
      <c r="E604" s="197">
        <v>10937.666666666666</v>
      </c>
      <c r="F604" s="197">
        <v>53.52</v>
      </c>
      <c r="G604" s="190">
        <v>45856</v>
      </c>
      <c r="H604" s="196">
        <v>1</v>
      </c>
      <c r="I604" s="197">
        <v>11774.400000000001</v>
      </c>
      <c r="J604" s="197">
        <v>11774.400000000001</v>
      </c>
      <c r="K604" s="197">
        <v>0</v>
      </c>
      <c r="L604" s="197">
        <v>836.73333333333539</v>
      </c>
      <c r="M604" s="260" t="s">
        <v>239</v>
      </c>
      <c r="N604" s="260" t="s">
        <v>514</v>
      </c>
    </row>
    <row r="605" spans="1:14" ht="14.5" x14ac:dyDescent="0.35">
      <c r="A605" s="260" t="s">
        <v>563</v>
      </c>
      <c r="B605" s="190">
        <v>45857</v>
      </c>
      <c r="C605" s="260" t="s">
        <v>752</v>
      </c>
      <c r="D605" s="197">
        <v>50</v>
      </c>
      <c r="E605" s="197">
        <v>10010</v>
      </c>
      <c r="F605" s="197">
        <v>179.73</v>
      </c>
      <c r="G605" s="190">
        <v>45856</v>
      </c>
      <c r="H605" s="196">
        <v>1</v>
      </c>
      <c r="I605" s="197">
        <v>8986.5</v>
      </c>
      <c r="J605" s="197">
        <v>8986.5</v>
      </c>
      <c r="K605" s="197">
        <v>0</v>
      </c>
      <c r="L605" s="197">
        <v>-1023.5</v>
      </c>
      <c r="M605" s="260" t="s">
        <v>239</v>
      </c>
      <c r="N605" s="260" t="s">
        <v>514</v>
      </c>
    </row>
    <row r="606" spans="1:14" ht="14.5" x14ac:dyDescent="0.35">
      <c r="A606" s="260" t="s">
        <v>563</v>
      </c>
      <c r="B606" s="190">
        <v>45857</v>
      </c>
      <c r="C606" s="260" t="s">
        <v>754</v>
      </c>
      <c r="D606" s="197">
        <v>100</v>
      </c>
      <c r="E606" s="197">
        <v>8008</v>
      </c>
      <c r="F606" s="197">
        <v>78.73</v>
      </c>
      <c r="G606" s="190">
        <v>45856</v>
      </c>
      <c r="H606" s="196">
        <v>1</v>
      </c>
      <c r="I606" s="197">
        <v>7873</v>
      </c>
      <c r="J606" s="197">
        <v>7873</v>
      </c>
      <c r="K606" s="197">
        <v>0</v>
      </c>
      <c r="L606" s="197">
        <v>-135</v>
      </c>
      <c r="M606" s="260" t="s">
        <v>239</v>
      </c>
      <c r="N606" s="260" t="s">
        <v>514</v>
      </c>
    </row>
    <row r="607" spans="1:14" ht="14.5" x14ac:dyDescent="0.35">
      <c r="A607" s="260" t="s">
        <v>563</v>
      </c>
      <c r="B607" s="190">
        <v>45858</v>
      </c>
      <c r="C607" s="260" t="s">
        <v>749</v>
      </c>
      <c r="D607" s="197">
        <v>220</v>
      </c>
      <c r="E607" s="197">
        <v>10937.666666666666</v>
      </c>
      <c r="F607" s="197">
        <v>53.52</v>
      </c>
      <c r="G607" s="190">
        <v>45856</v>
      </c>
      <c r="H607" s="196">
        <v>2</v>
      </c>
      <c r="I607" s="197">
        <v>11774.400000000001</v>
      </c>
      <c r="J607" s="197">
        <v>11774.400000000001</v>
      </c>
      <c r="K607" s="197">
        <v>0</v>
      </c>
      <c r="L607" s="197">
        <v>836.73333333333539</v>
      </c>
      <c r="M607" s="260" t="s">
        <v>239</v>
      </c>
      <c r="N607" s="260" t="s">
        <v>514</v>
      </c>
    </row>
    <row r="608" spans="1:14" ht="14.5" x14ac:dyDescent="0.35">
      <c r="A608" s="260" t="s">
        <v>563</v>
      </c>
      <c r="B608" s="190">
        <v>45858</v>
      </c>
      <c r="C608" s="260" t="s">
        <v>752</v>
      </c>
      <c r="D608" s="197">
        <v>50</v>
      </c>
      <c r="E608" s="197">
        <v>10010</v>
      </c>
      <c r="F608" s="197">
        <v>179.73</v>
      </c>
      <c r="G608" s="190">
        <v>45856</v>
      </c>
      <c r="H608" s="196">
        <v>2</v>
      </c>
      <c r="I608" s="197">
        <v>8986.5</v>
      </c>
      <c r="J608" s="197">
        <v>8986.5</v>
      </c>
      <c r="K608" s="197">
        <v>0</v>
      </c>
      <c r="L608" s="197">
        <v>-1023.5</v>
      </c>
      <c r="M608" s="260" t="s">
        <v>239</v>
      </c>
      <c r="N608" s="260" t="s">
        <v>514</v>
      </c>
    </row>
    <row r="609" spans="1:14" ht="14.5" x14ac:dyDescent="0.35">
      <c r="A609" s="260" t="s">
        <v>563</v>
      </c>
      <c r="B609" s="190">
        <v>45858</v>
      </c>
      <c r="C609" s="260" t="s">
        <v>754</v>
      </c>
      <c r="D609" s="197">
        <v>100</v>
      </c>
      <c r="E609" s="197">
        <v>8008</v>
      </c>
      <c r="F609" s="197">
        <v>78.73</v>
      </c>
      <c r="G609" s="190">
        <v>45856</v>
      </c>
      <c r="H609" s="196">
        <v>2</v>
      </c>
      <c r="I609" s="197">
        <v>7873</v>
      </c>
      <c r="J609" s="197">
        <v>7873</v>
      </c>
      <c r="K609" s="197">
        <v>0</v>
      </c>
      <c r="L609" s="197">
        <v>-135</v>
      </c>
      <c r="M609" s="260" t="s">
        <v>239</v>
      </c>
      <c r="N609" s="260" t="s">
        <v>514</v>
      </c>
    </row>
    <row r="610" spans="1:14" ht="14.5" x14ac:dyDescent="0.35">
      <c r="A610" s="260" t="s">
        <v>563</v>
      </c>
      <c r="B610" s="190">
        <v>45859</v>
      </c>
      <c r="C610" s="260" t="s">
        <v>749</v>
      </c>
      <c r="D610" s="197">
        <v>220</v>
      </c>
      <c r="E610" s="197">
        <v>10937.666666666666</v>
      </c>
      <c r="F610" s="197">
        <v>53.17</v>
      </c>
      <c r="G610" s="190">
        <v>45859</v>
      </c>
      <c r="H610" s="196">
        <v>0</v>
      </c>
      <c r="I610" s="197">
        <v>11697.4</v>
      </c>
      <c r="J610" s="197">
        <v>11697.4</v>
      </c>
      <c r="K610" s="197">
        <v>0</v>
      </c>
      <c r="L610" s="197">
        <v>759.73333333333358</v>
      </c>
      <c r="M610" s="260" t="s">
        <v>239</v>
      </c>
      <c r="N610" s="260" t="s">
        <v>514</v>
      </c>
    </row>
    <row r="611" spans="1:14" ht="14.5" x14ac:dyDescent="0.35">
      <c r="A611" s="260" t="s">
        <v>563</v>
      </c>
      <c r="B611" s="190">
        <v>45859</v>
      </c>
      <c r="C611" s="260" t="s">
        <v>752</v>
      </c>
      <c r="D611" s="197">
        <v>50</v>
      </c>
      <c r="E611" s="197">
        <v>10010</v>
      </c>
      <c r="F611" s="197">
        <v>179.33</v>
      </c>
      <c r="G611" s="190">
        <v>45859</v>
      </c>
      <c r="H611" s="196">
        <v>0</v>
      </c>
      <c r="I611" s="197">
        <v>8966.5</v>
      </c>
      <c r="J611" s="197">
        <v>8966.5</v>
      </c>
      <c r="K611" s="197">
        <v>0</v>
      </c>
      <c r="L611" s="197">
        <v>-1043.5</v>
      </c>
      <c r="M611" s="260" t="s">
        <v>239</v>
      </c>
      <c r="N611" s="260" t="s">
        <v>514</v>
      </c>
    </row>
    <row r="612" spans="1:14" ht="14.5" x14ac:dyDescent="0.35">
      <c r="A612" s="260" t="s">
        <v>563</v>
      </c>
      <c r="B612" s="190">
        <v>45859</v>
      </c>
      <c r="C612" s="260" t="s">
        <v>754</v>
      </c>
      <c r="D612" s="197">
        <v>100</v>
      </c>
      <c r="E612" s="197">
        <v>8008</v>
      </c>
      <c r="F612" s="197">
        <v>78.33</v>
      </c>
      <c r="G612" s="190">
        <v>45859</v>
      </c>
      <c r="H612" s="196">
        <v>0</v>
      </c>
      <c r="I612" s="197">
        <v>7833</v>
      </c>
      <c r="J612" s="197">
        <v>7833</v>
      </c>
      <c r="K612" s="197">
        <v>0</v>
      </c>
      <c r="L612" s="197">
        <v>-175</v>
      </c>
      <c r="M612" s="260" t="s">
        <v>239</v>
      </c>
      <c r="N612" s="260" t="s">
        <v>514</v>
      </c>
    </row>
    <row r="613" spans="1:14" ht="14.5" x14ac:dyDescent="0.35">
      <c r="A613" s="260" t="s">
        <v>563</v>
      </c>
      <c r="B613" s="190">
        <v>45860</v>
      </c>
      <c r="C613" s="260" t="s">
        <v>749</v>
      </c>
      <c r="D613" s="197">
        <v>220</v>
      </c>
      <c r="E613" s="197">
        <v>10937.666666666666</v>
      </c>
      <c r="F613" s="197">
        <v>53.05</v>
      </c>
      <c r="G613" s="190">
        <v>45860</v>
      </c>
      <c r="H613" s="196">
        <v>0</v>
      </c>
      <c r="I613" s="197">
        <v>11671</v>
      </c>
      <c r="J613" s="197">
        <v>11671</v>
      </c>
      <c r="K613" s="197">
        <v>0</v>
      </c>
      <c r="L613" s="197">
        <v>733.33333333333394</v>
      </c>
      <c r="M613" s="260" t="s">
        <v>239</v>
      </c>
      <c r="N613" s="260" t="s">
        <v>514</v>
      </c>
    </row>
    <row r="614" spans="1:14" ht="14.5" x14ac:dyDescent="0.35">
      <c r="A614" s="260" t="s">
        <v>563</v>
      </c>
      <c r="B614" s="190">
        <v>45860</v>
      </c>
      <c r="C614" s="260" t="s">
        <v>752</v>
      </c>
      <c r="D614" s="197">
        <v>50</v>
      </c>
      <c r="E614" s="197">
        <v>10010</v>
      </c>
      <c r="F614" s="197">
        <v>179.2</v>
      </c>
      <c r="G614" s="190">
        <v>45860</v>
      </c>
      <c r="H614" s="196">
        <v>0</v>
      </c>
      <c r="I614" s="197">
        <v>8960</v>
      </c>
      <c r="J614" s="197">
        <v>8960</v>
      </c>
      <c r="K614" s="197">
        <v>0</v>
      </c>
      <c r="L614" s="197">
        <v>-1050</v>
      </c>
      <c r="M614" s="260" t="s">
        <v>239</v>
      </c>
      <c r="N614" s="260" t="s">
        <v>514</v>
      </c>
    </row>
    <row r="615" spans="1:14" ht="14.5" x14ac:dyDescent="0.35">
      <c r="A615" s="260" t="s">
        <v>563</v>
      </c>
      <c r="B615" s="190">
        <v>45860</v>
      </c>
      <c r="C615" s="260" t="s">
        <v>754</v>
      </c>
      <c r="D615" s="197">
        <v>100</v>
      </c>
      <c r="E615" s="197">
        <v>8008</v>
      </c>
      <c r="F615" s="197">
        <v>78.2</v>
      </c>
      <c r="G615" s="190">
        <v>45860</v>
      </c>
      <c r="H615" s="196">
        <v>0</v>
      </c>
      <c r="I615" s="197">
        <v>7820</v>
      </c>
      <c r="J615" s="197">
        <v>7820</v>
      </c>
      <c r="K615" s="197">
        <v>0</v>
      </c>
      <c r="L615" s="197">
        <v>-188</v>
      </c>
      <c r="M615" s="260" t="s">
        <v>239</v>
      </c>
      <c r="N615" s="260" t="s">
        <v>514</v>
      </c>
    </row>
    <row r="616" spans="1:14" ht="14.5" x14ac:dyDescent="0.35">
      <c r="A616" s="260" t="s">
        <v>563</v>
      </c>
      <c r="B616" s="190">
        <v>45861</v>
      </c>
      <c r="C616" s="260" t="s">
        <v>749</v>
      </c>
      <c r="D616" s="197">
        <v>220</v>
      </c>
      <c r="E616" s="197">
        <v>10937.666666666666</v>
      </c>
      <c r="F616" s="197">
        <v>52.93</v>
      </c>
      <c r="G616" s="190">
        <v>45861</v>
      </c>
      <c r="H616" s="196">
        <v>0</v>
      </c>
      <c r="I616" s="197">
        <v>11644.6</v>
      </c>
      <c r="J616" s="197">
        <v>11644.6</v>
      </c>
      <c r="K616" s="197">
        <v>0</v>
      </c>
      <c r="L616" s="197">
        <v>706.9333333333343</v>
      </c>
      <c r="M616" s="260" t="s">
        <v>239</v>
      </c>
      <c r="N616" s="260" t="s">
        <v>514</v>
      </c>
    </row>
    <row r="617" spans="1:14" ht="14.5" x14ac:dyDescent="0.35">
      <c r="A617" s="260" t="s">
        <v>563</v>
      </c>
      <c r="B617" s="190">
        <v>45861</v>
      </c>
      <c r="C617" s="260" t="s">
        <v>752</v>
      </c>
      <c r="D617" s="197">
        <v>50</v>
      </c>
      <c r="E617" s="197">
        <v>10010</v>
      </c>
      <c r="F617" s="197">
        <v>179.07</v>
      </c>
      <c r="G617" s="190">
        <v>45861</v>
      </c>
      <c r="H617" s="196">
        <v>0</v>
      </c>
      <c r="I617" s="197">
        <v>8953.5</v>
      </c>
      <c r="J617" s="197">
        <v>8953.5</v>
      </c>
      <c r="K617" s="197">
        <v>0</v>
      </c>
      <c r="L617" s="197">
        <v>-1056.5</v>
      </c>
      <c r="M617" s="260" t="s">
        <v>239</v>
      </c>
      <c r="N617" s="260" t="s">
        <v>514</v>
      </c>
    </row>
    <row r="618" spans="1:14" ht="14.5" x14ac:dyDescent="0.35">
      <c r="A618" s="260" t="s">
        <v>563</v>
      </c>
      <c r="B618" s="190">
        <v>45861</v>
      </c>
      <c r="C618" s="260" t="s">
        <v>754</v>
      </c>
      <c r="D618" s="197">
        <v>100</v>
      </c>
      <c r="E618" s="197">
        <v>8008</v>
      </c>
      <c r="F618" s="197">
        <v>78.069999999999993</v>
      </c>
      <c r="G618" s="190">
        <v>45861</v>
      </c>
      <c r="H618" s="196">
        <v>0</v>
      </c>
      <c r="I618" s="197">
        <v>7806.9999999999991</v>
      </c>
      <c r="J618" s="197">
        <v>7806.9999999999991</v>
      </c>
      <c r="K618" s="197">
        <v>0</v>
      </c>
      <c r="L618" s="197">
        <v>-201.00000000000091</v>
      </c>
      <c r="M618" s="260" t="s">
        <v>239</v>
      </c>
      <c r="N618" s="260" t="s">
        <v>514</v>
      </c>
    </row>
    <row r="619" spans="1:14" ht="14.5" x14ac:dyDescent="0.35">
      <c r="A619" s="260" t="s">
        <v>563</v>
      </c>
      <c r="B619" s="190">
        <v>45862</v>
      </c>
      <c r="C619" s="260" t="s">
        <v>749</v>
      </c>
      <c r="D619" s="197">
        <v>220</v>
      </c>
      <c r="E619" s="197">
        <v>10937.666666666666</v>
      </c>
      <c r="F619" s="197">
        <v>52.82</v>
      </c>
      <c r="G619" s="190">
        <v>45862</v>
      </c>
      <c r="H619" s="196">
        <v>0</v>
      </c>
      <c r="I619" s="197">
        <v>11620.4</v>
      </c>
      <c r="J619" s="197">
        <v>11620.4</v>
      </c>
      <c r="K619" s="197">
        <v>0</v>
      </c>
      <c r="L619" s="197">
        <v>682.73333333333358</v>
      </c>
      <c r="M619" s="260" t="s">
        <v>239</v>
      </c>
      <c r="N619" s="260" t="s">
        <v>514</v>
      </c>
    </row>
    <row r="620" spans="1:14" ht="14.5" x14ac:dyDescent="0.35">
      <c r="A620" s="260" t="s">
        <v>563</v>
      </c>
      <c r="B620" s="190">
        <v>45862</v>
      </c>
      <c r="C620" s="260" t="s">
        <v>752</v>
      </c>
      <c r="D620" s="197">
        <v>50</v>
      </c>
      <c r="E620" s="197">
        <v>10010</v>
      </c>
      <c r="F620" s="197">
        <v>178.93</v>
      </c>
      <c r="G620" s="190">
        <v>45862</v>
      </c>
      <c r="H620" s="196">
        <v>0</v>
      </c>
      <c r="I620" s="197">
        <v>8946.5</v>
      </c>
      <c r="J620" s="197">
        <v>8946.5</v>
      </c>
      <c r="K620" s="197">
        <v>0</v>
      </c>
      <c r="L620" s="197">
        <v>-1063.5</v>
      </c>
      <c r="M620" s="260" t="s">
        <v>239</v>
      </c>
      <c r="N620" s="260" t="s">
        <v>514</v>
      </c>
    </row>
    <row r="621" spans="1:14" ht="14.5" x14ac:dyDescent="0.35">
      <c r="A621" s="260" t="s">
        <v>563</v>
      </c>
      <c r="B621" s="190">
        <v>45862</v>
      </c>
      <c r="C621" s="260" t="s">
        <v>754</v>
      </c>
      <c r="D621" s="197">
        <v>100</v>
      </c>
      <c r="E621" s="197">
        <v>8008</v>
      </c>
      <c r="F621" s="197">
        <v>77.930000000000007</v>
      </c>
      <c r="G621" s="190">
        <v>45862</v>
      </c>
      <c r="H621" s="196">
        <v>0</v>
      </c>
      <c r="I621" s="197">
        <v>7793.0000000000009</v>
      </c>
      <c r="J621" s="197">
        <v>7793.0000000000009</v>
      </c>
      <c r="K621" s="197">
        <v>0</v>
      </c>
      <c r="L621" s="197">
        <v>-214.99999999999909</v>
      </c>
      <c r="M621" s="260" t="s">
        <v>239</v>
      </c>
      <c r="N621" s="260" t="s">
        <v>514</v>
      </c>
    </row>
    <row r="622" spans="1:14" ht="14.5" x14ac:dyDescent="0.35">
      <c r="A622" s="260" t="s">
        <v>563</v>
      </c>
      <c r="B622" s="190">
        <v>45863</v>
      </c>
      <c r="C622" s="260" t="s">
        <v>749</v>
      </c>
      <c r="D622" s="197">
        <v>220</v>
      </c>
      <c r="E622" s="197">
        <v>10937.666666666666</v>
      </c>
      <c r="F622" s="197">
        <v>52.7</v>
      </c>
      <c r="G622" s="190">
        <v>45863</v>
      </c>
      <c r="H622" s="196">
        <v>0</v>
      </c>
      <c r="I622" s="197">
        <v>11594</v>
      </c>
      <c r="J622" s="197">
        <v>11594</v>
      </c>
      <c r="K622" s="197">
        <v>0</v>
      </c>
      <c r="L622" s="197">
        <v>656.33333333333394</v>
      </c>
      <c r="M622" s="260" t="s">
        <v>239</v>
      </c>
      <c r="N622" s="260" t="s">
        <v>514</v>
      </c>
    </row>
    <row r="623" spans="1:14" ht="14.5" x14ac:dyDescent="0.35">
      <c r="A623" s="260" t="s">
        <v>563</v>
      </c>
      <c r="B623" s="190">
        <v>45863</v>
      </c>
      <c r="C623" s="260" t="s">
        <v>752</v>
      </c>
      <c r="D623" s="197">
        <v>50</v>
      </c>
      <c r="E623" s="197">
        <v>10010</v>
      </c>
      <c r="F623" s="197">
        <v>178.8</v>
      </c>
      <c r="G623" s="190">
        <v>45863</v>
      </c>
      <c r="H623" s="196">
        <v>0</v>
      </c>
      <c r="I623" s="197">
        <v>8940</v>
      </c>
      <c r="J623" s="197">
        <v>8940</v>
      </c>
      <c r="K623" s="197">
        <v>0</v>
      </c>
      <c r="L623" s="197">
        <v>-1070</v>
      </c>
      <c r="M623" s="260" t="s">
        <v>239</v>
      </c>
      <c r="N623" s="260" t="s">
        <v>514</v>
      </c>
    </row>
    <row r="624" spans="1:14" ht="14.5" x14ac:dyDescent="0.35">
      <c r="A624" s="260" t="s">
        <v>563</v>
      </c>
      <c r="B624" s="190">
        <v>45863</v>
      </c>
      <c r="C624" s="260" t="s">
        <v>754</v>
      </c>
      <c r="D624" s="197">
        <v>100</v>
      </c>
      <c r="E624" s="197">
        <v>8008</v>
      </c>
      <c r="F624" s="197">
        <v>77.8</v>
      </c>
      <c r="G624" s="190">
        <v>45863</v>
      </c>
      <c r="H624" s="196">
        <v>0</v>
      </c>
      <c r="I624" s="197">
        <v>7780</v>
      </c>
      <c r="J624" s="197">
        <v>7780</v>
      </c>
      <c r="K624" s="197">
        <v>0</v>
      </c>
      <c r="L624" s="197">
        <v>-228</v>
      </c>
      <c r="M624" s="260" t="s">
        <v>239</v>
      </c>
      <c r="N624" s="260" t="s">
        <v>514</v>
      </c>
    </row>
    <row r="625" spans="1:14" ht="14.5" x14ac:dyDescent="0.35">
      <c r="A625" s="260" t="s">
        <v>563</v>
      </c>
      <c r="B625" s="190">
        <v>45864</v>
      </c>
      <c r="C625" s="260" t="s">
        <v>749</v>
      </c>
      <c r="D625" s="197">
        <v>220</v>
      </c>
      <c r="E625" s="197">
        <v>10937.666666666666</v>
      </c>
      <c r="F625" s="197">
        <v>52.7</v>
      </c>
      <c r="G625" s="190">
        <v>45863</v>
      </c>
      <c r="H625" s="196">
        <v>1</v>
      </c>
      <c r="I625" s="197">
        <v>11594</v>
      </c>
      <c r="J625" s="197">
        <v>11594</v>
      </c>
      <c r="K625" s="197">
        <v>0</v>
      </c>
      <c r="L625" s="197">
        <v>656.33333333333394</v>
      </c>
      <c r="M625" s="260" t="s">
        <v>239</v>
      </c>
      <c r="N625" s="260" t="s">
        <v>514</v>
      </c>
    </row>
    <row r="626" spans="1:14" ht="14.5" x14ac:dyDescent="0.35">
      <c r="A626" s="260" t="s">
        <v>563</v>
      </c>
      <c r="B626" s="190">
        <v>45864</v>
      </c>
      <c r="C626" s="260" t="s">
        <v>752</v>
      </c>
      <c r="D626" s="197">
        <v>50</v>
      </c>
      <c r="E626" s="197">
        <v>10010</v>
      </c>
      <c r="F626" s="197">
        <v>178.8</v>
      </c>
      <c r="G626" s="190">
        <v>45863</v>
      </c>
      <c r="H626" s="196">
        <v>1</v>
      </c>
      <c r="I626" s="197">
        <v>8940</v>
      </c>
      <c r="J626" s="197">
        <v>8940</v>
      </c>
      <c r="K626" s="197">
        <v>0</v>
      </c>
      <c r="L626" s="197">
        <v>-1070</v>
      </c>
      <c r="M626" s="260" t="s">
        <v>239</v>
      </c>
      <c r="N626" s="260" t="s">
        <v>514</v>
      </c>
    </row>
    <row r="627" spans="1:14" ht="14.5" x14ac:dyDescent="0.35">
      <c r="A627" s="260" t="s">
        <v>563</v>
      </c>
      <c r="B627" s="190">
        <v>45864</v>
      </c>
      <c r="C627" s="260" t="s">
        <v>754</v>
      </c>
      <c r="D627" s="197">
        <v>100</v>
      </c>
      <c r="E627" s="197">
        <v>8008</v>
      </c>
      <c r="F627" s="197">
        <v>77.8</v>
      </c>
      <c r="G627" s="190">
        <v>45863</v>
      </c>
      <c r="H627" s="196">
        <v>1</v>
      </c>
      <c r="I627" s="197">
        <v>7780</v>
      </c>
      <c r="J627" s="197">
        <v>7780</v>
      </c>
      <c r="K627" s="197">
        <v>0</v>
      </c>
      <c r="L627" s="197">
        <v>-228</v>
      </c>
      <c r="M627" s="260" t="s">
        <v>239</v>
      </c>
      <c r="N627" s="260" t="s">
        <v>514</v>
      </c>
    </row>
    <row r="628" spans="1:14" ht="14.5" x14ac:dyDescent="0.35">
      <c r="A628" s="260" t="s">
        <v>563</v>
      </c>
      <c r="B628" s="190">
        <v>45865</v>
      </c>
      <c r="C628" s="260" t="s">
        <v>749</v>
      </c>
      <c r="D628" s="197">
        <v>220</v>
      </c>
      <c r="E628" s="197">
        <v>10937.666666666666</v>
      </c>
      <c r="F628" s="197">
        <v>52.7</v>
      </c>
      <c r="G628" s="190">
        <v>45863</v>
      </c>
      <c r="H628" s="196">
        <v>2</v>
      </c>
      <c r="I628" s="197">
        <v>11594</v>
      </c>
      <c r="J628" s="197">
        <v>11594</v>
      </c>
      <c r="K628" s="197">
        <v>0</v>
      </c>
      <c r="L628" s="197">
        <v>656.33333333333394</v>
      </c>
      <c r="M628" s="260" t="s">
        <v>239</v>
      </c>
      <c r="N628" s="260" t="s">
        <v>514</v>
      </c>
    </row>
    <row r="629" spans="1:14" ht="14.5" x14ac:dyDescent="0.35">
      <c r="A629" s="260" t="s">
        <v>563</v>
      </c>
      <c r="B629" s="190">
        <v>45865</v>
      </c>
      <c r="C629" s="260" t="s">
        <v>752</v>
      </c>
      <c r="D629" s="197">
        <v>50</v>
      </c>
      <c r="E629" s="197">
        <v>10010</v>
      </c>
      <c r="F629" s="197">
        <v>178.8</v>
      </c>
      <c r="G629" s="190">
        <v>45863</v>
      </c>
      <c r="H629" s="196">
        <v>2</v>
      </c>
      <c r="I629" s="197">
        <v>8940</v>
      </c>
      <c r="J629" s="197">
        <v>8940</v>
      </c>
      <c r="K629" s="197">
        <v>0</v>
      </c>
      <c r="L629" s="197">
        <v>-1070</v>
      </c>
      <c r="M629" s="260" t="s">
        <v>239</v>
      </c>
      <c r="N629" s="260" t="s">
        <v>514</v>
      </c>
    </row>
    <row r="630" spans="1:14" ht="14.5" x14ac:dyDescent="0.35">
      <c r="A630" s="260" t="s">
        <v>563</v>
      </c>
      <c r="B630" s="190">
        <v>45865</v>
      </c>
      <c r="C630" s="260" t="s">
        <v>754</v>
      </c>
      <c r="D630" s="197">
        <v>100</v>
      </c>
      <c r="E630" s="197">
        <v>8008</v>
      </c>
      <c r="F630" s="197">
        <v>77.8</v>
      </c>
      <c r="G630" s="190">
        <v>45863</v>
      </c>
      <c r="H630" s="196">
        <v>2</v>
      </c>
      <c r="I630" s="197">
        <v>7780</v>
      </c>
      <c r="J630" s="197">
        <v>7780</v>
      </c>
      <c r="K630" s="197">
        <v>0</v>
      </c>
      <c r="L630" s="197">
        <v>-228</v>
      </c>
      <c r="M630" s="260" t="s">
        <v>239</v>
      </c>
      <c r="N630" s="260" t="s">
        <v>514</v>
      </c>
    </row>
    <row r="631" spans="1:14" ht="14.5" x14ac:dyDescent="0.35">
      <c r="A631" s="260" t="s">
        <v>563</v>
      </c>
      <c r="B631" s="190">
        <v>45866</v>
      </c>
      <c r="C631" s="260" t="s">
        <v>749</v>
      </c>
      <c r="D631" s="197">
        <v>220</v>
      </c>
      <c r="E631" s="197">
        <v>10937.666666666666</v>
      </c>
      <c r="F631" s="197">
        <v>52.35</v>
      </c>
      <c r="G631" s="190">
        <v>45866</v>
      </c>
      <c r="H631" s="196">
        <v>0</v>
      </c>
      <c r="I631" s="197">
        <v>11517</v>
      </c>
      <c r="J631" s="197">
        <v>11517</v>
      </c>
      <c r="K631" s="197">
        <v>0</v>
      </c>
      <c r="L631" s="197">
        <v>579.33333333333394</v>
      </c>
      <c r="M631" s="260" t="s">
        <v>239</v>
      </c>
      <c r="N631" s="260" t="s">
        <v>514</v>
      </c>
    </row>
    <row r="632" spans="1:14" ht="14.5" x14ac:dyDescent="0.35">
      <c r="A632" s="260" t="s">
        <v>563</v>
      </c>
      <c r="B632" s="190">
        <v>45866</v>
      </c>
      <c r="C632" s="260" t="s">
        <v>752</v>
      </c>
      <c r="D632" s="197">
        <v>50</v>
      </c>
      <c r="E632" s="197">
        <v>10010</v>
      </c>
      <c r="F632" s="197">
        <v>178.4</v>
      </c>
      <c r="G632" s="190">
        <v>45866</v>
      </c>
      <c r="H632" s="196">
        <v>0</v>
      </c>
      <c r="I632" s="197">
        <v>8920</v>
      </c>
      <c r="J632" s="197">
        <v>8920</v>
      </c>
      <c r="K632" s="197">
        <v>0</v>
      </c>
      <c r="L632" s="197">
        <v>-1090</v>
      </c>
      <c r="M632" s="260" t="s">
        <v>239</v>
      </c>
      <c r="N632" s="260" t="s">
        <v>514</v>
      </c>
    </row>
    <row r="633" spans="1:14" ht="14.5" x14ac:dyDescent="0.35">
      <c r="A633" s="260" t="s">
        <v>563</v>
      </c>
      <c r="B633" s="190">
        <v>45866</v>
      </c>
      <c r="C633" s="260" t="s">
        <v>754</v>
      </c>
      <c r="D633" s="197">
        <v>100</v>
      </c>
      <c r="E633" s="197">
        <v>8008</v>
      </c>
      <c r="F633" s="197">
        <v>77.400000000000006</v>
      </c>
      <c r="G633" s="190">
        <v>45866</v>
      </c>
      <c r="H633" s="196">
        <v>0</v>
      </c>
      <c r="I633" s="197">
        <v>7740.0000000000009</v>
      </c>
      <c r="J633" s="197">
        <v>7740.0000000000009</v>
      </c>
      <c r="K633" s="197">
        <v>0</v>
      </c>
      <c r="L633" s="197">
        <v>-267.99999999999909</v>
      </c>
      <c r="M633" s="260" t="s">
        <v>239</v>
      </c>
      <c r="N633" s="260" t="s">
        <v>514</v>
      </c>
    </row>
    <row r="634" spans="1:14" ht="14.5" x14ac:dyDescent="0.35">
      <c r="A634" s="260" t="s">
        <v>563</v>
      </c>
      <c r="B634" s="190">
        <v>45867</v>
      </c>
      <c r="C634" s="260" t="s">
        <v>749</v>
      </c>
      <c r="D634" s="197">
        <v>220</v>
      </c>
      <c r="E634" s="197">
        <v>10937.666666666666</v>
      </c>
      <c r="F634" s="197">
        <v>52.23</v>
      </c>
      <c r="G634" s="190">
        <v>45867</v>
      </c>
      <c r="H634" s="196">
        <v>0</v>
      </c>
      <c r="I634" s="197">
        <v>11490.599999999999</v>
      </c>
      <c r="J634" s="197">
        <v>11490.599999999999</v>
      </c>
      <c r="K634" s="197">
        <v>0</v>
      </c>
      <c r="L634" s="197">
        <v>552.93333333333248</v>
      </c>
      <c r="M634" s="260" t="s">
        <v>239</v>
      </c>
      <c r="N634" s="260" t="s">
        <v>514</v>
      </c>
    </row>
    <row r="635" spans="1:14" ht="14.5" x14ac:dyDescent="0.35">
      <c r="A635" s="260" t="s">
        <v>563</v>
      </c>
      <c r="B635" s="190">
        <v>45867</v>
      </c>
      <c r="C635" s="260" t="s">
        <v>752</v>
      </c>
      <c r="D635" s="197">
        <v>50</v>
      </c>
      <c r="E635" s="197">
        <v>10010</v>
      </c>
      <c r="F635" s="197">
        <v>178.27</v>
      </c>
      <c r="G635" s="190">
        <v>45867</v>
      </c>
      <c r="H635" s="196">
        <v>0</v>
      </c>
      <c r="I635" s="197">
        <v>8913.5</v>
      </c>
      <c r="J635" s="197">
        <v>8913.5</v>
      </c>
      <c r="K635" s="197">
        <v>0</v>
      </c>
      <c r="L635" s="197">
        <v>-1096.5</v>
      </c>
      <c r="M635" s="260" t="s">
        <v>239</v>
      </c>
      <c r="N635" s="260" t="s">
        <v>514</v>
      </c>
    </row>
    <row r="636" spans="1:14" ht="14.5" x14ac:dyDescent="0.35">
      <c r="A636" s="260" t="s">
        <v>563</v>
      </c>
      <c r="B636" s="190">
        <v>45867</v>
      </c>
      <c r="C636" s="260" t="s">
        <v>754</v>
      </c>
      <c r="D636" s="197">
        <v>100</v>
      </c>
      <c r="E636" s="197">
        <v>8008</v>
      </c>
      <c r="F636" s="197">
        <v>77.27</v>
      </c>
      <c r="G636" s="190">
        <v>45867</v>
      </c>
      <c r="H636" s="196">
        <v>0</v>
      </c>
      <c r="I636" s="197">
        <v>7727</v>
      </c>
      <c r="J636" s="197">
        <v>7727</v>
      </c>
      <c r="K636" s="197">
        <v>0</v>
      </c>
      <c r="L636" s="197">
        <v>-281</v>
      </c>
      <c r="M636" s="260" t="s">
        <v>239</v>
      </c>
      <c r="N636" s="260" t="s">
        <v>514</v>
      </c>
    </row>
    <row r="637" spans="1:14" ht="14.5" x14ac:dyDescent="0.35">
      <c r="A637" s="260" t="s">
        <v>563</v>
      </c>
      <c r="B637" s="190">
        <v>45868</v>
      </c>
      <c r="C637" s="260" t="s">
        <v>749</v>
      </c>
      <c r="D637" s="197">
        <v>220</v>
      </c>
      <c r="E637" s="197">
        <v>10937.666666666666</v>
      </c>
      <c r="F637" s="197">
        <v>52.12</v>
      </c>
      <c r="G637" s="190">
        <v>45868</v>
      </c>
      <c r="H637" s="196">
        <v>0</v>
      </c>
      <c r="I637" s="197">
        <v>11466.4</v>
      </c>
      <c r="J637" s="197">
        <v>11466.4</v>
      </c>
      <c r="K637" s="197">
        <v>0</v>
      </c>
      <c r="L637" s="197">
        <v>528.73333333333358</v>
      </c>
      <c r="M637" s="260" t="s">
        <v>239</v>
      </c>
      <c r="N637" s="260" t="s">
        <v>514</v>
      </c>
    </row>
    <row r="638" spans="1:14" ht="14.5" x14ac:dyDescent="0.35">
      <c r="A638" s="260" t="s">
        <v>563</v>
      </c>
      <c r="B638" s="190">
        <v>45868</v>
      </c>
      <c r="C638" s="260" t="s">
        <v>752</v>
      </c>
      <c r="D638" s="197">
        <v>50</v>
      </c>
      <c r="E638" s="197">
        <v>10010</v>
      </c>
      <c r="F638" s="197">
        <v>178.13</v>
      </c>
      <c r="G638" s="190">
        <v>45868</v>
      </c>
      <c r="H638" s="196">
        <v>0</v>
      </c>
      <c r="I638" s="197">
        <v>8906.5</v>
      </c>
      <c r="J638" s="197">
        <v>8906.5</v>
      </c>
      <c r="K638" s="197">
        <v>0</v>
      </c>
      <c r="L638" s="197">
        <v>-1103.5</v>
      </c>
      <c r="M638" s="260" t="s">
        <v>239</v>
      </c>
      <c r="N638" s="260" t="s">
        <v>514</v>
      </c>
    </row>
    <row r="639" spans="1:14" ht="14.5" x14ac:dyDescent="0.35">
      <c r="A639" s="260" t="s">
        <v>563</v>
      </c>
      <c r="B639" s="190">
        <v>45868</v>
      </c>
      <c r="C639" s="260" t="s">
        <v>754</v>
      </c>
      <c r="D639" s="197">
        <v>100</v>
      </c>
      <c r="E639" s="197">
        <v>8008</v>
      </c>
      <c r="F639" s="197">
        <v>77.13</v>
      </c>
      <c r="G639" s="190">
        <v>45868</v>
      </c>
      <c r="H639" s="196">
        <v>0</v>
      </c>
      <c r="I639" s="197">
        <v>7713</v>
      </c>
      <c r="J639" s="197">
        <v>7713</v>
      </c>
      <c r="K639" s="197">
        <v>0</v>
      </c>
      <c r="L639" s="197">
        <v>-295</v>
      </c>
      <c r="M639" s="260" t="s">
        <v>239</v>
      </c>
      <c r="N639" s="260" t="s">
        <v>514</v>
      </c>
    </row>
    <row r="640" spans="1:14" ht="14.5" x14ac:dyDescent="0.35">
      <c r="A640" s="260" t="s">
        <v>563</v>
      </c>
      <c r="B640" s="190">
        <v>45869</v>
      </c>
      <c r="C640" s="260" t="s">
        <v>749</v>
      </c>
      <c r="D640" s="197">
        <v>220</v>
      </c>
      <c r="E640" s="197">
        <v>10937.666666666666</v>
      </c>
      <c r="F640" s="197">
        <v>52</v>
      </c>
      <c r="G640" s="190">
        <v>45869</v>
      </c>
      <c r="H640" s="196">
        <v>0</v>
      </c>
      <c r="I640" s="197">
        <v>11440</v>
      </c>
      <c r="J640" s="197">
        <v>11440</v>
      </c>
      <c r="K640" s="197">
        <v>0</v>
      </c>
      <c r="L640" s="197">
        <v>502.33333333333394</v>
      </c>
      <c r="M640" s="260" t="s">
        <v>239</v>
      </c>
      <c r="N640" s="260" t="s">
        <v>514</v>
      </c>
    </row>
    <row r="641" spans="1:14" ht="14.5" x14ac:dyDescent="0.35">
      <c r="A641" s="260" t="s">
        <v>563</v>
      </c>
      <c r="B641" s="190">
        <v>45869</v>
      </c>
      <c r="C641" s="260" t="s">
        <v>752</v>
      </c>
      <c r="D641" s="197">
        <v>50</v>
      </c>
      <c r="E641" s="197">
        <v>10010</v>
      </c>
      <c r="F641" s="197">
        <v>178</v>
      </c>
      <c r="G641" s="190">
        <v>45869</v>
      </c>
      <c r="H641" s="196">
        <v>0</v>
      </c>
      <c r="I641" s="197">
        <v>8900</v>
      </c>
      <c r="J641" s="197">
        <v>8900</v>
      </c>
      <c r="K641" s="197">
        <v>0</v>
      </c>
      <c r="L641" s="197">
        <v>-1110</v>
      </c>
      <c r="M641" s="260" t="s">
        <v>239</v>
      </c>
      <c r="N641" s="260" t="s">
        <v>514</v>
      </c>
    </row>
    <row r="642" spans="1:14" ht="14.5" x14ac:dyDescent="0.35">
      <c r="A642" s="260" t="s">
        <v>563</v>
      </c>
      <c r="B642" s="190">
        <v>45869</v>
      </c>
      <c r="C642" s="260" t="s">
        <v>754</v>
      </c>
      <c r="D642" s="197">
        <v>100</v>
      </c>
      <c r="E642" s="197">
        <v>8008</v>
      </c>
      <c r="F642" s="197">
        <v>77</v>
      </c>
      <c r="G642" s="190">
        <v>45869</v>
      </c>
      <c r="H642" s="196">
        <v>0</v>
      </c>
      <c r="I642" s="197">
        <v>7700</v>
      </c>
      <c r="J642" s="197">
        <v>7700</v>
      </c>
      <c r="K642" s="197">
        <v>0</v>
      </c>
      <c r="L642" s="197">
        <v>-308</v>
      </c>
      <c r="M642" s="260" t="s">
        <v>239</v>
      </c>
      <c r="N642" s="260" t="s">
        <v>514</v>
      </c>
    </row>
    <row r="643" spans="1:14" ht="14.5" x14ac:dyDescent="0.35">
      <c r="A643" s="260" t="s">
        <v>563</v>
      </c>
      <c r="B643" s="190">
        <v>45870</v>
      </c>
      <c r="C643" s="260" t="s">
        <v>749</v>
      </c>
      <c r="D643" s="197">
        <v>220</v>
      </c>
      <c r="E643" s="197">
        <v>10937.666666666666</v>
      </c>
      <c r="F643" s="197">
        <v>52</v>
      </c>
      <c r="G643" s="190">
        <v>45870</v>
      </c>
      <c r="H643" s="196">
        <v>0</v>
      </c>
      <c r="I643" s="197">
        <v>11440</v>
      </c>
      <c r="J643" s="197">
        <v>11440</v>
      </c>
      <c r="K643" s="197">
        <v>0</v>
      </c>
      <c r="L643" s="197">
        <v>502.33333333333394</v>
      </c>
      <c r="M643" s="260" t="s">
        <v>239</v>
      </c>
      <c r="N643" s="260" t="s">
        <v>514</v>
      </c>
    </row>
    <row r="644" spans="1:14" ht="14.5" x14ac:dyDescent="0.35">
      <c r="A644" s="260" t="s">
        <v>563</v>
      </c>
      <c r="B644" s="190">
        <v>45870</v>
      </c>
      <c r="C644" s="260" t="s">
        <v>752</v>
      </c>
      <c r="D644" s="197">
        <v>50</v>
      </c>
      <c r="E644" s="197">
        <v>10010</v>
      </c>
      <c r="F644" s="197">
        <v>178</v>
      </c>
      <c r="G644" s="190">
        <v>45870</v>
      </c>
      <c r="H644" s="196">
        <v>0</v>
      </c>
      <c r="I644" s="197">
        <v>8900</v>
      </c>
      <c r="J644" s="197">
        <v>8900</v>
      </c>
      <c r="K644" s="197">
        <v>0</v>
      </c>
      <c r="L644" s="197">
        <v>-1110</v>
      </c>
      <c r="M644" s="260" t="s">
        <v>239</v>
      </c>
      <c r="N644" s="260" t="s">
        <v>514</v>
      </c>
    </row>
    <row r="645" spans="1:14" ht="14.5" x14ac:dyDescent="0.35">
      <c r="A645" s="260" t="s">
        <v>563</v>
      </c>
      <c r="B645" s="190">
        <v>45870</v>
      </c>
      <c r="C645" s="260" t="s">
        <v>754</v>
      </c>
      <c r="D645" s="197">
        <v>100</v>
      </c>
      <c r="E645" s="197">
        <v>8008</v>
      </c>
      <c r="F645" s="197">
        <v>77</v>
      </c>
      <c r="G645" s="190">
        <v>45870</v>
      </c>
      <c r="H645" s="196">
        <v>0</v>
      </c>
      <c r="I645" s="197">
        <v>7700</v>
      </c>
      <c r="J645" s="197">
        <v>7700</v>
      </c>
      <c r="K645" s="197">
        <v>0</v>
      </c>
      <c r="L645" s="197">
        <v>-308</v>
      </c>
      <c r="M645" s="260" t="s">
        <v>239</v>
      </c>
      <c r="N645" s="260" t="s">
        <v>514</v>
      </c>
    </row>
    <row r="646" spans="1:14" ht="14.5" x14ac:dyDescent="0.35">
      <c r="A646" s="260" t="s">
        <v>563</v>
      </c>
      <c r="B646" s="190">
        <v>45871</v>
      </c>
      <c r="C646" s="260" t="s">
        <v>749</v>
      </c>
      <c r="D646" s="197">
        <v>220</v>
      </c>
      <c r="E646" s="197">
        <v>10937.666666666666</v>
      </c>
      <c r="F646" s="197">
        <v>52</v>
      </c>
      <c r="G646" s="190">
        <v>45870</v>
      </c>
      <c r="H646" s="196">
        <v>1</v>
      </c>
      <c r="I646" s="197">
        <v>11440</v>
      </c>
      <c r="J646" s="197">
        <v>11440</v>
      </c>
      <c r="K646" s="197">
        <v>0</v>
      </c>
      <c r="L646" s="197">
        <v>502.33333333333394</v>
      </c>
      <c r="M646" s="260" t="s">
        <v>239</v>
      </c>
      <c r="N646" s="260" t="s">
        <v>514</v>
      </c>
    </row>
    <row r="647" spans="1:14" ht="14.5" x14ac:dyDescent="0.35">
      <c r="A647" s="260" t="s">
        <v>563</v>
      </c>
      <c r="B647" s="190">
        <v>45871</v>
      </c>
      <c r="C647" s="260" t="s">
        <v>752</v>
      </c>
      <c r="D647" s="197">
        <v>50</v>
      </c>
      <c r="E647" s="197">
        <v>10010</v>
      </c>
      <c r="F647" s="197">
        <v>178</v>
      </c>
      <c r="G647" s="190">
        <v>45870</v>
      </c>
      <c r="H647" s="196">
        <v>1</v>
      </c>
      <c r="I647" s="197">
        <v>8900</v>
      </c>
      <c r="J647" s="197">
        <v>8900</v>
      </c>
      <c r="K647" s="197">
        <v>0</v>
      </c>
      <c r="L647" s="197">
        <v>-1110</v>
      </c>
      <c r="M647" s="260" t="s">
        <v>239</v>
      </c>
      <c r="N647" s="260" t="s">
        <v>514</v>
      </c>
    </row>
    <row r="648" spans="1:14" ht="14.5" x14ac:dyDescent="0.35">
      <c r="A648" s="260" t="s">
        <v>563</v>
      </c>
      <c r="B648" s="190">
        <v>45871</v>
      </c>
      <c r="C648" s="260" t="s">
        <v>754</v>
      </c>
      <c r="D648" s="197">
        <v>100</v>
      </c>
      <c r="E648" s="197">
        <v>8008</v>
      </c>
      <c r="F648" s="197">
        <v>77</v>
      </c>
      <c r="G648" s="190">
        <v>45870</v>
      </c>
      <c r="H648" s="196">
        <v>1</v>
      </c>
      <c r="I648" s="197">
        <v>7700</v>
      </c>
      <c r="J648" s="197">
        <v>7700</v>
      </c>
      <c r="K648" s="197">
        <v>0</v>
      </c>
      <c r="L648" s="197">
        <v>-308</v>
      </c>
      <c r="M648" s="260" t="s">
        <v>239</v>
      </c>
      <c r="N648" s="260" t="s">
        <v>514</v>
      </c>
    </row>
    <row r="649" spans="1:14" ht="14.5" x14ac:dyDescent="0.35">
      <c r="A649" s="260" t="s">
        <v>563</v>
      </c>
      <c r="B649" s="190">
        <v>45872</v>
      </c>
      <c r="C649" s="260" t="s">
        <v>749</v>
      </c>
      <c r="D649" s="197">
        <v>220</v>
      </c>
      <c r="E649" s="197">
        <v>10937.666666666666</v>
      </c>
      <c r="F649" s="197">
        <v>52</v>
      </c>
      <c r="G649" s="190">
        <v>45870</v>
      </c>
      <c r="H649" s="196">
        <v>2</v>
      </c>
      <c r="I649" s="197">
        <v>11440</v>
      </c>
      <c r="J649" s="197">
        <v>11440</v>
      </c>
      <c r="K649" s="197">
        <v>0</v>
      </c>
      <c r="L649" s="197">
        <v>502.33333333333394</v>
      </c>
      <c r="M649" s="260" t="s">
        <v>239</v>
      </c>
      <c r="N649" s="260" t="s">
        <v>514</v>
      </c>
    </row>
    <row r="650" spans="1:14" ht="14.5" x14ac:dyDescent="0.35">
      <c r="A650" s="260" t="s">
        <v>563</v>
      </c>
      <c r="B650" s="190">
        <v>45872</v>
      </c>
      <c r="C650" s="260" t="s">
        <v>752</v>
      </c>
      <c r="D650" s="197">
        <v>50</v>
      </c>
      <c r="E650" s="197">
        <v>10010</v>
      </c>
      <c r="F650" s="197">
        <v>178</v>
      </c>
      <c r="G650" s="190">
        <v>45870</v>
      </c>
      <c r="H650" s="196">
        <v>2</v>
      </c>
      <c r="I650" s="197">
        <v>8900</v>
      </c>
      <c r="J650" s="197">
        <v>8900</v>
      </c>
      <c r="K650" s="197">
        <v>0</v>
      </c>
      <c r="L650" s="197">
        <v>-1110</v>
      </c>
      <c r="M650" s="260" t="s">
        <v>239</v>
      </c>
      <c r="N650" s="260" t="s">
        <v>514</v>
      </c>
    </row>
    <row r="651" spans="1:14" ht="14.5" x14ac:dyDescent="0.35">
      <c r="A651" s="260" t="s">
        <v>563</v>
      </c>
      <c r="B651" s="190">
        <v>45872</v>
      </c>
      <c r="C651" s="260" t="s">
        <v>754</v>
      </c>
      <c r="D651" s="197">
        <v>100</v>
      </c>
      <c r="E651" s="197">
        <v>8008</v>
      </c>
      <c r="F651" s="197">
        <v>77</v>
      </c>
      <c r="G651" s="190">
        <v>45870</v>
      </c>
      <c r="H651" s="196">
        <v>2</v>
      </c>
      <c r="I651" s="197">
        <v>7700</v>
      </c>
      <c r="J651" s="197">
        <v>7700</v>
      </c>
      <c r="K651" s="197">
        <v>0</v>
      </c>
      <c r="L651" s="197">
        <v>-308</v>
      </c>
      <c r="M651" s="260" t="s">
        <v>239</v>
      </c>
      <c r="N651" s="260" t="s">
        <v>514</v>
      </c>
    </row>
    <row r="652" spans="1:14" ht="14.5" x14ac:dyDescent="0.35">
      <c r="A652" s="260" t="s">
        <v>563</v>
      </c>
      <c r="B652" s="190">
        <v>45873</v>
      </c>
      <c r="C652" s="260" t="s">
        <v>749</v>
      </c>
      <c r="D652" s="197">
        <v>220</v>
      </c>
      <c r="E652" s="197">
        <v>10937.666666666666</v>
      </c>
      <c r="F652" s="197">
        <v>51.7</v>
      </c>
      <c r="G652" s="190">
        <v>45873</v>
      </c>
      <c r="H652" s="196">
        <v>0</v>
      </c>
      <c r="I652" s="197">
        <v>11374</v>
      </c>
      <c r="J652" s="197">
        <v>11374</v>
      </c>
      <c r="K652" s="197">
        <v>0</v>
      </c>
      <c r="L652" s="197">
        <v>436.33333333333394</v>
      </c>
      <c r="M652" s="260" t="s">
        <v>239</v>
      </c>
      <c r="N652" s="260" t="s">
        <v>514</v>
      </c>
    </row>
    <row r="653" spans="1:14" ht="14.5" x14ac:dyDescent="0.35">
      <c r="A653" s="260" t="s">
        <v>563</v>
      </c>
      <c r="B653" s="190">
        <v>45873</v>
      </c>
      <c r="C653" s="260" t="s">
        <v>752</v>
      </c>
      <c r="D653" s="197">
        <v>50</v>
      </c>
      <c r="E653" s="197">
        <v>10010</v>
      </c>
      <c r="F653" s="197">
        <v>179.1</v>
      </c>
      <c r="G653" s="190">
        <v>45873</v>
      </c>
      <c r="H653" s="196">
        <v>0</v>
      </c>
      <c r="I653" s="197">
        <v>8955</v>
      </c>
      <c r="J653" s="197">
        <v>8955</v>
      </c>
      <c r="K653" s="197">
        <v>0</v>
      </c>
      <c r="L653" s="197">
        <v>-1055</v>
      </c>
      <c r="M653" s="260" t="s">
        <v>239</v>
      </c>
      <c r="N653" s="260" t="s">
        <v>514</v>
      </c>
    </row>
    <row r="654" spans="1:14" ht="14.5" x14ac:dyDescent="0.35">
      <c r="A654" s="260" t="s">
        <v>563</v>
      </c>
      <c r="B654" s="190">
        <v>45873</v>
      </c>
      <c r="C654" s="260" t="s">
        <v>754</v>
      </c>
      <c r="D654" s="197">
        <v>100</v>
      </c>
      <c r="E654" s="197">
        <v>8008</v>
      </c>
      <c r="F654" s="197">
        <v>77.900000000000006</v>
      </c>
      <c r="G654" s="190">
        <v>45873</v>
      </c>
      <c r="H654" s="196">
        <v>0</v>
      </c>
      <c r="I654" s="197">
        <v>7790.0000000000009</v>
      </c>
      <c r="J654" s="197">
        <v>7790.0000000000009</v>
      </c>
      <c r="K654" s="197">
        <v>0</v>
      </c>
      <c r="L654" s="197">
        <v>-217.99999999999909</v>
      </c>
      <c r="M654" s="260" t="s">
        <v>239</v>
      </c>
      <c r="N654" s="260" t="s">
        <v>514</v>
      </c>
    </row>
    <row r="655" spans="1:14" ht="14.5" x14ac:dyDescent="0.35">
      <c r="A655" s="260" t="s">
        <v>563</v>
      </c>
      <c r="B655" s="190">
        <v>45874</v>
      </c>
      <c r="C655" s="260" t="s">
        <v>749</v>
      </c>
      <c r="D655" s="197">
        <v>220</v>
      </c>
      <c r="E655" s="197">
        <v>10937.666666666666</v>
      </c>
      <c r="F655" s="197">
        <v>51.6</v>
      </c>
      <c r="G655" s="190">
        <v>45874</v>
      </c>
      <c r="H655" s="196">
        <v>0</v>
      </c>
      <c r="I655" s="197">
        <v>11352</v>
      </c>
      <c r="J655" s="197">
        <v>11352</v>
      </c>
      <c r="K655" s="197">
        <v>0</v>
      </c>
      <c r="L655" s="197">
        <v>414.33333333333394</v>
      </c>
      <c r="M655" s="260" t="s">
        <v>239</v>
      </c>
      <c r="N655" s="260" t="s">
        <v>514</v>
      </c>
    </row>
    <row r="656" spans="1:14" ht="14.5" x14ac:dyDescent="0.35">
      <c r="A656" s="260" t="s">
        <v>563</v>
      </c>
      <c r="B656" s="190">
        <v>45874</v>
      </c>
      <c r="C656" s="260" t="s">
        <v>752</v>
      </c>
      <c r="D656" s="197">
        <v>50</v>
      </c>
      <c r="E656" s="197">
        <v>10010</v>
      </c>
      <c r="F656" s="197">
        <v>179.47</v>
      </c>
      <c r="G656" s="190">
        <v>45874</v>
      </c>
      <c r="H656" s="196">
        <v>0</v>
      </c>
      <c r="I656" s="197">
        <v>8973.5</v>
      </c>
      <c r="J656" s="197">
        <v>8973.5</v>
      </c>
      <c r="K656" s="197">
        <v>0</v>
      </c>
      <c r="L656" s="197">
        <v>-1036.5</v>
      </c>
      <c r="M656" s="260" t="s">
        <v>239</v>
      </c>
      <c r="N656" s="260" t="s">
        <v>514</v>
      </c>
    </row>
    <row r="657" spans="1:14" ht="14.5" x14ac:dyDescent="0.35">
      <c r="A657" s="260" t="s">
        <v>563</v>
      </c>
      <c r="B657" s="190">
        <v>45874</v>
      </c>
      <c r="C657" s="260" t="s">
        <v>754</v>
      </c>
      <c r="D657" s="197">
        <v>100</v>
      </c>
      <c r="E657" s="197">
        <v>8008</v>
      </c>
      <c r="F657" s="197">
        <v>78.2</v>
      </c>
      <c r="G657" s="190">
        <v>45874</v>
      </c>
      <c r="H657" s="196">
        <v>0</v>
      </c>
      <c r="I657" s="197">
        <v>7820</v>
      </c>
      <c r="J657" s="197">
        <v>7820</v>
      </c>
      <c r="K657" s="197">
        <v>0</v>
      </c>
      <c r="L657" s="197">
        <v>-188</v>
      </c>
      <c r="M657" s="260" t="s">
        <v>239</v>
      </c>
      <c r="N657" s="260" t="s">
        <v>514</v>
      </c>
    </row>
    <row r="658" spans="1:14" ht="14.5" x14ac:dyDescent="0.35">
      <c r="A658" s="260" t="s">
        <v>563</v>
      </c>
      <c r="B658" s="190">
        <v>45875</v>
      </c>
      <c r="C658" s="260" t="s">
        <v>749</v>
      </c>
      <c r="D658" s="197">
        <v>220</v>
      </c>
      <c r="E658" s="197">
        <v>10937.666666666666</v>
      </c>
      <c r="F658" s="197">
        <v>51.5</v>
      </c>
      <c r="G658" s="190">
        <v>45875</v>
      </c>
      <c r="H658" s="196">
        <v>0</v>
      </c>
      <c r="I658" s="197">
        <v>11330</v>
      </c>
      <c r="J658" s="197">
        <v>11330</v>
      </c>
      <c r="K658" s="197">
        <v>0</v>
      </c>
      <c r="L658" s="197">
        <v>392.33333333333394</v>
      </c>
      <c r="M658" s="260" t="s">
        <v>239</v>
      </c>
      <c r="N658" s="260" t="s">
        <v>514</v>
      </c>
    </row>
    <row r="659" spans="1:14" ht="14.5" x14ac:dyDescent="0.35">
      <c r="A659" s="260" t="s">
        <v>563</v>
      </c>
      <c r="B659" s="190">
        <v>45875</v>
      </c>
      <c r="C659" s="260" t="s">
        <v>752</v>
      </c>
      <c r="D659" s="197">
        <v>50</v>
      </c>
      <c r="E659" s="197">
        <v>10010</v>
      </c>
      <c r="F659" s="197">
        <v>179.83</v>
      </c>
      <c r="G659" s="190">
        <v>45875</v>
      </c>
      <c r="H659" s="196">
        <v>0</v>
      </c>
      <c r="I659" s="197">
        <v>8991.5</v>
      </c>
      <c r="J659" s="197">
        <v>8991.5</v>
      </c>
      <c r="K659" s="197">
        <v>0</v>
      </c>
      <c r="L659" s="197">
        <v>-1018.5</v>
      </c>
      <c r="M659" s="260" t="s">
        <v>239</v>
      </c>
      <c r="N659" s="260" t="s">
        <v>514</v>
      </c>
    </row>
    <row r="660" spans="1:14" ht="14.5" x14ac:dyDescent="0.35">
      <c r="A660" s="260" t="s">
        <v>563</v>
      </c>
      <c r="B660" s="190">
        <v>45875</v>
      </c>
      <c r="C660" s="260" t="s">
        <v>754</v>
      </c>
      <c r="D660" s="197">
        <v>100</v>
      </c>
      <c r="E660" s="197">
        <v>8008</v>
      </c>
      <c r="F660" s="197">
        <v>78.5</v>
      </c>
      <c r="G660" s="190">
        <v>45875</v>
      </c>
      <c r="H660" s="196">
        <v>0</v>
      </c>
      <c r="I660" s="197">
        <v>7850</v>
      </c>
      <c r="J660" s="197">
        <v>7850</v>
      </c>
      <c r="K660" s="197">
        <v>0</v>
      </c>
      <c r="L660" s="197">
        <v>-158</v>
      </c>
      <c r="M660" s="260" t="s">
        <v>239</v>
      </c>
      <c r="N660" s="260" t="s">
        <v>514</v>
      </c>
    </row>
    <row r="661" spans="1:14" ht="14.5" x14ac:dyDescent="0.35">
      <c r="A661" s="260" t="s">
        <v>563</v>
      </c>
      <c r="B661" s="190">
        <v>45876</v>
      </c>
      <c r="C661" s="260" t="s">
        <v>749</v>
      </c>
      <c r="D661" s="197">
        <v>220</v>
      </c>
      <c r="E661" s="197">
        <v>10937.666666666666</v>
      </c>
      <c r="F661" s="197">
        <v>51.4</v>
      </c>
      <c r="G661" s="190">
        <v>45876</v>
      </c>
      <c r="H661" s="196">
        <v>0</v>
      </c>
      <c r="I661" s="197">
        <v>11308</v>
      </c>
      <c r="J661" s="197">
        <v>11308</v>
      </c>
      <c r="K661" s="197">
        <v>0</v>
      </c>
      <c r="L661" s="197">
        <v>370.33333333333394</v>
      </c>
      <c r="M661" s="260" t="s">
        <v>239</v>
      </c>
      <c r="N661" s="260" t="s">
        <v>514</v>
      </c>
    </row>
    <row r="662" spans="1:14" ht="14.5" x14ac:dyDescent="0.35">
      <c r="A662" s="260" t="s">
        <v>563</v>
      </c>
      <c r="B662" s="190">
        <v>45876</v>
      </c>
      <c r="C662" s="260" t="s">
        <v>752</v>
      </c>
      <c r="D662" s="197">
        <v>50</v>
      </c>
      <c r="E662" s="197">
        <v>10010</v>
      </c>
      <c r="F662" s="197">
        <v>180.2</v>
      </c>
      <c r="G662" s="190">
        <v>45876</v>
      </c>
      <c r="H662" s="196">
        <v>0</v>
      </c>
      <c r="I662" s="197">
        <v>9010</v>
      </c>
      <c r="J662" s="197">
        <v>9010</v>
      </c>
      <c r="K662" s="197">
        <v>0</v>
      </c>
      <c r="L662" s="197">
        <v>-1000</v>
      </c>
      <c r="M662" s="260" t="s">
        <v>239</v>
      </c>
      <c r="N662" s="260" t="s">
        <v>514</v>
      </c>
    </row>
    <row r="663" spans="1:14" ht="14.5" x14ac:dyDescent="0.35">
      <c r="A663" s="260" t="s">
        <v>563</v>
      </c>
      <c r="B663" s="190">
        <v>45876</v>
      </c>
      <c r="C663" s="260" t="s">
        <v>754</v>
      </c>
      <c r="D663" s="197">
        <v>100</v>
      </c>
      <c r="E663" s="197">
        <v>8008</v>
      </c>
      <c r="F663" s="197">
        <v>78.8</v>
      </c>
      <c r="G663" s="190">
        <v>45876</v>
      </c>
      <c r="H663" s="196">
        <v>0</v>
      </c>
      <c r="I663" s="197">
        <v>7880</v>
      </c>
      <c r="J663" s="197">
        <v>7880</v>
      </c>
      <c r="K663" s="197">
        <v>0</v>
      </c>
      <c r="L663" s="197">
        <v>-128</v>
      </c>
      <c r="M663" s="260" t="s">
        <v>239</v>
      </c>
      <c r="N663" s="260" t="s">
        <v>514</v>
      </c>
    </row>
    <row r="664" spans="1:14" ht="14.5" x14ac:dyDescent="0.35">
      <c r="A664" s="260" t="s">
        <v>563</v>
      </c>
      <c r="B664" s="190">
        <v>45877</v>
      </c>
      <c r="C664" s="260" t="s">
        <v>749</v>
      </c>
      <c r="D664" s="197">
        <v>220</v>
      </c>
      <c r="E664" s="197">
        <v>10937.666666666666</v>
      </c>
      <c r="F664" s="197">
        <v>51.3</v>
      </c>
      <c r="G664" s="190">
        <v>45877</v>
      </c>
      <c r="H664" s="196">
        <v>0</v>
      </c>
      <c r="I664" s="197">
        <v>11286</v>
      </c>
      <c r="J664" s="197">
        <v>11286</v>
      </c>
      <c r="K664" s="197">
        <v>0</v>
      </c>
      <c r="L664" s="197">
        <v>348.33333333333394</v>
      </c>
      <c r="M664" s="260" t="s">
        <v>239</v>
      </c>
      <c r="N664" s="260" t="s">
        <v>514</v>
      </c>
    </row>
    <row r="665" spans="1:14" ht="14.5" x14ac:dyDescent="0.35">
      <c r="A665" s="260" t="s">
        <v>563</v>
      </c>
      <c r="B665" s="190">
        <v>45877</v>
      </c>
      <c r="C665" s="260" t="s">
        <v>752</v>
      </c>
      <c r="D665" s="197">
        <v>50</v>
      </c>
      <c r="E665" s="197">
        <v>10010</v>
      </c>
      <c r="F665" s="197">
        <v>180.57</v>
      </c>
      <c r="G665" s="190">
        <v>45877</v>
      </c>
      <c r="H665" s="196">
        <v>0</v>
      </c>
      <c r="I665" s="197">
        <v>9028.5</v>
      </c>
      <c r="J665" s="197">
        <v>9028.5</v>
      </c>
      <c r="K665" s="197">
        <v>0</v>
      </c>
      <c r="L665" s="197">
        <v>-981.5</v>
      </c>
      <c r="M665" s="260" t="s">
        <v>239</v>
      </c>
      <c r="N665" s="260" t="s">
        <v>514</v>
      </c>
    </row>
    <row r="666" spans="1:14" ht="14.5" x14ac:dyDescent="0.35">
      <c r="A666" s="260" t="s">
        <v>563</v>
      </c>
      <c r="B666" s="190">
        <v>45877</v>
      </c>
      <c r="C666" s="260" t="s">
        <v>754</v>
      </c>
      <c r="D666" s="197">
        <v>100</v>
      </c>
      <c r="E666" s="197">
        <v>8008</v>
      </c>
      <c r="F666" s="197">
        <v>79.099999999999994</v>
      </c>
      <c r="G666" s="190">
        <v>45877</v>
      </c>
      <c r="H666" s="196">
        <v>0</v>
      </c>
      <c r="I666" s="197">
        <v>7909.9999999999991</v>
      </c>
      <c r="J666" s="197">
        <v>7909.9999999999991</v>
      </c>
      <c r="K666" s="197">
        <v>0</v>
      </c>
      <c r="L666" s="197">
        <v>-98.000000000000909</v>
      </c>
      <c r="M666" s="260" t="s">
        <v>239</v>
      </c>
      <c r="N666" s="260" t="s">
        <v>514</v>
      </c>
    </row>
    <row r="667" spans="1:14" ht="14.5" x14ac:dyDescent="0.35">
      <c r="A667" s="260" t="s">
        <v>563</v>
      </c>
      <c r="B667" s="190">
        <v>45878</v>
      </c>
      <c r="C667" s="260" t="s">
        <v>749</v>
      </c>
      <c r="D667" s="197">
        <v>220</v>
      </c>
      <c r="E667" s="197">
        <v>10937.666666666666</v>
      </c>
      <c r="F667" s="197">
        <v>51.3</v>
      </c>
      <c r="G667" s="190">
        <v>45877</v>
      </c>
      <c r="H667" s="196">
        <v>1</v>
      </c>
      <c r="I667" s="197">
        <v>11286</v>
      </c>
      <c r="J667" s="197">
        <v>11286</v>
      </c>
      <c r="K667" s="197">
        <v>0</v>
      </c>
      <c r="L667" s="197">
        <v>348.33333333333394</v>
      </c>
      <c r="M667" s="260" t="s">
        <v>239</v>
      </c>
      <c r="N667" s="260" t="s">
        <v>514</v>
      </c>
    </row>
    <row r="668" spans="1:14" ht="14.5" x14ac:dyDescent="0.35">
      <c r="A668" s="260" t="s">
        <v>563</v>
      </c>
      <c r="B668" s="190">
        <v>45878</v>
      </c>
      <c r="C668" s="260" t="s">
        <v>752</v>
      </c>
      <c r="D668" s="197">
        <v>50</v>
      </c>
      <c r="E668" s="197">
        <v>10010</v>
      </c>
      <c r="F668" s="197">
        <v>180.57</v>
      </c>
      <c r="G668" s="190">
        <v>45877</v>
      </c>
      <c r="H668" s="196">
        <v>1</v>
      </c>
      <c r="I668" s="197">
        <v>9028.5</v>
      </c>
      <c r="J668" s="197">
        <v>9028.5</v>
      </c>
      <c r="K668" s="197">
        <v>0</v>
      </c>
      <c r="L668" s="197">
        <v>-981.5</v>
      </c>
      <c r="M668" s="260" t="s">
        <v>239</v>
      </c>
      <c r="N668" s="260" t="s">
        <v>514</v>
      </c>
    </row>
    <row r="669" spans="1:14" ht="14.5" x14ac:dyDescent="0.35">
      <c r="A669" s="260" t="s">
        <v>563</v>
      </c>
      <c r="B669" s="190">
        <v>45878</v>
      </c>
      <c r="C669" s="260" t="s">
        <v>754</v>
      </c>
      <c r="D669" s="197">
        <v>100</v>
      </c>
      <c r="E669" s="197">
        <v>8008</v>
      </c>
      <c r="F669" s="197">
        <v>79.099999999999994</v>
      </c>
      <c r="G669" s="190">
        <v>45877</v>
      </c>
      <c r="H669" s="196">
        <v>1</v>
      </c>
      <c r="I669" s="197">
        <v>7909.9999999999991</v>
      </c>
      <c r="J669" s="197">
        <v>7909.9999999999991</v>
      </c>
      <c r="K669" s="197">
        <v>0</v>
      </c>
      <c r="L669" s="197">
        <v>-98.000000000000909</v>
      </c>
      <c r="M669" s="260" t="s">
        <v>239</v>
      </c>
      <c r="N669" s="260" t="s">
        <v>514</v>
      </c>
    </row>
    <row r="670" spans="1:14" ht="14.5" x14ac:dyDescent="0.35">
      <c r="A670" s="260" t="s">
        <v>563</v>
      </c>
      <c r="B670" s="190">
        <v>45879</v>
      </c>
      <c r="C670" s="260" t="s">
        <v>749</v>
      </c>
      <c r="D670" s="197">
        <v>220</v>
      </c>
      <c r="E670" s="197">
        <v>10937.666666666666</v>
      </c>
      <c r="F670" s="197">
        <v>51.3</v>
      </c>
      <c r="G670" s="190">
        <v>45877</v>
      </c>
      <c r="H670" s="196">
        <v>2</v>
      </c>
      <c r="I670" s="197">
        <v>11286</v>
      </c>
      <c r="J670" s="197">
        <v>11286</v>
      </c>
      <c r="K670" s="197">
        <v>0</v>
      </c>
      <c r="L670" s="197">
        <v>348.33333333333394</v>
      </c>
      <c r="M670" s="260" t="s">
        <v>239</v>
      </c>
      <c r="N670" s="260" t="s">
        <v>514</v>
      </c>
    </row>
    <row r="671" spans="1:14" ht="14.5" x14ac:dyDescent="0.35">
      <c r="A671" s="260" t="s">
        <v>563</v>
      </c>
      <c r="B671" s="190">
        <v>45879</v>
      </c>
      <c r="C671" s="260" t="s">
        <v>752</v>
      </c>
      <c r="D671" s="197">
        <v>50</v>
      </c>
      <c r="E671" s="197">
        <v>10010</v>
      </c>
      <c r="F671" s="197">
        <v>180.57</v>
      </c>
      <c r="G671" s="190">
        <v>45877</v>
      </c>
      <c r="H671" s="196">
        <v>2</v>
      </c>
      <c r="I671" s="197">
        <v>9028.5</v>
      </c>
      <c r="J671" s="197">
        <v>9028.5</v>
      </c>
      <c r="K671" s="197">
        <v>0</v>
      </c>
      <c r="L671" s="197">
        <v>-981.5</v>
      </c>
      <c r="M671" s="260" t="s">
        <v>239</v>
      </c>
      <c r="N671" s="260" t="s">
        <v>514</v>
      </c>
    </row>
    <row r="672" spans="1:14" ht="14.5" x14ac:dyDescent="0.35">
      <c r="A672" s="260" t="s">
        <v>563</v>
      </c>
      <c r="B672" s="190">
        <v>45879</v>
      </c>
      <c r="C672" s="260" t="s">
        <v>754</v>
      </c>
      <c r="D672" s="197">
        <v>100</v>
      </c>
      <c r="E672" s="197">
        <v>8008</v>
      </c>
      <c r="F672" s="197">
        <v>79.099999999999994</v>
      </c>
      <c r="G672" s="190">
        <v>45877</v>
      </c>
      <c r="H672" s="196">
        <v>2</v>
      </c>
      <c r="I672" s="197">
        <v>7909.9999999999991</v>
      </c>
      <c r="J672" s="197">
        <v>7909.9999999999991</v>
      </c>
      <c r="K672" s="197">
        <v>0</v>
      </c>
      <c r="L672" s="197">
        <v>-98.000000000000909</v>
      </c>
      <c r="M672" s="260" t="s">
        <v>239</v>
      </c>
      <c r="N672" s="260" t="s">
        <v>514</v>
      </c>
    </row>
    <row r="673" spans="1:14" ht="14.5" x14ac:dyDescent="0.35">
      <c r="A673" s="260" t="s">
        <v>563</v>
      </c>
      <c r="B673" s="190">
        <v>45880</v>
      </c>
      <c r="C673" s="260" t="s">
        <v>749</v>
      </c>
      <c r="D673" s="197">
        <v>220</v>
      </c>
      <c r="E673" s="197">
        <v>10937.666666666666</v>
      </c>
      <c r="F673" s="197">
        <v>51</v>
      </c>
      <c r="G673" s="190">
        <v>45880</v>
      </c>
      <c r="H673" s="196">
        <v>0</v>
      </c>
      <c r="I673" s="197">
        <v>11220</v>
      </c>
      <c r="J673" s="197">
        <v>11220</v>
      </c>
      <c r="K673" s="197">
        <v>0</v>
      </c>
      <c r="L673" s="197">
        <v>282.33333333333394</v>
      </c>
      <c r="M673" s="260" t="s">
        <v>239</v>
      </c>
      <c r="N673" s="260" t="s">
        <v>514</v>
      </c>
    </row>
    <row r="674" spans="1:14" ht="14.5" x14ac:dyDescent="0.35">
      <c r="A674" s="260" t="s">
        <v>563</v>
      </c>
      <c r="B674" s="190">
        <v>45880</v>
      </c>
      <c r="C674" s="260" t="s">
        <v>752</v>
      </c>
      <c r="D674" s="197">
        <v>50</v>
      </c>
      <c r="E674" s="197">
        <v>10010</v>
      </c>
      <c r="F674" s="197">
        <v>181.67</v>
      </c>
      <c r="G674" s="190">
        <v>45880</v>
      </c>
      <c r="H674" s="196">
        <v>0</v>
      </c>
      <c r="I674" s="197">
        <v>9083.5</v>
      </c>
      <c r="J674" s="197">
        <v>9083.5</v>
      </c>
      <c r="K674" s="197">
        <v>0</v>
      </c>
      <c r="L674" s="197">
        <v>-926.5</v>
      </c>
      <c r="M674" s="260" t="s">
        <v>239</v>
      </c>
      <c r="N674" s="260" t="s">
        <v>514</v>
      </c>
    </row>
    <row r="675" spans="1:14" ht="14.5" x14ac:dyDescent="0.35">
      <c r="A675" s="260" t="s">
        <v>563</v>
      </c>
      <c r="B675" s="190">
        <v>45880</v>
      </c>
      <c r="C675" s="260" t="s">
        <v>754</v>
      </c>
      <c r="D675" s="197">
        <v>100</v>
      </c>
      <c r="E675" s="197">
        <v>8008</v>
      </c>
      <c r="F675" s="197">
        <v>80</v>
      </c>
      <c r="G675" s="190">
        <v>45880</v>
      </c>
      <c r="H675" s="196">
        <v>0</v>
      </c>
      <c r="I675" s="197">
        <v>8000</v>
      </c>
      <c r="J675" s="197">
        <v>8000</v>
      </c>
      <c r="K675" s="197">
        <v>0</v>
      </c>
      <c r="L675" s="197">
        <v>-8</v>
      </c>
      <c r="M675" s="260" t="s">
        <v>239</v>
      </c>
      <c r="N675" s="260" t="s">
        <v>514</v>
      </c>
    </row>
    <row r="676" spans="1:14" ht="14.5" x14ac:dyDescent="0.35">
      <c r="A676" s="260" t="s">
        <v>563</v>
      </c>
      <c r="B676" s="190">
        <v>45881</v>
      </c>
      <c r="C676" s="260" t="s">
        <v>749</v>
      </c>
      <c r="D676" s="197">
        <v>220</v>
      </c>
      <c r="E676" s="197">
        <v>10937.666666666666</v>
      </c>
      <c r="F676" s="197">
        <v>50.9</v>
      </c>
      <c r="G676" s="190">
        <v>45881</v>
      </c>
      <c r="H676" s="196">
        <v>0</v>
      </c>
      <c r="I676" s="197">
        <v>11198</v>
      </c>
      <c r="J676" s="197">
        <v>11198</v>
      </c>
      <c r="K676" s="197">
        <v>0</v>
      </c>
      <c r="L676" s="197">
        <v>260.33333333333394</v>
      </c>
      <c r="M676" s="260" t="s">
        <v>239</v>
      </c>
      <c r="N676" s="260" t="s">
        <v>514</v>
      </c>
    </row>
    <row r="677" spans="1:14" ht="14.5" x14ac:dyDescent="0.35">
      <c r="A677" s="260" t="s">
        <v>563</v>
      </c>
      <c r="B677" s="190">
        <v>45881</v>
      </c>
      <c r="C677" s="260" t="s">
        <v>752</v>
      </c>
      <c r="D677" s="197">
        <v>50</v>
      </c>
      <c r="E677" s="197">
        <v>10010</v>
      </c>
      <c r="F677" s="197">
        <v>182.03</v>
      </c>
      <c r="G677" s="190">
        <v>45881</v>
      </c>
      <c r="H677" s="196">
        <v>0</v>
      </c>
      <c r="I677" s="197">
        <v>9101.5</v>
      </c>
      <c r="J677" s="197">
        <v>9101.5</v>
      </c>
      <c r="K677" s="197">
        <v>0</v>
      </c>
      <c r="L677" s="197">
        <v>-908.5</v>
      </c>
      <c r="M677" s="260" t="s">
        <v>239</v>
      </c>
      <c r="N677" s="260" t="s">
        <v>514</v>
      </c>
    </row>
    <row r="678" spans="1:14" ht="14.5" x14ac:dyDescent="0.35">
      <c r="A678" s="260" t="s">
        <v>563</v>
      </c>
      <c r="B678" s="190">
        <v>45881</v>
      </c>
      <c r="C678" s="260" t="s">
        <v>754</v>
      </c>
      <c r="D678" s="197">
        <v>100</v>
      </c>
      <c r="E678" s="197">
        <v>8008</v>
      </c>
      <c r="F678" s="197">
        <v>80.3</v>
      </c>
      <c r="G678" s="190">
        <v>45881</v>
      </c>
      <c r="H678" s="196">
        <v>0</v>
      </c>
      <c r="I678" s="197">
        <v>8030</v>
      </c>
      <c r="J678" s="197">
        <v>8030</v>
      </c>
      <c r="K678" s="197">
        <v>0</v>
      </c>
      <c r="L678" s="197">
        <v>22</v>
      </c>
      <c r="M678" s="260" t="s">
        <v>239</v>
      </c>
      <c r="N678" s="260" t="s">
        <v>514</v>
      </c>
    </row>
    <row r="679" spans="1:14" ht="14.5" x14ac:dyDescent="0.35">
      <c r="A679" s="260" t="s">
        <v>563</v>
      </c>
      <c r="B679" s="190">
        <v>45882</v>
      </c>
      <c r="C679" s="260" t="s">
        <v>749</v>
      </c>
      <c r="D679" s="197">
        <v>220</v>
      </c>
      <c r="E679" s="197">
        <v>10937.666666666666</v>
      </c>
      <c r="F679" s="197">
        <v>50.8</v>
      </c>
      <c r="G679" s="190">
        <v>45882</v>
      </c>
      <c r="H679" s="196">
        <v>0</v>
      </c>
      <c r="I679" s="197">
        <v>11176</v>
      </c>
      <c r="J679" s="197">
        <v>11176</v>
      </c>
      <c r="K679" s="197">
        <v>0</v>
      </c>
      <c r="L679" s="197">
        <v>238.33333333333394</v>
      </c>
      <c r="M679" s="260" t="s">
        <v>239</v>
      </c>
      <c r="N679" s="260" t="s">
        <v>514</v>
      </c>
    </row>
    <row r="680" spans="1:14" ht="14.5" x14ac:dyDescent="0.35">
      <c r="A680" s="260" t="s">
        <v>563</v>
      </c>
      <c r="B680" s="190">
        <v>45882</v>
      </c>
      <c r="C680" s="260" t="s">
        <v>752</v>
      </c>
      <c r="D680" s="197">
        <v>50</v>
      </c>
      <c r="E680" s="197">
        <v>10010</v>
      </c>
      <c r="F680" s="197">
        <v>182.4</v>
      </c>
      <c r="G680" s="190">
        <v>45882</v>
      </c>
      <c r="H680" s="196">
        <v>0</v>
      </c>
      <c r="I680" s="197">
        <v>9120</v>
      </c>
      <c r="J680" s="197">
        <v>9120</v>
      </c>
      <c r="K680" s="197">
        <v>0</v>
      </c>
      <c r="L680" s="197">
        <v>-890</v>
      </c>
      <c r="M680" s="260" t="s">
        <v>239</v>
      </c>
      <c r="N680" s="260" t="s">
        <v>514</v>
      </c>
    </row>
    <row r="681" spans="1:14" ht="14.5" x14ac:dyDescent="0.35">
      <c r="A681" s="260" t="s">
        <v>563</v>
      </c>
      <c r="B681" s="190">
        <v>45882</v>
      </c>
      <c r="C681" s="260" t="s">
        <v>754</v>
      </c>
      <c r="D681" s="197">
        <v>100</v>
      </c>
      <c r="E681" s="197">
        <v>8008</v>
      </c>
      <c r="F681" s="197">
        <v>80.599999999999994</v>
      </c>
      <c r="G681" s="190">
        <v>45882</v>
      </c>
      <c r="H681" s="196">
        <v>0</v>
      </c>
      <c r="I681" s="197">
        <v>8059.9999999999991</v>
      </c>
      <c r="J681" s="197">
        <v>8059.9999999999991</v>
      </c>
      <c r="K681" s="197">
        <v>0</v>
      </c>
      <c r="L681" s="197">
        <v>51.999999999999091</v>
      </c>
      <c r="M681" s="260" t="s">
        <v>239</v>
      </c>
      <c r="N681" s="260" t="s">
        <v>514</v>
      </c>
    </row>
    <row r="682" spans="1:14" ht="14.5" x14ac:dyDescent="0.35">
      <c r="A682" s="260" t="s">
        <v>563</v>
      </c>
      <c r="B682" s="190">
        <v>45883</v>
      </c>
      <c r="C682" s="260" t="s">
        <v>749</v>
      </c>
      <c r="D682" s="197">
        <v>220</v>
      </c>
      <c r="E682" s="197">
        <v>10937.666666666666</v>
      </c>
      <c r="F682" s="197">
        <v>50.7</v>
      </c>
      <c r="G682" s="190">
        <v>45883</v>
      </c>
      <c r="H682" s="196">
        <v>0</v>
      </c>
      <c r="I682" s="197">
        <v>11154</v>
      </c>
      <c r="J682" s="197">
        <v>11154</v>
      </c>
      <c r="K682" s="197">
        <v>0</v>
      </c>
      <c r="L682" s="197">
        <v>216.33333333333394</v>
      </c>
      <c r="M682" s="260" t="s">
        <v>239</v>
      </c>
      <c r="N682" s="260" t="s">
        <v>514</v>
      </c>
    </row>
    <row r="683" spans="1:14" ht="14.5" x14ac:dyDescent="0.35">
      <c r="A683" s="260" t="s">
        <v>563</v>
      </c>
      <c r="B683" s="190">
        <v>45883</v>
      </c>
      <c r="C683" s="260" t="s">
        <v>752</v>
      </c>
      <c r="D683" s="197">
        <v>50</v>
      </c>
      <c r="E683" s="197">
        <v>10010</v>
      </c>
      <c r="F683" s="197">
        <v>182.77</v>
      </c>
      <c r="G683" s="190">
        <v>45883</v>
      </c>
      <c r="H683" s="196">
        <v>0</v>
      </c>
      <c r="I683" s="197">
        <v>9138.5</v>
      </c>
      <c r="J683" s="197">
        <v>9138.5</v>
      </c>
      <c r="K683" s="197">
        <v>0</v>
      </c>
      <c r="L683" s="197">
        <v>-871.5</v>
      </c>
      <c r="M683" s="260" t="s">
        <v>239</v>
      </c>
      <c r="N683" s="260" t="s">
        <v>514</v>
      </c>
    </row>
    <row r="684" spans="1:14" ht="14.5" x14ac:dyDescent="0.35">
      <c r="A684" s="260" t="s">
        <v>563</v>
      </c>
      <c r="B684" s="190">
        <v>45883</v>
      </c>
      <c r="C684" s="260" t="s">
        <v>754</v>
      </c>
      <c r="D684" s="197">
        <v>100</v>
      </c>
      <c r="E684" s="197">
        <v>8008</v>
      </c>
      <c r="F684" s="197">
        <v>80.900000000000006</v>
      </c>
      <c r="G684" s="190">
        <v>45883</v>
      </c>
      <c r="H684" s="196">
        <v>0</v>
      </c>
      <c r="I684" s="197">
        <v>8090.0000000000009</v>
      </c>
      <c r="J684" s="197">
        <v>8090.0000000000009</v>
      </c>
      <c r="K684" s="197">
        <v>0</v>
      </c>
      <c r="L684" s="197">
        <v>82.000000000000909</v>
      </c>
      <c r="M684" s="260" t="s">
        <v>239</v>
      </c>
      <c r="N684" s="260" t="s">
        <v>514</v>
      </c>
    </row>
    <row r="685" spans="1:14" ht="14.5" x14ac:dyDescent="0.35">
      <c r="A685" s="260" t="s">
        <v>563</v>
      </c>
      <c r="B685" s="190">
        <v>45884</v>
      </c>
      <c r="C685" s="260" t="s">
        <v>749</v>
      </c>
      <c r="D685" s="197">
        <v>220</v>
      </c>
      <c r="E685" s="197">
        <v>10937.666666666666</v>
      </c>
      <c r="F685" s="197">
        <v>50.6</v>
      </c>
      <c r="G685" s="190">
        <v>45884</v>
      </c>
      <c r="H685" s="196">
        <v>0</v>
      </c>
      <c r="I685" s="197">
        <v>11132</v>
      </c>
      <c r="J685" s="197">
        <v>11132</v>
      </c>
      <c r="K685" s="197">
        <v>0</v>
      </c>
      <c r="L685" s="197">
        <v>194.33333333333394</v>
      </c>
      <c r="M685" s="260" t="s">
        <v>239</v>
      </c>
      <c r="N685" s="260" t="s">
        <v>514</v>
      </c>
    </row>
    <row r="686" spans="1:14" ht="14.5" x14ac:dyDescent="0.35">
      <c r="A686" s="260" t="s">
        <v>563</v>
      </c>
      <c r="B686" s="190">
        <v>45884</v>
      </c>
      <c r="C686" s="260" t="s">
        <v>752</v>
      </c>
      <c r="D686" s="197">
        <v>50</v>
      </c>
      <c r="E686" s="197">
        <v>10010</v>
      </c>
      <c r="F686" s="197">
        <v>183.13</v>
      </c>
      <c r="G686" s="190">
        <v>45884</v>
      </c>
      <c r="H686" s="196">
        <v>0</v>
      </c>
      <c r="I686" s="197">
        <v>9156.5</v>
      </c>
      <c r="J686" s="197">
        <v>9156.5</v>
      </c>
      <c r="K686" s="197">
        <v>0</v>
      </c>
      <c r="L686" s="197">
        <v>-853.5</v>
      </c>
      <c r="M686" s="260" t="s">
        <v>239</v>
      </c>
      <c r="N686" s="260" t="s">
        <v>514</v>
      </c>
    </row>
    <row r="687" spans="1:14" ht="14.5" x14ac:dyDescent="0.35">
      <c r="A687" s="260" t="s">
        <v>563</v>
      </c>
      <c r="B687" s="190">
        <v>45884</v>
      </c>
      <c r="C687" s="260" t="s">
        <v>754</v>
      </c>
      <c r="D687" s="197">
        <v>100</v>
      </c>
      <c r="E687" s="197">
        <v>8008</v>
      </c>
      <c r="F687" s="197">
        <v>81.2</v>
      </c>
      <c r="G687" s="190">
        <v>45884</v>
      </c>
      <c r="H687" s="196">
        <v>0</v>
      </c>
      <c r="I687" s="197">
        <v>8120</v>
      </c>
      <c r="J687" s="197">
        <v>8120</v>
      </c>
      <c r="K687" s="197">
        <v>0</v>
      </c>
      <c r="L687" s="197">
        <v>112</v>
      </c>
      <c r="M687" s="260" t="s">
        <v>239</v>
      </c>
      <c r="N687" s="260" t="s">
        <v>514</v>
      </c>
    </row>
    <row r="688" spans="1:14" ht="14.5" x14ac:dyDescent="0.35">
      <c r="A688" s="260" t="s">
        <v>563</v>
      </c>
      <c r="B688" s="190">
        <v>45885</v>
      </c>
      <c r="C688" s="260" t="s">
        <v>749</v>
      </c>
      <c r="D688" s="197">
        <v>220</v>
      </c>
      <c r="E688" s="197">
        <v>10937.666666666666</v>
      </c>
      <c r="F688" s="197">
        <v>50.6</v>
      </c>
      <c r="G688" s="190">
        <v>45884</v>
      </c>
      <c r="H688" s="196">
        <v>1</v>
      </c>
      <c r="I688" s="197">
        <v>11132</v>
      </c>
      <c r="J688" s="197">
        <v>11132</v>
      </c>
      <c r="K688" s="197">
        <v>0</v>
      </c>
      <c r="L688" s="197">
        <v>194.33333333333394</v>
      </c>
      <c r="M688" s="260" t="s">
        <v>239</v>
      </c>
      <c r="N688" s="260" t="s">
        <v>514</v>
      </c>
    </row>
    <row r="689" spans="1:14" ht="14.5" x14ac:dyDescent="0.35">
      <c r="A689" s="260" t="s">
        <v>563</v>
      </c>
      <c r="B689" s="190">
        <v>45885</v>
      </c>
      <c r="C689" s="260" t="s">
        <v>752</v>
      </c>
      <c r="D689" s="197">
        <v>50</v>
      </c>
      <c r="E689" s="197">
        <v>10010</v>
      </c>
      <c r="F689" s="197">
        <v>183.13</v>
      </c>
      <c r="G689" s="190">
        <v>45884</v>
      </c>
      <c r="H689" s="196">
        <v>1</v>
      </c>
      <c r="I689" s="197">
        <v>9156.5</v>
      </c>
      <c r="J689" s="197">
        <v>9156.5</v>
      </c>
      <c r="K689" s="197">
        <v>0</v>
      </c>
      <c r="L689" s="197">
        <v>-853.5</v>
      </c>
      <c r="M689" s="260" t="s">
        <v>239</v>
      </c>
      <c r="N689" s="260" t="s">
        <v>514</v>
      </c>
    </row>
    <row r="690" spans="1:14" ht="14.5" x14ac:dyDescent="0.35">
      <c r="A690" s="260" t="s">
        <v>563</v>
      </c>
      <c r="B690" s="190">
        <v>45885</v>
      </c>
      <c r="C690" s="260" t="s">
        <v>754</v>
      </c>
      <c r="D690" s="197">
        <v>100</v>
      </c>
      <c r="E690" s="197">
        <v>8008</v>
      </c>
      <c r="F690" s="197">
        <v>81.2</v>
      </c>
      <c r="G690" s="190">
        <v>45884</v>
      </c>
      <c r="H690" s="196">
        <v>1</v>
      </c>
      <c r="I690" s="197">
        <v>8120</v>
      </c>
      <c r="J690" s="197">
        <v>8120</v>
      </c>
      <c r="K690" s="197">
        <v>0</v>
      </c>
      <c r="L690" s="197">
        <v>112</v>
      </c>
      <c r="M690" s="260" t="s">
        <v>239</v>
      </c>
      <c r="N690" s="260" t="s">
        <v>514</v>
      </c>
    </row>
    <row r="691" spans="1:14" ht="14.5" x14ac:dyDescent="0.35">
      <c r="A691" s="260" t="s">
        <v>563</v>
      </c>
      <c r="B691" s="190">
        <v>45886</v>
      </c>
      <c r="C691" s="260" t="s">
        <v>749</v>
      </c>
      <c r="D691" s="197">
        <v>220</v>
      </c>
      <c r="E691" s="197">
        <v>10937.666666666666</v>
      </c>
      <c r="F691" s="197">
        <v>50.6</v>
      </c>
      <c r="G691" s="190">
        <v>45884</v>
      </c>
      <c r="H691" s="196">
        <v>2</v>
      </c>
      <c r="I691" s="197">
        <v>11132</v>
      </c>
      <c r="J691" s="197">
        <v>11132</v>
      </c>
      <c r="K691" s="197">
        <v>0</v>
      </c>
      <c r="L691" s="197">
        <v>194.33333333333394</v>
      </c>
      <c r="M691" s="260" t="s">
        <v>239</v>
      </c>
      <c r="N691" s="260" t="s">
        <v>514</v>
      </c>
    </row>
    <row r="692" spans="1:14" ht="14.5" x14ac:dyDescent="0.35">
      <c r="A692" s="260" t="s">
        <v>563</v>
      </c>
      <c r="B692" s="190">
        <v>45886</v>
      </c>
      <c r="C692" s="260" t="s">
        <v>752</v>
      </c>
      <c r="D692" s="197">
        <v>50</v>
      </c>
      <c r="E692" s="197">
        <v>10010</v>
      </c>
      <c r="F692" s="197">
        <v>183.13</v>
      </c>
      <c r="G692" s="190">
        <v>45884</v>
      </c>
      <c r="H692" s="196">
        <v>2</v>
      </c>
      <c r="I692" s="197">
        <v>9156.5</v>
      </c>
      <c r="J692" s="197">
        <v>9156.5</v>
      </c>
      <c r="K692" s="197">
        <v>0</v>
      </c>
      <c r="L692" s="197">
        <v>-853.5</v>
      </c>
      <c r="M692" s="260" t="s">
        <v>239</v>
      </c>
      <c r="N692" s="260" t="s">
        <v>514</v>
      </c>
    </row>
    <row r="693" spans="1:14" ht="14.5" x14ac:dyDescent="0.35">
      <c r="A693" s="260" t="s">
        <v>563</v>
      </c>
      <c r="B693" s="190">
        <v>45886</v>
      </c>
      <c r="C693" s="260" t="s">
        <v>754</v>
      </c>
      <c r="D693" s="197">
        <v>100</v>
      </c>
      <c r="E693" s="197">
        <v>8008</v>
      </c>
      <c r="F693" s="197">
        <v>81.2</v>
      </c>
      <c r="G693" s="190">
        <v>45884</v>
      </c>
      <c r="H693" s="196">
        <v>2</v>
      </c>
      <c r="I693" s="197">
        <v>8120</v>
      </c>
      <c r="J693" s="197">
        <v>8120</v>
      </c>
      <c r="K693" s="197">
        <v>0</v>
      </c>
      <c r="L693" s="197">
        <v>112</v>
      </c>
      <c r="M693" s="260" t="s">
        <v>239</v>
      </c>
      <c r="N693" s="260" t="s">
        <v>514</v>
      </c>
    </row>
    <row r="694" spans="1:14" ht="14.5" x14ac:dyDescent="0.35">
      <c r="A694" s="260" t="s">
        <v>563</v>
      </c>
      <c r="B694" s="190">
        <v>45887</v>
      </c>
      <c r="C694" s="260" t="s">
        <v>749</v>
      </c>
      <c r="D694" s="197">
        <v>220</v>
      </c>
      <c r="E694" s="197">
        <v>10937.666666666666</v>
      </c>
      <c r="F694" s="197">
        <v>50.3</v>
      </c>
      <c r="G694" s="190">
        <v>45887</v>
      </c>
      <c r="H694" s="196">
        <v>0</v>
      </c>
      <c r="I694" s="197">
        <v>11066</v>
      </c>
      <c r="J694" s="197">
        <v>11066</v>
      </c>
      <c r="K694" s="197">
        <v>0</v>
      </c>
      <c r="L694" s="197">
        <v>128.33333333333394</v>
      </c>
      <c r="M694" s="260" t="s">
        <v>239</v>
      </c>
      <c r="N694" s="260" t="s">
        <v>514</v>
      </c>
    </row>
    <row r="695" spans="1:14" ht="14.5" x14ac:dyDescent="0.35">
      <c r="A695" s="260" t="s">
        <v>563</v>
      </c>
      <c r="B695" s="190">
        <v>45887</v>
      </c>
      <c r="C695" s="260" t="s">
        <v>752</v>
      </c>
      <c r="D695" s="197">
        <v>50</v>
      </c>
      <c r="E695" s="197">
        <v>10010</v>
      </c>
      <c r="F695" s="197">
        <v>184.23</v>
      </c>
      <c r="G695" s="190">
        <v>45887</v>
      </c>
      <c r="H695" s="196">
        <v>0</v>
      </c>
      <c r="I695" s="197">
        <v>9211.5</v>
      </c>
      <c r="J695" s="197">
        <v>9211.5</v>
      </c>
      <c r="K695" s="197">
        <v>0</v>
      </c>
      <c r="L695" s="197">
        <v>-798.5</v>
      </c>
      <c r="M695" s="260" t="s">
        <v>239</v>
      </c>
      <c r="N695" s="260" t="s">
        <v>514</v>
      </c>
    </row>
    <row r="696" spans="1:14" ht="14.5" x14ac:dyDescent="0.35">
      <c r="A696" s="260" t="s">
        <v>563</v>
      </c>
      <c r="B696" s="190">
        <v>45887</v>
      </c>
      <c r="C696" s="260" t="s">
        <v>754</v>
      </c>
      <c r="D696" s="197">
        <v>100</v>
      </c>
      <c r="E696" s="197">
        <v>8008</v>
      </c>
      <c r="F696" s="197">
        <v>82.1</v>
      </c>
      <c r="G696" s="190">
        <v>45887</v>
      </c>
      <c r="H696" s="196">
        <v>0</v>
      </c>
      <c r="I696" s="197">
        <v>8210</v>
      </c>
      <c r="J696" s="197">
        <v>8210</v>
      </c>
      <c r="K696" s="197">
        <v>0</v>
      </c>
      <c r="L696" s="197">
        <v>202</v>
      </c>
      <c r="M696" s="260" t="s">
        <v>239</v>
      </c>
      <c r="N696" s="260" t="s">
        <v>514</v>
      </c>
    </row>
    <row r="697" spans="1:14" ht="14.5" x14ac:dyDescent="0.35">
      <c r="A697" s="260" t="s">
        <v>563</v>
      </c>
      <c r="B697" s="190">
        <v>45888</v>
      </c>
      <c r="C697" s="260" t="s">
        <v>749</v>
      </c>
      <c r="D697" s="197">
        <v>220</v>
      </c>
      <c r="E697" s="197">
        <v>10937.666666666666</v>
      </c>
      <c r="F697" s="197">
        <v>50.2</v>
      </c>
      <c r="G697" s="190">
        <v>45888</v>
      </c>
      <c r="H697" s="196">
        <v>0</v>
      </c>
      <c r="I697" s="197">
        <v>11044</v>
      </c>
      <c r="J697" s="197">
        <v>11044</v>
      </c>
      <c r="K697" s="197">
        <v>0</v>
      </c>
      <c r="L697" s="197">
        <v>106.33333333333394</v>
      </c>
      <c r="M697" s="260" t="s">
        <v>239</v>
      </c>
      <c r="N697" s="260" t="s">
        <v>514</v>
      </c>
    </row>
    <row r="698" spans="1:14" ht="14.5" x14ac:dyDescent="0.35">
      <c r="A698" s="260" t="s">
        <v>563</v>
      </c>
      <c r="B698" s="190">
        <v>45888</v>
      </c>
      <c r="C698" s="260" t="s">
        <v>752</v>
      </c>
      <c r="D698" s="197">
        <v>50</v>
      </c>
      <c r="E698" s="197">
        <v>10010</v>
      </c>
      <c r="F698" s="197">
        <v>184.6</v>
      </c>
      <c r="G698" s="190">
        <v>45888</v>
      </c>
      <c r="H698" s="196">
        <v>0</v>
      </c>
      <c r="I698" s="197">
        <v>9230</v>
      </c>
      <c r="J698" s="197">
        <v>9230</v>
      </c>
      <c r="K698" s="197">
        <v>0</v>
      </c>
      <c r="L698" s="197">
        <v>-780</v>
      </c>
      <c r="M698" s="260" t="s">
        <v>239</v>
      </c>
      <c r="N698" s="260" t="s">
        <v>514</v>
      </c>
    </row>
    <row r="699" spans="1:14" ht="14.5" x14ac:dyDescent="0.35">
      <c r="A699" s="260" t="s">
        <v>563</v>
      </c>
      <c r="B699" s="190">
        <v>45888</v>
      </c>
      <c r="C699" s="260" t="s">
        <v>754</v>
      </c>
      <c r="D699" s="197">
        <v>100</v>
      </c>
      <c r="E699" s="197">
        <v>8008</v>
      </c>
      <c r="F699" s="197">
        <v>82.4</v>
      </c>
      <c r="G699" s="190">
        <v>45888</v>
      </c>
      <c r="H699" s="196">
        <v>0</v>
      </c>
      <c r="I699" s="197">
        <v>8240</v>
      </c>
      <c r="J699" s="197">
        <v>8240</v>
      </c>
      <c r="K699" s="197">
        <v>0</v>
      </c>
      <c r="L699" s="197">
        <v>232</v>
      </c>
      <c r="M699" s="260" t="s">
        <v>239</v>
      </c>
      <c r="N699" s="260" t="s">
        <v>514</v>
      </c>
    </row>
    <row r="700" spans="1:14" ht="14.5" x14ac:dyDescent="0.35">
      <c r="A700" s="260" t="s">
        <v>563</v>
      </c>
      <c r="B700" s="190">
        <v>45889</v>
      </c>
      <c r="C700" s="260" t="s">
        <v>749</v>
      </c>
      <c r="D700" s="197">
        <v>220</v>
      </c>
      <c r="E700" s="197">
        <v>10937.666666666666</v>
      </c>
      <c r="F700" s="197">
        <v>50.1</v>
      </c>
      <c r="G700" s="190">
        <v>45889</v>
      </c>
      <c r="H700" s="196">
        <v>0</v>
      </c>
      <c r="I700" s="197">
        <v>11022</v>
      </c>
      <c r="J700" s="197">
        <v>11022</v>
      </c>
      <c r="K700" s="197">
        <v>0</v>
      </c>
      <c r="L700" s="197">
        <v>84.33333333333394</v>
      </c>
      <c r="M700" s="260" t="s">
        <v>239</v>
      </c>
      <c r="N700" s="260" t="s">
        <v>514</v>
      </c>
    </row>
    <row r="701" spans="1:14" ht="14.5" x14ac:dyDescent="0.35">
      <c r="A701" s="260" t="s">
        <v>563</v>
      </c>
      <c r="B701" s="190">
        <v>45889</v>
      </c>
      <c r="C701" s="260" t="s">
        <v>752</v>
      </c>
      <c r="D701" s="197">
        <v>50</v>
      </c>
      <c r="E701" s="197">
        <v>10010</v>
      </c>
      <c r="F701" s="197">
        <v>184.97</v>
      </c>
      <c r="G701" s="190">
        <v>45889</v>
      </c>
      <c r="H701" s="196">
        <v>0</v>
      </c>
      <c r="I701" s="197">
        <v>9248.5</v>
      </c>
      <c r="J701" s="197">
        <v>9248.5</v>
      </c>
      <c r="K701" s="197">
        <v>0</v>
      </c>
      <c r="L701" s="197">
        <v>-761.5</v>
      </c>
      <c r="M701" s="260" t="s">
        <v>239</v>
      </c>
      <c r="N701" s="260" t="s">
        <v>514</v>
      </c>
    </row>
    <row r="702" spans="1:14" ht="14.5" x14ac:dyDescent="0.35">
      <c r="A702" s="260" t="s">
        <v>563</v>
      </c>
      <c r="B702" s="190">
        <v>45889</v>
      </c>
      <c r="C702" s="260" t="s">
        <v>754</v>
      </c>
      <c r="D702" s="197">
        <v>100</v>
      </c>
      <c r="E702" s="197">
        <v>8008</v>
      </c>
      <c r="F702" s="197">
        <v>82.7</v>
      </c>
      <c r="G702" s="190">
        <v>45889</v>
      </c>
      <c r="H702" s="196">
        <v>0</v>
      </c>
      <c r="I702" s="197">
        <v>8270</v>
      </c>
      <c r="J702" s="197">
        <v>8270</v>
      </c>
      <c r="K702" s="197">
        <v>0</v>
      </c>
      <c r="L702" s="197">
        <v>262</v>
      </c>
      <c r="M702" s="260" t="s">
        <v>239</v>
      </c>
      <c r="N702" s="260" t="s">
        <v>514</v>
      </c>
    </row>
    <row r="703" spans="1:14" ht="14.5" x14ac:dyDescent="0.35">
      <c r="A703" s="260" t="s">
        <v>563</v>
      </c>
      <c r="B703" s="190">
        <v>45890</v>
      </c>
      <c r="C703" s="260" t="s">
        <v>749</v>
      </c>
      <c r="D703" s="197">
        <v>220</v>
      </c>
      <c r="E703" s="197">
        <v>10937.666666666666</v>
      </c>
      <c r="F703" s="197">
        <v>50</v>
      </c>
      <c r="G703" s="190">
        <v>45890</v>
      </c>
      <c r="H703" s="196">
        <v>0</v>
      </c>
      <c r="I703" s="197">
        <v>11000</v>
      </c>
      <c r="J703" s="197">
        <v>11000</v>
      </c>
      <c r="K703" s="197">
        <v>0</v>
      </c>
      <c r="L703" s="197">
        <v>62.33333333333394</v>
      </c>
      <c r="M703" s="260" t="s">
        <v>239</v>
      </c>
      <c r="N703" s="260" t="s">
        <v>514</v>
      </c>
    </row>
    <row r="704" spans="1:14" ht="14.5" x14ac:dyDescent="0.35">
      <c r="A704" s="260" t="s">
        <v>563</v>
      </c>
      <c r="B704" s="190">
        <v>45890</v>
      </c>
      <c r="C704" s="260" t="s">
        <v>752</v>
      </c>
      <c r="D704" s="197">
        <v>50</v>
      </c>
      <c r="E704" s="197">
        <v>10010</v>
      </c>
      <c r="F704" s="197">
        <v>185.33</v>
      </c>
      <c r="G704" s="190">
        <v>45890</v>
      </c>
      <c r="H704" s="196">
        <v>0</v>
      </c>
      <c r="I704" s="197">
        <v>9266.5</v>
      </c>
      <c r="J704" s="197">
        <v>9266.5</v>
      </c>
      <c r="K704" s="197">
        <v>0</v>
      </c>
      <c r="L704" s="197">
        <v>-743.5</v>
      </c>
      <c r="M704" s="260" t="s">
        <v>239</v>
      </c>
      <c r="N704" s="260" t="s">
        <v>514</v>
      </c>
    </row>
    <row r="705" spans="1:14" ht="14.5" x14ac:dyDescent="0.35">
      <c r="A705" s="260" t="s">
        <v>563</v>
      </c>
      <c r="B705" s="190">
        <v>45890</v>
      </c>
      <c r="C705" s="260" t="s">
        <v>754</v>
      </c>
      <c r="D705" s="197">
        <v>100</v>
      </c>
      <c r="E705" s="197">
        <v>8008</v>
      </c>
      <c r="F705" s="197">
        <v>83</v>
      </c>
      <c r="G705" s="190">
        <v>45890</v>
      </c>
      <c r="H705" s="196">
        <v>0</v>
      </c>
      <c r="I705" s="197">
        <v>8300</v>
      </c>
      <c r="J705" s="197">
        <v>8300</v>
      </c>
      <c r="K705" s="197">
        <v>0</v>
      </c>
      <c r="L705" s="197">
        <v>292</v>
      </c>
      <c r="M705" s="260" t="s">
        <v>239</v>
      </c>
      <c r="N705" s="260" t="s">
        <v>514</v>
      </c>
    </row>
    <row r="706" spans="1:14" ht="14.5" x14ac:dyDescent="0.35">
      <c r="A706" s="260" t="s">
        <v>563</v>
      </c>
      <c r="B706" s="190">
        <v>45891</v>
      </c>
      <c r="C706" s="260" t="s">
        <v>749</v>
      </c>
      <c r="D706" s="197">
        <v>220</v>
      </c>
      <c r="E706" s="197">
        <v>10937.666666666666</v>
      </c>
      <c r="F706" s="197">
        <v>49.9</v>
      </c>
      <c r="G706" s="190">
        <v>45891</v>
      </c>
      <c r="H706" s="196">
        <v>0</v>
      </c>
      <c r="I706" s="197">
        <v>10978</v>
      </c>
      <c r="J706" s="197">
        <v>10978</v>
      </c>
      <c r="K706" s="197">
        <v>0</v>
      </c>
      <c r="L706" s="197">
        <v>40.33333333333394</v>
      </c>
      <c r="M706" s="260" t="s">
        <v>239</v>
      </c>
      <c r="N706" s="260" t="s">
        <v>514</v>
      </c>
    </row>
    <row r="707" spans="1:14" ht="14.5" x14ac:dyDescent="0.35">
      <c r="A707" s="260" t="s">
        <v>563</v>
      </c>
      <c r="B707" s="190">
        <v>45891</v>
      </c>
      <c r="C707" s="260" t="s">
        <v>752</v>
      </c>
      <c r="D707" s="197">
        <v>50</v>
      </c>
      <c r="E707" s="197">
        <v>10010</v>
      </c>
      <c r="F707" s="197">
        <v>185.7</v>
      </c>
      <c r="G707" s="190">
        <v>45891</v>
      </c>
      <c r="H707" s="196">
        <v>0</v>
      </c>
      <c r="I707" s="197">
        <v>9285</v>
      </c>
      <c r="J707" s="197">
        <v>9285</v>
      </c>
      <c r="K707" s="197">
        <v>0</v>
      </c>
      <c r="L707" s="197">
        <v>-725</v>
      </c>
      <c r="M707" s="260" t="s">
        <v>239</v>
      </c>
      <c r="N707" s="260" t="s">
        <v>514</v>
      </c>
    </row>
    <row r="708" spans="1:14" ht="14.5" x14ac:dyDescent="0.35">
      <c r="A708" s="260" t="s">
        <v>563</v>
      </c>
      <c r="B708" s="190">
        <v>45891</v>
      </c>
      <c r="C708" s="260" t="s">
        <v>754</v>
      </c>
      <c r="D708" s="197">
        <v>100</v>
      </c>
      <c r="E708" s="197">
        <v>8008</v>
      </c>
      <c r="F708" s="197">
        <v>83.3</v>
      </c>
      <c r="G708" s="190">
        <v>45891</v>
      </c>
      <c r="H708" s="196">
        <v>0</v>
      </c>
      <c r="I708" s="197">
        <v>8330</v>
      </c>
      <c r="J708" s="197">
        <v>8330</v>
      </c>
      <c r="K708" s="197">
        <v>0</v>
      </c>
      <c r="L708" s="197">
        <v>322</v>
      </c>
      <c r="M708" s="260" t="s">
        <v>239</v>
      </c>
      <c r="N708" s="260" t="s">
        <v>514</v>
      </c>
    </row>
    <row r="709" spans="1:14" ht="14.5" x14ac:dyDescent="0.35">
      <c r="A709" s="260" t="s">
        <v>563</v>
      </c>
      <c r="B709" s="190">
        <v>45892</v>
      </c>
      <c r="C709" s="260" t="s">
        <v>749</v>
      </c>
      <c r="D709" s="197">
        <v>220</v>
      </c>
      <c r="E709" s="197">
        <v>10937.666666666666</v>
      </c>
      <c r="F709" s="197">
        <v>49.9</v>
      </c>
      <c r="G709" s="190">
        <v>45891</v>
      </c>
      <c r="H709" s="196">
        <v>1</v>
      </c>
      <c r="I709" s="197">
        <v>10978</v>
      </c>
      <c r="J709" s="197">
        <v>10978</v>
      </c>
      <c r="K709" s="197">
        <v>0</v>
      </c>
      <c r="L709" s="197">
        <v>40.33333333333394</v>
      </c>
      <c r="M709" s="260" t="s">
        <v>239</v>
      </c>
      <c r="N709" s="260" t="s">
        <v>514</v>
      </c>
    </row>
    <row r="710" spans="1:14" ht="14.5" x14ac:dyDescent="0.35">
      <c r="A710" s="260" t="s">
        <v>563</v>
      </c>
      <c r="B710" s="190">
        <v>45892</v>
      </c>
      <c r="C710" s="260" t="s">
        <v>752</v>
      </c>
      <c r="D710" s="197">
        <v>50</v>
      </c>
      <c r="E710" s="197">
        <v>10010</v>
      </c>
      <c r="F710" s="197">
        <v>185.7</v>
      </c>
      <c r="G710" s="190">
        <v>45891</v>
      </c>
      <c r="H710" s="196">
        <v>1</v>
      </c>
      <c r="I710" s="197">
        <v>9285</v>
      </c>
      <c r="J710" s="197">
        <v>9285</v>
      </c>
      <c r="K710" s="197">
        <v>0</v>
      </c>
      <c r="L710" s="197">
        <v>-725</v>
      </c>
      <c r="M710" s="260" t="s">
        <v>239</v>
      </c>
      <c r="N710" s="260" t="s">
        <v>514</v>
      </c>
    </row>
    <row r="711" spans="1:14" ht="14.5" x14ac:dyDescent="0.35">
      <c r="A711" s="260" t="s">
        <v>563</v>
      </c>
      <c r="B711" s="190">
        <v>45892</v>
      </c>
      <c r="C711" s="260" t="s">
        <v>754</v>
      </c>
      <c r="D711" s="197">
        <v>100</v>
      </c>
      <c r="E711" s="197">
        <v>8008</v>
      </c>
      <c r="F711" s="197">
        <v>83.3</v>
      </c>
      <c r="G711" s="190">
        <v>45891</v>
      </c>
      <c r="H711" s="196">
        <v>1</v>
      </c>
      <c r="I711" s="197">
        <v>8330</v>
      </c>
      <c r="J711" s="197">
        <v>8330</v>
      </c>
      <c r="K711" s="197">
        <v>0</v>
      </c>
      <c r="L711" s="197">
        <v>322</v>
      </c>
      <c r="M711" s="260" t="s">
        <v>239</v>
      </c>
      <c r="N711" s="260" t="s">
        <v>514</v>
      </c>
    </row>
    <row r="712" spans="1:14" ht="14.5" x14ac:dyDescent="0.35">
      <c r="A712" s="260" t="s">
        <v>563</v>
      </c>
      <c r="B712" s="190">
        <v>45893</v>
      </c>
      <c r="C712" s="260" t="s">
        <v>749</v>
      </c>
      <c r="D712" s="197">
        <v>220</v>
      </c>
      <c r="E712" s="197">
        <v>10937.666666666666</v>
      </c>
      <c r="F712" s="197">
        <v>49.9</v>
      </c>
      <c r="G712" s="190">
        <v>45891</v>
      </c>
      <c r="H712" s="196">
        <v>2</v>
      </c>
      <c r="I712" s="197">
        <v>10978</v>
      </c>
      <c r="J712" s="197">
        <v>10978</v>
      </c>
      <c r="K712" s="197">
        <v>0</v>
      </c>
      <c r="L712" s="197">
        <v>40.33333333333394</v>
      </c>
      <c r="M712" s="260" t="s">
        <v>239</v>
      </c>
      <c r="N712" s="260" t="s">
        <v>514</v>
      </c>
    </row>
    <row r="713" spans="1:14" ht="14.5" x14ac:dyDescent="0.35">
      <c r="A713" s="260" t="s">
        <v>563</v>
      </c>
      <c r="B713" s="190">
        <v>45893</v>
      </c>
      <c r="C713" s="260" t="s">
        <v>752</v>
      </c>
      <c r="D713" s="197">
        <v>50</v>
      </c>
      <c r="E713" s="197">
        <v>10010</v>
      </c>
      <c r="F713" s="197">
        <v>185.7</v>
      </c>
      <c r="G713" s="190">
        <v>45891</v>
      </c>
      <c r="H713" s="196">
        <v>2</v>
      </c>
      <c r="I713" s="197">
        <v>9285</v>
      </c>
      <c r="J713" s="197">
        <v>9285</v>
      </c>
      <c r="K713" s="197">
        <v>0</v>
      </c>
      <c r="L713" s="197">
        <v>-725</v>
      </c>
      <c r="M713" s="260" t="s">
        <v>239</v>
      </c>
      <c r="N713" s="260" t="s">
        <v>514</v>
      </c>
    </row>
    <row r="714" spans="1:14" ht="14.5" x14ac:dyDescent="0.35">
      <c r="A714" s="260" t="s">
        <v>563</v>
      </c>
      <c r="B714" s="190">
        <v>45893</v>
      </c>
      <c r="C714" s="260" t="s">
        <v>754</v>
      </c>
      <c r="D714" s="197">
        <v>100</v>
      </c>
      <c r="E714" s="197">
        <v>8008</v>
      </c>
      <c r="F714" s="197">
        <v>83.3</v>
      </c>
      <c r="G714" s="190">
        <v>45891</v>
      </c>
      <c r="H714" s="196">
        <v>2</v>
      </c>
      <c r="I714" s="197">
        <v>8330</v>
      </c>
      <c r="J714" s="197">
        <v>8330</v>
      </c>
      <c r="K714" s="197">
        <v>0</v>
      </c>
      <c r="L714" s="197">
        <v>322</v>
      </c>
      <c r="M714" s="260" t="s">
        <v>239</v>
      </c>
      <c r="N714" s="260" t="s">
        <v>514</v>
      </c>
    </row>
    <row r="715" spans="1:14" ht="14.5" x14ac:dyDescent="0.35">
      <c r="A715" s="260" t="s">
        <v>563</v>
      </c>
      <c r="B715" s="190">
        <v>45894</v>
      </c>
      <c r="C715" s="260" t="s">
        <v>749</v>
      </c>
      <c r="D715" s="197">
        <v>220</v>
      </c>
      <c r="E715" s="197">
        <v>10937.666666666666</v>
      </c>
      <c r="F715" s="197">
        <v>49.6</v>
      </c>
      <c r="G715" s="190">
        <v>45894</v>
      </c>
      <c r="H715" s="196">
        <v>0</v>
      </c>
      <c r="I715" s="197">
        <v>10912</v>
      </c>
      <c r="J715" s="197">
        <v>10912</v>
      </c>
      <c r="K715" s="197">
        <v>0</v>
      </c>
      <c r="L715" s="197">
        <v>-25.66666666666606</v>
      </c>
      <c r="M715" s="260" t="s">
        <v>239</v>
      </c>
      <c r="N715" s="260" t="s">
        <v>514</v>
      </c>
    </row>
    <row r="716" spans="1:14" ht="14.5" x14ac:dyDescent="0.35">
      <c r="A716" s="260" t="s">
        <v>563</v>
      </c>
      <c r="B716" s="190">
        <v>45894</v>
      </c>
      <c r="C716" s="260" t="s">
        <v>752</v>
      </c>
      <c r="D716" s="197">
        <v>50</v>
      </c>
      <c r="E716" s="197">
        <v>10010</v>
      </c>
      <c r="F716" s="197">
        <v>186.8</v>
      </c>
      <c r="G716" s="190">
        <v>45894</v>
      </c>
      <c r="H716" s="196">
        <v>0</v>
      </c>
      <c r="I716" s="197">
        <v>9340</v>
      </c>
      <c r="J716" s="197">
        <v>9340</v>
      </c>
      <c r="K716" s="197">
        <v>0</v>
      </c>
      <c r="L716" s="197">
        <v>-670</v>
      </c>
      <c r="M716" s="260" t="s">
        <v>239</v>
      </c>
      <c r="N716" s="260" t="s">
        <v>514</v>
      </c>
    </row>
    <row r="717" spans="1:14" ht="14.5" x14ac:dyDescent="0.35">
      <c r="A717" s="260" t="s">
        <v>563</v>
      </c>
      <c r="B717" s="190">
        <v>45894</v>
      </c>
      <c r="C717" s="260" t="s">
        <v>754</v>
      </c>
      <c r="D717" s="197">
        <v>100</v>
      </c>
      <c r="E717" s="197">
        <v>8008</v>
      </c>
      <c r="F717" s="197">
        <v>84.2</v>
      </c>
      <c r="G717" s="190">
        <v>45894</v>
      </c>
      <c r="H717" s="196">
        <v>0</v>
      </c>
      <c r="I717" s="197">
        <v>8420</v>
      </c>
      <c r="J717" s="197">
        <v>8420</v>
      </c>
      <c r="K717" s="197">
        <v>0</v>
      </c>
      <c r="L717" s="197">
        <v>412</v>
      </c>
      <c r="M717" s="260" t="s">
        <v>239</v>
      </c>
      <c r="N717" s="260" t="s">
        <v>514</v>
      </c>
    </row>
    <row r="718" spans="1:14" ht="14.5" x14ac:dyDescent="0.35">
      <c r="A718" s="260" t="s">
        <v>563</v>
      </c>
      <c r="B718" s="190">
        <v>45895</v>
      </c>
      <c r="C718" s="260" t="s">
        <v>749</v>
      </c>
      <c r="D718" s="197">
        <v>220</v>
      </c>
      <c r="E718" s="197">
        <v>10937.666666666666</v>
      </c>
      <c r="F718" s="197">
        <v>49.5</v>
      </c>
      <c r="G718" s="190">
        <v>45895</v>
      </c>
      <c r="H718" s="196">
        <v>0</v>
      </c>
      <c r="I718" s="197">
        <v>10890</v>
      </c>
      <c r="J718" s="197">
        <v>10890</v>
      </c>
      <c r="K718" s="197">
        <v>0</v>
      </c>
      <c r="L718" s="197">
        <v>-47.66666666666606</v>
      </c>
      <c r="M718" s="260" t="s">
        <v>239</v>
      </c>
      <c r="N718" s="260" t="s">
        <v>514</v>
      </c>
    </row>
    <row r="719" spans="1:14" ht="14.5" x14ac:dyDescent="0.35">
      <c r="A719" s="260" t="s">
        <v>563</v>
      </c>
      <c r="B719" s="190">
        <v>45895</v>
      </c>
      <c r="C719" s="260" t="s">
        <v>752</v>
      </c>
      <c r="D719" s="197">
        <v>50</v>
      </c>
      <c r="E719" s="197">
        <v>10010</v>
      </c>
      <c r="F719" s="197">
        <v>187.17</v>
      </c>
      <c r="G719" s="190">
        <v>45895</v>
      </c>
      <c r="H719" s="196">
        <v>0</v>
      </c>
      <c r="I719" s="197">
        <v>9358.5</v>
      </c>
      <c r="J719" s="197">
        <v>9358.5</v>
      </c>
      <c r="K719" s="197">
        <v>0</v>
      </c>
      <c r="L719" s="197">
        <v>-651.5</v>
      </c>
      <c r="M719" s="260" t="s">
        <v>239</v>
      </c>
      <c r="N719" s="260" t="s">
        <v>514</v>
      </c>
    </row>
    <row r="720" spans="1:14" ht="14.5" x14ac:dyDescent="0.35">
      <c r="A720" s="260" t="s">
        <v>563</v>
      </c>
      <c r="B720" s="190">
        <v>45895</v>
      </c>
      <c r="C720" s="260" t="s">
        <v>754</v>
      </c>
      <c r="D720" s="197">
        <v>100</v>
      </c>
      <c r="E720" s="197">
        <v>8008</v>
      </c>
      <c r="F720" s="197">
        <v>84.5</v>
      </c>
      <c r="G720" s="190">
        <v>45895</v>
      </c>
      <c r="H720" s="196">
        <v>0</v>
      </c>
      <c r="I720" s="197">
        <v>8450</v>
      </c>
      <c r="J720" s="197">
        <v>8450</v>
      </c>
      <c r="K720" s="197">
        <v>0</v>
      </c>
      <c r="L720" s="197">
        <v>442</v>
      </c>
      <c r="M720" s="260" t="s">
        <v>239</v>
      </c>
      <c r="N720" s="260" t="s">
        <v>514</v>
      </c>
    </row>
    <row r="721" spans="1:14" ht="14.5" x14ac:dyDescent="0.35">
      <c r="A721" s="260" t="s">
        <v>563</v>
      </c>
      <c r="B721" s="190">
        <v>45896</v>
      </c>
      <c r="C721" s="260" t="s">
        <v>749</v>
      </c>
      <c r="D721" s="197">
        <v>220</v>
      </c>
      <c r="E721" s="197">
        <v>10937.666666666666</v>
      </c>
      <c r="F721" s="197">
        <v>49.4</v>
      </c>
      <c r="G721" s="190">
        <v>45896</v>
      </c>
      <c r="H721" s="196">
        <v>0</v>
      </c>
      <c r="I721" s="197">
        <v>10868</v>
      </c>
      <c r="J721" s="197">
        <v>10868</v>
      </c>
      <c r="K721" s="197">
        <v>0</v>
      </c>
      <c r="L721" s="197">
        <v>-69.66666666666606</v>
      </c>
      <c r="M721" s="260" t="s">
        <v>239</v>
      </c>
      <c r="N721" s="260" t="s">
        <v>514</v>
      </c>
    </row>
    <row r="722" spans="1:14" ht="14.5" x14ac:dyDescent="0.35">
      <c r="A722" s="260" t="s">
        <v>563</v>
      </c>
      <c r="B722" s="190">
        <v>45896</v>
      </c>
      <c r="C722" s="260" t="s">
        <v>752</v>
      </c>
      <c r="D722" s="197">
        <v>50</v>
      </c>
      <c r="E722" s="197">
        <v>10010</v>
      </c>
      <c r="F722" s="197">
        <v>187.53</v>
      </c>
      <c r="G722" s="190">
        <v>45896</v>
      </c>
      <c r="H722" s="196">
        <v>0</v>
      </c>
      <c r="I722" s="197">
        <v>9376.5</v>
      </c>
      <c r="J722" s="197">
        <v>9376.5</v>
      </c>
      <c r="K722" s="197">
        <v>0</v>
      </c>
      <c r="L722" s="197">
        <v>-633.5</v>
      </c>
      <c r="M722" s="260" t="s">
        <v>239</v>
      </c>
      <c r="N722" s="260" t="s">
        <v>514</v>
      </c>
    </row>
    <row r="723" spans="1:14" ht="14.5" x14ac:dyDescent="0.35">
      <c r="A723" s="260" t="s">
        <v>563</v>
      </c>
      <c r="B723" s="190">
        <v>45896</v>
      </c>
      <c r="C723" s="260" t="s">
        <v>754</v>
      </c>
      <c r="D723" s="197">
        <v>100</v>
      </c>
      <c r="E723" s="197">
        <v>8008</v>
      </c>
      <c r="F723" s="197">
        <v>84.8</v>
      </c>
      <c r="G723" s="190">
        <v>45896</v>
      </c>
      <c r="H723" s="196">
        <v>0</v>
      </c>
      <c r="I723" s="197">
        <v>8480</v>
      </c>
      <c r="J723" s="197">
        <v>8480</v>
      </c>
      <c r="K723" s="197">
        <v>0</v>
      </c>
      <c r="L723" s="197">
        <v>472</v>
      </c>
      <c r="M723" s="260" t="s">
        <v>239</v>
      </c>
      <c r="N723" s="260" t="s">
        <v>514</v>
      </c>
    </row>
    <row r="724" spans="1:14" ht="14.5" x14ac:dyDescent="0.35">
      <c r="A724" s="260" t="s">
        <v>563</v>
      </c>
      <c r="B724" s="190">
        <v>45897</v>
      </c>
      <c r="C724" s="260" t="s">
        <v>749</v>
      </c>
      <c r="D724" s="197">
        <v>220</v>
      </c>
      <c r="E724" s="197">
        <v>10937.666666666666</v>
      </c>
      <c r="F724" s="197">
        <v>49.3</v>
      </c>
      <c r="G724" s="190">
        <v>45897</v>
      </c>
      <c r="H724" s="196">
        <v>0</v>
      </c>
      <c r="I724" s="197">
        <v>10846</v>
      </c>
      <c r="J724" s="197">
        <v>10846</v>
      </c>
      <c r="K724" s="197">
        <v>0</v>
      </c>
      <c r="L724" s="197">
        <v>-91.66666666666606</v>
      </c>
      <c r="M724" s="260" t="s">
        <v>239</v>
      </c>
      <c r="N724" s="260" t="s">
        <v>514</v>
      </c>
    </row>
    <row r="725" spans="1:14" ht="14.5" x14ac:dyDescent="0.35">
      <c r="A725" s="260" t="s">
        <v>563</v>
      </c>
      <c r="B725" s="190">
        <v>45897</v>
      </c>
      <c r="C725" s="260" t="s">
        <v>752</v>
      </c>
      <c r="D725" s="197">
        <v>50</v>
      </c>
      <c r="E725" s="197">
        <v>10010</v>
      </c>
      <c r="F725" s="197">
        <v>187.9</v>
      </c>
      <c r="G725" s="190">
        <v>45897</v>
      </c>
      <c r="H725" s="196">
        <v>0</v>
      </c>
      <c r="I725" s="197">
        <v>9395</v>
      </c>
      <c r="J725" s="197">
        <v>9395</v>
      </c>
      <c r="K725" s="197">
        <v>0</v>
      </c>
      <c r="L725" s="197">
        <v>-615</v>
      </c>
      <c r="M725" s="260" t="s">
        <v>239</v>
      </c>
      <c r="N725" s="260" t="s">
        <v>514</v>
      </c>
    </row>
    <row r="726" spans="1:14" ht="14.5" x14ac:dyDescent="0.35">
      <c r="A726" s="260" t="s">
        <v>563</v>
      </c>
      <c r="B726" s="190">
        <v>45897</v>
      </c>
      <c r="C726" s="260" t="s">
        <v>754</v>
      </c>
      <c r="D726" s="197">
        <v>100</v>
      </c>
      <c r="E726" s="197">
        <v>8008</v>
      </c>
      <c r="F726" s="197">
        <v>85.1</v>
      </c>
      <c r="G726" s="190">
        <v>45897</v>
      </c>
      <c r="H726" s="196">
        <v>0</v>
      </c>
      <c r="I726" s="197">
        <v>8510</v>
      </c>
      <c r="J726" s="197">
        <v>8510</v>
      </c>
      <c r="K726" s="197">
        <v>0</v>
      </c>
      <c r="L726" s="197">
        <v>502</v>
      </c>
      <c r="M726" s="260" t="s">
        <v>239</v>
      </c>
      <c r="N726" s="260" t="s">
        <v>514</v>
      </c>
    </row>
    <row r="727" spans="1:14" ht="14.5" x14ac:dyDescent="0.35">
      <c r="A727" s="260" t="s">
        <v>563</v>
      </c>
      <c r="B727" s="190">
        <v>45898</v>
      </c>
      <c r="C727" s="260" t="s">
        <v>749</v>
      </c>
      <c r="D727" s="197">
        <v>220</v>
      </c>
      <c r="E727" s="197">
        <v>10937.666666666666</v>
      </c>
      <c r="F727" s="197">
        <v>49.2</v>
      </c>
      <c r="G727" s="190">
        <v>45898</v>
      </c>
      <c r="H727" s="196">
        <v>0</v>
      </c>
      <c r="I727" s="197">
        <v>10824</v>
      </c>
      <c r="J727" s="197">
        <v>10824</v>
      </c>
      <c r="K727" s="197">
        <v>0</v>
      </c>
      <c r="L727" s="197">
        <v>-113.66666666666606</v>
      </c>
      <c r="M727" s="260" t="s">
        <v>239</v>
      </c>
      <c r="N727" s="260" t="s">
        <v>514</v>
      </c>
    </row>
    <row r="728" spans="1:14" ht="14.5" x14ac:dyDescent="0.35">
      <c r="A728" s="260" t="s">
        <v>563</v>
      </c>
      <c r="B728" s="190">
        <v>45898</v>
      </c>
      <c r="C728" s="260" t="s">
        <v>752</v>
      </c>
      <c r="D728" s="197">
        <v>50</v>
      </c>
      <c r="E728" s="197">
        <v>10010</v>
      </c>
      <c r="F728" s="197">
        <v>188.27</v>
      </c>
      <c r="G728" s="190">
        <v>45898</v>
      </c>
      <c r="H728" s="196">
        <v>0</v>
      </c>
      <c r="I728" s="197">
        <v>9413.5</v>
      </c>
      <c r="J728" s="197">
        <v>9413.5</v>
      </c>
      <c r="K728" s="197">
        <v>0</v>
      </c>
      <c r="L728" s="197">
        <v>-596.5</v>
      </c>
      <c r="M728" s="260" t="s">
        <v>239</v>
      </c>
      <c r="N728" s="260" t="s">
        <v>514</v>
      </c>
    </row>
    <row r="729" spans="1:14" ht="14.5" x14ac:dyDescent="0.35">
      <c r="A729" s="260" t="s">
        <v>563</v>
      </c>
      <c r="B729" s="190">
        <v>45898</v>
      </c>
      <c r="C729" s="260" t="s">
        <v>754</v>
      </c>
      <c r="D729" s="197">
        <v>100</v>
      </c>
      <c r="E729" s="197">
        <v>8008</v>
      </c>
      <c r="F729" s="197">
        <v>85.4</v>
      </c>
      <c r="G729" s="190">
        <v>45898</v>
      </c>
      <c r="H729" s="196">
        <v>0</v>
      </c>
      <c r="I729" s="197">
        <v>8540</v>
      </c>
      <c r="J729" s="197">
        <v>8540</v>
      </c>
      <c r="K729" s="197">
        <v>0</v>
      </c>
      <c r="L729" s="197">
        <v>532</v>
      </c>
      <c r="M729" s="260" t="s">
        <v>239</v>
      </c>
      <c r="N729" s="260" t="s">
        <v>514</v>
      </c>
    </row>
    <row r="730" spans="1:14" ht="14.5" x14ac:dyDescent="0.35">
      <c r="A730" s="260" t="s">
        <v>563</v>
      </c>
      <c r="B730" s="190">
        <v>45899</v>
      </c>
      <c r="C730" s="260" t="s">
        <v>749</v>
      </c>
      <c r="D730" s="197">
        <v>220</v>
      </c>
      <c r="E730" s="197">
        <v>10937.666666666666</v>
      </c>
      <c r="F730" s="197">
        <v>49.2</v>
      </c>
      <c r="G730" s="190">
        <v>45898</v>
      </c>
      <c r="H730" s="196">
        <v>1</v>
      </c>
      <c r="I730" s="197">
        <v>10824</v>
      </c>
      <c r="J730" s="197">
        <v>10824</v>
      </c>
      <c r="K730" s="197">
        <v>0</v>
      </c>
      <c r="L730" s="197">
        <v>-113.66666666666606</v>
      </c>
      <c r="M730" s="260" t="s">
        <v>239</v>
      </c>
      <c r="N730" s="260" t="s">
        <v>514</v>
      </c>
    </row>
    <row r="731" spans="1:14" ht="14.5" x14ac:dyDescent="0.35">
      <c r="A731" s="260" t="s">
        <v>563</v>
      </c>
      <c r="B731" s="190">
        <v>45899</v>
      </c>
      <c r="C731" s="260" t="s">
        <v>752</v>
      </c>
      <c r="D731" s="197">
        <v>50</v>
      </c>
      <c r="E731" s="197">
        <v>10010</v>
      </c>
      <c r="F731" s="197">
        <v>188.27</v>
      </c>
      <c r="G731" s="190">
        <v>45898</v>
      </c>
      <c r="H731" s="196">
        <v>1</v>
      </c>
      <c r="I731" s="197">
        <v>9413.5</v>
      </c>
      <c r="J731" s="197">
        <v>9413.5</v>
      </c>
      <c r="K731" s="197">
        <v>0</v>
      </c>
      <c r="L731" s="197">
        <v>-596.5</v>
      </c>
      <c r="M731" s="260" t="s">
        <v>239</v>
      </c>
      <c r="N731" s="260" t="s">
        <v>514</v>
      </c>
    </row>
    <row r="732" spans="1:14" ht="14.5" x14ac:dyDescent="0.35">
      <c r="A732" s="260" t="s">
        <v>563</v>
      </c>
      <c r="B732" s="190">
        <v>45899</v>
      </c>
      <c r="C732" s="260" t="s">
        <v>754</v>
      </c>
      <c r="D732" s="197">
        <v>100</v>
      </c>
      <c r="E732" s="197">
        <v>8008</v>
      </c>
      <c r="F732" s="197">
        <v>85.4</v>
      </c>
      <c r="G732" s="190">
        <v>45898</v>
      </c>
      <c r="H732" s="196">
        <v>1</v>
      </c>
      <c r="I732" s="197">
        <v>8540</v>
      </c>
      <c r="J732" s="197">
        <v>8540</v>
      </c>
      <c r="K732" s="197">
        <v>0</v>
      </c>
      <c r="L732" s="197">
        <v>532</v>
      </c>
      <c r="M732" s="260" t="s">
        <v>239</v>
      </c>
      <c r="N732" s="260" t="s">
        <v>514</v>
      </c>
    </row>
    <row r="733" spans="1:14" ht="14.5" x14ac:dyDescent="0.35">
      <c r="A733" s="260" t="s">
        <v>563</v>
      </c>
      <c r="B733" s="190">
        <v>45900</v>
      </c>
      <c r="C733" s="260" t="s">
        <v>749</v>
      </c>
      <c r="D733" s="197">
        <v>220</v>
      </c>
      <c r="E733" s="197">
        <v>10937.666666666666</v>
      </c>
      <c r="F733" s="197">
        <v>49.2</v>
      </c>
      <c r="G733" s="190">
        <v>45898</v>
      </c>
      <c r="H733" s="196">
        <v>2</v>
      </c>
      <c r="I733" s="197">
        <v>10824</v>
      </c>
      <c r="J733" s="197">
        <v>10824</v>
      </c>
      <c r="K733" s="197">
        <v>0</v>
      </c>
      <c r="L733" s="197">
        <v>-113.66666666666606</v>
      </c>
      <c r="M733" s="260" t="s">
        <v>239</v>
      </c>
      <c r="N733" s="260" t="s">
        <v>514</v>
      </c>
    </row>
    <row r="734" spans="1:14" ht="14.5" x14ac:dyDescent="0.35">
      <c r="A734" s="260" t="s">
        <v>563</v>
      </c>
      <c r="B734" s="190">
        <v>45900</v>
      </c>
      <c r="C734" s="260" t="s">
        <v>752</v>
      </c>
      <c r="D734" s="197">
        <v>50</v>
      </c>
      <c r="E734" s="197">
        <v>10010</v>
      </c>
      <c r="F734" s="197">
        <v>188.27</v>
      </c>
      <c r="G734" s="190">
        <v>45898</v>
      </c>
      <c r="H734" s="196">
        <v>2</v>
      </c>
      <c r="I734" s="197">
        <v>9413.5</v>
      </c>
      <c r="J734" s="197">
        <v>9413.5</v>
      </c>
      <c r="K734" s="197">
        <v>0</v>
      </c>
      <c r="L734" s="197">
        <v>-596.5</v>
      </c>
      <c r="M734" s="260" t="s">
        <v>239</v>
      </c>
      <c r="N734" s="260" t="s">
        <v>514</v>
      </c>
    </row>
    <row r="735" spans="1:14" ht="14.5" x14ac:dyDescent="0.35">
      <c r="A735" s="260" t="s">
        <v>563</v>
      </c>
      <c r="B735" s="190">
        <v>45900</v>
      </c>
      <c r="C735" s="260" t="s">
        <v>754</v>
      </c>
      <c r="D735" s="197">
        <v>100</v>
      </c>
      <c r="E735" s="197">
        <v>8008</v>
      </c>
      <c r="F735" s="197">
        <v>85.4</v>
      </c>
      <c r="G735" s="190">
        <v>45898</v>
      </c>
      <c r="H735" s="196">
        <v>2</v>
      </c>
      <c r="I735" s="197">
        <v>8540</v>
      </c>
      <c r="J735" s="197">
        <v>8540</v>
      </c>
      <c r="K735" s="197">
        <v>0</v>
      </c>
      <c r="L735" s="197">
        <v>532</v>
      </c>
      <c r="M735" s="260" t="s">
        <v>239</v>
      </c>
      <c r="N735" s="260" t="s">
        <v>514</v>
      </c>
    </row>
    <row r="736" spans="1:14" ht="14.5" x14ac:dyDescent="0.35">
      <c r="A736" s="260" t="s">
        <v>563</v>
      </c>
      <c r="B736" s="190">
        <v>45901</v>
      </c>
      <c r="C736" s="260" t="s">
        <v>749</v>
      </c>
      <c r="D736" s="197">
        <v>220</v>
      </c>
      <c r="E736" s="197">
        <v>10937.666666666666</v>
      </c>
      <c r="F736" s="197">
        <v>49</v>
      </c>
      <c r="G736" s="190">
        <v>45901</v>
      </c>
      <c r="H736" s="196">
        <v>0</v>
      </c>
      <c r="I736" s="197">
        <v>10780</v>
      </c>
      <c r="J736" s="197">
        <v>10780</v>
      </c>
      <c r="K736" s="197">
        <v>0</v>
      </c>
      <c r="L736" s="197">
        <v>-157.66666666666606</v>
      </c>
      <c r="M736" s="260" t="s">
        <v>239</v>
      </c>
      <c r="N736" s="260" t="s">
        <v>514</v>
      </c>
    </row>
    <row r="737" spans="1:14" ht="14.5" x14ac:dyDescent="0.35">
      <c r="A737" s="260" t="s">
        <v>563</v>
      </c>
      <c r="B737" s="190">
        <v>45901</v>
      </c>
      <c r="C737" s="260" t="s">
        <v>752</v>
      </c>
      <c r="D737" s="197">
        <v>50</v>
      </c>
      <c r="E737" s="197">
        <v>10010</v>
      </c>
      <c r="F737" s="197">
        <v>186</v>
      </c>
      <c r="G737" s="190">
        <v>45901</v>
      </c>
      <c r="H737" s="196">
        <v>0</v>
      </c>
      <c r="I737" s="197">
        <v>9300</v>
      </c>
      <c r="J737" s="197">
        <v>9300</v>
      </c>
      <c r="K737" s="197">
        <v>150</v>
      </c>
      <c r="L737" s="197">
        <v>-710</v>
      </c>
      <c r="M737" s="260" t="s">
        <v>239</v>
      </c>
      <c r="N737" s="260" t="s">
        <v>514</v>
      </c>
    </row>
    <row r="738" spans="1:14" ht="14.5" x14ac:dyDescent="0.35">
      <c r="A738" s="260" t="s">
        <v>563</v>
      </c>
      <c r="B738" s="190">
        <v>45901</v>
      </c>
      <c r="C738" s="260" t="s">
        <v>754</v>
      </c>
      <c r="D738" s="197">
        <v>100</v>
      </c>
      <c r="E738" s="197">
        <v>8008</v>
      </c>
      <c r="F738" s="197">
        <v>86</v>
      </c>
      <c r="G738" s="190">
        <v>45901</v>
      </c>
      <c r="H738" s="196">
        <v>0</v>
      </c>
      <c r="I738" s="197">
        <v>8600</v>
      </c>
      <c r="J738" s="197">
        <v>8600</v>
      </c>
      <c r="K738" s="197">
        <v>0</v>
      </c>
      <c r="L738" s="197">
        <v>592</v>
      </c>
      <c r="M738" s="260" t="s">
        <v>239</v>
      </c>
      <c r="N738" s="260" t="s">
        <v>514</v>
      </c>
    </row>
    <row r="739" spans="1:14" ht="14.5" x14ac:dyDescent="0.35">
      <c r="A739" s="260" t="s">
        <v>563</v>
      </c>
      <c r="B739" s="190">
        <v>45902</v>
      </c>
      <c r="C739" s="260" t="s">
        <v>749</v>
      </c>
      <c r="D739" s="197">
        <v>220</v>
      </c>
      <c r="E739" s="197">
        <v>10937.666666666666</v>
      </c>
      <c r="F739" s="197">
        <v>49.17</v>
      </c>
      <c r="G739" s="190">
        <v>45902</v>
      </c>
      <c r="H739" s="196">
        <v>0</v>
      </c>
      <c r="I739" s="197">
        <v>10817.4</v>
      </c>
      <c r="J739" s="197">
        <v>10817.4</v>
      </c>
      <c r="K739" s="197">
        <v>0</v>
      </c>
      <c r="L739" s="197">
        <v>-120.26666666666642</v>
      </c>
      <c r="M739" s="260" t="s">
        <v>239</v>
      </c>
      <c r="N739" s="260" t="s">
        <v>514</v>
      </c>
    </row>
    <row r="740" spans="1:14" ht="14.5" x14ac:dyDescent="0.35">
      <c r="A740" s="260" t="s">
        <v>563</v>
      </c>
      <c r="B740" s="190">
        <v>45902</v>
      </c>
      <c r="C740" s="260" t="s">
        <v>752</v>
      </c>
      <c r="D740" s="197">
        <v>50</v>
      </c>
      <c r="E740" s="197">
        <v>10010</v>
      </c>
      <c r="F740" s="197">
        <v>185.69</v>
      </c>
      <c r="G740" s="190">
        <v>45902</v>
      </c>
      <c r="H740" s="196">
        <v>0</v>
      </c>
      <c r="I740" s="197">
        <v>9284.5</v>
      </c>
      <c r="J740" s="197">
        <v>9284.5</v>
      </c>
      <c r="K740" s="197">
        <v>150</v>
      </c>
      <c r="L740" s="197">
        <v>-725.5</v>
      </c>
      <c r="M740" s="260" t="s">
        <v>239</v>
      </c>
      <c r="N740" s="260" t="s">
        <v>514</v>
      </c>
    </row>
    <row r="741" spans="1:14" ht="14.5" x14ac:dyDescent="0.35">
      <c r="A741" s="260" t="s">
        <v>563</v>
      </c>
      <c r="B741" s="190">
        <v>45902</v>
      </c>
      <c r="C741" s="260" t="s">
        <v>754</v>
      </c>
      <c r="D741" s="197">
        <v>100</v>
      </c>
      <c r="E741" s="197">
        <v>8008</v>
      </c>
      <c r="F741" s="197">
        <v>85.86</v>
      </c>
      <c r="G741" s="190">
        <v>45902</v>
      </c>
      <c r="H741" s="196">
        <v>0</v>
      </c>
      <c r="I741" s="197">
        <v>8586</v>
      </c>
      <c r="J741" s="197">
        <v>8586</v>
      </c>
      <c r="K741" s="197">
        <v>0</v>
      </c>
      <c r="L741" s="197">
        <v>578</v>
      </c>
      <c r="M741" s="260" t="s">
        <v>239</v>
      </c>
      <c r="N741" s="260" t="s">
        <v>514</v>
      </c>
    </row>
    <row r="742" spans="1:14" ht="14.5" x14ac:dyDescent="0.35">
      <c r="A742" s="260" t="s">
        <v>563</v>
      </c>
      <c r="B742" s="190">
        <v>45903</v>
      </c>
      <c r="C742" s="260" t="s">
        <v>749</v>
      </c>
      <c r="D742" s="197">
        <v>220</v>
      </c>
      <c r="E742" s="197">
        <v>10937.666666666666</v>
      </c>
      <c r="F742" s="197">
        <v>49.34</v>
      </c>
      <c r="G742" s="190">
        <v>45903</v>
      </c>
      <c r="H742" s="196">
        <v>0</v>
      </c>
      <c r="I742" s="197">
        <v>10854.800000000001</v>
      </c>
      <c r="J742" s="197">
        <v>10854.800000000001</v>
      </c>
      <c r="K742" s="197">
        <v>0</v>
      </c>
      <c r="L742" s="197">
        <v>-82.866666666664969</v>
      </c>
      <c r="M742" s="260" t="s">
        <v>239</v>
      </c>
      <c r="N742" s="260" t="s">
        <v>514</v>
      </c>
    </row>
    <row r="743" spans="1:14" ht="14.5" x14ac:dyDescent="0.35">
      <c r="A743" s="260" t="s">
        <v>563</v>
      </c>
      <c r="B743" s="190">
        <v>45903</v>
      </c>
      <c r="C743" s="260" t="s">
        <v>752</v>
      </c>
      <c r="D743" s="197">
        <v>50</v>
      </c>
      <c r="E743" s="197">
        <v>10010</v>
      </c>
      <c r="F743" s="197">
        <v>185.38</v>
      </c>
      <c r="G743" s="190">
        <v>45903</v>
      </c>
      <c r="H743" s="196">
        <v>0</v>
      </c>
      <c r="I743" s="197">
        <v>9269</v>
      </c>
      <c r="J743" s="197">
        <v>9269</v>
      </c>
      <c r="K743" s="197">
        <v>150</v>
      </c>
      <c r="L743" s="197">
        <v>-741</v>
      </c>
      <c r="M743" s="260" t="s">
        <v>239</v>
      </c>
      <c r="N743" s="260" t="s">
        <v>514</v>
      </c>
    </row>
    <row r="744" spans="1:14" ht="14.5" x14ac:dyDescent="0.35">
      <c r="A744" s="260" t="s">
        <v>563</v>
      </c>
      <c r="B744" s="190">
        <v>45903</v>
      </c>
      <c r="C744" s="260" t="s">
        <v>754</v>
      </c>
      <c r="D744" s="197">
        <v>100</v>
      </c>
      <c r="E744" s="197">
        <v>8008</v>
      </c>
      <c r="F744" s="197">
        <v>85.72</v>
      </c>
      <c r="G744" s="190">
        <v>45903</v>
      </c>
      <c r="H744" s="196">
        <v>0</v>
      </c>
      <c r="I744" s="197">
        <v>8572</v>
      </c>
      <c r="J744" s="197">
        <v>8572</v>
      </c>
      <c r="K744" s="197">
        <v>0</v>
      </c>
      <c r="L744" s="197">
        <v>564</v>
      </c>
      <c r="M744" s="260" t="s">
        <v>239</v>
      </c>
      <c r="N744" s="260" t="s">
        <v>514</v>
      </c>
    </row>
    <row r="745" spans="1:14" ht="14.5" x14ac:dyDescent="0.35">
      <c r="A745" s="260" t="s">
        <v>563</v>
      </c>
      <c r="B745" s="190">
        <v>45904</v>
      </c>
      <c r="C745" s="260" t="s">
        <v>749</v>
      </c>
      <c r="D745" s="197">
        <v>220</v>
      </c>
      <c r="E745" s="197">
        <v>10937.666666666666</v>
      </c>
      <c r="F745" s="197">
        <v>49.52</v>
      </c>
      <c r="G745" s="190">
        <v>45904</v>
      </c>
      <c r="H745" s="196">
        <v>0</v>
      </c>
      <c r="I745" s="197">
        <v>10894.400000000001</v>
      </c>
      <c r="J745" s="197">
        <v>10894.400000000001</v>
      </c>
      <c r="K745" s="197">
        <v>0</v>
      </c>
      <c r="L745" s="197">
        <v>-43.266666666664605</v>
      </c>
      <c r="M745" s="260" t="s">
        <v>239</v>
      </c>
      <c r="N745" s="260" t="s">
        <v>514</v>
      </c>
    </row>
    <row r="746" spans="1:14" ht="14.5" x14ac:dyDescent="0.35">
      <c r="A746" s="260" t="s">
        <v>563</v>
      </c>
      <c r="B746" s="190">
        <v>45904</v>
      </c>
      <c r="C746" s="260" t="s">
        <v>752</v>
      </c>
      <c r="D746" s="197">
        <v>50</v>
      </c>
      <c r="E746" s="197">
        <v>10010</v>
      </c>
      <c r="F746" s="197">
        <v>185.07</v>
      </c>
      <c r="G746" s="190">
        <v>45904</v>
      </c>
      <c r="H746" s="196">
        <v>0</v>
      </c>
      <c r="I746" s="197">
        <v>9253.5</v>
      </c>
      <c r="J746" s="197">
        <v>9253.5</v>
      </c>
      <c r="K746" s="197">
        <v>150</v>
      </c>
      <c r="L746" s="197">
        <v>-756.5</v>
      </c>
      <c r="M746" s="260" t="s">
        <v>239</v>
      </c>
      <c r="N746" s="260" t="s">
        <v>514</v>
      </c>
    </row>
    <row r="747" spans="1:14" ht="14.5" x14ac:dyDescent="0.35">
      <c r="A747" s="260" t="s">
        <v>563</v>
      </c>
      <c r="B747" s="190">
        <v>45904</v>
      </c>
      <c r="C747" s="260" t="s">
        <v>754</v>
      </c>
      <c r="D747" s="197">
        <v>100</v>
      </c>
      <c r="E747" s="197">
        <v>8008</v>
      </c>
      <c r="F747" s="197">
        <v>85.59</v>
      </c>
      <c r="G747" s="190">
        <v>45904</v>
      </c>
      <c r="H747" s="196">
        <v>0</v>
      </c>
      <c r="I747" s="197">
        <v>8559</v>
      </c>
      <c r="J747" s="197">
        <v>8559</v>
      </c>
      <c r="K747" s="197">
        <v>0</v>
      </c>
      <c r="L747" s="197">
        <v>551</v>
      </c>
      <c r="M747" s="260" t="s">
        <v>239</v>
      </c>
      <c r="N747" s="260" t="s">
        <v>514</v>
      </c>
    </row>
    <row r="748" spans="1:14" ht="14.5" x14ac:dyDescent="0.35">
      <c r="A748" s="260" t="s">
        <v>563</v>
      </c>
      <c r="B748" s="190">
        <v>45905</v>
      </c>
      <c r="C748" s="260" t="s">
        <v>749</v>
      </c>
      <c r="D748" s="197">
        <v>220</v>
      </c>
      <c r="E748" s="197">
        <v>10937.666666666666</v>
      </c>
      <c r="F748" s="197">
        <v>49.69</v>
      </c>
      <c r="G748" s="190">
        <v>45905</v>
      </c>
      <c r="H748" s="196">
        <v>0</v>
      </c>
      <c r="I748" s="197">
        <v>10931.8</v>
      </c>
      <c r="J748" s="197">
        <v>10931.8</v>
      </c>
      <c r="K748" s="197">
        <v>0</v>
      </c>
      <c r="L748" s="197">
        <v>-5.8666666666667879</v>
      </c>
      <c r="M748" s="260" t="s">
        <v>239</v>
      </c>
      <c r="N748" s="260" t="s">
        <v>514</v>
      </c>
    </row>
    <row r="749" spans="1:14" ht="14.5" x14ac:dyDescent="0.35">
      <c r="A749" s="260" t="s">
        <v>563</v>
      </c>
      <c r="B749" s="190">
        <v>45905</v>
      </c>
      <c r="C749" s="260" t="s">
        <v>752</v>
      </c>
      <c r="D749" s="197">
        <v>50</v>
      </c>
      <c r="E749" s="197">
        <v>10010</v>
      </c>
      <c r="F749" s="197">
        <v>184.76</v>
      </c>
      <c r="G749" s="190">
        <v>45905</v>
      </c>
      <c r="H749" s="196">
        <v>0</v>
      </c>
      <c r="I749" s="197">
        <v>9238</v>
      </c>
      <c r="J749" s="197">
        <v>9238</v>
      </c>
      <c r="K749" s="197">
        <v>150</v>
      </c>
      <c r="L749" s="197">
        <v>-772</v>
      </c>
      <c r="M749" s="260" t="s">
        <v>239</v>
      </c>
      <c r="N749" s="260" t="s">
        <v>514</v>
      </c>
    </row>
    <row r="750" spans="1:14" ht="14.5" x14ac:dyDescent="0.35">
      <c r="A750" s="260" t="s">
        <v>563</v>
      </c>
      <c r="B750" s="190">
        <v>45905</v>
      </c>
      <c r="C750" s="260" t="s">
        <v>754</v>
      </c>
      <c r="D750" s="197">
        <v>100</v>
      </c>
      <c r="E750" s="197">
        <v>8008</v>
      </c>
      <c r="F750" s="197">
        <v>85.45</v>
      </c>
      <c r="G750" s="190">
        <v>45905</v>
      </c>
      <c r="H750" s="196">
        <v>0</v>
      </c>
      <c r="I750" s="197">
        <v>8545</v>
      </c>
      <c r="J750" s="197">
        <v>8545</v>
      </c>
      <c r="K750" s="197">
        <v>0</v>
      </c>
      <c r="L750" s="197">
        <v>537</v>
      </c>
      <c r="M750" s="260" t="s">
        <v>239</v>
      </c>
      <c r="N750" s="260" t="s">
        <v>514</v>
      </c>
    </row>
    <row r="751" spans="1:14" ht="14.5" x14ac:dyDescent="0.35">
      <c r="A751" s="260" t="s">
        <v>563</v>
      </c>
      <c r="B751" s="190">
        <v>45906</v>
      </c>
      <c r="C751" s="260" t="s">
        <v>749</v>
      </c>
      <c r="D751" s="197">
        <v>220</v>
      </c>
      <c r="E751" s="197">
        <v>10937.666666666666</v>
      </c>
      <c r="F751" s="197">
        <v>49.69</v>
      </c>
      <c r="G751" s="190">
        <v>45905</v>
      </c>
      <c r="H751" s="196">
        <v>1</v>
      </c>
      <c r="I751" s="197">
        <v>10931.8</v>
      </c>
      <c r="J751" s="197">
        <v>10931.8</v>
      </c>
      <c r="K751" s="197">
        <v>0</v>
      </c>
      <c r="L751" s="197">
        <v>-5.8666666666667879</v>
      </c>
      <c r="M751" s="260" t="s">
        <v>239</v>
      </c>
      <c r="N751" s="260" t="s">
        <v>514</v>
      </c>
    </row>
    <row r="752" spans="1:14" ht="14.5" x14ac:dyDescent="0.35">
      <c r="A752" s="260" t="s">
        <v>563</v>
      </c>
      <c r="B752" s="190">
        <v>45906</v>
      </c>
      <c r="C752" s="260" t="s">
        <v>752</v>
      </c>
      <c r="D752" s="197">
        <v>50</v>
      </c>
      <c r="E752" s="197">
        <v>10010</v>
      </c>
      <c r="F752" s="197">
        <v>184.76</v>
      </c>
      <c r="G752" s="190">
        <v>45905</v>
      </c>
      <c r="H752" s="196">
        <v>1</v>
      </c>
      <c r="I752" s="197">
        <v>9238</v>
      </c>
      <c r="J752" s="197">
        <v>9238</v>
      </c>
      <c r="K752" s="197">
        <v>150</v>
      </c>
      <c r="L752" s="197">
        <v>-772</v>
      </c>
      <c r="M752" s="260" t="s">
        <v>239</v>
      </c>
      <c r="N752" s="260" t="s">
        <v>514</v>
      </c>
    </row>
    <row r="753" spans="1:14" ht="14.5" x14ac:dyDescent="0.35">
      <c r="A753" s="260" t="s">
        <v>563</v>
      </c>
      <c r="B753" s="190">
        <v>45906</v>
      </c>
      <c r="C753" s="260" t="s">
        <v>754</v>
      </c>
      <c r="D753" s="197">
        <v>100</v>
      </c>
      <c r="E753" s="197">
        <v>8008</v>
      </c>
      <c r="F753" s="197">
        <v>85.45</v>
      </c>
      <c r="G753" s="190">
        <v>45905</v>
      </c>
      <c r="H753" s="196">
        <v>1</v>
      </c>
      <c r="I753" s="197">
        <v>8545</v>
      </c>
      <c r="J753" s="197">
        <v>8545</v>
      </c>
      <c r="K753" s="197">
        <v>0</v>
      </c>
      <c r="L753" s="197">
        <v>537</v>
      </c>
      <c r="M753" s="260" t="s">
        <v>239</v>
      </c>
      <c r="N753" s="260" t="s">
        <v>514</v>
      </c>
    </row>
    <row r="754" spans="1:14" ht="14.5" x14ac:dyDescent="0.35">
      <c r="A754" s="260" t="s">
        <v>563</v>
      </c>
      <c r="B754" s="190">
        <v>45907</v>
      </c>
      <c r="C754" s="260" t="s">
        <v>749</v>
      </c>
      <c r="D754" s="197">
        <v>220</v>
      </c>
      <c r="E754" s="197">
        <v>10937.666666666666</v>
      </c>
      <c r="F754" s="197">
        <v>49.69</v>
      </c>
      <c r="G754" s="190">
        <v>45905</v>
      </c>
      <c r="H754" s="196">
        <v>2</v>
      </c>
      <c r="I754" s="197">
        <v>10931.8</v>
      </c>
      <c r="J754" s="197">
        <v>10931.8</v>
      </c>
      <c r="K754" s="197">
        <v>0</v>
      </c>
      <c r="L754" s="197">
        <v>-5.8666666666667879</v>
      </c>
      <c r="M754" s="260" t="s">
        <v>239</v>
      </c>
      <c r="N754" s="260" t="s">
        <v>514</v>
      </c>
    </row>
    <row r="755" spans="1:14" ht="14.5" x14ac:dyDescent="0.35">
      <c r="A755" s="260" t="s">
        <v>563</v>
      </c>
      <c r="B755" s="190">
        <v>45907</v>
      </c>
      <c r="C755" s="260" t="s">
        <v>752</v>
      </c>
      <c r="D755" s="197">
        <v>50</v>
      </c>
      <c r="E755" s="197">
        <v>10010</v>
      </c>
      <c r="F755" s="197">
        <v>184.76</v>
      </c>
      <c r="G755" s="190">
        <v>45905</v>
      </c>
      <c r="H755" s="196">
        <v>2</v>
      </c>
      <c r="I755" s="197">
        <v>9238</v>
      </c>
      <c r="J755" s="197">
        <v>9238</v>
      </c>
      <c r="K755" s="197">
        <v>150</v>
      </c>
      <c r="L755" s="197">
        <v>-772</v>
      </c>
      <c r="M755" s="260" t="s">
        <v>239</v>
      </c>
      <c r="N755" s="260" t="s">
        <v>514</v>
      </c>
    </row>
    <row r="756" spans="1:14" ht="14.5" x14ac:dyDescent="0.35">
      <c r="A756" s="260" t="s">
        <v>563</v>
      </c>
      <c r="B756" s="190">
        <v>45907</v>
      </c>
      <c r="C756" s="260" t="s">
        <v>754</v>
      </c>
      <c r="D756" s="197">
        <v>100</v>
      </c>
      <c r="E756" s="197">
        <v>8008</v>
      </c>
      <c r="F756" s="197">
        <v>85.45</v>
      </c>
      <c r="G756" s="190">
        <v>45905</v>
      </c>
      <c r="H756" s="196">
        <v>2</v>
      </c>
      <c r="I756" s="197">
        <v>8545</v>
      </c>
      <c r="J756" s="197">
        <v>8545</v>
      </c>
      <c r="K756" s="197">
        <v>0</v>
      </c>
      <c r="L756" s="197">
        <v>537</v>
      </c>
      <c r="M756" s="260" t="s">
        <v>239</v>
      </c>
      <c r="N756" s="260" t="s">
        <v>514</v>
      </c>
    </row>
    <row r="757" spans="1:14" ht="14.5" x14ac:dyDescent="0.35">
      <c r="A757" s="260" t="s">
        <v>563</v>
      </c>
      <c r="B757" s="190">
        <v>45908</v>
      </c>
      <c r="C757" s="260" t="s">
        <v>749</v>
      </c>
      <c r="D757" s="197">
        <v>220</v>
      </c>
      <c r="E757" s="197">
        <v>10937.666666666666</v>
      </c>
      <c r="F757" s="197">
        <v>50.21</v>
      </c>
      <c r="G757" s="190">
        <v>45908</v>
      </c>
      <c r="H757" s="196">
        <v>0</v>
      </c>
      <c r="I757" s="197">
        <v>11046.2</v>
      </c>
      <c r="J757" s="197">
        <v>11046.2</v>
      </c>
      <c r="K757" s="197">
        <v>0</v>
      </c>
      <c r="L757" s="197">
        <v>108.53333333333467</v>
      </c>
      <c r="M757" s="260" t="s">
        <v>239</v>
      </c>
      <c r="N757" s="260" t="s">
        <v>514</v>
      </c>
    </row>
    <row r="758" spans="1:14" ht="14.5" x14ac:dyDescent="0.35">
      <c r="A758" s="260" t="s">
        <v>563</v>
      </c>
      <c r="B758" s="190">
        <v>45908</v>
      </c>
      <c r="C758" s="260" t="s">
        <v>752</v>
      </c>
      <c r="D758" s="197">
        <v>50</v>
      </c>
      <c r="E758" s="197">
        <v>10010</v>
      </c>
      <c r="F758" s="197">
        <v>183.83</v>
      </c>
      <c r="G758" s="190">
        <v>45908</v>
      </c>
      <c r="H758" s="196">
        <v>0</v>
      </c>
      <c r="I758" s="197">
        <v>9191.5</v>
      </c>
      <c r="J758" s="197">
        <v>9191.5</v>
      </c>
      <c r="K758" s="197">
        <v>150</v>
      </c>
      <c r="L758" s="197">
        <v>-818.5</v>
      </c>
      <c r="M758" s="260" t="s">
        <v>239</v>
      </c>
      <c r="N758" s="260" t="s">
        <v>514</v>
      </c>
    </row>
    <row r="759" spans="1:14" ht="14.5" x14ac:dyDescent="0.35">
      <c r="A759" s="260" t="s">
        <v>563</v>
      </c>
      <c r="B759" s="190">
        <v>45908</v>
      </c>
      <c r="C759" s="260" t="s">
        <v>754</v>
      </c>
      <c r="D759" s="197">
        <v>100</v>
      </c>
      <c r="E759" s="197">
        <v>8008</v>
      </c>
      <c r="F759" s="197">
        <v>85.03</v>
      </c>
      <c r="G759" s="190">
        <v>45908</v>
      </c>
      <c r="H759" s="196">
        <v>0</v>
      </c>
      <c r="I759" s="197">
        <v>8503</v>
      </c>
      <c r="J759" s="197">
        <v>8503</v>
      </c>
      <c r="K759" s="197">
        <v>0</v>
      </c>
      <c r="L759" s="197">
        <v>495</v>
      </c>
      <c r="M759" s="260" t="s">
        <v>239</v>
      </c>
      <c r="N759" s="260" t="s">
        <v>514</v>
      </c>
    </row>
    <row r="760" spans="1:14" ht="14.5" x14ac:dyDescent="0.35">
      <c r="A760" s="260" t="s">
        <v>563</v>
      </c>
      <c r="B760" s="190">
        <v>45909</v>
      </c>
      <c r="C760" s="260" t="s">
        <v>749</v>
      </c>
      <c r="D760" s="197">
        <v>220</v>
      </c>
      <c r="E760" s="197">
        <v>10937.666666666666</v>
      </c>
      <c r="F760" s="197">
        <v>50.38</v>
      </c>
      <c r="G760" s="190">
        <v>45909</v>
      </c>
      <c r="H760" s="196">
        <v>0</v>
      </c>
      <c r="I760" s="197">
        <v>11083.6</v>
      </c>
      <c r="J760" s="197">
        <v>11083.6</v>
      </c>
      <c r="K760" s="197">
        <v>0</v>
      </c>
      <c r="L760" s="197">
        <v>145.9333333333343</v>
      </c>
      <c r="M760" s="260" t="s">
        <v>239</v>
      </c>
      <c r="N760" s="260" t="s">
        <v>514</v>
      </c>
    </row>
    <row r="761" spans="1:14" ht="14.5" x14ac:dyDescent="0.35">
      <c r="A761" s="260" t="s">
        <v>563</v>
      </c>
      <c r="B761" s="190">
        <v>45909</v>
      </c>
      <c r="C761" s="260" t="s">
        <v>752</v>
      </c>
      <c r="D761" s="197">
        <v>50</v>
      </c>
      <c r="E761" s="197">
        <v>10010</v>
      </c>
      <c r="F761" s="197">
        <v>183.52</v>
      </c>
      <c r="G761" s="190">
        <v>45909</v>
      </c>
      <c r="H761" s="196">
        <v>0</v>
      </c>
      <c r="I761" s="197">
        <v>9176</v>
      </c>
      <c r="J761" s="197">
        <v>9176</v>
      </c>
      <c r="K761" s="197">
        <v>150</v>
      </c>
      <c r="L761" s="197">
        <v>-834</v>
      </c>
      <c r="M761" s="260" t="s">
        <v>239</v>
      </c>
      <c r="N761" s="260" t="s">
        <v>514</v>
      </c>
    </row>
    <row r="762" spans="1:14" ht="14.5" x14ac:dyDescent="0.35">
      <c r="A762" s="260" t="s">
        <v>563</v>
      </c>
      <c r="B762" s="190">
        <v>45909</v>
      </c>
      <c r="C762" s="260" t="s">
        <v>754</v>
      </c>
      <c r="D762" s="197">
        <v>100</v>
      </c>
      <c r="E762" s="197">
        <v>8008</v>
      </c>
      <c r="F762" s="197">
        <v>84.9</v>
      </c>
      <c r="G762" s="190">
        <v>45909</v>
      </c>
      <c r="H762" s="196">
        <v>0</v>
      </c>
      <c r="I762" s="197">
        <v>8490</v>
      </c>
      <c r="J762" s="197">
        <v>8490</v>
      </c>
      <c r="K762" s="197">
        <v>0</v>
      </c>
      <c r="L762" s="197">
        <v>482</v>
      </c>
      <c r="M762" s="260" t="s">
        <v>239</v>
      </c>
      <c r="N762" s="260" t="s">
        <v>514</v>
      </c>
    </row>
    <row r="763" spans="1:14" ht="14.5" x14ac:dyDescent="0.35">
      <c r="A763" s="260" t="s">
        <v>563</v>
      </c>
      <c r="B763" s="190">
        <v>45910</v>
      </c>
      <c r="C763" s="260" t="s">
        <v>749</v>
      </c>
      <c r="D763" s="197">
        <v>220</v>
      </c>
      <c r="E763" s="197">
        <v>10937.666666666666</v>
      </c>
      <c r="F763" s="197">
        <v>50.55</v>
      </c>
      <c r="G763" s="190">
        <v>45910</v>
      </c>
      <c r="H763" s="196">
        <v>0</v>
      </c>
      <c r="I763" s="197">
        <v>11121</v>
      </c>
      <c r="J763" s="197">
        <v>11121</v>
      </c>
      <c r="K763" s="197">
        <v>0</v>
      </c>
      <c r="L763" s="197">
        <v>183.33333333333394</v>
      </c>
      <c r="M763" s="260" t="s">
        <v>239</v>
      </c>
      <c r="N763" s="260" t="s">
        <v>514</v>
      </c>
    </row>
    <row r="764" spans="1:14" ht="14.5" x14ac:dyDescent="0.35">
      <c r="A764" s="260" t="s">
        <v>563</v>
      </c>
      <c r="B764" s="190">
        <v>45910</v>
      </c>
      <c r="C764" s="260" t="s">
        <v>752</v>
      </c>
      <c r="D764" s="197">
        <v>30</v>
      </c>
      <c r="E764" s="197">
        <v>6006</v>
      </c>
      <c r="F764" s="197">
        <v>183.21</v>
      </c>
      <c r="G764" s="190">
        <v>45910</v>
      </c>
      <c r="H764" s="196">
        <v>0</v>
      </c>
      <c r="I764" s="197">
        <v>5496.3</v>
      </c>
      <c r="J764" s="197">
        <v>5496.3</v>
      </c>
      <c r="K764" s="197">
        <v>150</v>
      </c>
      <c r="L764" s="197">
        <v>-509.69999999999982</v>
      </c>
      <c r="M764" s="260" t="s">
        <v>239</v>
      </c>
      <c r="N764" s="260" t="s">
        <v>514</v>
      </c>
    </row>
    <row r="765" spans="1:14" ht="14.5" x14ac:dyDescent="0.35">
      <c r="A765" s="260" t="s">
        <v>563</v>
      </c>
      <c r="B765" s="190">
        <v>45910</v>
      </c>
      <c r="C765" s="260" t="s">
        <v>754</v>
      </c>
      <c r="D765" s="197">
        <v>100</v>
      </c>
      <c r="E765" s="197">
        <v>8008</v>
      </c>
      <c r="F765" s="197">
        <v>84.76</v>
      </c>
      <c r="G765" s="190">
        <v>45910</v>
      </c>
      <c r="H765" s="196">
        <v>0</v>
      </c>
      <c r="I765" s="197">
        <v>8476</v>
      </c>
      <c r="J765" s="197">
        <v>8476</v>
      </c>
      <c r="K765" s="197">
        <v>0</v>
      </c>
      <c r="L765" s="197">
        <v>468</v>
      </c>
      <c r="M765" s="260" t="s">
        <v>239</v>
      </c>
      <c r="N765" s="260" t="s">
        <v>514</v>
      </c>
    </row>
    <row r="766" spans="1:14" ht="14.5" x14ac:dyDescent="0.35">
      <c r="A766" s="260" t="s">
        <v>563</v>
      </c>
      <c r="B766" s="190">
        <v>45911</v>
      </c>
      <c r="C766" s="260" t="s">
        <v>749</v>
      </c>
      <c r="D766" s="197">
        <v>220</v>
      </c>
      <c r="E766" s="197">
        <v>10937.666666666666</v>
      </c>
      <c r="F766" s="197">
        <v>50.72</v>
      </c>
      <c r="G766" s="190">
        <v>45911</v>
      </c>
      <c r="H766" s="196">
        <v>0</v>
      </c>
      <c r="I766" s="197">
        <v>11158.4</v>
      </c>
      <c r="J766" s="197">
        <v>11158.4</v>
      </c>
      <c r="K766" s="197">
        <v>0</v>
      </c>
      <c r="L766" s="197">
        <v>220.73333333333358</v>
      </c>
      <c r="M766" s="260" t="s">
        <v>239</v>
      </c>
      <c r="N766" s="260" t="s">
        <v>514</v>
      </c>
    </row>
    <row r="767" spans="1:14" ht="14.5" x14ac:dyDescent="0.35">
      <c r="A767" s="260" t="s">
        <v>563</v>
      </c>
      <c r="B767" s="190">
        <v>45911</v>
      </c>
      <c r="C767" s="260" t="s">
        <v>752</v>
      </c>
      <c r="D767" s="197">
        <v>30</v>
      </c>
      <c r="E767" s="197">
        <v>6006</v>
      </c>
      <c r="F767" s="197">
        <v>182.9</v>
      </c>
      <c r="G767" s="190">
        <v>45911</v>
      </c>
      <c r="H767" s="196">
        <v>0</v>
      </c>
      <c r="I767" s="197">
        <v>5487</v>
      </c>
      <c r="J767" s="197">
        <v>5487</v>
      </c>
      <c r="K767" s="197">
        <v>150</v>
      </c>
      <c r="L767" s="197">
        <v>-519</v>
      </c>
      <c r="M767" s="260" t="s">
        <v>239</v>
      </c>
      <c r="N767" s="260" t="s">
        <v>514</v>
      </c>
    </row>
    <row r="768" spans="1:14" ht="14.5" x14ac:dyDescent="0.35">
      <c r="A768" s="260" t="s">
        <v>563</v>
      </c>
      <c r="B768" s="190">
        <v>45911</v>
      </c>
      <c r="C768" s="260" t="s">
        <v>754</v>
      </c>
      <c r="D768" s="197">
        <v>100</v>
      </c>
      <c r="E768" s="197">
        <v>8008</v>
      </c>
      <c r="F768" s="197">
        <v>84.62</v>
      </c>
      <c r="G768" s="190">
        <v>45911</v>
      </c>
      <c r="H768" s="196">
        <v>0</v>
      </c>
      <c r="I768" s="197">
        <v>8462</v>
      </c>
      <c r="J768" s="197">
        <v>8462</v>
      </c>
      <c r="K768" s="197">
        <v>0</v>
      </c>
      <c r="L768" s="197">
        <v>454</v>
      </c>
      <c r="M768" s="260" t="s">
        <v>239</v>
      </c>
      <c r="N768" s="260" t="s">
        <v>514</v>
      </c>
    </row>
    <row r="769" spans="1:14" ht="14.5" x14ac:dyDescent="0.35">
      <c r="A769" s="260" t="s">
        <v>563</v>
      </c>
      <c r="B769" s="190">
        <v>45912</v>
      </c>
      <c r="C769" s="260" t="s">
        <v>749</v>
      </c>
      <c r="D769" s="197">
        <v>220</v>
      </c>
      <c r="E769" s="197">
        <v>10937.666666666666</v>
      </c>
      <c r="F769" s="197">
        <v>50.9</v>
      </c>
      <c r="G769" s="190">
        <v>45912</v>
      </c>
      <c r="H769" s="196">
        <v>0</v>
      </c>
      <c r="I769" s="197">
        <v>11198</v>
      </c>
      <c r="J769" s="197">
        <v>11198</v>
      </c>
      <c r="K769" s="197">
        <v>0</v>
      </c>
      <c r="L769" s="197">
        <v>260.33333333333394</v>
      </c>
      <c r="M769" s="260" t="s">
        <v>239</v>
      </c>
      <c r="N769" s="260" t="s">
        <v>514</v>
      </c>
    </row>
    <row r="770" spans="1:14" ht="14.5" x14ac:dyDescent="0.35">
      <c r="A770" s="260" t="s">
        <v>563</v>
      </c>
      <c r="B770" s="190">
        <v>45912</v>
      </c>
      <c r="C770" s="260" t="s">
        <v>752</v>
      </c>
      <c r="D770" s="197">
        <v>30</v>
      </c>
      <c r="E770" s="197">
        <v>6006</v>
      </c>
      <c r="F770" s="197">
        <v>182.59</v>
      </c>
      <c r="G770" s="190">
        <v>45912</v>
      </c>
      <c r="H770" s="196">
        <v>0</v>
      </c>
      <c r="I770" s="197">
        <v>5477.7</v>
      </c>
      <c r="J770" s="197">
        <v>5477.7</v>
      </c>
      <c r="K770" s="197">
        <v>150</v>
      </c>
      <c r="L770" s="197">
        <v>-528.30000000000018</v>
      </c>
      <c r="M770" s="260" t="s">
        <v>239</v>
      </c>
      <c r="N770" s="260" t="s">
        <v>514</v>
      </c>
    </row>
    <row r="771" spans="1:14" ht="14.5" x14ac:dyDescent="0.35">
      <c r="A771" s="260" t="s">
        <v>563</v>
      </c>
      <c r="B771" s="190">
        <v>45912</v>
      </c>
      <c r="C771" s="260" t="s">
        <v>754</v>
      </c>
      <c r="D771" s="197">
        <v>100</v>
      </c>
      <c r="E771" s="197">
        <v>8008</v>
      </c>
      <c r="F771" s="197">
        <v>84.48</v>
      </c>
      <c r="G771" s="190">
        <v>45912</v>
      </c>
      <c r="H771" s="196">
        <v>0</v>
      </c>
      <c r="I771" s="197">
        <v>8448</v>
      </c>
      <c r="J771" s="197">
        <v>8448</v>
      </c>
      <c r="K771" s="197">
        <v>0</v>
      </c>
      <c r="L771" s="197">
        <v>440</v>
      </c>
      <c r="M771" s="260" t="s">
        <v>239</v>
      </c>
      <c r="N771" s="260" t="s">
        <v>514</v>
      </c>
    </row>
    <row r="772" spans="1:14" ht="14.5" x14ac:dyDescent="0.35">
      <c r="A772" s="260" t="s">
        <v>563</v>
      </c>
      <c r="B772" s="190">
        <v>45913</v>
      </c>
      <c r="C772" s="260" t="s">
        <v>749</v>
      </c>
      <c r="D772" s="197">
        <v>220</v>
      </c>
      <c r="E772" s="197">
        <v>10937.666666666666</v>
      </c>
      <c r="F772" s="197">
        <v>50.9</v>
      </c>
      <c r="G772" s="190">
        <v>45912</v>
      </c>
      <c r="H772" s="196">
        <v>1</v>
      </c>
      <c r="I772" s="197">
        <v>11198</v>
      </c>
      <c r="J772" s="197">
        <v>11198</v>
      </c>
      <c r="K772" s="197">
        <v>0</v>
      </c>
      <c r="L772" s="197">
        <v>260.33333333333394</v>
      </c>
      <c r="M772" s="260" t="s">
        <v>239</v>
      </c>
      <c r="N772" s="260" t="s">
        <v>514</v>
      </c>
    </row>
    <row r="773" spans="1:14" ht="14.5" x14ac:dyDescent="0.35">
      <c r="A773" s="260" t="s">
        <v>563</v>
      </c>
      <c r="B773" s="190">
        <v>45913</v>
      </c>
      <c r="C773" s="260" t="s">
        <v>752</v>
      </c>
      <c r="D773" s="197">
        <v>30</v>
      </c>
      <c r="E773" s="197">
        <v>6006</v>
      </c>
      <c r="F773" s="197">
        <v>182.59</v>
      </c>
      <c r="G773" s="190">
        <v>45912</v>
      </c>
      <c r="H773" s="196">
        <v>1</v>
      </c>
      <c r="I773" s="197">
        <v>5477.7</v>
      </c>
      <c r="J773" s="197">
        <v>5477.7</v>
      </c>
      <c r="K773" s="197">
        <v>150</v>
      </c>
      <c r="L773" s="197">
        <v>-528.30000000000018</v>
      </c>
      <c r="M773" s="260" t="s">
        <v>239</v>
      </c>
      <c r="N773" s="260" t="s">
        <v>514</v>
      </c>
    </row>
    <row r="774" spans="1:14" ht="14.5" x14ac:dyDescent="0.35">
      <c r="A774" s="260" t="s">
        <v>563</v>
      </c>
      <c r="B774" s="190">
        <v>45913</v>
      </c>
      <c r="C774" s="260" t="s">
        <v>754</v>
      </c>
      <c r="D774" s="197">
        <v>100</v>
      </c>
      <c r="E774" s="197">
        <v>8008</v>
      </c>
      <c r="F774" s="197">
        <v>84.48</v>
      </c>
      <c r="G774" s="190">
        <v>45912</v>
      </c>
      <c r="H774" s="196">
        <v>1</v>
      </c>
      <c r="I774" s="197">
        <v>8448</v>
      </c>
      <c r="J774" s="197">
        <v>8448</v>
      </c>
      <c r="K774" s="197">
        <v>0</v>
      </c>
      <c r="L774" s="197">
        <v>440</v>
      </c>
      <c r="M774" s="260" t="s">
        <v>239</v>
      </c>
      <c r="N774" s="260" t="s">
        <v>514</v>
      </c>
    </row>
    <row r="775" spans="1:14" ht="14.5" x14ac:dyDescent="0.35">
      <c r="A775" s="260" t="s">
        <v>563</v>
      </c>
      <c r="B775" s="190">
        <v>45914</v>
      </c>
      <c r="C775" s="260" t="s">
        <v>749</v>
      </c>
      <c r="D775" s="197">
        <v>220</v>
      </c>
      <c r="E775" s="197">
        <v>10937.666666666666</v>
      </c>
      <c r="F775" s="197">
        <v>50.9</v>
      </c>
      <c r="G775" s="190">
        <v>45912</v>
      </c>
      <c r="H775" s="196">
        <v>2</v>
      </c>
      <c r="I775" s="197">
        <v>11198</v>
      </c>
      <c r="J775" s="197">
        <v>11198</v>
      </c>
      <c r="K775" s="197">
        <v>0</v>
      </c>
      <c r="L775" s="197">
        <v>260.33333333333394</v>
      </c>
      <c r="M775" s="260" t="s">
        <v>239</v>
      </c>
      <c r="N775" s="260" t="s">
        <v>514</v>
      </c>
    </row>
    <row r="776" spans="1:14" ht="14.5" x14ac:dyDescent="0.35">
      <c r="A776" s="260" t="s">
        <v>563</v>
      </c>
      <c r="B776" s="190">
        <v>45914</v>
      </c>
      <c r="C776" s="260" t="s">
        <v>752</v>
      </c>
      <c r="D776" s="197">
        <v>30</v>
      </c>
      <c r="E776" s="197">
        <v>6006</v>
      </c>
      <c r="F776" s="197">
        <v>182.59</v>
      </c>
      <c r="G776" s="190">
        <v>45912</v>
      </c>
      <c r="H776" s="196">
        <v>2</v>
      </c>
      <c r="I776" s="197">
        <v>5477.7</v>
      </c>
      <c r="J776" s="197">
        <v>5477.7</v>
      </c>
      <c r="K776" s="197">
        <v>150</v>
      </c>
      <c r="L776" s="197">
        <v>-528.30000000000018</v>
      </c>
      <c r="M776" s="260" t="s">
        <v>239</v>
      </c>
      <c r="N776" s="260" t="s">
        <v>514</v>
      </c>
    </row>
    <row r="777" spans="1:14" ht="14.5" x14ac:dyDescent="0.35">
      <c r="A777" s="260" t="s">
        <v>563</v>
      </c>
      <c r="B777" s="190">
        <v>45914</v>
      </c>
      <c r="C777" s="260" t="s">
        <v>754</v>
      </c>
      <c r="D777" s="197">
        <v>100</v>
      </c>
      <c r="E777" s="197">
        <v>8008</v>
      </c>
      <c r="F777" s="197">
        <v>84.48</v>
      </c>
      <c r="G777" s="190">
        <v>45912</v>
      </c>
      <c r="H777" s="196">
        <v>2</v>
      </c>
      <c r="I777" s="197">
        <v>8448</v>
      </c>
      <c r="J777" s="197">
        <v>8448</v>
      </c>
      <c r="K777" s="197">
        <v>0</v>
      </c>
      <c r="L777" s="197">
        <v>440</v>
      </c>
      <c r="M777" s="260" t="s">
        <v>239</v>
      </c>
      <c r="N777" s="260" t="s">
        <v>514</v>
      </c>
    </row>
    <row r="778" spans="1:14" ht="14.5" x14ac:dyDescent="0.35">
      <c r="A778" s="260" t="s">
        <v>563</v>
      </c>
      <c r="B778" s="190">
        <v>45915</v>
      </c>
      <c r="C778" s="260" t="s">
        <v>749</v>
      </c>
      <c r="D778" s="197">
        <v>220</v>
      </c>
      <c r="E778" s="197">
        <v>10937.666666666666</v>
      </c>
      <c r="F778" s="197">
        <v>51.41</v>
      </c>
      <c r="G778" s="190">
        <v>45915</v>
      </c>
      <c r="H778" s="196">
        <v>0</v>
      </c>
      <c r="I778" s="197">
        <v>11310.199999999999</v>
      </c>
      <c r="J778" s="197">
        <v>11310.199999999999</v>
      </c>
      <c r="K778" s="197">
        <v>0</v>
      </c>
      <c r="L778" s="197">
        <v>372.53333333333285</v>
      </c>
      <c r="M778" s="260" t="s">
        <v>239</v>
      </c>
      <c r="N778" s="260" t="s">
        <v>514</v>
      </c>
    </row>
    <row r="779" spans="1:14" ht="14.5" x14ac:dyDescent="0.35">
      <c r="A779" s="260" t="s">
        <v>563</v>
      </c>
      <c r="B779" s="190">
        <v>45915</v>
      </c>
      <c r="C779" s="260" t="s">
        <v>752</v>
      </c>
      <c r="D779" s="197">
        <v>30</v>
      </c>
      <c r="E779" s="197">
        <v>6006</v>
      </c>
      <c r="F779" s="197">
        <v>181.66</v>
      </c>
      <c r="G779" s="190">
        <v>45915</v>
      </c>
      <c r="H779" s="196">
        <v>0</v>
      </c>
      <c r="I779" s="197">
        <v>5449.8</v>
      </c>
      <c r="J779" s="197">
        <v>5449.8</v>
      </c>
      <c r="K779" s="197">
        <v>0</v>
      </c>
      <c r="L779" s="197">
        <v>-556.19999999999982</v>
      </c>
      <c r="M779" s="260" t="s">
        <v>239</v>
      </c>
      <c r="N779" s="260" t="s">
        <v>514</v>
      </c>
    </row>
    <row r="780" spans="1:14" ht="14.5" x14ac:dyDescent="0.35">
      <c r="A780" s="260" t="s">
        <v>563</v>
      </c>
      <c r="B780" s="190">
        <v>45915</v>
      </c>
      <c r="C780" s="260" t="s">
        <v>754</v>
      </c>
      <c r="D780" s="197">
        <v>100</v>
      </c>
      <c r="E780" s="197">
        <v>8008</v>
      </c>
      <c r="F780" s="197">
        <v>84.07</v>
      </c>
      <c r="G780" s="190">
        <v>45915</v>
      </c>
      <c r="H780" s="196">
        <v>0</v>
      </c>
      <c r="I780" s="197">
        <v>8407</v>
      </c>
      <c r="J780" s="197">
        <v>8407</v>
      </c>
      <c r="K780" s="197">
        <v>0</v>
      </c>
      <c r="L780" s="197">
        <v>399</v>
      </c>
      <c r="M780" s="260" t="s">
        <v>239</v>
      </c>
      <c r="N780" s="260" t="s">
        <v>514</v>
      </c>
    </row>
    <row r="781" spans="1:14" ht="14.5" x14ac:dyDescent="0.35">
      <c r="A781" s="260" t="s">
        <v>563</v>
      </c>
      <c r="B781" s="190">
        <v>45916</v>
      </c>
      <c r="C781" s="260" t="s">
        <v>749</v>
      </c>
      <c r="D781" s="197">
        <v>220</v>
      </c>
      <c r="E781" s="197">
        <v>10937.666666666666</v>
      </c>
      <c r="F781" s="197">
        <v>51.59</v>
      </c>
      <c r="G781" s="190">
        <v>45916</v>
      </c>
      <c r="H781" s="196">
        <v>0</v>
      </c>
      <c r="I781" s="197">
        <v>11349.800000000001</v>
      </c>
      <c r="J781" s="197">
        <v>11349.800000000001</v>
      </c>
      <c r="K781" s="197">
        <v>0</v>
      </c>
      <c r="L781" s="197">
        <v>412.13333333333503</v>
      </c>
      <c r="M781" s="260" t="s">
        <v>239</v>
      </c>
      <c r="N781" s="260" t="s">
        <v>514</v>
      </c>
    </row>
    <row r="782" spans="1:14" ht="14.5" x14ac:dyDescent="0.35">
      <c r="A782" s="260" t="s">
        <v>563</v>
      </c>
      <c r="B782" s="190">
        <v>45916</v>
      </c>
      <c r="C782" s="260" t="s">
        <v>752</v>
      </c>
      <c r="D782" s="197">
        <v>30</v>
      </c>
      <c r="E782" s="197">
        <v>6006</v>
      </c>
      <c r="F782" s="197">
        <v>181.34</v>
      </c>
      <c r="G782" s="190">
        <v>45916</v>
      </c>
      <c r="H782" s="196">
        <v>0</v>
      </c>
      <c r="I782" s="197">
        <v>5440.2</v>
      </c>
      <c r="J782" s="197">
        <v>5440.2</v>
      </c>
      <c r="K782" s="197">
        <v>0</v>
      </c>
      <c r="L782" s="197">
        <v>-565.80000000000018</v>
      </c>
      <c r="M782" s="260" t="s">
        <v>239</v>
      </c>
      <c r="N782" s="260" t="s">
        <v>514</v>
      </c>
    </row>
    <row r="783" spans="1:14" ht="14.5" x14ac:dyDescent="0.35">
      <c r="A783" s="260" t="s">
        <v>563</v>
      </c>
      <c r="B783" s="190">
        <v>45916</v>
      </c>
      <c r="C783" s="260" t="s">
        <v>754</v>
      </c>
      <c r="D783" s="197">
        <v>100</v>
      </c>
      <c r="E783" s="197">
        <v>8008</v>
      </c>
      <c r="F783" s="197">
        <v>83.93</v>
      </c>
      <c r="G783" s="190">
        <v>45916</v>
      </c>
      <c r="H783" s="196">
        <v>0</v>
      </c>
      <c r="I783" s="197">
        <v>8393</v>
      </c>
      <c r="J783" s="197">
        <v>8393</v>
      </c>
      <c r="K783" s="197">
        <v>0</v>
      </c>
      <c r="L783" s="197">
        <v>385</v>
      </c>
      <c r="M783" s="260" t="s">
        <v>239</v>
      </c>
      <c r="N783" s="260" t="s">
        <v>514</v>
      </c>
    </row>
    <row r="784" spans="1:14" ht="14.5" x14ac:dyDescent="0.35">
      <c r="A784" s="260" t="s">
        <v>563</v>
      </c>
      <c r="B784" s="190">
        <v>45917</v>
      </c>
      <c r="C784" s="260" t="s">
        <v>749</v>
      </c>
      <c r="D784" s="197">
        <v>220</v>
      </c>
      <c r="E784" s="197">
        <v>10937.666666666666</v>
      </c>
      <c r="F784" s="197">
        <v>51.76</v>
      </c>
      <c r="G784" s="190">
        <v>45917</v>
      </c>
      <c r="H784" s="196">
        <v>0</v>
      </c>
      <c r="I784" s="197">
        <v>11387.199999999999</v>
      </c>
      <c r="J784" s="197">
        <v>11387.199999999999</v>
      </c>
      <c r="K784" s="197">
        <v>0</v>
      </c>
      <c r="L784" s="197">
        <v>449.53333333333285</v>
      </c>
      <c r="M784" s="260" t="s">
        <v>239</v>
      </c>
      <c r="N784" s="260" t="s">
        <v>514</v>
      </c>
    </row>
    <row r="785" spans="1:14" ht="14.5" x14ac:dyDescent="0.35">
      <c r="A785" s="260" t="s">
        <v>563</v>
      </c>
      <c r="B785" s="190">
        <v>45917</v>
      </c>
      <c r="C785" s="260" t="s">
        <v>752</v>
      </c>
      <c r="D785" s="197">
        <v>30</v>
      </c>
      <c r="E785" s="197">
        <v>6006</v>
      </c>
      <c r="F785" s="197">
        <v>181.03</v>
      </c>
      <c r="G785" s="190">
        <v>45917</v>
      </c>
      <c r="H785" s="196">
        <v>0</v>
      </c>
      <c r="I785" s="197">
        <v>5430.9</v>
      </c>
      <c r="J785" s="197">
        <v>5430.9</v>
      </c>
      <c r="K785" s="197">
        <v>0</v>
      </c>
      <c r="L785" s="197">
        <v>-575.10000000000036</v>
      </c>
      <c r="M785" s="260" t="s">
        <v>239</v>
      </c>
      <c r="N785" s="260" t="s">
        <v>514</v>
      </c>
    </row>
    <row r="786" spans="1:14" ht="14.5" x14ac:dyDescent="0.35">
      <c r="A786" s="260" t="s">
        <v>563</v>
      </c>
      <c r="B786" s="190">
        <v>45917</v>
      </c>
      <c r="C786" s="260" t="s">
        <v>754</v>
      </c>
      <c r="D786" s="197">
        <v>100</v>
      </c>
      <c r="E786" s="197">
        <v>8008</v>
      </c>
      <c r="F786" s="197">
        <v>83.79</v>
      </c>
      <c r="G786" s="190">
        <v>45917</v>
      </c>
      <c r="H786" s="196">
        <v>0</v>
      </c>
      <c r="I786" s="197">
        <v>8379</v>
      </c>
      <c r="J786" s="197">
        <v>8379</v>
      </c>
      <c r="K786" s="197">
        <v>0</v>
      </c>
      <c r="L786" s="197">
        <v>371</v>
      </c>
      <c r="M786" s="260" t="s">
        <v>239</v>
      </c>
      <c r="N786" s="260" t="s">
        <v>514</v>
      </c>
    </row>
    <row r="787" spans="1:14" ht="14.5" x14ac:dyDescent="0.35">
      <c r="A787" s="260" t="s">
        <v>563</v>
      </c>
      <c r="B787" s="190">
        <v>45918</v>
      </c>
      <c r="C787" s="260" t="s">
        <v>749</v>
      </c>
      <c r="D787" s="197">
        <v>220</v>
      </c>
      <c r="E787" s="197">
        <v>10937.666666666666</v>
      </c>
      <c r="F787" s="197">
        <v>51.93</v>
      </c>
      <c r="G787" s="190">
        <v>45918</v>
      </c>
      <c r="H787" s="196">
        <v>0</v>
      </c>
      <c r="I787" s="197">
        <v>11424.6</v>
      </c>
      <c r="J787" s="197">
        <v>11424.6</v>
      </c>
      <c r="K787" s="197">
        <v>0</v>
      </c>
      <c r="L787" s="197">
        <v>486.9333333333343</v>
      </c>
      <c r="M787" s="260" t="s">
        <v>239</v>
      </c>
      <c r="N787" s="260" t="s">
        <v>514</v>
      </c>
    </row>
    <row r="788" spans="1:14" ht="14.5" x14ac:dyDescent="0.35">
      <c r="A788" s="260" t="s">
        <v>563</v>
      </c>
      <c r="B788" s="190">
        <v>45918</v>
      </c>
      <c r="C788" s="260" t="s">
        <v>752</v>
      </c>
      <c r="D788" s="197">
        <v>30</v>
      </c>
      <c r="E788" s="197">
        <v>6006</v>
      </c>
      <c r="F788" s="197">
        <v>180.72</v>
      </c>
      <c r="G788" s="190">
        <v>45918</v>
      </c>
      <c r="H788" s="196">
        <v>0</v>
      </c>
      <c r="I788" s="197">
        <v>5421.6</v>
      </c>
      <c r="J788" s="197">
        <v>5421.6</v>
      </c>
      <c r="K788" s="197">
        <v>0</v>
      </c>
      <c r="L788" s="197">
        <v>-584.39999999999964</v>
      </c>
      <c r="M788" s="260" t="s">
        <v>239</v>
      </c>
      <c r="N788" s="260" t="s">
        <v>514</v>
      </c>
    </row>
    <row r="789" spans="1:14" ht="14.5" x14ac:dyDescent="0.35">
      <c r="A789" s="260" t="s">
        <v>563</v>
      </c>
      <c r="B789" s="190">
        <v>45918</v>
      </c>
      <c r="C789" s="260" t="s">
        <v>754</v>
      </c>
      <c r="D789" s="197">
        <v>100</v>
      </c>
      <c r="E789" s="197">
        <v>8008</v>
      </c>
      <c r="F789" s="197">
        <v>83.66</v>
      </c>
      <c r="G789" s="190">
        <v>45918</v>
      </c>
      <c r="H789" s="196">
        <v>0</v>
      </c>
      <c r="I789" s="197">
        <v>8366</v>
      </c>
      <c r="J789" s="197">
        <v>8366</v>
      </c>
      <c r="K789" s="197">
        <v>0</v>
      </c>
      <c r="L789" s="197">
        <v>358</v>
      </c>
      <c r="M789" s="260" t="s">
        <v>239</v>
      </c>
      <c r="N789" s="260" t="s">
        <v>514</v>
      </c>
    </row>
    <row r="790" spans="1:14" ht="14.5" x14ac:dyDescent="0.35">
      <c r="A790" s="260" t="s">
        <v>563</v>
      </c>
      <c r="B790" s="190">
        <v>45919</v>
      </c>
      <c r="C790" s="260" t="s">
        <v>749</v>
      </c>
      <c r="D790" s="197">
        <v>220</v>
      </c>
      <c r="E790" s="197">
        <v>10937.666666666666</v>
      </c>
      <c r="F790" s="197">
        <v>52.1</v>
      </c>
      <c r="G790" s="190">
        <v>45919</v>
      </c>
      <c r="H790" s="196">
        <v>0</v>
      </c>
      <c r="I790" s="197">
        <v>11462</v>
      </c>
      <c r="J790" s="197">
        <v>11462</v>
      </c>
      <c r="K790" s="197">
        <v>0</v>
      </c>
      <c r="L790" s="197">
        <v>524.33333333333394</v>
      </c>
      <c r="M790" s="260" t="s">
        <v>239</v>
      </c>
      <c r="N790" s="260" t="s">
        <v>514</v>
      </c>
    </row>
    <row r="791" spans="1:14" ht="14.5" x14ac:dyDescent="0.35">
      <c r="A791" s="260" t="s">
        <v>563</v>
      </c>
      <c r="B791" s="190">
        <v>45919</v>
      </c>
      <c r="C791" s="260" t="s">
        <v>752</v>
      </c>
      <c r="D791" s="197">
        <v>30</v>
      </c>
      <c r="E791" s="197">
        <v>6006</v>
      </c>
      <c r="F791" s="197">
        <v>180.41</v>
      </c>
      <c r="G791" s="190">
        <v>45919</v>
      </c>
      <c r="H791" s="196">
        <v>0</v>
      </c>
      <c r="I791" s="197">
        <v>5412.3</v>
      </c>
      <c r="J791" s="197">
        <v>5412.3</v>
      </c>
      <c r="K791" s="197">
        <v>0</v>
      </c>
      <c r="L791" s="197">
        <v>-593.69999999999982</v>
      </c>
      <c r="M791" s="260" t="s">
        <v>239</v>
      </c>
      <c r="N791" s="260" t="s">
        <v>514</v>
      </c>
    </row>
    <row r="792" spans="1:14" ht="14.5" x14ac:dyDescent="0.35">
      <c r="A792" s="260" t="s">
        <v>563</v>
      </c>
      <c r="B792" s="190">
        <v>45919</v>
      </c>
      <c r="C792" s="260" t="s">
        <v>754</v>
      </c>
      <c r="D792" s="197">
        <v>100</v>
      </c>
      <c r="E792" s="197">
        <v>8008</v>
      </c>
      <c r="F792" s="197">
        <v>83.52</v>
      </c>
      <c r="G792" s="190">
        <v>45919</v>
      </c>
      <c r="H792" s="196">
        <v>0</v>
      </c>
      <c r="I792" s="197">
        <v>8352</v>
      </c>
      <c r="J792" s="197">
        <v>8352</v>
      </c>
      <c r="K792" s="197">
        <v>0</v>
      </c>
      <c r="L792" s="197">
        <v>344</v>
      </c>
      <c r="M792" s="260" t="s">
        <v>239</v>
      </c>
      <c r="N792" s="260" t="s">
        <v>514</v>
      </c>
    </row>
    <row r="793" spans="1:14" ht="14.5" x14ac:dyDescent="0.35">
      <c r="A793" s="260" t="s">
        <v>563</v>
      </c>
      <c r="B793" s="190">
        <v>45920</v>
      </c>
      <c r="C793" s="260" t="s">
        <v>749</v>
      </c>
      <c r="D793" s="197">
        <v>220</v>
      </c>
      <c r="E793" s="197">
        <v>10937.666666666666</v>
      </c>
      <c r="F793" s="197">
        <v>52.1</v>
      </c>
      <c r="G793" s="190">
        <v>45919</v>
      </c>
      <c r="H793" s="196">
        <v>1</v>
      </c>
      <c r="I793" s="197">
        <v>11462</v>
      </c>
      <c r="J793" s="197">
        <v>11462</v>
      </c>
      <c r="K793" s="197">
        <v>0</v>
      </c>
      <c r="L793" s="197">
        <v>524.33333333333394</v>
      </c>
      <c r="M793" s="260" t="s">
        <v>239</v>
      </c>
      <c r="N793" s="260" t="s">
        <v>514</v>
      </c>
    </row>
    <row r="794" spans="1:14" ht="14.5" x14ac:dyDescent="0.35">
      <c r="A794" s="260" t="s">
        <v>563</v>
      </c>
      <c r="B794" s="190">
        <v>45920</v>
      </c>
      <c r="C794" s="260" t="s">
        <v>752</v>
      </c>
      <c r="D794" s="197">
        <v>30</v>
      </c>
      <c r="E794" s="197">
        <v>6006</v>
      </c>
      <c r="F794" s="197">
        <v>180.41</v>
      </c>
      <c r="G794" s="190">
        <v>45919</v>
      </c>
      <c r="H794" s="196">
        <v>1</v>
      </c>
      <c r="I794" s="197">
        <v>5412.3</v>
      </c>
      <c r="J794" s="197">
        <v>5412.3</v>
      </c>
      <c r="K794" s="197">
        <v>0</v>
      </c>
      <c r="L794" s="197">
        <v>-593.69999999999982</v>
      </c>
      <c r="M794" s="260" t="s">
        <v>239</v>
      </c>
      <c r="N794" s="260" t="s">
        <v>514</v>
      </c>
    </row>
    <row r="795" spans="1:14" ht="14.5" x14ac:dyDescent="0.35">
      <c r="A795" s="260" t="s">
        <v>563</v>
      </c>
      <c r="B795" s="190">
        <v>45920</v>
      </c>
      <c r="C795" s="260" t="s">
        <v>754</v>
      </c>
      <c r="D795" s="197">
        <v>100</v>
      </c>
      <c r="E795" s="197">
        <v>8008</v>
      </c>
      <c r="F795" s="197">
        <v>83.52</v>
      </c>
      <c r="G795" s="190">
        <v>45919</v>
      </c>
      <c r="H795" s="196">
        <v>1</v>
      </c>
      <c r="I795" s="197">
        <v>8352</v>
      </c>
      <c r="J795" s="197">
        <v>8352</v>
      </c>
      <c r="K795" s="197">
        <v>0</v>
      </c>
      <c r="L795" s="197">
        <v>344</v>
      </c>
      <c r="M795" s="260" t="s">
        <v>239</v>
      </c>
      <c r="N795" s="260" t="s">
        <v>514</v>
      </c>
    </row>
    <row r="796" spans="1:14" ht="14.5" x14ac:dyDescent="0.35">
      <c r="A796" s="260" t="s">
        <v>563</v>
      </c>
      <c r="B796" s="190">
        <v>45921</v>
      </c>
      <c r="C796" s="260" t="s">
        <v>749</v>
      </c>
      <c r="D796" s="197">
        <v>220</v>
      </c>
      <c r="E796" s="197">
        <v>10937.666666666666</v>
      </c>
      <c r="F796" s="197">
        <v>52.1</v>
      </c>
      <c r="G796" s="190">
        <v>45919</v>
      </c>
      <c r="H796" s="196">
        <v>2</v>
      </c>
      <c r="I796" s="197">
        <v>11462</v>
      </c>
      <c r="J796" s="197">
        <v>11462</v>
      </c>
      <c r="K796" s="197">
        <v>0</v>
      </c>
      <c r="L796" s="197">
        <v>524.33333333333394</v>
      </c>
      <c r="M796" s="260" t="s">
        <v>239</v>
      </c>
      <c r="N796" s="260" t="s">
        <v>514</v>
      </c>
    </row>
    <row r="797" spans="1:14" ht="14.5" x14ac:dyDescent="0.35">
      <c r="A797" s="260" t="s">
        <v>563</v>
      </c>
      <c r="B797" s="190">
        <v>45921</v>
      </c>
      <c r="C797" s="260" t="s">
        <v>752</v>
      </c>
      <c r="D797" s="197">
        <v>30</v>
      </c>
      <c r="E797" s="197">
        <v>6006</v>
      </c>
      <c r="F797" s="197">
        <v>180.41</v>
      </c>
      <c r="G797" s="190">
        <v>45919</v>
      </c>
      <c r="H797" s="196">
        <v>2</v>
      </c>
      <c r="I797" s="197">
        <v>5412.3</v>
      </c>
      <c r="J797" s="197">
        <v>5412.3</v>
      </c>
      <c r="K797" s="197">
        <v>0</v>
      </c>
      <c r="L797" s="197">
        <v>-593.69999999999982</v>
      </c>
      <c r="M797" s="260" t="s">
        <v>239</v>
      </c>
      <c r="N797" s="260" t="s">
        <v>514</v>
      </c>
    </row>
    <row r="798" spans="1:14" ht="14.5" x14ac:dyDescent="0.35">
      <c r="A798" s="260" t="s">
        <v>563</v>
      </c>
      <c r="B798" s="190">
        <v>45921</v>
      </c>
      <c r="C798" s="260" t="s">
        <v>754</v>
      </c>
      <c r="D798" s="197">
        <v>100</v>
      </c>
      <c r="E798" s="197">
        <v>8008</v>
      </c>
      <c r="F798" s="197">
        <v>83.52</v>
      </c>
      <c r="G798" s="190">
        <v>45919</v>
      </c>
      <c r="H798" s="196">
        <v>2</v>
      </c>
      <c r="I798" s="197">
        <v>8352</v>
      </c>
      <c r="J798" s="197">
        <v>8352</v>
      </c>
      <c r="K798" s="197">
        <v>0</v>
      </c>
      <c r="L798" s="197">
        <v>344</v>
      </c>
      <c r="M798" s="260" t="s">
        <v>239</v>
      </c>
      <c r="N798" s="260" t="s">
        <v>514</v>
      </c>
    </row>
    <row r="799" spans="1:14" ht="14.5" x14ac:dyDescent="0.35">
      <c r="A799" s="260" t="s">
        <v>563</v>
      </c>
      <c r="B799" s="190">
        <v>45922</v>
      </c>
      <c r="C799" s="260" t="s">
        <v>749</v>
      </c>
      <c r="D799" s="197">
        <v>220</v>
      </c>
      <c r="E799" s="197">
        <v>10937.666666666666</v>
      </c>
      <c r="F799" s="197">
        <v>52.62</v>
      </c>
      <c r="G799" s="190">
        <v>45922</v>
      </c>
      <c r="H799" s="196">
        <v>0</v>
      </c>
      <c r="I799" s="197">
        <v>11576.4</v>
      </c>
      <c r="J799" s="197">
        <v>11576.4</v>
      </c>
      <c r="K799" s="197">
        <v>0</v>
      </c>
      <c r="L799" s="197">
        <v>638.73333333333358</v>
      </c>
      <c r="M799" s="260" t="s">
        <v>239</v>
      </c>
      <c r="N799" s="260" t="s">
        <v>514</v>
      </c>
    </row>
    <row r="800" spans="1:14" ht="14.5" x14ac:dyDescent="0.35">
      <c r="A800" s="260" t="s">
        <v>563</v>
      </c>
      <c r="B800" s="190">
        <v>45922</v>
      </c>
      <c r="C800" s="260" t="s">
        <v>752</v>
      </c>
      <c r="D800" s="197">
        <v>30</v>
      </c>
      <c r="E800" s="197">
        <v>6006</v>
      </c>
      <c r="F800" s="197">
        <v>179.48</v>
      </c>
      <c r="G800" s="190">
        <v>45922</v>
      </c>
      <c r="H800" s="196">
        <v>0</v>
      </c>
      <c r="I800" s="197">
        <v>5384.4</v>
      </c>
      <c r="J800" s="197">
        <v>5384.4</v>
      </c>
      <c r="K800" s="197">
        <v>0</v>
      </c>
      <c r="L800" s="197">
        <v>-621.60000000000036</v>
      </c>
      <c r="M800" s="260" t="s">
        <v>239</v>
      </c>
      <c r="N800" s="260" t="s">
        <v>514</v>
      </c>
    </row>
    <row r="801" spans="1:14" ht="14.5" x14ac:dyDescent="0.35">
      <c r="A801" s="260" t="s">
        <v>563</v>
      </c>
      <c r="B801" s="190">
        <v>45922</v>
      </c>
      <c r="C801" s="260" t="s">
        <v>754</v>
      </c>
      <c r="D801" s="197">
        <v>100</v>
      </c>
      <c r="E801" s="197">
        <v>8008</v>
      </c>
      <c r="F801" s="197">
        <v>83.1</v>
      </c>
      <c r="G801" s="190">
        <v>45922</v>
      </c>
      <c r="H801" s="196">
        <v>0</v>
      </c>
      <c r="I801" s="197">
        <v>8310</v>
      </c>
      <c r="J801" s="197">
        <v>8310</v>
      </c>
      <c r="K801" s="197">
        <v>0</v>
      </c>
      <c r="L801" s="197">
        <v>302</v>
      </c>
      <c r="M801" s="260" t="s">
        <v>239</v>
      </c>
      <c r="N801" s="260" t="s">
        <v>514</v>
      </c>
    </row>
    <row r="802" spans="1:14" ht="14.5" x14ac:dyDescent="0.35">
      <c r="A802" s="260" t="s">
        <v>563</v>
      </c>
      <c r="B802" s="190">
        <v>45923</v>
      </c>
      <c r="C802" s="260" t="s">
        <v>749</v>
      </c>
      <c r="D802" s="197">
        <v>220</v>
      </c>
      <c r="E802" s="197">
        <v>10937.666666666666</v>
      </c>
      <c r="F802" s="197">
        <v>52.79</v>
      </c>
      <c r="G802" s="190">
        <v>45923</v>
      </c>
      <c r="H802" s="196">
        <v>0</v>
      </c>
      <c r="I802" s="197">
        <v>11613.8</v>
      </c>
      <c r="J802" s="197">
        <v>11613.8</v>
      </c>
      <c r="K802" s="197">
        <v>0</v>
      </c>
      <c r="L802" s="197">
        <v>676.13333333333321</v>
      </c>
      <c r="M802" s="260" t="s">
        <v>239</v>
      </c>
      <c r="N802" s="260" t="s">
        <v>514</v>
      </c>
    </row>
    <row r="803" spans="1:14" ht="14.5" x14ac:dyDescent="0.35">
      <c r="A803" s="260" t="s">
        <v>563</v>
      </c>
      <c r="B803" s="190">
        <v>45923</v>
      </c>
      <c r="C803" s="260" t="s">
        <v>752</v>
      </c>
      <c r="D803" s="197">
        <v>30</v>
      </c>
      <c r="E803" s="197">
        <v>6006</v>
      </c>
      <c r="F803" s="197">
        <v>179.17</v>
      </c>
      <c r="G803" s="190">
        <v>45923</v>
      </c>
      <c r="H803" s="196">
        <v>0</v>
      </c>
      <c r="I803" s="197">
        <v>5375.0999999999995</v>
      </c>
      <c r="J803" s="197">
        <v>5375.0999999999995</v>
      </c>
      <c r="K803" s="197">
        <v>0</v>
      </c>
      <c r="L803" s="197">
        <v>-630.90000000000055</v>
      </c>
      <c r="M803" s="260" t="s">
        <v>239</v>
      </c>
      <c r="N803" s="260" t="s">
        <v>514</v>
      </c>
    </row>
    <row r="804" spans="1:14" ht="14.5" x14ac:dyDescent="0.35">
      <c r="A804" s="260" t="s">
        <v>563</v>
      </c>
      <c r="B804" s="190">
        <v>45923</v>
      </c>
      <c r="C804" s="260" t="s">
        <v>754</v>
      </c>
      <c r="D804" s="197">
        <v>100</v>
      </c>
      <c r="E804" s="197">
        <v>8008</v>
      </c>
      <c r="F804" s="197">
        <v>82.97</v>
      </c>
      <c r="G804" s="190">
        <v>45923</v>
      </c>
      <c r="H804" s="196">
        <v>0</v>
      </c>
      <c r="I804" s="197">
        <v>8297</v>
      </c>
      <c r="J804" s="197">
        <v>8297</v>
      </c>
      <c r="K804" s="197">
        <v>0</v>
      </c>
      <c r="L804" s="197">
        <v>289</v>
      </c>
      <c r="M804" s="260" t="s">
        <v>239</v>
      </c>
      <c r="N804" s="260" t="s">
        <v>514</v>
      </c>
    </row>
    <row r="805" spans="1:14" ht="14.5" x14ac:dyDescent="0.35">
      <c r="A805" s="260" t="s">
        <v>563</v>
      </c>
      <c r="B805" s="190">
        <v>45924</v>
      </c>
      <c r="C805" s="260" t="s">
        <v>749</v>
      </c>
      <c r="D805" s="197">
        <v>220</v>
      </c>
      <c r="E805" s="197">
        <v>10937.666666666666</v>
      </c>
      <c r="F805" s="197">
        <v>52.97</v>
      </c>
      <c r="G805" s="190">
        <v>45924</v>
      </c>
      <c r="H805" s="196">
        <v>0</v>
      </c>
      <c r="I805" s="197">
        <v>11653.4</v>
      </c>
      <c r="J805" s="197">
        <v>11653.4</v>
      </c>
      <c r="K805" s="197">
        <v>0</v>
      </c>
      <c r="L805" s="197">
        <v>715.73333333333358</v>
      </c>
      <c r="M805" s="260" t="s">
        <v>239</v>
      </c>
      <c r="N805" s="260" t="s">
        <v>514</v>
      </c>
    </row>
    <row r="806" spans="1:14" ht="14.5" x14ac:dyDescent="0.35">
      <c r="A806" s="260" t="s">
        <v>563</v>
      </c>
      <c r="B806" s="190">
        <v>45924</v>
      </c>
      <c r="C806" s="260" t="s">
        <v>752</v>
      </c>
      <c r="D806" s="197">
        <v>30</v>
      </c>
      <c r="E806" s="197">
        <v>6006</v>
      </c>
      <c r="F806" s="197">
        <v>178.86</v>
      </c>
      <c r="G806" s="190">
        <v>45924</v>
      </c>
      <c r="H806" s="196">
        <v>0</v>
      </c>
      <c r="I806" s="197">
        <v>5365.8</v>
      </c>
      <c r="J806" s="197">
        <v>5365.8</v>
      </c>
      <c r="K806" s="197">
        <v>0</v>
      </c>
      <c r="L806" s="197">
        <v>-640.19999999999982</v>
      </c>
      <c r="M806" s="260" t="s">
        <v>239</v>
      </c>
      <c r="N806" s="260" t="s">
        <v>514</v>
      </c>
    </row>
    <row r="807" spans="1:14" ht="14.5" x14ac:dyDescent="0.35">
      <c r="A807" s="260" t="s">
        <v>563</v>
      </c>
      <c r="B807" s="190">
        <v>45924</v>
      </c>
      <c r="C807" s="260" t="s">
        <v>754</v>
      </c>
      <c r="D807" s="197">
        <v>100</v>
      </c>
      <c r="E807" s="197">
        <v>8008</v>
      </c>
      <c r="F807" s="197">
        <v>82.83</v>
      </c>
      <c r="G807" s="190">
        <v>45924</v>
      </c>
      <c r="H807" s="196">
        <v>0</v>
      </c>
      <c r="I807" s="197">
        <v>8283</v>
      </c>
      <c r="J807" s="197">
        <v>8283</v>
      </c>
      <c r="K807" s="197">
        <v>0</v>
      </c>
      <c r="L807" s="197">
        <v>275</v>
      </c>
      <c r="M807" s="260" t="s">
        <v>239</v>
      </c>
      <c r="N807" s="260" t="s">
        <v>514</v>
      </c>
    </row>
    <row r="808" spans="1:14" ht="14.5" x14ac:dyDescent="0.35">
      <c r="A808" s="260" t="s">
        <v>563</v>
      </c>
      <c r="B808" s="190">
        <v>45925</v>
      </c>
      <c r="C808" s="260" t="s">
        <v>749</v>
      </c>
      <c r="D808" s="197">
        <v>220</v>
      </c>
      <c r="E808" s="197">
        <v>10937.666666666666</v>
      </c>
      <c r="F808" s="197">
        <v>53.14</v>
      </c>
      <c r="G808" s="190">
        <v>45925</v>
      </c>
      <c r="H808" s="196">
        <v>0</v>
      </c>
      <c r="I808" s="197">
        <v>11690.8</v>
      </c>
      <c r="J808" s="197">
        <v>11690.8</v>
      </c>
      <c r="K808" s="197">
        <v>0</v>
      </c>
      <c r="L808" s="197">
        <v>753.13333333333321</v>
      </c>
      <c r="M808" s="260" t="s">
        <v>239</v>
      </c>
      <c r="N808" s="260" t="s">
        <v>514</v>
      </c>
    </row>
    <row r="809" spans="1:14" ht="14.5" x14ac:dyDescent="0.35">
      <c r="A809" s="260" t="s">
        <v>563</v>
      </c>
      <c r="B809" s="190">
        <v>45925</v>
      </c>
      <c r="C809" s="260" t="s">
        <v>752</v>
      </c>
      <c r="D809" s="197">
        <v>30</v>
      </c>
      <c r="E809" s="197">
        <v>6006</v>
      </c>
      <c r="F809" s="197">
        <v>178.55</v>
      </c>
      <c r="G809" s="190">
        <v>45925</v>
      </c>
      <c r="H809" s="196">
        <v>0</v>
      </c>
      <c r="I809" s="197">
        <v>5356.5</v>
      </c>
      <c r="J809" s="197">
        <v>5356.5</v>
      </c>
      <c r="K809" s="197">
        <v>0</v>
      </c>
      <c r="L809" s="197">
        <v>-649.5</v>
      </c>
      <c r="M809" s="260" t="s">
        <v>239</v>
      </c>
      <c r="N809" s="260" t="s">
        <v>514</v>
      </c>
    </row>
    <row r="810" spans="1:14" ht="14.5" x14ac:dyDescent="0.35">
      <c r="A810" s="260" t="s">
        <v>563</v>
      </c>
      <c r="B810" s="190">
        <v>45925</v>
      </c>
      <c r="C810" s="260" t="s">
        <v>754</v>
      </c>
      <c r="D810" s="197">
        <v>100</v>
      </c>
      <c r="E810" s="197">
        <v>8008</v>
      </c>
      <c r="F810" s="197">
        <v>82.69</v>
      </c>
      <c r="G810" s="190">
        <v>45925</v>
      </c>
      <c r="H810" s="196">
        <v>0</v>
      </c>
      <c r="I810" s="197">
        <v>8269</v>
      </c>
      <c r="J810" s="197">
        <v>8269</v>
      </c>
      <c r="K810" s="197">
        <v>0</v>
      </c>
      <c r="L810" s="197">
        <v>261</v>
      </c>
      <c r="M810" s="260" t="s">
        <v>239</v>
      </c>
      <c r="N810" s="260" t="s">
        <v>514</v>
      </c>
    </row>
    <row r="811" spans="1:14" ht="14.5" x14ac:dyDescent="0.35">
      <c r="A811" s="260" t="s">
        <v>563</v>
      </c>
      <c r="B811" s="190">
        <v>45926</v>
      </c>
      <c r="C811" s="260" t="s">
        <v>749</v>
      </c>
      <c r="D811" s="197">
        <v>220</v>
      </c>
      <c r="E811" s="197">
        <v>10937.666666666666</v>
      </c>
      <c r="F811" s="197">
        <v>53.31</v>
      </c>
      <c r="G811" s="190">
        <v>45926</v>
      </c>
      <c r="H811" s="196">
        <v>0</v>
      </c>
      <c r="I811" s="197">
        <v>11728.2</v>
      </c>
      <c r="J811" s="197">
        <v>11728.2</v>
      </c>
      <c r="K811" s="197">
        <v>0</v>
      </c>
      <c r="L811" s="197">
        <v>790.53333333333467</v>
      </c>
      <c r="M811" s="260" t="s">
        <v>239</v>
      </c>
      <c r="N811" s="260" t="s">
        <v>514</v>
      </c>
    </row>
    <row r="812" spans="1:14" ht="14.5" x14ac:dyDescent="0.35">
      <c r="A812" s="260" t="s">
        <v>563</v>
      </c>
      <c r="B812" s="190">
        <v>45926</v>
      </c>
      <c r="C812" s="260" t="s">
        <v>752</v>
      </c>
      <c r="D812" s="197">
        <v>30</v>
      </c>
      <c r="E812" s="197">
        <v>6006</v>
      </c>
      <c r="F812" s="197">
        <v>178.24</v>
      </c>
      <c r="G812" s="190">
        <v>45926</v>
      </c>
      <c r="H812" s="196">
        <v>0</v>
      </c>
      <c r="I812" s="197">
        <v>5347.2000000000007</v>
      </c>
      <c r="J812" s="197">
        <v>5347.2000000000007</v>
      </c>
      <c r="K812" s="197">
        <v>0</v>
      </c>
      <c r="L812" s="197">
        <v>-658.79999999999927</v>
      </c>
      <c r="M812" s="260" t="s">
        <v>239</v>
      </c>
      <c r="N812" s="260" t="s">
        <v>514</v>
      </c>
    </row>
    <row r="813" spans="1:14" ht="14.5" x14ac:dyDescent="0.35">
      <c r="A813" s="260" t="s">
        <v>563</v>
      </c>
      <c r="B813" s="190">
        <v>45926</v>
      </c>
      <c r="C813" s="260" t="s">
        <v>754</v>
      </c>
      <c r="D813" s="197">
        <v>100</v>
      </c>
      <c r="E813" s="197">
        <v>8008</v>
      </c>
      <c r="F813" s="197">
        <v>82.55</v>
      </c>
      <c r="G813" s="190">
        <v>45926</v>
      </c>
      <c r="H813" s="196">
        <v>0</v>
      </c>
      <c r="I813" s="197">
        <v>8255</v>
      </c>
      <c r="J813" s="197">
        <v>8255</v>
      </c>
      <c r="K813" s="197">
        <v>0</v>
      </c>
      <c r="L813" s="197">
        <v>247</v>
      </c>
      <c r="M813" s="260" t="s">
        <v>239</v>
      </c>
      <c r="N813" s="260" t="s">
        <v>514</v>
      </c>
    </row>
    <row r="814" spans="1:14" ht="14.5" x14ac:dyDescent="0.35">
      <c r="A814" s="260" t="s">
        <v>563</v>
      </c>
      <c r="B814" s="190">
        <v>45927</v>
      </c>
      <c r="C814" s="260" t="s">
        <v>749</v>
      </c>
      <c r="D814" s="197">
        <v>220</v>
      </c>
      <c r="E814" s="197">
        <v>10937.666666666666</v>
      </c>
      <c r="F814" s="197">
        <v>53.31</v>
      </c>
      <c r="G814" s="190">
        <v>45926</v>
      </c>
      <c r="H814" s="196">
        <v>1</v>
      </c>
      <c r="I814" s="197">
        <v>11728.2</v>
      </c>
      <c r="J814" s="197">
        <v>11728.2</v>
      </c>
      <c r="K814" s="197">
        <v>0</v>
      </c>
      <c r="L814" s="197">
        <v>790.53333333333467</v>
      </c>
      <c r="M814" s="260" t="s">
        <v>239</v>
      </c>
      <c r="N814" s="260" t="s">
        <v>514</v>
      </c>
    </row>
    <row r="815" spans="1:14" ht="14.5" x14ac:dyDescent="0.35">
      <c r="A815" s="260" t="s">
        <v>563</v>
      </c>
      <c r="B815" s="190">
        <v>45927</v>
      </c>
      <c r="C815" s="260" t="s">
        <v>752</v>
      </c>
      <c r="D815" s="197">
        <v>30</v>
      </c>
      <c r="E815" s="197">
        <v>6006</v>
      </c>
      <c r="F815" s="197">
        <v>178.24</v>
      </c>
      <c r="G815" s="190">
        <v>45926</v>
      </c>
      <c r="H815" s="196">
        <v>1</v>
      </c>
      <c r="I815" s="197">
        <v>5347.2000000000007</v>
      </c>
      <c r="J815" s="197">
        <v>5347.2000000000007</v>
      </c>
      <c r="K815" s="197">
        <v>0</v>
      </c>
      <c r="L815" s="197">
        <v>-658.79999999999927</v>
      </c>
      <c r="M815" s="260" t="s">
        <v>239</v>
      </c>
      <c r="N815" s="260" t="s">
        <v>514</v>
      </c>
    </row>
    <row r="816" spans="1:14" ht="14.5" x14ac:dyDescent="0.35">
      <c r="A816" s="260" t="s">
        <v>563</v>
      </c>
      <c r="B816" s="190">
        <v>45927</v>
      </c>
      <c r="C816" s="260" t="s">
        <v>754</v>
      </c>
      <c r="D816" s="197">
        <v>100</v>
      </c>
      <c r="E816" s="197">
        <v>8008</v>
      </c>
      <c r="F816" s="197">
        <v>82.55</v>
      </c>
      <c r="G816" s="190">
        <v>45926</v>
      </c>
      <c r="H816" s="196">
        <v>1</v>
      </c>
      <c r="I816" s="197">
        <v>8255</v>
      </c>
      <c r="J816" s="197">
        <v>8255</v>
      </c>
      <c r="K816" s="197">
        <v>0</v>
      </c>
      <c r="L816" s="197">
        <v>247</v>
      </c>
      <c r="M816" s="260" t="s">
        <v>239</v>
      </c>
      <c r="N816" s="260" t="s">
        <v>514</v>
      </c>
    </row>
    <row r="817" spans="1:14" ht="14.5" x14ac:dyDescent="0.35">
      <c r="A817" s="260" t="s">
        <v>563</v>
      </c>
      <c r="B817" s="190">
        <v>45928</v>
      </c>
      <c r="C817" s="260" t="s">
        <v>749</v>
      </c>
      <c r="D817" s="197">
        <v>220</v>
      </c>
      <c r="E817" s="197">
        <v>10937.666666666666</v>
      </c>
      <c r="F817" s="197">
        <v>53.31</v>
      </c>
      <c r="G817" s="190">
        <v>45926</v>
      </c>
      <c r="H817" s="196">
        <v>2</v>
      </c>
      <c r="I817" s="197">
        <v>11728.2</v>
      </c>
      <c r="J817" s="197">
        <v>11728.2</v>
      </c>
      <c r="K817" s="197">
        <v>0</v>
      </c>
      <c r="L817" s="197">
        <v>790.53333333333467</v>
      </c>
      <c r="M817" s="260" t="s">
        <v>239</v>
      </c>
      <c r="N817" s="260" t="s">
        <v>514</v>
      </c>
    </row>
    <row r="818" spans="1:14" ht="14.5" x14ac:dyDescent="0.35">
      <c r="A818" s="260" t="s">
        <v>563</v>
      </c>
      <c r="B818" s="190">
        <v>45928</v>
      </c>
      <c r="C818" s="260" t="s">
        <v>752</v>
      </c>
      <c r="D818" s="197">
        <v>30</v>
      </c>
      <c r="E818" s="197">
        <v>6006</v>
      </c>
      <c r="F818" s="197">
        <v>178.24</v>
      </c>
      <c r="G818" s="190">
        <v>45926</v>
      </c>
      <c r="H818" s="196">
        <v>2</v>
      </c>
      <c r="I818" s="197">
        <v>5347.2000000000007</v>
      </c>
      <c r="J818" s="197">
        <v>5347.2000000000007</v>
      </c>
      <c r="K818" s="197">
        <v>0</v>
      </c>
      <c r="L818" s="197">
        <v>-658.79999999999927</v>
      </c>
      <c r="M818" s="260" t="s">
        <v>239</v>
      </c>
      <c r="N818" s="260" t="s">
        <v>514</v>
      </c>
    </row>
    <row r="819" spans="1:14" ht="14.5" x14ac:dyDescent="0.35">
      <c r="A819" s="260" t="s">
        <v>563</v>
      </c>
      <c r="B819" s="190">
        <v>45928</v>
      </c>
      <c r="C819" s="260" t="s">
        <v>754</v>
      </c>
      <c r="D819" s="197">
        <v>100</v>
      </c>
      <c r="E819" s="197">
        <v>8008</v>
      </c>
      <c r="F819" s="197">
        <v>82.55</v>
      </c>
      <c r="G819" s="190">
        <v>45926</v>
      </c>
      <c r="H819" s="196">
        <v>2</v>
      </c>
      <c r="I819" s="197">
        <v>8255</v>
      </c>
      <c r="J819" s="197">
        <v>8255</v>
      </c>
      <c r="K819" s="197">
        <v>0</v>
      </c>
      <c r="L819" s="197">
        <v>247</v>
      </c>
      <c r="M819" s="260" t="s">
        <v>239</v>
      </c>
      <c r="N819" s="260" t="s">
        <v>514</v>
      </c>
    </row>
    <row r="820" spans="1:14" ht="14.5" x14ac:dyDescent="0.35">
      <c r="A820" s="260" t="s">
        <v>563</v>
      </c>
      <c r="B820" s="190">
        <v>45929</v>
      </c>
      <c r="C820" s="260" t="s">
        <v>749</v>
      </c>
      <c r="D820" s="197">
        <v>220</v>
      </c>
      <c r="E820" s="197">
        <v>10937.666666666666</v>
      </c>
      <c r="F820" s="197">
        <v>53.83</v>
      </c>
      <c r="G820" s="190">
        <v>45929</v>
      </c>
      <c r="H820" s="196">
        <v>0</v>
      </c>
      <c r="I820" s="197">
        <v>11842.6</v>
      </c>
      <c r="J820" s="197">
        <v>11842.6</v>
      </c>
      <c r="K820" s="197">
        <v>0</v>
      </c>
      <c r="L820" s="197">
        <v>904.9333333333343</v>
      </c>
      <c r="M820" s="260" t="s">
        <v>239</v>
      </c>
      <c r="N820" s="260" t="s">
        <v>514</v>
      </c>
    </row>
    <row r="821" spans="1:14" ht="14.5" x14ac:dyDescent="0.35">
      <c r="A821" s="260" t="s">
        <v>563</v>
      </c>
      <c r="B821" s="190">
        <v>45929</v>
      </c>
      <c r="C821" s="260" t="s">
        <v>752</v>
      </c>
      <c r="D821" s="197">
        <v>30</v>
      </c>
      <c r="E821" s="197">
        <v>6006</v>
      </c>
      <c r="F821" s="197">
        <v>177.31</v>
      </c>
      <c r="G821" s="190">
        <v>45929</v>
      </c>
      <c r="H821" s="196">
        <v>0</v>
      </c>
      <c r="I821" s="197">
        <v>5319.3</v>
      </c>
      <c r="J821" s="197">
        <v>5319.3</v>
      </c>
      <c r="K821" s="197">
        <v>0</v>
      </c>
      <c r="L821" s="197">
        <v>-686.69999999999982</v>
      </c>
      <c r="M821" s="260" t="s">
        <v>239</v>
      </c>
      <c r="N821" s="260" t="s">
        <v>514</v>
      </c>
    </row>
    <row r="822" spans="1:14" ht="14.5" x14ac:dyDescent="0.35">
      <c r="A822" s="260" t="s">
        <v>563</v>
      </c>
      <c r="B822" s="190">
        <v>45929</v>
      </c>
      <c r="C822" s="260" t="s">
        <v>754</v>
      </c>
      <c r="D822" s="197">
        <v>100</v>
      </c>
      <c r="E822" s="197">
        <v>8008</v>
      </c>
      <c r="F822" s="197">
        <v>82.14</v>
      </c>
      <c r="G822" s="190">
        <v>45929</v>
      </c>
      <c r="H822" s="196">
        <v>0</v>
      </c>
      <c r="I822" s="197">
        <v>8214</v>
      </c>
      <c r="J822" s="197">
        <v>8214</v>
      </c>
      <c r="K822" s="197">
        <v>0</v>
      </c>
      <c r="L822" s="197">
        <v>206</v>
      </c>
      <c r="M822" s="260" t="s">
        <v>239</v>
      </c>
      <c r="N822" s="260" t="s">
        <v>514</v>
      </c>
    </row>
    <row r="823" spans="1:14" ht="14.5" x14ac:dyDescent="0.35">
      <c r="A823" s="260" t="s">
        <v>563</v>
      </c>
      <c r="B823" s="190">
        <v>45930</v>
      </c>
      <c r="C823" s="260" t="s">
        <v>749</v>
      </c>
      <c r="D823" s="197">
        <v>220</v>
      </c>
      <c r="E823" s="197">
        <v>10937.666666666666</v>
      </c>
      <c r="F823" s="197">
        <v>54</v>
      </c>
      <c r="G823" s="190">
        <v>45930</v>
      </c>
      <c r="H823" s="196">
        <v>0</v>
      </c>
      <c r="I823" s="197">
        <v>11880</v>
      </c>
      <c r="J823" s="197">
        <v>11880</v>
      </c>
      <c r="K823" s="197">
        <v>0</v>
      </c>
      <c r="L823" s="197">
        <v>942.33333333333394</v>
      </c>
      <c r="M823" s="260" t="s">
        <v>239</v>
      </c>
      <c r="N823" s="260" t="s">
        <v>514</v>
      </c>
    </row>
    <row r="824" spans="1:14" ht="14.5" x14ac:dyDescent="0.35">
      <c r="A824" s="260" t="s">
        <v>563</v>
      </c>
      <c r="B824" s="190">
        <v>45930</v>
      </c>
      <c r="C824" s="260" t="s">
        <v>752</v>
      </c>
      <c r="D824" s="197">
        <v>30</v>
      </c>
      <c r="E824" s="197">
        <v>6006</v>
      </c>
      <c r="F824" s="197">
        <v>177</v>
      </c>
      <c r="G824" s="190">
        <v>45930</v>
      </c>
      <c r="H824" s="196">
        <v>0</v>
      </c>
      <c r="I824" s="197">
        <v>5310</v>
      </c>
      <c r="J824" s="197">
        <v>5310</v>
      </c>
      <c r="K824" s="197">
        <v>0</v>
      </c>
      <c r="L824" s="197">
        <v>-696</v>
      </c>
      <c r="M824" s="260" t="s">
        <v>239</v>
      </c>
      <c r="N824" s="260" t="s">
        <v>514</v>
      </c>
    </row>
    <row r="825" spans="1:14" ht="14.5" x14ac:dyDescent="0.35">
      <c r="A825" s="260" t="s">
        <v>563</v>
      </c>
      <c r="B825" s="190">
        <v>45930</v>
      </c>
      <c r="C825" s="260" t="s">
        <v>754</v>
      </c>
      <c r="D825" s="197">
        <v>100</v>
      </c>
      <c r="E825" s="197">
        <v>8008</v>
      </c>
      <c r="F825" s="197">
        <v>82</v>
      </c>
      <c r="G825" s="190">
        <v>45930</v>
      </c>
      <c r="H825" s="196">
        <v>0</v>
      </c>
      <c r="I825" s="197">
        <v>8200</v>
      </c>
      <c r="J825" s="197">
        <v>8200</v>
      </c>
      <c r="K825" s="197">
        <v>0</v>
      </c>
      <c r="L825" s="197">
        <v>192</v>
      </c>
      <c r="M825" s="260" t="s">
        <v>239</v>
      </c>
      <c r="N825" s="260" t="s">
        <v>514</v>
      </c>
    </row>
    <row r="826" spans="1:14" ht="14.5" x14ac:dyDescent="0.35">
      <c r="A826" s="260" t="s">
        <v>563</v>
      </c>
      <c r="B826" s="190">
        <v>45931</v>
      </c>
      <c r="C826" s="260" t="s">
        <v>749</v>
      </c>
      <c r="D826" s="197">
        <v>220</v>
      </c>
      <c r="E826" s="197">
        <v>10937.666666666666</v>
      </c>
      <c r="F826" s="197">
        <v>54</v>
      </c>
      <c r="G826" s="190">
        <v>45931</v>
      </c>
      <c r="H826" s="196">
        <v>0</v>
      </c>
      <c r="I826" s="197">
        <v>11880</v>
      </c>
      <c r="J826" s="197">
        <v>11880</v>
      </c>
      <c r="K826" s="197">
        <v>0</v>
      </c>
      <c r="L826" s="197">
        <v>942.33333333333394</v>
      </c>
      <c r="M826" s="260" t="s">
        <v>239</v>
      </c>
      <c r="N826" s="260" t="s">
        <v>514</v>
      </c>
    </row>
    <row r="827" spans="1:14" ht="14.5" x14ac:dyDescent="0.35">
      <c r="A827" s="260" t="s">
        <v>563</v>
      </c>
      <c r="B827" s="190">
        <v>45931</v>
      </c>
      <c r="C827" s="260" t="s">
        <v>752</v>
      </c>
      <c r="D827" s="197">
        <v>30</v>
      </c>
      <c r="E827" s="197">
        <v>6006</v>
      </c>
      <c r="F827" s="197">
        <v>177</v>
      </c>
      <c r="G827" s="190">
        <v>45931</v>
      </c>
      <c r="H827" s="196">
        <v>0</v>
      </c>
      <c r="I827" s="197">
        <v>5310</v>
      </c>
      <c r="J827" s="197">
        <v>5310</v>
      </c>
      <c r="K827" s="197">
        <v>0</v>
      </c>
      <c r="L827" s="197">
        <v>-696</v>
      </c>
      <c r="M827" s="260" t="s">
        <v>239</v>
      </c>
      <c r="N827" s="260" t="s">
        <v>514</v>
      </c>
    </row>
    <row r="828" spans="1:14" ht="14.5" x14ac:dyDescent="0.35">
      <c r="A828" s="260" t="s">
        <v>563</v>
      </c>
      <c r="B828" s="190">
        <v>45931</v>
      </c>
      <c r="C828" s="260" t="s">
        <v>754</v>
      </c>
      <c r="D828" s="197">
        <v>100</v>
      </c>
      <c r="E828" s="197">
        <v>8008</v>
      </c>
      <c r="F828" s="197">
        <v>82</v>
      </c>
      <c r="G828" s="190">
        <v>45931</v>
      </c>
      <c r="H828" s="196">
        <v>0</v>
      </c>
      <c r="I828" s="197">
        <v>8200</v>
      </c>
      <c r="J828" s="197">
        <v>8200</v>
      </c>
      <c r="K828" s="197">
        <v>0</v>
      </c>
      <c r="L828" s="197">
        <v>192</v>
      </c>
      <c r="M828" s="260" t="s">
        <v>239</v>
      </c>
      <c r="N828" s="260" t="s">
        <v>514</v>
      </c>
    </row>
    <row r="829" spans="1:14" ht="14.5" x14ac:dyDescent="0.35">
      <c r="A829" s="260" t="s">
        <v>563</v>
      </c>
      <c r="B829" s="190">
        <v>45932</v>
      </c>
      <c r="C829" s="260" t="s">
        <v>749</v>
      </c>
      <c r="D829" s="197">
        <v>220</v>
      </c>
      <c r="E829" s="197">
        <v>10937.666666666666</v>
      </c>
      <c r="F829" s="197">
        <v>53.9</v>
      </c>
      <c r="G829" s="190">
        <v>45932</v>
      </c>
      <c r="H829" s="196">
        <v>0</v>
      </c>
      <c r="I829" s="197">
        <v>11858</v>
      </c>
      <c r="J829" s="197">
        <v>11858</v>
      </c>
      <c r="K829" s="197">
        <v>0</v>
      </c>
      <c r="L829" s="197">
        <v>920.33333333333394</v>
      </c>
      <c r="M829" s="260" t="s">
        <v>239</v>
      </c>
      <c r="N829" s="260" t="s">
        <v>514</v>
      </c>
    </row>
    <row r="830" spans="1:14" ht="14.5" x14ac:dyDescent="0.35">
      <c r="A830" s="260" t="s">
        <v>563</v>
      </c>
      <c r="B830" s="190">
        <v>45932</v>
      </c>
      <c r="C830" s="260" t="s">
        <v>752</v>
      </c>
      <c r="D830" s="197">
        <v>30</v>
      </c>
      <c r="E830" s="197">
        <v>6006</v>
      </c>
      <c r="F830" s="197">
        <v>177.13</v>
      </c>
      <c r="G830" s="190">
        <v>45932</v>
      </c>
      <c r="H830" s="196">
        <v>0</v>
      </c>
      <c r="I830" s="197">
        <v>5313.9</v>
      </c>
      <c r="J830" s="197">
        <v>5313.9</v>
      </c>
      <c r="K830" s="197">
        <v>0</v>
      </c>
      <c r="L830" s="197">
        <v>-692.10000000000036</v>
      </c>
      <c r="M830" s="260" t="s">
        <v>239</v>
      </c>
      <c r="N830" s="260" t="s">
        <v>514</v>
      </c>
    </row>
    <row r="831" spans="1:14" ht="14.5" x14ac:dyDescent="0.35">
      <c r="A831" s="260" t="s">
        <v>563</v>
      </c>
      <c r="B831" s="190">
        <v>45932</v>
      </c>
      <c r="C831" s="260" t="s">
        <v>754</v>
      </c>
      <c r="D831" s="197">
        <v>100</v>
      </c>
      <c r="E831" s="197">
        <v>8008</v>
      </c>
      <c r="F831" s="197">
        <v>81.83</v>
      </c>
      <c r="G831" s="190">
        <v>45932</v>
      </c>
      <c r="H831" s="196">
        <v>0</v>
      </c>
      <c r="I831" s="197">
        <v>8183</v>
      </c>
      <c r="J831" s="197">
        <v>8183</v>
      </c>
      <c r="K831" s="197">
        <v>0</v>
      </c>
      <c r="L831" s="197">
        <v>175</v>
      </c>
      <c r="M831" s="260" t="s">
        <v>239</v>
      </c>
      <c r="N831" s="260" t="s">
        <v>514</v>
      </c>
    </row>
    <row r="832" spans="1:14" ht="14.5" x14ac:dyDescent="0.35">
      <c r="A832" s="260" t="s">
        <v>563</v>
      </c>
      <c r="B832" s="190">
        <v>45933</v>
      </c>
      <c r="C832" s="260" t="s">
        <v>749</v>
      </c>
      <c r="D832" s="197">
        <v>220</v>
      </c>
      <c r="E832" s="197">
        <v>10937.666666666666</v>
      </c>
      <c r="F832" s="197">
        <v>53.8</v>
      </c>
      <c r="G832" s="190">
        <v>45933</v>
      </c>
      <c r="H832" s="196">
        <v>0</v>
      </c>
      <c r="I832" s="197">
        <v>11836</v>
      </c>
      <c r="J832" s="197">
        <v>11836</v>
      </c>
      <c r="K832" s="197">
        <v>0</v>
      </c>
      <c r="L832" s="197">
        <v>898.33333333333394</v>
      </c>
      <c r="M832" s="260" t="s">
        <v>239</v>
      </c>
      <c r="N832" s="260" t="s">
        <v>514</v>
      </c>
    </row>
    <row r="833" spans="1:14" ht="14.5" x14ac:dyDescent="0.35">
      <c r="A833" s="260" t="s">
        <v>563</v>
      </c>
      <c r="B833" s="190">
        <v>45933</v>
      </c>
      <c r="C833" s="260" t="s">
        <v>752</v>
      </c>
      <c r="D833" s="197">
        <v>30</v>
      </c>
      <c r="E833" s="197">
        <v>6006</v>
      </c>
      <c r="F833" s="197">
        <v>177.27</v>
      </c>
      <c r="G833" s="190">
        <v>45933</v>
      </c>
      <c r="H833" s="196">
        <v>0</v>
      </c>
      <c r="I833" s="197">
        <v>5318.1</v>
      </c>
      <c r="J833" s="197">
        <v>5318.1</v>
      </c>
      <c r="K833" s="197">
        <v>0</v>
      </c>
      <c r="L833" s="197">
        <v>-687.89999999999964</v>
      </c>
      <c r="M833" s="260" t="s">
        <v>239</v>
      </c>
      <c r="N833" s="260" t="s">
        <v>514</v>
      </c>
    </row>
    <row r="834" spans="1:14" ht="14.5" x14ac:dyDescent="0.35">
      <c r="A834" s="260" t="s">
        <v>563</v>
      </c>
      <c r="B834" s="190">
        <v>45933</v>
      </c>
      <c r="C834" s="260" t="s">
        <v>754</v>
      </c>
      <c r="D834" s="197">
        <v>100</v>
      </c>
      <c r="E834" s="197">
        <v>8008</v>
      </c>
      <c r="F834" s="197">
        <v>81.67</v>
      </c>
      <c r="G834" s="190">
        <v>45933</v>
      </c>
      <c r="H834" s="196">
        <v>0</v>
      </c>
      <c r="I834" s="197">
        <v>8167</v>
      </c>
      <c r="J834" s="197">
        <v>8167</v>
      </c>
      <c r="K834" s="197">
        <v>0</v>
      </c>
      <c r="L834" s="197">
        <v>159</v>
      </c>
      <c r="M834" s="260" t="s">
        <v>239</v>
      </c>
      <c r="N834" s="260" t="s">
        <v>514</v>
      </c>
    </row>
    <row r="835" spans="1:14" ht="14.5" x14ac:dyDescent="0.35">
      <c r="A835" s="260" t="s">
        <v>563</v>
      </c>
      <c r="B835" s="190">
        <v>45934</v>
      </c>
      <c r="C835" s="260" t="s">
        <v>749</v>
      </c>
      <c r="D835" s="197">
        <v>220</v>
      </c>
      <c r="E835" s="197">
        <v>10937.666666666666</v>
      </c>
      <c r="F835" s="197">
        <v>53.8</v>
      </c>
      <c r="G835" s="190">
        <v>45933</v>
      </c>
      <c r="H835" s="196">
        <v>1</v>
      </c>
      <c r="I835" s="197">
        <v>11836</v>
      </c>
      <c r="J835" s="197">
        <v>11836</v>
      </c>
      <c r="K835" s="197">
        <v>0</v>
      </c>
      <c r="L835" s="197">
        <v>898.33333333333394</v>
      </c>
      <c r="M835" s="260" t="s">
        <v>239</v>
      </c>
      <c r="N835" s="260" t="s">
        <v>514</v>
      </c>
    </row>
    <row r="836" spans="1:14" ht="14.5" x14ac:dyDescent="0.35">
      <c r="A836" s="260" t="s">
        <v>563</v>
      </c>
      <c r="B836" s="190">
        <v>45934</v>
      </c>
      <c r="C836" s="260" t="s">
        <v>752</v>
      </c>
      <c r="D836" s="197">
        <v>30</v>
      </c>
      <c r="E836" s="197">
        <v>6006</v>
      </c>
      <c r="F836" s="197">
        <v>177.27</v>
      </c>
      <c r="G836" s="190">
        <v>45933</v>
      </c>
      <c r="H836" s="196">
        <v>1</v>
      </c>
      <c r="I836" s="197">
        <v>5318.1</v>
      </c>
      <c r="J836" s="197">
        <v>5318.1</v>
      </c>
      <c r="K836" s="197">
        <v>0</v>
      </c>
      <c r="L836" s="197">
        <v>-687.89999999999964</v>
      </c>
      <c r="M836" s="260" t="s">
        <v>239</v>
      </c>
      <c r="N836" s="260" t="s">
        <v>514</v>
      </c>
    </row>
    <row r="837" spans="1:14" ht="14.5" x14ac:dyDescent="0.35">
      <c r="A837" s="260" t="s">
        <v>563</v>
      </c>
      <c r="B837" s="190">
        <v>45934</v>
      </c>
      <c r="C837" s="260" t="s">
        <v>754</v>
      </c>
      <c r="D837" s="197">
        <v>100</v>
      </c>
      <c r="E837" s="197">
        <v>8008</v>
      </c>
      <c r="F837" s="197">
        <v>81.67</v>
      </c>
      <c r="G837" s="190">
        <v>45933</v>
      </c>
      <c r="H837" s="196">
        <v>1</v>
      </c>
      <c r="I837" s="197">
        <v>8167</v>
      </c>
      <c r="J837" s="197">
        <v>8167</v>
      </c>
      <c r="K837" s="197">
        <v>0</v>
      </c>
      <c r="L837" s="197">
        <v>159</v>
      </c>
      <c r="M837" s="260" t="s">
        <v>239</v>
      </c>
      <c r="N837" s="260" t="s">
        <v>514</v>
      </c>
    </row>
    <row r="838" spans="1:14" ht="14.5" x14ac:dyDescent="0.35">
      <c r="A838" s="260" t="s">
        <v>563</v>
      </c>
      <c r="B838" s="190">
        <v>45935</v>
      </c>
      <c r="C838" s="260" t="s">
        <v>749</v>
      </c>
      <c r="D838" s="197">
        <v>220</v>
      </c>
      <c r="E838" s="197">
        <v>10937.666666666666</v>
      </c>
      <c r="F838" s="197">
        <v>53.8</v>
      </c>
      <c r="G838" s="190">
        <v>45933</v>
      </c>
      <c r="H838" s="196">
        <v>2</v>
      </c>
      <c r="I838" s="197">
        <v>11836</v>
      </c>
      <c r="J838" s="197">
        <v>11836</v>
      </c>
      <c r="K838" s="197">
        <v>0</v>
      </c>
      <c r="L838" s="197">
        <v>898.33333333333394</v>
      </c>
      <c r="M838" s="260" t="s">
        <v>239</v>
      </c>
      <c r="N838" s="260" t="s">
        <v>514</v>
      </c>
    </row>
    <row r="839" spans="1:14" ht="14.5" x14ac:dyDescent="0.35">
      <c r="A839" s="260" t="s">
        <v>563</v>
      </c>
      <c r="B839" s="190">
        <v>45935</v>
      </c>
      <c r="C839" s="260" t="s">
        <v>752</v>
      </c>
      <c r="D839" s="197">
        <v>30</v>
      </c>
      <c r="E839" s="197">
        <v>6006</v>
      </c>
      <c r="F839" s="197">
        <v>177.27</v>
      </c>
      <c r="G839" s="190">
        <v>45933</v>
      </c>
      <c r="H839" s="196">
        <v>2</v>
      </c>
      <c r="I839" s="197">
        <v>5318.1</v>
      </c>
      <c r="J839" s="197">
        <v>5318.1</v>
      </c>
      <c r="K839" s="197">
        <v>0</v>
      </c>
      <c r="L839" s="197">
        <v>-687.89999999999964</v>
      </c>
      <c r="M839" s="260" t="s">
        <v>239</v>
      </c>
      <c r="N839" s="260" t="s">
        <v>514</v>
      </c>
    </row>
    <row r="840" spans="1:14" ht="14.5" x14ac:dyDescent="0.35">
      <c r="A840" s="260" t="s">
        <v>563</v>
      </c>
      <c r="B840" s="190">
        <v>45935</v>
      </c>
      <c r="C840" s="260" t="s">
        <v>754</v>
      </c>
      <c r="D840" s="197">
        <v>100</v>
      </c>
      <c r="E840" s="197">
        <v>8008</v>
      </c>
      <c r="F840" s="197">
        <v>81.67</v>
      </c>
      <c r="G840" s="190">
        <v>45933</v>
      </c>
      <c r="H840" s="196">
        <v>2</v>
      </c>
      <c r="I840" s="197">
        <v>8167</v>
      </c>
      <c r="J840" s="197">
        <v>8167</v>
      </c>
      <c r="K840" s="197">
        <v>0</v>
      </c>
      <c r="L840" s="197">
        <v>159</v>
      </c>
      <c r="M840" s="260" t="s">
        <v>239</v>
      </c>
      <c r="N840" s="260" t="s">
        <v>514</v>
      </c>
    </row>
    <row r="841" spans="1:14" ht="14.5" x14ac:dyDescent="0.35">
      <c r="A841" s="260" t="s">
        <v>563</v>
      </c>
      <c r="B841" s="190">
        <v>45936</v>
      </c>
      <c r="C841" s="260" t="s">
        <v>749</v>
      </c>
      <c r="D841" s="197">
        <v>220</v>
      </c>
      <c r="E841" s="197">
        <v>10937.666666666666</v>
      </c>
      <c r="F841" s="197">
        <v>53.5</v>
      </c>
      <c r="G841" s="190">
        <v>45936</v>
      </c>
      <c r="H841" s="196">
        <v>0</v>
      </c>
      <c r="I841" s="197">
        <v>11770</v>
      </c>
      <c r="J841" s="197">
        <v>11770</v>
      </c>
      <c r="K841" s="197">
        <v>0</v>
      </c>
      <c r="L841" s="197">
        <v>832.33333333333394</v>
      </c>
      <c r="M841" s="260" t="s">
        <v>239</v>
      </c>
      <c r="N841" s="260" t="s">
        <v>514</v>
      </c>
    </row>
    <row r="842" spans="1:14" ht="14.5" x14ac:dyDescent="0.35">
      <c r="A842" s="260" t="s">
        <v>563</v>
      </c>
      <c r="B842" s="190">
        <v>45936</v>
      </c>
      <c r="C842" s="260" t="s">
        <v>752</v>
      </c>
      <c r="D842" s="197">
        <v>30</v>
      </c>
      <c r="E842" s="197">
        <v>6006</v>
      </c>
      <c r="F842" s="197">
        <v>177.67</v>
      </c>
      <c r="G842" s="190">
        <v>45936</v>
      </c>
      <c r="H842" s="196">
        <v>0</v>
      </c>
      <c r="I842" s="197">
        <v>5330.0999999999995</v>
      </c>
      <c r="J842" s="197">
        <v>5330.0999999999995</v>
      </c>
      <c r="K842" s="197">
        <v>0</v>
      </c>
      <c r="L842" s="197">
        <v>-675.90000000000055</v>
      </c>
      <c r="M842" s="260" t="s">
        <v>239</v>
      </c>
      <c r="N842" s="260" t="s">
        <v>514</v>
      </c>
    </row>
    <row r="843" spans="1:14" ht="14.5" x14ac:dyDescent="0.35">
      <c r="A843" s="260" t="s">
        <v>563</v>
      </c>
      <c r="B843" s="190">
        <v>45936</v>
      </c>
      <c r="C843" s="260" t="s">
        <v>754</v>
      </c>
      <c r="D843" s="197">
        <v>100</v>
      </c>
      <c r="E843" s="197">
        <v>8008</v>
      </c>
      <c r="F843" s="197">
        <v>81.17</v>
      </c>
      <c r="G843" s="190">
        <v>45936</v>
      </c>
      <c r="H843" s="196">
        <v>0</v>
      </c>
      <c r="I843" s="197">
        <v>8117</v>
      </c>
      <c r="J843" s="197">
        <v>8117</v>
      </c>
      <c r="K843" s="197">
        <v>0</v>
      </c>
      <c r="L843" s="197">
        <v>109</v>
      </c>
      <c r="M843" s="260" t="s">
        <v>239</v>
      </c>
      <c r="N843" s="260" t="s">
        <v>514</v>
      </c>
    </row>
    <row r="844" spans="1:14" ht="14.5" x14ac:dyDescent="0.35">
      <c r="A844" s="260" t="s">
        <v>563</v>
      </c>
      <c r="B844" s="190">
        <v>45937</v>
      </c>
      <c r="C844" s="260" t="s">
        <v>749</v>
      </c>
      <c r="D844" s="197">
        <v>220</v>
      </c>
      <c r="E844" s="197">
        <v>10937.666666666666</v>
      </c>
      <c r="F844" s="197">
        <v>53.4</v>
      </c>
      <c r="G844" s="190">
        <v>45937</v>
      </c>
      <c r="H844" s="196">
        <v>0</v>
      </c>
      <c r="I844" s="197">
        <v>11748</v>
      </c>
      <c r="J844" s="197">
        <v>11748</v>
      </c>
      <c r="K844" s="197">
        <v>0</v>
      </c>
      <c r="L844" s="197">
        <v>810.33333333333394</v>
      </c>
      <c r="M844" s="260" t="s">
        <v>239</v>
      </c>
      <c r="N844" s="260" t="s">
        <v>514</v>
      </c>
    </row>
    <row r="845" spans="1:14" ht="14.5" x14ac:dyDescent="0.35">
      <c r="A845" s="260" t="s">
        <v>563</v>
      </c>
      <c r="B845" s="190">
        <v>45937</v>
      </c>
      <c r="C845" s="260" t="s">
        <v>752</v>
      </c>
      <c r="D845" s="197">
        <v>30</v>
      </c>
      <c r="E845" s="197">
        <v>6006</v>
      </c>
      <c r="F845" s="197">
        <v>177.8</v>
      </c>
      <c r="G845" s="190">
        <v>45937</v>
      </c>
      <c r="H845" s="196">
        <v>0</v>
      </c>
      <c r="I845" s="197">
        <v>5334</v>
      </c>
      <c r="J845" s="197">
        <v>5334</v>
      </c>
      <c r="K845" s="197">
        <v>0</v>
      </c>
      <c r="L845" s="197">
        <v>-672</v>
      </c>
      <c r="M845" s="260" t="s">
        <v>239</v>
      </c>
      <c r="N845" s="260" t="s">
        <v>514</v>
      </c>
    </row>
    <row r="846" spans="1:14" ht="14.5" x14ac:dyDescent="0.35">
      <c r="A846" s="260" t="s">
        <v>563</v>
      </c>
      <c r="B846" s="190">
        <v>45937</v>
      </c>
      <c r="C846" s="260" t="s">
        <v>754</v>
      </c>
      <c r="D846" s="197">
        <v>100</v>
      </c>
      <c r="E846" s="197">
        <v>8008</v>
      </c>
      <c r="F846" s="197">
        <v>81</v>
      </c>
      <c r="G846" s="190">
        <v>45937</v>
      </c>
      <c r="H846" s="196">
        <v>0</v>
      </c>
      <c r="I846" s="197">
        <v>8100</v>
      </c>
      <c r="J846" s="197">
        <v>8100</v>
      </c>
      <c r="K846" s="197">
        <v>0</v>
      </c>
      <c r="L846" s="197">
        <v>92</v>
      </c>
      <c r="M846" s="260" t="s">
        <v>239</v>
      </c>
      <c r="N846" s="260" t="s">
        <v>514</v>
      </c>
    </row>
    <row r="847" spans="1:14" ht="14.5" x14ac:dyDescent="0.35">
      <c r="A847" s="260" t="s">
        <v>563</v>
      </c>
      <c r="B847" s="190">
        <v>45938</v>
      </c>
      <c r="C847" s="260" t="s">
        <v>749</v>
      </c>
      <c r="D847" s="197">
        <v>220</v>
      </c>
      <c r="E847" s="197">
        <v>10937.666666666666</v>
      </c>
      <c r="F847" s="197">
        <v>53.3</v>
      </c>
      <c r="G847" s="190">
        <v>45938</v>
      </c>
      <c r="H847" s="196">
        <v>0</v>
      </c>
      <c r="I847" s="197">
        <v>11726</v>
      </c>
      <c r="J847" s="197">
        <v>11726</v>
      </c>
      <c r="K847" s="197">
        <v>0</v>
      </c>
      <c r="L847" s="197">
        <v>788.33333333333394</v>
      </c>
      <c r="M847" s="260" t="s">
        <v>239</v>
      </c>
      <c r="N847" s="260" t="s">
        <v>514</v>
      </c>
    </row>
    <row r="848" spans="1:14" ht="14.5" x14ac:dyDescent="0.35">
      <c r="A848" s="260" t="s">
        <v>563</v>
      </c>
      <c r="B848" s="190">
        <v>45938</v>
      </c>
      <c r="C848" s="260" t="s">
        <v>752</v>
      </c>
      <c r="D848" s="197">
        <v>30</v>
      </c>
      <c r="E848" s="197">
        <v>6006</v>
      </c>
      <c r="F848" s="197">
        <v>177.93</v>
      </c>
      <c r="G848" s="190">
        <v>45938</v>
      </c>
      <c r="H848" s="196">
        <v>0</v>
      </c>
      <c r="I848" s="197">
        <v>5337.9000000000005</v>
      </c>
      <c r="J848" s="197">
        <v>5337.9000000000005</v>
      </c>
      <c r="K848" s="197">
        <v>0</v>
      </c>
      <c r="L848" s="197">
        <v>-668.09999999999945</v>
      </c>
      <c r="M848" s="260" t="s">
        <v>239</v>
      </c>
      <c r="N848" s="260" t="s">
        <v>514</v>
      </c>
    </row>
    <row r="849" spans="1:14" ht="14.5" x14ac:dyDescent="0.35">
      <c r="A849" s="260" t="s">
        <v>563</v>
      </c>
      <c r="B849" s="190">
        <v>45938</v>
      </c>
      <c r="C849" s="260" t="s">
        <v>754</v>
      </c>
      <c r="D849" s="197">
        <v>100</v>
      </c>
      <c r="E849" s="197">
        <v>8008</v>
      </c>
      <c r="F849" s="197">
        <v>80.83</v>
      </c>
      <c r="G849" s="190">
        <v>45938</v>
      </c>
      <c r="H849" s="196">
        <v>0</v>
      </c>
      <c r="I849" s="197">
        <v>8083</v>
      </c>
      <c r="J849" s="197">
        <v>8083</v>
      </c>
      <c r="K849" s="197">
        <v>0</v>
      </c>
      <c r="L849" s="197">
        <v>75</v>
      </c>
      <c r="M849" s="260" t="s">
        <v>239</v>
      </c>
      <c r="N849" s="260" t="s">
        <v>514</v>
      </c>
    </row>
    <row r="850" spans="1:14" ht="14.5" x14ac:dyDescent="0.35">
      <c r="A850" s="260" t="s">
        <v>563</v>
      </c>
      <c r="B850" s="190">
        <v>45939</v>
      </c>
      <c r="C850" s="260" t="s">
        <v>749</v>
      </c>
      <c r="D850" s="197">
        <v>220</v>
      </c>
      <c r="E850" s="197">
        <v>10937.666666666666</v>
      </c>
      <c r="F850" s="197">
        <v>53.2</v>
      </c>
      <c r="G850" s="190">
        <v>45939</v>
      </c>
      <c r="H850" s="196">
        <v>0</v>
      </c>
      <c r="I850" s="197">
        <v>11704</v>
      </c>
      <c r="J850" s="197">
        <v>11704</v>
      </c>
      <c r="K850" s="197">
        <v>0</v>
      </c>
      <c r="L850" s="197">
        <v>766.33333333333394</v>
      </c>
      <c r="M850" s="260" t="s">
        <v>239</v>
      </c>
      <c r="N850" s="260" t="s">
        <v>514</v>
      </c>
    </row>
    <row r="851" spans="1:14" ht="14.5" x14ac:dyDescent="0.35">
      <c r="A851" s="260" t="s">
        <v>563</v>
      </c>
      <c r="B851" s="190">
        <v>45939</v>
      </c>
      <c r="C851" s="260" t="s">
        <v>752</v>
      </c>
      <c r="D851" s="197">
        <v>30</v>
      </c>
      <c r="E851" s="197">
        <v>6006</v>
      </c>
      <c r="F851" s="197">
        <v>178.07</v>
      </c>
      <c r="G851" s="190">
        <v>45939</v>
      </c>
      <c r="H851" s="196">
        <v>0</v>
      </c>
      <c r="I851" s="197">
        <v>5342.0999999999995</v>
      </c>
      <c r="J851" s="197">
        <v>5342.0999999999995</v>
      </c>
      <c r="K851" s="197">
        <v>0</v>
      </c>
      <c r="L851" s="197">
        <v>-663.90000000000055</v>
      </c>
      <c r="M851" s="260" t="s">
        <v>239</v>
      </c>
      <c r="N851" s="260" t="s">
        <v>514</v>
      </c>
    </row>
    <row r="852" spans="1:14" ht="14.5" x14ac:dyDescent="0.35">
      <c r="A852" s="260" t="s">
        <v>563</v>
      </c>
      <c r="B852" s="190">
        <v>45939</v>
      </c>
      <c r="C852" s="260" t="s">
        <v>754</v>
      </c>
      <c r="D852" s="197">
        <v>100</v>
      </c>
      <c r="E852" s="197">
        <v>8008</v>
      </c>
      <c r="F852" s="197">
        <v>80.67</v>
      </c>
      <c r="G852" s="190">
        <v>45939</v>
      </c>
      <c r="H852" s="196">
        <v>0</v>
      </c>
      <c r="I852" s="197">
        <v>8067</v>
      </c>
      <c r="J852" s="197">
        <v>8067</v>
      </c>
      <c r="K852" s="197">
        <v>0</v>
      </c>
      <c r="L852" s="197">
        <v>59</v>
      </c>
      <c r="M852" s="260" t="s">
        <v>239</v>
      </c>
      <c r="N852" s="260" t="s">
        <v>514</v>
      </c>
    </row>
    <row r="853" spans="1:14" ht="14.5" x14ac:dyDescent="0.35">
      <c r="A853" s="260" t="s">
        <v>563</v>
      </c>
      <c r="B853" s="190">
        <v>45940</v>
      </c>
      <c r="C853" s="260" t="s">
        <v>749</v>
      </c>
      <c r="D853" s="197">
        <v>220</v>
      </c>
      <c r="E853" s="197">
        <v>10937.666666666666</v>
      </c>
      <c r="F853" s="197">
        <v>53.1</v>
      </c>
      <c r="G853" s="190">
        <v>45940</v>
      </c>
      <c r="H853" s="196">
        <v>0</v>
      </c>
      <c r="I853" s="197">
        <v>11682</v>
      </c>
      <c r="J853" s="197">
        <v>11682</v>
      </c>
      <c r="K853" s="197">
        <v>0</v>
      </c>
      <c r="L853" s="197">
        <v>744.33333333333394</v>
      </c>
      <c r="M853" s="260" t="s">
        <v>239</v>
      </c>
      <c r="N853" s="260" t="s">
        <v>514</v>
      </c>
    </row>
    <row r="854" spans="1:14" ht="14.5" x14ac:dyDescent="0.35">
      <c r="A854" s="260" t="s">
        <v>563</v>
      </c>
      <c r="B854" s="190">
        <v>45940</v>
      </c>
      <c r="C854" s="260" t="s">
        <v>752</v>
      </c>
      <c r="D854" s="197">
        <v>30</v>
      </c>
      <c r="E854" s="197">
        <v>6006</v>
      </c>
      <c r="F854" s="197">
        <v>178.2</v>
      </c>
      <c r="G854" s="190">
        <v>45940</v>
      </c>
      <c r="H854" s="196">
        <v>0</v>
      </c>
      <c r="I854" s="197">
        <v>5346</v>
      </c>
      <c r="J854" s="197">
        <v>5346</v>
      </c>
      <c r="K854" s="197">
        <v>0</v>
      </c>
      <c r="L854" s="197">
        <v>-660</v>
      </c>
      <c r="M854" s="260" t="s">
        <v>239</v>
      </c>
      <c r="N854" s="260" t="s">
        <v>514</v>
      </c>
    </row>
    <row r="855" spans="1:14" ht="14.5" x14ac:dyDescent="0.35">
      <c r="A855" s="260" t="s">
        <v>563</v>
      </c>
      <c r="B855" s="190">
        <v>45940</v>
      </c>
      <c r="C855" s="260" t="s">
        <v>754</v>
      </c>
      <c r="D855" s="197">
        <v>100</v>
      </c>
      <c r="E855" s="197">
        <v>8008</v>
      </c>
      <c r="F855" s="197">
        <v>80.5</v>
      </c>
      <c r="G855" s="190">
        <v>45940</v>
      </c>
      <c r="H855" s="196">
        <v>0</v>
      </c>
      <c r="I855" s="197">
        <v>8050</v>
      </c>
      <c r="J855" s="197">
        <v>8050</v>
      </c>
      <c r="K855" s="197">
        <v>0</v>
      </c>
      <c r="L855" s="197">
        <v>42</v>
      </c>
      <c r="M855" s="260" t="s">
        <v>239</v>
      </c>
      <c r="N855" s="260" t="s">
        <v>514</v>
      </c>
    </row>
    <row r="856" spans="1:14" ht="14.5" x14ac:dyDescent="0.35">
      <c r="A856" s="260" t="s">
        <v>563</v>
      </c>
      <c r="B856" s="190">
        <v>45941</v>
      </c>
      <c r="C856" s="260" t="s">
        <v>749</v>
      </c>
      <c r="D856" s="197">
        <v>220</v>
      </c>
      <c r="E856" s="197">
        <v>10937.666666666666</v>
      </c>
      <c r="F856" s="197">
        <v>53.1</v>
      </c>
      <c r="G856" s="190">
        <v>45940</v>
      </c>
      <c r="H856" s="196">
        <v>1</v>
      </c>
      <c r="I856" s="197">
        <v>11682</v>
      </c>
      <c r="J856" s="197">
        <v>11682</v>
      </c>
      <c r="K856" s="197">
        <v>0</v>
      </c>
      <c r="L856" s="197">
        <v>744.33333333333394</v>
      </c>
      <c r="M856" s="260" t="s">
        <v>239</v>
      </c>
      <c r="N856" s="260" t="s">
        <v>514</v>
      </c>
    </row>
    <row r="857" spans="1:14" ht="14.5" x14ac:dyDescent="0.35">
      <c r="A857" s="260" t="s">
        <v>563</v>
      </c>
      <c r="B857" s="190">
        <v>45941</v>
      </c>
      <c r="C857" s="260" t="s">
        <v>752</v>
      </c>
      <c r="D857" s="197">
        <v>30</v>
      </c>
      <c r="E857" s="197">
        <v>6006</v>
      </c>
      <c r="F857" s="197">
        <v>178.2</v>
      </c>
      <c r="G857" s="190">
        <v>45940</v>
      </c>
      <c r="H857" s="196">
        <v>1</v>
      </c>
      <c r="I857" s="197">
        <v>5346</v>
      </c>
      <c r="J857" s="197">
        <v>5346</v>
      </c>
      <c r="K857" s="197">
        <v>0</v>
      </c>
      <c r="L857" s="197">
        <v>-660</v>
      </c>
      <c r="M857" s="260" t="s">
        <v>239</v>
      </c>
      <c r="N857" s="260" t="s">
        <v>514</v>
      </c>
    </row>
    <row r="858" spans="1:14" ht="14.5" x14ac:dyDescent="0.35">
      <c r="A858" s="260" t="s">
        <v>563</v>
      </c>
      <c r="B858" s="190">
        <v>45941</v>
      </c>
      <c r="C858" s="260" t="s">
        <v>754</v>
      </c>
      <c r="D858" s="197">
        <v>100</v>
      </c>
      <c r="E858" s="197">
        <v>8008</v>
      </c>
      <c r="F858" s="197">
        <v>80.5</v>
      </c>
      <c r="G858" s="190">
        <v>45940</v>
      </c>
      <c r="H858" s="196">
        <v>1</v>
      </c>
      <c r="I858" s="197">
        <v>8050</v>
      </c>
      <c r="J858" s="197">
        <v>8050</v>
      </c>
      <c r="K858" s="197">
        <v>0</v>
      </c>
      <c r="L858" s="197">
        <v>42</v>
      </c>
      <c r="M858" s="260" t="s">
        <v>239</v>
      </c>
      <c r="N858" s="260" t="s">
        <v>514</v>
      </c>
    </row>
    <row r="859" spans="1:14" ht="14.5" x14ac:dyDescent="0.35">
      <c r="A859" s="260" t="s">
        <v>563</v>
      </c>
      <c r="B859" s="190">
        <v>45942</v>
      </c>
      <c r="C859" s="260" t="s">
        <v>749</v>
      </c>
      <c r="D859" s="197">
        <v>220</v>
      </c>
      <c r="E859" s="197">
        <v>10937.666666666666</v>
      </c>
      <c r="F859" s="197">
        <v>53.1</v>
      </c>
      <c r="G859" s="190">
        <v>45940</v>
      </c>
      <c r="H859" s="196">
        <v>2</v>
      </c>
      <c r="I859" s="197">
        <v>11682</v>
      </c>
      <c r="J859" s="197">
        <v>11682</v>
      </c>
      <c r="K859" s="197">
        <v>0</v>
      </c>
      <c r="L859" s="197">
        <v>744.33333333333394</v>
      </c>
      <c r="M859" s="260" t="s">
        <v>239</v>
      </c>
      <c r="N859" s="260" t="s">
        <v>514</v>
      </c>
    </row>
    <row r="860" spans="1:14" ht="14.5" x14ac:dyDescent="0.35">
      <c r="A860" s="260" t="s">
        <v>563</v>
      </c>
      <c r="B860" s="190">
        <v>45942</v>
      </c>
      <c r="C860" s="260" t="s">
        <v>752</v>
      </c>
      <c r="D860" s="197">
        <v>30</v>
      </c>
      <c r="E860" s="197">
        <v>6006</v>
      </c>
      <c r="F860" s="197">
        <v>178.2</v>
      </c>
      <c r="G860" s="190">
        <v>45940</v>
      </c>
      <c r="H860" s="196">
        <v>2</v>
      </c>
      <c r="I860" s="197">
        <v>5346</v>
      </c>
      <c r="J860" s="197">
        <v>5346</v>
      </c>
      <c r="K860" s="197">
        <v>0</v>
      </c>
      <c r="L860" s="197">
        <v>-660</v>
      </c>
      <c r="M860" s="260" t="s">
        <v>239</v>
      </c>
      <c r="N860" s="260" t="s">
        <v>514</v>
      </c>
    </row>
    <row r="861" spans="1:14" ht="14.5" x14ac:dyDescent="0.35">
      <c r="A861" s="260" t="s">
        <v>563</v>
      </c>
      <c r="B861" s="190">
        <v>45942</v>
      </c>
      <c r="C861" s="260" t="s">
        <v>754</v>
      </c>
      <c r="D861" s="197">
        <v>100</v>
      </c>
      <c r="E861" s="197">
        <v>8008</v>
      </c>
      <c r="F861" s="197">
        <v>80.5</v>
      </c>
      <c r="G861" s="190">
        <v>45940</v>
      </c>
      <c r="H861" s="196">
        <v>2</v>
      </c>
      <c r="I861" s="197">
        <v>8050</v>
      </c>
      <c r="J861" s="197">
        <v>8050</v>
      </c>
      <c r="K861" s="197">
        <v>0</v>
      </c>
      <c r="L861" s="197">
        <v>42</v>
      </c>
      <c r="M861" s="260" t="s">
        <v>239</v>
      </c>
      <c r="N861" s="260" t="s">
        <v>514</v>
      </c>
    </row>
    <row r="862" spans="1:14" ht="14.5" x14ac:dyDescent="0.35">
      <c r="A862" s="260" t="s">
        <v>563</v>
      </c>
      <c r="B862" s="190">
        <v>45943</v>
      </c>
      <c r="C862" s="260" t="s">
        <v>749</v>
      </c>
      <c r="D862" s="197">
        <v>220</v>
      </c>
      <c r="E862" s="197">
        <v>10937.666666666666</v>
      </c>
      <c r="F862" s="197">
        <v>52.8</v>
      </c>
      <c r="G862" s="190">
        <v>45943</v>
      </c>
      <c r="H862" s="196">
        <v>0</v>
      </c>
      <c r="I862" s="197">
        <v>11616</v>
      </c>
      <c r="J862" s="197">
        <v>11616</v>
      </c>
      <c r="K862" s="197">
        <v>0</v>
      </c>
      <c r="L862" s="197">
        <v>678.33333333333394</v>
      </c>
      <c r="M862" s="260" t="s">
        <v>239</v>
      </c>
      <c r="N862" s="260" t="s">
        <v>514</v>
      </c>
    </row>
    <row r="863" spans="1:14" ht="14.5" x14ac:dyDescent="0.35">
      <c r="A863" s="260" t="s">
        <v>563</v>
      </c>
      <c r="B863" s="190">
        <v>45943</v>
      </c>
      <c r="C863" s="260" t="s">
        <v>752</v>
      </c>
      <c r="D863" s="197">
        <v>30</v>
      </c>
      <c r="E863" s="197">
        <v>6006</v>
      </c>
      <c r="F863" s="197">
        <v>178.6</v>
      </c>
      <c r="G863" s="190">
        <v>45943</v>
      </c>
      <c r="H863" s="196">
        <v>0</v>
      </c>
      <c r="I863" s="197">
        <v>5358</v>
      </c>
      <c r="J863" s="197">
        <v>5358</v>
      </c>
      <c r="K863" s="197">
        <v>0</v>
      </c>
      <c r="L863" s="197">
        <v>-648</v>
      </c>
      <c r="M863" s="260" t="s">
        <v>239</v>
      </c>
      <c r="N863" s="260" t="s">
        <v>514</v>
      </c>
    </row>
    <row r="864" spans="1:14" ht="14.5" x14ac:dyDescent="0.35">
      <c r="A864" s="260" t="s">
        <v>563</v>
      </c>
      <c r="B864" s="190">
        <v>45943</v>
      </c>
      <c r="C864" s="260" t="s">
        <v>754</v>
      </c>
      <c r="D864" s="197">
        <v>100</v>
      </c>
      <c r="E864" s="197">
        <v>8008</v>
      </c>
      <c r="F864" s="197">
        <v>80</v>
      </c>
      <c r="G864" s="190">
        <v>45943</v>
      </c>
      <c r="H864" s="196">
        <v>0</v>
      </c>
      <c r="I864" s="197">
        <v>8000</v>
      </c>
      <c r="J864" s="197">
        <v>8000</v>
      </c>
      <c r="K864" s="197">
        <v>0</v>
      </c>
      <c r="L864" s="197">
        <v>-8</v>
      </c>
      <c r="M864" s="260" t="s">
        <v>239</v>
      </c>
      <c r="N864" s="260" t="s">
        <v>514</v>
      </c>
    </row>
    <row r="865" spans="1:14" ht="14.5" x14ac:dyDescent="0.35">
      <c r="A865" s="260" t="s">
        <v>563</v>
      </c>
      <c r="B865" s="190">
        <v>45944</v>
      </c>
      <c r="C865" s="260" t="s">
        <v>749</v>
      </c>
      <c r="D865" s="197">
        <v>220</v>
      </c>
      <c r="E865" s="197">
        <v>10937.666666666666</v>
      </c>
      <c r="F865" s="197">
        <v>52.7</v>
      </c>
      <c r="G865" s="190">
        <v>45944</v>
      </c>
      <c r="H865" s="196">
        <v>0</v>
      </c>
      <c r="I865" s="197">
        <v>11594</v>
      </c>
      <c r="J865" s="197">
        <v>11594</v>
      </c>
      <c r="K865" s="197">
        <v>0</v>
      </c>
      <c r="L865" s="197">
        <v>656.33333333333394</v>
      </c>
      <c r="M865" s="260" t="s">
        <v>239</v>
      </c>
      <c r="N865" s="260" t="s">
        <v>514</v>
      </c>
    </row>
    <row r="866" spans="1:14" ht="14.5" x14ac:dyDescent="0.35">
      <c r="A866" s="260" t="s">
        <v>563</v>
      </c>
      <c r="B866" s="190">
        <v>45944</v>
      </c>
      <c r="C866" s="260" t="s">
        <v>752</v>
      </c>
      <c r="D866" s="197">
        <v>30</v>
      </c>
      <c r="E866" s="197">
        <v>6006</v>
      </c>
      <c r="F866" s="197">
        <v>178.73</v>
      </c>
      <c r="G866" s="190">
        <v>45944</v>
      </c>
      <c r="H866" s="196">
        <v>0</v>
      </c>
      <c r="I866" s="197">
        <v>5361.9</v>
      </c>
      <c r="J866" s="197">
        <v>5361.9</v>
      </c>
      <c r="K866" s="197">
        <v>0</v>
      </c>
      <c r="L866" s="197">
        <v>-644.10000000000036</v>
      </c>
      <c r="M866" s="260" t="s">
        <v>239</v>
      </c>
      <c r="N866" s="260" t="s">
        <v>514</v>
      </c>
    </row>
    <row r="867" spans="1:14" ht="14.5" x14ac:dyDescent="0.35">
      <c r="A867" s="260" t="s">
        <v>563</v>
      </c>
      <c r="B867" s="190">
        <v>45944</v>
      </c>
      <c r="C867" s="260" t="s">
        <v>754</v>
      </c>
      <c r="D867" s="197">
        <v>100</v>
      </c>
      <c r="E867" s="197">
        <v>8008</v>
      </c>
      <c r="F867" s="197">
        <v>79.83</v>
      </c>
      <c r="G867" s="190">
        <v>45944</v>
      </c>
      <c r="H867" s="196">
        <v>0</v>
      </c>
      <c r="I867" s="197">
        <v>7983</v>
      </c>
      <c r="J867" s="197">
        <v>7983</v>
      </c>
      <c r="K867" s="197">
        <v>0</v>
      </c>
      <c r="L867" s="197">
        <v>-25</v>
      </c>
      <c r="M867" s="260" t="s">
        <v>239</v>
      </c>
      <c r="N867" s="260" t="s">
        <v>514</v>
      </c>
    </row>
    <row r="868" spans="1:14" ht="14.5" x14ac:dyDescent="0.35">
      <c r="A868" s="260" t="s">
        <v>563</v>
      </c>
      <c r="B868" s="190">
        <v>45945</v>
      </c>
      <c r="C868" s="260" t="s">
        <v>749</v>
      </c>
      <c r="D868" s="197">
        <v>220</v>
      </c>
      <c r="E868" s="197">
        <v>10937.666666666666</v>
      </c>
      <c r="F868" s="197">
        <v>52.6</v>
      </c>
      <c r="G868" s="190">
        <v>45945</v>
      </c>
      <c r="H868" s="196">
        <v>0</v>
      </c>
      <c r="I868" s="197">
        <v>11572</v>
      </c>
      <c r="J868" s="197">
        <v>11572</v>
      </c>
      <c r="K868" s="197">
        <v>0</v>
      </c>
      <c r="L868" s="197">
        <v>634.33333333333394</v>
      </c>
      <c r="M868" s="260" t="s">
        <v>239</v>
      </c>
      <c r="N868" s="260" t="s">
        <v>514</v>
      </c>
    </row>
    <row r="869" spans="1:14" ht="14.5" x14ac:dyDescent="0.35">
      <c r="A869" s="260" t="s">
        <v>563</v>
      </c>
      <c r="B869" s="190">
        <v>45945</v>
      </c>
      <c r="C869" s="260" t="s">
        <v>752</v>
      </c>
      <c r="D869" s="197">
        <v>30</v>
      </c>
      <c r="E869" s="197">
        <v>6006</v>
      </c>
      <c r="F869" s="197">
        <v>178.87</v>
      </c>
      <c r="G869" s="190">
        <v>45945</v>
      </c>
      <c r="H869" s="196">
        <v>0</v>
      </c>
      <c r="I869" s="197">
        <v>5366.1</v>
      </c>
      <c r="J869" s="197">
        <v>5366.1</v>
      </c>
      <c r="K869" s="197">
        <v>0</v>
      </c>
      <c r="L869" s="197">
        <v>-639.89999999999964</v>
      </c>
      <c r="M869" s="260" t="s">
        <v>239</v>
      </c>
      <c r="N869" s="260" t="s">
        <v>514</v>
      </c>
    </row>
    <row r="870" spans="1:14" ht="14.5" x14ac:dyDescent="0.35">
      <c r="A870" s="260" t="s">
        <v>563</v>
      </c>
      <c r="B870" s="190">
        <v>45945</v>
      </c>
      <c r="C870" s="260" t="s">
        <v>754</v>
      </c>
      <c r="D870" s="197">
        <v>100</v>
      </c>
      <c r="E870" s="197">
        <v>8008</v>
      </c>
      <c r="F870" s="197">
        <v>79.67</v>
      </c>
      <c r="G870" s="190">
        <v>45945</v>
      </c>
      <c r="H870" s="196">
        <v>0</v>
      </c>
      <c r="I870" s="197">
        <v>7967</v>
      </c>
      <c r="J870" s="197">
        <v>7967</v>
      </c>
      <c r="K870" s="197">
        <v>0</v>
      </c>
      <c r="L870" s="197">
        <v>-41</v>
      </c>
      <c r="M870" s="260" t="s">
        <v>239</v>
      </c>
      <c r="N870" s="260" t="s">
        <v>514</v>
      </c>
    </row>
    <row r="871" spans="1:14" ht="14.5" x14ac:dyDescent="0.35">
      <c r="A871" s="260" t="s">
        <v>563</v>
      </c>
      <c r="B871" s="190">
        <v>45946</v>
      </c>
      <c r="C871" s="260" t="s">
        <v>749</v>
      </c>
      <c r="D871" s="197">
        <v>220</v>
      </c>
      <c r="E871" s="197">
        <v>10937.666666666666</v>
      </c>
      <c r="F871" s="197">
        <v>52.5</v>
      </c>
      <c r="G871" s="190">
        <v>45946</v>
      </c>
      <c r="H871" s="196">
        <v>0</v>
      </c>
      <c r="I871" s="197">
        <v>11550</v>
      </c>
      <c r="J871" s="197">
        <v>11550</v>
      </c>
      <c r="K871" s="197">
        <v>0</v>
      </c>
      <c r="L871" s="197">
        <v>612.33333333333394</v>
      </c>
      <c r="M871" s="260" t="s">
        <v>239</v>
      </c>
      <c r="N871" s="260" t="s">
        <v>514</v>
      </c>
    </row>
    <row r="872" spans="1:14" ht="14.5" x14ac:dyDescent="0.35">
      <c r="A872" s="260" t="s">
        <v>563</v>
      </c>
      <c r="B872" s="190">
        <v>45946</v>
      </c>
      <c r="C872" s="260" t="s">
        <v>752</v>
      </c>
      <c r="D872" s="197">
        <v>30</v>
      </c>
      <c r="E872" s="197">
        <v>6006</v>
      </c>
      <c r="F872" s="197">
        <v>179</v>
      </c>
      <c r="G872" s="190">
        <v>45946</v>
      </c>
      <c r="H872" s="196">
        <v>0</v>
      </c>
      <c r="I872" s="197">
        <v>5370</v>
      </c>
      <c r="J872" s="197">
        <v>5370</v>
      </c>
      <c r="K872" s="197">
        <v>0</v>
      </c>
      <c r="L872" s="197">
        <v>-636</v>
      </c>
      <c r="M872" s="260" t="s">
        <v>239</v>
      </c>
      <c r="N872" s="260" t="s">
        <v>514</v>
      </c>
    </row>
    <row r="873" spans="1:14" ht="14.5" x14ac:dyDescent="0.35">
      <c r="A873" s="260" t="s">
        <v>563</v>
      </c>
      <c r="B873" s="190">
        <v>45946</v>
      </c>
      <c r="C873" s="260" t="s">
        <v>754</v>
      </c>
      <c r="D873" s="197">
        <v>100</v>
      </c>
      <c r="E873" s="197">
        <v>8008</v>
      </c>
      <c r="F873" s="197">
        <v>79.5</v>
      </c>
      <c r="G873" s="190">
        <v>45946</v>
      </c>
      <c r="H873" s="196">
        <v>0</v>
      </c>
      <c r="I873" s="197">
        <v>7950</v>
      </c>
      <c r="J873" s="197">
        <v>7950</v>
      </c>
      <c r="K873" s="197">
        <v>0</v>
      </c>
      <c r="L873" s="197">
        <v>-58</v>
      </c>
      <c r="M873" s="260" t="s">
        <v>239</v>
      </c>
      <c r="N873" s="260" t="s">
        <v>514</v>
      </c>
    </row>
    <row r="874" spans="1:14" ht="14.5" x14ac:dyDescent="0.35">
      <c r="A874" s="260" t="s">
        <v>563</v>
      </c>
      <c r="B874" s="190">
        <v>45947</v>
      </c>
      <c r="C874" s="260" t="s">
        <v>749</v>
      </c>
      <c r="D874" s="197">
        <v>220</v>
      </c>
      <c r="E874" s="197">
        <v>10937.666666666666</v>
      </c>
      <c r="F874" s="197">
        <v>52.4</v>
      </c>
      <c r="G874" s="190">
        <v>45947</v>
      </c>
      <c r="H874" s="196">
        <v>0</v>
      </c>
      <c r="I874" s="197">
        <v>11528</v>
      </c>
      <c r="J874" s="197">
        <v>11528</v>
      </c>
      <c r="K874" s="197">
        <v>0</v>
      </c>
      <c r="L874" s="197">
        <v>590.33333333333394</v>
      </c>
      <c r="M874" s="260" t="s">
        <v>239</v>
      </c>
      <c r="N874" s="260" t="s">
        <v>514</v>
      </c>
    </row>
    <row r="875" spans="1:14" ht="14.5" x14ac:dyDescent="0.35">
      <c r="A875" s="260" t="s">
        <v>563</v>
      </c>
      <c r="B875" s="190">
        <v>45947</v>
      </c>
      <c r="C875" s="260" t="s">
        <v>752</v>
      </c>
      <c r="D875" s="197">
        <v>30</v>
      </c>
      <c r="E875" s="197">
        <v>6006</v>
      </c>
      <c r="F875" s="197">
        <v>179.13</v>
      </c>
      <c r="G875" s="190">
        <v>45947</v>
      </c>
      <c r="H875" s="196">
        <v>0</v>
      </c>
      <c r="I875" s="197">
        <v>5373.9</v>
      </c>
      <c r="J875" s="197">
        <v>5373.9</v>
      </c>
      <c r="K875" s="197">
        <v>0</v>
      </c>
      <c r="L875" s="197">
        <v>-632.10000000000036</v>
      </c>
      <c r="M875" s="260" t="s">
        <v>239</v>
      </c>
      <c r="N875" s="260" t="s">
        <v>514</v>
      </c>
    </row>
    <row r="876" spans="1:14" ht="14.5" x14ac:dyDescent="0.35">
      <c r="A876" s="260" t="s">
        <v>563</v>
      </c>
      <c r="B876" s="190">
        <v>45947</v>
      </c>
      <c r="C876" s="260" t="s">
        <v>754</v>
      </c>
      <c r="D876" s="197">
        <v>100</v>
      </c>
      <c r="E876" s="197">
        <v>8008</v>
      </c>
      <c r="F876" s="197">
        <v>79.33</v>
      </c>
      <c r="G876" s="190">
        <v>45947</v>
      </c>
      <c r="H876" s="196">
        <v>0</v>
      </c>
      <c r="I876" s="197">
        <v>7933</v>
      </c>
      <c r="J876" s="197">
        <v>7933</v>
      </c>
      <c r="K876" s="197">
        <v>0</v>
      </c>
      <c r="L876" s="197">
        <v>-75</v>
      </c>
      <c r="M876" s="260" t="s">
        <v>239</v>
      </c>
      <c r="N876" s="260" t="s">
        <v>514</v>
      </c>
    </row>
    <row r="877" spans="1:14" ht="14.5" x14ac:dyDescent="0.35">
      <c r="A877" s="260" t="s">
        <v>563</v>
      </c>
      <c r="B877" s="190">
        <v>45948</v>
      </c>
      <c r="C877" s="260" t="s">
        <v>749</v>
      </c>
      <c r="D877" s="197">
        <v>220</v>
      </c>
      <c r="E877" s="197">
        <v>10937.666666666666</v>
      </c>
      <c r="F877" s="197">
        <v>52.4</v>
      </c>
      <c r="G877" s="190">
        <v>45947</v>
      </c>
      <c r="H877" s="196">
        <v>1</v>
      </c>
      <c r="I877" s="197">
        <v>11528</v>
      </c>
      <c r="J877" s="197">
        <v>11528</v>
      </c>
      <c r="K877" s="197">
        <v>0</v>
      </c>
      <c r="L877" s="197">
        <v>590.33333333333394</v>
      </c>
      <c r="M877" s="260" t="s">
        <v>239</v>
      </c>
      <c r="N877" s="260" t="s">
        <v>514</v>
      </c>
    </row>
    <row r="878" spans="1:14" ht="14.5" x14ac:dyDescent="0.35">
      <c r="A878" s="260" t="s">
        <v>563</v>
      </c>
      <c r="B878" s="190">
        <v>45948</v>
      </c>
      <c r="C878" s="260" t="s">
        <v>752</v>
      </c>
      <c r="D878" s="197">
        <v>30</v>
      </c>
      <c r="E878" s="197">
        <v>6006</v>
      </c>
      <c r="F878" s="197">
        <v>179.13</v>
      </c>
      <c r="G878" s="190">
        <v>45947</v>
      </c>
      <c r="H878" s="196">
        <v>1</v>
      </c>
      <c r="I878" s="197">
        <v>5373.9</v>
      </c>
      <c r="J878" s="197">
        <v>5373.9</v>
      </c>
      <c r="K878" s="197">
        <v>0</v>
      </c>
      <c r="L878" s="197">
        <v>-632.10000000000036</v>
      </c>
      <c r="M878" s="260" t="s">
        <v>239</v>
      </c>
      <c r="N878" s="260" t="s">
        <v>514</v>
      </c>
    </row>
    <row r="879" spans="1:14" ht="14.5" x14ac:dyDescent="0.35">
      <c r="A879" s="260" t="s">
        <v>563</v>
      </c>
      <c r="B879" s="190">
        <v>45948</v>
      </c>
      <c r="C879" s="260" t="s">
        <v>754</v>
      </c>
      <c r="D879" s="197">
        <v>100</v>
      </c>
      <c r="E879" s="197">
        <v>8008</v>
      </c>
      <c r="F879" s="197">
        <v>79.33</v>
      </c>
      <c r="G879" s="190">
        <v>45947</v>
      </c>
      <c r="H879" s="196">
        <v>1</v>
      </c>
      <c r="I879" s="197">
        <v>7933</v>
      </c>
      <c r="J879" s="197">
        <v>7933</v>
      </c>
      <c r="K879" s="197">
        <v>0</v>
      </c>
      <c r="L879" s="197">
        <v>-75</v>
      </c>
      <c r="M879" s="260" t="s">
        <v>239</v>
      </c>
      <c r="N879" s="260" t="s">
        <v>514</v>
      </c>
    </row>
    <row r="880" spans="1:14" ht="14.5" x14ac:dyDescent="0.35">
      <c r="A880" s="260" t="s">
        <v>563</v>
      </c>
      <c r="B880" s="190">
        <v>45949</v>
      </c>
      <c r="C880" s="260" t="s">
        <v>749</v>
      </c>
      <c r="D880" s="197">
        <v>220</v>
      </c>
      <c r="E880" s="197">
        <v>10937.666666666666</v>
      </c>
      <c r="F880" s="197">
        <v>52.4</v>
      </c>
      <c r="G880" s="190">
        <v>45947</v>
      </c>
      <c r="H880" s="196">
        <v>2</v>
      </c>
      <c r="I880" s="197">
        <v>11528</v>
      </c>
      <c r="J880" s="197">
        <v>11528</v>
      </c>
      <c r="K880" s="197">
        <v>0</v>
      </c>
      <c r="L880" s="197">
        <v>590.33333333333394</v>
      </c>
      <c r="M880" s="260" t="s">
        <v>239</v>
      </c>
      <c r="N880" s="260" t="s">
        <v>514</v>
      </c>
    </row>
    <row r="881" spans="1:14" ht="14.5" x14ac:dyDescent="0.35">
      <c r="A881" s="260" t="s">
        <v>563</v>
      </c>
      <c r="B881" s="190">
        <v>45949</v>
      </c>
      <c r="C881" s="260" t="s">
        <v>752</v>
      </c>
      <c r="D881" s="197">
        <v>30</v>
      </c>
      <c r="E881" s="197">
        <v>6006</v>
      </c>
      <c r="F881" s="197">
        <v>179.13</v>
      </c>
      <c r="G881" s="190">
        <v>45947</v>
      </c>
      <c r="H881" s="196">
        <v>2</v>
      </c>
      <c r="I881" s="197">
        <v>5373.9</v>
      </c>
      <c r="J881" s="197">
        <v>5373.9</v>
      </c>
      <c r="K881" s="197">
        <v>0</v>
      </c>
      <c r="L881" s="197">
        <v>-632.10000000000036</v>
      </c>
      <c r="M881" s="260" t="s">
        <v>239</v>
      </c>
      <c r="N881" s="260" t="s">
        <v>514</v>
      </c>
    </row>
    <row r="882" spans="1:14" ht="14.5" x14ac:dyDescent="0.35">
      <c r="A882" s="260" t="s">
        <v>563</v>
      </c>
      <c r="B882" s="190">
        <v>45949</v>
      </c>
      <c r="C882" s="260" t="s">
        <v>754</v>
      </c>
      <c r="D882" s="197">
        <v>100</v>
      </c>
      <c r="E882" s="197">
        <v>8008</v>
      </c>
      <c r="F882" s="197">
        <v>79.33</v>
      </c>
      <c r="G882" s="190">
        <v>45947</v>
      </c>
      <c r="H882" s="196">
        <v>2</v>
      </c>
      <c r="I882" s="197">
        <v>7933</v>
      </c>
      <c r="J882" s="197">
        <v>7933</v>
      </c>
      <c r="K882" s="197">
        <v>0</v>
      </c>
      <c r="L882" s="197">
        <v>-75</v>
      </c>
      <c r="M882" s="260" t="s">
        <v>239</v>
      </c>
      <c r="N882" s="260" t="s">
        <v>514</v>
      </c>
    </row>
    <row r="883" spans="1:14" ht="14.5" x14ac:dyDescent="0.35">
      <c r="A883" s="260" t="s">
        <v>563</v>
      </c>
      <c r="B883" s="190">
        <v>45950</v>
      </c>
      <c r="C883" s="260" t="s">
        <v>749</v>
      </c>
      <c r="D883" s="197">
        <v>220</v>
      </c>
      <c r="E883" s="197">
        <v>10937.666666666666</v>
      </c>
      <c r="F883" s="197">
        <v>52.1</v>
      </c>
      <c r="G883" s="190">
        <v>45950</v>
      </c>
      <c r="H883" s="196">
        <v>0</v>
      </c>
      <c r="I883" s="197">
        <v>11462</v>
      </c>
      <c r="J883" s="197">
        <v>11462</v>
      </c>
      <c r="K883" s="197">
        <v>0</v>
      </c>
      <c r="L883" s="197">
        <v>524.33333333333394</v>
      </c>
      <c r="M883" s="260" t="s">
        <v>239</v>
      </c>
      <c r="N883" s="260" t="s">
        <v>514</v>
      </c>
    </row>
    <row r="884" spans="1:14" ht="14.5" x14ac:dyDescent="0.35">
      <c r="A884" s="260" t="s">
        <v>563</v>
      </c>
      <c r="B884" s="190">
        <v>45950</v>
      </c>
      <c r="C884" s="260" t="s">
        <v>752</v>
      </c>
      <c r="D884" s="197">
        <v>30</v>
      </c>
      <c r="E884" s="197">
        <v>6006</v>
      </c>
      <c r="F884" s="197">
        <v>179.53</v>
      </c>
      <c r="G884" s="190">
        <v>45950</v>
      </c>
      <c r="H884" s="196">
        <v>0</v>
      </c>
      <c r="I884" s="197">
        <v>5385.9</v>
      </c>
      <c r="J884" s="197">
        <v>5385.9</v>
      </c>
      <c r="K884" s="197">
        <v>0</v>
      </c>
      <c r="L884" s="197">
        <v>-620.10000000000036</v>
      </c>
      <c r="M884" s="260" t="s">
        <v>239</v>
      </c>
      <c r="N884" s="260" t="s">
        <v>514</v>
      </c>
    </row>
    <row r="885" spans="1:14" ht="14.5" x14ac:dyDescent="0.35">
      <c r="A885" s="260" t="s">
        <v>563</v>
      </c>
      <c r="B885" s="190">
        <v>45950</v>
      </c>
      <c r="C885" s="260" t="s">
        <v>754</v>
      </c>
      <c r="D885" s="197">
        <v>100</v>
      </c>
      <c r="E885" s="197">
        <v>8008</v>
      </c>
      <c r="F885" s="197">
        <v>78.83</v>
      </c>
      <c r="G885" s="190">
        <v>45950</v>
      </c>
      <c r="H885" s="196">
        <v>0</v>
      </c>
      <c r="I885" s="197">
        <v>7883</v>
      </c>
      <c r="J885" s="197">
        <v>7883</v>
      </c>
      <c r="K885" s="197">
        <v>0</v>
      </c>
      <c r="L885" s="197">
        <v>-125</v>
      </c>
      <c r="M885" s="260" t="s">
        <v>239</v>
      </c>
      <c r="N885" s="260" t="s">
        <v>514</v>
      </c>
    </row>
    <row r="886" spans="1:14" ht="14.5" x14ac:dyDescent="0.35">
      <c r="A886" s="260" t="s">
        <v>563</v>
      </c>
      <c r="B886" s="190">
        <v>45951</v>
      </c>
      <c r="C886" s="260" t="s">
        <v>749</v>
      </c>
      <c r="D886" s="197">
        <v>220</v>
      </c>
      <c r="E886" s="197">
        <v>10937.666666666666</v>
      </c>
      <c r="F886" s="197">
        <v>52</v>
      </c>
      <c r="G886" s="190">
        <v>45951</v>
      </c>
      <c r="H886" s="196">
        <v>0</v>
      </c>
      <c r="I886" s="197">
        <v>11440</v>
      </c>
      <c r="J886" s="197">
        <v>11440</v>
      </c>
      <c r="K886" s="197">
        <v>0</v>
      </c>
      <c r="L886" s="197">
        <v>502.33333333333394</v>
      </c>
      <c r="M886" s="260" t="s">
        <v>239</v>
      </c>
      <c r="N886" s="260" t="s">
        <v>514</v>
      </c>
    </row>
    <row r="887" spans="1:14" ht="14.5" x14ac:dyDescent="0.35">
      <c r="A887" s="260" t="s">
        <v>563</v>
      </c>
      <c r="B887" s="190">
        <v>45951</v>
      </c>
      <c r="C887" s="260" t="s">
        <v>752</v>
      </c>
      <c r="D887" s="197">
        <v>30</v>
      </c>
      <c r="E887" s="197">
        <v>6006</v>
      </c>
      <c r="F887" s="197">
        <v>179.67</v>
      </c>
      <c r="G887" s="190">
        <v>45951</v>
      </c>
      <c r="H887" s="196">
        <v>0</v>
      </c>
      <c r="I887" s="197">
        <v>5390.0999999999995</v>
      </c>
      <c r="J887" s="197">
        <v>5390.0999999999995</v>
      </c>
      <c r="K887" s="197">
        <v>0</v>
      </c>
      <c r="L887" s="197">
        <v>-615.90000000000055</v>
      </c>
      <c r="M887" s="260" t="s">
        <v>239</v>
      </c>
      <c r="N887" s="260" t="s">
        <v>514</v>
      </c>
    </row>
    <row r="888" spans="1:14" ht="14.5" x14ac:dyDescent="0.35">
      <c r="A888" s="260" t="s">
        <v>563</v>
      </c>
      <c r="B888" s="190">
        <v>45951</v>
      </c>
      <c r="C888" s="260" t="s">
        <v>754</v>
      </c>
      <c r="D888" s="197">
        <v>100</v>
      </c>
      <c r="E888" s="197">
        <v>8008</v>
      </c>
      <c r="F888" s="197">
        <v>78.67</v>
      </c>
      <c r="G888" s="190">
        <v>45951</v>
      </c>
      <c r="H888" s="196">
        <v>0</v>
      </c>
      <c r="I888" s="197">
        <v>7867</v>
      </c>
      <c r="J888" s="197">
        <v>7867</v>
      </c>
      <c r="K888" s="197">
        <v>0</v>
      </c>
      <c r="L888" s="197">
        <v>-141</v>
      </c>
      <c r="M888" s="260" t="s">
        <v>239</v>
      </c>
      <c r="N888" s="260" t="s">
        <v>514</v>
      </c>
    </row>
    <row r="889" spans="1:14" ht="14.5" x14ac:dyDescent="0.35">
      <c r="A889" s="260" t="s">
        <v>563</v>
      </c>
      <c r="B889" s="190">
        <v>45952</v>
      </c>
      <c r="C889" s="260" t="s">
        <v>749</v>
      </c>
      <c r="D889" s="197">
        <v>220</v>
      </c>
      <c r="E889" s="197">
        <v>10937.666666666666</v>
      </c>
      <c r="F889" s="197">
        <v>51.9</v>
      </c>
      <c r="G889" s="190">
        <v>45952</v>
      </c>
      <c r="H889" s="196">
        <v>0</v>
      </c>
      <c r="I889" s="197">
        <v>11418</v>
      </c>
      <c r="J889" s="197">
        <v>11418</v>
      </c>
      <c r="K889" s="197">
        <v>0</v>
      </c>
      <c r="L889" s="197">
        <v>480.33333333333394</v>
      </c>
      <c r="M889" s="260" t="s">
        <v>239</v>
      </c>
      <c r="N889" s="260" t="s">
        <v>514</v>
      </c>
    </row>
    <row r="890" spans="1:14" ht="14.5" x14ac:dyDescent="0.35">
      <c r="A890" s="260" t="s">
        <v>563</v>
      </c>
      <c r="B890" s="190">
        <v>45952</v>
      </c>
      <c r="C890" s="260" t="s">
        <v>752</v>
      </c>
      <c r="D890" s="197">
        <v>30</v>
      </c>
      <c r="E890" s="197">
        <v>6006</v>
      </c>
      <c r="F890" s="197">
        <v>179.8</v>
      </c>
      <c r="G890" s="190">
        <v>45952</v>
      </c>
      <c r="H890" s="196">
        <v>0</v>
      </c>
      <c r="I890" s="197">
        <v>5394</v>
      </c>
      <c r="J890" s="197">
        <v>5394</v>
      </c>
      <c r="K890" s="197">
        <v>0</v>
      </c>
      <c r="L890" s="197">
        <v>-612</v>
      </c>
      <c r="M890" s="260" t="s">
        <v>239</v>
      </c>
      <c r="N890" s="260" t="s">
        <v>514</v>
      </c>
    </row>
    <row r="891" spans="1:14" ht="14.5" x14ac:dyDescent="0.35">
      <c r="A891" s="260" t="s">
        <v>563</v>
      </c>
      <c r="B891" s="190">
        <v>45952</v>
      </c>
      <c r="C891" s="260" t="s">
        <v>754</v>
      </c>
      <c r="D891" s="197">
        <v>100</v>
      </c>
      <c r="E891" s="197">
        <v>8008</v>
      </c>
      <c r="F891" s="197">
        <v>78.5</v>
      </c>
      <c r="G891" s="190">
        <v>45952</v>
      </c>
      <c r="H891" s="196">
        <v>0</v>
      </c>
      <c r="I891" s="197">
        <v>7850</v>
      </c>
      <c r="J891" s="197">
        <v>7850</v>
      </c>
      <c r="K891" s="197">
        <v>0</v>
      </c>
      <c r="L891" s="197">
        <v>-158</v>
      </c>
      <c r="M891" s="260" t="s">
        <v>239</v>
      </c>
      <c r="N891" s="260" t="s">
        <v>514</v>
      </c>
    </row>
    <row r="892" spans="1:14" ht="14.5" x14ac:dyDescent="0.35">
      <c r="A892" s="260" t="s">
        <v>563</v>
      </c>
      <c r="B892" s="190">
        <v>45953</v>
      </c>
      <c r="C892" s="260" t="s">
        <v>749</v>
      </c>
      <c r="D892" s="197">
        <v>220</v>
      </c>
      <c r="E892" s="197">
        <v>10937.666666666666</v>
      </c>
      <c r="F892" s="197">
        <v>51.8</v>
      </c>
      <c r="G892" s="190">
        <v>45953</v>
      </c>
      <c r="H892" s="196">
        <v>0</v>
      </c>
      <c r="I892" s="197">
        <v>11396</v>
      </c>
      <c r="J892" s="197">
        <v>11396</v>
      </c>
      <c r="K892" s="197">
        <v>0</v>
      </c>
      <c r="L892" s="197">
        <v>458.33333333333394</v>
      </c>
      <c r="M892" s="260" t="s">
        <v>239</v>
      </c>
      <c r="N892" s="260" t="s">
        <v>514</v>
      </c>
    </row>
    <row r="893" spans="1:14" ht="14.5" x14ac:dyDescent="0.35">
      <c r="A893" s="260" t="s">
        <v>563</v>
      </c>
      <c r="B893" s="190">
        <v>45953</v>
      </c>
      <c r="C893" s="260" t="s">
        <v>752</v>
      </c>
      <c r="D893" s="197">
        <v>30</v>
      </c>
      <c r="E893" s="197">
        <v>6006</v>
      </c>
      <c r="F893" s="197">
        <v>179.93</v>
      </c>
      <c r="G893" s="190">
        <v>45953</v>
      </c>
      <c r="H893" s="196">
        <v>0</v>
      </c>
      <c r="I893" s="197">
        <v>5397.9000000000005</v>
      </c>
      <c r="J893" s="197">
        <v>5397.9000000000005</v>
      </c>
      <c r="K893" s="197">
        <v>0</v>
      </c>
      <c r="L893" s="197">
        <v>-608.09999999999945</v>
      </c>
      <c r="M893" s="260" t="s">
        <v>239</v>
      </c>
      <c r="N893" s="260" t="s">
        <v>514</v>
      </c>
    </row>
    <row r="894" spans="1:14" ht="14.5" x14ac:dyDescent="0.35">
      <c r="A894" s="260" t="s">
        <v>563</v>
      </c>
      <c r="B894" s="190">
        <v>45953</v>
      </c>
      <c r="C894" s="260" t="s">
        <v>754</v>
      </c>
      <c r="D894" s="197">
        <v>100</v>
      </c>
      <c r="E894" s="197">
        <v>8008</v>
      </c>
      <c r="F894" s="197">
        <v>78.33</v>
      </c>
      <c r="G894" s="190">
        <v>45953</v>
      </c>
      <c r="H894" s="196">
        <v>0</v>
      </c>
      <c r="I894" s="197">
        <v>7833</v>
      </c>
      <c r="J894" s="197">
        <v>7833</v>
      </c>
      <c r="K894" s="197">
        <v>0</v>
      </c>
      <c r="L894" s="197">
        <v>-175</v>
      </c>
      <c r="M894" s="260" t="s">
        <v>239</v>
      </c>
      <c r="N894" s="260" t="s">
        <v>514</v>
      </c>
    </row>
    <row r="895" spans="1:14" ht="14.5" x14ac:dyDescent="0.35">
      <c r="A895" s="260" t="s">
        <v>563</v>
      </c>
      <c r="B895" s="190">
        <v>45954</v>
      </c>
      <c r="C895" s="260" t="s">
        <v>749</v>
      </c>
      <c r="D895" s="197">
        <v>220</v>
      </c>
      <c r="E895" s="197">
        <v>10937.666666666666</v>
      </c>
      <c r="F895" s="197">
        <v>51.7</v>
      </c>
      <c r="G895" s="190">
        <v>45954</v>
      </c>
      <c r="H895" s="196">
        <v>0</v>
      </c>
      <c r="I895" s="197">
        <v>11374</v>
      </c>
      <c r="J895" s="197">
        <v>11374</v>
      </c>
      <c r="K895" s="197">
        <v>0</v>
      </c>
      <c r="L895" s="197">
        <v>436.33333333333394</v>
      </c>
      <c r="M895" s="260" t="s">
        <v>239</v>
      </c>
      <c r="N895" s="260" t="s">
        <v>514</v>
      </c>
    </row>
    <row r="896" spans="1:14" ht="14.5" x14ac:dyDescent="0.35">
      <c r="A896" s="260" t="s">
        <v>563</v>
      </c>
      <c r="B896" s="190">
        <v>45954</v>
      </c>
      <c r="C896" s="260" t="s">
        <v>752</v>
      </c>
      <c r="D896" s="197">
        <v>30</v>
      </c>
      <c r="E896" s="197">
        <v>6006</v>
      </c>
      <c r="F896" s="197">
        <v>180.07</v>
      </c>
      <c r="G896" s="190">
        <v>45954</v>
      </c>
      <c r="H896" s="196">
        <v>0</v>
      </c>
      <c r="I896" s="197">
        <v>5402.0999999999995</v>
      </c>
      <c r="J896" s="197">
        <v>5402.0999999999995</v>
      </c>
      <c r="K896" s="197">
        <v>0</v>
      </c>
      <c r="L896" s="197">
        <v>-603.90000000000055</v>
      </c>
      <c r="M896" s="260" t="s">
        <v>239</v>
      </c>
      <c r="N896" s="260" t="s">
        <v>514</v>
      </c>
    </row>
    <row r="897" spans="1:14" ht="14.5" x14ac:dyDescent="0.35">
      <c r="A897" s="260" t="s">
        <v>563</v>
      </c>
      <c r="B897" s="190">
        <v>45954</v>
      </c>
      <c r="C897" s="260" t="s">
        <v>754</v>
      </c>
      <c r="D897" s="197">
        <v>100</v>
      </c>
      <c r="E897" s="197">
        <v>8008</v>
      </c>
      <c r="F897" s="197">
        <v>78.17</v>
      </c>
      <c r="G897" s="190">
        <v>45954</v>
      </c>
      <c r="H897" s="196">
        <v>0</v>
      </c>
      <c r="I897" s="197">
        <v>7817</v>
      </c>
      <c r="J897" s="197">
        <v>7817</v>
      </c>
      <c r="K897" s="197">
        <v>0</v>
      </c>
      <c r="L897" s="197">
        <v>-191</v>
      </c>
      <c r="M897" s="260" t="s">
        <v>239</v>
      </c>
      <c r="N897" s="260" t="s">
        <v>514</v>
      </c>
    </row>
    <row r="898" spans="1:14" ht="14.5" x14ac:dyDescent="0.35">
      <c r="A898" s="260" t="s">
        <v>563</v>
      </c>
      <c r="B898" s="190">
        <v>45955</v>
      </c>
      <c r="C898" s="260" t="s">
        <v>749</v>
      </c>
      <c r="D898" s="197">
        <v>220</v>
      </c>
      <c r="E898" s="197">
        <v>10937.666666666666</v>
      </c>
      <c r="F898" s="197">
        <v>51.7</v>
      </c>
      <c r="G898" s="190">
        <v>45954</v>
      </c>
      <c r="H898" s="196">
        <v>1</v>
      </c>
      <c r="I898" s="197">
        <v>11374</v>
      </c>
      <c r="J898" s="197">
        <v>11374</v>
      </c>
      <c r="K898" s="197">
        <v>0</v>
      </c>
      <c r="L898" s="197">
        <v>436.33333333333394</v>
      </c>
      <c r="M898" s="260" t="s">
        <v>239</v>
      </c>
      <c r="N898" s="260" t="s">
        <v>514</v>
      </c>
    </row>
    <row r="899" spans="1:14" ht="14.5" x14ac:dyDescent="0.35">
      <c r="A899" s="260" t="s">
        <v>563</v>
      </c>
      <c r="B899" s="190">
        <v>45955</v>
      </c>
      <c r="C899" s="260" t="s">
        <v>752</v>
      </c>
      <c r="D899" s="197">
        <v>30</v>
      </c>
      <c r="E899" s="197">
        <v>6006</v>
      </c>
      <c r="F899" s="197">
        <v>180.07</v>
      </c>
      <c r="G899" s="190">
        <v>45954</v>
      </c>
      <c r="H899" s="196">
        <v>1</v>
      </c>
      <c r="I899" s="197">
        <v>5402.0999999999995</v>
      </c>
      <c r="J899" s="197">
        <v>5402.0999999999995</v>
      </c>
      <c r="K899" s="197">
        <v>0</v>
      </c>
      <c r="L899" s="197">
        <v>-603.90000000000055</v>
      </c>
      <c r="M899" s="260" t="s">
        <v>239</v>
      </c>
      <c r="N899" s="260" t="s">
        <v>514</v>
      </c>
    </row>
    <row r="900" spans="1:14" ht="14.5" x14ac:dyDescent="0.35">
      <c r="A900" s="260" t="s">
        <v>563</v>
      </c>
      <c r="B900" s="190">
        <v>45955</v>
      </c>
      <c r="C900" s="260" t="s">
        <v>754</v>
      </c>
      <c r="D900" s="197">
        <v>100</v>
      </c>
      <c r="E900" s="197">
        <v>8008</v>
      </c>
      <c r="F900" s="197">
        <v>78.17</v>
      </c>
      <c r="G900" s="190">
        <v>45954</v>
      </c>
      <c r="H900" s="196">
        <v>1</v>
      </c>
      <c r="I900" s="197">
        <v>7817</v>
      </c>
      <c r="J900" s="197">
        <v>7817</v>
      </c>
      <c r="K900" s="197">
        <v>0</v>
      </c>
      <c r="L900" s="197">
        <v>-191</v>
      </c>
      <c r="M900" s="260" t="s">
        <v>239</v>
      </c>
      <c r="N900" s="260" t="s">
        <v>514</v>
      </c>
    </row>
    <row r="901" spans="1:14" ht="14.5" x14ac:dyDescent="0.35">
      <c r="A901" s="260" t="s">
        <v>563</v>
      </c>
      <c r="B901" s="190">
        <v>45956</v>
      </c>
      <c r="C901" s="260" t="s">
        <v>749</v>
      </c>
      <c r="D901" s="197">
        <v>220</v>
      </c>
      <c r="E901" s="197">
        <v>10937.666666666666</v>
      </c>
      <c r="F901" s="197">
        <v>51.7</v>
      </c>
      <c r="G901" s="190">
        <v>45954</v>
      </c>
      <c r="H901" s="196">
        <v>2</v>
      </c>
      <c r="I901" s="197">
        <v>11374</v>
      </c>
      <c r="J901" s="197">
        <v>11374</v>
      </c>
      <c r="K901" s="197">
        <v>0</v>
      </c>
      <c r="L901" s="197">
        <v>436.33333333333394</v>
      </c>
      <c r="M901" s="260" t="s">
        <v>239</v>
      </c>
      <c r="N901" s="260" t="s">
        <v>514</v>
      </c>
    </row>
    <row r="902" spans="1:14" ht="14.5" x14ac:dyDescent="0.35">
      <c r="A902" s="260" t="s">
        <v>563</v>
      </c>
      <c r="B902" s="190">
        <v>45956</v>
      </c>
      <c r="C902" s="260" t="s">
        <v>752</v>
      </c>
      <c r="D902" s="197">
        <v>30</v>
      </c>
      <c r="E902" s="197">
        <v>6006</v>
      </c>
      <c r="F902" s="197">
        <v>180.07</v>
      </c>
      <c r="G902" s="190">
        <v>45954</v>
      </c>
      <c r="H902" s="196">
        <v>2</v>
      </c>
      <c r="I902" s="197">
        <v>5402.0999999999995</v>
      </c>
      <c r="J902" s="197">
        <v>5402.0999999999995</v>
      </c>
      <c r="K902" s="197">
        <v>0</v>
      </c>
      <c r="L902" s="197">
        <v>-603.90000000000055</v>
      </c>
      <c r="M902" s="260" t="s">
        <v>239</v>
      </c>
      <c r="N902" s="260" t="s">
        <v>514</v>
      </c>
    </row>
    <row r="903" spans="1:14" ht="14.5" x14ac:dyDescent="0.35">
      <c r="A903" s="260" t="s">
        <v>563</v>
      </c>
      <c r="B903" s="190">
        <v>45956</v>
      </c>
      <c r="C903" s="260" t="s">
        <v>754</v>
      </c>
      <c r="D903" s="197">
        <v>100</v>
      </c>
      <c r="E903" s="197">
        <v>8008</v>
      </c>
      <c r="F903" s="197">
        <v>78.17</v>
      </c>
      <c r="G903" s="190">
        <v>45954</v>
      </c>
      <c r="H903" s="196">
        <v>2</v>
      </c>
      <c r="I903" s="197">
        <v>7817</v>
      </c>
      <c r="J903" s="197">
        <v>7817</v>
      </c>
      <c r="K903" s="197">
        <v>0</v>
      </c>
      <c r="L903" s="197">
        <v>-191</v>
      </c>
      <c r="M903" s="260" t="s">
        <v>239</v>
      </c>
      <c r="N903" s="260" t="s">
        <v>514</v>
      </c>
    </row>
    <row r="904" spans="1:14" ht="14.5" x14ac:dyDescent="0.35">
      <c r="A904" s="260" t="s">
        <v>563</v>
      </c>
      <c r="B904" s="190">
        <v>45957</v>
      </c>
      <c r="C904" s="260" t="s">
        <v>749</v>
      </c>
      <c r="D904" s="197">
        <v>220</v>
      </c>
      <c r="E904" s="197">
        <v>10937.666666666666</v>
      </c>
      <c r="F904" s="197">
        <v>51.4</v>
      </c>
      <c r="G904" s="190">
        <v>45957</v>
      </c>
      <c r="H904" s="196">
        <v>0</v>
      </c>
      <c r="I904" s="197">
        <v>11308</v>
      </c>
      <c r="J904" s="197">
        <v>11308</v>
      </c>
      <c r="K904" s="197">
        <v>0</v>
      </c>
      <c r="L904" s="197">
        <v>370.33333333333394</v>
      </c>
      <c r="M904" s="260" t="s">
        <v>239</v>
      </c>
      <c r="N904" s="260" t="s">
        <v>514</v>
      </c>
    </row>
    <row r="905" spans="1:14" ht="14.5" x14ac:dyDescent="0.35">
      <c r="A905" s="260" t="s">
        <v>563</v>
      </c>
      <c r="B905" s="190">
        <v>45957</v>
      </c>
      <c r="C905" s="260" t="s">
        <v>752</v>
      </c>
      <c r="D905" s="197">
        <v>30</v>
      </c>
      <c r="E905" s="197">
        <v>6006</v>
      </c>
      <c r="F905" s="197">
        <v>180.47</v>
      </c>
      <c r="G905" s="190">
        <v>45957</v>
      </c>
      <c r="H905" s="196">
        <v>0</v>
      </c>
      <c r="I905" s="197">
        <v>5414.1</v>
      </c>
      <c r="J905" s="197">
        <v>5414.1</v>
      </c>
      <c r="K905" s="197">
        <v>0</v>
      </c>
      <c r="L905" s="197">
        <v>-591.89999999999964</v>
      </c>
      <c r="M905" s="260" t="s">
        <v>239</v>
      </c>
      <c r="N905" s="260" t="s">
        <v>514</v>
      </c>
    </row>
    <row r="906" spans="1:14" ht="14.5" x14ac:dyDescent="0.35">
      <c r="A906" s="260" t="s">
        <v>563</v>
      </c>
      <c r="B906" s="190">
        <v>45957</v>
      </c>
      <c r="C906" s="260" t="s">
        <v>754</v>
      </c>
      <c r="D906" s="197">
        <v>100</v>
      </c>
      <c r="E906" s="197">
        <v>8008</v>
      </c>
      <c r="F906" s="197">
        <v>77.67</v>
      </c>
      <c r="G906" s="190">
        <v>45957</v>
      </c>
      <c r="H906" s="196">
        <v>0</v>
      </c>
      <c r="I906" s="197">
        <v>7767</v>
      </c>
      <c r="J906" s="197">
        <v>7767</v>
      </c>
      <c r="K906" s="197">
        <v>0</v>
      </c>
      <c r="L906" s="197">
        <v>-241</v>
      </c>
      <c r="M906" s="260" t="s">
        <v>239</v>
      </c>
      <c r="N906" s="260" t="s">
        <v>514</v>
      </c>
    </row>
    <row r="907" spans="1:14" ht="14.5" x14ac:dyDescent="0.35">
      <c r="A907" s="260" t="s">
        <v>563</v>
      </c>
      <c r="B907" s="190">
        <v>45958</v>
      </c>
      <c r="C907" s="260" t="s">
        <v>749</v>
      </c>
      <c r="D907" s="197">
        <v>220</v>
      </c>
      <c r="E907" s="197">
        <v>10937.666666666666</v>
      </c>
      <c r="F907" s="197">
        <v>51.3</v>
      </c>
      <c r="G907" s="190">
        <v>45958</v>
      </c>
      <c r="H907" s="196">
        <v>0</v>
      </c>
      <c r="I907" s="197">
        <v>11286</v>
      </c>
      <c r="J907" s="197">
        <v>11286</v>
      </c>
      <c r="K907" s="197">
        <v>0</v>
      </c>
      <c r="L907" s="197">
        <v>348.33333333333394</v>
      </c>
      <c r="M907" s="260" t="s">
        <v>239</v>
      </c>
      <c r="N907" s="260" t="s">
        <v>514</v>
      </c>
    </row>
    <row r="908" spans="1:14" ht="14.5" x14ac:dyDescent="0.35">
      <c r="A908" s="260" t="s">
        <v>563</v>
      </c>
      <c r="B908" s="190">
        <v>45958</v>
      </c>
      <c r="C908" s="260" t="s">
        <v>752</v>
      </c>
      <c r="D908" s="197">
        <v>30</v>
      </c>
      <c r="E908" s="197">
        <v>6006</v>
      </c>
      <c r="F908" s="197">
        <v>180.6</v>
      </c>
      <c r="G908" s="190">
        <v>45958</v>
      </c>
      <c r="H908" s="196">
        <v>0</v>
      </c>
      <c r="I908" s="197">
        <v>5418</v>
      </c>
      <c r="J908" s="197">
        <v>5418</v>
      </c>
      <c r="K908" s="197">
        <v>0</v>
      </c>
      <c r="L908" s="197">
        <v>-588</v>
      </c>
      <c r="M908" s="260" t="s">
        <v>239</v>
      </c>
      <c r="N908" s="260" t="s">
        <v>514</v>
      </c>
    </row>
    <row r="909" spans="1:14" ht="14.5" x14ac:dyDescent="0.35">
      <c r="A909" s="260" t="s">
        <v>563</v>
      </c>
      <c r="B909" s="190">
        <v>45958</v>
      </c>
      <c r="C909" s="260" t="s">
        <v>754</v>
      </c>
      <c r="D909" s="197">
        <v>100</v>
      </c>
      <c r="E909" s="197">
        <v>8008</v>
      </c>
      <c r="F909" s="197">
        <v>77.5</v>
      </c>
      <c r="G909" s="190">
        <v>45958</v>
      </c>
      <c r="H909" s="196">
        <v>0</v>
      </c>
      <c r="I909" s="197">
        <v>7750</v>
      </c>
      <c r="J909" s="197">
        <v>7750</v>
      </c>
      <c r="K909" s="197">
        <v>0</v>
      </c>
      <c r="L909" s="197">
        <v>-258</v>
      </c>
      <c r="M909" s="260" t="s">
        <v>239</v>
      </c>
      <c r="N909" s="260" t="s">
        <v>514</v>
      </c>
    </row>
    <row r="910" spans="1:14" ht="14.5" x14ac:dyDescent="0.35">
      <c r="A910" s="260" t="s">
        <v>563</v>
      </c>
      <c r="B910" s="190">
        <v>45959</v>
      </c>
      <c r="C910" s="260" t="s">
        <v>749</v>
      </c>
      <c r="D910" s="197">
        <v>220</v>
      </c>
      <c r="E910" s="197">
        <v>10937.666666666666</v>
      </c>
      <c r="F910" s="197">
        <v>51.2</v>
      </c>
      <c r="G910" s="190">
        <v>45959</v>
      </c>
      <c r="H910" s="196">
        <v>0</v>
      </c>
      <c r="I910" s="197">
        <v>11264</v>
      </c>
      <c r="J910" s="197">
        <v>11264</v>
      </c>
      <c r="K910" s="197">
        <v>0</v>
      </c>
      <c r="L910" s="197">
        <v>326.33333333333394</v>
      </c>
      <c r="M910" s="260" t="s">
        <v>239</v>
      </c>
      <c r="N910" s="260" t="s">
        <v>514</v>
      </c>
    </row>
    <row r="911" spans="1:14" ht="14.5" x14ac:dyDescent="0.35">
      <c r="A911" s="260" t="s">
        <v>563</v>
      </c>
      <c r="B911" s="190">
        <v>45959</v>
      </c>
      <c r="C911" s="260" t="s">
        <v>752</v>
      </c>
      <c r="D911" s="197">
        <v>30</v>
      </c>
      <c r="E911" s="197">
        <v>6006</v>
      </c>
      <c r="F911" s="197">
        <v>180.73</v>
      </c>
      <c r="G911" s="190">
        <v>45959</v>
      </c>
      <c r="H911" s="196">
        <v>0</v>
      </c>
      <c r="I911" s="197">
        <v>5421.9</v>
      </c>
      <c r="J911" s="197">
        <v>5421.9</v>
      </c>
      <c r="K911" s="197">
        <v>0</v>
      </c>
      <c r="L911" s="197">
        <v>-584.10000000000036</v>
      </c>
      <c r="M911" s="260" t="s">
        <v>239</v>
      </c>
      <c r="N911" s="260" t="s">
        <v>514</v>
      </c>
    </row>
    <row r="912" spans="1:14" ht="14.5" x14ac:dyDescent="0.35">
      <c r="A912" s="260" t="s">
        <v>563</v>
      </c>
      <c r="B912" s="190">
        <v>45959</v>
      </c>
      <c r="C912" s="260" t="s">
        <v>754</v>
      </c>
      <c r="D912" s="197">
        <v>100</v>
      </c>
      <c r="E912" s="197">
        <v>8008</v>
      </c>
      <c r="F912" s="197">
        <v>77.33</v>
      </c>
      <c r="G912" s="190">
        <v>45959</v>
      </c>
      <c r="H912" s="196">
        <v>0</v>
      </c>
      <c r="I912" s="197">
        <v>7733</v>
      </c>
      <c r="J912" s="197">
        <v>7733</v>
      </c>
      <c r="K912" s="197">
        <v>0</v>
      </c>
      <c r="L912" s="197">
        <v>-275</v>
      </c>
      <c r="M912" s="260" t="s">
        <v>239</v>
      </c>
      <c r="N912" s="260" t="s">
        <v>514</v>
      </c>
    </row>
    <row r="913" spans="1:14" ht="14.5" x14ac:dyDescent="0.35">
      <c r="A913" s="260" t="s">
        <v>563</v>
      </c>
      <c r="B913" s="190">
        <v>45960</v>
      </c>
      <c r="C913" s="260" t="s">
        <v>749</v>
      </c>
      <c r="D913" s="197">
        <v>220</v>
      </c>
      <c r="E913" s="197">
        <v>10937.666666666666</v>
      </c>
      <c r="F913" s="197">
        <v>51.1</v>
      </c>
      <c r="G913" s="190">
        <v>45960</v>
      </c>
      <c r="H913" s="196">
        <v>0</v>
      </c>
      <c r="I913" s="197">
        <v>11242</v>
      </c>
      <c r="J913" s="197">
        <v>11242</v>
      </c>
      <c r="K913" s="197">
        <v>0</v>
      </c>
      <c r="L913" s="197">
        <v>304.33333333333394</v>
      </c>
      <c r="M913" s="260" t="s">
        <v>239</v>
      </c>
      <c r="N913" s="260" t="s">
        <v>514</v>
      </c>
    </row>
    <row r="914" spans="1:14" ht="14.5" x14ac:dyDescent="0.35">
      <c r="A914" s="260" t="s">
        <v>563</v>
      </c>
      <c r="B914" s="190">
        <v>45960</v>
      </c>
      <c r="C914" s="260" t="s">
        <v>752</v>
      </c>
      <c r="D914" s="197">
        <v>30</v>
      </c>
      <c r="E914" s="197">
        <v>6006</v>
      </c>
      <c r="F914" s="197">
        <v>180.87</v>
      </c>
      <c r="G914" s="190">
        <v>45960</v>
      </c>
      <c r="H914" s="196">
        <v>0</v>
      </c>
      <c r="I914" s="197">
        <v>5426.1</v>
      </c>
      <c r="J914" s="197">
        <v>5426.1</v>
      </c>
      <c r="K914" s="197">
        <v>0</v>
      </c>
      <c r="L914" s="197">
        <v>-579.89999999999964</v>
      </c>
      <c r="M914" s="260" t="s">
        <v>239</v>
      </c>
      <c r="N914" s="260" t="s">
        <v>514</v>
      </c>
    </row>
    <row r="915" spans="1:14" ht="14.5" x14ac:dyDescent="0.35">
      <c r="A915" s="260" t="s">
        <v>563</v>
      </c>
      <c r="B915" s="190">
        <v>45960</v>
      </c>
      <c r="C915" s="260" t="s">
        <v>754</v>
      </c>
      <c r="D915" s="197">
        <v>100</v>
      </c>
      <c r="E915" s="197">
        <v>8008</v>
      </c>
      <c r="F915" s="197">
        <v>77.17</v>
      </c>
      <c r="G915" s="190">
        <v>45960</v>
      </c>
      <c r="H915" s="196">
        <v>0</v>
      </c>
      <c r="I915" s="197">
        <v>7717</v>
      </c>
      <c r="J915" s="197">
        <v>7717</v>
      </c>
      <c r="K915" s="197">
        <v>0</v>
      </c>
      <c r="L915" s="197">
        <v>-291</v>
      </c>
      <c r="M915" s="260" t="s">
        <v>239</v>
      </c>
      <c r="N915" s="260" t="s">
        <v>514</v>
      </c>
    </row>
    <row r="916" spans="1:14" ht="14.5" x14ac:dyDescent="0.35">
      <c r="A916" s="260" t="s">
        <v>563</v>
      </c>
      <c r="B916" s="190">
        <v>45961</v>
      </c>
      <c r="C916" s="260" t="s">
        <v>749</v>
      </c>
      <c r="D916" s="197">
        <v>220</v>
      </c>
      <c r="E916" s="197">
        <v>10937.666666666666</v>
      </c>
      <c r="F916" s="197">
        <v>51</v>
      </c>
      <c r="G916" s="190">
        <v>45961</v>
      </c>
      <c r="H916" s="196">
        <v>0</v>
      </c>
      <c r="I916" s="197">
        <v>11220</v>
      </c>
      <c r="J916" s="197">
        <v>11220</v>
      </c>
      <c r="K916" s="197">
        <v>0</v>
      </c>
      <c r="L916" s="197">
        <v>282.33333333333394</v>
      </c>
      <c r="M916" s="260" t="s">
        <v>239</v>
      </c>
      <c r="N916" s="260" t="s">
        <v>514</v>
      </c>
    </row>
    <row r="917" spans="1:14" ht="14.5" x14ac:dyDescent="0.35">
      <c r="A917" s="260" t="s">
        <v>563</v>
      </c>
      <c r="B917" s="190">
        <v>45961</v>
      </c>
      <c r="C917" s="260" t="s">
        <v>752</v>
      </c>
      <c r="D917" s="197">
        <v>30</v>
      </c>
      <c r="E917" s="197">
        <v>6006</v>
      </c>
      <c r="F917" s="197">
        <v>181</v>
      </c>
      <c r="G917" s="190">
        <v>45961</v>
      </c>
      <c r="H917" s="196">
        <v>0</v>
      </c>
      <c r="I917" s="197">
        <v>5430</v>
      </c>
      <c r="J917" s="197">
        <v>5430</v>
      </c>
      <c r="K917" s="197">
        <v>0</v>
      </c>
      <c r="L917" s="197">
        <v>-576</v>
      </c>
      <c r="M917" s="260" t="s">
        <v>239</v>
      </c>
      <c r="N917" s="260" t="s">
        <v>514</v>
      </c>
    </row>
    <row r="918" spans="1:14" ht="14.5" x14ac:dyDescent="0.35">
      <c r="A918" s="260" t="s">
        <v>563</v>
      </c>
      <c r="B918" s="190">
        <v>45961</v>
      </c>
      <c r="C918" s="260" t="s">
        <v>754</v>
      </c>
      <c r="D918" s="197">
        <v>100</v>
      </c>
      <c r="E918" s="197">
        <v>8008</v>
      </c>
      <c r="F918" s="197">
        <v>77</v>
      </c>
      <c r="G918" s="190">
        <v>45961</v>
      </c>
      <c r="H918" s="196">
        <v>0</v>
      </c>
      <c r="I918" s="197">
        <v>7700</v>
      </c>
      <c r="J918" s="197">
        <v>7700</v>
      </c>
      <c r="K918" s="197">
        <v>0</v>
      </c>
      <c r="L918" s="197">
        <v>-308</v>
      </c>
      <c r="M918" s="260" t="s">
        <v>239</v>
      </c>
      <c r="N918" s="260" t="s">
        <v>514</v>
      </c>
    </row>
    <row r="919" spans="1:14" ht="14.5" x14ac:dyDescent="0.35">
      <c r="A919" s="260" t="s">
        <v>563</v>
      </c>
      <c r="B919" s="190">
        <v>45962</v>
      </c>
      <c r="C919" s="260" t="s">
        <v>749</v>
      </c>
      <c r="D919" s="197">
        <v>220</v>
      </c>
      <c r="E919" s="197">
        <v>10937.666666666666</v>
      </c>
      <c r="F919" s="197">
        <v>51</v>
      </c>
      <c r="G919" s="190">
        <v>45961</v>
      </c>
      <c r="H919" s="196">
        <v>1</v>
      </c>
      <c r="I919" s="197">
        <v>11220</v>
      </c>
      <c r="J919" s="197">
        <v>11220</v>
      </c>
      <c r="K919" s="197">
        <v>0</v>
      </c>
      <c r="L919" s="197">
        <v>282.33333333333394</v>
      </c>
      <c r="M919" s="260" t="s">
        <v>239</v>
      </c>
      <c r="N919" s="260" t="s">
        <v>514</v>
      </c>
    </row>
    <row r="920" spans="1:14" ht="14.5" x14ac:dyDescent="0.35">
      <c r="A920" s="260" t="s">
        <v>563</v>
      </c>
      <c r="B920" s="190">
        <v>45962</v>
      </c>
      <c r="C920" s="260" t="s">
        <v>752</v>
      </c>
      <c r="D920" s="197">
        <v>30</v>
      </c>
      <c r="E920" s="197">
        <v>6006</v>
      </c>
      <c r="F920" s="197">
        <v>181</v>
      </c>
      <c r="G920" s="190">
        <v>45961</v>
      </c>
      <c r="H920" s="196">
        <v>1</v>
      </c>
      <c r="I920" s="197">
        <v>5430</v>
      </c>
      <c r="J920" s="197">
        <v>5430</v>
      </c>
      <c r="K920" s="197">
        <v>0</v>
      </c>
      <c r="L920" s="197">
        <v>-576</v>
      </c>
      <c r="M920" s="260" t="s">
        <v>239</v>
      </c>
      <c r="N920" s="260" t="s">
        <v>514</v>
      </c>
    </row>
    <row r="921" spans="1:14" ht="14.5" x14ac:dyDescent="0.35">
      <c r="A921" s="260" t="s">
        <v>563</v>
      </c>
      <c r="B921" s="190">
        <v>45962</v>
      </c>
      <c r="C921" s="260" t="s">
        <v>754</v>
      </c>
      <c r="D921" s="197">
        <v>100</v>
      </c>
      <c r="E921" s="197">
        <v>8008</v>
      </c>
      <c r="F921" s="197">
        <v>77</v>
      </c>
      <c r="G921" s="190">
        <v>45961</v>
      </c>
      <c r="H921" s="196">
        <v>1</v>
      </c>
      <c r="I921" s="197">
        <v>7700</v>
      </c>
      <c r="J921" s="197">
        <v>7700</v>
      </c>
      <c r="K921" s="197">
        <v>0</v>
      </c>
      <c r="L921" s="197">
        <v>-308</v>
      </c>
      <c r="M921" s="260" t="s">
        <v>239</v>
      </c>
      <c r="N921" s="260" t="s">
        <v>514</v>
      </c>
    </row>
    <row r="922" spans="1:14" ht="14.5" x14ac:dyDescent="0.35">
      <c r="A922" s="260" t="s">
        <v>563</v>
      </c>
      <c r="B922" s="190">
        <v>45963</v>
      </c>
      <c r="C922" s="260" t="s">
        <v>749</v>
      </c>
      <c r="D922" s="197">
        <v>220</v>
      </c>
      <c r="E922" s="197">
        <v>10937.666666666666</v>
      </c>
      <c r="F922" s="197">
        <v>51</v>
      </c>
      <c r="G922" s="190">
        <v>45961</v>
      </c>
      <c r="H922" s="196">
        <v>2</v>
      </c>
      <c r="I922" s="197">
        <v>11220</v>
      </c>
      <c r="J922" s="197">
        <v>11220</v>
      </c>
      <c r="K922" s="197">
        <v>0</v>
      </c>
      <c r="L922" s="197">
        <v>282.33333333333394</v>
      </c>
      <c r="M922" s="260" t="s">
        <v>239</v>
      </c>
      <c r="N922" s="260" t="s">
        <v>514</v>
      </c>
    </row>
    <row r="923" spans="1:14" ht="14.5" x14ac:dyDescent="0.35">
      <c r="A923" s="260" t="s">
        <v>563</v>
      </c>
      <c r="B923" s="190">
        <v>45963</v>
      </c>
      <c r="C923" s="260" t="s">
        <v>752</v>
      </c>
      <c r="D923" s="197">
        <v>30</v>
      </c>
      <c r="E923" s="197">
        <v>6006</v>
      </c>
      <c r="F923" s="197">
        <v>181</v>
      </c>
      <c r="G923" s="190">
        <v>45961</v>
      </c>
      <c r="H923" s="196">
        <v>2</v>
      </c>
      <c r="I923" s="197">
        <v>5430</v>
      </c>
      <c r="J923" s="197">
        <v>5430</v>
      </c>
      <c r="K923" s="197">
        <v>0</v>
      </c>
      <c r="L923" s="197">
        <v>-576</v>
      </c>
      <c r="M923" s="260" t="s">
        <v>239</v>
      </c>
      <c r="N923" s="260" t="s">
        <v>514</v>
      </c>
    </row>
    <row r="924" spans="1:14" ht="14.5" x14ac:dyDescent="0.35">
      <c r="A924" s="260" t="s">
        <v>563</v>
      </c>
      <c r="B924" s="190">
        <v>45963</v>
      </c>
      <c r="C924" s="260" t="s">
        <v>754</v>
      </c>
      <c r="D924" s="197">
        <v>100</v>
      </c>
      <c r="E924" s="197">
        <v>8008</v>
      </c>
      <c r="F924" s="197">
        <v>77</v>
      </c>
      <c r="G924" s="190">
        <v>45961</v>
      </c>
      <c r="H924" s="196">
        <v>2</v>
      </c>
      <c r="I924" s="197">
        <v>7700</v>
      </c>
      <c r="J924" s="197">
        <v>7700</v>
      </c>
      <c r="K924" s="197">
        <v>0</v>
      </c>
      <c r="L924" s="197">
        <v>-308</v>
      </c>
      <c r="M924" s="260" t="s">
        <v>239</v>
      </c>
      <c r="N924" s="260" t="s">
        <v>514</v>
      </c>
    </row>
    <row r="925" spans="1:14" ht="14.5" x14ac:dyDescent="0.35">
      <c r="A925" s="260" t="s">
        <v>563</v>
      </c>
      <c r="B925" s="190">
        <v>45964</v>
      </c>
      <c r="C925" s="260" t="s">
        <v>749</v>
      </c>
      <c r="D925" s="197">
        <v>220</v>
      </c>
      <c r="E925" s="197">
        <v>10937.666666666666</v>
      </c>
      <c r="F925" s="197">
        <v>50.79</v>
      </c>
      <c r="G925" s="190">
        <v>45964</v>
      </c>
      <c r="H925" s="196">
        <v>0</v>
      </c>
      <c r="I925" s="197">
        <v>11173.8</v>
      </c>
      <c r="J925" s="197">
        <v>11173.8</v>
      </c>
      <c r="K925" s="197">
        <v>0</v>
      </c>
      <c r="L925" s="197">
        <v>236.13333333333321</v>
      </c>
      <c r="M925" s="260" t="s">
        <v>239</v>
      </c>
      <c r="N925" s="260" t="s">
        <v>514</v>
      </c>
    </row>
    <row r="926" spans="1:14" ht="14.5" x14ac:dyDescent="0.35">
      <c r="A926" s="260" t="s">
        <v>563</v>
      </c>
      <c r="B926" s="190">
        <v>45964</v>
      </c>
      <c r="C926" s="260" t="s">
        <v>752</v>
      </c>
      <c r="D926" s="197">
        <v>30</v>
      </c>
      <c r="E926" s="197">
        <v>6006</v>
      </c>
      <c r="F926" s="197">
        <v>180.24</v>
      </c>
      <c r="G926" s="190">
        <v>45964</v>
      </c>
      <c r="H926" s="196">
        <v>0</v>
      </c>
      <c r="I926" s="197">
        <v>5407.2000000000007</v>
      </c>
      <c r="J926" s="197">
        <v>5407.2000000000007</v>
      </c>
      <c r="K926" s="197">
        <v>0</v>
      </c>
      <c r="L926" s="197">
        <v>-598.79999999999927</v>
      </c>
      <c r="M926" s="260" t="s">
        <v>239</v>
      </c>
      <c r="N926" s="260" t="s">
        <v>514</v>
      </c>
    </row>
    <row r="927" spans="1:14" ht="14.5" x14ac:dyDescent="0.35">
      <c r="A927" s="260" t="s">
        <v>563</v>
      </c>
      <c r="B927" s="190">
        <v>45964</v>
      </c>
      <c r="C927" s="260" t="s">
        <v>754</v>
      </c>
      <c r="D927" s="197">
        <v>100</v>
      </c>
      <c r="E927" s="197">
        <v>8008</v>
      </c>
      <c r="F927" s="197">
        <v>76.010000000000005</v>
      </c>
      <c r="G927" s="190">
        <v>45964</v>
      </c>
      <c r="H927" s="196">
        <v>0</v>
      </c>
      <c r="I927" s="197">
        <v>7601.0000000000009</v>
      </c>
      <c r="J927" s="197">
        <v>7601.0000000000009</v>
      </c>
      <c r="K927" s="197">
        <v>120</v>
      </c>
      <c r="L927" s="197">
        <v>-406.99999999999909</v>
      </c>
      <c r="M927" s="260" t="s">
        <v>239</v>
      </c>
      <c r="N927" s="260" t="s">
        <v>514</v>
      </c>
    </row>
    <row r="928" spans="1:14" ht="14.5" x14ac:dyDescent="0.35">
      <c r="A928" s="260" t="s">
        <v>563</v>
      </c>
      <c r="B928" s="190">
        <v>45965</v>
      </c>
      <c r="C928" s="260" t="s">
        <v>749</v>
      </c>
      <c r="D928" s="197">
        <v>220</v>
      </c>
      <c r="E928" s="197">
        <v>10937.666666666666</v>
      </c>
      <c r="F928" s="197">
        <v>50.69</v>
      </c>
      <c r="G928" s="190">
        <v>45965</v>
      </c>
      <c r="H928" s="196">
        <v>0</v>
      </c>
      <c r="I928" s="197">
        <v>11151.8</v>
      </c>
      <c r="J928" s="197">
        <v>11151.8</v>
      </c>
      <c r="K928" s="197">
        <v>0</v>
      </c>
      <c r="L928" s="197">
        <v>214.13333333333321</v>
      </c>
      <c r="M928" s="260" t="s">
        <v>239</v>
      </c>
      <c r="N928" s="260" t="s">
        <v>514</v>
      </c>
    </row>
    <row r="929" spans="1:14" ht="14.5" x14ac:dyDescent="0.35">
      <c r="A929" s="260" t="s">
        <v>563</v>
      </c>
      <c r="B929" s="190">
        <v>45965</v>
      </c>
      <c r="C929" s="260" t="s">
        <v>752</v>
      </c>
      <c r="D929" s="197">
        <v>30</v>
      </c>
      <c r="E929" s="197">
        <v>6006</v>
      </c>
      <c r="F929" s="197">
        <v>179.86</v>
      </c>
      <c r="G929" s="190">
        <v>45965</v>
      </c>
      <c r="H929" s="196">
        <v>0</v>
      </c>
      <c r="I929" s="197">
        <v>5395.8</v>
      </c>
      <c r="J929" s="197">
        <v>5395.8</v>
      </c>
      <c r="K929" s="197">
        <v>0</v>
      </c>
      <c r="L929" s="197">
        <v>-610.19999999999982</v>
      </c>
      <c r="M929" s="260" t="s">
        <v>239</v>
      </c>
      <c r="N929" s="260" t="s">
        <v>514</v>
      </c>
    </row>
    <row r="930" spans="1:14" ht="14.5" x14ac:dyDescent="0.35">
      <c r="A930" s="260" t="s">
        <v>563</v>
      </c>
      <c r="B930" s="190">
        <v>45965</v>
      </c>
      <c r="C930" s="260" t="s">
        <v>754</v>
      </c>
      <c r="D930" s="197">
        <v>100</v>
      </c>
      <c r="E930" s="197">
        <v>8008</v>
      </c>
      <c r="F930" s="197">
        <v>76.11</v>
      </c>
      <c r="G930" s="190">
        <v>45965</v>
      </c>
      <c r="H930" s="196">
        <v>0</v>
      </c>
      <c r="I930" s="197">
        <v>7611</v>
      </c>
      <c r="J930" s="197">
        <v>7611</v>
      </c>
      <c r="K930" s="197">
        <v>120</v>
      </c>
      <c r="L930" s="197">
        <v>-397</v>
      </c>
      <c r="M930" s="260" t="s">
        <v>239</v>
      </c>
      <c r="N930" s="260" t="s">
        <v>514</v>
      </c>
    </row>
    <row r="931" spans="1:14" ht="14.5" x14ac:dyDescent="0.35">
      <c r="A931" s="260" t="s">
        <v>563</v>
      </c>
      <c r="B931" s="190">
        <v>45966</v>
      </c>
      <c r="C931" s="260" t="s">
        <v>749</v>
      </c>
      <c r="D931" s="197">
        <v>220</v>
      </c>
      <c r="E931" s="197">
        <v>10937.666666666666</v>
      </c>
      <c r="F931" s="197">
        <v>50.59</v>
      </c>
      <c r="G931" s="190">
        <v>45966</v>
      </c>
      <c r="H931" s="196">
        <v>0</v>
      </c>
      <c r="I931" s="197">
        <v>11129.800000000001</v>
      </c>
      <c r="J931" s="197">
        <v>11129.800000000001</v>
      </c>
      <c r="K931" s="197">
        <v>0</v>
      </c>
      <c r="L931" s="197">
        <v>192.13333333333503</v>
      </c>
      <c r="M931" s="260" t="s">
        <v>239</v>
      </c>
      <c r="N931" s="260" t="s">
        <v>514</v>
      </c>
    </row>
    <row r="932" spans="1:14" ht="14.5" x14ac:dyDescent="0.35">
      <c r="A932" s="260" t="s">
        <v>563</v>
      </c>
      <c r="B932" s="190">
        <v>45966</v>
      </c>
      <c r="C932" s="260" t="s">
        <v>752</v>
      </c>
      <c r="D932" s="197">
        <v>30</v>
      </c>
      <c r="E932" s="197">
        <v>6006</v>
      </c>
      <c r="F932" s="197">
        <v>179.48</v>
      </c>
      <c r="G932" s="190">
        <v>45966</v>
      </c>
      <c r="H932" s="196">
        <v>0</v>
      </c>
      <c r="I932" s="197">
        <v>5384.4</v>
      </c>
      <c r="J932" s="197">
        <v>5384.4</v>
      </c>
      <c r="K932" s="197">
        <v>0</v>
      </c>
      <c r="L932" s="197">
        <v>-621.60000000000036</v>
      </c>
      <c r="M932" s="260" t="s">
        <v>239</v>
      </c>
      <c r="N932" s="260" t="s">
        <v>514</v>
      </c>
    </row>
    <row r="933" spans="1:14" ht="14.5" x14ac:dyDescent="0.35">
      <c r="A933" s="260" t="s">
        <v>563</v>
      </c>
      <c r="B933" s="190">
        <v>45966</v>
      </c>
      <c r="C933" s="260" t="s">
        <v>754</v>
      </c>
      <c r="D933" s="197">
        <v>100</v>
      </c>
      <c r="E933" s="197">
        <v>8008</v>
      </c>
      <c r="F933" s="197">
        <v>76.209999999999994</v>
      </c>
      <c r="G933" s="190">
        <v>45966</v>
      </c>
      <c r="H933" s="196">
        <v>0</v>
      </c>
      <c r="I933" s="197">
        <v>7620.9999999999991</v>
      </c>
      <c r="J933" s="197">
        <v>7620.9999999999991</v>
      </c>
      <c r="K933" s="197">
        <v>120</v>
      </c>
      <c r="L933" s="197">
        <v>-387.00000000000091</v>
      </c>
      <c r="M933" s="260" t="s">
        <v>239</v>
      </c>
      <c r="N933" s="260" t="s">
        <v>514</v>
      </c>
    </row>
    <row r="934" spans="1:14" ht="14.5" x14ac:dyDescent="0.35">
      <c r="A934" s="260" t="s">
        <v>563</v>
      </c>
      <c r="B934" s="190">
        <v>45967</v>
      </c>
      <c r="C934" s="260" t="s">
        <v>749</v>
      </c>
      <c r="D934" s="197">
        <v>220</v>
      </c>
      <c r="E934" s="197">
        <v>10937.666666666666</v>
      </c>
      <c r="F934" s="197">
        <v>50.48</v>
      </c>
      <c r="G934" s="190">
        <v>45967</v>
      </c>
      <c r="H934" s="196">
        <v>0</v>
      </c>
      <c r="I934" s="197">
        <v>11105.599999999999</v>
      </c>
      <c r="J934" s="197">
        <v>11105.599999999999</v>
      </c>
      <c r="K934" s="197">
        <v>0</v>
      </c>
      <c r="L934" s="197">
        <v>167.93333333333248</v>
      </c>
      <c r="M934" s="260" t="s">
        <v>239</v>
      </c>
      <c r="N934" s="260" t="s">
        <v>514</v>
      </c>
    </row>
    <row r="935" spans="1:14" ht="14.5" x14ac:dyDescent="0.35">
      <c r="A935" s="260" t="s">
        <v>563</v>
      </c>
      <c r="B935" s="190">
        <v>45967</v>
      </c>
      <c r="C935" s="260" t="s">
        <v>752</v>
      </c>
      <c r="D935" s="197">
        <v>30</v>
      </c>
      <c r="E935" s="197">
        <v>6006</v>
      </c>
      <c r="F935" s="197">
        <v>179.1</v>
      </c>
      <c r="G935" s="190">
        <v>45967</v>
      </c>
      <c r="H935" s="196">
        <v>0</v>
      </c>
      <c r="I935" s="197">
        <v>5373</v>
      </c>
      <c r="J935" s="197">
        <v>5373</v>
      </c>
      <c r="K935" s="197">
        <v>0</v>
      </c>
      <c r="L935" s="197">
        <v>-633</v>
      </c>
      <c r="M935" s="260" t="s">
        <v>239</v>
      </c>
      <c r="N935" s="260" t="s">
        <v>514</v>
      </c>
    </row>
    <row r="936" spans="1:14" ht="14.5" x14ac:dyDescent="0.35">
      <c r="A936" s="260" t="s">
        <v>563</v>
      </c>
      <c r="B936" s="190">
        <v>45967</v>
      </c>
      <c r="C936" s="260" t="s">
        <v>754</v>
      </c>
      <c r="D936" s="197">
        <v>100</v>
      </c>
      <c r="E936" s="197">
        <v>8008</v>
      </c>
      <c r="F936" s="197">
        <v>76.319999999999993</v>
      </c>
      <c r="G936" s="190">
        <v>45967</v>
      </c>
      <c r="H936" s="196">
        <v>0</v>
      </c>
      <c r="I936" s="197">
        <v>7631.9999999999991</v>
      </c>
      <c r="J936" s="197">
        <v>7631.9999999999991</v>
      </c>
      <c r="K936" s="197">
        <v>120</v>
      </c>
      <c r="L936" s="197">
        <v>-376.00000000000091</v>
      </c>
      <c r="M936" s="260" t="s">
        <v>239</v>
      </c>
      <c r="N936" s="260" t="s">
        <v>514</v>
      </c>
    </row>
    <row r="937" spans="1:14" ht="14.5" x14ac:dyDescent="0.35">
      <c r="A937" s="260" t="s">
        <v>563</v>
      </c>
      <c r="B937" s="190">
        <v>45968</v>
      </c>
      <c r="C937" s="260" t="s">
        <v>749</v>
      </c>
      <c r="D937" s="197">
        <v>220</v>
      </c>
      <c r="E937" s="197">
        <v>10937.666666666666</v>
      </c>
      <c r="F937" s="197">
        <v>50.38</v>
      </c>
      <c r="G937" s="190">
        <v>45968</v>
      </c>
      <c r="H937" s="196">
        <v>0</v>
      </c>
      <c r="I937" s="197">
        <v>11083.6</v>
      </c>
      <c r="J937" s="197">
        <v>11083.6</v>
      </c>
      <c r="K937" s="197">
        <v>0</v>
      </c>
      <c r="L937" s="197">
        <v>145.9333333333343</v>
      </c>
      <c r="M937" s="260" t="s">
        <v>239</v>
      </c>
      <c r="N937" s="260" t="s">
        <v>514</v>
      </c>
    </row>
    <row r="938" spans="1:14" ht="14.5" x14ac:dyDescent="0.35">
      <c r="A938" s="260" t="s">
        <v>563</v>
      </c>
      <c r="B938" s="190">
        <v>45968</v>
      </c>
      <c r="C938" s="260" t="s">
        <v>752</v>
      </c>
      <c r="D938" s="197">
        <v>30</v>
      </c>
      <c r="E938" s="197">
        <v>6006</v>
      </c>
      <c r="F938" s="197">
        <v>178.72</v>
      </c>
      <c r="G938" s="190">
        <v>45968</v>
      </c>
      <c r="H938" s="196">
        <v>0</v>
      </c>
      <c r="I938" s="197">
        <v>5361.6</v>
      </c>
      <c r="J938" s="197">
        <v>5361.6</v>
      </c>
      <c r="K938" s="197">
        <v>0</v>
      </c>
      <c r="L938" s="197">
        <v>-644.39999999999964</v>
      </c>
      <c r="M938" s="260" t="s">
        <v>239</v>
      </c>
      <c r="N938" s="260" t="s">
        <v>514</v>
      </c>
    </row>
    <row r="939" spans="1:14" ht="14.5" x14ac:dyDescent="0.35">
      <c r="A939" s="260" t="s">
        <v>563</v>
      </c>
      <c r="B939" s="190">
        <v>45968</v>
      </c>
      <c r="C939" s="260" t="s">
        <v>754</v>
      </c>
      <c r="D939" s="197">
        <v>100</v>
      </c>
      <c r="E939" s="197">
        <v>8008</v>
      </c>
      <c r="F939" s="197">
        <v>76.42</v>
      </c>
      <c r="G939" s="190">
        <v>45968</v>
      </c>
      <c r="H939" s="196">
        <v>0</v>
      </c>
      <c r="I939" s="197">
        <v>7642</v>
      </c>
      <c r="J939" s="197">
        <v>7642</v>
      </c>
      <c r="K939" s="197">
        <v>120</v>
      </c>
      <c r="L939" s="197">
        <v>-366</v>
      </c>
      <c r="M939" s="260" t="s">
        <v>239</v>
      </c>
      <c r="N939" s="260" t="s">
        <v>514</v>
      </c>
    </row>
    <row r="940" spans="1:14" ht="14.5" x14ac:dyDescent="0.35">
      <c r="A940" s="260" t="s">
        <v>563</v>
      </c>
      <c r="B940" s="190">
        <v>45969</v>
      </c>
      <c r="C940" s="260" t="s">
        <v>749</v>
      </c>
      <c r="D940" s="197">
        <v>220</v>
      </c>
      <c r="E940" s="197">
        <v>10937.666666666666</v>
      </c>
      <c r="F940" s="197">
        <v>50.38</v>
      </c>
      <c r="G940" s="190">
        <v>45968</v>
      </c>
      <c r="H940" s="196">
        <v>1</v>
      </c>
      <c r="I940" s="197">
        <v>11083.6</v>
      </c>
      <c r="J940" s="197">
        <v>11083.6</v>
      </c>
      <c r="K940" s="197">
        <v>0</v>
      </c>
      <c r="L940" s="197">
        <v>145.9333333333343</v>
      </c>
      <c r="M940" s="260" t="s">
        <v>239</v>
      </c>
      <c r="N940" s="260" t="s">
        <v>514</v>
      </c>
    </row>
    <row r="941" spans="1:14" ht="14.5" x14ac:dyDescent="0.35">
      <c r="A941" s="260" t="s">
        <v>563</v>
      </c>
      <c r="B941" s="190">
        <v>45969</v>
      </c>
      <c r="C941" s="260" t="s">
        <v>752</v>
      </c>
      <c r="D941" s="197">
        <v>30</v>
      </c>
      <c r="E941" s="197">
        <v>6006</v>
      </c>
      <c r="F941" s="197">
        <v>178.72</v>
      </c>
      <c r="G941" s="190">
        <v>45968</v>
      </c>
      <c r="H941" s="196">
        <v>1</v>
      </c>
      <c r="I941" s="197">
        <v>5361.6</v>
      </c>
      <c r="J941" s="197">
        <v>5361.6</v>
      </c>
      <c r="K941" s="197">
        <v>0</v>
      </c>
      <c r="L941" s="197">
        <v>-644.39999999999964</v>
      </c>
      <c r="M941" s="260" t="s">
        <v>239</v>
      </c>
      <c r="N941" s="260" t="s">
        <v>514</v>
      </c>
    </row>
    <row r="942" spans="1:14" ht="14.5" x14ac:dyDescent="0.35">
      <c r="A942" s="260" t="s">
        <v>563</v>
      </c>
      <c r="B942" s="190">
        <v>45969</v>
      </c>
      <c r="C942" s="260" t="s">
        <v>754</v>
      </c>
      <c r="D942" s="197">
        <v>100</v>
      </c>
      <c r="E942" s="197">
        <v>8008</v>
      </c>
      <c r="F942" s="197">
        <v>76.42</v>
      </c>
      <c r="G942" s="190">
        <v>45968</v>
      </c>
      <c r="H942" s="196">
        <v>1</v>
      </c>
      <c r="I942" s="197">
        <v>7642</v>
      </c>
      <c r="J942" s="197">
        <v>7642</v>
      </c>
      <c r="K942" s="197">
        <v>120</v>
      </c>
      <c r="L942" s="197">
        <v>-366</v>
      </c>
      <c r="M942" s="260" t="s">
        <v>239</v>
      </c>
      <c r="N942" s="260" t="s">
        <v>514</v>
      </c>
    </row>
    <row r="943" spans="1:14" ht="14.5" x14ac:dyDescent="0.35">
      <c r="A943" s="260" t="s">
        <v>563</v>
      </c>
      <c r="B943" s="190">
        <v>45970</v>
      </c>
      <c r="C943" s="260" t="s">
        <v>749</v>
      </c>
      <c r="D943" s="197">
        <v>220</v>
      </c>
      <c r="E943" s="197">
        <v>10937.666666666666</v>
      </c>
      <c r="F943" s="197">
        <v>50.38</v>
      </c>
      <c r="G943" s="190">
        <v>45968</v>
      </c>
      <c r="H943" s="196">
        <v>2</v>
      </c>
      <c r="I943" s="197">
        <v>11083.6</v>
      </c>
      <c r="J943" s="197">
        <v>11083.6</v>
      </c>
      <c r="K943" s="197">
        <v>0</v>
      </c>
      <c r="L943" s="197">
        <v>145.9333333333343</v>
      </c>
      <c r="M943" s="260" t="s">
        <v>239</v>
      </c>
      <c r="N943" s="260" t="s">
        <v>514</v>
      </c>
    </row>
    <row r="944" spans="1:14" ht="14.5" x14ac:dyDescent="0.35">
      <c r="A944" s="260" t="s">
        <v>563</v>
      </c>
      <c r="B944" s="190">
        <v>45970</v>
      </c>
      <c r="C944" s="260" t="s">
        <v>752</v>
      </c>
      <c r="D944" s="197">
        <v>30</v>
      </c>
      <c r="E944" s="197">
        <v>6006</v>
      </c>
      <c r="F944" s="197">
        <v>178.72</v>
      </c>
      <c r="G944" s="190">
        <v>45968</v>
      </c>
      <c r="H944" s="196">
        <v>2</v>
      </c>
      <c r="I944" s="197">
        <v>5361.6</v>
      </c>
      <c r="J944" s="197">
        <v>5361.6</v>
      </c>
      <c r="K944" s="197">
        <v>0</v>
      </c>
      <c r="L944" s="197">
        <v>-644.39999999999964</v>
      </c>
      <c r="M944" s="260" t="s">
        <v>239</v>
      </c>
      <c r="N944" s="260" t="s">
        <v>514</v>
      </c>
    </row>
    <row r="945" spans="1:14" ht="14.5" x14ac:dyDescent="0.35">
      <c r="A945" s="260" t="s">
        <v>563</v>
      </c>
      <c r="B945" s="190">
        <v>45970</v>
      </c>
      <c r="C945" s="260" t="s">
        <v>754</v>
      </c>
      <c r="D945" s="197">
        <v>100</v>
      </c>
      <c r="E945" s="197">
        <v>8008</v>
      </c>
      <c r="F945" s="197">
        <v>76.42</v>
      </c>
      <c r="G945" s="190">
        <v>45968</v>
      </c>
      <c r="H945" s="196">
        <v>2</v>
      </c>
      <c r="I945" s="197">
        <v>7642</v>
      </c>
      <c r="J945" s="197">
        <v>7642</v>
      </c>
      <c r="K945" s="197">
        <v>120</v>
      </c>
      <c r="L945" s="197">
        <v>-366</v>
      </c>
      <c r="M945" s="260" t="s">
        <v>239</v>
      </c>
      <c r="N945" s="260" t="s">
        <v>514</v>
      </c>
    </row>
    <row r="946" spans="1:14" ht="14.5" x14ac:dyDescent="0.35">
      <c r="A946" s="260" t="s">
        <v>563</v>
      </c>
      <c r="B946" s="190">
        <v>45971</v>
      </c>
      <c r="C946" s="260" t="s">
        <v>749</v>
      </c>
      <c r="D946" s="197">
        <v>220</v>
      </c>
      <c r="E946" s="197">
        <v>10937.666666666666</v>
      </c>
      <c r="F946" s="197">
        <v>50.07</v>
      </c>
      <c r="G946" s="190">
        <v>45971</v>
      </c>
      <c r="H946" s="196">
        <v>0</v>
      </c>
      <c r="I946" s="197">
        <v>11015.4</v>
      </c>
      <c r="J946" s="197">
        <v>11015.4</v>
      </c>
      <c r="K946" s="197">
        <v>0</v>
      </c>
      <c r="L946" s="197">
        <v>77.733333333333576</v>
      </c>
      <c r="M946" s="260" t="s">
        <v>239</v>
      </c>
      <c r="N946" s="260" t="s">
        <v>514</v>
      </c>
    </row>
    <row r="947" spans="1:14" ht="14.5" x14ac:dyDescent="0.35">
      <c r="A947" s="260" t="s">
        <v>563</v>
      </c>
      <c r="B947" s="190">
        <v>45971</v>
      </c>
      <c r="C947" s="260" t="s">
        <v>752</v>
      </c>
      <c r="D947" s="197">
        <v>30</v>
      </c>
      <c r="E947" s="197">
        <v>6006</v>
      </c>
      <c r="F947" s="197">
        <v>177.59</v>
      </c>
      <c r="G947" s="190">
        <v>45971</v>
      </c>
      <c r="H947" s="196">
        <v>0</v>
      </c>
      <c r="I947" s="197">
        <v>5327.7</v>
      </c>
      <c r="J947" s="197">
        <v>5327.7</v>
      </c>
      <c r="K947" s="197">
        <v>0</v>
      </c>
      <c r="L947" s="197">
        <v>-678.30000000000018</v>
      </c>
      <c r="M947" s="260" t="s">
        <v>239</v>
      </c>
      <c r="N947" s="260" t="s">
        <v>514</v>
      </c>
    </row>
    <row r="948" spans="1:14" ht="14.5" x14ac:dyDescent="0.35">
      <c r="A948" s="260" t="s">
        <v>563</v>
      </c>
      <c r="B948" s="190">
        <v>45971</v>
      </c>
      <c r="C948" s="260" t="s">
        <v>754</v>
      </c>
      <c r="D948" s="197">
        <v>0</v>
      </c>
      <c r="E948" s="197">
        <v>0</v>
      </c>
      <c r="F948" s="197">
        <v>76.73</v>
      </c>
      <c r="G948" s="190">
        <v>45971</v>
      </c>
      <c r="H948" s="196">
        <v>0</v>
      </c>
      <c r="I948" s="197">
        <v>0</v>
      </c>
      <c r="J948" s="197">
        <v>0</v>
      </c>
      <c r="K948" s="197">
        <v>120</v>
      </c>
      <c r="L948" s="197">
        <v>0</v>
      </c>
      <c r="M948" s="260" t="s">
        <v>239</v>
      </c>
      <c r="N948" s="260" t="s">
        <v>514</v>
      </c>
    </row>
    <row r="949" spans="1:14" ht="14.5" x14ac:dyDescent="0.35">
      <c r="A949" s="260" t="s">
        <v>563</v>
      </c>
      <c r="B949" s="190">
        <v>45972</v>
      </c>
      <c r="C949" s="260" t="s">
        <v>749</v>
      </c>
      <c r="D949" s="197">
        <v>220</v>
      </c>
      <c r="E949" s="197">
        <v>10937.666666666666</v>
      </c>
      <c r="F949" s="197">
        <v>49.97</v>
      </c>
      <c r="G949" s="190">
        <v>45972</v>
      </c>
      <c r="H949" s="196">
        <v>0</v>
      </c>
      <c r="I949" s="197">
        <v>10993.4</v>
      </c>
      <c r="J949" s="197">
        <v>10993.4</v>
      </c>
      <c r="K949" s="197">
        <v>0</v>
      </c>
      <c r="L949" s="197">
        <v>55.733333333333576</v>
      </c>
      <c r="M949" s="260" t="s">
        <v>239</v>
      </c>
      <c r="N949" s="260" t="s">
        <v>514</v>
      </c>
    </row>
    <row r="950" spans="1:14" ht="14.5" x14ac:dyDescent="0.35">
      <c r="A950" s="260" t="s">
        <v>563</v>
      </c>
      <c r="B950" s="190">
        <v>45972</v>
      </c>
      <c r="C950" s="260" t="s">
        <v>752</v>
      </c>
      <c r="D950" s="197">
        <v>30</v>
      </c>
      <c r="E950" s="197">
        <v>6006</v>
      </c>
      <c r="F950" s="197">
        <v>177.21</v>
      </c>
      <c r="G950" s="190">
        <v>45972</v>
      </c>
      <c r="H950" s="196">
        <v>0</v>
      </c>
      <c r="I950" s="197">
        <v>5316.3</v>
      </c>
      <c r="J950" s="197">
        <v>5316.3</v>
      </c>
      <c r="K950" s="197">
        <v>0</v>
      </c>
      <c r="L950" s="197">
        <v>-689.69999999999982</v>
      </c>
      <c r="M950" s="260" t="s">
        <v>239</v>
      </c>
      <c r="N950" s="260" t="s">
        <v>514</v>
      </c>
    </row>
    <row r="951" spans="1:14" ht="14.5" x14ac:dyDescent="0.35">
      <c r="A951" s="260" t="s">
        <v>563</v>
      </c>
      <c r="B951" s="190">
        <v>45972</v>
      </c>
      <c r="C951" s="260" t="s">
        <v>754</v>
      </c>
      <c r="D951" s="197">
        <v>0</v>
      </c>
      <c r="E951" s="197">
        <v>0</v>
      </c>
      <c r="F951" s="197">
        <v>76.83</v>
      </c>
      <c r="G951" s="190">
        <v>45972</v>
      </c>
      <c r="H951" s="196">
        <v>0</v>
      </c>
      <c r="I951" s="197">
        <v>0</v>
      </c>
      <c r="J951" s="197">
        <v>0</v>
      </c>
      <c r="K951" s="197">
        <v>120</v>
      </c>
      <c r="L951" s="197">
        <v>0</v>
      </c>
      <c r="M951" s="260" t="s">
        <v>239</v>
      </c>
      <c r="N951" s="260" t="s">
        <v>514</v>
      </c>
    </row>
    <row r="952" spans="1:14" ht="14.5" x14ac:dyDescent="0.35">
      <c r="A952" s="260" t="s">
        <v>563</v>
      </c>
      <c r="B952" s="190">
        <v>45973</v>
      </c>
      <c r="C952" s="260" t="s">
        <v>749</v>
      </c>
      <c r="D952" s="197">
        <v>220</v>
      </c>
      <c r="E952" s="197">
        <v>10937.666666666666</v>
      </c>
      <c r="F952" s="197">
        <v>49.86</v>
      </c>
      <c r="G952" s="190">
        <v>45973</v>
      </c>
      <c r="H952" s="196">
        <v>0</v>
      </c>
      <c r="I952" s="197">
        <v>10969.2</v>
      </c>
      <c r="J952" s="197">
        <v>10969.2</v>
      </c>
      <c r="K952" s="197">
        <v>0</v>
      </c>
      <c r="L952" s="197">
        <v>31.533333333334667</v>
      </c>
      <c r="M952" s="260" t="s">
        <v>239</v>
      </c>
      <c r="N952" s="260" t="s">
        <v>514</v>
      </c>
    </row>
    <row r="953" spans="1:14" ht="14.5" x14ac:dyDescent="0.35">
      <c r="A953" s="260" t="s">
        <v>563</v>
      </c>
      <c r="B953" s="190">
        <v>45973</v>
      </c>
      <c r="C953" s="260" t="s">
        <v>752</v>
      </c>
      <c r="D953" s="197">
        <v>30</v>
      </c>
      <c r="E953" s="197">
        <v>6006</v>
      </c>
      <c r="F953" s="197">
        <v>176.83</v>
      </c>
      <c r="G953" s="190">
        <v>45973</v>
      </c>
      <c r="H953" s="196">
        <v>0</v>
      </c>
      <c r="I953" s="197">
        <v>5304.9000000000005</v>
      </c>
      <c r="J953" s="197">
        <v>5304.9000000000005</v>
      </c>
      <c r="K953" s="197">
        <v>0</v>
      </c>
      <c r="L953" s="197">
        <v>-701.09999999999945</v>
      </c>
      <c r="M953" s="260" t="s">
        <v>239</v>
      </c>
      <c r="N953" s="260" t="s">
        <v>514</v>
      </c>
    </row>
    <row r="954" spans="1:14" ht="14.5" x14ac:dyDescent="0.35">
      <c r="A954" s="260" t="s">
        <v>563</v>
      </c>
      <c r="B954" s="190">
        <v>45973</v>
      </c>
      <c r="C954" s="260" t="s">
        <v>754</v>
      </c>
      <c r="D954" s="197">
        <v>0</v>
      </c>
      <c r="E954" s="197">
        <v>0</v>
      </c>
      <c r="F954" s="197">
        <v>76.94</v>
      </c>
      <c r="G954" s="190">
        <v>45973</v>
      </c>
      <c r="H954" s="196">
        <v>0</v>
      </c>
      <c r="I954" s="197">
        <v>0</v>
      </c>
      <c r="J954" s="197">
        <v>0</v>
      </c>
      <c r="K954" s="197">
        <v>120</v>
      </c>
      <c r="L954" s="197">
        <v>0</v>
      </c>
      <c r="M954" s="260" t="s">
        <v>239</v>
      </c>
      <c r="N954" s="260" t="s">
        <v>514</v>
      </c>
    </row>
    <row r="955" spans="1:14" ht="14.5" x14ac:dyDescent="0.35">
      <c r="A955" s="260" t="s">
        <v>563</v>
      </c>
      <c r="B955" s="190">
        <v>45974</v>
      </c>
      <c r="C955" s="260" t="s">
        <v>749</v>
      </c>
      <c r="D955" s="197">
        <v>220</v>
      </c>
      <c r="E955" s="197">
        <v>10937.666666666666</v>
      </c>
      <c r="F955" s="197">
        <v>49.76</v>
      </c>
      <c r="G955" s="190">
        <v>45974</v>
      </c>
      <c r="H955" s="196">
        <v>0</v>
      </c>
      <c r="I955" s="197">
        <v>10947.199999999999</v>
      </c>
      <c r="J955" s="197">
        <v>10947.199999999999</v>
      </c>
      <c r="K955" s="197">
        <v>0</v>
      </c>
      <c r="L955" s="197">
        <v>9.5333333333328483</v>
      </c>
      <c r="M955" s="260" t="s">
        <v>239</v>
      </c>
      <c r="N955" s="260" t="s">
        <v>514</v>
      </c>
    </row>
    <row r="956" spans="1:14" ht="14.5" x14ac:dyDescent="0.35">
      <c r="A956" s="260" t="s">
        <v>563</v>
      </c>
      <c r="B956" s="190">
        <v>45974</v>
      </c>
      <c r="C956" s="260" t="s">
        <v>752</v>
      </c>
      <c r="D956" s="197">
        <v>30</v>
      </c>
      <c r="E956" s="197">
        <v>6006</v>
      </c>
      <c r="F956" s="197">
        <v>176.45</v>
      </c>
      <c r="G956" s="190">
        <v>45974</v>
      </c>
      <c r="H956" s="196">
        <v>0</v>
      </c>
      <c r="I956" s="197">
        <v>5293.5</v>
      </c>
      <c r="J956" s="197">
        <v>5293.5</v>
      </c>
      <c r="K956" s="197">
        <v>0</v>
      </c>
      <c r="L956" s="197">
        <v>-712.5</v>
      </c>
      <c r="M956" s="260" t="s">
        <v>239</v>
      </c>
      <c r="N956" s="260" t="s">
        <v>514</v>
      </c>
    </row>
    <row r="957" spans="1:14" ht="14.5" x14ac:dyDescent="0.35">
      <c r="A957" s="260" t="s">
        <v>563</v>
      </c>
      <c r="B957" s="190">
        <v>45974</v>
      </c>
      <c r="C957" s="260" t="s">
        <v>754</v>
      </c>
      <c r="D957" s="197">
        <v>0</v>
      </c>
      <c r="E957" s="197">
        <v>0</v>
      </c>
      <c r="F957" s="197">
        <v>77.040000000000006</v>
      </c>
      <c r="G957" s="190">
        <v>45974</v>
      </c>
      <c r="H957" s="196">
        <v>0</v>
      </c>
      <c r="I957" s="197">
        <v>0</v>
      </c>
      <c r="J957" s="197">
        <v>0</v>
      </c>
      <c r="K957" s="197">
        <v>120</v>
      </c>
      <c r="L957" s="197">
        <v>0</v>
      </c>
      <c r="M957" s="260" t="s">
        <v>239</v>
      </c>
      <c r="N957" s="260" t="s">
        <v>514</v>
      </c>
    </row>
    <row r="958" spans="1:14" ht="14.5" x14ac:dyDescent="0.35">
      <c r="A958" s="260" t="s">
        <v>563</v>
      </c>
      <c r="B958" s="190">
        <v>45975</v>
      </c>
      <c r="C958" s="260" t="s">
        <v>749</v>
      </c>
      <c r="D958" s="197">
        <v>220</v>
      </c>
      <c r="E958" s="197">
        <v>10937.666666666666</v>
      </c>
      <c r="F958" s="197">
        <v>49.66</v>
      </c>
      <c r="G958" s="190">
        <v>45975</v>
      </c>
      <c r="H958" s="196">
        <v>0</v>
      </c>
      <c r="I958" s="197">
        <v>10925.199999999999</v>
      </c>
      <c r="J958" s="197">
        <v>10925.199999999999</v>
      </c>
      <c r="K958" s="197">
        <v>0</v>
      </c>
      <c r="L958" s="197">
        <v>-12.466666666667152</v>
      </c>
      <c r="M958" s="260" t="s">
        <v>239</v>
      </c>
      <c r="N958" s="260" t="s">
        <v>514</v>
      </c>
    </row>
    <row r="959" spans="1:14" ht="14.5" x14ac:dyDescent="0.35">
      <c r="A959" s="260" t="s">
        <v>563</v>
      </c>
      <c r="B959" s="190">
        <v>45975</v>
      </c>
      <c r="C959" s="260" t="s">
        <v>752</v>
      </c>
      <c r="D959" s="197">
        <v>30</v>
      </c>
      <c r="E959" s="197">
        <v>6006</v>
      </c>
      <c r="F959" s="197">
        <v>176.07</v>
      </c>
      <c r="G959" s="190">
        <v>45975</v>
      </c>
      <c r="H959" s="196">
        <v>0</v>
      </c>
      <c r="I959" s="197">
        <v>5282.0999999999995</v>
      </c>
      <c r="J959" s="197">
        <v>5282.0999999999995</v>
      </c>
      <c r="K959" s="197">
        <v>0</v>
      </c>
      <c r="L959" s="197">
        <v>-723.90000000000055</v>
      </c>
      <c r="M959" s="260" t="s">
        <v>239</v>
      </c>
      <c r="N959" s="260" t="s">
        <v>514</v>
      </c>
    </row>
    <row r="960" spans="1:14" ht="14.5" x14ac:dyDescent="0.35">
      <c r="A960" s="260" t="s">
        <v>563</v>
      </c>
      <c r="B960" s="190">
        <v>45975</v>
      </c>
      <c r="C960" s="260" t="s">
        <v>754</v>
      </c>
      <c r="D960" s="197">
        <v>0</v>
      </c>
      <c r="E960" s="197">
        <v>0</v>
      </c>
      <c r="F960" s="197">
        <v>77.14</v>
      </c>
      <c r="G960" s="190">
        <v>45975</v>
      </c>
      <c r="H960" s="196">
        <v>0</v>
      </c>
      <c r="I960" s="197">
        <v>0</v>
      </c>
      <c r="J960" s="197">
        <v>0</v>
      </c>
      <c r="K960" s="197">
        <v>120</v>
      </c>
      <c r="L960" s="197">
        <v>0</v>
      </c>
      <c r="M960" s="260" t="s">
        <v>239</v>
      </c>
      <c r="N960" s="260" t="s">
        <v>514</v>
      </c>
    </row>
    <row r="961" spans="1:14" ht="14.5" x14ac:dyDescent="0.35">
      <c r="A961" s="260" t="s">
        <v>563</v>
      </c>
      <c r="B961" s="190">
        <v>45976</v>
      </c>
      <c r="C961" s="260" t="s">
        <v>749</v>
      </c>
      <c r="D961" s="197">
        <v>220</v>
      </c>
      <c r="E961" s="197">
        <v>10937.666666666666</v>
      </c>
      <c r="F961" s="197">
        <v>49.66</v>
      </c>
      <c r="G961" s="190">
        <v>45975</v>
      </c>
      <c r="H961" s="196">
        <v>1</v>
      </c>
      <c r="I961" s="197">
        <v>10925.199999999999</v>
      </c>
      <c r="J961" s="197">
        <v>10925.199999999999</v>
      </c>
      <c r="K961" s="197">
        <v>0</v>
      </c>
      <c r="L961" s="197">
        <v>-12.466666666667152</v>
      </c>
      <c r="M961" s="260" t="s">
        <v>239</v>
      </c>
      <c r="N961" s="260" t="s">
        <v>514</v>
      </c>
    </row>
    <row r="962" spans="1:14" ht="14.5" x14ac:dyDescent="0.35">
      <c r="A962" s="260" t="s">
        <v>563</v>
      </c>
      <c r="B962" s="190">
        <v>45976</v>
      </c>
      <c r="C962" s="260" t="s">
        <v>752</v>
      </c>
      <c r="D962" s="197">
        <v>30</v>
      </c>
      <c r="E962" s="197">
        <v>6006</v>
      </c>
      <c r="F962" s="197">
        <v>176.07</v>
      </c>
      <c r="G962" s="190">
        <v>45975</v>
      </c>
      <c r="H962" s="196">
        <v>1</v>
      </c>
      <c r="I962" s="197">
        <v>5282.0999999999995</v>
      </c>
      <c r="J962" s="197">
        <v>5282.0999999999995</v>
      </c>
      <c r="K962" s="197">
        <v>0</v>
      </c>
      <c r="L962" s="197">
        <v>-723.90000000000055</v>
      </c>
      <c r="M962" s="260" t="s">
        <v>239</v>
      </c>
      <c r="N962" s="260" t="s">
        <v>514</v>
      </c>
    </row>
    <row r="963" spans="1:14" ht="14.5" x14ac:dyDescent="0.35">
      <c r="A963" s="260" t="s">
        <v>563</v>
      </c>
      <c r="B963" s="190">
        <v>45976</v>
      </c>
      <c r="C963" s="260" t="s">
        <v>754</v>
      </c>
      <c r="D963" s="197">
        <v>0</v>
      </c>
      <c r="E963" s="197">
        <v>0</v>
      </c>
      <c r="F963" s="197">
        <v>77.14</v>
      </c>
      <c r="G963" s="190">
        <v>45975</v>
      </c>
      <c r="H963" s="196">
        <v>1</v>
      </c>
      <c r="I963" s="197">
        <v>0</v>
      </c>
      <c r="J963" s="197">
        <v>0</v>
      </c>
      <c r="K963" s="197">
        <v>120</v>
      </c>
      <c r="L963" s="197">
        <v>0</v>
      </c>
      <c r="M963" s="260" t="s">
        <v>239</v>
      </c>
      <c r="N963" s="260" t="s">
        <v>514</v>
      </c>
    </row>
    <row r="964" spans="1:14" ht="14.5" x14ac:dyDescent="0.35">
      <c r="A964" s="260" t="s">
        <v>563</v>
      </c>
      <c r="B964" s="190">
        <v>45977</v>
      </c>
      <c r="C964" s="260" t="s">
        <v>749</v>
      </c>
      <c r="D964" s="197">
        <v>220</v>
      </c>
      <c r="E964" s="197">
        <v>10937.666666666666</v>
      </c>
      <c r="F964" s="197">
        <v>49.66</v>
      </c>
      <c r="G964" s="190">
        <v>45975</v>
      </c>
      <c r="H964" s="196">
        <v>2</v>
      </c>
      <c r="I964" s="197">
        <v>10925.199999999999</v>
      </c>
      <c r="J964" s="197">
        <v>10925.199999999999</v>
      </c>
      <c r="K964" s="197">
        <v>0</v>
      </c>
      <c r="L964" s="197">
        <v>-12.466666666667152</v>
      </c>
      <c r="M964" s="260" t="s">
        <v>239</v>
      </c>
      <c r="N964" s="260" t="s">
        <v>514</v>
      </c>
    </row>
    <row r="965" spans="1:14" ht="14.5" x14ac:dyDescent="0.35">
      <c r="A965" s="260" t="s">
        <v>563</v>
      </c>
      <c r="B965" s="190">
        <v>45977</v>
      </c>
      <c r="C965" s="260" t="s">
        <v>752</v>
      </c>
      <c r="D965" s="197">
        <v>30</v>
      </c>
      <c r="E965" s="197">
        <v>6006</v>
      </c>
      <c r="F965" s="197">
        <v>176.07</v>
      </c>
      <c r="G965" s="190">
        <v>45975</v>
      </c>
      <c r="H965" s="196">
        <v>2</v>
      </c>
      <c r="I965" s="197">
        <v>5282.0999999999995</v>
      </c>
      <c r="J965" s="197">
        <v>5282.0999999999995</v>
      </c>
      <c r="K965" s="197">
        <v>0</v>
      </c>
      <c r="L965" s="197">
        <v>-723.90000000000055</v>
      </c>
      <c r="M965" s="260" t="s">
        <v>239</v>
      </c>
      <c r="N965" s="260" t="s">
        <v>514</v>
      </c>
    </row>
    <row r="966" spans="1:14" ht="14.5" x14ac:dyDescent="0.35">
      <c r="A966" s="260" t="s">
        <v>563</v>
      </c>
      <c r="B966" s="190">
        <v>45977</v>
      </c>
      <c r="C966" s="260" t="s">
        <v>754</v>
      </c>
      <c r="D966" s="197">
        <v>0</v>
      </c>
      <c r="E966" s="197">
        <v>0</v>
      </c>
      <c r="F966" s="197">
        <v>77.14</v>
      </c>
      <c r="G966" s="190">
        <v>45975</v>
      </c>
      <c r="H966" s="196">
        <v>2</v>
      </c>
      <c r="I966" s="197">
        <v>0</v>
      </c>
      <c r="J966" s="197">
        <v>0</v>
      </c>
      <c r="K966" s="197">
        <v>120</v>
      </c>
      <c r="L966" s="197">
        <v>0</v>
      </c>
      <c r="M966" s="260" t="s">
        <v>239</v>
      </c>
      <c r="N966" s="260" t="s">
        <v>514</v>
      </c>
    </row>
    <row r="967" spans="1:14" ht="14.5" x14ac:dyDescent="0.35">
      <c r="A967" s="260" t="s">
        <v>563</v>
      </c>
      <c r="B967" s="190">
        <v>45978</v>
      </c>
      <c r="C967" s="260" t="s">
        <v>749</v>
      </c>
      <c r="D967" s="197">
        <v>220</v>
      </c>
      <c r="E967" s="197">
        <v>10937.666666666666</v>
      </c>
      <c r="F967" s="197">
        <v>49.34</v>
      </c>
      <c r="G967" s="190">
        <v>45978</v>
      </c>
      <c r="H967" s="196">
        <v>0</v>
      </c>
      <c r="I967" s="197">
        <v>10854.800000000001</v>
      </c>
      <c r="J967" s="197">
        <v>10854.800000000001</v>
      </c>
      <c r="K967" s="197">
        <v>0</v>
      </c>
      <c r="L967" s="197">
        <v>-82.866666666664969</v>
      </c>
      <c r="M967" s="260" t="s">
        <v>239</v>
      </c>
      <c r="N967" s="260" t="s">
        <v>514</v>
      </c>
    </row>
    <row r="968" spans="1:14" ht="14.5" x14ac:dyDescent="0.35">
      <c r="A968" s="260" t="s">
        <v>563</v>
      </c>
      <c r="B968" s="190">
        <v>45978</v>
      </c>
      <c r="C968" s="260" t="s">
        <v>752</v>
      </c>
      <c r="D968" s="197">
        <v>30</v>
      </c>
      <c r="E968" s="197">
        <v>6006</v>
      </c>
      <c r="F968" s="197">
        <v>174.93</v>
      </c>
      <c r="G968" s="190">
        <v>45978</v>
      </c>
      <c r="H968" s="196">
        <v>0</v>
      </c>
      <c r="I968" s="197">
        <v>5247.9000000000005</v>
      </c>
      <c r="J968" s="197">
        <v>5247.9000000000005</v>
      </c>
      <c r="K968" s="197">
        <v>0</v>
      </c>
      <c r="L968" s="197">
        <v>-758.09999999999945</v>
      </c>
      <c r="M968" s="260" t="s">
        <v>239</v>
      </c>
      <c r="N968" s="260" t="s">
        <v>514</v>
      </c>
    </row>
    <row r="969" spans="1:14" ht="14.5" x14ac:dyDescent="0.35">
      <c r="A969" s="260" t="s">
        <v>563</v>
      </c>
      <c r="B969" s="190">
        <v>45978</v>
      </c>
      <c r="C969" s="260" t="s">
        <v>754</v>
      </c>
      <c r="D969" s="197">
        <v>0</v>
      </c>
      <c r="E969" s="197">
        <v>0</v>
      </c>
      <c r="F969" s="197">
        <v>77.459999999999994</v>
      </c>
      <c r="G969" s="190">
        <v>45978</v>
      </c>
      <c r="H969" s="196">
        <v>0</v>
      </c>
      <c r="I969" s="197">
        <v>0</v>
      </c>
      <c r="J969" s="197">
        <v>0</v>
      </c>
      <c r="K969" s="197">
        <v>120</v>
      </c>
      <c r="L969" s="197">
        <v>0</v>
      </c>
      <c r="M969" s="260" t="s">
        <v>239</v>
      </c>
      <c r="N969" s="260" t="s">
        <v>514</v>
      </c>
    </row>
    <row r="970" spans="1:14" ht="14.5" x14ac:dyDescent="0.35">
      <c r="A970" s="260" t="s">
        <v>563</v>
      </c>
      <c r="B970" s="190">
        <v>45979</v>
      </c>
      <c r="C970" s="260" t="s">
        <v>749</v>
      </c>
      <c r="D970" s="197">
        <v>220</v>
      </c>
      <c r="E970" s="197">
        <v>10937.666666666666</v>
      </c>
      <c r="F970" s="197">
        <v>49.24</v>
      </c>
      <c r="G970" s="190">
        <v>45979</v>
      </c>
      <c r="H970" s="196">
        <v>0</v>
      </c>
      <c r="I970" s="197">
        <v>10832.800000000001</v>
      </c>
      <c r="J970" s="197">
        <v>10832.800000000001</v>
      </c>
      <c r="K970" s="197">
        <v>0</v>
      </c>
      <c r="L970" s="197">
        <v>-104.86666666666497</v>
      </c>
      <c r="M970" s="260" t="s">
        <v>239</v>
      </c>
      <c r="N970" s="260" t="s">
        <v>514</v>
      </c>
    </row>
    <row r="971" spans="1:14" ht="14.5" x14ac:dyDescent="0.35">
      <c r="A971" s="260" t="s">
        <v>563</v>
      </c>
      <c r="B971" s="190">
        <v>45979</v>
      </c>
      <c r="C971" s="260" t="s">
        <v>752</v>
      </c>
      <c r="D971" s="197">
        <v>30</v>
      </c>
      <c r="E971" s="197">
        <v>6006</v>
      </c>
      <c r="F971" s="197">
        <v>174.55</v>
      </c>
      <c r="G971" s="190">
        <v>45979</v>
      </c>
      <c r="H971" s="196">
        <v>0</v>
      </c>
      <c r="I971" s="197">
        <v>5236.5</v>
      </c>
      <c r="J971" s="197">
        <v>5236.5</v>
      </c>
      <c r="K971" s="197">
        <v>0</v>
      </c>
      <c r="L971" s="197">
        <v>-769.5</v>
      </c>
      <c r="M971" s="260" t="s">
        <v>239</v>
      </c>
      <c r="N971" s="260" t="s">
        <v>514</v>
      </c>
    </row>
    <row r="972" spans="1:14" ht="14.5" x14ac:dyDescent="0.35">
      <c r="A972" s="260" t="s">
        <v>563</v>
      </c>
      <c r="B972" s="190">
        <v>45979</v>
      </c>
      <c r="C972" s="260" t="s">
        <v>754</v>
      </c>
      <c r="D972" s="197">
        <v>0</v>
      </c>
      <c r="E972" s="197">
        <v>0</v>
      </c>
      <c r="F972" s="197">
        <v>77.56</v>
      </c>
      <c r="G972" s="190">
        <v>45979</v>
      </c>
      <c r="H972" s="196">
        <v>0</v>
      </c>
      <c r="I972" s="197">
        <v>0</v>
      </c>
      <c r="J972" s="197">
        <v>0</v>
      </c>
      <c r="K972" s="197">
        <v>120</v>
      </c>
      <c r="L972" s="197">
        <v>0</v>
      </c>
      <c r="M972" s="260" t="s">
        <v>239</v>
      </c>
      <c r="N972" s="260" t="s">
        <v>514</v>
      </c>
    </row>
    <row r="973" spans="1:14" ht="14.5" x14ac:dyDescent="0.35">
      <c r="A973" s="260" t="s">
        <v>563</v>
      </c>
      <c r="B973" s="190">
        <v>45980</v>
      </c>
      <c r="C973" s="260" t="s">
        <v>749</v>
      </c>
      <c r="D973" s="197">
        <v>220</v>
      </c>
      <c r="E973" s="197">
        <v>10937.666666666666</v>
      </c>
      <c r="F973" s="197">
        <v>49.14</v>
      </c>
      <c r="G973" s="190">
        <v>45980</v>
      </c>
      <c r="H973" s="196">
        <v>0</v>
      </c>
      <c r="I973" s="197">
        <v>10810.8</v>
      </c>
      <c r="J973" s="197">
        <v>10810.8</v>
      </c>
      <c r="K973" s="197">
        <v>0</v>
      </c>
      <c r="L973" s="197">
        <v>-126.86666666666679</v>
      </c>
      <c r="M973" s="260" t="s">
        <v>239</v>
      </c>
      <c r="N973" s="260" t="s">
        <v>514</v>
      </c>
    </row>
    <row r="974" spans="1:14" ht="14.5" x14ac:dyDescent="0.35">
      <c r="A974" s="260" t="s">
        <v>563</v>
      </c>
      <c r="B974" s="190">
        <v>45980</v>
      </c>
      <c r="C974" s="260" t="s">
        <v>752</v>
      </c>
      <c r="D974" s="197">
        <v>30</v>
      </c>
      <c r="E974" s="197">
        <v>6006</v>
      </c>
      <c r="F974" s="197">
        <v>174.17</v>
      </c>
      <c r="G974" s="190">
        <v>45980</v>
      </c>
      <c r="H974" s="196">
        <v>0</v>
      </c>
      <c r="I974" s="197">
        <v>5225.0999999999995</v>
      </c>
      <c r="J974" s="197">
        <v>5225.0999999999995</v>
      </c>
      <c r="K974" s="197">
        <v>0</v>
      </c>
      <c r="L974" s="197">
        <v>-780.90000000000055</v>
      </c>
      <c r="M974" s="260" t="s">
        <v>239</v>
      </c>
      <c r="N974" s="260" t="s">
        <v>514</v>
      </c>
    </row>
    <row r="975" spans="1:14" ht="14.5" x14ac:dyDescent="0.35">
      <c r="A975" s="260" t="s">
        <v>563</v>
      </c>
      <c r="B975" s="190">
        <v>45980</v>
      </c>
      <c r="C975" s="260" t="s">
        <v>754</v>
      </c>
      <c r="D975" s="197">
        <v>0</v>
      </c>
      <c r="E975" s="197">
        <v>0</v>
      </c>
      <c r="F975" s="197">
        <v>77.66</v>
      </c>
      <c r="G975" s="190">
        <v>45980</v>
      </c>
      <c r="H975" s="196">
        <v>0</v>
      </c>
      <c r="I975" s="197">
        <v>0</v>
      </c>
      <c r="J975" s="197">
        <v>0</v>
      </c>
      <c r="K975" s="197">
        <v>120</v>
      </c>
      <c r="L975" s="197">
        <v>0</v>
      </c>
      <c r="M975" s="260" t="s">
        <v>239</v>
      </c>
      <c r="N975" s="260" t="s">
        <v>514</v>
      </c>
    </row>
    <row r="976" spans="1:14" ht="14.5" x14ac:dyDescent="0.35">
      <c r="A976" s="260" t="s">
        <v>563</v>
      </c>
      <c r="B976" s="190">
        <v>45981</v>
      </c>
      <c r="C976" s="260" t="s">
        <v>749</v>
      </c>
      <c r="D976" s="197">
        <v>220</v>
      </c>
      <c r="E976" s="197">
        <v>10937.666666666666</v>
      </c>
      <c r="F976" s="197">
        <v>49.03</v>
      </c>
      <c r="G976" s="190">
        <v>45981</v>
      </c>
      <c r="H976" s="196">
        <v>0</v>
      </c>
      <c r="I976" s="197">
        <v>10786.6</v>
      </c>
      <c r="J976" s="197">
        <v>10786.6</v>
      </c>
      <c r="K976" s="197">
        <v>0</v>
      </c>
      <c r="L976" s="197">
        <v>-151.0666666666657</v>
      </c>
      <c r="M976" s="260" t="s">
        <v>239</v>
      </c>
      <c r="N976" s="260" t="s">
        <v>514</v>
      </c>
    </row>
    <row r="977" spans="1:14" ht="14.5" x14ac:dyDescent="0.35">
      <c r="A977" s="260" t="s">
        <v>563</v>
      </c>
      <c r="B977" s="190">
        <v>45981</v>
      </c>
      <c r="C977" s="260" t="s">
        <v>752</v>
      </c>
      <c r="D977" s="197">
        <v>30</v>
      </c>
      <c r="E977" s="197">
        <v>6006</v>
      </c>
      <c r="F977" s="197">
        <v>173.79</v>
      </c>
      <c r="G977" s="190">
        <v>45981</v>
      </c>
      <c r="H977" s="196">
        <v>0</v>
      </c>
      <c r="I977" s="197">
        <v>5213.7</v>
      </c>
      <c r="J977" s="197">
        <v>5213.7</v>
      </c>
      <c r="K977" s="197">
        <v>0</v>
      </c>
      <c r="L977" s="197">
        <v>-792.30000000000018</v>
      </c>
      <c r="M977" s="260" t="s">
        <v>239</v>
      </c>
      <c r="N977" s="260" t="s">
        <v>514</v>
      </c>
    </row>
    <row r="978" spans="1:14" ht="14.5" x14ac:dyDescent="0.35">
      <c r="A978" s="260" t="s">
        <v>563</v>
      </c>
      <c r="B978" s="190">
        <v>45981</v>
      </c>
      <c r="C978" s="260" t="s">
        <v>754</v>
      </c>
      <c r="D978" s="197">
        <v>0</v>
      </c>
      <c r="E978" s="197">
        <v>0</v>
      </c>
      <c r="F978" s="197">
        <v>77.77</v>
      </c>
      <c r="G978" s="190">
        <v>45981</v>
      </c>
      <c r="H978" s="196">
        <v>0</v>
      </c>
      <c r="I978" s="197">
        <v>0</v>
      </c>
      <c r="J978" s="197">
        <v>0</v>
      </c>
      <c r="K978" s="197">
        <v>120</v>
      </c>
      <c r="L978" s="197">
        <v>0</v>
      </c>
      <c r="M978" s="260" t="s">
        <v>239</v>
      </c>
      <c r="N978" s="260" t="s">
        <v>514</v>
      </c>
    </row>
    <row r="979" spans="1:14" ht="14.5" x14ac:dyDescent="0.35">
      <c r="A979" s="260" t="s">
        <v>563</v>
      </c>
      <c r="B979" s="190">
        <v>45982</v>
      </c>
      <c r="C979" s="260" t="s">
        <v>749</v>
      </c>
      <c r="D979" s="197">
        <v>220</v>
      </c>
      <c r="E979" s="197">
        <v>10937.666666666666</v>
      </c>
      <c r="F979" s="197">
        <v>48.93</v>
      </c>
      <c r="G979" s="190">
        <v>45982</v>
      </c>
      <c r="H979" s="196">
        <v>0</v>
      </c>
      <c r="I979" s="197">
        <v>10764.6</v>
      </c>
      <c r="J979" s="197">
        <v>10764.6</v>
      </c>
      <c r="K979" s="197">
        <v>0</v>
      </c>
      <c r="L979" s="197">
        <v>-173.0666666666657</v>
      </c>
      <c r="M979" s="260" t="s">
        <v>239</v>
      </c>
      <c r="N979" s="260" t="s">
        <v>514</v>
      </c>
    </row>
    <row r="980" spans="1:14" ht="14.5" x14ac:dyDescent="0.35">
      <c r="A980" s="260" t="s">
        <v>563</v>
      </c>
      <c r="B980" s="190">
        <v>45982</v>
      </c>
      <c r="C980" s="260" t="s">
        <v>752</v>
      </c>
      <c r="D980" s="197">
        <v>30</v>
      </c>
      <c r="E980" s="197">
        <v>6006</v>
      </c>
      <c r="F980" s="197">
        <v>173.41</v>
      </c>
      <c r="G980" s="190">
        <v>45982</v>
      </c>
      <c r="H980" s="196">
        <v>0</v>
      </c>
      <c r="I980" s="197">
        <v>5202.3</v>
      </c>
      <c r="J980" s="197">
        <v>5202.3</v>
      </c>
      <c r="K980" s="197">
        <v>0</v>
      </c>
      <c r="L980" s="197">
        <v>-803.69999999999982</v>
      </c>
      <c r="M980" s="260" t="s">
        <v>239</v>
      </c>
      <c r="N980" s="260" t="s">
        <v>514</v>
      </c>
    </row>
    <row r="981" spans="1:14" ht="14.5" x14ac:dyDescent="0.35">
      <c r="A981" s="260" t="s">
        <v>563</v>
      </c>
      <c r="B981" s="190">
        <v>45982</v>
      </c>
      <c r="C981" s="260" t="s">
        <v>754</v>
      </c>
      <c r="D981" s="197">
        <v>0</v>
      </c>
      <c r="E981" s="197">
        <v>0</v>
      </c>
      <c r="F981" s="197">
        <v>77.87</v>
      </c>
      <c r="G981" s="190">
        <v>45982</v>
      </c>
      <c r="H981" s="196">
        <v>0</v>
      </c>
      <c r="I981" s="197">
        <v>0</v>
      </c>
      <c r="J981" s="197">
        <v>0</v>
      </c>
      <c r="K981" s="197">
        <v>120</v>
      </c>
      <c r="L981" s="197">
        <v>0</v>
      </c>
      <c r="M981" s="260" t="s">
        <v>239</v>
      </c>
      <c r="N981" s="260" t="s">
        <v>514</v>
      </c>
    </row>
    <row r="982" spans="1:14" ht="14.5" x14ac:dyDescent="0.35">
      <c r="A982" s="260" t="s">
        <v>563</v>
      </c>
      <c r="B982" s="190">
        <v>45983</v>
      </c>
      <c r="C982" s="260" t="s">
        <v>749</v>
      </c>
      <c r="D982" s="197">
        <v>220</v>
      </c>
      <c r="E982" s="197">
        <v>10937.666666666666</v>
      </c>
      <c r="F982" s="197">
        <v>48.93</v>
      </c>
      <c r="G982" s="190">
        <v>45982</v>
      </c>
      <c r="H982" s="196">
        <v>1</v>
      </c>
      <c r="I982" s="197">
        <v>10764.6</v>
      </c>
      <c r="J982" s="197">
        <v>10764.6</v>
      </c>
      <c r="K982" s="197">
        <v>0</v>
      </c>
      <c r="L982" s="197">
        <v>-173.0666666666657</v>
      </c>
      <c r="M982" s="260" t="s">
        <v>239</v>
      </c>
      <c r="N982" s="260" t="s">
        <v>514</v>
      </c>
    </row>
    <row r="983" spans="1:14" ht="14.5" x14ac:dyDescent="0.35">
      <c r="A983" s="260" t="s">
        <v>563</v>
      </c>
      <c r="B983" s="190">
        <v>45983</v>
      </c>
      <c r="C983" s="260" t="s">
        <v>752</v>
      </c>
      <c r="D983" s="197">
        <v>30</v>
      </c>
      <c r="E983" s="197">
        <v>6006</v>
      </c>
      <c r="F983" s="197">
        <v>173.41</v>
      </c>
      <c r="G983" s="190">
        <v>45982</v>
      </c>
      <c r="H983" s="196">
        <v>1</v>
      </c>
      <c r="I983" s="197">
        <v>5202.3</v>
      </c>
      <c r="J983" s="197">
        <v>5202.3</v>
      </c>
      <c r="K983" s="197">
        <v>0</v>
      </c>
      <c r="L983" s="197">
        <v>-803.69999999999982</v>
      </c>
      <c r="M983" s="260" t="s">
        <v>239</v>
      </c>
      <c r="N983" s="260" t="s">
        <v>514</v>
      </c>
    </row>
    <row r="984" spans="1:14" ht="14.5" x14ac:dyDescent="0.35">
      <c r="A984" s="260" t="s">
        <v>563</v>
      </c>
      <c r="B984" s="190">
        <v>45983</v>
      </c>
      <c r="C984" s="260" t="s">
        <v>754</v>
      </c>
      <c r="D984" s="197">
        <v>0</v>
      </c>
      <c r="E984" s="197">
        <v>0</v>
      </c>
      <c r="F984" s="197">
        <v>77.87</v>
      </c>
      <c r="G984" s="190">
        <v>45982</v>
      </c>
      <c r="H984" s="196">
        <v>1</v>
      </c>
      <c r="I984" s="197">
        <v>0</v>
      </c>
      <c r="J984" s="197">
        <v>0</v>
      </c>
      <c r="K984" s="197">
        <v>120</v>
      </c>
      <c r="L984" s="197">
        <v>0</v>
      </c>
      <c r="M984" s="260" t="s">
        <v>239</v>
      </c>
      <c r="N984" s="260" t="s">
        <v>514</v>
      </c>
    </row>
    <row r="985" spans="1:14" ht="14.5" x14ac:dyDescent="0.35">
      <c r="A985" s="260" t="s">
        <v>563</v>
      </c>
      <c r="B985" s="190">
        <v>45984</v>
      </c>
      <c r="C985" s="260" t="s">
        <v>749</v>
      </c>
      <c r="D985" s="197">
        <v>220</v>
      </c>
      <c r="E985" s="197">
        <v>10937.666666666666</v>
      </c>
      <c r="F985" s="197">
        <v>48.93</v>
      </c>
      <c r="G985" s="190">
        <v>45982</v>
      </c>
      <c r="H985" s="196">
        <v>2</v>
      </c>
      <c r="I985" s="197">
        <v>10764.6</v>
      </c>
      <c r="J985" s="197">
        <v>10764.6</v>
      </c>
      <c r="K985" s="197">
        <v>0</v>
      </c>
      <c r="L985" s="197">
        <v>-173.0666666666657</v>
      </c>
      <c r="M985" s="260" t="s">
        <v>239</v>
      </c>
      <c r="N985" s="260" t="s">
        <v>514</v>
      </c>
    </row>
    <row r="986" spans="1:14" ht="14.5" x14ac:dyDescent="0.35">
      <c r="A986" s="260" t="s">
        <v>563</v>
      </c>
      <c r="B986" s="190">
        <v>45984</v>
      </c>
      <c r="C986" s="260" t="s">
        <v>752</v>
      </c>
      <c r="D986" s="197">
        <v>30</v>
      </c>
      <c r="E986" s="197">
        <v>6006</v>
      </c>
      <c r="F986" s="197">
        <v>173.41</v>
      </c>
      <c r="G986" s="190">
        <v>45982</v>
      </c>
      <c r="H986" s="196">
        <v>2</v>
      </c>
      <c r="I986" s="197">
        <v>5202.3</v>
      </c>
      <c r="J986" s="197">
        <v>5202.3</v>
      </c>
      <c r="K986" s="197">
        <v>0</v>
      </c>
      <c r="L986" s="197">
        <v>-803.69999999999982</v>
      </c>
      <c r="M986" s="260" t="s">
        <v>239</v>
      </c>
      <c r="N986" s="260" t="s">
        <v>514</v>
      </c>
    </row>
    <row r="987" spans="1:14" ht="14.5" x14ac:dyDescent="0.35">
      <c r="A987" s="260" t="s">
        <v>563</v>
      </c>
      <c r="B987" s="190">
        <v>45984</v>
      </c>
      <c r="C987" s="260" t="s">
        <v>754</v>
      </c>
      <c r="D987" s="197">
        <v>0</v>
      </c>
      <c r="E987" s="197">
        <v>0</v>
      </c>
      <c r="F987" s="197">
        <v>77.87</v>
      </c>
      <c r="G987" s="190">
        <v>45982</v>
      </c>
      <c r="H987" s="196">
        <v>2</v>
      </c>
      <c r="I987" s="197">
        <v>0</v>
      </c>
      <c r="J987" s="197">
        <v>0</v>
      </c>
      <c r="K987" s="197">
        <v>120</v>
      </c>
      <c r="L987" s="197">
        <v>0</v>
      </c>
      <c r="M987" s="260" t="s">
        <v>239</v>
      </c>
      <c r="N987" s="260" t="s">
        <v>514</v>
      </c>
    </row>
    <row r="988" spans="1:14" ht="14.5" x14ac:dyDescent="0.35">
      <c r="A988" s="260" t="s">
        <v>563</v>
      </c>
      <c r="B988" s="190">
        <v>45985</v>
      </c>
      <c r="C988" s="260" t="s">
        <v>749</v>
      </c>
      <c r="D988" s="197">
        <v>220</v>
      </c>
      <c r="E988" s="197">
        <v>10937.666666666666</v>
      </c>
      <c r="F988" s="197">
        <v>48.62</v>
      </c>
      <c r="G988" s="190">
        <v>45985</v>
      </c>
      <c r="H988" s="196">
        <v>0</v>
      </c>
      <c r="I988" s="197">
        <v>10696.4</v>
      </c>
      <c r="J988" s="197">
        <v>10696.4</v>
      </c>
      <c r="K988" s="197">
        <v>0</v>
      </c>
      <c r="L988" s="197">
        <v>-241.26666666666642</v>
      </c>
      <c r="M988" s="260" t="s">
        <v>239</v>
      </c>
      <c r="N988" s="260" t="s">
        <v>514</v>
      </c>
    </row>
    <row r="989" spans="1:14" ht="14.5" x14ac:dyDescent="0.35">
      <c r="A989" s="260" t="s">
        <v>563</v>
      </c>
      <c r="B989" s="190">
        <v>45985</v>
      </c>
      <c r="C989" s="260" t="s">
        <v>752</v>
      </c>
      <c r="D989" s="197">
        <v>30</v>
      </c>
      <c r="E989" s="197">
        <v>6006</v>
      </c>
      <c r="F989" s="197">
        <v>172.28</v>
      </c>
      <c r="G989" s="190">
        <v>45985</v>
      </c>
      <c r="H989" s="196">
        <v>0</v>
      </c>
      <c r="I989" s="197">
        <v>5168.3999999999996</v>
      </c>
      <c r="J989" s="197">
        <v>5168.3999999999996</v>
      </c>
      <c r="K989" s="197">
        <v>0</v>
      </c>
      <c r="L989" s="197">
        <v>-837.60000000000036</v>
      </c>
      <c r="M989" s="260" t="s">
        <v>239</v>
      </c>
      <c r="N989" s="260" t="s">
        <v>514</v>
      </c>
    </row>
    <row r="990" spans="1:14" ht="14.5" x14ac:dyDescent="0.35">
      <c r="A990" s="260" t="s">
        <v>563</v>
      </c>
      <c r="B990" s="190">
        <v>45985</v>
      </c>
      <c r="C990" s="260" t="s">
        <v>754</v>
      </c>
      <c r="D990" s="197">
        <v>0</v>
      </c>
      <c r="E990" s="197">
        <v>0</v>
      </c>
      <c r="F990" s="197">
        <v>78.180000000000007</v>
      </c>
      <c r="G990" s="190">
        <v>45985</v>
      </c>
      <c r="H990" s="196">
        <v>0</v>
      </c>
      <c r="I990" s="197">
        <v>0</v>
      </c>
      <c r="J990" s="197">
        <v>0</v>
      </c>
      <c r="K990" s="197">
        <v>120</v>
      </c>
      <c r="L990" s="197">
        <v>0</v>
      </c>
      <c r="M990" s="260" t="s">
        <v>239</v>
      </c>
      <c r="N990" s="260" t="s">
        <v>514</v>
      </c>
    </row>
    <row r="991" spans="1:14" ht="14.5" x14ac:dyDescent="0.35">
      <c r="A991" s="260" t="s">
        <v>563</v>
      </c>
      <c r="B991" s="190">
        <v>45986</v>
      </c>
      <c r="C991" s="260" t="s">
        <v>749</v>
      </c>
      <c r="D991" s="197">
        <v>220</v>
      </c>
      <c r="E991" s="197">
        <v>10937.666666666666</v>
      </c>
      <c r="F991" s="197">
        <v>48.52</v>
      </c>
      <c r="G991" s="190">
        <v>45986</v>
      </c>
      <c r="H991" s="196">
        <v>0</v>
      </c>
      <c r="I991" s="197">
        <v>10674.400000000001</v>
      </c>
      <c r="J991" s="197">
        <v>10674.400000000001</v>
      </c>
      <c r="K991" s="197">
        <v>0</v>
      </c>
      <c r="L991" s="197">
        <v>-263.26666666666461</v>
      </c>
      <c r="M991" s="260" t="s">
        <v>239</v>
      </c>
      <c r="N991" s="260" t="s">
        <v>514</v>
      </c>
    </row>
    <row r="992" spans="1:14" ht="14.5" x14ac:dyDescent="0.35">
      <c r="A992" s="260" t="s">
        <v>563</v>
      </c>
      <c r="B992" s="190">
        <v>45986</v>
      </c>
      <c r="C992" s="260" t="s">
        <v>752</v>
      </c>
      <c r="D992" s="197">
        <v>30</v>
      </c>
      <c r="E992" s="197">
        <v>6006</v>
      </c>
      <c r="F992" s="197">
        <v>171.9</v>
      </c>
      <c r="G992" s="190">
        <v>45986</v>
      </c>
      <c r="H992" s="196">
        <v>0</v>
      </c>
      <c r="I992" s="197">
        <v>5157</v>
      </c>
      <c r="J992" s="197">
        <v>5157</v>
      </c>
      <c r="K992" s="197">
        <v>0</v>
      </c>
      <c r="L992" s="197">
        <v>-849</v>
      </c>
      <c r="M992" s="260" t="s">
        <v>239</v>
      </c>
      <c r="N992" s="260" t="s">
        <v>514</v>
      </c>
    </row>
    <row r="993" spans="1:14" ht="14.5" x14ac:dyDescent="0.35">
      <c r="A993" s="260" t="s">
        <v>563</v>
      </c>
      <c r="B993" s="190">
        <v>45986</v>
      </c>
      <c r="C993" s="260" t="s">
        <v>754</v>
      </c>
      <c r="D993" s="197">
        <v>0</v>
      </c>
      <c r="E993" s="197">
        <v>0</v>
      </c>
      <c r="F993" s="197">
        <v>78.28</v>
      </c>
      <c r="G993" s="190">
        <v>45986</v>
      </c>
      <c r="H993" s="196">
        <v>0</v>
      </c>
      <c r="I993" s="197">
        <v>0</v>
      </c>
      <c r="J993" s="197">
        <v>0</v>
      </c>
      <c r="K993" s="197">
        <v>120</v>
      </c>
      <c r="L993" s="197">
        <v>0</v>
      </c>
      <c r="M993" s="260" t="s">
        <v>239</v>
      </c>
      <c r="N993" s="260" t="s">
        <v>514</v>
      </c>
    </row>
    <row r="994" spans="1:14" ht="14.5" x14ac:dyDescent="0.35">
      <c r="A994" s="260" t="s">
        <v>563</v>
      </c>
      <c r="B994" s="190">
        <v>45987</v>
      </c>
      <c r="C994" s="260" t="s">
        <v>749</v>
      </c>
      <c r="D994" s="197">
        <v>220</v>
      </c>
      <c r="E994" s="197">
        <v>10937.666666666666</v>
      </c>
      <c r="F994" s="197">
        <v>48.41</v>
      </c>
      <c r="G994" s="190">
        <v>45987</v>
      </c>
      <c r="H994" s="196">
        <v>0</v>
      </c>
      <c r="I994" s="197">
        <v>10650.199999999999</v>
      </c>
      <c r="J994" s="197">
        <v>10650.199999999999</v>
      </c>
      <c r="K994" s="197">
        <v>0</v>
      </c>
      <c r="L994" s="197">
        <v>-287.46666666666715</v>
      </c>
      <c r="M994" s="260" t="s">
        <v>239</v>
      </c>
      <c r="N994" s="260" t="s">
        <v>514</v>
      </c>
    </row>
    <row r="995" spans="1:14" ht="14.5" x14ac:dyDescent="0.35">
      <c r="A995" s="260" t="s">
        <v>563</v>
      </c>
      <c r="B995" s="190">
        <v>45987</v>
      </c>
      <c r="C995" s="260" t="s">
        <v>752</v>
      </c>
      <c r="D995" s="197">
        <v>30</v>
      </c>
      <c r="E995" s="197">
        <v>6006</v>
      </c>
      <c r="F995" s="197">
        <v>171.52</v>
      </c>
      <c r="G995" s="190">
        <v>45987</v>
      </c>
      <c r="H995" s="196">
        <v>0</v>
      </c>
      <c r="I995" s="197">
        <v>5145.6000000000004</v>
      </c>
      <c r="J995" s="197">
        <v>5145.6000000000004</v>
      </c>
      <c r="K995" s="197">
        <v>0</v>
      </c>
      <c r="L995" s="197">
        <v>-860.39999999999964</v>
      </c>
      <c r="M995" s="260" t="s">
        <v>239</v>
      </c>
      <c r="N995" s="260" t="s">
        <v>514</v>
      </c>
    </row>
    <row r="996" spans="1:14" ht="14.5" x14ac:dyDescent="0.35">
      <c r="A996" s="260" t="s">
        <v>563</v>
      </c>
      <c r="B996" s="190">
        <v>45987</v>
      </c>
      <c r="C996" s="260" t="s">
        <v>754</v>
      </c>
      <c r="D996" s="197">
        <v>0</v>
      </c>
      <c r="E996" s="197">
        <v>0</v>
      </c>
      <c r="F996" s="197">
        <v>78.39</v>
      </c>
      <c r="G996" s="190">
        <v>45987</v>
      </c>
      <c r="H996" s="196">
        <v>0</v>
      </c>
      <c r="I996" s="197">
        <v>0</v>
      </c>
      <c r="J996" s="197">
        <v>0</v>
      </c>
      <c r="K996" s="197">
        <v>120</v>
      </c>
      <c r="L996" s="197">
        <v>0</v>
      </c>
      <c r="M996" s="260" t="s">
        <v>239</v>
      </c>
      <c r="N996" s="260" t="s">
        <v>514</v>
      </c>
    </row>
    <row r="997" spans="1:14" ht="14.5" x14ac:dyDescent="0.35">
      <c r="A997" s="260" t="s">
        <v>563</v>
      </c>
      <c r="B997" s="190">
        <v>45988</v>
      </c>
      <c r="C997" s="260" t="s">
        <v>749</v>
      </c>
      <c r="D997" s="197">
        <v>220</v>
      </c>
      <c r="E997" s="197">
        <v>10937.666666666666</v>
      </c>
      <c r="F997" s="197">
        <v>48.31</v>
      </c>
      <c r="G997" s="190">
        <v>45988</v>
      </c>
      <c r="H997" s="196">
        <v>0</v>
      </c>
      <c r="I997" s="197">
        <v>10628.2</v>
      </c>
      <c r="J997" s="197">
        <v>10628.2</v>
      </c>
      <c r="K997" s="197">
        <v>0</v>
      </c>
      <c r="L997" s="197">
        <v>-309.46666666666533</v>
      </c>
      <c r="M997" s="260" t="s">
        <v>239</v>
      </c>
      <c r="N997" s="260" t="s">
        <v>514</v>
      </c>
    </row>
    <row r="998" spans="1:14" ht="14.5" x14ac:dyDescent="0.35">
      <c r="A998" s="260" t="s">
        <v>563</v>
      </c>
      <c r="B998" s="190">
        <v>45988</v>
      </c>
      <c r="C998" s="260" t="s">
        <v>752</v>
      </c>
      <c r="D998" s="197">
        <v>30</v>
      </c>
      <c r="E998" s="197">
        <v>6006</v>
      </c>
      <c r="F998" s="197">
        <v>171.14</v>
      </c>
      <c r="G998" s="190">
        <v>45988</v>
      </c>
      <c r="H998" s="196">
        <v>0</v>
      </c>
      <c r="I998" s="197">
        <v>5134.2</v>
      </c>
      <c r="J998" s="197">
        <v>5134.2</v>
      </c>
      <c r="K998" s="197">
        <v>0</v>
      </c>
      <c r="L998" s="197">
        <v>-871.80000000000018</v>
      </c>
      <c r="M998" s="260" t="s">
        <v>239</v>
      </c>
      <c r="N998" s="260" t="s">
        <v>514</v>
      </c>
    </row>
    <row r="999" spans="1:14" ht="14.5" x14ac:dyDescent="0.35">
      <c r="A999" s="260" t="s">
        <v>563</v>
      </c>
      <c r="B999" s="190">
        <v>45988</v>
      </c>
      <c r="C999" s="260" t="s">
        <v>754</v>
      </c>
      <c r="D999" s="197">
        <v>0</v>
      </c>
      <c r="E999" s="197">
        <v>0</v>
      </c>
      <c r="F999" s="197">
        <v>78.489999999999995</v>
      </c>
      <c r="G999" s="190">
        <v>45988</v>
      </c>
      <c r="H999" s="196">
        <v>0</v>
      </c>
      <c r="I999" s="197">
        <v>0</v>
      </c>
      <c r="J999" s="197">
        <v>0</v>
      </c>
      <c r="K999" s="197">
        <v>120</v>
      </c>
      <c r="L999" s="197">
        <v>0</v>
      </c>
      <c r="M999" s="260" t="s">
        <v>239</v>
      </c>
      <c r="N999" s="260" t="s">
        <v>514</v>
      </c>
    </row>
    <row r="1000" spans="1:14" ht="14.5" x14ac:dyDescent="0.35">
      <c r="A1000" s="260" t="s">
        <v>563</v>
      </c>
      <c r="B1000" s="190">
        <v>45989</v>
      </c>
      <c r="C1000" s="260" t="s">
        <v>749</v>
      </c>
      <c r="D1000" s="197">
        <v>220</v>
      </c>
      <c r="E1000" s="197">
        <v>10937.666666666666</v>
      </c>
      <c r="F1000" s="197">
        <v>48.21</v>
      </c>
      <c r="G1000" s="190">
        <v>45989</v>
      </c>
      <c r="H1000" s="196">
        <v>0</v>
      </c>
      <c r="I1000" s="197">
        <v>10606.2</v>
      </c>
      <c r="J1000" s="197">
        <v>10606.2</v>
      </c>
      <c r="K1000" s="197">
        <v>0</v>
      </c>
      <c r="L1000" s="197">
        <v>-331.46666666666533</v>
      </c>
      <c r="M1000" s="260" t="s">
        <v>239</v>
      </c>
      <c r="N1000" s="260" t="s">
        <v>514</v>
      </c>
    </row>
    <row r="1001" spans="1:14" ht="14.5" x14ac:dyDescent="0.35">
      <c r="A1001" s="260" t="s">
        <v>563</v>
      </c>
      <c r="B1001" s="190">
        <v>45989</v>
      </c>
      <c r="C1001" s="260" t="s">
        <v>752</v>
      </c>
      <c r="D1001" s="197">
        <v>30</v>
      </c>
      <c r="E1001" s="197">
        <v>6006</v>
      </c>
      <c r="F1001" s="197">
        <v>170.76</v>
      </c>
      <c r="G1001" s="190">
        <v>45989</v>
      </c>
      <c r="H1001" s="196">
        <v>0</v>
      </c>
      <c r="I1001" s="197">
        <v>5122.7999999999993</v>
      </c>
      <c r="J1001" s="197">
        <v>5122.7999999999993</v>
      </c>
      <c r="K1001" s="197">
        <v>0</v>
      </c>
      <c r="L1001" s="197">
        <v>-883.20000000000073</v>
      </c>
      <c r="M1001" s="260" t="s">
        <v>239</v>
      </c>
      <c r="N1001" s="260" t="s">
        <v>514</v>
      </c>
    </row>
    <row r="1002" spans="1:14" ht="14.5" x14ac:dyDescent="0.35">
      <c r="A1002" s="260" t="s">
        <v>563</v>
      </c>
      <c r="B1002" s="190">
        <v>45989</v>
      </c>
      <c r="C1002" s="260" t="s">
        <v>754</v>
      </c>
      <c r="D1002" s="197">
        <v>0</v>
      </c>
      <c r="E1002" s="197">
        <v>0</v>
      </c>
      <c r="F1002" s="197">
        <v>78.59</v>
      </c>
      <c r="G1002" s="190">
        <v>45989</v>
      </c>
      <c r="H1002" s="196">
        <v>0</v>
      </c>
      <c r="I1002" s="197">
        <v>0</v>
      </c>
      <c r="J1002" s="197">
        <v>0</v>
      </c>
      <c r="K1002" s="197">
        <v>120</v>
      </c>
      <c r="L1002" s="197">
        <v>0</v>
      </c>
      <c r="M1002" s="260" t="s">
        <v>239</v>
      </c>
      <c r="N1002" s="260" t="s">
        <v>514</v>
      </c>
    </row>
    <row r="1003" spans="1:14" ht="14.5" x14ac:dyDescent="0.35">
      <c r="A1003" s="260" t="s">
        <v>563</v>
      </c>
      <c r="B1003" s="190">
        <v>45990</v>
      </c>
      <c r="C1003" s="260" t="s">
        <v>749</v>
      </c>
      <c r="D1003" s="197">
        <v>220</v>
      </c>
      <c r="E1003" s="197">
        <v>10937.666666666666</v>
      </c>
      <c r="F1003" s="197">
        <v>48.21</v>
      </c>
      <c r="G1003" s="190">
        <v>45989</v>
      </c>
      <c r="H1003" s="196">
        <v>1</v>
      </c>
      <c r="I1003" s="197">
        <v>10606.2</v>
      </c>
      <c r="J1003" s="197">
        <v>10606.2</v>
      </c>
      <c r="K1003" s="197">
        <v>0</v>
      </c>
      <c r="L1003" s="197">
        <v>-331.46666666666533</v>
      </c>
      <c r="M1003" s="260" t="s">
        <v>239</v>
      </c>
      <c r="N1003" s="260" t="s">
        <v>514</v>
      </c>
    </row>
    <row r="1004" spans="1:14" ht="14.5" x14ac:dyDescent="0.35">
      <c r="A1004" s="260" t="s">
        <v>563</v>
      </c>
      <c r="B1004" s="190">
        <v>45990</v>
      </c>
      <c r="C1004" s="260" t="s">
        <v>752</v>
      </c>
      <c r="D1004" s="197">
        <v>30</v>
      </c>
      <c r="E1004" s="197">
        <v>6006</v>
      </c>
      <c r="F1004" s="197">
        <v>170.76</v>
      </c>
      <c r="G1004" s="190">
        <v>45989</v>
      </c>
      <c r="H1004" s="196">
        <v>1</v>
      </c>
      <c r="I1004" s="197">
        <v>5122.7999999999993</v>
      </c>
      <c r="J1004" s="197">
        <v>5122.7999999999993</v>
      </c>
      <c r="K1004" s="197">
        <v>0</v>
      </c>
      <c r="L1004" s="197">
        <v>-883.20000000000073</v>
      </c>
      <c r="M1004" s="260" t="s">
        <v>239</v>
      </c>
      <c r="N1004" s="260" t="s">
        <v>514</v>
      </c>
    </row>
    <row r="1005" spans="1:14" ht="14.5" x14ac:dyDescent="0.35">
      <c r="A1005" s="260" t="s">
        <v>563</v>
      </c>
      <c r="B1005" s="190">
        <v>45990</v>
      </c>
      <c r="C1005" s="260" t="s">
        <v>754</v>
      </c>
      <c r="D1005" s="197">
        <v>0</v>
      </c>
      <c r="E1005" s="197">
        <v>0</v>
      </c>
      <c r="F1005" s="197">
        <v>78.59</v>
      </c>
      <c r="G1005" s="190">
        <v>45989</v>
      </c>
      <c r="H1005" s="196">
        <v>1</v>
      </c>
      <c r="I1005" s="197">
        <v>0</v>
      </c>
      <c r="J1005" s="197">
        <v>0</v>
      </c>
      <c r="K1005" s="197">
        <v>120</v>
      </c>
      <c r="L1005" s="197">
        <v>0</v>
      </c>
      <c r="M1005" s="260" t="s">
        <v>239</v>
      </c>
      <c r="N1005" s="260" t="s">
        <v>514</v>
      </c>
    </row>
    <row r="1006" spans="1:14" ht="14.5" x14ac:dyDescent="0.35">
      <c r="A1006" s="260" t="s">
        <v>563</v>
      </c>
      <c r="B1006" s="190">
        <v>45991</v>
      </c>
      <c r="C1006" s="260" t="s">
        <v>749</v>
      </c>
      <c r="D1006" s="197">
        <v>220</v>
      </c>
      <c r="E1006" s="197">
        <v>10937.666666666666</v>
      </c>
      <c r="F1006" s="197">
        <v>48.21</v>
      </c>
      <c r="G1006" s="190">
        <v>45989</v>
      </c>
      <c r="H1006" s="196">
        <v>2</v>
      </c>
      <c r="I1006" s="197">
        <v>10606.2</v>
      </c>
      <c r="J1006" s="197">
        <v>10606.2</v>
      </c>
      <c r="K1006" s="197">
        <v>0</v>
      </c>
      <c r="L1006" s="197">
        <v>-331.46666666666533</v>
      </c>
      <c r="M1006" s="260" t="s">
        <v>239</v>
      </c>
      <c r="N1006" s="260" t="s">
        <v>514</v>
      </c>
    </row>
    <row r="1007" spans="1:14" ht="14.5" x14ac:dyDescent="0.35">
      <c r="A1007" s="260" t="s">
        <v>563</v>
      </c>
      <c r="B1007" s="190">
        <v>45991</v>
      </c>
      <c r="C1007" s="260" t="s">
        <v>752</v>
      </c>
      <c r="D1007" s="197">
        <v>30</v>
      </c>
      <c r="E1007" s="197">
        <v>6006</v>
      </c>
      <c r="F1007" s="197">
        <v>170.76</v>
      </c>
      <c r="G1007" s="190">
        <v>45989</v>
      </c>
      <c r="H1007" s="196">
        <v>2</v>
      </c>
      <c r="I1007" s="197">
        <v>5122.7999999999993</v>
      </c>
      <c r="J1007" s="197">
        <v>5122.7999999999993</v>
      </c>
      <c r="K1007" s="197">
        <v>0</v>
      </c>
      <c r="L1007" s="197">
        <v>-883.20000000000073</v>
      </c>
      <c r="M1007" s="260" t="s">
        <v>239</v>
      </c>
      <c r="N1007" s="260" t="s">
        <v>514</v>
      </c>
    </row>
    <row r="1008" spans="1:14" ht="14.5" x14ac:dyDescent="0.35">
      <c r="A1008" s="260" t="s">
        <v>563</v>
      </c>
      <c r="B1008" s="190">
        <v>45991</v>
      </c>
      <c r="C1008" s="260" t="s">
        <v>754</v>
      </c>
      <c r="D1008" s="197">
        <v>0</v>
      </c>
      <c r="E1008" s="197">
        <v>0</v>
      </c>
      <c r="F1008" s="197">
        <v>78.59</v>
      </c>
      <c r="G1008" s="190">
        <v>45989</v>
      </c>
      <c r="H1008" s="196">
        <v>2</v>
      </c>
      <c r="I1008" s="197">
        <v>0</v>
      </c>
      <c r="J1008" s="197">
        <v>0</v>
      </c>
      <c r="K1008" s="197">
        <v>120</v>
      </c>
      <c r="L1008" s="197">
        <v>0</v>
      </c>
      <c r="M1008" s="260" t="s">
        <v>239</v>
      </c>
      <c r="N1008" s="260" t="s">
        <v>514</v>
      </c>
    </row>
    <row r="1009" spans="1:14" ht="14.5" x14ac:dyDescent="0.35">
      <c r="A1009" s="260" t="s">
        <v>563</v>
      </c>
      <c r="B1009" s="190">
        <v>45992</v>
      </c>
      <c r="C1009" s="260" t="s">
        <v>749</v>
      </c>
      <c r="D1009" s="197">
        <v>220</v>
      </c>
      <c r="E1009" s="197">
        <v>10937.666666666666</v>
      </c>
      <c r="F1009" s="197">
        <v>48</v>
      </c>
      <c r="G1009" s="190">
        <v>45992</v>
      </c>
      <c r="H1009" s="196">
        <v>0</v>
      </c>
      <c r="I1009" s="197">
        <v>10560</v>
      </c>
      <c r="J1009" s="197">
        <v>10560</v>
      </c>
      <c r="K1009" s="197">
        <v>0</v>
      </c>
      <c r="L1009" s="197">
        <v>-377.66666666666606</v>
      </c>
      <c r="M1009" s="260" t="s">
        <v>239</v>
      </c>
      <c r="N1009" s="260" t="s">
        <v>514</v>
      </c>
    </row>
    <row r="1010" spans="1:14" ht="14.5" x14ac:dyDescent="0.35">
      <c r="A1010" s="260" t="s">
        <v>563</v>
      </c>
      <c r="B1010" s="190">
        <v>45992</v>
      </c>
      <c r="C1010" s="260" t="s">
        <v>752</v>
      </c>
      <c r="D1010" s="197">
        <v>30</v>
      </c>
      <c r="E1010" s="197">
        <v>6006</v>
      </c>
      <c r="F1010" s="197">
        <v>170</v>
      </c>
      <c r="G1010" s="190">
        <v>45992</v>
      </c>
      <c r="H1010" s="196">
        <v>0</v>
      </c>
      <c r="I1010" s="197">
        <v>5100</v>
      </c>
      <c r="J1010" s="197">
        <v>5100</v>
      </c>
      <c r="K1010" s="197">
        <v>0</v>
      </c>
      <c r="L1010" s="197">
        <v>-906</v>
      </c>
      <c r="M1010" s="260" t="s">
        <v>239</v>
      </c>
      <c r="N1010" s="260" t="s">
        <v>514</v>
      </c>
    </row>
    <row r="1011" spans="1:14" ht="14.5" x14ac:dyDescent="0.35">
      <c r="A1011" s="260" t="s">
        <v>563</v>
      </c>
      <c r="B1011" s="190">
        <v>45992</v>
      </c>
      <c r="C1011" s="260" t="s">
        <v>754</v>
      </c>
      <c r="D1011" s="197">
        <v>0</v>
      </c>
      <c r="E1011" s="197">
        <v>0</v>
      </c>
      <c r="F1011" s="197">
        <v>78.8</v>
      </c>
      <c r="G1011" s="190">
        <v>45992</v>
      </c>
      <c r="H1011" s="196">
        <v>0</v>
      </c>
      <c r="I1011" s="197">
        <v>0</v>
      </c>
      <c r="J1011" s="197">
        <v>0</v>
      </c>
      <c r="K1011" s="197">
        <v>120</v>
      </c>
      <c r="L1011" s="197">
        <v>0</v>
      </c>
      <c r="M1011" s="260" t="s">
        <v>239</v>
      </c>
      <c r="N1011" s="260" t="s">
        <v>514</v>
      </c>
    </row>
    <row r="1012" spans="1:14" ht="14.5" x14ac:dyDescent="0.35">
      <c r="A1012" s="260" t="s">
        <v>563</v>
      </c>
      <c r="B1012" s="190">
        <v>45993</v>
      </c>
      <c r="C1012" s="260" t="s">
        <v>749</v>
      </c>
      <c r="D1012" s="197">
        <v>220</v>
      </c>
      <c r="E1012" s="197">
        <v>10937.666666666666</v>
      </c>
      <c r="F1012" s="197">
        <v>47.98</v>
      </c>
      <c r="G1012" s="190">
        <v>45993</v>
      </c>
      <c r="H1012" s="196">
        <v>0</v>
      </c>
      <c r="I1012" s="197">
        <v>10555.599999999999</v>
      </c>
      <c r="J1012" s="197">
        <v>10555.599999999999</v>
      </c>
      <c r="K1012" s="197">
        <v>0</v>
      </c>
      <c r="L1012" s="197">
        <v>-382.06666666666752</v>
      </c>
      <c r="M1012" s="260" t="s">
        <v>239</v>
      </c>
      <c r="N1012" s="260" t="s">
        <v>514</v>
      </c>
    </row>
    <row r="1013" spans="1:14" ht="14.5" x14ac:dyDescent="0.35">
      <c r="A1013" s="260" t="s">
        <v>563</v>
      </c>
      <c r="B1013" s="190">
        <v>45993</v>
      </c>
      <c r="C1013" s="260" t="s">
        <v>752</v>
      </c>
      <c r="D1013" s="197">
        <v>30</v>
      </c>
      <c r="E1013" s="197">
        <v>6006</v>
      </c>
      <c r="F1013" s="197">
        <v>169.97</v>
      </c>
      <c r="G1013" s="190">
        <v>45993</v>
      </c>
      <c r="H1013" s="196">
        <v>0</v>
      </c>
      <c r="I1013" s="197">
        <v>5099.1000000000004</v>
      </c>
      <c r="J1013" s="197">
        <v>5099.1000000000004</v>
      </c>
      <c r="K1013" s="197">
        <v>0</v>
      </c>
      <c r="L1013" s="197">
        <v>-906.89999999999964</v>
      </c>
      <c r="M1013" s="260" t="s">
        <v>239</v>
      </c>
      <c r="N1013" s="260" t="s">
        <v>514</v>
      </c>
    </row>
    <row r="1014" spans="1:14" ht="14.5" x14ac:dyDescent="0.35">
      <c r="A1014" s="260" t="s">
        <v>563</v>
      </c>
      <c r="B1014" s="190">
        <v>45993</v>
      </c>
      <c r="C1014" s="260" t="s">
        <v>754</v>
      </c>
      <c r="D1014" s="197">
        <v>0</v>
      </c>
      <c r="E1014" s="197">
        <v>0</v>
      </c>
      <c r="F1014" s="197">
        <v>78.77</v>
      </c>
      <c r="G1014" s="190">
        <v>45993</v>
      </c>
      <c r="H1014" s="196">
        <v>0</v>
      </c>
      <c r="I1014" s="197">
        <v>0</v>
      </c>
      <c r="J1014" s="197">
        <v>0</v>
      </c>
      <c r="K1014" s="197">
        <v>120</v>
      </c>
      <c r="L1014" s="197">
        <v>0</v>
      </c>
      <c r="M1014" s="260" t="s">
        <v>239</v>
      </c>
      <c r="N1014" s="260" t="s">
        <v>514</v>
      </c>
    </row>
    <row r="1015" spans="1:14" ht="14.5" x14ac:dyDescent="0.35">
      <c r="A1015" s="260" t="s">
        <v>563</v>
      </c>
      <c r="B1015" s="190">
        <v>45994</v>
      </c>
      <c r="C1015" s="260" t="s">
        <v>749</v>
      </c>
      <c r="D1015" s="197">
        <v>220</v>
      </c>
      <c r="E1015" s="197">
        <v>10937.666666666666</v>
      </c>
      <c r="F1015" s="197">
        <v>47.97</v>
      </c>
      <c r="G1015" s="190">
        <v>45994</v>
      </c>
      <c r="H1015" s="196">
        <v>0</v>
      </c>
      <c r="I1015" s="197">
        <v>10553.4</v>
      </c>
      <c r="J1015" s="197">
        <v>10553.4</v>
      </c>
      <c r="K1015" s="197">
        <v>0</v>
      </c>
      <c r="L1015" s="197">
        <v>-384.26666666666642</v>
      </c>
      <c r="M1015" s="260" t="s">
        <v>239</v>
      </c>
      <c r="N1015" s="260" t="s">
        <v>514</v>
      </c>
    </row>
    <row r="1016" spans="1:14" ht="14.5" x14ac:dyDescent="0.35">
      <c r="A1016" s="260" t="s">
        <v>563</v>
      </c>
      <c r="B1016" s="190">
        <v>45994</v>
      </c>
      <c r="C1016" s="260" t="s">
        <v>752</v>
      </c>
      <c r="D1016" s="197">
        <v>30</v>
      </c>
      <c r="E1016" s="197">
        <v>6006</v>
      </c>
      <c r="F1016" s="197">
        <v>169.93</v>
      </c>
      <c r="G1016" s="190">
        <v>45994</v>
      </c>
      <c r="H1016" s="196">
        <v>0</v>
      </c>
      <c r="I1016" s="197">
        <v>5097.9000000000005</v>
      </c>
      <c r="J1016" s="197">
        <v>5097.9000000000005</v>
      </c>
      <c r="K1016" s="197">
        <v>0</v>
      </c>
      <c r="L1016" s="197">
        <v>-908.09999999999945</v>
      </c>
      <c r="M1016" s="260" t="s">
        <v>239</v>
      </c>
      <c r="N1016" s="260" t="s">
        <v>514</v>
      </c>
    </row>
    <row r="1017" spans="1:14" ht="14.5" x14ac:dyDescent="0.35">
      <c r="A1017" s="260" t="s">
        <v>563</v>
      </c>
      <c r="B1017" s="190">
        <v>45994</v>
      </c>
      <c r="C1017" s="260" t="s">
        <v>754</v>
      </c>
      <c r="D1017" s="197">
        <v>0</v>
      </c>
      <c r="E1017" s="197">
        <v>0</v>
      </c>
      <c r="F1017" s="197">
        <v>78.73</v>
      </c>
      <c r="G1017" s="190">
        <v>45994</v>
      </c>
      <c r="H1017" s="196">
        <v>0</v>
      </c>
      <c r="I1017" s="197">
        <v>0</v>
      </c>
      <c r="J1017" s="197">
        <v>0</v>
      </c>
      <c r="K1017" s="197">
        <v>120</v>
      </c>
      <c r="L1017" s="197">
        <v>0</v>
      </c>
      <c r="M1017" s="260" t="s">
        <v>239</v>
      </c>
      <c r="N1017" s="260" t="s">
        <v>514</v>
      </c>
    </row>
    <row r="1018" spans="1:14" ht="14.5" x14ac:dyDescent="0.35">
      <c r="A1018" s="260" t="s">
        <v>563</v>
      </c>
      <c r="B1018" s="190">
        <v>45995</v>
      </c>
      <c r="C1018" s="260" t="s">
        <v>749</v>
      </c>
      <c r="D1018" s="197">
        <v>220</v>
      </c>
      <c r="E1018" s="197">
        <v>10937.666666666666</v>
      </c>
      <c r="F1018" s="197">
        <v>47.95</v>
      </c>
      <c r="G1018" s="190">
        <v>45995</v>
      </c>
      <c r="H1018" s="196">
        <v>0</v>
      </c>
      <c r="I1018" s="197">
        <v>10549</v>
      </c>
      <c r="J1018" s="197">
        <v>10549</v>
      </c>
      <c r="K1018" s="197">
        <v>0</v>
      </c>
      <c r="L1018" s="197">
        <v>-388.66666666666606</v>
      </c>
      <c r="M1018" s="260" t="s">
        <v>239</v>
      </c>
      <c r="N1018" s="260" t="s">
        <v>514</v>
      </c>
    </row>
    <row r="1019" spans="1:14" ht="14.5" x14ac:dyDescent="0.35">
      <c r="A1019" s="260" t="s">
        <v>563</v>
      </c>
      <c r="B1019" s="190">
        <v>45995</v>
      </c>
      <c r="C1019" s="260" t="s">
        <v>752</v>
      </c>
      <c r="D1019" s="197">
        <v>30</v>
      </c>
      <c r="E1019" s="197">
        <v>6006</v>
      </c>
      <c r="F1019" s="197">
        <v>169.9</v>
      </c>
      <c r="G1019" s="190">
        <v>45995</v>
      </c>
      <c r="H1019" s="196">
        <v>0</v>
      </c>
      <c r="I1019" s="197">
        <v>5097</v>
      </c>
      <c r="J1019" s="197">
        <v>5097</v>
      </c>
      <c r="K1019" s="197">
        <v>0</v>
      </c>
      <c r="L1019" s="197">
        <v>-909</v>
      </c>
      <c r="M1019" s="260" t="s">
        <v>239</v>
      </c>
      <c r="N1019" s="260" t="s">
        <v>514</v>
      </c>
    </row>
    <row r="1020" spans="1:14" ht="14.5" x14ac:dyDescent="0.35">
      <c r="A1020" s="260" t="s">
        <v>563</v>
      </c>
      <c r="B1020" s="190">
        <v>45995</v>
      </c>
      <c r="C1020" s="260" t="s">
        <v>754</v>
      </c>
      <c r="D1020" s="197">
        <v>0</v>
      </c>
      <c r="E1020" s="197">
        <v>0</v>
      </c>
      <c r="F1020" s="197">
        <v>78.7</v>
      </c>
      <c r="G1020" s="190">
        <v>45995</v>
      </c>
      <c r="H1020" s="196">
        <v>0</v>
      </c>
      <c r="I1020" s="197">
        <v>0</v>
      </c>
      <c r="J1020" s="197">
        <v>0</v>
      </c>
      <c r="K1020" s="197">
        <v>120</v>
      </c>
      <c r="L1020" s="197">
        <v>0</v>
      </c>
      <c r="M1020" s="260" t="s">
        <v>239</v>
      </c>
      <c r="N1020" s="260" t="s">
        <v>514</v>
      </c>
    </row>
    <row r="1021" spans="1:14" ht="14.5" x14ac:dyDescent="0.35">
      <c r="A1021" s="260" t="s">
        <v>563</v>
      </c>
      <c r="B1021" s="190">
        <v>45996</v>
      </c>
      <c r="C1021" s="260" t="s">
        <v>749</v>
      </c>
      <c r="D1021" s="197">
        <v>220</v>
      </c>
      <c r="E1021" s="197">
        <v>10937.666666666666</v>
      </c>
      <c r="F1021" s="197">
        <v>47.93</v>
      </c>
      <c r="G1021" s="190">
        <v>45996</v>
      </c>
      <c r="H1021" s="196">
        <v>0</v>
      </c>
      <c r="I1021" s="197">
        <v>10544.6</v>
      </c>
      <c r="J1021" s="197">
        <v>10544.6</v>
      </c>
      <c r="K1021" s="197">
        <v>0</v>
      </c>
      <c r="L1021" s="197">
        <v>-393.0666666666657</v>
      </c>
      <c r="M1021" s="260" t="s">
        <v>239</v>
      </c>
      <c r="N1021" s="260" t="s">
        <v>514</v>
      </c>
    </row>
    <row r="1022" spans="1:14" ht="14.5" x14ac:dyDescent="0.35">
      <c r="A1022" s="260" t="s">
        <v>563</v>
      </c>
      <c r="B1022" s="190">
        <v>45996</v>
      </c>
      <c r="C1022" s="260" t="s">
        <v>752</v>
      </c>
      <c r="D1022" s="197">
        <v>30</v>
      </c>
      <c r="E1022" s="197">
        <v>6006</v>
      </c>
      <c r="F1022" s="197">
        <v>169.87</v>
      </c>
      <c r="G1022" s="190">
        <v>45996</v>
      </c>
      <c r="H1022" s="196">
        <v>0</v>
      </c>
      <c r="I1022" s="197">
        <v>5096.1000000000004</v>
      </c>
      <c r="J1022" s="197">
        <v>5096.1000000000004</v>
      </c>
      <c r="K1022" s="197">
        <v>0</v>
      </c>
      <c r="L1022" s="197">
        <v>-909.89999999999964</v>
      </c>
      <c r="M1022" s="260" t="s">
        <v>239</v>
      </c>
      <c r="N1022" s="260" t="s">
        <v>514</v>
      </c>
    </row>
    <row r="1023" spans="1:14" ht="14.5" x14ac:dyDescent="0.35">
      <c r="A1023" s="260" t="s">
        <v>563</v>
      </c>
      <c r="B1023" s="190">
        <v>45996</v>
      </c>
      <c r="C1023" s="260" t="s">
        <v>754</v>
      </c>
      <c r="D1023" s="197">
        <v>0</v>
      </c>
      <c r="E1023" s="197">
        <v>0</v>
      </c>
      <c r="F1023" s="197">
        <v>78.67</v>
      </c>
      <c r="G1023" s="190">
        <v>45996</v>
      </c>
      <c r="H1023" s="196">
        <v>0</v>
      </c>
      <c r="I1023" s="197">
        <v>0</v>
      </c>
      <c r="J1023" s="197">
        <v>0</v>
      </c>
      <c r="K1023" s="197">
        <v>120</v>
      </c>
      <c r="L1023" s="197">
        <v>0</v>
      </c>
      <c r="M1023" s="260" t="s">
        <v>239</v>
      </c>
      <c r="N1023" s="260" t="s">
        <v>514</v>
      </c>
    </row>
    <row r="1024" spans="1:14" ht="14.5" x14ac:dyDescent="0.35">
      <c r="A1024" s="260" t="s">
        <v>563</v>
      </c>
      <c r="B1024" s="190">
        <v>45997</v>
      </c>
      <c r="C1024" s="260" t="s">
        <v>749</v>
      </c>
      <c r="D1024" s="197">
        <v>220</v>
      </c>
      <c r="E1024" s="197">
        <v>10937.666666666666</v>
      </c>
      <c r="F1024" s="197">
        <v>47.93</v>
      </c>
      <c r="G1024" s="190">
        <v>45996</v>
      </c>
      <c r="H1024" s="196">
        <v>1</v>
      </c>
      <c r="I1024" s="197">
        <v>10544.6</v>
      </c>
      <c r="J1024" s="197">
        <v>10544.6</v>
      </c>
      <c r="K1024" s="197">
        <v>0</v>
      </c>
      <c r="L1024" s="197">
        <v>-393.0666666666657</v>
      </c>
      <c r="M1024" s="260" t="s">
        <v>239</v>
      </c>
      <c r="N1024" s="260" t="s">
        <v>514</v>
      </c>
    </row>
    <row r="1025" spans="1:14" ht="14.5" x14ac:dyDescent="0.35">
      <c r="A1025" s="260" t="s">
        <v>563</v>
      </c>
      <c r="B1025" s="190">
        <v>45997</v>
      </c>
      <c r="C1025" s="260" t="s">
        <v>752</v>
      </c>
      <c r="D1025" s="197">
        <v>30</v>
      </c>
      <c r="E1025" s="197">
        <v>6006</v>
      </c>
      <c r="F1025" s="197">
        <v>169.87</v>
      </c>
      <c r="G1025" s="190">
        <v>45996</v>
      </c>
      <c r="H1025" s="196">
        <v>1</v>
      </c>
      <c r="I1025" s="197">
        <v>5096.1000000000004</v>
      </c>
      <c r="J1025" s="197">
        <v>5096.1000000000004</v>
      </c>
      <c r="K1025" s="197">
        <v>0</v>
      </c>
      <c r="L1025" s="197">
        <v>-909.89999999999964</v>
      </c>
      <c r="M1025" s="260" t="s">
        <v>239</v>
      </c>
      <c r="N1025" s="260" t="s">
        <v>514</v>
      </c>
    </row>
    <row r="1026" spans="1:14" ht="14.5" x14ac:dyDescent="0.35">
      <c r="A1026" s="260" t="s">
        <v>563</v>
      </c>
      <c r="B1026" s="190">
        <v>45997</v>
      </c>
      <c r="C1026" s="260" t="s">
        <v>754</v>
      </c>
      <c r="D1026" s="197">
        <v>0</v>
      </c>
      <c r="E1026" s="197">
        <v>0</v>
      </c>
      <c r="F1026" s="197">
        <v>78.67</v>
      </c>
      <c r="G1026" s="190">
        <v>45996</v>
      </c>
      <c r="H1026" s="196">
        <v>1</v>
      </c>
      <c r="I1026" s="197">
        <v>0</v>
      </c>
      <c r="J1026" s="197">
        <v>0</v>
      </c>
      <c r="K1026" s="197">
        <v>120</v>
      </c>
      <c r="L1026" s="197">
        <v>0</v>
      </c>
      <c r="M1026" s="260" t="s">
        <v>239</v>
      </c>
      <c r="N1026" s="260" t="s">
        <v>514</v>
      </c>
    </row>
    <row r="1027" spans="1:14" ht="14.5" x14ac:dyDescent="0.35">
      <c r="A1027" s="260" t="s">
        <v>563</v>
      </c>
      <c r="B1027" s="190">
        <v>45998</v>
      </c>
      <c r="C1027" s="260" t="s">
        <v>749</v>
      </c>
      <c r="D1027" s="197">
        <v>220</v>
      </c>
      <c r="E1027" s="197">
        <v>10937.666666666666</v>
      </c>
      <c r="F1027" s="197">
        <v>47.93</v>
      </c>
      <c r="G1027" s="190">
        <v>45996</v>
      </c>
      <c r="H1027" s="196">
        <v>2</v>
      </c>
      <c r="I1027" s="197">
        <v>10544.6</v>
      </c>
      <c r="J1027" s="197">
        <v>10544.6</v>
      </c>
      <c r="K1027" s="197">
        <v>0</v>
      </c>
      <c r="L1027" s="197">
        <v>-393.0666666666657</v>
      </c>
      <c r="M1027" s="260" t="s">
        <v>239</v>
      </c>
      <c r="N1027" s="260" t="s">
        <v>514</v>
      </c>
    </row>
    <row r="1028" spans="1:14" ht="14.5" x14ac:dyDescent="0.35">
      <c r="A1028" s="260" t="s">
        <v>563</v>
      </c>
      <c r="B1028" s="190">
        <v>45998</v>
      </c>
      <c r="C1028" s="260" t="s">
        <v>752</v>
      </c>
      <c r="D1028" s="197">
        <v>30</v>
      </c>
      <c r="E1028" s="197">
        <v>6006</v>
      </c>
      <c r="F1028" s="197">
        <v>169.87</v>
      </c>
      <c r="G1028" s="190">
        <v>45996</v>
      </c>
      <c r="H1028" s="196">
        <v>2</v>
      </c>
      <c r="I1028" s="197">
        <v>5096.1000000000004</v>
      </c>
      <c r="J1028" s="197">
        <v>5096.1000000000004</v>
      </c>
      <c r="K1028" s="197">
        <v>0</v>
      </c>
      <c r="L1028" s="197">
        <v>-909.89999999999964</v>
      </c>
      <c r="M1028" s="260" t="s">
        <v>239</v>
      </c>
      <c r="N1028" s="260" t="s">
        <v>514</v>
      </c>
    </row>
    <row r="1029" spans="1:14" ht="14.5" x14ac:dyDescent="0.35">
      <c r="A1029" s="260" t="s">
        <v>563</v>
      </c>
      <c r="B1029" s="190">
        <v>45998</v>
      </c>
      <c r="C1029" s="260" t="s">
        <v>754</v>
      </c>
      <c r="D1029" s="197">
        <v>0</v>
      </c>
      <c r="E1029" s="197">
        <v>0</v>
      </c>
      <c r="F1029" s="197">
        <v>78.67</v>
      </c>
      <c r="G1029" s="190">
        <v>45996</v>
      </c>
      <c r="H1029" s="196">
        <v>2</v>
      </c>
      <c r="I1029" s="197">
        <v>0</v>
      </c>
      <c r="J1029" s="197">
        <v>0</v>
      </c>
      <c r="K1029" s="197">
        <v>120</v>
      </c>
      <c r="L1029" s="197">
        <v>0</v>
      </c>
      <c r="M1029" s="260" t="s">
        <v>239</v>
      </c>
      <c r="N1029" s="260" t="s">
        <v>514</v>
      </c>
    </row>
    <row r="1030" spans="1:14" ht="14.5" x14ac:dyDescent="0.35">
      <c r="A1030" s="260" t="s">
        <v>563</v>
      </c>
      <c r="B1030" s="190">
        <v>45999</v>
      </c>
      <c r="C1030" s="260" t="s">
        <v>749</v>
      </c>
      <c r="D1030" s="197">
        <v>220</v>
      </c>
      <c r="E1030" s="197">
        <v>10937.666666666666</v>
      </c>
      <c r="F1030" s="197">
        <v>47.88</v>
      </c>
      <c r="G1030" s="190">
        <v>45999</v>
      </c>
      <c r="H1030" s="196">
        <v>0</v>
      </c>
      <c r="I1030" s="197">
        <v>10533.6</v>
      </c>
      <c r="J1030" s="197">
        <v>10533.6</v>
      </c>
      <c r="K1030" s="197">
        <v>0</v>
      </c>
      <c r="L1030" s="197">
        <v>-404.0666666666657</v>
      </c>
      <c r="M1030" s="260" t="s">
        <v>239</v>
      </c>
      <c r="N1030" s="260" t="s">
        <v>514</v>
      </c>
    </row>
    <row r="1031" spans="1:14" ht="14.5" x14ac:dyDescent="0.35">
      <c r="A1031" s="260" t="s">
        <v>563</v>
      </c>
      <c r="B1031" s="190">
        <v>45999</v>
      </c>
      <c r="C1031" s="260" t="s">
        <v>752</v>
      </c>
      <c r="D1031" s="197">
        <v>30</v>
      </c>
      <c r="E1031" s="197">
        <v>6006</v>
      </c>
      <c r="F1031" s="197">
        <v>169.77</v>
      </c>
      <c r="G1031" s="190">
        <v>45999</v>
      </c>
      <c r="H1031" s="196">
        <v>0</v>
      </c>
      <c r="I1031" s="197">
        <v>5093.1000000000004</v>
      </c>
      <c r="J1031" s="197">
        <v>5093.1000000000004</v>
      </c>
      <c r="K1031" s="197">
        <v>0</v>
      </c>
      <c r="L1031" s="197">
        <v>-912.89999999999964</v>
      </c>
      <c r="M1031" s="260" t="s">
        <v>239</v>
      </c>
      <c r="N1031" s="260" t="s">
        <v>514</v>
      </c>
    </row>
    <row r="1032" spans="1:14" ht="14.5" x14ac:dyDescent="0.35">
      <c r="A1032" s="260" t="s">
        <v>563</v>
      </c>
      <c r="B1032" s="190">
        <v>45999</v>
      </c>
      <c r="C1032" s="260" t="s">
        <v>754</v>
      </c>
      <c r="D1032" s="197">
        <v>0</v>
      </c>
      <c r="E1032" s="197">
        <v>0</v>
      </c>
      <c r="F1032" s="197">
        <v>78.569999999999993</v>
      </c>
      <c r="G1032" s="190">
        <v>45999</v>
      </c>
      <c r="H1032" s="196">
        <v>0</v>
      </c>
      <c r="I1032" s="197">
        <v>0</v>
      </c>
      <c r="J1032" s="197">
        <v>0</v>
      </c>
      <c r="K1032" s="197">
        <v>120</v>
      </c>
      <c r="L1032" s="197">
        <v>0</v>
      </c>
      <c r="M1032" s="260" t="s">
        <v>239</v>
      </c>
      <c r="N1032" s="260" t="s">
        <v>514</v>
      </c>
    </row>
    <row r="1033" spans="1:14" ht="14.5" x14ac:dyDescent="0.35">
      <c r="A1033" s="260" t="s">
        <v>563</v>
      </c>
      <c r="B1033" s="190">
        <v>46000</v>
      </c>
      <c r="C1033" s="260" t="s">
        <v>749</v>
      </c>
      <c r="D1033" s="197">
        <v>220</v>
      </c>
      <c r="E1033" s="197">
        <v>10937.666666666666</v>
      </c>
      <c r="F1033" s="197">
        <v>47.87</v>
      </c>
      <c r="G1033" s="190">
        <v>46000</v>
      </c>
      <c r="H1033" s="196">
        <v>0</v>
      </c>
      <c r="I1033" s="197">
        <v>10531.4</v>
      </c>
      <c r="J1033" s="197">
        <v>10531.4</v>
      </c>
      <c r="K1033" s="197">
        <v>0</v>
      </c>
      <c r="L1033" s="197">
        <v>-406.26666666666642</v>
      </c>
      <c r="M1033" s="260" t="s">
        <v>239</v>
      </c>
      <c r="N1033" s="260" t="s">
        <v>514</v>
      </c>
    </row>
    <row r="1034" spans="1:14" ht="14.5" x14ac:dyDescent="0.35">
      <c r="A1034" s="260" t="s">
        <v>563</v>
      </c>
      <c r="B1034" s="190">
        <v>46000</v>
      </c>
      <c r="C1034" s="260" t="s">
        <v>752</v>
      </c>
      <c r="D1034" s="197">
        <v>30</v>
      </c>
      <c r="E1034" s="197">
        <v>6006</v>
      </c>
      <c r="F1034" s="197">
        <v>169.73</v>
      </c>
      <c r="G1034" s="190">
        <v>46000</v>
      </c>
      <c r="H1034" s="196">
        <v>0</v>
      </c>
      <c r="I1034" s="197">
        <v>5091.8999999999996</v>
      </c>
      <c r="J1034" s="197">
        <v>5091.8999999999996</v>
      </c>
      <c r="K1034" s="197">
        <v>0</v>
      </c>
      <c r="L1034" s="197">
        <v>-914.10000000000036</v>
      </c>
      <c r="M1034" s="260" t="s">
        <v>239</v>
      </c>
      <c r="N1034" s="260" t="s">
        <v>514</v>
      </c>
    </row>
    <row r="1035" spans="1:14" ht="14.5" x14ac:dyDescent="0.35">
      <c r="A1035" s="260" t="s">
        <v>563</v>
      </c>
      <c r="B1035" s="190">
        <v>46000</v>
      </c>
      <c r="C1035" s="260" t="s">
        <v>754</v>
      </c>
      <c r="D1035" s="197">
        <v>0</v>
      </c>
      <c r="E1035" s="197">
        <v>0</v>
      </c>
      <c r="F1035" s="197">
        <v>78.53</v>
      </c>
      <c r="G1035" s="190">
        <v>46000</v>
      </c>
      <c r="H1035" s="196">
        <v>0</v>
      </c>
      <c r="I1035" s="197">
        <v>0</v>
      </c>
      <c r="J1035" s="197">
        <v>0</v>
      </c>
      <c r="K1035" s="197">
        <v>120</v>
      </c>
      <c r="L1035" s="197">
        <v>0</v>
      </c>
      <c r="M1035" s="260" t="s">
        <v>239</v>
      </c>
      <c r="N1035" s="260" t="s">
        <v>514</v>
      </c>
    </row>
    <row r="1036" spans="1:14" ht="14.5" x14ac:dyDescent="0.35">
      <c r="A1036" s="260" t="s">
        <v>563</v>
      </c>
      <c r="B1036" s="190">
        <v>46001</v>
      </c>
      <c r="C1036" s="260" t="s">
        <v>749</v>
      </c>
      <c r="D1036" s="197">
        <v>220</v>
      </c>
      <c r="E1036" s="197">
        <v>10937.666666666666</v>
      </c>
      <c r="F1036" s="197">
        <v>47.85</v>
      </c>
      <c r="G1036" s="190">
        <v>46001</v>
      </c>
      <c r="H1036" s="196">
        <v>0</v>
      </c>
      <c r="I1036" s="197">
        <v>10527</v>
      </c>
      <c r="J1036" s="197">
        <v>10527</v>
      </c>
      <c r="K1036" s="197">
        <v>0</v>
      </c>
      <c r="L1036" s="197">
        <v>-410.66666666666606</v>
      </c>
      <c r="M1036" s="260" t="s">
        <v>239</v>
      </c>
      <c r="N1036" s="260" t="s">
        <v>514</v>
      </c>
    </row>
    <row r="1037" spans="1:14" ht="14.5" x14ac:dyDescent="0.35">
      <c r="A1037" s="260" t="s">
        <v>563</v>
      </c>
      <c r="B1037" s="190">
        <v>46001</v>
      </c>
      <c r="C1037" s="260" t="s">
        <v>752</v>
      </c>
      <c r="D1037" s="197">
        <v>30</v>
      </c>
      <c r="E1037" s="197">
        <v>6006</v>
      </c>
      <c r="F1037" s="197">
        <v>169.7</v>
      </c>
      <c r="G1037" s="190">
        <v>46001</v>
      </c>
      <c r="H1037" s="196">
        <v>0</v>
      </c>
      <c r="I1037" s="197">
        <v>5091</v>
      </c>
      <c r="J1037" s="197">
        <v>5091</v>
      </c>
      <c r="K1037" s="197">
        <v>0</v>
      </c>
      <c r="L1037" s="197">
        <v>-915</v>
      </c>
      <c r="M1037" s="260" t="s">
        <v>239</v>
      </c>
      <c r="N1037" s="260" t="s">
        <v>514</v>
      </c>
    </row>
    <row r="1038" spans="1:14" ht="14.5" x14ac:dyDescent="0.35">
      <c r="A1038" s="260" t="s">
        <v>563</v>
      </c>
      <c r="B1038" s="190">
        <v>46001</v>
      </c>
      <c r="C1038" s="260" t="s">
        <v>754</v>
      </c>
      <c r="D1038" s="197">
        <v>0</v>
      </c>
      <c r="E1038" s="197">
        <v>0</v>
      </c>
      <c r="F1038" s="197">
        <v>78.5</v>
      </c>
      <c r="G1038" s="190">
        <v>46001</v>
      </c>
      <c r="H1038" s="196">
        <v>0</v>
      </c>
      <c r="I1038" s="197">
        <v>0</v>
      </c>
      <c r="J1038" s="197">
        <v>0</v>
      </c>
      <c r="K1038" s="197">
        <v>120</v>
      </c>
      <c r="L1038" s="197">
        <v>0</v>
      </c>
      <c r="M1038" s="260" t="s">
        <v>239</v>
      </c>
      <c r="N1038" s="260" t="s">
        <v>514</v>
      </c>
    </row>
    <row r="1039" spans="1:14" ht="14.5" x14ac:dyDescent="0.35">
      <c r="A1039" s="260" t="s">
        <v>563</v>
      </c>
      <c r="B1039" s="190">
        <v>46002</v>
      </c>
      <c r="C1039" s="260" t="s">
        <v>749</v>
      </c>
      <c r="D1039" s="197">
        <v>220</v>
      </c>
      <c r="E1039" s="197">
        <v>10937.666666666666</v>
      </c>
      <c r="F1039" s="197">
        <v>47.83</v>
      </c>
      <c r="G1039" s="190">
        <v>46002</v>
      </c>
      <c r="H1039" s="196">
        <v>0</v>
      </c>
      <c r="I1039" s="197">
        <v>10522.6</v>
      </c>
      <c r="J1039" s="197">
        <v>10522.6</v>
      </c>
      <c r="K1039" s="197">
        <v>0</v>
      </c>
      <c r="L1039" s="197">
        <v>-415.0666666666657</v>
      </c>
      <c r="M1039" s="260" t="s">
        <v>239</v>
      </c>
      <c r="N1039" s="260" t="s">
        <v>514</v>
      </c>
    </row>
    <row r="1040" spans="1:14" ht="14.5" x14ac:dyDescent="0.35">
      <c r="A1040" s="260" t="s">
        <v>563</v>
      </c>
      <c r="B1040" s="190">
        <v>46002</v>
      </c>
      <c r="C1040" s="260" t="s">
        <v>752</v>
      </c>
      <c r="D1040" s="197">
        <v>30</v>
      </c>
      <c r="E1040" s="197">
        <v>6006</v>
      </c>
      <c r="F1040" s="197">
        <v>169.67</v>
      </c>
      <c r="G1040" s="190">
        <v>46002</v>
      </c>
      <c r="H1040" s="196">
        <v>0</v>
      </c>
      <c r="I1040" s="197">
        <v>5090.0999999999995</v>
      </c>
      <c r="J1040" s="197">
        <v>5090.0999999999995</v>
      </c>
      <c r="K1040" s="197">
        <v>0</v>
      </c>
      <c r="L1040" s="197">
        <v>-915.90000000000055</v>
      </c>
      <c r="M1040" s="260" t="s">
        <v>239</v>
      </c>
      <c r="N1040" s="260" t="s">
        <v>514</v>
      </c>
    </row>
    <row r="1041" spans="1:14" ht="14.5" x14ac:dyDescent="0.35">
      <c r="A1041" s="260" t="s">
        <v>563</v>
      </c>
      <c r="B1041" s="190">
        <v>46002</v>
      </c>
      <c r="C1041" s="260" t="s">
        <v>754</v>
      </c>
      <c r="D1041" s="197">
        <v>0</v>
      </c>
      <c r="E1041" s="197">
        <v>0</v>
      </c>
      <c r="F1041" s="197">
        <v>78.47</v>
      </c>
      <c r="G1041" s="190">
        <v>46002</v>
      </c>
      <c r="H1041" s="196">
        <v>0</v>
      </c>
      <c r="I1041" s="197">
        <v>0</v>
      </c>
      <c r="J1041" s="197">
        <v>0</v>
      </c>
      <c r="K1041" s="197">
        <v>120</v>
      </c>
      <c r="L1041" s="197">
        <v>0</v>
      </c>
      <c r="M1041" s="260" t="s">
        <v>239</v>
      </c>
      <c r="N1041" s="260" t="s">
        <v>514</v>
      </c>
    </row>
    <row r="1042" spans="1:14" ht="14.5" x14ac:dyDescent="0.35">
      <c r="A1042" s="260" t="s">
        <v>563</v>
      </c>
      <c r="B1042" s="190">
        <v>46003</v>
      </c>
      <c r="C1042" s="260" t="s">
        <v>749</v>
      </c>
      <c r="D1042" s="197">
        <v>220</v>
      </c>
      <c r="E1042" s="197">
        <v>10937.666666666666</v>
      </c>
      <c r="F1042" s="197">
        <v>47.82</v>
      </c>
      <c r="G1042" s="190">
        <v>46003</v>
      </c>
      <c r="H1042" s="196">
        <v>0</v>
      </c>
      <c r="I1042" s="197">
        <v>10520.4</v>
      </c>
      <c r="J1042" s="197">
        <v>10520.4</v>
      </c>
      <c r="K1042" s="197">
        <v>0</v>
      </c>
      <c r="L1042" s="197">
        <v>-417.26666666666642</v>
      </c>
      <c r="M1042" s="260" t="s">
        <v>239</v>
      </c>
      <c r="N1042" s="260" t="s">
        <v>514</v>
      </c>
    </row>
    <row r="1043" spans="1:14" ht="14.5" x14ac:dyDescent="0.35">
      <c r="A1043" s="260" t="s">
        <v>563</v>
      </c>
      <c r="B1043" s="190">
        <v>46003</v>
      </c>
      <c r="C1043" s="260" t="s">
        <v>752</v>
      </c>
      <c r="D1043" s="197">
        <v>30</v>
      </c>
      <c r="E1043" s="197">
        <v>6006</v>
      </c>
      <c r="F1043" s="197">
        <v>169.63</v>
      </c>
      <c r="G1043" s="190">
        <v>46003</v>
      </c>
      <c r="H1043" s="196">
        <v>0</v>
      </c>
      <c r="I1043" s="197">
        <v>5088.8999999999996</v>
      </c>
      <c r="J1043" s="197">
        <v>5088.8999999999996</v>
      </c>
      <c r="K1043" s="197">
        <v>0</v>
      </c>
      <c r="L1043" s="197">
        <v>-917.10000000000036</v>
      </c>
      <c r="M1043" s="260" t="s">
        <v>239</v>
      </c>
      <c r="N1043" s="260" t="s">
        <v>514</v>
      </c>
    </row>
    <row r="1044" spans="1:14" ht="14.5" x14ac:dyDescent="0.35">
      <c r="A1044" s="260" t="s">
        <v>563</v>
      </c>
      <c r="B1044" s="190">
        <v>46003</v>
      </c>
      <c r="C1044" s="260" t="s">
        <v>754</v>
      </c>
      <c r="D1044" s="197">
        <v>0</v>
      </c>
      <c r="E1044" s="197">
        <v>0</v>
      </c>
      <c r="F1044" s="197">
        <v>78.430000000000007</v>
      </c>
      <c r="G1044" s="190">
        <v>46003</v>
      </c>
      <c r="H1044" s="196">
        <v>0</v>
      </c>
      <c r="I1044" s="197">
        <v>0</v>
      </c>
      <c r="J1044" s="197">
        <v>0</v>
      </c>
      <c r="K1044" s="197">
        <v>120</v>
      </c>
      <c r="L1044" s="197">
        <v>0</v>
      </c>
      <c r="M1044" s="260" t="s">
        <v>239</v>
      </c>
      <c r="N1044" s="260" t="s">
        <v>514</v>
      </c>
    </row>
    <row r="1045" spans="1:14" ht="14.5" x14ac:dyDescent="0.35">
      <c r="A1045" s="260" t="s">
        <v>563</v>
      </c>
      <c r="B1045" s="190">
        <v>46004</v>
      </c>
      <c r="C1045" s="260" t="s">
        <v>749</v>
      </c>
      <c r="D1045" s="197">
        <v>220</v>
      </c>
      <c r="E1045" s="197">
        <v>10937.666666666666</v>
      </c>
      <c r="F1045" s="197">
        <v>47.82</v>
      </c>
      <c r="G1045" s="190">
        <v>46003</v>
      </c>
      <c r="H1045" s="196">
        <v>1</v>
      </c>
      <c r="I1045" s="197">
        <v>10520.4</v>
      </c>
      <c r="J1045" s="197">
        <v>10520.4</v>
      </c>
      <c r="K1045" s="197">
        <v>0</v>
      </c>
      <c r="L1045" s="197">
        <v>-417.26666666666642</v>
      </c>
      <c r="M1045" s="260" t="s">
        <v>239</v>
      </c>
      <c r="N1045" s="260" t="s">
        <v>514</v>
      </c>
    </row>
    <row r="1046" spans="1:14" ht="14.5" x14ac:dyDescent="0.35">
      <c r="A1046" s="260" t="s">
        <v>563</v>
      </c>
      <c r="B1046" s="190">
        <v>46004</v>
      </c>
      <c r="C1046" s="260" t="s">
        <v>752</v>
      </c>
      <c r="D1046" s="197">
        <v>30</v>
      </c>
      <c r="E1046" s="197">
        <v>6006</v>
      </c>
      <c r="F1046" s="197">
        <v>169.63</v>
      </c>
      <c r="G1046" s="190">
        <v>46003</v>
      </c>
      <c r="H1046" s="196">
        <v>1</v>
      </c>
      <c r="I1046" s="197">
        <v>5088.8999999999996</v>
      </c>
      <c r="J1046" s="197">
        <v>5088.8999999999996</v>
      </c>
      <c r="K1046" s="197">
        <v>0</v>
      </c>
      <c r="L1046" s="197">
        <v>-917.10000000000036</v>
      </c>
      <c r="M1046" s="260" t="s">
        <v>239</v>
      </c>
      <c r="N1046" s="260" t="s">
        <v>514</v>
      </c>
    </row>
    <row r="1047" spans="1:14" ht="14.5" x14ac:dyDescent="0.35">
      <c r="A1047" s="260" t="s">
        <v>563</v>
      </c>
      <c r="B1047" s="190">
        <v>46004</v>
      </c>
      <c r="C1047" s="260" t="s">
        <v>754</v>
      </c>
      <c r="D1047" s="197">
        <v>0</v>
      </c>
      <c r="E1047" s="197">
        <v>0</v>
      </c>
      <c r="F1047" s="197">
        <v>78.430000000000007</v>
      </c>
      <c r="G1047" s="190">
        <v>46003</v>
      </c>
      <c r="H1047" s="196">
        <v>1</v>
      </c>
      <c r="I1047" s="197">
        <v>0</v>
      </c>
      <c r="J1047" s="197">
        <v>0</v>
      </c>
      <c r="K1047" s="197">
        <v>120</v>
      </c>
      <c r="L1047" s="197">
        <v>0</v>
      </c>
      <c r="M1047" s="260" t="s">
        <v>239</v>
      </c>
      <c r="N1047" s="260" t="s">
        <v>514</v>
      </c>
    </row>
    <row r="1048" spans="1:14" ht="14.5" x14ac:dyDescent="0.35">
      <c r="A1048" s="260" t="s">
        <v>563</v>
      </c>
      <c r="B1048" s="190">
        <v>46005</v>
      </c>
      <c r="C1048" s="260" t="s">
        <v>749</v>
      </c>
      <c r="D1048" s="197">
        <v>220</v>
      </c>
      <c r="E1048" s="197">
        <v>10937.666666666666</v>
      </c>
      <c r="F1048" s="197">
        <v>47.82</v>
      </c>
      <c r="G1048" s="190">
        <v>46003</v>
      </c>
      <c r="H1048" s="196">
        <v>2</v>
      </c>
      <c r="I1048" s="197">
        <v>10520.4</v>
      </c>
      <c r="J1048" s="197">
        <v>10520.4</v>
      </c>
      <c r="K1048" s="197">
        <v>0</v>
      </c>
      <c r="L1048" s="197">
        <v>-417.26666666666642</v>
      </c>
      <c r="M1048" s="260" t="s">
        <v>239</v>
      </c>
      <c r="N1048" s="260" t="s">
        <v>514</v>
      </c>
    </row>
    <row r="1049" spans="1:14" ht="14.5" x14ac:dyDescent="0.35">
      <c r="A1049" s="260" t="s">
        <v>563</v>
      </c>
      <c r="B1049" s="190">
        <v>46005</v>
      </c>
      <c r="C1049" s="260" t="s">
        <v>752</v>
      </c>
      <c r="D1049" s="197">
        <v>30</v>
      </c>
      <c r="E1049" s="197">
        <v>6006</v>
      </c>
      <c r="F1049" s="197">
        <v>169.63</v>
      </c>
      <c r="G1049" s="190">
        <v>46003</v>
      </c>
      <c r="H1049" s="196">
        <v>2</v>
      </c>
      <c r="I1049" s="197">
        <v>5088.8999999999996</v>
      </c>
      <c r="J1049" s="197">
        <v>5088.8999999999996</v>
      </c>
      <c r="K1049" s="197">
        <v>0</v>
      </c>
      <c r="L1049" s="197">
        <v>-917.10000000000036</v>
      </c>
      <c r="M1049" s="260" t="s">
        <v>239</v>
      </c>
      <c r="N1049" s="260" t="s">
        <v>514</v>
      </c>
    </row>
    <row r="1050" spans="1:14" ht="14.5" x14ac:dyDescent="0.35">
      <c r="A1050" s="260" t="s">
        <v>563</v>
      </c>
      <c r="B1050" s="190">
        <v>46005</v>
      </c>
      <c r="C1050" s="260" t="s">
        <v>754</v>
      </c>
      <c r="D1050" s="197">
        <v>0</v>
      </c>
      <c r="E1050" s="197">
        <v>0</v>
      </c>
      <c r="F1050" s="197">
        <v>78.430000000000007</v>
      </c>
      <c r="G1050" s="190">
        <v>46003</v>
      </c>
      <c r="H1050" s="196">
        <v>2</v>
      </c>
      <c r="I1050" s="197">
        <v>0</v>
      </c>
      <c r="J1050" s="197">
        <v>0</v>
      </c>
      <c r="K1050" s="197">
        <v>120</v>
      </c>
      <c r="L1050" s="197">
        <v>0</v>
      </c>
      <c r="M1050" s="260" t="s">
        <v>239</v>
      </c>
      <c r="N1050" s="260" t="s">
        <v>514</v>
      </c>
    </row>
    <row r="1051" spans="1:14" ht="14.5" x14ac:dyDescent="0.35">
      <c r="A1051" s="260" t="s">
        <v>563</v>
      </c>
      <c r="B1051" s="190">
        <v>46006</v>
      </c>
      <c r="C1051" s="260" t="s">
        <v>749</v>
      </c>
      <c r="D1051" s="197">
        <v>220</v>
      </c>
      <c r="E1051" s="197">
        <v>10937.666666666666</v>
      </c>
      <c r="F1051" s="197">
        <v>47.77</v>
      </c>
      <c r="G1051" s="190">
        <v>46006</v>
      </c>
      <c r="H1051" s="196">
        <v>0</v>
      </c>
      <c r="I1051" s="197">
        <v>10509.400000000001</v>
      </c>
      <c r="J1051" s="197">
        <v>10509.400000000001</v>
      </c>
      <c r="K1051" s="197">
        <v>0</v>
      </c>
      <c r="L1051" s="197">
        <v>-428.26666666666461</v>
      </c>
      <c r="M1051" s="260" t="s">
        <v>239</v>
      </c>
      <c r="N1051" s="260" t="s">
        <v>514</v>
      </c>
    </row>
    <row r="1052" spans="1:14" ht="14.5" x14ac:dyDescent="0.35">
      <c r="A1052" s="260" t="s">
        <v>563</v>
      </c>
      <c r="B1052" s="190">
        <v>46006</v>
      </c>
      <c r="C1052" s="260" t="s">
        <v>752</v>
      </c>
      <c r="D1052" s="197">
        <v>30</v>
      </c>
      <c r="E1052" s="197">
        <v>6006</v>
      </c>
      <c r="F1052" s="197">
        <v>169.53</v>
      </c>
      <c r="G1052" s="190">
        <v>46006</v>
      </c>
      <c r="H1052" s="196">
        <v>0</v>
      </c>
      <c r="I1052" s="197">
        <v>5085.8999999999996</v>
      </c>
      <c r="J1052" s="197">
        <v>5085.8999999999996</v>
      </c>
      <c r="K1052" s="197">
        <v>0</v>
      </c>
      <c r="L1052" s="197">
        <v>-920.10000000000036</v>
      </c>
      <c r="M1052" s="260" t="s">
        <v>239</v>
      </c>
      <c r="N1052" s="260" t="s">
        <v>514</v>
      </c>
    </row>
    <row r="1053" spans="1:14" ht="14.5" x14ac:dyDescent="0.35">
      <c r="A1053" s="260" t="s">
        <v>563</v>
      </c>
      <c r="B1053" s="190">
        <v>46006</v>
      </c>
      <c r="C1053" s="260" t="s">
        <v>754</v>
      </c>
      <c r="D1053" s="197">
        <v>0</v>
      </c>
      <c r="E1053" s="197">
        <v>0</v>
      </c>
      <c r="F1053" s="197">
        <v>78.33</v>
      </c>
      <c r="G1053" s="190">
        <v>46006</v>
      </c>
      <c r="H1053" s="196">
        <v>0</v>
      </c>
      <c r="I1053" s="197">
        <v>0</v>
      </c>
      <c r="J1053" s="197">
        <v>0</v>
      </c>
      <c r="K1053" s="197">
        <v>0</v>
      </c>
      <c r="L1053" s="197">
        <v>0</v>
      </c>
      <c r="M1053" s="260" t="s">
        <v>239</v>
      </c>
      <c r="N1053" s="260" t="s">
        <v>514</v>
      </c>
    </row>
    <row r="1054" spans="1:14" ht="14.5" x14ac:dyDescent="0.35">
      <c r="A1054" s="260" t="s">
        <v>563</v>
      </c>
      <c r="B1054" s="190">
        <v>46007</v>
      </c>
      <c r="C1054" s="260" t="s">
        <v>749</v>
      </c>
      <c r="D1054" s="197">
        <v>220</v>
      </c>
      <c r="E1054" s="197">
        <v>10937.666666666666</v>
      </c>
      <c r="F1054" s="197">
        <v>47.75</v>
      </c>
      <c r="G1054" s="190">
        <v>46007</v>
      </c>
      <c r="H1054" s="196">
        <v>0</v>
      </c>
      <c r="I1054" s="197">
        <v>10505</v>
      </c>
      <c r="J1054" s="197">
        <v>10505</v>
      </c>
      <c r="K1054" s="197">
        <v>0</v>
      </c>
      <c r="L1054" s="197">
        <v>-432.66666666666606</v>
      </c>
      <c r="M1054" s="260" t="s">
        <v>239</v>
      </c>
      <c r="N1054" s="260" t="s">
        <v>514</v>
      </c>
    </row>
    <row r="1055" spans="1:14" ht="14.5" x14ac:dyDescent="0.35">
      <c r="A1055" s="260" t="s">
        <v>563</v>
      </c>
      <c r="B1055" s="190">
        <v>46007</v>
      </c>
      <c r="C1055" s="260" t="s">
        <v>752</v>
      </c>
      <c r="D1055" s="197">
        <v>30</v>
      </c>
      <c r="E1055" s="197">
        <v>6006</v>
      </c>
      <c r="F1055" s="197">
        <v>169.5</v>
      </c>
      <c r="G1055" s="190">
        <v>46007</v>
      </c>
      <c r="H1055" s="196">
        <v>0</v>
      </c>
      <c r="I1055" s="197">
        <v>5085</v>
      </c>
      <c r="J1055" s="197">
        <v>5085</v>
      </c>
      <c r="K1055" s="197">
        <v>0</v>
      </c>
      <c r="L1055" s="197">
        <v>-921</v>
      </c>
      <c r="M1055" s="260" t="s">
        <v>239</v>
      </c>
      <c r="N1055" s="260" t="s">
        <v>514</v>
      </c>
    </row>
    <row r="1056" spans="1:14" ht="14.5" x14ac:dyDescent="0.35">
      <c r="A1056" s="260" t="s">
        <v>563</v>
      </c>
      <c r="B1056" s="190">
        <v>46007</v>
      </c>
      <c r="C1056" s="260" t="s">
        <v>754</v>
      </c>
      <c r="D1056" s="197">
        <v>0</v>
      </c>
      <c r="E1056" s="197">
        <v>0</v>
      </c>
      <c r="F1056" s="197">
        <v>78.3</v>
      </c>
      <c r="G1056" s="190">
        <v>46007</v>
      </c>
      <c r="H1056" s="196">
        <v>0</v>
      </c>
      <c r="I1056" s="197">
        <v>0</v>
      </c>
      <c r="J1056" s="197">
        <v>0</v>
      </c>
      <c r="K1056" s="197">
        <v>0</v>
      </c>
      <c r="L1056" s="197">
        <v>0</v>
      </c>
      <c r="M1056" s="260" t="s">
        <v>239</v>
      </c>
      <c r="N1056" s="260" t="s">
        <v>514</v>
      </c>
    </row>
    <row r="1057" spans="1:14" ht="14.5" x14ac:dyDescent="0.35">
      <c r="A1057" s="260" t="s">
        <v>563</v>
      </c>
      <c r="B1057" s="190">
        <v>46008</v>
      </c>
      <c r="C1057" s="260" t="s">
        <v>749</v>
      </c>
      <c r="D1057" s="197">
        <v>220</v>
      </c>
      <c r="E1057" s="197">
        <v>10937.666666666666</v>
      </c>
      <c r="F1057" s="197">
        <v>47.73</v>
      </c>
      <c r="G1057" s="190">
        <v>46008</v>
      </c>
      <c r="H1057" s="196">
        <v>0</v>
      </c>
      <c r="I1057" s="197">
        <v>10500.599999999999</v>
      </c>
      <c r="J1057" s="197">
        <v>10500.599999999999</v>
      </c>
      <c r="K1057" s="197">
        <v>0</v>
      </c>
      <c r="L1057" s="197">
        <v>-437.06666666666752</v>
      </c>
      <c r="M1057" s="260" t="s">
        <v>239</v>
      </c>
      <c r="N1057" s="260" t="s">
        <v>514</v>
      </c>
    </row>
    <row r="1058" spans="1:14" ht="14.5" x14ac:dyDescent="0.35">
      <c r="A1058" s="260" t="s">
        <v>563</v>
      </c>
      <c r="B1058" s="190">
        <v>46008</v>
      </c>
      <c r="C1058" s="260" t="s">
        <v>752</v>
      </c>
      <c r="D1058" s="197">
        <v>30</v>
      </c>
      <c r="E1058" s="197">
        <v>6006</v>
      </c>
      <c r="F1058" s="197">
        <v>169.47</v>
      </c>
      <c r="G1058" s="190">
        <v>46008</v>
      </c>
      <c r="H1058" s="196">
        <v>0</v>
      </c>
      <c r="I1058" s="197">
        <v>5084.1000000000004</v>
      </c>
      <c r="J1058" s="197">
        <v>5084.1000000000004</v>
      </c>
      <c r="K1058" s="197">
        <v>0</v>
      </c>
      <c r="L1058" s="197">
        <v>-921.89999999999964</v>
      </c>
      <c r="M1058" s="260" t="s">
        <v>239</v>
      </c>
      <c r="N1058" s="260" t="s">
        <v>514</v>
      </c>
    </row>
    <row r="1059" spans="1:14" ht="14.5" x14ac:dyDescent="0.35">
      <c r="A1059" s="260" t="s">
        <v>563</v>
      </c>
      <c r="B1059" s="190">
        <v>46008</v>
      </c>
      <c r="C1059" s="260" t="s">
        <v>754</v>
      </c>
      <c r="D1059" s="197">
        <v>0</v>
      </c>
      <c r="E1059" s="197">
        <v>0</v>
      </c>
      <c r="F1059" s="197">
        <v>78.27</v>
      </c>
      <c r="G1059" s="190">
        <v>46008</v>
      </c>
      <c r="H1059" s="196">
        <v>0</v>
      </c>
      <c r="I1059" s="197">
        <v>0</v>
      </c>
      <c r="J1059" s="197">
        <v>0</v>
      </c>
      <c r="K1059" s="197">
        <v>0</v>
      </c>
      <c r="L1059" s="197">
        <v>0</v>
      </c>
      <c r="M1059" s="260" t="s">
        <v>239</v>
      </c>
      <c r="N1059" s="260" t="s">
        <v>514</v>
      </c>
    </row>
    <row r="1060" spans="1:14" ht="14.5" x14ac:dyDescent="0.35">
      <c r="A1060" s="260" t="s">
        <v>563</v>
      </c>
      <c r="B1060" s="190">
        <v>46009</v>
      </c>
      <c r="C1060" s="260" t="s">
        <v>749</v>
      </c>
      <c r="D1060" s="197">
        <v>220</v>
      </c>
      <c r="E1060" s="197">
        <v>10937.666666666666</v>
      </c>
      <c r="F1060" s="197">
        <v>47.72</v>
      </c>
      <c r="G1060" s="190">
        <v>46009</v>
      </c>
      <c r="H1060" s="196">
        <v>0</v>
      </c>
      <c r="I1060" s="197">
        <v>10498.4</v>
      </c>
      <c r="J1060" s="197">
        <v>10498.4</v>
      </c>
      <c r="K1060" s="197">
        <v>0</v>
      </c>
      <c r="L1060" s="197">
        <v>-439.26666666666642</v>
      </c>
      <c r="M1060" s="260" t="s">
        <v>239</v>
      </c>
      <c r="N1060" s="260" t="s">
        <v>514</v>
      </c>
    </row>
    <row r="1061" spans="1:14" ht="14.5" x14ac:dyDescent="0.35">
      <c r="A1061" s="260" t="s">
        <v>563</v>
      </c>
      <c r="B1061" s="190">
        <v>46009</v>
      </c>
      <c r="C1061" s="260" t="s">
        <v>752</v>
      </c>
      <c r="D1061" s="197">
        <v>30</v>
      </c>
      <c r="E1061" s="197">
        <v>6006</v>
      </c>
      <c r="F1061" s="197">
        <v>169.43</v>
      </c>
      <c r="G1061" s="190">
        <v>46009</v>
      </c>
      <c r="H1061" s="196">
        <v>0</v>
      </c>
      <c r="I1061" s="197">
        <v>5082.9000000000005</v>
      </c>
      <c r="J1061" s="197">
        <v>5082.9000000000005</v>
      </c>
      <c r="K1061" s="197">
        <v>0</v>
      </c>
      <c r="L1061" s="197">
        <v>-923.09999999999945</v>
      </c>
      <c r="M1061" s="260" t="s">
        <v>239</v>
      </c>
      <c r="N1061" s="260" t="s">
        <v>514</v>
      </c>
    </row>
    <row r="1062" spans="1:14" ht="14.5" x14ac:dyDescent="0.35">
      <c r="A1062" s="260" t="s">
        <v>563</v>
      </c>
      <c r="B1062" s="190">
        <v>46009</v>
      </c>
      <c r="C1062" s="260" t="s">
        <v>754</v>
      </c>
      <c r="D1062" s="197">
        <v>0</v>
      </c>
      <c r="E1062" s="197">
        <v>0</v>
      </c>
      <c r="F1062" s="197">
        <v>78.23</v>
      </c>
      <c r="G1062" s="190">
        <v>46009</v>
      </c>
      <c r="H1062" s="196">
        <v>0</v>
      </c>
      <c r="I1062" s="197">
        <v>0</v>
      </c>
      <c r="J1062" s="197">
        <v>0</v>
      </c>
      <c r="K1062" s="197">
        <v>0</v>
      </c>
      <c r="L1062" s="197">
        <v>0</v>
      </c>
      <c r="M1062" s="260" t="s">
        <v>239</v>
      </c>
      <c r="N1062" s="260" t="s">
        <v>514</v>
      </c>
    </row>
    <row r="1063" spans="1:14" ht="14.5" x14ac:dyDescent="0.35">
      <c r="A1063" s="260" t="s">
        <v>563</v>
      </c>
      <c r="B1063" s="190">
        <v>46010</v>
      </c>
      <c r="C1063" s="260" t="s">
        <v>749</v>
      </c>
      <c r="D1063" s="197">
        <v>220</v>
      </c>
      <c r="E1063" s="197">
        <v>10937.666666666666</v>
      </c>
      <c r="F1063" s="197">
        <v>47.7</v>
      </c>
      <c r="G1063" s="190">
        <v>46010</v>
      </c>
      <c r="H1063" s="196">
        <v>0</v>
      </c>
      <c r="I1063" s="197">
        <v>10494</v>
      </c>
      <c r="J1063" s="197">
        <v>10494</v>
      </c>
      <c r="K1063" s="197">
        <v>0</v>
      </c>
      <c r="L1063" s="197">
        <v>-443.66666666666606</v>
      </c>
      <c r="M1063" s="260" t="s">
        <v>239</v>
      </c>
      <c r="N1063" s="260" t="s">
        <v>514</v>
      </c>
    </row>
    <row r="1064" spans="1:14" ht="14.5" x14ac:dyDescent="0.35">
      <c r="A1064" s="260" t="s">
        <v>563</v>
      </c>
      <c r="B1064" s="190">
        <v>46010</v>
      </c>
      <c r="C1064" s="260" t="s">
        <v>752</v>
      </c>
      <c r="D1064" s="197">
        <v>30</v>
      </c>
      <c r="E1064" s="197">
        <v>6006</v>
      </c>
      <c r="F1064" s="197">
        <v>169.4</v>
      </c>
      <c r="G1064" s="190">
        <v>46010</v>
      </c>
      <c r="H1064" s="196">
        <v>0</v>
      </c>
      <c r="I1064" s="197">
        <v>5082</v>
      </c>
      <c r="J1064" s="197">
        <v>5082</v>
      </c>
      <c r="K1064" s="197">
        <v>0</v>
      </c>
      <c r="L1064" s="197">
        <v>-924</v>
      </c>
      <c r="M1064" s="260" t="s">
        <v>239</v>
      </c>
      <c r="N1064" s="260" t="s">
        <v>514</v>
      </c>
    </row>
    <row r="1065" spans="1:14" ht="14.5" x14ac:dyDescent="0.35">
      <c r="A1065" s="260" t="s">
        <v>563</v>
      </c>
      <c r="B1065" s="190">
        <v>46010</v>
      </c>
      <c r="C1065" s="260" t="s">
        <v>754</v>
      </c>
      <c r="D1065" s="197">
        <v>0</v>
      </c>
      <c r="E1065" s="197">
        <v>0</v>
      </c>
      <c r="F1065" s="197">
        <v>78.2</v>
      </c>
      <c r="G1065" s="190">
        <v>46010</v>
      </c>
      <c r="H1065" s="196">
        <v>0</v>
      </c>
      <c r="I1065" s="197">
        <v>0</v>
      </c>
      <c r="J1065" s="197">
        <v>0</v>
      </c>
      <c r="K1065" s="197">
        <v>0</v>
      </c>
      <c r="L1065" s="197">
        <v>0</v>
      </c>
      <c r="M1065" s="260" t="s">
        <v>239</v>
      </c>
      <c r="N1065" s="260" t="s">
        <v>514</v>
      </c>
    </row>
    <row r="1066" spans="1:14" ht="14.5" x14ac:dyDescent="0.35">
      <c r="A1066" s="260" t="s">
        <v>563</v>
      </c>
      <c r="B1066" s="190">
        <v>46011</v>
      </c>
      <c r="C1066" s="260" t="s">
        <v>749</v>
      </c>
      <c r="D1066" s="197">
        <v>220</v>
      </c>
      <c r="E1066" s="197">
        <v>10937.666666666666</v>
      </c>
      <c r="F1066" s="197">
        <v>47.7</v>
      </c>
      <c r="G1066" s="190">
        <v>46010</v>
      </c>
      <c r="H1066" s="196">
        <v>1</v>
      </c>
      <c r="I1066" s="197">
        <v>10494</v>
      </c>
      <c r="J1066" s="197">
        <v>10494</v>
      </c>
      <c r="K1066" s="197">
        <v>0</v>
      </c>
      <c r="L1066" s="197">
        <v>-443.66666666666606</v>
      </c>
      <c r="M1066" s="260" t="s">
        <v>239</v>
      </c>
      <c r="N1066" s="260" t="s">
        <v>514</v>
      </c>
    </row>
    <row r="1067" spans="1:14" ht="14.5" x14ac:dyDescent="0.35">
      <c r="A1067" s="260" t="s">
        <v>563</v>
      </c>
      <c r="B1067" s="190">
        <v>46011</v>
      </c>
      <c r="C1067" s="260" t="s">
        <v>752</v>
      </c>
      <c r="D1067" s="197">
        <v>30</v>
      </c>
      <c r="E1067" s="197">
        <v>6006</v>
      </c>
      <c r="F1067" s="197">
        <v>169.4</v>
      </c>
      <c r="G1067" s="190">
        <v>46010</v>
      </c>
      <c r="H1067" s="196">
        <v>1</v>
      </c>
      <c r="I1067" s="197">
        <v>5082</v>
      </c>
      <c r="J1067" s="197">
        <v>5082</v>
      </c>
      <c r="K1067" s="197">
        <v>0</v>
      </c>
      <c r="L1067" s="197">
        <v>-924</v>
      </c>
      <c r="M1067" s="260" t="s">
        <v>239</v>
      </c>
      <c r="N1067" s="260" t="s">
        <v>514</v>
      </c>
    </row>
    <row r="1068" spans="1:14" ht="14.5" x14ac:dyDescent="0.35">
      <c r="A1068" s="260" t="s">
        <v>563</v>
      </c>
      <c r="B1068" s="190">
        <v>46011</v>
      </c>
      <c r="C1068" s="260" t="s">
        <v>754</v>
      </c>
      <c r="D1068" s="197">
        <v>0</v>
      </c>
      <c r="E1068" s="197">
        <v>0</v>
      </c>
      <c r="F1068" s="197">
        <v>78.2</v>
      </c>
      <c r="G1068" s="190">
        <v>46010</v>
      </c>
      <c r="H1068" s="196">
        <v>1</v>
      </c>
      <c r="I1068" s="197">
        <v>0</v>
      </c>
      <c r="J1068" s="197">
        <v>0</v>
      </c>
      <c r="K1068" s="197">
        <v>0</v>
      </c>
      <c r="L1068" s="197">
        <v>0</v>
      </c>
      <c r="M1068" s="260" t="s">
        <v>239</v>
      </c>
      <c r="N1068" s="260" t="s">
        <v>514</v>
      </c>
    </row>
    <row r="1069" spans="1:14" ht="14.5" x14ac:dyDescent="0.35">
      <c r="A1069" s="260" t="s">
        <v>563</v>
      </c>
      <c r="B1069" s="190">
        <v>46012</v>
      </c>
      <c r="C1069" s="260" t="s">
        <v>749</v>
      </c>
      <c r="D1069" s="197">
        <v>220</v>
      </c>
      <c r="E1069" s="197">
        <v>10937.666666666666</v>
      </c>
      <c r="F1069" s="197">
        <v>47.7</v>
      </c>
      <c r="G1069" s="190">
        <v>46010</v>
      </c>
      <c r="H1069" s="196">
        <v>2</v>
      </c>
      <c r="I1069" s="197">
        <v>10494</v>
      </c>
      <c r="J1069" s="197">
        <v>10494</v>
      </c>
      <c r="K1069" s="197">
        <v>0</v>
      </c>
      <c r="L1069" s="197">
        <v>-443.66666666666606</v>
      </c>
      <c r="M1069" s="260" t="s">
        <v>239</v>
      </c>
      <c r="N1069" s="260" t="s">
        <v>514</v>
      </c>
    </row>
    <row r="1070" spans="1:14" ht="14.5" x14ac:dyDescent="0.35">
      <c r="A1070" s="260" t="s">
        <v>563</v>
      </c>
      <c r="B1070" s="190">
        <v>46012</v>
      </c>
      <c r="C1070" s="260" t="s">
        <v>752</v>
      </c>
      <c r="D1070" s="197">
        <v>30</v>
      </c>
      <c r="E1070" s="197">
        <v>6006</v>
      </c>
      <c r="F1070" s="197">
        <v>169.4</v>
      </c>
      <c r="G1070" s="190">
        <v>46010</v>
      </c>
      <c r="H1070" s="196">
        <v>2</v>
      </c>
      <c r="I1070" s="197">
        <v>5082</v>
      </c>
      <c r="J1070" s="197">
        <v>5082</v>
      </c>
      <c r="K1070" s="197">
        <v>0</v>
      </c>
      <c r="L1070" s="197">
        <v>-924</v>
      </c>
      <c r="M1070" s="260" t="s">
        <v>239</v>
      </c>
      <c r="N1070" s="260" t="s">
        <v>514</v>
      </c>
    </row>
    <row r="1071" spans="1:14" ht="14.5" x14ac:dyDescent="0.35">
      <c r="A1071" s="260" t="s">
        <v>563</v>
      </c>
      <c r="B1071" s="190">
        <v>46012</v>
      </c>
      <c r="C1071" s="260" t="s">
        <v>754</v>
      </c>
      <c r="D1071" s="197">
        <v>0</v>
      </c>
      <c r="E1071" s="197">
        <v>0</v>
      </c>
      <c r="F1071" s="197">
        <v>78.2</v>
      </c>
      <c r="G1071" s="190">
        <v>46010</v>
      </c>
      <c r="H1071" s="196">
        <v>2</v>
      </c>
      <c r="I1071" s="197">
        <v>0</v>
      </c>
      <c r="J1071" s="197">
        <v>0</v>
      </c>
      <c r="K1071" s="197">
        <v>0</v>
      </c>
      <c r="L1071" s="197">
        <v>0</v>
      </c>
      <c r="M1071" s="260" t="s">
        <v>239</v>
      </c>
      <c r="N1071" s="260" t="s">
        <v>514</v>
      </c>
    </row>
    <row r="1072" spans="1:14" ht="14.5" x14ac:dyDescent="0.35">
      <c r="A1072" s="260" t="s">
        <v>563</v>
      </c>
      <c r="B1072" s="190">
        <v>46013</v>
      </c>
      <c r="C1072" s="260" t="s">
        <v>749</v>
      </c>
      <c r="D1072" s="197">
        <v>220</v>
      </c>
      <c r="E1072" s="197">
        <v>10937.666666666666</v>
      </c>
      <c r="F1072" s="197">
        <v>47.65</v>
      </c>
      <c r="G1072" s="190">
        <v>46013</v>
      </c>
      <c r="H1072" s="196">
        <v>0</v>
      </c>
      <c r="I1072" s="197">
        <v>10483</v>
      </c>
      <c r="J1072" s="197">
        <v>10483</v>
      </c>
      <c r="K1072" s="197">
        <v>0</v>
      </c>
      <c r="L1072" s="197">
        <v>-454.66666666666606</v>
      </c>
      <c r="M1072" s="260" t="s">
        <v>239</v>
      </c>
      <c r="N1072" s="260" t="s">
        <v>514</v>
      </c>
    </row>
    <row r="1073" spans="1:14" ht="14.5" x14ac:dyDescent="0.35">
      <c r="A1073" s="260" t="s">
        <v>563</v>
      </c>
      <c r="B1073" s="190">
        <v>46013</v>
      </c>
      <c r="C1073" s="260" t="s">
        <v>752</v>
      </c>
      <c r="D1073" s="197">
        <v>30</v>
      </c>
      <c r="E1073" s="197">
        <v>6006</v>
      </c>
      <c r="F1073" s="197">
        <v>169.3</v>
      </c>
      <c r="G1073" s="190">
        <v>46013</v>
      </c>
      <c r="H1073" s="196">
        <v>0</v>
      </c>
      <c r="I1073" s="197">
        <v>5079</v>
      </c>
      <c r="J1073" s="197">
        <v>5079</v>
      </c>
      <c r="K1073" s="197">
        <v>0</v>
      </c>
      <c r="L1073" s="197">
        <v>-927</v>
      </c>
      <c r="M1073" s="260" t="s">
        <v>239</v>
      </c>
      <c r="N1073" s="260" t="s">
        <v>514</v>
      </c>
    </row>
    <row r="1074" spans="1:14" ht="14.5" x14ac:dyDescent="0.35">
      <c r="A1074" s="260" t="s">
        <v>563</v>
      </c>
      <c r="B1074" s="190">
        <v>46013</v>
      </c>
      <c r="C1074" s="260" t="s">
        <v>754</v>
      </c>
      <c r="D1074" s="197">
        <v>0</v>
      </c>
      <c r="E1074" s="197">
        <v>0</v>
      </c>
      <c r="F1074" s="197">
        <v>78.099999999999994</v>
      </c>
      <c r="G1074" s="190">
        <v>46013</v>
      </c>
      <c r="H1074" s="196">
        <v>0</v>
      </c>
      <c r="I1074" s="197">
        <v>0</v>
      </c>
      <c r="J1074" s="197">
        <v>0</v>
      </c>
      <c r="K1074" s="197">
        <v>0</v>
      </c>
      <c r="L1074" s="197">
        <v>0</v>
      </c>
      <c r="M1074" s="260" t="s">
        <v>239</v>
      </c>
      <c r="N1074" s="260" t="s">
        <v>514</v>
      </c>
    </row>
    <row r="1075" spans="1:14" ht="14.5" x14ac:dyDescent="0.35">
      <c r="A1075" s="260" t="s">
        <v>563</v>
      </c>
      <c r="B1075" s="190">
        <v>46014</v>
      </c>
      <c r="C1075" s="260" t="s">
        <v>749</v>
      </c>
      <c r="D1075" s="197">
        <v>220</v>
      </c>
      <c r="E1075" s="197">
        <v>10937.666666666666</v>
      </c>
      <c r="F1075" s="197">
        <v>47.63</v>
      </c>
      <c r="G1075" s="190">
        <v>46014</v>
      </c>
      <c r="H1075" s="196">
        <v>0</v>
      </c>
      <c r="I1075" s="197">
        <v>10478.6</v>
      </c>
      <c r="J1075" s="197">
        <v>10478.6</v>
      </c>
      <c r="K1075" s="197">
        <v>0</v>
      </c>
      <c r="L1075" s="197">
        <v>-459.0666666666657</v>
      </c>
      <c r="M1075" s="260" t="s">
        <v>239</v>
      </c>
      <c r="N1075" s="260" t="s">
        <v>514</v>
      </c>
    </row>
    <row r="1076" spans="1:14" ht="14.5" x14ac:dyDescent="0.35">
      <c r="A1076" s="260" t="s">
        <v>563</v>
      </c>
      <c r="B1076" s="190">
        <v>46014</v>
      </c>
      <c r="C1076" s="260" t="s">
        <v>752</v>
      </c>
      <c r="D1076" s="197">
        <v>30</v>
      </c>
      <c r="E1076" s="197">
        <v>6006</v>
      </c>
      <c r="F1076" s="197">
        <v>169.27</v>
      </c>
      <c r="G1076" s="190">
        <v>46014</v>
      </c>
      <c r="H1076" s="196">
        <v>0</v>
      </c>
      <c r="I1076" s="197">
        <v>5078.1000000000004</v>
      </c>
      <c r="J1076" s="197">
        <v>5078.1000000000004</v>
      </c>
      <c r="K1076" s="197">
        <v>0</v>
      </c>
      <c r="L1076" s="197">
        <v>-927.89999999999964</v>
      </c>
      <c r="M1076" s="260" t="s">
        <v>239</v>
      </c>
      <c r="N1076" s="260" t="s">
        <v>514</v>
      </c>
    </row>
    <row r="1077" spans="1:14" ht="14.5" x14ac:dyDescent="0.35">
      <c r="A1077" s="260" t="s">
        <v>563</v>
      </c>
      <c r="B1077" s="190">
        <v>46014</v>
      </c>
      <c r="C1077" s="260" t="s">
        <v>754</v>
      </c>
      <c r="D1077" s="197">
        <v>0</v>
      </c>
      <c r="E1077" s="197">
        <v>0</v>
      </c>
      <c r="F1077" s="197">
        <v>78.069999999999993</v>
      </c>
      <c r="G1077" s="190">
        <v>46014</v>
      </c>
      <c r="H1077" s="196">
        <v>0</v>
      </c>
      <c r="I1077" s="197">
        <v>0</v>
      </c>
      <c r="J1077" s="197">
        <v>0</v>
      </c>
      <c r="K1077" s="197">
        <v>0</v>
      </c>
      <c r="L1077" s="197">
        <v>0</v>
      </c>
      <c r="M1077" s="260" t="s">
        <v>239</v>
      </c>
      <c r="N1077" s="260" t="s">
        <v>514</v>
      </c>
    </row>
    <row r="1078" spans="1:14" ht="14.5" x14ac:dyDescent="0.35">
      <c r="A1078" s="260" t="s">
        <v>563</v>
      </c>
      <c r="B1078" s="190">
        <v>46015</v>
      </c>
      <c r="C1078" s="260" t="s">
        <v>749</v>
      </c>
      <c r="D1078" s="197">
        <v>220</v>
      </c>
      <c r="E1078" s="197">
        <v>10937.666666666666</v>
      </c>
      <c r="F1078" s="197">
        <v>47.62</v>
      </c>
      <c r="G1078" s="190">
        <v>46015</v>
      </c>
      <c r="H1078" s="196">
        <v>0</v>
      </c>
      <c r="I1078" s="197">
        <v>10476.4</v>
      </c>
      <c r="J1078" s="197">
        <v>10476.4</v>
      </c>
      <c r="K1078" s="197">
        <v>0</v>
      </c>
      <c r="L1078" s="197">
        <v>-461.26666666666642</v>
      </c>
      <c r="M1078" s="260" t="s">
        <v>239</v>
      </c>
      <c r="N1078" s="260" t="s">
        <v>514</v>
      </c>
    </row>
    <row r="1079" spans="1:14" ht="14.5" x14ac:dyDescent="0.35">
      <c r="A1079" s="260" t="s">
        <v>563</v>
      </c>
      <c r="B1079" s="190">
        <v>46015</v>
      </c>
      <c r="C1079" s="260" t="s">
        <v>752</v>
      </c>
      <c r="D1079" s="197">
        <v>30</v>
      </c>
      <c r="E1079" s="197">
        <v>6006</v>
      </c>
      <c r="F1079" s="197">
        <v>169.23</v>
      </c>
      <c r="G1079" s="190">
        <v>46015</v>
      </c>
      <c r="H1079" s="196">
        <v>0</v>
      </c>
      <c r="I1079" s="197">
        <v>5076.8999999999996</v>
      </c>
      <c r="J1079" s="197">
        <v>5076.8999999999996</v>
      </c>
      <c r="K1079" s="197">
        <v>0</v>
      </c>
      <c r="L1079" s="197">
        <v>-929.10000000000036</v>
      </c>
      <c r="M1079" s="260" t="s">
        <v>239</v>
      </c>
      <c r="N1079" s="260" t="s">
        <v>514</v>
      </c>
    </row>
    <row r="1080" spans="1:14" ht="14.5" x14ac:dyDescent="0.35">
      <c r="A1080" s="260" t="s">
        <v>563</v>
      </c>
      <c r="B1080" s="190">
        <v>46015</v>
      </c>
      <c r="C1080" s="260" t="s">
        <v>754</v>
      </c>
      <c r="D1080" s="197">
        <v>0</v>
      </c>
      <c r="E1080" s="197">
        <v>0</v>
      </c>
      <c r="F1080" s="197">
        <v>78.03</v>
      </c>
      <c r="G1080" s="190">
        <v>46015</v>
      </c>
      <c r="H1080" s="196">
        <v>0</v>
      </c>
      <c r="I1080" s="197">
        <v>0</v>
      </c>
      <c r="J1080" s="197">
        <v>0</v>
      </c>
      <c r="K1080" s="197">
        <v>0</v>
      </c>
      <c r="L1080" s="197">
        <v>0</v>
      </c>
      <c r="M1080" s="260" t="s">
        <v>239</v>
      </c>
      <c r="N1080" s="260" t="s">
        <v>514</v>
      </c>
    </row>
    <row r="1081" spans="1:14" ht="14.5" x14ac:dyDescent="0.35">
      <c r="A1081" s="260" t="s">
        <v>563</v>
      </c>
      <c r="B1081" s="190">
        <v>46016</v>
      </c>
      <c r="C1081" s="260" t="s">
        <v>749</v>
      </c>
      <c r="D1081" s="197">
        <v>220</v>
      </c>
      <c r="E1081" s="197">
        <v>10937.666666666666</v>
      </c>
      <c r="F1081" s="197">
        <v>47.6</v>
      </c>
      <c r="G1081" s="190">
        <v>46016</v>
      </c>
      <c r="H1081" s="196">
        <v>0</v>
      </c>
      <c r="I1081" s="197">
        <v>10472</v>
      </c>
      <c r="J1081" s="197">
        <v>10472</v>
      </c>
      <c r="K1081" s="197">
        <v>0</v>
      </c>
      <c r="L1081" s="197">
        <v>-465.66666666666606</v>
      </c>
      <c r="M1081" s="260" t="s">
        <v>239</v>
      </c>
      <c r="N1081" s="260" t="s">
        <v>514</v>
      </c>
    </row>
    <row r="1082" spans="1:14" ht="14.5" x14ac:dyDescent="0.35">
      <c r="A1082" s="260" t="s">
        <v>563</v>
      </c>
      <c r="B1082" s="190">
        <v>46016</v>
      </c>
      <c r="C1082" s="260" t="s">
        <v>752</v>
      </c>
      <c r="D1082" s="197">
        <v>30</v>
      </c>
      <c r="E1082" s="197">
        <v>6006</v>
      </c>
      <c r="F1082" s="197">
        <v>169.2</v>
      </c>
      <c r="G1082" s="190">
        <v>46016</v>
      </c>
      <c r="H1082" s="196">
        <v>0</v>
      </c>
      <c r="I1082" s="197">
        <v>5076</v>
      </c>
      <c r="J1082" s="197">
        <v>5076</v>
      </c>
      <c r="K1082" s="197">
        <v>0</v>
      </c>
      <c r="L1082" s="197">
        <v>-930</v>
      </c>
      <c r="M1082" s="260" t="s">
        <v>239</v>
      </c>
      <c r="N1082" s="260" t="s">
        <v>514</v>
      </c>
    </row>
    <row r="1083" spans="1:14" ht="14.5" x14ac:dyDescent="0.35">
      <c r="A1083" s="260" t="s">
        <v>563</v>
      </c>
      <c r="B1083" s="190">
        <v>46016</v>
      </c>
      <c r="C1083" s="260" t="s">
        <v>754</v>
      </c>
      <c r="D1083" s="197">
        <v>0</v>
      </c>
      <c r="E1083" s="197">
        <v>0</v>
      </c>
      <c r="F1083" s="197">
        <v>78</v>
      </c>
      <c r="G1083" s="190">
        <v>46016</v>
      </c>
      <c r="H1083" s="196">
        <v>0</v>
      </c>
      <c r="I1083" s="197">
        <v>0</v>
      </c>
      <c r="J1083" s="197">
        <v>0</v>
      </c>
      <c r="K1083" s="197">
        <v>0</v>
      </c>
      <c r="L1083" s="197">
        <v>0</v>
      </c>
      <c r="M1083" s="260" t="s">
        <v>239</v>
      </c>
      <c r="N1083" s="260" t="s">
        <v>514</v>
      </c>
    </row>
    <row r="1084" spans="1:14" ht="14.5" x14ac:dyDescent="0.35">
      <c r="A1084" s="260" t="s">
        <v>563</v>
      </c>
      <c r="B1084" s="190">
        <v>46017</v>
      </c>
      <c r="C1084" s="260" t="s">
        <v>749</v>
      </c>
      <c r="D1084" s="197">
        <v>220</v>
      </c>
      <c r="E1084" s="197">
        <v>10937.666666666666</v>
      </c>
      <c r="F1084" s="197">
        <v>47.58</v>
      </c>
      <c r="G1084" s="190">
        <v>46017</v>
      </c>
      <c r="H1084" s="196">
        <v>0</v>
      </c>
      <c r="I1084" s="197">
        <v>10467.6</v>
      </c>
      <c r="J1084" s="197">
        <v>10467.6</v>
      </c>
      <c r="K1084" s="197">
        <v>0</v>
      </c>
      <c r="L1084" s="197">
        <v>-470.0666666666657</v>
      </c>
      <c r="M1084" s="260" t="s">
        <v>239</v>
      </c>
      <c r="N1084" s="260" t="s">
        <v>514</v>
      </c>
    </row>
    <row r="1085" spans="1:14" ht="14.5" x14ac:dyDescent="0.35">
      <c r="A1085" s="260" t="s">
        <v>563</v>
      </c>
      <c r="B1085" s="190">
        <v>46017</v>
      </c>
      <c r="C1085" s="260" t="s">
        <v>752</v>
      </c>
      <c r="D1085" s="197">
        <v>30</v>
      </c>
      <c r="E1085" s="197">
        <v>6006</v>
      </c>
      <c r="F1085" s="197">
        <v>169.17</v>
      </c>
      <c r="G1085" s="190">
        <v>46017</v>
      </c>
      <c r="H1085" s="196">
        <v>0</v>
      </c>
      <c r="I1085" s="197">
        <v>5075.0999999999995</v>
      </c>
      <c r="J1085" s="197">
        <v>5075.0999999999995</v>
      </c>
      <c r="K1085" s="197">
        <v>0</v>
      </c>
      <c r="L1085" s="197">
        <v>-930.90000000000055</v>
      </c>
      <c r="M1085" s="260" t="s">
        <v>239</v>
      </c>
      <c r="N1085" s="260" t="s">
        <v>514</v>
      </c>
    </row>
    <row r="1086" spans="1:14" ht="14.5" x14ac:dyDescent="0.35">
      <c r="A1086" s="260" t="s">
        <v>563</v>
      </c>
      <c r="B1086" s="190">
        <v>46017</v>
      </c>
      <c r="C1086" s="260" t="s">
        <v>754</v>
      </c>
      <c r="D1086" s="197">
        <v>0</v>
      </c>
      <c r="E1086" s="197">
        <v>0</v>
      </c>
      <c r="F1086" s="197">
        <v>77.97</v>
      </c>
      <c r="G1086" s="190">
        <v>46017</v>
      </c>
      <c r="H1086" s="196">
        <v>0</v>
      </c>
      <c r="I1086" s="197">
        <v>0</v>
      </c>
      <c r="J1086" s="197">
        <v>0</v>
      </c>
      <c r="K1086" s="197">
        <v>0</v>
      </c>
      <c r="L1086" s="197">
        <v>0</v>
      </c>
      <c r="M1086" s="260" t="s">
        <v>239</v>
      </c>
      <c r="N1086" s="260" t="s">
        <v>514</v>
      </c>
    </row>
    <row r="1087" spans="1:14" ht="14.5" x14ac:dyDescent="0.35">
      <c r="A1087" s="260" t="s">
        <v>563</v>
      </c>
      <c r="B1087" s="190">
        <v>46018</v>
      </c>
      <c r="C1087" s="260" t="s">
        <v>749</v>
      </c>
      <c r="D1087" s="197">
        <v>220</v>
      </c>
      <c r="E1087" s="197">
        <v>10937.666666666666</v>
      </c>
      <c r="F1087" s="197">
        <v>47.58</v>
      </c>
      <c r="G1087" s="190">
        <v>46017</v>
      </c>
      <c r="H1087" s="196">
        <v>1</v>
      </c>
      <c r="I1087" s="197">
        <v>10467.6</v>
      </c>
      <c r="J1087" s="197">
        <v>10467.6</v>
      </c>
      <c r="K1087" s="197">
        <v>0</v>
      </c>
      <c r="L1087" s="197">
        <v>-470.0666666666657</v>
      </c>
      <c r="M1087" s="260" t="s">
        <v>239</v>
      </c>
      <c r="N1087" s="260" t="s">
        <v>514</v>
      </c>
    </row>
    <row r="1088" spans="1:14" ht="14.5" x14ac:dyDescent="0.35">
      <c r="A1088" s="260" t="s">
        <v>563</v>
      </c>
      <c r="B1088" s="190">
        <v>46018</v>
      </c>
      <c r="C1088" s="260" t="s">
        <v>752</v>
      </c>
      <c r="D1088" s="197">
        <v>30</v>
      </c>
      <c r="E1088" s="197">
        <v>6006</v>
      </c>
      <c r="F1088" s="197">
        <v>169.17</v>
      </c>
      <c r="G1088" s="190">
        <v>46017</v>
      </c>
      <c r="H1088" s="196">
        <v>1</v>
      </c>
      <c r="I1088" s="197">
        <v>5075.0999999999995</v>
      </c>
      <c r="J1088" s="197">
        <v>5075.0999999999995</v>
      </c>
      <c r="K1088" s="197">
        <v>0</v>
      </c>
      <c r="L1088" s="197">
        <v>-930.90000000000055</v>
      </c>
      <c r="M1088" s="260" t="s">
        <v>239</v>
      </c>
      <c r="N1088" s="260" t="s">
        <v>514</v>
      </c>
    </row>
    <row r="1089" spans="1:14" ht="14.5" x14ac:dyDescent="0.35">
      <c r="A1089" s="260" t="s">
        <v>563</v>
      </c>
      <c r="B1089" s="190">
        <v>46018</v>
      </c>
      <c r="C1089" s="260" t="s">
        <v>754</v>
      </c>
      <c r="D1089" s="197">
        <v>0</v>
      </c>
      <c r="E1089" s="197">
        <v>0</v>
      </c>
      <c r="F1089" s="197">
        <v>77.97</v>
      </c>
      <c r="G1089" s="190">
        <v>46017</v>
      </c>
      <c r="H1089" s="196">
        <v>1</v>
      </c>
      <c r="I1089" s="197">
        <v>0</v>
      </c>
      <c r="J1089" s="197">
        <v>0</v>
      </c>
      <c r="K1089" s="197">
        <v>0</v>
      </c>
      <c r="L1089" s="197">
        <v>0</v>
      </c>
      <c r="M1089" s="260" t="s">
        <v>239</v>
      </c>
      <c r="N1089" s="260" t="s">
        <v>514</v>
      </c>
    </row>
    <row r="1090" spans="1:14" ht="14.5" x14ac:dyDescent="0.35">
      <c r="A1090" s="260" t="s">
        <v>563</v>
      </c>
      <c r="B1090" s="190">
        <v>46019</v>
      </c>
      <c r="C1090" s="260" t="s">
        <v>749</v>
      </c>
      <c r="D1090" s="197">
        <v>220</v>
      </c>
      <c r="E1090" s="197">
        <v>10937.666666666666</v>
      </c>
      <c r="F1090" s="197">
        <v>47.58</v>
      </c>
      <c r="G1090" s="190">
        <v>46017</v>
      </c>
      <c r="H1090" s="196">
        <v>2</v>
      </c>
      <c r="I1090" s="197">
        <v>10467.6</v>
      </c>
      <c r="J1090" s="197">
        <v>10467.6</v>
      </c>
      <c r="K1090" s="197">
        <v>0</v>
      </c>
      <c r="L1090" s="197">
        <v>-470.0666666666657</v>
      </c>
      <c r="M1090" s="260" t="s">
        <v>239</v>
      </c>
      <c r="N1090" s="260" t="s">
        <v>514</v>
      </c>
    </row>
    <row r="1091" spans="1:14" ht="14.5" x14ac:dyDescent="0.35">
      <c r="A1091" s="260" t="s">
        <v>563</v>
      </c>
      <c r="B1091" s="190">
        <v>46019</v>
      </c>
      <c r="C1091" s="260" t="s">
        <v>752</v>
      </c>
      <c r="D1091" s="197">
        <v>30</v>
      </c>
      <c r="E1091" s="197">
        <v>6006</v>
      </c>
      <c r="F1091" s="197">
        <v>169.17</v>
      </c>
      <c r="G1091" s="190">
        <v>46017</v>
      </c>
      <c r="H1091" s="196">
        <v>2</v>
      </c>
      <c r="I1091" s="197">
        <v>5075.0999999999995</v>
      </c>
      <c r="J1091" s="197">
        <v>5075.0999999999995</v>
      </c>
      <c r="K1091" s="197">
        <v>0</v>
      </c>
      <c r="L1091" s="197">
        <v>-930.90000000000055</v>
      </c>
      <c r="M1091" s="260" t="s">
        <v>239</v>
      </c>
      <c r="N1091" s="260" t="s">
        <v>514</v>
      </c>
    </row>
    <row r="1092" spans="1:14" ht="14.5" x14ac:dyDescent="0.35">
      <c r="A1092" s="260" t="s">
        <v>563</v>
      </c>
      <c r="B1092" s="190">
        <v>46019</v>
      </c>
      <c r="C1092" s="260" t="s">
        <v>754</v>
      </c>
      <c r="D1092" s="197">
        <v>0</v>
      </c>
      <c r="E1092" s="197">
        <v>0</v>
      </c>
      <c r="F1092" s="197">
        <v>77.97</v>
      </c>
      <c r="G1092" s="190">
        <v>46017</v>
      </c>
      <c r="H1092" s="196">
        <v>2</v>
      </c>
      <c r="I1092" s="197">
        <v>0</v>
      </c>
      <c r="J1092" s="197">
        <v>0</v>
      </c>
      <c r="K1092" s="197">
        <v>0</v>
      </c>
      <c r="L1092" s="197">
        <v>0</v>
      </c>
      <c r="M1092" s="260" t="s">
        <v>239</v>
      </c>
      <c r="N1092" s="260" t="s">
        <v>514</v>
      </c>
    </row>
    <row r="1093" spans="1:14" ht="14.5" x14ac:dyDescent="0.35">
      <c r="A1093" s="260" t="s">
        <v>563</v>
      </c>
      <c r="B1093" s="190">
        <v>46020</v>
      </c>
      <c r="C1093" s="260" t="s">
        <v>749</v>
      </c>
      <c r="D1093" s="197">
        <v>220</v>
      </c>
      <c r="E1093" s="197">
        <v>10937.666666666666</v>
      </c>
      <c r="F1093" s="197">
        <v>47.53</v>
      </c>
      <c r="G1093" s="190">
        <v>46020</v>
      </c>
      <c r="H1093" s="196">
        <v>0</v>
      </c>
      <c r="I1093" s="197">
        <v>10456.6</v>
      </c>
      <c r="J1093" s="197">
        <v>10456.6</v>
      </c>
      <c r="K1093" s="197">
        <v>0</v>
      </c>
      <c r="L1093" s="197">
        <v>-481.0666666666657</v>
      </c>
      <c r="M1093" s="260" t="s">
        <v>239</v>
      </c>
      <c r="N1093" s="260" t="s">
        <v>514</v>
      </c>
    </row>
    <row r="1094" spans="1:14" ht="14.5" x14ac:dyDescent="0.35">
      <c r="A1094" s="260" t="s">
        <v>563</v>
      </c>
      <c r="B1094" s="190">
        <v>46020</v>
      </c>
      <c r="C1094" s="260" t="s">
        <v>752</v>
      </c>
      <c r="D1094" s="197">
        <v>30</v>
      </c>
      <c r="E1094" s="197">
        <v>6006</v>
      </c>
      <c r="F1094" s="197">
        <v>169.07</v>
      </c>
      <c r="G1094" s="190">
        <v>46020</v>
      </c>
      <c r="H1094" s="196">
        <v>0</v>
      </c>
      <c r="I1094" s="197">
        <v>5072.0999999999995</v>
      </c>
      <c r="J1094" s="197">
        <v>5072.0999999999995</v>
      </c>
      <c r="K1094" s="197">
        <v>0</v>
      </c>
      <c r="L1094" s="197">
        <v>-933.90000000000055</v>
      </c>
      <c r="M1094" s="260" t="s">
        <v>239</v>
      </c>
      <c r="N1094" s="260" t="s">
        <v>514</v>
      </c>
    </row>
    <row r="1095" spans="1:14" ht="14.5" x14ac:dyDescent="0.35">
      <c r="A1095" s="260" t="s">
        <v>563</v>
      </c>
      <c r="B1095" s="190">
        <v>46020</v>
      </c>
      <c r="C1095" s="260" t="s">
        <v>754</v>
      </c>
      <c r="D1095" s="197">
        <v>0</v>
      </c>
      <c r="E1095" s="197">
        <v>0</v>
      </c>
      <c r="F1095" s="197">
        <v>77.87</v>
      </c>
      <c r="G1095" s="190">
        <v>46020</v>
      </c>
      <c r="H1095" s="196">
        <v>0</v>
      </c>
      <c r="I1095" s="197">
        <v>0</v>
      </c>
      <c r="J1095" s="197">
        <v>0</v>
      </c>
      <c r="K1095" s="197">
        <v>0</v>
      </c>
      <c r="L1095" s="197">
        <v>0</v>
      </c>
      <c r="M1095" s="260" t="s">
        <v>239</v>
      </c>
      <c r="N1095" s="260" t="s">
        <v>514</v>
      </c>
    </row>
    <row r="1096" spans="1:14" ht="14.5" x14ac:dyDescent="0.35">
      <c r="A1096" s="260" t="s">
        <v>563</v>
      </c>
      <c r="B1096" s="190">
        <v>46021</v>
      </c>
      <c r="C1096" s="260" t="s">
        <v>749</v>
      </c>
      <c r="D1096" s="197">
        <v>220</v>
      </c>
      <c r="E1096" s="197">
        <v>10937.666666666666</v>
      </c>
      <c r="F1096" s="197">
        <v>47.52</v>
      </c>
      <c r="G1096" s="190">
        <v>46021</v>
      </c>
      <c r="H1096" s="196">
        <v>0</v>
      </c>
      <c r="I1096" s="197">
        <v>10454.400000000001</v>
      </c>
      <c r="J1096" s="197">
        <v>10454.400000000001</v>
      </c>
      <c r="K1096" s="197">
        <v>0</v>
      </c>
      <c r="L1096" s="197">
        <v>-483.26666666666461</v>
      </c>
      <c r="M1096" s="260" t="s">
        <v>239</v>
      </c>
      <c r="N1096" s="260" t="s">
        <v>514</v>
      </c>
    </row>
    <row r="1097" spans="1:14" ht="14.5" x14ac:dyDescent="0.35">
      <c r="A1097" s="260" t="s">
        <v>563</v>
      </c>
      <c r="B1097" s="190">
        <v>46021</v>
      </c>
      <c r="C1097" s="260" t="s">
        <v>752</v>
      </c>
      <c r="D1097" s="197">
        <v>30</v>
      </c>
      <c r="E1097" s="197">
        <v>6006</v>
      </c>
      <c r="F1097" s="197">
        <v>169.03</v>
      </c>
      <c r="G1097" s="190">
        <v>46021</v>
      </c>
      <c r="H1097" s="196">
        <v>0</v>
      </c>
      <c r="I1097" s="197">
        <v>5070.8999999999996</v>
      </c>
      <c r="J1097" s="197">
        <v>5070.8999999999996</v>
      </c>
      <c r="K1097" s="197">
        <v>0</v>
      </c>
      <c r="L1097" s="197">
        <v>-935.10000000000036</v>
      </c>
      <c r="M1097" s="260" t="s">
        <v>239</v>
      </c>
      <c r="N1097" s="260" t="s">
        <v>514</v>
      </c>
    </row>
    <row r="1098" spans="1:14" ht="14.5" x14ac:dyDescent="0.35">
      <c r="A1098" s="260" t="s">
        <v>563</v>
      </c>
      <c r="B1098" s="190">
        <v>46021</v>
      </c>
      <c r="C1098" s="260" t="s">
        <v>754</v>
      </c>
      <c r="D1098" s="197">
        <v>0</v>
      </c>
      <c r="E1098" s="197">
        <v>0</v>
      </c>
      <c r="F1098" s="197">
        <v>77.83</v>
      </c>
      <c r="G1098" s="190">
        <v>46021</v>
      </c>
      <c r="H1098" s="196">
        <v>0</v>
      </c>
      <c r="I1098" s="197">
        <v>0</v>
      </c>
      <c r="J1098" s="197">
        <v>0</v>
      </c>
      <c r="K1098" s="197">
        <v>0</v>
      </c>
      <c r="L1098" s="197">
        <v>0</v>
      </c>
      <c r="M1098" s="260" t="s">
        <v>239</v>
      </c>
      <c r="N1098" s="260" t="s">
        <v>514</v>
      </c>
    </row>
    <row r="1099" spans="1:14" ht="14.5" x14ac:dyDescent="0.35">
      <c r="A1099" s="260" t="s">
        <v>563</v>
      </c>
      <c r="B1099" s="190">
        <v>46022</v>
      </c>
      <c r="C1099" s="260" t="s">
        <v>749</v>
      </c>
      <c r="D1099" s="197">
        <v>220</v>
      </c>
      <c r="E1099" s="197">
        <v>10937.666666666666</v>
      </c>
      <c r="F1099" s="197">
        <v>47.5</v>
      </c>
      <c r="G1099" s="190">
        <v>46022</v>
      </c>
      <c r="H1099" s="196">
        <v>0</v>
      </c>
      <c r="I1099" s="197">
        <v>10450</v>
      </c>
      <c r="J1099" s="197">
        <v>10450</v>
      </c>
      <c r="K1099" s="197">
        <v>0</v>
      </c>
      <c r="L1099" s="197">
        <v>-487.66666666666606</v>
      </c>
      <c r="M1099" s="260" t="s">
        <v>239</v>
      </c>
      <c r="N1099" s="260" t="s">
        <v>514</v>
      </c>
    </row>
    <row r="1100" spans="1:14" ht="14.5" x14ac:dyDescent="0.35">
      <c r="A1100" s="260" t="s">
        <v>563</v>
      </c>
      <c r="B1100" s="190">
        <v>46022</v>
      </c>
      <c r="C1100" s="260" t="s">
        <v>752</v>
      </c>
      <c r="D1100" s="197">
        <v>30</v>
      </c>
      <c r="E1100" s="197">
        <v>6006</v>
      </c>
      <c r="F1100" s="197">
        <v>169</v>
      </c>
      <c r="G1100" s="190">
        <v>46022</v>
      </c>
      <c r="H1100" s="196">
        <v>0</v>
      </c>
      <c r="I1100" s="197">
        <v>5070</v>
      </c>
      <c r="J1100" s="197">
        <v>5070</v>
      </c>
      <c r="K1100" s="197">
        <v>0</v>
      </c>
      <c r="L1100" s="197">
        <v>-936</v>
      </c>
      <c r="M1100" s="260" t="s">
        <v>239</v>
      </c>
      <c r="N1100" s="260" t="s">
        <v>514</v>
      </c>
    </row>
    <row r="1101" spans="1:14" ht="14.5" x14ac:dyDescent="0.35">
      <c r="A1101" s="260" t="s">
        <v>563</v>
      </c>
      <c r="B1101" s="190">
        <v>46022</v>
      </c>
      <c r="C1101" s="260" t="s">
        <v>754</v>
      </c>
      <c r="D1101" s="197">
        <v>0</v>
      </c>
      <c r="E1101" s="197">
        <v>0</v>
      </c>
      <c r="F1101" s="197">
        <v>77.8</v>
      </c>
      <c r="G1101" s="190">
        <v>46022</v>
      </c>
      <c r="H1101" s="196">
        <v>0</v>
      </c>
      <c r="I1101" s="197">
        <v>0</v>
      </c>
      <c r="J1101" s="197">
        <v>0</v>
      </c>
      <c r="K1101" s="197">
        <v>0</v>
      </c>
      <c r="L1101" s="197">
        <v>0</v>
      </c>
      <c r="M1101" s="260" t="s">
        <v>239</v>
      </c>
      <c r="N1101" s="260" t="s">
        <v>514</v>
      </c>
    </row>
    <row r="1102" spans="1:14" ht="14.5" x14ac:dyDescent="0.35">
      <c r="A1102" s="260" t="s">
        <v>565</v>
      </c>
      <c r="B1102" s="190">
        <v>45658</v>
      </c>
      <c r="C1102" s="260" t="s">
        <v>749</v>
      </c>
      <c r="D1102" s="197">
        <v>0</v>
      </c>
      <c r="E1102" s="197">
        <v>0</v>
      </c>
      <c r="F1102" s="197">
        <v>100</v>
      </c>
      <c r="G1102" s="190">
        <v>45658</v>
      </c>
      <c r="H1102" s="196">
        <v>0</v>
      </c>
      <c r="I1102" s="197">
        <v>0</v>
      </c>
      <c r="J1102" s="197">
        <v>0</v>
      </c>
      <c r="K1102" s="197">
        <v>0</v>
      </c>
      <c r="L1102" s="197">
        <v>0</v>
      </c>
      <c r="M1102" s="260" t="s">
        <v>239</v>
      </c>
      <c r="N1102" s="260" t="s">
        <v>514</v>
      </c>
    </row>
    <row r="1103" spans="1:14" ht="14.5" x14ac:dyDescent="0.35">
      <c r="A1103" s="260" t="s">
        <v>565</v>
      </c>
      <c r="B1103" s="190">
        <v>45658</v>
      </c>
      <c r="C1103" s="260" t="s">
        <v>752</v>
      </c>
      <c r="D1103" s="197">
        <v>0</v>
      </c>
      <c r="E1103" s="197">
        <v>0</v>
      </c>
      <c r="F1103" s="197">
        <v>200</v>
      </c>
      <c r="G1103" s="190">
        <v>45658</v>
      </c>
      <c r="H1103" s="196">
        <v>0</v>
      </c>
      <c r="I1103" s="197">
        <v>0</v>
      </c>
      <c r="J1103" s="197">
        <v>0</v>
      </c>
      <c r="K1103" s="197">
        <v>0</v>
      </c>
      <c r="L1103" s="197">
        <v>0</v>
      </c>
      <c r="M1103" s="260" t="s">
        <v>239</v>
      </c>
      <c r="N1103" s="260" t="s">
        <v>514</v>
      </c>
    </row>
    <row r="1104" spans="1:14" ht="14.5" x14ac:dyDescent="0.35">
      <c r="A1104" s="260" t="s">
        <v>565</v>
      </c>
      <c r="B1104" s="190">
        <v>45658</v>
      </c>
      <c r="C1104" s="260" t="s">
        <v>754</v>
      </c>
      <c r="D1104" s="197">
        <v>0</v>
      </c>
      <c r="E1104" s="197">
        <v>0</v>
      </c>
      <c r="F1104" s="197">
        <v>80</v>
      </c>
      <c r="G1104" s="190">
        <v>45658</v>
      </c>
      <c r="H1104" s="196">
        <v>0</v>
      </c>
      <c r="I1104" s="197">
        <v>0</v>
      </c>
      <c r="J1104" s="197">
        <v>0</v>
      </c>
      <c r="K1104" s="197">
        <v>0</v>
      </c>
      <c r="L1104" s="197">
        <v>0</v>
      </c>
      <c r="M1104" s="260" t="s">
        <v>239</v>
      </c>
      <c r="N1104" s="260" t="s">
        <v>514</v>
      </c>
    </row>
    <row r="1105" spans="1:14" ht="14.5" x14ac:dyDescent="0.35">
      <c r="A1105" s="260" t="s">
        <v>565</v>
      </c>
      <c r="B1105" s="190">
        <v>45659</v>
      </c>
      <c r="C1105" s="260" t="s">
        <v>749</v>
      </c>
      <c r="D1105" s="197">
        <v>80</v>
      </c>
      <c r="E1105" s="197">
        <v>8008</v>
      </c>
      <c r="F1105" s="197">
        <v>100.07</v>
      </c>
      <c r="G1105" s="190">
        <v>45659</v>
      </c>
      <c r="H1105" s="196">
        <v>0</v>
      </c>
      <c r="I1105" s="197">
        <v>8005.5999999999995</v>
      </c>
      <c r="J1105" s="197">
        <v>8005.5999999999995</v>
      </c>
      <c r="K1105" s="197">
        <v>0</v>
      </c>
      <c r="L1105" s="197">
        <v>-2.4000000000005457</v>
      </c>
      <c r="M1105" s="260" t="s">
        <v>239</v>
      </c>
      <c r="N1105" s="260" t="s">
        <v>514</v>
      </c>
    </row>
    <row r="1106" spans="1:14" ht="14.5" x14ac:dyDescent="0.35">
      <c r="A1106" s="260" t="s">
        <v>565</v>
      </c>
      <c r="B1106" s="190">
        <v>45659</v>
      </c>
      <c r="C1106" s="260" t="s">
        <v>752</v>
      </c>
      <c r="D1106" s="197">
        <v>100</v>
      </c>
      <c r="E1106" s="197">
        <v>20020</v>
      </c>
      <c r="F1106" s="197">
        <v>199.83</v>
      </c>
      <c r="G1106" s="190">
        <v>45659</v>
      </c>
      <c r="H1106" s="196">
        <v>0</v>
      </c>
      <c r="I1106" s="197">
        <v>19983</v>
      </c>
      <c r="J1106" s="197">
        <v>19983</v>
      </c>
      <c r="K1106" s="197">
        <v>0</v>
      </c>
      <c r="L1106" s="197">
        <v>-37</v>
      </c>
      <c r="M1106" s="260" t="s">
        <v>239</v>
      </c>
      <c r="N1106" s="260" t="s">
        <v>514</v>
      </c>
    </row>
    <row r="1107" spans="1:14" ht="14.5" x14ac:dyDescent="0.35">
      <c r="A1107" s="260" t="s">
        <v>565</v>
      </c>
      <c r="B1107" s="190">
        <v>45659</v>
      </c>
      <c r="C1107" s="260" t="s">
        <v>754</v>
      </c>
      <c r="D1107" s="197">
        <v>0</v>
      </c>
      <c r="E1107" s="197">
        <v>0</v>
      </c>
      <c r="F1107" s="197">
        <v>80.069999999999993</v>
      </c>
      <c r="G1107" s="190">
        <v>45659</v>
      </c>
      <c r="H1107" s="196">
        <v>0</v>
      </c>
      <c r="I1107" s="197">
        <v>0</v>
      </c>
      <c r="J1107" s="197">
        <v>0</v>
      </c>
      <c r="K1107" s="197">
        <v>0</v>
      </c>
      <c r="L1107" s="197">
        <v>0</v>
      </c>
      <c r="M1107" s="260" t="s">
        <v>239</v>
      </c>
      <c r="N1107" s="260" t="s">
        <v>514</v>
      </c>
    </row>
    <row r="1108" spans="1:14" ht="14.5" x14ac:dyDescent="0.35">
      <c r="A1108" s="260" t="s">
        <v>565</v>
      </c>
      <c r="B1108" s="190">
        <v>45660</v>
      </c>
      <c r="C1108" s="260" t="s">
        <v>749</v>
      </c>
      <c r="D1108" s="197">
        <v>80</v>
      </c>
      <c r="E1108" s="197">
        <v>8008</v>
      </c>
      <c r="F1108" s="197">
        <v>100.13</v>
      </c>
      <c r="G1108" s="190">
        <v>45660</v>
      </c>
      <c r="H1108" s="196">
        <v>0</v>
      </c>
      <c r="I1108" s="197">
        <v>8010.4</v>
      </c>
      <c r="J1108" s="197">
        <v>8010.4</v>
      </c>
      <c r="K1108" s="197">
        <v>0</v>
      </c>
      <c r="L1108" s="197">
        <v>2.3999999999996362</v>
      </c>
      <c r="M1108" s="260" t="s">
        <v>239</v>
      </c>
      <c r="N1108" s="260" t="s">
        <v>514</v>
      </c>
    </row>
    <row r="1109" spans="1:14" ht="14.5" x14ac:dyDescent="0.35">
      <c r="A1109" s="260" t="s">
        <v>565</v>
      </c>
      <c r="B1109" s="190">
        <v>45660</v>
      </c>
      <c r="C1109" s="260" t="s">
        <v>752</v>
      </c>
      <c r="D1109" s="197">
        <v>100</v>
      </c>
      <c r="E1109" s="197">
        <v>20020</v>
      </c>
      <c r="F1109" s="197">
        <v>199.67</v>
      </c>
      <c r="G1109" s="190">
        <v>45660</v>
      </c>
      <c r="H1109" s="196">
        <v>0</v>
      </c>
      <c r="I1109" s="197">
        <v>19967</v>
      </c>
      <c r="J1109" s="197">
        <v>19967</v>
      </c>
      <c r="K1109" s="197">
        <v>0</v>
      </c>
      <c r="L1109" s="197">
        <v>-53</v>
      </c>
      <c r="M1109" s="260" t="s">
        <v>239</v>
      </c>
      <c r="N1109" s="260" t="s">
        <v>514</v>
      </c>
    </row>
    <row r="1110" spans="1:14" ht="14.5" x14ac:dyDescent="0.35">
      <c r="A1110" s="260" t="s">
        <v>565</v>
      </c>
      <c r="B1110" s="190">
        <v>45660</v>
      </c>
      <c r="C1110" s="260" t="s">
        <v>754</v>
      </c>
      <c r="D1110" s="197">
        <v>0</v>
      </c>
      <c r="E1110" s="197">
        <v>0</v>
      </c>
      <c r="F1110" s="197">
        <v>80.13</v>
      </c>
      <c r="G1110" s="190">
        <v>45660</v>
      </c>
      <c r="H1110" s="196">
        <v>0</v>
      </c>
      <c r="I1110" s="197">
        <v>0</v>
      </c>
      <c r="J1110" s="197">
        <v>0</v>
      </c>
      <c r="K1110" s="197">
        <v>0</v>
      </c>
      <c r="L1110" s="197">
        <v>0</v>
      </c>
      <c r="M1110" s="260" t="s">
        <v>239</v>
      </c>
      <c r="N1110" s="260" t="s">
        <v>514</v>
      </c>
    </row>
    <row r="1111" spans="1:14" ht="14.5" x14ac:dyDescent="0.35">
      <c r="A1111" s="260" t="s">
        <v>565</v>
      </c>
      <c r="B1111" s="190">
        <v>45661</v>
      </c>
      <c r="C1111" s="260" t="s">
        <v>749</v>
      </c>
      <c r="D1111" s="197">
        <v>80</v>
      </c>
      <c r="E1111" s="197">
        <v>8008</v>
      </c>
      <c r="F1111" s="197">
        <v>100.13</v>
      </c>
      <c r="G1111" s="190">
        <v>45660</v>
      </c>
      <c r="H1111" s="196">
        <v>1</v>
      </c>
      <c r="I1111" s="197">
        <v>8010.4</v>
      </c>
      <c r="J1111" s="197">
        <v>8010.4</v>
      </c>
      <c r="K1111" s="197">
        <v>0</v>
      </c>
      <c r="L1111" s="197">
        <v>2.3999999999996362</v>
      </c>
      <c r="M1111" s="260" t="s">
        <v>239</v>
      </c>
      <c r="N1111" s="260" t="s">
        <v>514</v>
      </c>
    </row>
    <row r="1112" spans="1:14" ht="14.5" x14ac:dyDescent="0.35">
      <c r="A1112" s="260" t="s">
        <v>565</v>
      </c>
      <c r="B1112" s="190">
        <v>45661</v>
      </c>
      <c r="C1112" s="260" t="s">
        <v>752</v>
      </c>
      <c r="D1112" s="197">
        <v>100</v>
      </c>
      <c r="E1112" s="197">
        <v>20020</v>
      </c>
      <c r="F1112" s="197">
        <v>199.67</v>
      </c>
      <c r="G1112" s="190">
        <v>45660</v>
      </c>
      <c r="H1112" s="196">
        <v>1</v>
      </c>
      <c r="I1112" s="197">
        <v>19967</v>
      </c>
      <c r="J1112" s="197">
        <v>19967</v>
      </c>
      <c r="K1112" s="197">
        <v>0</v>
      </c>
      <c r="L1112" s="197">
        <v>-53</v>
      </c>
      <c r="M1112" s="260" t="s">
        <v>239</v>
      </c>
      <c r="N1112" s="260" t="s">
        <v>514</v>
      </c>
    </row>
    <row r="1113" spans="1:14" ht="14.5" x14ac:dyDescent="0.35">
      <c r="A1113" s="260" t="s">
        <v>565</v>
      </c>
      <c r="B1113" s="190">
        <v>45661</v>
      </c>
      <c r="C1113" s="260" t="s">
        <v>754</v>
      </c>
      <c r="D1113" s="197">
        <v>0</v>
      </c>
      <c r="E1113" s="197">
        <v>0</v>
      </c>
      <c r="F1113" s="197">
        <v>80.13</v>
      </c>
      <c r="G1113" s="190">
        <v>45660</v>
      </c>
      <c r="H1113" s="196">
        <v>1</v>
      </c>
      <c r="I1113" s="197">
        <v>0</v>
      </c>
      <c r="J1113" s="197">
        <v>0</v>
      </c>
      <c r="K1113" s="197">
        <v>0</v>
      </c>
      <c r="L1113" s="197">
        <v>0</v>
      </c>
      <c r="M1113" s="260" t="s">
        <v>239</v>
      </c>
      <c r="N1113" s="260" t="s">
        <v>514</v>
      </c>
    </row>
    <row r="1114" spans="1:14" ht="14.5" x14ac:dyDescent="0.35">
      <c r="A1114" s="260" t="s">
        <v>565</v>
      </c>
      <c r="B1114" s="190">
        <v>45662</v>
      </c>
      <c r="C1114" s="260" t="s">
        <v>749</v>
      </c>
      <c r="D1114" s="197">
        <v>80</v>
      </c>
      <c r="E1114" s="197">
        <v>8008</v>
      </c>
      <c r="F1114" s="197">
        <v>100.13</v>
      </c>
      <c r="G1114" s="190">
        <v>45660</v>
      </c>
      <c r="H1114" s="196">
        <v>2</v>
      </c>
      <c r="I1114" s="197">
        <v>8010.4</v>
      </c>
      <c r="J1114" s="197">
        <v>8010.4</v>
      </c>
      <c r="K1114" s="197">
        <v>0</v>
      </c>
      <c r="L1114" s="197">
        <v>2.3999999999996362</v>
      </c>
      <c r="M1114" s="260" t="s">
        <v>239</v>
      </c>
      <c r="N1114" s="260" t="s">
        <v>514</v>
      </c>
    </row>
    <row r="1115" spans="1:14" ht="14.5" x14ac:dyDescent="0.35">
      <c r="A1115" s="260" t="s">
        <v>565</v>
      </c>
      <c r="B1115" s="190">
        <v>45662</v>
      </c>
      <c r="C1115" s="260" t="s">
        <v>752</v>
      </c>
      <c r="D1115" s="197">
        <v>100</v>
      </c>
      <c r="E1115" s="197">
        <v>20020</v>
      </c>
      <c r="F1115" s="197">
        <v>199.67</v>
      </c>
      <c r="G1115" s="190">
        <v>45660</v>
      </c>
      <c r="H1115" s="196">
        <v>2</v>
      </c>
      <c r="I1115" s="197">
        <v>19967</v>
      </c>
      <c r="J1115" s="197">
        <v>19967</v>
      </c>
      <c r="K1115" s="197">
        <v>0</v>
      </c>
      <c r="L1115" s="197">
        <v>-53</v>
      </c>
      <c r="M1115" s="260" t="s">
        <v>239</v>
      </c>
      <c r="N1115" s="260" t="s">
        <v>514</v>
      </c>
    </row>
    <row r="1116" spans="1:14" ht="14.5" x14ac:dyDescent="0.35">
      <c r="A1116" s="260" t="s">
        <v>565</v>
      </c>
      <c r="B1116" s="190">
        <v>45662</v>
      </c>
      <c r="C1116" s="260" t="s">
        <v>754</v>
      </c>
      <c r="D1116" s="197">
        <v>0</v>
      </c>
      <c r="E1116" s="197">
        <v>0</v>
      </c>
      <c r="F1116" s="197">
        <v>80.13</v>
      </c>
      <c r="G1116" s="190">
        <v>45660</v>
      </c>
      <c r="H1116" s="196">
        <v>2</v>
      </c>
      <c r="I1116" s="197">
        <v>0</v>
      </c>
      <c r="J1116" s="197">
        <v>0</v>
      </c>
      <c r="K1116" s="197">
        <v>0</v>
      </c>
      <c r="L1116" s="197">
        <v>0</v>
      </c>
      <c r="M1116" s="260" t="s">
        <v>239</v>
      </c>
      <c r="N1116" s="260" t="s">
        <v>514</v>
      </c>
    </row>
    <row r="1117" spans="1:14" ht="14.5" x14ac:dyDescent="0.35">
      <c r="A1117" s="260" t="s">
        <v>565</v>
      </c>
      <c r="B1117" s="190">
        <v>45663</v>
      </c>
      <c r="C1117" s="260" t="s">
        <v>749</v>
      </c>
      <c r="D1117" s="197">
        <v>80</v>
      </c>
      <c r="E1117" s="197">
        <v>8008</v>
      </c>
      <c r="F1117" s="197">
        <v>100.33</v>
      </c>
      <c r="G1117" s="190">
        <v>45663</v>
      </c>
      <c r="H1117" s="196">
        <v>0</v>
      </c>
      <c r="I1117" s="197">
        <v>8026.4</v>
      </c>
      <c r="J1117" s="197">
        <v>8026.4</v>
      </c>
      <c r="K1117" s="197">
        <v>0</v>
      </c>
      <c r="L1117" s="197">
        <v>18.399999999999636</v>
      </c>
      <c r="M1117" s="260" t="s">
        <v>239</v>
      </c>
      <c r="N1117" s="260" t="s">
        <v>514</v>
      </c>
    </row>
    <row r="1118" spans="1:14" ht="14.5" x14ac:dyDescent="0.35">
      <c r="A1118" s="260" t="s">
        <v>565</v>
      </c>
      <c r="B1118" s="190">
        <v>45663</v>
      </c>
      <c r="C1118" s="260" t="s">
        <v>752</v>
      </c>
      <c r="D1118" s="197">
        <v>100</v>
      </c>
      <c r="E1118" s="197">
        <v>20020</v>
      </c>
      <c r="F1118" s="197">
        <v>199.17</v>
      </c>
      <c r="G1118" s="190">
        <v>45663</v>
      </c>
      <c r="H1118" s="196">
        <v>0</v>
      </c>
      <c r="I1118" s="197">
        <v>19917</v>
      </c>
      <c r="J1118" s="197">
        <v>19917</v>
      </c>
      <c r="K1118" s="197">
        <v>0</v>
      </c>
      <c r="L1118" s="197">
        <v>-103</v>
      </c>
      <c r="M1118" s="260" t="s">
        <v>239</v>
      </c>
      <c r="N1118" s="260" t="s">
        <v>514</v>
      </c>
    </row>
    <row r="1119" spans="1:14" ht="14.5" x14ac:dyDescent="0.35">
      <c r="A1119" s="260" t="s">
        <v>565</v>
      </c>
      <c r="B1119" s="190">
        <v>45663</v>
      </c>
      <c r="C1119" s="260" t="s">
        <v>754</v>
      </c>
      <c r="D1119" s="197">
        <v>0</v>
      </c>
      <c r="E1119" s="197">
        <v>0</v>
      </c>
      <c r="F1119" s="197">
        <v>80.33</v>
      </c>
      <c r="G1119" s="190">
        <v>45663</v>
      </c>
      <c r="H1119" s="196">
        <v>0</v>
      </c>
      <c r="I1119" s="197">
        <v>0</v>
      </c>
      <c r="J1119" s="197">
        <v>0</v>
      </c>
      <c r="K1119" s="197">
        <v>0</v>
      </c>
      <c r="L1119" s="197">
        <v>0</v>
      </c>
      <c r="M1119" s="260" t="s">
        <v>239</v>
      </c>
      <c r="N1119" s="260" t="s">
        <v>514</v>
      </c>
    </row>
    <row r="1120" spans="1:14" ht="14.5" x14ac:dyDescent="0.35">
      <c r="A1120" s="260" t="s">
        <v>565</v>
      </c>
      <c r="B1120" s="190">
        <v>45664</v>
      </c>
      <c r="C1120" s="260" t="s">
        <v>749</v>
      </c>
      <c r="D1120" s="197">
        <v>80</v>
      </c>
      <c r="E1120" s="197">
        <v>8008</v>
      </c>
      <c r="F1120" s="197">
        <v>100.4</v>
      </c>
      <c r="G1120" s="190">
        <v>45664</v>
      </c>
      <c r="H1120" s="196">
        <v>0</v>
      </c>
      <c r="I1120" s="197">
        <v>8032</v>
      </c>
      <c r="J1120" s="197">
        <v>8032</v>
      </c>
      <c r="K1120" s="197">
        <v>0</v>
      </c>
      <c r="L1120" s="197">
        <v>24</v>
      </c>
      <c r="M1120" s="260" t="s">
        <v>239</v>
      </c>
      <c r="N1120" s="260" t="s">
        <v>514</v>
      </c>
    </row>
    <row r="1121" spans="1:14" ht="14.5" x14ac:dyDescent="0.35">
      <c r="A1121" s="260" t="s">
        <v>565</v>
      </c>
      <c r="B1121" s="190">
        <v>45664</v>
      </c>
      <c r="C1121" s="260" t="s">
        <v>752</v>
      </c>
      <c r="D1121" s="197">
        <v>100</v>
      </c>
      <c r="E1121" s="197">
        <v>20020</v>
      </c>
      <c r="F1121" s="197">
        <v>199</v>
      </c>
      <c r="G1121" s="190">
        <v>45664</v>
      </c>
      <c r="H1121" s="196">
        <v>0</v>
      </c>
      <c r="I1121" s="197">
        <v>19900</v>
      </c>
      <c r="J1121" s="197">
        <v>19900</v>
      </c>
      <c r="K1121" s="197">
        <v>0</v>
      </c>
      <c r="L1121" s="197">
        <v>-120</v>
      </c>
      <c r="M1121" s="260" t="s">
        <v>239</v>
      </c>
      <c r="N1121" s="260" t="s">
        <v>514</v>
      </c>
    </row>
    <row r="1122" spans="1:14" ht="14.5" x14ac:dyDescent="0.35">
      <c r="A1122" s="260" t="s">
        <v>565</v>
      </c>
      <c r="B1122" s="190">
        <v>45664</v>
      </c>
      <c r="C1122" s="260" t="s">
        <v>754</v>
      </c>
      <c r="D1122" s="197">
        <v>0</v>
      </c>
      <c r="E1122" s="197">
        <v>0</v>
      </c>
      <c r="F1122" s="197">
        <v>80.400000000000006</v>
      </c>
      <c r="G1122" s="190">
        <v>45664</v>
      </c>
      <c r="H1122" s="196">
        <v>0</v>
      </c>
      <c r="I1122" s="197">
        <v>0</v>
      </c>
      <c r="J1122" s="197">
        <v>0</v>
      </c>
      <c r="K1122" s="197">
        <v>0</v>
      </c>
      <c r="L1122" s="197">
        <v>0</v>
      </c>
      <c r="M1122" s="260" t="s">
        <v>239</v>
      </c>
      <c r="N1122" s="260" t="s">
        <v>514</v>
      </c>
    </row>
    <row r="1123" spans="1:14" ht="14.5" x14ac:dyDescent="0.35">
      <c r="A1123" s="260" t="s">
        <v>565</v>
      </c>
      <c r="B1123" s="190">
        <v>45665</v>
      </c>
      <c r="C1123" s="260" t="s">
        <v>749</v>
      </c>
      <c r="D1123" s="197">
        <v>80</v>
      </c>
      <c r="E1123" s="197">
        <v>8008</v>
      </c>
      <c r="F1123" s="197">
        <v>100.47</v>
      </c>
      <c r="G1123" s="190">
        <v>45665</v>
      </c>
      <c r="H1123" s="196">
        <v>0</v>
      </c>
      <c r="I1123" s="197">
        <v>8037.6</v>
      </c>
      <c r="J1123" s="197">
        <v>8037.6</v>
      </c>
      <c r="K1123" s="197">
        <v>0</v>
      </c>
      <c r="L1123" s="197">
        <v>29.600000000000364</v>
      </c>
      <c r="M1123" s="260" t="s">
        <v>239</v>
      </c>
      <c r="N1123" s="260" t="s">
        <v>514</v>
      </c>
    </row>
    <row r="1124" spans="1:14" ht="14.5" x14ac:dyDescent="0.35">
      <c r="A1124" s="260" t="s">
        <v>565</v>
      </c>
      <c r="B1124" s="190">
        <v>45665</v>
      </c>
      <c r="C1124" s="260" t="s">
        <v>752</v>
      </c>
      <c r="D1124" s="197">
        <v>100</v>
      </c>
      <c r="E1124" s="197">
        <v>20020</v>
      </c>
      <c r="F1124" s="197">
        <v>198.83</v>
      </c>
      <c r="G1124" s="190">
        <v>45665</v>
      </c>
      <c r="H1124" s="196">
        <v>0</v>
      </c>
      <c r="I1124" s="197">
        <v>19883</v>
      </c>
      <c r="J1124" s="197">
        <v>19883</v>
      </c>
      <c r="K1124" s="197">
        <v>0</v>
      </c>
      <c r="L1124" s="197">
        <v>-137</v>
      </c>
      <c r="M1124" s="260" t="s">
        <v>239</v>
      </c>
      <c r="N1124" s="260" t="s">
        <v>514</v>
      </c>
    </row>
    <row r="1125" spans="1:14" ht="14.5" x14ac:dyDescent="0.35">
      <c r="A1125" s="260" t="s">
        <v>565</v>
      </c>
      <c r="B1125" s="190">
        <v>45665</v>
      </c>
      <c r="C1125" s="260" t="s">
        <v>754</v>
      </c>
      <c r="D1125" s="197">
        <v>0</v>
      </c>
      <c r="E1125" s="197">
        <v>0</v>
      </c>
      <c r="F1125" s="197">
        <v>80.47</v>
      </c>
      <c r="G1125" s="190">
        <v>45665</v>
      </c>
      <c r="H1125" s="196">
        <v>0</v>
      </c>
      <c r="I1125" s="197">
        <v>0</v>
      </c>
      <c r="J1125" s="197">
        <v>0</v>
      </c>
      <c r="K1125" s="197">
        <v>0</v>
      </c>
      <c r="L1125" s="197">
        <v>0</v>
      </c>
      <c r="M1125" s="260" t="s">
        <v>239</v>
      </c>
      <c r="N1125" s="260" t="s">
        <v>514</v>
      </c>
    </row>
    <row r="1126" spans="1:14" ht="14.5" x14ac:dyDescent="0.35">
      <c r="A1126" s="260" t="s">
        <v>565</v>
      </c>
      <c r="B1126" s="190">
        <v>45666</v>
      </c>
      <c r="C1126" s="260" t="s">
        <v>749</v>
      </c>
      <c r="D1126" s="197">
        <v>80</v>
      </c>
      <c r="E1126" s="197">
        <v>8008</v>
      </c>
      <c r="F1126" s="197">
        <v>100.53</v>
      </c>
      <c r="G1126" s="190">
        <v>45666</v>
      </c>
      <c r="H1126" s="196">
        <v>0</v>
      </c>
      <c r="I1126" s="197">
        <v>8042.4</v>
      </c>
      <c r="J1126" s="197">
        <v>8042.4</v>
      </c>
      <c r="K1126" s="197">
        <v>0</v>
      </c>
      <c r="L1126" s="197">
        <v>34.399999999999636</v>
      </c>
      <c r="M1126" s="260" t="s">
        <v>239</v>
      </c>
      <c r="N1126" s="260" t="s">
        <v>514</v>
      </c>
    </row>
    <row r="1127" spans="1:14" ht="14.5" x14ac:dyDescent="0.35">
      <c r="A1127" s="260" t="s">
        <v>565</v>
      </c>
      <c r="B1127" s="190">
        <v>45666</v>
      </c>
      <c r="C1127" s="260" t="s">
        <v>752</v>
      </c>
      <c r="D1127" s="197">
        <v>100</v>
      </c>
      <c r="E1127" s="197">
        <v>20020</v>
      </c>
      <c r="F1127" s="197">
        <v>198.67</v>
      </c>
      <c r="G1127" s="190">
        <v>45666</v>
      </c>
      <c r="H1127" s="196">
        <v>0</v>
      </c>
      <c r="I1127" s="197">
        <v>19867</v>
      </c>
      <c r="J1127" s="197">
        <v>19867</v>
      </c>
      <c r="K1127" s="197">
        <v>0</v>
      </c>
      <c r="L1127" s="197">
        <v>-153</v>
      </c>
      <c r="M1127" s="260" t="s">
        <v>239</v>
      </c>
      <c r="N1127" s="260" t="s">
        <v>514</v>
      </c>
    </row>
    <row r="1128" spans="1:14" ht="14.5" x14ac:dyDescent="0.35">
      <c r="A1128" s="260" t="s">
        <v>565</v>
      </c>
      <c r="B1128" s="190">
        <v>45666</v>
      </c>
      <c r="C1128" s="260" t="s">
        <v>754</v>
      </c>
      <c r="D1128" s="197">
        <v>0</v>
      </c>
      <c r="E1128" s="197">
        <v>0</v>
      </c>
      <c r="F1128" s="197">
        <v>80.53</v>
      </c>
      <c r="G1128" s="190">
        <v>45666</v>
      </c>
      <c r="H1128" s="196">
        <v>0</v>
      </c>
      <c r="I1128" s="197">
        <v>0</v>
      </c>
      <c r="J1128" s="197">
        <v>0</v>
      </c>
      <c r="K1128" s="197">
        <v>0</v>
      </c>
      <c r="L1128" s="197">
        <v>0</v>
      </c>
      <c r="M1128" s="260" t="s">
        <v>239</v>
      </c>
      <c r="N1128" s="260" t="s">
        <v>514</v>
      </c>
    </row>
    <row r="1129" spans="1:14" ht="14.5" x14ac:dyDescent="0.35">
      <c r="A1129" s="260" t="s">
        <v>565</v>
      </c>
      <c r="B1129" s="190">
        <v>45667</v>
      </c>
      <c r="C1129" s="260" t="s">
        <v>749</v>
      </c>
      <c r="D1129" s="197">
        <v>80</v>
      </c>
      <c r="E1129" s="197">
        <v>8008</v>
      </c>
      <c r="F1129" s="197">
        <v>100.6</v>
      </c>
      <c r="G1129" s="190">
        <v>45667</v>
      </c>
      <c r="H1129" s="196">
        <v>0</v>
      </c>
      <c r="I1129" s="197">
        <v>8048</v>
      </c>
      <c r="J1129" s="197">
        <v>8048</v>
      </c>
      <c r="K1129" s="197">
        <v>0</v>
      </c>
      <c r="L1129" s="197">
        <v>40</v>
      </c>
      <c r="M1129" s="260" t="s">
        <v>239</v>
      </c>
      <c r="N1129" s="260" t="s">
        <v>514</v>
      </c>
    </row>
    <row r="1130" spans="1:14" ht="14.5" x14ac:dyDescent="0.35">
      <c r="A1130" s="260" t="s">
        <v>565</v>
      </c>
      <c r="B1130" s="190">
        <v>45667</v>
      </c>
      <c r="C1130" s="260" t="s">
        <v>752</v>
      </c>
      <c r="D1130" s="197">
        <v>100</v>
      </c>
      <c r="E1130" s="197">
        <v>20020</v>
      </c>
      <c r="F1130" s="197">
        <v>198.5</v>
      </c>
      <c r="G1130" s="190">
        <v>45667</v>
      </c>
      <c r="H1130" s="196">
        <v>0</v>
      </c>
      <c r="I1130" s="197">
        <v>19850</v>
      </c>
      <c r="J1130" s="197">
        <v>19850</v>
      </c>
      <c r="K1130" s="197">
        <v>0</v>
      </c>
      <c r="L1130" s="197">
        <v>-170</v>
      </c>
      <c r="M1130" s="260" t="s">
        <v>239</v>
      </c>
      <c r="N1130" s="260" t="s">
        <v>514</v>
      </c>
    </row>
    <row r="1131" spans="1:14" ht="14.5" x14ac:dyDescent="0.35">
      <c r="A1131" s="260" t="s">
        <v>565</v>
      </c>
      <c r="B1131" s="190">
        <v>45667</v>
      </c>
      <c r="C1131" s="260" t="s">
        <v>754</v>
      </c>
      <c r="D1131" s="197">
        <v>0</v>
      </c>
      <c r="E1131" s="197">
        <v>0</v>
      </c>
      <c r="F1131" s="197">
        <v>80.599999999999994</v>
      </c>
      <c r="G1131" s="190">
        <v>45667</v>
      </c>
      <c r="H1131" s="196">
        <v>0</v>
      </c>
      <c r="I1131" s="197">
        <v>0</v>
      </c>
      <c r="J1131" s="197">
        <v>0</v>
      </c>
      <c r="K1131" s="197">
        <v>0</v>
      </c>
      <c r="L1131" s="197">
        <v>0</v>
      </c>
      <c r="M1131" s="260" t="s">
        <v>239</v>
      </c>
      <c r="N1131" s="260" t="s">
        <v>514</v>
      </c>
    </row>
    <row r="1132" spans="1:14" ht="14.5" x14ac:dyDescent="0.35">
      <c r="A1132" s="260" t="s">
        <v>565</v>
      </c>
      <c r="B1132" s="190">
        <v>45668</v>
      </c>
      <c r="C1132" s="260" t="s">
        <v>749</v>
      </c>
      <c r="D1132" s="197">
        <v>80</v>
      </c>
      <c r="E1132" s="197">
        <v>8008</v>
      </c>
      <c r="F1132" s="197">
        <v>100.6</v>
      </c>
      <c r="G1132" s="190">
        <v>45667</v>
      </c>
      <c r="H1132" s="196">
        <v>1</v>
      </c>
      <c r="I1132" s="197">
        <v>8048</v>
      </c>
      <c r="J1132" s="197">
        <v>8048</v>
      </c>
      <c r="K1132" s="197">
        <v>0</v>
      </c>
      <c r="L1132" s="197">
        <v>40</v>
      </c>
      <c r="M1132" s="260" t="s">
        <v>239</v>
      </c>
      <c r="N1132" s="260" t="s">
        <v>514</v>
      </c>
    </row>
    <row r="1133" spans="1:14" ht="14.5" x14ac:dyDescent="0.35">
      <c r="A1133" s="260" t="s">
        <v>565</v>
      </c>
      <c r="B1133" s="190">
        <v>45668</v>
      </c>
      <c r="C1133" s="260" t="s">
        <v>752</v>
      </c>
      <c r="D1133" s="197">
        <v>100</v>
      </c>
      <c r="E1133" s="197">
        <v>20020</v>
      </c>
      <c r="F1133" s="197">
        <v>198.5</v>
      </c>
      <c r="G1133" s="190">
        <v>45667</v>
      </c>
      <c r="H1133" s="196">
        <v>1</v>
      </c>
      <c r="I1133" s="197">
        <v>19850</v>
      </c>
      <c r="J1133" s="197">
        <v>19850</v>
      </c>
      <c r="K1133" s="197">
        <v>0</v>
      </c>
      <c r="L1133" s="197">
        <v>-170</v>
      </c>
      <c r="M1133" s="260" t="s">
        <v>239</v>
      </c>
      <c r="N1133" s="260" t="s">
        <v>514</v>
      </c>
    </row>
    <row r="1134" spans="1:14" ht="14.5" x14ac:dyDescent="0.35">
      <c r="A1134" s="260" t="s">
        <v>565</v>
      </c>
      <c r="B1134" s="190">
        <v>45668</v>
      </c>
      <c r="C1134" s="260" t="s">
        <v>754</v>
      </c>
      <c r="D1134" s="197">
        <v>0</v>
      </c>
      <c r="E1134" s="197">
        <v>0</v>
      </c>
      <c r="F1134" s="197">
        <v>80.599999999999994</v>
      </c>
      <c r="G1134" s="190">
        <v>45667</v>
      </c>
      <c r="H1134" s="196">
        <v>1</v>
      </c>
      <c r="I1134" s="197">
        <v>0</v>
      </c>
      <c r="J1134" s="197">
        <v>0</v>
      </c>
      <c r="K1134" s="197">
        <v>0</v>
      </c>
      <c r="L1134" s="197">
        <v>0</v>
      </c>
      <c r="M1134" s="260" t="s">
        <v>239</v>
      </c>
      <c r="N1134" s="260" t="s">
        <v>514</v>
      </c>
    </row>
    <row r="1135" spans="1:14" ht="14.5" x14ac:dyDescent="0.35">
      <c r="A1135" s="260" t="s">
        <v>565</v>
      </c>
      <c r="B1135" s="190">
        <v>45669</v>
      </c>
      <c r="C1135" s="260" t="s">
        <v>749</v>
      </c>
      <c r="D1135" s="197">
        <v>80</v>
      </c>
      <c r="E1135" s="197">
        <v>8008</v>
      </c>
      <c r="F1135" s="197">
        <v>100.6</v>
      </c>
      <c r="G1135" s="190">
        <v>45667</v>
      </c>
      <c r="H1135" s="196">
        <v>2</v>
      </c>
      <c r="I1135" s="197">
        <v>8048</v>
      </c>
      <c r="J1135" s="197">
        <v>8048</v>
      </c>
      <c r="K1135" s="197">
        <v>0</v>
      </c>
      <c r="L1135" s="197">
        <v>40</v>
      </c>
      <c r="M1135" s="260" t="s">
        <v>239</v>
      </c>
      <c r="N1135" s="260" t="s">
        <v>514</v>
      </c>
    </row>
    <row r="1136" spans="1:14" ht="14.5" x14ac:dyDescent="0.35">
      <c r="A1136" s="260" t="s">
        <v>565</v>
      </c>
      <c r="B1136" s="190">
        <v>45669</v>
      </c>
      <c r="C1136" s="260" t="s">
        <v>752</v>
      </c>
      <c r="D1136" s="197">
        <v>100</v>
      </c>
      <c r="E1136" s="197">
        <v>20020</v>
      </c>
      <c r="F1136" s="197">
        <v>198.5</v>
      </c>
      <c r="G1136" s="190">
        <v>45667</v>
      </c>
      <c r="H1136" s="196">
        <v>2</v>
      </c>
      <c r="I1136" s="197">
        <v>19850</v>
      </c>
      <c r="J1136" s="197">
        <v>19850</v>
      </c>
      <c r="K1136" s="197">
        <v>0</v>
      </c>
      <c r="L1136" s="197">
        <v>-170</v>
      </c>
      <c r="M1136" s="260" t="s">
        <v>239</v>
      </c>
      <c r="N1136" s="260" t="s">
        <v>514</v>
      </c>
    </row>
    <row r="1137" spans="1:14" ht="14.5" x14ac:dyDescent="0.35">
      <c r="A1137" s="260" t="s">
        <v>565</v>
      </c>
      <c r="B1137" s="190">
        <v>45669</v>
      </c>
      <c r="C1137" s="260" t="s">
        <v>754</v>
      </c>
      <c r="D1137" s="197">
        <v>0</v>
      </c>
      <c r="E1137" s="197">
        <v>0</v>
      </c>
      <c r="F1137" s="197">
        <v>80.599999999999994</v>
      </c>
      <c r="G1137" s="190">
        <v>45667</v>
      </c>
      <c r="H1137" s="196">
        <v>2</v>
      </c>
      <c r="I1137" s="197">
        <v>0</v>
      </c>
      <c r="J1137" s="197">
        <v>0</v>
      </c>
      <c r="K1137" s="197">
        <v>0</v>
      </c>
      <c r="L1137" s="197">
        <v>0</v>
      </c>
      <c r="M1137" s="260" t="s">
        <v>239</v>
      </c>
      <c r="N1137" s="260" t="s">
        <v>514</v>
      </c>
    </row>
    <row r="1138" spans="1:14" ht="14.5" x14ac:dyDescent="0.35">
      <c r="A1138" s="260" t="s">
        <v>565</v>
      </c>
      <c r="B1138" s="190">
        <v>45670</v>
      </c>
      <c r="C1138" s="260" t="s">
        <v>749</v>
      </c>
      <c r="D1138" s="197">
        <v>80</v>
      </c>
      <c r="E1138" s="197">
        <v>8008</v>
      </c>
      <c r="F1138" s="197">
        <v>100.8</v>
      </c>
      <c r="G1138" s="190">
        <v>45670</v>
      </c>
      <c r="H1138" s="196">
        <v>0</v>
      </c>
      <c r="I1138" s="197">
        <v>8064</v>
      </c>
      <c r="J1138" s="197">
        <v>8064</v>
      </c>
      <c r="K1138" s="197">
        <v>0</v>
      </c>
      <c r="L1138" s="197">
        <v>56</v>
      </c>
      <c r="M1138" s="260" t="s">
        <v>239</v>
      </c>
      <c r="N1138" s="260" t="s">
        <v>514</v>
      </c>
    </row>
    <row r="1139" spans="1:14" ht="14.5" x14ac:dyDescent="0.35">
      <c r="A1139" s="260" t="s">
        <v>565</v>
      </c>
      <c r="B1139" s="190">
        <v>45670</v>
      </c>
      <c r="C1139" s="260" t="s">
        <v>752</v>
      </c>
      <c r="D1139" s="197">
        <v>100</v>
      </c>
      <c r="E1139" s="197">
        <v>20020</v>
      </c>
      <c r="F1139" s="197">
        <v>198</v>
      </c>
      <c r="G1139" s="190">
        <v>45670</v>
      </c>
      <c r="H1139" s="196">
        <v>0</v>
      </c>
      <c r="I1139" s="197">
        <v>19800</v>
      </c>
      <c r="J1139" s="197">
        <v>19800</v>
      </c>
      <c r="K1139" s="197">
        <v>0</v>
      </c>
      <c r="L1139" s="197">
        <v>-220</v>
      </c>
      <c r="M1139" s="260" t="s">
        <v>239</v>
      </c>
      <c r="N1139" s="260" t="s">
        <v>514</v>
      </c>
    </row>
    <row r="1140" spans="1:14" ht="14.5" x14ac:dyDescent="0.35">
      <c r="A1140" s="260" t="s">
        <v>565</v>
      </c>
      <c r="B1140" s="190">
        <v>45670</v>
      </c>
      <c r="C1140" s="260" t="s">
        <v>754</v>
      </c>
      <c r="D1140" s="197">
        <v>0</v>
      </c>
      <c r="E1140" s="197">
        <v>0</v>
      </c>
      <c r="F1140" s="197">
        <v>80.8</v>
      </c>
      <c r="G1140" s="190">
        <v>45670</v>
      </c>
      <c r="H1140" s="196">
        <v>0</v>
      </c>
      <c r="I1140" s="197">
        <v>0</v>
      </c>
      <c r="J1140" s="197">
        <v>0</v>
      </c>
      <c r="K1140" s="197">
        <v>0</v>
      </c>
      <c r="L1140" s="197">
        <v>0</v>
      </c>
      <c r="M1140" s="260" t="s">
        <v>239</v>
      </c>
      <c r="N1140" s="260" t="s">
        <v>514</v>
      </c>
    </row>
    <row r="1141" spans="1:14" ht="14.5" x14ac:dyDescent="0.35">
      <c r="A1141" s="260" t="s">
        <v>565</v>
      </c>
      <c r="B1141" s="190">
        <v>45671</v>
      </c>
      <c r="C1141" s="260" t="s">
        <v>749</v>
      </c>
      <c r="D1141" s="197">
        <v>80</v>
      </c>
      <c r="E1141" s="197">
        <v>8008</v>
      </c>
      <c r="F1141" s="197">
        <v>100.87</v>
      </c>
      <c r="G1141" s="190">
        <v>45671</v>
      </c>
      <c r="H1141" s="196">
        <v>0</v>
      </c>
      <c r="I1141" s="197">
        <v>8069.6</v>
      </c>
      <c r="J1141" s="197">
        <v>8069.6</v>
      </c>
      <c r="K1141" s="197">
        <v>0</v>
      </c>
      <c r="L1141" s="197">
        <v>61.600000000000364</v>
      </c>
      <c r="M1141" s="260" t="s">
        <v>239</v>
      </c>
      <c r="N1141" s="260" t="s">
        <v>514</v>
      </c>
    </row>
    <row r="1142" spans="1:14" ht="14.5" x14ac:dyDescent="0.35">
      <c r="A1142" s="260" t="s">
        <v>565</v>
      </c>
      <c r="B1142" s="190">
        <v>45671</v>
      </c>
      <c r="C1142" s="260" t="s">
        <v>752</v>
      </c>
      <c r="D1142" s="197">
        <v>100</v>
      </c>
      <c r="E1142" s="197">
        <v>20020</v>
      </c>
      <c r="F1142" s="197">
        <v>197.83</v>
      </c>
      <c r="G1142" s="190">
        <v>45671</v>
      </c>
      <c r="H1142" s="196">
        <v>0</v>
      </c>
      <c r="I1142" s="197">
        <v>19783</v>
      </c>
      <c r="J1142" s="197">
        <v>19783</v>
      </c>
      <c r="K1142" s="197">
        <v>0</v>
      </c>
      <c r="L1142" s="197">
        <v>-237</v>
      </c>
      <c r="M1142" s="260" t="s">
        <v>239</v>
      </c>
      <c r="N1142" s="260" t="s">
        <v>514</v>
      </c>
    </row>
    <row r="1143" spans="1:14" ht="14.5" x14ac:dyDescent="0.35">
      <c r="A1143" s="260" t="s">
        <v>565</v>
      </c>
      <c r="B1143" s="190">
        <v>45671</v>
      </c>
      <c r="C1143" s="260" t="s">
        <v>754</v>
      </c>
      <c r="D1143" s="197">
        <v>0</v>
      </c>
      <c r="E1143" s="197">
        <v>0</v>
      </c>
      <c r="F1143" s="197">
        <v>80.87</v>
      </c>
      <c r="G1143" s="190">
        <v>45671</v>
      </c>
      <c r="H1143" s="196">
        <v>0</v>
      </c>
      <c r="I1143" s="197">
        <v>0</v>
      </c>
      <c r="J1143" s="197">
        <v>0</v>
      </c>
      <c r="K1143" s="197">
        <v>0</v>
      </c>
      <c r="L1143" s="197">
        <v>0</v>
      </c>
      <c r="M1143" s="260" t="s">
        <v>239</v>
      </c>
      <c r="N1143" s="260" t="s">
        <v>514</v>
      </c>
    </row>
    <row r="1144" spans="1:14" ht="14.5" x14ac:dyDescent="0.35">
      <c r="A1144" s="260" t="s">
        <v>565</v>
      </c>
      <c r="B1144" s="190">
        <v>45672</v>
      </c>
      <c r="C1144" s="260" t="s">
        <v>749</v>
      </c>
      <c r="D1144" s="197">
        <v>80</v>
      </c>
      <c r="E1144" s="197">
        <v>8008</v>
      </c>
      <c r="F1144" s="197">
        <v>100.93</v>
      </c>
      <c r="G1144" s="190">
        <v>45672</v>
      </c>
      <c r="H1144" s="196">
        <v>0</v>
      </c>
      <c r="I1144" s="197">
        <v>8074.4000000000005</v>
      </c>
      <c r="J1144" s="197">
        <v>8074.4000000000005</v>
      </c>
      <c r="K1144" s="197">
        <v>0</v>
      </c>
      <c r="L1144" s="197">
        <v>66.400000000000546</v>
      </c>
      <c r="M1144" s="260" t="s">
        <v>239</v>
      </c>
      <c r="N1144" s="260" t="s">
        <v>514</v>
      </c>
    </row>
    <row r="1145" spans="1:14" ht="14.5" x14ac:dyDescent="0.35">
      <c r="A1145" s="260" t="s">
        <v>565</v>
      </c>
      <c r="B1145" s="190">
        <v>45672</v>
      </c>
      <c r="C1145" s="260" t="s">
        <v>752</v>
      </c>
      <c r="D1145" s="197">
        <v>100</v>
      </c>
      <c r="E1145" s="197">
        <v>20020</v>
      </c>
      <c r="F1145" s="197">
        <v>197.67</v>
      </c>
      <c r="G1145" s="190">
        <v>45672</v>
      </c>
      <c r="H1145" s="196">
        <v>0</v>
      </c>
      <c r="I1145" s="197">
        <v>19767</v>
      </c>
      <c r="J1145" s="197">
        <v>19767</v>
      </c>
      <c r="K1145" s="197">
        <v>0</v>
      </c>
      <c r="L1145" s="197">
        <v>-253</v>
      </c>
      <c r="M1145" s="260" t="s">
        <v>239</v>
      </c>
      <c r="N1145" s="260" t="s">
        <v>514</v>
      </c>
    </row>
    <row r="1146" spans="1:14" ht="14.5" x14ac:dyDescent="0.35">
      <c r="A1146" s="260" t="s">
        <v>565</v>
      </c>
      <c r="B1146" s="190">
        <v>45672</v>
      </c>
      <c r="C1146" s="260" t="s">
        <v>754</v>
      </c>
      <c r="D1146" s="197">
        <v>0</v>
      </c>
      <c r="E1146" s="197">
        <v>0</v>
      </c>
      <c r="F1146" s="197">
        <v>80.930000000000007</v>
      </c>
      <c r="G1146" s="190">
        <v>45672</v>
      </c>
      <c r="H1146" s="196">
        <v>0</v>
      </c>
      <c r="I1146" s="197">
        <v>0</v>
      </c>
      <c r="J1146" s="197">
        <v>0</v>
      </c>
      <c r="K1146" s="197">
        <v>0</v>
      </c>
      <c r="L1146" s="197">
        <v>0</v>
      </c>
      <c r="M1146" s="260" t="s">
        <v>239</v>
      </c>
      <c r="N1146" s="260" t="s">
        <v>514</v>
      </c>
    </row>
    <row r="1147" spans="1:14" ht="14.5" x14ac:dyDescent="0.35">
      <c r="A1147" s="260" t="s">
        <v>565</v>
      </c>
      <c r="B1147" s="190">
        <v>45673</v>
      </c>
      <c r="C1147" s="260" t="s">
        <v>749</v>
      </c>
      <c r="D1147" s="197">
        <v>80</v>
      </c>
      <c r="E1147" s="197">
        <v>8008</v>
      </c>
      <c r="F1147" s="197">
        <v>101</v>
      </c>
      <c r="G1147" s="190">
        <v>45673</v>
      </c>
      <c r="H1147" s="196">
        <v>0</v>
      </c>
      <c r="I1147" s="197">
        <v>8080</v>
      </c>
      <c r="J1147" s="197">
        <v>8080</v>
      </c>
      <c r="K1147" s="197">
        <v>0</v>
      </c>
      <c r="L1147" s="197">
        <v>72</v>
      </c>
      <c r="M1147" s="260" t="s">
        <v>239</v>
      </c>
      <c r="N1147" s="260" t="s">
        <v>514</v>
      </c>
    </row>
    <row r="1148" spans="1:14" ht="14.5" x14ac:dyDescent="0.35">
      <c r="A1148" s="260" t="s">
        <v>565</v>
      </c>
      <c r="B1148" s="190">
        <v>45673</v>
      </c>
      <c r="C1148" s="260" t="s">
        <v>752</v>
      </c>
      <c r="D1148" s="197">
        <v>100</v>
      </c>
      <c r="E1148" s="197">
        <v>20020</v>
      </c>
      <c r="F1148" s="197">
        <v>197.5</v>
      </c>
      <c r="G1148" s="190">
        <v>45673</v>
      </c>
      <c r="H1148" s="196">
        <v>0</v>
      </c>
      <c r="I1148" s="197">
        <v>19750</v>
      </c>
      <c r="J1148" s="197">
        <v>19750</v>
      </c>
      <c r="K1148" s="197">
        <v>0</v>
      </c>
      <c r="L1148" s="197">
        <v>-270</v>
      </c>
      <c r="M1148" s="260" t="s">
        <v>239</v>
      </c>
      <c r="N1148" s="260" t="s">
        <v>514</v>
      </c>
    </row>
    <row r="1149" spans="1:14" ht="14.5" x14ac:dyDescent="0.35">
      <c r="A1149" s="260" t="s">
        <v>565</v>
      </c>
      <c r="B1149" s="190">
        <v>45673</v>
      </c>
      <c r="C1149" s="260" t="s">
        <v>754</v>
      </c>
      <c r="D1149" s="197">
        <v>0</v>
      </c>
      <c r="E1149" s="197">
        <v>0</v>
      </c>
      <c r="F1149" s="197">
        <v>81</v>
      </c>
      <c r="G1149" s="190">
        <v>45673</v>
      </c>
      <c r="H1149" s="196">
        <v>0</v>
      </c>
      <c r="I1149" s="197">
        <v>0</v>
      </c>
      <c r="J1149" s="197">
        <v>0</v>
      </c>
      <c r="K1149" s="197">
        <v>0</v>
      </c>
      <c r="L1149" s="197">
        <v>0</v>
      </c>
      <c r="M1149" s="260" t="s">
        <v>239</v>
      </c>
      <c r="N1149" s="260" t="s">
        <v>514</v>
      </c>
    </row>
    <row r="1150" spans="1:14" ht="14.5" x14ac:dyDescent="0.35">
      <c r="A1150" s="260" t="s">
        <v>565</v>
      </c>
      <c r="B1150" s="190">
        <v>45674</v>
      </c>
      <c r="C1150" s="260" t="s">
        <v>749</v>
      </c>
      <c r="D1150" s="197">
        <v>80</v>
      </c>
      <c r="E1150" s="197">
        <v>8008</v>
      </c>
      <c r="F1150" s="197">
        <v>101.07</v>
      </c>
      <c r="G1150" s="190">
        <v>45674</v>
      </c>
      <c r="H1150" s="196">
        <v>0</v>
      </c>
      <c r="I1150" s="197">
        <v>8085.5999999999995</v>
      </c>
      <c r="J1150" s="197">
        <v>8085.5999999999995</v>
      </c>
      <c r="K1150" s="197">
        <v>0</v>
      </c>
      <c r="L1150" s="197">
        <v>77.599999999999454</v>
      </c>
      <c r="M1150" s="260" t="s">
        <v>239</v>
      </c>
      <c r="N1150" s="260" t="s">
        <v>514</v>
      </c>
    </row>
    <row r="1151" spans="1:14" ht="14.5" x14ac:dyDescent="0.35">
      <c r="A1151" s="260" t="s">
        <v>565</v>
      </c>
      <c r="B1151" s="190">
        <v>45674</v>
      </c>
      <c r="C1151" s="260" t="s">
        <v>752</v>
      </c>
      <c r="D1151" s="197">
        <v>100</v>
      </c>
      <c r="E1151" s="197">
        <v>20020</v>
      </c>
      <c r="F1151" s="197">
        <v>197.33</v>
      </c>
      <c r="G1151" s="190">
        <v>45674</v>
      </c>
      <c r="H1151" s="196">
        <v>0</v>
      </c>
      <c r="I1151" s="197">
        <v>19733</v>
      </c>
      <c r="J1151" s="197">
        <v>19733</v>
      </c>
      <c r="K1151" s="197">
        <v>0</v>
      </c>
      <c r="L1151" s="197">
        <v>-287</v>
      </c>
      <c r="M1151" s="260" t="s">
        <v>239</v>
      </c>
      <c r="N1151" s="260" t="s">
        <v>514</v>
      </c>
    </row>
    <row r="1152" spans="1:14" ht="14.5" x14ac:dyDescent="0.35">
      <c r="A1152" s="260" t="s">
        <v>565</v>
      </c>
      <c r="B1152" s="190">
        <v>45674</v>
      </c>
      <c r="C1152" s="260" t="s">
        <v>754</v>
      </c>
      <c r="D1152" s="197">
        <v>0</v>
      </c>
      <c r="E1152" s="197">
        <v>0</v>
      </c>
      <c r="F1152" s="197">
        <v>81.069999999999993</v>
      </c>
      <c r="G1152" s="190">
        <v>45674</v>
      </c>
      <c r="H1152" s="196">
        <v>0</v>
      </c>
      <c r="I1152" s="197">
        <v>0</v>
      </c>
      <c r="J1152" s="197">
        <v>0</v>
      </c>
      <c r="K1152" s="197">
        <v>0</v>
      </c>
      <c r="L1152" s="197">
        <v>0</v>
      </c>
      <c r="M1152" s="260" t="s">
        <v>239</v>
      </c>
      <c r="N1152" s="260" t="s">
        <v>514</v>
      </c>
    </row>
    <row r="1153" spans="1:14" ht="14.5" x14ac:dyDescent="0.35">
      <c r="A1153" s="260" t="s">
        <v>565</v>
      </c>
      <c r="B1153" s="190">
        <v>45675</v>
      </c>
      <c r="C1153" s="260" t="s">
        <v>749</v>
      </c>
      <c r="D1153" s="197">
        <v>80</v>
      </c>
      <c r="E1153" s="197">
        <v>8008</v>
      </c>
      <c r="F1153" s="197">
        <v>101.07</v>
      </c>
      <c r="G1153" s="190">
        <v>45674</v>
      </c>
      <c r="H1153" s="196">
        <v>1</v>
      </c>
      <c r="I1153" s="197">
        <v>8085.5999999999995</v>
      </c>
      <c r="J1153" s="197">
        <v>8085.5999999999995</v>
      </c>
      <c r="K1153" s="197">
        <v>0</v>
      </c>
      <c r="L1153" s="197">
        <v>77.599999999999454</v>
      </c>
      <c r="M1153" s="260" t="s">
        <v>239</v>
      </c>
      <c r="N1153" s="260" t="s">
        <v>514</v>
      </c>
    </row>
    <row r="1154" spans="1:14" ht="14.5" x14ac:dyDescent="0.35">
      <c r="A1154" s="260" t="s">
        <v>565</v>
      </c>
      <c r="B1154" s="190">
        <v>45675</v>
      </c>
      <c r="C1154" s="260" t="s">
        <v>752</v>
      </c>
      <c r="D1154" s="197">
        <v>100</v>
      </c>
      <c r="E1154" s="197">
        <v>20020</v>
      </c>
      <c r="F1154" s="197">
        <v>197.33</v>
      </c>
      <c r="G1154" s="190">
        <v>45674</v>
      </c>
      <c r="H1154" s="196">
        <v>1</v>
      </c>
      <c r="I1154" s="197">
        <v>19733</v>
      </c>
      <c r="J1154" s="197">
        <v>19733</v>
      </c>
      <c r="K1154" s="197">
        <v>0</v>
      </c>
      <c r="L1154" s="197">
        <v>-287</v>
      </c>
      <c r="M1154" s="260" t="s">
        <v>239</v>
      </c>
      <c r="N1154" s="260" t="s">
        <v>514</v>
      </c>
    </row>
    <row r="1155" spans="1:14" ht="14.5" x14ac:dyDescent="0.35">
      <c r="A1155" s="260" t="s">
        <v>565</v>
      </c>
      <c r="B1155" s="190">
        <v>45675</v>
      </c>
      <c r="C1155" s="260" t="s">
        <v>754</v>
      </c>
      <c r="D1155" s="197">
        <v>0</v>
      </c>
      <c r="E1155" s="197">
        <v>0</v>
      </c>
      <c r="F1155" s="197">
        <v>81.069999999999993</v>
      </c>
      <c r="G1155" s="190">
        <v>45674</v>
      </c>
      <c r="H1155" s="196">
        <v>1</v>
      </c>
      <c r="I1155" s="197">
        <v>0</v>
      </c>
      <c r="J1155" s="197">
        <v>0</v>
      </c>
      <c r="K1155" s="197">
        <v>0</v>
      </c>
      <c r="L1155" s="197">
        <v>0</v>
      </c>
      <c r="M1155" s="260" t="s">
        <v>239</v>
      </c>
      <c r="N1155" s="260" t="s">
        <v>514</v>
      </c>
    </row>
    <row r="1156" spans="1:14" ht="14.5" x14ac:dyDescent="0.35">
      <c r="A1156" s="260" t="s">
        <v>565</v>
      </c>
      <c r="B1156" s="190">
        <v>45676</v>
      </c>
      <c r="C1156" s="260" t="s">
        <v>749</v>
      </c>
      <c r="D1156" s="197">
        <v>80</v>
      </c>
      <c r="E1156" s="197">
        <v>8008</v>
      </c>
      <c r="F1156" s="197">
        <v>101.07</v>
      </c>
      <c r="G1156" s="190">
        <v>45674</v>
      </c>
      <c r="H1156" s="196">
        <v>2</v>
      </c>
      <c r="I1156" s="197">
        <v>8085.5999999999995</v>
      </c>
      <c r="J1156" s="197">
        <v>8085.5999999999995</v>
      </c>
      <c r="K1156" s="197">
        <v>0</v>
      </c>
      <c r="L1156" s="197">
        <v>77.599999999999454</v>
      </c>
      <c r="M1156" s="260" t="s">
        <v>239</v>
      </c>
      <c r="N1156" s="260" t="s">
        <v>514</v>
      </c>
    </row>
    <row r="1157" spans="1:14" ht="14.5" x14ac:dyDescent="0.35">
      <c r="A1157" s="260" t="s">
        <v>565</v>
      </c>
      <c r="B1157" s="190">
        <v>45676</v>
      </c>
      <c r="C1157" s="260" t="s">
        <v>752</v>
      </c>
      <c r="D1157" s="197">
        <v>100</v>
      </c>
      <c r="E1157" s="197">
        <v>20020</v>
      </c>
      <c r="F1157" s="197">
        <v>197.33</v>
      </c>
      <c r="G1157" s="190">
        <v>45674</v>
      </c>
      <c r="H1157" s="196">
        <v>2</v>
      </c>
      <c r="I1157" s="197">
        <v>19733</v>
      </c>
      <c r="J1157" s="197">
        <v>19733</v>
      </c>
      <c r="K1157" s="197">
        <v>0</v>
      </c>
      <c r="L1157" s="197">
        <v>-287</v>
      </c>
      <c r="M1157" s="260" t="s">
        <v>239</v>
      </c>
      <c r="N1157" s="260" t="s">
        <v>514</v>
      </c>
    </row>
    <row r="1158" spans="1:14" ht="14.5" x14ac:dyDescent="0.35">
      <c r="A1158" s="260" t="s">
        <v>565</v>
      </c>
      <c r="B1158" s="190">
        <v>45676</v>
      </c>
      <c r="C1158" s="260" t="s">
        <v>754</v>
      </c>
      <c r="D1158" s="197">
        <v>0</v>
      </c>
      <c r="E1158" s="197">
        <v>0</v>
      </c>
      <c r="F1158" s="197">
        <v>81.069999999999993</v>
      </c>
      <c r="G1158" s="190">
        <v>45674</v>
      </c>
      <c r="H1158" s="196">
        <v>2</v>
      </c>
      <c r="I1158" s="197">
        <v>0</v>
      </c>
      <c r="J1158" s="197">
        <v>0</v>
      </c>
      <c r="K1158" s="197">
        <v>0</v>
      </c>
      <c r="L1158" s="197">
        <v>0</v>
      </c>
      <c r="M1158" s="260" t="s">
        <v>239</v>
      </c>
      <c r="N1158" s="260" t="s">
        <v>514</v>
      </c>
    </row>
    <row r="1159" spans="1:14" ht="14.5" x14ac:dyDescent="0.35">
      <c r="A1159" s="260" t="s">
        <v>565</v>
      </c>
      <c r="B1159" s="190">
        <v>45677</v>
      </c>
      <c r="C1159" s="260" t="s">
        <v>749</v>
      </c>
      <c r="D1159" s="197">
        <v>80</v>
      </c>
      <c r="E1159" s="197">
        <v>8008</v>
      </c>
      <c r="F1159" s="197">
        <v>101.27</v>
      </c>
      <c r="G1159" s="190">
        <v>45677</v>
      </c>
      <c r="H1159" s="196">
        <v>0</v>
      </c>
      <c r="I1159" s="197">
        <v>8101.5999999999995</v>
      </c>
      <c r="J1159" s="197">
        <v>8101.5999999999995</v>
      </c>
      <c r="K1159" s="197">
        <v>0</v>
      </c>
      <c r="L1159" s="197">
        <v>93.599999999999454</v>
      </c>
      <c r="M1159" s="260" t="s">
        <v>239</v>
      </c>
      <c r="N1159" s="260" t="s">
        <v>514</v>
      </c>
    </row>
    <row r="1160" spans="1:14" ht="14.5" x14ac:dyDescent="0.35">
      <c r="A1160" s="260" t="s">
        <v>565</v>
      </c>
      <c r="B1160" s="190">
        <v>45677</v>
      </c>
      <c r="C1160" s="260" t="s">
        <v>752</v>
      </c>
      <c r="D1160" s="197">
        <v>100</v>
      </c>
      <c r="E1160" s="197">
        <v>20020</v>
      </c>
      <c r="F1160" s="197">
        <v>196.83</v>
      </c>
      <c r="G1160" s="190">
        <v>45677</v>
      </c>
      <c r="H1160" s="196">
        <v>0</v>
      </c>
      <c r="I1160" s="197">
        <v>19683</v>
      </c>
      <c r="J1160" s="197">
        <v>19683</v>
      </c>
      <c r="K1160" s="197">
        <v>0</v>
      </c>
      <c r="L1160" s="197">
        <v>-337</v>
      </c>
      <c r="M1160" s="260" t="s">
        <v>239</v>
      </c>
      <c r="N1160" s="260" t="s">
        <v>514</v>
      </c>
    </row>
    <row r="1161" spans="1:14" ht="14.5" x14ac:dyDescent="0.35">
      <c r="A1161" s="260" t="s">
        <v>565</v>
      </c>
      <c r="B1161" s="190">
        <v>45677</v>
      </c>
      <c r="C1161" s="260" t="s">
        <v>754</v>
      </c>
      <c r="D1161" s="197">
        <v>0</v>
      </c>
      <c r="E1161" s="197">
        <v>0</v>
      </c>
      <c r="F1161" s="197">
        <v>81.27</v>
      </c>
      <c r="G1161" s="190">
        <v>45677</v>
      </c>
      <c r="H1161" s="196">
        <v>0</v>
      </c>
      <c r="I1161" s="197">
        <v>0</v>
      </c>
      <c r="J1161" s="197">
        <v>0</v>
      </c>
      <c r="K1161" s="197">
        <v>0</v>
      </c>
      <c r="L1161" s="197">
        <v>0</v>
      </c>
      <c r="M1161" s="260" t="s">
        <v>239</v>
      </c>
      <c r="N1161" s="260" t="s">
        <v>514</v>
      </c>
    </row>
    <row r="1162" spans="1:14" ht="14.5" x14ac:dyDescent="0.35">
      <c r="A1162" s="260" t="s">
        <v>565</v>
      </c>
      <c r="B1162" s="190">
        <v>45678</v>
      </c>
      <c r="C1162" s="260" t="s">
        <v>749</v>
      </c>
      <c r="D1162" s="197">
        <v>80</v>
      </c>
      <c r="E1162" s="197">
        <v>8008</v>
      </c>
      <c r="F1162" s="197">
        <v>101.33</v>
      </c>
      <c r="G1162" s="190">
        <v>45678</v>
      </c>
      <c r="H1162" s="196">
        <v>0</v>
      </c>
      <c r="I1162" s="197">
        <v>8106.4</v>
      </c>
      <c r="J1162" s="197">
        <v>8106.4</v>
      </c>
      <c r="K1162" s="197">
        <v>0</v>
      </c>
      <c r="L1162" s="197">
        <v>98.399999999999636</v>
      </c>
      <c r="M1162" s="260" t="s">
        <v>239</v>
      </c>
      <c r="N1162" s="260" t="s">
        <v>514</v>
      </c>
    </row>
    <row r="1163" spans="1:14" ht="14.5" x14ac:dyDescent="0.35">
      <c r="A1163" s="260" t="s">
        <v>565</v>
      </c>
      <c r="B1163" s="190">
        <v>45678</v>
      </c>
      <c r="C1163" s="260" t="s">
        <v>752</v>
      </c>
      <c r="D1163" s="197">
        <v>100</v>
      </c>
      <c r="E1163" s="197">
        <v>20020</v>
      </c>
      <c r="F1163" s="197">
        <v>196.67</v>
      </c>
      <c r="G1163" s="190">
        <v>45678</v>
      </c>
      <c r="H1163" s="196">
        <v>0</v>
      </c>
      <c r="I1163" s="197">
        <v>19667</v>
      </c>
      <c r="J1163" s="197">
        <v>19667</v>
      </c>
      <c r="K1163" s="197">
        <v>0</v>
      </c>
      <c r="L1163" s="197">
        <v>-353</v>
      </c>
      <c r="M1163" s="260" t="s">
        <v>239</v>
      </c>
      <c r="N1163" s="260" t="s">
        <v>514</v>
      </c>
    </row>
    <row r="1164" spans="1:14" ht="14.5" x14ac:dyDescent="0.35">
      <c r="A1164" s="260" t="s">
        <v>565</v>
      </c>
      <c r="B1164" s="190">
        <v>45678</v>
      </c>
      <c r="C1164" s="260" t="s">
        <v>754</v>
      </c>
      <c r="D1164" s="197">
        <v>0</v>
      </c>
      <c r="E1164" s="197">
        <v>0</v>
      </c>
      <c r="F1164" s="197">
        <v>81.33</v>
      </c>
      <c r="G1164" s="190">
        <v>45678</v>
      </c>
      <c r="H1164" s="196">
        <v>0</v>
      </c>
      <c r="I1164" s="197">
        <v>0</v>
      </c>
      <c r="J1164" s="197">
        <v>0</v>
      </c>
      <c r="K1164" s="197">
        <v>0</v>
      </c>
      <c r="L1164" s="197">
        <v>0</v>
      </c>
      <c r="M1164" s="260" t="s">
        <v>239</v>
      </c>
      <c r="N1164" s="260" t="s">
        <v>514</v>
      </c>
    </row>
    <row r="1165" spans="1:14" ht="14.5" x14ac:dyDescent="0.35">
      <c r="A1165" s="260" t="s">
        <v>565</v>
      </c>
      <c r="B1165" s="190">
        <v>45679</v>
      </c>
      <c r="C1165" s="260" t="s">
        <v>749</v>
      </c>
      <c r="D1165" s="197">
        <v>80</v>
      </c>
      <c r="E1165" s="197">
        <v>8008</v>
      </c>
      <c r="F1165" s="197">
        <v>101.4</v>
      </c>
      <c r="G1165" s="190">
        <v>45679</v>
      </c>
      <c r="H1165" s="196">
        <v>0</v>
      </c>
      <c r="I1165" s="197">
        <v>8112</v>
      </c>
      <c r="J1165" s="197">
        <v>8112</v>
      </c>
      <c r="K1165" s="197">
        <v>0</v>
      </c>
      <c r="L1165" s="197">
        <v>104</v>
      </c>
      <c r="M1165" s="260" t="s">
        <v>239</v>
      </c>
      <c r="N1165" s="260" t="s">
        <v>514</v>
      </c>
    </row>
    <row r="1166" spans="1:14" ht="14.5" x14ac:dyDescent="0.35">
      <c r="A1166" s="260" t="s">
        <v>565</v>
      </c>
      <c r="B1166" s="190">
        <v>45679</v>
      </c>
      <c r="C1166" s="260" t="s">
        <v>752</v>
      </c>
      <c r="D1166" s="197">
        <v>100</v>
      </c>
      <c r="E1166" s="197">
        <v>20020</v>
      </c>
      <c r="F1166" s="197">
        <v>196.5</v>
      </c>
      <c r="G1166" s="190">
        <v>45679</v>
      </c>
      <c r="H1166" s="196">
        <v>0</v>
      </c>
      <c r="I1166" s="197">
        <v>19650</v>
      </c>
      <c r="J1166" s="197">
        <v>19650</v>
      </c>
      <c r="K1166" s="197">
        <v>0</v>
      </c>
      <c r="L1166" s="197">
        <v>-370</v>
      </c>
      <c r="M1166" s="260" t="s">
        <v>239</v>
      </c>
      <c r="N1166" s="260" t="s">
        <v>514</v>
      </c>
    </row>
    <row r="1167" spans="1:14" ht="14.5" x14ac:dyDescent="0.35">
      <c r="A1167" s="260" t="s">
        <v>565</v>
      </c>
      <c r="B1167" s="190">
        <v>45679</v>
      </c>
      <c r="C1167" s="260" t="s">
        <v>754</v>
      </c>
      <c r="D1167" s="197">
        <v>0</v>
      </c>
      <c r="E1167" s="197">
        <v>0</v>
      </c>
      <c r="F1167" s="197">
        <v>81.400000000000006</v>
      </c>
      <c r="G1167" s="190">
        <v>45679</v>
      </c>
      <c r="H1167" s="196">
        <v>0</v>
      </c>
      <c r="I1167" s="197">
        <v>0</v>
      </c>
      <c r="J1167" s="197">
        <v>0</v>
      </c>
      <c r="K1167" s="197">
        <v>0</v>
      </c>
      <c r="L1167" s="197">
        <v>0</v>
      </c>
      <c r="M1167" s="260" t="s">
        <v>239</v>
      </c>
      <c r="N1167" s="260" t="s">
        <v>514</v>
      </c>
    </row>
    <row r="1168" spans="1:14" ht="14.5" x14ac:dyDescent="0.35">
      <c r="A1168" s="260" t="s">
        <v>565</v>
      </c>
      <c r="B1168" s="190">
        <v>45680</v>
      </c>
      <c r="C1168" s="260" t="s">
        <v>749</v>
      </c>
      <c r="D1168" s="197">
        <v>80</v>
      </c>
      <c r="E1168" s="197">
        <v>8008</v>
      </c>
      <c r="F1168" s="197">
        <v>101.47</v>
      </c>
      <c r="G1168" s="190">
        <v>45680</v>
      </c>
      <c r="H1168" s="196">
        <v>0</v>
      </c>
      <c r="I1168" s="197">
        <v>8117.6</v>
      </c>
      <c r="J1168" s="197">
        <v>8117.6</v>
      </c>
      <c r="K1168" s="197">
        <v>0</v>
      </c>
      <c r="L1168" s="197">
        <v>109.60000000000036</v>
      </c>
      <c r="M1168" s="260" t="s">
        <v>239</v>
      </c>
      <c r="N1168" s="260" t="s">
        <v>514</v>
      </c>
    </row>
    <row r="1169" spans="1:14" ht="14.5" x14ac:dyDescent="0.35">
      <c r="A1169" s="260" t="s">
        <v>565</v>
      </c>
      <c r="B1169" s="190">
        <v>45680</v>
      </c>
      <c r="C1169" s="260" t="s">
        <v>752</v>
      </c>
      <c r="D1169" s="197">
        <v>100</v>
      </c>
      <c r="E1169" s="197">
        <v>20020</v>
      </c>
      <c r="F1169" s="197">
        <v>196.33</v>
      </c>
      <c r="G1169" s="190">
        <v>45680</v>
      </c>
      <c r="H1169" s="196">
        <v>0</v>
      </c>
      <c r="I1169" s="197">
        <v>19633</v>
      </c>
      <c r="J1169" s="197">
        <v>19633</v>
      </c>
      <c r="K1169" s="197">
        <v>0</v>
      </c>
      <c r="L1169" s="197">
        <v>-387</v>
      </c>
      <c r="M1169" s="260" t="s">
        <v>239</v>
      </c>
      <c r="N1169" s="260" t="s">
        <v>514</v>
      </c>
    </row>
    <row r="1170" spans="1:14" ht="14.5" x14ac:dyDescent="0.35">
      <c r="A1170" s="260" t="s">
        <v>565</v>
      </c>
      <c r="B1170" s="190">
        <v>45680</v>
      </c>
      <c r="C1170" s="260" t="s">
        <v>754</v>
      </c>
      <c r="D1170" s="197">
        <v>0</v>
      </c>
      <c r="E1170" s="197">
        <v>0</v>
      </c>
      <c r="F1170" s="197">
        <v>81.47</v>
      </c>
      <c r="G1170" s="190">
        <v>45680</v>
      </c>
      <c r="H1170" s="196">
        <v>0</v>
      </c>
      <c r="I1170" s="197">
        <v>0</v>
      </c>
      <c r="J1170" s="197">
        <v>0</v>
      </c>
      <c r="K1170" s="197">
        <v>0</v>
      </c>
      <c r="L1170" s="197">
        <v>0</v>
      </c>
      <c r="M1170" s="260" t="s">
        <v>239</v>
      </c>
      <c r="N1170" s="260" t="s">
        <v>514</v>
      </c>
    </row>
    <row r="1171" spans="1:14" ht="14.5" x14ac:dyDescent="0.35">
      <c r="A1171" s="260" t="s">
        <v>565</v>
      </c>
      <c r="B1171" s="190">
        <v>45681</v>
      </c>
      <c r="C1171" s="260" t="s">
        <v>749</v>
      </c>
      <c r="D1171" s="197">
        <v>80</v>
      </c>
      <c r="E1171" s="197">
        <v>8008</v>
      </c>
      <c r="F1171" s="197">
        <v>101.53</v>
      </c>
      <c r="G1171" s="190">
        <v>45681</v>
      </c>
      <c r="H1171" s="196">
        <v>0</v>
      </c>
      <c r="I1171" s="197">
        <v>8122.4</v>
      </c>
      <c r="J1171" s="197">
        <v>8122.4</v>
      </c>
      <c r="K1171" s="197">
        <v>0</v>
      </c>
      <c r="L1171" s="197">
        <v>114.39999999999964</v>
      </c>
      <c r="M1171" s="260" t="s">
        <v>239</v>
      </c>
      <c r="N1171" s="260" t="s">
        <v>514</v>
      </c>
    </row>
    <row r="1172" spans="1:14" ht="14.5" x14ac:dyDescent="0.35">
      <c r="A1172" s="260" t="s">
        <v>565</v>
      </c>
      <c r="B1172" s="190">
        <v>45681</v>
      </c>
      <c r="C1172" s="260" t="s">
        <v>752</v>
      </c>
      <c r="D1172" s="197">
        <v>100</v>
      </c>
      <c r="E1172" s="197">
        <v>20020</v>
      </c>
      <c r="F1172" s="197">
        <v>196.17</v>
      </c>
      <c r="G1172" s="190">
        <v>45681</v>
      </c>
      <c r="H1172" s="196">
        <v>0</v>
      </c>
      <c r="I1172" s="197">
        <v>19617</v>
      </c>
      <c r="J1172" s="197">
        <v>19617</v>
      </c>
      <c r="K1172" s="197">
        <v>0</v>
      </c>
      <c r="L1172" s="197">
        <v>-403</v>
      </c>
      <c r="M1172" s="260" t="s">
        <v>239</v>
      </c>
      <c r="N1172" s="260" t="s">
        <v>514</v>
      </c>
    </row>
    <row r="1173" spans="1:14" ht="14.5" x14ac:dyDescent="0.35">
      <c r="A1173" s="260" t="s">
        <v>565</v>
      </c>
      <c r="B1173" s="190">
        <v>45681</v>
      </c>
      <c r="C1173" s="260" t="s">
        <v>754</v>
      </c>
      <c r="D1173" s="197">
        <v>0</v>
      </c>
      <c r="E1173" s="197">
        <v>0</v>
      </c>
      <c r="F1173" s="197">
        <v>81.53</v>
      </c>
      <c r="G1173" s="190">
        <v>45681</v>
      </c>
      <c r="H1173" s="196">
        <v>0</v>
      </c>
      <c r="I1173" s="197">
        <v>0</v>
      </c>
      <c r="J1173" s="197">
        <v>0</v>
      </c>
      <c r="K1173" s="197">
        <v>0</v>
      </c>
      <c r="L1173" s="197">
        <v>0</v>
      </c>
      <c r="M1173" s="260" t="s">
        <v>239</v>
      </c>
      <c r="N1173" s="260" t="s">
        <v>514</v>
      </c>
    </row>
    <row r="1174" spans="1:14" ht="14.5" x14ac:dyDescent="0.35">
      <c r="A1174" s="260" t="s">
        <v>565</v>
      </c>
      <c r="B1174" s="190">
        <v>45682</v>
      </c>
      <c r="C1174" s="260" t="s">
        <v>749</v>
      </c>
      <c r="D1174" s="197">
        <v>80</v>
      </c>
      <c r="E1174" s="197">
        <v>8008</v>
      </c>
      <c r="F1174" s="197">
        <v>101.53</v>
      </c>
      <c r="G1174" s="190">
        <v>45681</v>
      </c>
      <c r="H1174" s="196">
        <v>1</v>
      </c>
      <c r="I1174" s="197">
        <v>8122.4</v>
      </c>
      <c r="J1174" s="197">
        <v>8122.4</v>
      </c>
      <c r="K1174" s="197">
        <v>0</v>
      </c>
      <c r="L1174" s="197">
        <v>114.39999999999964</v>
      </c>
      <c r="M1174" s="260" t="s">
        <v>239</v>
      </c>
      <c r="N1174" s="260" t="s">
        <v>514</v>
      </c>
    </row>
    <row r="1175" spans="1:14" ht="14.5" x14ac:dyDescent="0.35">
      <c r="A1175" s="260" t="s">
        <v>565</v>
      </c>
      <c r="B1175" s="190">
        <v>45682</v>
      </c>
      <c r="C1175" s="260" t="s">
        <v>752</v>
      </c>
      <c r="D1175" s="197">
        <v>100</v>
      </c>
      <c r="E1175" s="197">
        <v>20020</v>
      </c>
      <c r="F1175" s="197">
        <v>196.17</v>
      </c>
      <c r="G1175" s="190">
        <v>45681</v>
      </c>
      <c r="H1175" s="196">
        <v>1</v>
      </c>
      <c r="I1175" s="197">
        <v>19617</v>
      </c>
      <c r="J1175" s="197">
        <v>19617</v>
      </c>
      <c r="K1175" s="197">
        <v>0</v>
      </c>
      <c r="L1175" s="197">
        <v>-403</v>
      </c>
      <c r="M1175" s="260" t="s">
        <v>239</v>
      </c>
      <c r="N1175" s="260" t="s">
        <v>514</v>
      </c>
    </row>
    <row r="1176" spans="1:14" ht="14.5" x14ac:dyDescent="0.35">
      <c r="A1176" s="260" t="s">
        <v>565</v>
      </c>
      <c r="B1176" s="190">
        <v>45682</v>
      </c>
      <c r="C1176" s="260" t="s">
        <v>754</v>
      </c>
      <c r="D1176" s="197">
        <v>0</v>
      </c>
      <c r="E1176" s="197">
        <v>0</v>
      </c>
      <c r="F1176" s="197">
        <v>81.53</v>
      </c>
      <c r="G1176" s="190">
        <v>45681</v>
      </c>
      <c r="H1176" s="196">
        <v>1</v>
      </c>
      <c r="I1176" s="197">
        <v>0</v>
      </c>
      <c r="J1176" s="197">
        <v>0</v>
      </c>
      <c r="K1176" s="197">
        <v>0</v>
      </c>
      <c r="L1176" s="197">
        <v>0</v>
      </c>
      <c r="M1176" s="260" t="s">
        <v>239</v>
      </c>
      <c r="N1176" s="260" t="s">
        <v>514</v>
      </c>
    </row>
    <row r="1177" spans="1:14" ht="14.5" x14ac:dyDescent="0.35">
      <c r="A1177" s="260" t="s">
        <v>565</v>
      </c>
      <c r="B1177" s="190">
        <v>45683</v>
      </c>
      <c r="C1177" s="260" t="s">
        <v>749</v>
      </c>
      <c r="D1177" s="197">
        <v>80</v>
      </c>
      <c r="E1177" s="197">
        <v>8008</v>
      </c>
      <c r="F1177" s="197">
        <v>101.53</v>
      </c>
      <c r="G1177" s="190">
        <v>45681</v>
      </c>
      <c r="H1177" s="196">
        <v>2</v>
      </c>
      <c r="I1177" s="197">
        <v>8122.4</v>
      </c>
      <c r="J1177" s="197">
        <v>8122.4</v>
      </c>
      <c r="K1177" s="197">
        <v>0</v>
      </c>
      <c r="L1177" s="197">
        <v>114.39999999999964</v>
      </c>
      <c r="M1177" s="260" t="s">
        <v>239</v>
      </c>
      <c r="N1177" s="260" t="s">
        <v>514</v>
      </c>
    </row>
    <row r="1178" spans="1:14" ht="14.5" x14ac:dyDescent="0.35">
      <c r="A1178" s="260" t="s">
        <v>565</v>
      </c>
      <c r="B1178" s="190">
        <v>45683</v>
      </c>
      <c r="C1178" s="260" t="s">
        <v>752</v>
      </c>
      <c r="D1178" s="197">
        <v>100</v>
      </c>
      <c r="E1178" s="197">
        <v>20020</v>
      </c>
      <c r="F1178" s="197">
        <v>196.17</v>
      </c>
      <c r="G1178" s="190">
        <v>45681</v>
      </c>
      <c r="H1178" s="196">
        <v>2</v>
      </c>
      <c r="I1178" s="197">
        <v>19617</v>
      </c>
      <c r="J1178" s="197">
        <v>19617</v>
      </c>
      <c r="K1178" s="197">
        <v>0</v>
      </c>
      <c r="L1178" s="197">
        <v>-403</v>
      </c>
      <c r="M1178" s="260" t="s">
        <v>239</v>
      </c>
      <c r="N1178" s="260" t="s">
        <v>514</v>
      </c>
    </row>
    <row r="1179" spans="1:14" ht="14.5" x14ac:dyDescent="0.35">
      <c r="A1179" s="260" t="s">
        <v>565</v>
      </c>
      <c r="B1179" s="190">
        <v>45683</v>
      </c>
      <c r="C1179" s="260" t="s">
        <v>754</v>
      </c>
      <c r="D1179" s="197">
        <v>0</v>
      </c>
      <c r="E1179" s="197">
        <v>0</v>
      </c>
      <c r="F1179" s="197">
        <v>81.53</v>
      </c>
      <c r="G1179" s="190">
        <v>45681</v>
      </c>
      <c r="H1179" s="196">
        <v>2</v>
      </c>
      <c r="I1179" s="197">
        <v>0</v>
      </c>
      <c r="J1179" s="197">
        <v>0</v>
      </c>
      <c r="K1179" s="197">
        <v>0</v>
      </c>
      <c r="L1179" s="197">
        <v>0</v>
      </c>
      <c r="M1179" s="260" t="s">
        <v>239</v>
      </c>
      <c r="N1179" s="260" t="s">
        <v>514</v>
      </c>
    </row>
    <row r="1180" spans="1:14" ht="14.5" x14ac:dyDescent="0.35">
      <c r="A1180" s="260" t="s">
        <v>565</v>
      </c>
      <c r="B1180" s="190">
        <v>45684</v>
      </c>
      <c r="C1180" s="260" t="s">
        <v>749</v>
      </c>
      <c r="D1180" s="197">
        <v>80</v>
      </c>
      <c r="E1180" s="197">
        <v>8008</v>
      </c>
      <c r="F1180" s="197">
        <v>101.73</v>
      </c>
      <c r="G1180" s="190">
        <v>45684</v>
      </c>
      <c r="H1180" s="196">
        <v>0</v>
      </c>
      <c r="I1180" s="197">
        <v>8138.4000000000005</v>
      </c>
      <c r="J1180" s="197">
        <v>8138.4000000000005</v>
      </c>
      <c r="K1180" s="197">
        <v>0</v>
      </c>
      <c r="L1180" s="197">
        <v>130.40000000000055</v>
      </c>
      <c r="M1180" s="260" t="s">
        <v>239</v>
      </c>
      <c r="N1180" s="260" t="s">
        <v>514</v>
      </c>
    </row>
    <row r="1181" spans="1:14" ht="14.5" x14ac:dyDescent="0.35">
      <c r="A1181" s="260" t="s">
        <v>565</v>
      </c>
      <c r="B1181" s="190">
        <v>45684</v>
      </c>
      <c r="C1181" s="260" t="s">
        <v>752</v>
      </c>
      <c r="D1181" s="197">
        <v>100</v>
      </c>
      <c r="E1181" s="197">
        <v>20020</v>
      </c>
      <c r="F1181" s="197">
        <v>195.67</v>
      </c>
      <c r="G1181" s="190">
        <v>45684</v>
      </c>
      <c r="H1181" s="196">
        <v>0</v>
      </c>
      <c r="I1181" s="197">
        <v>19567</v>
      </c>
      <c r="J1181" s="197">
        <v>19567</v>
      </c>
      <c r="K1181" s="197">
        <v>0</v>
      </c>
      <c r="L1181" s="197">
        <v>-453</v>
      </c>
      <c r="M1181" s="260" t="s">
        <v>239</v>
      </c>
      <c r="N1181" s="260" t="s">
        <v>514</v>
      </c>
    </row>
    <row r="1182" spans="1:14" ht="14.5" x14ac:dyDescent="0.35">
      <c r="A1182" s="260" t="s">
        <v>565</v>
      </c>
      <c r="B1182" s="190">
        <v>45684</v>
      </c>
      <c r="C1182" s="260" t="s">
        <v>754</v>
      </c>
      <c r="D1182" s="197">
        <v>0</v>
      </c>
      <c r="E1182" s="197">
        <v>0</v>
      </c>
      <c r="F1182" s="197">
        <v>81.73</v>
      </c>
      <c r="G1182" s="190">
        <v>45684</v>
      </c>
      <c r="H1182" s="196">
        <v>0</v>
      </c>
      <c r="I1182" s="197">
        <v>0</v>
      </c>
      <c r="J1182" s="197">
        <v>0</v>
      </c>
      <c r="K1182" s="197">
        <v>0</v>
      </c>
      <c r="L1182" s="197">
        <v>0</v>
      </c>
      <c r="M1182" s="260" t="s">
        <v>239</v>
      </c>
      <c r="N1182" s="260" t="s">
        <v>514</v>
      </c>
    </row>
    <row r="1183" spans="1:14" ht="14.5" x14ac:dyDescent="0.35">
      <c r="A1183" s="260" t="s">
        <v>565</v>
      </c>
      <c r="B1183" s="190">
        <v>45685</v>
      </c>
      <c r="C1183" s="260" t="s">
        <v>749</v>
      </c>
      <c r="D1183" s="197">
        <v>80</v>
      </c>
      <c r="E1183" s="197">
        <v>8008</v>
      </c>
      <c r="F1183" s="197">
        <v>101.8</v>
      </c>
      <c r="G1183" s="190">
        <v>45685</v>
      </c>
      <c r="H1183" s="196">
        <v>0</v>
      </c>
      <c r="I1183" s="197">
        <v>8144</v>
      </c>
      <c r="J1183" s="197">
        <v>8144</v>
      </c>
      <c r="K1183" s="197">
        <v>0</v>
      </c>
      <c r="L1183" s="197">
        <v>136</v>
      </c>
      <c r="M1183" s="260" t="s">
        <v>239</v>
      </c>
      <c r="N1183" s="260" t="s">
        <v>514</v>
      </c>
    </row>
    <row r="1184" spans="1:14" ht="14.5" x14ac:dyDescent="0.35">
      <c r="A1184" s="260" t="s">
        <v>565</v>
      </c>
      <c r="B1184" s="190">
        <v>45685</v>
      </c>
      <c r="C1184" s="260" t="s">
        <v>752</v>
      </c>
      <c r="D1184" s="197">
        <v>100</v>
      </c>
      <c r="E1184" s="197">
        <v>20020</v>
      </c>
      <c r="F1184" s="197">
        <v>195.5</v>
      </c>
      <c r="G1184" s="190">
        <v>45685</v>
      </c>
      <c r="H1184" s="196">
        <v>0</v>
      </c>
      <c r="I1184" s="197">
        <v>19550</v>
      </c>
      <c r="J1184" s="197">
        <v>19550</v>
      </c>
      <c r="K1184" s="197">
        <v>0</v>
      </c>
      <c r="L1184" s="197">
        <v>-470</v>
      </c>
      <c r="M1184" s="260" t="s">
        <v>239</v>
      </c>
      <c r="N1184" s="260" t="s">
        <v>514</v>
      </c>
    </row>
    <row r="1185" spans="1:14" ht="14.5" x14ac:dyDescent="0.35">
      <c r="A1185" s="260" t="s">
        <v>565</v>
      </c>
      <c r="B1185" s="190">
        <v>45685</v>
      </c>
      <c r="C1185" s="260" t="s">
        <v>754</v>
      </c>
      <c r="D1185" s="197">
        <v>0</v>
      </c>
      <c r="E1185" s="197">
        <v>0</v>
      </c>
      <c r="F1185" s="197">
        <v>81.8</v>
      </c>
      <c r="G1185" s="190">
        <v>45685</v>
      </c>
      <c r="H1185" s="196">
        <v>0</v>
      </c>
      <c r="I1185" s="197">
        <v>0</v>
      </c>
      <c r="J1185" s="197">
        <v>0</v>
      </c>
      <c r="K1185" s="197">
        <v>0</v>
      </c>
      <c r="L1185" s="197">
        <v>0</v>
      </c>
      <c r="M1185" s="260" t="s">
        <v>239</v>
      </c>
      <c r="N1185" s="260" t="s">
        <v>514</v>
      </c>
    </row>
    <row r="1186" spans="1:14" ht="14.5" x14ac:dyDescent="0.35">
      <c r="A1186" s="260" t="s">
        <v>565</v>
      </c>
      <c r="B1186" s="190">
        <v>45686</v>
      </c>
      <c r="C1186" s="260" t="s">
        <v>749</v>
      </c>
      <c r="D1186" s="197">
        <v>80</v>
      </c>
      <c r="E1186" s="197">
        <v>8008</v>
      </c>
      <c r="F1186" s="197">
        <v>101.87</v>
      </c>
      <c r="G1186" s="190">
        <v>45686</v>
      </c>
      <c r="H1186" s="196">
        <v>0</v>
      </c>
      <c r="I1186" s="197">
        <v>8149.6</v>
      </c>
      <c r="J1186" s="197">
        <v>8149.6</v>
      </c>
      <c r="K1186" s="197">
        <v>0</v>
      </c>
      <c r="L1186" s="197">
        <v>141.60000000000036</v>
      </c>
      <c r="M1186" s="260" t="s">
        <v>239</v>
      </c>
      <c r="N1186" s="260" t="s">
        <v>514</v>
      </c>
    </row>
    <row r="1187" spans="1:14" ht="14.5" x14ac:dyDescent="0.35">
      <c r="A1187" s="260" t="s">
        <v>565</v>
      </c>
      <c r="B1187" s="190">
        <v>45686</v>
      </c>
      <c r="C1187" s="260" t="s">
        <v>752</v>
      </c>
      <c r="D1187" s="197">
        <v>100</v>
      </c>
      <c r="E1187" s="197">
        <v>20020</v>
      </c>
      <c r="F1187" s="197">
        <v>195.33</v>
      </c>
      <c r="G1187" s="190">
        <v>45686</v>
      </c>
      <c r="H1187" s="196">
        <v>0</v>
      </c>
      <c r="I1187" s="197">
        <v>19533</v>
      </c>
      <c r="J1187" s="197">
        <v>19533</v>
      </c>
      <c r="K1187" s="197">
        <v>0</v>
      </c>
      <c r="L1187" s="197">
        <v>-487</v>
      </c>
      <c r="M1187" s="260" t="s">
        <v>239</v>
      </c>
      <c r="N1187" s="260" t="s">
        <v>514</v>
      </c>
    </row>
    <row r="1188" spans="1:14" ht="14.5" x14ac:dyDescent="0.35">
      <c r="A1188" s="260" t="s">
        <v>565</v>
      </c>
      <c r="B1188" s="190">
        <v>45686</v>
      </c>
      <c r="C1188" s="260" t="s">
        <v>754</v>
      </c>
      <c r="D1188" s="197">
        <v>0</v>
      </c>
      <c r="E1188" s="197">
        <v>0</v>
      </c>
      <c r="F1188" s="197">
        <v>81.87</v>
      </c>
      <c r="G1188" s="190">
        <v>45686</v>
      </c>
      <c r="H1188" s="196">
        <v>0</v>
      </c>
      <c r="I1188" s="197">
        <v>0</v>
      </c>
      <c r="J1188" s="197">
        <v>0</v>
      </c>
      <c r="K1188" s="197">
        <v>0</v>
      </c>
      <c r="L1188" s="197">
        <v>0</v>
      </c>
      <c r="M1188" s="260" t="s">
        <v>239</v>
      </c>
      <c r="N1188" s="260" t="s">
        <v>514</v>
      </c>
    </row>
    <row r="1189" spans="1:14" ht="14.5" x14ac:dyDescent="0.35">
      <c r="A1189" s="260" t="s">
        <v>565</v>
      </c>
      <c r="B1189" s="190">
        <v>45687</v>
      </c>
      <c r="C1189" s="260" t="s">
        <v>749</v>
      </c>
      <c r="D1189" s="197">
        <v>80</v>
      </c>
      <c r="E1189" s="197">
        <v>8008</v>
      </c>
      <c r="F1189" s="197">
        <v>101.93</v>
      </c>
      <c r="G1189" s="190">
        <v>45687</v>
      </c>
      <c r="H1189" s="196">
        <v>0</v>
      </c>
      <c r="I1189" s="197">
        <v>8154.4000000000005</v>
      </c>
      <c r="J1189" s="197">
        <v>8154.4000000000005</v>
      </c>
      <c r="K1189" s="197">
        <v>0</v>
      </c>
      <c r="L1189" s="197">
        <v>146.40000000000055</v>
      </c>
      <c r="M1189" s="260" t="s">
        <v>239</v>
      </c>
      <c r="N1189" s="260" t="s">
        <v>514</v>
      </c>
    </row>
    <row r="1190" spans="1:14" ht="14.5" x14ac:dyDescent="0.35">
      <c r="A1190" s="260" t="s">
        <v>565</v>
      </c>
      <c r="B1190" s="190">
        <v>45687</v>
      </c>
      <c r="C1190" s="260" t="s">
        <v>752</v>
      </c>
      <c r="D1190" s="197">
        <v>100</v>
      </c>
      <c r="E1190" s="197">
        <v>20020</v>
      </c>
      <c r="F1190" s="197">
        <v>195.17</v>
      </c>
      <c r="G1190" s="190">
        <v>45687</v>
      </c>
      <c r="H1190" s="196">
        <v>0</v>
      </c>
      <c r="I1190" s="197">
        <v>19517</v>
      </c>
      <c r="J1190" s="197">
        <v>19517</v>
      </c>
      <c r="K1190" s="197">
        <v>0</v>
      </c>
      <c r="L1190" s="197">
        <v>-503</v>
      </c>
      <c r="M1190" s="260" t="s">
        <v>239</v>
      </c>
      <c r="N1190" s="260" t="s">
        <v>514</v>
      </c>
    </row>
    <row r="1191" spans="1:14" ht="14.5" x14ac:dyDescent="0.35">
      <c r="A1191" s="260" t="s">
        <v>565</v>
      </c>
      <c r="B1191" s="190">
        <v>45687</v>
      </c>
      <c r="C1191" s="260" t="s">
        <v>754</v>
      </c>
      <c r="D1191" s="197">
        <v>0</v>
      </c>
      <c r="E1191" s="197">
        <v>0</v>
      </c>
      <c r="F1191" s="197">
        <v>81.93</v>
      </c>
      <c r="G1191" s="190">
        <v>45687</v>
      </c>
      <c r="H1191" s="196">
        <v>0</v>
      </c>
      <c r="I1191" s="197">
        <v>0</v>
      </c>
      <c r="J1191" s="197">
        <v>0</v>
      </c>
      <c r="K1191" s="197">
        <v>0</v>
      </c>
      <c r="L1191" s="197">
        <v>0</v>
      </c>
      <c r="M1191" s="260" t="s">
        <v>239</v>
      </c>
      <c r="N1191" s="260" t="s">
        <v>514</v>
      </c>
    </row>
    <row r="1192" spans="1:14" ht="14.5" x14ac:dyDescent="0.35">
      <c r="A1192" s="260" t="s">
        <v>565</v>
      </c>
      <c r="B1192" s="190">
        <v>45688</v>
      </c>
      <c r="C1192" s="260" t="s">
        <v>749</v>
      </c>
      <c r="D1192" s="197">
        <v>80</v>
      </c>
      <c r="E1192" s="197">
        <v>8008</v>
      </c>
      <c r="F1192" s="197">
        <v>102</v>
      </c>
      <c r="G1192" s="190">
        <v>45688</v>
      </c>
      <c r="H1192" s="196">
        <v>0</v>
      </c>
      <c r="I1192" s="197">
        <v>8160</v>
      </c>
      <c r="J1192" s="197">
        <v>8160</v>
      </c>
      <c r="K1192" s="197">
        <v>0</v>
      </c>
      <c r="L1192" s="197">
        <v>152</v>
      </c>
      <c r="M1192" s="260" t="s">
        <v>239</v>
      </c>
      <c r="N1192" s="260" t="s">
        <v>514</v>
      </c>
    </row>
    <row r="1193" spans="1:14" ht="14.5" x14ac:dyDescent="0.35">
      <c r="A1193" s="260" t="s">
        <v>565</v>
      </c>
      <c r="B1193" s="190">
        <v>45688</v>
      </c>
      <c r="C1193" s="260" t="s">
        <v>752</v>
      </c>
      <c r="D1193" s="197">
        <v>100</v>
      </c>
      <c r="E1193" s="197">
        <v>20020</v>
      </c>
      <c r="F1193" s="197">
        <v>195</v>
      </c>
      <c r="G1193" s="190">
        <v>45688</v>
      </c>
      <c r="H1193" s="196">
        <v>0</v>
      </c>
      <c r="I1193" s="197">
        <v>19500</v>
      </c>
      <c r="J1193" s="197">
        <v>19500</v>
      </c>
      <c r="K1193" s="197">
        <v>0</v>
      </c>
      <c r="L1193" s="197">
        <v>-520</v>
      </c>
      <c r="M1193" s="260" t="s">
        <v>239</v>
      </c>
      <c r="N1193" s="260" t="s">
        <v>514</v>
      </c>
    </row>
    <row r="1194" spans="1:14" ht="14.5" x14ac:dyDescent="0.35">
      <c r="A1194" s="260" t="s">
        <v>565</v>
      </c>
      <c r="B1194" s="190">
        <v>45688</v>
      </c>
      <c r="C1194" s="260" t="s">
        <v>754</v>
      </c>
      <c r="D1194" s="197">
        <v>0</v>
      </c>
      <c r="E1194" s="197">
        <v>0</v>
      </c>
      <c r="F1194" s="197">
        <v>82</v>
      </c>
      <c r="G1194" s="190">
        <v>45688</v>
      </c>
      <c r="H1194" s="196">
        <v>0</v>
      </c>
      <c r="I1194" s="197">
        <v>0</v>
      </c>
      <c r="J1194" s="197">
        <v>0</v>
      </c>
      <c r="K1194" s="197">
        <v>0</v>
      </c>
      <c r="L1194" s="197">
        <v>0</v>
      </c>
      <c r="M1194" s="260" t="s">
        <v>239</v>
      </c>
      <c r="N1194" s="260" t="s">
        <v>514</v>
      </c>
    </row>
    <row r="1195" spans="1:14" ht="14.5" x14ac:dyDescent="0.35">
      <c r="A1195" s="260" t="s">
        <v>565</v>
      </c>
      <c r="B1195" s="190">
        <v>45689</v>
      </c>
      <c r="C1195" s="260" t="s">
        <v>749</v>
      </c>
      <c r="D1195" s="197">
        <v>80</v>
      </c>
      <c r="E1195" s="197">
        <v>8008</v>
      </c>
      <c r="F1195" s="197">
        <v>102</v>
      </c>
      <c r="G1195" s="190">
        <v>45688</v>
      </c>
      <c r="H1195" s="196">
        <v>1</v>
      </c>
      <c r="I1195" s="197">
        <v>8160</v>
      </c>
      <c r="J1195" s="197">
        <v>8160</v>
      </c>
      <c r="K1195" s="197">
        <v>0</v>
      </c>
      <c r="L1195" s="197">
        <v>152</v>
      </c>
      <c r="M1195" s="260" t="s">
        <v>239</v>
      </c>
      <c r="N1195" s="260" t="s">
        <v>514</v>
      </c>
    </row>
    <row r="1196" spans="1:14" ht="14.5" x14ac:dyDescent="0.35">
      <c r="A1196" s="260" t="s">
        <v>565</v>
      </c>
      <c r="B1196" s="190">
        <v>45689</v>
      </c>
      <c r="C1196" s="260" t="s">
        <v>752</v>
      </c>
      <c r="D1196" s="197">
        <v>100</v>
      </c>
      <c r="E1196" s="197">
        <v>20020</v>
      </c>
      <c r="F1196" s="197">
        <v>195</v>
      </c>
      <c r="G1196" s="190">
        <v>45688</v>
      </c>
      <c r="H1196" s="196">
        <v>1</v>
      </c>
      <c r="I1196" s="197">
        <v>19500</v>
      </c>
      <c r="J1196" s="197">
        <v>19500</v>
      </c>
      <c r="K1196" s="197">
        <v>0</v>
      </c>
      <c r="L1196" s="197">
        <v>-520</v>
      </c>
      <c r="M1196" s="260" t="s">
        <v>239</v>
      </c>
      <c r="N1196" s="260" t="s">
        <v>514</v>
      </c>
    </row>
    <row r="1197" spans="1:14" ht="14.5" x14ac:dyDescent="0.35">
      <c r="A1197" s="260" t="s">
        <v>565</v>
      </c>
      <c r="B1197" s="190">
        <v>45689</v>
      </c>
      <c r="C1197" s="260" t="s">
        <v>754</v>
      </c>
      <c r="D1197" s="197">
        <v>0</v>
      </c>
      <c r="E1197" s="197">
        <v>0</v>
      </c>
      <c r="F1197" s="197">
        <v>82</v>
      </c>
      <c r="G1197" s="190">
        <v>45688</v>
      </c>
      <c r="H1197" s="196">
        <v>1</v>
      </c>
      <c r="I1197" s="197">
        <v>0</v>
      </c>
      <c r="J1197" s="197">
        <v>0</v>
      </c>
      <c r="K1197" s="197">
        <v>0</v>
      </c>
      <c r="L1197" s="197">
        <v>0</v>
      </c>
      <c r="M1197" s="260" t="s">
        <v>239</v>
      </c>
      <c r="N1197" s="260" t="s">
        <v>514</v>
      </c>
    </row>
    <row r="1198" spans="1:14" ht="14.5" x14ac:dyDescent="0.35">
      <c r="A1198" s="260" t="s">
        <v>565</v>
      </c>
      <c r="B1198" s="190">
        <v>45690</v>
      </c>
      <c r="C1198" s="260" t="s">
        <v>749</v>
      </c>
      <c r="D1198" s="197">
        <v>80</v>
      </c>
      <c r="E1198" s="197">
        <v>8008</v>
      </c>
      <c r="F1198" s="197">
        <v>102</v>
      </c>
      <c r="G1198" s="190">
        <v>45688</v>
      </c>
      <c r="H1198" s="196">
        <v>2</v>
      </c>
      <c r="I1198" s="197">
        <v>8160</v>
      </c>
      <c r="J1198" s="197">
        <v>8160</v>
      </c>
      <c r="K1198" s="197">
        <v>0</v>
      </c>
      <c r="L1198" s="197">
        <v>152</v>
      </c>
      <c r="M1198" s="260" t="s">
        <v>239</v>
      </c>
      <c r="N1198" s="260" t="s">
        <v>514</v>
      </c>
    </row>
    <row r="1199" spans="1:14" ht="14.5" x14ac:dyDescent="0.35">
      <c r="A1199" s="260" t="s">
        <v>565</v>
      </c>
      <c r="B1199" s="190">
        <v>45690</v>
      </c>
      <c r="C1199" s="260" t="s">
        <v>752</v>
      </c>
      <c r="D1199" s="197">
        <v>100</v>
      </c>
      <c r="E1199" s="197">
        <v>20020</v>
      </c>
      <c r="F1199" s="197">
        <v>195</v>
      </c>
      <c r="G1199" s="190">
        <v>45688</v>
      </c>
      <c r="H1199" s="196">
        <v>2</v>
      </c>
      <c r="I1199" s="197">
        <v>19500</v>
      </c>
      <c r="J1199" s="197">
        <v>19500</v>
      </c>
      <c r="K1199" s="197">
        <v>0</v>
      </c>
      <c r="L1199" s="197">
        <v>-520</v>
      </c>
      <c r="M1199" s="260" t="s">
        <v>239</v>
      </c>
      <c r="N1199" s="260" t="s">
        <v>514</v>
      </c>
    </row>
    <row r="1200" spans="1:14" ht="14.5" x14ac:dyDescent="0.35">
      <c r="A1200" s="260" t="s">
        <v>565</v>
      </c>
      <c r="B1200" s="190">
        <v>45690</v>
      </c>
      <c r="C1200" s="260" t="s">
        <v>754</v>
      </c>
      <c r="D1200" s="197">
        <v>0</v>
      </c>
      <c r="E1200" s="197">
        <v>0</v>
      </c>
      <c r="F1200" s="197">
        <v>82</v>
      </c>
      <c r="G1200" s="190">
        <v>45688</v>
      </c>
      <c r="H1200" s="196">
        <v>2</v>
      </c>
      <c r="I1200" s="197">
        <v>0</v>
      </c>
      <c r="J1200" s="197">
        <v>0</v>
      </c>
      <c r="K1200" s="197">
        <v>0</v>
      </c>
      <c r="L1200" s="197">
        <v>0</v>
      </c>
      <c r="M1200" s="260" t="s">
        <v>239</v>
      </c>
      <c r="N1200" s="260" t="s">
        <v>514</v>
      </c>
    </row>
    <row r="1201" spans="1:14" ht="14.5" x14ac:dyDescent="0.35">
      <c r="A1201" s="260" t="s">
        <v>565</v>
      </c>
      <c r="B1201" s="190">
        <v>45691</v>
      </c>
      <c r="C1201" s="260" t="s">
        <v>749</v>
      </c>
      <c r="D1201" s="197">
        <v>80</v>
      </c>
      <c r="E1201" s="197">
        <v>8008</v>
      </c>
      <c r="F1201" s="197">
        <v>101.63</v>
      </c>
      <c r="G1201" s="190">
        <v>45691</v>
      </c>
      <c r="H1201" s="196">
        <v>0</v>
      </c>
      <c r="I1201" s="197">
        <v>8130.4</v>
      </c>
      <c r="J1201" s="197">
        <v>8130.4</v>
      </c>
      <c r="K1201" s="197">
        <v>0</v>
      </c>
      <c r="L1201" s="197">
        <v>122.39999999999964</v>
      </c>
      <c r="M1201" s="260" t="s">
        <v>239</v>
      </c>
      <c r="N1201" s="260" t="s">
        <v>514</v>
      </c>
    </row>
    <row r="1202" spans="1:14" ht="14.5" x14ac:dyDescent="0.35">
      <c r="A1202" s="260" t="s">
        <v>565</v>
      </c>
      <c r="B1202" s="190">
        <v>45691</v>
      </c>
      <c r="C1202" s="260" t="s">
        <v>752</v>
      </c>
      <c r="D1202" s="197">
        <v>100</v>
      </c>
      <c r="E1202" s="197">
        <v>20020</v>
      </c>
      <c r="F1202" s="197">
        <v>195.44</v>
      </c>
      <c r="G1202" s="190">
        <v>45691</v>
      </c>
      <c r="H1202" s="196">
        <v>0</v>
      </c>
      <c r="I1202" s="197">
        <v>19544</v>
      </c>
      <c r="J1202" s="197">
        <v>19544</v>
      </c>
      <c r="K1202" s="197">
        <v>0</v>
      </c>
      <c r="L1202" s="197">
        <v>-476</v>
      </c>
      <c r="M1202" s="260" t="s">
        <v>239</v>
      </c>
      <c r="N1202" s="260" t="s">
        <v>514</v>
      </c>
    </row>
    <row r="1203" spans="1:14" ht="14.5" x14ac:dyDescent="0.35">
      <c r="A1203" s="260" t="s">
        <v>565</v>
      </c>
      <c r="B1203" s="190">
        <v>45691</v>
      </c>
      <c r="C1203" s="260" t="s">
        <v>754</v>
      </c>
      <c r="D1203" s="197">
        <v>50</v>
      </c>
      <c r="E1203" s="197">
        <v>4104</v>
      </c>
      <c r="F1203" s="197">
        <v>81.7</v>
      </c>
      <c r="G1203" s="190">
        <v>45691</v>
      </c>
      <c r="H1203" s="196">
        <v>0</v>
      </c>
      <c r="I1203" s="197">
        <v>4085</v>
      </c>
      <c r="J1203" s="197">
        <v>4085</v>
      </c>
      <c r="K1203" s="197">
        <v>0</v>
      </c>
      <c r="L1203" s="197">
        <v>-19</v>
      </c>
      <c r="M1203" s="260" t="s">
        <v>239</v>
      </c>
      <c r="N1203" s="260" t="s">
        <v>514</v>
      </c>
    </row>
    <row r="1204" spans="1:14" ht="14.5" x14ac:dyDescent="0.35">
      <c r="A1204" s="260" t="s">
        <v>565</v>
      </c>
      <c r="B1204" s="190">
        <v>45692</v>
      </c>
      <c r="C1204" s="260" t="s">
        <v>749</v>
      </c>
      <c r="D1204" s="197">
        <v>80</v>
      </c>
      <c r="E1204" s="197">
        <v>8008</v>
      </c>
      <c r="F1204" s="197">
        <v>101.44</v>
      </c>
      <c r="G1204" s="190">
        <v>45692</v>
      </c>
      <c r="H1204" s="196">
        <v>0</v>
      </c>
      <c r="I1204" s="197">
        <v>8115.2</v>
      </c>
      <c r="J1204" s="197">
        <v>8115.2</v>
      </c>
      <c r="K1204" s="197">
        <v>0</v>
      </c>
      <c r="L1204" s="197">
        <v>107.19999999999982</v>
      </c>
      <c r="M1204" s="260" t="s">
        <v>239</v>
      </c>
      <c r="N1204" s="260" t="s">
        <v>514</v>
      </c>
    </row>
    <row r="1205" spans="1:14" ht="14.5" x14ac:dyDescent="0.35">
      <c r="A1205" s="260" t="s">
        <v>565</v>
      </c>
      <c r="B1205" s="190">
        <v>45692</v>
      </c>
      <c r="C1205" s="260" t="s">
        <v>752</v>
      </c>
      <c r="D1205" s="197">
        <v>100</v>
      </c>
      <c r="E1205" s="197">
        <v>20020</v>
      </c>
      <c r="F1205" s="197">
        <v>195.67</v>
      </c>
      <c r="G1205" s="190">
        <v>45692</v>
      </c>
      <c r="H1205" s="196">
        <v>0</v>
      </c>
      <c r="I1205" s="197">
        <v>19567</v>
      </c>
      <c r="J1205" s="197">
        <v>19567</v>
      </c>
      <c r="K1205" s="197">
        <v>0</v>
      </c>
      <c r="L1205" s="197">
        <v>-453</v>
      </c>
      <c r="M1205" s="260" t="s">
        <v>239</v>
      </c>
      <c r="N1205" s="260" t="s">
        <v>514</v>
      </c>
    </row>
    <row r="1206" spans="1:14" ht="14.5" x14ac:dyDescent="0.35">
      <c r="A1206" s="260" t="s">
        <v>565</v>
      </c>
      <c r="B1206" s="190">
        <v>45692</v>
      </c>
      <c r="C1206" s="260" t="s">
        <v>754</v>
      </c>
      <c r="D1206" s="197">
        <v>50</v>
      </c>
      <c r="E1206" s="197">
        <v>4104</v>
      </c>
      <c r="F1206" s="197">
        <v>81.56</v>
      </c>
      <c r="G1206" s="190">
        <v>45692</v>
      </c>
      <c r="H1206" s="196">
        <v>0</v>
      </c>
      <c r="I1206" s="197">
        <v>4078</v>
      </c>
      <c r="J1206" s="197">
        <v>4078</v>
      </c>
      <c r="K1206" s="197">
        <v>0</v>
      </c>
      <c r="L1206" s="197">
        <v>-26</v>
      </c>
      <c r="M1206" s="260" t="s">
        <v>239</v>
      </c>
      <c r="N1206" s="260" t="s">
        <v>514</v>
      </c>
    </row>
    <row r="1207" spans="1:14" ht="14.5" x14ac:dyDescent="0.35">
      <c r="A1207" s="260" t="s">
        <v>565</v>
      </c>
      <c r="B1207" s="190">
        <v>45693</v>
      </c>
      <c r="C1207" s="260" t="s">
        <v>749</v>
      </c>
      <c r="D1207" s="197">
        <v>80</v>
      </c>
      <c r="E1207" s="197">
        <v>8008</v>
      </c>
      <c r="F1207" s="197">
        <v>101.26</v>
      </c>
      <c r="G1207" s="190">
        <v>45693</v>
      </c>
      <c r="H1207" s="196">
        <v>0</v>
      </c>
      <c r="I1207" s="197">
        <v>8100.8</v>
      </c>
      <c r="J1207" s="197">
        <v>8100.8</v>
      </c>
      <c r="K1207" s="197">
        <v>0</v>
      </c>
      <c r="L1207" s="197">
        <v>92.800000000000182</v>
      </c>
      <c r="M1207" s="260" t="s">
        <v>239</v>
      </c>
      <c r="N1207" s="260" t="s">
        <v>514</v>
      </c>
    </row>
    <row r="1208" spans="1:14" ht="14.5" x14ac:dyDescent="0.35">
      <c r="A1208" s="260" t="s">
        <v>565</v>
      </c>
      <c r="B1208" s="190">
        <v>45693</v>
      </c>
      <c r="C1208" s="260" t="s">
        <v>752</v>
      </c>
      <c r="D1208" s="197">
        <v>100</v>
      </c>
      <c r="E1208" s="197">
        <v>20020</v>
      </c>
      <c r="F1208" s="197">
        <v>195.89</v>
      </c>
      <c r="G1208" s="190">
        <v>45693</v>
      </c>
      <c r="H1208" s="196">
        <v>0</v>
      </c>
      <c r="I1208" s="197">
        <v>19589</v>
      </c>
      <c r="J1208" s="197">
        <v>19589</v>
      </c>
      <c r="K1208" s="197">
        <v>0</v>
      </c>
      <c r="L1208" s="197">
        <v>-431</v>
      </c>
      <c r="M1208" s="260" t="s">
        <v>239</v>
      </c>
      <c r="N1208" s="260" t="s">
        <v>514</v>
      </c>
    </row>
    <row r="1209" spans="1:14" ht="14.5" x14ac:dyDescent="0.35">
      <c r="A1209" s="260" t="s">
        <v>565</v>
      </c>
      <c r="B1209" s="190">
        <v>45693</v>
      </c>
      <c r="C1209" s="260" t="s">
        <v>754</v>
      </c>
      <c r="D1209" s="197">
        <v>50</v>
      </c>
      <c r="E1209" s="197">
        <v>4104</v>
      </c>
      <c r="F1209" s="197">
        <v>81.41</v>
      </c>
      <c r="G1209" s="190">
        <v>45693</v>
      </c>
      <c r="H1209" s="196">
        <v>0</v>
      </c>
      <c r="I1209" s="197">
        <v>4070.5</v>
      </c>
      <c r="J1209" s="197">
        <v>4070.5</v>
      </c>
      <c r="K1209" s="197">
        <v>0</v>
      </c>
      <c r="L1209" s="197">
        <v>-33.5</v>
      </c>
      <c r="M1209" s="260" t="s">
        <v>239</v>
      </c>
      <c r="N1209" s="260" t="s">
        <v>514</v>
      </c>
    </row>
    <row r="1210" spans="1:14" ht="14.5" x14ac:dyDescent="0.35">
      <c r="A1210" s="260" t="s">
        <v>565</v>
      </c>
      <c r="B1210" s="190">
        <v>45694</v>
      </c>
      <c r="C1210" s="260" t="s">
        <v>749</v>
      </c>
      <c r="D1210" s="197">
        <v>80</v>
      </c>
      <c r="E1210" s="197">
        <v>8008</v>
      </c>
      <c r="F1210" s="197">
        <v>101.07</v>
      </c>
      <c r="G1210" s="190">
        <v>45694</v>
      </c>
      <c r="H1210" s="196">
        <v>0</v>
      </c>
      <c r="I1210" s="197">
        <v>8085.5999999999995</v>
      </c>
      <c r="J1210" s="197">
        <v>8085.5999999999995</v>
      </c>
      <c r="K1210" s="197">
        <v>0</v>
      </c>
      <c r="L1210" s="197">
        <v>77.599999999999454</v>
      </c>
      <c r="M1210" s="260" t="s">
        <v>239</v>
      </c>
      <c r="N1210" s="260" t="s">
        <v>514</v>
      </c>
    </row>
    <row r="1211" spans="1:14" ht="14.5" x14ac:dyDescent="0.35">
      <c r="A1211" s="260" t="s">
        <v>565</v>
      </c>
      <c r="B1211" s="190">
        <v>45694</v>
      </c>
      <c r="C1211" s="260" t="s">
        <v>752</v>
      </c>
      <c r="D1211" s="197">
        <v>100</v>
      </c>
      <c r="E1211" s="197">
        <v>20020</v>
      </c>
      <c r="F1211" s="197">
        <v>196.11</v>
      </c>
      <c r="G1211" s="190">
        <v>45694</v>
      </c>
      <c r="H1211" s="196">
        <v>0</v>
      </c>
      <c r="I1211" s="197">
        <v>19611</v>
      </c>
      <c r="J1211" s="197">
        <v>19611</v>
      </c>
      <c r="K1211" s="197">
        <v>0</v>
      </c>
      <c r="L1211" s="197">
        <v>-409</v>
      </c>
      <c r="M1211" s="260" t="s">
        <v>239</v>
      </c>
      <c r="N1211" s="260" t="s">
        <v>514</v>
      </c>
    </row>
    <row r="1212" spans="1:14" ht="14.5" x14ac:dyDescent="0.35">
      <c r="A1212" s="260" t="s">
        <v>565</v>
      </c>
      <c r="B1212" s="190">
        <v>45694</v>
      </c>
      <c r="C1212" s="260" t="s">
        <v>754</v>
      </c>
      <c r="D1212" s="197">
        <v>50</v>
      </c>
      <c r="E1212" s="197">
        <v>4104</v>
      </c>
      <c r="F1212" s="197">
        <v>81.260000000000005</v>
      </c>
      <c r="G1212" s="190">
        <v>45694</v>
      </c>
      <c r="H1212" s="196">
        <v>0</v>
      </c>
      <c r="I1212" s="197">
        <v>4063.0000000000005</v>
      </c>
      <c r="J1212" s="197">
        <v>4063.0000000000005</v>
      </c>
      <c r="K1212" s="197">
        <v>0</v>
      </c>
      <c r="L1212" s="197">
        <v>-40.999999999999545</v>
      </c>
      <c r="M1212" s="260" t="s">
        <v>239</v>
      </c>
      <c r="N1212" s="260" t="s">
        <v>514</v>
      </c>
    </row>
    <row r="1213" spans="1:14" ht="14.5" x14ac:dyDescent="0.35">
      <c r="A1213" s="260" t="s">
        <v>565</v>
      </c>
      <c r="B1213" s="190">
        <v>45695</v>
      </c>
      <c r="C1213" s="260" t="s">
        <v>749</v>
      </c>
      <c r="D1213" s="197">
        <v>80</v>
      </c>
      <c r="E1213" s="197">
        <v>8008</v>
      </c>
      <c r="F1213" s="197">
        <v>100.89</v>
      </c>
      <c r="G1213" s="190">
        <v>45695</v>
      </c>
      <c r="H1213" s="196">
        <v>0</v>
      </c>
      <c r="I1213" s="197">
        <v>8071.2</v>
      </c>
      <c r="J1213" s="197">
        <v>8071.2</v>
      </c>
      <c r="K1213" s="197">
        <v>0</v>
      </c>
      <c r="L1213" s="197">
        <v>63.199999999999818</v>
      </c>
      <c r="M1213" s="260" t="s">
        <v>239</v>
      </c>
      <c r="N1213" s="260" t="s">
        <v>514</v>
      </c>
    </row>
    <row r="1214" spans="1:14" ht="14.5" x14ac:dyDescent="0.35">
      <c r="A1214" s="260" t="s">
        <v>565</v>
      </c>
      <c r="B1214" s="190">
        <v>45695</v>
      </c>
      <c r="C1214" s="260" t="s">
        <v>752</v>
      </c>
      <c r="D1214" s="197">
        <v>100</v>
      </c>
      <c r="E1214" s="197">
        <v>20020</v>
      </c>
      <c r="F1214" s="197">
        <v>196.33</v>
      </c>
      <c r="G1214" s="190">
        <v>45695</v>
      </c>
      <c r="H1214" s="196">
        <v>0</v>
      </c>
      <c r="I1214" s="197">
        <v>19633</v>
      </c>
      <c r="J1214" s="197">
        <v>19633</v>
      </c>
      <c r="K1214" s="197">
        <v>0</v>
      </c>
      <c r="L1214" s="197">
        <v>-387</v>
      </c>
      <c r="M1214" s="260" t="s">
        <v>239</v>
      </c>
      <c r="N1214" s="260" t="s">
        <v>514</v>
      </c>
    </row>
    <row r="1215" spans="1:14" ht="14.5" x14ac:dyDescent="0.35">
      <c r="A1215" s="260" t="s">
        <v>565</v>
      </c>
      <c r="B1215" s="190">
        <v>45695</v>
      </c>
      <c r="C1215" s="260" t="s">
        <v>754</v>
      </c>
      <c r="D1215" s="197">
        <v>50</v>
      </c>
      <c r="E1215" s="197">
        <v>4104</v>
      </c>
      <c r="F1215" s="197">
        <v>81.11</v>
      </c>
      <c r="G1215" s="190">
        <v>45695</v>
      </c>
      <c r="H1215" s="196">
        <v>0</v>
      </c>
      <c r="I1215" s="197">
        <v>4055.5</v>
      </c>
      <c r="J1215" s="197">
        <v>4055.5</v>
      </c>
      <c r="K1215" s="197">
        <v>0</v>
      </c>
      <c r="L1215" s="197">
        <v>-48.5</v>
      </c>
      <c r="M1215" s="260" t="s">
        <v>239</v>
      </c>
      <c r="N1215" s="260" t="s">
        <v>514</v>
      </c>
    </row>
    <row r="1216" spans="1:14" ht="14.5" x14ac:dyDescent="0.35">
      <c r="A1216" s="260" t="s">
        <v>565</v>
      </c>
      <c r="B1216" s="190">
        <v>45696</v>
      </c>
      <c r="C1216" s="260" t="s">
        <v>749</v>
      </c>
      <c r="D1216" s="197">
        <v>80</v>
      </c>
      <c r="E1216" s="197">
        <v>8008</v>
      </c>
      <c r="F1216" s="197">
        <v>100.89</v>
      </c>
      <c r="G1216" s="190">
        <v>45695</v>
      </c>
      <c r="H1216" s="196">
        <v>1</v>
      </c>
      <c r="I1216" s="197">
        <v>8071.2</v>
      </c>
      <c r="J1216" s="197">
        <v>8071.2</v>
      </c>
      <c r="K1216" s="197">
        <v>0</v>
      </c>
      <c r="L1216" s="197">
        <v>63.199999999999818</v>
      </c>
      <c r="M1216" s="260" t="s">
        <v>239</v>
      </c>
      <c r="N1216" s="260" t="s">
        <v>514</v>
      </c>
    </row>
    <row r="1217" spans="1:14" ht="14.5" x14ac:dyDescent="0.35">
      <c r="A1217" s="260" t="s">
        <v>565</v>
      </c>
      <c r="B1217" s="190">
        <v>45696</v>
      </c>
      <c r="C1217" s="260" t="s">
        <v>752</v>
      </c>
      <c r="D1217" s="197">
        <v>100</v>
      </c>
      <c r="E1217" s="197">
        <v>20020</v>
      </c>
      <c r="F1217" s="197">
        <v>196.33</v>
      </c>
      <c r="G1217" s="190">
        <v>45695</v>
      </c>
      <c r="H1217" s="196">
        <v>1</v>
      </c>
      <c r="I1217" s="197">
        <v>19633</v>
      </c>
      <c r="J1217" s="197">
        <v>19633</v>
      </c>
      <c r="K1217" s="197">
        <v>0</v>
      </c>
      <c r="L1217" s="197">
        <v>-387</v>
      </c>
      <c r="M1217" s="260" t="s">
        <v>239</v>
      </c>
      <c r="N1217" s="260" t="s">
        <v>514</v>
      </c>
    </row>
    <row r="1218" spans="1:14" ht="14.5" x14ac:dyDescent="0.35">
      <c r="A1218" s="260" t="s">
        <v>565</v>
      </c>
      <c r="B1218" s="190">
        <v>45696</v>
      </c>
      <c r="C1218" s="260" t="s">
        <v>754</v>
      </c>
      <c r="D1218" s="197">
        <v>50</v>
      </c>
      <c r="E1218" s="197">
        <v>4104</v>
      </c>
      <c r="F1218" s="197">
        <v>81.11</v>
      </c>
      <c r="G1218" s="190">
        <v>45695</v>
      </c>
      <c r="H1218" s="196">
        <v>1</v>
      </c>
      <c r="I1218" s="197">
        <v>4055.5</v>
      </c>
      <c r="J1218" s="197">
        <v>4055.5</v>
      </c>
      <c r="K1218" s="197">
        <v>0</v>
      </c>
      <c r="L1218" s="197">
        <v>-48.5</v>
      </c>
      <c r="M1218" s="260" t="s">
        <v>239</v>
      </c>
      <c r="N1218" s="260" t="s">
        <v>514</v>
      </c>
    </row>
    <row r="1219" spans="1:14" ht="14.5" x14ac:dyDescent="0.35">
      <c r="A1219" s="260" t="s">
        <v>565</v>
      </c>
      <c r="B1219" s="190">
        <v>45697</v>
      </c>
      <c r="C1219" s="260" t="s">
        <v>749</v>
      </c>
      <c r="D1219" s="197">
        <v>80</v>
      </c>
      <c r="E1219" s="197">
        <v>8008</v>
      </c>
      <c r="F1219" s="197">
        <v>100.89</v>
      </c>
      <c r="G1219" s="190">
        <v>45695</v>
      </c>
      <c r="H1219" s="196">
        <v>2</v>
      </c>
      <c r="I1219" s="197">
        <v>8071.2</v>
      </c>
      <c r="J1219" s="197">
        <v>8071.2</v>
      </c>
      <c r="K1219" s="197">
        <v>0</v>
      </c>
      <c r="L1219" s="197">
        <v>63.199999999999818</v>
      </c>
      <c r="M1219" s="260" t="s">
        <v>239</v>
      </c>
      <c r="N1219" s="260" t="s">
        <v>514</v>
      </c>
    </row>
    <row r="1220" spans="1:14" ht="14.5" x14ac:dyDescent="0.35">
      <c r="A1220" s="260" t="s">
        <v>565</v>
      </c>
      <c r="B1220" s="190">
        <v>45697</v>
      </c>
      <c r="C1220" s="260" t="s">
        <v>752</v>
      </c>
      <c r="D1220" s="197">
        <v>100</v>
      </c>
      <c r="E1220" s="197">
        <v>20020</v>
      </c>
      <c r="F1220" s="197">
        <v>196.33</v>
      </c>
      <c r="G1220" s="190">
        <v>45695</v>
      </c>
      <c r="H1220" s="196">
        <v>2</v>
      </c>
      <c r="I1220" s="197">
        <v>19633</v>
      </c>
      <c r="J1220" s="197">
        <v>19633</v>
      </c>
      <c r="K1220" s="197">
        <v>0</v>
      </c>
      <c r="L1220" s="197">
        <v>-387</v>
      </c>
      <c r="M1220" s="260" t="s">
        <v>239</v>
      </c>
      <c r="N1220" s="260" t="s">
        <v>514</v>
      </c>
    </row>
    <row r="1221" spans="1:14" ht="14.5" x14ac:dyDescent="0.35">
      <c r="A1221" s="260" t="s">
        <v>565</v>
      </c>
      <c r="B1221" s="190">
        <v>45697</v>
      </c>
      <c r="C1221" s="260" t="s">
        <v>754</v>
      </c>
      <c r="D1221" s="197">
        <v>50</v>
      </c>
      <c r="E1221" s="197">
        <v>4104</v>
      </c>
      <c r="F1221" s="197">
        <v>81.11</v>
      </c>
      <c r="G1221" s="190">
        <v>45695</v>
      </c>
      <c r="H1221" s="196">
        <v>2</v>
      </c>
      <c r="I1221" s="197">
        <v>4055.5</v>
      </c>
      <c r="J1221" s="197">
        <v>4055.5</v>
      </c>
      <c r="K1221" s="197">
        <v>0</v>
      </c>
      <c r="L1221" s="197">
        <v>-48.5</v>
      </c>
      <c r="M1221" s="260" t="s">
        <v>239</v>
      </c>
      <c r="N1221" s="260" t="s">
        <v>514</v>
      </c>
    </row>
    <row r="1222" spans="1:14" ht="14.5" x14ac:dyDescent="0.35">
      <c r="A1222" s="260" t="s">
        <v>565</v>
      </c>
      <c r="B1222" s="190">
        <v>45698</v>
      </c>
      <c r="C1222" s="260" t="s">
        <v>749</v>
      </c>
      <c r="D1222" s="197">
        <v>80</v>
      </c>
      <c r="E1222" s="197">
        <v>8008</v>
      </c>
      <c r="F1222" s="197">
        <v>100.33</v>
      </c>
      <c r="G1222" s="190">
        <v>45698</v>
      </c>
      <c r="H1222" s="196">
        <v>0</v>
      </c>
      <c r="I1222" s="197">
        <v>8026.4</v>
      </c>
      <c r="J1222" s="197">
        <v>8026.4</v>
      </c>
      <c r="K1222" s="197">
        <v>0</v>
      </c>
      <c r="L1222" s="197">
        <v>18.399999999999636</v>
      </c>
      <c r="M1222" s="260" t="s">
        <v>239</v>
      </c>
      <c r="N1222" s="260" t="s">
        <v>514</v>
      </c>
    </row>
    <row r="1223" spans="1:14" ht="14.5" x14ac:dyDescent="0.35">
      <c r="A1223" s="260" t="s">
        <v>565</v>
      </c>
      <c r="B1223" s="190">
        <v>45698</v>
      </c>
      <c r="C1223" s="260" t="s">
        <v>752</v>
      </c>
      <c r="D1223" s="197">
        <v>100</v>
      </c>
      <c r="E1223" s="197">
        <v>20020</v>
      </c>
      <c r="F1223" s="197">
        <v>197</v>
      </c>
      <c r="G1223" s="190">
        <v>45698</v>
      </c>
      <c r="H1223" s="196">
        <v>0</v>
      </c>
      <c r="I1223" s="197">
        <v>19700</v>
      </c>
      <c r="J1223" s="197">
        <v>19700</v>
      </c>
      <c r="K1223" s="197">
        <v>0</v>
      </c>
      <c r="L1223" s="197">
        <v>-320</v>
      </c>
      <c r="M1223" s="260" t="s">
        <v>239</v>
      </c>
      <c r="N1223" s="260" t="s">
        <v>514</v>
      </c>
    </row>
    <row r="1224" spans="1:14" ht="14.5" x14ac:dyDescent="0.35">
      <c r="A1224" s="260" t="s">
        <v>565</v>
      </c>
      <c r="B1224" s="190">
        <v>45698</v>
      </c>
      <c r="C1224" s="260" t="s">
        <v>754</v>
      </c>
      <c r="D1224" s="197">
        <v>50</v>
      </c>
      <c r="E1224" s="197">
        <v>4104</v>
      </c>
      <c r="F1224" s="197">
        <v>80.67</v>
      </c>
      <c r="G1224" s="190">
        <v>45698</v>
      </c>
      <c r="H1224" s="196">
        <v>0</v>
      </c>
      <c r="I1224" s="197">
        <v>4033.5</v>
      </c>
      <c r="J1224" s="197">
        <v>4033.5</v>
      </c>
      <c r="K1224" s="197">
        <v>0</v>
      </c>
      <c r="L1224" s="197">
        <v>-70.5</v>
      </c>
      <c r="M1224" s="260" t="s">
        <v>239</v>
      </c>
      <c r="N1224" s="260" t="s">
        <v>514</v>
      </c>
    </row>
    <row r="1225" spans="1:14" ht="14.5" x14ac:dyDescent="0.35">
      <c r="A1225" s="260" t="s">
        <v>565</v>
      </c>
      <c r="B1225" s="190">
        <v>45699</v>
      </c>
      <c r="C1225" s="260" t="s">
        <v>749</v>
      </c>
      <c r="D1225" s="197">
        <v>80</v>
      </c>
      <c r="E1225" s="197">
        <v>8008</v>
      </c>
      <c r="F1225" s="197">
        <v>100.15</v>
      </c>
      <c r="G1225" s="190">
        <v>45699</v>
      </c>
      <c r="H1225" s="196">
        <v>0</v>
      </c>
      <c r="I1225" s="197">
        <v>8012</v>
      </c>
      <c r="J1225" s="197">
        <v>8012</v>
      </c>
      <c r="K1225" s="197">
        <v>0</v>
      </c>
      <c r="L1225" s="197">
        <v>4</v>
      </c>
      <c r="M1225" s="260" t="s">
        <v>239</v>
      </c>
      <c r="N1225" s="260" t="s">
        <v>514</v>
      </c>
    </row>
    <row r="1226" spans="1:14" ht="14.5" x14ac:dyDescent="0.35">
      <c r="A1226" s="260" t="s">
        <v>565</v>
      </c>
      <c r="B1226" s="190">
        <v>45699</v>
      </c>
      <c r="C1226" s="260" t="s">
        <v>752</v>
      </c>
      <c r="D1226" s="197">
        <v>100</v>
      </c>
      <c r="E1226" s="197">
        <v>20020</v>
      </c>
      <c r="F1226" s="197">
        <v>197.22</v>
      </c>
      <c r="G1226" s="190">
        <v>45699</v>
      </c>
      <c r="H1226" s="196">
        <v>0</v>
      </c>
      <c r="I1226" s="197">
        <v>19722</v>
      </c>
      <c r="J1226" s="197">
        <v>19722</v>
      </c>
      <c r="K1226" s="197">
        <v>0</v>
      </c>
      <c r="L1226" s="197">
        <v>-298</v>
      </c>
      <c r="M1226" s="260" t="s">
        <v>239</v>
      </c>
      <c r="N1226" s="260" t="s">
        <v>514</v>
      </c>
    </row>
    <row r="1227" spans="1:14" ht="14.5" x14ac:dyDescent="0.35">
      <c r="A1227" s="260" t="s">
        <v>565</v>
      </c>
      <c r="B1227" s="190">
        <v>45699</v>
      </c>
      <c r="C1227" s="260" t="s">
        <v>754</v>
      </c>
      <c r="D1227" s="197">
        <v>50</v>
      </c>
      <c r="E1227" s="197">
        <v>4104</v>
      </c>
      <c r="F1227" s="197">
        <v>80.52</v>
      </c>
      <c r="G1227" s="190">
        <v>45699</v>
      </c>
      <c r="H1227" s="196">
        <v>0</v>
      </c>
      <c r="I1227" s="197">
        <v>4026</v>
      </c>
      <c r="J1227" s="197">
        <v>4026</v>
      </c>
      <c r="K1227" s="197">
        <v>0</v>
      </c>
      <c r="L1227" s="197">
        <v>-78</v>
      </c>
      <c r="M1227" s="260" t="s">
        <v>239</v>
      </c>
      <c r="N1227" s="260" t="s">
        <v>514</v>
      </c>
    </row>
    <row r="1228" spans="1:14" ht="14.5" x14ac:dyDescent="0.35">
      <c r="A1228" s="260" t="s">
        <v>565</v>
      </c>
      <c r="B1228" s="190">
        <v>45700</v>
      </c>
      <c r="C1228" s="260" t="s">
        <v>749</v>
      </c>
      <c r="D1228" s="197">
        <v>80</v>
      </c>
      <c r="E1228" s="197">
        <v>8008</v>
      </c>
      <c r="F1228" s="197">
        <v>99.96</v>
      </c>
      <c r="G1228" s="190">
        <v>45700</v>
      </c>
      <c r="H1228" s="196">
        <v>0</v>
      </c>
      <c r="I1228" s="197">
        <v>7996.7999999999993</v>
      </c>
      <c r="J1228" s="197">
        <v>7996.7999999999993</v>
      </c>
      <c r="K1228" s="197">
        <v>0</v>
      </c>
      <c r="L1228" s="197">
        <v>-11.200000000000728</v>
      </c>
      <c r="M1228" s="260" t="s">
        <v>239</v>
      </c>
      <c r="N1228" s="260" t="s">
        <v>514</v>
      </c>
    </row>
    <row r="1229" spans="1:14" ht="14.5" x14ac:dyDescent="0.35">
      <c r="A1229" s="260" t="s">
        <v>565</v>
      </c>
      <c r="B1229" s="190">
        <v>45700</v>
      </c>
      <c r="C1229" s="260" t="s">
        <v>752</v>
      </c>
      <c r="D1229" s="197">
        <v>100</v>
      </c>
      <c r="E1229" s="197">
        <v>20020</v>
      </c>
      <c r="F1229" s="197">
        <v>197.44</v>
      </c>
      <c r="G1229" s="190">
        <v>45700</v>
      </c>
      <c r="H1229" s="196">
        <v>0</v>
      </c>
      <c r="I1229" s="197">
        <v>19744</v>
      </c>
      <c r="J1229" s="197">
        <v>19744</v>
      </c>
      <c r="K1229" s="197">
        <v>0</v>
      </c>
      <c r="L1229" s="197">
        <v>-276</v>
      </c>
      <c r="M1229" s="260" t="s">
        <v>239</v>
      </c>
      <c r="N1229" s="260" t="s">
        <v>514</v>
      </c>
    </row>
    <row r="1230" spans="1:14" ht="14.5" x14ac:dyDescent="0.35">
      <c r="A1230" s="260" t="s">
        <v>565</v>
      </c>
      <c r="B1230" s="190">
        <v>45700</v>
      </c>
      <c r="C1230" s="260" t="s">
        <v>754</v>
      </c>
      <c r="D1230" s="197">
        <v>50</v>
      </c>
      <c r="E1230" s="197">
        <v>4104</v>
      </c>
      <c r="F1230" s="197">
        <v>80.37</v>
      </c>
      <c r="G1230" s="190">
        <v>45700</v>
      </c>
      <c r="H1230" s="196">
        <v>0</v>
      </c>
      <c r="I1230" s="197">
        <v>4018.5</v>
      </c>
      <c r="J1230" s="197">
        <v>4018.5</v>
      </c>
      <c r="K1230" s="197">
        <v>0</v>
      </c>
      <c r="L1230" s="197">
        <v>-85.5</v>
      </c>
      <c r="M1230" s="260" t="s">
        <v>239</v>
      </c>
      <c r="N1230" s="260" t="s">
        <v>514</v>
      </c>
    </row>
    <row r="1231" spans="1:14" ht="14.5" x14ac:dyDescent="0.35">
      <c r="A1231" s="260" t="s">
        <v>565</v>
      </c>
      <c r="B1231" s="190">
        <v>45701</v>
      </c>
      <c r="C1231" s="260" t="s">
        <v>749</v>
      </c>
      <c r="D1231" s="197">
        <v>80</v>
      </c>
      <c r="E1231" s="197">
        <v>8008</v>
      </c>
      <c r="F1231" s="197">
        <v>99.78</v>
      </c>
      <c r="G1231" s="190">
        <v>45701</v>
      </c>
      <c r="H1231" s="196">
        <v>0</v>
      </c>
      <c r="I1231" s="197">
        <v>7982.4</v>
      </c>
      <c r="J1231" s="197">
        <v>7982.4</v>
      </c>
      <c r="K1231" s="197">
        <v>0</v>
      </c>
      <c r="L1231" s="197">
        <v>-25.600000000000364</v>
      </c>
      <c r="M1231" s="260" t="s">
        <v>239</v>
      </c>
      <c r="N1231" s="260" t="s">
        <v>514</v>
      </c>
    </row>
    <row r="1232" spans="1:14" ht="14.5" x14ac:dyDescent="0.35">
      <c r="A1232" s="260" t="s">
        <v>565</v>
      </c>
      <c r="B1232" s="190">
        <v>45701</v>
      </c>
      <c r="C1232" s="260" t="s">
        <v>752</v>
      </c>
      <c r="D1232" s="197">
        <v>100</v>
      </c>
      <c r="E1232" s="197">
        <v>20020</v>
      </c>
      <c r="F1232" s="197">
        <v>197.67</v>
      </c>
      <c r="G1232" s="190">
        <v>45701</v>
      </c>
      <c r="H1232" s="196">
        <v>0</v>
      </c>
      <c r="I1232" s="197">
        <v>19767</v>
      </c>
      <c r="J1232" s="197">
        <v>19767</v>
      </c>
      <c r="K1232" s="197">
        <v>0</v>
      </c>
      <c r="L1232" s="197">
        <v>-253</v>
      </c>
      <c r="M1232" s="260" t="s">
        <v>239</v>
      </c>
      <c r="N1232" s="260" t="s">
        <v>514</v>
      </c>
    </row>
    <row r="1233" spans="1:14" ht="14.5" x14ac:dyDescent="0.35">
      <c r="A1233" s="260" t="s">
        <v>565</v>
      </c>
      <c r="B1233" s="190">
        <v>45701</v>
      </c>
      <c r="C1233" s="260" t="s">
        <v>754</v>
      </c>
      <c r="D1233" s="197">
        <v>50</v>
      </c>
      <c r="E1233" s="197">
        <v>4104</v>
      </c>
      <c r="F1233" s="197">
        <v>80.22</v>
      </c>
      <c r="G1233" s="190">
        <v>45701</v>
      </c>
      <c r="H1233" s="196">
        <v>0</v>
      </c>
      <c r="I1233" s="197">
        <v>4011</v>
      </c>
      <c r="J1233" s="197">
        <v>4011</v>
      </c>
      <c r="K1233" s="197">
        <v>0</v>
      </c>
      <c r="L1233" s="197">
        <v>-93</v>
      </c>
      <c r="M1233" s="260" t="s">
        <v>239</v>
      </c>
      <c r="N1233" s="260" t="s">
        <v>514</v>
      </c>
    </row>
    <row r="1234" spans="1:14" ht="14.5" x14ac:dyDescent="0.35">
      <c r="A1234" s="260" t="s">
        <v>565</v>
      </c>
      <c r="B1234" s="190">
        <v>45702</v>
      </c>
      <c r="C1234" s="260" t="s">
        <v>749</v>
      </c>
      <c r="D1234" s="197">
        <v>80</v>
      </c>
      <c r="E1234" s="197">
        <v>8008</v>
      </c>
      <c r="F1234" s="197">
        <v>99.59</v>
      </c>
      <c r="G1234" s="190">
        <v>45702</v>
      </c>
      <c r="H1234" s="196">
        <v>0</v>
      </c>
      <c r="I1234" s="197">
        <v>7967.2000000000007</v>
      </c>
      <c r="J1234" s="197">
        <v>7967.2000000000007</v>
      </c>
      <c r="K1234" s="197">
        <v>0</v>
      </c>
      <c r="L1234" s="197">
        <v>-40.799999999999272</v>
      </c>
      <c r="M1234" s="260" t="s">
        <v>239</v>
      </c>
      <c r="N1234" s="260" t="s">
        <v>514</v>
      </c>
    </row>
    <row r="1235" spans="1:14" ht="14.5" x14ac:dyDescent="0.35">
      <c r="A1235" s="260" t="s">
        <v>565</v>
      </c>
      <c r="B1235" s="190">
        <v>45702</v>
      </c>
      <c r="C1235" s="260" t="s">
        <v>752</v>
      </c>
      <c r="D1235" s="197">
        <v>100</v>
      </c>
      <c r="E1235" s="197">
        <v>20020</v>
      </c>
      <c r="F1235" s="197">
        <v>197.89</v>
      </c>
      <c r="G1235" s="190">
        <v>45702</v>
      </c>
      <c r="H1235" s="196">
        <v>0</v>
      </c>
      <c r="I1235" s="197">
        <v>19789</v>
      </c>
      <c r="J1235" s="197">
        <v>19789</v>
      </c>
      <c r="K1235" s="197">
        <v>0</v>
      </c>
      <c r="L1235" s="197">
        <v>-231</v>
      </c>
      <c r="M1235" s="260" t="s">
        <v>239</v>
      </c>
      <c r="N1235" s="260" t="s">
        <v>514</v>
      </c>
    </row>
    <row r="1236" spans="1:14" ht="14.5" x14ac:dyDescent="0.35">
      <c r="A1236" s="260" t="s">
        <v>565</v>
      </c>
      <c r="B1236" s="190">
        <v>45702</v>
      </c>
      <c r="C1236" s="260" t="s">
        <v>754</v>
      </c>
      <c r="D1236" s="197">
        <v>50</v>
      </c>
      <c r="E1236" s="197">
        <v>4104</v>
      </c>
      <c r="F1236" s="197">
        <v>80.069999999999993</v>
      </c>
      <c r="G1236" s="190">
        <v>45702</v>
      </c>
      <c r="H1236" s="196">
        <v>0</v>
      </c>
      <c r="I1236" s="197">
        <v>4003.4999999999995</v>
      </c>
      <c r="J1236" s="197">
        <v>4003.4999999999995</v>
      </c>
      <c r="K1236" s="197">
        <v>0</v>
      </c>
      <c r="L1236" s="197">
        <v>-100.50000000000045</v>
      </c>
      <c r="M1236" s="260" t="s">
        <v>239</v>
      </c>
      <c r="N1236" s="260" t="s">
        <v>514</v>
      </c>
    </row>
    <row r="1237" spans="1:14" ht="14.5" x14ac:dyDescent="0.35">
      <c r="A1237" s="260" t="s">
        <v>565</v>
      </c>
      <c r="B1237" s="190">
        <v>45703</v>
      </c>
      <c r="C1237" s="260" t="s">
        <v>749</v>
      </c>
      <c r="D1237" s="197">
        <v>80</v>
      </c>
      <c r="E1237" s="197">
        <v>8008</v>
      </c>
      <c r="F1237" s="197">
        <v>99.59</v>
      </c>
      <c r="G1237" s="190">
        <v>45702</v>
      </c>
      <c r="H1237" s="196">
        <v>1</v>
      </c>
      <c r="I1237" s="197">
        <v>7967.2000000000007</v>
      </c>
      <c r="J1237" s="197">
        <v>7967.2000000000007</v>
      </c>
      <c r="K1237" s="197">
        <v>0</v>
      </c>
      <c r="L1237" s="197">
        <v>-40.799999999999272</v>
      </c>
      <c r="M1237" s="260" t="s">
        <v>239</v>
      </c>
      <c r="N1237" s="260" t="s">
        <v>514</v>
      </c>
    </row>
    <row r="1238" spans="1:14" ht="14.5" x14ac:dyDescent="0.35">
      <c r="A1238" s="260" t="s">
        <v>565</v>
      </c>
      <c r="B1238" s="190">
        <v>45703</v>
      </c>
      <c r="C1238" s="260" t="s">
        <v>752</v>
      </c>
      <c r="D1238" s="197">
        <v>100</v>
      </c>
      <c r="E1238" s="197">
        <v>20020</v>
      </c>
      <c r="F1238" s="197">
        <v>197.89</v>
      </c>
      <c r="G1238" s="190">
        <v>45702</v>
      </c>
      <c r="H1238" s="196">
        <v>1</v>
      </c>
      <c r="I1238" s="197">
        <v>19789</v>
      </c>
      <c r="J1238" s="197">
        <v>19789</v>
      </c>
      <c r="K1238" s="197">
        <v>0</v>
      </c>
      <c r="L1238" s="197">
        <v>-231</v>
      </c>
      <c r="M1238" s="260" t="s">
        <v>239</v>
      </c>
      <c r="N1238" s="260" t="s">
        <v>514</v>
      </c>
    </row>
    <row r="1239" spans="1:14" ht="14.5" x14ac:dyDescent="0.35">
      <c r="A1239" s="260" t="s">
        <v>565</v>
      </c>
      <c r="B1239" s="190">
        <v>45703</v>
      </c>
      <c r="C1239" s="260" t="s">
        <v>754</v>
      </c>
      <c r="D1239" s="197">
        <v>50</v>
      </c>
      <c r="E1239" s="197">
        <v>4104</v>
      </c>
      <c r="F1239" s="197">
        <v>80.069999999999993</v>
      </c>
      <c r="G1239" s="190">
        <v>45702</v>
      </c>
      <c r="H1239" s="196">
        <v>1</v>
      </c>
      <c r="I1239" s="197">
        <v>4003.4999999999995</v>
      </c>
      <c r="J1239" s="197">
        <v>4003.4999999999995</v>
      </c>
      <c r="K1239" s="197">
        <v>0</v>
      </c>
      <c r="L1239" s="197">
        <v>-100.50000000000045</v>
      </c>
      <c r="M1239" s="260" t="s">
        <v>239</v>
      </c>
      <c r="N1239" s="260" t="s">
        <v>514</v>
      </c>
    </row>
    <row r="1240" spans="1:14" ht="14.5" x14ac:dyDescent="0.35">
      <c r="A1240" s="260" t="s">
        <v>565</v>
      </c>
      <c r="B1240" s="190">
        <v>45704</v>
      </c>
      <c r="C1240" s="260" t="s">
        <v>749</v>
      </c>
      <c r="D1240" s="197">
        <v>80</v>
      </c>
      <c r="E1240" s="197">
        <v>8008</v>
      </c>
      <c r="F1240" s="197">
        <v>99.59</v>
      </c>
      <c r="G1240" s="190">
        <v>45702</v>
      </c>
      <c r="H1240" s="196">
        <v>2</v>
      </c>
      <c r="I1240" s="197">
        <v>7967.2000000000007</v>
      </c>
      <c r="J1240" s="197">
        <v>7967.2000000000007</v>
      </c>
      <c r="K1240" s="197">
        <v>0</v>
      </c>
      <c r="L1240" s="197">
        <v>-40.799999999999272</v>
      </c>
      <c r="M1240" s="260" t="s">
        <v>239</v>
      </c>
      <c r="N1240" s="260" t="s">
        <v>514</v>
      </c>
    </row>
    <row r="1241" spans="1:14" ht="14.5" x14ac:dyDescent="0.35">
      <c r="A1241" s="260" t="s">
        <v>565</v>
      </c>
      <c r="B1241" s="190">
        <v>45704</v>
      </c>
      <c r="C1241" s="260" t="s">
        <v>752</v>
      </c>
      <c r="D1241" s="197">
        <v>100</v>
      </c>
      <c r="E1241" s="197">
        <v>20020</v>
      </c>
      <c r="F1241" s="197">
        <v>197.89</v>
      </c>
      <c r="G1241" s="190">
        <v>45702</v>
      </c>
      <c r="H1241" s="196">
        <v>2</v>
      </c>
      <c r="I1241" s="197">
        <v>19789</v>
      </c>
      <c r="J1241" s="197">
        <v>19789</v>
      </c>
      <c r="K1241" s="197">
        <v>0</v>
      </c>
      <c r="L1241" s="197">
        <v>-231</v>
      </c>
      <c r="M1241" s="260" t="s">
        <v>239</v>
      </c>
      <c r="N1241" s="260" t="s">
        <v>514</v>
      </c>
    </row>
    <row r="1242" spans="1:14" ht="14.5" x14ac:dyDescent="0.35">
      <c r="A1242" s="260" t="s">
        <v>565</v>
      </c>
      <c r="B1242" s="190">
        <v>45704</v>
      </c>
      <c r="C1242" s="260" t="s">
        <v>754</v>
      </c>
      <c r="D1242" s="197">
        <v>50</v>
      </c>
      <c r="E1242" s="197">
        <v>4104</v>
      </c>
      <c r="F1242" s="197">
        <v>80.069999999999993</v>
      </c>
      <c r="G1242" s="190">
        <v>45702</v>
      </c>
      <c r="H1242" s="196">
        <v>2</v>
      </c>
      <c r="I1242" s="197">
        <v>4003.4999999999995</v>
      </c>
      <c r="J1242" s="197">
        <v>4003.4999999999995</v>
      </c>
      <c r="K1242" s="197">
        <v>0</v>
      </c>
      <c r="L1242" s="197">
        <v>-100.50000000000045</v>
      </c>
      <c r="M1242" s="260" t="s">
        <v>239</v>
      </c>
      <c r="N1242" s="260" t="s">
        <v>514</v>
      </c>
    </row>
    <row r="1243" spans="1:14" ht="14.5" x14ac:dyDescent="0.35">
      <c r="A1243" s="260" t="s">
        <v>565</v>
      </c>
      <c r="B1243" s="190">
        <v>45705</v>
      </c>
      <c r="C1243" s="260" t="s">
        <v>749</v>
      </c>
      <c r="D1243" s="197">
        <v>80</v>
      </c>
      <c r="E1243" s="197">
        <v>8008</v>
      </c>
      <c r="F1243" s="197">
        <v>99.04</v>
      </c>
      <c r="G1243" s="190">
        <v>45705</v>
      </c>
      <c r="H1243" s="196">
        <v>0</v>
      </c>
      <c r="I1243" s="197">
        <v>7923.2000000000007</v>
      </c>
      <c r="J1243" s="197">
        <v>7923.2000000000007</v>
      </c>
      <c r="K1243" s="197">
        <v>0</v>
      </c>
      <c r="L1243" s="197">
        <v>-84.799999999999272</v>
      </c>
      <c r="M1243" s="260" t="s">
        <v>239</v>
      </c>
      <c r="N1243" s="260" t="s">
        <v>514</v>
      </c>
    </row>
    <row r="1244" spans="1:14" ht="14.5" x14ac:dyDescent="0.35">
      <c r="A1244" s="260" t="s">
        <v>565</v>
      </c>
      <c r="B1244" s="190">
        <v>45705</v>
      </c>
      <c r="C1244" s="260" t="s">
        <v>752</v>
      </c>
      <c r="D1244" s="197">
        <v>100</v>
      </c>
      <c r="E1244" s="197">
        <v>20020</v>
      </c>
      <c r="F1244" s="197">
        <v>198.56</v>
      </c>
      <c r="G1244" s="190">
        <v>45705</v>
      </c>
      <c r="H1244" s="196">
        <v>0</v>
      </c>
      <c r="I1244" s="197">
        <v>19856</v>
      </c>
      <c r="J1244" s="197">
        <v>19856</v>
      </c>
      <c r="K1244" s="197">
        <v>0</v>
      </c>
      <c r="L1244" s="197">
        <v>-164</v>
      </c>
      <c r="M1244" s="260" t="s">
        <v>239</v>
      </c>
      <c r="N1244" s="260" t="s">
        <v>514</v>
      </c>
    </row>
    <row r="1245" spans="1:14" ht="14.5" x14ac:dyDescent="0.35">
      <c r="A1245" s="260" t="s">
        <v>565</v>
      </c>
      <c r="B1245" s="190">
        <v>45705</v>
      </c>
      <c r="C1245" s="260" t="s">
        <v>754</v>
      </c>
      <c r="D1245" s="197">
        <v>50</v>
      </c>
      <c r="E1245" s="197">
        <v>4104</v>
      </c>
      <c r="F1245" s="197">
        <v>79.63</v>
      </c>
      <c r="G1245" s="190">
        <v>45705</v>
      </c>
      <c r="H1245" s="196">
        <v>0</v>
      </c>
      <c r="I1245" s="197">
        <v>3981.5</v>
      </c>
      <c r="J1245" s="197">
        <v>3981.5</v>
      </c>
      <c r="K1245" s="197">
        <v>0</v>
      </c>
      <c r="L1245" s="197">
        <v>-122.5</v>
      </c>
      <c r="M1245" s="260" t="s">
        <v>239</v>
      </c>
      <c r="N1245" s="260" t="s">
        <v>514</v>
      </c>
    </row>
    <row r="1246" spans="1:14" ht="14.5" x14ac:dyDescent="0.35">
      <c r="A1246" s="260" t="s">
        <v>565</v>
      </c>
      <c r="B1246" s="190">
        <v>45706</v>
      </c>
      <c r="C1246" s="260" t="s">
        <v>749</v>
      </c>
      <c r="D1246" s="197">
        <v>80</v>
      </c>
      <c r="E1246" s="197">
        <v>8008</v>
      </c>
      <c r="F1246" s="197">
        <v>98.85</v>
      </c>
      <c r="G1246" s="190">
        <v>45706</v>
      </c>
      <c r="H1246" s="196">
        <v>0</v>
      </c>
      <c r="I1246" s="197">
        <v>7908</v>
      </c>
      <c r="J1246" s="197">
        <v>7908</v>
      </c>
      <c r="K1246" s="197">
        <v>0</v>
      </c>
      <c r="L1246" s="197">
        <v>-100</v>
      </c>
      <c r="M1246" s="260" t="s">
        <v>239</v>
      </c>
      <c r="N1246" s="260" t="s">
        <v>514</v>
      </c>
    </row>
    <row r="1247" spans="1:14" ht="14.5" x14ac:dyDescent="0.35">
      <c r="A1247" s="260" t="s">
        <v>565</v>
      </c>
      <c r="B1247" s="190">
        <v>45706</v>
      </c>
      <c r="C1247" s="260" t="s">
        <v>752</v>
      </c>
      <c r="D1247" s="197">
        <v>100</v>
      </c>
      <c r="E1247" s="197">
        <v>20020</v>
      </c>
      <c r="F1247" s="197">
        <v>198.78</v>
      </c>
      <c r="G1247" s="190">
        <v>45706</v>
      </c>
      <c r="H1247" s="196">
        <v>0</v>
      </c>
      <c r="I1247" s="197">
        <v>19878</v>
      </c>
      <c r="J1247" s="197">
        <v>19878</v>
      </c>
      <c r="K1247" s="197">
        <v>0</v>
      </c>
      <c r="L1247" s="197">
        <v>-142</v>
      </c>
      <c r="M1247" s="260" t="s">
        <v>239</v>
      </c>
      <c r="N1247" s="260" t="s">
        <v>514</v>
      </c>
    </row>
    <row r="1248" spans="1:14" ht="14.5" x14ac:dyDescent="0.35">
      <c r="A1248" s="260" t="s">
        <v>565</v>
      </c>
      <c r="B1248" s="190">
        <v>45706</v>
      </c>
      <c r="C1248" s="260" t="s">
        <v>754</v>
      </c>
      <c r="D1248" s="197">
        <v>50</v>
      </c>
      <c r="E1248" s="197">
        <v>4104</v>
      </c>
      <c r="F1248" s="197">
        <v>79.48</v>
      </c>
      <c r="G1248" s="190">
        <v>45706</v>
      </c>
      <c r="H1248" s="196">
        <v>0</v>
      </c>
      <c r="I1248" s="197">
        <v>3974</v>
      </c>
      <c r="J1248" s="197">
        <v>3974</v>
      </c>
      <c r="K1248" s="197">
        <v>0</v>
      </c>
      <c r="L1248" s="197">
        <v>-130</v>
      </c>
      <c r="M1248" s="260" t="s">
        <v>239</v>
      </c>
      <c r="N1248" s="260" t="s">
        <v>514</v>
      </c>
    </row>
    <row r="1249" spans="1:14" ht="14.5" x14ac:dyDescent="0.35">
      <c r="A1249" s="260" t="s">
        <v>565</v>
      </c>
      <c r="B1249" s="190">
        <v>45707</v>
      </c>
      <c r="C1249" s="260" t="s">
        <v>749</v>
      </c>
      <c r="D1249" s="197">
        <v>80</v>
      </c>
      <c r="E1249" s="197">
        <v>8008</v>
      </c>
      <c r="F1249" s="197">
        <v>98.67</v>
      </c>
      <c r="G1249" s="190">
        <v>45707</v>
      </c>
      <c r="H1249" s="196">
        <v>0</v>
      </c>
      <c r="I1249" s="197">
        <v>7893.6</v>
      </c>
      <c r="J1249" s="197">
        <v>7893.6</v>
      </c>
      <c r="K1249" s="197">
        <v>0</v>
      </c>
      <c r="L1249" s="197">
        <v>-114.39999999999964</v>
      </c>
      <c r="M1249" s="260" t="s">
        <v>239</v>
      </c>
      <c r="N1249" s="260" t="s">
        <v>514</v>
      </c>
    </row>
    <row r="1250" spans="1:14" ht="14.5" x14ac:dyDescent="0.35">
      <c r="A1250" s="260" t="s">
        <v>565</v>
      </c>
      <c r="B1250" s="190">
        <v>45707</v>
      </c>
      <c r="C1250" s="260" t="s">
        <v>752</v>
      </c>
      <c r="D1250" s="197">
        <v>100</v>
      </c>
      <c r="E1250" s="197">
        <v>20020</v>
      </c>
      <c r="F1250" s="197">
        <v>199</v>
      </c>
      <c r="G1250" s="190">
        <v>45707</v>
      </c>
      <c r="H1250" s="196">
        <v>0</v>
      </c>
      <c r="I1250" s="197">
        <v>19900</v>
      </c>
      <c r="J1250" s="197">
        <v>19900</v>
      </c>
      <c r="K1250" s="197">
        <v>0</v>
      </c>
      <c r="L1250" s="197">
        <v>-120</v>
      </c>
      <c r="M1250" s="260" t="s">
        <v>239</v>
      </c>
      <c r="N1250" s="260" t="s">
        <v>514</v>
      </c>
    </row>
    <row r="1251" spans="1:14" ht="14.5" x14ac:dyDescent="0.35">
      <c r="A1251" s="260" t="s">
        <v>565</v>
      </c>
      <c r="B1251" s="190">
        <v>45707</v>
      </c>
      <c r="C1251" s="260" t="s">
        <v>754</v>
      </c>
      <c r="D1251" s="197">
        <v>50</v>
      </c>
      <c r="E1251" s="197">
        <v>4104</v>
      </c>
      <c r="F1251" s="197">
        <v>79.33</v>
      </c>
      <c r="G1251" s="190">
        <v>45707</v>
      </c>
      <c r="H1251" s="196">
        <v>0</v>
      </c>
      <c r="I1251" s="197">
        <v>3966.5</v>
      </c>
      <c r="J1251" s="197">
        <v>3966.5</v>
      </c>
      <c r="K1251" s="197">
        <v>0</v>
      </c>
      <c r="L1251" s="197">
        <v>-137.5</v>
      </c>
      <c r="M1251" s="260" t="s">
        <v>239</v>
      </c>
      <c r="N1251" s="260" t="s">
        <v>514</v>
      </c>
    </row>
    <row r="1252" spans="1:14" ht="14.5" x14ac:dyDescent="0.35">
      <c r="A1252" s="260" t="s">
        <v>565</v>
      </c>
      <c r="B1252" s="190">
        <v>45708</v>
      </c>
      <c r="C1252" s="260" t="s">
        <v>749</v>
      </c>
      <c r="D1252" s="197">
        <v>80</v>
      </c>
      <c r="E1252" s="197">
        <v>8008</v>
      </c>
      <c r="F1252" s="197">
        <v>98.48</v>
      </c>
      <c r="G1252" s="190">
        <v>45708</v>
      </c>
      <c r="H1252" s="196">
        <v>0</v>
      </c>
      <c r="I1252" s="197">
        <v>7878.4000000000005</v>
      </c>
      <c r="J1252" s="197">
        <v>7878.4000000000005</v>
      </c>
      <c r="K1252" s="197">
        <v>0</v>
      </c>
      <c r="L1252" s="197">
        <v>-129.59999999999945</v>
      </c>
      <c r="M1252" s="260" t="s">
        <v>239</v>
      </c>
      <c r="N1252" s="260" t="s">
        <v>514</v>
      </c>
    </row>
    <row r="1253" spans="1:14" ht="14.5" x14ac:dyDescent="0.35">
      <c r="A1253" s="260" t="s">
        <v>565</v>
      </c>
      <c r="B1253" s="190">
        <v>45708</v>
      </c>
      <c r="C1253" s="260" t="s">
        <v>752</v>
      </c>
      <c r="D1253" s="197">
        <v>100</v>
      </c>
      <c r="E1253" s="197">
        <v>20020</v>
      </c>
      <c r="F1253" s="197">
        <v>199.22</v>
      </c>
      <c r="G1253" s="190">
        <v>45708</v>
      </c>
      <c r="H1253" s="196">
        <v>0</v>
      </c>
      <c r="I1253" s="197">
        <v>19922</v>
      </c>
      <c r="J1253" s="197">
        <v>19922</v>
      </c>
      <c r="K1253" s="197">
        <v>0</v>
      </c>
      <c r="L1253" s="197">
        <v>-98</v>
      </c>
      <c r="M1253" s="260" t="s">
        <v>239</v>
      </c>
      <c r="N1253" s="260" t="s">
        <v>514</v>
      </c>
    </row>
    <row r="1254" spans="1:14" ht="14.5" x14ac:dyDescent="0.35">
      <c r="A1254" s="260" t="s">
        <v>565</v>
      </c>
      <c r="B1254" s="190">
        <v>45708</v>
      </c>
      <c r="C1254" s="260" t="s">
        <v>754</v>
      </c>
      <c r="D1254" s="197">
        <v>50</v>
      </c>
      <c r="E1254" s="197">
        <v>4104</v>
      </c>
      <c r="F1254" s="197">
        <v>79.19</v>
      </c>
      <c r="G1254" s="190">
        <v>45708</v>
      </c>
      <c r="H1254" s="196">
        <v>0</v>
      </c>
      <c r="I1254" s="197">
        <v>3959.5</v>
      </c>
      <c r="J1254" s="197">
        <v>3959.5</v>
      </c>
      <c r="K1254" s="197">
        <v>0</v>
      </c>
      <c r="L1254" s="197">
        <v>-144.5</v>
      </c>
      <c r="M1254" s="260" t="s">
        <v>239</v>
      </c>
      <c r="N1254" s="260" t="s">
        <v>514</v>
      </c>
    </row>
    <row r="1255" spans="1:14" ht="14.5" x14ac:dyDescent="0.35">
      <c r="A1255" s="260" t="s">
        <v>565</v>
      </c>
      <c r="B1255" s="190">
        <v>45709</v>
      </c>
      <c r="C1255" s="260" t="s">
        <v>749</v>
      </c>
      <c r="D1255" s="197">
        <v>80</v>
      </c>
      <c r="E1255" s="197">
        <v>8008</v>
      </c>
      <c r="F1255" s="197">
        <v>98.3</v>
      </c>
      <c r="G1255" s="190">
        <v>45709</v>
      </c>
      <c r="H1255" s="196">
        <v>0</v>
      </c>
      <c r="I1255" s="197">
        <v>7864</v>
      </c>
      <c r="J1255" s="197">
        <v>7864</v>
      </c>
      <c r="K1255" s="197">
        <v>0</v>
      </c>
      <c r="L1255" s="197">
        <v>-144</v>
      </c>
      <c r="M1255" s="260" t="s">
        <v>239</v>
      </c>
      <c r="N1255" s="260" t="s">
        <v>514</v>
      </c>
    </row>
    <row r="1256" spans="1:14" ht="14.5" x14ac:dyDescent="0.35">
      <c r="A1256" s="260" t="s">
        <v>565</v>
      </c>
      <c r="B1256" s="190">
        <v>45709</v>
      </c>
      <c r="C1256" s="260" t="s">
        <v>752</v>
      </c>
      <c r="D1256" s="197">
        <v>100</v>
      </c>
      <c r="E1256" s="197">
        <v>20020</v>
      </c>
      <c r="F1256" s="197">
        <v>199.44</v>
      </c>
      <c r="G1256" s="190">
        <v>45709</v>
      </c>
      <c r="H1256" s="196">
        <v>0</v>
      </c>
      <c r="I1256" s="197">
        <v>19944</v>
      </c>
      <c r="J1256" s="197">
        <v>19944</v>
      </c>
      <c r="K1256" s="197">
        <v>0</v>
      </c>
      <c r="L1256" s="197">
        <v>-76</v>
      </c>
      <c r="M1256" s="260" t="s">
        <v>239</v>
      </c>
      <c r="N1256" s="260" t="s">
        <v>514</v>
      </c>
    </row>
    <row r="1257" spans="1:14" ht="14.5" x14ac:dyDescent="0.35">
      <c r="A1257" s="260" t="s">
        <v>565</v>
      </c>
      <c r="B1257" s="190">
        <v>45709</v>
      </c>
      <c r="C1257" s="260" t="s">
        <v>754</v>
      </c>
      <c r="D1257" s="197">
        <v>50</v>
      </c>
      <c r="E1257" s="197">
        <v>4104</v>
      </c>
      <c r="F1257" s="197">
        <v>79.040000000000006</v>
      </c>
      <c r="G1257" s="190">
        <v>45709</v>
      </c>
      <c r="H1257" s="196">
        <v>0</v>
      </c>
      <c r="I1257" s="197">
        <v>3952.0000000000005</v>
      </c>
      <c r="J1257" s="197">
        <v>3952.0000000000005</v>
      </c>
      <c r="K1257" s="197">
        <v>0</v>
      </c>
      <c r="L1257" s="197">
        <v>-151.99999999999955</v>
      </c>
      <c r="M1257" s="260" t="s">
        <v>239</v>
      </c>
      <c r="N1257" s="260" t="s">
        <v>514</v>
      </c>
    </row>
    <row r="1258" spans="1:14" ht="14.5" x14ac:dyDescent="0.35">
      <c r="A1258" s="260" t="s">
        <v>565</v>
      </c>
      <c r="B1258" s="190">
        <v>45710</v>
      </c>
      <c r="C1258" s="260" t="s">
        <v>749</v>
      </c>
      <c r="D1258" s="197">
        <v>80</v>
      </c>
      <c r="E1258" s="197">
        <v>8008</v>
      </c>
      <c r="F1258" s="197">
        <v>98.3</v>
      </c>
      <c r="G1258" s="190">
        <v>45709</v>
      </c>
      <c r="H1258" s="196">
        <v>1</v>
      </c>
      <c r="I1258" s="197">
        <v>7864</v>
      </c>
      <c r="J1258" s="197">
        <v>7864</v>
      </c>
      <c r="K1258" s="197">
        <v>0</v>
      </c>
      <c r="L1258" s="197">
        <v>-144</v>
      </c>
      <c r="M1258" s="260" t="s">
        <v>239</v>
      </c>
      <c r="N1258" s="260" t="s">
        <v>514</v>
      </c>
    </row>
    <row r="1259" spans="1:14" ht="14.5" x14ac:dyDescent="0.35">
      <c r="A1259" s="260" t="s">
        <v>565</v>
      </c>
      <c r="B1259" s="190">
        <v>45710</v>
      </c>
      <c r="C1259" s="260" t="s">
        <v>752</v>
      </c>
      <c r="D1259" s="197">
        <v>100</v>
      </c>
      <c r="E1259" s="197">
        <v>20020</v>
      </c>
      <c r="F1259" s="197">
        <v>199.44</v>
      </c>
      <c r="G1259" s="190">
        <v>45709</v>
      </c>
      <c r="H1259" s="196">
        <v>1</v>
      </c>
      <c r="I1259" s="197">
        <v>19944</v>
      </c>
      <c r="J1259" s="197">
        <v>19944</v>
      </c>
      <c r="K1259" s="197">
        <v>0</v>
      </c>
      <c r="L1259" s="197">
        <v>-76</v>
      </c>
      <c r="M1259" s="260" t="s">
        <v>239</v>
      </c>
      <c r="N1259" s="260" t="s">
        <v>514</v>
      </c>
    </row>
    <row r="1260" spans="1:14" ht="14.5" x14ac:dyDescent="0.35">
      <c r="A1260" s="260" t="s">
        <v>565</v>
      </c>
      <c r="B1260" s="190">
        <v>45710</v>
      </c>
      <c r="C1260" s="260" t="s">
        <v>754</v>
      </c>
      <c r="D1260" s="197">
        <v>50</v>
      </c>
      <c r="E1260" s="197">
        <v>4104</v>
      </c>
      <c r="F1260" s="197">
        <v>79.040000000000006</v>
      </c>
      <c r="G1260" s="190">
        <v>45709</v>
      </c>
      <c r="H1260" s="196">
        <v>1</v>
      </c>
      <c r="I1260" s="197">
        <v>3952.0000000000005</v>
      </c>
      <c r="J1260" s="197">
        <v>3952.0000000000005</v>
      </c>
      <c r="K1260" s="197">
        <v>0</v>
      </c>
      <c r="L1260" s="197">
        <v>-151.99999999999955</v>
      </c>
      <c r="M1260" s="260" t="s">
        <v>239</v>
      </c>
      <c r="N1260" s="260" t="s">
        <v>514</v>
      </c>
    </row>
    <row r="1261" spans="1:14" ht="14.5" x14ac:dyDescent="0.35">
      <c r="A1261" s="260" t="s">
        <v>565</v>
      </c>
      <c r="B1261" s="190">
        <v>45711</v>
      </c>
      <c r="C1261" s="260" t="s">
        <v>749</v>
      </c>
      <c r="D1261" s="197">
        <v>80</v>
      </c>
      <c r="E1261" s="197">
        <v>8008</v>
      </c>
      <c r="F1261" s="197">
        <v>98.3</v>
      </c>
      <c r="G1261" s="190">
        <v>45709</v>
      </c>
      <c r="H1261" s="196">
        <v>2</v>
      </c>
      <c r="I1261" s="197">
        <v>7864</v>
      </c>
      <c r="J1261" s="197">
        <v>7864</v>
      </c>
      <c r="K1261" s="197">
        <v>0</v>
      </c>
      <c r="L1261" s="197">
        <v>-144</v>
      </c>
      <c r="M1261" s="260" t="s">
        <v>239</v>
      </c>
      <c r="N1261" s="260" t="s">
        <v>514</v>
      </c>
    </row>
    <row r="1262" spans="1:14" ht="14.5" x14ac:dyDescent="0.35">
      <c r="A1262" s="260" t="s">
        <v>565</v>
      </c>
      <c r="B1262" s="190">
        <v>45711</v>
      </c>
      <c r="C1262" s="260" t="s">
        <v>752</v>
      </c>
      <c r="D1262" s="197">
        <v>100</v>
      </c>
      <c r="E1262" s="197">
        <v>20020</v>
      </c>
      <c r="F1262" s="197">
        <v>199.44</v>
      </c>
      <c r="G1262" s="190">
        <v>45709</v>
      </c>
      <c r="H1262" s="196">
        <v>2</v>
      </c>
      <c r="I1262" s="197">
        <v>19944</v>
      </c>
      <c r="J1262" s="197">
        <v>19944</v>
      </c>
      <c r="K1262" s="197">
        <v>0</v>
      </c>
      <c r="L1262" s="197">
        <v>-76</v>
      </c>
      <c r="M1262" s="260" t="s">
        <v>239</v>
      </c>
      <c r="N1262" s="260" t="s">
        <v>514</v>
      </c>
    </row>
    <row r="1263" spans="1:14" ht="14.5" x14ac:dyDescent="0.35">
      <c r="A1263" s="260" t="s">
        <v>565</v>
      </c>
      <c r="B1263" s="190">
        <v>45711</v>
      </c>
      <c r="C1263" s="260" t="s">
        <v>754</v>
      </c>
      <c r="D1263" s="197">
        <v>50</v>
      </c>
      <c r="E1263" s="197">
        <v>4104</v>
      </c>
      <c r="F1263" s="197">
        <v>79.040000000000006</v>
      </c>
      <c r="G1263" s="190">
        <v>45709</v>
      </c>
      <c r="H1263" s="196">
        <v>2</v>
      </c>
      <c r="I1263" s="197">
        <v>3952.0000000000005</v>
      </c>
      <c r="J1263" s="197">
        <v>3952.0000000000005</v>
      </c>
      <c r="K1263" s="197">
        <v>0</v>
      </c>
      <c r="L1263" s="197">
        <v>-151.99999999999955</v>
      </c>
      <c r="M1263" s="260" t="s">
        <v>239</v>
      </c>
      <c r="N1263" s="260" t="s">
        <v>514</v>
      </c>
    </row>
    <row r="1264" spans="1:14" ht="14.5" x14ac:dyDescent="0.35">
      <c r="A1264" s="260" t="s">
        <v>565</v>
      </c>
      <c r="B1264" s="190">
        <v>45712</v>
      </c>
      <c r="C1264" s="260" t="s">
        <v>749</v>
      </c>
      <c r="D1264" s="197">
        <v>80</v>
      </c>
      <c r="E1264" s="197">
        <v>8008</v>
      </c>
      <c r="F1264" s="197">
        <v>97.74</v>
      </c>
      <c r="G1264" s="190">
        <v>45712</v>
      </c>
      <c r="H1264" s="196">
        <v>0</v>
      </c>
      <c r="I1264" s="197">
        <v>7819.2</v>
      </c>
      <c r="J1264" s="197">
        <v>7819.2</v>
      </c>
      <c r="K1264" s="197">
        <v>0</v>
      </c>
      <c r="L1264" s="197">
        <v>-188.80000000000018</v>
      </c>
      <c r="M1264" s="260" t="s">
        <v>239</v>
      </c>
      <c r="N1264" s="260" t="s">
        <v>514</v>
      </c>
    </row>
    <row r="1265" spans="1:14" ht="14.5" x14ac:dyDescent="0.35">
      <c r="A1265" s="260" t="s">
        <v>565</v>
      </c>
      <c r="B1265" s="190">
        <v>45712</v>
      </c>
      <c r="C1265" s="260" t="s">
        <v>752</v>
      </c>
      <c r="D1265" s="197">
        <v>100</v>
      </c>
      <c r="E1265" s="197">
        <v>20020</v>
      </c>
      <c r="F1265" s="197">
        <v>200.11</v>
      </c>
      <c r="G1265" s="190">
        <v>45712</v>
      </c>
      <c r="H1265" s="196">
        <v>0</v>
      </c>
      <c r="I1265" s="197">
        <v>20011</v>
      </c>
      <c r="J1265" s="197">
        <v>20011</v>
      </c>
      <c r="K1265" s="197">
        <v>0</v>
      </c>
      <c r="L1265" s="197">
        <v>-9</v>
      </c>
      <c r="M1265" s="260" t="s">
        <v>239</v>
      </c>
      <c r="N1265" s="260" t="s">
        <v>514</v>
      </c>
    </row>
    <row r="1266" spans="1:14" ht="14.5" x14ac:dyDescent="0.35">
      <c r="A1266" s="260" t="s">
        <v>565</v>
      </c>
      <c r="B1266" s="190">
        <v>45712</v>
      </c>
      <c r="C1266" s="260" t="s">
        <v>754</v>
      </c>
      <c r="D1266" s="197">
        <v>50</v>
      </c>
      <c r="E1266" s="197">
        <v>4104</v>
      </c>
      <c r="F1266" s="197">
        <v>78.59</v>
      </c>
      <c r="G1266" s="190">
        <v>45712</v>
      </c>
      <c r="H1266" s="196">
        <v>0</v>
      </c>
      <c r="I1266" s="197">
        <v>3929.5</v>
      </c>
      <c r="J1266" s="197">
        <v>3929.5</v>
      </c>
      <c r="K1266" s="197">
        <v>0</v>
      </c>
      <c r="L1266" s="197">
        <v>-174.5</v>
      </c>
      <c r="M1266" s="260" t="s">
        <v>239</v>
      </c>
      <c r="N1266" s="260" t="s">
        <v>514</v>
      </c>
    </row>
    <row r="1267" spans="1:14" ht="14.5" x14ac:dyDescent="0.35">
      <c r="A1267" s="260" t="s">
        <v>565</v>
      </c>
      <c r="B1267" s="190">
        <v>45713</v>
      </c>
      <c r="C1267" s="260" t="s">
        <v>749</v>
      </c>
      <c r="D1267" s="197">
        <v>80</v>
      </c>
      <c r="E1267" s="197">
        <v>8008</v>
      </c>
      <c r="F1267" s="197">
        <v>97.56</v>
      </c>
      <c r="G1267" s="190">
        <v>45713</v>
      </c>
      <c r="H1267" s="196">
        <v>0</v>
      </c>
      <c r="I1267" s="197">
        <v>7804.8</v>
      </c>
      <c r="J1267" s="197">
        <v>7804.8</v>
      </c>
      <c r="K1267" s="197">
        <v>0</v>
      </c>
      <c r="L1267" s="197">
        <v>-203.19999999999982</v>
      </c>
      <c r="M1267" s="260" t="s">
        <v>239</v>
      </c>
      <c r="N1267" s="260" t="s">
        <v>514</v>
      </c>
    </row>
    <row r="1268" spans="1:14" ht="14.5" x14ac:dyDescent="0.35">
      <c r="A1268" s="260" t="s">
        <v>565</v>
      </c>
      <c r="B1268" s="190">
        <v>45713</v>
      </c>
      <c r="C1268" s="260" t="s">
        <v>752</v>
      </c>
      <c r="D1268" s="197">
        <v>100</v>
      </c>
      <c r="E1268" s="197">
        <v>20020</v>
      </c>
      <c r="F1268" s="197">
        <v>200.33</v>
      </c>
      <c r="G1268" s="190">
        <v>45713</v>
      </c>
      <c r="H1268" s="196">
        <v>0</v>
      </c>
      <c r="I1268" s="197">
        <v>20033</v>
      </c>
      <c r="J1268" s="197">
        <v>20033</v>
      </c>
      <c r="K1268" s="197">
        <v>0</v>
      </c>
      <c r="L1268" s="197">
        <v>13</v>
      </c>
      <c r="M1268" s="260" t="s">
        <v>239</v>
      </c>
      <c r="N1268" s="260" t="s">
        <v>514</v>
      </c>
    </row>
    <row r="1269" spans="1:14" ht="14.5" x14ac:dyDescent="0.35">
      <c r="A1269" s="260" t="s">
        <v>565</v>
      </c>
      <c r="B1269" s="190">
        <v>45713</v>
      </c>
      <c r="C1269" s="260" t="s">
        <v>754</v>
      </c>
      <c r="D1269" s="197">
        <v>50</v>
      </c>
      <c r="E1269" s="197">
        <v>4104</v>
      </c>
      <c r="F1269" s="197">
        <v>78.44</v>
      </c>
      <c r="G1269" s="190">
        <v>45713</v>
      </c>
      <c r="H1269" s="196">
        <v>0</v>
      </c>
      <c r="I1269" s="197">
        <v>3922</v>
      </c>
      <c r="J1269" s="197">
        <v>3922</v>
      </c>
      <c r="K1269" s="197">
        <v>0</v>
      </c>
      <c r="L1269" s="197">
        <v>-182</v>
      </c>
      <c r="M1269" s="260" t="s">
        <v>239</v>
      </c>
      <c r="N1269" s="260" t="s">
        <v>514</v>
      </c>
    </row>
    <row r="1270" spans="1:14" ht="14.5" x14ac:dyDescent="0.35">
      <c r="A1270" s="260" t="s">
        <v>565</v>
      </c>
      <c r="B1270" s="190">
        <v>45714</v>
      </c>
      <c r="C1270" s="260" t="s">
        <v>749</v>
      </c>
      <c r="D1270" s="197">
        <v>80</v>
      </c>
      <c r="E1270" s="197">
        <v>8008</v>
      </c>
      <c r="F1270" s="197">
        <v>97.37</v>
      </c>
      <c r="G1270" s="190">
        <v>45714</v>
      </c>
      <c r="H1270" s="196">
        <v>0</v>
      </c>
      <c r="I1270" s="197">
        <v>7789.6</v>
      </c>
      <c r="J1270" s="197">
        <v>7789.6</v>
      </c>
      <c r="K1270" s="197">
        <v>0</v>
      </c>
      <c r="L1270" s="197">
        <v>-218.39999999999964</v>
      </c>
      <c r="M1270" s="260" t="s">
        <v>239</v>
      </c>
      <c r="N1270" s="260" t="s">
        <v>514</v>
      </c>
    </row>
    <row r="1271" spans="1:14" ht="14.5" x14ac:dyDescent="0.35">
      <c r="A1271" s="260" t="s">
        <v>565</v>
      </c>
      <c r="B1271" s="190">
        <v>45714</v>
      </c>
      <c r="C1271" s="260" t="s">
        <v>752</v>
      </c>
      <c r="D1271" s="197">
        <v>100</v>
      </c>
      <c r="E1271" s="197">
        <v>20020</v>
      </c>
      <c r="F1271" s="197">
        <v>200.56</v>
      </c>
      <c r="G1271" s="190">
        <v>45714</v>
      </c>
      <c r="H1271" s="196">
        <v>0</v>
      </c>
      <c r="I1271" s="197">
        <v>20056</v>
      </c>
      <c r="J1271" s="197">
        <v>20056</v>
      </c>
      <c r="K1271" s="197">
        <v>0</v>
      </c>
      <c r="L1271" s="197">
        <v>36</v>
      </c>
      <c r="M1271" s="260" t="s">
        <v>239</v>
      </c>
      <c r="N1271" s="260" t="s">
        <v>514</v>
      </c>
    </row>
    <row r="1272" spans="1:14" ht="14.5" x14ac:dyDescent="0.35">
      <c r="A1272" s="260" t="s">
        <v>565</v>
      </c>
      <c r="B1272" s="190">
        <v>45714</v>
      </c>
      <c r="C1272" s="260" t="s">
        <v>754</v>
      </c>
      <c r="D1272" s="197">
        <v>50</v>
      </c>
      <c r="E1272" s="197">
        <v>4104</v>
      </c>
      <c r="F1272" s="197">
        <v>78.3</v>
      </c>
      <c r="G1272" s="190">
        <v>45714</v>
      </c>
      <c r="H1272" s="196">
        <v>0</v>
      </c>
      <c r="I1272" s="197">
        <v>3915</v>
      </c>
      <c r="J1272" s="197">
        <v>3915</v>
      </c>
      <c r="K1272" s="197">
        <v>0</v>
      </c>
      <c r="L1272" s="197">
        <v>-189</v>
      </c>
      <c r="M1272" s="260" t="s">
        <v>239</v>
      </c>
      <c r="N1272" s="260" t="s">
        <v>514</v>
      </c>
    </row>
    <row r="1273" spans="1:14" ht="14.5" x14ac:dyDescent="0.35">
      <c r="A1273" s="260" t="s">
        <v>565</v>
      </c>
      <c r="B1273" s="190">
        <v>45715</v>
      </c>
      <c r="C1273" s="260" t="s">
        <v>749</v>
      </c>
      <c r="D1273" s="197">
        <v>80</v>
      </c>
      <c r="E1273" s="197">
        <v>8008</v>
      </c>
      <c r="F1273" s="197">
        <v>97.19</v>
      </c>
      <c r="G1273" s="190">
        <v>45715</v>
      </c>
      <c r="H1273" s="196">
        <v>0</v>
      </c>
      <c r="I1273" s="197">
        <v>7775.2</v>
      </c>
      <c r="J1273" s="197">
        <v>7775.2</v>
      </c>
      <c r="K1273" s="197">
        <v>0</v>
      </c>
      <c r="L1273" s="197">
        <v>-232.80000000000018</v>
      </c>
      <c r="M1273" s="260" t="s">
        <v>239</v>
      </c>
      <c r="N1273" s="260" t="s">
        <v>514</v>
      </c>
    </row>
    <row r="1274" spans="1:14" ht="14.5" x14ac:dyDescent="0.35">
      <c r="A1274" s="260" t="s">
        <v>565</v>
      </c>
      <c r="B1274" s="190">
        <v>45715</v>
      </c>
      <c r="C1274" s="260" t="s">
        <v>752</v>
      </c>
      <c r="D1274" s="197">
        <v>100</v>
      </c>
      <c r="E1274" s="197">
        <v>20020</v>
      </c>
      <c r="F1274" s="197">
        <v>200.78</v>
      </c>
      <c r="G1274" s="190">
        <v>45715</v>
      </c>
      <c r="H1274" s="196">
        <v>0</v>
      </c>
      <c r="I1274" s="197">
        <v>20078</v>
      </c>
      <c r="J1274" s="197">
        <v>20078</v>
      </c>
      <c r="K1274" s="197">
        <v>0</v>
      </c>
      <c r="L1274" s="197">
        <v>58</v>
      </c>
      <c r="M1274" s="260" t="s">
        <v>239</v>
      </c>
      <c r="N1274" s="260" t="s">
        <v>514</v>
      </c>
    </row>
    <row r="1275" spans="1:14" ht="14.5" x14ac:dyDescent="0.35">
      <c r="A1275" s="260" t="s">
        <v>565</v>
      </c>
      <c r="B1275" s="190">
        <v>45715</v>
      </c>
      <c r="C1275" s="260" t="s">
        <v>754</v>
      </c>
      <c r="D1275" s="197">
        <v>50</v>
      </c>
      <c r="E1275" s="197">
        <v>4104</v>
      </c>
      <c r="F1275" s="197">
        <v>78.150000000000006</v>
      </c>
      <c r="G1275" s="190">
        <v>45715</v>
      </c>
      <c r="H1275" s="196">
        <v>0</v>
      </c>
      <c r="I1275" s="197">
        <v>3907.5000000000005</v>
      </c>
      <c r="J1275" s="197">
        <v>3907.5000000000005</v>
      </c>
      <c r="K1275" s="197">
        <v>0</v>
      </c>
      <c r="L1275" s="197">
        <v>-196.49999999999955</v>
      </c>
      <c r="M1275" s="260" t="s">
        <v>239</v>
      </c>
      <c r="N1275" s="260" t="s">
        <v>514</v>
      </c>
    </row>
    <row r="1276" spans="1:14" ht="14.5" x14ac:dyDescent="0.35">
      <c r="A1276" s="260" t="s">
        <v>565</v>
      </c>
      <c r="B1276" s="190">
        <v>45716</v>
      </c>
      <c r="C1276" s="260" t="s">
        <v>749</v>
      </c>
      <c r="D1276" s="197">
        <v>80</v>
      </c>
      <c r="E1276" s="197">
        <v>8008</v>
      </c>
      <c r="F1276" s="197">
        <v>97</v>
      </c>
      <c r="G1276" s="190">
        <v>45716</v>
      </c>
      <c r="H1276" s="196">
        <v>0</v>
      </c>
      <c r="I1276" s="197">
        <v>7760</v>
      </c>
      <c r="J1276" s="197">
        <v>7760</v>
      </c>
      <c r="K1276" s="197">
        <v>0</v>
      </c>
      <c r="L1276" s="197">
        <v>-248</v>
      </c>
      <c r="M1276" s="260" t="s">
        <v>239</v>
      </c>
      <c r="N1276" s="260" t="s">
        <v>514</v>
      </c>
    </row>
    <row r="1277" spans="1:14" ht="14.5" x14ac:dyDescent="0.35">
      <c r="A1277" s="260" t="s">
        <v>565</v>
      </c>
      <c r="B1277" s="190">
        <v>45716</v>
      </c>
      <c r="C1277" s="260" t="s">
        <v>752</v>
      </c>
      <c r="D1277" s="197">
        <v>100</v>
      </c>
      <c r="E1277" s="197">
        <v>20020</v>
      </c>
      <c r="F1277" s="197">
        <v>201</v>
      </c>
      <c r="G1277" s="190">
        <v>45716</v>
      </c>
      <c r="H1277" s="196">
        <v>0</v>
      </c>
      <c r="I1277" s="197">
        <v>20100</v>
      </c>
      <c r="J1277" s="197">
        <v>20100</v>
      </c>
      <c r="K1277" s="197">
        <v>0</v>
      </c>
      <c r="L1277" s="197">
        <v>80</v>
      </c>
      <c r="M1277" s="260" t="s">
        <v>239</v>
      </c>
      <c r="N1277" s="260" t="s">
        <v>514</v>
      </c>
    </row>
    <row r="1278" spans="1:14" ht="14.5" x14ac:dyDescent="0.35">
      <c r="A1278" s="260" t="s">
        <v>565</v>
      </c>
      <c r="B1278" s="190">
        <v>45716</v>
      </c>
      <c r="C1278" s="260" t="s">
        <v>754</v>
      </c>
      <c r="D1278" s="197">
        <v>50</v>
      </c>
      <c r="E1278" s="197">
        <v>4104</v>
      </c>
      <c r="F1278" s="197">
        <v>78</v>
      </c>
      <c r="G1278" s="190">
        <v>45716</v>
      </c>
      <c r="H1278" s="196">
        <v>0</v>
      </c>
      <c r="I1278" s="197">
        <v>3900</v>
      </c>
      <c r="J1278" s="197">
        <v>3900</v>
      </c>
      <c r="K1278" s="197">
        <v>0</v>
      </c>
      <c r="L1278" s="197">
        <v>-204</v>
      </c>
      <c r="M1278" s="260" t="s">
        <v>239</v>
      </c>
      <c r="N1278" s="260" t="s">
        <v>514</v>
      </c>
    </row>
    <row r="1279" spans="1:14" ht="14.5" x14ac:dyDescent="0.35">
      <c r="A1279" s="260" t="s">
        <v>565</v>
      </c>
      <c r="B1279" s="190">
        <v>45717</v>
      </c>
      <c r="C1279" s="260" t="s">
        <v>749</v>
      </c>
      <c r="D1279" s="197">
        <v>80</v>
      </c>
      <c r="E1279" s="197">
        <v>8008</v>
      </c>
      <c r="F1279" s="197">
        <v>97</v>
      </c>
      <c r="G1279" s="190">
        <v>45716</v>
      </c>
      <c r="H1279" s="196">
        <v>1</v>
      </c>
      <c r="I1279" s="197">
        <v>7760</v>
      </c>
      <c r="J1279" s="197">
        <v>7760</v>
      </c>
      <c r="K1279" s="197">
        <v>0</v>
      </c>
      <c r="L1279" s="197">
        <v>-248</v>
      </c>
      <c r="M1279" s="260" t="s">
        <v>239</v>
      </c>
      <c r="N1279" s="260" t="s">
        <v>514</v>
      </c>
    </row>
    <row r="1280" spans="1:14" ht="14.5" x14ac:dyDescent="0.35">
      <c r="A1280" s="260" t="s">
        <v>565</v>
      </c>
      <c r="B1280" s="190">
        <v>45717</v>
      </c>
      <c r="C1280" s="260" t="s">
        <v>752</v>
      </c>
      <c r="D1280" s="197">
        <v>100</v>
      </c>
      <c r="E1280" s="197">
        <v>20020</v>
      </c>
      <c r="F1280" s="197">
        <v>201</v>
      </c>
      <c r="G1280" s="190">
        <v>45716</v>
      </c>
      <c r="H1280" s="196">
        <v>1</v>
      </c>
      <c r="I1280" s="197">
        <v>20100</v>
      </c>
      <c r="J1280" s="197">
        <v>20100</v>
      </c>
      <c r="K1280" s="197">
        <v>0</v>
      </c>
      <c r="L1280" s="197">
        <v>80</v>
      </c>
      <c r="M1280" s="260" t="s">
        <v>239</v>
      </c>
      <c r="N1280" s="260" t="s">
        <v>514</v>
      </c>
    </row>
    <row r="1281" spans="1:14" ht="14.5" x14ac:dyDescent="0.35">
      <c r="A1281" s="260" t="s">
        <v>565</v>
      </c>
      <c r="B1281" s="190">
        <v>45717</v>
      </c>
      <c r="C1281" s="260" t="s">
        <v>754</v>
      </c>
      <c r="D1281" s="197">
        <v>50</v>
      </c>
      <c r="E1281" s="197">
        <v>4104</v>
      </c>
      <c r="F1281" s="197">
        <v>78</v>
      </c>
      <c r="G1281" s="190">
        <v>45716</v>
      </c>
      <c r="H1281" s="196">
        <v>1</v>
      </c>
      <c r="I1281" s="197">
        <v>3900</v>
      </c>
      <c r="J1281" s="197">
        <v>3900</v>
      </c>
      <c r="K1281" s="197">
        <v>0</v>
      </c>
      <c r="L1281" s="197">
        <v>-204</v>
      </c>
      <c r="M1281" s="260" t="s">
        <v>239</v>
      </c>
      <c r="N1281" s="260" t="s">
        <v>514</v>
      </c>
    </row>
    <row r="1282" spans="1:14" ht="14.5" x14ac:dyDescent="0.35">
      <c r="A1282" s="260" t="s">
        <v>565</v>
      </c>
      <c r="B1282" s="190">
        <v>45718</v>
      </c>
      <c r="C1282" s="260" t="s">
        <v>749</v>
      </c>
      <c r="D1282" s="197">
        <v>80</v>
      </c>
      <c r="E1282" s="197">
        <v>8008</v>
      </c>
      <c r="F1282" s="197">
        <v>97</v>
      </c>
      <c r="G1282" s="190">
        <v>45716</v>
      </c>
      <c r="H1282" s="196">
        <v>2</v>
      </c>
      <c r="I1282" s="197">
        <v>7760</v>
      </c>
      <c r="J1282" s="197">
        <v>7760</v>
      </c>
      <c r="K1282" s="197">
        <v>0</v>
      </c>
      <c r="L1282" s="197">
        <v>-248</v>
      </c>
      <c r="M1282" s="260" t="s">
        <v>239</v>
      </c>
      <c r="N1282" s="260" t="s">
        <v>514</v>
      </c>
    </row>
    <row r="1283" spans="1:14" ht="14.5" x14ac:dyDescent="0.35">
      <c r="A1283" s="260" t="s">
        <v>565</v>
      </c>
      <c r="B1283" s="190">
        <v>45718</v>
      </c>
      <c r="C1283" s="260" t="s">
        <v>752</v>
      </c>
      <c r="D1283" s="197">
        <v>100</v>
      </c>
      <c r="E1283" s="197">
        <v>20020</v>
      </c>
      <c r="F1283" s="197">
        <v>201</v>
      </c>
      <c r="G1283" s="190">
        <v>45716</v>
      </c>
      <c r="H1283" s="196">
        <v>2</v>
      </c>
      <c r="I1283" s="197">
        <v>20100</v>
      </c>
      <c r="J1283" s="197">
        <v>20100</v>
      </c>
      <c r="K1283" s="197">
        <v>0</v>
      </c>
      <c r="L1283" s="197">
        <v>80</v>
      </c>
      <c r="M1283" s="260" t="s">
        <v>239</v>
      </c>
      <c r="N1283" s="260" t="s">
        <v>514</v>
      </c>
    </row>
    <row r="1284" spans="1:14" ht="14.5" x14ac:dyDescent="0.35">
      <c r="A1284" s="260" t="s">
        <v>565</v>
      </c>
      <c r="B1284" s="190">
        <v>45718</v>
      </c>
      <c r="C1284" s="260" t="s">
        <v>754</v>
      </c>
      <c r="D1284" s="197">
        <v>50</v>
      </c>
      <c r="E1284" s="197">
        <v>4104</v>
      </c>
      <c r="F1284" s="197">
        <v>78</v>
      </c>
      <c r="G1284" s="190">
        <v>45716</v>
      </c>
      <c r="H1284" s="196">
        <v>2</v>
      </c>
      <c r="I1284" s="197">
        <v>3900</v>
      </c>
      <c r="J1284" s="197">
        <v>3900</v>
      </c>
      <c r="K1284" s="197">
        <v>0</v>
      </c>
      <c r="L1284" s="197">
        <v>-204</v>
      </c>
      <c r="M1284" s="260" t="s">
        <v>239</v>
      </c>
      <c r="N1284" s="260" t="s">
        <v>514</v>
      </c>
    </row>
    <row r="1285" spans="1:14" ht="14.5" x14ac:dyDescent="0.35">
      <c r="A1285" s="260" t="s">
        <v>565</v>
      </c>
      <c r="B1285" s="190">
        <v>45719</v>
      </c>
      <c r="C1285" s="260" t="s">
        <v>749</v>
      </c>
      <c r="D1285" s="197">
        <v>80</v>
      </c>
      <c r="E1285" s="197">
        <v>8008</v>
      </c>
      <c r="F1285" s="197">
        <v>97.6</v>
      </c>
      <c r="G1285" s="190">
        <v>45719</v>
      </c>
      <c r="H1285" s="196">
        <v>0</v>
      </c>
      <c r="I1285" s="197">
        <v>7808</v>
      </c>
      <c r="J1285" s="197">
        <v>7808</v>
      </c>
      <c r="K1285" s="197">
        <v>0</v>
      </c>
      <c r="L1285" s="197">
        <v>-200</v>
      </c>
      <c r="M1285" s="260" t="s">
        <v>239</v>
      </c>
      <c r="N1285" s="260" t="s">
        <v>514</v>
      </c>
    </row>
    <row r="1286" spans="1:14" ht="14.5" x14ac:dyDescent="0.35">
      <c r="A1286" s="260" t="s">
        <v>565</v>
      </c>
      <c r="B1286" s="190">
        <v>45719</v>
      </c>
      <c r="C1286" s="260" t="s">
        <v>752</v>
      </c>
      <c r="D1286" s="197">
        <v>100</v>
      </c>
      <c r="E1286" s="197">
        <v>20020</v>
      </c>
      <c r="F1286" s="197">
        <v>200.8</v>
      </c>
      <c r="G1286" s="190">
        <v>45719</v>
      </c>
      <c r="H1286" s="196">
        <v>0</v>
      </c>
      <c r="I1286" s="197">
        <v>20080</v>
      </c>
      <c r="J1286" s="197">
        <v>20080</v>
      </c>
      <c r="K1286" s="197">
        <v>0</v>
      </c>
      <c r="L1286" s="197">
        <v>60</v>
      </c>
      <c r="M1286" s="260" t="s">
        <v>239</v>
      </c>
      <c r="N1286" s="260" t="s">
        <v>514</v>
      </c>
    </row>
    <row r="1287" spans="1:14" ht="14.5" x14ac:dyDescent="0.35">
      <c r="A1287" s="260" t="s">
        <v>565</v>
      </c>
      <c r="B1287" s="190">
        <v>45719</v>
      </c>
      <c r="C1287" s="260" t="s">
        <v>754</v>
      </c>
      <c r="D1287" s="197">
        <v>50</v>
      </c>
      <c r="E1287" s="197">
        <v>4104</v>
      </c>
      <c r="F1287" s="197">
        <v>77.8</v>
      </c>
      <c r="G1287" s="190">
        <v>45719</v>
      </c>
      <c r="H1287" s="196">
        <v>0</v>
      </c>
      <c r="I1287" s="197">
        <v>3890</v>
      </c>
      <c r="J1287" s="197">
        <v>3890</v>
      </c>
      <c r="K1287" s="197">
        <v>0</v>
      </c>
      <c r="L1287" s="197">
        <v>-214</v>
      </c>
      <c r="M1287" s="260" t="s">
        <v>239</v>
      </c>
      <c r="N1287" s="260" t="s">
        <v>514</v>
      </c>
    </row>
    <row r="1288" spans="1:14" ht="14.5" x14ac:dyDescent="0.35">
      <c r="A1288" s="260" t="s">
        <v>565</v>
      </c>
      <c r="B1288" s="190">
        <v>45720</v>
      </c>
      <c r="C1288" s="260" t="s">
        <v>749</v>
      </c>
      <c r="D1288" s="197">
        <v>80</v>
      </c>
      <c r="E1288" s="197">
        <v>8008</v>
      </c>
      <c r="F1288" s="197">
        <v>97.9</v>
      </c>
      <c r="G1288" s="190">
        <v>45720</v>
      </c>
      <c r="H1288" s="196">
        <v>0</v>
      </c>
      <c r="I1288" s="197">
        <v>7832</v>
      </c>
      <c r="J1288" s="197">
        <v>7832</v>
      </c>
      <c r="K1288" s="197">
        <v>0</v>
      </c>
      <c r="L1288" s="197">
        <v>-176</v>
      </c>
      <c r="M1288" s="260" t="s">
        <v>239</v>
      </c>
      <c r="N1288" s="260" t="s">
        <v>514</v>
      </c>
    </row>
    <row r="1289" spans="1:14" ht="14.5" x14ac:dyDescent="0.35">
      <c r="A1289" s="260" t="s">
        <v>565</v>
      </c>
      <c r="B1289" s="190">
        <v>45720</v>
      </c>
      <c r="C1289" s="260" t="s">
        <v>752</v>
      </c>
      <c r="D1289" s="197">
        <v>100</v>
      </c>
      <c r="E1289" s="197">
        <v>20020</v>
      </c>
      <c r="F1289" s="197">
        <v>200.7</v>
      </c>
      <c r="G1289" s="190">
        <v>45720</v>
      </c>
      <c r="H1289" s="196">
        <v>0</v>
      </c>
      <c r="I1289" s="197">
        <v>20070</v>
      </c>
      <c r="J1289" s="197">
        <v>20070</v>
      </c>
      <c r="K1289" s="197">
        <v>0</v>
      </c>
      <c r="L1289" s="197">
        <v>50</v>
      </c>
      <c r="M1289" s="260" t="s">
        <v>239</v>
      </c>
      <c r="N1289" s="260" t="s">
        <v>514</v>
      </c>
    </row>
    <row r="1290" spans="1:14" ht="14.5" x14ac:dyDescent="0.35">
      <c r="A1290" s="260" t="s">
        <v>565</v>
      </c>
      <c r="B1290" s="190">
        <v>45720</v>
      </c>
      <c r="C1290" s="260" t="s">
        <v>754</v>
      </c>
      <c r="D1290" s="197">
        <v>50</v>
      </c>
      <c r="E1290" s="197">
        <v>4104</v>
      </c>
      <c r="F1290" s="197">
        <v>77.7</v>
      </c>
      <c r="G1290" s="190">
        <v>45720</v>
      </c>
      <c r="H1290" s="196">
        <v>0</v>
      </c>
      <c r="I1290" s="197">
        <v>3885</v>
      </c>
      <c r="J1290" s="197">
        <v>3885</v>
      </c>
      <c r="K1290" s="197">
        <v>0</v>
      </c>
      <c r="L1290" s="197">
        <v>-219</v>
      </c>
      <c r="M1290" s="260" t="s">
        <v>239</v>
      </c>
      <c r="N1290" s="260" t="s">
        <v>514</v>
      </c>
    </row>
    <row r="1291" spans="1:14" ht="14.5" x14ac:dyDescent="0.35">
      <c r="A1291" s="260" t="s">
        <v>565</v>
      </c>
      <c r="B1291" s="190">
        <v>45721</v>
      </c>
      <c r="C1291" s="260" t="s">
        <v>749</v>
      </c>
      <c r="D1291" s="197">
        <v>80</v>
      </c>
      <c r="E1291" s="197">
        <v>8008</v>
      </c>
      <c r="F1291" s="197">
        <v>98.2</v>
      </c>
      <c r="G1291" s="190">
        <v>45721</v>
      </c>
      <c r="H1291" s="196">
        <v>0</v>
      </c>
      <c r="I1291" s="197">
        <v>7856</v>
      </c>
      <c r="J1291" s="197">
        <v>7856</v>
      </c>
      <c r="K1291" s="197">
        <v>0</v>
      </c>
      <c r="L1291" s="197">
        <v>-152</v>
      </c>
      <c r="M1291" s="260" t="s">
        <v>239</v>
      </c>
      <c r="N1291" s="260" t="s">
        <v>514</v>
      </c>
    </row>
    <row r="1292" spans="1:14" ht="14.5" x14ac:dyDescent="0.35">
      <c r="A1292" s="260" t="s">
        <v>565</v>
      </c>
      <c r="B1292" s="190">
        <v>45721</v>
      </c>
      <c r="C1292" s="260" t="s">
        <v>752</v>
      </c>
      <c r="D1292" s="197">
        <v>100</v>
      </c>
      <c r="E1292" s="197">
        <v>20020</v>
      </c>
      <c r="F1292" s="197">
        <v>200.6</v>
      </c>
      <c r="G1292" s="190">
        <v>45721</v>
      </c>
      <c r="H1292" s="196">
        <v>0</v>
      </c>
      <c r="I1292" s="197">
        <v>20060</v>
      </c>
      <c r="J1292" s="197">
        <v>20060</v>
      </c>
      <c r="K1292" s="197">
        <v>0</v>
      </c>
      <c r="L1292" s="197">
        <v>40</v>
      </c>
      <c r="M1292" s="260" t="s">
        <v>239</v>
      </c>
      <c r="N1292" s="260" t="s">
        <v>514</v>
      </c>
    </row>
    <row r="1293" spans="1:14" ht="14.5" x14ac:dyDescent="0.35">
      <c r="A1293" s="260" t="s">
        <v>565</v>
      </c>
      <c r="B1293" s="190">
        <v>45721</v>
      </c>
      <c r="C1293" s="260" t="s">
        <v>754</v>
      </c>
      <c r="D1293" s="197">
        <v>50</v>
      </c>
      <c r="E1293" s="197">
        <v>4104</v>
      </c>
      <c r="F1293" s="197">
        <v>77.599999999999994</v>
      </c>
      <c r="G1293" s="190">
        <v>45721</v>
      </c>
      <c r="H1293" s="196">
        <v>0</v>
      </c>
      <c r="I1293" s="197">
        <v>3879.9999999999995</v>
      </c>
      <c r="J1293" s="197">
        <v>3879.9999999999995</v>
      </c>
      <c r="K1293" s="197">
        <v>0</v>
      </c>
      <c r="L1293" s="197">
        <v>-224.00000000000045</v>
      </c>
      <c r="M1293" s="260" t="s">
        <v>239</v>
      </c>
      <c r="N1293" s="260" t="s">
        <v>514</v>
      </c>
    </row>
    <row r="1294" spans="1:14" ht="14.5" x14ac:dyDescent="0.35">
      <c r="A1294" s="260" t="s">
        <v>565</v>
      </c>
      <c r="B1294" s="190">
        <v>45722</v>
      </c>
      <c r="C1294" s="260" t="s">
        <v>749</v>
      </c>
      <c r="D1294" s="197">
        <v>80</v>
      </c>
      <c r="E1294" s="197">
        <v>8008</v>
      </c>
      <c r="F1294" s="197">
        <v>98.5</v>
      </c>
      <c r="G1294" s="190">
        <v>45722</v>
      </c>
      <c r="H1294" s="196">
        <v>0</v>
      </c>
      <c r="I1294" s="197">
        <v>7880</v>
      </c>
      <c r="J1294" s="197">
        <v>7880</v>
      </c>
      <c r="K1294" s="197">
        <v>0</v>
      </c>
      <c r="L1294" s="197">
        <v>-128</v>
      </c>
      <c r="M1294" s="260" t="s">
        <v>239</v>
      </c>
      <c r="N1294" s="260" t="s">
        <v>514</v>
      </c>
    </row>
    <row r="1295" spans="1:14" ht="14.5" x14ac:dyDescent="0.35">
      <c r="A1295" s="260" t="s">
        <v>565</v>
      </c>
      <c r="B1295" s="190">
        <v>45722</v>
      </c>
      <c r="C1295" s="260" t="s">
        <v>752</v>
      </c>
      <c r="D1295" s="197">
        <v>100</v>
      </c>
      <c r="E1295" s="197">
        <v>20020</v>
      </c>
      <c r="F1295" s="197">
        <v>200.5</v>
      </c>
      <c r="G1295" s="190">
        <v>45722</v>
      </c>
      <c r="H1295" s="196">
        <v>0</v>
      </c>
      <c r="I1295" s="197">
        <v>20050</v>
      </c>
      <c r="J1295" s="197">
        <v>20050</v>
      </c>
      <c r="K1295" s="197">
        <v>0</v>
      </c>
      <c r="L1295" s="197">
        <v>30</v>
      </c>
      <c r="M1295" s="260" t="s">
        <v>239</v>
      </c>
      <c r="N1295" s="260" t="s">
        <v>514</v>
      </c>
    </row>
    <row r="1296" spans="1:14" ht="14.5" x14ac:dyDescent="0.35">
      <c r="A1296" s="260" t="s">
        <v>565</v>
      </c>
      <c r="B1296" s="190">
        <v>45722</v>
      </c>
      <c r="C1296" s="260" t="s">
        <v>754</v>
      </c>
      <c r="D1296" s="197">
        <v>50</v>
      </c>
      <c r="E1296" s="197">
        <v>4104</v>
      </c>
      <c r="F1296" s="197">
        <v>77.5</v>
      </c>
      <c r="G1296" s="190">
        <v>45722</v>
      </c>
      <c r="H1296" s="196">
        <v>0</v>
      </c>
      <c r="I1296" s="197">
        <v>3875</v>
      </c>
      <c r="J1296" s="197">
        <v>3875</v>
      </c>
      <c r="K1296" s="197">
        <v>0</v>
      </c>
      <c r="L1296" s="197">
        <v>-229</v>
      </c>
      <c r="M1296" s="260" t="s">
        <v>239</v>
      </c>
      <c r="N1296" s="260" t="s">
        <v>514</v>
      </c>
    </row>
    <row r="1297" spans="1:14" ht="14.5" x14ac:dyDescent="0.35">
      <c r="A1297" s="260" t="s">
        <v>565</v>
      </c>
      <c r="B1297" s="190">
        <v>45723</v>
      </c>
      <c r="C1297" s="260" t="s">
        <v>749</v>
      </c>
      <c r="D1297" s="197">
        <v>80</v>
      </c>
      <c r="E1297" s="197">
        <v>8008</v>
      </c>
      <c r="F1297" s="197">
        <v>98.8</v>
      </c>
      <c r="G1297" s="190">
        <v>45723</v>
      </c>
      <c r="H1297" s="196">
        <v>0</v>
      </c>
      <c r="I1297" s="197">
        <v>7904</v>
      </c>
      <c r="J1297" s="197">
        <v>7904</v>
      </c>
      <c r="K1297" s="197">
        <v>0</v>
      </c>
      <c r="L1297" s="197">
        <v>-104</v>
      </c>
      <c r="M1297" s="260" t="s">
        <v>239</v>
      </c>
      <c r="N1297" s="260" t="s">
        <v>514</v>
      </c>
    </row>
    <row r="1298" spans="1:14" ht="14.5" x14ac:dyDescent="0.35">
      <c r="A1298" s="260" t="s">
        <v>565</v>
      </c>
      <c r="B1298" s="190">
        <v>45723</v>
      </c>
      <c r="C1298" s="260" t="s">
        <v>752</v>
      </c>
      <c r="D1298" s="197">
        <v>100</v>
      </c>
      <c r="E1298" s="197">
        <v>20020</v>
      </c>
      <c r="F1298" s="197">
        <v>200.4</v>
      </c>
      <c r="G1298" s="190">
        <v>45723</v>
      </c>
      <c r="H1298" s="196">
        <v>0</v>
      </c>
      <c r="I1298" s="197">
        <v>20040</v>
      </c>
      <c r="J1298" s="197">
        <v>20040</v>
      </c>
      <c r="K1298" s="197">
        <v>0</v>
      </c>
      <c r="L1298" s="197">
        <v>20</v>
      </c>
      <c r="M1298" s="260" t="s">
        <v>239</v>
      </c>
      <c r="N1298" s="260" t="s">
        <v>514</v>
      </c>
    </row>
    <row r="1299" spans="1:14" ht="14.5" x14ac:dyDescent="0.35">
      <c r="A1299" s="260" t="s">
        <v>565</v>
      </c>
      <c r="B1299" s="190">
        <v>45723</v>
      </c>
      <c r="C1299" s="260" t="s">
        <v>754</v>
      </c>
      <c r="D1299" s="197">
        <v>50</v>
      </c>
      <c r="E1299" s="197">
        <v>4104</v>
      </c>
      <c r="F1299" s="197">
        <v>77.400000000000006</v>
      </c>
      <c r="G1299" s="190">
        <v>45723</v>
      </c>
      <c r="H1299" s="196">
        <v>0</v>
      </c>
      <c r="I1299" s="197">
        <v>3870.0000000000005</v>
      </c>
      <c r="J1299" s="197">
        <v>3870.0000000000005</v>
      </c>
      <c r="K1299" s="197">
        <v>0</v>
      </c>
      <c r="L1299" s="197">
        <v>-233.99999999999955</v>
      </c>
      <c r="M1299" s="260" t="s">
        <v>239</v>
      </c>
      <c r="N1299" s="260" t="s">
        <v>514</v>
      </c>
    </row>
    <row r="1300" spans="1:14" ht="14.5" x14ac:dyDescent="0.35">
      <c r="A1300" s="260" t="s">
        <v>565</v>
      </c>
      <c r="B1300" s="190">
        <v>45724</v>
      </c>
      <c r="C1300" s="260" t="s">
        <v>749</v>
      </c>
      <c r="D1300" s="197">
        <v>80</v>
      </c>
      <c r="E1300" s="197">
        <v>8008</v>
      </c>
      <c r="F1300" s="197">
        <v>98.8</v>
      </c>
      <c r="G1300" s="190">
        <v>45723</v>
      </c>
      <c r="H1300" s="196">
        <v>1</v>
      </c>
      <c r="I1300" s="197">
        <v>7904</v>
      </c>
      <c r="J1300" s="197">
        <v>7904</v>
      </c>
      <c r="K1300" s="197">
        <v>0</v>
      </c>
      <c r="L1300" s="197">
        <v>-104</v>
      </c>
      <c r="M1300" s="260" t="s">
        <v>239</v>
      </c>
      <c r="N1300" s="260" t="s">
        <v>514</v>
      </c>
    </row>
    <row r="1301" spans="1:14" ht="14.5" x14ac:dyDescent="0.35">
      <c r="A1301" s="260" t="s">
        <v>565</v>
      </c>
      <c r="B1301" s="190">
        <v>45724</v>
      </c>
      <c r="C1301" s="260" t="s">
        <v>752</v>
      </c>
      <c r="D1301" s="197">
        <v>100</v>
      </c>
      <c r="E1301" s="197">
        <v>20020</v>
      </c>
      <c r="F1301" s="197">
        <v>200.4</v>
      </c>
      <c r="G1301" s="190">
        <v>45723</v>
      </c>
      <c r="H1301" s="196">
        <v>1</v>
      </c>
      <c r="I1301" s="197">
        <v>20040</v>
      </c>
      <c r="J1301" s="197">
        <v>20040</v>
      </c>
      <c r="K1301" s="197">
        <v>0</v>
      </c>
      <c r="L1301" s="197">
        <v>20</v>
      </c>
      <c r="M1301" s="260" t="s">
        <v>239</v>
      </c>
      <c r="N1301" s="260" t="s">
        <v>514</v>
      </c>
    </row>
    <row r="1302" spans="1:14" ht="14.5" x14ac:dyDescent="0.35">
      <c r="A1302" s="260" t="s">
        <v>565</v>
      </c>
      <c r="B1302" s="190">
        <v>45724</v>
      </c>
      <c r="C1302" s="260" t="s">
        <v>754</v>
      </c>
      <c r="D1302" s="197">
        <v>50</v>
      </c>
      <c r="E1302" s="197">
        <v>4104</v>
      </c>
      <c r="F1302" s="197">
        <v>77.400000000000006</v>
      </c>
      <c r="G1302" s="190">
        <v>45723</v>
      </c>
      <c r="H1302" s="196">
        <v>1</v>
      </c>
      <c r="I1302" s="197">
        <v>3870.0000000000005</v>
      </c>
      <c r="J1302" s="197">
        <v>3870.0000000000005</v>
      </c>
      <c r="K1302" s="197">
        <v>0</v>
      </c>
      <c r="L1302" s="197">
        <v>-233.99999999999955</v>
      </c>
      <c r="M1302" s="260" t="s">
        <v>239</v>
      </c>
      <c r="N1302" s="260" t="s">
        <v>514</v>
      </c>
    </row>
    <row r="1303" spans="1:14" ht="14.5" x14ac:dyDescent="0.35">
      <c r="A1303" s="260" t="s">
        <v>565</v>
      </c>
      <c r="B1303" s="190">
        <v>45725</v>
      </c>
      <c r="C1303" s="260" t="s">
        <v>749</v>
      </c>
      <c r="D1303" s="197">
        <v>80</v>
      </c>
      <c r="E1303" s="197">
        <v>8008</v>
      </c>
      <c r="F1303" s="197">
        <v>98.8</v>
      </c>
      <c r="G1303" s="190">
        <v>45723</v>
      </c>
      <c r="H1303" s="196">
        <v>2</v>
      </c>
      <c r="I1303" s="197">
        <v>7904</v>
      </c>
      <c r="J1303" s="197">
        <v>7904</v>
      </c>
      <c r="K1303" s="197">
        <v>0</v>
      </c>
      <c r="L1303" s="197">
        <v>-104</v>
      </c>
      <c r="M1303" s="260" t="s">
        <v>239</v>
      </c>
      <c r="N1303" s="260" t="s">
        <v>514</v>
      </c>
    </row>
    <row r="1304" spans="1:14" ht="14.5" x14ac:dyDescent="0.35">
      <c r="A1304" s="260" t="s">
        <v>565</v>
      </c>
      <c r="B1304" s="190">
        <v>45725</v>
      </c>
      <c r="C1304" s="260" t="s">
        <v>752</v>
      </c>
      <c r="D1304" s="197">
        <v>100</v>
      </c>
      <c r="E1304" s="197">
        <v>20020</v>
      </c>
      <c r="F1304" s="197">
        <v>200.4</v>
      </c>
      <c r="G1304" s="190">
        <v>45723</v>
      </c>
      <c r="H1304" s="196">
        <v>2</v>
      </c>
      <c r="I1304" s="197">
        <v>20040</v>
      </c>
      <c r="J1304" s="197">
        <v>20040</v>
      </c>
      <c r="K1304" s="197">
        <v>0</v>
      </c>
      <c r="L1304" s="197">
        <v>20</v>
      </c>
      <c r="M1304" s="260" t="s">
        <v>239</v>
      </c>
      <c r="N1304" s="260" t="s">
        <v>514</v>
      </c>
    </row>
    <row r="1305" spans="1:14" ht="14.5" x14ac:dyDescent="0.35">
      <c r="A1305" s="260" t="s">
        <v>565</v>
      </c>
      <c r="B1305" s="190">
        <v>45725</v>
      </c>
      <c r="C1305" s="260" t="s">
        <v>754</v>
      </c>
      <c r="D1305" s="197">
        <v>50</v>
      </c>
      <c r="E1305" s="197">
        <v>4104</v>
      </c>
      <c r="F1305" s="197">
        <v>77.400000000000006</v>
      </c>
      <c r="G1305" s="190">
        <v>45723</v>
      </c>
      <c r="H1305" s="196">
        <v>2</v>
      </c>
      <c r="I1305" s="197">
        <v>3870.0000000000005</v>
      </c>
      <c r="J1305" s="197">
        <v>3870.0000000000005</v>
      </c>
      <c r="K1305" s="197">
        <v>0</v>
      </c>
      <c r="L1305" s="197">
        <v>-233.99999999999955</v>
      </c>
      <c r="M1305" s="260" t="s">
        <v>239</v>
      </c>
      <c r="N1305" s="260" t="s">
        <v>514</v>
      </c>
    </row>
    <row r="1306" spans="1:14" ht="14.5" x14ac:dyDescent="0.35">
      <c r="A1306" s="260" t="s">
        <v>565</v>
      </c>
      <c r="B1306" s="190">
        <v>45726</v>
      </c>
      <c r="C1306" s="260" t="s">
        <v>749</v>
      </c>
      <c r="D1306" s="197">
        <v>80</v>
      </c>
      <c r="E1306" s="197">
        <v>8008</v>
      </c>
      <c r="F1306" s="197">
        <v>99.7</v>
      </c>
      <c r="G1306" s="190">
        <v>45726</v>
      </c>
      <c r="H1306" s="196">
        <v>0</v>
      </c>
      <c r="I1306" s="197">
        <v>7976</v>
      </c>
      <c r="J1306" s="197">
        <v>7976</v>
      </c>
      <c r="K1306" s="197">
        <v>0</v>
      </c>
      <c r="L1306" s="197">
        <v>-32</v>
      </c>
      <c r="M1306" s="260" t="s">
        <v>239</v>
      </c>
      <c r="N1306" s="260" t="s">
        <v>514</v>
      </c>
    </row>
    <row r="1307" spans="1:14" ht="14.5" x14ac:dyDescent="0.35">
      <c r="A1307" s="260" t="s">
        <v>565</v>
      </c>
      <c r="B1307" s="190">
        <v>45726</v>
      </c>
      <c r="C1307" s="260" t="s">
        <v>752</v>
      </c>
      <c r="D1307" s="197">
        <v>100</v>
      </c>
      <c r="E1307" s="197">
        <v>20020</v>
      </c>
      <c r="F1307" s="197">
        <v>200.1</v>
      </c>
      <c r="G1307" s="190">
        <v>45726</v>
      </c>
      <c r="H1307" s="196">
        <v>0</v>
      </c>
      <c r="I1307" s="197">
        <v>20010</v>
      </c>
      <c r="J1307" s="197">
        <v>20010</v>
      </c>
      <c r="K1307" s="197">
        <v>0</v>
      </c>
      <c r="L1307" s="197">
        <v>-10</v>
      </c>
      <c r="M1307" s="260" t="s">
        <v>239</v>
      </c>
      <c r="N1307" s="260" t="s">
        <v>514</v>
      </c>
    </row>
    <row r="1308" spans="1:14" ht="14.5" x14ac:dyDescent="0.35">
      <c r="A1308" s="260" t="s">
        <v>565</v>
      </c>
      <c r="B1308" s="190">
        <v>45726</v>
      </c>
      <c r="C1308" s="260" t="s">
        <v>754</v>
      </c>
      <c r="D1308" s="197">
        <v>50</v>
      </c>
      <c r="E1308" s="197">
        <v>4104</v>
      </c>
      <c r="F1308" s="197">
        <v>77.099999999999994</v>
      </c>
      <c r="G1308" s="190">
        <v>45726</v>
      </c>
      <c r="H1308" s="196">
        <v>0</v>
      </c>
      <c r="I1308" s="197">
        <v>3854.9999999999995</v>
      </c>
      <c r="J1308" s="197">
        <v>3854.9999999999995</v>
      </c>
      <c r="K1308" s="197">
        <v>0</v>
      </c>
      <c r="L1308" s="197">
        <v>-249.00000000000045</v>
      </c>
      <c r="M1308" s="260" t="s">
        <v>239</v>
      </c>
      <c r="N1308" s="260" t="s">
        <v>514</v>
      </c>
    </row>
    <row r="1309" spans="1:14" ht="14.5" x14ac:dyDescent="0.35">
      <c r="A1309" s="260" t="s">
        <v>565</v>
      </c>
      <c r="B1309" s="190">
        <v>45727</v>
      </c>
      <c r="C1309" s="260" t="s">
        <v>749</v>
      </c>
      <c r="D1309" s="197">
        <v>80</v>
      </c>
      <c r="E1309" s="197">
        <v>8008</v>
      </c>
      <c r="F1309" s="197">
        <v>100</v>
      </c>
      <c r="G1309" s="190">
        <v>45727</v>
      </c>
      <c r="H1309" s="196">
        <v>0</v>
      </c>
      <c r="I1309" s="197">
        <v>8000</v>
      </c>
      <c r="J1309" s="197">
        <v>8000</v>
      </c>
      <c r="K1309" s="197">
        <v>0</v>
      </c>
      <c r="L1309" s="197">
        <v>-8</v>
      </c>
      <c r="M1309" s="260" t="s">
        <v>239</v>
      </c>
      <c r="N1309" s="260" t="s">
        <v>514</v>
      </c>
    </row>
    <row r="1310" spans="1:14" ht="14.5" x14ac:dyDescent="0.35">
      <c r="A1310" s="260" t="s">
        <v>565</v>
      </c>
      <c r="B1310" s="190">
        <v>45727</v>
      </c>
      <c r="C1310" s="260" t="s">
        <v>752</v>
      </c>
      <c r="D1310" s="197">
        <v>100</v>
      </c>
      <c r="E1310" s="197">
        <v>20020</v>
      </c>
      <c r="F1310" s="197">
        <v>200</v>
      </c>
      <c r="G1310" s="190">
        <v>45727</v>
      </c>
      <c r="H1310" s="196">
        <v>0</v>
      </c>
      <c r="I1310" s="197">
        <v>20000</v>
      </c>
      <c r="J1310" s="197">
        <v>20000</v>
      </c>
      <c r="K1310" s="197">
        <v>0</v>
      </c>
      <c r="L1310" s="197">
        <v>-20</v>
      </c>
      <c r="M1310" s="260" t="s">
        <v>239</v>
      </c>
      <c r="N1310" s="260" t="s">
        <v>514</v>
      </c>
    </row>
    <row r="1311" spans="1:14" ht="14.5" x14ac:dyDescent="0.35">
      <c r="A1311" s="260" t="s">
        <v>565</v>
      </c>
      <c r="B1311" s="190">
        <v>45727</v>
      </c>
      <c r="C1311" s="260" t="s">
        <v>754</v>
      </c>
      <c r="D1311" s="197">
        <v>50</v>
      </c>
      <c r="E1311" s="197">
        <v>4104</v>
      </c>
      <c r="F1311" s="197">
        <v>77</v>
      </c>
      <c r="G1311" s="190">
        <v>45727</v>
      </c>
      <c r="H1311" s="196">
        <v>0</v>
      </c>
      <c r="I1311" s="197">
        <v>3850</v>
      </c>
      <c r="J1311" s="197">
        <v>3850</v>
      </c>
      <c r="K1311" s="197">
        <v>0</v>
      </c>
      <c r="L1311" s="197">
        <v>-254</v>
      </c>
      <c r="M1311" s="260" t="s">
        <v>239</v>
      </c>
      <c r="N1311" s="260" t="s">
        <v>514</v>
      </c>
    </row>
    <row r="1312" spans="1:14" ht="14.5" x14ac:dyDescent="0.35">
      <c r="A1312" s="260" t="s">
        <v>565</v>
      </c>
      <c r="B1312" s="190">
        <v>45728</v>
      </c>
      <c r="C1312" s="260" t="s">
        <v>749</v>
      </c>
      <c r="D1312" s="197">
        <v>80</v>
      </c>
      <c r="E1312" s="197">
        <v>8008</v>
      </c>
      <c r="F1312" s="197">
        <v>100.3</v>
      </c>
      <c r="G1312" s="190">
        <v>45728</v>
      </c>
      <c r="H1312" s="196">
        <v>0</v>
      </c>
      <c r="I1312" s="197">
        <v>8024</v>
      </c>
      <c r="J1312" s="197">
        <v>8024</v>
      </c>
      <c r="K1312" s="197">
        <v>0</v>
      </c>
      <c r="L1312" s="197">
        <v>16</v>
      </c>
      <c r="M1312" s="260" t="s">
        <v>239</v>
      </c>
      <c r="N1312" s="260" t="s">
        <v>514</v>
      </c>
    </row>
    <row r="1313" spans="1:14" ht="14.5" x14ac:dyDescent="0.35">
      <c r="A1313" s="260" t="s">
        <v>565</v>
      </c>
      <c r="B1313" s="190">
        <v>45728</v>
      </c>
      <c r="C1313" s="260" t="s">
        <v>752</v>
      </c>
      <c r="D1313" s="197">
        <v>100</v>
      </c>
      <c r="E1313" s="197">
        <v>20020</v>
      </c>
      <c r="F1313" s="197">
        <v>199.9</v>
      </c>
      <c r="G1313" s="190">
        <v>45728</v>
      </c>
      <c r="H1313" s="196">
        <v>0</v>
      </c>
      <c r="I1313" s="197">
        <v>19990</v>
      </c>
      <c r="J1313" s="197">
        <v>19990</v>
      </c>
      <c r="K1313" s="197">
        <v>0</v>
      </c>
      <c r="L1313" s="197">
        <v>-30</v>
      </c>
      <c r="M1313" s="260" t="s">
        <v>239</v>
      </c>
      <c r="N1313" s="260" t="s">
        <v>514</v>
      </c>
    </row>
    <row r="1314" spans="1:14" ht="14.5" x14ac:dyDescent="0.35">
      <c r="A1314" s="260" t="s">
        <v>565</v>
      </c>
      <c r="B1314" s="190">
        <v>45728</v>
      </c>
      <c r="C1314" s="260" t="s">
        <v>754</v>
      </c>
      <c r="D1314" s="197">
        <v>50</v>
      </c>
      <c r="E1314" s="197">
        <v>4104</v>
      </c>
      <c r="F1314" s="197">
        <v>76.900000000000006</v>
      </c>
      <c r="G1314" s="190">
        <v>45728</v>
      </c>
      <c r="H1314" s="196">
        <v>0</v>
      </c>
      <c r="I1314" s="197">
        <v>3845.0000000000005</v>
      </c>
      <c r="J1314" s="197">
        <v>3845.0000000000005</v>
      </c>
      <c r="K1314" s="197">
        <v>0</v>
      </c>
      <c r="L1314" s="197">
        <v>-258.99999999999955</v>
      </c>
      <c r="M1314" s="260" t="s">
        <v>239</v>
      </c>
      <c r="N1314" s="260" t="s">
        <v>514</v>
      </c>
    </row>
    <row r="1315" spans="1:14" ht="14.5" x14ac:dyDescent="0.35">
      <c r="A1315" s="260" t="s">
        <v>565</v>
      </c>
      <c r="B1315" s="190">
        <v>45729</v>
      </c>
      <c r="C1315" s="260" t="s">
        <v>749</v>
      </c>
      <c r="D1315" s="197">
        <v>80</v>
      </c>
      <c r="E1315" s="197">
        <v>8008</v>
      </c>
      <c r="F1315" s="197">
        <v>100.6</v>
      </c>
      <c r="G1315" s="190">
        <v>45729</v>
      </c>
      <c r="H1315" s="196">
        <v>0</v>
      </c>
      <c r="I1315" s="197">
        <v>8048</v>
      </c>
      <c r="J1315" s="197">
        <v>8048</v>
      </c>
      <c r="K1315" s="197">
        <v>0</v>
      </c>
      <c r="L1315" s="197">
        <v>40</v>
      </c>
      <c r="M1315" s="260" t="s">
        <v>239</v>
      </c>
      <c r="N1315" s="260" t="s">
        <v>514</v>
      </c>
    </row>
    <row r="1316" spans="1:14" ht="14.5" x14ac:dyDescent="0.35">
      <c r="A1316" s="260" t="s">
        <v>565</v>
      </c>
      <c r="B1316" s="190">
        <v>45729</v>
      </c>
      <c r="C1316" s="260" t="s">
        <v>752</v>
      </c>
      <c r="D1316" s="197">
        <v>100</v>
      </c>
      <c r="E1316" s="197">
        <v>20020</v>
      </c>
      <c r="F1316" s="197">
        <v>199.8</v>
      </c>
      <c r="G1316" s="190">
        <v>45729</v>
      </c>
      <c r="H1316" s="196">
        <v>0</v>
      </c>
      <c r="I1316" s="197">
        <v>19980</v>
      </c>
      <c r="J1316" s="197">
        <v>19980</v>
      </c>
      <c r="K1316" s="197">
        <v>0</v>
      </c>
      <c r="L1316" s="197">
        <v>-40</v>
      </c>
      <c r="M1316" s="260" t="s">
        <v>239</v>
      </c>
      <c r="N1316" s="260" t="s">
        <v>514</v>
      </c>
    </row>
    <row r="1317" spans="1:14" ht="14.5" x14ac:dyDescent="0.35">
      <c r="A1317" s="260" t="s">
        <v>565</v>
      </c>
      <c r="B1317" s="190">
        <v>45729</v>
      </c>
      <c r="C1317" s="260" t="s">
        <v>754</v>
      </c>
      <c r="D1317" s="197">
        <v>50</v>
      </c>
      <c r="E1317" s="197">
        <v>4104</v>
      </c>
      <c r="F1317" s="197">
        <v>76.8</v>
      </c>
      <c r="G1317" s="190">
        <v>45729</v>
      </c>
      <c r="H1317" s="196">
        <v>0</v>
      </c>
      <c r="I1317" s="197">
        <v>3840</v>
      </c>
      <c r="J1317" s="197">
        <v>3840</v>
      </c>
      <c r="K1317" s="197">
        <v>0</v>
      </c>
      <c r="L1317" s="197">
        <v>-264</v>
      </c>
      <c r="M1317" s="260" t="s">
        <v>239</v>
      </c>
      <c r="N1317" s="260" t="s">
        <v>514</v>
      </c>
    </row>
    <row r="1318" spans="1:14" ht="14.5" x14ac:dyDescent="0.35">
      <c r="A1318" s="260" t="s">
        <v>565</v>
      </c>
      <c r="B1318" s="190">
        <v>45730</v>
      </c>
      <c r="C1318" s="260" t="s">
        <v>749</v>
      </c>
      <c r="D1318" s="197">
        <v>80</v>
      </c>
      <c r="E1318" s="197">
        <v>8008</v>
      </c>
      <c r="F1318" s="197">
        <v>100.9</v>
      </c>
      <c r="G1318" s="190">
        <v>45730</v>
      </c>
      <c r="H1318" s="196">
        <v>0</v>
      </c>
      <c r="I1318" s="197">
        <v>8072</v>
      </c>
      <c r="J1318" s="197">
        <v>8072</v>
      </c>
      <c r="K1318" s="197">
        <v>0</v>
      </c>
      <c r="L1318" s="197">
        <v>64</v>
      </c>
      <c r="M1318" s="260" t="s">
        <v>239</v>
      </c>
      <c r="N1318" s="260" t="s">
        <v>514</v>
      </c>
    </row>
    <row r="1319" spans="1:14" ht="14.5" x14ac:dyDescent="0.35">
      <c r="A1319" s="260" t="s">
        <v>565</v>
      </c>
      <c r="B1319" s="190">
        <v>45730</v>
      </c>
      <c r="C1319" s="260" t="s">
        <v>752</v>
      </c>
      <c r="D1319" s="197">
        <v>100</v>
      </c>
      <c r="E1319" s="197">
        <v>20020</v>
      </c>
      <c r="F1319" s="197">
        <v>199.7</v>
      </c>
      <c r="G1319" s="190">
        <v>45730</v>
      </c>
      <c r="H1319" s="196">
        <v>0</v>
      </c>
      <c r="I1319" s="197">
        <v>19970</v>
      </c>
      <c r="J1319" s="197">
        <v>19970</v>
      </c>
      <c r="K1319" s="197">
        <v>0</v>
      </c>
      <c r="L1319" s="197">
        <v>-50</v>
      </c>
      <c r="M1319" s="260" t="s">
        <v>239</v>
      </c>
      <c r="N1319" s="260" t="s">
        <v>514</v>
      </c>
    </row>
    <row r="1320" spans="1:14" ht="14.5" x14ac:dyDescent="0.35">
      <c r="A1320" s="260" t="s">
        <v>565</v>
      </c>
      <c r="B1320" s="190">
        <v>45730</v>
      </c>
      <c r="C1320" s="260" t="s">
        <v>754</v>
      </c>
      <c r="D1320" s="197">
        <v>50</v>
      </c>
      <c r="E1320" s="197">
        <v>4104</v>
      </c>
      <c r="F1320" s="197">
        <v>76.7</v>
      </c>
      <c r="G1320" s="190">
        <v>45730</v>
      </c>
      <c r="H1320" s="196">
        <v>0</v>
      </c>
      <c r="I1320" s="197">
        <v>3835</v>
      </c>
      <c r="J1320" s="197">
        <v>3835</v>
      </c>
      <c r="K1320" s="197">
        <v>0</v>
      </c>
      <c r="L1320" s="197">
        <v>-269</v>
      </c>
      <c r="M1320" s="260" t="s">
        <v>239</v>
      </c>
      <c r="N1320" s="260" t="s">
        <v>514</v>
      </c>
    </row>
    <row r="1321" spans="1:14" ht="14.5" x14ac:dyDescent="0.35">
      <c r="A1321" s="260" t="s">
        <v>565</v>
      </c>
      <c r="B1321" s="190">
        <v>45731</v>
      </c>
      <c r="C1321" s="260" t="s">
        <v>749</v>
      </c>
      <c r="D1321" s="197">
        <v>80</v>
      </c>
      <c r="E1321" s="197">
        <v>8008</v>
      </c>
      <c r="F1321" s="197">
        <v>100.9</v>
      </c>
      <c r="G1321" s="190">
        <v>45730</v>
      </c>
      <c r="H1321" s="196">
        <v>1</v>
      </c>
      <c r="I1321" s="197">
        <v>8072</v>
      </c>
      <c r="J1321" s="197">
        <v>8072</v>
      </c>
      <c r="K1321" s="197">
        <v>0</v>
      </c>
      <c r="L1321" s="197">
        <v>64</v>
      </c>
      <c r="M1321" s="260" t="s">
        <v>239</v>
      </c>
      <c r="N1321" s="260" t="s">
        <v>514</v>
      </c>
    </row>
    <row r="1322" spans="1:14" ht="14.5" x14ac:dyDescent="0.35">
      <c r="A1322" s="260" t="s">
        <v>565</v>
      </c>
      <c r="B1322" s="190">
        <v>45731</v>
      </c>
      <c r="C1322" s="260" t="s">
        <v>752</v>
      </c>
      <c r="D1322" s="197">
        <v>100</v>
      </c>
      <c r="E1322" s="197">
        <v>20020</v>
      </c>
      <c r="F1322" s="197">
        <v>199.7</v>
      </c>
      <c r="G1322" s="190">
        <v>45730</v>
      </c>
      <c r="H1322" s="196">
        <v>1</v>
      </c>
      <c r="I1322" s="197">
        <v>19970</v>
      </c>
      <c r="J1322" s="197">
        <v>19970</v>
      </c>
      <c r="K1322" s="197">
        <v>0</v>
      </c>
      <c r="L1322" s="197">
        <v>-50</v>
      </c>
      <c r="M1322" s="260" t="s">
        <v>239</v>
      </c>
      <c r="N1322" s="260" t="s">
        <v>514</v>
      </c>
    </row>
    <row r="1323" spans="1:14" ht="14.5" x14ac:dyDescent="0.35">
      <c r="A1323" s="260" t="s">
        <v>565</v>
      </c>
      <c r="B1323" s="190">
        <v>45731</v>
      </c>
      <c r="C1323" s="260" t="s">
        <v>754</v>
      </c>
      <c r="D1323" s="197">
        <v>50</v>
      </c>
      <c r="E1323" s="197">
        <v>4104</v>
      </c>
      <c r="F1323" s="197">
        <v>76.7</v>
      </c>
      <c r="G1323" s="190">
        <v>45730</v>
      </c>
      <c r="H1323" s="196">
        <v>1</v>
      </c>
      <c r="I1323" s="197">
        <v>3835</v>
      </c>
      <c r="J1323" s="197">
        <v>3835</v>
      </c>
      <c r="K1323" s="197">
        <v>0</v>
      </c>
      <c r="L1323" s="197">
        <v>-269</v>
      </c>
      <c r="M1323" s="260" t="s">
        <v>239</v>
      </c>
      <c r="N1323" s="260" t="s">
        <v>514</v>
      </c>
    </row>
    <row r="1324" spans="1:14" ht="14.5" x14ac:dyDescent="0.35">
      <c r="A1324" s="260" t="s">
        <v>565</v>
      </c>
      <c r="B1324" s="190">
        <v>45732</v>
      </c>
      <c r="C1324" s="260" t="s">
        <v>749</v>
      </c>
      <c r="D1324" s="197">
        <v>80</v>
      </c>
      <c r="E1324" s="197">
        <v>8008</v>
      </c>
      <c r="F1324" s="197">
        <v>100.9</v>
      </c>
      <c r="G1324" s="190">
        <v>45730</v>
      </c>
      <c r="H1324" s="196">
        <v>2</v>
      </c>
      <c r="I1324" s="197">
        <v>8072</v>
      </c>
      <c r="J1324" s="197">
        <v>8072</v>
      </c>
      <c r="K1324" s="197">
        <v>0</v>
      </c>
      <c r="L1324" s="197">
        <v>64</v>
      </c>
      <c r="M1324" s="260" t="s">
        <v>239</v>
      </c>
      <c r="N1324" s="260" t="s">
        <v>514</v>
      </c>
    </row>
    <row r="1325" spans="1:14" ht="14.5" x14ac:dyDescent="0.35">
      <c r="A1325" s="260" t="s">
        <v>565</v>
      </c>
      <c r="B1325" s="190">
        <v>45732</v>
      </c>
      <c r="C1325" s="260" t="s">
        <v>752</v>
      </c>
      <c r="D1325" s="197">
        <v>100</v>
      </c>
      <c r="E1325" s="197">
        <v>20020</v>
      </c>
      <c r="F1325" s="197">
        <v>199.7</v>
      </c>
      <c r="G1325" s="190">
        <v>45730</v>
      </c>
      <c r="H1325" s="196">
        <v>2</v>
      </c>
      <c r="I1325" s="197">
        <v>19970</v>
      </c>
      <c r="J1325" s="197">
        <v>19970</v>
      </c>
      <c r="K1325" s="197">
        <v>0</v>
      </c>
      <c r="L1325" s="197">
        <v>-50</v>
      </c>
      <c r="M1325" s="260" t="s">
        <v>239</v>
      </c>
      <c r="N1325" s="260" t="s">
        <v>514</v>
      </c>
    </row>
    <row r="1326" spans="1:14" ht="14.5" x14ac:dyDescent="0.35">
      <c r="A1326" s="260" t="s">
        <v>565</v>
      </c>
      <c r="B1326" s="190">
        <v>45732</v>
      </c>
      <c r="C1326" s="260" t="s">
        <v>754</v>
      </c>
      <c r="D1326" s="197">
        <v>50</v>
      </c>
      <c r="E1326" s="197">
        <v>4104</v>
      </c>
      <c r="F1326" s="197">
        <v>76.7</v>
      </c>
      <c r="G1326" s="190">
        <v>45730</v>
      </c>
      <c r="H1326" s="196">
        <v>2</v>
      </c>
      <c r="I1326" s="197">
        <v>3835</v>
      </c>
      <c r="J1326" s="197">
        <v>3835</v>
      </c>
      <c r="K1326" s="197">
        <v>0</v>
      </c>
      <c r="L1326" s="197">
        <v>-269</v>
      </c>
      <c r="M1326" s="260" t="s">
        <v>239</v>
      </c>
      <c r="N1326" s="260" t="s">
        <v>514</v>
      </c>
    </row>
    <row r="1327" spans="1:14" ht="14.5" x14ac:dyDescent="0.35">
      <c r="A1327" s="260" t="s">
        <v>565</v>
      </c>
      <c r="B1327" s="190">
        <v>45733</v>
      </c>
      <c r="C1327" s="260" t="s">
        <v>749</v>
      </c>
      <c r="D1327" s="197">
        <v>80</v>
      </c>
      <c r="E1327" s="197">
        <v>8008</v>
      </c>
      <c r="F1327" s="197">
        <v>101.8</v>
      </c>
      <c r="G1327" s="190">
        <v>45733</v>
      </c>
      <c r="H1327" s="196">
        <v>0</v>
      </c>
      <c r="I1327" s="197">
        <v>8144</v>
      </c>
      <c r="J1327" s="197">
        <v>8144</v>
      </c>
      <c r="K1327" s="197">
        <v>0</v>
      </c>
      <c r="L1327" s="197">
        <v>136</v>
      </c>
      <c r="M1327" s="260" t="s">
        <v>239</v>
      </c>
      <c r="N1327" s="260" t="s">
        <v>514</v>
      </c>
    </row>
    <row r="1328" spans="1:14" ht="14.5" x14ac:dyDescent="0.35">
      <c r="A1328" s="260" t="s">
        <v>565</v>
      </c>
      <c r="B1328" s="190">
        <v>45733</v>
      </c>
      <c r="C1328" s="260" t="s">
        <v>752</v>
      </c>
      <c r="D1328" s="197">
        <v>100</v>
      </c>
      <c r="E1328" s="197">
        <v>20020</v>
      </c>
      <c r="F1328" s="197">
        <v>199.4</v>
      </c>
      <c r="G1328" s="190">
        <v>45733</v>
      </c>
      <c r="H1328" s="196">
        <v>0</v>
      </c>
      <c r="I1328" s="197">
        <v>19940</v>
      </c>
      <c r="J1328" s="197">
        <v>19940</v>
      </c>
      <c r="K1328" s="197">
        <v>0</v>
      </c>
      <c r="L1328" s="197">
        <v>-80</v>
      </c>
      <c r="M1328" s="260" t="s">
        <v>239</v>
      </c>
      <c r="N1328" s="260" t="s">
        <v>514</v>
      </c>
    </row>
    <row r="1329" spans="1:14" ht="14.5" x14ac:dyDescent="0.35">
      <c r="A1329" s="260" t="s">
        <v>565</v>
      </c>
      <c r="B1329" s="190">
        <v>45733</v>
      </c>
      <c r="C1329" s="260" t="s">
        <v>754</v>
      </c>
      <c r="D1329" s="197">
        <v>50</v>
      </c>
      <c r="E1329" s="197">
        <v>4104</v>
      </c>
      <c r="F1329" s="197">
        <v>76.400000000000006</v>
      </c>
      <c r="G1329" s="190">
        <v>45733</v>
      </c>
      <c r="H1329" s="196">
        <v>0</v>
      </c>
      <c r="I1329" s="197">
        <v>3820.0000000000005</v>
      </c>
      <c r="J1329" s="197">
        <v>3820.0000000000005</v>
      </c>
      <c r="K1329" s="197">
        <v>0</v>
      </c>
      <c r="L1329" s="197">
        <v>-283.99999999999955</v>
      </c>
      <c r="M1329" s="260" t="s">
        <v>239</v>
      </c>
      <c r="N1329" s="260" t="s">
        <v>514</v>
      </c>
    </row>
    <row r="1330" spans="1:14" ht="14.5" x14ac:dyDescent="0.35">
      <c r="A1330" s="260" t="s">
        <v>565</v>
      </c>
      <c r="B1330" s="190">
        <v>45734</v>
      </c>
      <c r="C1330" s="260" t="s">
        <v>749</v>
      </c>
      <c r="D1330" s="197">
        <v>80</v>
      </c>
      <c r="E1330" s="197">
        <v>8008</v>
      </c>
      <c r="F1330" s="197">
        <v>102.1</v>
      </c>
      <c r="G1330" s="190">
        <v>45734</v>
      </c>
      <c r="H1330" s="196">
        <v>0</v>
      </c>
      <c r="I1330" s="197">
        <v>8168</v>
      </c>
      <c r="J1330" s="197">
        <v>8168</v>
      </c>
      <c r="K1330" s="197">
        <v>0</v>
      </c>
      <c r="L1330" s="197">
        <v>160</v>
      </c>
      <c r="M1330" s="260" t="s">
        <v>239</v>
      </c>
      <c r="N1330" s="260" t="s">
        <v>514</v>
      </c>
    </row>
    <row r="1331" spans="1:14" ht="14.5" x14ac:dyDescent="0.35">
      <c r="A1331" s="260" t="s">
        <v>565</v>
      </c>
      <c r="B1331" s="190">
        <v>45734</v>
      </c>
      <c r="C1331" s="260" t="s">
        <v>752</v>
      </c>
      <c r="D1331" s="197">
        <v>100</v>
      </c>
      <c r="E1331" s="197">
        <v>20020</v>
      </c>
      <c r="F1331" s="197">
        <v>199.3</v>
      </c>
      <c r="G1331" s="190">
        <v>45734</v>
      </c>
      <c r="H1331" s="196">
        <v>0</v>
      </c>
      <c r="I1331" s="197">
        <v>19930</v>
      </c>
      <c r="J1331" s="197">
        <v>19930</v>
      </c>
      <c r="K1331" s="197">
        <v>0</v>
      </c>
      <c r="L1331" s="197">
        <v>-90</v>
      </c>
      <c r="M1331" s="260" t="s">
        <v>239</v>
      </c>
      <c r="N1331" s="260" t="s">
        <v>514</v>
      </c>
    </row>
    <row r="1332" spans="1:14" ht="14.5" x14ac:dyDescent="0.35">
      <c r="A1332" s="260" t="s">
        <v>565</v>
      </c>
      <c r="B1332" s="190">
        <v>45734</v>
      </c>
      <c r="C1332" s="260" t="s">
        <v>754</v>
      </c>
      <c r="D1332" s="197">
        <v>50</v>
      </c>
      <c r="E1332" s="197">
        <v>4104</v>
      </c>
      <c r="F1332" s="197">
        <v>76.3</v>
      </c>
      <c r="G1332" s="190">
        <v>45734</v>
      </c>
      <c r="H1332" s="196">
        <v>0</v>
      </c>
      <c r="I1332" s="197">
        <v>3815</v>
      </c>
      <c r="J1332" s="197">
        <v>3815</v>
      </c>
      <c r="K1332" s="197">
        <v>0</v>
      </c>
      <c r="L1332" s="197">
        <v>-289</v>
      </c>
      <c r="M1332" s="260" t="s">
        <v>239</v>
      </c>
      <c r="N1332" s="260" t="s">
        <v>514</v>
      </c>
    </row>
    <row r="1333" spans="1:14" ht="14.5" x14ac:dyDescent="0.35">
      <c r="A1333" s="260" t="s">
        <v>565</v>
      </c>
      <c r="B1333" s="190">
        <v>45735</v>
      </c>
      <c r="C1333" s="260" t="s">
        <v>749</v>
      </c>
      <c r="D1333" s="197">
        <v>80</v>
      </c>
      <c r="E1333" s="197">
        <v>8008</v>
      </c>
      <c r="F1333" s="197">
        <v>102.4</v>
      </c>
      <c r="G1333" s="190">
        <v>45735</v>
      </c>
      <c r="H1333" s="196">
        <v>0</v>
      </c>
      <c r="I1333" s="197">
        <v>8192</v>
      </c>
      <c r="J1333" s="197">
        <v>8192</v>
      </c>
      <c r="K1333" s="197">
        <v>0</v>
      </c>
      <c r="L1333" s="197">
        <v>184</v>
      </c>
      <c r="M1333" s="260" t="s">
        <v>239</v>
      </c>
      <c r="N1333" s="260" t="s">
        <v>514</v>
      </c>
    </row>
    <row r="1334" spans="1:14" ht="14.5" x14ac:dyDescent="0.35">
      <c r="A1334" s="260" t="s">
        <v>565</v>
      </c>
      <c r="B1334" s="190">
        <v>45735</v>
      </c>
      <c r="C1334" s="260" t="s">
        <v>752</v>
      </c>
      <c r="D1334" s="197">
        <v>100</v>
      </c>
      <c r="E1334" s="197">
        <v>20020</v>
      </c>
      <c r="F1334" s="197">
        <v>199.2</v>
      </c>
      <c r="G1334" s="190">
        <v>45735</v>
      </c>
      <c r="H1334" s="196">
        <v>0</v>
      </c>
      <c r="I1334" s="197">
        <v>19920</v>
      </c>
      <c r="J1334" s="197">
        <v>19920</v>
      </c>
      <c r="K1334" s="197">
        <v>0</v>
      </c>
      <c r="L1334" s="197">
        <v>-100</v>
      </c>
      <c r="M1334" s="260" t="s">
        <v>239</v>
      </c>
      <c r="N1334" s="260" t="s">
        <v>514</v>
      </c>
    </row>
    <row r="1335" spans="1:14" ht="14.5" x14ac:dyDescent="0.35">
      <c r="A1335" s="260" t="s">
        <v>565</v>
      </c>
      <c r="B1335" s="190">
        <v>45735</v>
      </c>
      <c r="C1335" s="260" t="s">
        <v>754</v>
      </c>
      <c r="D1335" s="197">
        <v>50</v>
      </c>
      <c r="E1335" s="197">
        <v>4104</v>
      </c>
      <c r="F1335" s="197">
        <v>76.2</v>
      </c>
      <c r="G1335" s="190">
        <v>45735</v>
      </c>
      <c r="H1335" s="196">
        <v>0</v>
      </c>
      <c r="I1335" s="197">
        <v>3810</v>
      </c>
      <c r="J1335" s="197">
        <v>3810</v>
      </c>
      <c r="K1335" s="197">
        <v>0</v>
      </c>
      <c r="L1335" s="197">
        <v>-294</v>
      </c>
      <c r="M1335" s="260" t="s">
        <v>239</v>
      </c>
      <c r="N1335" s="260" t="s">
        <v>514</v>
      </c>
    </row>
    <row r="1336" spans="1:14" ht="14.5" x14ac:dyDescent="0.35">
      <c r="A1336" s="260" t="s">
        <v>565</v>
      </c>
      <c r="B1336" s="190">
        <v>45736</v>
      </c>
      <c r="C1336" s="260" t="s">
        <v>749</v>
      </c>
      <c r="D1336" s="197">
        <v>80</v>
      </c>
      <c r="E1336" s="197">
        <v>8008</v>
      </c>
      <c r="F1336" s="197">
        <v>102.7</v>
      </c>
      <c r="G1336" s="190">
        <v>45736</v>
      </c>
      <c r="H1336" s="196">
        <v>0</v>
      </c>
      <c r="I1336" s="197">
        <v>8216</v>
      </c>
      <c r="J1336" s="197">
        <v>8216</v>
      </c>
      <c r="K1336" s="197">
        <v>0</v>
      </c>
      <c r="L1336" s="197">
        <v>208</v>
      </c>
      <c r="M1336" s="260" t="s">
        <v>239</v>
      </c>
      <c r="N1336" s="260" t="s">
        <v>514</v>
      </c>
    </row>
    <row r="1337" spans="1:14" ht="14.5" x14ac:dyDescent="0.35">
      <c r="A1337" s="260" t="s">
        <v>565</v>
      </c>
      <c r="B1337" s="190">
        <v>45736</v>
      </c>
      <c r="C1337" s="260" t="s">
        <v>752</v>
      </c>
      <c r="D1337" s="197">
        <v>100</v>
      </c>
      <c r="E1337" s="197">
        <v>20020</v>
      </c>
      <c r="F1337" s="197">
        <v>199.1</v>
      </c>
      <c r="G1337" s="190">
        <v>45736</v>
      </c>
      <c r="H1337" s="196">
        <v>0</v>
      </c>
      <c r="I1337" s="197">
        <v>19910</v>
      </c>
      <c r="J1337" s="197">
        <v>19910</v>
      </c>
      <c r="K1337" s="197">
        <v>0</v>
      </c>
      <c r="L1337" s="197">
        <v>-110</v>
      </c>
      <c r="M1337" s="260" t="s">
        <v>239</v>
      </c>
      <c r="N1337" s="260" t="s">
        <v>514</v>
      </c>
    </row>
    <row r="1338" spans="1:14" ht="14.5" x14ac:dyDescent="0.35">
      <c r="A1338" s="260" t="s">
        <v>565</v>
      </c>
      <c r="B1338" s="190">
        <v>45736</v>
      </c>
      <c r="C1338" s="260" t="s">
        <v>754</v>
      </c>
      <c r="D1338" s="197">
        <v>50</v>
      </c>
      <c r="E1338" s="197">
        <v>4104</v>
      </c>
      <c r="F1338" s="197">
        <v>76.099999999999994</v>
      </c>
      <c r="G1338" s="190">
        <v>45736</v>
      </c>
      <c r="H1338" s="196">
        <v>0</v>
      </c>
      <c r="I1338" s="197">
        <v>3804.9999999999995</v>
      </c>
      <c r="J1338" s="197">
        <v>3804.9999999999995</v>
      </c>
      <c r="K1338" s="197">
        <v>0</v>
      </c>
      <c r="L1338" s="197">
        <v>-299.00000000000045</v>
      </c>
      <c r="M1338" s="260" t="s">
        <v>239</v>
      </c>
      <c r="N1338" s="260" t="s">
        <v>514</v>
      </c>
    </row>
    <row r="1339" spans="1:14" ht="14.5" x14ac:dyDescent="0.35">
      <c r="A1339" s="260" t="s">
        <v>565</v>
      </c>
      <c r="B1339" s="190">
        <v>45737</v>
      </c>
      <c r="C1339" s="260" t="s">
        <v>749</v>
      </c>
      <c r="D1339" s="197">
        <v>80</v>
      </c>
      <c r="E1339" s="197">
        <v>8008</v>
      </c>
      <c r="F1339" s="197">
        <v>103</v>
      </c>
      <c r="G1339" s="190">
        <v>45737</v>
      </c>
      <c r="H1339" s="196">
        <v>0</v>
      </c>
      <c r="I1339" s="197">
        <v>8240</v>
      </c>
      <c r="J1339" s="197">
        <v>8240</v>
      </c>
      <c r="K1339" s="197">
        <v>0</v>
      </c>
      <c r="L1339" s="197">
        <v>232</v>
      </c>
      <c r="M1339" s="260" t="s">
        <v>239</v>
      </c>
      <c r="N1339" s="260" t="s">
        <v>514</v>
      </c>
    </row>
    <row r="1340" spans="1:14" ht="14.5" x14ac:dyDescent="0.35">
      <c r="A1340" s="260" t="s">
        <v>565</v>
      </c>
      <c r="B1340" s="190">
        <v>45737</v>
      </c>
      <c r="C1340" s="260" t="s">
        <v>752</v>
      </c>
      <c r="D1340" s="197">
        <v>100</v>
      </c>
      <c r="E1340" s="197">
        <v>20020</v>
      </c>
      <c r="F1340" s="197">
        <v>199</v>
      </c>
      <c r="G1340" s="190">
        <v>45737</v>
      </c>
      <c r="H1340" s="196">
        <v>0</v>
      </c>
      <c r="I1340" s="197">
        <v>19900</v>
      </c>
      <c r="J1340" s="197">
        <v>19900</v>
      </c>
      <c r="K1340" s="197">
        <v>0</v>
      </c>
      <c r="L1340" s="197">
        <v>-120</v>
      </c>
      <c r="M1340" s="260" t="s">
        <v>239</v>
      </c>
      <c r="N1340" s="260" t="s">
        <v>514</v>
      </c>
    </row>
    <row r="1341" spans="1:14" ht="14.5" x14ac:dyDescent="0.35">
      <c r="A1341" s="260" t="s">
        <v>565</v>
      </c>
      <c r="B1341" s="190">
        <v>45737</v>
      </c>
      <c r="C1341" s="260" t="s">
        <v>754</v>
      </c>
      <c r="D1341" s="197">
        <v>50</v>
      </c>
      <c r="E1341" s="197">
        <v>4104</v>
      </c>
      <c r="F1341" s="197">
        <v>76</v>
      </c>
      <c r="G1341" s="190">
        <v>45737</v>
      </c>
      <c r="H1341" s="196">
        <v>0</v>
      </c>
      <c r="I1341" s="197">
        <v>3800</v>
      </c>
      <c r="J1341" s="197">
        <v>3800</v>
      </c>
      <c r="K1341" s="197">
        <v>0</v>
      </c>
      <c r="L1341" s="197">
        <v>-304</v>
      </c>
      <c r="M1341" s="260" t="s">
        <v>239</v>
      </c>
      <c r="N1341" s="260" t="s">
        <v>514</v>
      </c>
    </row>
    <row r="1342" spans="1:14" ht="14.5" x14ac:dyDescent="0.35">
      <c r="A1342" s="260" t="s">
        <v>565</v>
      </c>
      <c r="B1342" s="190">
        <v>45738</v>
      </c>
      <c r="C1342" s="260" t="s">
        <v>749</v>
      </c>
      <c r="D1342" s="197">
        <v>80</v>
      </c>
      <c r="E1342" s="197">
        <v>8008</v>
      </c>
      <c r="F1342" s="197">
        <v>103</v>
      </c>
      <c r="G1342" s="190">
        <v>45737</v>
      </c>
      <c r="H1342" s="196">
        <v>1</v>
      </c>
      <c r="I1342" s="197">
        <v>8240</v>
      </c>
      <c r="J1342" s="197">
        <v>8240</v>
      </c>
      <c r="K1342" s="197">
        <v>0</v>
      </c>
      <c r="L1342" s="197">
        <v>232</v>
      </c>
      <c r="M1342" s="260" t="s">
        <v>239</v>
      </c>
      <c r="N1342" s="260" t="s">
        <v>514</v>
      </c>
    </row>
    <row r="1343" spans="1:14" ht="14.5" x14ac:dyDescent="0.35">
      <c r="A1343" s="260" t="s">
        <v>565</v>
      </c>
      <c r="B1343" s="190">
        <v>45738</v>
      </c>
      <c r="C1343" s="260" t="s">
        <v>752</v>
      </c>
      <c r="D1343" s="197">
        <v>100</v>
      </c>
      <c r="E1343" s="197">
        <v>20020</v>
      </c>
      <c r="F1343" s="197">
        <v>199</v>
      </c>
      <c r="G1343" s="190">
        <v>45737</v>
      </c>
      <c r="H1343" s="196">
        <v>1</v>
      </c>
      <c r="I1343" s="197">
        <v>19900</v>
      </c>
      <c r="J1343" s="197">
        <v>19900</v>
      </c>
      <c r="K1343" s="197">
        <v>0</v>
      </c>
      <c r="L1343" s="197">
        <v>-120</v>
      </c>
      <c r="M1343" s="260" t="s">
        <v>239</v>
      </c>
      <c r="N1343" s="260" t="s">
        <v>514</v>
      </c>
    </row>
    <row r="1344" spans="1:14" ht="14.5" x14ac:dyDescent="0.35">
      <c r="A1344" s="260" t="s">
        <v>565</v>
      </c>
      <c r="B1344" s="190">
        <v>45738</v>
      </c>
      <c r="C1344" s="260" t="s">
        <v>754</v>
      </c>
      <c r="D1344" s="197">
        <v>50</v>
      </c>
      <c r="E1344" s="197">
        <v>4104</v>
      </c>
      <c r="F1344" s="197">
        <v>76</v>
      </c>
      <c r="G1344" s="190">
        <v>45737</v>
      </c>
      <c r="H1344" s="196">
        <v>1</v>
      </c>
      <c r="I1344" s="197">
        <v>3800</v>
      </c>
      <c r="J1344" s="197">
        <v>3800</v>
      </c>
      <c r="K1344" s="197">
        <v>0</v>
      </c>
      <c r="L1344" s="197">
        <v>-304</v>
      </c>
      <c r="M1344" s="260" t="s">
        <v>239</v>
      </c>
      <c r="N1344" s="260" t="s">
        <v>514</v>
      </c>
    </row>
    <row r="1345" spans="1:14" ht="14.5" x14ac:dyDescent="0.35">
      <c r="A1345" s="260" t="s">
        <v>565</v>
      </c>
      <c r="B1345" s="190">
        <v>45739</v>
      </c>
      <c r="C1345" s="260" t="s">
        <v>749</v>
      </c>
      <c r="D1345" s="197">
        <v>80</v>
      </c>
      <c r="E1345" s="197">
        <v>8008</v>
      </c>
      <c r="F1345" s="197">
        <v>103</v>
      </c>
      <c r="G1345" s="190">
        <v>45737</v>
      </c>
      <c r="H1345" s="196">
        <v>2</v>
      </c>
      <c r="I1345" s="197">
        <v>8240</v>
      </c>
      <c r="J1345" s="197">
        <v>8240</v>
      </c>
      <c r="K1345" s="197">
        <v>0</v>
      </c>
      <c r="L1345" s="197">
        <v>232</v>
      </c>
      <c r="M1345" s="260" t="s">
        <v>239</v>
      </c>
      <c r="N1345" s="260" t="s">
        <v>514</v>
      </c>
    </row>
    <row r="1346" spans="1:14" ht="14.5" x14ac:dyDescent="0.35">
      <c r="A1346" s="260" t="s">
        <v>565</v>
      </c>
      <c r="B1346" s="190">
        <v>45739</v>
      </c>
      <c r="C1346" s="260" t="s">
        <v>752</v>
      </c>
      <c r="D1346" s="197">
        <v>100</v>
      </c>
      <c r="E1346" s="197">
        <v>20020</v>
      </c>
      <c r="F1346" s="197">
        <v>199</v>
      </c>
      <c r="G1346" s="190">
        <v>45737</v>
      </c>
      <c r="H1346" s="196">
        <v>2</v>
      </c>
      <c r="I1346" s="197">
        <v>19900</v>
      </c>
      <c r="J1346" s="197">
        <v>19900</v>
      </c>
      <c r="K1346" s="197">
        <v>0</v>
      </c>
      <c r="L1346" s="197">
        <v>-120</v>
      </c>
      <c r="M1346" s="260" t="s">
        <v>239</v>
      </c>
      <c r="N1346" s="260" t="s">
        <v>514</v>
      </c>
    </row>
    <row r="1347" spans="1:14" ht="14.5" x14ac:dyDescent="0.35">
      <c r="A1347" s="260" t="s">
        <v>565</v>
      </c>
      <c r="B1347" s="190">
        <v>45739</v>
      </c>
      <c r="C1347" s="260" t="s">
        <v>754</v>
      </c>
      <c r="D1347" s="197">
        <v>50</v>
      </c>
      <c r="E1347" s="197">
        <v>4104</v>
      </c>
      <c r="F1347" s="197">
        <v>76</v>
      </c>
      <c r="G1347" s="190">
        <v>45737</v>
      </c>
      <c r="H1347" s="196">
        <v>2</v>
      </c>
      <c r="I1347" s="197">
        <v>3800</v>
      </c>
      <c r="J1347" s="197">
        <v>3800</v>
      </c>
      <c r="K1347" s="197">
        <v>0</v>
      </c>
      <c r="L1347" s="197">
        <v>-304</v>
      </c>
      <c r="M1347" s="260" t="s">
        <v>239</v>
      </c>
      <c r="N1347" s="260" t="s">
        <v>514</v>
      </c>
    </row>
    <row r="1348" spans="1:14" ht="14.5" x14ac:dyDescent="0.35">
      <c r="A1348" s="260" t="s">
        <v>565</v>
      </c>
      <c r="B1348" s="190">
        <v>45740</v>
      </c>
      <c r="C1348" s="260" t="s">
        <v>749</v>
      </c>
      <c r="D1348" s="197">
        <v>80</v>
      </c>
      <c r="E1348" s="197">
        <v>8008</v>
      </c>
      <c r="F1348" s="197">
        <v>103.9</v>
      </c>
      <c r="G1348" s="190">
        <v>45740</v>
      </c>
      <c r="H1348" s="196">
        <v>0</v>
      </c>
      <c r="I1348" s="197">
        <v>8312</v>
      </c>
      <c r="J1348" s="197">
        <v>8312</v>
      </c>
      <c r="K1348" s="197">
        <v>0</v>
      </c>
      <c r="L1348" s="197">
        <v>304</v>
      </c>
      <c r="M1348" s="260" t="s">
        <v>239</v>
      </c>
      <c r="N1348" s="260" t="s">
        <v>514</v>
      </c>
    </row>
    <row r="1349" spans="1:14" ht="14.5" x14ac:dyDescent="0.35">
      <c r="A1349" s="260" t="s">
        <v>565</v>
      </c>
      <c r="B1349" s="190">
        <v>45740</v>
      </c>
      <c r="C1349" s="260" t="s">
        <v>752</v>
      </c>
      <c r="D1349" s="197">
        <v>100</v>
      </c>
      <c r="E1349" s="197">
        <v>20020</v>
      </c>
      <c r="F1349" s="197">
        <v>198.7</v>
      </c>
      <c r="G1349" s="190">
        <v>45740</v>
      </c>
      <c r="H1349" s="196">
        <v>0</v>
      </c>
      <c r="I1349" s="197">
        <v>19870</v>
      </c>
      <c r="J1349" s="197">
        <v>19870</v>
      </c>
      <c r="K1349" s="197">
        <v>0</v>
      </c>
      <c r="L1349" s="197">
        <v>-150</v>
      </c>
      <c r="M1349" s="260" t="s">
        <v>239</v>
      </c>
      <c r="N1349" s="260" t="s">
        <v>514</v>
      </c>
    </row>
    <row r="1350" spans="1:14" ht="14.5" x14ac:dyDescent="0.35">
      <c r="A1350" s="260" t="s">
        <v>565</v>
      </c>
      <c r="B1350" s="190">
        <v>45740</v>
      </c>
      <c r="C1350" s="260" t="s">
        <v>754</v>
      </c>
      <c r="D1350" s="197">
        <v>50</v>
      </c>
      <c r="E1350" s="197">
        <v>4104</v>
      </c>
      <c r="F1350" s="197">
        <v>75.7</v>
      </c>
      <c r="G1350" s="190">
        <v>45740</v>
      </c>
      <c r="H1350" s="196">
        <v>0</v>
      </c>
      <c r="I1350" s="197">
        <v>3785</v>
      </c>
      <c r="J1350" s="197">
        <v>3785</v>
      </c>
      <c r="K1350" s="197">
        <v>0</v>
      </c>
      <c r="L1350" s="197">
        <v>-319</v>
      </c>
      <c r="M1350" s="260" t="s">
        <v>239</v>
      </c>
      <c r="N1350" s="260" t="s">
        <v>514</v>
      </c>
    </row>
    <row r="1351" spans="1:14" ht="14.5" x14ac:dyDescent="0.35">
      <c r="A1351" s="260" t="s">
        <v>565</v>
      </c>
      <c r="B1351" s="190">
        <v>45741</v>
      </c>
      <c r="C1351" s="260" t="s">
        <v>749</v>
      </c>
      <c r="D1351" s="197">
        <v>80</v>
      </c>
      <c r="E1351" s="197">
        <v>8008</v>
      </c>
      <c r="F1351" s="197">
        <v>104.2</v>
      </c>
      <c r="G1351" s="190">
        <v>45741</v>
      </c>
      <c r="H1351" s="196">
        <v>0</v>
      </c>
      <c r="I1351" s="197">
        <v>8336</v>
      </c>
      <c r="J1351" s="197">
        <v>8336</v>
      </c>
      <c r="K1351" s="197">
        <v>0</v>
      </c>
      <c r="L1351" s="197">
        <v>328</v>
      </c>
      <c r="M1351" s="260" t="s">
        <v>239</v>
      </c>
      <c r="N1351" s="260" t="s">
        <v>514</v>
      </c>
    </row>
    <row r="1352" spans="1:14" ht="14.5" x14ac:dyDescent="0.35">
      <c r="A1352" s="260" t="s">
        <v>565</v>
      </c>
      <c r="B1352" s="190">
        <v>45741</v>
      </c>
      <c r="C1352" s="260" t="s">
        <v>752</v>
      </c>
      <c r="D1352" s="197">
        <v>100</v>
      </c>
      <c r="E1352" s="197">
        <v>20020</v>
      </c>
      <c r="F1352" s="197">
        <v>198.6</v>
      </c>
      <c r="G1352" s="190">
        <v>45741</v>
      </c>
      <c r="H1352" s="196">
        <v>0</v>
      </c>
      <c r="I1352" s="197">
        <v>19860</v>
      </c>
      <c r="J1352" s="197">
        <v>19860</v>
      </c>
      <c r="K1352" s="197">
        <v>0</v>
      </c>
      <c r="L1352" s="197">
        <v>-160</v>
      </c>
      <c r="M1352" s="260" t="s">
        <v>239</v>
      </c>
      <c r="N1352" s="260" t="s">
        <v>514</v>
      </c>
    </row>
    <row r="1353" spans="1:14" ht="14.5" x14ac:dyDescent="0.35">
      <c r="A1353" s="260" t="s">
        <v>565</v>
      </c>
      <c r="B1353" s="190">
        <v>45741</v>
      </c>
      <c r="C1353" s="260" t="s">
        <v>754</v>
      </c>
      <c r="D1353" s="197">
        <v>50</v>
      </c>
      <c r="E1353" s="197">
        <v>4104</v>
      </c>
      <c r="F1353" s="197">
        <v>75.599999999999994</v>
      </c>
      <c r="G1353" s="190">
        <v>45741</v>
      </c>
      <c r="H1353" s="196">
        <v>0</v>
      </c>
      <c r="I1353" s="197">
        <v>3779.9999999999995</v>
      </c>
      <c r="J1353" s="197">
        <v>3779.9999999999995</v>
      </c>
      <c r="K1353" s="197">
        <v>0</v>
      </c>
      <c r="L1353" s="197">
        <v>-324.00000000000045</v>
      </c>
      <c r="M1353" s="260" t="s">
        <v>239</v>
      </c>
      <c r="N1353" s="260" t="s">
        <v>514</v>
      </c>
    </row>
    <row r="1354" spans="1:14" ht="14.5" x14ac:dyDescent="0.35">
      <c r="A1354" s="260" t="s">
        <v>565</v>
      </c>
      <c r="B1354" s="190">
        <v>45742</v>
      </c>
      <c r="C1354" s="260" t="s">
        <v>749</v>
      </c>
      <c r="D1354" s="197">
        <v>80</v>
      </c>
      <c r="E1354" s="197">
        <v>8008</v>
      </c>
      <c r="F1354" s="197">
        <v>104.5</v>
      </c>
      <c r="G1354" s="190">
        <v>45742</v>
      </c>
      <c r="H1354" s="196">
        <v>0</v>
      </c>
      <c r="I1354" s="197">
        <v>8360</v>
      </c>
      <c r="J1354" s="197">
        <v>8360</v>
      </c>
      <c r="K1354" s="197">
        <v>0</v>
      </c>
      <c r="L1354" s="197">
        <v>352</v>
      </c>
      <c r="M1354" s="260" t="s">
        <v>239</v>
      </c>
      <c r="N1354" s="260" t="s">
        <v>514</v>
      </c>
    </row>
    <row r="1355" spans="1:14" ht="14.5" x14ac:dyDescent="0.35">
      <c r="A1355" s="260" t="s">
        <v>565</v>
      </c>
      <c r="B1355" s="190">
        <v>45742</v>
      </c>
      <c r="C1355" s="260" t="s">
        <v>752</v>
      </c>
      <c r="D1355" s="197">
        <v>100</v>
      </c>
      <c r="E1355" s="197">
        <v>20020</v>
      </c>
      <c r="F1355" s="197">
        <v>198.5</v>
      </c>
      <c r="G1355" s="190">
        <v>45742</v>
      </c>
      <c r="H1355" s="196">
        <v>0</v>
      </c>
      <c r="I1355" s="197">
        <v>19850</v>
      </c>
      <c r="J1355" s="197">
        <v>19850</v>
      </c>
      <c r="K1355" s="197">
        <v>0</v>
      </c>
      <c r="L1355" s="197">
        <v>-170</v>
      </c>
      <c r="M1355" s="260" t="s">
        <v>239</v>
      </c>
      <c r="N1355" s="260" t="s">
        <v>514</v>
      </c>
    </row>
    <row r="1356" spans="1:14" ht="14.5" x14ac:dyDescent="0.35">
      <c r="A1356" s="260" t="s">
        <v>565</v>
      </c>
      <c r="B1356" s="190">
        <v>45742</v>
      </c>
      <c r="C1356" s="260" t="s">
        <v>754</v>
      </c>
      <c r="D1356" s="197">
        <v>50</v>
      </c>
      <c r="E1356" s="197">
        <v>4104</v>
      </c>
      <c r="F1356" s="197">
        <v>75.5</v>
      </c>
      <c r="G1356" s="190">
        <v>45742</v>
      </c>
      <c r="H1356" s="196">
        <v>0</v>
      </c>
      <c r="I1356" s="197">
        <v>3775</v>
      </c>
      <c r="J1356" s="197">
        <v>3775</v>
      </c>
      <c r="K1356" s="197">
        <v>0</v>
      </c>
      <c r="L1356" s="197">
        <v>-329</v>
      </c>
      <c r="M1356" s="260" t="s">
        <v>239</v>
      </c>
      <c r="N1356" s="260" t="s">
        <v>514</v>
      </c>
    </row>
    <row r="1357" spans="1:14" ht="14.5" x14ac:dyDescent="0.35">
      <c r="A1357" s="260" t="s">
        <v>565</v>
      </c>
      <c r="B1357" s="190">
        <v>45743</v>
      </c>
      <c r="C1357" s="260" t="s">
        <v>749</v>
      </c>
      <c r="D1357" s="197">
        <v>80</v>
      </c>
      <c r="E1357" s="197">
        <v>8008</v>
      </c>
      <c r="F1357" s="197">
        <v>104.8</v>
      </c>
      <c r="G1357" s="190">
        <v>45743</v>
      </c>
      <c r="H1357" s="196">
        <v>0</v>
      </c>
      <c r="I1357" s="197">
        <v>8384</v>
      </c>
      <c r="J1357" s="197">
        <v>8384</v>
      </c>
      <c r="K1357" s="197">
        <v>0</v>
      </c>
      <c r="L1357" s="197">
        <v>376</v>
      </c>
      <c r="M1357" s="260" t="s">
        <v>239</v>
      </c>
      <c r="N1357" s="260" t="s">
        <v>514</v>
      </c>
    </row>
    <row r="1358" spans="1:14" ht="14.5" x14ac:dyDescent="0.35">
      <c r="A1358" s="260" t="s">
        <v>565</v>
      </c>
      <c r="B1358" s="190">
        <v>45743</v>
      </c>
      <c r="C1358" s="260" t="s">
        <v>752</v>
      </c>
      <c r="D1358" s="197">
        <v>100</v>
      </c>
      <c r="E1358" s="197">
        <v>20020</v>
      </c>
      <c r="F1358" s="197">
        <v>198.4</v>
      </c>
      <c r="G1358" s="190">
        <v>45743</v>
      </c>
      <c r="H1358" s="196">
        <v>0</v>
      </c>
      <c r="I1358" s="197">
        <v>19840</v>
      </c>
      <c r="J1358" s="197">
        <v>19840</v>
      </c>
      <c r="K1358" s="197">
        <v>0</v>
      </c>
      <c r="L1358" s="197">
        <v>-180</v>
      </c>
      <c r="M1358" s="260" t="s">
        <v>239</v>
      </c>
      <c r="N1358" s="260" t="s">
        <v>514</v>
      </c>
    </row>
    <row r="1359" spans="1:14" ht="14.5" x14ac:dyDescent="0.35">
      <c r="A1359" s="260" t="s">
        <v>565</v>
      </c>
      <c r="B1359" s="190">
        <v>45743</v>
      </c>
      <c r="C1359" s="260" t="s">
        <v>754</v>
      </c>
      <c r="D1359" s="197">
        <v>50</v>
      </c>
      <c r="E1359" s="197">
        <v>4104</v>
      </c>
      <c r="F1359" s="197">
        <v>75.400000000000006</v>
      </c>
      <c r="G1359" s="190">
        <v>45743</v>
      </c>
      <c r="H1359" s="196">
        <v>0</v>
      </c>
      <c r="I1359" s="197">
        <v>3770.0000000000005</v>
      </c>
      <c r="J1359" s="197">
        <v>3770.0000000000005</v>
      </c>
      <c r="K1359" s="197">
        <v>0</v>
      </c>
      <c r="L1359" s="197">
        <v>-333.99999999999955</v>
      </c>
      <c r="M1359" s="260" t="s">
        <v>239</v>
      </c>
      <c r="N1359" s="260" t="s">
        <v>514</v>
      </c>
    </row>
    <row r="1360" spans="1:14" ht="14.5" x14ac:dyDescent="0.35">
      <c r="A1360" s="260" t="s">
        <v>565</v>
      </c>
      <c r="B1360" s="190">
        <v>45744</v>
      </c>
      <c r="C1360" s="260" t="s">
        <v>749</v>
      </c>
      <c r="D1360" s="197">
        <v>80</v>
      </c>
      <c r="E1360" s="197">
        <v>8008</v>
      </c>
      <c r="F1360" s="197">
        <v>105.1</v>
      </c>
      <c r="G1360" s="190">
        <v>45744</v>
      </c>
      <c r="H1360" s="196">
        <v>0</v>
      </c>
      <c r="I1360" s="197">
        <v>8408</v>
      </c>
      <c r="J1360" s="197">
        <v>8408</v>
      </c>
      <c r="K1360" s="197">
        <v>0</v>
      </c>
      <c r="L1360" s="197">
        <v>400</v>
      </c>
      <c r="M1360" s="260" t="s">
        <v>239</v>
      </c>
      <c r="N1360" s="260" t="s">
        <v>514</v>
      </c>
    </row>
    <row r="1361" spans="1:14" ht="14.5" x14ac:dyDescent="0.35">
      <c r="A1361" s="260" t="s">
        <v>565</v>
      </c>
      <c r="B1361" s="190">
        <v>45744</v>
      </c>
      <c r="C1361" s="260" t="s">
        <v>752</v>
      </c>
      <c r="D1361" s="197">
        <v>100</v>
      </c>
      <c r="E1361" s="197">
        <v>20020</v>
      </c>
      <c r="F1361" s="197">
        <v>198.3</v>
      </c>
      <c r="G1361" s="190">
        <v>45744</v>
      </c>
      <c r="H1361" s="196">
        <v>0</v>
      </c>
      <c r="I1361" s="197">
        <v>19830</v>
      </c>
      <c r="J1361" s="197">
        <v>19830</v>
      </c>
      <c r="K1361" s="197">
        <v>0</v>
      </c>
      <c r="L1361" s="197">
        <v>-190</v>
      </c>
      <c r="M1361" s="260" t="s">
        <v>239</v>
      </c>
      <c r="N1361" s="260" t="s">
        <v>514</v>
      </c>
    </row>
    <row r="1362" spans="1:14" ht="14.5" x14ac:dyDescent="0.35">
      <c r="A1362" s="260" t="s">
        <v>565</v>
      </c>
      <c r="B1362" s="190">
        <v>45744</v>
      </c>
      <c r="C1362" s="260" t="s">
        <v>754</v>
      </c>
      <c r="D1362" s="197">
        <v>50</v>
      </c>
      <c r="E1362" s="197">
        <v>4104</v>
      </c>
      <c r="F1362" s="197">
        <v>75.3</v>
      </c>
      <c r="G1362" s="190">
        <v>45744</v>
      </c>
      <c r="H1362" s="196">
        <v>0</v>
      </c>
      <c r="I1362" s="197">
        <v>3765</v>
      </c>
      <c r="J1362" s="197">
        <v>3765</v>
      </c>
      <c r="K1362" s="197">
        <v>0</v>
      </c>
      <c r="L1362" s="197">
        <v>-339</v>
      </c>
      <c r="M1362" s="260" t="s">
        <v>239</v>
      </c>
      <c r="N1362" s="260" t="s">
        <v>514</v>
      </c>
    </row>
    <row r="1363" spans="1:14" ht="14.5" x14ac:dyDescent="0.35">
      <c r="A1363" s="260" t="s">
        <v>565</v>
      </c>
      <c r="B1363" s="190">
        <v>45745</v>
      </c>
      <c r="C1363" s="260" t="s">
        <v>749</v>
      </c>
      <c r="D1363" s="197">
        <v>80</v>
      </c>
      <c r="E1363" s="197">
        <v>8008</v>
      </c>
      <c r="F1363" s="197">
        <v>105.1</v>
      </c>
      <c r="G1363" s="190">
        <v>45744</v>
      </c>
      <c r="H1363" s="196">
        <v>1</v>
      </c>
      <c r="I1363" s="197">
        <v>8408</v>
      </c>
      <c r="J1363" s="197">
        <v>8408</v>
      </c>
      <c r="K1363" s="197">
        <v>0</v>
      </c>
      <c r="L1363" s="197">
        <v>400</v>
      </c>
      <c r="M1363" s="260" t="s">
        <v>239</v>
      </c>
      <c r="N1363" s="260" t="s">
        <v>514</v>
      </c>
    </row>
    <row r="1364" spans="1:14" ht="14.5" x14ac:dyDescent="0.35">
      <c r="A1364" s="260" t="s">
        <v>565</v>
      </c>
      <c r="B1364" s="190">
        <v>45745</v>
      </c>
      <c r="C1364" s="260" t="s">
        <v>752</v>
      </c>
      <c r="D1364" s="197">
        <v>100</v>
      </c>
      <c r="E1364" s="197">
        <v>20020</v>
      </c>
      <c r="F1364" s="197">
        <v>198.3</v>
      </c>
      <c r="G1364" s="190">
        <v>45744</v>
      </c>
      <c r="H1364" s="196">
        <v>1</v>
      </c>
      <c r="I1364" s="197">
        <v>19830</v>
      </c>
      <c r="J1364" s="197">
        <v>19830</v>
      </c>
      <c r="K1364" s="197">
        <v>0</v>
      </c>
      <c r="L1364" s="197">
        <v>-190</v>
      </c>
      <c r="M1364" s="260" t="s">
        <v>239</v>
      </c>
      <c r="N1364" s="260" t="s">
        <v>514</v>
      </c>
    </row>
    <row r="1365" spans="1:14" ht="14.5" x14ac:dyDescent="0.35">
      <c r="A1365" s="260" t="s">
        <v>565</v>
      </c>
      <c r="B1365" s="190">
        <v>45745</v>
      </c>
      <c r="C1365" s="260" t="s">
        <v>754</v>
      </c>
      <c r="D1365" s="197">
        <v>50</v>
      </c>
      <c r="E1365" s="197">
        <v>4104</v>
      </c>
      <c r="F1365" s="197">
        <v>75.3</v>
      </c>
      <c r="G1365" s="190">
        <v>45744</v>
      </c>
      <c r="H1365" s="196">
        <v>1</v>
      </c>
      <c r="I1365" s="197">
        <v>3765</v>
      </c>
      <c r="J1365" s="197">
        <v>3765</v>
      </c>
      <c r="K1365" s="197">
        <v>0</v>
      </c>
      <c r="L1365" s="197">
        <v>-339</v>
      </c>
      <c r="M1365" s="260" t="s">
        <v>239</v>
      </c>
      <c r="N1365" s="260" t="s">
        <v>514</v>
      </c>
    </row>
    <row r="1366" spans="1:14" ht="14.5" x14ac:dyDescent="0.35">
      <c r="A1366" s="260" t="s">
        <v>565</v>
      </c>
      <c r="B1366" s="190">
        <v>45746</v>
      </c>
      <c r="C1366" s="260" t="s">
        <v>749</v>
      </c>
      <c r="D1366" s="197">
        <v>80</v>
      </c>
      <c r="E1366" s="197">
        <v>8008</v>
      </c>
      <c r="F1366" s="197">
        <v>105.1</v>
      </c>
      <c r="G1366" s="190">
        <v>45744</v>
      </c>
      <c r="H1366" s="196">
        <v>2</v>
      </c>
      <c r="I1366" s="197">
        <v>8408</v>
      </c>
      <c r="J1366" s="197">
        <v>8408</v>
      </c>
      <c r="K1366" s="197">
        <v>0</v>
      </c>
      <c r="L1366" s="197">
        <v>400</v>
      </c>
      <c r="M1366" s="260" t="s">
        <v>239</v>
      </c>
      <c r="N1366" s="260" t="s">
        <v>514</v>
      </c>
    </row>
    <row r="1367" spans="1:14" ht="14.5" x14ac:dyDescent="0.35">
      <c r="A1367" s="260" t="s">
        <v>565</v>
      </c>
      <c r="B1367" s="190">
        <v>45746</v>
      </c>
      <c r="C1367" s="260" t="s">
        <v>752</v>
      </c>
      <c r="D1367" s="197">
        <v>100</v>
      </c>
      <c r="E1367" s="197">
        <v>20020</v>
      </c>
      <c r="F1367" s="197">
        <v>198.3</v>
      </c>
      <c r="G1367" s="190">
        <v>45744</v>
      </c>
      <c r="H1367" s="196">
        <v>2</v>
      </c>
      <c r="I1367" s="197">
        <v>19830</v>
      </c>
      <c r="J1367" s="197">
        <v>19830</v>
      </c>
      <c r="K1367" s="197">
        <v>0</v>
      </c>
      <c r="L1367" s="197">
        <v>-190</v>
      </c>
      <c r="M1367" s="260" t="s">
        <v>239</v>
      </c>
      <c r="N1367" s="260" t="s">
        <v>514</v>
      </c>
    </row>
    <row r="1368" spans="1:14" ht="14.5" x14ac:dyDescent="0.35">
      <c r="A1368" s="260" t="s">
        <v>565</v>
      </c>
      <c r="B1368" s="190">
        <v>45746</v>
      </c>
      <c r="C1368" s="260" t="s">
        <v>754</v>
      </c>
      <c r="D1368" s="197">
        <v>50</v>
      </c>
      <c r="E1368" s="197">
        <v>4104</v>
      </c>
      <c r="F1368" s="197">
        <v>75.3</v>
      </c>
      <c r="G1368" s="190">
        <v>45744</v>
      </c>
      <c r="H1368" s="196">
        <v>2</v>
      </c>
      <c r="I1368" s="197">
        <v>3765</v>
      </c>
      <c r="J1368" s="197">
        <v>3765</v>
      </c>
      <c r="K1368" s="197">
        <v>0</v>
      </c>
      <c r="L1368" s="197">
        <v>-339</v>
      </c>
      <c r="M1368" s="260" t="s">
        <v>239</v>
      </c>
      <c r="N1368" s="260" t="s">
        <v>514</v>
      </c>
    </row>
    <row r="1369" spans="1:14" ht="14.5" x14ac:dyDescent="0.35">
      <c r="A1369" s="260" t="s">
        <v>565</v>
      </c>
      <c r="B1369" s="190">
        <v>45747</v>
      </c>
      <c r="C1369" s="260" t="s">
        <v>749</v>
      </c>
      <c r="D1369" s="197">
        <v>80</v>
      </c>
      <c r="E1369" s="197">
        <v>8008</v>
      </c>
      <c r="F1369" s="197">
        <v>106</v>
      </c>
      <c r="G1369" s="190">
        <v>45747</v>
      </c>
      <c r="H1369" s="196">
        <v>0</v>
      </c>
      <c r="I1369" s="197">
        <v>8480</v>
      </c>
      <c r="J1369" s="197">
        <v>8480</v>
      </c>
      <c r="K1369" s="197">
        <v>0</v>
      </c>
      <c r="L1369" s="197">
        <v>472</v>
      </c>
      <c r="M1369" s="260" t="s">
        <v>239</v>
      </c>
      <c r="N1369" s="260" t="s">
        <v>514</v>
      </c>
    </row>
    <row r="1370" spans="1:14" ht="14.5" x14ac:dyDescent="0.35">
      <c r="A1370" s="260" t="s">
        <v>565</v>
      </c>
      <c r="B1370" s="190">
        <v>45747</v>
      </c>
      <c r="C1370" s="260" t="s">
        <v>752</v>
      </c>
      <c r="D1370" s="197">
        <v>100</v>
      </c>
      <c r="E1370" s="197">
        <v>20020</v>
      </c>
      <c r="F1370" s="197">
        <v>198</v>
      </c>
      <c r="G1370" s="190">
        <v>45747</v>
      </c>
      <c r="H1370" s="196">
        <v>0</v>
      </c>
      <c r="I1370" s="197">
        <v>19800</v>
      </c>
      <c r="J1370" s="197">
        <v>19800</v>
      </c>
      <c r="K1370" s="197">
        <v>0</v>
      </c>
      <c r="L1370" s="197">
        <v>-220</v>
      </c>
      <c r="M1370" s="260" t="s">
        <v>239</v>
      </c>
      <c r="N1370" s="260" t="s">
        <v>514</v>
      </c>
    </row>
    <row r="1371" spans="1:14" ht="14.5" x14ac:dyDescent="0.35">
      <c r="A1371" s="260" t="s">
        <v>565</v>
      </c>
      <c r="B1371" s="190">
        <v>45747</v>
      </c>
      <c r="C1371" s="260" t="s">
        <v>754</v>
      </c>
      <c r="D1371" s="197">
        <v>50</v>
      </c>
      <c r="E1371" s="197">
        <v>4104</v>
      </c>
      <c r="F1371" s="197">
        <v>75</v>
      </c>
      <c r="G1371" s="190">
        <v>45747</v>
      </c>
      <c r="H1371" s="196">
        <v>0</v>
      </c>
      <c r="I1371" s="197">
        <v>3750</v>
      </c>
      <c r="J1371" s="197">
        <v>3750</v>
      </c>
      <c r="K1371" s="197">
        <v>0</v>
      </c>
      <c r="L1371" s="197">
        <v>-354</v>
      </c>
      <c r="M1371" s="260" t="s">
        <v>239</v>
      </c>
      <c r="N1371" s="260" t="s">
        <v>514</v>
      </c>
    </row>
    <row r="1372" spans="1:14" ht="14.5" x14ac:dyDescent="0.35">
      <c r="A1372" s="260" t="s">
        <v>565</v>
      </c>
      <c r="B1372" s="190">
        <v>45748</v>
      </c>
      <c r="C1372" s="260" t="s">
        <v>749</v>
      </c>
      <c r="D1372" s="197">
        <v>80</v>
      </c>
      <c r="E1372" s="197">
        <v>8008</v>
      </c>
      <c r="F1372" s="197">
        <v>106</v>
      </c>
      <c r="G1372" s="190">
        <v>45748</v>
      </c>
      <c r="H1372" s="196">
        <v>0</v>
      </c>
      <c r="I1372" s="197">
        <v>8480</v>
      </c>
      <c r="J1372" s="197">
        <v>8480</v>
      </c>
      <c r="K1372" s="197">
        <v>0</v>
      </c>
      <c r="L1372" s="197">
        <v>472</v>
      </c>
      <c r="M1372" s="260" t="s">
        <v>239</v>
      </c>
      <c r="N1372" s="260" t="s">
        <v>514</v>
      </c>
    </row>
    <row r="1373" spans="1:14" ht="14.5" x14ac:dyDescent="0.35">
      <c r="A1373" s="260" t="s">
        <v>565</v>
      </c>
      <c r="B1373" s="190">
        <v>45748</v>
      </c>
      <c r="C1373" s="260" t="s">
        <v>752</v>
      </c>
      <c r="D1373" s="197">
        <v>100</v>
      </c>
      <c r="E1373" s="197">
        <v>20020</v>
      </c>
      <c r="F1373" s="197">
        <v>198</v>
      </c>
      <c r="G1373" s="190">
        <v>45748</v>
      </c>
      <c r="H1373" s="196">
        <v>0</v>
      </c>
      <c r="I1373" s="197">
        <v>19800</v>
      </c>
      <c r="J1373" s="197">
        <v>19800</v>
      </c>
      <c r="K1373" s="197">
        <v>0</v>
      </c>
      <c r="L1373" s="197">
        <v>-220</v>
      </c>
      <c r="M1373" s="260" t="s">
        <v>239</v>
      </c>
      <c r="N1373" s="260" t="s">
        <v>514</v>
      </c>
    </row>
    <row r="1374" spans="1:14" ht="14.5" x14ac:dyDescent="0.35">
      <c r="A1374" s="260" t="s">
        <v>565</v>
      </c>
      <c r="B1374" s="190">
        <v>45748</v>
      </c>
      <c r="C1374" s="260" t="s">
        <v>754</v>
      </c>
      <c r="D1374" s="197">
        <v>50</v>
      </c>
      <c r="E1374" s="197">
        <v>4104</v>
      </c>
      <c r="F1374" s="197">
        <v>75</v>
      </c>
      <c r="G1374" s="190">
        <v>45748</v>
      </c>
      <c r="H1374" s="196">
        <v>0</v>
      </c>
      <c r="I1374" s="197">
        <v>3750</v>
      </c>
      <c r="J1374" s="197">
        <v>3750</v>
      </c>
      <c r="K1374" s="197">
        <v>0</v>
      </c>
      <c r="L1374" s="197">
        <v>-354</v>
      </c>
      <c r="M1374" s="260" t="s">
        <v>239</v>
      </c>
      <c r="N1374" s="260" t="s">
        <v>514</v>
      </c>
    </row>
    <row r="1375" spans="1:14" ht="14.5" x14ac:dyDescent="0.35">
      <c r="A1375" s="260" t="s">
        <v>565</v>
      </c>
      <c r="B1375" s="190">
        <v>45749</v>
      </c>
      <c r="C1375" s="260" t="s">
        <v>749</v>
      </c>
      <c r="D1375" s="197">
        <v>80</v>
      </c>
      <c r="E1375" s="197">
        <v>8008</v>
      </c>
      <c r="F1375" s="197">
        <v>105.83</v>
      </c>
      <c r="G1375" s="190">
        <v>45749</v>
      </c>
      <c r="H1375" s="196">
        <v>0</v>
      </c>
      <c r="I1375" s="197">
        <v>8466.4</v>
      </c>
      <c r="J1375" s="197">
        <v>8466.4</v>
      </c>
      <c r="K1375" s="197">
        <v>0</v>
      </c>
      <c r="L1375" s="197">
        <v>458.39999999999964</v>
      </c>
      <c r="M1375" s="260" t="s">
        <v>239</v>
      </c>
      <c r="N1375" s="260" t="s">
        <v>514</v>
      </c>
    </row>
    <row r="1376" spans="1:14" ht="14.5" x14ac:dyDescent="0.35">
      <c r="A1376" s="260" t="s">
        <v>565</v>
      </c>
      <c r="B1376" s="190">
        <v>45749</v>
      </c>
      <c r="C1376" s="260" t="s">
        <v>752</v>
      </c>
      <c r="D1376" s="197">
        <v>100</v>
      </c>
      <c r="E1376" s="197">
        <v>20020</v>
      </c>
      <c r="F1376" s="197">
        <v>197.62</v>
      </c>
      <c r="G1376" s="190">
        <v>45749</v>
      </c>
      <c r="H1376" s="196">
        <v>0</v>
      </c>
      <c r="I1376" s="197">
        <v>19762</v>
      </c>
      <c r="J1376" s="197">
        <v>19762</v>
      </c>
      <c r="K1376" s="197">
        <v>0</v>
      </c>
      <c r="L1376" s="197">
        <v>-258</v>
      </c>
      <c r="M1376" s="260" t="s">
        <v>239</v>
      </c>
      <c r="N1376" s="260" t="s">
        <v>514</v>
      </c>
    </row>
    <row r="1377" spans="1:14" ht="14.5" x14ac:dyDescent="0.35">
      <c r="A1377" s="260" t="s">
        <v>565</v>
      </c>
      <c r="B1377" s="190">
        <v>45749</v>
      </c>
      <c r="C1377" s="260" t="s">
        <v>754</v>
      </c>
      <c r="D1377" s="197">
        <v>50</v>
      </c>
      <c r="E1377" s="197">
        <v>4104</v>
      </c>
      <c r="F1377" s="197">
        <v>75.14</v>
      </c>
      <c r="G1377" s="190">
        <v>45749</v>
      </c>
      <c r="H1377" s="196">
        <v>0</v>
      </c>
      <c r="I1377" s="197">
        <v>3757</v>
      </c>
      <c r="J1377" s="197">
        <v>3757</v>
      </c>
      <c r="K1377" s="197">
        <v>0</v>
      </c>
      <c r="L1377" s="197">
        <v>-347</v>
      </c>
      <c r="M1377" s="260" t="s">
        <v>239</v>
      </c>
      <c r="N1377" s="260" t="s">
        <v>514</v>
      </c>
    </row>
    <row r="1378" spans="1:14" ht="14.5" x14ac:dyDescent="0.35">
      <c r="A1378" s="260" t="s">
        <v>565</v>
      </c>
      <c r="B1378" s="190">
        <v>45750</v>
      </c>
      <c r="C1378" s="260" t="s">
        <v>749</v>
      </c>
      <c r="D1378" s="197">
        <v>80</v>
      </c>
      <c r="E1378" s="197">
        <v>8008</v>
      </c>
      <c r="F1378" s="197">
        <v>105.66</v>
      </c>
      <c r="G1378" s="190">
        <v>45750</v>
      </c>
      <c r="H1378" s="196">
        <v>0</v>
      </c>
      <c r="I1378" s="197">
        <v>8452.7999999999993</v>
      </c>
      <c r="J1378" s="197">
        <v>8452.7999999999993</v>
      </c>
      <c r="K1378" s="197">
        <v>0</v>
      </c>
      <c r="L1378" s="197">
        <v>444.79999999999927</v>
      </c>
      <c r="M1378" s="260" t="s">
        <v>239</v>
      </c>
      <c r="N1378" s="260" t="s">
        <v>514</v>
      </c>
    </row>
    <row r="1379" spans="1:14" ht="14.5" x14ac:dyDescent="0.35">
      <c r="A1379" s="260" t="s">
        <v>565</v>
      </c>
      <c r="B1379" s="190">
        <v>45750</v>
      </c>
      <c r="C1379" s="260" t="s">
        <v>752</v>
      </c>
      <c r="D1379" s="197">
        <v>100</v>
      </c>
      <c r="E1379" s="197">
        <v>20020</v>
      </c>
      <c r="F1379" s="197">
        <v>197.24</v>
      </c>
      <c r="G1379" s="190">
        <v>45750</v>
      </c>
      <c r="H1379" s="196">
        <v>0</v>
      </c>
      <c r="I1379" s="197">
        <v>19724</v>
      </c>
      <c r="J1379" s="197">
        <v>19724</v>
      </c>
      <c r="K1379" s="197">
        <v>0</v>
      </c>
      <c r="L1379" s="197">
        <v>-296</v>
      </c>
      <c r="M1379" s="260" t="s">
        <v>239</v>
      </c>
      <c r="N1379" s="260" t="s">
        <v>514</v>
      </c>
    </row>
    <row r="1380" spans="1:14" ht="14.5" x14ac:dyDescent="0.35">
      <c r="A1380" s="260" t="s">
        <v>565</v>
      </c>
      <c r="B1380" s="190">
        <v>45750</v>
      </c>
      <c r="C1380" s="260" t="s">
        <v>754</v>
      </c>
      <c r="D1380" s="197">
        <v>50</v>
      </c>
      <c r="E1380" s="197">
        <v>4104</v>
      </c>
      <c r="F1380" s="197">
        <v>75.28</v>
      </c>
      <c r="G1380" s="190">
        <v>45750</v>
      </c>
      <c r="H1380" s="196">
        <v>0</v>
      </c>
      <c r="I1380" s="197">
        <v>3764</v>
      </c>
      <c r="J1380" s="197">
        <v>3764</v>
      </c>
      <c r="K1380" s="197">
        <v>0</v>
      </c>
      <c r="L1380" s="197">
        <v>-340</v>
      </c>
      <c r="M1380" s="260" t="s">
        <v>239</v>
      </c>
      <c r="N1380" s="260" t="s">
        <v>514</v>
      </c>
    </row>
    <row r="1381" spans="1:14" ht="14.5" x14ac:dyDescent="0.35">
      <c r="A1381" s="260" t="s">
        <v>565</v>
      </c>
      <c r="B1381" s="190">
        <v>45751</v>
      </c>
      <c r="C1381" s="260" t="s">
        <v>749</v>
      </c>
      <c r="D1381" s="197">
        <v>80</v>
      </c>
      <c r="E1381" s="197">
        <v>8008</v>
      </c>
      <c r="F1381" s="197">
        <v>105.48</v>
      </c>
      <c r="G1381" s="190">
        <v>45751</v>
      </c>
      <c r="H1381" s="196">
        <v>0</v>
      </c>
      <c r="I1381" s="197">
        <v>8438.4</v>
      </c>
      <c r="J1381" s="197">
        <v>8438.4</v>
      </c>
      <c r="K1381" s="197">
        <v>0</v>
      </c>
      <c r="L1381" s="197">
        <v>430.39999999999964</v>
      </c>
      <c r="M1381" s="260" t="s">
        <v>239</v>
      </c>
      <c r="N1381" s="260" t="s">
        <v>514</v>
      </c>
    </row>
    <row r="1382" spans="1:14" ht="14.5" x14ac:dyDescent="0.35">
      <c r="A1382" s="260" t="s">
        <v>565</v>
      </c>
      <c r="B1382" s="190">
        <v>45751</v>
      </c>
      <c r="C1382" s="260" t="s">
        <v>752</v>
      </c>
      <c r="D1382" s="197">
        <v>100</v>
      </c>
      <c r="E1382" s="197">
        <v>20020</v>
      </c>
      <c r="F1382" s="197">
        <v>196.86</v>
      </c>
      <c r="G1382" s="190">
        <v>45751</v>
      </c>
      <c r="H1382" s="196">
        <v>0</v>
      </c>
      <c r="I1382" s="197">
        <v>19686</v>
      </c>
      <c r="J1382" s="197">
        <v>19686</v>
      </c>
      <c r="K1382" s="197">
        <v>0</v>
      </c>
      <c r="L1382" s="197">
        <v>-334</v>
      </c>
      <c r="M1382" s="260" t="s">
        <v>239</v>
      </c>
      <c r="N1382" s="260" t="s">
        <v>514</v>
      </c>
    </row>
    <row r="1383" spans="1:14" ht="14.5" x14ac:dyDescent="0.35">
      <c r="A1383" s="260" t="s">
        <v>565</v>
      </c>
      <c r="B1383" s="190">
        <v>45751</v>
      </c>
      <c r="C1383" s="260" t="s">
        <v>754</v>
      </c>
      <c r="D1383" s="197">
        <v>50</v>
      </c>
      <c r="E1383" s="197">
        <v>4104</v>
      </c>
      <c r="F1383" s="197">
        <v>75.41</v>
      </c>
      <c r="G1383" s="190">
        <v>45751</v>
      </c>
      <c r="H1383" s="196">
        <v>0</v>
      </c>
      <c r="I1383" s="197">
        <v>3770.5</v>
      </c>
      <c r="J1383" s="197">
        <v>3770.5</v>
      </c>
      <c r="K1383" s="197">
        <v>0</v>
      </c>
      <c r="L1383" s="197">
        <v>-333.5</v>
      </c>
      <c r="M1383" s="260" t="s">
        <v>239</v>
      </c>
      <c r="N1383" s="260" t="s">
        <v>514</v>
      </c>
    </row>
    <row r="1384" spans="1:14" ht="14.5" x14ac:dyDescent="0.35">
      <c r="A1384" s="260" t="s">
        <v>565</v>
      </c>
      <c r="B1384" s="190">
        <v>45752</v>
      </c>
      <c r="C1384" s="260" t="s">
        <v>749</v>
      </c>
      <c r="D1384" s="197">
        <v>80</v>
      </c>
      <c r="E1384" s="197">
        <v>8008</v>
      </c>
      <c r="F1384" s="197">
        <v>105.48</v>
      </c>
      <c r="G1384" s="190">
        <v>45751</v>
      </c>
      <c r="H1384" s="196">
        <v>1</v>
      </c>
      <c r="I1384" s="197">
        <v>8438.4</v>
      </c>
      <c r="J1384" s="197">
        <v>8438.4</v>
      </c>
      <c r="K1384" s="197">
        <v>0</v>
      </c>
      <c r="L1384" s="197">
        <v>430.39999999999964</v>
      </c>
      <c r="M1384" s="260" t="s">
        <v>239</v>
      </c>
      <c r="N1384" s="260" t="s">
        <v>514</v>
      </c>
    </row>
    <row r="1385" spans="1:14" ht="14.5" x14ac:dyDescent="0.35">
      <c r="A1385" s="260" t="s">
        <v>565</v>
      </c>
      <c r="B1385" s="190">
        <v>45752</v>
      </c>
      <c r="C1385" s="260" t="s">
        <v>752</v>
      </c>
      <c r="D1385" s="197">
        <v>100</v>
      </c>
      <c r="E1385" s="197">
        <v>20020</v>
      </c>
      <c r="F1385" s="197">
        <v>196.86</v>
      </c>
      <c r="G1385" s="190">
        <v>45751</v>
      </c>
      <c r="H1385" s="196">
        <v>1</v>
      </c>
      <c r="I1385" s="197">
        <v>19686</v>
      </c>
      <c r="J1385" s="197">
        <v>19686</v>
      </c>
      <c r="K1385" s="197">
        <v>0</v>
      </c>
      <c r="L1385" s="197">
        <v>-334</v>
      </c>
      <c r="M1385" s="260" t="s">
        <v>239</v>
      </c>
      <c r="N1385" s="260" t="s">
        <v>514</v>
      </c>
    </row>
    <row r="1386" spans="1:14" ht="14.5" x14ac:dyDescent="0.35">
      <c r="A1386" s="260" t="s">
        <v>565</v>
      </c>
      <c r="B1386" s="190">
        <v>45752</v>
      </c>
      <c r="C1386" s="260" t="s">
        <v>754</v>
      </c>
      <c r="D1386" s="197">
        <v>50</v>
      </c>
      <c r="E1386" s="197">
        <v>4104</v>
      </c>
      <c r="F1386" s="197">
        <v>75.41</v>
      </c>
      <c r="G1386" s="190">
        <v>45751</v>
      </c>
      <c r="H1386" s="196">
        <v>1</v>
      </c>
      <c r="I1386" s="197">
        <v>3770.5</v>
      </c>
      <c r="J1386" s="197">
        <v>3770.5</v>
      </c>
      <c r="K1386" s="197">
        <v>0</v>
      </c>
      <c r="L1386" s="197">
        <v>-333.5</v>
      </c>
      <c r="M1386" s="260" t="s">
        <v>239</v>
      </c>
      <c r="N1386" s="260" t="s">
        <v>514</v>
      </c>
    </row>
    <row r="1387" spans="1:14" ht="14.5" x14ac:dyDescent="0.35">
      <c r="A1387" s="260" t="s">
        <v>565</v>
      </c>
      <c r="B1387" s="190">
        <v>45753</v>
      </c>
      <c r="C1387" s="260" t="s">
        <v>749</v>
      </c>
      <c r="D1387" s="197">
        <v>80</v>
      </c>
      <c r="E1387" s="197">
        <v>8008</v>
      </c>
      <c r="F1387" s="197">
        <v>105.48</v>
      </c>
      <c r="G1387" s="190">
        <v>45751</v>
      </c>
      <c r="H1387" s="196">
        <v>2</v>
      </c>
      <c r="I1387" s="197">
        <v>8438.4</v>
      </c>
      <c r="J1387" s="197">
        <v>8438.4</v>
      </c>
      <c r="K1387" s="197">
        <v>0</v>
      </c>
      <c r="L1387" s="197">
        <v>430.39999999999964</v>
      </c>
      <c r="M1387" s="260" t="s">
        <v>239</v>
      </c>
      <c r="N1387" s="260" t="s">
        <v>514</v>
      </c>
    </row>
    <row r="1388" spans="1:14" ht="14.5" x14ac:dyDescent="0.35">
      <c r="A1388" s="260" t="s">
        <v>565</v>
      </c>
      <c r="B1388" s="190">
        <v>45753</v>
      </c>
      <c r="C1388" s="260" t="s">
        <v>752</v>
      </c>
      <c r="D1388" s="197">
        <v>100</v>
      </c>
      <c r="E1388" s="197">
        <v>20020</v>
      </c>
      <c r="F1388" s="197">
        <v>196.86</v>
      </c>
      <c r="G1388" s="190">
        <v>45751</v>
      </c>
      <c r="H1388" s="196">
        <v>2</v>
      </c>
      <c r="I1388" s="197">
        <v>19686</v>
      </c>
      <c r="J1388" s="197">
        <v>19686</v>
      </c>
      <c r="K1388" s="197">
        <v>0</v>
      </c>
      <c r="L1388" s="197">
        <v>-334</v>
      </c>
      <c r="M1388" s="260" t="s">
        <v>239</v>
      </c>
      <c r="N1388" s="260" t="s">
        <v>514</v>
      </c>
    </row>
    <row r="1389" spans="1:14" ht="14.5" x14ac:dyDescent="0.35">
      <c r="A1389" s="260" t="s">
        <v>565</v>
      </c>
      <c r="B1389" s="190">
        <v>45753</v>
      </c>
      <c r="C1389" s="260" t="s">
        <v>754</v>
      </c>
      <c r="D1389" s="197">
        <v>50</v>
      </c>
      <c r="E1389" s="197">
        <v>4104</v>
      </c>
      <c r="F1389" s="197">
        <v>75.41</v>
      </c>
      <c r="G1389" s="190">
        <v>45751</v>
      </c>
      <c r="H1389" s="196">
        <v>2</v>
      </c>
      <c r="I1389" s="197">
        <v>3770.5</v>
      </c>
      <c r="J1389" s="197">
        <v>3770.5</v>
      </c>
      <c r="K1389" s="197">
        <v>0</v>
      </c>
      <c r="L1389" s="197">
        <v>-333.5</v>
      </c>
      <c r="M1389" s="260" t="s">
        <v>239</v>
      </c>
      <c r="N1389" s="260" t="s">
        <v>514</v>
      </c>
    </row>
    <row r="1390" spans="1:14" ht="14.5" x14ac:dyDescent="0.35">
      <c r="A1390" s="260" t="s">
        <v>565</v>
      </c>
      <c r="B1390" s="190">
        <v>45754</v>
      </c>
      <c r="C1390" s="260" t="s">
        <v>749</v>
      </c>
      <c r="D1390" s="197">
        <v>80</v>
      </c>
      <c r="E1390" s="197">
        <v>8008</v>
      </c>
      <c r="F1390" s="197">
        <v>104.97</v>
      </c>
      <c r="G1390" s="190">
        <v>45754</v>
      </c>
      <c r="H1390" s="196">
        <v>0</v>
      </c>
      <c r="I1390" s="197">
        <v>8397.6</v>
      </c>
      <c r="J1390" s="197">
        <v>8397.6</v>
      </c>
      <c r="K1390" s="197">
        <v>0</v>
      </c>
      <c r="L1390" s="197">
        <v>389.60000000000036</v>
      </c>
      <c r="M1390" s="260" t="s">
        <v>239</v>
      </c>
      <c r="N1390" s="260" t="s">
        <v>514</v>
      </c>
    </row>
    <row r="1391" spans="1:14" ht="14.5" x14ac:dyDescent="0.35">
      <c r="A1391" s="260" t="s">
        <v>565</v>
      </c>
      <c r="B1391" s="190">
        <v>45754</v>
      </c>
      <c r="C1391" s="260" t="s">
        <v>752</v>
      </c>
      <c r="D1391" s="197">
        <v>100</v>
      </c>
      <c r="E1391" s="197">
        <v>20020</v>
      </c>
      <c r="F1391" s="197">
        <v>195.72</v>
      </c>
      <c r="G1391" s="190">
        <v>45754</v>
      </c>
      <c r="H1391" s="196">
        <v>0</v>
      </c>
      <c r="I1391" s="197">
        <v>19572</v>
      </c>
      <c r="J1391" s="197">
        <v>19572</v>
      </c>
      <c r="K1391" s="197">
        <v>0</v>
      </c>
      <c r="L1391" s="197">
        <v>-448</v>
      </c>
      <c r="M1391" s="260" t="s">
        <v>239</v>
      </c>
      <c r="N1391" s="260" t="s">
        <v>514</v>
      </c>
    </row>
    <row r="1392" spans="1:14" ht="14.5" x14ac:dyDescent="0.35">
      <c r="A1392" s="260" t="s">
        <v>565</v>
      </c>
      <c r="B1392" s="190">
        <v>45754</v>
      </c>
      <c r="C1392" s="260" t="s">
        <v>754</v>
      </c>
      <c r="D1392" s="197">
        <v>50</v>
      </c>
      <c r="E1392" s="197">
        <v>4104</v>
      </c>
      <c r="F1392" s="197">
        <v>75.83</v>
      </c>
      <c r="G1392" s="190">
        <v>45754</v>
      </c>
      <c r="H1392" s="196">
        <v>0</v>
      </c>
      <c r="I1392" s="197">
        <v>3791.5</v>
      </c>
      <c r="J1392" s="197">
        <v>3791.5</v>
      </c>
      <c r="K1392" s="197">
        <v>0</v>
      </c>
      <c r="L1392" s="197">
        <v>-312.5</v>
      </c>
      <c r="M1392" s="260" t="s">
        <v>239</v>
      </c>
      <c r="N1392" s="260" t="s">
        <v>514</v>
      </c>
    </row>
    <row r="1393" spans="1:14" ht="14.5" x14ac:dyDescent="0.35">
      <c r="A1393" s="260" t="s">
        <v>565</v>
      </c>
      <c r="B1393" s="190">
        <v>45755</v>
      </c>
      <c r="C1393" s="260" t="s">
        <v>749</v>
      </c>
      <c r="D1393" s="197">
        <v>80</v>
      </c>
      <c r="E1393" s="197">
        <v>8008</v>
      </c>
      <c r="F1393" s="197">
        <v>104.79</v>
      </c>
      <c r="G1393" s="190">
        <v>45755</v>
      </c>
      <c r="H1393" s="196">
        <v>0</v>
      </c>
      <c r="I1393" s="197">
        <v>8383.2000000000007</v>
      </c>
      <c r="J1393" s="197">
        <v>8383.2000000000007</v>
      </c>
      <c r="K1393" s="197">
        <v>0</v>
      </c>
      <c r="L1393" s="197">
        <v>375.20000000000073</v>
      </c>
      <c r="M1393" s="260" t="s">
        <v>239</v>
      </c>
      <c r="N1393" s="260" t="s">
        <v>514</v>
      </c>
    </row>
    <row r="1394" spans="1:14" ht="14.5" x14ac:dyDescent="0.35">
      <c r="A1394" s="260" t="s">
        <v>565</v>
      </c>
      <c r="B1394" s="190">
        <v>45755</v>
      </c>
      <c r="C1394" s="260" t="s">
        <v>752</v>
      </c>
      <c r="D1394" s="197">
        <v>100</v>
      </c>
      <c r="E1394" s="197">
        <v>20020</v>
      </c>
      <c r="F1394" s="197">
        <v>195.34</v>
      </c>
      <c r="G1394" s="190">
        <v>45755</v>
      </c>
      <c r="H1394" s="196">
        <v>0</v>
      </c>
      <c r="I1394" s="197">
        <v>19534</v>
      </c>
      <c r="J1394" s="197">
        <v>19534</v>
      </c>
      <c r="K1394" s="197">
        <v>0</v>
      </c>
      <c r="L1394" s="197">
        <v>-486</v>
      </c>
      <c r="M1394" s="260" t="s">
        <v>239</v>
      </c>
      <c r="N1394" s="260" t="s">
        <v>514</v>
      </c>
    </row>
    <row r="1395" spans="1:14" ht="14.5" x14ac:dyDescent="0.35">
      <c r="A1395" s="260" t="s">
        <v>565</v>
      </c>
      <c r="B1395" s="190">
        <v>45755</v>
      </c>
      <c r="C1395" s="260" t="s">
        <v>754</v>
      </c>
      <c r="D1395" s="197">
        <v>50</v>
      </c>
      <c r="E1395" s="197">
        <v>4104</v>
      </c>
      <c r="F1395" s="197">
        <v>75.97</v>
      </c>
      <c r="G1395" s="190">
        <v>45755</v>
      </c>
      <c r="H1395" s="196">
        <v>0</v>
      </c>
      <c r="I1395" s="197">
        <v>3798.5</v>
      </c>
      <c r="J1395" s="197">
        <v>3798.5</v>
      </c>
      <c r="K1395" s="197">
        <v>0</v>
      </c>
      <c r="L1395" s="197">
        <v>-305.5</v>
      </c>
      <c r="M1395" s="260" t="s">
        <v>239</v>
      </c>
      <c r="N1395" s="260" t="s">
        <v>514</v>
      </c>
    </row>
    <row r="1396" spans="1:14" ht="14.5" x14ac:dyDescent="0.35">
      <c r="A1396" s="260" t="s">
        <v>565</v>
      </c>
      <c r="B1396" s="190">
        <v>45756</v>
      </c>
      <c r="C1396" s="260" t="s">
        <v>749</v>
      </c>
      <c r="D1396" s="197">
        <v>80</v>
      </c>
      <c r="E1396" s="197">
        <v>8008</v>
      </c>
      <c r="F1396" s="197">
        <v>104.62</v>
      </c>
      <c r="G1396" s="190">
        <v>45756</v>
      </c>
      <c r="H1396" s="196">
        <v>0</v>
      </c>
      <c r="I1396" s="197">
        <v>8369.6</v>
      </c>
      <c r="J1396" s="197">
        <v>8369.6</v>
      </c>
      <c r="K1396" s="197">
        <v>0</v>
      </c>
      <c r="L1396" s="197">
        <v>361.60000000000036</v>
      </c>
      <c r="M1396" s="260" t="s">
        <v>239</v>
      </c>
      <c r="N1396" s="260" t="s">
        <v>514</v>
      </c>
    </row>
    <row r="1397" spans="1:14" ht="14.5" x14ac:dyDescent="0.35">
      <c r="A1397" s="260" t="s">
        <v>565</v>
      </c>
      <c r="B1397" s="190">
        <v>45756</v>
      </c>
      <c r="C1397" s="260" t="s">
        <v>752</v>
      </c>
      <c r="D1397" s="197">
        <v>100</v>
      </c>
      <c r="E1397" s="197">
        <v>20020</v>
      </c>
      <c r="F1397" s="197">
        <v>194.97</v>
      </c>
      <c r="G1397" s="190">
        <v>45756</v>
      </c>
      <c r="H1397" s="196">
        <v>0</v>
      </c>
      <c r="I1397" s="197">
        <v>19497</v>
      </c>
      <c r="J1397" s="197">
        <v>19497</v>
      </c>
      <c r="K1397" s="197">
        <v>0</v>
      </c>
      <c r="L1397" s="197">
        <v>-523</v>
      </c>
      <c r="M1397" s="260" t="s">
        <v>239</v>
      </c>
      <c r="N1397" s="260" t="s">
        <v>514</v>
      </c>
    </row>
    <row r="1398" spans="1:14" ht="14.5" x14ac:dyDescent="0.35">
      <c r="A1398" s="260" t="s">
        <v>565</v>
      </c>
      <c r="B1398" s="190">
        <v>45756</v>
      </c>
      <c r="C1398" s="260" t="s">
        <v>754</v>
      </c>
      <c r="D1398" s="197">
        <v>50</v>
      </c>
      <c r="E1398" s="197">
        <v>4104</v>
      </c>
      <c r="F1398" s="197">
        <v>76.099999999999994</v>
      </c>
      <c r="G1398" s="190">
        <v>45756</v>
      </c>
      <c r="H1398" s="196">
        <v>0</v>
      </c>
      <c r="I1398" s="197">
        <v>3804.9999999999995</v>
      </c>
      <c r="J1398" s="197">
        <v>3804.9999999999995</v>
      </c>
      <c r="K1398" s="197">
        <v>0</v>
      </c>
      <c r="L1398" s="197">
        <v>-299.00000000000045</v>
      </c>
      <c r="M1398" s="260" t="s">
        <v>239</v>
      </c>
      <c r="N1398" s="260" t="s">
        <v>514</v>
      </c>
    </row>
    <row r="1399" spans="1:14" ht="14.5" x14ac:dyDescent="0.35">
      <c r="A1399" s="260" t="s">
        <v>565</v>
      </c>
      <c r="B1399" s="190">
        <v>45757</v>
      </c>
      <c r="C1399" s="260" t="s">
        <v>749</v>
      </c>
      <c r="D1399" s="197">
        <v>80</v>
      </c>
      <c r="E1399" s="197">
        <v>8008</v>
      </c>
      <c r="F1399" s="197">
        <v>104.45</v>
      </c>
      <c r="G1399" s="190">
        <v>45757</v>
      </c>
      <c r="H1399" s="196">
        <v>0</v>
      </c>
      <c r="I1399" s="197">
        <v>8356</v>
      </c>
      <c r="J1399" s="197">
        <v>8356</v>
      </c>
      <c r="K1399" s="197">
        <v>0</v>
      </c>
      <c r="L1399" s="197">
        <v>348</v>
      </c>
      <c r="M1399" s="260" t="s">
        <v>239</v>
      </c>
      <c r="N1399" s="260" t="s">
        <v>514</v>
      </c>
    </row>
    <row r="1400" spans="1:14" ht="14.5" x14ac:dyDescent="0.35">
      <c r="A1400" s="260" t="s">
        <v>565</v>
      </c>
      <c r="B1400" s="190">
        <v>45757</v>
      </c>
      <c r="C1400" s="260" t="s">
        <v>752</v>
      </c>
      <c r="D1400" s="197">
        <v>100</v>
      </c>
      <c r="E1400" s="197">
        <v>20020</v>
      </c>
      <c r="F1400" s="197">
        <v>194.59</v>
      </c>
      <c r="G1400" s="190">
        <v>45757</v>
      </c>
      <c r="H1400" s="196">
        <v>0</v>
      </c>
      <c r="I1400" s="197">
        <v>19459</v>
      </c>
      <c r="J1400" s="197">
        <v>19459</v>
      </c>
      <c r="K1400" s="197">
        <v>0</v>
      </c>
      <c r="L1400" s="197">
        <v>-561</v>
      </c>
      <c r="M1400" s="260" t="s">
        <v>239</v>
      </c>
      <c r="N1400" s="260" t="s">
        <v>514</v>
      </c>
    </row>
    <row r="1401" spans="1:14" ht="14.5" x14ac:dyDescent="0.35">
      <c r="A1401" s="260" t="s">
        <v>565</v>
      </c>
      <c r="B1401" s="190">
        <v>45757</v>
      </c>
      <c r="C1401" s="260" t="s">
        <v>754</v>
      </c>
      <c r="D1401" s="197">
        <v>50</v>
      </c>
      <c r="E1401" s="197">
        <v>4104</v>
      </c>
      <c r="F1401" s="197">
        <v>76.239999999999995</v>
      </c>
      <c r="G1401" s="190">
        <v>45757</v>
      </c>
      <c r="H1401" s="196">
        <v>0</v>
      </c>
      <c r="I1401" s="197">
        <v>3811.9999999999995</v>
      </c>
      <c r="J1401" s="197">
        <v>3811.9999999999995</v>
      </c>
      <c r="K1401" s="197">
        <v>0</v>
      </c>
      <c r="L1401" s="197">
        <v>-292.00000000000045</v>
      </c>
      <c r="M1401" s="260" t="s">
        <v>239</v>
      </c>
      <c r="N1401" s="260" t="s">
        <v>514</v>
      </c>
    </row>
    <row r="1402" spans="1:14" ht="14.5" x14ac:dyDescent="0.35">
      <c r="A1402" s="260" t="s">
        <v>565</v>
      </c>
      <c r="B1402" s="190">
        <v>45758</v>
      </c>
      <c r="C1402" s="260" t="s">
        <v>749</v>
      </c>
      <c r="D1402" s="197">
        <v>80</v>
      </c>
      <c r="E1402" s="197">
        <v>8008</v>
      </c>
      <c r="F1402" s="197">
        <v>104.28</v>
      </c>
      <c r="G1402" s="190">
        <v>45758</v>
      </c>
      <c r="H1402" s="196">
        <v>0</v>
      </c>
      <c r="I1402" s="197">
        <v>8342.4</v>
      </c>
      <c r="J1402" s="197">
        <v>8342.4</v>
      </c>
      <c r="K1402" s="197">
        <v>0</v>
      </c>
      <c r="L1402" s="197">
        <v>334.39999999999964</v>
      </c>
      <c r="M1402" s="260" t="s">
        <v>239</v>
      </c>
      <c r="N1402" s="260" t="s">
        <v>514</v>
      </c>
    </row>
    <row r="1403" spans="1:14" ht="14.5" x14ac:dyDescent="0.35">
      <c r="A1403" s="260" t="s">
        <v>565</v>
      </c>
      <c r="B1403" s="190">
        <v>45758</v>
      </c>
      <c r="C1403" s="260" t="s">
        <v>752</v>
      </c>
      <c r="D1403" s="197">
        <v>100</v>
      </c>
      <c r="E1403" s="197">
        <v>20020</v>
      </c>
      <c r="F1403" s="197">
        <v>194.21</v>
      </c>
      <c r="G1403" s="190">
        <v>45758</v>
      </c>
      <c r="H1403" s="196">
        <v>0</v>
      </c>
      <c r="I1403" s="197">
        <v>19421</v>
      </c>
      <c r="J1403" s="197">
        <v>19421</v>
      </c>
      <c r="K1403" s="197">
        <v>0</v>
      </c>
      <c r="L1403" s="197">
        <v>-599</v>
      </c>
      <c r="M1403" s="260" t="s">
        <v>239</v>
      </c>
      <c r="N1403" s="260" t="s">
        <v>514</v>
      </c>
    </row>
    <row r="1404" spans="1:14" ht="14.5" x14ac:dyDescent="0.35">
      <c r="A1404" s="260" t="s">
        <v>565</v>
      </c>
      <c r="B1404" s="190">
        <v>45758</v>
      </c>
      <c r="C1404" s="260" t="s">
        <v>754</v>
      </c>
      <c r="D1404" s="197">
        <v>50</v>
      </c>
      <c r="E1404" s="197">
        <v>4104</v>
      </c>
      <c r="F1404" s="197">
        <v>76.38</v>
      </c>
      <c r="G1404" s="190">
        <v>45758</v>
      </c>
      <c r="H1404" s="196">
        <v>0</v>
      </c>
      <c r="I1404" s="197">
        <v>3819</v>
      </c>
      <c r="J1404" s="197">
        <v>3819</v>
      </c>
      <c r="K1404" s="197">
        <v>0</v>
      </c>
      <c r="L1404" s="197">
        <v>-285</v>
      </c>
      <c r="M1404" s="260" t="s">
        <v>239</v>
      </c>
      <c r="N1404" s="260" t="s">
        <v>514</v>
      </c>
    </row>
    <row r="1405" spans="1:14" ht="14.5" x14ac:dyDescent="0.35">
      <c r="A1405" s="260" t="s">
        <v>565</v>
      </c>
      <c r="B1405" s="190">
        <v>45759</v>
      </c>
      <c r="C1405" s="260" t="s">
        <v>749</v>
      </c>
      <c r="D1405" s="197">
        <v>80</v>
      </c>
      <c r="E1405" s="197">
        <v>8008</v>
      </c>
      <c r="F1405" s="197">
        <v>104.28</v>
      </c>
      <c r="G1405" s="190">
        <v>45758</v>
      </c>
      <c r="H1405" s="196">
        <v>1</v>
      </c>
      <c r="I1405" s="197">
        <v>8342.4</v>
      </c>
      <c r="J1405" s="197">
        <v>8342.4</v>
      </c>
      <c r="K1405" s="197">
        <v>0</v>
      </c>
      <c r="L1405" s="197">
        <v>334.39999999999964</v>
      </c>
      <c r="M1405" s="260" t="s">
        <v>239</v>
      </c>
      <c r="N1405" s="260" t="s">
        <v>514</v>
      </c>
    </row>
    <row r="1406" spans="1:14" ht="14.5" x14ac:dyDescent="0.35">
      <c r="A1406" s="260" t="s">
        <v>565</v>
      </c>
      <c r="B1406" s="190">
        <v>45759</v>
      </c>
      <c r="C1406" s="260" t="s">
        <v>752</v>
      </c>
      <c r="D1406" s="197">
        <v>100</v>
      </c>
      <c r="E1406" s="197">
        <v>20020</v>
      </c>
      <c r="F1406" s="197">
        <v>194.21</v>
      </c>
      <c r="G1406" s="190">
        <v>45758</v>
      </c>
      <c r="H1406" s="196">
        <v>1</v>
      </c>
      <c r="I1406" s="197">
        <v>19421</v>
      </c>
      <c r="J1406" s="197">
        <v>19421</v>
      </c>
      <c r="K1406" s="197">
        <v>0</v>
      </c>
      <c r="L1406" s="197">
        <v>-599</v>
      </c>
      <c r="M1406" s="260" t="s">
        <v>239</v>
      </c>
      <c r="N1406" s="260" t="s">
        <v>514</v>
      </c>
    </row>
    <row r="1407" spans="1:14" ht="14.5" x14ac:dyDescent="0.35">
      <c r="A1407" s="260" t="s">
        <v>565</v>
      </c>
      <c r="B1407" s="190">
        <v>45759</v>
      </c>
      <c r="C1407" s="260" t="s">
        <v>754</v>
      </c>
      <c r="D1407" s="197">
        <v>50</v>
      </c>
      <c r="E1407" s="197">
        <v>4104</v>
      </c>
      <c r="F1407" s="197">
        <v>76.38</v>
      </c>
      <c r="G1407" s="190">
        <v>45758</v>
      </c>
      <c r="H1407" s="196">
        <v>1</v>
      </c>
      <c r="I1407" s="197">
        <v>3819</v>
      </c>
      <c r="J1407" s="197">
        <v>3819</v>
      </c>
      <c r="K1407" s="197">
        <v>0</v>
      </c>
      <c r="L1407" s="197">
        <v>-285</v>
      </c>
      <c r="M1407" s="260" t="s">
        <v>239</v>
      </c>
      <c r="N1407" s="260" t="s">
        <v>514</v>
      </c>
    </row>
    <row r="1408" spans="1:14" ht="14.5" x14ac:dyDescent="0.35">
      <c r="A1408" s="260" t="s">
        <v>565</v>
      </c>
      <c r="B1408" s="190">
        <v>45760</v>
      </c>
      <c r="C1408" s="260" t="s">
        <v>749</v>
      </c>
      <c r="D1408" s="197">
        <v>80</v>
      </c>
      <c r="E1408" s="197">
        <v>8008</v>
      </c>
      <c r="F1408" s="197">
        <v>104.28</v>
      </c>
      <c r="G1408" s="190">
        <v>45758</v>
      </c>
      <c r="H1408" s="196">
        <v>2</v>
      </c>
      <c r="I1408" s="197">
        <v>8342.4</v>
      </c>
      <c r="J1408" s="197">
        <v>8342.4</v>
      </c>
      <c r="K1408" s="197">
        <v>0</v>
      </c>
      <c r="L1408" s="197">
        <v>334.39999999999964</v>
      </c>
      <c r="M1408" s="260" t="s">
        <v>239</v>
      </c>
      <c r="N1408" s="260" t="s">
        <v>514</v>
      </c>
    </row>
    <row r="1409" spans="1:14" ht="14.5" x14ac:dyDescent="0.35">
      <c r="A1409" s="260" t="s">
        <v>565</v>
      </c>
      <c r="B1409" s="190">
        <v>45760</v>
      </c>
      <c r="C1409" s="260" t="s">
        <v>752</v>
      </c>
      <c r="D1409" s="197">
        <v>100</v>
      </c>
      <c r="E1409" s="197">
        <v>20020</v>
      </c>
      <c r="F1409" s="197">
        <v>194.21</v>
      </c>
      <c r="G1409" s="190">
        <v>45758</v>
      </c>
      <c r="H1409" s="196">
        <v>2</v>
      </c>
      <c r="I1409" s="197">
        <v>19421</v>
      </c>
      <c r="J1409" s="197">
        <v>19421</v>
      </c>
      <c r="K1409" s="197">
        <v>0</v>
      </c>
      <c r="L1409" s="197">
        <v>-599</v>
      </c>
      <c r="M1409" s="260" t="s">
        <v>239</v>
      </c>
      <c r="N1409" s="260" t="s">
        <v>514</v>
      </c>
    </row>
    <row r="1410" spans="1:14" ht="14.5" x14ac:dyDescent="0.35">
      <c r="A1410" s="260" t="s">
        <v>565</v>
      </c>
      <c r="B1410" s="190">
        <v>45760</v>
      </c>
      <c r="C1410" s="260" t="s">
        <v>754</v>
      </c>
      <c r="D1410" s="197">
        <v>50</v>
      </c>
      <c r="E1410" s="197">
        <v>4104</v>
      </c>
      <c r="F1410" s="197">
        <v>76.38</v>
      </c>
      <c r="G1410" s="190">
        <v>45758</v>
      </c>
      <c r="H1410" s="196">
        <v>2</v>
      </c>
      <c r="I1410" s="197">
        <v>3819</v>
      </c>
      <c r="J1410" s="197">
        <v>3819</v>
      </c>
      <c r="K1410" s="197">
        <v>0</v>
      </c>
      <c r="L1410" s="197">
        <v>-285</v>
      </c>
      <c r="M1410" s="260" t="s">
        <v>239</v>
      </c>
      <c r="N1410" s="260" t="s">
        <v>514</v>
      </c>
    </row>
    <row r="1411" spans="1:14" ht="14.5" x14ac:dyDescent="0.35">
      <c r="A1411" s="260" t="s">
        <v>565</v>
      </c>
      <c r="B1411" s="190">
        <v>45761</v>
      </c>
      <c r="C1411" s="260" t="s">
        <v>749</v>
      </c>
      <c r="D1411" s="197">
        <v>80</v>
      </c>
      <c r="E1411" s="197">
        <v>8008</v>
      </c>
      <c r="F1411" s="197">
        <v>103.76</v>
      </c>
      <c r="G1411" s="190">
        <v>45761</v>
      </c>
      <c r="H1411" s="196">
        <v>0</v>
      </c>
      <c r="I1411" s="197">
        <v>8300.8000000000011</v>
      </c>
      <c r="J1411" s="197">
        <v>8300.8000000000011</v>
      </c>
      <c r="K1411" s="197">
        <v>0</v>
      </c>
      <c r="L1411" s="197">
        <v>292.80000000000109</v>
      </c>
      <c r="M1411" s="260" t="s">
        <v>239</v>
      </c>
      <c r="N1411" s="260" t="s">
        <v>514</v>
      </c>
    </row>
    <row r="1412" spans="1:14" ht="14.5" x14ac:dyDescent="0.35">
      <c r="A1412" s="260" t="s">
        <v>565</v>
      </c>
      <c r="B1412" s="190">
        <v>45761</v>
      </c>
      <c r="C1412" s="260" t="s">
        <v>752</v>
      </c>
      <c r="D1412" s="197">
        <v>100</v>
      </c>
      <c r="E1412" s="197">
        <v>20020</v>
      </c>
      <c r="F1412" s="197">
        <v>193.07</v>
      </c>
      <c r="G1412" s="190">
        <v>45761</v>
      </c>
      <c r="H1412" s="196">
        <v>0</v>
      </c>
      <c r="I1412" s="197">
        <v>19307</v>
      </c>
      <c r="J1412" s="197">
        <v>19307</v>
      </c>
      <c r="K1412" s="197">
        <v>0</v>
      </c>
      <c r="L1412" s="197">
        <v>-713</v>
      </c>
      <c r="M1412" s="260" t="s">
        <v>239</v>
      </c>
      <c r="N1412" s="260" t="s">
        <v>514</v>
      </c>
    </row>
    <row r="1413" spans="1:14" ht="14.5" x14ac:dyDescent="0.35">
      <c r="A1413" s="260" t="s">
        <v>565</v>
      </c>
      <c r="B1413" s="190">
        <v>45761</v>
      </c>
      <c r="C1413" s="260" t="s">
        <v>754</v>
      </c>
      <c r="D1413" s="197">
        <v>50</v>
      </c>
      <c r="E1413" s="197">
        <v>4104</v>
      </c>
      <c r="F1413" s="197">
        <v>76.790000000000006</v>
      </c>
      <c r="G1413" s="190">
        <v>45761</v>
      </c>
      <c r="H1413" s="196">
        <v>0</v>
      </c>
      <c r="I1413" s="197">
        <v>3839.5000000000005</v>
      </c>
      <c r="J1413" s="197">
        <v>3839.5000000000005</v>
      </c>
      <c r="K1413" s="197">
        <v>0</v>
      </c>
      <c r="L1413" s="197">
        <v>-264.49999999999955</v>
      </c>
      <c r="M1413" s="260" t="s">
        <v>239</v>
      </c>
      <c r="N1413" s="260" t="s">
        <v>514</v>
      </c>
    </row>
    <row r="1414" spans="1:14" ht="14.5" x14ac:dyDescent="0.35">
      <c r="A1414" s="260" t="s">
        <v>565</v>
      </c>
      <c r="B1414" s="190">
        <v>45762</v>
      </c>
      <c r="C1414" s="260" t="s">
        <v>749</v>
      </c>
      <c r="D1414" s="197">
        <v>80</v>
      </c>
      <c r="E1414" s="197">
        <v>8008</v>
      </c>
      <c r="F1414" s="197">
        <v>103.59</v>
      </c>
      <c r="G1414" s="190">
        <v>45762</v>
      </c>
      <c r="H1414" s="196">
        <v>0</v>
      </c>
      <c r="I1414" s="197">
        <v>8287.2000000000007</v>
      </c>
      <c r="J1414" s="197">
        <v>8287.2000000000007</v>
      </c>
      <c r="K1414" s="197">
        <v>0</v>
      </c>
      <c r="L1414" s="197">
        <v>279.20000000000073</v>
      </c>
      <c r="M1414" s="260" t="s">
        <v>239</v>
      </c>
      <c r="N1414" s="260" t="s">
        <v>514</v>
      </c>
    </row>
    <row r="1415" spans="1:14" ht="14.5" x14ac:dyDescent="0.35">
      <c r="A1415" s="260" t="s">
        <v>565</v>
      </c>
      <c r="B1415" s="190">
        <v>45762</v>
      </c>
      <c r="C1415" s="260" t="s">
        <v>752</v>
      </c>
      <c r="D1415" s="197">
        <v>100</v>
      </c>
      <c r="E1415" s="197">
        <v>20020</v>
      </c>
      <c r="F1415" s="197">
        <v>192.69</v>
      </c>
      <c r="G1415" s="190">
        <v>45762</v>
      </c>
      <c r="H1415" s="196">
        <v>0</v>
      </c>
      <c r="I1415" s="197">
        <v>19269</v>
      </c>
      <c r="J1415" s="197">
        <v>19269</v>
      </c>
      <c r="K1415" s="197">
        <v>0</v>
      </c>
      <c r="L1415" s="197">
        <v>-751</v>
      </c>
      <c r="M1415" s="260" t="s">
        <v>239</v>
      </c>
      <c r="N1415" s="260" t="s">
        <v>514</v>
      </c>
    </row>
    <row r="1416" spans="1:14" ht="14.5" x14ac:dyDescent="0.35">
      <c r="A1416" s="260" t="s">
        <v>565</v>
      </c>
      <c r="B1416" s="190">
        <v>45762</v>
      </c>
      <c r="C1416" s="260" t="s">
        <v>754</v>
      </c>
      <c r="D1416" s="197">
        <v>50</v>
      </c>
      <c r="E1416" s="197">
        <v>4104</v>
      </c>
      <c r="F1416" s="197">
        <v>76.930000000000007</v>
      </c>
      <c r="G1416" s="190">
        <v>45762</v>
      </c>
      <c r="H1416" s="196">
        <v>0</v>
      </c>
      <c r="I1416" s="197">
        <v>3846.5000000000005</v>
      </c>
      <c r="J1416" s="197">
        <v>3846.5000000000005</v>
      </c>
      <c r="K1416" s="197">
        <v>0</v>
      </c>
      <c r="L1416" s="197">
        <v>-257.49999999999955</v>
      </c>
      <c r="M1416" s="260" t="s">
        <v>239</v>
      </c>
      <c r="N1416" s="260" t="s">
        <v>514</v>
      </c>
    </row>
    <row r="1417" spans="1:14" ht="14.5" x14ac:dyDescent="0.35">
      <c r="A1417" s="260" t="s">
        <v>565</v>
      </c>
      <c r="B1417" s="190">
        <v>45763</v>
      </c>
      <c r="C1417" s="260" t="s">
        <v>749</v>
      </c>
      <c r="D1417" s="197">
        <v>80</v>
      </c>
      <c r="E1417" s="197">
        <v>8008</v>
      </c>
      <c r="F1417" s="197">
        <v>103.41</v>
      </c>
      <c r="G1417" s="190">
        <v>45763</v>
      </c>
      <c r="H1417" s="196">
        <v>0</v>
      </c>
      <c r="I1417" s="197">
        <v>8272.7999999999993</v>
      </c>
      <c r="J1417" s="197">
        <v>8272.7999999999993</v>
      </c>
      <c r="K1417" s="197">
        <v>0</v>
      </c>
      <c r="L1417" s="197">
        <v>264.79999999999927</v>
      </c>
      <c r="M1417" s="260" t="s">
        <v>239</v>
      </c>
      <c r="N1417" s="260" t="s">
        <v>514</v>
      </c>
    </row>
    <row r="1418" spans="1:14" ht="14.5" x14ac:dyDescent="0.35">
      <c r="A1418" s="260" t="s">
        <v>565</v>
      </c>
      <c r="B1418" s="190">
        <v>45763</v>
      </c>
      <c r="C1418" s="260" t="s">
        <v>752</v>
      </c>
      <c r="D1418" s="197">
        <v>100</v>
      </c>
      <c r="E1418" s="197">
        <v>20020</v>
      </c>
      <c r="F1418" s="197">
        <v>192.31</v>
      </c>
      <c r="G1418" s="190">
        <v>45763</v>
      </c>
      <c r="H1418" s="196">
        <v>0</v>
      </c>
      <c r="I1418" s="197">
        <v>19231</v>
      </c>
      <c r="J1418" s="197">
        <v>19231</v>
      </c>
      <c r="K1418" s="197">
        <v>0</v>
      </c>
      <c r="L1418" s="197">
        <v>-789</v>
      </c>
      <c r="M1418" s="260" t="s">
        <v>239</v>
      </c>
      <c r="N1418" s="260" t="s">
        <v>514</v>
      </c>
    </row>
    <row r="1419" spans="1:14" ht="14.5" x14ac:dyDescent="0.35">
      <c r="A1419" s="260" t="s">
        <v>565</v>
      </c>
      <c r="B1419" s="190">
        <v>45763</v>
      </c>
      <c r="C1419" s="260" t="s">
        <v>754</v>
      </c>
      <c r="D1419" s="197">
        <v>50</v>
      </c>
      <c r="E1419" s="197">
        <v>4104</v>
      </c>
      <c r="F1419" s="197">
        <v>77.069999999999993</v>
      </c>
      <c r="G1419" s="190">
        <v>45763</v>
      </c>
      <c r="H1419" s="196">
        <v>0</v>
      </c>
      <c r="I1419" s="197">
        <v>3853.4999999999995</v>
      </c>
      <c r="J1419" s="197">
        <v>3853.4999999999995</v>
      </c>
      <c r="K1419" s="197">
        <v>0</v>
      </c>
      <c r="L1419" s="197">
        <v>-250.50000000000045</v>
      </c>
      <c r="M1419" s="260" t="s">
        <v>239</v>
      </c>
      <c r="N1419" s="260" t="s">
        <v>514</v>
      </c>
    </row>
    <row r="1420" spans="1:14" ht="14.5" x14ac:dyDescent="0.35">
      <c r="A1420" s="260" t="s">
        <v>565</v>
      </c>
      <c r="B1420" s="190">
        <v>45764</v>
      </c>
      <c r="C1420" s="260" t="s">
        <v>749</v>
      </c>
      <c r="D1420" s="197">
        <v>80</v>
      </c>
      <c r="E1420" s="197">
        <v>8008</v>
      </c>
      <c r="F1420" s="197">
        <v>103.24</v>
      </c>
      <c r="G1420" s="190">
        <v>45764</v>
      </c>
      <c r="H1420" s="196">
        <v>0</v>
      </c>
      <c r="I1420" s="197">
        <v>8259.1999999999989</v>
      </c>
      <c r="J1420" s="197">
        <v>8259.1999999999989</v>
      </c>
      <c r="K1420" s="197">
        <v>0</v>
      </c>
      <c r="L1420" s="197">
        <v>251.19999999999891</v>
      </c>
      <c r="M1420" s="260" t="s">
        <v>239</v>
      </c>
      <c r="N1420" s="260" t="s">
        <v>514</v>
      </c>
    </row>
    <row r="1421" spans="1:14" ht="14.5" x14ac:dyDescent="0.35">
      <c r="A1421" s="260" t="s">
        <v>565</v>
      </c>
      <c r="B1421" s="190">
        <v>45764</v>
      </c>
      <c r="C1421" s="260" t="s">
        <v>752</v>
      </c>
      <c r="D1421" s="197">
        <v>100</v>
      </c>
      <c r="E1421" s="197">
        <v>20020</v>
      </c>
      <c r="F1421" s="197">
        <v>191.93</v>
      </c>
      <c r="G1421" s="190">
        <v>45764</v>
      </c>
      <c r="H1421" s="196">
        <v>0</v>
      </c>
      <c r="I1421" s="197">
        <v>19193</v>
      </c>
      <c r="J1421" s="197">
        <v>19193</v>
      </c>
      <c r="K1421" s="197">
        <v>0</v>
      </c>
      <c r="L1421" s="197">
        <v>-827</v>
      </c>
      <c r="M1421" s="260" t="s">
        <v>239</v>
      </c>
      <c r="N1421" s="260" t="s">
        <v>514</v>
      </c>
    </row>
    <row r="1422" spans="1:14" ht="14.5" x14ac:dyDescent="0.35">
      <c r="A1422" s="260" t="s">
        <v>565</v>
      </c>
      <c r="B1422" s="190">
        <v>45764</v>
      </c>
      <c r="C1422" s="260" t="s">
        <v>754</v>
      </c>
      <c r="D1422" s="197">
        <v>50</v>
      </c>
      <c r="E1422" s="197">
        <v>4104</v>
      </c>
      <c r="F1422" s="197">
        <v>77.209999999999994</v>
      </c>
      <c r="G1422" s="190">
        <v>45764</v>
      </c>
      <c r="H1422" s="196">
        <v>0</v>
      </c>
      <c r="I1422" s="197">
        <v>3860.4999999999995</v>
      </c>
      <c r="J1422" s="197">
        <v>3860.4999999999995</v>
      </c>
      <c r="K1422" s="197">
        <v>0</v>
      </c>
      <c r="L1422" s="197">
        <v>-243.50000000000045</v>
      </c>
      <c r="M1422" s="260" t="s">
        <v>239</v>
      </c>
      <c r="N1422" s="260" t="s">
        <v>514</v>
      </c>
    </row>
    <row r="1423" spans="1:14" ht="14.5" x14ac:dyDescent="0.35">
      <c r="A1423" s="260" t="s">
        <v>565</v>
      </c>
      <c r="B1423" s="190">
        <v>45765</v>
      </c>
      <c r="C1423" s="260" t="s">
        <v>749</v>
      </c>
      <c r="D1423" s="197">
        <v>80</v>
      </c>
      <c r="E1423" s="197">
        <v>8008</v>
      </c>
      <c r="F1423" s="197">
        <v>103.07</v>
      </c>
      <c r="G1423" s="190">
        <v>45765</v>
      </c>
      <c r="H1423" s="196">
        <v>0</v>
      </c>
      <c r="I1423" s="197">
        <v>8245.5999999999985</v>
      </c>
      <c r="J1423" s="197">
        <v>8245.5999999999985</v>
      </c>
      <c r="K1423" s="197">
        <v>0</v>
      </c>
      <c r="L1423" s="197">
        <v>237.59999999999854</v>
      </c>
      <c r="M1423" s="260" t="s">
        <v>239</v>
      </c>
      <c r="N1423" s="260" t="s">
        <v>514</v>
      </c>
    </row>
    <row r="1424" spans="1:14" ht="14.5" x14ac:dyDescent="0.35">
      <c r="A1424" s="260" t="s">
        <v>565</v>
      </c>
      <c r="B1424" s="190">
        <v>45765</v>
      </c>
      <c r="C1424" s="260" t="s">
        <v>752</v>
      </c>
      <c r="D1424" s="197">
        <v>100</v>
      </c>
      <c r="E1424" s="197">
        <v>20020</v>
      </c>
      <c r="F1424" s="197">
        <v>191.55</v>
      </c>
      <c r="G1424" s="190">
        <v>45765</v>
      </c>
      <c r="H1424" s="196">
        <v>0</v>
      </c>
      <c r="I1424" s="197">
        <v>19155</v>
      </c>
      <c r="J1424" s="197">
        <v>19155</v>
      </c>
      <c r="K1424" s="197">
        <v>0</v>
      </c>
      <c r="L1424" s="197">
        <v>-865</v>
      </c>
      <c r="M1424" s="260" t="s">
        <v>239</v>
      </c>
      <c r="N1424" s="260" t="s">
        <v>514</v>
      </c>
    </row>
    <row r="1425" spans="1:14" ht="14.5" x14ac:dyDescent="0.35">
      <c r="A1425" s="260" t="s">
        <v>565</v>
      </c>
      <c r="B1425" s="190">
        <v>45765</v>
      </c>
      <c r="C1425" s="260" t="s">
        <v>754</v>
      </c>
      <c r="D1425" s="197">
        <v>50</v>
      </c>
      <c r="E1425" s="197">
        <v>4104</v>
      </c>
      <c r="F1425" s="197">
        <v>77.34</v>
      </c>
      <c r="G1425" s="190">
        <v>45765</v>
      </c>
      <c r="H1425" s="196">
        <v>0</v>
      </c>
      <c r="I1425" s="197">
        <v>3867</v>
      </c>
      <c r="J1425" s="197">
        <v>3867</v>
      </c>
      <c r="K1425" s="197">
        <v>0</v>
      </c>
      <c r="L1425" s="197">
        <v>-237</v>
      </c>
      <c r="M1425" s="260" t="s">
        <v>239</v>
      </c>
      <c r="N1425" s="260" t="s">
        <v>514</v>
      </c>
    </row>
    <row r="1426" spans="1:14" ht="14.5" x14ac:dyDescent="0.35">
      <c r="A1426" s="260" t="s">
        <v>565</v>
      </c>
      <c r="B1426" s="190">
        <v>45766</v>
      </c>
      <c r="C1426" s="260" t="s">
        <v>749</v>
      </c>
      <c r="D1426" s="197">
        <v>80</v>
      </c>
      <c r="E1426" s="197">
        <v>8008</v>
      </c>
      <c r="F1426" s="197">
        <v>103.07</v>
      </c>
      <c r="G1426" s="190">
        <v>45765</v>
      </c>
      <c r="H1426" s="196">
        <v>1</v>
      </c>
      <c r="I1426" s="197">
        <v>8245.5999999999985</v>
      </c>
      <c r="J1426" s="197">
        <v>8245.5999999999985</v>
      </c>
      <c r="K1426" s="197">
        <v>0</v>
      </c>
      <c r="L1426" s="197">
        <v>237.59999999999854</v>
      </c>
      <c r="M1426" s="260" t="s">
        <v>239</v>
      </c>
      <c r="N1426" s="260" t="s">
        <v>514</v>
      </c>
    </row>
    <row r="1427" spans="1:14" ht="14.5" x14ac:dyDescent="0.35">
      <c r="A1427" s="260" t="s">
        <v>565</v>
      </c>
      <c r="B1427" s="190">
        <v>45766</v>
      </c>
      <c r="C1427" s="260" t="s">
        <v>752</v>
      </c>
      <c r="D1427" s="197">
        <v>100</v>
      </c>
      <c r="E1427" s="197">
        <v>20020</v>
      </c>
      <c r="F1427" s="197">
        <v>191.55</v>
      </c>
      <c r="G1427" s="190">
        <v>45765</v>
      </c>
      <c r="H1427" s="196">
        <v>1</v>
      </c>
      <c r="I1427" s="197">
        <v>19155</v>
      </c>
      <c r="J1427" s="197">
        <v>19155</v>
      </c>
      <c r="K1427" s="197">
        <v>0</v>
      </c>
      <c r="L1427" s="197">
        <v>-865</v>
      </c>
      <c r="M1427" s="260" t="s">
        <v>239</v>
      </c>
      <c r="N1427" s="260" t="s">
        <v>514</v>
      </c>
    </row>
    <row r="1428" spans="1:14" ht="14.5" x14ac:dyDescent="0.35">
      <c r="A1428" s="260" t="s">
        <v>565</v>
      </c>
      <c r="B1428" s="190">
        <v>45766</v>
      </c>
      <c r="C1428" s="260" t="s">
        <v>754</v>
      </c>
      <c r="D1428" s="197">
        <v>50</v>
      </c>
      <c r="E1428" s="197">
        <v>4104</v>
      </c>
      <c r="F1428" s="197">
        <v>77.34</v>
      </c>
      <c r="G1428" s="190">
        <v>45765</v>
      </c>
      <c r="H1428" s="196">
        <v>1</v>
      </c>
      <c r="I1428" s="197">
        <v>3867</v>
      </c>
      <c r="J1428" s="197">
        <v>3867</v>
      </c>
      <c r="K1428" s="197">
        <v>0</v>
      </c>
      <c r="L1428" s="197">
        <v>-237</v>
      </c>
      <c r="M1428" s="260" t="s">
        <v>239</v>
      </c>
      <c r="N1428" s="260" t="s">
        <v>514</v>
      </c>
    </row>
    <row r="1429" spans="1:14" ht="14.5" x14ac:dyDescent="0.35">
      <c r="A1429" s="260" t="s">
        <v>565</v>
      </c>
      <c r="B1429" s="190">
        <v>45767</v>
      </c>
      <c r="C1429" s="260" t="s">
        <v>749</v>
      </c>
      <c r="D1429" s="197">
        <v>80</v>
      </c>
      <c r="E1429" s="197">
        <v>8008</v>
      </c>
      <c r="F1429" s="197">
        <v>103.07</v>
      </c>
      <c r="G1429" s="190">
        <v>45765</v>
      </c>
      <c r="H1429" s="196">
        <v>2</v>
      </c>
      <c r="I1429" s="197">
        <v>8245.5999999999985</v>
      </c>
      <c r="J1429" s="197">
        <v>8245.5999999999985</v>
      </c>
      <c r="K1429" s="197">
        <v>0</v>
      </c>
      <c r="L1429" s="197">
        <v>237.59999999999854</v>
      </c>
      <c r="M1429" s="260" t="s">
        <v>239</v>
      </c>
      <c r="N1429" s="260" t="s">
        <v>514</v>
      </c>
    </row>
    <row r="1430" spans="1:14" ht="14.5" x14ac:dyDescent="0.35">
      <c r="A1430" s="260" t="s">
        <v>565</v>
      </c>
      <c r="B1430" s="190">
        <v>45767</v>
      </c>
      <c r="C1430" s="260" t="s">
        <v>752</v>
      </c>
      <c r="D1430" s="197">
        <v>100</v>
      </c>
      <c r="E1430" s="197">
        <v>20020</v>
      </c>
      <c r="F1430" s="197">
        <v>191.55</v>
      </c>
      <c r="G1430" s="190">
        <v>45765</v>
      </c>
      <c r="H1430" s="196">
        <v>2</v>
      </c>
      <c r="I1430" s="197">
        <v>19155</v>
      </c>
      <c r="J1430" s="197">
        <v>19155</v>
      </c>
      <c r="K1430" s="197">
        <v>0</v>
      </c>
      <c r="L1430" s="197">
        <v>-865</v>
      </c>
      <c r="M1430" s="260" t="s">
        <v>239</v>
      </c>
      <c r="N1430" s="260" t="s">
        <v>514</v>
      </c>
    </row>
    <row r="1431" spans="1:14" ht="14.5" x14ac:dyDescent="0.35">
      <c r="A1431" s="260" t="s">
        <v>565</v>
      </c>
      <c r="B1431" s="190">
        <v>45767</v>
      </c>
      <c r="C1431" s="260" t="s">
        <v>754</v>
      </c>
      <c r="D1431" s="197">
        <v>50</v>
      </c>
      <c r="E1431" s="197">
        <v>4104</v>
      </c>
      <c r="F1431" s="197">
        <v>77.34</v>
      </c>
      <c r="G1431" s="190">
        <v>45765</v>
      </c>
      <c r="H1431" s="196">
        <v>2</v>
      </c>
      <c r="I1431" s="197">
        <v>3867</v>
      </c>
      <c r="J1431" s="197">
        <v>3867</v>
      </c>
      <c r="K1431" s="197">
        <v>0</v>
      </c>
      <c r="L1431" s="197">
        <v>-237</v>
      </c>
      <c r="M1431" s="260" t="s">
        <v>239</v>
      </c>
      <c r="N1431" s="260" t="s">
        <v>514</v>
      </c>
    </row>
    <row r="1432" spans="1:14" ht="14.5" x14ac:dyDescent="0.35">
      <c r="A1432" s="260" t="s">
        <v>565</v>
      </c>
      <c r="B1432" s="190">
        <v>45768</v>
      </c>
      <c r="C1432" s="260" t="s">
        <v>749</v>
      </c>
      <c r="D1432" s="197">
        <v>80</v>
      </c>
      <c r="E1432" s="197">
        <v>8008</v>
      </c>
      <c r="F1432" s="197">
        <v>102.55</v>
      </c>
      <c r="G1432" s="190">
        <v>45768</v>
      </c>
      <c r="H1432" s="196">
        <v>0</v>
      </c>
      <c r="I1432" s="197">
        <v>8204</v>
      </c>
      <c r="J1432" s="197">
        <v>8204</v>
      </c>
      <c r="K1432" s="197">
        <v>0</v>
      </c>
      <c r="L1432" s="197">
        <v>196</v>
      </c>
      <c r="M1432" s="260" t="s">
        <v>239</v>
      </c>
      <c r="N1432" s="260" t="s">
        <v>514</v>
      </c>
    </row>
    <row r="1433" spans="1:14" ht="14.5" x14ac:dyDescent="0.35">
      <c r="A1433" s="260" t="s">
        <v>565</v>
      </c>
      <c r="B1433" s="190">
        <v>45768</v>
      </c>
      <c r="C1433" s="260" t="s">
        <v>752</v>
      </c>
      <c r="D1433" s="197">
        <v>100</v>
      </c>
      <c r="E1433" s="197">
        <v>20020</v>
      </c>
      <c r="F1433" s="197">
        <v>190.41</v>
      </c>
      <c r="G1433" s="190">
        <v>45768</v>
      </c>
      <c r="H1433" s="196">
        <v>0</v>
      </c>
      <c r="I1433" s="197">
        <v>19041</v>
      </c>
      <c r="J1433" s="197">
        <v>19041</v>
      </c>
      <c r="K1433" s="197">
        <v>0</v>
      </c>
      <c r="L1433" s="197">
        <v>-979</v>
      </c>
      <c r="M1433" s="260" t="s">
        <v>239</v>
      </c>
      <c r="N1433" s="260" t="s">
        <v>514</v>
      </c>
    </row>
    <row r="1434" spans="1:14" ht="14.5" x14ac:dyDescent="0.35">
      <c r="A1434" s="260" t="s">
        <v>565</v>
      </c>
      <c r="B1434" s="190">
        <v>45768</v>
      </c>
      <c r="C1434" s="260" t="s">
        <v>754</v>
      </c>
      <c r="D1434" s="197">
        <v>50</v>
      </c>
      <c r="E1434" s="197">
        <v>4104</v>
      </c>
      <c r="F1434" s="197">
        <v>77.760000000000005</v>
      </c>
      <c r="G1434" s="190">
        <v>45768</v>
      </c>
      <c r="H1434" s="196">
        <v>0</v>
      </c>
      <c r="I1434" s="197">
        <v>3888.0000000000005</v>
      </c>
      <c r="J1434" s="197">
        <v>3888.0000000000005</v>
      </c>
      <c r="K1434" s="197">
        <v>0</v>
      </c>
      <c r="L1434" s="197">
        <v>-215.99999999999955</v>
      </c>
      <c r="M1434" s="260" t="s">
        <v>239</v>
      </c>
      <c r="N1434" s="260" t="s">
        <v>514</v>
      </c>
    </row>
    <row r="1435" spans="1:14" ht="14.5" x14ac:dyDescent="0.35">
      <c r="A1435" s="260" t="s">
        <v>565</v>
      </c>
      <c r="B1435" s="190">
        <v>45769</v>
      </c>
      <c r="C1435" s="260" t="s">
        <v>749</v>
      </c>
      <c r="D1435" s="197">
        <v>80</v>
      </c>
      <c r="E1435" s="197">
        <v>8008</v>
      </c>
      <c r="F1435" s="197">
        <v>102.38</v>
      </c>
      <c r="G1435" s="190">
        <v>45769</v>
      </c>
      <c r="H1435" s="196">
        <v>0</v>
      </c>
      <c r="I1435" s="197">
        <v>8190.4</v>
      </c>
      <c r="J1435" s="197">
        <v>8190.4</v>
      </c>
      <c r="K1435" s="197">
        <v>0</v>
      </c>
      <c r="L1435" s="197">
        <v>182.39999999999964</v>
      </c>
      <c r="M1435" s="260" t="s">
        <v>239</v>
      </c>
      <c r="N1435" s="260" t="s">
        <v>514</v>
      </c>
    </row>
    <row r="1436" spans="1:14" ht="14.5" x14ac:dyDescent="0.35">
      <c r="A1436" s="260" t="s">
        <v>565</v>
      </c>
      <c r="B1436" s="190">
        <v>45769</v>
      </c>
      <c r="C1436" s="260" t="s">
        <v>752</v>
      </c>
      <c r="D1436" s="197">
        <v>100</v>
      </c>
      <c r="E1436" s="197">
        <v>20020</v>
      </c>
      <c r="F1436" s="197">
        <v>190.03</v>
      </c>
      <c r="G1436" s="190">
        <v>45769</v>
      </c>
      <c r="H1436" s="196">
        <v>0</v>
      </c>
      <c r="I1436" s="197">
        <v>19003</v>
      </c>
      <c r="J1436" s="197">
        <v>19003</v>
      </c>
      <c r="K1436" s="197">
        <v>0</v>
      </c>
      <c r="L1436" s="197">
        <v>-1017</v>
      </c>
      <c r="M1436" s="260" t="s">
        <v>239</v>
      </c>
      <c r="N1436" s="260" t="s">
        <v>514</v>
      </c>
    </row>
    <row r="1437" spans="1:14" ht="14.5" x14ac:dyDescent="0.35">
      <c r="A1437" s="260" t="s">
        <v>565</v>
      </c>
      <c r="B1437" s="190">
        <v>45769</v>
      </c>
      <c r="C1437" s="260" t="s">
        <v>754</v>
      </c>
      <c r="D1437" s="197">
        <v>50</v>
      </c>
      <c r="E1437" s="197">
        <v>4104</v>
      </c>
      <c r="F1437" s="197">
        <v>77.900000000000006</v>
      </c>
      <c r="G1437" s="190">
        <v>45769</v>
      </c>
      <c r="H1437" s="196">
        <v>0</v>
      </c>
      <c r="I1437" s="197">
        <v>3895.0000000000005</v>
      </c>
      <c r="J1437" s="197">
        <v>3895.0000000000005</v>
      </c>
      <c r="K1437" s="197">
        <v>0</v>
      </c>
      <c r="L1437" s="197">
        <v>-208.99999999999955</v>
      </c>
      <c r="M1437" s="260" t="s">
        <v>239</v>
      </c>
      <c r="N1437" s="260" t="s">
        <v>514</v>
      </c>
    </row>
    <row r="1438" spans="1:14" ht="14.5" x14ac:dyDescent="0.35">
      <c r="A1438" s="260" t="s">
        <v>565</v>
      </c>
      <c r="B1438" s="190">
        <v>45770</v>
      </c>
      <c r="C1438" s="260" t="s">
        <v>749</v>
      </c>
      <c r="D1438" s="197">
        <v>80</v>
      </c>
      <c r="E1438" s="197">
        <v>8008</v>
      </c>
      <c r="F1438" s="197">
        <v>102.21</v>
      </c>
      <c r="G1438" s="190">
        <v>45770</v>
      </c>
      <c r="H1438" s="196">
        <v>0</v>
      </c>
      <c r="I1438" s="197">
        <v>8176.7999999999993</v>
      </c>
      <c r="J1438" s="197">
        <v>8176.7999999999993</v>
      </c>
      <c r="K1438" s="197">
        <v>0</v>
      </c>
      <c r="L1438" s="197">
        <v>168.79999999999927</v>
      </c>
      <c r="M1438" s="260" t="s">
        <v>239</v>
      </c>
      <c r="N1438" s="260" t="s">
        <v>514</v>
      </c>
    </row>
    <row r="1439" spans="1:14" ht="14.5" x14ac:dyDescent="0.35">
      <c r="A1439" s="260" t="s">
        <v>565</v>
      </c>
      <c r="B1439" s="190">
        <v>45770</v>
      </c>
      <c r="C1439" s="260" t="s">
        <v>752</v>
      </c>
      <c r="D1439" s="197">
        <v>100</v>
      </c>
      <c r="E1439" s="197">
        <v>20020</v>
      </c>
      <c r="F1439" s="197">
        <v>189.66</v>
      </c>
      <c r="G1439" s="190">
        <v>45770</v>
      </c>
      <c r="H1439" s="196">
        <v>0</v>
      </c>
      <c r="I1439" s="197">
        <v>18966</v>
      </c>
      <c r="J1439" s="197">
        <v>18966</v>
      </c>
      <c r="K1439" s="197">
        <v>0</v>
      </c>
      <c r="L1439" s="197">
        <v>-1054</v>
      </c>
      <c r="M1439" s="260" t="s">
        <v>239</v>
      </c>
      <c r="N1439" s="260" t="s">
        <v>514</v>
      </c>
    </row>
    <row r="1440" spans="1:14" ht="14.5" x14ac:dyDescent="0.35">
      <c r="A1440" s="260" t="s">
        <v>565</v>
      </c>
      <c r="B1440" s="190">
        <v>45770</v>
      </c>
      <c r="C1440" s="260" t="s">
        <v>754</v>
      </c>
      <c r="D1440" s="197">
        <v>50</v>
      </c>
      <c r="E1440" s="197">
        <v>4104</v>
      </c>
      <c r="F1440" s="197">
        <v>78.03</v>
      </c>
      <c r="G1440" s="190">
        <v>45770</v>
      </c>
      <c r="H1440" s="196">
        <v>0</v>
      </c>
      <c r="I1440" s="197">
        <v>3901.5</v>
      </c>
      <c r="J1440" s="197">
        <v>3901.5</v>
      </c>
      <c r="K1440" s="197">
        <v>0</v>
      </c>
      <c r="L1440" s="197">
        <v>-202.5</v>
      </c>
      <c r="M1440" s="260" t="s">
        <v>239</v>
      </c>
      <c r="N1440" s="260" t="s">
        <v>514</v>
      </c>
    </row>
    <row r="1441" spans="1:14" ht="14.5" x14ac:dyDescent="0.35">
      <c r="A1441" s="260" t="s">
        <v>565</v>
      </c>
      <c r="B1441" s="190">
        <v>45771</v>
      </c>
      <c r="C1441" s="260" t="s">
        <v>749</v>
      </c>
      <c r="D1441" s="197">
        <v>80</v>
      </c>
      <c r="E1441" s="197">
        <v>8008</v>
      </c>
      <c r="F1441" s="197">
        <v>102.03</v>
      </c>
      <c r="G1441" s="190">
        <v>45771</v>
      </c>
      <c r="H1441" s="196">
        <v>0</v>
      </c>
      <c r="I1441" s="197">
        <v>8162.4</v>
      </c>
      <c r="J1441" s="197">
        <v>8162.4</v>
      </c>
      <c r="K1441" s="197">
        <v>0</v>
      </c>
      <c r="L1441" s="197">
        <v>154.39999999999964</v>
      </c>
      <c r="M1441" s="260" t="s">
        <v>239</v>
      </c>
      <c r="N1441" s="260" t="s">
        <v>514</v>
      </c>
    </row>
    <row r="1442" spans="1:14" ht="14.5" x14ac:dyDescent="0.35">
      <c r="A1442" s="260" t="s">
        <v>565</v>
      </c>
      <c r="B1442" s="190">
        <v>45771</v>
      </c>
      <c r="C1442" s="260" t="s">
        <v>752</v>
      </c>
      <c r="D1442" s="197">
        <v>100</v>
      </c>
      <c r="E1442" s="197">
        <v>20020</v>
      </c>
      <c r="F1442" s="197">
        <v>189.28</v>
      </c>
      <c r="G1442" s="190">
        <v>45771</v>
      </c>
      <c r="H1442" s="196">
        <v>0</v>
      </c>
      <c r="I1442" s="197">
        <v>18928</v>
      </c>
      <c r="J1442" s="197">
        <v>18928</v>
      </c>
      <c r="K1442" s="197">
        <v>0</v>
      </c>
      <c r="L1442" s="197">
        <v>-1092</v>
      </c>
      <c r="M1442" s="260" t="s">
        <v>239</v>
      </c>
      <c r="N1442" s="260" t="s">
        <v>514</v>
      </c>
    </row>
    <row r="1443" spans="1:14" ht="14.5" x14ac:dyDescent="0.35">
      <c r="A1443" s="260" t="s">
        <v>565</v>
      </c>
      <c r="B1443" s="190">
        <v>45771</v>
      </c>
      <c r="C1443" s="260" t="s">
        <v>754</v>
      </c>
      <c r="D1443" s="197">
        <v>50</v>
      </c>
      <c r="E1443" s="197">
        <v>4104</v>
      </c>
      <c r="F1443" s="197">
        <v>78.17</v>
      </c>
      <c r="G1443" s="190">
        <v>45771</v>
      </c>
      <c r="H1443" s="196">
        <v>0</v>
      </c>
      <c r="I1443" s="197">
        <v>3908.5</v>
      </c>
      <c r="J1443" s="197">
        <v>3908.5</v>
      </c>
      <c r="K1443" s="197">
        <v>0</v>
      </c>
      <c r="L1443" s="197">
        <v>-195.5</v>
      </c>
      <c r="M1443" s="260" t="s">
        <v>239</v>
      </c>
      <c r="N1443" s="260" t="s">
        <v>514</v>
      </c>
    </row>
    <row r="1444" spans="1:14" ht="14.5" x14ac:dyDescent="0.35">
      <c r="A1444" s="260" t="s">
        <v>565</v>
      </c>
      <c r="B1444" s="190">
        <v>45772</v>
      </c>
      <c r="C1444" s="260" t="s">
        <v>749</v>
      </c>
      <c r="D1444" s="197">
        <v>80</v>
      </c>
      <c r="E1444" s="197">
        <v>8008</v>
      </c>
      <c r="F1444" s="197">
        <v>101.86</v>
      </c>
      <c r="G1444" s="190">
        <v>45772</v>
      </c>
      <c r="H1444" s="196">
        <v>0</v>
      </c>
      <c r="I1444" s="197">
        <v>8148.8</v>
      </c>
      <c r="J1444" s="197">
        <v>8148.8</v>
      </c>
      <c r="K1444" s="197">
        <v>0</v>
      </c>
      <c r="L1444" s="197">
        <v>140.80000000000018</v>
      </c>
      <c r="M1444" s="260" t="s">
        <v>239</v>
      </c>
      <c r="N1444" s="260" t="s">
        <v>514</v>
      </c>
    </row>
    <row r="1445" spans="1:14" ht="14.5" x14ac:dyDescent="0.35">
      <c r="A1445" s="260" t="s">
        <v>565</v>
      </c>
      <c r="B1445" s="190">
        <v>45772</v>
      </c>
      <c r="C1445" s="260" t="s">
        <v>752</v>
      </c>
      <c r="D1445" s="197">
        <v>100</v>
      </c>
      <c r="E1445" s="197">
        <v>20020</v>
      </c>
      <c r="F1445" s="197">
        <v>188.9</v>
      </c>
      <c r="G1445" s="190">
        <v>45772</v>
      </c>
      <c r="H1445" s="196">
        <v>0</v>
      </c>
      <c r="I1445" s="197">
        <v>18890</v>
      </c>
      <c r="J1445" s="197">
        <v>18890</v>
      </c>
      <c r="K1445" s="197">
        <v>0</v>
      </c>
      <c r="L1445" s="197">
        <v>-1130</v>
      </c>
      <c r="M1445" s="260" t="s">
        <v>239</v>
      </c>
      <c r="N1445" s="260" t="s">
        <v>514</v>
      </c>
    </row>
    <row r="1446" spans="1:14" ht="14.5" x14ac:dyDescent="0.35">
      <c r="A1446" s="260" t="s">
        <v>565</v>
      </c>
      <c r="B1446" s="190">
        <v>45772</v>
      </c>
      <c r="C1446" s="260" t="s">
        <v>754</v>
      </c>
      <c r="D1446" s="197">
        <v>50</v>
      </c>
      <c r="E1446" s="197">
        <v>4104</v>
      </c>
      <c r="F1446" s="197">
        <v>78.31</v>
      </c>
      <c r="G1446" s="190">
        <v>45772</v>
      </c>
      <c r="H1446" s="196">
        <v>0</v>
      </c>
      <c r="I1446" s="197">
        <v>3915.5</v>
      </c>
      <c r="J1446" s="197">
        <v>3915.5</v>
      </c>
      <c r="K1446" s="197">
        <v>0</v>
      </c>
      <c r="L1446" s="197">
        <v>-188.5</v>
      </c>
      <c r="M1446" s="260" t="s">
        <v>239</v>
      </c>
      <c r="N1446" s="260" t="s">
        <v>514</v>
      </c>
    </row>
    <row r="1447" spans="1:14" ht="14.5" x14ac:dyDescent="0.35">
      <c r="A1447" s="260" t="s">
        <v>565</v>
      </c>
      <c r="B1447" s="190">
        <v>45773</v>
      </c>
      <c r="C1447" s="260" t="s">
        <v>749</v>
      </c>
      <c r="D1447" s="197">
        <v>80</v>
      </c>
      <c r="E1447" s="197">
        <v>8008</v>
      </c>
      <c r="F1447" s="197">
        <v>101.86</v>
      </c>
      <c r="G1447" s="190">
        <v>45772</v>
      </c>
      <c r="H1447" s="196">
        <v>1</v>
      </c>
      <c r="I1447" s="197">
        <v>8148.8</v>
      </c>
      <c r="J1447" s="197">
        <v>8148.8</v>
      </c>
      <c r="K1447" s="197">
        <v>0</v>
      </c>
      <c r="L1447" s="197">
        <v>140.80000000000018</v>
      </c>
      <c r="M1447" s="260" t="s">
        <v>239</v>
      </c>
      <c r="N1447" s="260" t="s">
        <v>514</v>
      </c>
    </row>
    <row r="1448" spans="1:14" ht="14.5" x14ac:dyDescent="0.35">
      <c r="A1448" s="260" t="s">
        <v>565</v>
      </c>
      <c r="B1448" s="190">
        <v>45773</v>
      </c>
      <c r="C1448" s="260" t="s">
        <v>752</v>
      </c>
      <c r="D1448" s="197">
        <v>100</v>
      </c>
      <c r="E1448" s="197">
        <v>20020</v>
      </c>
      <c r="F1448" s="197">
        <v>188.9</v>
      </c>
      <c r="G1448" s="190">
        <v>45772</v>
      </c>
      <c r="H1448" s="196">
        <v>1</v>
      </c>
      <c r="I1448" s="197">
        <v>18890</v>
      </c>
      <c r="J1448" s="197">
        <v>18890</v>
      </c>
      <c r="K1448" s="197">
        <v>0</v>
      </c>
      <c r="L1448" s="197">
        <v>-1130</v>
      </c>
      <c r="M1448" s="260" t="s">
        <v>239</v>
      </c>
      <c r="N1448" s="260" t="s">
        <v>514</v>
      </c>
    </row>
    <row r="1449" spans="1:14" ht="14.5" x14ac:dyDescent="0.35">
      <c r="A1449" s="260" t="s">
        <v>565</v>
      </c>
      <c r="B1449" s="190">
        <v>45773</v>
      </c>
      <c r="C1449" s="260" t="s">
        <v>754</v>
      </c>
      <c r="D1449" s="197">
        <v>50</v>
      </c>
      <c r="E1449" s="197">
        <v>4104</v>
      </c>
      <c r="F1449" s="197">
        <v>78.31</v>
      </c>
      <c r="G1449" s="190">
        <v>45772</v>
      </c>
      <c r="H1449" s="196">
        <v>1</v>
      </c>
      <c r="I1449" s="197">
        <v>3915.5</v>
      </c>
      <c r="J1449" s="197">
        <v>3915.5</v>
      </c>
      <c r="K1449" s="197">
        <v>0</v>
      </c>
      <c r="L1449" s="197">
        <v>-188.5</v>
      </c>
      <c r="M1449" s="260" t="s">
        <v>239</v>
      </c>
      <c r="N1449" s="260" t="s">
        <v>514</v>
      </c>
    </row>
    <row r="1450" spans="1:14" ht="14.5" x14ac:dyDescent="0.35">
      <c r="A1450" s="260" t="s">
        <v>565</v>
      </c>
      <c r="B1450" s="190">
        <v>45774</v>
      </c>
      <c r="C1450" s="260" t="s">
        <v>749</v>
      </c>
      <c r="D1450" s="197">
        <v>80</v>
      </c>
      <c r="E1450" s="197">
        <v>8008</v>
      </c>
      <c r="F1450" s="197">
        <v>101.86</v>
      </c>
      <c r="G1450" s="190">
        <v>45772</v>
      </c>
      <c r="H1450" s="196">
        <v>2</v>
      </c>
      <c r="I1450" s="197">
        <v>8148.8</v>
      </c>
      <c r="J1450" s="197">
        <v>8148.8</v>
      </c>
      <c r="K1450" s="197">
        <v>0</v>
      </c>
      <c r="L1450" s="197">
        <v>140.80000000000018</v>
      </c>
      <c r="M1450" s="260" t="s">
        <v>239</v>
      </c>
      <c r="N1450" s="260" t="s">
        <v>514</v>
      </c>
    </row>
    <row r="1451" spans="1:14" ht="14.5" x14ac:dyDescent="0.35">
      <c r="A1451" s="260" t="s">
        <v>565</v>
      </c>
      <c r="B1451" s="190">
        <v>45774</v>
      </c>
      <c r="C1451" s="260" t="s">
        <v>752</v>
      </c>
      <c r="D1451" s="197">
        <v>100</v>
      </c>
      <c r="E1451" s="197">
        <v>20020</v>
      </c>
      <c r="F1451" s="197">
        <v>188.9</v>
      </c>
      <c r="G1451" s="190">
        <v>45772</v>
      </c>
      <c r="H1451" s="196">
        <v>2</v>
      </c>
      <c r="I1451" s="197">
        <v>18890</v>
      </c>
      <c r="J1451" s="197">
        <v>18890</v>
      </c>
      <c r="K1451" s="197">
        <v>0</v>
      </c>
      <c r="L1451" s="197">
        <v>-1130</v>
      </c>
      <c r="M1451" s="260" t="s">
        <v>239</v>
      </c>
      <c r="N1451" s="260" t="s">
        <v>514</v>
      </c>
    </row>
    <row r="1452" spans="1:14" ht="14.5" x14ac:dyDescent="0.35">
      <c r="A1452" s="260" t="s">
        <v>565</v>
      </c>
      <c r="B1452" s="190">
        <v>45774</v>
      </c>
      <c r="C1452" s="260" t="s">
        <v>754</v>
      </c>
      <c r="D1452" s="197">
        <v>50</v>
      </c>
      <c r="E1452" s="197">
        <v>4104</v>
      </c>
      <c r="F1452" s="197">
        <v>78.31</v>
      </c>
      <c r="G1452" s="190">
        <v>45772</v>
      </c>
      <c r="H1452" s="196">
        <v>2</v>
      </c>
      <c r="I1452" s="197">
        <v>3915.5</v>
      </c>
      <c r="J1452" s="197">
        <v>3915.5</v>
      </c>
      <c r="K1452" s="197">
        <v>0</v>
      </c>
      <c r="L1452" s="197">
        <v>-188.5</v>
      </c>
      <c r="M1452" s="260" t="s">
        <v>239</v>
      </c>
      <c r="N1452" s="260" t="s">
        <v>514</v>
      </c>
    </row>
    <row r="1453" spans="1:14" ht="14.5" x14ac:dyDescent="0.35">
      <c r="A1453" s="260" t="s">
        <v>565</v>
      </c>
      <c r="B1453" s="190">
        <v>45775</v>
      </c>
      <c r="C1453" s="260" t="s">
        <v>749</v>
      </c>
      <c r="D1453" s="197">
        <v>80</v>
      </c>
      <c r="E1453" s="197">
        <v>8008</v>
      </c>
      <c r="F1453" s="197">
        <v>101.34</v>
      </c>
      <c r="G1453" s="190">
        <v>45775</v>
      </c>
      <c r="H1453" s="196">
        <v>0</v>
      </c>
      <c r="I1453" s="197">
        <v>8107.2000000000007</v>
      </c>
      <c r="J1453" s="197">
        <v>8107.2000000000007</v>
      </c>
      <c r="K1453" s="197">
        <v>0</v>
      </c>
      <c r="L1453" s="197">
        <v>99.200000000000728</v>
      </c>
      <c r="M1453" s="260" t="s">
        <v>239</v>
      </c>
      <c r="N1453" s="260" t="s">
        <v>514</v>
      </c>
    </row>
    <row r="1454" spans="1:14" ht="14.5" x14ac:dyDescent="0.35">
      <c r="A1454" s="260" t="s">
        <v>565</v>
      </c>
      <c r="B1454" s="190">
        <v>45775</v>
      </c>
      <c r="C1454" s="260" t="s">
        <v>752</v>
      </c>
      <c r="D1454" s="197">
        <v>100</v>
      </c>
      <c r="E1454" s="197">
        <v>20020</v>
      </c>
      <c r="F1454" s="197">
        <v>187.76</v>
      </c>
      <c r="G1454" s="190">
        <v>45775</v>
      </c>
      <c r="H1454" s="196">
        <v>0</v>
      </c>
      <c r="I1454" s="197">
        <v>18776</v>
      </c>
      <c r="J1454" s="197">
        <v>18776</v>
      </c>
      <c r="K1454" s="197">
        <v>0</v>
      </c>
      <c r="L1454" s="197">
        <v>-1244</v>
      </c>
      <c r="M1454" s="260" t="s">
        <v>239</v>
      </c>
      <c r="N1454" s="260" t="s">
        <v>514</v>
      </c>
    </row>
    <row r="1455" spans="1:14" ht="14.5" x14ac:dyDescent="0.35">
      <c r="A1455" s="260" t="s">
        <v>565</v>
      </c>
      <c r="B1455" s="190">
        <v>45775</v>
      </c>
      <c r="C1455" s="260" t="s">
        <v>754</v>
      </c>
      <c r="D1455" s="197">
        <v>50</v>
      </c>
      <c r="E1455" s="197">
        <v>4104</v>
      </c>
      <c r="F1455" s="197">
        <v>78.72</v>
      </c>
      <c r="G1455" s="190">
        <v>45775</v>
      </c>
      <c r="H1455" s="196">
        <v>0</v>
      </c>
      <c r="I1455" s="197">
        <v>3936</v>
      </c>
      <c r="J1455" s="197">
        <v>3936</v>
      </c>
      <c r="K1455" s="197">
        <v>0</v>
      </c>
      <c r="L1455" s="197">
        <v>-168</v>
      </c>
      <c r="M1455" s="260" t="s">
        <v>239</v>
      </c>
      <c r="N1455" s="260" t="s">
        <v>514</v>
      </c>
    </row>
    <row r="1456" spans="1:14" ht="14.5" x14ac:dyDescent="0.35">
      <c r="A1456" s="260" t="s">
        <v>565</v>
      </c>
      <c r="B1456" s="190">
        <v>45776</v>
      </c>
      <c r="C1456" s="260" t="s">
        <v>749</v>
      </c>
      <c r="D1456" s="197">
        <v>80</v>
      </c>
      <c r="E1456" s="197">
        <v>8008</v>
      </c>
      <c r="F1456" s="197">
        <v>101.17</v>
      </c>
      <c r="G1456" s="190">
        <v>45776</v>
      </c>
      <c r="H1456" s="196">
        <v>0</v>
      </c>
      <c r="I1456" s="197">
        <v>8093.6</v>
      </c>
      <c r="J1456" s="197">
        <v>8093.6</v>
      </c>
      <c r="K1456" s="197">
        <v>0</v>
      </c>
      <c r="L1456" s="197">
        <v>85.600000000000364</v>
      </c>
      <c r="M1456" s="260" t="s">
        <v>239</v>
      </c>
      <c r="N1456" s="260" t="s">
        <v>514</v>
      </c>
    </row>
    <row r="1457" spans="1:14" ht="14.5" x14ac:dyDescent="0.35">
      <c r="A1457" s="260" t="s">
        <v>565</v>
      </c>
      <c r="B1457" s="190">
        <v>45776</v>
      </c>
      <c r="C1457" s="260" t="s">
        <v>752</v>
      </c>
      <c r="D1457" s="197">
        <v>100</v>
      </c>
      <c r="E1457" s="197">
        <v>20020</v>
      </c>
      <c r="F1457" s="197">
        <v>187.38</v>
      </c>
      <c r="G1457" s="190">
        <v>45776</v>
      </c>
      <c r="H1457" s="196">
        <v>0</v>
      </c>
      <c r="I1457" s="197">
        <v>18738</v>
      </c>
      <c r="J1457" s="197">
        <v>18738</v>
      </c>
      <c r="K1457" s="197">
        <v>0</v>
      </c>
      <c r="L1457" s="197">
        <v>-1282</v>
      </c>
      <c r="M1457" s="260" t="s">
        <v>239</v>
      </c>
      <c r="N1457" s="260" t="s">
        <v>514</v>
      </c>
    </row>
    <row r="1458" spans="1:14" ht="14.5" x14ac:dyDescent="0.35">
      <c r="A1458" s="260" t="s">
        <v>565</v>
      </c>
      <c r="B1458" s="190">
        <v>45776</v>
      </c>
      <c r="C1458" s="260" t="s">
        <v>754</v>
      </c>
      <c r="D1458" s="197">
        <v>50</v>
      </c>
      <c r="E1458" s="197">
        <v>4104</v>
      </c>
      <c r="F1458" s="197">
        <v>78.86</v>
      </c>
      <c r="G1458" s="190">
        <v>45776</v>
      </c>
      <c r="H1458" s="196">
        <v>0</v>
      </c>
      <c r="I1458" s="197">
        <v>3943</v>
      </c>
      <c r="J1458" s="197">
        <v>3943</v>
      </c>
      <c r="K1458" s="197">
        <v>0</v>
      </c>
      <c r="L1458" s="197">
        <v>-161</v>
      </c>
      <c r="M1458" s="260" t="s">
        <v>239</v>
      </c>
      <c r="N1458" s="260" t="s">
        <v>514</v>
      </c>
    </row>
    <row r="1459" spans="1:14" ht="14.5" x14ac:dyDescent="0.35">
      <c r="A1459" s="260" t="s">
        <v>565</v>
      </c>
      <c r="B1459" s="190">
        <v>45777</v>
      </c>
      <c r="C1459" s="260" t="s">
        <v>749</v>
      </c>
      <c r="D1459" s="197">
        <v>80</v>
      </c>
      <c r="E1459" s="197">
        <v>8008</v>
      </c>
      <c r="F1459" s="197">
        <v>101</v>
      </c>
      <c r="G1459" s="190">
        <v>45777</v>
      </c>
      <c r="H1459" s="196">
        <v>0</v>
      </c>
      <c r="I1459" s="197">
        <v>8080</v>
      </c>
      <c r="J1459" s="197">
        <v>8080</v>
      </c>
      <c r="K1459" s="197">
        <v>0</v>
      </c>
      <c r="L1459" s="197">
        <v>72</v>
      </c>
      <c r="M1459" s="260" t="s">
        <v>239</v>
      </c>
      <c r="N1459" s="260" t="s">
        <v>514</v>
      </c>
    </row>
    <row r="1460" spans="1:14" ht="14.5" x14ac:dyDescent="0.35">
      <c r="A1460" s="260" t="s">
        <v>565</v>
      </c>
      <c r="B1460" s="190">
        <v>45777</v>
      </c>
      <c r="C1460" s="260" t="s">
        <v>752</v>
      </c>
      <c r="D1460" s="197">
        <v>100</v>
      </c>
      <c r="E1460" s="197">
        <v>20020</v>
      </c>
      <c r="F1460" s="197">
        <v>187</v>
      </c>
      <c r="G1460" s="190">
        <v>45777</v>
      </c>
      <c r="H1460" s="196">
        <v>0</v>
      </c>
      <c r="I1460" s="197">
        <v>18700</v>
      </c>
      <c r="J1460" s="197">
        <v>18700</v>
      </c>
      <c r="K1460" s="197">
        <v>0</v>
      </c>
      <c r="L1460" s="197">
        <v>-1320</v>
      </c>
      <c r="M1460" s="260" t="s">
        <v>239</v>
      </c>
      <c r="N1460" s="260" t="s">
        <v>514</v>
      </c>
    </row>
    <row r="1461" spans="1:14" ht="14.5" x14ac:dyDescent="0.35">
      <c r="A1461" s="260" t="s">
        <v>565</v>
      </c>
      <c r="B1461" s="190">
        <v>45777</v>
      </c>
      <c r="C1461" s="260" t="s">
        <v>754</v>
      </c>
      <c r="D1461" s="197">
        <v>50</v>
      </c>
      <c r="E1461" s="197">
        <v>4104</v>
      </c>
      <c r="F1461" s="197">
        <v>79</v>
      </c>
      <c r="G1461" s="190">
        <v>45777</v>
      </c>
      <c r="H1461" s="196">
        <v>0</v>
      </c>
      <c r="I1461" s="197">
        <v>3950</v>
      </c>
      <c r="J1461" s="197">
        <v>3950</v>
      </c>
      <c r="K1461" s="197">
        <v>0</v>
      </c>
      <c r="L1461" s="197">
        <v>-154</v>
      </c>
      <c r="M1461" s="260" t="s">
        <v>239</v>
      </c>
      <c r="N1461" s="260" t="s">
        <v>514</v>
      </c>
    </row>
    <row r="1462" spans="1:14" ht="14.5" x14ac:dyDescent="0.35">
      <c r="A1462" s="260" t="s">
        <v>565</v>
      </c>
      <c r="B1462" s="190">
        <v>45778</v>
      </c>
      <c r="C1462" s="260" t="s">
        <v>749</v>
      </c>
      <c r="D1462" s="197">
        <v>80</v>
      </c>
      <c r="E1462" s="197">
        <v>8008</v>
      </c>
      <c r="F1462" s="197">
        <v>101</v>
      </c>
      <c r="G1462" s="190">
        <v>45778</v>
      </c>
      <c r="H1462" s="196">
        <v>0</v>
      </c>
      <c r="I1462" s="197">
        <v>8080</v>
      </c>
      <c r="J1462" s="197">
        <v>8080</v>
      </c>
      <c r="K1462" s="197">
        <v>0</v>
      </c>
      <c r="L1462" s="197">
        <v>72</v>
      </c>
      <c r="M1462" s="260" t="s">
        <v>239</v>
      </c>
      <c r="N1462" s="260" t="s">
        <v>514</v>
      </c>
    </row>
    <row r="1463" spans="1:14" ht="14.5" x14ac:dyDescent="0.35">
      <c r="A1463" s="260" t="s">
        <v>565</v>
      </c>
      <c r="B1463" s="190">
        <v>45778</v>
      </c>
      <c r="C1463" s="260" t="s">
        <v>752</v>
      </c>
      <c r="D1463" s="197">
        <v>100</v>
      </c>
      <c r="E1463" s="197">
        <v>20020</v>
      </c>
      <c r="F1463" s="197">
        <v>187</v>
      </c>
      <c r="G1463" s="190">
        <v>45778</v>
      </c>
      <c r="H1463" s="196">
        <v>0</v>
      </c>
      <c r="I1463" s="197">
        <v>18700</v>
      </c>
      <c r="J1463" s="197">
        <v>18700</v>
      </c>
      <c r="K1463" s="197">
        <v>0</v>
      </c>
      <c r="L1463" s="197">
        <v>-1320</v>
      </c>
      <c r="M1463" s="260" t="s">
        <v>239</v>
      </c>
      <c r="N1463" s="260" t="s">
        <v>514</v>
      </c>
    </row>
    <row r="1464" spans="1:14" ht="14.5" x14ac:dyDescent="0.35">
      <c r="A1464" s="260" t="s">
        <v>565</v>
      </c>
      <c r="B1464" s="190">
        <v>45778</v>
      </c>
      <c r="C1464" s="260" t="s">
        <v>754</v>
      </c>
      <c r="D1464" s="197">
        <v>50</v>
      </c>
      <c r="E1464" s="197">
        <v>4104</v>
      </c>
      <c r="F1464" s="197">
        <v>79</v>
      </c>
      <c r="G1464" s="190">
        <v>45778</v>
      </c>
      <c r="H1464" s="196">
        <v>0</v>
      </c>
      <c r="I1464" s="197">
        <v>3950</v>
      </c>
      <c r="J1464" s="197">
        <v>3950</v>
      </c>
      <c r="K1464" s="197">
        <v>0</v>
      </c>
      <c r="L1464" s="197">
        <v>-154</v>
      </c>
      <c r="M1464" s="260" t="s">
        <v>239</v>
      </c>
      <c r="N1464" s="260" t="s">
        <v>514</v>
      </c>
    </row>
    <row r="1465" spans="1:14" ht="14.5" x14ac:dyDescent="0.35">
      <c r="A1465" s="260" t="s">
        <v>565</v>
      </c>
      <c r="B1465" s="190">
        <v>45779</v>
      </c>
      <c r="C1465" s="260" t="s">
        <v>749</v>
      </c>
      <c r="D1465" s="197">
        <v>80</v>
      </c>
      <c r="E1465" s="197">
        <v>8008</v>
      </c>
      <c r="F1465" s="197">
        <v>100.93</v>
      </c>
      <c r="G1465" s="190">
        <v>45779</v>
      </c>
      <c r="H1465" s="196">
        <v>0</v>
      </c>
      <c r="I1465" s="197">
        <v>8074.4000000000005</v>
      </c>
      <c r="J1465" s="197">
        <v>8074.4000000000005</v>
      </c>
      <c r="K1465" s="197">
        <v>0</v>
      </c>
      <c r="L1465" s="197">
        <v>66.400000000000546</v>
      </c>
      <c r="M1465" s="260" t="s">
        <v>239</v>
      </c>
      <c r="N1465" s="260" t="s">
        <v>514</v>
      </c>
    </row>
    <row r="1466" spans="1:14" ht="14.5" x14ac:dyDescent="0.35">
      <c r="A1466" s="260" t="s">
        <v>565</v>
      </c>
      <c r="B1466" s="190">
        <v>45779</v>
      </c>
      <c r="C1466" s="260" t="s">
        <v>752</v>
      </c>
      <c r="D1466" s="197">
        <v>100</v>
      </c>
      <c r="E1466" s="197">
        <v>20020</v>
      </c>
      <c r="F1466" s="197">
        <v>187.2</v>
      </c>
      <c r="G1466" s="190">
        <v>45779</v>
      </c>
      <c r="H1466" s="196">
        <v>0</v>
      </c>
      <c r="I1466" s="197">
        <v>18720</v>
      </c>
      <c r="J1466" s="197">
        <v>18720</v>
      </c>
      <c r="K1466" s="197">
        <v>0</v>
      </c>
      <c r="L1466" s="197">
        <v>-1300</v>
      </c>
      <c r="M1466" s="260" t="s">
        <v>239</v>
      </c>
      <c r="N1466" s="260" t="s">
        <v>514</v>
      </c>
    </row>
    <row r="1467" spans="1:14" ht="14.5" x14ac:dyDescent="0.35">
      <c r="A1467" s="260" t="s">
        <v>565</v>
      </c>
      <c r="B1467" s="190">
        <v>45779</v>
      </c>
      <c r="C1467" s="260" t="s">
        <v>754</v>
      </c>
      <c r="D1467" s="197">
        <v>50</v>
      </c>
      <c r="E1467" s="197">
        <v>4104</v>
      </c>
      <c r="F1467" s="197">
        <v>79.2</v>
      </c>
      <c r="G1467" s="190">
        <v>45779</v>
      </c>
      <c r="H1467" s="196">
        <v>0</v>
      </c>
      <c r="I1467" s="197">
        <v>3960</v>
      </c>
      <c r="J1467" s="197">
        <v>3960</v>
      </c>
      <c r="K1467" s="197">
        <v>0</v>
      </c>
      <c r="L1467" s="197">
        <v>-144</v>
      </c>
      <c r="M1467" s="260" t="s">
        <v>239</v>
      </c>
      <c r="N1467" s="260" t="s">
        <v>514</v>
      </c>
    </row>
    <row r="1468" spans="1:14" ht="14.5" x14ac:dyDescent="0.35">
      <c r="A1468" s="260" t="s">
        <v>565</v>
      </c>
      <c r="B1468" s="190">
        <v>45780</v>
      </c>
      <c r="C1468" s="260" t="s">
        <v>749</v>
      </c>
      <c r="D1468" s="197">
        <v>80</v>
      </c>
      <c r="E1468" s="197">
        <v>8008</v>
      </c>
      <c r="F1468" s="197">
        <v>100.93</v>
      </c>
      <c r="G1468" s="190">
        <v>45779</v>
      </c>
      <c r="H1468" s="196">
        <v>1</v>
      </c>
      <c r="I1468" s="197">
        <v>8074.4000000000005</v>
      </c>
      <c r="J1468" s="197">
        <v>8074.4000000000005</v>
      </c>
      <c r="K1468" s="197">
        <v>0</v>
      </c>
      <c r="L1468" s="197">
        <v>66.400000000000546</v>
      </c>
      <c r="M1468" s="260" t="s">
        <v>239</v>
      </c>
      <c r="N1468" s="260" t="s">
        <v>514</v>
      </c>
    </row>
    <row r="1469" spans="1:14" ht="14.5" x14ac:dyDescent="0.35">
      <c r="A1469" s="260" t="s">
        <v>565</v>
      </c>
      <c r="B1469" s="190">
        <v>45780</v>
      </c>
      <c r="C1469" s="260" t="s">
        <v>752</v>
      </c>
      <c r="D1469" s="197">
        <v>100</v>
      </c>
      <c r="E1469" s="197">
        <v>20020</v>
      </c>
      <c r="F1469" s="197">
        <v>187.2</v>
      </c>
      <c r="G1469" s="190">
        <v>45779</v>
      </c>
      <c r="H1469" s="196">
        <v>1</v>
      </c>
      <c r="I1469" s="197">
        <v>18720</v>
      </c>
      <c r="J1469" s="197">
        <v>18720</v>
      </c>
      <c r="K1469" s="197">
        <v>0</v>
      </c>
      <c r="L1469" s="197">
        <v>-1300</v>
      </c>
      <c r="M1469" s="260" t="s">
        <v>239</v>
      </c>
      <c r="N1469" s="260" t="s">
        <v>514</v>
      </c>
    </row>
    <row r="1470" spans="1:14" ht="14.5" x14ac:dyDescent="0.35">
      <c r="A1470" s="260" t="s">
        <v>565</v>
      </c>
      <c r="B1470" s="190">
        <v>45780</v>
      </c>
      <c r="C1470" s="260" t="s">
        <v>754</v>
      </c>
      <c r="D1470" s="197">
        <v>50</v>
      </c>
      <c r="E1470" s="197">
        <v>4104</v>
      </c>
      <c r="F1470" s="197">
        <v>79.2</v>
      </c>
      <c r="G1470" s="190">
        <v>45779</v>
      </c>
      <c r="H1470" s="196">
        <v>1</v>
      </c>
      <c r="I1470" s="197">
        <v>3960</v>
      </c>
      <c r="J1470" s="197">
        <v>3960</v>
      </c>
      <c r="K1470" s="197">
        <v>0</v>
      </c>
      <c r="L1470" s="197">
        <v>-144</v>
      </c>
      <c r="M1470" s="260" t="s">
        <v>239</v>
      </c>
      <c r="N1470" s="260" t="s">
        <v>514</v>
      </c>
    </row>
    <row r="1471" spans="1:14" ht="14.5" x14ac:dyDescent="0.35">
      <c r="A1471" s="260" t="s">
        <v>565</v>
      </c>
      <c r="B1471" s="190">
        <v>45781</v>
      </c>
      <c r="C1471" s="260" t="s">
        <v>749</v>
      </c>
      <c r="D1471" s="197">
        <v>80</v>
      </c>
      <c r="E1471" s="197">
        <v>8008</v>
      </c>
      <c r="F1471" s="197">
        <v>100.93</v>
      </c>
      <c r="G1471" s="190">
        <v>45779</v>
      </c>
      <c r="H1471" s="196">
        <v>2</v>
      </c>
      <c r="I1471" s="197">
        <v>8074.4000000000005</v>
      </c>
      <c r="J1471" s="197">
        <v>8074.4000000000005</v>
      </c>
      <c r="K1471" s="197">
        <v>0</v>
      </c>
      <c r="L1471" s="197">
        <v>66.400000000000546</v>
      </c>
      <c r="M1471" s="260" t="s">
        <v>239</v>
      </c>
      <c r="N1471" s="260" t="s">
        <v>514</v>
      </c>
    </row>
    <row r="1472" spans="1:14" ht="14.5" x14ac:dyDescent="0.35">
      <c r="A1472" s="260" t="s">
        <v>565</v>
      </c>
      <c r="B1472" s="190">
        <v>45781</v>
      </c>
      <c r="C1472" s="260" t="s">
        <v>752</v>
      </c>
      <c r="D1472" s="197">
        <v>100</v>
      </c>
      <c r="E1472" s="197">
        <v>20020</v>
      </c>
      <c r="F1472" s="197">
        <v>187.2</v>
      </c>
      <c r="G1472" s="190">
        <v>45779</v>
      </c>
      <c r="H1472" s="196">
        <v>2</v>
      </c>
      <c r="I1472" s="197">
        <v>18720</v>
      </c>
      <c r="J1472" s="197">
        <v>18720</v>
      </c>
      <c r="K1472" s="197">
        <v>0</v>
      </c>
      <c r="L1472" s="197">
        <v>-1300</v>
      </c>
      <c r="M1472" s="260" t="s">
        <v>239</v>
      </c>
      <c r="N1472" s="260" t="s">
        <v>514</v>
      </c>
    </row>
    <row r="1473" spans="1:14" ht="14.5" x14ac:dyDescent="0.35">
      <c r="A1473" s="260" t="s">
        <v>565</v>
      </c>
      <c r="B1473" s="190">
        <v>45781</v>
      </c>
      <c r="C1473" s="260" t="s">
        <v>754</v>
      </c>
      <c r="D1473" s="197">
        <v>50</v>
      </c>
      <c r="E1473" s="197">
        <v>4104</v>
      </c>
      <c r="F1473" s="197">
        <v>79.2</v>
      </c>
      <c r="G1473" s="190">
        <v>45779</v>
      </c>
      <c r="H1473" s="196">
        <v>2</v>
      </c>
      <c r="I1473" s="197">
        <v>3960</v>
      </c>
      <c r="J1473" s="197">
        <v>3960</v>
      </c>
      <c r="K1473" s="197">
        <v>0</v>
      </c>
      <c r="L1473" s="197">
        <v>-144</v>
      </c>
      <c r="M1473" s="260" t="s">
        <v>239</v>
      </c>
      <c r="N1473" s="260" t="s">
        <v>514</v>
      </c>
    </row>
    <row r="1474" spans="1:14" ht="14.5" x14ac:dyDescent="0.35">
      <c r="A1474" s="260" t="s">
        <v>565</v>
      </c>
      <c r="B1474" s="190">
        <v>45782</v>
      </c>
      <c r="C1474" s="260" t="s">
        <v>749</v>
      </c>
      <c r="D1474" s="197">
        <v>80</v>
      </c>
      <c r="E1474" s="197">
        <v>8008</v>
      </c>
      <c r="F1474" s="197">
        <v>100.73</v>
      </c>
      <c r="G1474" s="190">
        <v>45782</v>
      </c>
      <c r="H1474" s="196">
        <v>0</v>
      </c>
      <c r="I1474" s="197">
        <v>8058.4000000000005</v>
      </c>
      <c r="J1474" s="197">
        <v>8058.4000000000005</v>
      </c>
      <c r="K1474" s="197">
        <v>0</v>
      </c>
      <c r="L1474" s="197">
        <v>50.400000000000546</v>
      </c>
      <c r="M1474" s="260" t="s">
        <v>239</v>
      </c>
      <c r="N1474" s="260" t="s">
        <v>514</v>
      </c>
    </row>
    <row r="1475" spans="1:14" ht="14.5" x14ac:dyDescent="0.35">
      <c r="A1475" s="260" t="s">
        <v>565</v>
      </c>
      <c r="B1475" s="190">
        <v>45782</v>
      </c>
      <c r="C1475" s="260" t="s">
        <v>752</v>
      </c>
      <c r="D1475" s="197">
        <v>100</v>
      </c>
      <c r="E1475" s="197">
        <v>20020</v>
      </c>
      <c r="F1475" s="197">
        <v>187.8</v>
      </c>
      <c r="G1475" s="190">
        <v>45782</v>
      </c>
      <c r="H1475" s="196">
        <v>0</v>
      </c>
      <c r="I1475" s="197">
        <v>18780</v>
      </c>
      <c r="J1475" s="197">
        <v>18780</v>
      </c>
      <c r="K1475" s="197">
        <v>0</v>
      </c>
      <c r="L1475" s="197">
        <v>-1240</v>
      </c>
      <c r="M1475" s="260" t="s">
        <v>239</v>
      </c>
      <c r="N1475" s="260" t="s">
        <v>514</v>
      </c>
    </row>
    <row r="1476" spans="1:14" ht="14.5" x14ac:dyDescent="0.35">
      <c r="A1476" s="260" t="s">
        <v>565</v>
      </c>
      <c r="B1476" s="190">
        <v>45782</v>
      </c>
      <c r="C1476" s="260" t="s">
        <v>754</v>
      </c>
      <c r="D1476" s="197">
        <v>50</v>
      </c>
      <c r="E1476" s="197">
        <v>4104</v>
      </c>
      <c r="F1476" s="197">
        <v>79.8</v>
      </c>
      <c r="G1476" s="190">
        <v>45782</v>
      </c>
      <c r="H1476" s="196">
        <v>0</v>
      </c>
      <c r="I1476" s="197">
        <v>3990</v>
      </c>
      <c r="J1476" s="197">
        <v>3990</v>
      </c>
      <c r="K1476" s="197">
        <v>0</v>
      </c>
      <c r="L1476" s="197">
        <v>-114</v>
      </c>
      <c r="M1476" s="260" t="s">
        <v>239</v>
      </c>
      <c r="N1476" s="260" t="s">
        <v>514</v>
      </c>
    </row>
    <row r="1477" spans="1:14" ht="14.5" x14ac:dyDescent="0.35">
      <c r="A1477" s="260" t="s">
        <v>565</v>
      </c>
      <c r="B1477" s="190">
        <v>45783</v>
      </c>
      <c r="C1477" s="260" t="s">
        <v>749</v>
      </c>
      <c r="D1477" s="197">
        <v>80</v>
      </c>
      <c r="E1477" s="197">
        <v>8008</v>
      </c>
      <c r="F1477" s="197">
        <v>100.67</v>
      </c>
      <c r="G1477" s="190">
        <v>45783</v>
      </c>
      <c r="H1477" s="196">
        <v>0</v>
      </c>
      <c r="I1477" s="197">
        <v>8053.6</v>
      </c>
      <c r="J1477" s="197">
        <v>8053.6</v>
      </c>
      <c r="K1477" s="197">
        <v>0</v>
      </c>
      <c r="L1477" s="197">
        <v>45.600000000000364</v>
      </c>
      <c r="M1477" s="260" t="s">
        <v>239</v>
      </c>
      <c r="N1477" s="260" t="s">
        <v>514</v>
      </c>
    </row>
    <row r="1478" spans="1:14" ht="14.5" x14ac:dyDescent="0.35">
      <c r="A1478" s="260" t="s">
        <v>565</v>
      </c>
      <c r="B1478" s="190">
        <v>45783</v>
      </c>
      <c r="C1478" s="260" t="s">
        <v>752</v>
      </c>
      <c r="D1478" s="197">
        <v>100</v>
      </c>
      <c r="E1478" s="197">
        <v>20020</v>
      </c>
      <c r="F1478" s="197">
        <v>188</v>
      </c>
      <c r="G1478" s="190">
        <v>45783</v>
      </c>
      <c r="H1478" s="196">
        <v>0</v>
      </c>
      <c r="I1478" s="197">
        <v>18800</v>
      </c>
      <c r="J1478" s="197">
        <v>18800</v>
      </c>
      <c r="K1478" s="197">
        <v>0</v>
      </c>
      <c r="L1478" s="197">
        <v>-1220</v>
      </c>
      <c r="M1478" s="260" t="s">
        <v>239</v>
      </c>
      <c r="N1478" s="260" t="s">
        <v>514</v>
      </c>
    </row>
    <row r="1479" spans="1:14" ht="14.5" x14ac:dyDescent="0.35">
      <c r="A1479" s="260" t="s">
        <v>565</v>
      </c>
      <c r="B1479" s="190">
        <v>45783</v>
      </c>
      <c r="C1479" s="260" t="s">
        <v>754</v>
      </c>
      <c r="D1479" s="197">
        <v>50</v>
      </c>
      <c r="E1479" s="197">
        <v>4104</v>
      </c>
      <c r="F1479" s="197">
        <v>80</v>
      </c>
      <c r="G1479" s="190">
        <v>45783</v>
      </c>
      <c r="H1479" s="196">
        <v>0</v>
      </c>
      <c r="I1479" s="197">
        <v>4000</v>
      </c>
      <c r="J1479" s="197">
        <v>4000</v>
      </c>
      <c r="K1479" s="197">
        <v>0</v>
      </c>
      <c r="L1479" s="197">
        <v>-104</v>
      </c>
      <c r="M1479" s="260" t="s">
        <v>239</v>
      </c>
      <c r="N1479" s="260" t="s">
        <v>514</v>
      </c>
    </row>
    <row r="1480" spans="1:14" ht="14.5" x14ac:dyDescent="0.35">
      <c r="A1480" s="260" t="s">
        <v>565</v>
      </c>
      <c r="B1480" s="190">
        <v>45784</v>
      </c>
      <c r="C1480" s="260" t="s">
        <v>749</v>
      </c>
      <c r="D1480" s="197">
        <v>80</v>
      </c>
      <c r="E1480" s="197">
        <v>8008</v>
      </c>
      <c r="F1480" s="197">
        <v>100.6</v>
      </c>
      <c r="G1480" s="190">
        <v>45784</v>
      </c>
      <c r="H1480" s="196">
        <v>0</v>
      </c>
      <c r="I1480" s="197">
        <v>8048</v>
      </c>
      <c r="J1480" s="197">
        <v>8048</v>
      </c>
      <c r="K1480" s="197">
        <v>0</v>
      </c>
      <c r="L1480" s="197">
        <v>40</v>
      </c>
      <c r="M1480" s="260" t="s">
        <v>239</v>
      </c>
      <c r="N1480" s="260" t="s">
        <v>514</v>
      </c>
    </row>
    <row r="1481" spans="1:14" ht="14.5" x14ac:dyDescent="0.35">
      <c r="A1481" s="260" t="s">
        <v>565</v>
      </c>
      <c r="B1481" s="190">
        <v>45784</v>
      </c>
      <c r="C1481" s="260" t="s">
        <v>752</v>
      </c>
      <c r="D1481" s="197">
        <v>100</v>
      </c>
      <c r="E1481" s="197">
        <v>20020</v>
      </c>
      <c r="F1481" s="197">
        <v>188.2</v>
      </c>
      <c r="G1481" s="190">
        <v>45784</v>
      </c>
      <c r="H1481" s="196">
        <v>0</v>
      </c>
      <c r="I1481" s="197">
        <v>18820</v>
      </c>
      <c r="J1481" s="197">
        <v>18820</v>
      </c>
      <c r="K1481" s="197">
        <v>0</v>
      </c>
      <c r="L1481" s="197">
        <v>-1200</v>
      </c>
      <c r="M1481" s="260" t="s">
        <v>239</v>
      </c>
      <c r="N1481" s="260" t="s">
        <v>514</v>
      </c>
    </row>
    <row r="1482" spans="1:14" ht="14.5" x14ac:dyDescent="0.35">
      <c r="A1482" s="260" t="s">
        <v>565</v>
      </c>
      <c r="B1482" s="190">
        <v>45784</v>
      </c>
      <c r="C1482" s="260" t="s">
        <v>754</v>
      </c>
      <c r="D1482" s="197">
        <v>50</v>
      </c>
      <c r="E1482" s="197">
        <v>4104</v>
      </c>
      <c r="F1482" s="197">
        <v>80.2</v>
      </c>
      <c r="G1482" s="190">
        <v>45784</v>
      </c>
      <c r="H1482" s="196">
        <v>0</v>
      </c>
      <c r="I1482" s="197">
        <v>4010</v>
      </c>
      <c r="J1482" s="197">
        <v>4010</v>
      </c>
      <c r="K1482" s="197">
        <v>0</v>
      </c>
      <c r="L1482" s="197">
        <v>-94</v>
      </c>
      <c r="M1482" s="260" t="s">
        <v>239</v>
      </c>
      <c r="N1482" s="260" t="s">
        <v>514</v>
      </c>
    </row>
    <row r="1483" spans="1:14" ht="14.5" x14ac:dyDescent="0.35">
      <c r="A1483" s="260" t="s">
        <v>565</v>
      </c>
      <c r="B1483" s="190">
        <v>45785</v>
      </c>
      <c r="C1483" s="260" t="s">
        <v>749</v>
      </c>
      <c r="D1483" s="197">
        <v>80</v>
      </c>
      <c r="E1483" s="197">
        <v>8008</v>
      </c>
      <c r="F1483" s="197">
        <v>100.53</v>
      </c>
      <c r="G1483" s="190">
        <v>45785</v>
      </c>
      <c r="H1483" s="196">
        <v>0</v>
      </c>
      <c r="I1483" s="197">
        <v>8042.4</v>
      </c>
      <c r="J1483" s="197">
        <v>8042.4</v>
      </c>
      <c r="K1483" s="197">
        <v>0</v>
      </c>
      <c r="L1483" s="197">
        <v>34.399999999999636</v>
      </c>
      <c r="M1483" s="260" t="s">
        <v>239</v>
      </c>
      <c r="N1483" s="260" t="s">
        <v>514</v>
      </c>
    </row>
    <row r="1484" spans="1:14" ht="14.5" x14ac:dyDescent="0.35">
      <c r="A1484" s="260" t="s">
        <v>565</v>
      </c>
      <c r="B1484" s="190">
        <v>45785</v>
      </c>
      <c r="C1484" s="260" t="s">
        <v>752</v>
      </c>
      <c r="D1484" s="197">
        <v>100</v>
      </c>
      <c r="E1484" s="197">
        <v>20020</v>
      </c>
      <c r="F1484" s="197">
        <v>188.4</v>
      </c>
      <c r="G1484" s="190">
        <v>45785</v>
      </c>
      <c r="H1484" s="196">
        <v>0</v>
      </c>
      <c r="I1484" s="197">
        <v>18840</v>
      </c>
      <c r="J1484" s="197">
        <v>18840</v>
      </c>
      <c r="K1484" s="197">
        <v>0</v>
      </c>
      <c r="L1484" s="197">
        <v>-1180</v>
      </c>
      <c r="M1484" s="260" t="s">
        <v>239</v>
      </c>
      <c r="N1484" s="260" t="s">
        <v>514</v>
      </c>
    </row>
    <row r="1485" spans="1:14" ht="14.5" x14ac:dyDescent="0.35">
      <c r="A1485" s="260" t="s">
        <v>565</v>
      </c>
      <c r="B1485" s="190">
        <v>45785</v>
      </c>
      <c r="C1485" s="260" t="s">
        <v>754</v>
      </c>
      <c r="D1485" s="197">
        <v>50</v>
      </c>
      <c r="E1485" s="197">
        <v>4104</v>
      </c>
      <c r="F1485" s="197">
        <v>80.400000000000006</v>
      </c>
      <c r="G1485" s="190">
        <v>45785</v>
      </c>
      <c r="H1485" s="196">
        <v>0</v>
      </c>
      <c r="I1485" s="197">
        <v>4020.0000000000005</v>
      </c>
      <c r="J1485" s="197">
        <v>4020.0000000000005</v>
      </c>
      <c r="K1485" s="197">
        <v>0</v>
      </c>
      <c r="L1485" s="197">
        <v>-83.999999999999545</v>
      </c>
      <c r="M1485" s="260" t="s">
        <v>239</v>
      </c>
      <c r="N1485" s="260" t="s">
        <v>514</v>
      </c>
    </row>
    <row r="1486" spans="1:14" ht="14.5" x14ac:dyDescent="0.35">
      <c r="A1486" s="260" t="s">
        <v>565</v>
      </c>
      <c r="B1486" s="190">
        <v>45786</v>
      </c>
      <c r="C1486" s="260" t="s">
        <v>749</v>
      </c>
      <c r="D1486" s="197">
        <v>80</v>
      </c>
      <c r="E1486" s="197">
        <v>8008</v>
      </c>
      <c r="F1486" s="197">
        <v>100.47</v>
      </c>
      <c r="G1486" s="190">
        <v>45786</v>
      </c>
      <c r="H1486" s="196">
        <v>0</v>
      </c>
      <c r="I1486" s="197">
        <v>8037.6</v>
      </c>
      <c r="J1486" s="197">
        <v>8037.6</v>
      </c>
      <c r="K1486" s="197">
        <v>0</v>
      </c>
      <c r="L1486" s="197">
        <v>29.600000000000364</v>
      </c>
      <c r="M1486" s="260" t="s">
        <v>239</v>
      </c>
      <c r="N1486" s="260" t="s">
        <v>514</v>
      </c>
    </row>
    <row r="1487" spans="1:14" ht="14.5" x14ac:dyDescent="0.35">
      <c r="A1487" s="260" t="s">
        <v>565</v>
      </c>
      <c r="B1487" s="190">
        <v>45786</v>
      </c>
      <c r="C1487" s="260" t="s">
        <v>752</v>
      </c>
      <c r="D1487" s="197">
        <v>100</v>
      </c>
      <c r="E1487" s="197">
        <v>20020</v>
      </c>
      <c r="F1487" s="197">
        <v>188.6</v>
      </c>
      <c r="G1487" s="190">
        <v>45786</v>
      </c>
      <c r="H1487" s="196">
        <v>0</v>
      </c>
      <c r="I1487" s="197">
        <v>18860</v>
      </c>
      <c r="J1487" s="197">
        <v>18860</v>
      </c>
      <c r="K1487" s="197">
        <v>0</v>
      </c>
      <c r="L1487" s="197">
        <v>-1160</v>
      </c>
      <c r="M1487" s="260" t="s">
        <v>239</v>
      </c>
      <c r="N1487" s="260" t="s">
        <v>514</v>
      </c>
    </row>
    <row r="1488" spans="1:14" ht="14.5" x14ac:dyDescent="0.35">
      <c r="A1488" s="260" t="s">
        <v>565</v>
      </c>
      <c r="B1488" s="190">
        <v>45786</v>
      </c>
      <c r="C1488" s="260" t="s">
        <v>754</v>
      </c>
      <c r="D1488" s="197">
        <v>50</v>
      </c>
      <c r="E1488" s="197">
        <v>4104</v>
      </c>
      <c r="F1488" s="197">
        <v>80.599999999999994</v>
      </c>
      <c r="G1488" s="190">
        <v>45786</v>
      </c>
      <c r="H1488" s="196">
        <v>0</v>
      </c>
      <c r="I1488" s="197">
        <v>4029.9999999999995</v>
      </c>
      <c r="J1488" s="197">
        <v>4029.9999999999995</v>
      </c>
      <c r="K1488" s="197">
        <v>0</v>
      </c>
      <c r="L1488" s="197">
        <v>-74.000000000000455</v>
      </c>
      <c r="M1488" s="260" t="s">
        <v>239</v>
      </c>
      <c r="N1488" s="260" t="s">
        <v>514</v>
      </c>
    </row>
    <row r="1489" spans="1:14" ht="14.5" x14ac:dyDescent="0.35">
      <c r="A1489" s="260" t="s">
        <v>565</v>
      </c>
      <c r="B1489" s="190">
        <v>45787</v>
      </c>
      <c r="C1489" s="260" t="s">
        <v>749</v>
      </c>
      <c r="D1489" s="197">
        <v>80</v>
      </c>
      <c r="E1489" s="197">
        <v>8008</v>
      </c>
      <c r="F1489" s="197">
        <v>100.47</v>
      </c>
      <c r="G1489" s="190">
        <v>45786</v>
      </c>
      <c r="H1489" s="196">
        <v>1</v>
      </c>
      <c r="I1489" s="197">
        <v>8037.6</v>
      </c>
      <c r="J1489" s="197">
        <v>8037.6</v>
      </c>
      <c r="K1489" s="197">
        <v>0</v>
      </c>
      <c r="L1489" s="197">
        <v>29.600000000000364</v>
      </c>
      <c r="M1489" s="260" t="s">
        <v>239</v>
      </c>
      <c r="N1489" s="260" t="s">
        <v>514</v>
      </c>
    </row>
    <row r="1490" spans="1:14" ht="14.5" x14ac:dyDescent="0.35">
      <c r="A1490" s="260" t="s">
        <v>565</v>
      </c>
      <c r="B1490" s="190">
        <v>45787</v>
      </c>
      <c r="C1490" s="260" t="s">
        <v>752</v>
      </c>
      <c r="D1490" s="197">
        <v>100</v>
      </c>
      <c r="E1490" s="197">
        <v>20020</v>
      </c>
      <c r="F1490" s="197">
        <v>188.6</v>
      </c>
      <c r="G1490" s="190">
        <v>45786</v>
      </c>
      <c r="H1490" s="196">
        <v>1</v>
      </c>
      <c r="I1490" s="197">
        <v>18860</v>
      </c>
      <c r="J1490" s="197">
        <v>18860</v>
      </c>
      <c r="K1490" s="197">
        <v>0</v>
      </c>
      <c r="L1490" s="197">
        <v>-1160</v>
      </c>
      <c r="M1490" s="260" t="s">
        <v>239</v>
      </c>
      <c r="N1490" s="260" t="s">
        <v>514</v>
      </c>
    </row>
    <row r="1491" spans="1:14" ht="14.5" x14ac:dyDescent="0.35">
      <c r="A1491" s="260" t="s">
        <v>565</v>
      </c>
      <c r="B1491" s="190">
        <v>45787</v>
      </c>
      <c r="C1491" s="260" t="s">
        <v>754</v>
      </c>
      <c r="D1491" s="197">
        <v>50</v>
      </c>
      <c r="E1491" s="197">
        <v>4104</v>
      </c>
      <c r="F1491" s="197">
        <v>80.599999999999994</v>
      </c>
      <c r="G1491" s="190">
        <v>45786</v>
      </c>
      <c r="H1491" s="196">
        <v>1</v>
      </c>
      <c r="I1491" s="197">
        <v>4029.9999999999995</v>
      </c>
      <c r="J1491" s="197">
        <v>4029.9999999999995</v>
      </c>
      <c r="K1491" s="197">
        <v>0</v>
      </c>
      <c r="L1491" s="197">
        <v>-74.000000000000455</v>
      </c>
      <c r="M1491" s="260" t="s">
        <v>239</v>
      </c>
      <c r="N1491" s="260" t="s">
        <v>514</v>
      </c>
    </row>
    <row r="1492" spans="1:14" ht="14.5" x14ac:dyDescent="0.35">
      <c r="A1492" s="260" t="s">
        <v>565</v>
      </c>
      <c r="B1492" s="190">
        <v>45788</v>
      </c>
      <c r="C1492" s="260" t="s">
        <v>749</v>
      </c>
      <c r="D1492" s="197">
        <v>80</v>
      </c>
      <c r="E1492" s="197">
        <v>8008</v>
      </c>
      <c r="F1492" s="197">
        <v>100.47</v>
      </c>
      <c r="G1492" s="190">
        <v>45786</v>
      </c>
      <c r="H1492" s="196">
        <v>2</v>
      </c>
      <c r="I1492" s="197">
        <v>8037.6</v>
      </c>
      <c r="J1492" s="197">
        <v>8037.6</v>
      </c>
      <c r="K1492" s="197">
        <v>0</v>
      </c>
      <c r="L1492" s="197">
        <v>29.600000000000364</v>
      </c>
      <c r="M1492" s="260" t="s">
        <v>239</v>
      </c>
      <c r="N1492" s="260" t="s">
        <v>514</v>
      </c>
    </row>
    <row r="1493" spans="1:14" ht="14.5" x14ac:dyDescent="0.35">
      <c r="A1493" s="260" t="s">
        <v>565</v>
      </c>
      <c r="B1493" s="190">
        <v>45788</v>
      </c>
      <c r="C1493" s="260" t="s">
        <v>752</v>
      </c>
      <c r="D1493" s="197">
        <v>100</v>
      </c>
      <c r="E1493" s="197">
        <v>20020</v>
      </c>
      <c r="F1493" s="197">
        <v>188.6</v>
      </c>
      <c r="G1493" s="190">
        <v>45786</v>
      </c>
      <c r="H1493" s="196">
        <v>2</v>
      </c>
      <c r="I1493" s="197">
        <v>18860</v>
      </c>
      <c r="J1493" s="197">
        <v>18860</v>
      </c>
      <c r="K1493" s="197">
        <v>0</v>
      </c>
      <c r="L1493" s="197">
        <v>-1160</v>
      </c>
      <c r="M1493" s="260" t="s">
        <v>239</v>
      </c>
      <c r="N1493" s="260" t="s">
        <v>514</v>
      </c>
    </row>
    <row r="1494" spans="1:14" ht="14.5" x14ac:dyDescent="0.35">
      <c r="A1494" s="260" t="s">
        <v>565</v>
      </c>
      <c r="B1494" s="190">
        <v>45788</v>
      </c>
      <c r="C1494" s="260" t="s">
        <v>754</v>
      </c>
      <c r="D1494" s="197">
        <v>50</v>
      </c>
      <c r="E1494" s="197">
        <v>4104</v>
      </c>
      <c r="F1494" s="197">
        <v>80.599999999999994</v>
      </c>
      <c r="G1494" s="190">
        <v>45786</v>
      </c>
      <c r="H1494" s="196">
        <v>2</v>
      </c>
      <c r="I1494" s="197">
        <v>4029.9999999999995</v>
      </c>
      <c r="J1494" s="197">
        <v>4029.9999999999995</v>
      </c>
      <c r="K1494" s="197">
        <v>0</v>
      </c>
      <c r="L1494" s="197">
        <v>-74.000000000000455</v>
      </c>
      <c r="M1494" s="260" t="s">
        <v>239</v>
      </c>
      <c r="N1494" s="260" t="s">
        <v>514</v>
      </c>
    </row>
    <row r="1495" spans="1:14" ht="14.5" x14ac:dyDescent="0.35">
      <c r="A1495" s="260" t="s">
        <v>565</v>
      </c>
      <c r="B1495" s="190">
        <v>45789</v>
      </c>
      <c r="C1495" s="260" t="s">
        <v>749</v>
      </c>
      <c r="D1495" s="197">
        <v>80</v>
      </c>
      <c r="E1495" s="197">
        <v>8008</v>
      </c>
      <c r="F1495" s="197">
        <v>100.27</v>
      </c>
      <c r="G1495" s="190">
        <v>45789</v>
      </c>
      <c r="H1495" s="196">
        <v>0</v>
      </c>
      <c r="I1495" s="197">
        <v>8021.5999999999995</v>
      </c>
      <c r="J1495" s="197">
        <v>8021.5999999999995</v>
      </c>
      <c r="K1495" s="197">
        <v>0</v>
      </c>
      <c r="L1495" s="197">
        <v>13.599999999999454</v>
      </c>
      <c r="M1495" s="260" t="s">
        <v>239</v>
      </c>
      <c r="N1495" s="260" t="s">
        <v>514</v>
      </c>
    </row>
    <row r="1496" spans="1:14" ht="14.5" x14ac:dyDescent="0.35">
      <c r="A1496" s="260" t="s">
        <v>565</v>
      </c>
      <c r="B1496" s="190">
        <v>45789</v>
      </c>
      <c r="C1496" s="260" t="s">
        <v>752</v>
      </c>
      <c r="D1496" s="197">
        <v>100</v>
      </c>
      <c r="E1496" s="197">
        <v>20020</v>
      </c>
      <c r="F1496" s="197">
        <v>189.2</v>
      </c>
      <c r="G1496" s="190">
        <v>45789</v>
      </c>
      <c r="H1496" s="196">
        <v>0</v>
      </c>
      <c r="I1496" s="197">
        <v>18920</v>
      </c>
      <c r="J1496" s="197">
        <v>18920</v>
      </c>
      <c r="K1496" s="197">
        <v>0</v>
      </c>
      <c r="L1496" s="197">
        <v>-1100</v>
      </c>
      <c r="M1496" s="260" t="s">
        <v>239</v>
      </c>
      <c r="N1496" s="260" t="s">
        <v>514</v>
      </c>
    </row>
    <row r="1497" spans="1:14" ht="14.5" x14ac:dyDescent="0.35">
      <c r="A1497" s="260" t="s">
        <v>565</v>
      </c>
      <c r="B1497" s="190">
        <v>45789</v>
      </c>
      <c r="C1497" s="260" t="s">
        <v>754</v>
      </c>
      <c r="D1497" s="197">
        <v>50</v>
      </c>
      <c r="E1497" s="197">
        <v>4104</v>
      </c>
      <c r="F1497" s="197">
        <v>81.2</v>
      </c>
      <c r="G1497" s="190">
        <v>45789</v>
      </c>
      <c r="H1497" s="196">
        <v>0</v>
      </c>
      <c r="I1497" s="197">
        <v>4060</v>
      </c>
      <c r="J1497" s="197">
        <v>4060</v>
      </c>
      <c r="K1497" s="197">
        <v>0</v>
      </c>
      <c r="L1497" s="197">
        <v>-44</v>
      </c>
      <c r="M1497" s="260" t="s">
        <v>239</v>
      </c>
      <c r="N1497" s="260" t="s">
        <v>514</v>
      </c>
    </row>
    <row r="1498" spans="1:14" ht="14.5" x14ac:dyDescent="0.35">
      <c r="A1498" s="260" t="s">
        <v>565</v>
      </c>
      <c r="B1498" s="190">
        <v>45790</v>
      </c>
      <c r="C1498" s="260" t="s">
        <v>749</v>
      </c>
      <c r="D1498" s="197">
        <v>80</v>
      </c>
      <c r="E1498" s="197">
        <v>8008</v>
      </c>
      <c r="F1498" s="197">
        <v>100.2</v>
      </c>
      <c r="G1498" s="190">
        <v>45790</v>
      </c>
      <c r="H1498" s="196">
        <v>0</v>
      </c>
      <c r="I1498" s="197">
        <v>8016</v>
      </c>
      <c r="J1498" s="197">
        <v>8016</v>
      </c>
      <c r="K1498" s="197">
        <v>0</v>
      </c>
      <c r="L1498" s="197">
        <v>8</v>
      </c>
      <c r="M1498" s="260" t="s">
        <v>239</v>
      </c>
      <c r="N1498" s="260" t="s">
        <v>514</v>
      </c>
    </row>
    <row r="1499" spans="1:14" ht="14.5" x14ac:dyDescent="0.35">
      <c r="A1499" s="260" t="s">
        <v>565</v>
      </c>
      <c r="B1499" s="190">
        <v>45790</v>
      </c>
      <c r="C1499" s="260" t="s">
        <v>752</v>
      </c>
      <c r="D1499" s="197">
        <v>100</v>
      </c>
      <c r="E1499" s="197">
        <v>20020</v>
      </c>
      <c r="F1499" s="197">
        <v>189.4</v>
      </c>
      <c r="G1499" s="190">
        <v>45790</v>
      </c>
      <c r="H1499" s="196">
        <v>0</v>
      </c>
      <c r="I1499" s="197">
        <v>18940</v>
      </c>
      <c r="J1499" s="197">
        <v>18940</v>
      </c>
      <c r="K1499" s="197">
        <v>0</v>
      </c>
      <c r="L1499" s="197">
        <v>-1080</v>
      </c>
      <c r="M1499" s="260" t="s">
        <v>239</v>
      </c>
      <c r="N1499" s="260" t="s">
        <v>514</v>
      </c>
    </row>
    <row r="1500" spans="1:14" ht="14.5" x14ac:dyDescent="0.35">
      <c r="A1500" s="260" t="s">
        <v>565</v>
      </c>
      <c r="B1500" s="190">
        <v>45790</v>
      </c>
      <c r="C1500" s="260" t="s">
        <v>754</v>
      </c>
      <c r="D1500" s="197">
        <v>50</v>
      </c>
      <c r="E1500" s="197">
        <v>4104</v>
      </c>
      <c r="F1500" s="197">
        <v>81.400000000000006</v>
      </c>
      <c r="G1500" s="190">
        <v>45790</v>
      </c>
      <c r="H1500" s="196">
        <v>0</v>
      </c>
      <c r="I1500" s="197">
        <v>4070.0000000000005</v>
      </c>
      <c r="J1500" s="197">
        <v>4070.0000000000005</v>
      </c>
      <c r="K1500" s="197">
        <v>0</v>
      </c>
      <c r="L1500" s="197">
        <v>-33.999999999999545</v>
      </c>
      <c r="M1500" s="260" t="s">
        <v>239</v>
      </c>
      <c r="N1500" s="260" t="s">
        <v>514</v>
      </c>
    </row>
    <row r="1501" spans="1:14" ht="14.5" x14ac:dyDescent="0.35">
      <c r="A1501" s="260" t="s">
        <v>565</v>
      </c>
      <c r="B1501" s="190">
        <v>45791</v>
      </c>
      <c r="C1501" s="260" t="s">
        <v>749</v>
      </c>
      <c r="D1501" s="197">
        <v>80</v>
      </c>
      <c r="E1501" s="197">
        <v>8008</v>
      </c>
      <c r="F1501" s="197">
        <v>100.13</v>
      </c>
      <c r="G1501" s="190">
        <v>45791</v>
      </c>
      <c r="H1501" s="196">
        <v>0</v>
      </c>
      <c r="I1501" s="197">
        <v>8010.4</v>
      </c>
      <c r="J1501" s="197">
        <v>8010.4</v>
      </c>
      <c r="K1501" s="197">
        <v>0</v>
      </c>
      <c r="L1501" s="197">
        <v>2.3999999999996362</v>
      </c>
      <c r="M1501" s="260" t="s">
        <v>239</v>
      </c>
      <c r="N1501" s="260" t="s">
        <v>514</v>
      </c>
    </row>
    <row r="1502" spans="1:14" ht="14.5" x14ac:dyDescent="0.35">
      <c r="A1502" s="260" t="s">
        <v>565</v>
      </c>
      <c r="B1502" s="190">
        <v>45791</v>
      </c>
      <c r="C1502" s="260" t="s">
        <v>752</v>
      </c>
      <c r="D1502" s="197">
        <v>100</v>
      </c>
      <c r="E1502" s="197">
        <v>20020</v>
      </c>
      <c r="F1502" s="197">
        <v>189.6</v>
      </c>
      <c r="G1502" s="190">
        <v>45791</v>
      </c>
      <c r="H1502" s="196">
        <v>0</v>
      </c>
      <c r="I1502" s="197">
        <v>18960</v>
      </c>
      <c r="J1502" s="197">
        <v>18960</v>
      </c>
      <c r="K1502" s="197">
        <v>0</v>
      </c>
      <c r="L1502" s="197">
        <v>-1060</v>
      </c>
      <c r="M1502" s="260" t="s">
        <v>239</v>
      </c>
      <c r="N1502" s="260" t="s">
        <v>514</v>
      </c>
    </row>
    <row r="1503" spans="1:14" ht="14.5" x14ac:dyDescent="0.35">
      <c r="A1503" s="260" t="s">
        <v>565</v>
      </c>
      <c r="B1503" s="190">
        <v>45791</v>
      </c>
      <c r="C1503" s="260" t="s">
        <v>754</v>
      </c>
      <c r="D1503" s="197">
        <v>50</v>
      </c>
      <c r="E1503" s="197">
        <v>4104</v>
      </c>
      <c r="F1503" s="197">
        <v>81.599999999999994</v>
      </c>
      <c r="G1503" s="190">
        <v>45791</v>
      </c>
      <c r="H1503" s="196">
        <v>0</v>
      </c>
      <c r="I1503" s="197">
        <v>4079.9999999999995</v>
      </c>
      <c r="J1503" s="197">
        <v>4079.9999999999995</v>
      </c>
      <c r="K1503" s="197">
        <v>0</v>
      </c>
      <c r="L1503" s="197">
        <v>-24.000000000000455</v>
      </c>
      <c r="M1503" s="260" t="s">
        <v>239</v>
      </c>
      <c r="N1503" s="260" t="s">
        <v>514</v>
      </c>
    </row>
    <row r="1504" spans="1:14" ht="14.5" x14ac:dyDescent="0.35">
      <c r="A1504" s="260" t="s">
        <v>565</v>
      </c>
      <c r="B1504" s="190">
        <v>45792</v>
      </c>
      <c r="C1504" s="260" t="s">
        <v>749</v>
      </c>
      <c r="D1504" s="197">
        <v>80</v>
      </c>
      <c r="E1504" s="197">
        <v>8008</v>
      </c>
      <c r="F1504" s="197">
        <v>100.07</v>
      </c>
      <c r="G1504" s="190">
        <v>45792</v>
      </c>
      <c r="H1504" s="196">
        <v>0</v>
      </c>
      <c r="I1504" s="197">
        <v>8005.5999999999995</v>
      </c>
      <c r="J1504" s="197">
        <v>8005.5999999999995</v>
      </c>
      <c r="K1504" s="197">
        <v>0</v>
      </c>
      <c r="L1504" s="197">
        <v>-2.4000000000005457</v>
      </c>
      <c r="M1504" s="260" t="s">
        <v>239</v>
      </c>
      <c r="N1504" s="260" t="s">
        <v>514</v>
      </c>
    </row>
    <row r="1505" spans="1:14" ht="14.5" x14ac:dyDescent="0.35">
      <c r="A1505" s="260" t="s">
        <v>565</v>
      </c>
      <c r="B1505" s="190">
        <v>45792</v>
      </c>
      <c r="C1505" s="260" t="s">
        <v>752</v>
      </c>
      <c r="D1505" s="197">
        <v>100</v>
      </c>
      <c r="E1505" s="197">
        <v>20020</v>
      </c>
      <c r="F1505" s="197">
        <v>189.8</v>
      </c>
      <c r="G1505" s="190">
        <v>45792</v>
      </c>
      <c r="H1505" s="196">
        <v>0</v>
      </c>
      <c r="I1505" s="197">
        <v>18980</v>
      </c>
      <c r="J1505" s="197">
        <v>18980</v>
      </c>
      <c r="K1505" s="197">
        <v>0</v>
      </c>
      <c r="L1505" s="197">
        <v>-1040</v>
      </c>
      <c r="M1505" s="260" t="s">
        <v>239</v>
      </c>
      <c r="N1505" s="260" t="s">
        <v>514</v>
      </c>
    </row>
    <row r="1506" spans="1:14" ht="14.5" x14ac:dyDescent="0.35">
      <c r="A1506" s="260" t="s">
        <v>565</v>
      </c>
      <c r="B1506" s="190">
        <v>45792</v>
      </c>
      <c r="C1506" s="260" t="s">
        <v>754</v>
      </c>
      <c r="D1506" s="197">
        <v>50</v>
      </c>
      <c r="E1506" s="197">
        <v>4104</v>
      </c>
      <c r="F1506" s="197">
        <v>81.8</v>
      </c>
      <c r="G1506" s="190">
        <v>45792</v>
      </c>
      <c r="H1506" s="196">
        <v>0</v>
      </c>
      <c r="I1506" s="197">
        <v>4090</v>
      </c>
      <c r="J1506" s="197">
        <v>4090</v>
      </c>
      <c r="K1506" s="197">
        <v>0</v>
      </c>
      <c r="L1506" s="197">
        <v>-14</v>
      </c>
      <c r="M1506" s="260" t="s">
        <v>239</v>
      </c>
      <c r="N1506" s="260" t="s">
        <v>514</v>
      </c>
    </row>
    <row r="1507" spans="1:14" ht="14.5" x14ac:dyDescent="0.35">
      <c r="A1507" s="260" t="s">
        <v>565</v>
      </c>
      <c r="B1507" s="190">
        <v>45793</v>
      </c>
      <c r="C1507" s="260" t="s">
        <v>749</v>
      </c>
      <c r="D1507" s="197">
        <v>80</v>
      </c>
      <c r="E1507" s="197">
        <v>8008</v>
      </c>
      <c r="F1507" s="197">
        <v>100</v>
      </c>
      <c r="G1507" s="190">
        <v>45793</v>
      </c>
      <c r="H1507" s="196">
        <v>0</v>
      </c>
      <c r="I1507" s="197">
        <v>8000</v>
      </c>
      <c r="J1507" s="197">
        <v>8000</v>
      </c>
      <c r="K1507" s="197">
        <v>0</v>
      </c>
      <c r="L1507" s="197">
        <v>-8</v>
      </c>
      <c r="M1507" s="260" t="s">
        <v>239</v>
      </c>
      <c r="N1507" s="260" t="s">
        <v>514</v>
      </c>
    </row>
    <row r="1508" spans="1:14" ht="14.5" x14ac:dyDescent="0.35">
      <c r="A1508" s="260" t="s">
        <v>565</v>
      </c>
      <c r="B1508" s="190">
        <v>45793</v>
      </c>
      <c r="C1508" s="260" t="s">
        <v>752</v>
      </c>
      <c r="D1508" s="197">
        <v>100</v>
      </c>
      <c r="E1508" s="197">
        <v>20020</v>
      </c>
      <c r="F1508" s="197">
        <v>190</v>
      </c>
      <c r="G1508" s="190">
        <v>45793</v>
      </c>
      <c r="H1508" s="196">
        <v>0</v>
      </c>
      <c r="I1508" s="197">
        <v>19000</v>
      </c>
      <c r="J1508" s="197">
        <v>19000</v>
      </c>
      <c r="K1508" s="197">
        <v>0</v>
      </c>
      <c r="L1508" s="197">
        <v>-1020</v>
      </c>
      <c r="M1508" s="260" t="s">
        <v>239</v>
      </c>
      <c r="N1508" s="260" t="s">
        <v>514</v>
      </c>
    </row>
    <row r="1509" spans="1:14" ht="14.5" x14ac:dyDescent="0.35">
      <c r="A1509" s="260" t="s">
        <v>565</v>
      </c>
      <c r="B1509" s="190">
        <v>45793</v>
      </c>
      <c r="C1509" s="260" t="s">
        <v>754</v>
      </c>
      <c r="D1509" s="197">
        <v>50</v>
      </c>
      <c r="E1509" s="197">
        <v>4104</v>
      </c>
      <c r="F1509" s="197">
        <v>82</v>
      </c>
      <c r="G1509" s="190">
        <v>45793</v>
      </c>
      <c r="H1509" s="196">
        <v>0</v>
      </c>
      <c r="I1509" s="197">
        <v>4100</v>
      </c>
      <c r="J1509" s="197">
        <v>4100</v>
      </c>
      <c r="K1509" s="197">
        <v>0</v>
      </c>
      <c r="L1509" s="197">
        <v>-4</v>
      </c>
      <c r="M1509" s="260" t="s">
        <v>239</v>
      </c>
      <c r="N1509" s="260" t="s">
        <v>514</v>
      </c>
    </row>
    <row r="1510" spans="1:14" ht="14.5" x14ac:dyDescent="0.35">
      <c r="A1510" s="260" t="s">
        <v>565</v>
      </c>
      <c r="B1510" s="190">
        <v>45794</v>
      </c>
      <c r="C1510" s="260" t="s">
        <v>749</v>
      </c>
      <c r="D1510" s="197">
        <v>80</v>
      </c>
      <c r="E1510" s="197">
        <v>8008</v>
      </c>
      <c r="F1510" s="197">
        <v>100</v>
      </c>
      <c r="G1510" s="190">
        <v>45793</v>
      </c>
      <c r="H1510" s="196">
        <v>1</v>
      </c>
      <c r="I1510" s="197">
        <v>8000</v>
      </c>
      <c r="J1510" s="197">
        <v>8000</v>
      </c>
      <c r="K1510" s="197">
        <v>0</v>
      </c>
      <c r="L1510" s="197">
        <v>-8</v>
      </c>
      <c r="M1510" s="260" t="s">
        <v>239</v>
      </c>
      <c r="N1510" s="260" t="s">
        <v>514</v>
      </c>
    </row>
    <row r="1511" spans="1:14" ht="14.5" x14ac:dyDescent="0.35">
      <c r="A1511" s="260" t="s">
        <v>565</v>
      </c>
      <c r="B1511" s="190">
        <v>45794</v>
      </c>
      <c r="C1511" s="260" t="s">
        <v>752</v>
      </c>
      <c r="D1511" s="197">
        <v>100</v>
      </c>
      <c r="E1511" s="197">
        <v>20020</v>
      </c>
      <c r="F1511" s="197">
        <v>190</v>
      </c>
      <c r="G1511" s="190">
        <v>45793</v>
      </c>
      <c r="H1511" s="196">
        <v>1</v>
      </c>
      <c r="I1511" s="197">
        <v>19000</v>
      </c>
      <c r="J1511" s="197">
        <v>19000</v>
      </c>
      <c r="K1511" s="197">
        <v>0</v>
      </c>
      <c r="L1511" s="197">
        <v>-1020</v>
      </c>
      <c r="M1511" s="260" t="s">
        <v>239</v>
      </c>
      <c r="N1511" s="260" t="s">
        <v>514</v>
      </c>
    </row>
    <row r="1512" spans="1:14" ht="14.5" x14ac:dyDescent="0.35">
      <c r="A1512" s="260" t="s">
        <v>565</v>
      </c>
      <c r="B1512" s="190">
        <v>45794</v>
      </c>
      <c r="C1512" s="260" t="s">
        <v>754</v>
      </c>
      <c r="D1512" s="197">
        <v>50</v>
      </c>
      <c r="E1512" s="197">
        <v>4104</v>
      </c>
      <c r="F1512" s="197">
        <v>82</v>
      </c>
      <c r="G1512" s="190">
        <v>45793</v>
      </c>
      <c r="H1512" s="196">
        <v>1</v>
      </c>
      <c r="I1512" s="197">
        <v>4100</v>
      </c>
      <c r="J1512" s="197">
        <v>4100</v>
      </c>
      <c r="K1512" s="197">
        <v>0</v>
      </c>
      <c r="L1512" s="197">
        <v>-4</v>
      </c>
      <c r="M1512" s="260" t="s">
        <v>239</v>
      </c>
      <c r="N1512" s="260" t="s">
        <v>514</v>
      </c>
    </row>
    <row r="1513" spans="1:14" ht="14.5" x14ac:dyDescent="0.35">
      <c r="A1513" s="260" t="s">
        <v>565</v>
      </c>
      <c r="B1513" s="190">
        <v>45795</v>
      </c>
      <c r="C1513" s="260" t="s">
        <v>749</v>
      </c>
      <c r="D1513" s="197">
        <v>80</v>
      </c>
      <c r="E1513" s="197">
        <v>8008</v>
      </c>
      <c r="F1513" s="197">
        <v>100</v>
      </c>
      <c r="G1513" s="190">
        <v>45793</v>
      </c>
      <c r="H1513" s="196">
        <v>2</v>
      </c>
      <c r="I1513" s="197">
        <v>8000</v>
      </c>
      <c r="J1513" s="197">
        <v>8000</v>
      </c>
      <c r="K1513" s="197">
        <v>0</v>
      </c>
      <c r="L1513" s="197">
        <v>-8</v>
      </c>
      <c r="M1513" s="260" t="s">
        <v>239</v>
      </c>
      <c r="N1513" s="260" t="s">
        <v>514</v>
      </c>
    </row>
    <row r="1514" spans="1:14" ht="14.5" x14ac:dyDescent="0.35">
      <c r="A1514" s="260" t="s">
        <v>565</v>
      </c>
      <c r="B1514" s="190">
        <v>45795</v>
      </c>
      <c r="C1514" s="260" t="s">
        <v>752</v>
      </c>
      <c r="D1514" s="197">
        <v>100</v>
      </c>
      <c r="E1514" s="197">
        <v>20020</v>
      </c>
      <c r="F1514" s="197">
        <v>190</v>
      </c>
      <c r="G1514" s="190">
        <v>45793</v>
      </c>
      <c r="H1514" s="196">
        <v>2</v>
      </c>
      <c r="I1514" s="197">
        <v>19000</v>
      </c>
      <c r="J1514" s="197">
        <v>19000</v>
      </c>
      <c r="K1514" s="197">
        <v>0</v>
      </c>
      <c r="L1514" s="197">
        <v>-1020</v>
      </c>
      <c r="M1514" s="260" t="s">
        <v>239</v>
      </c>
      <c r="N1514" s="260" t="s">
        <v>514</v>
      </c>
    </row>
    <row r="1515" spans="1:14" ht="14.5" x14ac:dyDescent="0.35">
      <c r="A1515" s="260" t="s">
        <v>565</v>
      </c>
      <c r="B1515" s="190">
        <v>45795</v>
      </c>
      <c r="C1515" s="260" t="s">
        <v>754</v>
      </c>
      <c r="D1515" s="197">
        <v>50</v>
      </c>
      <c r="E1515" s="197">
        <v>4104</v>
      </c>
      <c r="F1515" s="197">
        <v>82</v>
      </c>
      <c r="G1515" s="190">
        <v>45793</v>
      </c>
      <c r="H1515" s="196">
        <v>2</v>
      </c>
      <c r="I1515" s="197">
        <v>4100</v>
      </c>
      <c r="J1515" s="197">
        <v>4100</v>
      </c>
      <c r="K1515" s="197">
        <v>0</v>
      </c>
      <c r="L1515" s="197">
        <v>-4</v>
      </c>
      <c r="M1515" s="260" t="s">
        <v>239</v>
      </c>
      <c r="N1515" s="260" t="s">
        <v>514</v>
      </c>
    </row>
    <row r="1516" spans="1:14" ht="14.5" x14ac:dyDescent="0.35">
      <c r="A1516" s="260" t="s">
        <v>565</v>
      </c>
      <c r="B1516" s="190">
        <v>45796</v>
      </c>
      <c r="C1516" s="260" t="s">
        <v>749</v>
      </c>
      <c r="D1516" s="197">
        <v>80</v>
      </c>
      <c r="E1516" s="197">
        <v>8008</v>
      </c>
      <c r="F1516" s="197">
        <v>99.8</v>
      </c>
      <c r="G1516" s="190">
        <v>45796</v>
      </c>
      <c r="H1516" s="196">
        <v>0</v>
      </c>
      <c r="I1516" s="197">
        <v>7984</v>
      </c>
      <c r="J1516" s="197">
        <v>7984</v>
      </c>
      <c r="K1516" s="197">
        <v>0</v>
      </c>
      <c r="L1516" s="197">
        <v>-24</v>
      </c>
      <c r="M1516" s="260" t="s">
        <v>239</v>
      </c>
      <c r="N1516" s="260" t="s">
        <v>514</v>
      </c>
    </row>
    <row r="1517" spans="1:14" ht="14.5" x14ac:dyDescent="0.35">
      <c r="A1517" s="260" t="s">
        <v>565</v>
      </c>
      <c r="B1517" s="190">
        <v>45796</v>
      </c>
      <c r="C1517" s="260" t="s">
        <v>752</v>
      </c>
      <c r="D1517" s="197">
        <v>100</v>
      </c>
      <c r="E1517" s="197">
        <v>20020</v>
      </c>
      <c r="F1517" s="197">
        <v>190.6</v>
      </c>
      <c r="G1517" s="190">
        <v>45796</v>
      </c>
      <c r="H1517" s="196">
        <v>0</v>
      </c>
      <c r="I1517" s="197">
        <v>19060</v>
      </c>
      <c r="J1517" s="197">
        <v>19060</v>
      </c>
      <c r="K1517" s="197">
        <v>0</v>
      </c>
      <c r="L1517" s="197">
        <v>-960</v>
      </c>
      <c r="M1517" s="260" t="s">
        <v>239</v>
      </c>
      <c r="N1517" s="260" t="s">
        <v>514</v>
      </c>
    </row>
    <row r="1518" spans="1:14" ht="14.5" x14ac:dyDescent="0.35">
      <c r="A1518" s="260" t="s">
        <v>565</v>
      </c>
      <c r="B1518" s="190">
        <v>45796</v>
      </c>
      <c r="C1518" s="260" t="s">
        <v>754</v>
      </c>
      <c r="D1518" s="197">
        <v>50</v>
      </c>
      <c r="E1518" s="197">
        <v>4104</v>
      </c>
      <c r="F1518" s="197">
        <v>82.6</v>
      </c>
      <c r="G1518" s="190">
        <v>45796</v>
      </c>
      <c r="H1518" s="196">
        <v>0</v>
      </c>
      <c r="I1518" s="197">
        <v>4130</v>
      </c>
      <c r="J1518" s="197">
        <v>4130</v>
      </c>
      <c r="K1518" s="197">
        <v>0</v>
      </c>
      <c r="L1518" s="197">
        <v>26</v>
      </c>
      <c r="M1518" s="260" t="s">
        <v>239</v>
      </c>
      <c r="N1518" s="260" t="s">
        <v>514</v>
      </c>
    </row>
    <row r="1519" spans="1:14" ht="14.5" x14ac:dyDescent="0.35">
      <c r="A1519" s="260" t="s">
        <v>565</v>
      </c>
      <c r="B1519" s="190">
        <v>45797</v>
      </c>
      <c r="C1519" s="260" t="s">
        <v>749</v>
      </c>
      <c r="D1519" s="197">
        <v>80</v>
      </c>
      <c r="E1519" s="197">
        <v>8008</v>
      </c>
      <c r="F1519" s="197">
        <v>99.73</v>
      </c>
      <c r="G1519" s="190">
        <v>45797</v>
      </c>
      <c r="H1519" s="196">
        <v>0</v>
      </c>
      <c r="I1519" s="197">
        <v>7978.4000000000005</v>
      </c>
      <c r="J1519" s="197">
        <v>7978.4000000000005</v>
      </c>
      <c r="K1519" s="197">
        <v>0</v>
      </c>
      <c r="L1519" s="197">
        <v>-29.599999999999454</v>
      </c>
      <c r="M1519" s="260" t="s">
        <v>239</v>
      </c>
      <c r="N1519" s="260" t="s">
        <v>514</v>
      </c>
    </row>
    <row r="1520" spans="1:14" ht="14.5" x14ac:dyDescent="0.35">
      <c r="A1520" s="260" t="s">
        <v>565</v>
      </c>
      <c r="B1520" s="190">
        <v>45797</v>
      </c>
      <c r="C1520" s="260" t="s">
        <v>752</v>
      </c>
      <c r="D1520" s="197">
        <v>100</v>
      </c>
      <c r="E1520" s="197">
        <v>20020</v>
      </c>
      <c r="F1520" s="197">
        <v>190.8</v>
      </c>
      <c r="G1520" s="190">
        <v>45797</v>
      </c>
      <c r="H1520" s="196">
        <v>0</v>
      </c>
      <c r="I1520" s="197">
        <v>19080</v>
      </c>
      <c r="J1520" s="197">
        <v>19080</v>
      </c>
      <c r="K1520" s="197">
        <v>0</v>
      </c>
      <c r="L1520" s="197">
        <v>-940</v>
      </c>
      <c r="M1520" s="260" t="s">
        <v>239</v>
      </c>
      <c r="N1520" s="260" t="s">
        <v>514</v>
      </c>
    </row>
    <row r="1521" spans="1:14" ht="14.5" x14ac:dyDescent="0.35">
      <c r="A1521" s="260" t="s">
        <v>565</v>
      </c>
      <c r="B1521" s="190">
        <v>45797</v>
      </c>
      <c r="C1521" s="260" t="s">
        <v>754</v>
      </c>
      <c r="D1521" s="197">
        <v>50</v>
      </c>
      <c r="E1521" s="197">
        <v>4104</v>
      </c>
      <c r="F1521" s="197">
        <v>82.8</v>
      </c>
      <c r="G1521" s="190">
        <v>45797</v>
      </c>
      <c r="H1521" s="196">
        <v>0</v>
      </c>
      <c r="I1521" s="197">
        <v>4140</v>
      </c>
      <c r="J1521" s="197">
        <v>4140</v>
      </c>
      <c r="K1521" s="197">
        <v>0</v>
      </c>
      <c r="L1521" s="197">
        <v>36</v>
      </c>
      <c r="M1521" s="260" t="s">
        <v>239</v>
      </c>
      <c r="N1521" s="260" t="s">
        <v>514</v>
      </c>
    </row>
    <row r="1522" spans="1:14" ht="14.5" x14ac:dyDescent="0.35">
      <c r="A1522" s="260" t="s">
        <v>565</v>
      </c>
      <c r="B1522" s="190">
        <v>45798</v>
      </c>
      <c r="C1522" s="260" t="s">
        <v>749</v>
      </c>
      <c r="D1522" s="197">
        <v>80</v>
      </c>
      <c r="E1522" s="197">
        <v>8008</v>
      </c>
      <c r="F1522" s="197">
        <v>99.67</v>
      </c>
      <c r="G1522" s="190">
        <v>45798</v>
      </c>
      <c r="H1522" s="196">
        <v>0</v>
      </c>
      <c r="I1522" s="197">
        <v>7973.6</v>
      </c>
      <c r="J1522" s="197">
        <v>7973.6</v>
      </c>
      <c r="K1522" s="197">
        <v>0</v>
      </c>
      <c r="L1522" s="197">
        <v>-34.399999999999636</v>
      </c>
      <c r="M1522" s="260" t="s">
        <v>239</v>
      </c>
      <c r="N1522" s="260" t="s">
        <v>514</v>
      </c>
    </row>
    <row r="1523" spans="1:14" ht="14.5" x14ac:dyDescent="0.35">
      <c r="A1523" s="260" t="s">
        <v>565</v>
      </c>
      <c r="B1523" s="190">
        <v>45798</v>
      </c>
      <c r="C1523" s="260" t="s">
        <v>752</v>
      </c>
      <c r="D1523" s="197">
        <v>100</v>
      </c>
      <c r="E1523" s="197">
        <v>20020</v>
      </c>
      <c r="F1523" s="197">
        <v>191</v>
      </c>
      <c r="G1523" s="190">
        <v>45798</v>
      </c>
      <c r="H1523" s="196">
        <v>0</v>
      </c>
      <c r="I1523" s="197">
        <v>19100</v>
      </c>
      <c r="J1523" s="197">
        <v>19100</v>
      </c>
      <c r="K1523" s="197">
        <v>0</v>
      </c>
      <c r="L1523" s="197">
        <v>-920</v>
      </c>
      <c r="M1523" s="260" t="s">
        <v>239</v>
      </c>
      <c r="N1523" s="260" t="s">
        <v>514</v>
      </c>
    </row>
    <row r="1524" spans="1:14" ht="14.5" x14ac:dyDescent="0.35">
      <c r="A1524" s="260" t="s">
        <v>565</v>
      </c>
      <c r="B1524" s="190">
        <v>45798</v>
      </c>
      <c r="C1524" s="260" t="s">
        <v>754</v>
      </c>
      <c r="D1524" s="197">
        <v>50</v>
      </c>
      <c r="E1524" s="197">
        <v>4104</v>
      </c>
      <c r="F1524" s="197">
        <v>83</v>
      </c>
      <c r="G1524" s="190">
        <v>45798</v>
      </c>
      <c r="H1524" s="196">
        <v>0</v>
      </c>
      <c r="I1524" s="197">
        <v>4150</v>
      </c>
      <c r="J1524" s="197">
        <v>4150</v>
      </c>
      <c r="K1524" s="197">
        <v>0</v>
      </c>
      <c r="L1524" s="197">
        <v>46</v>
      </c>
      <c r="M1524" s="260" t="s">
        <v>239</v>
      </c>
      <c r="N1524" s="260" t="s">
        <v>514</v>
      </c>
    </row>
    <row r="1525" spans="1:14" ht="14.5" x14ac:dyDescent="0.35">
      <c r="A1525" s="260" t="s">
        <v>565</v>
      </c>
      <c r="B1525" s="190">
        <v>45799</v>
      </c>
      <c r="C1525" s="260" t="s">
        <v>749</v>
      </c>
      <c r="D1525" s="197">
        <v>80</v>
      </c>
      <c r="E1525" s="197">
        <v>8008</v>
      </c>
      <c r="F1525" s="197">
        <v>99.6</v>
      </c>
      <c r="G1525" s="190">
        <v>45799</v>
      </c>
      <c r="H1525" s="196">
        <v>0</v>
      </c>
      <c r="I1525" s="197">
        <v>7968</v>
      </c>
      <c r="J1525" s="197">
        <v>7968</v>
      </c>
      <c r="K1525" s="197">
        <v>0</v>
      </c>
      <c r="L1525" s="197">
        <v>-40</v>
      </c>
      <c r="M1525" s="260" t="s">
        <v>239</v>
      </c>
      <c r="N1525" s="260" t="s">
        <v>514</v>
      </c>
    </row>
    <row r="1526" spans="1:14" ht="14.5" x14ac:dyDescent="0.35">
      <c r="A1526" s="260" t="s">
        <v>565</v>
      </c>
      <c r="B1526" s="190">
        <v>45799</v>
      </c>
      <c r="C1526" s="260" t="s">
        <v>752</v>
      </c>
      <c r="D1526" s="197">
        <v>100</v>
      </c>
      <c r="E1526" s="197">
        <v>20020</v>
      </c>
      <c r="F1526" s="197">
        <v>191.2</v>
      </c>
      <c r="G1526" s="190">
        <v>45799</v>
      </c>
      <c r="H1526" s="196">
        <v>0</v>
      </c>
      <c r="I1526" s="197">
        <v>19120</v>
      </c>
      <c r="J1526" s="197">
        <v>19120</v>
      </c>
      <c r="K1526" s="197">
        <v>0</v>
      </c>
      <c r="L1526" s="197">
        <v>-900</v>
      </c>
      <c r="M1526" s="260" t="s">
        <v>239</v>
      </c>
      <c r="N1526" s="260" t="s">
        <v>514</v>
      </c>
    </row>
    <row r="1527" spans="1:14" ht="14.5" x14ac:dyDescent="0.35">
      <c r="A1527" s="260" t="s">
        <v>565</v>
      </c>
      <c r="B1527" s="190">
        <v>45799</v>
      </c>
      <c r="C1527" s="260" t="s">
        <v>754</v>
      </c>
      <c r="D1527" s="197">
        <v>50</v>
      </c>
      <c r="E1527" s="197">
        <v>4104</v>
      </c>
      <c r="F1527" s="197">
        <v>83.2</v>
      </c>
      <c r="G1527" s="190">
        <v>45799</v>
      </c>
      <c r="H1527" s="196">
        <v>0</v>
      </c>
      <c r="I1527" s="197">
        <v>4160</v>
      </c>
      <c r="J1527" s="197">
        <v>4160</v>
      </c>
      <c r="K1527" s="197">
        <v>0</v>
      </c>
      <c r="L1527" s="197">
        <v>56</v>
      </c>
      <c r="M1527" s="260" t="s">
        <v>239</v>
      </c>
      <c r="N1527" s="260" t="s">
        <v>514</v>
      </c>
    </row>
    <row r="1528" spans="1:14" ht="14.5" x14ac:dyDescent="0.35">
      <c r="A1528" s="260" t="s">
        <v>565</v>
      </c>
      <c r="B1528" s="190">
        <v>45800</v>
      </c>
      <c r="C1528" s="260" t="s">
        <v>749</v>
      </c>
      <c r="D1528" s="197">
        <v>80</v>
      </c>
      <c r="E1528" s="197">
        <v>8008</v>
      </c>
      <c r="F1528" s="197">
        <v>99.53</v>
      </c>
      <c r="G1528" s="190">
        <v>45800</v>
      </c>
      <c r="H1528" s="196">
        <v>0</v>
      </c>
      <c r="I1528" s="197">
        <v>7962.4</v>
      </c>
      <c r="J1528" s="197">
        <v>7962.4</v>
      </c>
      <c r="K1528" s="197">
        <v>0</v>
      </c>
      <c r="L1528" s="197">
        <v>-45.600000000000364</v>
      </c>
      <c r="M1528" s="260" t="s">
        <v>239</v>
      </c>
      <c r="N1528" s="260" t="s">
        <v>514</v>
      </c>
    </row>
    <row r="1529" spans="1:14" ht="14.5" x14ac:dyDescent="0.35">
      <c r="A1529" s="260" t="s">
        <v>565</v>
      </c>
      <c r="B1529" s="190">
        <v>45800</v>
      </c>
      <c r="C1529" s="260" t="s">
        <v>752</v>
      </c>
      <c r="D1529" s="197">
        <v>100</v>
      </c>
      <c r="E1529" s="197">
        <v>20020</v>
      </c>
      <c r="F1529" s="197">
        <v>191.4</v>
      </c>
      <c r="G1529" s="190">
        <v>45800</v>
      </c>
      <c r="H1529" s="196">
        <v>0</v>
      </c>
      <c r="I1529" s="197">
        <v>19140</v>
      </c>
      <c r="J1529" s="197">
        <v>19140</v>
      </c>
      <c r="K1529" s="197">
        <v>0</v>
      </c>
      <c r="L1529" s="197">
        <v>-880</v>
      </c>
      <c r="M1529" s="260" t="s">
        <v>239</v>
      </c>
      <c r="N1529" s="260" t="s">
        <v>514</v>
      </c>
    </row>
    <row r="1530" spans="1:14" ht="14.5" x14ac:dyDescent="0.35">
      <c r="A1530" s="260" t="s">
        <v>565</v>
      </c>
      <c r="B1530" s="190">
        <v>45800</v>
      </c>
      <c r="C1530" s="260" t="s">
        <v>754</v>
      </c>
      <c r="D1530" s="197">
        <v>50</v>
      </c>
      <c r="E1530" s="197">
        <v>4104</v>
      </c>
      <c r="F1530" s="197">
        <v>83.4</v>
      </c>
      <c r="G1530" s="190">
        <v>45800</v>
      </c>
      <c r="H1530" s="196">
        <v>0</v>
      </c>
      <c r="I1530" s="197">
        <v>4170</v>
      </c>
      <c r="J1530" s="197">
        <v>4170</v>
      </c>
      <c r="K1530" s="197">
        <v>0</v>
      </c>
      <c r="L1530" s="197">
        <v>66</v>
      </c>
      <c r="M1530" s="260" t="s">
        <v>239</v>
      </c>
      <c r="N1530" s="260" t="s">
        <v>514</v>
      </c>
    </row>
    <row r="1531" spans="1:14" ht="14.5" x14ac:dyDescent="0.35">
      <c r="A1531" s="260" t="s">
        <v>565</v>
      </c>
      <c r="B1531" s="190">
        <v>45801</v>
      </c>
      <c r="C1531" s="260" t="s">
        <v>749</v>
      </c>
      <c r="D1531" s="197">
        <v>80</v>
      </c>
      <c r="E1531" s="197">
        <v>8008</v>
      </c>
      <c r="F1531" s="197">
        <v>99.53</v>
      </c>
      <c r="G1531" s="190">
        <v>45800</v>
      </c>
      <c r="H1531" s="196">
        <v>1</v>
      </c>
      <c r="I1531" s="197">
        <v>7962.4</v>
      </c>
      <c r="J1531" s="197">
        <v>7962.4</v>
      </c>
      <c r="K1531" s="197">
        <v>0</v>
      </c>
      <c r="L1531" s="197">
        <v>-45.600000000000364</v>
      </c>
      <c r="M1531" s="260" t="s">
        <v>239</v>
      </c>
      <c r="N1531" s="260" t="s">
        <v>514</v>
      </c>
    </row>
    <row r="1532" spans="1:14" ht="14.5" x14ac:dyDescent="0.35">
      <c r="A1532" s="260" t="s">
        <v>565</v>
      </c>
      <c r="B1532" s="190">
        <v>45801</v>
      </c>
      <c r="C1532" s="260" t="s">
        <v>752</v>
      </c>
      <c r="D1532" s="197">
        <v>100</v>
      </c>
      <c r="E1532" s="197">
        <v>20020</v>
      </c>
      <c r="F1532" s="197">
        <v>191.4</v>
      </c>
      <c r="G1532" s="190">
        <v>45800</v>
      </c>
      <c r="H1532" s="196">
        <v>1</v>
      </c>
      <c r="I1532" s="197">
        <v>19140</v>
      </c>
      <c r="J1532" s="197">
        <v>19140</v>
      </c>
      <c r="K1532" s="197">
        <v>0</v>
      </c>
      <c r="L1532" s="197">
        <v>-880</v>
      </c>
      <c r="M1532" s="260" t="s">
        <v>239</v>
      </c>
      <c r="N1532" s="260" t="s">
        <v>514</v>
      </c>
    </row>
    <row r="1533" spans="1:14" ht="14.5" x14ac:dyDescent="0.35">
      <c r="A1533" s="260" t="s">
        <v>565</v>
      </c>
      <c r="B1533" s="190">
        <v>45801</v>
      </c>
      <c r="C1533" s="260" t="s">
        <v>754</v>
      </c>
      <c r="D1533" s="197">
        <v>50</v>
      </c>
      <c r="E1533" s="197">
        <v>4104</v>
      </c>
      <c r="F1533" s="197">
        <v>83.4</v>
      </c>
      <c r="G1533" s="190">
        <v>45800</v>
      </c>
      <c r="H1533" s="196">
        <v>1</v>
      </c>
      <c r="I1533" s="197">
        <v>4170</v>
      </c>
      <c r="J1533" s="197">
        <v>4170</v>
      </c>
      <c r="K1533" s="197">
        <v>0</v>
      </c>
      <c r="L1533" s="197">
        <v>66</v>
      </c>
      <c r="M1533" s="260" t="s">
        <v>239</v>
      </c>
      <c r="N1533" s="260" t="s">
        <v>514</v>
      </c>
    </row>
    <row r="1534" spans="1:14" ht="14.5" x14ac:dyDescent="0.35">
      <c r="A1534" s="260" t="s">
        <v>565</v>
      </c>
      <c r="B1534" s="190">
        <v>45802</v>
      </c>
      <c r="C1534" s="260" t="s">
        <v>749</v>
      </c>
      <c r="D1534" s="197">
        <v>80</v>
      </c>
      <c r="E1534" s="197">
        <v>8008</v>
      </c>
      <c r="F1534" s="197">
        <v>99.53</v>
      </c>
      <c r="G1534" s="190">
        <v>45800</v>
      </c>
      <c r="H1534" s="196">
        <v>2</v>
      </c>
      <c r="I1534" s="197">
        <v>7962.4</v>
      </c>
      <c r="J1534" s="197">
        <v>7962.4</v>
      </c>
      <c r="K1534" s="197">
        <v>0</v>
      </c>
      <c r="L1534" s="197">
        <v>-45.600000000000364</v>
      </c>
      <c r="M1534" s="260" t="s">
        <v>239</v>
      </c>
      <c r="N1534" s="260" t="s">
        <v>514</v>
      </c>
    </row>
    <row r="1535" spans="1:14" ht="14.5" x14ac:dyDescent="0.35">
      <c r="A1535" s="260" t="s">
        <v>565</v>
      </c>
      <c r="B1535" s="190">
        <v>45802</v>
      </c>
      <c r="C1535" s="260" t="s">
        <v>752</v>
      </c>
      <c r="D1535" s="197">
        <v>100</v>
      </c>
      <c r="E1535" s="197">
        <v>20020</v>
      </c>
      <c r="F1535" s="197">
        <v>191.4</v>
      </c>
      <c r="G1535" s="190">
        <v>45800</v>
      </c>
      <c r="H1535" s="196">
        <v>2</v>
      </c>
      <c r="I1535" s="197">
        <v>19140</v>
      </c>
      <c r="J1535" s="197">
        <v>19140</v>
      </c>
      <c r="K1535" s="197">
        <v>0</v>
      </c>
      <c r="L1535" s="197">
        <v>-880</v>
      </c>
      <c r="M1535" s="260" t="s">
        <v>239</v>
      </c>
      <c r="N1535" s="260" t="s">
        <v>514</v>
      </c>
    </row>
    <row r="1536" spans="1:14" ht="14.5" x14ac:dyDescent="0.35">
      <c r="A1536" s="260" t="s">
        <v>565</v>
      </c>
      <c r="B1536" s="190">
        <v>45802</v>
      </c>
      <c r="C1536" s="260" t="s">
        <v>754</v>
      </c>
      <c r="D1536" s="197">
        <v>50</v>
      </c>
      <c r="E1536" s="197">
        <v>4104</v>
      </c>
      <c r="F1536" s="197">
        <v>83.4</v>
      </c>
      <c r="G1536" s="190">
        <v>45800</v>
      </c>
      <c r="H1536" s="196">
        <v>2</v>
      </c>
      <c r="I1536" s="197">
        <v>4170</v>
      </c>
      <c r="J1536" s="197">
        <v>4170</v>
      </c>
      <c r="K1536" s="197">
        <v>0</v>
      </c>
      <c r="L1536" s="197">
        <v>66</v>
      </c>
      <c r="M1536" s="260" t="s">
        <v>239</v>
      </c>
      <c r="N1536" s="260" t="s">
        <v>514</v>
      </c>
    </row>
    <row r="1537" spans="1:14" ht="14.5" x14ac:dyDescent="0.35">
      <c r="A1537" s="260" t="s">
        <v>565</v>
      </c>
      <c r="B1537" s="190">
        <v>45803</v>
      </c>
      <c r="C1537" s="260" t="s">
        <v>749</v>
      </c>
      <c r="D1537" s="197">
        <v>80</v>
      </c>
      <c r="E1537" s="197">
        <v>8008</v>
      </c>
      <c r="F1537" s="197">
        <v>99.33</v>
      </c>
      <c r="G1537" s="190">
        <v>45803</v>
      </c>
      <c r="H1537" s="196">
        <v>0</v>
      </c>
      <c r="I1537" s="197">
        <v>7946.4</v>
      </c>
      <c r="J1537" s="197">
        <v>7946.4</v>
      </c>
      <c r="K1537" s="197">
        <v>0</v>
      </c>
      <c r="L1537" s="197">
        <v>-61.600000000000364</v>
      </c>
      <c r="M1537" s="260" t="s">
        <v>239</v>
      </c>
      <c r="N1537" s="260" t="s">
        <v>514</v>
      </c>
    </row>
    <row r="1538" spans="1:14" ht="14.5" x14ac:dyDescent="0.35">
      <c r="A1538" s="260" t="s">
        <v>565</v>
      </c>
      <c r="B1538" s="190">
        <v>45803</v>
      </c>
      <c r="C1538" s="260" t="s">
        <v>752</v>
      </c>
      <c r="D1538" s="197">
        <v>100</v>
      </c>
      <c r="E1538" s="197">
        <v>20020</v>
      </c>
      <c r="F1538" s="197">
        <v>192</v>
      </c>
      <c r="G1538" s="190">
        <v>45803</v>
      </c>
      <c r="H1538" s="196">
        <v>0</v>
      </c>
      <c r="I1538" s="197">
        <v>19200</v>
      </c>
      <c r="J1538" s="197">
        <v>19200</v>
      </c>
      <c r="K1538" s="197">
        <v>0</v>
      </c>
      <c r="L1538" s="197">
        <v>-820</v>
      </c>
      <c r="M1538" s="260" t="s">
        <v>239</v>
      </c>
      <c r="N1538" s="260" t="s">
        <v>514</v>
      </c>
    </row>
    <row r="1539" spans="1:14" ht="14.5" x14ac:dyDescent="0.35">
      <c r="A1539" s="260" t="s">
        <v>565</v>
      </c>
      <c r="B1539" s="190">
        <v>45803</v>
      </c>
      <c r="C1539" s="260" t="s">
        <v>754</v>
      </c>
      <c r="D1539" s="197">
        <v>50</v>
      </c>
      <c r="E1539" s="197">
        <v>4104</v>
      </c>
      <c r="F1539" s="197">
        <v>84</v>
      </c>
      <c r="G1539" s="190">
        <v>45803</v>
      </c>
      <c r="H1539" s="196">
        <v>0</v>
      </c>
      <c r="I1539" s="197">
        <v>4200</v>
      </c>
      <c r="J1539" s="197">
        <v>4200</v>
      </c>
      <c r="K1539" s="197">
        <v>0</v>
      </c>
      <c r="L1539" s="197">
        <v>96</v>
      </c>
      <c r="M1539" s="260" t="s">
        <v>239</v>
      </c>
      <c r="N1539" s="260" t="s">
        <v>514</v>
      </c>
    </row>
    <row r="1540" spans="1:14" ht="14.5" x14ac:dyDescent="0.35">
      <c r="A1540" s="260" t="s">
        <v>565</v>
      </c>
      <c r="B1540" s="190">
        <v>45804</v>
      </c>
      <c r="C1540" s="260" t="s">
        <v>749</v>
      </c>
      <c r="D1540" s="197">
        <v>80</v>
      </c>
      <c r="E1540" s="197">
        <v>8008</v>
      </c>
      <c r="F1540" s="197">
        <v>99.27</v>
      </c>
      <c r="G1540" s="190">
        <v>45804</v>
      </c>
      <c r="H1540" s="196">
        <v>0</v>
      </c>
      <c r="I1540" s="197">
        <v>7941.5999999999995</v>
      </c>
      <c r="J1540" s="197">
        <v>7941.5999999999995</v>
      </c>
      <c r="K1540" s="197">
        <v>0</v>
      </c>
      <c r="L1540" s="197">
        <v>-66.400000000000546</v>
      </c>
      <c r="M1540" s="260" t="s">
        <v>239</v>
      </c>
      <c r="N1540" s="260" t="s">
        <v>514</v>
      </c>
    </row>
    <row r="1541" spans="1:14" ht="14.5" x14ac:dyDescent="0.35">
      <c r="A1541" s="260" t="s">
        <v>565</v>
      </c>
      <c r="B1541" s="190">
        <v>45804</v>
      </c>
      <c r="C1541" s="260" t="s">
        <v>752</v>
      </c>
      <c r="D1541" s="197">
        <v>100</v>
      </c>
      <c r="E1541" s="197">
        <v>20020</v>
      </c>
      <c r="F1541" s="197">
        <v>192.2</v>
      </c>
      <c r="G1541" s="190">
        <v>45804</v>
      </c>
      <c r="H1541" s="196">
        <v>0</v>
      </c>
      <c r="I1541" s="197">
        <v>19220</v>
      </c>
      <c r="J1541" s="197">
        <v>19220</v>
      </c>
      <c r="K1541" s="197">
        <v>0</v>
      </c>
      <c r="L1541" s="197">
        <v>-800</v>
      </c>
      <c r="M1541" s="260" t="s">
        <v>239</v>
      </c>
      <c r="N1541" s="260" t="s">
        <v>514</v>
      </c>
    </row>
    <row r="1542" spans="1:14" ht="14.5" x14ac:dyDescent="0.35">
      <c r="A1542" s="260" t="s">
        <v>565</v>
      </c>
      <c r="B1542" s="190">
        <v>45804</v>
      </c>
      <c r="C1542" s="260" t="s">
        <v>754</v>
      </c>
      <c r="D1542" s="197">
        <v>50</v>
      </c>
      <c r="E1542" s="197">
        <v>4104</v>
      </c>
      <c r="F1542" s="197">
        <v>84.2</v>
      </c>
      <c r="G1542" s="190">
        <v>45804</v>
      </c>
      <c r="H1542" s="196">
        <v>0</v>
      </c>
      <c r="I1542" s="197">
        <v>4210</v>
      </c>
      <c r="J1542" s="197">
        <v>4210</v>
      </c>
      <c r="K1542" s="197">
        <v>0</v>
      </c>
      <c r="L1542" s="197">
        <v>106</v>
      </c>
      <c r="M1542" s="260" t="s">
        <v>239</v>
      </c>
      <c r="N1542" s="260" t="s">
        <v>514</v>
      </c>
    </row>
    <row r="1543" spans="1:14" ht="14.5" x14ac:dyDescent="0.35">
      <c r="A1543" s="260" t="s">
        <v>565</v>
      </c>
      <c r="B1543" s="190">
        <v>45805</v>
      </c>
      <c r="C1543" s="260" t="s">
        <v>749</v>
      </c>
      <c r="D1543" s="197">
        <v>80</v>
      </c>
      <c r="E1543" s="197">
        <v>8008</v>
      </c>
      <c r="F1543" s="197">
        <v>99.2</v>
      </c>
      <c r="G1543" s="190">
        <v>45805</v>
      </c>
      <c r="H1543" s="196">
        <v>0</v>
      </c>
      <c r="I1543" s="197">
        <v>7936</v>
      </c>
      <c r="J1543" s="197">
        <v>7936</v>
      </c>
      <c r="K1543" s="197">
        <v>0</v>
      </c>
      <c r="L1543" s="197">
        <v>-72</v>
      </c>
      <c r="M1543" s="260" t="s">
        <v>239</v>
      </c>
      <c r="N1543" s="260" t="s">
        <v>514</v>
      </c>
    </row>
    <row r="1544" spans="1:14" ht="14.5" x14ac:dyDescent="0.35">
      <c r="A1544" s="260" t="s">
        <v>565</v>
      </c>
      <c r="B1544" s="190">
        <v>45805</v>
      </c>
      <c r="C1544" s="260" t="s">
        <v>752</v>
      </c>
      <c r="D1544" s="197">
        <v>100</v>
      </c>
      <c r="E1544" s="197">
        <v>20020</v>
      </c>
      <c r="F1544" s="197">
        <v>192.4</v>
      </c>
      <c r="G1544" s="190">
        <v>45805</v>
      </c>
      <c r="H1544" s="196">
        <v>0</v>
      </c>
      <c r="I1544" s="197">
        <v>19240</v>
      </c>
      <c r="J1544" s="197">
        <v>19240</v>
      </c>
      <c r="K1544" s="197">
        <v>0</v>
      </c>
      <c r="L1544" s="197">
        <v>-780</v>
      </c>
      <c r="M1544" s="260" t="s">
        <v>239</v>
      </c>
      <c r="N1544" s="260" t="s">
        <v>514</v>
      </c>
    </row>
    <row r="1545" spans="1:14" ht="14.5" x14ac:dyDescent="0.35">
      <c r="A1545" s="260" t="s">
        <v>565</v>
      </c>
      <c r="B1545" s="190">
        <v>45805</v>
      </c>
      <c r="C1545" s="260" t="s">
        <v>754</v>
      </c>
      <c r="D1545" s="197">
        <v>50</v>
      </c>
      <c r="E1545" s="197">
        <v>4104</v>
      </c>
      <c r="F1545" s="197">
        <v>84.4</v>
      </c>
      <c r="G1545" s="190">
        <v>45805</v>
      </c>
      <c r="H1545" s="196">
        <v>0</v>
      </c>
      <c r="I1545" s="197">
        <v>4220</v>
      </c>
      <c r="J1545" s="197">
        <v>4220</v>
      </c>
      <c r="K1545" s="197">
        <v>0</v>
      </c>
      <c r="L1545" s="197">
        <v>116</v>
      </c>
      <c r="M1545" s="260" t="s">
        <v>239</v>
      </c>
      <c r="N1545" s="260" t="s">
        <v>514</v>
      </c>
    </row>
    <row r="1546" spans="1:14" ht="14.5" x14ac:dyDescent="0.35">
      <c r="A1546" s="260" t="s">
        <v>565</v>
      </c>
      <c r="B1546" s="190">
        <v>45806</v>
      </c>
      <c r="C1546" s="260" t="s">
        <v>749</v>
      </c>
      <c r="D1546" s="197">
        <v>80</v>
      </c>
      <c r="E1546" s="197">
        <v>8008</v>
      </c>
      <c r="F1546" s="197">
        <v>99.13</v>
      </c>
      <c r="G1546" s="190">
        <v>45806</v>
      </c>
      <c r="H1546" s="196">
        <v>0</v>
      </c>
      <c r="I1546" s="197">
        <v>7930.4</v>
      </c>
      <c r="J1546" s="197">
        <v>7930.4</v>
      </c>
      <c r="K1546" s="197">
        <v>0</v>
      </c>
      <c r="L1546" s="197">
        <v>-77.600000000000364</v>
      </c>
      <c r="M1546" s="260" t="s">
        <v>239</v>
      </c>
      <c r="N1546" s="260" t="s">
        <v>514</v>
      </c>
    </row>
    <row r="1547" spans="1:14" ht="14.5" x14ac:dyDescent="0.35">
      <c r="A1547" s="260" t="s">
        <v>565</v>
      </c>
      <c r="B1547" s="190">
        <v>45806</v>
      </c>
      <c r="C1547" s="260" t="s">
        <v>752</v>
      </c>
      <c r="D1547" s="197">
        <v>100</v>
      </c>
      <c r="E1547" s="197">
        <v>20020</v>
      </c>
      <c r="F1547" s="197">
        <v>192.6</v>
      </c>
      <c r="G1547" s="190">
        <v>45806</v>
      </c>
      <c r="H1547" s="196">
        <v>0</v>
      </c>
      <c r="I1547" s="197">
        <v>19260</v>
      </c>
      <c r="J1547" s="197">
        <v>19260</v>
      </c>
      <c r="K1547" s="197">
        <v>0</v>
      </c>
      <c r="L1547" s="197">
        <v>-760</v>
      </c>
      <c r="M1547" s="260" t="s">
        <v>239</v>
      </c>
      <c r="N1547" s="260" t="s">
        <v>514</v>
      </c>
    </row>
    <row r="1548" spans="1:14" ht="14.5" x14ac:dyDescent="0.35">
      <c r="A1548" s="260" t="s">
        <v>565</v>
      </c>
      <c r="B1548" s="190">
        <v>45806</v>
      </c>
      <c r="C1548" s="260" t="s">
        <v>754</v>
      </c>
      <c r="D1548" s="197">
        <v>50</v>
      </c>
      <c r="E1548" s="197">
        <v>4104</v>
      </c>
      <c r="F1548" s="197">
        <v>84.6</v>
      </c>
      <c r="G1548" s="190">
        <v>45806</v>
      </c>
      <c r="H1548" s="196">
        <v>0</v>
      </c>
      <c r="I1548" s="197">
        <v>4230</v>
      </c>
      <c r="J1548" s="197">
        <v>4230</v>
      </c>
      <c r="K1548" s="197">
        <v>0</v>
      </c>
      <c r="L1548" s="197">
        <v>126</v>
      </c>
      <c r="M1548" s="260" t="s">
        <v>239</v>
      </c>
      <c r="N1548" s="260" t="s">
        <v>514</v>
      </c>
    </row>
    <row r="1549" spans="1:14" ht="14.5" x14ac:dyDescent="0.35">
      <c r="A1549" s="260" t="s">
        <v>565</v>
      </c>
      <c r="B1549" s="190">
        <v>45807</v>
      </c>
      <c r="C1549" s="260" t="s">
        <v>749</v>
      </c>
      <c r="D1549" s="197">
        <v>80</v>
      </c>
      <c r="E1549" s="197">
        <v>8008</v>
      </c>
      <c r="F1549" s="197">
        <v>99.07</v>
      </c>
      <c r="G1549" s="190">
        <v>45807</v>
      </c>
      <c r="H1549" s="196">
        <v>0</v>
      </c>
      <c r="I1549" s="197">
        <v>7925.5999999999995</v>
      </c>
      <c r="J1549" s="197">
        <v>7925.5999999999995</v>
      </c>
      <c r="K1549" s="197">
        <v>0</v>
      </c>
      <c r="L1549" s="197">
        <v>-82.400000000000546</v>
      </c>
      <c r="M1549" s="260" t="s">
        <v>239</v>
      </c>
      <c r="N1549" s="260" t="s">
        <v>514</v>
      </c>
    </row>
    <row r="1550" spans="1:14" ht="14.5" x14ac:dyDescent="0.35">
      <c r="A1550" s="260" t="s">
        <v>565</v>
      </c>
      <c r="B1550" s="190">
        <v>45807</v>
      </c>
      <c r="C1550" s="260" t="s">
        <v>752</v>
      </c>
      <c r="D1550" s="197">
        <v>100</v>
      </c>
      <c r="E1550" s="197">
        <v>20020</v>
      </c>
      <c r="F1550" s="197">
        <v>192.8</v>
      </c>
      <c r="G1550" s="190">
        <v>45807</v>
      </c>
      <c r="H1550" s="196">
        <v>0</v>
      </c>
      <c r="I1550" s="197">
        <v>19280</v>
      </c>
      <c r="J1550" s="197">
        <v>19280</v>
      </c>
      <c r="K1550" s="197">
        <v>0</v>
      </c>
      <c r="L1550" s="197">
        <v>-740</v>
      </c>
      <c r="M1550" s="260" t="s">
        <v>239</v>
      </c>
      <c r="N1550" s="260" t="s">
        <v>514</v>
      </c>
    </row>
    <row r="1551" spans="1:14" ht="14.5" x14ac:dyDescent="0.35">
      <c r="A1551" s="260" t="s">
        <v>565</v>
      </c>
      <c r="B1551" s="190">
        <v>45807</v>
      </c>
      <c r="C1551" s="260" t="s">
        <v>754</v>
      </c>
      <c r="D1551" s="197">
        <v>50</v>
      </c>
      <c r="E1551" s="197">
        <v>4104</v>
      </c>
      <c r="F1551" s="197">
        <v>84.8</v>
      </c>
      <c r="G1551" s="190">
        <v>45807</v>
      </c>
      <c r="H1551" s="196">
        <v>0</v>
      </c>
      <c r="I1551" s="197">
        <v>4240</v>
      </c>
      <c r="J1551" s="197">
        <v>4240</v>
      </c>
      <c r="K1551" s="197">
        <v>0</v>
      </c>
      <c r="L1551" s="197">
        <v>136</v>
      </c>
      <c r="M1551" s="260" t="s">
        <v>239</v>
      </c>
      <c r="N1551" s="260" t="s">
        <v>514</v>
      </c>
    </row>
    <row r="1552" spans="1:14" ht="14.5" x14ac:dyDescent="0.35">
      <c r="A1552" s="260" t="s">
        <v>565</v>
      </c>
      <c r="B1552" s="190">
        <v>45808</v>
      </c>
      <c r="C1552" s="260" t="s">
        <v>749</v>
      </c>
      <c r="D1552" s="197">
        <v>80</v>
      </c>
      <c r="E1552" s="197">
        <v>8008</v>
      </c>
      <c r="F1552" s="197">
        <v>99.07</v>
      </c>
      <c r="G1552" s="190">
        <v>45807</v>
      </c>
      <c r="H1552" s="196">
        <v>1</v>
      </c>
      <c r="I1552" s="197">
        <v>7925.5999999999995</v>
      </c>
      <c r="J1552" s="197">
        <v>7925.5999999999995</v>
      </c>
      <c r="K1552" s="197">
        <v>0</v>
      </c>
      <c r="L1552" s="197">
        <v>-82.400000000000546</v>
      </c>
      <c r="M1552" s="260" t="s">
        <v>239</v>
      </c>
      <c r="N1552" s="260" t="s">
        <v>514</v>
      </c>
    </row>
    <row r="1553" spans="1:14" ht="14.5" x14ac:dyDescent="0.35">
      <c r="A1553" s="260" t="s">
        <v>565</v>
      </c>
      <c r="B1553" s="190">
        <v>45808</v>
      </c>
      <c r="C1553" s="260" t="s">
        <v>752</v>
      </c>
      <c r="D1553" s="197">
        <v>100</v>
      </c>
      <c r="E1553" s="197">
        <v>20020</v>
      </c>
      <c r="F1553" s="197">
        <v>192.8</v>
      </c>
      <c r="G1553" s="190">
        <v>45807</v>
      </c>
      <c r="H1553" s="196">
        <v>1</v>
      </c>
      <c r="I1553" s="197">
        <v>19280</v>
      </c>
      <c r="J1553" s="197">
        <v>19280</v>
      </c>
      <c r="K1553" s="197">
        <v>0</v>
      </c>
      <c r="L1553" s="197">
        <v>-740</v>
      </c>
      <c r="M1553" s="260" t="s">
        <v>239</v>
      </c>
      <c r="N1553" s="260" t="s">
        <v>514</v>
      </c>
    </row>
    <row r="1554" spans="1:14" ht="14.5" x14ac:dyDescent="0.35">
      <c r="A1554" s="260" t="s">
        <v>565</v>
      </c>
      <c r="B1554" s="190">
        <v>45808</v>
      </c>
      <c r="C1554" s="260" t="s">
        <v>754</v>
      </c>
      <c r="D1554" s="197">
        <v>50</v>
      </c>
      <c r="E1554" s="197">
        <v>4104</v>
      </c>
      <c r="F1554" s="197">
        <v>84.8</v>
      </c>
      <c r="G1554" s="190">
        <v>45807</v>
      </c>
      <c r="H1554" s="196">
        <v>1</v>
      </c>
      <c r="I1554" s="197">
        <v>4240</v>
      </c>
      <c r="J1554" s="197">
        <v>4240</v>
      </c>
      <c r="K1554" s="197">
        <v>0</v>
      </c>
      <c r="L1554" s="197">
        <v>136</v>
      </c>
      <c r="M1554" s="260" t="s">
        <v>239</v>
      </c>
      <c r="N1554" s="260" t="s">
        <v>514</v>
      </c>
    </row>
    <row r="1555" spans="1:14" ht="14.5" x14ac:dyDescent="0.35">
      <c r="A1555" s="260" t="s">
        <v>565</v>
      </c>
      <c r="B1555" s="190">
        <v>45809</v>
      </c>
      <c r="C1555" s="260" t="s">
        <v>749</v>
      </c>
      <c r="D1555" s="197">
        <v>80</v>
      </c>
      <c r="E1555" s="197">
        <v>8008</v>
      </c>
      <c r="F1555" s="197">
        <v>99.07</v>
      </c>
      <c r="G1555" s="190">
        <v>45807</v>
      </c>
      <c r="H1555" s="196">
        <v>2</v>
      </c>
      <c r="I1555" s="197">
        <v>7925.5999999999995</v>
      </c>
      <c r="J1555" s="197">
        <v>7925.5999999999995</v>
      </c>
      <c r="K1555" s="197">
        <v>0</v>
      </c>
      <c r="L1555" s="197">
        <v>-82.400000000000546</v>
      </c>
      <c r="M1555" s="260" t="s">
        <v>239</v>
      </c>
      <c r="N1555" s="260" t="s">
        <v>514</v>
      </c>
    </row>
    <row r="1556" spans="1:14" ht="14.5" x14ac:dyDescent="0.35">
      <c r="A1556" s="260" t="s">
        <v>565</v>
      </c>
      <c r="B1556" s="190">
        <v>45809</v>
      </c>
      <c r="C1556" s="260" t="s">
        <v>752</v>
      </c>
      <c r="D1556" s="197">
        <v>100</v>
      </c>
      <c r="E1556" s="197">
        <v>20020</v>
      </c>
      <c r="F1556" s="197">
        <v>192.8</v>
      </c>
      <c r="G1556" s="190">
        <v>45807</v>
      </c>
      <c r="H1556" s="196">
        <v>2</v>
      </c>
      <c r="I1556" s="197">
        <v>19280</v>
      </c>
      <c r="J1556" s="197">
        <v>19280</v>
      </c>
      <c r="K1556" s="197">
        <v>0</v>
      </c>
      <c r="L1556" s="197">
        <v>-740</v>
      </c>
      <c r="M1556" s="260" t="s">
        <v>239</v>
      </c>
      <c r="N1556" s="260" t="s">
        <v>514</v>
      </c>
    </row>
    <row r="1557" spans="1:14" ht="14.5" x14ac:dyDescent="0.35">
      <c r="A1557" s="260" t="s">
        <v>565</v>
      </c>
      <c r="B1557" s="190">
        <v>45809</v>
      </c>
      <c r="C1557" s="260" t="s">
        <v>754</v>
      </c>
      <c r="D1557" s="197">
        <v>50</v>
      </c>
      <c r="E1557" s="197">
        <v>4104</v>
      </c>
      <c r="F1557" s="197">
        <v>84.8</v>
      </c>
      <c r="G1557" s="190">
        <v>45807</v>
      </c>
      <c r="H1557" s="196">
        <v>2</v>
      </c>
      <c r="I1557" s="197">
        <v>4240</v>
      </c>
      <c r="J1557" s="197">
        <v>4240</v>
      </c>
      <c r="K1557" s="197">
        <v>0</v>
      </c>
      <c r="L1557" s="197">
        <v>136</v>
      </c>
      <c r="M1557" s="260" t="s">
        <v>239</v>
      </c>
      <c r="N1557" s="260" t="s">
        <v>514</v>
      </c>
    </row>
    <row r="1558" spans="1:14" ht="14.5" x14ac:dyDescent="0.35">
      <c r="A1558" s="260" t="s">
        <v>565</v>
      </c>
      <c r="B1558" s="190">
        <v>45810</v>
      </c>
      <c r="C1558" s="260" t="s">
        <v>749</v>
      </c>
      <c r="D1558" s="197">
        <v>80</v>
      </c>
      <c r="E1558" s="197">
        <v>8008</v>
      </c>
      <c r="F1558" s="197">
        <v>99.41</v>
      </c>
      <c r="G1558" s="190">
        <v>45810</v>
      </c>
      <c r="H1558" s="196">
        <v>0</v>
      </c>
      <c r="I1558" s="197">
        <v>7952.7999999999993</v>
      </c>
      <c r="J1558" s="197">
        <v>7952.7999999999993</v>
      </c>
      <c r="K1558" s="197">
        <v>0</v>
      </c>
      <c r="L1558" s="197">
        <v>-55.200000000000728</v>
      </c>
      <c r="M1558" s="260" t="s">
        <v>239</v>
      </c>
      <c r="N1558" s="260" t="s">
        <v>514</v>
      </c>
    </row>
    <row r="1559" spans="1:14" ht="14.5" x14ac:dyDescent="0.35">
      <c r="A1559" s="260" t="s">
        <v>565</v>
      </c>
      <c r="B1559" s="190">
        <v>45810</v>
      </c>
      <c r="C1559" s="260" t="s">
        <v>752</v>
      </c>
      <c r="D1559" s="197">
        <v>100</v>
      </c>
      <c r="E1559" s="197">
        <v>20020</v>
      </c>
      <c r="F1559" s="197">
        <v>192.62</v>
      </c>
      <c r="G1559" s="190">
        <v>45810</v>
      </c>
      <c r="H1559" s="196">
        <v>0</v>
      </c>
      <c r="I1559" s="197">
        <v>19262</v>
      </c>
      <c r="J1559" s="197">
        <v>19262</v>
      </c>
      <c r="K1559" s="197">
        <v>0</v>
      </c>
      <c r="L1559" s="197">
        <v>-758</v>
      </c>
      <c r="M1559" s="260" t="s">
        <v>239</v>
      </c>
      <c r="N1559" s="260" t="s">
        <v>514</v>
      </c>
    </row>
    <row r="1560" spans="1:14" ht="14.5" x14ac:dyDescent="0.35">
      <c r="A1560" s="260" t="s">
        <v>565</v>
      </c>
      <c r="B1560" s="190">
        <v>45810</v>
      </c>
      <c r="C1560" s="260" t="s">
        <v>754</v>
      </c>
      <c r="D1560" s="197">
        <v>50</v>
      </c>
      <c r="E1560" s="197">
        <v>4104</v>
      </c>
      <c r="F1560" s="197">
        <v>84.86</v>
      </c>
      <c r="G1560" s="190">
        <v>45810</v>
      </c>
      <c r="H1560" s="196">
        <v>0</v>
      </c>
      <c r="I1560" s="197">
        <v>4243</v>
      </c>
      <c r="J1560" s="197">
        <v>4243</v>
      </c>
      <c r="K1560" s="197">
        <v>0</v>
      </c>
      <c r="L1560" s="197">
        <v>139</v>
      </c>
      <c r="M1560" s="260" t="s">
        <v>239</v>
      </c>
      <c r="N1560" s="260" t="s">
        <v>514</v>
      </c>
    </row>
    <row r="1561" spans="1:14" ht="14.5" x14ac:dyDescent="0.35">
      <c r="A1561" s="260" t="s">
        <v>565</v>
      </c>
      <c r="B1561" s="190">
        <v>45811</v>
      </c>
      <c r="C1561" s="260" t="s">
        <v>749</v>
      </c>
      <c r="D1561" s="197">
        <v>80</v>
      </c>
      <c r="E1561" s="197">
        <v>8008</v>
      </c>
      <c r="F1561" s="197">
        <v>99.83</v>
      </c>
      <c r="G1561" s="190">
        <v>45811</v>
      </c>
      <c r="H1561" s="196">
        <v>0</v>
      </c>
      <c r="I1561" s="197">
        <v>7986.4</v>
      </c>
      <c r="J1561" s="197">
        <v>7986.4</v>
      </c>
      <c r="K1561" s="197">
        <v>0</v>
      </c>
      <c r="L1561" s="197">
        <v>-21.600000000000364</v>
      </c>
      <c r="M1561" s="260" t="s">
        <v>239</v>
      </c>
      <c r="N1561" s="260" t="s">
        <v>514</v>
      </c>
    </row>
    <row r="1562" spans="1:14" ht="14.5" x14ac:dyDescent="0.35">
      <c r="A1562" s="260" t="s">
        <v>565</v>
      </c>
      <c r="B1562" s="190">
        <v>45811</v>
      </c>
      <c r="C1562" s="260" t="s">
        <v>752</v>
      </c>
      <c r="D1562" s="197">
        <v>100</v>
      </c>
      <c r="E1562" s="197">
        <v>20020</v>
      </c>
      <c r="F1562" s="197">
        <v>192.24</v>
      </c>
      <c r="G1562" s="190">
        <v>45811</v>
      </c>
      <c r="H1562" s="196">
        <v>0</v>
      </c>
      <c r="I1562" s="197">
        <v>19224</v>
      </c>
      <c r="J1562" s="197">
        <v>19224</v>
      </c>
      <c r="K1562" s="197">
        <v>0</v>
      </c>
      <c r="L1562" s="197">
        <v>-796</v>
      </c>
      <c r="M1562" s="260" t="s">
        <v>239</v>
      </c>
      <c r="N1562" s="260" t="s">
        <v>514</v>
      </c>
    </row>
    <row r="1563" spans="1:14" ht="14.5" x14ac:dyDescent="0.35">
      <c r="A1563" s="260" t="s">
        <v>565</v>
      </c>
      <c r="B1563" s="190">
        <v>45811</v>
      </c>
      <c r="C1563" s="260" t="s">
        <v>754</v>
      </c>
      <c r="D1563" s="197">
        <v>50</v>
      </c>
      <c r="E1563" s="197">
        <v>4104</v>
      </c>
      <c r="F1563" s="197">
        <v>84.72</v>
      </c>
      <c r="G1563" s="190">
        <v>45811</v>
      </c>
      <c r="H1563" s="196">
        <v>0</v>
      </c>
      <c r="I1563" s="197">
        <v>4236</v>
      </c>
      <c r="J1563" s="197">
        <v>4236</v>
      </c>
      <c r="K1563" s="197">
        <v>0</v>
      </c>
      <c r="L1563" s="197">
        <v>132</v>
      </c>
      <c r="M1563" s="260" t="s">
        <v>239</v>
      </c>
      <c r="N1563" s="260" t="s">
        <v>514</v>
      </c>
    </row>
    <row r="1564" spans="1:14" ht="14.5" x14ac:dyDescent="0.35">
      <c r="A1564" s="260" t="s">
        <v>565</v>
      </c>
      <c r="B1564" s="190">
        <v>45812</v>
      </c>
      <c r="C1564" s="260" t="s">
        <v>749</v>
      </c>
      <c r="D1564" s="197">
        <v>80</v>
      </c>
      <c r="E1564" s="197">
        <v>8008</v>
      </c>
      <c r="F1564" s="197">
        <v>100.24</v>
      </c>
      <c r="G1564" s="190">
        <v>45812</v>
      </c>
      <c r="H1564" s="196">
        <v>0</v>
      </c>
      <c r="I1564" s="197">
        <v>8019.2</v>
      </c>
      <c r="J1564" s="197">
        <v>8019.2</v>
      </c>
      <c r="K1564" s="197">
        <v>0</v>
      </c>
      <c r="L1564" s="197">
        <v>11.199999999999818</v>
      </c>
      <c r="M1564" s="260" t="s">
        <v>239</v>
      </c>
      <c r="N1564" s="260" t="s">
        <v>514</v>
      </c>
    </row>
    <row r="1565" spans="1:14" ht="14.5" x14ac:dyDescent="0.35">
      <c r="A1565" s="260" t="s">
        <v>565</v>
      </c>
      <c r="B1565" s="190">
        <v>45812</v>
      </c>
      <c r="C1565" s="260" t="s">
        <v>752</v>
      </c>
      <c r="D1565" s="197">
        <v>100</v>
      </c>
      <c r="E1565" s="197">
        <v>20020</v>
      </c>
      <c r="F1565" s="197">
        <v>191.86</v>
      </c>
      <c r="G1565" s="190">
        <v>45812</v>
      </c>
      <c r="H1565" s="196">
        <v>0</v>
      </c>
      <c r="I1565" s="197">
        <v>19186</v>
      </c>
      <c r="J1565" s="197">
        <v>19186</v>
      </c>
      <c r="K1565" s="197">
        <v>0</v>
      </c>
      <c r="L1565" s="197">
        <v>-834</v>
      </c>
      <c r="M1565" s="260" t="s">
        <v>239</v>
      </c>
      <c r="N1565" s="260" t="s">
        <v>514</v>
      </c>
    </row>
    <row r="1566" spans="1:14" ht="14.5" x14ac:dyDescent="0.35">
      <c r="A1566" s="260" t="s">
        <v>565</v>
      </c>
      <c r="B1566" s="190">
        <v>45812</v>
      </c>
      <c r="C1566" s="260" t="s">
        <v>754</v>
      </c>
      <c r="D1566" s="197">
        <v>50</v>
      </c>
      <c r="E1566" s="197">
        <v>4104</v>
      </c>
      <c r="F1566" s="197">
        <v>84.59</v>
      </c>
      <c r="G1566" s="190">
        <v>45812</v>
      </c>
      <c r="H1566" s="196">
        <v>0</v>
      </c>
      <c r="I1566" s="197">
        <v>4229.5</v>
      </c>
      <c r="J1566" s="197">
        <v>4229.5</v>
      </c>
      <c r="K1566" s="197">
        <v>0</v>
      </c>
      <c r="L1566" s="197">
        <v>125.5</v>
      </c>
      <c r="M1566" s="260" t="s">
        <v>239</v>
      </c>
      <c r="N1566" s="260" t="s">
        <v>514</v>
      </c>
    </row>
    <row r="1567" spans="1:14" ht="14.5" x14ac:dyDescent="0.35">
      <c r="A1567" s="260" t="s">
        <v>565</v>
      </c>
      <c r="B1567" s="190">
        <v>45813</v>
      </c>
      <c r="C1567" s="260" t="s">
        <v>749</v>
      </c>
      <c r="D1567" s="197">
        <v>80</v>
      </c>
      <c r="E1567" s="197">
        <v>8008</v>
      </c>
      <c r="F1567" s="197">
        <v>100.66</v>
      </c>
      <c r="G1567" s="190">
        <v>45813</v>
      </c>
      <c r="H1567" s="196">
        <v>0</v>
      </c>
      <c r="I1567" s="197">
        <v>8052.7999999999993</v>
      </c>
      <c r="J1567" s="197">
        <v>8052.7999999999993</v>
      </c>
      <c r="K1567" s="197">
        <v>0</v>
      </c>
      <c r="L1567" s="197">
        <v>44.799999999999272</v>
      </c>
      <c r="M1567" s="260" t="s">
        <v>239</v>
      </c>
      <c r="N1567" s="260" t="s">
        <v>514</v>
      </c>
    </row>
    <row r="1568" spans="1:14" ht="14.5" x14ac:dyDescent="0.35">
      <c r="A1568" s="260" t="s">
        <v>565</v>
      </c>
      <c r="B1568" s="190">
        <v>45813</v>
      </c>
      <c r="C1568" s="260" t="s">
        <v>752</v>
      </c>
      <c r="D1568" s="197">
        <v>100</v>
      </c>
      <c r="E1568" s="197">
        <v>20020</v>
      </c>
      <c r="F1568" s="197">
        <v>191.48</v>
      </c>
      <c r="G1568" s="190">
        <v>45813</v>
      </c>
      <c r="H1568" s="196">
        <v>0</v>
      </c>
      <c r="I1568" s="197">
        <v>19148</v>
      </c>
      <c r="J1568" s="197">
        <v>19148</v>
      </c>
      <c r="K1568" s="197">
        <v>0</v>
      </c>
      <c r="L1568" s="197">
        <v>-872</v>
      </c>
      <c r="M1568" s="260" t="s">
        <v>239</v>
      </c>
      <c r="N1568" s="260" t="s">
        <v>514</v>
      </c>
    </row>
    <row r="1569" spans="1:14" ht="14.5" x14ac:dyDescent="0.35">
      <c r="A1569" s="260" t="s">
        <v>565</v>
      </c>
      <c r="B1569" s="190">
        <v>45813</v>
      </c>
      <c r="C1569" s="260" t="s">
        <v>754</v>
      </c>
      <c r="D1569" s="197">
        <v>50</v>
      </c>
      <c r="E1569" s="197">
        <v>4104</v>
      </c>
      <c r="F1569" s="197">
        <v>84.45</v>
      </c>
      <c r="G1569" s="190">
        <v>45813</v>
      </c>
      <c r="H1569" s="196">
        <v>0</v>
      </c>
      <c r="I1569" s="197">
        <v>4222.5</v>
      </c>
      <c r="J1569" s="197">
        <v>4222.5</v>
      </c>
      <c r="K1569" s="197">
        <v>0</v>
      </c>
      <c r="L1569" s="197">
        <v>118.5</v>
      </c>
      <c r="M1569" s="260" t="s">
        <v>239</v>
      </c>
      <c r="N1569" s="260" t="s">
        <v>514</v>
      </c>
    </row>
    <row r="1570" spans="1:14" ht="14.5" x14ac:dyDescent="0.35">
      <c r="A1570" s="260" t="s">
        <v>565</v>
      </c>
      <c r="B1570" s="190">
        <v>45814</v>
      </c>
      <c r="C1570" s="260" t="s">
        <v>749</v>
      </c>
      <c r="D1570" s="197">
        <v>80</v>
      </c>
      <c r="E1570" s="197">
        <v>8008</v>
      </c>
      <c r="F1570" s="197">
        <v>101.07</v>
      </c>
      <c r="G1570" s="190">
        <v>45814</v>
      </c>
      <c r="H1570" s="196">
        <v>0</v>
      </c>
      <c r="I1570" s="197">
        <v>8085.5999999999995</v>
      </c>
      <c r="J1570" s="197">
        <v>8085.5999999999995</v>
      </c>
      <c r="K1570" s="197">
        <v>0</v>
      </c>
      <c r="L1570" s="197">
        <v>77.599999999999454</v>
      </c>
      <c r="M1570" s="260" t="s">
        <v>239</v>
      </c>
      <c r="N1570" s="260" t="s">
        <v>514</v>
      </c>
    </row>
    <row r="1571" spans="1:14" ht="14.5" x14ac:dyDescent="0.35">
      <c r="A1571" s="260" t="s">
        <v>565</v>
      </c>
      <c r="B1571" s="190">
        <v>45814</v>
      </c>
      <c r="C1571" s="260" t="s">
        <v>752</v>
      </c>
      <c r="D1571" s="197">
        <v>100</v>
      </c>
      <c r="E1571" s="197">
        <v>20020</v>
      </c>
      <c r="F1571" s="197">
        <v>191.1</v>
      </c>
      <c r="G1571" s="190">
        <v>45814</v>
      </c>
      <c r="H1571" s="196">
        <v>0</v>
      </c>
      <c r="I1571" s="197">
        <v>19110</v>
      </c>
      <c r="J1571" s="197">
        <v>19110</v>
      </c>
      <c r="K1571" s="197">
        <v>0</v>
      </c>
      <c r="L1571" s="197">
        <v>-910</v>
      </c>
      <c r="M1571" s="260" t="s">
        <v>239</v>
      </c>
      <c r="N1571" s="260" t="s">
        <v>514</v>
      </c>
    </row>
    <row r="1572" spans="1:14" ht="14.5" x14ac:dyDescent="0.35">
      <c r="A1572" s="260" t="s">
        <v>565</v>
      </c>
      <c r="B1572" s="190">
        <v>45814</v>
      </c>
      <c r="C1572" s="260" t="s">
        <v>754</v>
      </c>
      <c r="D1572" s="197">
        <v>50</v>
      </c>
      <c r="E1572" s="197">
        <v>4104</v>
      </c>
      <c r="F1572" s="197">
        <v>84.31</v>
      </c>
      <c r="G1572" s="190">
        <v>45814</v>
      </c>
      <c r="H1572" s="196">
        <v>0</v>
      </c>
      <c r="I1572" s="197">
        <v>4215.5</v>
      </c>
      <c r="J1572" s="197">
        <v>4215.5</v>
      </c>
      <c r="K1572" s="197">
        <v>0</v>
      </c>
      <c r="L1572" s="197">
        <v>111.5</v>
      </c>
      <c r="M1572" s="260" t="s">
        <v>239</v>
      </c>
      <c r="N1572" s="260" t="s">
        <v>514</v>
      </c>
    </row>
    <row r="1573" spans="1:14" ht="14.5" x14ac:dyDescent="0.35">
      <c r="A1573" s="260" t="s">
        <v>565</v>
      </c>
      <c r="B1573" s="190">
        <v>45815</v>
      </c>
      <c r="C1573" s="260" t="s">
        <v>749</v>
      </c>
      <c r="D1573" s="197">
        <v>80</v>
      </c>
      <c r="E1573" s="197">
        <v>8008</v>
      </c>
      <c r="F1573" s="197">
        <v>101.07</v>
      </c>
      <c r="G1573" s="190">
        <v>45814</v>
      </c>
      <c r="H1573" s="196">
        <v>1</v>
      </c>
      <c r="I1573" s="197">
        <v>8085.5999999999995</v>
      </c>
      <c r="J1573" s="197">
        <v>8085.5999999999995</v>
      </c>
      <c r="K1573" s="197">
        <v>0</v>
      </c>
      <c r="L1573" s="197">
        <v>77.599999999999454</v>
      </c>
      <c r="M1573" s="260" t="s">
        <v>239</v>
      </c>
      <c r="N1573" s="260" t="s">
        <v>514</v>
      </c>
    </row>
    <row r="1574" spans="1:14" ht="14.5" x14ac:dyDescent="0.35">
      <c r="A1574" s="260" t="s">
        <v>565</v>
      </c>
      <c r="B1574" s="190">
        <v>45815</v>
      </c>
      <c r="C1574" s="260" t="s">
        <v>752</v>
      </c>
      <c r="D1574" s="197">
        <v>100</v>
      </c>
      <c r="E1574" s="197">
        <v>20020</v>
      </c>
      <c r="F1574" s="197">
        <v>191.1</v>
      </c>
      <c r="G1574" s="190">
        <v>45814</v>
      </c>
      <c r="H1574" s="196">
        <v>1</v>
      </c>
      <c r="I1574" s="197">
        <v>19110</v>
      </c>
      <c r="J1574" s="197">
        <v>19110</v>
      </c>
      <c r="K1574" s="197">
        <v>0</v>
      </c>
      <c r="L1574" s="197">
        <v>-910</v>
      </c>
      <c r="M1574" s="260" t="s">
        <v>239</v>
      </c>
      <c r="N1574" s="260" t="s">
        <v>514</v>
      </c>
    </row>
    <row r="1575" spans="1:14" ht="14.5" x14ac:dyDescent="0.35">
      <c r="A1575" s="260" t="s">
        <v>565</v>
      </c>
      <c r="B1575" s="190">
        <v>45815</v>
      </c>
      <c r="C1575" s="260" t="s">
        <v>754</v>
      </c>
      <c r="D1575" s="197">
        <v>50</v>
      </c>
      <c r="E1575" s="197">
        <v>4104</v>
      </c>
      <c r="F1575" s="197">
        <v>84.31</v>
      </c>
      <c r="G1575" s="190">
        <v>45814</v>
      </c>
      <c r="H1575" s="196">
        <v>1</v>
      </c>
      <c r="I1575" s="197">
        <v>4215.5</v>
      </c>
      <c r="J1575" s="197">
        <v>4215.5</v>
      </c>
      <c r="K1575" s="197">
        <v>0</v>
      </c>
      <c r="L1575" s="197">
        <v>111.5</v>
      </c>
      <c r="M1575" s="260" t="s">
        <v>239</v>
      </c>
      <c r="N1575" s="260" t="s">
        <v>514</v>
      </c>
    </row>
    <row r="1576" spans="1:14" ht="14.5" x14ac:dyDescent="0.35">
      <c r="A1576" s="260" t="s">
        <v>565</v>
      </c>
      <c r="B1576" s="190">
        <v>45816</v>
      </c>
      <c r="C1576" s="260" t="s">
        <v>749</v>
      </c>
      <c r="D1576" s="197">
        <v>80</v>
      </c>
      <c r="E1576" s="197">
        <v>8008</v>
      </c>
      <c r="F1576" s="197">
        <v>101.07</v>
      </c>
      <c r="G1576" s="190">
        <v>45814</v>
      </c>
      <c r="H1576" s="196">
        <v>2</v>
      </c>
      <c r="I1576" s="197">
        <v>8085.5999999999995</v>
      </c>
      <c r="J1576" s="197">
        <v>8085.5999999999995</v>
      </c>
      <c r="K1576" s="197">
        <v>0</v>
      </c>
      <c r="L1576" s="197">
        <v>77.599999999999454</v>
      </c>
      <c r="M1576" s="260" t="s">
        <v>239</v>
      </c>
      <c r="N1576" s="260" t="s">
        <v>514</v>
      </c>
    </row>
    <row r="1577" spans="1:14" ht="14.5" x14ac:dyDescent="0.35">
      <c r="A1577" s="260" t="s">
        <v>565</v>
      </c>
      <c r="B1577" s="190">
        <v>45816</v>
      </c>
      <c r="C1577" s="260" t="s">
        <v>752</v>
      </c>
      <c r="D1577" s="197">
        <v>100</v>
      </c>
      <c r="E1577" s="197">
        <v>20020</v>
      </c>
      <c r="F1577" s="197">
        <v>191.1</v>
      </c>
      <c r="G1577" s="190">
        <v>45814</v>
      </c>
      <c r="H1577" s="196">
        <v>2</v>
      </c>
      <c r="I1577" s="197">
        <v>19110</v>
      </c>
      <c r="J1577" s="197">
        <v>19110</v>
      </c>
      <c r="K1577" s="197">
        <v>0</v>
      </c>
      <c r="L1577" s="197">
        <v>-910</v>
      </c>
      <c r="M1577" s="260" t="s">
        <v>239</v>
      </c>
      <c r="N1577" s="260" t="s">
        <v>514</v>
      </c>
    </row>
    <row r="1578" spans="1:14" ht="14.5" x14ac:dyDescent="0.35">
      <c r="A1578" s="260" t="s">
        <v>565</v>
      </c>
      <c r="B1578" s="190">
        <v>45816</v>
      </c>
      <c r="C1578" s="260" t="s">
        <v>754</v>
      </c>
      <c r="D1578" s="197">
        <v>50</v>
      </c>
      <c r="E1578" s="197">
        <v>4104</v>
      </c>
      <c r="F1578" s="197">
        <v>84.31</v>
      </c>
      <c r="G1578" s="190">
        <v>45814</v>
      </c>
      <c r="H1578" s="196">
        <v>2</v>
      </c>
      <c r="I1578" s="197">
        <v>4215.5</v>
      </c>
      <c r="J1578" s="197">
        <v>4215.5</v>
      </c>
      <c r="K1578" s="197">
        <v>0</v>
      </c>
      <c r="L1578" s="197">
        <v>111.5</v>
      </c>
      <c r="M1578" s="260" t="s">
        <v>239</v>
      </c>
      <c r="N1578" s="260" t="s">
        <v>514</v>
      </c>
    </row>
    <row r="1579" spans="1:14" ht="14.5" x14ac:dyDescent="0.35">
      <c r="A1579" s="260" t="s">
        <v>565</v>
      </c>
      <c r="B1579" s="190">
        <v>45817</v>
      </c>
      <c r="C1579" s="260" t="s">
        <v>749</v>
      </c>
      <c r="D1579" s="197">
        <v>80</v>
      </c>
      <c r="E1579" s="197">
        <v>8008</v>
      </c>
      <c r="F1579" s="197">
        <v>102.31</v>
      </c>
      <c r="G1579" s="190">
        <v>45817</v>
      </c>
      <c r="H1579" s="196">
        <v>0</v>
      </c>
      <c r="I1579" s="197">
        <v>8184.8</v>
      </c>
      <c r="J1579" s="197">
        <v>8184.8</v>
      </c>
      <c r="K1579" s="197">
        <v>0</v>
      </c>
      <c r="L1579" s="197">
        <v>176.80000000000018</v>
      </c>
      <c r="M1579" s="260" t="s">
        <v>239</v>
      </c>
      <c r="N1579" s="260" t="s">
        <v>514</v>
      </c>
    </row>
    <row r="1580" spans="1:14" ht="14.5" x14ac:dyDescent="0.35">
      <c r="A1580" s="260" t="s">
        <v>565</v>
      </c>
      <c r="B1580" s="190">
        <v>45817</v>
      </c>
      <c r="C1580" s="260" t="s">
        <v>752</v>
      </c>
      <c r="D1580" s="197">
        <v>100</v>
      </c>
      <c r="E1580" s="197">
        <v>20020</v>
      </c>
      <c r="F1580" s="197">
        <v>189.97</v>
      </c>
      <c r="G1580" s="190">
        <v>45817</v>
      </c>
      <c r="H1580" s="196">
        <v>0</v>
      </c>
      <c r="I1580" s="197">
        <v>18997</v>
      </c>
      <c r="J1580" s="197">
        <v>18997</v>
      </c>
      <c r="K1580" s="197">
        <v>0</v>
      </c>
      <c r="L1580" s="197">
        <v>-1023</v>
      </c>
      <c r="M1580" s="260" t="s">
        <v>239</v>
      </c>
      <c r="N1580" s="260" t="s">
        <v>514</v>
      </c>
    </row>
    <row r="1581" spans="1:14" ht="14.5" x14ac:dyDescent="0.35">
      <c r="A1581" s="260" t="s">
        <v>565</v>
      </c>
      <c r="B1581" s="190">
        <v>45817</v>
      </c>
      <c r="C1581" s="260" t="s">
        <v>754</v>
      </c>
      <c r="D1581" s="197">
        <v>50</v>
      </c>
      <c r="E1581" s="197">
        <v>4104</v>
      </c>
      <c r="F1581" s="197">
        <v>83.9</v>
      </c>
      <c r="G1581" s="190">
        <v>45817</v>
      </c>
      <c r="H1581" s="196">
        <v>0</v>
      </c>
      <c r="I1581" s="197">
        <v>4195</v>
      </c>
      <c r="J1581" s="197">
        <v>4195</v>
      </c>
      <c r="K1581" s="197">
        <v>0</v>
      </c>
      <c r="L1581" s="197">
        <v>91</v>
      </c>
      <c r="M1581" s="260" t="s">
        <v>239</v>
      </c>
      <c r="N1581" s="260" t="s">
        <v>514</v>
      </c>
    </row>
    <row r="1582" spans="1:14" ht="14.5" x14ac:dyDescent="0.35">
      <c r="A1582" s="260" t="s">
        <v>565</v>
      </c>
      <c r="B1582" s="190">
        <v>45818</v>
      </c>
      <c r="C1582" s="260" t="s">
        <v>749</v>
      </c>
      <c r="D1582" s="197">
        <v>80</v>
      </c>
      <c r="E1582" s="197">
        <v>8008</v>
      </c>
      <c r="F1582" s="197">
        <v>102.72</v>
      </c>
      <c r="G1582" s="190">
        <v>45818</v>
      </c>
      <c r="H1582" s="196">
        <v>0</v>
      </c>
      <c r="I1582" s="197">
        <v>8217.6</v>
      </c>
      <c r="J1582" s="197">
        <v>8217.6</v>
      </c>
      <c r="K1582" s="197">
        <v>0</v>
      </c>
      <c r="L1582" s="197">
        <v>209.60000000000036</v>
      </c>
      <c r="M1582" s="260" t="s">
        <v>239</v>
      </c>
      <c r="N1582" s="260" t="s">
        <v>514</v>
      </c>
    </row>
    <row r="1583" spans="1:14" ht="14.5" x14ac:dyDescent="0.35">
      <c r="A1583" s="260" t="s">
        <v>565</v>
      </c>
      <c r="B1583" s="190">
        <v>45818</v>
      </c>
      <c r="C1583" s="260" t="s">
        <v>752</v>
      </c>
      <c r="D1583" s="197">
        <v>100</v>
      </c>
      <c r="E1583" s="197">
        <v>20020</v>
      </c>
      <c r="F1583" s="197">
        <v>189.59</v>
      </c>
      <c r="G1583" s="190">
        <v>45818</v>
      </c>
      <c r="H1583" s="196">
        <v>0</v>
      </c>
      <c r="I1583" s="197">
        <v>18959</v>
      </c>
      <c r="J1583" s="197">
        <v>18959</v>
      </c>
      <c r="K1583" s="197">
        <v>0</v>
      </c>
      <c r="L1583" s="197">
        <v>-1061</v>
      </c>
      <c r="M1583" s="260" t="s">
        <v>239</v>
      </c>
      <c r="N1583" s="260" t="s">
        <v>514</v>
      </c>
    </row>
    <row r="1584" spans="1:14" ht="14.5" x14ac:dyDescent="0.35">
      <c r="A1584" s="260" t="s">
        <v>565</v>
      </c>
      <c r="B1584" s="190">
        <v>45818</v>
      </c>
      <c r="C1584" s="260" t="s">
        <v>754</v>
      </c>
      <c r="D1584" s="197">
        <v>50</v>
      </c>
      <c r="E1584" s="197">
        <v>4104</v>
      </c>
      <c r="F1584" s="197">
        <v>83.76</v>
      </c>
      <c r="G1584" s="190">
        <v>45818</v>
      </c>
      <c r="H1584" s="196">
        <v>0</v>
      </c>
      <c r="I1584" s="197">
        <v>4188</v>
      </c>
      <c r="J1584" s="197">
        <v>4188</v>
      </c>
      <c r="K1584" s="197">
        <v>0</v>
      </c>
      <c r="L1584" s="197">
        <v>84</v>
      </c>
      <c r="M1584" s="260" t="s">
        <v>239</v>
      </c>
      <c r="N1584" s="260" t="s">
        <v>514</v>
      </c>
    </row>
    <row r="1585" spans="1:14" ht="14.5" x14ac:dyDescent="0.35">
      <c r="A1585" s="260" t="s">
        <v>565</v>
      </c>
      <c r="B1585" s="190">
        <v>45819</v>
      </c>
      <c r="C1585" s="260" t="s">
        <v>749</v>
      </c>
      <c r="D1585" s="197">
        <v>80</v>
      </c>
      <c r="E1585" s="197">
        <v>8008</v>
      </c>
      <c r="F1585" s="197">
        <v>103.14</v>
      </c>
      <c r="G1585" s="190">
        <v>45819</v>
      </c>
      <c r="H1585" s="196">
        <v>0</v>
      </c>
      <c r="I1585" s="197">
        <v>8251.2000000000007</v>
      </c>
      <c r="J1585" s="197">
        <v>8251.2000000000007</v>
      </c>
      <c r="K1585" s="197">
        <v>0</v>
      </c>
      <c r="L1585" s="197">
        <v>243.20000000000073</v>
      </c>
      <c r="M1585" s="260" t="s">
        <v>239</v>
      </c>
      <c r="N1585" s="260" t="s">
        <v>514</v>
      </c>
    </row>
    <row r="1586" spans="1:14" ht="14.5" x14ac:dyDescent="0.35">
      <c r="A1586" s="260" t="s">
        <v>565</v>
      </c>
      <c r="B1586" s="190">
        <v>45819</v>
      </c>
      <c r="C1586" s="260" t="s">
        <v>752</v>
      </c>
      <c r="D1586" s="197">
        <v>100</v>
      </c>
      <c r="E1586" s="197">
        <v>20020</v>
      </c>
      <c r="F1586" s="197">
        <v>189.21</v>
      </c>
      <c r="G1586" s="190">
        <v>45819</v>
      </c>
      <c r="H1586" s="196">
        <v>0</v>
      </c>
      <c r="I1586" s="197">
        <v>18921</v>
      </c>
      <c r="J1586" s="197">
        <v>18921</v>
      </c>
      <c r="K1586" s="197">
        <v>0</v>
      </c>
      <c r="L1586" s="197">
        <v>-1099</v>
      </c>
      <c r="M1586" s="260" t="s">
        <v>239</v>
      </c>
      <c r="N1586" s="260" t="s">
        <v>514</v>
      </c>
    </row>
    <row r="1587" spans="1:14" ht="14.5" x14ac:dyDescent="0.35">
      <c r="A1587" s="260" t="s">
        <v>565</v>
      </c>
      <c r="B1587" s="190">
        <v>45819</v>
      </c>
      <c r="C1587" s="260" t="s">
        <v>754</v>
      </c>
      <c r="D1587" s="197">
        <v>50</v>
      </c>
      <c r="E1587" s="197">
        <v>4104</v>
      </c>
      <c r="F1587" s="197">
        <v>83.62</v>
      </c>
      <c r="G1587" s="190">
        <v>45819</v>
      </c>
      <c r="H1587" s="196">
        <v>0</v>
      </c>
      <c r="I1587" s="197">
        <v>4181</v>
      </c>
      <c r="J1587" s="197">
        <v>4181</v>
      </c>
      <c r="K1587" s="197">
        <v>0</v>
      </c>
      <c r="L1587" s="197">
        <v>77</v>
      </c>
      <c r="M1587" s="260" t="s">
        <v>239</v>
      </c>
      <c r="N1587" s="260" t="s">
        <v>514</v>
      </c>
    </row>
    <row r="1588" spans="1:14" ht="14.5" x14ac:dyDescent="0.35">
      <c r="A1588" s="260" t="s">
        <v>565</v>
      </c>
      <c r="B1588" s="190">
        <v>45820</v>
      </c>
      <c r="C1588" s="260" t="s">
        <v>749</v>
      </c>
      <c r="D1588" s="197">
        <v>80</v>
      </c>
      <c r="E1588" s="197">
        <v>8008</v>
      </c>
      <c r="F1588" s="197">
        <v>103.55</v>
      </c>
      <c r="G1588" s="190">
        <v>45820</v>
      </c>
      <c r="H1588" s="196">
        <v>0</v>
      </c>
      <c r="I1588" s="197">
        <v>8284</v>
      </c>
      <c r="J1588" s="197">
        <v>8284</v>
      </c>
      <c r="K1588" s="197">
        <v>0</v>
      </c>
      <c r="L1588" s="197">
        <v>276</v>
      </c>
      <c r="M1588" s="260" t="s">
        <v>239</v>
      </c>
      <c r="N1588" s="260" t="s">
        <v>514</v>
      </c>
    </row>
    <row r="1589" spans="1:14" ht="14.5" x14ac:dyDescent="0.35">
      <c r="A1589" s="260" t="s">
        <v>565</v>
      </c>
      <c r="B1589" s="190">
        <v>45820</v>
      </c>
      <c r="C1589" s="260" t="s">
        <v>752</v>
      </c>
      <c r="D1589" s="197">
        <v>100</v>
      </c>
      <c r="E1589" s="197">
        <v>20020</v>
      </c>
      <c r="F1589" s="197">
        <v>188.83</v>
      </c>
      <c r="G1589" s="190">
        <v>45820</v>
      </c>
      <c r="H1589" s="196">
        <v>0</v>
      </c>
      <c r="I1589" s="197">
        <v>18883</v>
      </c>
      <c r="J1589" s="197">
        <v>18883</v>
      </c>
      <c r="K1589" s="197">
        <v>0</v>
      </c>
      <c r="L1589" s="197">
        <v>-1137</v>
      </c>
      <c r="M1589" s="260" t="s">
        <v>239</v>
      </c>
      <c r="N1589" s="260" t="s">
        <v>514</v>
      </c>
    </row>
    <row r="1590" spans="1:14" ht="14.5" x14ac:dyDescent="0.35">
      <c r="A1590" s="260" t="s">
        <v>565</v>
      </c>
      <c r="B1590" s="190">
        <v>45820</v>
      </c>
      <c r="C1590" s="260" t="s">
        <v>754</v>
      </c>
      <c r="D1590" s="197">
        <v>50</v>
      </c>
      <c r="E1590" s="197">
        <v>4104</v>
      </c>
      <c r="F1590" s="197">
        <v>83.48</v>
      </c>
      <c r="G1590" s="190">
        <v>45820</v>
      </c>
      <c r="H1590" s="196">
        <v>0</v>
      </c>
      <c r="I1590" s="197">
        <v>4174</v>
      </c>
      <c r="J1590" s="197">
        <v>4174</v>
      </c>
      <c r="K1590" s="197">
        <v>0</v>
      </c>
      <c r="L1590" s="197">
        <v>70</v>
      </c>
      <c r="M1590" s="260" t="s">
        <v>239</v>
      </c>
      <c r="N1590" s="260" t="s">
        <v>514</v>
      </c>
    </row>
    <row r="1591" spans="1:14" ht="14.5" x14ac:dyDescent="0.35">
      <c r="A1591" s="260" t="s">
        <v>565</v>
      </c>
      <c r="B1591" s="190">
        <v>45821</v>
      </c>
      <c r="C1591" s="260" t="s">
        <v>749</v>
      </c>
      <c r="D1591" s="197">
        <v>80</v>
      </c>
      <c r="E1591" s="197">
        <v>8008</v>
      </c>
      <c r="F1591" s="197">
        <v>103.97</v>
      </c>
      <c r="G1591" s="190">
        <v>45821</v>
      </c>
      <c r="H1591" s="196">
        <v>0</v>
      </c>
      <c r="I1591" s="197">
        <v>8317.6</v>
      </c>
      <c r="J1591" s="197">
        <v>8317.6</v>
      </c>
      <c r="K1591" s="197">
        <v>0</v>
      </c>
      <c r="L1591" s="197">
        <v>309.60000000000036</v>
      </c>
      <c r="M1591" s="260" t="s">
        <v>239</v>
      </c>
      <c r="N1591" s="260" t="s">
        <v>514</v>
      </c>
    </row>
    <row r="1592" spans="1:14" ht="14.5" x14ac:dyDescent="0.35">
      <c r="A1592" s="260" t="s">
        <v>565</v>
      </c>
      <c r="B1592" s="190">
        <v>45821</v>
      </c>
      <c r="C1592" s="260" t="s">
        <v>752</v>
      </c>
      <c r="D1592" s="197">
        <v>100</v>
      </c>
      <c r="E1592" s="197">
        <v>20020</v>
      </c>
      <c r="F1592" s="197">
        <v>188.45</v>
      </c>
      <c r="G1592" s="190">
        <v>45821</v>
      </c>
      <c r="H1592" s="196">
        <v>0</v>
      </c>
      <c r="I1592" s="197">
        <v>18845</v>
      </c>
      <c r="J1592" s="197">
        <v>18845</v>
      </c>
      <c r="K1592" s="197">
        <v>0</v>
      </c>
      <c r="L1592" s="197">
        <v>-1175</v>
      </c>
      <c r="M1592" s="260" t="s">
        <v>239</v>
      </c>
      <c r="N1592" s="260" t="s">
        <v>514</v>
      </c>
    </row>
    <row r="1593" spans="1:14" ht="14.5" x14ac:dyDescent="0.35">
      <c r="A1593" s="260" t="s">
        <v>565</v>
      </c>
      <c r="B1593" s="190">
        <v>45821</v>
      </c>
      <c r="C1593" s="260" t="s">
        <v>754</v>
      </c>
      <c r="D1593" s="197">
        <v>50</v>
      </c>
      <c r="E1593" s="197">
        <v>4104</v>
      </c>
      <c r="F1593" s="197">
        <v>83.34</v>
      </c>
      <c r="G1593" s="190">
        <v>45821</v>
      </c>
      <c r="H1593" s="196">
        <v>0</v>
      </c>
      <c r="I1593" s="197">
        <v>4167</v>
      </c>
      <c r="J1593" s="197">
        <v>4167</v>
      </c>
      <c r="K1593" s="197">
        <v>0</v>
      </c>
      <c r="L1593" s="197">
        <v>63</v>
      </c>
      <c r="M1593" s="260" t="s">
        <v>239</v>
      </c>
      <c r="N1593" s="260" t="s">
        <v>514</v>
      </c>
    </row>
    <row r="1594" spans="1:14" ht="14.5" x14ac:dyDescent="0.35">
      <c r="A1594" s="260" t="s">
        <v>565</v>
      </c>
      <c r="B1594" s="190">
        <v>45822</v>
      </c>
      <c r="C1594" s="260" t="s">
        <v>749</v>
      </c>
      <c r="D1594" s="197">
        <v>80</v>
      </c>
      <c r="E1594" s="197">
        <v>8008</v>
      </c>
      <c r="F1594" s="197">
        <v>103.97</v>
      </c>
      <c r="G1594" s="190">
        <v>45821</v>
      </c>
      <c r="H1594" s="196">
        <v>1</v>
      </c>
      <c r="I1594" s="197">
        <v>8317.6</v>
      </c>
      <c r="J1594" s="197">
        <v>8317.6</v>
      </c>
      <c r="K1594" s="197">
        <v>0</v>
      </c>
      <c r="L1594" s="197">
        <v>309.60000000000036</v>
      </c>
      <c r="M1594" s="260" t="s">
        <v>239</v>
      </c>
      <c r="N1594" s="260" t="s">
        <v>514</v>
      </c>
    </row>
    <row r="1595" spans="1:14" ht="14.5" x14ac:dyDescent="0.35">
      <c r="A1595" s="260" t="s">
        <v>565</v>
      </c>
      <c r="B1595" s="190">
        <v>45822</v>
      </c>
      <c r="C1595" s="260" t="s">
        <v>752</v>
      </c>
      <c r="D1595" s="197">
        <v>100</v>
      </c>
      <c r="E1595" s="197">
        <v>20020</v>
      </c>
      <c r="F1595" s="197">
        <v>188.45</v>
      </c>
      <c r="G1595" s="190">
        <v>45821</v>
      </c>
      <c r="H1595" s="196">
        <v>1</v>
      </c>
      <c r="I1595" s="197">
        <v>18845</v>
      </c>
      <c r="J1595" s="197">
        <v>18845</v>
      </c>
      <c r="K1595" s="197">
        <v>0</v>
      </c>
      <c r="L1595" s="197">
        <v>-1175</v>
      </c>
      <c r="M1595" s="260" t="s">
        <v>239</v>
      </c>
      <c r="N1595" s="260" t="s">
        <v>514</v>
      </c>
    </row>
    <row r="1596" spans="1:14" ht="14.5" x14ac:dyDescent="0.35">
      <c r="A1596" s="260" t="s">
        <v>565</v>
      </c>
      <c r="B1596" s="190">
        <v>45822</v>
      </c>
      <c r="C1596" s="260" t="s">
        <v>754</v>
      </c>
      <c r="D1596" s="197">
        <v>50</v>
      </c>
      <c r="E1596" s="197">
        <v>4104</v>
      </c>
      <c r="F1596" s="197">
        <v>83.34</v>
      </c>
      <c r="G1596" s="190">
        <v>45821</v>
      </c>
      <c r="H1596" s="196">
        <v>1</v>
      </c>
      <c r="I1596" s="197">
        <v>4167</v>
      </c>
      <c r="J1596" s="197">
        <v>4167</v>
      </c>
      <c r="K1596" s="197">
        <v>0</v>
      </c>
      <c r="L1596" s="197">
        <v>63</v>
      </c>
      <c r="M1596" s="260" t="s">
        <v>239</v>
      </c>
      <c r="N1596" s="260" t="s">
        <v>514</v>
      </c>
    </row>
    <row r="1597" spans="1:14" ht="14.5" x14ac:dyDescent="0.35">
      <c r="A1597" s="260" t="s">
        <v>565</v>
      </c>
      <c r="B1597" s="190">
        <v>45823</v>
      </c>
      <c r="C1597" s="260" t="s">
        <v>749</v>
      </c>
      <c r="D1597" s="197">
        <v>80</v>
      </c>
      <c r="E1597" s="197">
        <v>8008</v>
      </c>
      <c r="F1597" s="197">
        <v>103.97</v>
      </c>
      <c r="G1597" s="190">
        <v>45821</v>
      </c>
      <c r="H1597" s="196">
        <v>2</v>
      </c>
      <c r="I1597" s="197">
        <v>8317.6</v>
      </c>
      <c r="J1597" s="197">
        <v>8317.6</v>
      </c>
      <c r="K1597" s="197">
        <v>0</v>
      </c>
      <c r="L1597" s="197">
        <v>309.60000000000036</v>
      </c>
      <c r="M1597" s="260" t="s">
        <v>239</v>
      </c>
      <c r="N1597" s="260" t="s">
        <v>514</v>
      </c>
    </row>
    <row r="1598" spans="1:14" ht="14.5" x14ac:dyDescent="0.35">
      <c r="A1598" s="260" t="s">
        <v>565</v>
      </c>
      <c r="B1598" s="190">
        <v>45823</v>
      </c>
      <c r="C1598" s="260" t="s">
        <v>752</v>
      </c>
      <c r="D1598" s="197">
        <v>100</v>
      </c>
      <c r="E1598" s="197">
        <v>20020</v>
      </c>
      <c r="F1598" s="197">
        <v>188.45</v>
      </c>
      <c r="G1598" s="190">
        <v>45821</v>
      </c>
      <c r="H1598" s="196">
        <v>2</v>
      </c>
      <c r="I1598" s="197">
        <v>18845</v>
      </c>
      <c r="J1598" s="197">
        <v>18845</v>
      </c>
      <c r="K1598" s="197">
        <v>0</v>
      </c>
      <c r="L1598" s="197">
        <v>-1175</v>
      </c>
      <c r="M1598" s="260" t="s">
        <v>239</v>
      </c>
      <c r="N1598" s="260" t="s">
        <v>514</v>
      </c>
    </row>
    <row r="1599" spans="1:14" ht="14.5" x14ac:dyDescent="0.35">
      <c r="A1599" s="260" t="s">
        <v>565</v>
      </c>
      <c r="B1599" s="190">
        <v>45823</v>
      </c>
      <c r="C1599" s="260" t="s">
        <v>754</v>
      </c>
      <c r="D1599" s="197">
        <v>50</v>
      </c>
      <c r="E1599" s="197">
        <v>4104</v>
      </c>
      <c r="F1599" s="197">
        <v>83.34</v>
      </c>
      <c r="G1599" s="190">
        <v>45821</v>
      </c>
      <c r="H1599" s="196">
        <v>2</v>
      </c>
      <c r="I1599" s="197">
        <v>4167</v>
      </c>
      <c r="J1599" s="197">
        <v>4167</v>
      </c>
      <c r="K1599" s="197">
        <v>0</v>
      </c>
      <c r="L1599" s="197">
        <v>63</v>
      </c>
      <c r="M1599" s="260" t="s">
        <v>239</v>
      </c>
      <c r="N1599" s="260" t="s">
        <v>514</v>
      </c>
    </row>
    <row r="1600" spans="1:14" ht="14.5" x14ac:dyDescent="0.35">
      <c r="A1600" s="260" t="s">
        <v>565</v>
      </c>
      <c r="B1600" s="190">
        <v>45824</v>
      </c>
      <c r="C1600" s="260" t="s">
        <v>749</v>
      </c>
      <c r="D1600" s="197">
        <v>160</v>
      </c>
      <c r="E1600" s="197">
        <v>8008</v>
      </c>
      <c r="F1600" s="197">
        <v>52.6</v>
      </c>
      <c r="G1600" s="190">
        <v>45824</v>
      </c>
      <c r="H1600" s="196">
        <v>0</v>
      </c>
      <c r="I1600" s="197">
        <v>8416</v>
      </c>
      <c r="J1600" s="197">
        <v>8416</v>
      </c>
      <c r="K1600" s="197">
        <v>0</v>
      </c>
      <c r="L1600" s="197">
        <v>408</v>
      </c>
      <c r="M1600" s="260" t="s">
        <v>239</v>
      </c>
      <c r="N1600" s="260" t="s">
        <v>514</v>
      </c>
    </row>
    <row r="1601" spans="1:14" ht="14.5" x14ac:dyDescent="0.35">
      <c r="A1601" s="260" t="s">
        <v>565</v>
      </c>
      <c r="B1601" s="190">
        <v>45824</v>
      </c>
      <c r="C1601" s="260" t="s">
        <v>752</v>
      </c>
      <c r="D1601" s="197">
        <v>100</v>
      </c>
      <c r="E1601" s="197">
        <v>20020</v>
      </c>
      <c r="F1601" s="197">
        <v>187.31</v>
      </c>
      <c r="G1601" s="190">
        <v>45824</v>
      </c>
      <c r="H1601" s="196">
        <v>0</v>
      </c>
      <c r="I1601" s="197">
        <v>18731</v>
      </c>
      <c r="J1601" s="197">
        <v>18731</v>
      </c>
      <c r="K1601" s="197">
        <v>0</v>
      </c>
      <c r="L1601" s="197">
        <v>-1289</v>
      </c>
      <c r="M1601" s="260" t="s">
        <v>239</v>
      </c>
      <c r="N1601" s="260" t="s">
        <v>514</v>
      </c>
    </row>
    <row r="1602" spans="1:14" ht="14.5" x14ac:dyDescent="0.35">
      <c r="A1602" s="260" t="s">
        <v>565</v>
      </c>
      <c r="B1602" s="190">
        <v>45824</v>
      </c>
      <c r="C1602" s="260" t="s">
        <v>754</v>
      </c>
      <c r="D1602" s="197">
        <v>50</v>
      </c>
      <c r="E1602" s="197">
        <v>4104</v>
      </c>
      <c r="F1602" s="197">
        <v>82.93</v>
      </c>
      <c r="G1602" s="190">
        <v>45824</v>
      </c>
      <c r="H1602" s="196">
        <v>0</v>
      </c>
      <c r="I1602" s="197">
        <v>4146.5</v>
      </c>
      <c r="J1602" s="197">
        <v>4146.5</v>
      </c>
      <c r="K1602" s="197">
        <v>0</v>
      </c>
      <c r="L1602" s="197">
        <v>42.5</v>
      </c>
      <c r="M1602" s="260" t="s">
        <v>239</v>
      </c>
      <c r="N1602" s="260" t="s">
        <v>514</v>
      </c>
    </row>
    <row r="1603" spans="1:14" ht="14.5" x14ac:dyDescent="0.35">
      <c r="A1603" s="260" t="s">
        <v>565</v>
      </c>
      <c r="B1603" s="190">
        <v>45825</v>
      </c>
      <c r="C1603" s="260" t="s">
        <v>749</v>
      </c>
      <c r="D1603" s="197">
        <v>160</v>
      </c>
      <c r="E1603" s="197">
        <v>8008</v>
      </c>
      <c r="F1603" s="197">
        <v>52.81</v>
      </c>
      <c r="G1603" s="190">
        <v>45825</v>
      </c>
      <c r="H1603" s="196">
        <v>0</v>
      </c>
      <c r="I1603" s="197">
        <v>8449.6</v>
      </c>
      <c r="J1603" s="197">
        <v>8449.6</v>
      </c>
      <c r="K1603" s="197">
        <v>0</v>
      </c>
      <c r="L1603" s="197">
        <v>441.60000000000036</v>
      </c>
      <c r="M1603" s="260" t="s">
        <v>239</v>
      </c>
      <c r="N1603" s="260" t="s">
        <v>514</v>
      </c>
    </row>
    <row r="1604" spans="1:14" ht="14.5" x14ac:dyDescent="0.35">
      <c r="A1604" s="260" t="s">
        <v>565</v>
      </c>
      <c r="B1604" s="190">
        <v>45825</v>
      </c>
      <c r="C1604" s="260" t="s">
        <v>752</v>
      </c>
      <c r="D1604" s="197">
        <v>100</v>
      </c>
      <c r="E1604" s="197">
        <v>20020</v>
      </c>
      <c r="F1604" s="197">
        <v>186.93</v>
      </c>
      <c r="G1604" s="190">
        <v>45825</v>
      </c>
      <c r="H1604" s="196">
        <v>0</v>
      </c>
      <c r="I1604" s="197">
        <v>18693</v>
      </c>
      <c r="J1604" s="197">
        <v>18693</v>
      </c>
      <c r="K1604" s="197">
        <v>0</v>
      </c>
      <c r="L1604" s="197">
        <v>-1327</v>
      </c>
      <c r="M1604" s="260" t="s">
        <v>239</v>
      </c>
      <c r="N1604" s="260" t="s">
        <v>514</v>
      </c>
    </row>
    <row r="1605" spans="1:14" ht="14.5" x14ac:dyDescent="0.35">
      <c r="A1605" s="260" t="s">
        <v>565</v>
      </c>
      <c r="B1605" s="190">
        <v>45825</v>
      </c>
      <c r="C1605" s="260" t="s">
        <v>754</v>
      </c>
      <c r="D1605" s="197">
        <v>50</v>
      </c>
      <c r="E1605" s="197">
        <v>4104</v>
      </c>
      <c r="F1605" s="197">
        <v>82.79</v>
      </c>
      <c r="G1605" s="190">
        <v>45825</v>
      </c>
      <c r="H1605" s="196">
        <v>0</v>
      </c>
      <c r="I1605" s="197">
        <v>4139.5</v>
      </c>
      <c r="J1605" s="197">
        <v>4139.5</v>
      </c>
      <c r="K1605" s="197">
        <v>0</v>
      </c>
      <c r="L1605" s="197">
        <v>35.5</v>
      </c>
      <c r="M1605" s="260" t="s">
        <v>239</v>
      </c>
      <c r="N1605" s="260" t="s">
        <v>514</v>
      </c>
    </row>
    <row r="1606" spans="1:14" ht="14.5" x14ac:dyDescent="0.35">
      <c r="A1606" s="260" t="s">
        <v>565</v>
      </c>
      <c r="B1606" s="190">
        <v>45826</v>
      </c>
      <c r="C1606" s="260" t="s">
        <v>749</v>
      </c>
      <c r="D1606" s="197">
        <v>160</v>
      </c>
      <c r="E1606" s="197">
        <v>8008</v>
      </c>
      <c r="F1606" s="197">
        <v>53.02</v>
      </c>
      <c r="G1606" s="190">
        <v>45826</v>
      </c>
      <c r="H1606" s="196">
        <v>0</v>
      </c>
      <c r="I1606" s="197">
        <v>8483.2000000000007</v>
      </c>
      <c r="J1606" s="197">
        <v>8483.2000000000007</v>
      </c>
      <c r="K1606" s="197">
        <v>0</v>
      </c>
      <c r="L1606" s="197">
        <v>475.20000000000073</v>
      </c>
      <c r="M1606" s="260" t="s">
        <v>239</v>
      </c>
      <c r="N1606" s="260" t="s">
        <v>514</v>
      </c>
    </row>
    <row r="1607" spans="1:14" ht="14.5" x14ac:dyDescent="0.35">
      <c r="A1607" s="260" t="s">
        <v>565</v>
      </c>
      <c r="B1607" s="190">
        <v>45826</v>
      </c>
      <c r="C1607" s="260" t="s">
        <v>752</v>
      </c>
      <c r="D1607" s="197">
        <v>100</v>
      </c>
      <c r="E1607" s="197">
        <v>20020</v>
      </c>
      <c r="F1607" s="197">
        <v>186.55</v>
      </c>
      <c r="G1607" s="190">
        <v>45826</v>
      </c>
      <c r="H1607" s="196">
        <v>0</v>
      </c>
      <c r="I1607" s="197">
        <v>18655</v>
      </c>
      <c r="J1607" s="197">
        <v>18655</v>
      </c>
      <c r="K1607" s="197">
        <v>0</v>
      </c>
      <c r="L1607" s="197">
        <v>-1365</v>
      </c>
      <c r="M1607" s="260" t="s">
        <v>239</v>
      </c>
      <c r="N1607" s="260" t="s">
        <v>514</v>
      </c>
    </row>
    <row r="1608" spans="1:14" ht="14.5" x14ac:dyDescent="0.35">
      <c r="A1608" s="260" t="s">
        <v>565</v>
      </c>
      <c r="B1608" s="190">
        <v>45826</v>
      </c>
      <c r="C1608" s="260" t="s">
        <v>754</v>
      </c>
      <c r="D1608" s="197">
        <v>50</v>
      </c>
      <c r="E1608" s="197">
        <v>4104</v>
      </c>
      <c r="F1608" s="197">
        <v>82.66</v>
      </c>
      <c r="G1608" s="190">
        <v>45826</v>
      </c>
      <c r="H1608" s="196">
        <v>0</v>
      </c>
      <c r="I1608" s="197">
        <v>4133</v>
      </c>
      <c r="J1608" s="197">
        <v>4133</v>
      </c>
      <c r="K1608" s="197">
        <v>0</v>
      </c>
      <c r="L1608" s="197">
        <v>29</v>
      </c>
      <c r="M1608" s="260" t="s">
        <v>239</v>
      </c>
      <c r="N1608" s="260" t="s">
        <v>514</v>
      </c>
    </row>
    <row r="1609" spans="1:14" ht="14.5" x14ac:dyDescent="0.35">
      <c r="A1609" s="260" t="s">
        <v>565</v>
      </c>
      <c r="B1609" s="190">
        <v>45827</v>
      </c>
      <c r="C1609" s="260" t="s">
        <v>749</v>
      </c>
      <c r="D1609" s="197">
        <v>160</v>
      </c>
      <c r="E1609" s="197">
        <v>8008</v>
      </c>
      <c r="F1609" s="197">
        <v>53.22</v>
      </c>
      <c r="G1609" s="190">
        <v>45827</v>
      </c>
      <c r="H1609" s="196">
        <v>0</v>
      </c>
      <c r="I1609" s="197">
        <v>8515.2000000000007</v>
      </c>
      <c r="J1609" s="197">
        <v>8515.2000000000007</v>
      </c>
      <c r="K1609" s="197">
        <v>0</v>
      </c>
      <c r="L1609" s="197">
        <v>507.20000000000073</v>
      </c>
      <c r="M1609" s="260" t="s">
        <v>239</v>
      </c>
      <c r="N1609" s="260" t="s">
        <v>514</v>
      </c>
    </row>
    <row r="1610" spans="1:14" ht="14.5" x14ac:dyDescent="0.35">
      <c r="A1610" s="260" t="s">
        <v>565</v>
      </c>
      <c r="B1610" s="190">
        <v>45827</v>
      </c>
      <c r="C1610" s="260" t="s">
        <v>752</v>
      </c>
      <c r="D1610" s="197">
        <v>100</v>
      </c>
      <c r="E1610" s="197">
        <v>20020</v>
      </c>
      <c r="F1610" s="197">
        <v>186.17</v>
      </c>
      <c r="G1610" s="190">
        <v>45827</v>
      </c>
      <c r="H1610" s="196">
        <v>0</v>
      </c>
      <c r="I1610" s="197">
        <v>18617</v>
      </c>
      <c r="J1610" s="197">
        <v>18617</v>
      </c>
      <c r="K1610" s="197">
        <v>0</v>
      </c>
      <c r="L1610" s="197">
        <v>-1403</v>
      </c>
      <c r="M1610" s="260" t="s">
        <v>239</v>
      </c>
      <c r="N1610" s="260" t="s">
        <v>514</v>
      </c>
    </row>
    <row r="1611" spans="1:14" ht="14.5" x14ac:dyDescent="0.35">
      <c r="A1611" s="260" t="s">
        <v>565</v>
      </c>
      <c r="B1611" s="190">
        <v>45827</v>
      </c>
      <c r="C1611" s="260" t="s">
        <v>754</v>
      </c>
      <c r="D1611" s="197">
        <v>50</v>
      </c>
      <c r="E1611" s="197">
        <v>4104</v>
      </c>
      <c r="F1611" s="197">
        <v>82.52</v>
      </c>
      <c r="G1611" s="190">
        <v>45827</v>
      </c>
      <c r="H1611" s="196">
        <v>0</v>
      </c>
      <c r="I1611" s="197">
        <v>4126</v>
      </c>
      <c r="J1611" s="197">
        <v>4126</v>
      </c>
      <c r="K1611" s="197">
        <v>0</v>
      </c>
      <c r="L1611" s="197">
        <v>22</v>
      </c>
      <c r="M1611" s="260" t="s">
        <v>239</v>
      </c>
      <c r="N1611" s="260" t="s">
        <v>514</v>
      </c>
    </row>
    <row r="1612" spans="1:14" ht="14.5" x14ac:dyDescent="0.35">
      <c r="A1612" s="260" t="s">
        <v>565</v>
      </c>
      <c r="B1612" s="190">
        <v>45828</v>
      </c>
      <c r="C1612" s="260" t="s">
        <v>749</v>
      </c>
      <c r="D1612" s="197">
        <v>160</v>
      </c>
      <c r="E1612" s="197">
        <v>8008</v>
      </c>
      <c r="F1612" s="197">
        <v>53.43</v>
      </c>
      <c r="G1612" s="190">
        <v>45828</v>
      </c>
      <c r="H1612" s="196">
        <v>0</v>
      </c>
      <c r="I1612" s="197">
        <v>8548.7999999999993</v>
      </c>
      <c r="J1612" s="197">
        <v>8548.7999999999993</v>
      </c>
      <c r="K1612" s="197">
        <v>0</v>
      </c>
      <c r="L1612" s="197">
        <v>540.79999999999927</v>
      </c>
      <c r="M1612" s="260" t="s">
        <v>239</v>
      </c>
      <c r="N1612" s="260" t="s">
        <v>514</v>
      </c>
    </row>
    <row r="1613" spans="1:14" ht="14.5" x14ac:dyDescent="0.35">
      <c r="A1613" s="260" t="s">
        <v>565</v>
      </c>
      <c r="B1613" s="190">
        <v>45828</v>
      </c>
      <c r="C1613" s="260" t="s">
        <v>752</v>
      </c>
      <c r="D1613" s="197">
        <v>100</v>
      </c>
      <c r="E1613" s="197">
        <v>20020</v>
      </c>
      <c r="F1613" s="197">
        <v>185.79</v>
      </c>
      <c r="G1613" s="190">
        <v>45828</v>
      </c>
      <c r="H1613" s="196">
        <v>0</v>
      </c>
      <c r="I1613" s="197">
        <v>18579</v>
      </c>
      <c r="J1613" s="197">
        <v>18579</v>
      </c>
      <c r="K1613" s="197">
        <v>0</v>
      </c>
      <c r="L1613" s="197">
        <v>-1441</v>
      </c>
      <c r="M1613" s="260" t="s">
        <v>239</v>
      </c>
      <c r="N1613" s="260" t="s">
        <v>514</v>
      </c>
    </row>
    <row r="1614" spans="1:14" ht="14.5" x14ac:dyDescent="0.35">
      <c r="A1614" s="260" t="s">
        <v>565</v>
      </c>
      <c r="B1614" s="190">
        <v>45828</v>
      </c>
      <c r="C1614" s="260" t="s">
        <v>754</v>
      </c>
      <c r="D1614" s="197">
        <v>50</v>
      </c>
      <c r="E1614" s="197">
        <v>4104</v>
      </c>
      <c r="F1614" s="197">
        <v>82.38</v>
      </c>
      <c r="G1614" s="190">
        <v>45828</v>
      </c>
      <c r="H1614" s="196">
        <v>0</v>
      </c>
      <c r="I1614" s="197">
        <v>4119</v>
      </c>
      <c r="J1614" s="197">
        <v>4119</v>
      </c>
      <c r="K1614" s="197">
        <v>0</v>
      </c>
      <c r="L1614" s="197">
        <v>15</v>
      </c>
      <c r="M1614" s="260" t="s">
        <v>239</v>
      </c>
      <c r="N1614" s="260" t="s">
        <v>514</v>
      </c>
    </row>
    <row r="1615" spans="1:14" ht="14.5" x14ac:dyDescent="0.35">
      <c r="A1615" s="260" t="s">
        <v>565</v>
      </c>
      <c r="B1615" s="190">
        <v>45829</v>
      </c>
      <c r="C1615" s="260" t="s">
        <v>749</v>
      </c>
      <c r="D1615" s="197">
        <v>160</v>
      </c>
      <c r="E1615" s="197">
        <v>8008</v>
      </c>
      <c r="F1615" s="197">
        <v>53.43</v>
      </c>
      <c r="G1615" s="190">
        <v>45828</v>
      </c>
      <c r="H1615" s="196">
        <v>1</v>
      </c>
      <c r="I1615" s="197">
        <v>8548.7999999999993</v>
      </c>
      <c r="J1615" s="197">
        <v>8548.7999999999993</v>
      </c>
      <c r="K1615" s="197">
        <v>0</v>
      </c>
      <c r="L1615" s="197">
        <v>540.79999999999927</v>
      </c>
      <c r="M1615" s="260" t="s">
        <v>239</v>
      </c>
      <c r="N1615" s="260" t="s">
        <v>514</v>
      </c>
    </row>
    <row r="1616" spans="1:14" ht="14.5" x14ac:dyDescent="0.35">
      <c r="A1616" s="260" t="s">
        <v>565</v>
      </c>
      <c r="B1616" s="190">
        <v>45829</v>
      </c>
      <c r="C1616" s="260" t="s">
        <v>752</v>
      </c>
      <c r="D1616" s="197">
        <v>100</v>
      </c>
      <c r="E1616" s="197">
        <v>20020</v>
      </c>
      <c r="F1616" s="197">
        <v>185.79</v>
      </c>
      <c r="G1616" s="190">
        <v>45828</v>
      </c>
      <c r="H1616" s="196">
        <v>1</v>
      </c>
      <c r="I1616" s="197">
        <v>18579</v>
      </c>
      <c r="J1616" s="197">
        <v>18579</v>
      </c>
      <c r="K1616" s="197">
        <v>0</v>
      </c>
      <c r="L1616" s="197">
        <v>-1441</v>
      </c>
      <c r="M1616" s="260" t="s">
        <v>239</v>
      </c>
      <c r="N1616" s="260" t="s">
        <v>514</v>
      </c>
    </row>
    <row r="1617" spans="1:14" ht="14.5" x14ac:dyDescent="0.35">
      <c r="A1617" s="260" t="s">
        <v>565</v>
      </c>
      <c r="B1617" s="190">
        <v>45829</v>
      </c>
      <c r="C1617" s="260" t="s">
        <v>754</v>
      </c>
      <c r="D1617" s="197">
        <v>50</v>
      </c>
      <c r="E1617" s="197">
        <v>4104</v>
      </c>
      <c r="F1617" s="197">
        <v>82.38</v>
      </c>
      <c r="G1617" s="190">
        <v>45828</v>
      </c>
      <c r="H1617" s="196">
        <v>1</v>
      </c>
      <c r="I1617" s="197">
        <v>4119</v>
      </c>
      <c r="J1617" s="197">
        <v>4119</v>
      </c>
      <c r="K1617" s="197">
        <v>0</v>
      </c>
      <c r="L1617" s="197">
        <v>15</v>
      </c>
      <c r="M1617" s="260" t="s">
        <v>239</v>
      </c>
      <c r="N1617" s="260" t="s">
        <v>514</v>
      </c>
    </row>
    <row r="1618" spans="1:14" ht="14.5" x14ac:dyDescent="0.35">
      <c r="A1618" s="260" t="s">
        <v>565</v>
      </c>
      <c r="B1618" s="190">
        <v>45830</v>
      </c>
      <c r="C1618" s="260" t="s">
        <v>749</v>
      </c>
      <c r="D1618" s="197">
        <v>160</v>
      </c>
      <c r="E1618" s="197">
        <v>8008</v>
      </c>
      <c r="F1618" s="197">
        <v>53.43</v>
      </c>
      <c r="G1618" s="190">
        <v>45828</v>
      </c>
      <c r="H1618" s="196">
        <v>2</v>
      </c>
      <c r="I1618" s="197">
        <v>8548.7999999999993</v>
      </c>
      <c r="J1618" s="197">
        <v>8548.7999999999993</v>
      </c>
      <c r="K1618" s="197">
        <v>0</v>
      </c>
      <c r="L1618" s="197">
        <v>540.79999999999927</v>
      </c>
      <c r="M1618" s="260" t="s">
        <v>239</v>
      </c>
      <c r="N1618" s="260" t="s">
        <v>514</v>
      </c>
    </row>
    <row r="1619" spans="1:14" ht="14.5" x14ac:dyDescent="0.35">
      <c r="A1619" s="260" t="s">
        <v>565</v>
      </c>
      <c r="B1619" s="190">
        <v>45830</v>
      </c>
      <c r="C1619" s="260" t="s">
        <v>752</v>
      </c>
      <c r="D1619" s="197">
        <v>100</v>
      </c>
      <c r="E1619" s="197">
        <v>20020</v>
      </c>
      <c r="F1619" s="197">
        <v>185.79</v>
      </c>
      <c r="G1619" s="190">
        <v>45828</v>
      </c>
      <c r="H1619" s="196">
        <v>2</v>
      </c>
      <c r="I1619" s="197">
        <v>18579</v>
      </c>
      <c r="J1619" s="197">
        <v>18579</v>
      </c>
      <c r="K1619" s="197">
        <v>0</v>
      </c>
      <c r="L1619" s="197">
        <v>-1441</v>
      </c>
      <c r="M1619" s="260" t="s">
        <v>239</v>
      </c>
      <c r="N1619" s="260" t="s">
        <v>514</v>
      </c>
    </row>
    <row r="1620" spans="1:14" ht="14.5" x14ac:dyDescent="0.35">
      <c r="A1620" s="260" t="s">
        <v>565</v>
      </c>
      <c r="B1620" s="190">
        <v>45830</v>
      </c>
      <c r="C1620" s="260" t="s">
        <v>754</v>
      </c>
      <c r="D1620" s="197">
        <v>50</v>
      </c>
      <c r="E1620" s="197">
        <v>4104</v>
      </c>
      <c r="F1620" s="197">
        <v>82.38</v>
      </c>
      <c r="G1620" s="190">
        <v>45828</v>
      </c>
      <c r="H1620" s="196">
        <v>2</v>
      </c>
      <c r="I1620" s="197">
        <v>4119</v>
      </c>
      <c r="J1620" s="197">
        <v>4119</v>
      </c>
      <c r="K1620" s="197">
        <v>0</v>
      </c>
      <c r="L1620" s="197">
        <v>15</v>
      </c>
      <c r="M1620" s="260" t="s">
        <v>239</v>
      </c>
      <c r="N1620" s="260" t="s">
        <v>514</v>
      </c>
    </row>
    <row r="1621" spans="1:14" ht="14.5" x14ac:dyDescent="0.35">
      <c r="A1621" s="260" t="s">
        <v>565</v>
      </c>
      <c r="B1621" s="190">
        <v>45831</v>
      </c>
      <c r="C1621" s="260" t="s">
        <v>749</v>
      </c>
      <c r="D1621" s="197">
        <v>160</v>
      </c>
      <c r="E1621" s="197">
        <v>8008</v>
      </c>
      <c r="F1621" s="197">
        <v>54.05</v>
      </c>
      <c r="G1621" s="190">
        <v>45831</v>
      </c>
      <c r="H1621" s="196">
        <v>0</v>
      </c>
      <c r="I1621" s="197">
        <v>8648</v>
      </c>
      <c r="J1621" s="197">
        <v>8648</v>
      </c>
      <c r="K1621" s="197">
        <v>0</v>
      </c>
      <c r="L1621" s="197">
        <v>640</v>
      </c>
      <c r="M1621" s="260" t="s">
        <v>239</v>
      </c>
      <c r="N1621" s="260" t="s">
        <v>514</v>
      </c>
    </row>
    <row r="1622" spans="1:14" ht="14.5" x14ac:dyDescent="0.35">
      <c r="A1622" s="260" t="s">
        <v>565</v>
      </c>
      <c r="B1622" s="190">
        <v>45831</v>
      </c>
      <c r="C1622" s="260" t="s">
        <v>752</v>
      </c>
      <c r="D1622" s="197">
        <v>100</v>
      </c>
      <c r="E1622" s="197">
        <v>20020</v>
      </c>
      <c r="F1622" s="197">
        <v>184.66</v>
      </c>
      <c r="G1622" s="190">
        <v>45831</v>
      </c>
      <c r="H1622" s="196">
        <v>0</v>
      </c>
      <c r="I1622" s="197">
        <v>18466</v>
      </c>
      <c r="J1622" s="197">
        <v>18466</v>
      </c>
      <c r="K1622" s="197">
        <v>0</v>
      </c>
      <c r="L1622" s="197">
        <v>-1554</v>
      </c>
      <c r="M1622" s="260" t="s">
        <v>239</v>
      </c>
      <c r="N1622" s="260" t="s">
        <v>514</v>
      </c>
    </row>
    <row r="1623" spans="1:14" ht="14.5" x14ac:dyDescent="0.35">
      <c r="A1623" s="260" t="s">
        <v>565</v>
      </c>
      <c r="B1623" s="190">
        <v>45831</v>
      </c>
      <c r="C1623" s="260" t="s">
        <v>754</v>
      </c>
      <c r="D1623" s="197">
        <v>50</v>
      </c>
      <c r="E1623" s="197">
        <v>4104</v>
      </c>
      <c r="F1623" s="197">
        <v>81.97</v>
      </c>
      <c r="G1623" s="190">
        <v>45831</v>
      </c>
      <c r="H1623" s="196">
        <v>0</v>
      </c>
      <c r="I1623" s="197">
        <v>4098.5</v>
      </c>
      <c r="J1623" s="197">
        <v>4098.5</v>
      </c>
      <c r="K1623" s="197">
        <v>0</v>
      </c>
      <c r="L1623" s="197">
        <v>-5.5</v>
      </c>
      <c r="M1623" s="260" t="s">
        <v>239</v>
      </c>
      <c r="N1623" s="260" t="s">
        <v>514</v>
      </c>
    </row>
    <row r="1624" spans="1:14" ht="14.5" x14ac:dyDescent="0.35">
      <c r="A1624" s="260" t="s">
        <v>565</v>
      </c>
      <c r="B1624" s="190">
        <v>45832</v>
      </c>
      <c r="C1624" s="260" t="s">
        <v>749</v>
      </c>
      <c r="D1624" s="197">
        <v>160</v>
      </c>
      <c r="E1624" s="197">
        <v>8008</v>
      </c>
      <c r="F1624" s="197">
        <v>54.26</v>
      </c>
      <c r="G1624" s="190">
        <v>45832</v>
      </c>
      <c r="H1624" s="196">
        <v>0</v>
      </c>
      <c r="I1624" s="197">
        <v>8681.6</v>
      </c>
      <c r="J1624" s="197">
        <v>8681.6</v>
      </c>
      <c r="K1624" s="197">
        <v>0</v>
      </c>
      <c r="L1624" s="197">
        <v>673.60000000000036</v>
      </c>
      <c r="M1624" s="260" t="s">
        <v>239</v>
      </c>
      <c r="N1624" s="260" t="s">
        <v>514</v>
      </c>
    </row>
    <row r="1625" spans="1:14" ht="14.5" x14ac:dyDescent="0.35">
      <c r="A1625" s="260" t="s">
        <v>565</v>
      </c>
      <c r="B1625" s="190">
        <v>45832</v>
      </c>
      <c r="C1625" s="260" t="s">
        <v>752</v>
      </c>
      <c r="D1625" s="197">
        <v>100</v>
      </c>
      <c r="E1625" s="197">
        <v>20020</v>
      </c>
      <c r="F1625" s="197">
        <v>184.28</v>
      </c>
      <c r="G1625" s="190">
        <v>45832</v>
      </c>
      <c r="H1625" s="196">
        <v>0</v>
      </c>
      <c r="I1625" s="197">
        <v>18428</v>
      </c>
      <c r="J1625" s="197">
        <v>18428</v>
      </c>
      <c r="K1625" s="197">
        <v>0</v>
      </c>
      <c r="L1625" s="197">
        <v>-1592</v>
      </c>
      <c r="M1625" s="260" t="s">
        <v>239</v>
      </c>
      <c r="N1625" s="260" t="s">
        <v>514</v>
      </c>
    </row>
    <row r="1626" spans="1:14" ht="14.5" x14ac:dyDescent="0.35">
      <c r="A1626" s="260" t="s">
        <v>565</v>
      </c>
      <c r="B1626" s="190">
        <v>45832</v>
      </c>
      <c r="C1626" s="260" t="s">
        <v>754</v>
      </c>
      <c r="D1626" s="197">
        <v>50</v>
      </c>
      <c r="E1626" s="197">
        <v>4104</v>
      </c>
      <c r="F1626" s="197">
        <v>81.83</v>
      </c>
      <c r="G1626" s="190">
        <v>45832</v>
      </c>
      <c r="H1626" s="196">
        <v>0</v>
      </c>
      <c r="I1626" s="197">
        <v>4091.5</v>
      </c>
      <c r="J1626" s="197">
        <v>4091.5</v>
      </c>
      <c r="K1626" s="197">
        <v>0</v>
      </c>
      <c r="L1626" s="197">
        <v>-12.5</v>
      </c>
      <c r="M1626" s="260" t="s">
        <v>239</v>
      </c>
      <c r="N1626" s="260" t="s">
        <v>514</v>
      </c>
    </row>
    <row r="1627" spans="1:14" ht="14.5" x14ac:dyDescent="0.35">
      <c r="A1627" s="260" t="s">
        <v>565</v>
      </c>
      <c r="B1627" s="190">
        <v>45833</v>
      </c>
      <c r="C1627" s="260" t="s">
        <v>749</v>
      </c>
      <c r="D1627" s="197">
        <v>160</v>
      </c>
      <c r="E1627" s="197">
        <v>8008</v>
      </c>
      <c r="F1627" s="197">
        <v>54.47</v>
      </c>
      <c r="G1627" s="190">
        <v>45833</v>
      </c>
      <c r="H1627" s="196">
        <v>0</v>
      </c>
      <c r="I1627" s="197">
        <v>8715.2000000000007</v>
      </c>
      <c r="J1627" s="197">
        <v>8715.2000000000007</v>
      </c>
      <c r="K1627" s="197">
        <v>0</v>
      </c>
      <c r="L1627" s="197">
        <v>707.20000000000073</v>
      </c>
      <c r="M1627" s="260" t="s">
        <v>239</v>
      </c>
      <c r="N1627" s="260" t="s">
        <v>514</v>
      </c>
    </row>
    <row r="1628" spans="1:14" ht="14.5" x14ac:dyDescent="0.35">
      <c r="A1628" s="260" t="s">
        <v>565</v>
      </c>
      <c r="B1628" s="190">
        <v>45833</v>
      </c>
      <c r="C1628" s="260" t="s">
        <v>752</v>
      </c>
      <c r="D1628" s="197">
        <v>100</v>
      </c>
      <c r="E1628" s="197">
        <v>20020</v>
      </c>
      <c r="F1628" s="197">
        <v>183.9</v>
      </c>
      <c r="G1628" s="190">
        <v>45833</v>
      </c>
      <c r="H1628" s="196">
        <v>0</v>
      </c>
      <c r="I1628" s="197">
        <v>18390</v>
      </c>
      <c r="J1628" s="197">
        <v>18390</v>
      </c>
      <c r="K1628" s="197">
        <v>0</v>
      </c>
      <c r="L1628" s="197">
        <v>-1630</v>
      </c>
      <c r="M1628" s="260" t="s">
        <v>239</v>
      </c>
      <c r="N1628" s="260" t="s">
        <v>514</v>
      </c>
    </row>
    <row r="1629" spans="1:14" ht="14.5" x14ac:dyDescent="0.35">
      <c r="A1629" s="260" t="s">
        <v>565</v>
      </c>
      <c r="B1629" s="190">
        <v>45833</v>
      </c>
      <c r="C1629" s="260" t="s">
        <v>754</v>
      </c>
      <c r="D1629" s="197">
        <v>50</v>
      </c>
      <c r="E1629" s="197">
        <v>4104</v>
      </c>
      <c r="F1629" s="197">
        <v>81.69</v>
      </c>
      <c r="G1629" s="190">
        <v>45833</v>
      </c>
      <c r="H1629" s="196">
        <v>0</v>
      </c>
      <c r="I1629" s="197">
        <v>4084.5</v>
      </c>
      <c r="J1629" s="197">
        <v>4084.5</v>
      </c>
      <c r="K1629" s="197">
        <v>0</v>
      </c>
      <c r="L1629" s="197">
        <v>-19.5</v>
      </c>
      <c r="M1629" s="260" t="s">
        <v>239</v>
      </c>
      <c r="N1629" s="260" t="s">
        <v>514</v>
      </c>
    </row>
    <row r="1630" spans="1:14" ht="14.5" x14ac:dyDescent="0.35">
      <c r="A1630" s="260" t="s">
        <v>565</v>
      </c>
      <c r="B1630" s="190">
        <v>45834</v>
      </c>
      <c r="C1630" s="260" t="s">
        <v>749</v>
      </c>
      <c r="D1630" s="197">
        <v>160</v>
      </c>
      <c r="E1630" s="197">
        <v>8008</v>
      </c>
      <c r="F1630" s="197">
        <v>54.67</v>
      </c>
      <c r="G1630" s="190">
        <v>45834</v>
      </c>
      <c r="H1630" s="196">
        <v>0</v>
      </c>
      <c r="I1630" s="197">
        <v>8747.2000000000007</v>
      </c>
      <c r="J1630" s="197">
        <v>8747.2000000000007</v>
      </c>
      <c r="K1630" s="197">
        <v>0</v>
      </c>
      <c r="L1630" s="197">
        <v>739.20000000000073</v>
      </c>
      <c r="M1630" s="260" t="s">
        <v>239</v>
      </c>
      <c r="N1630" s="260" t="s">
        <v>514</v>
      </c>
    </row>
    <row r="1631" spans="1:14" ht="14.5" x14ac:dyDescent="0.35">
      <c r="A1631" s="260" t="s">
        <v>565</v>
      </c>
      <c r="B1631" s="190">
        <v>45834</v>
      </c>
      <c r="C1631" s="260" t="s">
        <v>752</v>
      </c>
      <c r="D1631" s="197">
        <v>100</v>
      </c>
      <c r="E1631" s="197">
        <v>20020</v>
      </c>
      <c r="F1631" s="197">
        <v>183.52</v>
      </c>
      <c r="G1631" s="190">
        <v>45834</v>
      </c>
      <c r="H1631" s="196">
        <v>0</v>
      </c>
      <c r="I1631" s="197">
        <v>18352</v>
      </c>
      <c r="J1631" s="197">
        <v>18352</v>
      </c>
      <c r="K1631" s="197">
        <v>0</v>
      </c>
      <c r="L1631" s="197">
        <v>-1668</v>
      </c>
      <c r="M1631" s="260" t="s">
        <v>239</v>
      </c>
      <c r="N1631" s="260" t="s">
        <v>514</v>
      </c>
    </row>
    <row r="1632" spans="1:14" ht="14.5" x14ac:dyDescent="0.35">
      <c r="A1632" s="260" t="s">
        <v>565</v>
      </c>
      <c r="B1632" s="190">
        <v>45834</v>
      </c>
      <c r="C1632" s="260" t="s">
        <v>754</v>
      </c>
      <c r="D1632" s="197">
        <v>50</v>
      </c>
      <c r="E1632" s="197">
        <v>4104</v>
      </c>
      <c r="F1632" s="197">
        <v>81.55</v>
      </c>
      <c r="G1632" s="190">
        <v>45834</v>
      </c>
      <c r="H1632" s="196">
        <v>0</v>
      </c>
      <c r="I1632" s="197">
        <v>4077.5</v>
      </c>
      <c r="J1632" s="197">
        <v>4077.5</v>
      </c>
      <c r="K1632" s="197">
        <v>0</v>
      </c>
      <c r="L1632" s="197">
        <v>-26.5</v>
      </c>
      <c r="M1632" s="260" t="s">
        <v>239</v>
      </c>
      <c r="N1632" s="260" t="s">
        <v>514</v>
      </c>
    </row>
    <row r="1633" spans="1:14" ht="14.5" x14ac:dyDescent="0.35">
      <c r="A1633" s="260" t="s">
        <v>565</v>
      </c>
      <c r="B1633" s="190">
        <v>45835</v>
      </c>
      <c r="C1633" s="260" t="s">
        <v>749</v>
      </c>
      <c r="D1633" s="197">
        <v>160</v>
      </c>
      <c r="E1633" s="197">
        <v>8008</v>
      </c>
      <c r="F1633" s="197">
        <v>54.88</v>
      </c>
      <c r="G1633" s="190">
        <v>45835</v>
      </c>
      <c r="H1633" s="196">
        <v>0</v>
      </c>
      <c r="I1633" s="197">
        <v>8780.8000000000011</v>
      </c>
      <c r="J1633" s="197">
        <v>8780.8000000000011</v>
      </c>
      <c r="K1633" s="197">
        <v>0</v>
      </c>
      <c r="L1633" s="197">
        <v>772.80000000000109</v>
      </c>
      <c r="M1633" s="260" t="s">
        <v>239</v>
      </c>
      <c r="N1633" s="260" t="s">
        <v>514</v>
      </c>
    </row>
    <row r="1634" spans="1:14" ht="14.5" x14ac:dyDescent="0.35">
      <c r="A1634" s="260" t="s">
        <v>565</v>
      </c>
      <c r="B1634" s="190">
        <v>45835</v>
      </c>
      <c r="C1634" s="260" t="s">
        <v>752</v>
      </c>
      <c r="D1634" s="197">
        <v>100</v>
      </c>
      <c r="E1634" s="197">
        <v>20020</v>
      </c>
      <c r="F1634" s="197">
        <v>183.14</v>
      </c>
      <c r="G1634" s="190">
        <v>45835</v>
      </c>
      <c r="H1634" s="196">
        <v>0</v>
      </c>
      <c r="I1634" s="197">
        <v>18314</v>
      </c>
      <c r="J1634" s="197">
        <v>18314</v>
      </c>
      <c r="K1634" s="197">
        <v>0</v>
      </c>
      <c r="L1634" s="197">
        <v>-1706</v>
      </c>
      <c r="M1634" s="260" t="s">
        <v>239</v>
      </c>
      <c r="N1634" s="260" t="s">
        <v>514</v>
      </c>
    </row>
    <row r="1635" spans="1:14" ht="14.5" x14ac:dyDescent="0.35">
      <c r="A1635" s="260" t="s">
        <v>565</v>
      </c>
      <c r="B1635" s="190">
        <v>45835</v>
      </c>
      <c r="C1635" s="260" t="s">
        <v>754</v>
      </c>
      <c r="D1635" s="197">
        <v>50</v>
      </c>
      <c r="E1635" s="197">
        <v>4104</v>
      </c>
      <c r="F1635" s="197">
        <v>81.41</v>
      </c>
      <c r="G1635" s="190">
        <v>45835</v>
      </c>
      <c r="H1635" s="196">
        <v>0</v>
      </c>
      <c r="I1635" s="197">
        <v>4070.5</v>
      </c>
      <c r="J1635" s="197">
        <v>4070.5</v>
      </c>
      <c r="K1635" s="197">
        <v>0</v>
      </c>
      <c r="L1635" s="197">
        <v>-33.5</v>
      </c>
      <c r="M1635" s="260" t="s">
        <v>239</v>
      </c>
      <c r="N1635" s="260" t="s">
        <v>514</v>
      </c>
    </row>
    <row r="1636" spans="1:14" ht="14.5" x14ac:dyDescent="0.35">
      <c r="A1636" s="260" t="s">
        <v>565</v>
      </c>
      <c r="B1636" s="190">
        <v>45836</v>
      </c>
      <c r="C1636" s="260" t="s">
        <v>749</v>
      </c>
      <c r="D1636" s="197">
        <v>160</v>
      </c>
      <c r="E1636" s="197">
        <v>8008</v>
      </c>
      <c r="F1636" s="197">
        <v>54.88</v>
      </c>
      <c r="G1636" s="190">
        <v>45835</v>
      </c>
      <c r="H1636" s="196">
        <v>1</v>
      </c>
      <c r="I1636" s="197">
        <v>8780.8000000000011</v>
      </c>
      <c r="J1636" s="197">
        <v>8780.8000000000011</v>
      </c>
      <c r="K1636" s="197">
        <v>0</v>
      </c>
      <c r="L1636" s="197">
        <v>772.80000000000109</v>
      </c>
      <c r="M1636" s="260" t="s">
        <v>239</v>
      </c>
      <c r="N1636" s="260" t="s">
        <v>514</v>
      </c>
    </row>
    <row r="1637" spans="1:14" ht="14.5" x14ac:dyDescent="0.35">
      <c r="A1637" s="260" t="s">
        <v>565</v>
      </c>
      <c r="B1637" s="190">
        <v>45836</v>
      </c>
      <c r="C1637" s="260" t="s">
        <v>752</v>
      </c>
      <c r="D1637" s="197">
        <v>100</v>
      </c>
      <c r="E1637" s="197">
        <v>20020</v>
      </c>
      <c r="F1637" s="197">
        <v>183.14</v>
      </c>
      <c r="G1637" s="190">
        <v>45835</v>
      </c>
      <c r="H1637" s="196">
        <v>1</v>
      </c>
      <c r="I1637" s="197">
        <v>18314</v>
      </c>
      <c r="J1637" s="197">
        <v>18314</v>
      </c>
      <c r="K1637" s="197">
        <v>0</v>
      </c>
      <c r="L1637" s="197">
        <v>-1706</v>
      </c>
      <c r="M1637" s="260" t="s">
        <v>239</v>
      </c>
      <c r="N1637" s="260" t="s">
        <v>514</v>
      </c>
    </row>
    <row r="1638" spans="1:14" ht="14.5" x14ac:dyDescent="0.35">
      <c r="A1638" s="260" t="s">
        <v>565</v>
      </c>
      <c r="B1638" s="190">
        <v>45836</v>
      </c>
      <c r="C1638" s="260" t="s">
        <v>754</v>
      </c>
      <c r="D1638" s="197">
        <v>50</v>
      </c>
      <c r="E1638" s="197">
        <v>4104</v>
      </c>
      <c r="F1638" s="197">
        <v>81.41</v>
      </c>
      <c r="G1638" s="190">
        <v>45835</v>
      </c>
      <c r="H1638" s="196">
        <v>1</v>
      </c>
      <c r="I1638" s="197">
        <v>4070.5</v>
      </c>
      <c r="J1638" s="197">
        <v>4070.5</v>
      </c>
      <c r="K1638" s="197">
        <v>0</v>
      </c>
      <c r="L1638" s="197">
        <v>-33.5</v>
      </c>
      <c r="M1638" s="260" t="s">
        <v>239</v>
      </c>
      <c r="N1638" s="260" t="s">
        <v>514</v>
      </c>
    </row>
    <row r="1639" spans="1:14" ht="14.5" x14ac:dyDescent="0.35">
      <c r="A1639" s="260" t="s">
        <v>565</v>
      </c>
      <c r="B1639" s="190">
        <v>45837</v>
      </c>
      <c r="C1639" s="260" t="s">
        <v>749</v>
      </c>
      <c r="D1639" s="197">
        <v>160</v>
      </c>
      <c r="E1639" s="197">
        <v>8008</v>
      </c>
      <c r="F1639" s="197">
        <v>54.88</v>
      </c>
      <c r="G1639" s="190">
        <v>45835</v>
      </c>
      <c r="H1639" s="196">
        <v>2</v>
      </c>
      <c r="I1639" s="197">
        <v>8780.8000000000011</v>
      </c>
      <c r="J1639" s="197">
        <v>8780.8000000000011</v>
      </c>
      <c r="K1639" s="197">
        <v>0</v>
      </c>
      <c r="L1639" s="197">
        <v>772.80000000000109</v>
      </c>
      <c r="M1639" s="260" t="s">
        <v>239</v>
      </c>
      <c r="N1639" s="260" t="s">
        <v>514</v>
      </c>
    </row>
    <row r="1640" spans="1:14" ht="14.5" x14ac:dyDescent="0.35">
      <c r="A1640" s="260" t="s">
        <v>565</v>
      </c>
      <c r="B1640" s="190">
        <v>45837</v>
      </c>
      <c r="C1640" s="260" t="s">
        <v>752</v>
      </c>
      <c r="D1640" s="197">
        <v>100</v>
      </c>
      <c r="E1640" s="197">
        <v>20020</v>
      </c>
      <c r="F1640" s="197">
        <v>183.14</v>
      </c>
      <c r="G1640" s="190">
        <v>45835</v>
      </c>
      <c r="H1640" s="196">
        <v>2</v>
      </c>
      <c r="I1640" s="197">
        <v>18314</v>
      </c>
      <c r="J1640" s="197">
        <v>18314</v>
      </c>
      <c r="K1640" s="197">
        <v>0</v>
      </c>
      <c r="L1640" s="197">
        <v>-1706</v>
      </c>
      <c r="M1640" s="260" t="s">
        <v>239</v>
      </c>
      <c r="N1640" s="260" t="s">
        <v>514</v>
      </c>
    </row>
    <row r="1641" spans="1:14" ht="14.5" x14ac:dyDescent="0.35">
      <c r="A1641" s="260" t="s">
        <v>565</v>
      </c>
      <c r="B1641" s="190">
        <v>45837</v>
      </c>
      <c r="C1641" s="260" t="s">
        <v>754</v>
      </c>
      <c r="D1641" s="197">
        <v>50</v>
      </c>
      <c r="E1641" s="197">
        <v>4104</v>
      </c>
      <c r="F1641" s="197">
        <v>81.41</v>
      </c>
      <c r="G1641" s="190">
        <v>45835</v>
      </c>
      <c r="H1641" s="196">
        <v>2</v>
      </c>
      <c r="I1641" s="197">
        <v>4070.5</v>
      </c>
      <c r="J1641" s="197">
        <v>4070.5</v>
      </c>
      <c r="K1641" s="197">
        <v>0</v>
      </c>
      <c r="L1641" s="197">
        <v>-33.5</v>
      </c>
      <c r="M1641" s="260" t="s">
        <v>239</v>
      </c>
      <c r="N1641" s="260" t="s">
        <v>514</v>
      </c>
    </row>
    <row r="1642" spans="1:14" ht="14.5" x14ac:dyDescent="0.35">
      <c r="A1642" s="260" t="s">
        <v>565</v>
      </c>
      <c r="B1642" s="190">
        <v>45838</v>
      </c>
      <c r="C1642" s="260" t="s">
        <v>749</v>
      </c>
      <c r="D1642" s="197">
        <v>160</v>
      </c>
      <c r="E1642" s="197">
        <v>8008</v>
      </c>
      <c r="F1642" s="197">
        <v>55.5</v>
      </c>
      <c r="G1642" s="190">
        <v>45838</v>
      </c>
      <c r="H1642" s="196">
        <v>0</v>
      </c>
      <c r="I1642" s="197">
        <v>8880</v>
      </c>
      <c r="J1642" s="197">
        <v>8880</v>
      </c>
      <c r="K1642" s="197">
        <v>0</v>
      </c>
      <c r="L1642" s="197">
        <v>872</v>
      </c>
      <c r="M1642" s="260" t="s">
        <v>239</v>
      </c>
      <c r="N1642" s="260" t="s">
        <v>514</v>
      </c>
    </row>
    <row r="1643" spans="1:14" ht="14.5" x14ac:dyDescent="0.35">
      <c r="A1643" s="260" t="s">
        <v>565</v>
      </c>
      <c r="B1643" s="190">
        <v>45838</v>
      </c>
      <c r="C1643" s="260" t="s">
        <v>752</v>
      </c>
      <c r="D1643" s="197">
        <v>100</v>
      </c>
      <c r="E1643" s="197">
        <v>20020</v>
      </c>
      <c r="F1643" s="197">
        <v>182</v>
      </c>
      <c r="G1643" s="190">
        <v>45838</v>
      </c>
      <c r="H1643" s="196">
        <v>0</v>
      </c>
      <c r="I1643" s="197">
        <v>18200</v>
      </c>
      <c r="J1643" s="197">
        <v>18200</v>
      </c>
      <c r="K1643" s="197">
        <v>0</v>
      </c>
      <c r="L1643" s="197">
        <v>-1820</v>
      </c>
      <c r="M1643" s="260" t="s">
        <v>239</v>
      </c>
      <c r="N1643" s="260" t="s">
        <v>514</v>
      </c>
    </row>
    <row r="1644" spans="1:14" ht="14.5" x14ac:dyDescent="0.35">
      <c r="A1644" s="260" t="s">
        <v>565</v>
      </c>
      <c r="B1644" s="190">
        <v>45838</v>
      </c>
      <c r="C1644" s="260" t="s">
        <v>754</v>
      </c>
      <c r="D1644" s="197">
        <v>50</v>
      </c>
      <c r="E1644" s="197">
        <v>4104</v>
      </c>
      <c r="F1644" s="197">
        <v>81</v>
      </c>
      <c r="G1644" s="190">
        <v>45838</v>
      </c>
      <c r="H1644" s="196">
        <v>0</v>
      </c>
      <c r="I1644" s="197">
        <v>4050</v>
      </c>
      <c r="J1644" s="197">
        <v>4050</v>
      </c>
      <c r="K1644" s="197">
        <v>0</v>
      </c>
      <c r="L1644" s="197">
        <v>-54</v>
      </c>
      <c r="M1644" s="260" t="s">
        <v>239</v>
      </c>
      <c r="N1644" s="260" t="s">
        <v>514</v>
      </c>
    </row>
    <row r="1645" spans="1:14" ht="14.5" x14ac:dyDescent="0.35">
      <c r="A1645" s="260" t="s">
        <v>565</v>
      </c>
      <c r="B1645" s="190">
        <v>45839</v>
      </c>
      <c r="C1645" s="260" t="s">
        <v>749</v>
      </c>
      <c r="D1645" s="197">
        <v>160</v>
      </c>
      <c r="E1645" s="197">
        <v>8008</v>
      </c>
      <c r="F1645" s="197">
        <v>55.5</v>
      </c>
      <c r="G1645" s="190">
        <v>45839</v>
      </c>
      <c r="H1645" s="196">
        <v>0</v>
      </c>
      <c r="I1645" s="197">
        <v>8880</v>
      </c>
      <c r="J1645" s="197">
        <v>8880</v>
      </c>
      <c r="K1645" s="197">
        <v>0</v>
      </c>
      <c r="L1645" s="197">
        <v>872</v>
      </c>
      <c r="M1645" s="260" t="s">
        <v>239</v>
      </c>
      <c r="N1645" s="260" t="s">
        <v>514</v>
      </c>
    </row>
    <row r="1646" spans="1:14" ht="14.5" x14ac:dyDescent="0.35">
      <c r="A1646" s="260" t="s">
        <v>565</v>
      </c>
      <c r="B1646" s="190">
        <v>45839</v>
      </c>
      <c r="C1646" s="260" t="s">
        <v>752</v>
      </c>
      <c r="D1646" s="197">
        <v>100</v>
      </c>
      <c r="E1646" s="197">
        <v>20020</v>
      </c>
      <c r="F1646" s="197">
        <v>182</v>
      </c>
      <c r="G1646" s="190">
        <v>45839</v>
      </c>
      <c r="H1646" s="196">
        <v>0</v>
      </c>
      <c r="I1646" s="197">
        <v>18200</v>
      </c>
      <c r="J1646" s="197">
        <v>18200</v>
      </c>
      <c r="K1646" s="197">
        <v>0</v>
      </c>
      <c r="L1646" s="197">
        <v>-1820</v>
      </c>
      <c r="M1646" s="260" t="s">
        <v>239</v>
      </c>
      <c r="N1646" s="260" t="s">
        <v>514</v>
      </c>
    </row>
    <row r="1647" spans="1:14" ht="14.5" x14ac:dyDescent="0.35">
      <c r="A1647" s="260" t="s">
        <v>565</v>
      </c>
      <c r="B1647" s="190">
        <v>45839</v>
      </c>
      <c r="C1647" s="260" t="s">
        <v>754</v>
      </c>
      <c r="D1647" s="197">
        <v>50</v>
      </c>
      <c r="E1647" s="197">
        <v>4104</v>
      </c>
      <c r="F1647" s="197">
        <v>81</v>
      </c>
      <c r="G1647" s="190">
        <v>45839</v>
      </c>
      <c r="H1647" s="196">
        <v>0</v>
      </c>
      <c r="I1647" s="197">
        <v>4050</v>
      </c>
      <c r="J1647" s="197">
        <v>4050</v>
      </c>
      <c r="K1647" s="197">
        <v>0</v>
      </c>
      <c r="L1647" s="197">
        <v>-54</v>
      </c>
      <c r="M1647" s="260" t="s">
        <v>239</v>
      </c>
      <c r="N1647" s="260" t="s">
        <v>514</v>
      </c>
    </row>
    <row r="1648" spans="1:14" ht="14.5" x14ac:dyDescent="0.35">
      <c r="A1648" s="260" t="s">
        <v>565</v>
      </c>
      <c r="B1648" s="190">
        <v>45840</v>
      </c>
      <c r="C1648" s="260" t="s">
        <v>749</v>
      </c>
      <c r="D1648" s="197">
        <v>160</v>
      </c>
      <c r="E1648" s="197">
        <v>8008</v>
      </c>
      <c r="F1648" s="197">
        <v>55.38</v>
      </c>
      <c r="G1648" s="190">
        <v>45840</v>
      </c>
      <c r="H1648" s="196">
        <v>0</v>
      </c>
      <c r="I1648" s="197">
        <v>8860.8000000000011</v>
      </c>
      <c r="J1648" s="197">
        <v>8860.8000000000011</v>
      </c>
      <c r="K1648" s="197">
        <v>0</v>
      </c>
      <c r="L1648" s="197">
        <v>852.80000000000109</v>
      </c>
      <c r="M1648" s="260" t="s">
        <v>239</v>
      </c>
      <c r="N1648" s="260" t="s">
        <v>514</v>
      </c>
    </row>
    <row r="1649" spans="1:14" ht="14.5" x14ac:dyDescent="0.35">
      <c r="A1649" s="260" t="s">
        <v>565</v>
      </c>
      <c r="B1649" s="190">
        <v>45840</v>
      </c>
      <c r="C1649" s="260" t="s">
        <v>752</v>
      </c>
      <c r="D1649" s="197">
        <v>100</v>
      </c>
      <c r="E1649" s="197">
        <v>20020</v>
      </c>
      <c r="F1649" s="197">
        <v>181.87</v>
      </c>
      <c r="G1649" s="190">
        <v>45840</v>
      </c>
      <c r="H1649" s="196">
        <v>0</v>
      </c>
      <c r="I1649" s="197">
        <v>18187</v>
      </c>
      <c r="J1649" s="197">
        <v>18187</v>
      </c>
      <c r="K1649" s="197">
        <v>0</v>
      </c>
      <c r="L1649" s="197">
        <v>-1833</v>
      </c>
      <c r="M1649" s="260" t="s">
        <v>239</v>
      </c>
      <c r="N1649" s="260" t="s">
        <v>514</v>
      </c>
    </row>
    <row r="1650" spans="1:14" ht="14.5" x14ac:dyDescent="0.35">
      <c r="A1650" s="260" t="s">
        <v>565</v>
      </c>
      <c r="B1650" s="190">
        <v>45840</v>
      </c>
      <c r="C1650" s="260" t="s">
        <v>754</v>
      </c>
      <c r="D1650" s="197">
        <v>50</v>
      </c>
      <c r="E1650" s="197">
        <v>4104</v>
      </c>
      <c r="F1650" s="197">
        <v>80.87</v>
      </c>
      <c r="G1650" s="190">
        <v>45840</v>
      </c>
      <c r="H1650" s="196">
        <v>0</v>
      </c>
      <c r="I1650" s="197">
        <v>4043.5</v>
      </c>
      <c r="J1650" s="197">
        <v>4043.5</v>
      </c>
      <c r="K1650" s="197">
        <v>0</v>
      </c>
      <c r="L1650" s="197">
        <v>-60.5</v>
      </c>
      <c r="M1650" s="260" t="s">
        <v>239</v>
      </c>
      <c r="N1650" s="260" t="s">
        <v>514</v>
      </c>
    </row>
    <row r="1651" spans="1:14" ht="14.5" x14ac:dyDescent="0.35">
      <c r="A1651" s="260" t="s">
        <v>565</v>
      </c>
      <c r="B1651" s="190">
        <v>45841</v>
      </c>
      <c r="C1651" s="260" t="s">
        <v>749</v>
      </c>
      <c r="D1651" s="197">
        <v>160</v>
      </c>
      <c r="E1651" s="197">
        <v>8008</v>
      </c>
      <c r="F1651" s="197">
        <v>55.27</v>
      </c>
      <c r="G1651" s="190">
        <v>45841</v>
      </c>
      <c r="H1651" s="196">
        <v>0</v>
      </c>
      <c r="I1651" s="197">
        <v>8843.2000000000007</v>
      </c>
      <c r="J1651" s="197">
        <v>8843.2000000000007</v>
      </c>
      <c r="K1651" s="197">
        <v>0</v>
      </c>
      <c r="L1651" s="197">
        <v>835.20000000000073</v>
      </c>
      <c r="M1651" s="260" t="s">
        <v>239</v>
      </c>
      <c r="N1651" s="260" t="s">
        <v>514</v>
      </c>
    </row>
    <row r="1652" spans="1:14" ht="14.5" x14ac:dyDescent="0.35">
      <c r="A1652" s="260" t="s">
        <v>565</v>
      </c>
      <c r="B1652" s="190">
        <v>45841</v>
      </c>
      <c r="C1652" s="260" t="s">
        <v>752</v>
      </c>
      <c r="D1652" s="197">
        <v>100</v>
      </c>
      <c r="E1652" s="197">
        <v>20020</v>
      </c>
      <c r="F1652" s="197">
        <v>181.73</v>
      </c>
      <c r="G1652" s="190">
        <v>45841</v>
      </c>
      <c r="H1652" s="196">
        <v>0</v>
      </c>
      <c r="I1652" s="197">
        <v>18173</v>
      </c>
      <c r="J1652" s="197">
        <v>18173</v>
      </c>
      <c r="K1652" s="197">
        <v>0</v>
      </c>
      <c r="L1652" s="197">
        <v>-1847</v>
      </c>
      <c r="M1652" s="260" t="s">
        <v>239</v>
      </c>
      <c r="N1652" s="260" t="s">
        <v>514</v>
      </c>
    </row>
    <row r="1653" spans="1:14" ht="14.5" x14ac:dyDescent="0.35">
      <c r="A1653" s="260" t="s">
        <v>565</v>
      </c>
      <c r="B1653" s="190">
        <v>45841</v>
      </c>
      <c r="C1653" s="260" t="s">
        <v>754</v>
      </c>
      <c r="D1653" s="197">
        <v>50</v>
      </c>
      <c r="E1653" s="197">
        <v>4104</v>
      </c>
      <c r="F1653" s="197">
        <v>80.73</v>
      </c>
      <c r="G1653" s="190">
        <v>45841</v>
      </c>
      <c r="H1653" s="196">
        <v>0</v>
      </c>
      <c r="I1653" s="197">
        <v>4036.5</v>
      </c>
      <c r="J1653" s="197">
        <v>4036.5</v>
      </c>
      <c r="K1653" s="197">
        <v>0</v>
      </c>
      <c r="L1653" s="197">
        <v>-67.5</v>
      </c>
      <c r="M1653" s="260" t="s">
        <v>239</v>
      </c>
      <c r="N1653" s="260" t="s">
        <v>514</v>
      </c>
    </row>
    <row r="1654" spans="1:14" ht="14.5" x14ac:dyDescent="0.35">
      <c r="A1654" s="260" t="s">
        <v>565</v>
      </c>
      <c r="B1654" s="190">
        <v>45842</v>
      </c>
      <c r="C1654" s="260" t="s">
        <v>749</v>
      </c>
      <c r="D1654" s="197">
        <v>160</v>
      </c>
      <c r="E1654" s="197">
        <v>8008</v>
      </c>
      <c r="F1654" s="197">
        <v>55.15</v>
      </c>
      <c r="G1654" s="190">
        <v>45842</v>
      </c>
      <c r="H1654" s="196">
        <v>0</v>
      </c>
      <c r="I1654" s="197">
        <v>8824</v>
      </c>
      <c r="J1654" s="197">
        <v>8824</v>
      </c>
      <c r="K1654" s="197">
        <v>0</v>
      </c>
      <c r="L1654" s="197">
        <v>816</v>
      </c>
      <c r="M1654" s="260" t="s">
        <v>239</v>
      </c>
      <c r="N1654" s="260" t="s">
        <v>514</v>
      </c>
    </row>
    <row r="1655" spans="1:14" ht="14.5" x14ac:dyDescent="0.35">
      <c r="A1655" s="260" t="s">
        <v>565</v>
      </c>
      <c r="B1655" s="190">
        <v>45842</v>
      </c>
      <c r="C1655" s="260" t="s">
        <v>752</v>
      </c>
      <c r="D1655" s="197">
        <v>100</v>
      </c>
      <c r="E1655" s="197">
        <v>20020</v>
      </c>
      <c r="F1655" s="197">
        <v>181.6</v>
      </c>
      <c r="G1655" s="190">
        <v>45842</v>
      </c>
      <c r="H1655" s="196">
        <v>0</v>
      </c>
      <c r="I1655" s="197">
        <v>18160</v>
      </c>
      <c r="J1655" s="197">
        <v>18160</v>
      </c>
      <c r="K1655" s="197">
        <v>0</v>
      </c>
      <c r="L1655" s="197">
        <v>-1860</v>
      </c>
      <c r="M1655" s="260" t="s">
        <v>239</v>
      </c>
      <c r="N1655" s="260" t="s">
        <v>514</v>
      </c>
    </row>
    <row r="1656" spans="1:14" ht="14.5" x14ac:dyDescent="0.35">
      <c r="A1656" s="260" t="s">
        <v>565</v>
      </c>
      <c r="B1656" s="190">
        <v>45842</v>
      </c>
      <c r="C1656" s="260" t="s">
        <v>754</v>
      </c>
      <c r="D1656" s="197">
        <v>50</v>
      </c>
      <c r="E1656" s="197">
        <v>4104</v>
      </c>
      <c r="F1656" s="197">
        <v>80.599999999999994</v>
      </c>
      <c r="G1656" s="190">
        <v>45842</v>
      </c>
      <c r="H1656" s="196">
        <v>0</v>
      </c>
      <c r="I1656" s="197">
        <v>4029.9999999999995</v>
      </c>
      <c r="J1656" s="197">
        <v>4029.9999999999995</v>
      </c>
      <c r="K1656" s="197">
        <v>0</v>
      </c>
      <c r="L1656" s="197">
        <v>-74.000000000000455</v>
      </c>
      <c r="M1656" s="260" t="s">
        <v>239</v>
      </c>
      <c r="N1656" s="260" t="s">
        <v>514</v>
      </c>
    </row>
    <row r="1657" spans="1:14" ht="14.5" x14ac:dyDescent="0.35">
      <c r="A1657" s="260" t="s">
        <v>565</v>
      </c>
      <c r="B1657" s="190">
        <v>45843</v>
      </c>
      <c r="C1657" s="260" t="s">
        <v>749</v>
      </c>
      <c r="D1657" s="197">
        <v>160</v>
      </c>
      <c r="E1657" s="197">
        <v>8008</v>
      </c>
      <c r="F1657" s="197">
        <v>55.15</v>
      </c>
      <c r="G1657" s="190">
        <v>45842</v>
      </c>
      <c r="H1657" s="196">
        <v>1</v>
      </c>
      <c r="I1657" s="197">
        <v>8824</v>
      </c>
      <c r="J1657" s="197">
        <v>8824</v>
      </c>
      <c r="K1657" s="197">
        <v>0</v>
      </c>
      <c r="L1657" s="197">
        <v>816</v>
      </c>
      <c r="M1657" s="260" t="s">
        <v>239</v>
      </c>
      <c r="N1657" s="260" t="s">
        <v>514</v>
      </c>
    </row>
    <row r="1658" spans="1:14" ht="14.5" x14ac:dyDescent="0.35">
      <c r="A1658" s="260" t="s">
        <v>565</v>
      </c>
      <c r="B1658" s="190">
        <v>45843</v>
      </c>
      <c r="C1658" s="260" t="s">
        <v>752</v>
      </c>
      <c r="D1658" s="197">
        <v>100</v>
      </c>
      <c r="E1658" s="197">
        <v>20020</v>
      </c>
      <c r="F1658" s="197">
        <v>181.6</v>
      </c>
      <c r="G1658" s="190">
        <v>45842</v>
      </c>
      <c r="H1658" s="196">
        <v>1</v>
      </c>
      <c r="I1658" s="197">
        <v>18160</v>
      </c>
      <c r="J1658" s="197">
        <v>18160</v>
      </c>
      <c r="K1658" s="197">
        <v>0</v>
      </c>
      <c r="L1658" s="197">
        <v>-1860</v>
      </c>
      <c r="M1658" s="260" t="s">
        <v>239</v>
      </c>
      <c r="N1658" s="260" t="s">
        <v>514</v>
      </c>
    </row>
    <row r="1659" spans="1:14" ht="14.5" x14ac:dyDescent="0.35">
      <c r="A1659" s="260" t="s">
        <v>565</v>
      </c>
      <c r="B1659" s="190">
        <v>45843</v>
      </c>
      <c r="C1659" s="260" t="s">
        <v>754</v>
      </c>
      <c r="D1659" s="197">
        <v>50</v>
      </c>
      <c r="E1659" s="197">
        <v>4104</v>
      </c>
      <c r="F1659" s="197">
        <v>80.599999999999994</v>
      </c>
      <c r="G1659" s="190">
        <v>45842</v>
      </c>
      <c r="H1659" s="196">
        <v>1</v>
      </c>
      <c r="I1659" s="197">
        <v>4029.9999999999995</v>
      </c>
      <c r="J1659" s="197">
        <v>4029.9999999999995</v>
      </c>
      <c r="K1659" s="197">
        <v>0</v>
      </c>
      <c r="L1659" s="197">
        <v>-74.000000000000455</v>
      </c>
      <c r="M1659" s="260" t="s">
        <v>239</v>
      </c>
      <c r="N1659" s="260" t="s">
        <v>514</v>
      </c>
    </row>
    <row r="1660" spans="1:14" ht="14.5" x14ac:dyDescent="0.35">
      <c r="A1660" s="260" t="s">
        <v>565</v>
      </c>
      <c r="B1660" s="190">
        <v>45844</v>
      </c>
      <c r="C1660" s="260" t="s">
        <v>749</v>
      </c>
      <c r="D1660" s="197">
        <v>160</v>
      </c>
      <c r="E1660" s="197">
        <v>8008</v>
      </c>
      <c r="F1660" s="197">
        <v>55.15</v>
      </c>
      <c r="G1660" s="190">
        <v>45842</v>
      </c>
      <c r="H1660" s="196">
        <v>2</v>
      </c>
      <c r="I1660" s="197">
        <v>8824</v>
      </c>
      <c r="J1660" s="197">
        <v>8824</v>
      </c>
      <c r="K1660" s="197">
        <v>0</v>
      </c>
      <c r="L1660" s="197">
        <v>816</v>
      </c>
      <c r="M1660" s="260" t="s">
        <v>239</v>
      </c>
      <c r="N1660" s="260" t="s">
        <v>514</v>
      </c>
    </row>
    <row r="1661" spans="1:14" ht="14.5" x14ac:dyDescent="0.35">
      <c r="A1661" s="260" t="s">
        <v>565</v>
      </c>
      <c r="B1661" s="190">
        <v>45844</v>
      </c>
      <c r="C1661" s="260" t="s">
        <v>752</v>
      </c>
      <c r="D1661" s="197">
        <v>100</v>
      </c>
      <c r="E1661" s="197">
        <v>20020</v>
      </c>
      <c r="F1661" s="197">
        <v>181.6</v>
      </c>
      <c r="G1661" s="190">
        <v>45842</v>
      </c>
      <c r="H1661" s="196">
        <v>2</v>
      </c>
      <c r="I1661" s="197">
        <v>18160</v>
      </c>
      <c r="J1661" s="197">
        <v>18160</v>
      </c>
      <c r="K1661" s="197">
        <v>0</v>
      </c>
      <c r="L1661" s="197">
        <v>-1860</v>
      </c>
      <c r="M1661" s="260" t="s">
        <v>239</v>
      </c>
      <c r="N1661" s="260" t="s">
        <v>514</v>
      </c>
    </row>
    <row r="1662" spans="1:14" ht="14.5" x14ac:dyDescent="0.35">
      <c r="A1662" s="260" t="s">
        <v>565</v>
      </c>
      <c r="B1662" s="190">
        <v>45844</v>
      </c>
      <c r="C1662" s="260" t="s">
        <v>754</v>
      </c>
      <c r="D1662" s="197">
        <v>50</v>
      </c>
      <c r="E1662" s="197">
        <v>4104</v>
      </c>
      <c r="F1662" s="197">
        <v>80.599999999999994</v>
      </c>
      <c r="G1662" s="190">
        <v>45842</v>
      </c>
      <c r="H1662" s="196">
        <v>2</v>
      </c>
      <c r="I1662" s="197">
        <v>4029.9999999999995</v>
      </c>
      <c r="J1662" s="197">
        <v>4029.9999999999995</v>
      </c>
      <c r="K1662" s="197">
        <v>0</v>
      </c>
      <c r="L1662" s="197">
        <v>-74.000000000000455</v>
      </c>
      <c r="M1662" s="260" t="s">
        <v>239</v>
      </c>
      <c r="N1662" s="260" t="s">
        <v>514</v>
      </c>
    </row>
    <row r="1663" spans="1:14" ht="14.5" x14ac:dyDescent="0.35">
      <c r="A1663" s="260" t="s">
        <v>565</v>
      </c>
      <c r="B1663" s="190">
        <v>45845</v>
      </c>
      <c r="C1663" s="260" t="s">
        <v>749</v>
      </c>
      <c r="D1663" s="197">
        <v>160</v>
      </c>
      <c r="E1663" s="197">
        <v>8008</v>
      </c>
      <c r="F1663" s="197">
        <v>54.8</v>
      </c>
      <c r="G1663" s="190">
        <v>45845</v>
      </c>
      <c r="H1663" s="196">
        <v>0</v>
      </c>
      <c r="I1663" s="197">
        <v>8768</v>
      </c>
      <c r="J1663" s="197">
        <v>8768</v>
      </c>
      <c r="K1663" s="197">
        <v>0</v>
      </c>
      <c r="L1663" s="197">
        <v>760</v>
      </c>
      <c r="M1663" s="260" t="s">
        <v>239</v>
      </c>
      <c r="N1663" s="260" t="s">
        <v>514</v>
      </c>
    </row>
    <row r="1664" spans="1:14" ht="14.5" x14ac:dyDescent="0.35">
      <c r="A1664" s="260" t="s">
        <v>565</v>
      </c>
      <c r="B1664" s="190">
        <v>45845</v>
      </c>
      <c r="C1664" s="260" t="s">
        <v>752</v>
      </c>
      <c r="D1664" s="197">
        <v>100</v>
      </c>
      <c r="E1664" s="197">
        <v>20020</v>
      </c>
      <c r="F1664" s="197">
        <v>181.2</v>
      </c>
      <c r="G1664" s="190">
        <v>45845</v>
      </c>
      <c r="H1664" s="196">
        <v>0</v>
      </c>
      <c r="I1664" s="197">
        <v>18120</v>
      </c>
      <c r="J1664" s="197">
        <v>18120</v>
      </c>
      <c r="K1664" s="197">
        <v>0</v>
      </c>
      <c r="L1664" s="197">
        <v>-1900</v>
      </c>
      <c r="M1664" s="260" t="s">
        <v>239</v>
      </c>
      <c r="N1664" s="260" t="s">
        <v>514</v>
      </c>
    </row>
    <row r="1665" spans="1:14" ht="14.5" x14ac:dyDescent="0.35">
      <c r="A1665" s="260" t="s">
        <v>565</v>
      </c>
      <c r="B1665" s="190">
        <v>45845</v>
      </c>
      <c r="C1665" s="260" t="s">
        <v>754</v>
      </c>
      <c r="D1665" s="197">
        <v>50</v>
      </c>
      <c r="E1665" s="197">
        <v>4104</v>
      </c>
      <c r="F1665" s="197">
        <v>80.2</v>
      </c>
      <c r="G1665" s="190">
        <v>45845</v>
      </c>
      <c r="H1665" s="196">
        <v>0</v>
      </c>
      <c r="I1665" s="197">
        <v>4010</v>
      </c>
      <c r="J1665" s="197">
        <v>4010</v>
      </c>
      <c r="K1665" s="197">
        <v>0</v>
      </c>
      <c r="L1665" s="197">
        <v>-94</v>
      </c>
      <c r="M1665" s="260" t="s">
        <v>239</v>
      </c>
      <c r="N1665" s="260" t="s">
        <v>514</v>
      </c>
    </row>
    <row r="1666" spans="1:14" ht="14.5" x14ac:dyDescent="0.35">
      <c r="A1666" s="260" t="s">
        <v>565</v>
      </c>
      <c r="B1666" s="190">
        <v>45846</v>
      </c>
      <c r="C1666" s="260" t="s">
        <v>749</v>
      </c>
      <c r="D1666" s="197">
        <v>160</v>
      </c>
      <c r="E1666" s="197">
        <v>8008</v>
      </c>
      <c r="F1666" s="197">
        <v>54.68</v>
      </c>
      <c r="G1666" s="190">
        <v>45846</v>
      </c>
      <c r="H1666" s="196">
        <v>0</v>
      </c>
      <c r="I1666" s="197">
        <v>8748.7999999999993</v>
      </c>
      <c r="J1666" s="197">
        <v>8748.7999999999993</v>
      </c>
      <c r="K1666" s="197">
        <v>0</v>
      </c>
      <c r="L1666" s="197">
        <v>740.79999999999927</v>
      </c>
      <c r="M1666" s="260" t="s">
        <v>239</v>
      </c>
      <c r="N1666" s="260" t="s">
        <v>514</v>
      </c>
    </row>
    <row r="1667" spans="1:14" ht="14.5" x14ac:dyDescent="0.35">
      <c r="A1667" s="260" t="s">
        <v>565</v>
      </c>
      <c r="B1667" s="190">
        <v>45846</v>
      </c>
      <c r="C1667" s="260" t="s">
        <v>752</v>
      </c>
      <c r="D1667" s="197">
        <v>100</v>
      </c>
      <c r="E1667" s="197">
        <v>20020</v>
      </c>
      <c r="F1667" s="197">
        <v>181.07</v>
      </c>
      <c r="G1667" s="190">
        <v>45846</v>
      </c>
      <c r="H1667" s="196">
        <v>0</v>
      </c>
      <c r="I1667" s="197">
        <v>18107</v>
      </c>
      <c r="J1667" s="197">
        <v>18107</v>
      </c>
      <c r="K1667" s="197">
        <v>0</v>
      </c>
      <c r="L1667" s="197">
        <v>-1913</v>
      </c>
      <c r="M1667" s="260" t="s">
        <v>239</v>
      </c>
      <c r="N1667" s="260" t="s">
        <v>514</v>
      </c>
    </row>
    <row r="1668" spans="1:14" ht="14.5" x14ac:dyDescent="0.35">
      <c r="A1668" s="260" t="s">
        <v>565</v>
      </c>
      <c r="B1668" s="190">
        <v>45846</v>
      </c>
      <c r="C1668" s="260" t="s">
        <v>754</v>
      </c>
      <c r="D1668" s="197">
        <v>50</v>
      </c>
      <c r="E1668" s="197">
        <v>4104</v>
      </c>
      <c r="F1668" s="197">
        <v>80.069999999999993</v>
      </c>
      <c r="G1668" s="190">
        <v>45846</v>
      </c>
      <c r="H1668" s="196">
        <v>0</v>
      </c>
      <c r="I1668" s="197">
        <v>4003.4999999999995</v>
      </c>
      <c r="J1668" s="197">
        <v>4003.4999999999995</v>
      </c>
      <c r="K1668" s="197">
        <v>0</v>
      </c>
      <c r="L1668" s="197">
        <v>-100.50000000000045</v>
      </c>
      <c r="M1668" s="260" t="s">
        <v>239</v>
      </c>
      <c r="N1668" s="260" t="s">
        <v>514</v>
      </c>
    </row>
    <row r="1669" spans="1:14" ht="14.5" x14ac:dyDescent="0.35">
      <c r="A1669" s="260" t="s">
        <v>565</v>
      </c>
      <c r="B1669" s="190">
        <v>45847</v>
      </c>
      <c r="C1669" s="260" t="s">
        <v>749</v>
      </c>
      <c r="D1669" s="197">
        <v>160</v>
      </c>
      <c r="E1669" s="197">
        <v>8008</v>
      </c>
      <c r="F1669" s="197">
        <v>54.57</v>
      </c>
      <c r="G1669" s="190">
        <v>45847</v>
      </c>
      <c r="H1669" s="196">
        <v>0</v>
      </c>
      <c r="I1669" s="197">
        <v>8731.2000000000007</v>
      </c>
      <c r="J1669" s="197">
        <v>8731.2000000000007</v>
      </c>
      <c r="K1669" s="197">
        <v>0</v>
      </c>
      <c r="L1669" s="197">
        <v>723.20000000000073</v>
      </c>
      <c r="M1669" s="260" t="s">
        <v>239</v>
      </c>
      <c r="N1669" s="260" t="s">
        <v>514</v>
      </c>
    </row>
    <row r="1670" spans="1:14" ht="14.5" x14ac:dyDescent="0.35">
      <c r="A1670" s="260" t="s">
        <v>565</v>
      </c>
      <c r="B1670" s="190">
        <v>45847</v>
      </c>
      <c r="C1670" s="260" t="s">
        <v>752</v>
      </c>
      <c r="D1670" s="197">
        <v>100</v>
      </c>
      <c r="E1670" s="197">
        <v>20020</v>
      </c>
      <c r="F1670" s="197">
        <v>180.93</v>
      </c>
      <c r="G1670" s="190">
        <v>45847</v>
      </c>
      <c r="H1670" s="196">
        <v>0</v>
      </c>
      <c r="I1670" s="197">
        <v>18093</v>
      </c>
      <c r="J1670" s="197">
        <v>18093</v>
      </c>
      <c r="K1670" s="197">
        <v>0</v>
      </c>
      <c r="L1670" s="197">
        <v>-1927</v>
      </c>
      <c r="M1670" s="260" t="s">
        <v>239</v>
      </c>
      <c r="N1670" s="260" t="s">
        <v>514</v>
      </c>
    </row>
    <row r="1671" spans="1:14" ht="14.5" x14ac:dyDescent="0.35">
      <c r="A1671" s="260" t="s">
        <v>565</v>
      </c>
      <c r="B1671" s="190">
        <v>45847</v>
      </c>
      <c r="C1671" s="260" t="s">
        <v>754</v>
      </c>
      <c r="D1671" s="197">
        <v>50</v>
      </c>
      <c r="E1671" s="197">
        <v>4104</v>
      </c>
      <c r="F1671" s="197">
        <v>79.930000000000007</v>
      </c>
      <c r="G1671" s="190">
        <v>45847</v>
      </c>
      <c r="H1671" s="196">
        <v>0</v>
      </c>
      <c r="I1671" s="197">
        <v>3996.5000000000005</v>
      </c>
      <c r="J1671" s="197">
        <v>3996.5000000000005</v>
      </c>
      <c r="K1671" s="197">
        <v>0</v>
      </c>
      <c r="L1671" s="197">
        <v>-107.49999999999955</v>
      </c>
      <c r="M1671" s="260" t="s">
        <v>239</v>
      </c>
      <c r="N1671" s="260" t="s">
        <v>514</v>
      </c>
    </row>
    <row r="1672" spans="1:14" ht="14.5" x14ac:dyDescent="0.35">
      <c r="A1672" s="260" t="s">
        <v>565</v>
      </c>
      <c r="B1672" s="190">
        <v>45848</v>
      </c>
      <c r="C1672" s="260" t="s">
        <v>749</v>
      </c>
      <c r="D1672" s="197">
        <v>160</v>
      </c>
      <c r="E1672" s="197">
        <v>8008</v>
      </c>
      <c r="F1672" s="197">
        <v>54.45</v>
      </c>
      <c r="G1672" s="190">
        <v>45848</v>
      </c>
      <c r="H1672" s="196">
        <v>0</v>
      </c>
      <c r="I1672" s="197">
        <v>8712</v>
      </c>
      <c r="J1672" s="197">
        <v>8712</v>
      </c>
      <c r="K1672" s="197">
        <v>0</v>
      </c>
      <c r="L1672" s="197">
        <v>704</v>
      </c>
      <c r="M1672" s="260" t="s">
        <v>239</v>
      </c>
      <c r="N1672" s="260" t="s">
        <v>514</v>
      </c>
    </row>
    <row r="1673" spans="1:14" ht="14.5" x14ac:dyDescent="0.35">
      <c r="A1673" s="260" t="s">
        <v>565</v>
      </c>
      <c r="B1673" s="190">
        <v>45848</v>
      </c>
      <c r="C1673" s="260" t="s">
        <v>752</v>
      </c>
      <c r="D1673" s="197">
        <v>100</v>
      </c>
      <c r="E1673" s="197">
        <v>20020</v>
      </c>
      <c r="F1673" s="197">
        <v>180.8</v>
      </c>
      <c r="G1673" s="190">
        <v>45848</v>
      </c>
      <c r="H1673" s="196">
        <v>0</v>
      </c>
      <c r="I1673" s="197">
        <v>18080</v>
      </c>
      <c r="J1673" s="197">
        <v>18080</v>
      </c>
      <c r="K1673" s="197">
        <v>0</v>
      </c>
      <c r="L1673" s="197">
        <v>-1940</v>
      </c>
      <c r="M1673" s="260" t="s">
        <v>239</v>
      </c>
      <c r="N1673" s="260" t="s">
        <v>514</v>
      </c>
    </row>
    <row r="1674" spans="1:14" ht="14.5" x14ac:dyDescent="0.35">
      <c r="A1674" s="260" t="s">
        <v>565</v>
      </c>
      <c r="B1674" s="190">
        <v>45848</v>
      </c>
      <c r="C1674" s="260" t="s">
        <v>754</v>
      </c>
      <c r="D1674" s="197">
        <v>50</v>
      </c>
      <c r="E1674" s="197">
        <v>4104</v>
      </c>
      <c r="F1674" s="197">
        <v>79.8</v>
      </c>
      <c r="G1674" s="190">
        <v>45848</v>
      </c>
      <c r="H1674" s="196">
        <v>0</v>
      </c>
      <c r="I1674" s="197">
        <v>3990</v>
      </c>
      <c r="J1674" s="197">
        <v>3990</v>
      </c>
      <c r="K1674" s="197">
        <v>0</v>
      </c>
      <c r="L1674" s="197">
        <v>-114</v>
      </c>
      <c r="M1674" s="260" t="s">
        <v>239</v>
      </c>
      <c r="N1674" s="260" t="s">
        <v>514</v>
      </c>
    </row>
    <row r="1675" spans="1:14" ht="14.5" x14ac:dyDescent="0.35">
      <c r="A1675" s="260" t="s">
        <v>565</v>
      </c>
      <c r="B1675" s="190">
        <v>45849</v>
      </c>
      <c r="C1675" s="260" t="s">
        <v>749</v>
      </c>
      <c r="D1675" s="197">
        <v>160</v>
      </c>
      <c r="E1675" s="197">
        <v>8008</v>
      </c>
      <c r="F1675" s="197">
        <v>54.33</v>
      </c>
      <c r="G1675" s="190">
        <v>45849</v>
      </c>
      <c r="H1675" s="196">
        <v>0</v>
      </c>
      <c r="I1675" s="197">
        <v>8692.7999999999993</v>
      </c>
      <c r="J1675" s="197">
        <v>8692.7999999999993</v>
      </c>
      <c r="K1675" s="197">
        <v>0</v>
      </c>
      <c r="L1675" s="197">
        <v>684.79999999999927</v>
      </c>
      <c r="M1675" s="260" t="s">
        <v>239</v>
      </c>
      <c r="N1675" s="260" t="s">
        <v>514</v>
      </c>
    </row>
    <row r="1676" spans="1:14" ht="14.5" x14ac:dyDescent="0.35">
      <c r="A1676" s="260" t="s">
        <v>565</v>
      </c>
      <c r="B1676" s="190">
        <v>45849</v>
      </c>
      <c r="C1676" s="260" t="s">
        <v>752</v>
      </c>
      <c r="D1676" s="197">
        <v>100</v>
      </c>
      <c r="E1676" s="197">
        <v>20020</v>
      </c>
      <c r="F1676" s="197">
        <v>180.67</v>
      </c>
      <c r="G1676" s="190">
        <v>45849</v>
      </c>
      <c r="H1676" s="196">
        <v>0</v>
      </c>
      <c r="I1676" s="197">
        <v>18067</v>
      </c>
      <c r="J1676" s="197">
        <v>18067</v>
      </c>
      <c r="K1676" s="197">
        <v>0</v>
      </c>
      <c r="L1676" s="197">
        <v>-1953</v>
      </c>
      <c r="M1676" s="260" t="s">
        <v>239</v>
      </c>
      <c r="N1676" s="260" t="s">
        <v>514</v>
      </c>
    </row>
    <row r="1677" spans="1:14" ht="14.5" x14ac:dyDescent="0.35">
      <c r="A1677" s="260" t="s">
        <v>565</v>
      </c>
      <c r="B1677" s="190">
        <v>45849</v>
      </c>
      <c r="C1677" s="260" t="s">
        <v>754</v>
      </c>
      <c r="D1677" s="197">
        <v>50</v>
      </c>
      <c r="E1677" s="197">
        <v>4104</v>
      </c>
      <c r="F1677" s="197">
        <v>79.67</v>
      </c>
      <c r="G1677" s="190">
        <v>45849</v>
      </c>
      <c r="H1677" s="196">
        <v>0</v>
      </c>
      <c r="I1677" s="197">
        <v>3983.5</v>
      </c>
      <c r="J1677" s="197">
        <v>3983.5</v>
      </c>
      <c r="K1677" s="197">
        <v>0</v>
      </c>
      <c r="L1677" s="197">
        <v>-120.5</v>
      </c>
      <c r="M1677" s="260" t="s">
        <v>239</v>
      </c>
      <c r="N1677" s="260" t="s">
        <v>514</v>
      </c>
    </row>
    <row r="1678" spans="1:14" ht="14.5" x14ac:dyDescent="0.35">
      <c r="A1678" s="260" t="s">
        <v>565</v>
      </c>
      <c r="B1678" s="190">
        <v>45850</v>
      </c>
      <c r="C1678" s="260" t="s">
        <v>749</v>
      </c>
      <c r="D1678" s="197">
        <v>160</v>
      </c>
      <c r="E1678" s="197">
        <v>8008</v>
      </c>
      <c r="F1678" s="197">
        <v>54.33</v>
      </c>
      <c r="G1678" s="190">
        <v>45849</v>
      </c>
      <c r="H1678" s="196">
        <v>1</v>
      </c>
      <c r="I1678" s="197">
        <v>8692.7999999999993</v>
      </c>
      <c r="J1678" s="197">
        <v>8692.7999999999993</v>
      </c>
      <c r="K1678" s="197">
        <v>0</v>
      </c>
      <c r="L1678" s="197">
        <v>684.79999999999927</v>
      </c>
      <c r="M1678" s="260" t="s">
        <v>239</v>
      </c>
      <c r="N1678" s="260" t="s">
        <v>514</v>
      </c>
    </row>
    <row r="1679" spans="1:14" ht="14.5" x14ac:dyDescent="0.35">
      <c r="A1679" s="260" t="s">
        <v>565</v>
      </c>
      <c r="B1679" s="190">
        <v>45850</v>
      </c>
      <c r="C1679" s="260" t="s">
        <v>752</v>
      </c>
      <c r="D1679" s="197">
        <v>100</v>
      </c>
      <c r="E1679" s="197">
        <v>20020</v>
      </c>
      <c r="F1679" s="197">
        <v>180.67</v>
      </c>
      <c r="G1679" s="190">
        <v>45849</v>
      </c>
      <c r="H1679" s="196">
        <v>1</v>
      </c>
      <c r="I1679" s="197">
        <v>18067</v>
      </c>
      <c r="J1679" s="197">
        <v>18067</v>
      </c>
      <c r="K1679" s="197">
        <v>0</v>
      </c>
      <c r="L1679" s="197">
        <v>-1953</v>
      </c>
      <c r="M1679" s="260" t="s">
        <v>239</v>
      </c>
      <c r="N1679" s="260" t="s">
        <v>514</v>
      </c>
    </row>
    <row r="1680" spans="1:14" ht="14.5" x14ac:dyDescent="0.35">
      <c r="A1680" s="260" t="s">
        <v>565</v>
      </c>
      <c r="B1680" s="190">
        <v>45850</v>
      </c>
      <c r="C1680" s="260" t="s">
        <v>754</v>
      </c>
      <c r="D1680" s="197">
        <v>50</v>
      </c>
      <c r="E1680" s="197">
        <v>4104</v>
      </c>
      <c r="F1680" s="197">
        <v>79.67</v>
      </c>
      <c r="G1680" s="190">
        <v>45849</v>
      </c>
      <c r="H1680" s="196">
        <v>1</v>
      </c>
      <c r="I1680" s="197">
        <v>3983.5</v>
      </c>
      <c r="J1680" s="197">
        <v>3983.5</v>
      </c>
      <c r="K1680" s="197">
        <v>0</v>
      </c>
      <c r="L1680" s="197">
        <v>-120.5</v>
      </c>
      <c r="M1680" s="260" t="s">
        <v>239</v>
      </c>
      <c r="N1680" s="260" t="s">
        <v>514</v>
      </c>
    </row>
    <row r="1681" spans="1:14" ht="14.5" x14ac:dyDescent="0.35">
      <c r="A1681" s="260" t="s">
        <v>565</v>
      </c>
      <c r="B1681" s="190">
        <v>45851</v>
      </c>
      <c r="C1681" s="260" t="s">
        <v>749</v>
      </c>
      <c r="D1681" s="197">
        <v>160</v>
      </c>
      <c r="E1681" s="197">
        <v>8008</v>
      </c>
      <c r="F1681" s="197">
        <v>54.33</v>
      </c>
      <c r="G1681" s="190">
        <v>45849</v>
      </c>
      <c r="H1681" s="196">
        <v>2</v>
      </c>
      <c r="I1681" s="197">
        <v>8692.7999999999993</v>
      </c>
      <c r="J1681" s="197">
        <v>8692.7999999999993</v>
      </c>
      <c r="K1681" s="197">
        <v>0</v>
      </c>
      <c r="L1681" s="197">
        <v>684.79999999999927</v>
      </c>
      <c r="M1681" s="260" t="s">
        <v>239</v>
      </c>
      <c r="N1681" s="260" t="s">
        <v>514</v>
      </c>
    </row>
    <row r="1682" spans="1:14" ht="14.5" x14ac:dyDescent="0.35">
      <c r="A1682" s="260" t="s">
        <v>565</v>
      </c>
      <c r="B1682" s="190">
        <v>45851</v>
      </c>
      <c r="C1682" s="260" t="s">
        <v>752</v>
      </c>
      <c r="D1682" s="197">
        <v>100</v>
      </c>
      <c r="E1682" s="197">
        <v>20020</v>
      </c>
      <c r="F1682" s="197">
        <v>180.67</v>
      </c>
      <c r="G1682" s="190">
        <v>45849</v>
      </c>
      <c r="H1682" s="196">
        <v>2</v>
      </c>
      <c r="I1682" s="197">
        <v>18067</v>
      </c>
      <c r="J1682" s="197">
        <v>18067</v>
      </c>
      <c r="K1682" s="197">
        <v>0</v>
      </c>
      <c r="L1682" s="197">
        <v>-1953</v>
      </c>
      <c r="M1682" s="260" t="s">
        <v>239</v>
      </c>
      <c r="N1682" s="260" t="s">
        <v>514</v>
      </c>
    </row>
    <row r="1683" spans="1:14" ht="14.5" x14ac:dyDescent="0.35">
      <c r="A1683" s="260" t="s">
        <v>565</v>
      </c>
      <c r="B1683" s="190">
        <v>45851</v>
      </c>
      <c r="C1683" s="260" t="s">
        <v>754</v>
      </c>
      <c r="D1683" s="197">
        <v>50</v>
      </c>
      <c r="E1683" s="197">
        <v>4104</v>
      </c>
      <c r="F1683" s="197">
        <v>79.67</v>
      </c>
      <c r="G1683" s="190">
        <v>45849</v>
      </c>
      <c r="H1683" s="196">
        <v>2</v>
      </c>
      <c r="I1683" s="197">
        <v>3983.5</v>
      </c>
      <c r="J1683" s="197">
        <v>3983.5</v>
      </c>
      <c r="K1683" s="197">
        <v>0</v>
      </c>
      <c r="L1683" s="197">
        <v>-120.5</v>
      </c>
      <c r="M1683" s="260" t="s">
        <v>239</v>
      </c>
      <c r="N1683" s="260" t="s">
        <v>514</v>
      </c>
    </row>
    <row r="1684" spans="1:14" ht="14.5" x14ac:dyDescent="0.35">
      <c r="A1684" s="260" t="s">
        <v>565</v>
      </c>
      <c r="B1684" s="190">
        <v>45852</v>
      </c>
      <c r="C1684" s="260" t="s">
        <v>749</v>
      </c>
      <c r="D1684" s="197">
        <v>160</v>
      </c>
      <c r="E1684" s="197">
        <v>8008</v>
      </c>
      <c r="F1684" s="197">
        <v>53.98</v>
      </c>
      <c r="G1684" s="190">
        <v>45852</v>
      </c>
      <c r="H1684" s="196">
        <v>0</v>
      </c>
      <c r="I1684" s="197">
        <v>8636.7999999999993</v>
      </c>
      <c r="J1684" s="197">
        <v>8636.7999999999993</v>
      </c>
      <c r="K1684" s="197">
        <v>0</v>
      </c>
      <c r="L1684" s="197">
        <v>628.79999999999927</v>
      </c>
      <c r="M1684" s="260" t="s">
        <v>239</v>
      </c>
      <c r="N1684" s="260" t="s">
        <v>514</v>
      </c>
    </row>
    <row r="1685" spans="1:14" ht="14.5" x14ac:dyDescent="0.35">
      <c r="A1685" s="260" t="s">
        <v>565</v>
      </c>
      <c r="B1685" s="190">
        <v>45852</v>
      </c>
      <c r="C1685" s="260" t="s">
        <v>752</v>
      </c>
      <c r="D1685" s="197">
        <v>100</v>
      </c>
      <c r="E1685" s="197">
        <v>20020</v>
      </c>
      <c r="F1685" s="197">
        <v>180.27</v>
      </c>
      <c r="G1685" s="190">
        <v>45852</v>
      </c>
      <c r="H1685" s="196">
        <v>0</v>
      </c>
      <c r="I1685" s="197">
        <v>18027</v>
      </c>
      <c r="J1685" s="197">
        <v>18027</v>
      </c>
      <c r="K1685" s="197">
        <v>0</v>
      </c>
      <c r="L1685" s="197">
        <v>-1993</v>
      </c>
      <c r="M1685" s="260" t="s">
        <v>239</v>
      </c>
      <c r="N1685" s="260" t="s">
        <v>514</v>
      </c>
    </row>
    <row r="1686" spans="1:14" ht="14.5" x14ac:dyDescent="0.35">
      <c r="A1686" s="260" t="s">
        <v>565</v>
      </c>
      <c r="B1686" s="190">
        <v>45852</v>
      </c>
      <c r="C1686" s="260" t="s">
        <v>754</v>
      </c>
      <c r="D1686" s="197">
        <v>50</v>
      </c>
      <c r="E1686" s="197">
        <v>4104</v>
      </c>
      <c r="F1686" s="197">
        <v>79.27</v>
      </c>
      <c r="G1686" s="190">
        <v>45852</v>
      </c>
      <c r="H1686" s="196">
        <v>0</v>
      </c>
      <c r="I1686" s="197">
        <v>3963.5</v>
      </c>
      <c r="J1686" s="197">
        <v>3963.5</v>
      </c>
      <c r="K1686" s="197">
        <v>0</v>
      </c>
      <c r="L1686" s="197">
        <v>-140.5</v>
      </c>
      <c r="M1686" s="260" t="s">
        <v>239</v>
      </c>
      <c r="N1686" s="260" t="s">
        <v>514</v>
      </c>
    </row>
    <row r="1687" spans="1:14" ht="14.5" x14ac:dyDescent="0.35">
      <c r="A1687" s="260" t="s">
        <v>565</v>
      </c>
      <c r="B1687" s="190">
        <v>45853</v>
      </c>
      <c r="C1687" s="260" t="s">
        <v>749</v>
      </c>
      <c r="D1687" s="197">
        <v>160</v>
      </c>
      <c r="E1687" s="197">
        <v>8008</v>
      </c>
      <c r="F1687" s="197">
        <v>53.87</v>
      </c>
      <c r="G1687" s="190">
        <v>45853</v>
      </c>
      <c r="H1687" s="196">
        <v>0</v>
      </c>
      <c r="I1687" s="197">
        <v>8619.1999999999989</v>
      </c>
      <c r="J1687" s="197">
        <v>8619.1999999999989</v>
      </c>
      <c r="K1687" s="197">
        <v>0</v>
      </c>
      <c r="L1687" s="197">
        <v>611.19999999999891</v>
      </c>
      <c r="M1687" s="260" t="s">
        <v>239</v>
      </c>
      <c r="N1687" s="260" t="s">
        <v>514</v>
      </c>
    </row>
    <row r="1688" spans="1:14" ht="14.5" x14ac:dyDescent="0.35">
      <c r="A1688" s="260" t="s">
        <v>565</v>
      </c>
      <c r="B1688" s="190">
        <v>45853</v>
      </c>
      <c r="C1688" s="260" t="s">
        <v>752</v>
      </c>
      <c r="D1688" s="197">
        <v>100</v>
      </c>
      <c r="E1688" s="197">
        <v>20020</v>
      </c>
      <c r="F1688" s="197">
        <v>180.13</v>
      </c>
      <c r="G1688" s="190">
        <v>45853</v>
      </c>
      <c r="H1688" s="196">
        <v>0</v>
      </c>
      <c r="I1688" s="197">
        <v>18013</v>
      </c>
      <c r="J1688" s="197">
        <v>18013</v>
      </c>
      <c r="K1688" s="197">
        <v>0</v>
      </c>
      <c r="L1688" s="197">
        <v>-2007</v>
      </c>
      <c r="M1688" s="260" t="s">
        <v>239</v>
      </c>
      <c r="N1688" s="260" t="s">
        <v>514</v>
      </c>
    </row>
    <row r="1689" spans="1:14" ht="14.5" x14ac:dyDescent="0.35">
      <c r="A1689" s="260" t="s">
        <v>565</v>
      </c>
      <c r="B1689" s="190">
        <v>45853</v>
      </c>
      <c r="C1689" s="260" t="s">
        <v>754</v>
      </c>
      <c r="D1689" s="197">
        <v>50</v>
      </c>
      <c r="E1689" s="197">
        <v>4104</v>
      </c>
      <c r="F1689" s="197">
        <v>79.13</v>
      </c>
      <c r="G1689" s="190">
        <v>45853</v>
      </c>
      <c r="H1689" s="196">
        <v>0</v>
      </c>
      <c r="I1689" s="197">
        <v>3956.5</v>
      </c>
      <c r="J1689" s="197">
        <v>3956.5</v>
      </c>
      <c r="K1689" s="197">
        <v>0</v>
      </c>
      <c r="L1689" s="197">
        <v>-147.5</v>
      </c>
      <c r="M1689" s="260" t="s">
        <v>239</v>
      </c>
      <c r="N1689" s="260" t="s">
        <v>514</v>
      </c>
    </row>
    <row r="1690" spans="1:14" ht="14.5" x14ac:dyDescent="0.35">
      <c r="A1690" s="260" t="s">
        <v>565</v>
      </c>
      <c r="B1690" s="190">
        <v>45854</v>
      </c>
      <c r="C1690" s="260" t="s">
        <v>749</v>
      </c>
      <c r="D1690" s="197">
        <v>160</v>
      </c>
      <c r="E1690" s="197">
        <v>8008</v>
      </c>
      <c r="F1690" s="197">
        <v>53.75</v>
      </c>
      <c r="G1690" s="190">
        <v>45854</v>
      </c>
      <c r="H1690" s="196">
        <v>0</v>
      </c>
      <c r="I1690" s="197">
        <v>8600</v>
      </c>
      <c r="J1690" s="197">
        <v>8600</v>
      </c>
      <c r="K1690" s="197">
        <v>0</v>
      </c>
      <c r="L1690" s="197">
        <v>592</v>
      </c>
      <c r="M1690" s="260" t="s">
        <v>239</v>
      </c>
      <c r="N1690" s="260" t="s">
        <v>514</v>
      </c>
    </row>
    <row r="1691" spans="1:14" ht="14.5" x14ac:dyDescent="0.35">
      <c r="A1691" s="260" t="s">
        <v>565</v>
      </c>
      <c r="B1691" s="190">
        <v>45854</v>
      </c>
      <c r="C1691" s="260" t="s">
        <v>752</v>
      </c>
      <c r="D1691" s="197">
        <v>100</v>
      </c>
      <c r="E1691" s="197">
        <v>20020</v>
      </c>
      <c r="F1691" s="197">
        <v>180</v>
      </c>
      <c r="G1691" s="190">
        <v>45854</v>
      </c>
      <c r="H1691" s="196">
        <v>0</v>
      </c>
      <c r="I1691" s="197">
        <v>18000</v>
      </c>
      <c r="J1691" s="197">
        <v>18000</v>
      </c>
      <c r="K1691" s="197">
        <v>0</v>
      </c>
      <c r="L1691" s="197">
        <v>-2020</v>
      </c>
      <c r="M1691" s="260" t="s">
        <v>239</v>
      </c>
      <c r="N1691" s="260" t="s">
        <v>514</v>
      </c>
    </row>
    <row r="1692" spans="1:14" ht="14.5" x14ac:dyDescent="0.35">
      <c r="A1692" s="260" t="s">
        <v>565</v>
      </c>
      <c r="B1692" s="190">
        <v>45854</v>
      </c>
      <c r="C1692" s="260" t="s">
        <v>754</v>
      </c>
      <c r="D1692" s="197">
        <v>50</v>
      </c>
      <c r="E1692" s="197">
        <v>4104</v>
      </c>
      <c r="F1692" s="197">
        <v>79</v>
      </c>
      <c r="G1692" s="190">
        <v>45854</v>
      </c>
      <c r="H1692" s="196">
        <v>0</v>
      </c>
      <c r="I1692" s="197">
        <v>3950</v>
      </c>
      <c r="J1692" s="197">
        <v>3950</v>
      </c>
      <c r="K1692" s="197">
        <v>0</v>
      </c>
      <c r="L1692" s="197">
        <v>-154</v>
      </c>
      <c r="M1692" s="260" t="s">
        <v>239</v>
      </c>
      <c r="N1692" s="260" t="s">
        <v>514</v>
      </c>
    </row>
    <row r="1693" spans="1:14" ht="14.5" x14ac:dyDescent="0.35">
      <c r="A1693" s="260" t="s">
        <v>565</v>
      </c>
      <c r="B1693" s="190">
        <v>45855</v>
      </c>
      <c r="C1693" s="260" t="s">
        <v>749</v>
      </c>
      <c r="D1693" s="197">
        <v>160</v>
      </c>
      <c r="E1693" s="197">
        <v>8008</v>
      </c>
      <c r="F1693" s="197">
        <v>53.63</v>
      </c>
      <c r="G1693" s="190">
        <v>45855</v>
      </c>
      <c r="H1693" s="196">
        <v>0</v>
      </c>
      <c r="I1693" s="197">
        <v>8580.8000000000011</v>
      </c>
      <c r="J1693" s="197">
        <v>8580.8000000000011</v>
      </c>
      <c r="K1693" s="197">
        <v>0</v>
      </c>
      <c r="L1693" s="197">
        <v>572.80000000000109</v>
      </c>
      <c r="M1693" s="260" t="s">
        <v>239</v>
      </c>
      <c r="N1693" s="260" t="s">
        <v>514</v>
      </c>
    </row>
    <row r="1694" spans="1:14" ht="14.5" x14ac:dyDescent="0.35">
      <c r="A1694" s="260" t="s">
        <v>565</v>
      </c>
      <c r="B1694" s="190">
        <v>45855</v>
      </c>
      <c r="C1694" s="260" t="s">
        <v>752</v>
      </c>
      <c r="D1694" s="197">
        <v>100</v>
      </c>
      <c r="E1694" s="197">
        <v>20020</v>
      </c>
      <c r="F1694" s="197">
        <v>179.87</v>
      </c>
      <c r="G1694" s="190">
        <v>45855</v>
      </c>
      <c r="H1694" s="196">
        <v>0</v>
      </c>
      <c r="I1694" s="197">
        <v>17987</v>
      </c>
      <c r="J1694" s="197">
        <v>17987</v>
      </c>
      <c r="K1694" s="197">
        <v>0</v>
      </c>
      <c r="L1694" s="197">
        <v>-2033</v>
      </c>
      <c r="M1694" s="260" t="s">
        <v>239</v>
      </c>
      <c r="N1694" s="260" t="s">
        <v>514</v>
      </c>
    </row>
    <row r="1695" spans="1:14" ht="14.5" x14ac:dyDescent="0.35">
      <c r="A1695" s="260" t="s">
        <v>565</v>
      </c>
      <c r="B1695" s="190">
        <v>45855</v>
      </c>
      <c r="C1695" s="260" t="s">
        <v>754</v>
      </c>
      <c r="D1695" s="197">
        <v>50</v>
      </c>
      <c r="E1695" s="197">
        <v>4104</v>
      </c>
      <c r="F1695" s="197">
        <v>78.87</v>
      </c>
      <c r="G1695" s="190">
        <v>45855</v>
      </c>
      <c r="H1695" s="196">
        <v>0</v>
      </c>
      <c r="I1695" s="197">
        <v>3943.5</v>
      </c>
      <c r="J1695" s="197">
        <v>3943.5</v>
      </c>
      <c r="K1695" s="197">
        <v>0</v>
      </c>
      <c r="L1695" s="197">
        <v>-160.5</v>
      </c>
      <c r="M1695" s="260" t="s">
        <v>239</v>
      </c>
      <c r="N1695" s="260" t="s">
        <v>514</v>
      </c>
    </row>
    <row r="1696" spans="1:14" ht="14.5" x14ac:dyDescent="0.35">
      <c r="A1696" s="260" t="s">
        <v>565</v>
      </c>
      <c r="B1696" s="190">
        <v>45856</v>
      </c>
      <c r="C1696" s="260" t="s">
        <v>749</v>
      </c>
      <c r="D1696" s="197">
        <v>160</v>
      </c>
      <c r="E1696" s="197">
        <v>8008</v>
      </c>
      <c r="F1696" s="197">
        <v>53.52</v>
      </c>
      <c r="G1696" s="190">
        <v>45856</v>
      </c>
      <c r="H1696" s="196">
        <v>0</v>
      </c>
      <c r="I1696" s="197">
        <v>8563.2000000000007</v>
      </c>
      <c r="J1696" s="197">
        <v>8563.2000000000007</v>
      </c>
      <c r="K1696" s="197">
        <v>0</v>
      </c>
      <c r="L1696" s="197">
        <v>555.20000000000073</v>
      </c>
      <c r="M1696" s="260" t="s">
        <v>239</v>
      </c>
      <c r="N1696" s="260" t="s">
        <v>514</v>
      </c>
    </row>
    <row r="1697" spans="1:14" ht="14.5" x14ac:dyDescent="0.35">
      <c r="A1697" s="260" t="s">
        <v>565</v>
      </c>
      <c r="B1697" s="190">
        <v>45856</v>
      </c>
      <c r="C1697" s="260" t="s">
        <v>752</v>
      </c>
      <c r="D1697" s="197">
        <v>100</v>
      </c>
      <c r="E1697" s="197">
        <v>20020</v>
      </c>
      <c r="F1697" s="197">
        <v>179.73</v>
      </c>
      <c r="G1697" s="190">
        <v>45856</v>
      </c>
      <c r="H1697" s="196">
        <v>0</v>
      </c>
      <c r="I1697" s="197">
        <v>17973</v>
      </c>
      <c r="J1697" s="197">
        <v>17973</v>
      </c>
      <c r="K1697" s="197">
        <v>0</v>
      </c>
      <c r="L1697" s="197">
        <v>-2047</v>
      </c>
      <c r="M1697" s="260" t="s">
        <v>239</v>
      </c>
      <c r="N1697" s="260" t="s">
        <v>514</v>
      </c>
    </row>
    <row r="1698" spans="1:14" ht="14.5" x14ac:dyDescent="0.35">
      <c r="A1698" s="260" t="s">
        <v>565</v>
      </c>
      <c r="B1698" s="190">
        <v>45856</v>
      </c>
      <c r="C1698" s="260" t="s">
        <v>754</v>
      </c>
      <c r="D1698" s="197">
        <v>50</v>
      </c>
      <c r="E1698" s="197">
        <v>4104</v>
      </c>
      <c r="F1698" s="197">
        <v>78.73</v>
      </c>
      <c r="G1698" s="190">
        <v>45856</v>
      </c>
      <c r="H1698" s="196">
        <v>0</v>
      </c>
      <c r="I1698" s="197">
        <v>3936.5</v>
      </c>
      <c r="J1698" s="197">
        <v>3936.5</v>
      </c>
      <c r="K1698" s="197">
        <v>0</v>
      </c>
      <c r="L1698" s="197">
        <v>-167.5</v>
      </c>
      <c r="M1698" s="260" t="s">
        <v>239</v>
      </c>
      <c r="N1698" s="260" t="s">
        <v>514</v>
      </c>
    </row>
    <row r="1699" spans="1:14" ht="14.5" x14ac:dyDescent="0.35">
      <c r="A1699" s="260" t="s">
        <v>565</v>
      </c>
      <c r="B1699" s="190">
        <v>45857</v>
      </c>
      <c r="C1699" s="260" t="s">
        <v>749</v>
      </c>
      <c r="D1699" s="197">
        <v>160</v>
      </c>
      <c r="E1699" s="197">
        <v>8008</v>
      </c>
      <c r="F1699" s="197">
        <v>53.52</v>
      </c>
      <c r="G1699" s="190">
        <v>45856</v>
      </c>
      <c r="H1699" s="196">
        <v>1</v>
      </c>
      <c r="I1699" s="197">
        <v>8563.2000000000007</v>
      </c>
      <c r="J1699" s="197">
        <v>8563.2000000000007</v>
      </c>
      <c r="K1699" s="197">
        <v>0</v>
      </c>
      <c r="L1699" s="197">
        <v>555.20000000000073</v>
      </c>
      <c r="M1699" s="260" t="s">
        <v>239</v>
      </c>
      <c r="N1699" s="260" t="s">
        <v>514</v>
      </c>
    </row>
    <row r="1700" spans="1:14" ht="14.5" x14ac:dyDescent="0.35">
      <c r="A1700" s="260" t="s">
        <v>565</v>
      </c>
      <c r="B1700" s="190">
        <v>45857</v>
      </c>
      <c r="C1700" s="260" t="s">
        <v>752</v>
      </c>
      <c r="D1700" s="197">
        <v>100</v>
      </c>
      <c r="E1700" s="197">
        <v>20020</v>
      </c>
      <c r="F1700" s="197">
        <v>179.73</v>
      </c>
      <c r="G1700" s="190">
        <v>45856</v>
      </c>
      <c r="H1700" s="196">
        <v>1</v>
      </c>
      <c r="I1700" s="197">
        <v>17973</v>
      </c>
      <c r="J1700" s="197">
        <v>17973</v>
      </c>
      <c r="K1700" s="197">
        <v>0</v>
      </c>
      <c r="L1700" s="197">
        <v>-2047</v>
      </c>
      <c r="M1700" s="260" t="s">
        <v>239</v>
      </c>
      <c r="N1700" s="260" t="s">
        <v>514</v>
      </c>
    </row>
    <row r="1701" spans="1:14" ht="14.5" x14ac:dyDescent="0.35">
      <c r="A1701" s="260" t="s">
        <v>565</v>
      </c>
      <c r="B1701" s="190">
        <v>45857</v>
      </c>
      <c r="C1701" s="260" t="s">
        <v>754</v>
      </c>
      <c r="D1701" s="197">
        <v>50</v>
      </c>
      <c r="E1701" s="197">
        <v>4104</v>
      </c>
      <c r="F1701" s="197">
        <v>78.73</v>
      </c>
      <c r="G1701" s="190">
        <v>45856</v>
      </c>
      <c r="H1701" s="196">
        <v>1</v>
      </c>
      <c r="I1701" s="197">
        <v>3936.5</v>
      </c>
      <c r="J1701" s="197">
        <v>3936.5</v>
      </c>
      <c r="K1701" s="197">
        <v>0</v>
      </c>
      <c r="L1701" s="197">
        <v>-167.5</v>
      </c>
      <c r="M1701" s="260" t="s">
        <v>239</v>
      </c>
      <c r="N1701" s="260" t="s">
        <v>514</v>
      </c>
    </row>
    <row r="1702" spans="1:14" ht="14.5" x14ac:dyDescent="0.35">
      <c r="A1702" s="260" t="s">
        <v>565</v>
      </c>
      <c r="B1702" s="190">
        <v>45858</v>
      </c>
      <c r="C1702" s="260" t="s">
        <v>749</v>
      </c>
      <c r="D1702" s="197">
        <v>160</v>
      </c>
      <c r="E1702" s="197">
        <v>8008</v>
      </c>
      <c r="F1702" s="197">
        <v>53.52</v>
      </c>
      <c r="G1702" s="190">
        <v>45856</v>
      </c>
      <c r="H1702" s="196">
        <v>2</v>
      </c>
      <c r="I1702" s="197">
        <v>8563.2000000000007</v>
      </c>
      <c r="J1702" s="197">
        <v>8563.2000000000007</v>
      </c>
      <c r="K1702" s="197">
        <v>0</v>
      </c>
      <c r="L1702" s="197">
        <v>555.20000000000073</v>
      </c>
      <c r="M1702" s="260" t="s">
        <v>239</v>
      </c>
      <c r="N1702" s="260" t="s">
        <v>514</v>
      </c>
    </row>
    <row r="1703" spans="1:14" ht="14.5" x14ac:dyDescent="0.35">
      <c r="A1703" s="260" t="s">
        <v>565</v>
      </c>
      <c r="B1703" s="190">
        <v>45858</v>
      </c>
      <c r="C1703" s="260" t="s">
        <v>752</v>
      </c>
      <c r="D1703" s="197">
        <v>100</v>
      </c>
      <c r="E1703" s="197">
        <v>20020</v>
      </c>
      <c r="F1703" s="197">
        <v>179.73</v>
      </c>
      <c r="G1703" s="190">
        <v>45856</v>
      </c>
      <c r="H1703" s="196">
        <v>2</v>
      </c>
      <c r="I1703" s="197">
        <v>17973</v>
      </c>
      <c r="J1703" s="197">
        <v>17973</v>
      </c>
      <c r="K1703" s="197">
        <v>0</v>
      </c>
      <c r="L1703" s="197">
        <v>-2047</v>
      </c>
      <c r="M1703" s="260" t="s">
        <v>239</v>
      </c>
      <c r="N1703" s="260" t="s">
        <v>514</v>
      </c>
    </row>
    <row r="1704" spans="1:14" ht="14.5" x14ac:dyDescent="0.35">
      <c r="A1704" s="260" t="s">
        <v>565</v>
      </c>
      <c r="B1704" s="190">
        <v>45858</v>
      </c>
      <c r="C1704" s="260" t="s">
        <v>754</v>
      </c>
      <c r="D1704" s="197">
        <v>50</v>
      </c>
      <c r="E1704" s="197">
        <v>4104</v>
      </c>
      <c r="F1704" s="197">
        <v>78.73</v>
      </c>
      <c r="G1704" s="190">
        <v>45856</v>
      </c>
      <c r="H1704" s="196">
        <v>2</v>
      </c>
      <c r="I1704" s="197">
        <v>3936.5</v>
      </c>
      <c r="J1704" s="197">
        <v>3936.5</v>
      </c>
      <c r="K1704" s="197">
        <v>0</v>
      </c>
      <c r="L1704" s="197">
        <v>-167.5</v>
      </c>
      <c r="M1704" s="260" t="s">
        <v>239</v>
      </c>
      <c r="N1704" s="260" t="s">
        <v>514</v>
      </c>
    </row>
    <row r="1705" spans="1:14" ht="14.5" x14ac:dyDescent="0.35">
      <c r="A1705" s="260" t="s">
        <v>565</v>
      </c>
      <c r="B1705" s="190">
        <v>45859</v>
      </c>
      <c r="C1705" s="260" t="s">
        <v>749</v>
      </c>
      <c r="D1705" s="197">
        <v>160</v>
      </c>
      <c r="E1705" s="197">
        <v>8008</v>
      </c>
      <c r="F1705" s="197">
        <v>53.17</v>
      </c>
      <c r="G1705" s="190">
        <v>45859</v>
      </c>
      <c r="H1705" s="196">
        <v>0</v>
      </c>
      <c r="I1705" s="197">
        <v>8507.2000000000007</v>
      </c>
      <c r="J1705" s="197">
        <v>8507.2000000000007</v>
      </c>
      <c r="K1705" s="197">
        <v>0</v>
      </c>
      <c r="L1705" s="197">
        <v>499.20000000000073</v>
      </c>
      <c r="M1705" s="260" t="s">
        <v>239</v>
      </c>
      <c r="N1705" s="260" t="s">
        <v>514</v>
      </c>
    </row>
    <row r="1706" spans="1:14" ht="14.5" x14ac:dyDescent="0.35">
      <c r="A1706" s="260" t="s">
        <v>565</v>
      </c>
      <c r="B1706" s="190">
        <v>45859</v>
      </c>
      <c r="C1706" s="260" t="s">
        <v>752</v>
      </c>
      <c r="D1706" s="197">
        <v>100</v>
      </c>
      <c r="E1706" s="197">
        <v>20020</v>
      </c>
      <c r="F1706" s="197">
        <v>179.33</v>
      </c>
      <c r="G1706" s="190">
        <v>45859</v>
      </c>
      <c r="H1706" s="196">
        <v>0</v>
      </c>
      <c r="I1706" s="197">
        <v>17933</v>
      </c>
      <c r="J1706" s="197">
        <v>17933</v>
      </c>
      <c r="K1706" s="197">
        <v>0</v>
      </c>
      <c r="L1706" s="197">
        <v>-2087</v>
      </c>
      <c r="M1706" s="260" t="s">
        <v>239</v>
      </c>
      <c r="N1706" s="260" t="s">
        <v>514</v>
      </c>
    </row>
    <row r="1707" spans="1:14" ht="14.5" x14ac:dyDescent="0.35">
      <c r="A1707" s="260" t="s">
        <v>565</v>
      </c>
      <c r="B1707" s="190">
        <v>45859</v>
      </c>
      <c r="C1707" s="260" t="s">
        <v>754</v>
      </c>
      <c r="D1707" s="197">
        <v>50</v>
      </c>
      <c r="E1707" s="197">
        <v>4104</v>
      </c>
      <c r="F1707" s="197">
        <v>78.33</v>
      </c>
      <c r="G1707" s="190">
        <v>45859</v>
      </c>
      <c r="H1707" s="196">
        <v>0</v>
      </c>
      <c r="I1707" s="197">
        <v>3916.5</v>
      </c>
      <c r="J1707" s="197">
        <v>3916.5</v>
      </c>
      <c r="K1707" s="197">
        <v>0</v>
      </c>
      <c r="L1707" s="197">
        <v>-187.5</v>
      </c>
      <c r="M1707" s="260" t="s">
        <v>239</v>
      </c>
      <c r="N1707" s="260" t="s">
        <v>514</v>
      </c>
    </row>
    <row r="1708" spans="1:14" ht="14.5" x14ac:dyDescent="0.35">
      <c r="A1708" s="260" t="s">
        <v>565</v>
      </c>
      <c r="B1708" s="190">
        <v>45860</v>
      </c>
      <c r="C1708" s="260" t="s">
        <v>749</v>
      </c>
      <c r="D1708" s="197">
        <v>160</v>
      </c>
      <c r="E1708" s="197">
        <v>8008</v>
      </c>
      <c r="F1708" s="197">
        <v>53.05</v>
      </c>
      <c r="G1708" s="190">
        <v>45860</v>
      </c>
      <c r="H1708" s="196">
        <v>0</v>
      </c>
      <c r="I1708" s="197">
        <v>8488</v>
      </c>
      <c r="J1708" s="197">
        <v>8488</v>
      </c>
      <c r="K1708" s="197">
        <v>0</v>
      </c>
      <c r="L1708" s="197">
        <v>480</v>
      </c>
      <c r="M1708" s="260" t="s">
        <v>239</v>
      </c>
      <c r="N1708" s="260" t="s">
        <v>514</v>
      </c>
    </row>
    <row r="1709" spans="1:14" ht="14.5" x14ac:dyDescent="0.35">
      <c r="A1709" s="260" t="s">
        <v>565</v>
      </c>
      <c r="B1709" s="190">
        <v>45860</v>
      </c>
      <c r="C1709" s="260" t="s">
        <v>752</v>
      </c>
      <c r="D1709" s="197">
        <v>100</v>
      </c>
      <c r="E1709" s="197">
        <v>20020</v>
      </c>
      <c r="F1709" s="197">
        <v>179.2</v>
      </c>
      <c r="G1709" s="190">
        <v>45860</v>
      </c>
      <c r="H1709" s="196">
        <v>0</v>
      </c>
      <c r="I1709" s="197">
        <v>17920</v>
      </c>
      <c r="J1709" s="197">
        <v>17920</v>
      </c>
      <c r="K1709" s="197">
        <v>0</v>
      </c>
      <c r="L1709" s="197">
        <v>-2100</v>
      </c>
      <c r="M1709" s="260" t="s">
        <v>239</v>
      </c>
      <c r="N1709" s="260" t="s">
        <v>514</v>
      </c>
    </row>
    <row r="1710" spans="1:14" ht="14.5" x14ac:dyDescent="0.35">
      <c r="A1710" s="260" t="s">
        <v>565</v>
      </c>
      <c r="B1710" s="190">
        <v>45860</v>
      </c>
      <c r="C1710" s="260" t="s">
        <v>754</v>
      </c>
      <c r="D1710" s="197">
        <v>50</v>
      </c>
      <c r="E1710" s="197">
        <v>4104</v>
      </c>
      <c r="F1710" s="197">
        <v>78.2</v>
      </c>
      <c r="G1710" s="190">
        <v>45860</v>
      </c>
      <c r="H1710" s="196">
        <v>0</v>
      </c>
      <c r="I1710" s="197">
        <v>3910</v>
      </c>
      <c r="J1710" s="197">
        <v>3910</v>
      </c>
      <c r="K1710" s="197">
        <v>0</v>
      </c>
      <c r="L1710" s="197">
        <v>-194</v>
      </c>
      <c r="M1710" s="260" t="s">
        <v>239</v>
      </c>
      <c r="N1710" s="260" t="s">
        <v>514</v>
      </c>
    </row>
    <row r="1711" spans="1:14" ht="14.5" x14ac:dyDescent="0.35">
      <c r="A1711" s="260" t="s">
        <v>565</v>
      </c>
      <c r="B1711" s="190">
        <v>45861</v>
      </c>
      <c r="C1711" s="260" t="s">
        <v>749</v>
      </c>
      <c r="D1711" s="197">
        <v>160</v>
      </c>
      <c r="E1711" s="197">
        <v>8008</v>
      </c>
      <c r="F1711" s="197">
        <v>52.93</v>
      </c>
      <c r="G1711" s="190">
        <v>45861</v>
      </c>
      <c r="H1711" s="196">
        <v>0</v>
      </c>
      <c r="I1711" s="197">
        <v>8468.7999999999993</v>
      </c>
      <c r="J1711" s="197">
        <v>8468.7999999999993</v>
      </c>
      <c r="K1711" s="197">
        <v>0</v>
      </c>
      <c r="L1711" s="197">
        <v>460.79999999999927</v>
      </c>
      <c r="M1711" s="260" t="s">
        <v>239</v>
      </c>
      <c r="N1711" s="260" t="s">
        <v>514</v>
      </c>
    </row>
    <row r="1712" spans="1:14" ht="14.5" x14ac:dyDescent="0.35">
      <c r="A1712" s="260" t="s">
        <v>565</v>
      </c>
      <c r="B1712" s="190">
        <v>45861</v>
      </c>
      <c r="C1712" s="260" t="s">
        <v>752</v>
      </c>
      <c r="D1712" s="197">
        <v>100</v>
      </c>
      <c r="E1712" s="197">
        <v>20020</v>
      </c>
      <c r="F1712" s="197">
        <v>179.07</v>
      </c>
      <c r="G1712" s="190">
        <v>45861</v>
      </c>
      <c r="H1712" s="196">
        <v>0</v>
      </c>
      <c r="I1712" s="197">
        <v>17907</v>
      </c>
      <c r="J1712" s="197">
        <v>17907</v>
      </c>
      <c r="K1712" s="197">
        <v>0</v>
      </c>
      <c r="L1712" s="197">
        <v>-2113</v>
      </c>
      <c r="M1712" s="260" t="s">
        <v>239</v>
      </c>
      <c r="N1712" s="260" t="s">
        <v>514</v>
      </c>
    </row>
    <row r="1713" spans="1:14" ht="14.5" x14ac:dyDescent="0.35">
      <c r="A1713" s="260" t="s">
        <v>565</v>
      </c>
      <c r="B1713" s="190">
        <v>45861</v>
      </c>
      <c r="C1713" s="260" t="s">
        <v>754</v>
      </c>
      <c r="D1713" s="197">
        <v>50</v>
      </c>
      <c r="E1713" s="197">
        <v>4104</v>
      </c>
      <c r="F1713" s="197">
        <v>78.069999999999993</v>
      </c>
      <c r="G1713" s="190">
        <v>45861</v>
      </c>
      <c r="H1713" s="196">
        <v>0</v>
      </c>
      <c r="I1713" s="197">
        <v>3903.4999999999995</v>
      </c>
      <c r="J1713" s="197">
        <v>3903.4999999999995</v>
      </c>
      <c r="K1713" s="197">
        <v>0</v>
      </c>
      <c r="L1713" s="197">
        <v>-200.50000000000045</v>
      </c>
      <c r="M1713" s="260" t="s">
        <v>239</v>
      </c>
      <c r="N1713" s="260" t="s">
        <v>514</v>
      </c>
    </row>
    <row r="1714" spans="1:14" ht="14.5" x14ac:dyDescent="0.35">
      <c r="A1714" s="260" t="s">
        <v>565</v>
      </c>
      <c r="B1714" s="190">
        <v>45862</v>
      </c>
      <c r="C1714" s="260" t="s">
        <v>749</v>
      </c>
      <c r="D1714" s="197">
        <v>160</v>
      </c>
      <c r="E1714" s="197">
        <v>8008</v>
      </c>
      <c r="F1714" s="197">
        <v>52.82</v>
      </c>
      <c r="G1714" s="190">
        <v>45862</v>
      </c>
      <c r="H1714" s="196">
        <v>0</v>
      </c>
      <c r="I1714" s="197">
        <v>8451.2000000000007</v>
      </c>
      <c r="J1714" s="197">
        <v>8451.2000000000007</v>
      </c>
      <c r="K1714" s="197">
        <v>0</v>
      </c>
      <c r="L1714" s="197">
        <v>443.20000000000073</v>
      </c>
      <c r="M1714" s="260" t="s">
        <v>239</v>
      </c>
      <c r="N1714" s="260" t="s">
        <v>514</v>
      </c>
    </row>
    <row r="1715" spans="1:14" ht="14.5" x14ac:dyDescent="0.35">
      <c r="A1715" s="260" t="s">
        <v>565</v>
      </c>
      <c r="B1715" s="190">
        <v>45862</v>
      </c>
      <c r="C1715" s="260" t="s">
        <v>752</v>
      </c>
      <c r="D1715" s="197">
        <v>100</v>
      </c>
      <c r="E1715" s="197">
        <v>20020</v>
      </c>
      <c r="F1715" s="197">
        <v>178.93</v>
      </c>
      <c r="G1715" s="190">
        <v>45862</v>
      </c>
      <c r="H1715" s="196">
        <v>0</v>
      </c>
      <c r="I1715" s="197">
        <v>17893</v>
      </c>
      <c r="J1715" s="197">
        <v>17893</v>
      </c>
      <c r="K1715" s="197">
        <v>0</v>
      </c>
      <c r="L1715" s="197">
        <v>-2127</v>
      </c>
      <c r="M1715" s="260" t="s">
        <v>239</v>
      </c>
      <c r="N1715" s="260" t="s">
        <v>514</v>
      </c>
    </row>
    <row r="1716" spans="1:14" ht="14.5" x14ac:dyDescent="0.35">
      <c r="A1716" s="260" t="s">
        <v>565</v>
      </c>
      <c r="B1716" s="190">
        <v>45862</v>
      </c>
      <c r="C1716" s="260" t="s">
        <v>754</v>
      </c>
      <c r="D1716" s="197">
        <v>50</v>
      </c>
      <c r="E1716" s="197">
        <v>4104</v>
      </c>
      <c r="F1716" s="197">
        <v>77.930000000000007</v>
      </c>
      <c r="G1716" s="190">
        <v>45862</v>
      </c>
      <c r="H1716" s="196">
        <v>0</v>
      </c>
      <c r="I1716" s="197">
        <v>3896.5000000000005</v>
      </c>
      <c r="J1716" s="197">
        <v>3896.5000000000005</v>
      </c>
      <c r="K1716" s="197">
        <v>0</v>
      </c>
      <c r="L1716" s="197">
        <v>-207.49999999999955</v>
      </c>
      <c r="M1716" s="260" t="s">
        <v>239</v>
      </c>
      <c r="N1716" s="260" t="s">
        <v>514</v>
      </c>
    </row>
    <row r="1717" spans="1:14" ht="14.5" x14ac:dyDescent="0.35">
      <c r="A1717" s="260" t="s">
        <v>565</v>
      </c>
      <c r="B1717" s="190">
        <v>45863</v>
      </c>
      <c r="C1717" s="260" t="s">
        <v>749</v>
      </c>
      <c r="D1717" s="197">
        <v>160</v>
      </c>
      <c r="E1717" s="197">
        <v>8008</v>
      </c>
      <c r="F1717" s="197">
        <v>52.7</v>
      </c>
      <c r="G1717" s="190">
        <v>45863</v>
      </c>
      <c r="H1717" s="196">
        <v>0</v>
      </c>
      <c r="I1717" s="197">
        <v>8432</v>
      </c>
      <c r="J1717" s="197">
        <v>8432</v>
      </c>
      <c r="K1717" s="197">
        <v>0</v>
      </c>
      <c r="L1717" s="197">
        <v>424</v>
      </c>
      <c r="M1717" s="260" t="s">
        <v>239</v>
      </c>
      <c r="N1717" s="260" t="s">
        <v>514</v>
      </c>
    </row>
    <row r="1718" spans="1:14" ht="14.5" x14ac:dyDescent="0.35">
      <c r="A1718" s="260" t="s">
        <v>565</v>
      </c>
      <c r="B1718" s="190">
        <v>45863</v>
      </c>
      <c r="C1718" s="260" t="s">
        <v>752</v>
      </c>
      <c r="D1718" s="197">
        <v>100</v>
      </c>
      <c r="E1718" s="197">
        <v>20020</v>
      </c>
      <c r="F1718" s="197">
        <v>178.8</v>
      </c>
      <c r="G1718" s="190">
        <v>45863</v>
      </c>
      <c r="H1718" s="196">
        <v>0</v>
      </c>
      <c r="I1718" s="197">
        <v>17880</v>
      </c>
      <c r="J1718" s="197">
        <v>17880</v>
      </c>
      <c r="K1718" s="197">
        <v>0</v>
      </c>
      <c r="L1718" s="197">
        <v>-2140</v>
      </c>
      <c r="M1718" s="260" t="s">
        <v>239</v>
      </c>
      <c r="N1718" s="260" t="s">
        <v>514</v>
      </c>
    </row>
    <row r="1719" spans="1:14" ht="14.5" x14ac:dyDescent="0.35">
      <c r="A1719" s="260" t="s">
        <v>565</v>
      </c>
      <c r="B1719" s="190">
        <v>45863</v>
      </c>
      <c r="C1719" s="260" t="s">
        <v>754</v>
      </c>
      <c r="D1719" s="197">
        <v>50</v>
      </c>
      <c r="E1719" s="197">
        <v>4104</v>
      </c>
      <c r="F1719" s="197">
        <v>77.8</v>
      </c>
      <c r="G1719" s="190">
        <v>45863</v>
      </c>
      <c r="H1719" s="196">
        <v>0</v>
      </c>
      <c r="I1719" s="197">
        <v>3890</v>
      </c>
      <c r="J1719" s="197">
        <v>3890</v>
      </c>
      <c r="K1719" s="197">
        <v>0</v>
      </c>
      <c r="L1719" s="197">
        <v>-214</v>
      </c>
      <c r="M1719" s="260" t="s">
        <v>239</v>
      </c>
      <c r="N1719" s="260" t="s">
        <v>514</v>
      </c>
    </row>
    <row r="1720" spans="1:14" ht="14.5" x14ac:dyDescent="0.35">
      <c r="A1720" s="260" t="s">
        <v>565</v>
      </c>
      <c r="B1720" s="190">
        <v>45864</v>
      </c>
      <c r="C1720" s="260" t="s">
        <v>749</v>
      </c>
      <c r="D1720" s="197">
        <v>160</v>
      </c>
      <c r="E1720" s="197">
        <v>8008</v>
      </c>
      <c r="F1720" s="197">
        <v>52.7</v>
      </c>
      <c r="G1720" s="190">
        <v>45863</v>
      </c>
      <c r="H1720" s="196">
        <v>1</v>
      </c>
      <c r="I1720" s="197">
        <v>8432</v>
      </c>
      <c r="J1720" s="197">
        <v>8432</v>
      </c>
      <c r="K1720" s="197">
        <v>0</v>
      </c>
      <c r="L1720" s="197">
        <v>424</v>
      </c>
      <c r="M1720" s="260" t="s">
        <v>239</v>
      </c>
      <c r="N1720" s="260" t="s">
        <v>514</v>
      </c>
    </row>
    <row r="1721" spans="1:14" ht="14.5" x14ac:dyDescent="0.35">
      <c r="A1721" s="260" t="s">
        <v>565</v>
      </c>
      <c r="B1721" s="190">
        <v>45864</v>
      </c>
      <c r="C1721" s="260" t="s">
        <v>752</v>
      </c>
      <c r="D1721" s="197">
        <v>100</v>
      </c>
      <c r="E1721" s="197">
        <v>20020</v>
      </c>
      <c r="F1721" s="197">
        <v>178.8</v>
      </c>
      <c r="G1721" s="190">
        <v>45863</v>
      </c>
      <c r="H1721" s="196">
        <v>1</v>
      </c>
      <c r="I1721" s="197">
        <v>17880</v>
      </c>
      <c r="J1721" s="197">
        <v>17880</v>
      </c>
      <c r="K1721" s="197">
        <v>0</v>
      </c>
      <c r="L1721" s="197">
        <v>-2140</v>
      </c>
      <c r="M1721" s="260" t="s">
        <v>239</v>
      </c>
      <c r="N1721" s="260" t="s">
        <v>514</v>
      </c>
    </row>
    <row r="1722" spans="1:14" ht="14.5" x14ac:dyDescent="0.35">
      <c r="A1722" s="260" t="s">
        <v>565</v>
      </c>
      <c r="B1722" s="190">
        <v>45864</v>
      </c>
      <c r="C1722" s="260" t="s">
        <v>754</v>
      </c>
      <c r="D1722" s="197">
        <v>50</v>
      </c>
      <c r="E1722" s="197">
        <v>4104</v>
      </c>
      <c r="F1722" s="197">
        <v>77.8</v>
      </c>
      <c r="G1722" s="190">
        <v>45863</v>
      </c>
      <c r="H1722" s="196">
        <v>1</v>
      </c>
      <c r="I1722" s="197">
        <v>3890</v>
      </c>
      <c r="J1722" s="197">
        <v>3890</v>
      </c>
      <c r="K1722" s="197">
        <v>0</v>
      </c>
      <c r="L1722" s="197">
        <v>-214</v>
      </c>
      <c r="M1722" s="260" t="s">
        <v>239</v>
      </c>
      <c r="N1722" s="260" t="s">
        <v>514</v>
      </c>
    </row>
    <row r="1723" spans="1:14" ht="14.5" x14ac:dyDescent="0.35">
      <c r="A1723" s="260" t="s">
        <v>565</v>
      </c>
      <c r="B1723" s="190">
        <v>45865</v>
      </c>
      <c r="C1723" s="260" t="s">
        <v>749</v>
      </c>
      <c r="D1723" s="197">
        <v>160</v>
      </c>
      <c r="E1723" s="197">
        <v>8008</v>
      </c>
      <c r="F1723" s="197">
        <v>52.7</v>
      </c>
      <c r="G1723" s="190">
        <v>45863</v>
      </c>
      <c r="H1723" s="196">
        <v>2</v>
      </c>
      <c r="I1723" s="197">
        <v>8432</v>
      </c>
      <c r="J1723" s="197">
        <v>8432</v>
      </c>
      <c r="K1723" s="197">
        <v>0</v>
      </c>
      <c r="L1723" s="197">
        <v>424</v>
      </c>
      <c r="M1723" s="260" t="s">
        <v>239</v>
      </c>
      <c r="N1723" s="260" t="s">
        <v>514</v>
      </c>
    </row>
    <row r="1724" spans="1:14" ht="14.5" x14ac:dyDescent="0.35">
      <c r="A1724" s="260" t="s">
        <v>565</v>
      </c>
      <c r="B1724" s="190">
        <v>45865</v>
      </c>
      <c r="C1724" s="260" t="s">
        <v>752</v>
      </c>
      <c r="D1724" s="197">
        <v>100</v>
      </c>
      <c r="E1724" s="197">
        <v>20020</v>
      </c>
      <c r="F1724" s="197">
        <v>178.8</v>
      </c>
      <c r="G1724" s="190">
        <v>45863</v>
      </c>
      <c r="H1724" s="196">
        <v>2</v>
      </c>
      <c r="I1724" s="197">
        <v>17880</v>
      </c>
      <c r="J1724" s="197">
        <v>17880</v>
      </c>
      <c r="K1724" s="197">
        <v>0</v>
      </c>
      <c r="L1724" s="197">
        <v>-2140</v>
      </c>
      <c r="M1724" s="260" t="s">
        <v>239</v>
      </c>
      <c r="N1724" s="260" t="s">
        <v>514</v>
      </c>
    </row>
    <row r="1725" spans="1:14" ht="14.5" x14ac:dyDescent="0.35">
      <c r="A1725" s="260" t="s">
        <v>565</v>
      </c>
      <c r="B1725" s="190">
        <v>45865</v>
      </c>
      <c r="C1725" s="260" t="s">
        <v>754</v>
      </c>
      <c r="D1725" s="197">
        <v>50</v>
      </c>
      <c r="E1725" s="197">
        <v>4104</v>
      </c>
      <c r="F1725" s="197">
        <v>77.8</v>
      </c>
      <c r="G1725" s="190">
        <v>45863</v>
      </c>
      <c r="H1725" s="196">
        <v>2</v>
      </c>
      <c r="I1725" s="197">
        <v>3890</v>
      </c>
      <c r="J1725" s="197">
        <v>3890</v>
      </c>
      <c r="K1725" s="197">
        <v>0</v>
      </c>
      <c r="L1725" s="197">
        <v>-214</v>
      </c>
      <c r="M1725" s="260" t="s">
        <v>239</v>
      </c>
      <c r="N1725" s="260" t="s">
        <v>514</v>
      </c>
    </row>
    <row r="1726" spans="1:14" ht="14.5" x14ac:dyDescent="0.35">
      <c r="A1726" s="260" t="s">
        <v>565</v>
      </c>
      <c r="B1726" s="190">
        <v>45866</v>
      </c>
      <c r="C1726" s="260" t="s">
        <v>749</v>
      </c>
      <c r="D1726" s="197">
        <v>160</v>
      </c>
      <c r="E1726" s="197">
        <v>8008</v>
      </c>
      <c r="F1726" s="197">
        <v>52.35</v>
      </c>
      <c r="G1726" s="190">
        <v>45866</v>
      </c>
      <c r="H1726" s="196">
        <v>0</v>
      </c>
      <c r="I1726" s="197">
        <v>8376</v>
      </c>
      <c r="J1726" s="197">
        <v>8376</v>
      </c>
      <c r="K1726" s="197">
        <v>0</v>
      </c>
      <c r="L1726" s="197">
        <v>368</v>
      </c>
      <c r="M1726" s="260" t="s">
        <v>239</v>
      </c>
      <c r="N1726" s="260" t="s">
        <v>514</v>
      </c>
    </row>
    <row r="1727" spans="1:14" ht="14.5" x14ac:dyDescent="0.35">
      <c r="A1727" s="260" t="s">
        <v>565</v>
      </c>
      <c r="B1727" s="190">
        <v>45866</v>
      </c>
      <c r="C1727" s="260" t="s">
        <v>752</v>
      </c>
      <c r="D1727" s="197">
        <v>100</v>
      </c>
      <c r="E1727" s="197">
        <v>20020</v>
      </c>
      <c r="F1727" s="197">
        <v>178.4</v>
      </c>
      <c r="G1727" s="190">
        <v>45866</v>
      </c>
      <c r="H1727" s="196">
        <v>0</v>
      </c>
      <c r="I1727" s="197">
        <v>17840</v>
      </c>
      <c r="J1727" s="197">
        <v>17840</v>
      </c>
      <c r="K1727" s="197">
        <v>0</v>
      </c>
      <c r="L1727" s="197">
        <v>-2180</v>
      </c>
      <c r="M1727" s="260" t="s">
        <v>239</v>
      </c>
      <c r="N1727" s="260" t="s">
        <v>514</v>
      </c>
    </row>
    <row r="1728" spans="1:14" ht="14.5" x14ac:dyDescent="0.35">
      <c r="A1728" s="260" t="s">
        <v>565</v>
      </c>
      <c r="B1728" s="190">
        <v>45866</v>
      </c>
      <c r="C1728" s="260" t="s">
        <v>754</v>
      </c>
      <c r="D1728" s="197">
        <v>50</v>
      </c>
      <c r="E1728" s="197">
        <v>4104</v>
      </c>
      <c r="F1728" s="197">
        <v>77.400000000000006</v>
      </c>
      <c r="G1728" s="190">
        <v>45866</v>
      </c>
      <c r="H1728" s="196">
        <v>0</v>
      </c>
      <c r="I1728" s="197">
        <v>3870.0000000000005</v>
      </c>
      <c r="J1728" s="197">
        <v>3870.0000000000005</v>
      </c>
      <c r="K1728" s="197">
        <v>0</v>
      </c>
      <c r="L1728" s="197">
        <v>-233.99999999999955</v>
      </c>
      <c r="M1728" s="260" t="s">
        <v>239</v>
      </c>
      <c r="N1728" s="260" t="s">
        <v>514</v>
      </c>
    </row>
    <row r="1729" spans="1:14" ht="14.5" x14ac:dyDescent="0.35">
      <c r="A1729" s="260" t="s">
        <v>565</v>
      </c>
      <c r="B1729" s="190">
        <v>45867</v>
      </c>
      <c r="C1729" s="260" t="s">
        <v>749</v>
      </c>
      <c r="D1729" s="197">
        <v>160</v>
      </c>
      <c r="E1729" s="197">
        <v>8008</v>
      </c>
      <c r="F1729" s="197">
        <v>52.23</v>
      </c>
      <c r="G1729" s="190">
        <v>45867</v>
      </c>
      <c r="H1729" s="196">
        <v>0</v>
      </c>
      <c r="I1729" s="197">
        <v>8356.7999999999993</v>
      </c>
      <c r="J1729" s="197">
        <v>8356.7999999999993</v>
      </c>
      <c r="K1729" s="197">
        <v>0</v>
      </c>
      <c r="L1729" s="197">
        <v>348.79999999999927</v>
      </c>
      <c r="M1729" s="260" t="s">
        <v>239</v>
      </c>
      <c r="N1729" s="260" t="s">
        <v>514</v>
      </c>
    </row>
    <row r="1730" spans="1:14" ht="14.5" x14ac:dyDescent="0.35">
      <c r="A1730" s="260" t="s">
        <v>565</v>
      </c>
      <c r="B1730" s="190">
        <v>45867</v>
      </c>
      <c r="C1730" s="260" t="s">
        <v>752</v>
      </c>
      <c r="D1730" s="197">
        <v>100</v>
      </c>
      <c r="E1730" s="197">
        <v>20020</v>
      </c>
      <c r="F1730" s="197">
        <v>178.27</v>
      </c>
      <c r="G1730" s="190">
        <v>45867</v>
      </c>
      <c r="H1730" s="196">
        <v>0</v>
      </c>
      <c r="I1730" s="197">
        <v>17827</v>
      </c>
      <c r="J1730" s="197">
        <v>17827</v>
      </c>
      <c r="K1730" s="197">
        <v>0</v>
      </c>
      <c r="L1730" s="197">
        <v>-2193</v>
      </c>
      <c r="M1730" s="260" t="s">
        <v>239</v>
      </c>
      <c r="N1730" s="260" t="s">
        <v>514</v>
      </c>
    </row>
    <row r="1731" spans="1:14" ht="14.5" x14ac:dyDescent="0.35">
      <c r="A1731" s="260" t="s">
        <v>565</v>
      </c>
      <c r="B1731" s="190">
        <v>45867</v>
      </c>
      <c r="C1731" s="260" t="s">
        <v>754</v>
      </c>
      <c r="D1731" s="197">
        <v>50</v>
      </c>
      <c r="E1731" s="197">
        <v>4104</v>
      </c>
      <c r="F1731" s="197">
        <v>77.27</v>
      </c>
      <c r="G1731" s="190">
        <v>45867</v>
      </c>
      <c r="H1731" s="196">
        <v>0</v>
      </c>
      <c r="I1731" s="197">
        <v>3863.5</v>
      </c>
      <c r="J1731" s="197">
        <v>3863.5</v>
      </c>
      <c r="K1731" s="197">
        <v>0</v>
      </c>
      <c r="L1731" s="197">
        <v>-240.5</v>
      </c>
      <c r="M1731" s="260" t="s">
        <v>239</v>
      </c>
      <c r="N1731" s="260" t="s">
        <v>514</v>
      </c>
    </row>
    <row r="1732" spans="1:14" ht="14.5" x14ac:dyDescent="0.35">
      <c r="A1732" s="260" t="s">
        <v>565</v>
      </c>
      <c r="B1732" s="190">
        <v>45868</v>
      </c>
      <c r="C1732" s="260" t="s">
        <v>749</v>
      </c>
      <c r="D1732" s="197">
        <v>160</v>
      </c>
      <c r="E1732" s="197">
        <v>8008</v>
      </c>
      <c r="F1732" s="197">
        <v>52.12</v>
      </c>
      <c r="G1732" s="190">
        <v>45868</v>
      </c>
      <c r="H1732" s="196">
        <v>0</v>
      </c>
      <c r="I1732" s="197">
        <v>8339.1999999999989</v>
      </c>
      <c r="J1732" s="197">
        <v>8339.1999999999989</v>
      </c>
      <c r="K1732" s="197">
        <v>0</v>
      </c>
      <c r="L1732" s="197">
        <v>331.19999999999891</v>
      </c>
      <c r="M1732" s="260" t="s">
        <v>239</v>
      </c>
      <c r="N1732" s="260" t="s">
        <v>514</v>
      </c>
    </row>
    <row r="1733" spans="1:14" ht="14.5" x14ac:dyDescent="0.35">
      <c r="A1733" s="260" t="s">
        <v>565</v>
      </c>
      <c r="B1733" s="190">
        <v>45868</v>
      </c>
      <c r="C1733" s="260" t="s">
        <v>752</v>
      </c>
      <c r="D1733" s="197">
        <v>100</v>
      </c>
      <c r="E1733" s="197">
        <v>20020</v>
      </c>
      <c r="F1733" s="197">
        <v>178.13</v>
      </c>
      <c r="G1733" s="190">
        <v>45868</v>
      </c>
      <c r="H1733" s="196">
        <v>0</v>
      </c>
      <c r="I1733" s="197">
        <v>17813</v>
      </c>
      <c r="J1733" s="197">
        <v>17813</v>
      </c>
      <c r="K1733" s="197">
        <v>0</v>
      </c>
      <c r="L1733" s="197">
        <v>-2207</v>
      </c>
      <c r="M1733" s="260" t="s">
        <v>239</v>
      </c>
      <c r="N1733" s="260" t="s">
        <v>514</v>
      </c>
    </row>
    <row r="1734" spans="1:14" ht="14.5" x14ac:dyDescent="0.35">
      <c r="A1734" s="260" t="s">
        <v>565</v>
      </c>
      <c r="B1734" s="190">
        <v>45868</v>
      </c>
      <c r="C1734" s="260" t="s">
        <v>754</v>
      </c>
      <c r="D1734" s="197">
        <v>50</v>
      </c>
      <c r="E1734" s="197">
        <v>4104</v>
      </c>
      <c r="F1734" s="197">
        <v>77.13</v>
      </c>
      <c r="G1734" s="190">
        <v>45868</v>
      </c>
      <c r="H1734" s="196">
        <v>0</v>
      </c>
      <c r="I1734" s="197">
        <v>3856.5</v>
      </c>
      <c r="J1734" s="197">
        <v>3856.5</v>
      </c>
      <c r="K1734" s="197">
        <v>0</v>
      </c>
      <c r="L1734" s="197">
        <v>-247.5</v>
      </c>
      <c r="M1734" s="260" t="s">
        <v>239</v>
      </c>
      <c r="N1734" s="260" t="s">
        <v>514</v>
      </c>
    </row>
    <row r="1735" spans="1:14" ht="14.5" x14ac:dyDescent="0.35">
      <c r="A1735" s="260" t="s">
        <v>565</v>
      </c>
      <c r="B1735" s="190">
        <v>45869</v>
      </c>
      <c r="C1735" s="260" t="s">
        <v>749</v>
      </c>
      <c r="D1735" s="197">
        <v>160</v>
      </c>
      <c r="E1735" s="197">
        <v>8008</v>
      </c>
      <c r="F1735" s="197">
        <v>52</v>
      </c>
      <c r="G1735" s="190">
        <v>45869</v>
      </c>
      <c r="H1735" s="196">
        <v>0</v>
      </c>
      <c r="I1735" s="197">
        <v>8320</v>
      </c>
      <c r="J1735" s="197">
        <v>8320</v>
      </c>
      <c r="K1735" s="197">
        <v>0</v>
      </c>
      <c r="L1735" s="197">
        <v>312</v>
      </c>
      <c r="M1735" s="260" t="s">
        <v>239</v>
      </c>
      <c r="N1735" s="260" t="s">
        <v>514</v>
      </c>
    </row>
    <row r="1736" spans="1:14" ht="14.5" x14ac:dyDescent="0.35">
      <c r="A1736" s="260" t="s">
        <v>565</v>
      </c>
      <c r="B1736" s="190">
        <v>45869</v>
      </c>
      <c r="C1736" s="260" t="s">
        <v>752</v>
      </c>
      <c r="D1736" s="197">
        <v>100</v>
      </c>
      <c r="E1736" s="197">
        <v>20020</v>
      </c>
      <c r="F1736" s="197">
        <v>178</v>
      </c>
      <c r="G1736" s="190">
        <v>45869</v>
      </c>
      <c r="H1736" s="196">
        <v>0</v>
      </c>
      <c r="I1736" s="197">
        <v>17800</v>
      </c>
      <c r="J1736" s="197">
        <v>17800</v>
      </c>
      <c r="K1736" s="197">
        <v>0</v>
      </c>
      <c r="L1736" s="197">
        <v>-2220</v>
      </c>
      <c r="M1736" s="260" t="s">
        <v>239</v>
      </c>
      <c r="N1736" s="260" t="s">
        <v>514</v>
      </c>
    </row>
    <row r="1737" spans="1:14" ht="14.5" x14ac:dyDescent="0.35">
      <c r="A1737" s="260" t="s">
        <v>565</v>
      </c>
      <c r="B1737" s="190">
        <v>45869</v>
      </c>
      <c r="C1737" s="260" t="s">
        <v>754</v>
      </c>
      <c r="D1737" s="197">
        <v>50</v>
      </c>
      <c r="E1737" s="197">
        <v>4104</v>
      </c>
      <c r="F1737" s="197">
        <v>77</v>
      </c>
      <c r="G1737" s="190">
        <v>45869</v>
      </c>
      <c r="H1737" s="196">
        <v>0</v>
      </c>
      <c r="I1737" s="197">
        <v>3850</v>
      </c>
      <c r="J1737" s="197">
        <v>3850</v>
      </c>
      <c r="K1737" s="197">
        <v>0</v>
      </c>
      <c r="L1737" s="197">
        <v>-254</v>
      </c>
      <c r="M1737" s="260" t="s">
        <v>239</v>
      </c>
      <c r="N1737" s="260" t="s">
        <v>514</v>
      </c>
    </row>
    <row r="1738" spans="1:14" ht="14.5" x14ac:dyDescent="0.35">
      <c r="A1738" s="260" t="s">
        <v>565</v>
      </c>
      <c r="B1738" s="190">
        <v>45870</v>
      </c>
      <c r="C1738" s="260" t="s">
        <v>749</v>
      </c>
      <c r="D1738" s="197">
        <v>160</v>
      </c>
      <c r="E1738" s="197">
        <v>8008</v>
      </c>
      <c r="F1738" s="197">
        <v>52</v>
      </c>
      <c r="G1738" s="190">
        <v>45870</v>
      </c>
      <c r="H1738" s="196">
        <v>0</v>
      </c>
      <c r="I1738" s="197">
        <v>8320</v>
      </c>
      <c r="J1738" s="197">
        <v>8320</v>
      </c>
      <c r="K1738" s="197">
        <v>0</v>
      </c>
      <c r="L1738" s="197">
        <v>312</v>
      </c>
      <c r="M1738" s="260" t="s">
        <v>239</v>
      </c>
      <c r="N1738" s="260" t="s">
        <v>514</v>
      </c>
    </row>
    <row r="1739" spans="1:14" ht="14.5" x14ac:dyDescent="0.35">
      <c r="A1739" s="260" t="s">
        <v>565</v>
      </c>
      <c r="B1739" s="190">
        <v>45870</v>
      </c>
      <c r="C1739" s="260" t="s">
        <v>752</v>
      </c>
      <c r="D1739" s="197">
        <v>100</v>
      </c>
      <c r="E1739" s="197">
        <v>20020</v>
      </c>
      <c r="F1739" s="197">
        <v>178</v>
      </c>
      <c r="G1739" s="190">
        <v>45870</v>
      </c>
      <c r="H1739" s="196">
        <v>0</v>
      </c>
      <c r="I1739" s="197">
        <v>17800</v>
      </c>
      <c r="J1739" s="197">
        <v>17800</v>
      </c>
      <c r="K1739" s="197">
        <v>0</v>
      </c>
      <c r="L1739" s="197">
        <v>-2220</v>
      </c>
      <c r="M1739" s="260" t="s">
        <v>239</v>
      </c>
      <c r="N1739" s="260" t="s">
        <v>514</v>
      </c>
    </row>
    <row r="1740" spans="1:14" ht="14.5" x14ac:dyDescent="0.35">
      <c r="A1740" s="260" t="s">
        <v>565</v>
      </c>
      <c r="B1740" s="190">
        <v>45870</v>
      </c>
      <c r="C1740" s="260" t="s">
        <v>754</v>
      </c>
      <c r="D1740" s="197">
        <v>50</v>
      </c>
      <c r="E1740" s="197">
        <v>4104</v>
      </c>
      <c r="F1740" s="197">
        <v>77</v>
      </c>
      <c r="G1740" s="190">
        <v>45870</v>
      </c>
      <c r="H1740" s="196">
        <v>0</v>
      </c>
      <c r="I1740" s="197">
        <v>3850</v>
      </c>
      <c r="J1740" s="197">
        <v>3850</v>
      </c>
      <c r="K1740" s="197">
        <v>0</v>
      </c>
      <c r="L1740" s="197">
        <v>-254</v>
      </c>
      <c r="M1740" s="260" t="s">
        <v>239</v>
      </c>
      <c r="N1740" s="260" t="s">
        <v>514</v>
      </c>
    </row>
    <row r="1741" spans="1:14" ht="14.5" x14ac:dyDescent="0.35">
      <c r="A1741" s="260" t="s">
        <v>565</v>
      </c>
      <c r="B1741" s="190">
        <v>45871</v>
      </c>
      <c r="C1741" s="260" t="s">
        <v>749</v>
      </c>
      <c r="D1741" s="197">
        <v>160</v>
      </c>
      <c r="E1741" s="197">
        <v>8008</v>
      </c>
      <c r="F1741" s="197">
        <v>52</v>
      </c>
      <c r="G1741" s="190">
        <v>45870</v>
      </c>
      <c r="H1741" s="196">
        <v>1</v>
      </c>
      <c r="I1741" s="197">
        <v>8320</v>
      </c>
      <c r="J1741" s="197">
        <v>8320</v>
      </c>
      <c r="K1741" s="197">
        <v>0</v>
      </c>
      <c r="L1741" s="197">
        <v>312</v>
      </c>
      <c r="M1741" s="260" t="s">
        <v>239</v>
      </c>
      <c r="N1741" s="260" t="s">
        <v>514</v>
      </c>
    </row>
    <row r="1742" spans="1:14" ht="14.5" x14ac:dyDescent="0.35">
      <c r="A1742" s="260" t="s">
        <v>565</v>
      </c>
      <c r="B1742" s="190">
        <v>45871</v>
      </c>
      <c r="C1742" s="260" t="s">
        <v>752</v>
      </c>
      <c r="D1742" s="197">
        <v>100</v>
      </c>
      <c r="E1742" s="197">
        <v>20020</v>
      </c>
      <c r="F1742" s="197">
        <v>178</v>
      </c>
      <c r="G1742" s="190">
        <v>45870</v>
      </c>
      <c r="H1742" s="196">
        <v>1</v>
      </c>
      <c r="I1742" s="197">
        <v>17800</v>
      </c>
      <c r="J1742" s="197">
        <v>17800</v>
      </c>
      <c r="K1742" s="197">
        <v>0</v>
      </c>
      <c r="L1742" s="197">
        <v>-2220</v>
      </c>
      <c r="M1742" s="260" t="s">
        <v>239</v>
      </c>
      <c r="N1742" s="260" t="s">
        <v>514</v>
      </c>
    </row>
    <row r="1743" spans="1:14" ht="14.5" x14ac:dyDescent="0.35">
      <c r="A1743" s="260" t="s">
        <v>565</v>
      </c>
      <c r="B1743" s="190">
        <v>45871</v>
      </c>
      <c r="C1743" s="260" t="s">
        <v>754</v>
      </c>
      <c r="D1743" s="197">
        <v>50</v>
      </c>
      <c r="E1743" s="197">
        <v>4104</v>
      </c>
      <c r="F1743" s="197">
        <v>77</v>
      </c>
      <c r="G1743" s="190">
        <v>45870</v>
      </c>
      <c r="H1743" s="196">
        <v>1</v>
      </c>
      <c r="I1743" s="197">
        <v>3850</v>
      </c>
      <c r="J1743" s="197">
        <v>3850</v>
      </c>
      <c r="K1743" s="197">
        <v>0</v>
      </c>
      <c r="L1743" s="197">
        <v>-254</v>
      </c>
      <c r="M1743" s="260" t="s">
        <v>239</v>
      </c>
      <c r="N1743" s="260" t="s">
        <v>514</v>
      </c>
    </row>
    <row r="1744" spans="1:14" ht="14.5" x14ac:dyDescent="0.35">
      <c r="A1744" s="260" t="s">
        <v>565</v>
      </c>
      <c r="B1744" s="190">
        <v>45872</v>
      </c>
      <c r="C1744" s="260" t="s">
        <v>749</v>
      </c>
      <c r="D1744" s="197">
        <v>160</v>
      </c>
      <c r="E1744" s="197">
        <v>8008</v>
      </c>
      <c r="F1744" s="197">
        <v>52</v>
      </c>
      <c r="G1744" s="190">
        <v>45870</v>
      </c>
      <c r="H1744" s="196">
        <v>2</v>
      </c>
      <c r="I1744" s="197">
        <v>8320</v>
      </c>
      <c r="J1744" s="197">
        <v>8320</v>
      </c>
      <c r="K1744" s="197">
        <v>0</v>
      </c>
      <c r="L1744" s="197">
        <v>312</v>
      </c>
      <c r="M1744" s="260" t="s">
        <v>239</v>
      </c>
      <c r="N1744" s="260" t="s">
        <v>514</v>
      </c>
    </row>
    <row r="1745" spans="1:14" ht="14.5" x14ac:dyDescent="0.35">
      <c r="A1745" s="260" t="s">
        <v>565</v>
      </c>
      <c r="B1745" s="190">
        <v>45872</v>
      </c>
      <c r="C1745" s="260" t="s">
        <v>752</v>
      </c>
      <c r="D1745" s="197">
        <v>100</v>
      </c>
      <c r="E1745" s="197">
        <v>20020</v>
      </c>
      <c r="F1745" s="197">
        <v>178</v>
      </c>
      <c r="G1745" s="190">
        <v>45870</v>
      </c>
      <c r="H1745" s="196">
        <v>2</v>
      </c>
      <c r="I1745" s="197">
        <v>17800</v>
      </c>
      <c r="J1745" s="197">
        <v>17800</v>
      </c>
      <c r="K1745" s="197">
        <v>0</v>
      </c>
      <c r="L1745" s="197">
        <v>-2220</v>
      </c>
      <c r="M1745" s="260" t="s">
        <v>239</v>
      </c>
      <c r="N1745" s="260" t="s">
        <v>514</v>
      </c>
    </row>
    <row r="1746" spans="1:14" ht="14.5" x14ac:dyDescent="0.35">
      <c r="A1746" s="260" t="s">
        <v>565</v>
      </c>
      <c r="B1746" s="190">
        <v>45872</v>
      </c>
      <c r="C1746" s="260" t="s">
        <v>754</v>
      </c>
      <c r="D1746" s="197">
        <v>50</v>
      </c>
      <c r="E1746" s="197">
        <v>4104</v>
      </c>
      <c r="F1746" s="197">
        <v>77</v>
      </c>
      <c r="G1746" s="190">
        <v>45870</v>
      </c>
      <c r="H1746" s="196">
        <v>2</v>
      </c>
      <c r="I1746" s="197">
        <v>3850</v>
      </c>
      <c r="J1746" s="197">
        <v>3850</v>
      </c>
      <c r="K1746" s="197">
        <v>0</v>
      </c>
      <c r="L1746" s="197">
        <v>-254</v>
      </c>
      <c r="M1746" s="260" t="s">
        <v>239</v>
      </c>
      <c r="N1746" s="260" t="s">
        <v>514</v>
      </c>
    </row>
    <row r="1747" spans="1:14" ht="14.5" x14ac:dyDescent="0.35">
      <c r="A1747" s="260" t="s">
        <v>565</v>
      </c>
      <c r="B1747" s="190">
        <v>45873</v>
      </c>
      <c r="C1747" s="260" t="s">
        <v>749</v>
      </c>
      <c r="D1747" s="197">
        <v>160</v>
      </c>
      <c r="E1747" s="197">
        <v>8008</v>
      </c>
      <c r="F1747" s="197">
        <v>51.7</v>
      </c>
      <c r="G1747" s="190">
        <v>45873</v>
      </c>
      <c r="H1747" s="196">
        <v>0</v>
      </c>
      <c r="I1747" s="197">
        <v>8272</v>
      </c>
      <c r="J1747" s="197">
        <v>8272</v>
      </c>
      <c r="K1747" s="197">
        <v>0</v>
      </c>
      <c r="L1747" s="197">
        <v>264</v>
      </c>
      <c r="M1747" s="260" t="s">
        <v>239</v>
      </c>
      <c r="N1747" s="260" t="s">
        <v>514</v>
      </c>
    </row>
    <row r="1748" spans="1:14" ht="14.5" x14ac:dyDescent="0.35">
      <c r="A1748" s="260" t="s">
        <v>565</v>
      </c>
      <c r="B1748" s="190">
        <v>45873</v>
      </c>
      <c r="C1748" s="260" t="s">
        <v>752</v>
      </c>
      <c r="D1748" s="197">
        <v>100</v>
      </c>
      <c r="E1748" s="197">
        <v>20020</v>
      </c>
      <c r="F1748" s="197">
        <v>179.1</v>
      </c>
      <c r="G1748" s="190">
        <v>45873</v>
      </c>
      <c r="H1748" s="196">
        <v>0</v>
      </c>
      <c r="I1748" s="197">
        <v>17910</v>
      </c>
      <c r="J1748" s="197">
        <v>17910</v>
      </c>
      <c r="K1748" s="197">
        <v>0</v>
      </c>
      <c r="L1748" s="197">
        <v>-2110</v>
      </c>
      <c r="M1748" s="260" t="s">
        <v>239</v>
      </c>
      <c r="N1748" s="260" t="s">
        <v>514</v>
      </c>
    </row>
    <row r="1749" spans="1:14" ht="14.5" x14ac:dyDescent="0.35">
      <c r="A1749" s="260" t="s">
        <v>565</v>
      </c>
      <c r="B1749" s="190">
        <v>45873</v>
      </c>
      <c r="C1749" s="260" t="s">
        <v>754</v>
      </c>
      <c r="D1749" s="197">
        <v>50</v>
      </c>
      <c r="E1749" s="197">
        <v>4104</v>
      </c>
      <c r="F1749" s="197">
        <v>77.900000000000006</v>
      </c>
      <c r="G1749" s="190">
        <v>45873</v>
      </c>
      <c r="H1749" s="196">
        <v>0</v>
      </c>
      <c r="I1749" s="197">
        <v>3895.0000000000005</v>
      </c>
      <c r="J1749" s="197">
        <v>3895.0000000000005</v>
      </c>
      <c r="K1749" s="197">
        <v>0</v>
      </c>
      <c r="L1749" s="197">
        <v>-208.99999999999955</v>
      </c>
      <c r="M1749" s="260" t="s">
        <v>239</v>
      </c>
      <c r="N1749" s="260" t="s">
        <v>514</v>
      </c>
    </row>
    <row r="1750" spans="1:14" ht="14.5" x14ac:dyDescent="0.35">
      <c r="A1750" s="260" t="s">
        <v>565</v>
      </c>
      <c r="B1750" s="190">
        <v>45874</v>
      </c>
      <c r="C1750" s="260" t="s">
        <v>749</v>
      </c>
      <c r="D1750" s="197">
        <v>160</v>
      </c>
      <c r="E1750" s="197">
        <v>8008</v>
      </c>
      <c r="F1750" s="197">
        <v>51.6</v>
      </c>
      <c r="G1750" s="190">
        <v>45874</v>
      </c>
      <c r="H1750" s="196">
        <v>0</v>
      </c>
      <c r="I1750" s="197">
        <v>8256</v>
      </c>
      <c r="J1750" s="197">
        <v>8256</v>
      </c>
      <c r="K1750" s="197">
        <v>0</v>
      </c>
      <c r="L1750" s="197">
        <v>248</v>
      </c>
      <c r="M1750" s="260" t="s">
        <v>239</v>
      </c>
      <c r="N1750" s="260" t="s">
        <v>514</v>
      </c>
    </row>
    <row r="1751" spans="1:14" ht="14.5" x14ac:dyDescent="0.35">
      <c r="A1751" s="260" t="s">
        <v>565</v>
      </c>
      <c r="B1751" s="190">
        <v>45874</v>
      </c>
      <c r="C1751" s="260" t="s">
        <v>752</v>
      </c>
      <c r="D1751" s="197">
        <v>100</v>
      </c>
      <c r="E1751" s="197">
        <v>20020</v>
      </c>
      <c r="F1751" s="197">
        <v>179.47</v>
      </c>
      <c r="G1751" s="190">
        <v>45874</v>
      </c>
      <c r="H1751" s="196">
        <v>0</v>
      </c>
      <c r="I1751" s="197">
        <v>17947</v>
      </c>
      <c r="J1751" s="197">
        <v>17947</v>
      </c>
      <c r="K1751" s="197">
        <v>0</v>
      </c>
      <c r="L1751" s="197">
        <v>-2073</v>
      </c>
      <c r="M1751" s="260" t="s">
        <v>239</v>
      </c>
      <c r="N1751" s="260" t="s">
        <v>514</v>
      </c>
    </row>
    <row r="1752" spans="1:14" ht="14.5" x14ac:dyDescent="0.35">
      <c r="A1752" s="260" t="s">
        <v>565</v>
      </c>
      <c r="B1752" s="190">
        <v>45874</v>
      </c>
      <c r="C1752" s="260" t="s">
        <v>754</v>
      </c>
      <c r="D1752" s="197">
        <v>50</v>
      </c>
      <c r="E1752" s="197">
        <v>4104</v>
      </c>
      <c r="F1752" s="197">
        <v>78.2</v>
      </c>
      <c r="G1752" s="190">
        <v>45874</v>
      </c>
      <c r="H1752" s="196">
        <v>0</v>
      </c>
      <c r="I1752" s="197">
        <v>3910</v>
      </c>
      <c r="J1752" s="197">
        <v>3910</v>
      </c>
      <c r="K1752" s="197">
        <v>0</v>
      </c>
      <c r="L1752" s="197">
        <v>-194</v>
      </c>
      <c r="M1752" s="260" t="s">
        <v>239</v>
      </c>
      <c r="N1752" s="260" t="s">
        <v>514</v>
      </c>
    </row>
    <row r="1753" spans="1:14" ht="14.5" x14ac:dyDescent="0.35">
      <c r="A1753" s="260" t="s">
        <v>565</v>
      </c>
      <c r="B1753" s="190">
        <v>45875</v>
      </c>
      <c r="C1753" s="260" t="s">
        <v>749</v>
      </c>
      <c r="D1753" s="197">
        <v>160</v>
      </c>
      <c r="E1753" s="197">
        <v>8008</v>
      </c>
      <c r="F1753" s="197">
        <v>51.5</v>
      </c>
      <c r="G1753" s="190">
        <v>45875</v>
      </c>
      <c r="H1753" s="196">
        <v>0</v>
      </c>
      <c r="I1753" s="197">
        <v>8240</v>
      </c>
      <c r="J1753" s="197">
        <v>8240</v>
      </c>
      <c r="K1753" s="197">
        <v>0</v>
      </c>
      <c r="L1753" s="197">
        <v>232</v>
      </c>
      <c r="M1753" s="260" t="s">
        <v>239</v>
      </c>
      <c r="N1753" s="260" t="s">
        <v>514</v>
      </c>
    </row>
    <row r="1754" spans="1:14" ht="14.5" x14ac:dyDescent="0.35">
      <c r="A1754" s="260" t="s">
        <v>565</v>
      </c>
      <c r="B1754" s="190">
        <v>45875</v>
      </c>
      <c r="C1754" s="260" t="s">
        <v>752</v>
      </c>
      <c r="D1754" s="197">
        <v>100</v>
      </c>
      <c r="E1754" s="197">
        <v>20020</v>
      </c>
      <c r="F1754" s="197">
        <v>179.83</v>
      </c>
      <c r="G1754" s="190">
        <v>45875</v>
      </c>
      <c r="H1754" s="196">
        <v>0</v>
      </c>
      <c r="I1754" s="197">
        <v>17983</v>
      </c>
      <c r="J1754" s="197">
        <v>17983</v>
      </c>
      <c r="K1754" s="197">
        <v>0</v>
      </c>
      <c r="L1754" s="197">
        <v>-2037</v>
      </c>
      <c r="M1754" s="260" t="s">
        <v>239</v>
      </c>
      <c r="N1754" s="260" t="s">
        <v>514</v>
      </c>
    </row>
    <row r="1755" spans="1:14" ht="14.5" x14ac:dyDescent="0.35">
      <c r="A1755" s="260" t="s">
        <v>565</v>
      </c>
      <c r="B1755" s="190">
        <v>45875</v>
      </c>
      <c r="C1755" s="260" t="s">
        <v>754</v>
      </c>
      <c r="D1755" s="197">
        <v>50</v>
      </c>
      <c r="E1755" s="197">
        <v>4104</v>
      </c>
      <c r="F1755" s="197">
        <v>78.5</v>
      </c>
      <c r="G1755" s="190">
        <v>45875</v>
      </c>
      <c r="H1755" s="196">
        <v>0</v>
      </c>
      <c r="I1755" s="197">
        <v>3925</v>
      </c>
      <c r="J1755" s="197">
        <v>3925</v>
      </c>
      <c r="K1755" s="197">
        <v>0</v>
      </c>
      <c r="L1755" s="197">
        <v>-179</v>
      </c>
      <c r="M1755" s="260" t="s">
        <v>239</v>
      </c>
      <c r="N1755" s="260" t="s">
        <v>514</v>
      </c>
    </row>
    <row r="1756" spans="1:14" ht="14.5" x14ac:dyDescent="0.35">
      <c r="A1756" s="260" t="s">
        <v>565</v>
      </c>
      <c r="B1756" s="190">
        <v>45876</v>
      </c>
      <c r="C1756" s="260" t="s">
        <v>749</v>
      </c>
      <c r="D1756" s="197">
        <v>160</v>
      </c>
      <c r="E1756" s="197">
        <v>8008</v>
      </c>
      <c r="F1756" s="197">
        <v>51.4</v>
      </c>
      <c r="G1756" s="190">
        <v>45876</v>
      </c>
      <c r="H1756" s="196">
        <v>0</v>
      </c>
      <c r="I1756" s="197">
        <v>8224</v>
      </c>
      <c r="J1756" s="197">
        <v>8224</v>
      </c>
      <c r="K1756" s="197">
        <v>0</v>
      </c>
      <c r="L1756" s="197">
        <v>216</v>
      </c>
      <c r="M1756" s="260" t="s">
        <v>239</v>
      </c>
      <c r="N1756" s="260" t="s">
        <v>514</v>
      </c>
    </row>
    <row r="1757" spans="1:14" ht="14.5" x14ac:dyDescent="0.35">
      <c r="A1757" s="260" t="s">
        <v>565</v>
      </c>
      <c r="B1757" s="190">
        <v>45876</v>
      </c>
      <c r="C1757" s="260" t="s">
        <v>752</v>
      </c>
      <c r="D1757" s="197">
        <v>100</v>
      </c>
      <c r="E1757" s="197">
        <v>20020</v>
      </c>
      <c r="F1757" s="197">
        <v>180.2</v>
      </c>
      <c r="G1757" s="190">
        <v>45876</v>
      </c>
      <c r="H1757" s="196">
        <v>0</v>
      </c>
      <c r="I1757" s="197">
        <v>18020</v>
      </c>
      <c r="J1757" s="197">
        <v>18020</v>
      </c>
      <c r="K1757" s="197">
        <v>0</v>
      </c>
      <c r="L1757" s="197">
        <v>-2000</v>
      </c>
      <c r="M1757" s="260" t="s">
        <v>239</v>
      </c>
      <c r="N1757" s="260" t="s">
        <v>514</v>
      </c>
    </row>
    <row r="1758" spans="1:14" ht="14.5" x14ac:dyDescent="0.35">
      <c r="A1758" s="260" t="s">
        <v>565</v>
      </c>
      <c r="B1758" s="190">
        <v>45876</v>
      </c>
      <c r="C1758" s="260" t="s">
        <v>754</v>
      </c>
      <c r="D1758" s="197">
        <v>50</v>
      </c>
      <c r="E1758" s="197">
        <v>4104</v>
      </c>
      <c r="F1758" s="197">
        <v>78.8</v>
      </c>
      <c r="G1758" s="190">
        <v>45876</v>
      </c>
      <c r="H1758" s="196">
        <v>0</v>
      </c>
      <c r="I1758" s="197">
        <v>3940</v>
      </c>
      <c r="J1758" s="197">
        <v>3940</v>
      </c>
      <c r="K1758" s="197">
        <v>0</v>
      </c>
      <c r="L1758" s="197">
        <v>-164</v>
      </c>
      <c r="M1758" s="260" t="s">
        <v>239</v>
      </c>
      <c r="N1758" s="260" t="s">
        <v>514</v>
      </c>
    </row>
    <row r="1759" spans="1:14" ht="14.5" x14ac:dyDescent="0.35">
      <c r="A1759" s="260" t="s">
        <v>565</v>
      </c>
      <c r="B1759" s="190">
        <v>45877</v>
      </c>
      <c r="C1759" s="260" t="s">
        <v>749</v>
      </c>
      <c r="D1759" s="197">
        <v>160</v>
      </c>
      <c r="E1759" s="197">
        <v>8008</v>
      </c>
      <c r="F1759" s="197">
        <v>51.3</v>
      </c>
      <c r="G1759" s="190">
        <v>45877</v>
      </c>
      <c r="H1759" s="196">
        <v>0</v>
      </c>
      <c r="I1759" s="197">
        <v>8208</v>
      </c>
      <c r="J1759" s="197">
        <v>8208</v>
      </c>
      <c r="K1759" s="197">
        <v>0</v>
      </c>
      <c r="L1759" s="197">
        <v>200</v>
      </c>
      <c r="M1759" s="260" t="s">
        <v>239</v>
      </c>
      <c r="N1759" s="260" t="s">
        <v>514</v>
      </c>
    </row>
    <row r="1760" spans="1:14" ht="14.5" x14ac:dyDescent="0.35">
      <c r="A1760" s="260" t="s">
        <v>565</v>
      </c>
      <c r="B1760" s="190">
        <v>45877</v>
      </c>
      <c r="C1760" s="260" t="s">
        <v>752</v>
      </c>
      <c r="D1760" s="197">
        <v>100</v>
      </c>
      <c r="E1760" s="197">
        <v>20020</v>
      </c>
      <c r="F1760" s="197">
        <v>180.57</v>
      </c>
      <c r="G1760" s="190">
        <v>45877</v>
      </c>
      <c r="H1760" s="196">
        <v>0</v>
      </c>
      <c r="I1760" s="197">
        <v>18057</v>
      </c>
      <c r="J1760" s="197">
        <v>18057</v>
      </c>
      <c r="K1760" s="197">
        <v>0</v>
      </c>
      <c r="L1760" s="197">
        <v>-1963</v>
      </c>
      <c r="M1760" s="260" t="s">
        <v>239</v>
      </c>
      <c r="N1760" s="260" t="s">
        <v>514</v>
      </c>
    </row>
    <row r="1761" spans="1:14" ht="14.5" x14ac:dyDescent="0.35">
      <c r="A1761" s="260" t="s">
        <v>565</v>
      </c>
      <c r="B1761" s="190">
        <v>45877</v>
      </c>
      <c r="C1761" s="260" t="s">
        <v>754</v>
      </c>
      <c r="D1761" s="197">
        <v>50</v>
      </c>
      <c r="E1761" s="197">
        <v>4104</v>
      </c>
      <c r="F1761" s="197">
        <v>79.099999999999994</v>
      </c>
      <c r="G1761" s="190">
        <v>45877</v>
      </c>
      <c r="H1761" s="196">
        <v>0</v>
      </c>
      <c r="I1761" s="197">
        <v>3954.9999999999995</v>
      </c>
      <c r="J1761" s="197">
        <v>3954.9999999999995</v>
      </c>
      <c r="K1761" s="197">
        <v>0</v>
      </c>
      <c r="L1761" s="197">
        <v>-149.00000000000045</v>
      </c>
      <c r="M1761" s="260" t="s">
        <v>239</v>
      </c>
      <c r="N1761" s="260" t="s">
        <v>514</v>
      </c>
    </row>
    <row r="1762" spans="1:14" ht="14.5" x14ac:dyDescent="0.35">
      <c r="A1762" s="260" t="s">
        <v>565</v>
      </c>
      <c r="B1762" s="190">
        <v>45878</v>
      </c>
      <c r="C1762" s="260" t="s">
        <v>749</v>
      </c>
      <c r="D1762" s="197">
        <v>160</v>
      </c>
      <c r="E1762" s="197">
        <v>8008</v>
      </c>
      <c r="F1762" s="197">
        <v>51.3</v>
      </c>
      <c r="G1762" s="190">
        <v>45877</v>
      </c>
      <c r="H1762" s="196">
        <v>1</v>
      </c>
      <c r="I1762" s="197">
        <v>8208</v>
      </c>
      <c r="J1762" s="197">
        <v>8208</v>
      </c>
      <c r="K1762" s="197">
        <v>0</v>
      </c>
      <c r="L1762" s="197">
        <v>200</v>
      </c>
      <c r="M1762" s="260" t="s">
        <v>239</v>
      </c>
      <c r="N1762" s="260" t="s">
        <v>514</v>
      </c>
    </row>
    <row r="1763" spans="1:14" ht="14.5" x14ac:dyDescent="0.35">
      <c r="A1763" s="260" t="s">
        <v>565</v>
      </c>
      <c r="B1763" s="190">
        <v>45878</v>
      </c>
      <c r="C1763" s="260" t="s">
        <v>752</v>
      </c>
      <c r="D1763" s="197">
        <v>100</v>
      </c>
      <c r="E1763" s="197">
        <v>20020</v>
      </c>
      <c r="F1763" s="197">
        <v>180.57</v>
      </c>
      <c r="G1763" s="190">
        <v>45877</v>
      </c>
      <c r="H1763" s="196">
        <v>1</v>
      </c>
      <c r="I1763" s="197">
        <v>18057</v>
      </c>
      <c r="J1763" s="197">
        <v>18057</v>
      </c>
      <c r="K1763" s="197">
        <v>0</v>
      </c>
      <c r="L1763" s="197">
        <v>-1963</v>
      </c>
      <c r="M1763" s="260" t="s">
        <v>239</v>
      </c>
      <c r="N1763" s="260" t="s">
        <v>514</v>
      </c>
    </row>
    <row r="1764" spans="1:14" ht="14.5" x14ac:dyDescent="0.35">
      <c r="A1764" s="260" t="s">
        <v>565</v>
      </c>
      <c r="B1764" s="190">
        <v>45878</v>
      </c>
      <c r="C1764" s="260" t="s">
        <v>754</v>
      </c>
      <c r="D1764" s="197">
        <v>50</v>
      </c>
      <c r="E1764" s="197">
        <v>4104</v>
      </c>
      <c r="F1764" s="197">
        <v>79.099999999999994</v>
      </c>
      <c r="G1764" s="190">
        <v>45877</v>
      </c>
      <c r="H1764" s="196">
        <v>1</v>
      </c>
      <c r="I1764" s="197">
        <v>3954.9999999999995</v>
      </c>
      <c r="J1764" s="197">
        <v>3954.9999999999995</v>
      </c>
      <c r="K1764" s="197">
        <v>0</v>
      </c>
      <c r="L1764" s="197">
        <v>-149.00000000000045</v>
      </c>
      <c r="M1764" s="260" t="s">
        <v>239</v>
      </c>
      <c r="N1764" s="260" t="s">
        <v>514</v>
      </c>
    </row>
    <row r="1765" spans="1:14" ht="14.5" x14ac:dyDescent="0.35">
      <c r="A1765" s="260" t="s">
        <v>565</v>
      </c>
      <c r="B1765" s="190">
        <v>45879</v>
      </c>
      <c r="C1765" s="260" t="s">
        <v>749</v>
      </c>
      <c r="D1765" s="197">
        <v>160</v>
      </c>
      <c r="E1765" s="197">
        <v>8008</v>
      </c>
      <c r="F1765" s="197">
        <v>51.3</v>
      </c>
      <c r="G1765" s="190">
        <v>45877</v>
      </c>
      <c r="H1765" s="196">
        <v>2</v>
      </c>
      <c r="I1765" s="197">
        <v>8208</v>
      </c>
      <c r="J1765" s="197">
        <v>8208</v>
      </c>
      <c r="K1765" s="197">
        <v>0</v>
      </c>
      <c r="L1765" s="197">
        <v>200</v>
      </c>
      <c r="M1765" s="260" t="s">
        <v>239</v>
      </c>
      <c r="N1765" s="260" t="s">
        <v>514</v>
      </c>
    </row>
    <row r="1766" spans="1:14" ht="14.5" x14ac:dyDescent="0.35">
      <c r="A1766" s="260" t="s">
        <v>565</v>
      </c>
      <c r="B1766" s="190">
        <v>45879</v>
      </c>
      <c r="C1766" s="260" t="s">
        <v>752</v>
      </c>
      <c r="D1766" s="197">
        <v>100</v>
      </c>
      <c r="E1766" s="197">
        <v>20020</v>
      </c>
      <c r="F1766" s="197">
        <v>180.57</v>
      </c>
      <c r="G1766" s="190">
        <v>45877</v>
      </c>
      <c r="H1766" s="196">
        <v>2</v>
      </c>
      <c r="I1766" s="197">
        <v>18057</v>
      </c>
      <c r="J1766" s="197">
        <v>18057</v>
      </c>
      <c r="K1766" s="197">
        <v>0</v>
      </c>
      <c r="L1766" s="197">
        <v>-1963</v>
      </c>
      <c r="M1766" s="260" t="s">
        <v>239</v>
      </c>
      <c r="N1766" s="260" t="s">
        <v>514</v>
      </c>
    </row>
    <row r="1767" spans="1:14" ht="14.5" x14ac:dyDescent="0.35">
      <c r="A1767" s="260" t="s">
        <v>565</v>
      </c>
      <c r="B1767" s="190">
        <v>45879</v>
      </c>
      <c r="C1767" s="260" t="s">
        <v>754</v>
      </c>
      <c r="D1767" s="197">
        <v>50</v>
      </c>
      <c r="E1767" s="197">
        <v>4104</v>
      </c>
      <c r="F1767" s="197">
        <v>79.099999999999994</v>
      </c>
      <c r="G1767" s="190">
        <v>45877</v>
      </c>
      <c r="H1767" s="196">
        <v>2</v>
      </c>
      <c r="I1767" s="197">
        <v>3954.9999999999995</v>
      </c>
      <c r="J1767" s="197">
        <v>3954.9999999999995</v>
      </c>
      <c r="K1767" s="197">
        <v>0</v>
      </c>
      <c r="L1767" s="197">
        <v>-149.00000000000045</v>
      </c>
      <c r="M1767" s="260" t="s">
        <v>239</v>
      </c>
      <c r="N1767" s="260" t="s">
        <v>514</v>
      </c>
    </row>
    <row r="1768" spans="1:14" ht="14.5" x14ac:dyDescent="0.35">
      <c r="A1768" s="260" t="s">
        <v>565</v>
      </c>
      <c r="B1768" s="190">
        <v>45880</v>
      </c>
      <c r="C1768" s="260" t="s">
        <v>749</v>
      </c>
      <c r="D1768" s="197">
        <v>160</v>
      </c>
      <c r="E1768" s="197">
        <v>8008</v>
      </c>
      <c r="F1768" s="197">
        <v>51</v>
      </c>
      <c r="G1768" s="190">
        <v>45880</v>
      </c>
      <c r="H1768" s="196">
        <v>0</v>
      </c>
      <c r="I1768" s="197">
        <v>8160</v>
      </c>
      <c r="J1768" s="197">
        <v>8160</v>
      </c>
      <c r="K1768" s="197">
        <v>0</v>
      </c>
      <c r="L1768" s="197">
        <v>152</v>
      </c>
      <c r="M1768" s="260" t="s">
        <v>239</v>
      </c>
      <c r="N1768" s="260" t="s">
        <v>514</v>
      </c>
    </row>
    <row r="1769" spans="1:14" ht="14.5" x14ac:dyDescent="0.35">
      <c r="A1769" s="260" t="s">
        <v>565</v>
      </c>
      <c r="B1769" s="190">
        <v>45880</v>
      </c>
      <c r="C1769" s="260" t="s">
        <v>752</v>
      </c>
      <c r="D1769" s="197">
        <v>100</v>
      </c>
      <c r="E1769" s="197">
        <v>20020</v>
      </c>
      <c r="F1769" s="197">
        <v>181.67</v>
      </c>
      <c r="G1769" s="190">
        <v>45880</v>
      </c>
      <c r="H1769" s="196">
        <v>0</v>
      </c>
      <c r="I1769" s="197">
        <v>18167</v>
      </c>
      <c r="J1769" s="197">
        <v>18167</v>
      </c>
      <c r="K1769" s="197">
        <v>0</v>
      </c>
      <c r="L1769" s="197">
        <v>-1853</v>
      </c>
      <c r="M1769" s="260" t="s">
        <v>239</v>
      </c>
      <c r="N1769" s="260" t="s">
        <v>514</v>
      </c>
    </row>
    <row r="1770" spans="1:14" ht="14.5" x14ac:dyDescent="0.35">
      <c r="A1770" s="260" t="s">
        <v>565</v>
      </c>
      <c r="B1770" s="190">
        <v>45880</v>
      </c>
      <c r="C1770" s="260" t="s">
        <v>754</v>
      </c>
      <c r="D1770" s="197">
        <v>50</v>
      </c>
      <c r="E1770" s="197">
        <v>4104</v>
      </c>
      <c r="F1770" s="197">
        <v>80</v>
      </c>
      <c r="G1770" s="190">
        <v>45880</v>
      </c>
      <c r="H1770" s="196">
        <v>0</v>
      </c>
      <c r="I1770" s="197">
        <v>4000</v>
      </c>
      <c r="J1770" s="197">
        <v>4000</v>
      </c>
      <c r="K1770" s="197">
        <v>0</v>
      </c>
      <c r="L1770" s="197">
        <v>-104</v>
      </c>
      <c r="M1770" s="260" t="s">
        <v>239</v>
      </c>
      <c r="N1770" s="260" t="s">
        <v>514</v>
      </c>
    </row>
    <row r="1771" spans="1:14" ht="14.5" x14ac:dyDescent="0.35">
      <c r="A1771" s="260" t="s">
        <v>565</v>
      </c>
      <c r="B1771" s="190">
        <v>45881</v>
      </c>
      <c r="C1771" s="260" t="s">
        <v>749</v>
      </c>
      <c r="D1771" s="197">
        <v>160</v>
      </c>
      <c r="E1771" s="197">
        <v>8008</v>
      </c>
      <c r="F1771" s="197">
        <v>50.9</v>
      </c>
      <c r="G1771" s="190">
        <v>45881</v>
      </c>
      <c r="H1771" s="196">
        <v>0</v>
      </c>
      <c r="I1771" s="197">
        <v>8144</v>
      </c>
      <c r="J1771" s="197">
        <v>8144</v>
      </c>
      <c r="K1771" s="197">
        <v>0</v>
      </c>
      <c r="L1771" s="197">
        <v>136</v>
      </c>
      <c r="M1771" s="260" t="s">
        <v>239</v>
      </c>
      <c r="N1771" s="260" t="s">
        <v>514</v>
      </c>
    </row>
    <row r="1772" spans="1:14" ht="14.5" x14ac:dyDescent="0.35">
      <c r="A1772" s="260" t="s">
        <v>565</v>
      </c>
      <c r="B1772" s="190">
        <v>45881</v>
      </c>
      <c r="C1772" s="260" t="s">
        <v>752</v>
      </c>
      <c r="D1772" s="197">
        <v>100</v>
      </c>
      <c r="E1772" s="197">
        <v>20020</v>
      </c>
      <c r="F1772" s="197">
        <v>182.03</v>
      </c>
      <c r="G1772" s="190">
        <v>45881</v>
      </c>
      <c r="H1772" s="196">
        <v>0</v>
      </c>
      <c r="I1772" s="197">
        <v>18203</v>
      </c>
      <c r="J1772" s="197">
        <v>18203</v>
      </c>
      <c r="K1772" s="197">
        <v>0</v>
      </c>
      <c r="L1772" s="197">
        <v>-1817</v>
      </c>
      <c r="M1772" s="260" t="s">
        <v>239</v>
      </c>
      <c r="N1772" s="260" t="s">
        <v>514</v>
      </c>
    </row>
    <row r="1773" spans="1:14" ht="14.5" x14ac:dyDescent="0.35">
      <c r="A1773" s="260" t="s">
        <v>565</v>
      </c>
      <c r="B1773" s="190">
        <v>45881</v>
      </c>
      <c r="C1773" s="260" t="s">
        <v>754</v>
      </c>
      <c r="D1773" s="197">
        <v>50</v>
      </c>
      <c r="E1773" s="197">
        <v>4104</v>
      </c>
      <c r="F1773" s="197">
        <v>80.3</v>
      </c>
      <c r="G1773" s="190">
        <v>45881</v>
      </c>
      <c r="H1773" s="196">
        <v>0</v>
      </c>
      <c r="I1773" s="197">
        <v>4015</v>
      </c>
      <c r="J1773" s="197">
        <v>4015</v>
      </c>
      <c r="K1773" s="197">
        <v>0</v>
      </c>
      <c r="L1773" s="197">
        <v>-89</v>
      </c>
      <c r="M1773" s="260" t="s">
        <v>239</v>
      </c>
      <c r="N1773" s="260" t="s">
        <v>514</v>
      </c>
    </row>
    <row r="1774" spans="1:14" ht="14.5" x14ac:dyDescent="0.35">
      <c r="A1774" s="260" t="s">
        <v>565</v>
      </c>
      <c r="B1774" s="190">
        <v>45882</v>
      </c>
      <c r="C1774" s="260" t="s">
        <v>749</v>
      </c>
      <c r="D1774" s="197">
        <v>160</v>
      </c>
      <c r="E1774" s="197">
        <v>8008</v>
      </c>
      <c r="F1774" s="197">
        <v>50.8</v>
      </c>
      <c r="G1774" s="190">
        <v>45882</v>
      </c>
      <c r="H1774" s="196">
        <v>0</v>
      </c>
      <c r="I1774" s="197">
        <v>8128</v>
      </c>
      <c r="J1774" s="197">
        <v>8128</v>
      </c>
      <c r="K1774" s="197">
        <v>0</v>
      </c>
      <c r="L1774" s="197">
        <v>120</v>
      </c>
      <c r="M1774" s="260" t="s">
        <v>239</v>
      </c>
      <c r="N1774" s="260" t="s">
        <v>514</v>
      </c>
    </row>
    <row r="1775" spans="1:14" ht="14.5" x14ac:dyDescent="0.35">
      <c r="A1775" s="260" t="s">
        <v>565</v>
      </c>
      <c r="B1775" s="190">
        <v>45882</v>
      </c>
      <c r="C1775" s="260" t="s">
        <v>752</v>
      </c>
      <c r="D1775" s="197">
        <v>100</v>
      </c>
      <c r="E1775" s="197">
        <v>20020</v>
      </c>
      <c r="F1775" s="197">
        <v>182.4</v>
      </c>
      <c r="G1775" s="190">
        <v>45882</v>
      </c>
      <c r="H1775" s="196">
        <v>0</v>
      </c>
      <c r="I1775" s="197">
        <v>18240</v>
      </c>
      <c r="J1775" s="197">
        <v>18240</v>
      </c>
      <c r="K1775" s="197">
        <v>0</v>
      </c>
      <c r="L1775" s="197">
        <v>-1780</v>
      </c>
      <c r="M1775" s="260" t="s">
        <v>239</v>
      </c>
      <c r="N1775" s="260" t="s">
        <v>514</v>
      </c>
    </row>
    <row r="1776" spans="1:14" ht="14.5" x14ac:dyDescent="0.35">
      <c r="A1776" s="260" t="s">
        <v>565</v>
      </c>
      <c r="B1776" s="190">
        <v>45882</v>
      </c>
      <c r="C1776" s="260" t="s">
        <v>754</v>
      </c>
      <c r="D1776" s="197">
        <v>50</v>
      </c>
      <c r="E1776" s="197">
        <v>4104</v>
      </c>
      <c r="F1776" s="197">
        <v>80.599999999999994</v>
      </c>
      <c r="G1776" s="190">
        <v>45882</v>
      </c>
      <c r="H1776" s="196">
        <v>0</v>
      </c>
      <c r="I1776" s="197">
        <v>4029.9999999999995</v>
      </c>
      <c r="J1776" s="197">
        <v>4029.9999999999995</v>
      </c>
      <c r="K1776" s="197">
        <v>0</v>
      </c>
      <c r="L1776" s="197">
        <v>-74.000000000000455</v>
      </c>
      <c r="M1776" s="260" t="s">
        <v>239</v>
      </c>
      <c r="N1776" s="260" t="s">
        <v>514</v>
      </c>
    </row>
    <row r="1777" spans="1:14" ht="14.5" x14ac:dyDescent="0.35">
      <c r="A1777" s="260" t="s">
        <v>565</v>
      </c>
      <c r="B1777" s="190">
        <v>45883</v>
      </c>
      <c r="C1777" s="260" t="s">
        <v>749</v>
      </c>
      <c r="D1777" s="197">
        <v>160</v>
      </c>
      <c r="E1777" s="197">
        <v>8008</v>
      </c>
      <c r="F1777" s="197">
        <v>50.7</v>
      </c>
      <c r="G1777" s="190">
        <v>45883</v>
      </c>
      <c r="H1777" s="196">
        <v>0</v>
      </c>
      <c r="I1777" s="197">
        <v>8112</v>
      </c>
      <c r="J1777" s="197">
        <v>8112</v>
      </c>
      <c r="K1777" s="197">
        <v>0</v>
      </c>
      <c r="L1777" s="197">
        <v>104</v>
      </c>
      <c r="M1777" s="260" t="s">
        <v>239</v>
      </c>
      <c r="N1777" s="260" t="s">
        <v>514</v>
      </c>
    </row>
    <row r="1778" spans="1:14" ht="14.5" x14ac:dyDescent="0.35">
      <c r="A1778" s="260" t="s">
        <v>565</v>
      </c>
      <c r="B1778" s="190">
        <v>45883</v>
      </c>
      <c r="C1778" s="260" t="s">
        <v>752</v>
      </c>
      <c r="D1778" s="197">
        <v>100</v>
      </c>
      <c r="E1778" s="197">
        <v>20020</v>
      </c>
      <c r="F1778" s="197">
        <v>182.77</v>
      </c>
      <c r="G1778" s="190">
        <v>45883</v>
      </c>
      <c r="H1778" s="196">
        <v>0</v>
      </c>
      <c r="I1778" s="197">
        <v>18277</v>
      </c>
      <c r="J1778" s="197">
        <v>18277</v>
      </c>
      <c r="K1778" s="197">
        <v>0</v>
      </c>
      <c r="L1778" s="197">
        <v>-1743</v>
      </c>
      <c r="M1778" s="260" t="s">
        <v>239</v>
      </c>
      <c r="N1778" s="260" t="s">
        <v>514</v>
      </c>
    </row>
    <row r="1779" spans="1:14" ht="14.5" x14ac:dyDescent="0.35">
      <c r="A1779" s="260" t="s">
        <v>565</v>
      </c>
      <c r="B1779" s="190">
        <v>45883</v>
      </c>
      <c r="C1779" s="260" t="s">
        <v>754</v>
      </c>
      <c r="D1779" s="197">
        <v>50</v>
      </c>
      <c r="E1779" s="197">
        <v>4104</v>
      </c>
      <c r="F1779" s="197">
        <v>80.900000000000006</v>
      </c>
      <c r="G1779" s="190">
        <v>45883</v>
      </c>
      <c r="H1779" s="196">
        <v>0</v>
      </c>
      <c r="I1779" s="197">
        <v>4045.0000000000005</v>
      </c>
      <c r="J1779" s="197">
        <v>4045.0000000000005</v>
      </c>
      <c r="K1779" s="197">
        <v>0</v>
      </c>
      <c r="L1779" s="197">
        <v>-58.999999999999545</v>
      </c>
      <c r="M1779" s="260" t="s">
        <v>239</v>
      </c>
      <c r="N1779" s="260" t="s">
        <v>514</v>
      </c>
    </row>
    <row r="1780" spans="1:14" ht="14.5" x14ac:dyDescent="0.35">
      <c r="A1780" s="260" t="s">
        <v>565</v>
      </c>
      <c r="B1780" s="190">
        <v>45884</v>
      </c>
      <c r="C1780" s="260" t="s">
        <v>749</v>
      </c>
      <c r="D1780" s="197">
        <v>160</v>
      </c>
      <c r="E1780" s="197">
        <v>8008</v>
      </c>
      <c r="F1780" s="197">
        <v>50.6</v>
      </c>
      <c r="G1780" s="190">
        <v>45884</v>
      </c>
      <c r="H1780" s="196">
        <v>0</v>
      </c>
      <c r="I1780" s="197">
        <v>8096</v>
      </c>
      <c r="J1780" s="197">
        <v>8096</v>
      </c>
      <c r="K1780" s="197">
        <v>0</v>
      </c>
      <c r="L1780" s="197">
        <v>88</v>
      </c>
      <c r="M1780" s="260" t="s">
        <v>239</v>
      </c>
      <c r="N1780" s="260" t="s">
        <v>514</v>
      </c>
    </row>
    <row r="1781" spans="1:14" ht="14.5" x14ac:dyDescent="0.35">
      <c r="A1781" s="260" t="s">
        <v>565</v>
      </c>
      <c r="B1781" s="190">
        <v>45884</v>
      </c>
      <c r="C1781" s="260" t="s">
        <v>752</v>
      </c>
      <c r="D1781" s="197">
        <v>100</v>
      </c>
      <c r="E1781" s="197">
        <v>20020</v>
      </c>
      <c r="F1781" s="197">
        <v>183.13</v>
      </c>
      <c r="G1781" s="190">
        <v>45884</v>
      </c>
      <c r="H1781" s="196">
        <v>0</v>
      </c>
      <c r="I1781" s="197">
        <v>18313</v>
      </c>
      <c r="J1781" s="197">
        <v>18313</v>
      </c>
      <c r="K1781" s="197">
        <v>0</v>
      </c>
      <c r="L1781" s="197">
        <v>-1707</v>
      </c>
      <c r="M1781" s="260" t="s">
        <v>239</v>
      </c>
      <c r="N1781" s="260" t="s">
        <v>514</v>
      </c>
    </row>
    <row r="1782" spans="1:14" ht="14.5" x14ac:dyDescent="0.35">
      <c r="A1782" s="260" t="s">
        <v>565</v>
      </c>
      <c r="B1782" s="190">
        <v>45884</v>
      </c>
      <c r="C1782" s="260" t="s">
        <v>754</v>
      </c>
      <c r="D1782" s="197">
        <v>50</v>
      </c>
      <c r="E1782" s="197">
        <v>4104</v>
      </c>
      <c r="F1782" s="197">
        <v>81.2</v>
      </c>
      <c r="G1782" s="190">
        <v>45884</v>
      </c>
      <c r="H1782" s="196">
        <v>0</v>
      </c>
      <c r="I1782" s="197">
        <v>4060</v>
      </c>
      <c r="J1782" s="197">
        <v>4060</v>
      </c>
      <c r="K1782" s="197">
        <v>0</v>
      </c>
      <c r="L1782" s="197">
        <v>-44</v>
      </c>
      <c r="M1782" s="260" t="s">
        <v>239</v>
      </c>
      <c r="N1782" s="260" t="s">
        <v>514</v>
      </c>
    </row>
    <row r="1783" spans="1:14" ht="14.5" x14ac:dyDescent="0.35">
      <c r="A1783" s="260" t="s">
        <v>565</v>
      </c>
      <c r="B1783" s="190">
        <v>45885</v>
      </c>
      <c r="C1783" s="260" t="s">
        <v>749</v>
      </c>
      <c r="D1783" s="197">
        <v>160</v>
      </c>
      <c r="E1783" s="197">
        <v>8008</v>
      </c>
      <c r="F1783" s="197">
        <v>50.6</v>
      </c>
      <c r="G1783" s="190">
        <v>45884</v>
      </c>
      <c r="H1783" s="196">
        <v>1</v>
      </c>
      <c r="I1783" s="197">
        <v>8096</v>
      </c>
      <c r="J1783" s="197">
        <v>8096</v>
      </c>
      <c r="K1783" s="197">
        <v>0</v>
      </c>
      <c r="L1783" s="197">
        <v>88</v>
      </c>
      <c r="M1783" s="260" t="s">
        <v>239</v>
      </c>
      <c r="N1783" s="260" t="s">
        <v>514</v>
      </c>
    </row>
    <row r="1784" spans="1:14" ht="14.5" x14ac:dyDescent="0.35">
      <c r="A1784" s="260" t="s">
        <v>565</v>
      </c>
      <c r="B1784" s="190">
        <v>45885</v>
      </c>
      <c r="C1784" s="260" t="s">
        <v>752</v>
      </c>
      <c r="D1784" s="197">
        <v>100</v>
      </c>
      <c r="E1784" s="197">
        <v>20020</v>
      </c>
      <c r="F1784" s="197">
        <v>183.13</v>
      </c>
      <c r="G1784" s="190">
        <v>45884</v>
      </c>
      <c r="H1784" s="196">
        <v>1</v>
      </c>
      <c r="I1784" s="197">
        <v>18313</v>
      </c>
      <c r="J1784" s="197">
        <v>18313</v>
      </c>
      <c r="K1784" s="197">
        <v>0</v>
      </c>
      <c r="L1784" s="197">
        <v>-1707</v>
      </c>
      <c r="M1784" s="260" t="s">
        <v>239</v>
      </c>
      <c r="N1784" s="260" t="s">
        <v>514</v>
      </c>
    </row>
    <row r="1785" spans="1:14" ht="14.5" x14ac:dyDescent="0.35">
      <c r="A1785" s="260" t="s">
        <v>565</v>
      </c>
      <c r="B1785" s="190">
        <v>45885</v>
      </c>
      <c r="C1785" s="260" t="s">
        <v>754</v>
      </c>
      <c r="D1785" s="197">
        <v>50</v>
      </c>
      <c r="E1785" s="197">
        <v>4104</v>
      </c>
      <c r="F1785" s="197">
        <v>81.2</v>
      </c>
      <c r="G1785" s="190">
        <v>45884</v>
      </c>
      <c r="H1785" s="196">
        <v>1</v>
      </c>
      <c r="I1785" s="197">
        <v>4060</v>
      </c>
      <c r="J1785" s="197">
        <v>4060</v>
      </c>
      <c r="K1785" s="197">
        <v>0</v>
      </c>
      <c r="L1785" s="197">
        <v>-44</v>
      </c>
      <c r="M1785" s="260" t="s">
        <v>239</v>
      </c>
      <c r="N1785" s="260" t="s">
        <v>514</v>
      </c>
    </row>
    <row r="1786" spans="1:14" ht="14.5" x14ac:dyDescent="0.35">
      <c r="A1786" s="260" t="s">
        <v>565</v>
      </c>
      <c r="B1786" s="190">
        <v>45886</v>
      </c>
      <c r="C1786" s="260" t="s">
        <v>749</v>
      </c>
      <c r="D1786" s="197">
        <v>160</v>
      </c>
      <c r="E1786" s="197">
        <v>8008</v>
      </c>
      <c r="F1786" s="197">
        <v>50.6</v>
      </c>
      <c r="G1786" s="190">
        <v>45884</v>
      </c>
      <c r="H1786" s="196">
        <v>2</v>
      </c>
      <c r="I1786" s="197">
        <v>8096</v>
      </c>
      <c r="J1786" s="197">
        <v>8096</v>
      </c>
      <c r="K1786" s="197">
        <v>0</v>
      </c>
      <c r="L1786" s="197">
        <v>88</v>
      </c>
      <c r="M1786" s="260" t="s">
        <v>239</v>
      </c>
      <c r="N1786" s="260" t="s">
        <v>514</v>
      </c>
    </row>
    <row r="1787" spans="1:14" ht="14.5" x14ac:dyDescent="0.35">
      <c r="A1787" s="260" t="s">
        <v>565</v>
      </c>
      <c r="B1787" s="190">
        <v>45886</v>
      </c>
      <c r="C1787" s="260" t="s">
        <v>752</v>
      </c>
      <c r="D1787" s="197">
        <v>100</v>
      </c>
      <c r="E1787" s="197">
        <v>20020</v>
      </c>
      <c r="F1787" s="197">
        <v>183.13</v>
      </c>
      <c r="G1787" s="190">
        <v>45884</v>
      </c>
      <c r="H1787" s="196">
        <v>2</v>
      </c>
      <c r="I1787" s="197">
        <v>18313</v>
      </c>
      <c r="J1787" s="197">
        <v>18313</v>
      </c>
      <c r="K1787" s="197">
        <v>0</v>
      </c>
      <c r="L1787" s="197">
        <v>-1707</v>
      </c>
      <c r="M1787" s="260" t="s">
        <v>239</v>
      </c>
      <c r="N1787" s="260" t="s">
        <v>514</v>
      </c>
    </row>
    <row r="1788" spans="1:14" ht="14.5" x14ac:dyDescent="0.35">
      <c r="A1788" s="260" t="s">
        <v>565</v>
      </c>
      <c r="B1788" s="190">
        <v>45886</v>
      </c>
      <c r="C1788" s="260" t="s">
        <v>754</v>
      </c>
      <c r="D1788" s="197">
        <v>50</v>
      </c>
      <c r="E1788" s="197">
        <v>4104</v>
      </c>
      <c r="F1788" s="197">
        <v>81.2</v>
      </c>
      <c r="G1788" s="190">
        <v>45884</v>
      </c>
      <c r="H1788" s="196">
        <v>2</v>
      </c>
      <c r="I1788" s="197">
        <v>4060</v>
      </c>
      <c r="J1788" s="197">
        <v>4060</v>
      </c>
      <c r="K1788" s="197">
        <v>0</v>
      </c>
      <c r="L1788" s="197">
        <v>-44</v>
      </c>
      <c r="M1788" s="260" t="s">
        <v>239</v>
      </c>
      <c r="N1788" s="260" t="s">
        <v>514</v>
      </c>
    </row>
    <row r="1789" spans="1:14" ht="14.5" x14ac:dyDescent="0.35">
      <c r="A1789" s="260" t="s">
        <v>565</v>
      </c>
      <c r="B1789" s="190">
        <v>45887</v>
      </c>
      <c r="C1789" s="260" t="s">
        <v>749</v>
      </c>
      <c r="D1789" s="197">
        <v>160</v>
      </c>
      <c r="E1789" s="197">
        <v>8008</v>
      </c>
      <c r="F1789" s="197">
        <v>50.3</v>
      </c>
      <c r="G1789" s="190">
        <v>45887</v>
      </c>
      <c r="H1789" s="196">
        <v>0</v>
      </c>
      <c r="I1789" s="197">
        <v>8048</v>
      </c>
      <c r="J1789" s="197">
        <v>8048</v>
      </c>
      <c r="K1789" s="197">
        <v>0</v>
      </c>
      <c r="L1789" s="197">
        <v>40</v>
      </c>
      <c r="M1789" s="260" t="s">
        <v>239</v>
      </c>
      <c r="N1789" s="260" t="s">
        <v>514</v>
      </c>
    </row>
    <row r="1790" spans="1:14" ht="14.5" x14ac:dyDescent="0.35">
      <c r="A1790" s="260" t="s">
        <v>565</v>
      </c>
      <c r="B1790" s="190">
        <v>45887</v>
      </c>
      <c r="C1790" s="260" t="s">
        <v>752</v>
      </c>
      <c r="D1790" s="197">
        <v>100</v>
      </c>
      <c r="E1790" s="197">
        <v>20020</v>
      </c>
      <c r="F1790" s="197">
        <v>184.23</v>
      </c>
      <c r="G1790" s="190">
        <v>45887</v>
      </c>
      <c r="H1790" s="196">
        <v>0</v>
      </c>
      <c r="I1790" s="197">
        <v>18423</v>
      </c>
      <c r="J1790" s="197">
        <v>18423</v>
      </c>
      <c r="K1790" s="197">
        <v>0</v>
      </c>
      <c r="L1790" s="197">
        <v>-1597</v>
      </c>
      <c r="M1790" s="260" t="s">
        <v>239</v>
      </c>
      <c r="N1790" s="260" t="s">
        <v>514</v>
      </c>
    </row>
    <row r="1791" spans="1:14" ht="14.5" x14ac:dyDescent="0.35">
      <c r="A1791" s="260" t="s">
        <v>565</v>
      </c>
      <c r="B1791" s="190">
        <v>45887</v>
      </c>
      <c r="C1791" s="260" t="s">
        <v>754</v>
      </c>
      <c r="D1791" s="197">
        <v>50</v>
      </c>
      <c r="E1791" s="197">
        <v>4104</v>
      </c>
      <c r="F1791" s="197">
        <v>82.1</v>
      </c>
      <c r="G1791" s="190">
        <v>45887</v>
      </c>
      <c r="H1791" s="196">
        <v>0</v>
      </c>
      <c r="I1791" s="197">
        <v>4105</v>
      </c>
      <c r="J1791" s="197">
        <v>4105</v>
      </c>
      <c r="K1791" s="197">
        <v>0</v>
      </c>
      <c r="L1791" s="197">
        <v>1</v>
      </c>
      <c r="M1791" s="260" t="s">
        <v>239</v>
      </c>
      <c r="N1791" s="260" t="s">
        <v>514</v>
      </c>
    </row>
    <row r="1792" spans="1:14" ht="14.5" x14ac:dyDescent="0.35">
      <c r="A1792" s="260" t="s">
        <v>565</v>
      </c>
      <c r="B1792" s="190">
        <v>45888</v>
      </c>
      <c r="C1792" s="260" t="s">
        <v>749</v>
      </c>
      <c r="D1792" s="197">
        <v>160</v>
      </c>
      <c r="E1792" s="197">
        <v>8008</v>
      </c>
      <c r="F1792" s="197">
        <v>50.2</v>
      </c>
      <c r="G1792" s="190">
        <v>45888</v>
      </c>
      <c r="H1792" s="196">
        <v>0</v>
      </c>
      <c r="I1792" s="197">
        <v>8032</v>
      </c>
      <c r="J1792" s="197">
        <v>8032</v>
      </c>
      <c r="K1792" s="197">
        <v>0</v>
      </c>
      <c r="L1792" s="197">
        <v>24</v>
      </c>
      <c r="M1792" s="260" t="s">
        <v>239</v>
      </c>
      <c r="N1792" s="260" t="s">
        <v>514</v>
      </c>
    </row>
    <row r="1793" spans="1:14" ht="14.5" x14ac:dyDescent="0.35">
      <c r="A1793" s="260" t="s">
        <v>565</v>
      </c>
      <c r="B1793" s="190">
        <v>45888</v>
      </c>
      <c r="C1793" s="260" t="s">
        <v>752</v>
      </c>
      <c r="D1793" s="197">
        <v>100</v>
      </c>
      <c r="E1793" s="197">
        <v>20020</v>
      </c>
      <c r="F1793" s="197">
        <v>184.6</v>
      </c>
      <c r="G1793" s="190">
        <v>45888</v>
      </c>
      <c r="H1793" s="196">
        <v>0</v>
      </c>
      <c r="I1793" s="197">
        <v>18460</v>
      </c>
      <c r="J1793" s="197">
        <v>18460</v>
      </c>
      <c r="K1793" s="197">
        <v>0</v>
      </c>
      <c r="L1793" s="197">
        <v>-1560</v>
      </c>
      <c r="M1793" s="260" t="s">
        <v>239</v>
      </c>
      <c r="N1793" s="260" t="s">
        <v>514</v>
      </c>
    </row>
    <row r="1794" spans="1:14" ht="14.5" x14ac:dyDescent="0.35">
      <c r="A1794" s="260" t="s">
        <v>565</v>
      </c>
      <c r="B1794" s="190">
        <v>45888</v>
      </c>
      <c r="C1794" s="260" t="s">
        <v>754</v>
      </c>
      <c r="D1794" s="197">
        <v>50</v>
      </c>
      <c r="E1794" s="197">
        <v>4104</v>
      </c>
      <c r="F1794" s="197">
        <v>82.4</v>
      </c>
      <c r="G1794" s="190">
        <v>45888</v>
      </c>
      <c r="H1794" s="196">
        <v>0</v>
      </c>
      <c r="I1794" s="197">
        <v>4120</v>
      </c>
      <c r="J1794" s="197">
        <v>4120</v>
      </c>
      <c r="K1794" s="197">
        <v>0</v>
      </c>
      <c r="L1794" s="197">
        <v>16</v>
      </c>
      <c r="M1794" s="260" t="s">
        <v>239</v>
      </c>
      <c r="N1794" s="260" t="s">
        <v>514</v>
      </c>
    </row>
    <row r="1795" spans="1:14" ht="14.5" x14ac:dyDescent="0.35">
      <c r="A1795" s="260" t="s">
        <v>565</v>
      </c>
      <c r="B1795" s="190">
        <v>45889</v>
      </c>
      <c r="C1795" s="260" t="s">
        <v>749</v>
      </c>
      <c r="D1795" s="197">
        <v>160</v>
      </c>
      <c r="E1795" s="197">
        <v>8008</v>
      </c>
      <c r="F1795" s="197">
        <v>50.1</v>
      </c>
      <c r="G1795" s="190">
        <v>45889</v>
      </c>
      <c r="H1795" s="196">
        <v>0</v>
      </c>
      <c r="I1795" s="197">
        <v>8016</v>
      </c>
      <c r="J1795" s="197">
        <v>8016</v>
      </c>
      <c r="K1795" s="197">
        <v>0</v>
      </c>
      <c r="L1795" s="197">
        <v>8</v>
      </c>
      <c r="M1795" s="260" t="s">
        <v>239</v>
      </c>
      <c r="N1795" s="260" t="s">
        <v>514</v>
      </c>
    </row>
    <row r="1796" spans="1:14" ht="14.5" x14ac:dyDescent="0.35">
      <c r="A1796" s="260" t="s">
        <v>565</v>
      </c>
      <c r="B1796" s="190">
        <v>45889</v>
      </c>
      <c r="C1796" s="260" t="s">
        <v>752</v>
      </c>
      <c r="D1796" s="197">
        <v>100</v>
      </c>
      <c r="E1796" s="197">
        <v>20020</v>
      </c>
      <c r="F1796" s="197">
        <v>184.97</v>
      </c>
      <c r="G1796" s="190">
        <v>45889</v>
      </c>
      <c r="H1796" s="196">
        <v>0</v>
      </c>
      <c r="I1796" s="197">
        <v>18497</v>
      </c>
      <c r="J1796" s="197">
        <v>18497</v>
      </c>
      <c r="K1796" s="197">
        <v>0</v>
      </c>
      <c r="L1796" s="197">
        <v>-1523</v>
      </c>
      <c r="M1796" s="260" t="s">
        <v>239</v>
      </c>
      <c r="N1796" s="260" t="s">
        <v>514</v>
      </c>
    </row>
    <row r="1797" spans="1:14" ht="14.5" x14ac:dyDescent="0.35">
      <c r="A1797" s="260" t="s">
        <v>565</v>
      </c>
      <c r="B1797" s="190">
        <v>45889</v>
      </c>
      <c r="C1797" s="260" t="s">
        <v>754</v>
      </c>
      <c r="D1797" s="197">
        <v>50</v>
      </c>
      <c r="E1797" s="197">
        <v>4104</v>
      </c>
      <c r="F1797" s="197">
        <v>82.7</v>
      </c>
      <c r="G1797" s="190">
        <v>45889</v>
      </c>
      <c r="H1797" s="196">
        <v>0</v>
      </c>
      <c r="I1797" s="197">
        <v>4135</v>
      </c>
      <c r="J1797" s="197">
        <v>4135</v>
      </c>
      <c r="K1797" s="197">
        <v>0</v>
      </c>
      <c r="L1797" s="197">
        <v>31</v>
      </c>
      <c r="M1797" s="260" t="s">
        <v>239</v>
      </c>
      <c r="N1797" s="260" t="s">
        <v>514</v>
      </c>
    </row>
    <row r="1798" spans="1:14" ht="14.5" x14ac:dyDescent="0.35">
      <c r="A1798" s="260" t="s">
        <v>565</v>
      </c>
      <c r="B1798" s="190">
        <v>45890</v>
      </c>
      <c r="C1798" s="260" t="s">
        <v>749</v>
      </c>
      <c r="D1798" s="197">
        <v>160</v>
      </c>
      <c r="E1798" s="197">
        <v>8008</v>
      </c>
      <c r="F1798" s="197">
        <v>50</v>
      </c>
      <c r="G1798" s="190">
        <v>45890</v>
      </c>
      <c r="H1798" s="196">
        <v>0</v>
      </c>
      <c r="I1798" s="197">
        <v>8000</v>
      </c>
      <c r="J1798" s="197">
        <v>8000</v>
      </c>
      <c r="K1798" s="197">
        <v>0</v>
      </c>
      <c r="L1798" s="197">
        <v>-8</v>
      </c>
      <c r="M1798" s="260" t="s">
        <v>239</v>
      </c>
      <c r="N1798" s="260" t="s">
        <v>514</v>
      </c>
    </row>
    <row r="1799" spans="1:14" ht="14.5" x14ac:dyDescent="0.35">
      <c r="A1799" s="260" t="s">
        <v>565</v>
      </c>
      <c r="B1799" s="190">
        <v>45890</v>
      </c>
      <c r="C1799" s="260" t="s">
        <v>752</v>
      </c>
      <c r="D1799" s="197">
        <v>100</v>
      </c>
      <c r="E1799" s="197">
        <v>20020</v>
      </c>
      <c r="F1799" s="197">
        <v>185.33</v>
      </c>
      <c r="G1799" s="190">
        <v>45890</v>
      </c>
      <c r="H1799" s="196">
        <v>0</v>
      </c>
      <c r="I1799" s="197">
        <v>18533</v>
      </c>
      <c r="J1799" s="197">
        <v>18533</v>
      </c>
      <c r="K1799" s="197">
        <v>0</v>
      </c>
      <c r="L1799" s="197">
        <v>-1487</v>
      </c>
      <c r="M1799" s="260" t="s">
        <v>239</v>
      </c>
      <c r="N1799" s="260" t="s">
        <v>514</v>
      </c>
    </row>
    <row r="1800" spans="1:14" ht="14.5" x14ac:dyDescent="0.35">
      <c r="A1800" s="260" t="s">
        <v>565</v>
      </c>
      <c r="B1800" s="190">
        <v>45890</v>
      </c>
      <c r="C1800" s="260" t="s">
        <v>754</v>
      </c>
      <c r="D1800" s="197">
        <v>50</v>
      </c>
      <c r="E1800" s="197">
        <v>4104</v>
      </c>
      <c r="F1800" s="197">
        <v>83</v>
      </c>
      <c r="G1800" s="190">
        <v>45890</v>
      </c>
      <c r="H1800" s="196">
        <v>0</v>
      </c>
      <c r="I1800" s="197">
        <v>4150</v>
      </c>
      <c r="J1800" s="197">
        <v>4150</v>
      </c>
      <c r="K1800" s="197">
        <v>0</v>
      </c>
      <c r="L1800" s="197">
        <v>46</v>
      </c>
      <c r="M1800" s="260" t="s">
        <v>239</v>
      </c>
      <c r="N1800" s="260" t="s">
        <v>514</v>
      </c>
    </row>
    <row r="1801" spans="1:14" ht="14.5" x14ac:dyDescent="0.35">
      <c r="A1801" s="260" t="s">
        <v>565</v>
      </c>
      <c r="B1801" s="190">
        <v>45891</v>
      </c>
      <c r="C1801" s="260" t="s">
        <v>749</v>
      </c>
      <c r="D1801" s="197">
        <v>160</v>
      </c>
      <c r="E1801" s="197">
        <v>8008</v>
      </c>
      <c r="F1801" s="197">
        <v>49.9</v>
      </c>
      <c r="G1801" s="190">
        <v>45891</v>
      </c>
      <c r="H1801" s="196">
        <v>0</v>
      </c>
      <c r="I1801" s="197">
        <v>7984</v>
      </c>
      <c r="J1801" s="197">
        <v>7984</v>
      </c>
      <c r="K1801" s="197">
        <v>0</v>
      </c>
      <c r="L1801" s="197">
        <v>-24</v>
      </c>
      <c r="M1801" s="260" t="s">
        <v>239</v>
      </c>
      <c r="N1801" s="260" t="s">
        <v>514</v>
      </c>
    </row>
    <row r="1802" spans="1:14" ht="14.5" x14ac:dyDescent="0.35">
      <c r="A1802" s="260" t="s">
        <v>565</v>
      </c>
      <c r="B1802" s="190">
        <v>45891</v>
      </c>
      <c r="C1802" s="260" t="s">
        <v>752</v>
      </c>
      <c r="D1802" s="197">
        <v>100</v>
      </c>
      <c r="E1802" s="197">
        <v>20020</v>
      </c>
      <c r="F1802" s="197">
        <v>185.7</v>
      </c>
      <c r="G1802" s="190">
        <v>45891</v>
      </c>
      <c r="H1802" s="196">
        <v>0</v>
      </c>
      <c r="I1802" s="197">
        <v>18570</v>
      </c>
      <c r="J1802" s="197">
        <v>18570</v>
      </c>
      <c r="K1802" s="197">
        <v>0</v>
      </c>
      <c r="L1802" s="197">
        <v>-1450</v>
      </c>
      <c r="M1802" s="260" t="s">
        <v>239</v>
      </c>
      <c r="N1802" s="260" t="s">
        <v>514</v>
      </c>
    </row>
    <row r="1803" spans="1:14" ht="14.5" x14ac:dyDescent="0.35">
      <c r="A1803" s="260" t="s">
        <v>565</v>
      </c>
      <c r="B1803" s="190">
        <v>45891</v>
      </c>
      <c r="C1803" s="260" t="s">
        <v>754</v>
      </c>
      <c r="D1803" s="197">
        <v>50</v>
      </c>
      <c r="E1803" s="197">
        <v>4104</v>
      </c>
      <c r="F1803" s="197">
        <v>83.3</v>
      </c>
      <c r="G1803" s="190">
        <v>45891</v>
      </c>
      <c r="H1803" s="196">
        <v>0</v>
      </c>
      <c r="I1803" s="197">
        <v>4165</v>
      </c>
      <c r="J1803" s="197">
        <v>4165</v>
      </c>
      <c r="K1803" s="197">
        <v>0</v>
      </c>
      <c r="L1803" s="197">
        <v>61</v>
      </c>
      <c r="M1803" s="260" t="s">
        <v>239</v>
      </c>
      <c r="N1803" s="260" t="s">
        <v>514</v>
      </c>
    </row>
    <row r="1804" spans="1:14" ht="14.5" x14ac:dyDescent="0.35">
      <c r="A1804" s="260" t="s">
        <v>565</v>
      </c>
      <c r="B1804" s="190">
        <v>45892</v>
      </c>
      <c r="C1804" s="260" t="s">
        <v>749</v>
      </c>
      <c r="D1804" s="197">
        <v>160</v>
      </c>
      <c r="E1804" s="197">
        <v>8008</v>
      </c>
      <c r="F1804" s="197">
        <v>49.9</v>
      </c>
      <c r="G1804" s="190">
        <v>45891</v>
      </c>
      <c r="H1804" s="196">
        <v>1</v>
      </c>
      <c r="I1804" s="197">
        <v>7984</v>
      </c>
      <c r="J1804" s="197">
        <v>7984</v>
      </c>
      <c r="K1804" s="197">
        <v>0</v>
      </c>
      <c r="L1804" s="197">
        <v>-24</v>
      </c>
      <c r="M1804" s="260" t="s">
        <v>239</v>
      </c>
      <c r="N1804" s="260" t="s">
        <v>514</v>
      </c>
    </row>
    <row r="1805" spans="1:14" ht="14.5" x14ac:dyDescent="0.35">
      <c r="A1805" s="260" t="s">
        <v>565</v>
      </c>
      <c r="B1805" s="190">
        <v>45892</v>
      </c>
      <c r="C1805" s="260" t="s">
        <v>752</v>
      </c>
      <c r="D1805" s="197">
        <v>100</v>
      </c>
      <c r="E1805" s="197">
        <v>20020</v>
      </c>
      <c r="F1805" s="197">
        <v>185.7</v>
      </c>
      <c r="G1805" s="190">
        <v>45891</v>
      </c>
      <c r="H1805" s="196">
        <v>1</v>
      </c>
      <c r="I1805" s="197">
        <v>18570</v>
      </c>
      <c r="J1805" s="197">
        <v>18570</v>
      </c>
      <c r="K1805" s="197">
        <v>0</v>
      </c>
      <c r="L1805" s="197">
        <v>-1450</v>
      </c>
      <c r="M1805" s="260" t="s">
        <v>239</v>
      </c>
      <c r="N1805" s="260" t="s">
        <v>514</v>
      </c>
    </row>
    <row r="1806" spans="1:14" ht="14.5" x14ac:dyDescent="0.35">
      <c r="A1806" s="260" t="s">
        <v>565</v>
      </c>
      <c r="B1806" s="190">
        <v>45892</v>
      </c>
      <c r="C1806" s="260" t="s">
        <v>754</v>
      </c>
      <c r="D1806" s="197">
        <v>50</v>
      </c>
      <c r="E1806" s="197">
        <v>4104</v>
      </c>
      <c r="F1806" s="197">
        <v>83.3</v>
      </c>
      <c r="G1806" s="190">
        <v>45891</v>
      </c>
      <c r="H1806" s="196">
        <v>1</v>
      </c>
      <c r="I1806" s="197">
        <v>4165</v>
      </c>
      <c r="J1806" s="197">
        <v>4165</v>
      </c>
      <c r="K1806" s="197">
        <v>0</v>
      </c>
      <c r="L1806" s="197">
        <v>61</v>
      </c>
      <c r="M1806" s="260" t="s">
        <v>239</v>
      </c>
      <c r="N1806" s="260" t="s">
        <v>514</v>
      </c>
    </row>
    <row r="1807" spans="1:14" ht="14.5" x14ac:dyDescent="0.35">
      <c r="A1807" s="260" t="s">
        <v>565</v>
      </c>
      <c r="B1807" s="190">
        <v>45893</v>
      </c>
      <c r="C1807" s="260" t="s">
        <v>749</v>
      </c>
      <c r="D1807" s="197">
        <v>160</v>
      </c>
      <c r="E1807" s="197">
        <v>8008</v>
      </c>
      <c r="F1807" s="197">
        <v>49.9</v>
      </c>
      <c r="G1807" s="190">
        <v>45891</v>
      </c>
      <c r="H1807" s="196">
        <v>2</v>
      </c>
      <c r="I1807" s="197">
        <v>7984</v>
      </c>
      <c r="J1807" s="197">
        <v>7984</v>
      </c>
      <c r="K1807" s="197">
        <v>0</v>
      </c>
      <c r="L1807" s="197">
        <v>-24</v>
      </c>
      <c r="M1807" s="260" t="s">
        <v>239</v>
      </c>
      <c r="N1807" s="260" t="s">
        <v>514</v>
      </c>
    </row>
    <row r="1808" spans="1:14" ht="14.5" x14ac:dyDescent="0.35">
      <c r="A1808" s="260" t="s">
        <v>565</v>
      </c>
      <c r="B1808" s="190">
        <v>45893</v>
      </c>
      <c r="C1808" s="260" t="s">
        <v>752</v>
      </c>
      <c r="D1808" s="197">
        <v>100</v>
      </c>
      <c r="E1808" s="197">
        <v>20020</v>
      </c>
      <c r="F1808" s="197">
        <v>185.7</v>
      </c>
      <c r="G1808" s="190">
        <v>45891</v>
      </c>
      <c r="H1808" s="196">
        <v>2</v>
      </c>
      <c r="I1808" s="197">
        <v>18570</v>
      </c>
      <c r="J1808" s="197">
        <v>18570</v>
      </c>
      <c r="K1808" s="197">
        <v>0</v>
      </c>
      <c r="L1808" s="197">
        <v>-1450</v>
      </c>
      <c r="M1808" s="260" t="s">
        <v>239</v>
      </c>
      <c r="N1808" s="260" t="s">
        <v>514</v>
      </c>
    </row>
    <row r="1809" spans="1:14" ht="14.5" x14ac:dyDescent="0.35">
      <c r="A1809" s="260" t="s">
        <v>565</v>
      </c>
      <c r="B1809" s="190">
        <v>45893</v>
      </c>
      <c r="C1809" s="260" t="s">
        <v>754</v>
      </c>
      <c r="D1809" s="197">
        <v>50</v>
      </c>
      <c r="E1809" s="197">
        <v>4104</v>
      </c>
      <c r="F1809" s="197">
        <v>83.3</v>
      </c>
      <c r="G1809" s="190">
        <v>45891</v>
      </c>
      <c r="H1809" s="196">
        <v>2</v>
      </c>
      <c r="I1809" s="197">
        <v>4165</v>
      </c>
      <c r="J1809" s="197">
        <v>4165</v>
      </c>
      <c r="K1809" s="197">
        <v>0</v>
      </c>
      <c r="L1809" s="197">
        <v>61</v>
      </c>
      <c r="M1809" s="260" t="s">
        <v>239</v>
      </c>
      <c r="N1809" s="260" t="s">
        <v>514</v>
      </c>
    </row>
    <row r="1810" spans="1:14" ht="14.5" x14ac:dyDescent="0.35">
      <c r="A1810" s="260" t="s">
        <v>565</v>
      </c>
      <c r="B1810" s="190">
        <v>45894</v>
      </c>
      <c r="C1810" s="260" t="s">
        <v>749</v>
      </c>
      <c r="D1810" s="197">
        <v>160</v>
      </c>
      <c r="E1810" s="197">
        <v>8008</v>
      </c>
      <c r="F1810" s="197">
        <v>49.6</v>
      </c>
      <c r="G1810" s="190">
        <v>45894</v>
      </c>
      <c r="H1810" s="196">
        <v>0</v>
      </c>
      <c r="I1810" s="197">
        <v>7936</v>
      </c>
      <c r="J1810" s="197">
        <v>7936</v>
      </c>
      <c r="K1810" s="197">
        <v>0</v>
      </c>
      <c r="L1810" s="197">
        <v>-72</v>
      </c>
      <c r="M1810" s="260" t="s">
        <v>239</v>
      </c>
      <c r="N1810" s="260" t="s">
        <v>514</v>
      </c>
    </row>
    <row r="1811" spans="1:14" ht="14.5" x14ac:dyDescent="0.35">
      <c r="A1811" s="260" t="s">
        <v>565</v>
      </c>
      <c r="B1811" s="190">
        <v>45894</v>
      </c>
      <c r="C1811" s="260" t="s">
        <v>752</v>
      </c>
      <c r="D1811" s="197">
        <v>100</v>
      </c>
      <c r="E1811" s="197">
        <v>20020</v>
      </c>
      <c r="F1811" s="197">
        <v>186.8</v>
      </c>
      <c r="G1811" s="190">
        <v>45894</v>
      </c>
      <c r="H1811" s="196">
        <v>0</v>
      </c>
      <c r="I1811" s="197">
        <v>18680</v>
      </c>
      <c r="J1811" s="197">
        <v>18680</v>
      </c>
      <c r="K1811" s="197">
        <v>0</v>
      </c>
      <c r="L1811" s="197">
        <v>-1340</v>
      </c>
      <c r="M1811" s="260" t="s">
        <v>239</v>
      </c>
      <c r="N1811" s="260" t="s">
        <v>514</v>
      </c>
    </row>
    <row r="1812" spans="1:14" ht="14.5" x14ac:dyDescent="0.35">
      <c r="A1812" s="260" t="s">
        <v>565</v>
      </c>
      <c r="B1812" s="190">
        <v>45894</v>
      </c>
      <c r="C1812" s="260" t="s">
        <v>754</v>
      </c>
      <c r="D1812" s="197">
        <v>50</v>
      </c>
      <c r="E1812" s="197">
        <v>4104</v>
      </c>
      <c r="F1812" s="197">
        <v>84.2</v>
      </c>
      <c r="G1812" s="190">
        <v>45894</v>
      </c>
      <c r="H1812" s="196">
        <v>0</v>
      </c>
      <c r="I1812" s="197">
        <v>4210</v>
      </c>
      <c r="J1812" s="197">
        <v>4210</v>
      </c>
      <c r="K1812" s="197">
        <v>0</v>
      </c>
      <c r="L1812" s="197">
        <v>106</v>
      </c>
      <c r="M1812" s="260" t="s">
        <v>239</v>
      </c>
      <c r="N1812" s="260" t="s">
        <v>514</v>
      </c>
    </row>
    <row r="1813" spans="1:14" ht="14.5" x14ac:dyDescent="0.35">
      <c r="A1813" s="260" t="s">
        <v>565</v>
      </c>
      <c r="B1813" s="190">
        <v>45895</v>
      </c>
      <c r="C1813" s="260" t="s">
        <v>749</v>
      </c>
      <c r="D1813" s="197">
        <v>160</v>
      </c>
      <c r="E1813" s="197">
        <v>8008</v>
      </c>
      <c r="F1813" s="197">
        <v>49.5</v>
      </c>
      <c r="G1813" s="190">
        <v>45895</v>
      </c>
      <c r="H1813" s="196">
        <v>0</v>
      </c>
      <c r="I1813" s="197">
        <v>7920</v>
      </c>
      <c r="J1813" s="197">
        <v>7920</v>
      </c>
      <c r="K1813" s="197">
        <v>0</v>
      </c>
      <c r="L1813" s="197">
        <v>-88</v>
      </c>
      <c r="M1813" s="260" t="s">
        <v>239</v>
      </c>
      <c r="N1813" s="260" t="s">
        <v>514</v>
      </c>
    </row>
    <row r="1814" spans="1:14" ht="14.5" x14ac:dyDescent="0.35">
      <c r="A1814" s="260" t="s">
        <v>565</v>
      </c>
      <c r="B1814" s="190">
        <v>45895</v>
      </c>
      <c r="C1814" s="260" t="s">
        <v>752</v>
      </c>
      <c r="D1814" s="197">
        <v>100</v>
      </c>
      <c r="E1814" s="197">
        <v>20020</v>
      </c>
      <c r="F1814" s="197">
        <v>187.17</v>
      </c>
      <c r="G1814" s="190">
        <v>45895</v>
      </c>
      <c r="H1814" s="196">
        <v>0</v>
      </c>
      <c r="I1814" s="197">
        <v>18717</v>
      </c>
      <c r="J1814" s="197">
        <v>18717</v>
      </c>
      <c r="K1814" s="197">
        <v>0</v>
      </c>
      <c r="L1814" s="197">
        <v>-1303</v>
      </c>
      <c r="M1814" s="260" t="s">
        <v>239</v>
      </c>
      <c r="N1814" s="260" t="s">
        <v>514</v>
      </c>
    </row>
    <row r="1815" spans="1:14" ht="14.5" x14ac:dyDescent="0.35">
      <c r="A1815" s="260" t="s">
        <v>565</v>
      </c>
      <c r="B1815" s="190">
        <v>45895</v>
      </c>
      <c r="C1815" s="260" t="s">
        <v>754</v>
      </c>
      <c r="D1815" s="197">
        <v>50</v>
      </c>
      <c r="E1815" s="197">
        <v>4104</v>
      </c>
      <c r="F1815" s="197">
        <v>84.5</v>
      </c>
      <c r="G1815" s="190">
        <v>45895</v>
      </c>
      <c r="H1815" s="196">
        <v>0</v>
      </c>
      <c r="I1815" s="197">
        <v>4225</v>
      </c>
      <c r="J1815" s="197">
        <v>4225</v>
      </c>
      <c r="K1815" s="197">
        <v>0</v>
      </c>
      <c r="L1815" s="197">
        <v>121</v>
      </c>
      <c r="M1815" s="260" t="s">
        <v>239</v>
      </c>
      <c r="N1815" s="260" t="s">
        <v>514</v>
      </c>
    </row>
    <row r="1816" spans="1:14" ht="14.5" x14ac:dyDescent="0.35">
      <c r="A1816" s="260" t="s">
        <v>565</v>
      </c>
      <c r="B1816" s="190">
        <v>45896</v>
      </c>
      <c r="C1816" s="260" t="s">
        <v>749</v>
      </c>
      <c r="D1816" s="197">
        <v>160</v>
      </c>
      <c r="E1816" s="197">
        <v>8008</v>
      </c>
      <c r="F1816" s="197">
        <v>49.4</v>
      </c>
      <c r="G1816" s="190">
        <v>45896</v>
      </c>
      <c r="H1816" s="196">
        <v>0</v>
      </c>
      <c r="I1816" s="197">
        <v>7904</v>
      </c>
      <c r="J1816" s="197">
        <v>7904</v>
      </c>
      <c r="K1816" s="197">
        <v>0</v>
      </c>
      <c r="L1816" s="197">
        <v>-104</v>
      </c>
      <c r="M1816" s="260" t="s">
        <v>239</v>
      </c>
      <c r="N1816" s="260" t="s">
        <v>514</v>
      </c>
    </row>
    <row r="1817" spans="1:14" ht="14.5" x14ac:dyDescent="0.35">
      <c r="A1817" s="260" t="s">
        <v>565</v>
      </c>
      <c r="B1817" s="190">
        <v>45896</v>
      </c>
      <c r="C1817" s="260" t="s">
        <v>752</v>
      </c>
      <c r="D1817" s="197">
        <v>100</v>
      </c>
      <c r="E1817" s="197">
        <v>20020</v>
      </c>
      <c r="F1817" s="197">
        <v>187.53</v>
      </c>
      <c r="G1817" s="190">
        <v>45896</v>
      </c>
      <c r="H1817" s="196">
        <v>0</v>
      </c>
      <c r="I1817" s="197">
        <v>18753</v>
      </c>
      <c r="J1817" s="197">
        <v>18753</v>
      </c>
      <c r="K1817" s="197">
        <v>0</v>
      </c>
      <c r="L1817" s="197">
        <v>-1267</v>
      </c>
      <c r="M1817" s="260" t="s">
        <v>239</v>
      </c>
      <c r="N1817" s="260" t="s">
        <v>514</v>
      </c>
    </row>
    <row r="1818" spans="1:14" ht="14.5" x14ac:dyDescent="0.35">
      <c r="A1818" s="260" t="s">
        <v>565</v>
      </c>
      <c r="B1818" s="190">
        <v>45896</v>
      </c>
      <c r="C1818" s="260" t="s">
        <v>754</v>
      </c>
      <c r="D1818" s="197">
        <v>50</v>
      </c>
      <c r="E1818" s="197">
        <v>4104</v>
      </c>
      <c r="F1818" s="197">
        <v>84.8</v>
      </c>
      <c r="G1818" s="190">
        <v>45896</v>
      </c>
      <c r="H1818" s="196">
        <v>0</v>
      </c>
      <c r="I1818" s="197">
        <v>4240</v>
      </c>
      <c r="J1818" s="197">
        <v>4240</v>
      </c>
      <c r="K1818" s="197">
        <v>0</v>
      </c>
      <c r="L1818" s="197">
        <v>136</v>
      </c>
      <c r="M1818" s="260" t="s">
        <v>239</v>
      </c>
      <c r="N1818" s="260" t="s">
        <v>514</v>
      </c>
    </row>
    <row r="1819" spans="1:14" ht="14.5" x14ac:dyDescent="0.35">
      <c r="A1819" s="260" t="s">
        <v>565</v>
      </c>
      <c r="B1819" s="190">
        <v>45897</v>
      </c>
      <c r="C1819" s="260" t="s">
        <v>749</v>
      </c>
      <c r="D1819" s="197">
        <v>160</v>
      </c>
      <c r="E1819" s="197">
        <v>8008</v>
      </c>
      <c r="F1819" s="197">
        <v>49.3</v>
      </c>
      <c r="G1819" s="190">
        <v>45897</v>
      </c>
      <c r="H1819" s="196">
        <v>0</v>
      </c>
      <c r="I1819" s="197">
        <v>7888</v>
      </c>
      <c r="J1819" s="197">
        <v>7888</v>
      </c>
      <c r="K1819" s="197">
        <v>0</v>
      </c>
      <c r="L1819" s="197">
        <v>-120</v>
      </c>
      <c r="M1819" s="260" t="s">
        <v>239</v>
      </c>
      <c r="N1819" s="260" t="s">
        <v>514</v>
      </c>
    </row>
    <row r="1820" spans="1:14" ht="14.5" x14ac:dyDescent="0.35">
      <c r="A1820" s="260" t="s">
        <v>565</v>
      </c>
      <c r="B1820" s="190">
        <v>45897</v>
      </c>
      <c r="C1820" s="260" t="s">
        <v>752</v>
      </c>
      <c r="D1820" s="197">
        <v>100</v>
      </c>
      <c r="E1820" s="197">
        <v>20020</v>
      </c>
      <c r="F1820" s="197">
        <v>187.9</v>
      </c>
      <c r="G1820" s="190">
        <v>45897</v>
      </c>
      <c r="H1820" s="196">
        <v>0</v>
      </c>
      <c r="I1820" s="197">
        <v>18790</v>
      </c>
      <c r="J1820" s="197">
        <v>18790</v>
      </c>
      <c r="K1820" s="197">
        <v>0</v>
      </c>
      <c r="L1820" s="197">
        <v>-1230</v>
      </c>
      <c r="M1820" s="260" t="s">
        <v>239</v>
      </c>
      <c r="N1820" s="260" t="s">
        <v>514</v>
      </c>
    </row>
    <row r="1821" spans="1:14" ht="14.5" x14ac:dyDescent="0.35">
      <c r="A1821" s="260" t="s">
        <v>565</v>
      </c>
      <c r="B1821" s="190">
        <v>45897</v>
      </c>
      <c r="C1821" s="260" t="s">
        <v>754</v>
      </c>
      <c r="D1821" s="197">
        <v>50</v>
      </c>
      <c r="E1821" s="197">
        <v>4104</v>
      </c>
      <c r="F1821" s="197">
        <v>85.1</v>
      </c>
      <c r="G1821" s="190">
        <v>45897</v>
      </c>
      <c r="H1821" s="196">
        <v>0</v>
      </c>
      <c r="I1821" s="197">
        <v>4255</v>
      </c>
      <c r="J1821" s="197">
        <v>4255</v>
      </c>
      <c r="K1821" s="197">
        <v>0</v>
      </c>
      <c r="L1821" s="197">
        <v>151</v>
      </c>
      <c r="M1821" s="260" t="s">
        <v>239</v>
      </c>
      <c r="N1821" s="260" t="s">
        <v>514</v>
      </c>
    </row>
    <row r="1822" spans="1:14" ht="14.5" x14ac:dyDescent="0.35">
      <c r="A1822" s="260" t="s">
        <v>565</v>
      </c>
      <c r="B1822" s="190">
        <v>45898</v>
      </c>
      <c r="C1822" s="260" t="s">
        <v>749</v>
      </c>
      <c r="D1822" s="197">
        <v>160</v>
      </c>
      <c r="E1822" s="197">
        <v>8008</v>
      </c>
      <c r="F1822" s="197">
        <v>49.2</v>
      </c>
      <c r="G1822" s="190">
        <v>45898</v>
      </c>
      <c r="H1822" s="196">
        <v>0</v>
      </c>
      <c r="I1822" s="197">
        <v>7872</v>
      </c>
      <c r="J1822" s="197">
        <v>7872</v>
      </c>
      <c r="K1822" s="197">
        <v>0</v>
      </c>
      <c r="L1822" s="197">
        <v>-136</v>
      </c>
      <c r="M1822" s="260" t="s">
        <v>239</v>
      </c>
      <c r="N1822" s="260" t="s">
        <v>514</v>
      </c>
    </row>
    <row r="1823" spans="1:14" ht="14.5" x14ac:dyDescent="0.35">
      <c r="A1823" s="260" t="s">
        <v>565</v>
      </c>
      <c r="B1823" s="190">
        <v>45898</v>
      </c>
      <c r="C1823" s="260" t="s">
        <v>752</v>
      </c>
      <c r="D1823" s="197">
        <v>100</v>
      </c>
      <c r="E1823" s="197">
        <v>20020</v>
      </c>
      <c r="F1823" s="197">
        <v>188.27</v>
      </c>
      <c r="G1823" s="190">
        <v>45898</v>
      </c>
      <c r="H1823" s="196">
        <v>0</v>
      </c>
      <c r="I1823" s="197">
        <v>18827</v>
      </c>
      <c r="J1823" s="197">
        <v>18827</v>
      </c>
      <c r="K1823" s="197">
        <v>0</v>
      </c>
      <c r="L1823" s="197">
        <v>-1193</v>
      </c>
      <c r="M1823" s="260" t="s">
        <v>239</v>
      </c>
      <c r="N1823" s="260" t="s">
        <v>514</v>
      </c>
    </row>
    <row r="1824" spans="1:14" ht="14.5" x14ac:dyDescent="0.35">
      <c r="A1824" s="260" t="s">
        <v>565</v>
      </c>
      <c r="B1824" s="190">
        <v>45898</v>
      </c>
      <c r="C1824" s="260" t="s">
        <v>754</v>
      </c>
      <c r="D1824" s="197">
        <v>50</v>
      </c>
      <c r="E1824" s="197">
        <v>4104</v>
      </c>
      <c r="F1824" s="197">
        <v>85.4</v>
      </c>
      <c r="G1824" s="190">
        <v>45898</v>
      </c>
      <c r="H1824" s="196">
        <v>0</v>
      </c>
      <c r="I1824" s="197">
        <v>4270</v>
      </c>
      <c r="J1824" s="197">
        <v>4270</v>
      </c>
      <c r="K1824" s="197">
        <v>0</v>
      </c>
      <c r="L1824" s="197">
        <v>166</v>
      </c>
      <c r="M1824" s="260" t="s">
        <v>239</v>
      </c>
      <c r="N1824" s="260" t="s">
        <v>514</v>
      </c>
    </row>
    <row r="1825" spans="1:14" ht="14.5" x14ac:dyDescent="0.35">
      <c r="A1825" s="260" t="s">
        <v>565</v>
      </c>
      <c r="B1825" s="190">
        <v>45899</v>
      </c>
      <c r="C1825" s="260" t="s">
        <v>749</v>
      </c>
      <c r="D1825" s="197">
        <v>160</v>
      </c>
      <c r="E1825" s="197">
        <v>8008</v>
      </c>
      <c r="F1825" s="197">
        <v>49.2</v>
      </c>
      <c r="G1825" s="190">
        <v>45898</v>
      </c>
      <c r="H1825" s="196">
        <v>1</v>
      </c>
      <c r="I1825" s="197">
        <v>7872</v>
      </c>
      <c r="J1825" s="197">
        <v>7872</v>
      </c>
      <c r="K1825" s="197">
        <v>0</v>
      </c>
      <c r="L1825" s="197">
        <v>-136</v>
      </c>
      <c r="M1825" s="260" t="s">
        <v>239</v>
      </c>
      <c r="N1825" s="260" t="s">
        <v>514</v>
      </c>
    </row>
    <row r="1826" spans="1:14" ht="14.5" x14ac:dyDescent="0.35">
      <c r="A1826" s="260" t="s">
        <v>565</v>
      </c>
      <c r="B1826" s="190">
        <v>45899</v>
      </c>
      <c r="C1826" s="260" t="s">
        <v>752</v>
      </c>
      <c r="D1826" s="197">
        <v>100</v>
      </c>
      <c r="E1826" s="197">
        <v>20020</v>
      </c>
      <c r="F1826" s="197">
        <v>188.27</v>
      </c>
      <c r="G1826" s="190">
        <v>45898</v>
      </c>
      <c r="H1826" s="196">
        <v>1</v>
      </c>
      <c r="I1826" s="197">
        <v>18827</v>
      </c>
      <c r="J1826" s="197">
        <v>18827</v>
      </c>
      <c r="K1826" s="197">
        <v>0</v>
      </c>
      <c r="L1826" s="197">
        <v>-1193</v>
      </c>
      <c r="M1826" s="260" t="s">
        <v>239</v>
      </c>
      <c r="N1826" s="260" t="s">
        <v>514</v>
      </c>
    </row>
    <row r="1827" spans="1:14" ht="14.5" x14ac:dyDescent="0.35">
      <c r="A1827" s="260" t="s">
        <v>565</v>
      </c>
      <c r="B1827" s="190">
        <v>45899</v>
      </c>
      <c r="C1827" s="260" t="s">
        <v>754</v>
      </c>
      <c r="D1827" s="197">
        <v>50</v>
      </c>
      <c r="E1827" s="197">
        <v>4104</v>
      </c>
      <c r="F1827" s="197">
        <v>85.4</v>
      </c>
      <c r="G1827" s="190">
        <v>45898</v>
      </c>
      <c r="H1827" s="196">
        <v>1</v>
      </c>
      <c r="I1827" s="197">
        <v>4270</v>
      </c>
      <c r="J1827" s="197">
        <v>4270</v>
      </c>
      <c r="K1827" s="197">
        <v>0</v>
      </c>
      <c r="L1827" s="197">
        <v>166</v>
      </c>
      <c r="M1827" s="260" t="s">
        <v>239</v>
      </c>
      <c r="N1827" s="260" t="s">
        <v>514</v>
      </c>
    </row>
    <row r="1828" spans="1:14" ht="14.5" x14ac:dyDescent="0.35">
      <c r="A1828" s="260" t="s">
        <v>565</v>
      </c>
      <c r="B1828" s="190">
        <v>45900</v>
      </c>
      <c r="C1828" s="260" t="s">
        <v>749</v>
      </c>
      <c r="D1828" s="197">
        <v>160</v>
      </c>
      <c r="E1828" s="197">
        <v>8008</v>
      </c>
      <c r="F1828" s="197">
        <v>49.2</v>
      </c>
      <c r="G1828" s="190">
        <v>45898</v>
      </c>
      <c r="H1828" s="196">
        <v>2</v>
      </c>
      <c r="I1828" s="197">
        <v>7872</v>
      </c>
      <c r="J1828" s="197">
        <v>7872</v>
      </c>
      <c r="K1828" s="197">
        <v>0</v>
      </c>
      <c r="L1828" s="197">
        <v>-136</v>
      </c>
      <c r="M1828" s="260" t="s">
        <v>239</v>
      </c>
      <c r="N1828" s="260" t="s">
        <v>514</v>
      </c>
    </row>
    <row r="1829" spans="1:14" ht="14.5" x14ac:dyDescent="0.35">
      <c r="A1829" s="260" t="s">
        <v>565</v>
      </c>
      <c r="B1829" s="190">
        <v>45900</v>
      </c>
      <c r="C1829" s="260" t="s">
        <v>752</v>
      </c>
      <c r="D1829" s="197">
        <v>100</v>
      </c>
      <c r="E1829" s="197">
        <v>20020</v>
      </c>
      <c r="F1829" s="197">
        <v>188.27</v>
      </c>
      <c r="G1829" s="190">
        <v>45898</v>
      </c>
      <c r="H1829" s="196">
        <v>2</v>
      </c>
      <c r="I1829" s="197">
        <v>18827</v>
      </c>
      <c r="J1829" s="197">
        <v>18827</v>
      </c>
      <c r="K1829" s="197">
        <v>0</v>
      </c>
      <c r="L1829" s="197">
        <v>-1193</v>
      </c>
      <c r="M1829" s="260" t="s">
        <v>239</v>
      </c>
      <c r="N1829" s="260" t="s">
        <v>514</v>
      </c>
    </row>
    <row r="1830" spans="1:14" ht="14.5" x14ac:dyDescent="0.35">
      <c r="A1830" s="260" t="s">
        <v>565</v>
      </c>
      <c r="B1830" s="190">
        <v>45900</v>
      </c>
      <c r="C1830" s="260" t="s">
        <v>754</v>
      </c>
      <c r="D1830" s="197">
        <v>50</v>
      </c>
      <c r="E1830" s="197">
        <v>4104</v>
      </c>
      <c r="F1830" s="197">
        <v>85.4</v>
      </c>
      <c r="G1830" s="190">
        <v>45898</v>
      </c>
      <c r="H1830" s="196">
        <v>2</v>
      </c>
      <c r="I1830" s="197">
        <v>4270</v>
      </c>
      <c r="J1830" s="197">
        <v>4270</v>
      </c>
      <c r="K1830" s="197">
        <v>0</v>
      </c>
      <c r="L1830" s="197">
        <v>166</v>
      </c>
      <c r="M1830" s="260" t="s">
        <v>239</v>
      </c>
      <c r="N1830" s="260" t="s">
        <v>514</v>
      </c>
    </row>
    <row r="1831" spans="1:14" ht="14.5" x14ac:dyDescent="0.35">
      <c r="A1831" s="260" t="s">
        <v>565</v>
      </c>
      <c r="B1831" s="190">
        <v>45901</v>
      </c>
      <c r="C1831" s="260" t="s">
        <v>749</v>
      </c>
      <c r="D1831" s="197">
        <v>100</v>
      </c>
      <c r="E1831" s="197">
        <v>5005</v>
      </c>
      <c r="F1831" s="197">
        <v>49</v>
      </c>
      <c r="G1831" s="190">
        <v>45901</v>
      </c>
      <c r="H1831" s="196">
        <v>0</v>
      </c>
      <c r="I1831" s="197">
        <v>4900</v>
      </c>
      <c r="J1831" s="197">
        <v>4900</v>
      </c>
      <c r="K1831" s="197">
        <v>0</v>
      </c>
      <c r="L1831" s="197">
        <v>-105</v>
      </c>
      <c r="M1831" s="260" t="s">
        <v>239</v>
      </c>
      <c r="N1831" s="260" t="s">
        <v>514</v>
      </c>
    </row>
    <row r="1832" spans="1:14" ht="14.5" x14ac:dyDescent="0.35">
      <c r="A1832" s="260" t="s">
        <v>565</v>
      </c>
      <c r="B1832" s="190">
        <v>45901</v>
      </c>
      <c r="C1832" s="260" t="s">
        <v>752</v>
      </c>
      <c r="D1832" s="197">
        <v>100</v>
      </c>
      <c r="E1832" s="197">
        <v>20020</v>
      </c>
      <c r="F1832" s="197">
        <v>186</v>
      </c>
      <c r="G1832" s="190">
        <v>45901</v>
      </c>
      <c r="H1832" s="196">
        <v>0</v>
      </c>
      <c r="I1832" s="197">
        <v>18600</v>
      </c>
      <c r="J1832" s="197">
        <v>18600</v>
      </c>
      <c r="K1832" s="197">
        <v>300</v>
      </c>
      <c r="L1832" s="197">
        <v>-1420</v>
      </c>
      <c r="M1832" s="260" t="s">
        <v>239</v>
      </c>
      <c r="N1832" s="260" t="s">
        <v>514</v>
      </c>
    </row>
    <row r="1833" spans="1:14" ht="14.5" x14ac:dyDescent="0.35">
      <c r="A1833" s="260" t="s">
        <v>565</v>
      </c>
      <c r="B1833" s="190">
        <v>45901</v>
      </c>
      <c r="C1833" s="260" t="s">
        <v>754</v>
      </c>
      <c r="D1833" s="197">
        <v>50</v>
      </c>
      <c r="E1833" s="197">
        <v>4104</v>
      </c>
      <c r="F1833" s="197">
        <v>86</v>
      </c>
      <c r="G1833" s="190">
        <v>45901</v>
      </c>
      <c r="H1833" s="196">
        <v>0</v>
      </c>
      <c r="I1833" s="197">
        <v>4300</v>
      </c>
      <c r="J1833" s="197">
        <v>4300</v>
      </c>
      <c r="K1833" s="197">
        <v>0</v>
      </c>
      <c r="L1833" s="197">
        <v>196</v>
      </c>
      <c r="M1833" s="260" t="s">
        <v>239</v>
      </c>
      <c r="N1833" s="260" t="s">
        <v>514</v>
      </c>
    </row>
    <row r="1834" spans="1:14" ht="14.5" x14ac:dyDescent="0.35">
      <c r="A1834" s="260" t="s">
        <v>565</v>
      </c>
      <c r="B1834" s="190">
        <v>45902</v>
      </c>
      <c r="C1834" s="260" t="s">
        <v>749</v>
      </c>
      <c r="D1834" s="197">
        <v>100</v>
      </c>
      <c r="E1834" s="197">
        <v>5005</v>
      </c>
      <c r="F1834" s="197">
        <v>49.17</v>
      </c>
      <c r="G1834" s="190">
        <v>45902</v>
      </c>
      <c r="H1834" s="196">
        <v>0</v>
      </c>
      <c r="I1834" s="197">
        <v>4917</v>
      </c>
      <c r="J1834" s="197">
        <v>4917</v>
      </c>
      <c r="K1834" s="197">
        <v>0</v>
      </c>
      <c r="L1834" s="197">
        <v>-88</v>
      </c>
      <c r="M1834" s="260" t="s">
        <v>239</v>
      </c>
      <c r="N1834" s="260" t="s">
        <v>514</v>
      </c>
    </row>
    <row r="1835" spans="1:14" ht="14.5" x14ac:dyDescent="0.35">
      <c r="A1835" s="260" t="s">
        <v>565</v>
      </c>
      <c r="B1835" s="190">
        <v>45902</v>
      </c>
      <c r="C1835" s="260" t="s">
        <v>752</v>
      </c>
      <c r="D1835" s="197">
        <v>100</v>
      </c>
      <c r="E1835" s="197">
        <v>20020</v>
      </c>
      <c r="F1835" s="197">
        <v>185.69</v>
      </c>
      <c r="G1835" s="190">
        <v>45902</v>
      </c>
      <c r="H1835" s="196">
        <v>0</v>
      </c>
      <c r="I1835" s="197">
        <v>18569</v>
      </c>
      <c r="J1835" s="197">
        <v>18569</v>
      </c>
      <c r="K1835" s="197">
        <v>300</v>
      </c>
      <c r="L1835" s="197">
        <v>-1451</v>
      </c>
      <c r="M1835" s="260" t="s">
        <v>239</v>
      </c>
      <c r="N1835" s="260" t="s">
        <v>514</v>
      </c>
    </row>
    <row r="1836" spans="1:14" ht="14.5" x14ac:dyDescent="0.35">
      <c r="A1836" s="260" t="s">
        <v>565</v>
      </c>
      <c r="B1836" s="190">
        <v>45902</v>
      </c>
      <c r="C1836" s="260" t="s">
        <v>754</v>
      </c>
      <c r="D1836" s="197">
        <v>50</v>
      </c>
      <c r="E1836" s="197">
        <v>4104</v>
      </c>
      <c r="F1836" s="197">
        <v>85.86</v>
      </c>
      <c r="G1836" s="190">
        <v>45902</v>
      </c>
      <c r="H1836" s="196">
        <v>0</v>
      </c>
      <c r="I1836" s="197">
        <v>4293</v>
      </c>
      <c r="J1836" s="197">
        <v>4293</v>
      </c>
      <c r="K1836" s="197">
        <v>0</v>
      </c>
      <c r="L1836" s="197">
        <v>189</v>
      </c>
      <c r="M1836" s="260" t="s">
        <v>239</v>
      </c>
      <c r="N1836" s="260" t="s">
        <v>514</v>
      </c>
    </row>
    <row r="1837" spans="1:14" ht="14.5" x14ac:dyDescent="0.35">
      <c r="A1837" s="260" t="s">
        <v>565</v>
      </c>
      <c r="B1837" s="190">
        <v>45903</v>
      </c>
      <c r="C1837" s="260" t="s">
        <v>749</v>
      </c>
      <c r="D1837" s="197">
        <v>100</v>
      </c>
      <c r="E1837" s="197">
        <v>5005</v>
      </c>
      <c r="F1837" s="197">
        <v>49.34</v>
      </c>
      <c r="G1837" s="190">
        <v>45903</v>
      </c>
      <c r="H1837" s="196">
        <v>0</v>
      </c>
      <c r="I1837" s="197">
        <v>4934</v>
      </c>
      <c r="J1837" s="197">
        <v>4934</v>
      </c>
      <c r="K1837" s="197">
        <v>0</v>
      </c>
      <c r="L1837" s="197">
        <v>-71</v>
      </c>
      <c r="M1837" s="260" t="s">
        <v>239</v>
      </c>
      <c r="N1837" s="260" t="s">
        <v>514</v>
      </c>
    </row>
    <row r="1838" spans="1:14" ht="14.5" x14ac:dyDescent="0.35">
      <c r="A1838" s="260" t="s">
        <v>565</v>
      </c>
      <c r="B1838" s="190">
        <v>45903</v>
      </c>
      <c r="C1838" s="260" t="s">
        <v>752</v>
      </c>
      <c r="D1838" s="197">
        <v>100</v>
      </c>
      <c r="E1838" s="197">
        <v>20020</v>
      </c>
      <c r="F1838" s="197">
        <v>185.38</v>
      </c>
      <c r="G1838" s="190">
        <v>45903</v>
      </c>
      <c r="H1838" s="196">
        <v>0</v>
      </c>
      <c r="I1838" s="197">
        <v>18538</v>
      </c>
      <c r="J1838" s="197">
        <v>18538</v>
      </c>
      <c r="K1838" s="197">
        <v>300</v>
      </c>
      <c r="L1838" s="197">
        <v>-1482</v>
      </c>
      <c r="M1838" s="260" t="s">
        <v>239</v>
      </c>
      <c r="N1838" s="260" t="s">
        <v>514</v>
      </c>
    </row>
    <row r="1839" spans="1:14" ht="14.5" x14ac:dyDescent="0.35">
      <c r="A1839" s="260" t="s">
        <v>565</v>
      </c>
      <c r="B1839" s="190">
        <v>45903</v>
      </c>
      <c r="C1839" s="260" t="s">
        <v>754</v>
      </c>
      <c r="D1839" s="197">
        <v>50</v>
      </c>
      <c r="E1839" s="197">
        <v>4104</v>
      </c>
      <c r="F1839" s="197">
        <v>85.72</v>
      </c>
      <c r="G1839" s="190">
        <v>45903</v>
      </c>
      <c r="H1839" s="196">
        <v>0</v>
      </c>
      <c r="I1839" s="197">
        <v>4286</v>
      </c>
      <c r="J1839" s="197">
        <v>4286</v>
      </c>
      <c r="K1839" s="197">
        <v>0</v>
      </c>
      <c r="L1839" s="197">
        <v>182</v>
      </c>
      <c r="M1839" s="260" t="s">
        <v>239</v>
      </c>
      <c r="N1839" s="260" t="s">
        <v>514</v>
      </c>
    </row>
    <row r="1840" spans="1:14" ht="14.5" x14ac:dyDescent="0.35">
      <c r="A1840" s="260" t="s">
        <v>565</v>
      </c>
      <c r="B1840" s="190">
        <v>45904</v>
      </c>
      <c r="C1840" s="260" t="s">
        <v>749</v>
      </c>
      <c r="D1840" s="197">
        <v>100</v>
      </c>
      <c r="E1840" s="197">
        <v>5005</v>
      </c>
      <c r="F1840" s="197">
        <v>49.52</v>
      </c>
      <c r="G1840" s="190">
        <v>45904</v>
      </c>
      <c r="H1840" s="196">
        <v>0</v>
      </c>
      <c r="I1840" s="197">
        <v>4952</v>
      </c>
      <c r="J1840" s="197">
        <v>4952</v>
      </c>
      <c r="K1840" s="197">
        <v>0</v>
      </c>
      <c r="L1840" s="197">
        <v>-53</v>
      </c>
      <c r="M1840" s="260" t="s">
        <v>239</v>
      </c>
      <c r="N1840" s="260" t="s">
        <v>514</v>
      </c>
    </row>
    <row r="1841" spans="1:14" ht="14.5" x14ac:dyDescent="0.35">
      <c r="A1841" s="260" t="s">
        <v>565</v>
      </c>
      <c r="B1841" s="190">
        <v>45904</v>
      </c>
      <c r="C1841" s="260" t="s">
        <v>752</v>
      </c>
      <c r="D1841" s="197">
        <v>100</v>
      </c>
      <c r="E1841" s="197">
        <v>20020</v>
      </c>
      <c r="F1841" s="197">
        <v>185.07</v>
      </c>
      <c r="G1841" s="190">
        <v>45904</v>
      </c>
      <c r="H1841" s="196">
        <v>0</v>
      </c>
      <c r="I1841" s="197">
        <v>18507</v>
      </c>
      <c r="J1841" s="197">
        <v>18507</v>
      </c>
      <c r="K1841" s="197">
        <v>300</v>
      </c>
      <c r="L1841" s="197">
        <v>-1513</v>
      </c>
      <c r="M1841" s="260" t="s">
        <v>239</v>
      </c>
      <c r="N1841" s="260" t="s">
        <v>514</v>
      </c>
    </row>
    <row r="1842" spans="1:14" ht="14.5" x14ac:dyDescent="0.35">
      <c r="A1842" s="260" t="s">
        <v>565</v>
      </c>
      <c r="B1842" s="190">
        <v>45904</v>
      </c>
      <c r="C1842" s="260" t="s">
        <v>754</v>
      </c>
      <c r="D1842" s="197">
        <v>50</v>
      </c>
      <c r="E1842" s="197">
        <v>4104</v>
      </c>
      <c r="F1842" s="197">
        <v>85.59</v>
      </c>
      <c r="G1842" s="190">
        <v>45904</v>
      </c>
      <c r="H1842" s="196">
        <v>0</v>
      </c>
      <c r="I1842" s="197">
        <v>4279.5</v>
      </c>
      <c r="J1842" s="197">
        <v>4279.5</v>
      </c>
      <c r="K1842" s="197">
        <v>0</v>
      </c>
      <c r="L1842" s="197">
        <v>175.5</v>
      </c>
      <c r="M1842" s="260" t="s">
        <v>239</v>
      </c>
      <c r="N1842" s="260" t="s">
        <v>514</v>
      </c>
    </row>
    <row r="1843" spans="1:14" ht="14.5" x14ac:dyDescent="0.35">
      <c r="A1843" s="260" t="s">
        <v>565</v>
      </c>
      <c r="B1843" s="190">
        <v>45905</v>
      </c>
      <c r="C1843" s="260" t="s">
        <v>749</v>
      </c>
      <c r="D1843" s="197">
        <v>100</v>
      </c>
      <c r="E1843" s="197">
        <v>5005</v>
      </c>
      <c r="F1843" s="197">
        <v>49.69</v>
      </c>
      <c r="G1843" s="190">
        <v>45905</v>
      </c>
      <c r="H1843" s="196">
        <v>0</v>
      </c>
      <c r="I1843" s="197">
        <v>4969</v>
      </c>
      <c r="J1843" s="197">
        <v>4969</v>
      </c>
      <c r="K1843" s="197">
        <v>0</v>
      </c>
      <c r="L1843" s="197">
        <v>-36</v>
      </c>
      <c r="M1843" s="260" t="s">
        <v>239</v>
      </c>
      <c r="N1843" s="260" t="s">
        <v>514</v>
      </c>
    </row>
    <row r="1844" spans="1:14" ht="14.5" x14ac:dyDescent="0.35">
      <c r="A1844" s="260" t="s">
        <v>565</v>
      </c>
      <c r="B1844" s="190">
        <v>45905</v>
      </c>
      <c r="C1844" s="260" t="s">
        <v>752</v>
      </c>
      <c r="D1844" s="197">
        <v>100</v>
      </c>
      <c r="E1844" s="197">
        <v>20020</v>
      </c>
      <c r="F1844" s="197">
        <v>184.76</v>
      </c>
      <c r="G1844" s="190">
        <v>45905</v>
      </c>
      <c r="H1844" s="196">
        <v>0</v>
      </c>
      <c r="I1844" s="197">
        <v>18476</v>
      </c>
      <c r="J1844" s="197">
        <v>18476</v>
      </c>
      <c r="K1844" s="197">
        <v>300</v>
      </c>
      <c r="L1844" s="197">
        <v>-1544</v>
      </c>
      <c r="M1844" s="260" t="s">
        <v>239</v>
      </c>
      <c r="N1844" s="260" t="s">
        <v>514</v>
      </c>
    </row>
    <row r="1845" spans="1:14" ht="14.5" x14ac:dyDescent="0.35">
      <c r="A1845" s="260" t="s">
        <v>565</v>
      </c>
      <c r="B1845" s="190">
        <v>45905</v>
      </c>
      <c r="C1845" s="260" t="s">
        <v>754</v>
      </c>
      <c r="D1845" s="197">
        <v>50</v>
      </c>
      <c r="E1845" s="197">
        <v>4104</v>
      </c>
      <c r="F1845" s="197">
        <v>85.45</v>
      </c>
      <c r="G1845" s="190">
        <v>45905</v>
      </c>
      <c r="H1845" s="196">
        <v>0</v>
      </c>
      <c r="I1845" s="197">
        <v>4272.5</v>
      </c>
      <c r="J1845" s="197">
        <v>4272.5</v>
      </c>
      <c r="K1845" s="197">
        <v>0</v>
      </c>
      <c r="L1845" s="197">
        <v>168.5</v>
      </c>
      <c r="M1845" s="260" t="s">
        <v>239</v>
      </c>
      <c r="N1845" s="260" t="s">
        <v>514</v>
      </c>
    </row>
    <row r="1846" spans="1:14" ht="14.5" x14ac:dyDescent="0.35">
      <c r="A1846" s="260" t="s">
        <v>565</v>
      </c>
      <c r="B1846" s="190">
        <v>45906</v>
      </c>
      <c r="C1846" s="260" t="s">
        <v>749</v>
      </c>
      <c r="D1846" s="197">
        <v>100</v>
      </c>
      <c r="E1846" s="197">
        <v>5005</v>
      </c>
      <c r="F1846" s="197">
        <v>49.69</v>
      </c>
      <c r="G1846" s="190">
        <v>45905</v>
      </c>
      <c r="H1846" s="196">
        <v>1</v>
      </c>
      <c r="I1846" s="197">
        <v>4969</v>
      </c>
      <c r="J1846" s="197">
        <v>4969</v>
      </c>
      <c r="K1846" s="197">
        <v>0</v>
      </c>
      <c r="L1846" s="197">
        <v>-36</v>
      </c>
      <c r="M1846" s="260" t="s">
        <v>239</v>
      </c>
      <c r="N1846" s="260" t="s">
        <v>514</v>
      </c>
    </row>
    <row r="1847" spans="1:14" ht="14.5" x14ac:dyDescent="0.35">
      <c r="A1847" s="260" t="s">
        <v>565</v>
      </c>
      <c r="B1847" s="190">
        <v>45906</v>
      </c>
      <c r="C1847" s="260" t="s">
        <v>752</v>
      </c>
      <c r="D1847" s="197">
        <v>100</v>
      </c>
      <c r="E1847" s="197">
        <v>20020</v>
      </c>
      <c r="F1847" s="197">
        <v>184.76</v>
      </c>
      <c r="G1847" s="190">
        <v>45905</v>
      </c>
      <c r="H1847" s="196">
        <v>1</v>
      </c>
      <c r="I1847" s="197">
        <v>18476</v>
      </c>
      <c r="J1847" s="197">
        <v>18476</v>
      </c>
      <c r="K1847" s="197">
        <v>300</v>
      </c>
      <c r="L1847" s="197">
        <v>-1544</v>
      </c>
      <c r="M1847" s="260" t="s">
        <v>239</v>
      </c>
      <c r="N1847" s="260" t="s">
        <v>514</v>
      </c>
    </row>
    <row r="1848" spans="1:14" ht="14.5" x14ac:dyDescent="0.35">
      <c r="A1848" s="260" t="s">
        <v>565</v>
      </c>
      <c r="B1848" s="190">
        <v>45906</v>
      </c>
      <c r="C1848" s="260" t="s">
        <v>754</v>
      </c>
      <c r="D1848" s="197">
        <v>50</v>
      </c>
      <c r="E1848" s="197">
        <v>4104</v>
      </c>
      <c r="F1848" s="197">
        <v>85.45</v>
      </c>
      <c r="G1848" s="190">
        <v>45905</v>
      </c>
      <c r="H1848" s="196">
        <v>1</v>
      </c>
      <c r="I1848" s="197">
        <v>4272.5</v>
      </c>
      <c r="J1848" s="197">
        <v>4272.5</v>
      </c>
      <c r="K1848" s="197">
        <v>0</v>
      </c>
      <c r="L1848" s="197">
        <v>168.5</v>
      </c>
      <c r="M1848" s="260" t="s">
        <v>239</v>
      </c>
      <c r="N1848" s="260" t="s">
        <v>514</v>
      </c>
    </row>
    <row r="1849" spans="1:14" ht="14.5" x14ac:dyDescent="0.35">
      <c r="A1849" s="260" t="s">
        <v>565</v>
      </c>
      <c r="B1849" s="190">
        <v>45907</v>
      </c>
      <c r="C1849" s="260" t="s">
        <v>749</v>
      </c>
      <c r="D1849" s="197">
        <v>100</v>
      </c>
      <c r="E1849" s="197">
        <v>5005</v>
      </c>
      <c r="F1849" s="197">
        <v>49.69</v>
      </c>
      <c r="G1849" s="190">
        <v>45905</v>
      </c>
      <c r="H1849" s="196">
        <v>2</v>
      </c>
      <c r="I1849" s="197">
        <v>4969</v>
      </c>
      <c r="J1849" s="197">
        <v>4969</v>
      </c>
      <c r="K1849" s="197">
        <v>0</v>
      </c>
      <c r="L1849" s="197">
        <v>-36</v>
      </c>
      <c r="M1849" s="260" t="s">
        <v>239</v>
      </c>
      <c r="N1849" s="260" t="s">
        <v>514</v>
      </c>
    </row>
    <row r="1850" spans="1:14" ht="14.5" x14ac:dyDescent="0.35">
      <c r="A1850" s="260" t="s">
        <v>565</v>
      </c>
      <c r="B1850" s="190">
        <v>45907</v>
      </c>
      <c r="C1850" s="260" t="s">
        <v>752</v>
      </c>
      <c r="D1850" s="197">
        <v>100</v>
      </c>
      <c r="E1850" s="197">
        <v>20020</v>
      </c>
      <c r="F1850" s="197">
        <v>184.76</v>
      </c>
      <c r="G1850" s="190">
        <v>45905</v>
      </c>
      <c r="H1850" s="196">
        <v>2</v>
      </c>
      <c r="I1850" s="197">
        <v>18476</v>
      </c>
      <c r="J1850" s="197">
        <v>18476</v>
      </c>
      <c r="K1850" s="197">
        <v>300</v>
      </c>
      <c r="L1850" s="197">
        <v>-1544</v>
      </c>
      <c r="M1850" s="260" t="s">
        <v>239</v>
      </c>
      <c r="N1850" s="260" t="s">
        <v>514</v>
      </c>
    </row>
    <row r="1851" spans="1:14" ht="14.5" x14ac:dyDescent="0.35">
      <c r="A1851" s="260" t="s">
        <v>565</v>
      </c>
      <c r="B1851" s="190">
        <v>45907</v>
      </c>
      <c r="C1851" s="260" t="s">
        <v>754</v>
      </c>
      <c r="D1851" s="197">
        <v>50</v>
      </c>
      <c r="E1851" s="197">
        <v>4104</v>
      </c>
      <c r="F1851" s="197">
        <v>85.45</v>
      </c>
      <c r="G1851" s="190">
        <v>45905</v>
      </c>
      <c r="H1851" s="196">
        <v>2</v>
      </c>
      <c r="I1851" s="197">
        <v>4272.5</v>
      </c>
      <c r="J1851" s="197">
        <v>4272.5</v>
      </c>
      <c r="K1851" s="197">
        <v>0</v>
      </c>
      <c r="L1851" s="197">
        <v>168.5</v>
      </c>
      <c r="M1851" s="260" t="s">
        <v>239</v>
      </c>
      <c r="N1851" s="260" t="s">
        <v>514</v>
      </c>
    </row>
    <row r="1852" spans="1:14" ht="14.5" x14ac:dyDescent="0.35">
      <c r="A1852" s="260" t="s">
        <v>565</v>
      </c>
      <c r="B1852" s="190">
        <v>45908</v>
      </c>
      <c r="C1852" s="260" t="s">
        <v>749</v>
      </c>
      <c r="D1852" s="197">
        <v>100</v>
      </c>
      <c r="E1852" s="197">
        <v>5005</v>
      </c>
      <c r="F1852" s="197">
        <v>50.21</v>
      </c>
      <c r="G1852" s="190">
        <v>45908</v>
      </c>
      <c r="H1852" s="196">
        <v>0</v>
      </c>
      <c r="I1852" s="197">
        <v>5021</v>
      </c>
      <c r="J1852" s="197">
        <v>5021</v>
      </c>
      <c r="K1852" s="197">
        <v>0</v>
      </c>
      <c r="L1852" s="197">
        <v>16</v>
      </c>
      <c r="M1852" s="260" t="s">
        <v>239</v>
      </c>
      <c r="N1852" s="260" t="s">
        <v>514</v>
      </c>
    </row>
    <row r="1853" spans="1:14" ht="14.5" x14ac:dyDescent="0.35">
      <c r="A1853" s="260" t="s">
        <v>565</v>
      </c>
      <c r="B1853" s="190">
        <v>45908</v>
      </c>
      <c r="C1853" s="260" t="s">
        <v>752</v>
      </c>
      <c r="D1853" s="197">
        <v>100</v>
      </c>
      <c r="E1853" s="197">
        <v>20020</v>
      </c>
      <c r="F1853" s="197">
        <v>183.83</v>
      </c>
      <c r="G1853" s="190">
        <v>45908</v>
      </c>
      <c r="H1853" s="196">
        <v>0</v>
      </c>
      <c r="I1853" s="197">
        <v>18383</v>
      </c>
      <c r="J1853" s="197">
        <v>18383</v>
      </c>
      <c r="K1853" s="197">
        <v>300</v>
      </c>
      <c r="L1853" s="197">
        <v>-1637</v>
      </c>
      <c r="M1853" s="260" t="s">
        <v>239</v>
      </c>
      <c r="N1853" s="260" t="s">
        <v>514</v>
      </c>
    </row>
    <row r="1854" spans="1:14" ht="14.5" x14ac:dyDescent="0.35">
      <c r="A1854" s="260" t="s">
        <v>565</v>
      </c>
      <c r="B1854" s="190">
        <v>45908</v>
      </c>
      <c r="C1854" s="260" t="s">
        <v>754</v>
      </c>
      <c r="D1854" s="197">
        <v>50</v>
      </c>
      <c r="E1854" s="197">
        <v>4104</v>
      </c>
      <c r="F1854" s="197">
        <v>85.03</v>
      </c>
      <c r="G1854" s="190">
        <v>45908</v>
      </c>
      <c r="H1854" s="196">
        <v>0</v>
      </c>
      <c r="I1854" s="197">
        <v>4251.5</v>
      </c>
      <c r="J1854" s="197">
        <v>4251.5</v>
      </c>
      <c r="K1854" s="197">
        <v>0</v>
      </c>
      <c r="L1854" s="197">
        <v>147.5</v>
      </c>
      <c r="M1854" s="260" t="s">
        <v>239</v>
      </c>
      <c r="N1854" s="260" t="s">
        <v>514</v>
      </c>
    </row>
    <row r="1855" spans="1:14" ht="14.5" x14ac:dyDescent="0.35">
      <c r="A1855" s="260" t="s">
        <v>565</v>
      </c>
      <c r="B1855" s="190">
        <v>45909</v>
      </c>
      <c r="C1855" s="260" t="s">
        <v>749</v>
      </c>
      <c r="D1855" s="197">
        <v>100</v>
      </c>
      <c r="E1855" s="197">
        <v>5005</v>
      </c>
      <c r="F1855" s="197">
        <v>50.38</v>
      </c>
      <c r="G1855" s="190">
        <v>45909</v>
      </c>
      <c r="H1855" s="196">
        <v>0</v>
      </c>
      <c r="I1855" s="197">
        <v>5038</v>
      </c>
      <c r="J1855" s="197">
        <v>5038</v>
      </c>
      <c r="K1855" s="197">
        <v>0</v>
      </c>
      <c r="L1855" s="197">
        <v>33</v>
      </c>
      <c r="M1855" s="260" t="s">
        <v>239</v>
      </c>
      <c r="N1855" s="260" t="s">
        <v>514</v>
      </c>
    </row>
    <row r="1856" spans="1:14" ht="14.5" x14ac:dyDescent="0.35">
      <c r="A1856" s="260" t="s">
        <v>565</v>
      </c>
      <c r="B1856" s="190">
        <v>45909</v>
      </c>
      <c r="C1856" s="260" t="s">
        <v>752</v>
      </c>
      <c r="D1856" s="197">
        <v>100</v>
      </c>
      <c r="E1856" s="197">
        <v>20020</v>
      </c>
      <c r="F1856" s="197">
        <v>183.52</v>
      </c>
      <c r="G1856" s="190">
        <v>45909</v>
      </c>
      <c r="H1856" s="196">
        <v>0</v>
      </c>
      <c r="I1856" s="197">
        <v>18352</v>
      </c>
      <c r="J1856" s="197">
        <v>18352</v>
      </c>
      <c r="K1856" s="197">
        <v>300</v>
      </c>
      <c r="L1856" s="197">
        <v>-1668</v>
      </c>
      <c r="M1856" s="260" t="s">
        <v>239</v>
      </c>
      <c r="N1856" s="260" t="s">
        <v>514</v>
      </c>
    </row>
    <row r="1857" spans="1:14" ht="14.5" x14ac:dyDescent="0.35">
      <c r="A1857" s="260" t="s">
        <v>565</v>
      </c>
      <c r="B1857" s="190">
        <v>45909</v>
      </c>
      <c r="C1857" s="260" t="s">
        <v>754</v>
      </c>
      <c r="D1857" s="197">
        <v>50</v>
      </c>
      <c r="E1857" s="197">
        <v>4104</v>
      </c>
      <c r="F1857" s="197">
        <v>84.9</v>
      </c>
      <c r="G1857" s="190">
        <v>45909</v>
      </c>
      <c r="H1857" s="196">
        <v>0</v>
      </c>
      <c r="I1857" s="197">
        <v>4245</v>
      </c>
      <c r="J1857" s="197">
        <v>4245</v>
      </c>
      <c r="K1857" s="197">
        <v>0</v>
      </c>
      <c r="L1857" s="197">
        <v>141</v>
      </c>
      <c r="M1857" s="260" t="s">
        <v>239</v>
      </c>
      <c r="N1857" s="260" t="s">
        <v>514</v>
      </c>
    </row>
    <row r="1858" spans="1:14" ht="14.5" x14ac:dyDescent="0.35">
      <c r="A1858" s="260" t="s">
        <v>565</v>
      </c>
      <c r="B1858" s="190">
        <v>45910</v>
      </c>
      <c r="C1858" s="260" t="s">
        <v>749</v>
      </c>
      <c r="D1858" s="197">
        <v>100</v>
      </c>
      <c r="E1858" s="197">
        <v>5005</v>
      </c>
      <c r="F1858" s="197">
        <v>50.55</v>
      </c>
      <c r="G1858" s="190">
        <v>45910</v>
      </c>
      <c r="H1858" s="196">
        <v>0</v>
      </c>
      <c r="I1858" s="197">
        <v>5055</v>
      </c>
      <c r="J1858" s="197">
        <v>5055</v>
      </c>
      <c r="K1858" s="197">
        <v>0</v>
      </c>
      <c r="L1858" s="197">
        <v>50</v>
      </c>
      <c r="M1858" s="260" t="s">
        <v>239</v>
      </c>
      <c r="N1858" s="260" t="s">
        <v>514</v>
      </c>
    </row>
    <row r="1859" spans="1:14" ht="14.5" x14ac:dyDescent="0.35">
      <c r="A1859" s="260" t="s">
        <v>565</v>
      </c>
      <c r="B1859" s="190">
        <v>45910</v>
      </c>
      <c r="C1859" s="260" t="s">
        <v>752</v>
      </c>
      <c r="D1859" s="197">
        <v>100</v>
      </c>
      <c r="E1859" s="197">
        <v>20020</v>
      </c>
      <c r="F1859" s="197">
        <v>183.21</v>
      </c>
      <c r="G1859" s="190">
        <v>45910</v>
      </c>
      <c r="H1859" s="196">
        <v>0</v>
      </c>
      <c r="I1859" s="197">
        <v>18321</v>
      </c>
      <c r="J1859" s="197">
        <v>18321</v>
      </c>
      <c r="K1859" s="197">
        <v>300</v>
      </c>
      <c r="L1859" s="197">
        <v>-1699</v>
      </c>
      <c r="M1859" s="260" t="s">
        <v>239</v>
      </c>
      <c r="N1859" s="260" t="s">
        <v>514</v>
      </c>
    </row>
    <row r="1860" spans="1:14" ht="14.5" x14ac:dyDescent="0.35">
      <c r="A1860" s="260" t="s">
        <v>565</v>
      </c>
      <c r="B1860" s="190">
        <v>45910</v>
      </c>
      <c r="C1860" s="260" t="s">
        <v>754</v>
      </c>
      <c r="D1860" s="197">
        <v>50</v>
      </c>
      <c r="E1860" s="197">
        <v>4104</v>
      </c>
      <c r="F1860" s="197">
        <v>84.76</v>
      </c>
      <c r="G1860" s="190">
        <v>45910</v>
      </c>
      <c r="H1860" s="196">
        <v>0</v>
      </c>
      <c r="I1860" s="197">
        <v>4238</v>
      </c>
      <c r="J1860" s="197">
        <v>4238</v>
      </c>
      <c r="K1860" s="197">
        <v>0</v>
      </c>
      <c r="L1860" s="197">
        <v>134</v>
      </c>
      <c r="M1860" s="260" t="s">
        <v>239</v>
      </c>
      <c r="N1860" s="260" t="s">
        <v>514</v>
      </c>
    </row>
    <row r="1861" spans="1:14" ht="14.5" x14ac:dyDescent="0.35">
      <c r="A1861" s="260" t="s">
        <v>565</v>
      </c>
      <c r="B1861" s="190">
        <v>45911</v>
      </c>
      <c r="C1861" s="260" t="s">
        <v>749</v>
      </c>
      <c r="D1861" s="197">
        <v>100</v>
      </c>
      <c r="E1861" s="197">
        <v>5005</v>
      </c>
      <c r="F1861" s="197">
        <v>50.72</v>
      </c>
      <c r="G1861" s="190">
        <v>45911</v>
      </c>
      <c r="H1861" s="196">
        <v>0</v>
      </c>
      <c r="I1861" s="197">
        <v>5072</v>
      </c>
      <c r="J1861" s="197">
        <v>5072</v>
      </c>
      <c r="K1861" s="197">
        <v>0</v>
      </c>
      <c r="L1861" s="197">
        <v>67</v>
      </c>
      <c r="M1861" s="260" t="s">
        <v>239</v>
      </c>
      <c r="N1861" s="260" t="s">
        <v>514</v>
      </c>
    </row>
    <row r="1862" spans="1:14" ht="14.5" x14ac:dyDescent="0.35">
      <c r="A1862" s="260" t="s">
        <v>565</v>
      </c>
      <c r="B1862" s="190">
        <v>45911</v>
      </c>
      <c r="C1862" s="260" t="s">
        <v>752</v>
      </c>
      <c r="D1862" s="197">
        <v>100</v>
      </c>
      <c r="E1862" s="197">
        <v>20020</v>
      </c>
      <c r="F1862" s="197">
        <v>182.9</v>
      </c>
      <c r="G1862" s="190">
        <v>45911</v>
      </c>
      <c r="H1862" s="196">
        <v>0</v>
      </c>
      <c r="I1862" s="197">
        <v>18290</v>
      </c>
      <c r="J1862" s="197">
        <v>18290</v>
      </c>
      <c r="K1862" s="197">
        <v>300</v>
      </c>
      <c r="L1862" s="197">
        <v>-1730</v>
      </c>
      <c r="M1862" s="260" t="s">
        <v>239</v>
      </c>
      <c r="N1862" s="260" t="s">
        <v>514</v>
      </c>
    </row>
    <row r="1863" spans="1:14" ht="14.5" x14ac:dyDescent="0.35">
      <c r="A1863" s="260" t="s">
        <v>565</v>
      </c>
      <c r="B1863" s="190">
        <v>45911</v>
      </c>
      <c r="C1863" s="260" t="s">
        <v>754</v>
      </c>
      <c r="D1863" s="197">
        <v>50</v>
      </c>
      <c r="E1863" s="197">
        <v>4104</v>
      </c>
      <c r="F1863" s="197">
        <v>84.62</v>
      </c>
      <c r="G1863" s="190">
        <v>45911</v>
      </c>
      <c r="H1863" s="196">
        <v>0</v>
      </c>
      <c r="I1863" s="197">
        <v>4231</v>
      </c>
      <c r="J1863" s="197">
        <v>4231</v>
      </c>
      <c r="K1863" s="197">
        <v>0</v>
      </c>
      <c r="L1863" s="197">
        <v>127</v>
      </c>
      <c r="M1863" s="260" t="s">
        <v>239</v>
      </c>
      <c r="N1863" s="260" t="s">
        <v>514</v>
      </c>
    </row>
    <row r="1864" spans="1:14" ht="14.5" x14ac:dyDescent="0.35">
      <c r="A1864" s="260" t="s">
        <v>565</v>
      </c>
      <c r="B1864" s="190">
        <v>45912</v>
      </c>
      <c r="C1864" s="260" t="s">
        <v>749</v>
      </c>
      <c r="D1864" s="197">
        <v>100</v>
      </c>
      <c r="E1864" s="197">
        <v>5005</v>
      </c>
      <c r="F1864" s="197">
        <v>50.9</v>
      </c>
      <c r="G1864" s="190">
        <v>45912</v>
      </c>
      <c r="H1864" s="196">
        <v>0</v>
      </c>
      <c r="I1864" s="197">
        <v>5090</v>
      </c>
      <c r="J1864" s="197">
        <v>5090</v>
      </c>
      <c r="K1864" s="197">
        <v>0</v>
      </c>
      <c r="L1864" s="197">
        <v>85</v>
      </c>
      <c r="M1864" s="260" t="s">
        <v>239</v>
      </c>
      <c r="N1864" s="260" t="s">
        <v>514</v>
      </c>
    </row>
    <row r="1865" spans="1:14" ht="14.5" x14ac:dyDescent="0.35">
      <c r="A1865" s="260" t="s">
        <v>565</v>
      </c>
      <c r="B1865" s="190">
        <v>45912</v>
      </c>
      <c r="C1865" s="260" t="s">
        <v>752</v>
      </c>
      <c r="D1865" s="197">
        <v>100</v>
      </c>
      <c r="E1865" s="197">
        <v>20020</v>
      </c>
      <c r="F1865" s="197">
        <v>182.59</v>
      </c>
      <c r="G1865" s="190">
        <v>45912</v>
      </c>
      <c r="H1865" s="196">
        <v>0</v>
      </c>
      <c r="I1865" s="197">
        <v>18259</v>
      </c>
      <c r="J1865" s="197">
        <v>18259</v>
      </c>
      <c r="K1865" s="197">
        <v>300</v>
      </c>
      <c r="L1865" s="197">
        <v>-1761</v>
      </c>
      <c r="M1865" s="260" t="s">
        <v>239</v>
      </c>
      <c r="N1865" s="260" t="s">
        <v>514</v>
      </c>
    </row>
    <row r="1866" spans="1:14" ht="14.5" x14ac:dyDescent="0.35">
      <c r="A1866" s="260" t="s">
        <v>565</v>
      </c>
      <c r="B1866" s="190">
        <v>45912</v>
      </c>
      <c r="C1866" s="260" t="s">
        <v>754</v>
      </c>
      <c r="D1866" s="197">
        <v>50</v>
      </c>
      <c r="E1866" s="197">
        <v>4104</v>
      </c>
      <c r="F1866" s="197">
        <v>84.48</v>
      </c>
      <c r="G1866" s="190">
        <v>45912</v>
      </c>
      <c r="H1866" s="196">
        <v>0</v>
      </c>
      <c r="I1866" s="197">
        <v>4224</v>
      </c>
      <c r="J1866" s="197">
        <v>4224</v>
      </c>
      <c r="K1866" s="197">
        <v>0</v>
      </c>
      <c r="L1866" s="197">
        <v>120</v>
      </c>
      <c r="M1866" s="260" t="s">
        <v>239</v>
      </c>
      <c r="N1866" s="260" t="s">
        <v>514</v>
      </c>
    </row>
    <row r="1867" spans="1:14" ht="14.5" x14ac:dyDescent="0.35">
      <c r="A1867" s="260" t="s">
        <v>565</v>
      </c>
      <c r="B1867" s="190">
        <v>45913</v>
      </c>
      <c r="C1867" s="260" t="s">
        <v>749</v>
      </c>
      <c r="D1867" s="197">
        <v>100</v>
      </c>
      <c r="E1867" s="197">
        <v>5005</v>
      </c>
      <c r="F1867" s="197">
        <v>50.9</v>
      </c>
      <c r="G1867" s="190">
        <v>45912</v>
      </c>
      <c r="H1867" s="196">
        <v>1</v>
      </c>
      <c r="I1867" s="197">
        <v>5090</v>
      </c>
      <c r="J1867" s="197">
        <v>5090</v>
      </c>
      <c r="K1867" s="197">
        <v>0</v>
      </c>
      <c r="L1867" s="197">
        <v>85</v>
      </c>
      <c r="M1867" s="260" t="s">
        <v>239</v>
      </c>
      <c r="N1867" s="260" t="s">
        <v>514</v>
      </c>
    </row>
    <row r="1868" spans="1:14" ht="14.5" x14ac:dyDescent="0.35">
      <c r="A1868" s="260" t="s">
        <v>565</v>
      </c>
      <c r="B1868" s="190">
        <v>45913</v>
      </c>
      <c r="C1868" s="260" t="s">
        <v>752</v>
      </c>
      <c r="D1868" s="197">
        <v>100</v>
      </c>
      <c r="E1868" s="197">
        <v>20020</v>
      </c>
      <c r="F1868" s="197">
        <v>182.59</v>
      </c>
      <c r="G1868" s="190">
        <v>45912</v>
      </c>
      <c r="H1868" s="196">
        <v>1</v>
      </c>
      <c r="I1868" s="197">
        <v>18259</v>
      </c>
      <c r="J1868" s="197">
        <v>18259</v>
      </c>
      <c r="K1868" s="197">
        <v>300</v>
      </c>
      <c r="L1868" s="197">
        <v>-1761</v>
      </c>
      <c r="M1868" s="260" t="s">
        <v>239</v>
      </c>
      <c r="N1868" s="260" t="s">
        <v>514</v>
      </c>
    </row>
    <row r="1869" spans="1:14" ht="14.5" x14ac:dyDescent="0.35">
      <c r="A1869" s="260" t="s">
        <v>565</v>
      </c>
      <c r="B1869" s="190">
        <v>45913</v>
      </c>
      <c r="C1869" s="260" t="s">
        <v>754</v>
      </c>
      <c r="D1869" s="197">
        <v>50</v>
      </c>
      <c r="E1869" s="197">
        <v>4104</v>
      </c>
      <c r="F1869" s="197">
        <v>84.48</v>
      </c>
      <c r="G1869" s="190">
        <v>45912</v>
      </c>
      <c r="H1869" s="196">
        <v>1</v>
      </c>
      <c r="I1869" s="197">
        <v>4224</v>
      </c>
      <c r="J1869" s="197">
        <v>4224</v>
      </c>
      <c r="K1869" s="197">
        <v>0</v>
      </c>
      <c r="L1869" s="197">
        <v>120</v>
      </c>
      <c r="M1869" s="260" t="s">
        <v>239</v>
      </c>
      <c r="N1869" s="260" t="s">
        <v>514</v>
      </c>
    </row>
    <row r="1870" spans="1:14" ht="14.5" x14ac:dyDescent="0.35">
      <c r="A1870" s="260" t="s">
        <v>565</v>
      </c>
      <c r="B1870" s="190">
        <v>45914</v>
      </c>
      <c r="C1870" s="260" t="s">
        <v>749</v>
      </c>
      <c r="D1870" s="197">
        <v>100</v>
      </c>
      <c r="E1870" s="197">
        <v>5005</v>
      </c>
      <c r="F1870" s="197">
        <v>50.9</v>
      </c>
      <c r="G1870" s="190">
        <v>45912</v>
      </c>
      <c r="H1870" s="196">
        <v>2</v>
      </c>
      <c r="I1870" s="197">
        <v>5090</v>
      </c>
      <c r="J1870" s="197">
        <v>5090</v>
      </c>
      <c r="K1870" s="197">
        <v>0</v>
      </c>
      <c r="L1870" s="197">
        <v>85</v>
      </c>
      <c r="M1870" s="260" t="s">
        <v>239</v>
      </c>
      <c r="N1870" s="260" t="s">
        <v>514</v>
      </c>
    </row>
    <row r="1871" spans="1:14" ht="14.5" x14ac:dyDescent="0.35">
      <c r="A1871" s="260" t="s">
        <v>565</v>
      </c>
      <c r="B1871" s="190">
        <v>45914</v>
      </c>
      <c r="C1871" s="260" t="s">
        <v>752</v>
      </c>
      <c r="D1871" s="197">
        <v>100</v>
      </c>
      <c r="E1871" s="197">
        <v>20020</v>
      </c>
      <c r="F1871" s="197">
        <v>182.59</v>
      </c>
      <c r="G1871" s="190">
        <v>45912</v>
      </c>
      <c r="H1871" s="196">
        <v>2</v>
      </c>
      <c r="I1871" s="197">
        <v>18259</v>
      </c>
      <c r="J1871" s="197">
        <v>18259</v>
      </c>
      <c r="K1871" s="197">
        <v>300</v>
      </c>
      <c r="L1871" s="197">
        <v>-1761</v>
      </c>
      <c r="M1871" s="260" t="s">
        <v>239</v>
      </c>
      <c r="N1871" s="260" t="s">
        <v>514</v>
      </c>
    </row>
    <row r="1872" spans="1:14" ht="14.5" x14ac:dyDescent="0.35">
      <c r="A1872" s="260" t="s">
        <v>565</v>
      </c>
      <c r="B1872" s="190">
        <v>45914</v>
      </c>
      <c r="C1872" s="260" t="s">
        <v>754</v>
      </c>
      <c r="D1872" s="197">
        <v>50</v>
      </c>
      <c r="E1872" s="197">
        <v>4104</v>
      </c>
      <c r="F1872" s="197">
        <v>84.48</v>
      </c>
      <c r="G1872" s="190">
        <v>45912</v>
      </c>
      <c r="H1872" s="196">
        <v>2</v>
      </c>
      <c r="I1872" s="197">
        <v>4224</v>
      </c>
      <c r="J1872" s="197">
        <v>4224</v>
      </c>
      <c r="K1872" s="197">
        <v>0</v>
      </c>
      <c r="L1872" s="197">
        <v>120</v>
      </c>
      <c r="M1872" s="260" t="s">
        <v>239</v>
      </c>
      <c r="N1872" s="260" t="s">
        <v>514</v>
      </c>
    </row>
    <row r="1873" spans="1:14" ht="14.5" x14ac:dyDescent="0.35">
      <c r="A1873" s="260" t="s">
        <v>565</v>
      </c>
      <c r="B1873" s="190">
        <v>45915</v>
      </c>
      <c r="C1873" s="260" t="s">
        <v>749</v>
      </c>
      <c r="D1873" s="197">
        <v>100</v>
      </c>
      <c r="E1873" s="197">
        <v>5005</v>
      </c>
      <c r="F1873" s="197">
        <v>51.41</v>
      </c>
      <c r="G1873" s="190">
        <v>45915</v>
      </c>
      <c r="H1873" s="196">
        <v>0</v>
      </c>
      <c r="I1873" s="197">
        <v>5141</v>
      </c>
      <c r="J1873" s="197">
        <v>5141</v>
      </c>
      <c r="K1873" s="197">
        <v>0</v>
      </c>
      <c r="L1873" s="197">
        <v>136</v>
      </c>
      <c r="M1873" s="260" t="s">
        <v>239</v>
      </c>
      <c r="N1873" s="260" t="s">
        <v>514</v>
      </c>
    </row>
    <row r="1874" spans="1:14" ht="14.5" x14ac:dyDescent="0.35">
      <c r="A1874" s="260" t="s">
        <v>565</v>
      </c>
      <c r="B1874" s="190">
        <v>45915</v>
      </c>
      <c r="C1874" s="260" t="s">
        <v>752</v>
      </c>
      <c r="D1874" s="197">
        <v>100</v>
      </c>
      <c r="E1874" s="197">
        <v>20020</v>
      </c>
      <c r="F1874" s="197">
        <v>181.66</v>
      </c>
      <c r="G1874" s="190">
        <v>45915</v>
      </c>
      <c r="H1874" s="196">
        <v>0</v>
      </c>
      <c r="I1874" s="197">
        <v>18166</v>
      </c>
      <c r="J1874" s="197">
        <v>18166</v>
      </c>
      <c r="K1874" s="197">
        <v>0</v>
      </c>
      <c r="L1874" s="197">
        <v>-1854</v>
      </c>
      <c r="M1874" s="260" t="s">
        <v>239</v>
      </c>
      <c r="N1874" s="260" t="s">
        <v>514</v>
      </c>
    </row>
    <row r="1875" spans="1:14" ht="14.5" x14ac:dyDescent="0.35">
      <c r="A1875" s="260" t="s">
        <v>565</v>
      </c>
      <c r="B1875" s="190">
        <v>45915</v>
      </c>
      <c r="C1875" s="260" t="s">
        <v>754</v>
      </c>
      <c r="D1875" s="197">
        <v>50</v>
      </c>
      <c r="E1875" s="197">
        <v>4104</v>
      </c>
      <c r="F1875" s="197">
        <v>84.07</v>
      </c>
      <c r="G1875" s="190">
        <v>45915</v>
      </c>
      <c r="H1875" s="196">
        <v>0</v>
      </c>
      <c r="I1875" s="197">
        <v>4203.5</v>
      </c>
      <c r="J1875" s="197">
        <v>4203.5</v>
      </c>
      <c r="K1875" s="197">
        <v>0</v>
      </c>
      <c r="L1875" s="197">
        <v>99.5</v>
      </c>
      <c r="M1875" s="260" t="s">
        <v>239</v>
      </c>
      <c r="N1875" s="260" t="s">
        <v>514</v>
      </c>
    </row>
    <row r="1876" spans="1:14" ht="14.5" x14ac:dyDescent="0.35">
      <c r="A1876" s="260" t="s">
        <v>565</v>
      </c>
      <c r="B1876" s="190">
        <v>45916</v>
      </c>
      <c r="C1876" s="260" t="s">
        <v>749</v>
      </c>
      <c r="D1876" s="197">
        <v>100</v>
      </c>
      <c r="E1876" s="197">
        <v>5005</v>
      </c>
      <c r="F1876" s="197">
        <v>51.59</v>
      </c>
      <c r="G1876" s="190">
        <v>45916</v>
      </c>
      <c r="H1876" s="196">
        <v>0</v>
      </c>
      <c r="I1876" s="197">
        <v>5159</v>
      </c>
      <c r="J1876" s="197">
        <v>5159</v>
      </c>
      <c r="K1876" s="197">
        <v>0</v>
      </c>
      <c r="L1876" s="197">
        <v>154</v>
      </c>
      <c r="M1876" s="260" t="s">
        <v>239</v>
      </c>
      <c r="N1876" s="260" t="s">
        <v>514</v>
      </c>
    </row>
    <row r="1877" spans="1:14" ht="14.5" x14ac:dyDescent="0.35">
      <c r="A1877" s="260" t="s">
        <v>565</v>
      </c>
      <c r="B1877" s="190">
        <v>45916</v>
      </c>
      <c r="C1877" s="260" t="s">
        <v>752</v>
      </c>
      <c r="D1877" s="197">
        <v>100</v>
      </c>
      <c r="E1877" s="197">
        <v>20020</v>
      </c>
      <c r="F1877" s="197">
        <v>181.34</v>
      </c>
      <c r="G1877" s="190">
        <v>45916</v>
      </c>
      <c r="H1877" s="196">
        <v>0</v>
      </c>
      <c r="I1877" s="197">
        <v>18134</v>
      </c>
      <c r="J1877" s="197">
        <v>18134</v>
      </c>
      <c r="K1877" s="197">
        <v>0</v>
      </c>
      <c r="L1877" s="197">
        <v>-1886</v>
      </c>
      <c r="M1877" s="260" t="s">
        <v>239</v>
      </c>
      <c r="N1877" s="260" t="s">
        <v>514</v>
      </c>
    </row>
    <row r="1878" spans="1:14" ht="14.5" x14ac:dyDescent="0.35">
      <c r="A1878" s="260" t="s">
        <v>565</v>
      </c>
      <c r="B1878" s="190">
        <v>45916</v>
      </c>
      <c r="C1878" s="260" t="s">
        <v>754</v>
      </c>
      <c r="D1878" s="197">
        <v>50</v>
      </c>
      <c r="E1878" s="197">
        <v>4104</v>
      </c>
      <c r="F1878" s="197">
        <v>83.93</v>
      </c>
      <c r="G1878" s="190">
        <v>45916</v>
      </c>
      <c r="H1878" s="196">
        <v>0</v>
      </c>
      <c r="I1878" s="197">
        <v>4196.5</v>
      </c>
      <c r="J1878" s="197">
        <v>4196.5</v>
      </c>
      <c r="K1878" s="197">
        <v>0</v>
      </c>
      <c r="L1878" s="197">
        <v>92.5</v>
      </c>
      <c r="M1878" s="260" t="s">
        <v>239</v>
      </c>
      <c r="N1878" s="260" t="s">
        <v>514</v>
      </c>
    </row>
    <row r="1879" spans="1:14" ht="14.5" x14ac:dyDescent="0.35">
      <c r="A1879" s="260" t="s">
        <v>565</v>
      </c>
      <c r="B1879" s="190">
        <v>45917</v>
      </c>
      <c r="C1879" s="260" t="s">
        <v>749</v>
      </c>
      <c r="D1879" s="197">
        <v>100</v>
      </c>
      <c r="E1879" s="197">
        <v>5005</v>
      </c>
      <c r="F1879" s="197">
        <v>51.76</v>
      </c>
      <c r="G1879" s="190">
        <v>45917</v>
      </c>
      <c r="H1879" s="196">
        <v>0</v>
      </c>
      <c r="I1879" s="197">
        <v>5176</v>
      </c>
      <c r="J1879" s="197">
        <v>5176</v>
      </c>
      <c r="K1879" s="197">
        <v>0</v>
      </c>
      <c r="L1879" s="197">
        <v>171</v>
      </c>
      <c r="M1879" s="260" t="s">
        <v>239</v>
      </c>
      <c r="N1879" s="260" t="s">
        <v>514</v>
      </c>
    </row>
    <row r="1880" spans="1:14" ht="14.5" x14ac:dyDescent="0.35">
      <c r="A1880" s="260" t="s">
        <v>565</v>
      </c>
      <c r="B1880" s="190">
        <v>45917</v>
      </c>
      <c r="C1880" s="260" t="s">
        <v>752</v>
      </c>
      <c r="D1880" s="197">
        <v>100</v>
      </c>
      <c r="E1880" s="197">
        <v>20020</v>
      </c>
      <c r="F1880" s="197">
        <v>181.03</v>
      </c>
      <c r="G1880" s="190">
        <v>45917</v>
      </c>
      <c r="H1880" s="196">
        <v>0</v>
      </c>
      <c r="I1880" s="197">
        <v>18103</v>
      </c>
      <c r="J1880" s="197">
        <v>18103</v>
      </c>
      <c r="K1880" s="197">
        <v>0</v>
      </c>
      <c r="L1880" s="197">
        <v>-1917</v>
      </c>
      <c r="M1880" s="260" t="s">
        <v>239</v>
      </c>
      <c r="N1880" s="260" t="s">
        <v>514</v>
      </c>
    </row>
    <row r="1881" spans="1:14" ht="14.5" x14ac:dyDescent="0.35">
      <c r="A1881" s="260" t="s">
        <v>565</v>
      </c>
      <c r="B1881" s="190">
        <v>45917</v>
      </c>
      <c r="C1881" s="260" t="s">
        <v>754</v>
      </c>
      <c r="D1881" s="197">
        <v>50</v>
      </c>
      <c r="E1881" s="197">
        <v>4104</v>
      </c>
      <c r="F1881" s="197">
        <v>83.79</v>
      </c>
      <c r="G1881" s="190">
        <v>45917</v>
      </c>
      <c r="H1881" s="196">
        <v>0</v>
      </c>
      <c r="I1881" s="197">
        <v>4189.5</v>
      </c>
      <c r="J1881" s="197">
        <v>4189.5</v>
      </c>
      <c r="K1881" s="197">
        <v>0</v>
      </c>
      <c r="L1881" s="197">
        <v>85.5</v>
      </c>
      <c r="M1881" s="260" t="s">
        <v>239</v>
      </c>
      <c r="N1881" s="260" t="s">
        <v>514</v>
      </c>
    </row>
    <row r="1882" spans="1:14" ht="14.5" x14ac:dyDescent="0.35">
      <c r="A1882" s="260" t="s">
        <v>565</v>
      </c>
      <c r="B1882" s="190">
        <v>45918</v>
      </c>
      <c r="C1882" s="260" t="s">
        <v>749</v>
      </c>
      <c r="D1882" s="197">
        <v>100</v>
      </c>
      <c r="E1882" s="197">
        <v>5005</v>
      </c>
      <c r="F1882" s="197">
        <v>51.93</v>
      </c>
      <c r="G1882" s="190">
        <v>45918</v>
      </c>
      <c r="H1882" s="196">
        <v>0</v>
      </c>
      <c r="I1882" s="197">
        <v>5193</v>
      </c>
      <c r="J1882" s="197">
        <v>5193</v>
      </c>
      <c r="K1882" s="197">
        <v>0</v>
      </c>
      <c r="L1882" s="197">
        <v>188</v>
      </c>
      <c r="M1882" s="260" t="s">
        <v>239</v>
      </c>
      <c r="N1882" s="260" t="s">
        <v>514</v>
      </c>
    </row>
    <row r="1883" spans="1:14" ht="14.5" x14ac:dyDescent="0.35">
      <c r="A1883" s="260" t="s">
        <v>565</v>
      </c>
      <c r="B1883" s="190">
        <v>45918</v>
      </c>
      <c r="C1883" s="260" t="s">
        <v>752</v>
      </c>
      <c r="D1883" s="197">
        <v>100</v>
      </c>
      <c r="E1883" s="197">
        <v>20020</v>
      </c>
      <c r="F1883" s="197">
        <v>180.72</v>
      </c>
      <c r="G1883" s="190">
        <v>45918</v>
      </c>
      <c r="H1883" s="196">
        <v>0</v>
      </c>
      <c r="I1883" s="197">
        <v>18072</v>
      </c>
      <c r="J1883" s="197">
        <v>18072</v>
      </c>
      <c r="K1883" s="197">
        <v>0</v>
      </c>
      <c r="L1883" s="197">
        <v>-1948</v>
      </c>
      <c r="M1883" s="260" t="s">
        <v>239</v>
      </c>
      <c r="N1883" s="260" t="s">
        <v>514</v>
      </c>
    </row>
    <row r="1884" spans="1:14" ht="14.5" x14ac:dyDescent="0.35">
      <c r="A1884" s="260" t="s">
        <v>565</v>
      </c>
      <c r="B1884" s="190">
        <v>45918</v>
      </c>
      <c r="C1884" s="260" t="s">
        <v>754</v>
      </c>
      <c r="D1884" s="197">
        <v>50</v>
      </c>
      <c r="E1884" s="197">
        <v>4104</v>
      </c>
      <c r="F1884" s="197">
        <v>83.66</v>
      </c>
      <c r="G1884" s="190">
        <v>45918</v>
      </c>
      <c r="H1884" s="196">
        <v>0</v>
      </c>
      <c r="I1884" s="197">
        <v>4183</v>
      </c>
      <c r="J1884" s="197">
        <v>4183</v>
      </c>
      <c r="K1884" s="197">
        <v>0</v>
      </c>
      <c r="L1884" s="197">
        <v>79</v>
      </c>
      <c r="M1884" s="260" t="s">
        <v>239</v>
      </c>
      <c r="N1884" s="260" t="s">
        <v>514</v>
      </c>
    </row>
    <row r="1885" spans="1:14" ht="14.5" x14ac:dyDescent="0.35">
      <c r="A1885" s="260" t="s">
        <v>565</v>
      </c>
      <c r="B1885" s="190">
        <v>45919</v>
      </c>
      <c r="C1885" s="260" t="s">
        <v>749</v>
      </c>
      <c r="D1885" s="197">
        <v>100</v>
      </c>
      <c r="E1885" s="197">
        <v>5005</v>
      </c>
      <c r="F1885" s="197">
        <v>52.1</v>
      </c>
      <c r="G1885" s="190">
        <v>45919</v>
      </c>
      <c r="H1885" s="196">
        <v>0</v>
      </c>
      <c r="I1885" s="197">
        <v>5210</v>
      </c>
      <c r="J1885" s="197">
        <v>5210</v>
      </c>
      <c r="K1885" s="197">
        <v>0</v>
      </c>
      <c r="L1885" s="197">
        <v>205</v>
      </c>
      <c r="M1885" s="260" t="s">
        <v>239</v>
      </c>
      <c r="N1885" s="260" t="s">
        <v>514</v>
      </c>
    </row>
    <row r="1886" spans="1:14" ht="14.5" x14ac:dyDescent="0.35">
      <c r="A1886" s="260" t="s">
        <v>565</v>
      </c>
      <c r="B1886" s="190">
        <v>45919</v>
      </c>
      <c r="C1886" s="260" t="s">
        <v>752</v>
      </c>
      <c r="D1886" s="197">
        <v>100</v>
      </c>
      <c r="E1886" s="197">
        <v>20020</v>
      </c>
      <c r="F1886" s="197">
        <v>180.41</v>
      </c>
      <c r="G1886" s="190">
        <v>45919</v>
      </c>
      <c r="H1886" s="196">
        <v>0</v>
      </c>
      <c r="I1886" s="197">
        <v>18041</v>
      </c>
      <c r="J1886" s="197">
        <v>18041</v>
      </c>
      <c r="K1886" s="197">
        <v>0</v>
      </c>
      <c r="L1886" s="197">
        <v>-1979</v>
      </c>
      <c r="M1886" s="260" t="s">
        <v>239</v>
      </c>
      <c r="N1886" s="260" t="s">
        <v>514</v>
      </c>
    </row>
    <row r="1887" spans="1:14" ht="14.5" x14ac:dyDescent="0.35">
      <c r="A1887" s="260" t="s">
        <v>565</v>
      </c>
      <c r="B1887" s="190">
        <v>45919</v>
      </c>
      <c r="C1887" s="260" t="s">
        <v>754</v>
      </c>
      <c r="D1887" s="197">
        <v>50</v>
      </c>
      <c r="E1887" s="197">
        <v>4104</v>
      </c>
      <c r="F1887" s="197">
        <v>83.52</v>
      </c>
      <c r="G1887" s="190">
        <v>45919</v>
      </c>
      <c r="H1887" s="196">
        <v>0</v>
      </c>
      <c r="I1887" s="197">
        <v>4176</v>
      </c>
      <c r="J1887" s="197">
        <v>4176</v>
      </c>
      <c r="K1887" s="197">
        <v>0</v>
      </c>
      <c r="L1887" s="197">
        <v>72</v>
      </c>
      <c r="M1887" s="260" t="s">
        <v>239</v>
      </c>
      <c r="N1887" s="260" t="s">
        <v>514</v>
      </c>
    </row>
    <row r="1888" spans="1:14" ht="14.5" x14ac:dyDescent="0.35">
      <c r="A1888" s="260" t="s">
        <v>565</v>
      </c>
      <c r="B1888" s="190">
        <v>45920</v>
      </c>
      <c r="C1888" s="260" t="s">
        <v>749</v>
      </c>
      <c r="D1888" s="197">
        <v>100</v>
      </c>
      <c r="E1888" s="197">
        <v>5005</v>
      </c>
      <c r="F1888" s="197">
        <v>52.1</v>
      </c>
      <c r="G1888" s="190">
        <v>45919</v>
      </c>
      <c r="H1888" s="196">
        <v>1</v>
      </c>
      <c r="I1888" s="197">
        <v>5210</v>
      </c>
      <c r="J1888" s="197">
        <v>5210</v>
      </c>
      <c r="K1888" s="197">
        <v>0</v>
      </c>
      <c r="L1888" s="197">
        <v>205</v>
      </c>
      <c r="M1888" s="260" t="s">
        <v>239</v>
      </c>
      <c r="N1888" s="260" t="s">
        <v>514</v>
      </c>
    </row>
    <row r="1889" spans="1:14" ht="14.5" x14ac:dyDescent="0.35">
      <c r="A1889" s="260" t="s">
        <v>565</v>
      </c>
      <c r="B1889" s="190">
        <v>45920</v>
      </c>
      <c r="C1889" s="260" t="s">
        <v>752</v>
      </c>
      <c r="D1889" s="197">
        <v>100</v>
      </c>
      <c r="E1889" s="197">
        <v>20020</v>
      </c>
      <c r="F1889" s="197">
        <v>180.41</v>
      </c>
      <c r="G1889" s="190">
        <v>45919</v>
      </c>
      <c r="H1889" s="196">
        <v>1</v>
      </c>
      <c r="I1889" s="197">
        <v>18041</v>
      </c>
      <c r="J1889" s="197">
        <v>18041</v>
      </c>
      <c r="K1889" s="197">
        <v>0</v>
      </c>
      <c r="L1889" s="197">
        <v>-1979</v>
      </c>
      <c r="M1889" s="260" t="s">
        <v>239</v>
      </c>
      <c r="N1889" s="260" t="s">
        <v>514</v>
      </c>
    </row>
    <row r="1890" spans="1:14" ht="14.5" x14ac:dyDescent="0.35">
      <c r="A1890" s="260" t="s">
        <v>565</v>
      </c>
      <c r="B1890" s="190">
        <v>45920</v>
      </c>
      <c r="C1890" s="260" t="s">
        <v>754</v>
      </c>
      <c r="D1890" s="197">
        <v>50</v>
      </c>
      <c r="E1890" s="197">
        <v>4104</v>
      </c>
      <c r="F1890" s="197">
        <v>83.52</v>
      </c>
      <c r="G1890" s="190">
        <v>45919</v>
      </c>
      <c r="H1890" s="196">
        <v>1</v>
      </c>
      <c r="I1890" s="197">
        <v>4176</v>
      </c>
      <c r="J1890" s="197">
        <v>4176</v>
      </c>
      <c r="K1890" s="197">
        <v>0</v>
      </c>
      <c r="L1890" s="197">
        <v>72</v>
      </c>
      <c r="M1890" s="260" t="s">
        <v>239</v>
      </c>
      <c r="N1890" s="260" t="s">
        <v>514</v>
      </c>
    </row>
    <row r="1891" spans="1:14" ht="14.5" x14ac:dyDescent="0.35">
      <c r="A1891" s="260" t="s">
        <v>565</v>
      </c>
      <c r="B1891" s="190">
        <v>45921</v>
      </c>
      <c r="C1891" s="260" t="s">
        <v>749</v>
      </c>
      <c r="D1891" s="197">
        <v>100</v>
      </c>
      <c r="E1891" s="197">
        <v>5005</v>
      </c>
      <c r="F1891" s="197">
        <v>52.1</v>
      </c>
      <c r="G1891" s="190">
        <v>45919</v>
      </c>
      <c r="H1891" s="196">
        <v>2</v>
      </c>
      <c r="I1891" s="197">
        <v>5210</v>
      </c>
      <c r="J1891" s="197">
        <v>5210</v>
      </c>
      <c r="K1891" s="197">
        <v>0</v>
      </c>
      <c r="L1891" s="197">
        <v>205</v>
      </c>
      <c r="M1891" s="260" t="s">
        <v>239</v>
      </c>
      <c r="N1891" s="260" t="s">
        <v>514</v>
      </c>
    </row>
    <row r="1892" spans="1:14" ht="14.5" x14ac:dyDescent="0.35">
      <c r="A1892" s="260" t="s">
        <v>565</v>
      </c>
      <c r="B1892" s="190">
        <v>45921</v>
      </c>
      <c r="C1892" s="260" t="s">
        <v>752</v>
      </c>
      <c r="D1892" s="197">
        <v>100</v>
      </c>
      <c r="E1892" s="197">
        <v>20020</v>
      </c>
      <c r="F1892" s="197">
        <v>180.41</v>
      </c>
      <c r="G1892" s="190">
        <v>45919</v>
      </c>
      <c r="H1892" s="196">
        <v>2</v>
      </c>
      <c r="I1892" s="197">
        <v>18041</v>
      </c>
      <c r="J1892" s="197">
        <v>18041</v>
      </c>
      <c r="K1892" s="197">
        <v>0</v>
      </c>
      <c r="L1892" s="197">
        <v>-1979</v>
      </c>
      <c r="M1892" s="260" t="s">
        <v>239</v>
      </c>
      <c r="N1892" s="260" t="s">
        <v>514</v>
      </c>
    </row>
    <row r="1893" spans="1:14" ht="14.5" x14ac:dyDescent="0.35">
      <c r="A1893" s="260" t="s">
        <v>565</v>
      </c>
      <c r="B1893" s="190">
        <v>45921</v>
      </c>
      <c r="C1893" s="260" t="s">
        <v>754</v>
      </c>
      <c r="D1893" s="197">
        <v>50</v>
      </c>
      <c r="E1893" s="197">
        <v>4104</v>
      </c>
      <c r="F1893" s="197">
        <v>83.52</v>
      </c>
      <c r="G1893" s="190">
        <v>45919</v>
      </c>
      <c r="H1893" s="196">
        <v>2</v>
      </c>
      <c r="I1893" s="197">
        <v>4176</v>
      </c>
      <c r="J1893" s="197">
        <v>4176</v>
      </c>
      <c r="K1893" s="197">
        <v>0</v>
      </c>
      <c r="L1893" s="197">
        <v>72</v>
      </c>
      <c r="M1893" s="260" t="s">
        <v>239</v>
      </c>
      <c r="N1893" s="260" t="s">
        <v>514</v>
      </c>
    </row>
    <row r="1894" spans="1:14" ht="14.5" x14ac:dyDescent="0.35">
      <c r="A1894" s="260" t="s">
        <v>565</v>
      </c>
      <c r="B1894" s="190">
        <v>45922</v>
      </c>
      <c r="C1894" s="260" t="s">
        <v>749</v>
      </c>
      <c r="D1894" s="197">
        <v>100</v>
      </c>
      <c r="E1894" s="197">
        <v>5005</v>
      </c>
      <c r="F1894" s="197">
        <v>52.62</v>
      </c>
      <c r="G1894" s="190">
        <v>45922</v>
      </c>
      <c r="H1894" s="196">
        <v>0</v>
      </c>
      <c r="I1894" s="197">
        <v>5262</v>
      </c>
      <c r="J1894" s="197">
        <v>5262</v>
      </c>
      <c r="K1894" s="197">
        <v>0</v>
      </c>
      <c r="L1894" s="197">
        <v>257</v>
      </c>
      <c r="M1894" s="260" t="s">
        <v>239</v>
      </c>
      <c r="N1894" s="260" t="s">
        <v>514</v>
      </c>
    </row>
    <row r="1895" spans="1:14" ht="14.5" x14ac:dyDescent="0.35">
      <c r="A1895" s="260" t="s">
        <v>565</v>
      </c>
      <c r="B1895" s="190">
        <v>45922</v>
      </c>
      <c r="C1895" s="260" t="s">
        <v>752</v>
      </c>
      <c r="D1895" s="197">
        <v>100</v>
      </c>
      <c r="E1895" s="197">
        <v>20020</v>
      </c>
      <c r="F1895" s="197">
        <v>179.48</v>
      </c>
      <c r="G1895" s="190">
        <v>45922</v>
      </c>
      <c r="H1895" s="196">
        <v>0</v>
      </c>
      <c r="I1895" s="197">
        <v>17948</v>
      </c>
      <c r="J1895" s="197">
        <v>17948</v>
      </c>
      <c r="K1895" s="197">
        <v>0</v>
      </c>
      <c r="L1895" s="197">
        <v>-2072</v>
      </c>
      <c r="M1895" s="260" t="s">
        <v>239</v>
      </c>
      <c r="N1895" s="260" t="s">
        <v>514</v>
      </c>
    </row>
    <row r="1896" spans="1:14" ht="14.5" x14ac:dyDescent="0.35">
      <c r="A1896" s="260" t="s">
        <v>565</v>
      </c>
      <c r="B1896" s="190">
        <v>45922</v>
      </c>
      <c r="C1896" s="260" t="s">
        <v>754</v>
      </c>
      <c r="D1896" s="197">
        <v>50</v>
      </c>
      <c r="E1896" s="197">
        <v>4104</v>
      </c>
      <c r="F1896" s="197">
        <v>83.1</v>
      </c>
      <c r="G1896" s="190">
        <v>45922</v>
      </c>
      <c r="H1896" s="196">
        <v>0</v>
      </c>
      <c r="I1896" s="197">
        <v>4155</v>
      </c>
      <c r="J1896" s="197">
        <v>4155</v>
      </c>
      <c r="K1896" s="197">
        <v>0</v>
      </c>
      <c r="L1896" s="197">
        <v>51</v>
      </c>
      <c r="M1896" s="260" t="s">
        <v>239</v>
      </c>
      <c r="N1896" s="260" t="s">
        <v>514</v>
      </c>
    </row>
    <row r="1897" spans="1:14" ht="14.5" x14ac:dyDescent="0.35">
      <c r="A1897" s="260" t="s">
        <v>565</v>
      </c>
      <c r="B1897" s="190">
        <v>45923</v>
      </c>
      <c r="C1897" s="260" t="s">
        <v>749</v>
      </c>
      <c r="D1897" s="197">
        <v>100</v>
      </c>
      <c r="E1897" s="197">
        <v>5005</v>
      </c>
      <c r="F1897" s="197">
        <v>52.79</v>
      </c>
      <c r="G1897" s="190">
        <v>45923</v>
      </c>
      <c r="H1897" s="196">
        <v>0</v>
      </c>
      <c r="I1897" s="197">
        <v>5279</v>
      </c>
      <c r="J1897" s="197">
        <v>5279</v>
      </c>
      <c r="K1897" s="197">
        <v>0</v>
      </c>
      <c r="L1897" s="197">
        <v>274</v>
      </c>
      <c r="M1897" s="260" t="s">
        <v>239</v>
      </c>
      <c r="N1897" s="260" t="s">
        <v>514</v>
      </c>
    </row>
    <row r="1898" spans="1:14" ht="14.5" x14ac:dyDescent="0.35">
      <c r="A1898" s="260" t="s">
        <v>565</v>
      </c>
      <c r="B1898" s="190">
        <v>45923</v>
      </c>
      <c r="C1898" s="260" t="s">
        <v>752</v>
      </c>
      <c r="D1898" s="197">
        <v>100</v>
      </c>
      <c r="E1898" s="197">
        <v>20020</v>
      </c>
      <c r="F1898" s="197">
        <v>179.17</v>
      </c>
      <c r="G1898" s="190">
        <v>45923</v>
      </c>
      <c r="H1898" s="196">
        <v>0</v>
      </c>
      <c r="I1898" s="197">
        <v>17917</v>
      </c>
      <c r="J1898" s="197">
        <v>17917</v>
      </c>
      <c r="K1898" s="197">
        <v>0</v>
      </c>
      <c r="L1898" s="197">
        <v>-2103</v>
      </c>
      <c r="M1898" s="260" t="s">
        <v>239</v>
      </c>
      <c r="N1898" s="260" t="s">
        <v>514</v>
      </c>
    </row>
    <row r="1899" spans="1:14" ht="14.5" x14ac:dyDescent="0.35">
      <c r="A1899" s="260" t="s">
        <v>565</v>
      </c>
      <c r="B1899" s="190">
        <v>45923</v>
      </c>
      <c r="C1899" s="260" t="s">
        <v>754</v>
      </c>
      <c r="D1899" s="197">
        <v>50</v>
      </c>
      <c r="E1899" s="197">
        <v>4104</v>
      </c>
      <c r="F1899" s="197">
        <v>82.97</v>
      </c>
      <c r="G1899" s="190">
        <v>45923</v>
      </c>
      <c r="H1899" s="196">
        <v>0</v>
      </c>
      <c r="I1899" s="197">
        <v>4148.5</v>
      </c>
      <c r="J1899" s="197">
        <v>4148.5</v>
      </c>
      <c r="K1899" s="197">
        <v>0</v>
      </c>
      <c r="L1899" s="197">
        <v>44.5</v>
      </c>
      <c r="M1899" s="260" t="s">
        <v>239</v>
      </c>
      <c r="N1899" s="260" t="s">
        <v>514</v>
      </c>
    </row>
    <row r="1900" spans="1:14" ht="14.5" x14ac:dyDescent="0.35">
      <c r="A1900" s="260" t="s">
        <v>565</v>
      </c>
      <c r="B1900" s="190">
        <v>45924</v>
      </c>
      <c r="C1900" s="260" t="s">
        <v>749</v>
      </c>
      <c r="D1900" s="197">
        <v>100</v>
      </c>
      <c r="E1900" s="197">
        <v>5005</v>
      </c>
      <c r="F1900" s="197">
        <v>52.97</v>
      </c>
      <c r="G1900" s="190">
        <v>45924</v>
      </c>
      <c r="H1900" s="196">
        <v>0</v>
      </c>
      <c r="I1900" s="197">
        <v>5297</v>
      </c>
      <c r="J1900" s="197">
        <v>5297</v>
      </c>
      <c r="K1900" s="197">
        <v>0</v>
      </c>
      <c r="L1900" s="197">
        <v>292</v>
      </c>
      <c r="M1900" s="260" t="s">
        <v>239</v>
      </c>
      <c r="N1900" s="260" t="s">
        <v>514</v>
      </c>
    </row>
    <row r="1901" spans="1:14" ht="14.5" x14ac:dyDescent="0.35">
      <c r="A1901" s="260" t="s">
        <v>565</v>
      </c>
      <c r="B1901" s="190">
        <v>45924</v>
      </c>
      <c r="C1901" s="260" t="s">
        <v>752</v>
      </c>
      <c r="D1901" s="197">
        <v>100</v>
      </c>
      <c r="E1901" s="197">
        <v>20020</v>
      </c>
      <c r="F1901" s="197">
        <v>178.86</v>
      </c>
      <c r="G1901" s="190">
        <v>45924</v>
      </c>
      <c r="H1901" s="196">
        <v>0</v>
      </c>
      <c r="I1901" s="197">
        <v>17886</v>
      </c>
      <c r="J1901" s="197">
        <v>17886</v>
      </c>
      <c r="K1901" s="197">
        <v>0</v>
      </c>
      <c r="L1901" s="197">
        <v>-2134</v>
      </c>
      <c r="M1901" s="260" t="s">
        <v>239</v>
      </c>
      <c r="N1901" s="260" t="s">
        <v>514</v>
      </c>
    </row>
    <row r="1902" spans="1:14" ht="14.5" x14ac:dyDescent="0.35">
      <c r="A1902" s="260" t="s">
        <v>565</v>
      </c>
      <c r="B1902" s="190">
        <v>45924</v>
      </c>
      <c r="C1902" s="260" t="s">
        <v>754</v>
      </c>
      <c r="D1902" s="197">
        <v>50</v>
      </c>
      <c r="E1902" s="197">
        <v>4104</v>
      </c>
      <c r="F1902" s="197">
        <v>82.83</v>
      </c>
      <c r="G1902" s="190">
        <v>45924</v>
      </c>
      <c r="H1902" s="196">
        <v>0</v>
      </c>
      <c r="I1902" s="197">
        <v>4141.5</v>
      </c>
      <c r="J1902" s="197">
        <v>4141.5</v>
      </c>
      <c r="K1902" s="197">
        <v>0</v>
      </c>
      <c r="L1902" s="197">
        <v>37.5</v>
      </c>
      <c r="M1902" s="260" t="s">
        <v>239</v>
      </c>
      <c r="N1902" s="260" t="s">
        <v>514</v>
      </c>
    </row>
    <row r="1903" spans="1:14" ht="14.5" x14ac:dyDescent="0.35">
      <c r="A1903" s="260" t="s">
        <v>565</v>
      </c>
      <c r="B1903" s="190">
        <v>45925</v>
      </c>
      <c r="C1903" s="260" t="s">
        <v>749</v>
      </c>
      <c r="D1903" s="197">
        <v>100</v>
      </c>
      <c r="E1903" s="197">
        <v>5005</v>
      </c>
      <c r="F1903" s="197">
        <v>53.14</v>
      </c>
      <c r="G1903" s="190">
        <v>45925</v>
      </c>
      <c r="H1903" s="196">
        <v>0</v>
      </c>
      <c r="I1903" s="197">
        <v>5314</v>
      </c>
      <c r="J1903" s="197">
        <v>5314</v>
      </c>
      <c r="K1903" s="197">
        <v>0</v>
      </c>
      <c r="L1903" s="197">
        <v>309</v>
      </c>
      <c r="M1903" s="260" t="s">
        <v>239</v>
      </c>
      <c r="N1903" s="260" t="s">
        <v>514</v>
      </c>
    </row>
    <row r="1904" spans="1:14" ht="14.5" x14ac:dyDescent="0.35">
      <c r="A1904" s="260" t="s">
        <v>565</v>
      </c>
      <c r="B1904" s="190">
        <v>45925</v>
      </c>
      <c r="C1904" s="260" t="s">
        <v>752</v>
      </c>
      <c r="D1904" s="197">
        <v>100</v>
      </c>
      <c r="E1904" s="197">
        <v>20020</v>
      </c>
      <c r="F1904" s="197">
        <v>178.55</v>
      </c>
      <c r="G1904" s="190">
        <v>45925</v>
      </c>
      <c r="H1904" s="196">
        <v>0</v>
      </c>
      <c r="I1904" s="197">
        <v>17855</v>
      </c>
      <c r="J1904" s="197">
        <v>17855</v>
      </c>
      <c r="K1904" s="197">
        <v>0</v>
      </c>
      <c r="L1904" s="197">
        <v>-2165</v>
      </c>
      <c r="M1904" s="260" t="s">
        <v>239</v>
      </c>
      <c r="N1904" s="260" t="s">
        <v>514</v>
      </c>
    </row>
    <row r="1905" spans="1:14" ht="14.5" x14ac:dyDescent="0.35">
      <c r="A1905" s="260" t="s">
        <v>565</v>
      </c>
      <c r="B1905" s="190">
        <v>45925</v>
      </c>
      <c r="C1905" s="260" t="s">
        <v>754</v>
      </c>
      <c r="D1905" s="197">
        <v>50</v>
      </c>
      <c r="E1905" s="197">
        <v>4104</v>
      </c>
      <c r="F1905" s="197">
        <v>82.69</v>
      </c>
      <c r="G1905" s="190">
        <v>45925</v>
      </c>
      <c r="H1905" s="196">
        <v>0</v>
      </c>
      <c r="I1905" s="197">
        <v>4134.5</v>
      </c>
      <c r="J1905" s="197">
        <v>4134.5</v>
      </c>
      <c r="K1905" s="197">
        <v>0</v>
      </c>
      <c r="L1905" s="197">
        <v>30.5</v>
      </c>
      <c r="M1905" s="260" t="s">
        <v>239</v>
      </c>
      <c r="N1905" s="260" t="s">
        <v>514</v>
      </c>
    </row>
    <row r="1906" spans="1:14" ht="14.5" x14ac:dyDescent="0.35">
      <c r="A1906" s="260" t="s">
        <v>565</v>
      </c>
      <c r="B1906" s="190">
        <v>45926</v>
      </c>
      <c r="C1906" s="260" t="s">
        <v>749</v>
      </c>
      <c r="D1906" s="197">
        <v>100</v>
      </c>
      <c r="E1906" s="197">
        <v>5005</v>
      </c>
      <c r="F1906" s="197">
        <v>53.31</v>
      </c>
      <c r="G1906" s="190">
        <v>45926</v>
      </c>
      <c r="H1906" s="196">
        <v>0</v>
      </c>
      <c r="I1906" s="197">
        <v>5331</v>
      </c>
      <c r="J1906" s="197">
        <v>5331</v>
      </c>
      <c r="K1906" s="197">
        <v>0</v>
      </c>
      <c r="L1906" s="197">
        <v>326</v>
      </c>
      <c r="M1906" s="260" t="s">
        <v>239</v>
      </c>
      <c r="N1906" s="260" t="s">
        <v>514</v>
      </c>
    </row>
    <row r="1907" spans="1:14" ht="14.5" x14ac:dyDescent="0.35">
      <c r="A1907" s="260" t="s">
        <v>565</v>
      </c>
      <c r="B1907" s="190">
        <v>45926</v>
      </c>
      <c r="C1907" s="260" t="s">
        <v>752</v>
      </c>
      <c r="D1907" s="197">
        <v>100</v>
      </c>
      <c r="E1907" s="197">
        <v>20020</v>
      </c>
      <c r="F1907" s="197">
        <v>178.24</v>
      </c>
      <c r="G1907" s="190">
        <v>45926</v>
      </c>
      <c r="H1907" s="196">
        <v>0</v>
      </c>
      <c r="I1907" s="197">
        <v>17824</v>
      </c>
      <c r="J1907" s="197">
        <v>17824</v>
      </c>
      <c r="K1907" s="197">
        <v>0</v>
      </c>
      <c r="L1907" s="197">
        <v>-2196</v>
      </c>
      <c r="M1907" s="260" t="s">
        <v>239</v>
      </c>
      <c r="N1907" s="260" t="s">
        <v>514</v>
      </c>
    </row>
    <row r="1908" spans="1:14" ht="14.5" x14ac:dyDescent="0.35">
      <c r="A1908" s="260" t="s">
        <v>565</v>
      </c>
      <c r="B1908" s="190">
        <v>45926</v>
      </c>
      <c r="C1908" s="260" t="s">
        <v>754</v>
      </c>
      <c r="D1908" s="197">
        <v>50</v>
      </c>
      <c r="E1908" s="197">
        <v>4104</v>
      </c>
      <c r="F1908" s="197">
        <v>82.55</v>
      </c>
      <c r="G1908" s="190">
        <v>45926</v>
      </c>
      <c r="H1908" s="196">
        <v>0</v>
      </c>
      <c r="I1908" s="197">
        <v>4127.5</v>
      </c>
      <c r="J1908" s="197">
        <v>4127.5</v>
      </c>
      <c r="K1908" s="197">
        <v>0</v>
      </c>
      <c r="L1908" s="197">
        <v>23.5</v>
      </c>
      <c r="M1908" s="260" t="s">
        <v>239</v>
      </c>
      <c r="N1908" s="260" t="s">
        <v>514</v>
      </c>
    </row>
    <row r="1909" spans="1:14" ht="14.5" x14ac:dyDescent="0.35">
      <c r="A1909" s="260" t="s">
        <v>565</v>
      </c>
      <c r="B1909" s="190">
        <v>45927</v>
      </c>
      <c r="C1909" s="260" t="s">
        <v>749</v>
      </c>
      <c r="D1909" s="197">
        <v>100</v>
      </c>
      <c r="E1909" s="197">
        <v>5005</v>
      </c>
      <c r="F1909" s="197">
        <v>53.31</v>
      </c>
      <c r="G1909" s="190">
        <v>45926</v>
      </c>
      <c r="H1909" s="196">
        <v>1</v>
      </c>
      <c r="I1909" s="197">
        <v>5331</v>
      </c>
      <c r="J1909" s="197">
        <v>5331</v>
      </c>
      <c r="K1909" s="197">
        <v>0</v>
      </c>
      <c r="L1909" s="197">
        <v>326</v>
      </c>
      <c r="M1909" s="260" t="s">
        <v>239</v>
      </c>
      <c r="N1909" s="260" t="s">
        <v>514</v>
      </c>
    </row>
    <row r="1910" spans="1:14" ht="14.5" x14ac:dyDescent="0.35">
      <c r="A1910" s="260" t="s">
        <v>565</v>
      </c>
      <c r="B1910" s="190">
        <v>45927</v>
      </c>
      <c r="C1910" s="260" t="s">
        <v>752</v>
      </c>
      <c r="D1910" s="197">
        <v>100</v>
      </c>
      <c r="E1910" s="197">
        <v>20020</v>
      </c>
      <c r="F1910" s="197">
        <v>178.24</v>
      </c>
      <c r="G1910" s="190">
        <v>45926</v>
      </c>
      <c r="H1910" s="196">
        <v>1</v>
      </c>
      <c r="I1910" s="197">
        <v>17824</v>
      </c>
      <c r="J1910" s="197">
        <v>17824</v>
      </c>
      <c r="K1910" s="197">
        <v>0</v>
      </c>
      <c r="L1910" s="197">
        <v>-2196</v>
      </c>
      <c r="M1910" s="260" t="s">
        <v>239</v>
      </c>
      <c r="N1910" s="260" t="s">
        <v>514</v>
      </c>
    </row>
    <row r="1911" spans="1:14" ht="14.5" x14ac:dyDescent="0.35">
      <c r="A1911" s="260" t="s">
        <v>565</v>
      </c>
      <c r="B1911" s="190">
        <v>45927</v>
      </c>
      <c r="C1911" s="260" t="s">
        <v>754</v>
      </c>
      <c r="D1911" s="197">
        <v>50</v>
      </c>
      <c r="E1911" s="197">
        <v>4104</v>
      </c>
      <c r="F1911" s="197">
        <v>82.55</v>
      </c>
      <c r="G1911" s="190">
        <v>45926</v>
      </c>
      <c r="H1911" s="196">
        <v>1</v>
      </c>
      <c r="I1911" s="197">
        <v>4127.5</v>
      </c>
      <c r="J1911" s="197">
        <v>4127.5</v>
      </c>
      <c r="K1911" s="197">
        <v>0</v>
      </c>
      <c r="L1911" s="197">
        <v>23.5</v>
      </c>
      <c r="M1911" s="260" t="s">
        <v>239</v>
      </c>
      <c r="N1911" s="260" t="s">
        <v>514</v>
      </c>
    </row>
    <row r="1912" spans="1:14" ht="14.5" x14ac:dyDescent="0.35">
      <c r="A1912" s="260" t="s">
        <v>565</v>
      </c>
      <c r="B1912" s="190">
        <v>45928</v>
      </c>
      <c r="C1912" s="260" t="s">
        <v>749</v>
      </c>
      <c r="D1912" s="197">
        <v>100</v>
      </c>
      <c r="E1912" s="197">
        <v>5005</v>
      </c>
      <c r="F1912" s="197">
        <v>53.31</v>
      </c>
      <c r="G1912" s="190">
        <v>45926</v>
      </c>
      <c r="H1912" s="196">
        <v>2</v>
      </c>
      <c r="I1912" s="197">
        <v>5331</v>
      </c>
      <c r="J1912" s="197">
        <v>5331</v>
      </c>
      <c r="K1912" s="197">
        <v>0</v>
      </c>
      <c r="L1912" s="197">
        <v>326</v>
      </c>
      <c r="M1912" s="260" t="s">
        <v>239</v>
      </c>
      <c r="N1912" s="260" t="s">
        <v>514</v>
      </c>
    </row>
    <row r="1913" spans="1:14" ht="14.5" x14ac:dyDescent="0.35">
      <c r="A1913" s="260" t="s">
        <v>565</v>
      </c>
      <c r="B1913" s="190">
        <v>45928</v>
      </c>
      <c r="C1913" s="260" t="s">
        <v>752</v>
      </c>
      <c r="D1913" s="197">
        <v>100</v>
      </c>
      <c r="E1913" s="197">
        <v>20020</v>
      </c>
      <c r="F1913" s="197">
        <v>178.24</v>
      </c>
      <c r="G1913" s="190">
        <v>45926</v>
      </c>
      <c r="H1913" s="196">
        <v>2</v>
      </c>
      <c r="I1913" s="197">
        <v>17824</v>
      </c>
      <c r="J1913" s="197">
        <v>17824</v>
      </c>
      <c r="K1913" s="197">
        <v>0</v>
      </c>
      <c r="L1913" s="197">
        <v>-2196</v>
      </c>
      <c r="M1913" s="260" t="s">
        <v>239</v>
      </c>
      <c r="N1913" s="260" t="s">
        <v>514</v>
      </c>
    </row>
    <row r="1914" spans="1:14" ht="14.5" x14ac:dyDescent="0.35">
      <c r="A1914" s="260" t="s">
        <v>565</v>
      </c>
      <c r="B1914" s="190">
        <v>45928</v>
      </c>
      <c r="C1914" s="260" t="s">
        <v>754</v>
      </c>
      <c r="D1914" s="197">
        <v>50</v>
      </c>
      <c r="E1914" s="197">
        <v>4104</v>
      </c>
      <c r="F1914" s="197">
        <v>82.55</v>
      </c>
      <c r="G1914" s="190">
        <v>45926</v>
      </c>
      <c r="H1914" s="196">
        <v>2</v>
      </c>
      <c r="I1914" s="197">
        <v>4127.5</v>
      </c>
      <c r="J1914" s="197">
        <v>4127.5</v>
      </c>
      <c r="K1914" s="197">
        <v>0</v>
      </c>
      <c r="L1914" s="197">
        <v>23.5</v>
      </c>
      <c r="M1914" s="260" t="s">
        <v>239</v>
      </c>
      <c r="N1914" s="260" t="s">
        <v>514</v>
      </c>
    </row>
    <row r="1915" spans="1:14" ht="14.5" x14ac:dyDescent="0.35">
      <c r="A1915" s="260" t="s">
        <v>565</v>
      </c>
      <c r="B1915" s="190">
        <v>45929</v>
      </c>
      <c r="C1915" s="260" t="s">
        <v>749</v>
      </c>
      <c r="D1915" s="197">
        <v>100</v>
      </c>
      <c r="E1915" s="197">
        <v>5005</v>
      </c>
      <c r="F1915" s="197">
        <v>53.83</v>
      </c>
      <c r="G1915" s="190">
        <v>45929</v>
      </c>
      <c r="H1915" s="196">
        <v>0</v>
      </c>
      <c r="I1915" s="197">
        <v>5383</v>
      </c>
      <c r="J1915" s="197">
        <v>5383</v>
      </c>
      <c r="K1915" s="197">
        <v>0</v>
      </c>
      <c r="L1915" s="197">
        <v>378</v>
      </c>
      <c r="M1915" s="260" t="s">
        <v>239</v>
      </c>
      <c r="N1915" s="260" t="s">
        <v>514</v>
      </c>
    </row>
    <row r="1916" spans="1:14" ht="14.5" x14ac:dyDescent="0.35">
      <c r="A1916" s="260" t="s">
        <v>565</v>
      </c>
      <c r="B1916" s="190">
        <v>45929</v>
      </c>
      <c r="C1916" s="260" t="s">
        <v>752</v>
      </c>
      <c r="D1916" s="197">
        <v>100</v>
      </c>
      <c r="E1916" s="197">
        <v>20020</v>
      </c>
      <c r="F1916" s="197">
        <v>177.31</v>
      </c>
      <c r="G1916" s="190">
        <v>45929</v>
      </c>
      <c r="H1916" s="196">
        <v>0</v>
      </c>
      <c r="I1916" s="197">
        <v>17731</v>
      </c>
      <c r="J1916" s="197">
        <v>17731</v>
      </c>
      <c r="K1916" s="197">
        <v>0</v>
      </c>
      <c r="L1916" s="197">
        <v>-2289</v>
      </c>
      <c r="M1916" s="260" t="s">
        <v>239</v>
      </c>
      <c r="N1916" s="260" t="s">
        <v>514</v>
      </c>
    </row>
    <row r="1917" spans="1:14" ht="14.5" x14ac:dyDescent="0.35">
      <c r="A1917" s="260" t="s">
        <v>565</v>
      </c>
      <c r="B1917" s="190">
        <v>45929</v>
      </c>
      <c r="C1917" s="260" t="s">
        <v>754</v>
      </c>
      <c r="D1917" s="197">
        <v>50</v>
      </c>
      <c r="E1917" s="197">
        <v>4104</v>
      </c>
      <c r="F1917" s="197">
        <v>82.14</v>
      </c>
      <c r="G1917" s="190">
        <v>45929</v>
      </c>
      <c r="H1917" s="196">
        <v>0</v>
      </c>
      <c r="I1917" s="197">
        <v>4107</v>
      </c>
      <c r="J1917" s="197">
        <v>4107</v>
      </c>
      <c r="K1917" s="197">
        <v>0</v>
      </c>
      <c r="L1917" s="197">
        <v>3</v>
      </c>
      <c r="M1917" s="260" t="s">
        <v>239</v>
      </c>
      <c r="N1917" s="260" t="s">
        <v>514</v>
      </c>
    </row>
    <row r="1918" spans="1:14" ht="14.5" x14ac:dyDescent="0.35">
      <c r="A1918" s="260" t="s">
        <v>565</v>
      </c>
      <c r="B1918" s="190">
        <v>45930</v>
      </c>
      <c r="C1918" s="260" t="s">
        <v>749</v>
      </c>
      <c r="D1918" s="197">
        <v>100</v>
      </c>
      <c r="E1918" s="197">
        <v>5005</v>
      </c>
      <c r="F1918" s="197">
        <v>54</v>
      </c>
      <c r="G1918" s="190">
        <v>45930</v>
      </c>
      <c r="H1918" s="196">
        <v>0</v>
      </c>
      <c r="I1918" s="197">
        <v>5400</v>
      </c>
      <c r="J1918" s="197">
        <v>5400</v>
      </c>
      <c r="K1918" s="197">
        <v>0</v>
      </c>
      <c r="L1918" s="197">
        <v>395</v>
      </c>
      <c r="M1918" s="260" t="s">
        <v>239</v>
      </c>
      <c r="N1918" s="260" t="s">
        <v>514</v>
      </c>
    </row>
    <row r="1919" spans="1:14" ht="14.5" x14ac:dyDescent="0.35">
      <c r="A1919" s="260" t="s">
        <v>565</v>
      </c>
      <c r="B1919" s="190">
        <v>45930</v>
      </c>
      <c r="C1919" s="260" t="s">
        <v>752</v>
      </c>
      <c r="D1919" s="197">
        <v>100</v>
      </c>
      <c r="E1919" s="197">
        <v>20020</v>
      </c>
      <c r="F1919" s="197">
        <v>177</v>
      </c>
      <c r="G1919" s="190">
        <v>45930</v>
      </c>
      <c r="H1919" s="196">
        <v>0</v>
      </c>
      <c r="I1919" s="197">
        <v>17700</v>
      </c>
      <c r="J1919" s="197">
        <v>17700</v>
      </c>
      <c r="K1919" s="197">
        <v>0</v>
      </c>
      <c r="L1919" s="197">
        <v>-2320</v>
      </c>
      <c r="M1919" s="260" t="s">
        <v>239</v>
      </c>
      <c r="N1919" s="260" t="s">
        <v>514</v>
      </c>
    </row>
    <row r="1920" spans="1:14" ht="14.5" x14ac:dyDescent="0.35">
      <c r="A1920" s="260" t="s">
        <v>565</v>
      </c>
      <c r="B1920" s="190">
        <v>45930</v>
      </c>
      <c r="C1920" s="260" t="s">
        <v>754</v>
      </c>
      <c r="D1920" s="197">
        <v>50</v>
      </c>
      <c r="E1920" s="197">
        <v>4104</v>
      </c>
      <c r="F1920" s="197">
        <v>82</v>
      </c>
      <c r="G1920" s="190">
        <v>45930</v>
      </c>
      <c r="H1920" s="196">
        <v>0</v>
      </c>
      <c r="I1920" s="197">
        <v>4100</v>
      </c>
      <c r="J1920" s="197">
        <v>4100</v>
      </c>
      <c r="K1920" s="197">
        <v>0</v>
      </c>
      <c r="L1920" s="197">
        <v>-4</v>
      </c>
      <c r="M1920" s="260" t="s">
        <v>239</v>
      </c>
      <c r="N1920" s="260" t="s">
        <v>514</v>
      </c>
    </row>
    <row r="1921" spans="1:14" ht="14.5" x14ac:dyDescent="0.35">
      <c r="A1921" s="260" t="s">
        <v>565</v>
      </c>
      <c r="B1921" s="190">
        <v>45931</v>
      </c>
      <c r="C1921" s="260" t="s">
        <v>749</v>
      </c>
      <c r="D1921" s="197">
        <v>100</v>
      </c>
      <c r="E1921" s="197">
        <v>5005</v>
      </c>
      <c r="F1921" s="197">
        <v>54</v>
      </c>
      <c r="G1921" s="190">
        <v>45931</v>
      </c>
      <c r="H1921" s="196">
        <v>0</v>
      </c>
      <c r="I1921" s="197">
        <v>5400</v>
      </c>
      <c r="J1921" s="197">
        <v>5400</v>
      </c>
      <c r="K1921" s="197">
        <v>0</v>
      </c>
      <c r="L1921" s="197">
        <v>395</v>
      </c>
      <c r="M1921" s="260" t="s">
        <v>239</v>
      </c>
      <c r="N1921" s="260" t="s">
        <v>514</v>
      </c>
    </row>
    <row r="1922" spans="1:14" ht="14.5" x14ac:dyDescent="0.35">
      <c r="A1922" s="260" t="s">
        <v>565</v>
      </c>
      <c r="B1922" s="190">
        <v>45931</v>
      </c>
      <c r="C1922" s="260" t="s">
        <v>752</v>
      </c>
      <c r="D1922" s="197">
        <v>100</v>
      </c>
      <c r="E1922" s="197">
        <v>20020</v>
      </c>
      <c r="F1922" s="197">
        <v>177</v>
      </c>
      <c r="G1922" s="190">
        <v>45931</v>
      </c>
      <c r="H1922" s="196">
        <v>0</v>
      </c>
      <c r="I1922" s="197">
        <v>17700</v>
      </c>
      <c r="J1922" s="197">
        <v>17700</v>
      </c>
      <c r="K1922" s="197">
        <v>0</v>
      </c>
      <c r="L1922" s="197">
        <v>-2320</v>
      </c>
      <c r="M1922" s="260" t="s">
        <v>239</v>
      </c>
      <c r="N1922" s="260" t="s">
        <v>514</v>
      </c>
    </row>
    <row r="1923" spans="1:14" ht="14.5" x14ac:dyDescent="0.35">
      <c r="A1923" s="260" t="s">
        <v>565</v>
      </c>
      <c r="B1923" s="190">
        <v>45931</v>
      </c>
      <c r="C1923" s="260" t="s">
        <v>754</v>
      </c>
      <c r="D1923" s="197">
        <v>50</v>
      </c>
      <c r="E1923" s="197">
        <v>4104</v>
      </c>
      <c r="F1923" s="197">
        <v>82</v>
      </c>
      <c r="G1923" s="190">
        <v>45931</v>
      </c>
      <c r="H1923" s="196">
        <v>0</v>
      </c>
      <c r="I1923" s="197">
        <v>4100</v>
      </c>
      <c r="J1923" s="197">
        <v>4100</v>
      </c>
      <c r="K1923" s="197">
        <v>0</v>
      </c>
      <c r="L1923" s="197">
        <v>-4</v>
      </c>
      <c r="M1923" s="260" t="s">
        <v>239</v>
      </c>
      <c r="N1923" s="260" t="s">
        <v>514</v>
      </c>
    </row>
    <row r="1924" spans="1:14" ht="14.5" x14ac:dyDescent="0.35">
      <c r="A1924" s="260" t="s">
        <v>565</v>
      </c>
      <c r="B1924" s="190">
        <v>45932</v>
      </c>
      <c r="C1924" s="260" t="s">
        <v>749</v>
      </c>
      <c r="D1924" s="197">
        <v>100</v>
      </c>
      <c r="E1924" s="197">
        <v>5005</v>
      </c>
      <c r="F1924" s="197">
        <v>53.9</v>
      </c>
      <c r="G1924" s="190">
        <v>45932</v>
      </c>
      <c r="H1924" s="196">
        <v>0</v>
      </c>
      <c r="I1924" s="197">
        <v>5390</v>
      </c>
      <c r="J1924" s="197">
        <v>5390</v>
      </c>
      <c r="K1924" s="197">
        <v>0</v>
      </c>
      <c r="L1924" s="197">
        <v>385</v>
      </c>
      <c r="M1924" s="260" t="s">
        <v>239</v>
      </c>
      <c r="N1924" s="260" t="s">
        <v>514</v>
      </c>
    </row>
    <row r="1925" spans="1:14" ht="14.5" x14ac:dyDescent="0.35">
      <c r="A1925" s="260" t="s">
        <v>565</v>
      </c>
      <c r="B1925" s="190">
        <v>45932</v>
      </c>
      <c r="C1925" s="260" t="s">
        <v>752</v>
      </c>
      <c r="D1925" s="197">
        <v>100</v>
      </c>
      <c r="E1925" s="197">
        <v>20020</v>
      </c>
      <c r="F1925" s="197">
        <v>177.13</v>
      </c>
      <c r="G1925" s="190">
        <v>45932</v>
      </c>
      <c r="H1925" s="196">
        <v>0</v>
      </c>
      <c r="I1925" s="197">
        <v>17713</v>
      </c>
      <c r="J1925" s="197">
        <v>17713</v>
      </c>
      <c r="K1925" s="197">
        <v>0</v>
      </c>
      <c r="L1925" s="197">
        <v>-2307</v>
      </c>
      <c r="M1925" s="260" t="s">
        <v>239</v>
      </c>
      <c r="N1925" s="260" t="s">
        <v>514</v>
      </c>
    </row>
    <row r="1926" spans="1:14" ht="14.5" x14ac:dyDescent="0.35">
      <c r="A1926" s="260" t="s">
        <v>565</v>
      </c>
      <c r="B1926" s="190">
        <v>45932</v>
      </c>
      <c r="C1926" s="260" t="s">
        <v>754</v>
      </c>
      <c r="D1926" s="197">
        <v>50</v>
      </c>
      <c r="E1926" s="197">
        <v>4104</v>
      </c>
      <c r="F1926" s="197">
        <v>81.83</v>
      </c>
      <c r="G1926" s="190">
        <v>45932</v>
      </c>
      <c r="H1926" s="196">
        <v>0</v>
      </c>
      <c r="I1926" s="197">
        <v>4091.5</v>
      </c>
      <c r="J1926" s="197">
        <v>4091.5</v>
      </c>
      <c r="K1926" s="197">
        <v>0</v>
      </c>
      <c r="L1926" s="197">
        <v>-12.5</v>
      </c>
      <c r="M1926" s="260" t="s">
        <v>239</v>
      </c>
      <c r="N1926" s="260" t="s">
        <v>514</v>
      </c>
    </row>
    <row r="1927" spans="1:14" ht="14.5" x14ac:dyDescent="0.35">
      <c r="A1927" s="260" t="s">
        <v>565</v>
      </c>
      <c r="B1927" s="190">
        <v>45933</v>
      </c>
      <c r="C1927" s="260" t="s">
        <v>749</v>
      </c>
      <c r="D1927" s="197">
        <v>100</v>
      </c>
      <c r="E1927" s="197">
        <v>5005</v>
      </c>
      <c r="F1927" s="197">
        <v>53.8</v>
      </c>
      <c r="G1927" s="190">
        <v>45933</v>
      </c>
      <c r="H1927" s="196">
        <v>0</v>
      </c>
      <c r="I1927" s="197">
        <v>5380</v>
      </c>
      <c r="J1927" s="197">
        <v>5380</v>
      </c>
      <c r="K1927" s="197">
        <v>0</v>
      </c>
      <c r="L1927" s="197">
        <v>375</v>
      </c>
      <c r="M1927" s="260" t="s">
        <v>239</v>
      </c>
      <c r="N1927" s="260" t="s">
        <v>514</v>
      </c>
    </row>
    <row r="1928" spans="1:14" ht="14.5" x14ac:dyDescent="0.35">
      <c r="A1928" s="260" t="s">
        <v>565</v>
      </c>
      <c r="B1928" s="190">
        <v>45933</v>
      </c>
      <c r="C1928" s="260" t="s">
        <v>752</v>
      </c>
      <c r="D1928" s="197">
        <v>100</v>
      </c>
      <c r="E1928" s="197">
        <v>20020</v>
      </c>
      <c r="F1928" s="197">
        <v>177.27</v>
      </c>
      <c r="G1928" s="190">
        <v>45933</v>
      </c>
      <c r="H1928" s="196">
        <v>0</v>
      </c>
      <c r="I1928" s="197">
        <v>17727</v>
      </c>
      <c r="J1928" s="197">
        <v>17727</v>
      </c>
      <c r="K1928" s="197">
        <v>0</v>
      </c>
      <c r="L1928" s="197">
        <v>-2293</v>
      </c>
      <c r="M1928" s="260" t="s">
        <v>239</v>
      </c>
      <c r="N1928" s="260" t="s">
        <v>514</v>
      </c>
    </row>
    <row r="1929" spans="1:14" ht="14.5" x14ac:dyDescent="0.35">
      <c r="A1929" s="260" t="s">
        <v>565</v>
      </c>
      <c r="B1929" s="190">
        <v>45933</v>
      </c>
      <c r="C1929" s="260" t="s">
        <v>754</v>
      </c>
      <c r="D1929" s="197">
        <v>50</v>
      </c>
      <c r="E1929" s="197">
        <v>4104</v>
      </c>
      <c r="F1929" s="197">
        <v>81.67</v>
      </c>
      <c r="G1929" s="190">
        <v>45933</v>
      </c>
      <c r="H1929" s="196">
        <v>0</v>
      </c>
      <c r="I1929" s="197">
        <v>4083.5</v>
      </c>
      <c r="J1929" s="197">
        <v>4083.5</v>
      </c>
      <c r="K1929" s="197">
        <v>0</v>
      </c>
      <c r="L1929" s="197">
        <v>-20.5</v>
      </c>
      <c r="M1929" s="260" t="s">
        <v>239</v>
      </c>
      <c r="N1929" s="260" t="s">
        <v>514</v>
      </c>
    </row>
    <row r="1930" spans="1:14" ht="14.5" x14ac:dyDescent="0.35">
      <c r="A1930" s="260" t="s">
        <v>565</v>
      </c>
      <c r="B1930" s="190">
        <v>45934</v>
      </c>
      <c r="C1930" s="260" t="s">
        <v>749</v>
      </c>
      <c r="D1930" s="197">
        <v>100</v>
      </c>
      <c r="E1930" s="197">
        <v>5005</v>
      </c>
      <c r="F1930" s="197">
        <v>53.8</v>
      </c>
      <c r="G1930" s="190">
        <v>45933</v>
      </c>
      <c r="H1930" s="196">
        <v>1</v>
      </c>
      <c r="I1930" s="197">
        <v>5380</v>
      </c>
      <c r="J1930" s="197">
        <v>5380</v>
      </c>
      <c r="K1930" s="197">
        <v>0</v>
      </c>
      <c r="L1930" s="197">
        <v>375</v>
      </c>
      <c r="M1930" s="260" t="s">
        <v>239</v>
      </c>
      <c r="N1930" s="260" t="s">
        <v>514</v>
      </c>
    </row>
    <row r="1931" spans="1:14" ht="14.5" x14ac:dyDescent="0.35">
      <c r="A1931" s="260" t="s">
        <v>565</v>
      </c>
      <c r="B1931" s="190">
        <v>45934</v>
      </c>
      <c r="C1931" s="260" t="s">
        <v>752</v>
      </c>
      <c r="D1931" s="197">
        <v>100</v>
      </c>
      <c r="E1931" s="197">
        <v>20020</v>
      </c>
      <c r="F1931" s="197">
        <v>177.27</v>
      </c>
      <c r="G1931" s="190">
        <v>45933</v>
      </c>
      <c r="H1931" s="196">
        <v>1</v>
      </c>
      <c r="I1931" s="197">
        <v>17727</v>
      </c>
      <c r="J1931" s="197">
        <v>17727</v>
      </c>
      <c r="K1931" s="197">
        <v>0</v>
      </c>
      <c r="L1931" s="197">
        <v>-2293</v>
      </c>
      <c r="M1931" s="260" t="s">
        <v>239</v>
      </c>
      <c r="N1931" s="260" t="s">
        <v>514</v>
      </c>
    </row>
    <row r="1932" spans="1:14" ht="14.5" x14ac:dyDescent="0.35">
      <c r="A1932" s="260" t="s">
        <v>565</v>
      </c>
      <c r="B1932" s="190">
        <v>45934</v>
      </c>
      <c r="C1932" s="260" t="s">
        <v>754</v>
      </c>
      <c r="D1932" s="197">
        <v>50</v>
      </c>
      <c r="E1932" s="197">
        <v>4104</v>
      </c>
      <c r="F1932" s="197">
        <v>81.67</v>
      </c>
      <c r="G1932" s="190">
        <v>45933</v>
      </c>
      <c r="H1932" s="196">
        <v>1</v>
      </c>
      <c r="I1932" s="197">
        <v>4083.5</v>
      </c>
      <c r="J1932" s="197">
        <v>4083.5</v>
      </c>
      <c r="K1932" s="197">
        <v>0</v>
      </c>
      <c r="L1932" s="197">
        <v>-20.5</v>
      </c>
      <c r="M1932" s="260" t="s">
        <v>239</v>
      </c>
      <c r="N1932" s="260" t="s">
        <v>514</v>
      </c>
    </row>
    <row r="1933" spans="1:14" ht="14.5" x14ac:dyDescent="0.35">
      <c r="A1933" s="260" t="s">
        <v>565</v>
      </c>
      <c r="B1933" s="190">
        <v>45935</v>
      </c>
      <c r="C1933" s="260" t="s">
        <v>749</v>
      </c>
      <c r="D1933" s="197">
        <v>100</v>
      </c>
      <c r="E1933" s="197">
        <v>5005</v>
      </c>
      <c r="F1933" s="197">
        <v>53.8</v>
      </c>
      <c r="G1933" s="190">
        <v>45933</v>
      </c>
      <c r="H1933" s="196">
        <v>2</v>
      </c>
      <c r="I1933" s="197">
        <v>5380</v>
      </c>
      <c r="J1933" s="197">
        <v>5380</v>
      </c>
      <c r="K1933" s="197">
        <v>0</v>
      </c>
      <c r="L1933" s="197">
        <v>375</v>
      </c>
      <c r="M1933" s="260" t="s">
        <v>239</v>
      </c>
      <c r="N1933" s="260" t="s">
        <v>514</v>
      </c>
    </row>
    <row r="1934" spans="1:14" ht="14.5" x14ac:dyDescent="0.35">
      <c r="A1934" s="260" t="s">
        <v>565</v>
      </c>
      <c r="B1934" s="190">
        <v>45935</v>
      </c>
      <c r="C1934" s="260" t="s">
        <v>752</v>
      </c>
      <c r="D1934" s="197">
        <v>100</v>
      </c>
      <c r="E1934" s="197">
        <v>20020</v>
      </c>
      <c r="F1934" s="197">
        <v>177.27</v>
      </c>
      <c r="G1934" s="190">
        <v>45933</v>
      </c>
      <c r="H1934" s="196">
        <v>2</v>
      </c>
      <c r="I1934" s="197">
        <v>17727</v>
      </c>
      <c r="J1934" s="197">
        <v>17727</v>
      </c>
      <c r="K1934" s="197">
        <v>0</v>
      </c>
      <c r="L1934" s="197">
        <v>-2293</v>
      </c>
      <c r="M1934" s="260" t="s">
        <v>239</v>
      </c>
      <c r="N1934" s="260" t="s">
        <v>514</v>
      </c>
    </row>
    <row r="1935" spans="1:14" ht="14.5" x14ac:dyDescent="0.35">
      <c r="A1935" s="260" t="s">
        <v>565</v>
      </c>
      <c r="B1935" s="190">
        <v>45935</v>
      </c>
      <c r="C1935" s="260" t="s">
        <v>754</v>
      </c>
      <c r="D1935" s="197">
        <v>50</v>
      </c>
      <c r="E1935" s="197">
        <v>4104</v>
      </c>
      <c r="F1935" s="197">
        <v>81.67</v>
      </c>
      <c r="G1935" s="190">
        <v>45933</v>
      </c>
      <c r="H1935" s="196">
        <v>2</v>
      </c>
      <c r="I1935" s="197">
        <v>4083.5</v>
      </c>
      <c r="J1935" s="197">
        <v>4083.5</v>
      </c>
      <c r="K1935" s="197">
        <v>0</v>
      </c>
      <c r="L1935" s="197">
        <v>-20.5</v>
      </c>
      <c r="M1935" s="260" t="s">
        <v>239</v>
      </c>
      <c r="N1935" s="260" t="s">
        <v>514</v>
      </c>
    </row>
    <row r="1936" spans="1:14" ht="14.5" x14ac:dyDescent="0.35">
      <c r="A1936" s="260" t="s">
        <v>565</v>
      </c>
      <c r="B1936" s="190">
        <v>45936</v>
      </c>
      <c r="C1936" s="260" t="s">
        <v>749</v>
      </c>
      <c r="D1936" s="197">
        <v>100</v>
      </c>
      <c r="E1936" s="197">
        <v>5005</v>
      </c>
      <c r="F1936" s="197">
        <v>53.5</v>
      </c>
      <c r="G1936" s="190">
        <v>45936</v>
      </c>
      <c r="H1936" s="196">
        <v>0</v>
      </c>
      <c r="I1936" s="197">
        <v>5350</v>
      </c>
      <c r="J1936" s="197">
        <v>5350</v>
      </c>
      <c r="K1936" s="197">
        <v>0</v>
      </c>
      <c r="L1936" s="197">
        <v>345</v>
      </c>
      <c r="M1936" s="260" t="s">
        <v>239</v>
      </c>
      <c r="N1936" s="260" t="s">
        <v>514</v>
      </c>
    </row>
    <row r="1937" spans="1:14" ht="14.5" x14ac:dyDescent="0.35">
      <c r="A1937" s="260" t="s">
        <v>565</v>
      </c>
      <c r="B1937" s="190">
        <v>45936</v>
      </c>
      <c r="C1937" s="260" t="s">
        <v>752</v>
      </c>
      <c r="D1937" s="197">
        <v>100</v>
      </c>
      <c r="E1937" s="197">
        <v>20020</v>
      </c>
      <c r="F1937" s="197">
        <v>177.67</v>
      </c>
      <c r="G1937" s="190">
        <v>45936</v>
      </c>
      <c r="H1937" s="196">
        <v>0</v>
      </c>
      <c r="I1937" s="197">
        <v>17767</v>
      </c>
      <c r="J1937" s="197">
        <v>17767</v>
      </c>
      <c r="K1937" s="197">
        <v>0</v>
      </c>
      <c r="L1937" s="197">
        <v>-2253</v>
      </c>
      <c r="M1937" s="260" t="s">
        <v>239</v>
      </c>
      <c r="N1937" s="260" t="s">
        <v>514</v>
      </c>
    </row>
    <row r="1938" spans="1:14" ht="14.5" x14ac:dyDescent="0.35">
      <c r="A1938" s="260" t="s">
        <v>565</v>
      </c>
      <c r="B1938" s="190">
        <v>45936</v>
      </c>
      <c r="C1938" s="260" t="s">
        <v>754</v>
      </c>
      <c r="D1938" s="197">
        <v>50</v>
      </c>
      <c r="E1938" s="197">
        <v>4104</v>
      </c>
      <c r="F1938" s="197">
        <v>81.17</v>
      </c>
      <c r="G1938" s="190">
        <v>45936</v>
      </c>
      <c r="H1938" s="196">
        <v>0</v>
      </c>
      <c r="I1938" s="197">
        <v>4058.5</v>
      </c>
      <c r="J1938" s="197">
        <v>4058.5</v>
      </c>
      <c r="K1938" s="197">
        <v>0</v>
      </c>
      <c r="L1938" s="197">
        <v>-45.5</v>
      </c>
      <c r="M1938" s="260" t="s">
        <v>239</v>
      </c>
      <c r="N1938" s="260" t="s">
        <v>514</v>
      </c>
    </row>
    <row r="1939" spans="1:14" ht="14.5" x14ac:dyDescent="0.35">
      <c r="A1939" s="260" t="s">
        <v>565</v>
      </c>
      <c r="B1939" s="190">
        <v>45937</v>
      </c>
      <c r="C1939" s="260" t="s">
        <v>749</v>
      </c>
      <c r="D1939" s="197">
        <v>100</v>
      </c>
      <c r="E1939" s="197">
        <v>5005</v>
      </c>
      <c r="F1939" s="197">
        <v>53.4</v>
      </c>
      <c r="G1939" s="190">
        <v>45937</v>
      </c>
      <c r="H1939" s="196">
        <v>0</v>
      </c>
      <c r="I1939" s="197">
        <v>5340</v>
      </c>
      <c r="J1939" s="197">
        <v>5340</v>
      </c>
      <c r="K1939" s="197">
        <v>0</v>
      </c>
      <c r="L1939" s="197">
        <v>335</v>
      </c>
      <c r="M1939" s="260" t="s">
        <v>239</v>
      </c>
      <c r="N1939" s="260" t="s">
        <v>514</v>
      </c>
    </row>
    <row r="1940" spans="1:14" ht="14.5" x14ac:dyDescent="0.35">
      <c r="A1940" s="260" t="s">
        <v>565</v>
      </c>
      <c r="B1940" s="190">
        <v>45937</v>
      </c>
      <c r="C1940" s="260" t="s">
        <v>752</v>
      </c>
      <c r="D1940" s="197">
        <v>100</v>
      </c>
      <c r="E1940" s="197">
        <v>20020</v>
      </c>
      <c r="F1940" s="197">
        <v>177.8</v>
      </c>
      <c r="G1940" s="190">
        <v>45937</v>
      </c>
      <c r="H1940" s="196">
        <v>0</v>
      </c>
      <c r="I1940" s="197">
        <v>17780</v>
      </c>
      <c r="J1940" s="197">
        <v>17780</v>
      </c>
      <c r="K1940" s="197">
        <v>0</v>
      </c>
      <c r="L1940" s="197">
        <v>-2240</v>
      </c>
      <c r="M1940" s="260" t="s">
        <v>239</v>
      </c>
      <c r="N1940" s="260" t="s">
        <v>514</v>
      </c>
    </row>
    <row r="1941" spans="1:14" ht="14.5" x14ac:dyDescent="0.35">
      <c r="A1941" s="260" t="s">
        <v>565</v>
      </c>
      <c r="B1941" s="190">
        <v>45937</v>
      </c>
      <c r="C1941" s="260" t="s">
        <v>754</v>
      </c>
      <c r="D1941" s="197">
        <v>50</v>
      </c>
      <c r="E1941" s="197">
        <v>4104</v>
      </c>
      <c r="F1941" s="197">
        <v>81</v>
      </c>
      <c r="G1941" s="190">
        <v>45937</v>
      </c>
      <c r="H1941" s="196">
        <v>0</v>
      </c>
      <c r="I1941" s="197">
        <v>4050</v>
      </c>
      <c r="J1941" s="197">
        <v>4050</v>
      </c>
      <c r="K1941" s="197">
        <v>0</v>
      </c>
      <c r="L1941" s="197">
        <v>-54</v>
      </c>
      <c r="M1941" s="260" t="s">
        <v>239</v>
      </c>
      <c r="N1941" s="260" t="s">
        <v>514</v>
      </c>
    </row>
    <row r="1942" spans="1:14" ht="14.5" x14ac:dyDescent="0.35">
      <c r="A1942" s="260" t="s">
        <v>565</v>
      </c>
      <c r="B1942" s="190">
        <v>45938</v>
      </c>
      <c r="C1942" s="260" t="s">
        <v>749</v>
      </c>
      <c r="D1942" s="197">
        <v>100</v>
      </c>
      <c r="E1942" s="197">
        <v>5005</v>
      </c>
      <c r="F1942" s="197">
        <v>53.3</v>
      </c>
      <c r="G1942" s="190">
        <v>45938</v>
      </c>
      <c r="H1942" s="196">
        <v>0</v>
      </c>
      <c r="I1942" s="197">
        <v>5330</v>
      </c>
      <c r="J1942" s="197">
        <v>5330</v>
      </c>
      <c r="K1942" s="197">
        <v>0</v>
      </c>
      <c r="L1942" s="197">
        <v>325</v>
      </c>
      <c r="M1942" s="260" t="s">
        <v>239</v>
      </c>
      <c r="N1942" s="260" t="s">
        <v>514</v>
      </c>
    </row>
    <row r="1943" spans="1:14" ht="14.5" x14ac:dyDescent="0.35">
      <c r="A1943" s="260" t="s">
        <v>565</v>
      </c>
      <c r="B1943" s="190">
        <v>45938</v>
      </c>
      <c r="C1943" s="260" t="s">
        <v>752</v>
      </c>
      <c r="D1943" s="197">
        <v>100</v>
      </c>
      <c r="E1943" s="197">
        <v>20020</v>
      </c>
      <c r="F1943" s="197">
        <v>177.93</v>
      </c>
      <c r="G1943" s="190">
        <v>45938</v>
      </c>
      <c r="H1943" s="196">
        <v>0</v>
      </c>
      <c r="I1943" s="197">
        <v>17793</v>
      </c>
      <c r="J1943" s="197">
        <v>17793</v>
      </c>
      <c r="K1943" s="197">
        <v>0</v>
      </c>
      <c r="L1943" s="197">
        <v>-2227</v>
      </c>
      <c r="M1943" s="260" t="s">
        <v>239</v>
      </c>
      <c r="N1943" s="260" t="s">
        <v>514</v>
      </c>
    </row>
    <row r="1944" spans="1:14" ht="14.5" x14ac:dyDescent="0.35">
      <c r="A1944" s="260" t="s">
        <v>565</v>
      </c>
      <c r="B1944" s="190">
        <v>45938</v>
      </c>
      <c r="C1944" s="260" t="s">
        <v>754</v>
      </c>
      <c r="D1944" s="197">
        <v>50</v>
      </c>
      <c r="E1944" s="197">
        <v>4104</v>
      </c>
      <c r="F1944" s="197">
        <v>80.83</v>
      </c>
      <c r="G1944" s="190">
        <v>45938</v>
      </c>
      <c r="H1944" s="196">
        <v>0</v>
      </c>
      <c r="I1944" s="197">
        <v>4041.5</v>
      </c>
      <c r="J1944" s="197">
        <v>4041.5</v>
      </c>
      <c r="K1944" s="197">
        <v>0</v>
      </c>
      <c r="L1944" s="197">
        <v>-62.5</v>
      </c>
      <c r="M1944" s="260" t="s">
        <v>239</v>
      </c>
      <c r="N1944" s="260" t="s">
        <v>514</v>
      </c>
    </row>
    <row r="1945" spans="1:14" ht="14.5" x14ac:dyDescent="0.35">
      <c r="A1945" s="260" t="s">
        <v>565</v>
      </c>
      <c r="B1945" s="190">
        <v>45939</v>
      </c>
      <c r="C1945" s="260" t="s">
        <v>749</v>
      </c>
      <c r="D1945" s="197">
        <v>100</v>
      </c>
      <c r="E1945" s="197">
        <v>5005</v>
      </c>
      <c r="F1945" s="197">
        <v>53.2</v>
      </c>
      <c r="G1945" s="190">
        <v>45939</v>
      </c>
      <c r="H1945" s="196">
        <v>0</v>
      </c>
      <c r="I1945" s="197">
        <v>5320</v>
      </c>
      <c r="J1945" s="197">
        <v>5320</v>
      </c>
      <c r="K1945" s="197">
        <v>0</v>
      </c>
      <c r="L1945" s="197">
        <v>315</v>
      </c>
      <c r="M1945" s="260" t="s">
        <v>239</v>
      </c>
      <c r="N1945" s="260" t="s">
        <v>514</v>
      </c>
    </row>
    <row r="1946" spans="1:14" ht="14.5" x14ac:dyDescent="0.35">
      <c r="A1946" s="260" t="s">
        <v>565</v>
      </c>
      <c r="B1946" s="190">
        <v>45939</v>
      </c>
      <c r="C1946" s="260" t="s">
        <v>752</v>
      </c>
      <c r="D1946" s="197">
        <v>100</v>
      </c>
      <c r="E1946" s="197">
        <v>20020</v>
      </c>
      <c r="F1946" s="197">
        <v>178.07</v>
      </c>
      <c r="G1946" s="190">
        <v>45939</v>
      </c>
      <c r="H1946" s="196">
        <v>0</v>
      </c>
      <c r="I1946" s="197">
        <v>17807</v>
      </c>
      <c r="J1946" s="197">
        <v>17807</v>
      </c>
      <c r="K1946" s="197">
        <v>0</v>
      </c>
      <c r="L1946" s="197">
        <v>-2213</v>
      </c>
      <c r="M1946" s="260" t="s">
        <v>239</v>
      </c>
      <c r="N1946" s="260" t="s">
        <v>514</v>
      </c>
    </row>
    <row r="1947" spans="1:14" ht="14.5" x14ac:dyDescent="0.35">
      <c r="A1947" s="260" t="s">
        <v>565</v>
      </c>
      <c r="B1947" s="190">
        <v>45939</v>
      </c>
      <c r="C1947" s="260" t="s">
        <v>754</v>
      </c>
      <c r="D1947" s="197">
        <v>50</v>
      </c>
      <c r="E1947" s="197">
        <v>4104</v>
      </c>
      <c r="F1947" s="197">
        <v>80.67</v>
      </c>
      <c r="G1947" s="190">
        <v>45939</v>
      </c>
      <c r="H1947" s="196">
        <v>0</v>
      </c>
      <c r="I1947" s="197">
        <v>4033.5</v>
      </c>
      <c r="J1947" s="197">
        <v>4033.5</v>
      </c>
      <c r="K1947" s="197">
        <v>0</v>
      </c>
      <c r="L1947" s="197">
        <v>-70.5</v>
      </c>
      <c r="M1947" s="260" t="s">
        <v>239</v>
      </c>
      <c r="N1947" s="260" t="s">
        <v>514</v>
      </c>
    </row>
    <row r="1948" spans="1:14" ht="14.5" x14ac:dyDescent="0.35">
      <c r="A1948" s="260" t="s">
        <v>565</v>
      </c>
      <c r="B1948" s="190">
        <v>45940</v>
      </c>
      <c r="C1948" s="260" t="s">
        <v>749</v>
      </c>
      <c r="D1948" s="197">
        <v>100</v>
      </c>
      <c r="E1948" s="197">
        <v>5005</v>
      </c>
      <c r="F1948" s="197">
        <v>53.1</v>
      </c>
      <c r="G1948" s="190">
        <v>45940</v>
      </c>
      <c r="H1948" s="196">
        <v>0</v>
      </c>
      <c r="I1948" s="197">
        <v>5310</v>
      </c>
      <c r="J1948" s="197">
        <v>5310</v>
      </c>
      <c r="K1948" s="197">
        <v>0</v>
      </c>
      <c r="L1948" s="197">
        <v>305</v>
      </c>
      <c r="M1948" s="260" t="s">
        <v>239</v>
      </c>
      <c r="N1948" s="260" t="s">
        <v>514</v>
      </c>
    </row>
    <row r="1949" spans="1:14" ht="14.5" x14ac:dyDescent="0.35">
      <c r="A1949" s="260" t="s">
        <v>565</v>
      </c>
      <c r="B1949" s="190">
        <v>45940</v>
      </c>
      <c r="C1949" s="260" t="s">
        <v>752</v>
      </c>
      <c r="D1949" s="197">
        <v>100</v>
      </c>
      <c r="E1949" s="197">
        <v>20020</v>
      </c>
      <c r="F1949" s="197">
        <v>178.2</v>
      </c>
      <c r="G1949" s="190">
        <v>45940</v>
      </c>
      <c r="H1949" s="196">
        <v>0</v>
      </c>
      <c r="I1949" s="197">
        <v>17820</v>
      </c>
      <c r="J1949" s="197">
        <v>17820</v>
      </c>
      <c r="K1949" s="197">
        <v>0</v>
      </c>
      <c r="L1949" s="197">
        <v>-2200</v>
      </c>
      <c r="M1949" s="260" t="s">
        <v>239</v>
      </c>
      <c r="N1949" s="260" t="s">
        <v>514</v>
      </c>
    </row>
    <row r="1950" spans="1:14" ht="14.5" x14ac:dyDescent="0.35">
      <c r="A1950" s="260" t="s">
        <v>565</v>
      </c>
      <c r="B1950" s="190">
        <v>45940</v>
      </c>
      <c r="C1950" s="260" t="s">
        <v>754</v>
      </c>
      <c r="D1950" s="197">
        <v>50</v>
      </c>
      <c r="E1950" s="197">
        <v>4104</v>
      </c>
      <c r="F1950" s="197">
        <v>80.5</v>
      </c>
      <c r="G1950" s="190">
        <v>45940</v>
      </c>
      <c r="H1950" s="196">
        <v>0</v>
      </c>
      <c r="I1950" s="197">
        <v>4025</v>
      </c>
      <c r="J1950" s="197">
        <v>4025</v>
      </c>
      <c r="K1950" s="197">
        <v>0</v>
      </c>
      <c r="L1950" s="197">
        <v>-79</v>
      </c>
      <c r="M1950" s="260" t="s">
        <v>239</v>
      </c>
      <c r="N1950" s="260" t="s">
        <v>514</v>
      </c>
    </row>
    <row r="1951" spans="1:14" ht="14.5" x14ac:dyDescent="0.35">
      <c r="A1951" s="260" t="s">
        <v>565</v>
      </c>
      <c r="B1951" s="190">
        <v>45941</v>
      </c>
      <c r="C1951" s="260" t="s">
        <v>749</v>
      </c>
      <c r="D1951" s="197">
        <v>100</v>
      </c>
      <c r="E1951" s="197">
        <v>5005</v>
      </c>
      <c r="F1951" s="197">
        <v>53.1</v>
      </c>
      <c r="G1951" s="190">
        <v>45940</v>
      </c>
      <c r="H1951" s="196">
        <v>1</v>
      </c>
      <c r="I1951" s="197">
        <v>5310</v>
      </c>
      <c r="J1951" s="197">
        <v>5310</v>
      </c>
      <c r="K1951" s="197">
        <v>0</v>
      </c>
      <c r="L1951" s="197">
        <v>305</v>
      </c>
      <c r="M1951" s="260" t="s">
        <v>239</v>
      </c>
      <c r="N1951" s="260" t="s">
        <v>514</v>
      </c>
    </row>
    <row r="1952" spans="1:14" ht="14.5" x14ac:dyDescent="0.35">
      <c r="A1952" s="260" t="s">
        <v>565</v>
      </c>
      <c r="B1952" s="190">
        <v>45941</v>
      </c>
      <c r="C1952" s="260" t="s">
        <v>752</v>
      </c>
      <c r="D1952" s="197">
        <v>100</v>
      </c>
      <c r="E1952" s="197">
        <v>20020</v>
      </c>
      <c r="F1952" s="197">
        <v>178.2</v>
      </c>
      <c r="G1952" s="190">
        <v>45940</v>
      </c>
      <c r="H1952" s="196">
        <v>1</v>
      </c>
      <c r="I1952" s="197">
        <v>17820</v>
      </c>
      <c r="J1952" s="197">
        <v>17820</v>
      </c>
      <c r="K1952" s="197">
        <v>0</v>
      </c>
      <c r="L1952" s="197">
        <v>-2200</v>
      </c>
      <c r="M1952" s="260" t="s">
        <v>239</v>
      </c>
      <c r="N1952" s="260" t="s">
        <v>514</v>
      </c>
    </row>
    <row r="1953" spans="1:14" ht="14.5" x14ac:dyDescent="0.35">
      <c r="A1953" s="260" t="s">
        <v>565</v>
      </c>
      <c r="B1953" s="190">
        <v>45941</v>
      </c>
      <c r="C1953" s="260" t="s">
        <v>754</v>
      </c>
      <c r="D1953" s="197">
        <v>50</v>
      </c>
      <c r="E1953" s="197">
        <v>4104</v>
      </c>
      <c r="F1953" s="197">
        <v>80.5</v>
      </c>
      <c r="G1953" s="190">
        <v>45940</v>
      </c>
      <c r="H1953" s="196">
        <v>1</v>
      </c>
      <c r="I1953" s="197">
        <v>4025</v>
      </c>
      <c r="J1953" s="197">
        <v>4025</v>
      </c>
      <c r="K1953" s="197">
        <v>0</v>
      </c>
      <c r="L1953" s="197">
        <v>-79</v>
      </c>
      <c r="M1953" s="260" t="s">
        <v>239</v>
      </c>
      <c r="N1953" s="260" t="s">
        <v>514</v>
      </c>
    </row>
    <row r="1954" spans="1:14" ht="14.5" x14ac:dyDescent="0.35">
      <c r="A1954" s="260" t="s">
        <v>565</v>
      </c>
      <c r="B1954" s="190">
        <v>45942</v>
      </c>
      <c r="C1954" s="260" t="s">
        <v>749</v>
      </c>
      <c r="D1954" s="197">
        <v>100</v>
      </c>
      <c r="E1954" s="197">
        <v>5005</v>
      </c>
      <c r="F1954" s="197">
        <v>53.1</v>
      </c>
      <c r="G1954" s="190">
        <v>45940</v>
      </c>
      <c r="H1954" s="196">
        <v>2</v>
      </c>
      <c r="I1954" s="197">
        <v>5310</v>
      </c>
      <c r="J1954" s="197">
        <v>5310</v>
      </c>
      <c r="K1954" s="197">
        <v>0</v>
      </c>
      <c r="L1954" s="197">
        <v>305</v>
      </c>
      <c r="M1954" s="260" t="s">
        <v>239</v>
      </c>
      <c r="N1954" s="260" t="s">
        <v>514</v>
      </c>
    </row>
    <row r="1955" spans="1:14" ht="14.5" x14ac:dyDescent="0.35">
      <c r="A1955" s="260" t="s">
        <v>565</v>
      </c>
      <c r="B1955" s="190">
        <v>45942</v>
      </c>
      <c r="C1955" s="260" t="s">
        <v>752</v>
      </c>
      <c r="D1955" s="197">
        <v>100</v>
      </c>
      <c r="E1955" s="197">
        <v>20020</v>
      </c>
      <c r="F1955" s="197">
        <v>178.2</v>
      </c>
      <c r="G1955" s="190">
        <v>45940</v>
      </c>
      <c r="H1955" s="196">
        <v>2</v>
      </c>
      <c r="I1955" s="197">
        <v>17820</v>
      </c>
      <c r="J1955" s="197">
        <v>17820</v>
      </c>
      <c r="K1955" s="197">
        <v>0</v>
      </c>
      <c r="L1955" s="197">
        <v>-2200</v>
      </c>
      <c r="M1955" s="260" t="s">
        <v>239</v>
      </c>
      <c r="N1955" s="260" t="s">
        <v>514</v>
      </c>
    </row>
    <row r="1956" spans="1:14" ht="14.5" x14ac:dyDescent="0.35">
      <c r="A1956" s="260" t="s">
        <v>565</v>
      </c>
      <c r="B1956" s="190">
        <v>45942</v>
      </c>
      <c r="C1956" s="260" t="s">
        <v>754</v>
      </c>
      <c r="D1956" s="197">
        <v>50</v>
      </c>
      <c r="E1956" s="197">
        <v>4104</v>
      </c>
      <c r="F1956" s="197">
        <v>80.5</v>
      </c>
      <c r="G1956" s="190">
        <v>45940</v>
      </c>
      <c r="H1956" s="196">
        <v>2</v>
      </c>
      <c r="I1956" s="197">
        <v>4025</v>
      </c>
      <c r="J1956" s="197">
        <v>4025</v>
      </c>
      <c r="K1956" s="197">
        <v>0</v>
      </c>
      <c r="L1956" s="197">
        <v>-79</v>
      </c>
      <c r="M1956" s="260" t="s">
        <v>239</v>
      </c>
      <c r="N1956" s="260" t="s">
        <v>514</v>
      </c>
    </row>
    <row r="1957" spans="1:14" ht="14.5" x14ac:dyDescent="0.35">
      <c r="A1957" s="260" t="s">
        <v>565</v>
      </c>
      <c r="B1957" s="190">
        <v>45943</v>
      </c>
      <c r="C1957" s="260" t="s">
        <v>749</v>
      </c>
      <c r="D1957" s="197">
        <v>100</v>
      </c>
      <c r="E1957" s="197">
        <v>5005</v>
      </c>
      <c r="F1957" s="197">
        <v>52.8</v>
      </c>
      <c r="G1957" s="190">
        <v>45943</v>
      </c>
      <c r="H1957" s="196">
        <v>0</v>
      </c>
      <c r="I1957" s="197">
        <v>5280</v>
      </c>
      <c r="J1957" s="197">
        <v>5280</v>
      </c>
      <c r="K1957" s="197">
        <v>0</v>
      </c>
      <c r="L1957" s="197">
        <v>275</v>
      </c>
      <c r="M1957" s="260" t="s">
        <v>239</v>
      </c>
      <c r="N1957" s="260" t="s">
        <v>514</v>
      </c>
    </row>
    <row r="1958" spans="1:14" ht="14.5" x14ac:dyDescent="0.35">
      <c r="A1958" s="260" t="s">
        <v>565</v>
      </c>
      <c r="B1958" s="190">
        <v>45943</v>
      </c>
      <c r="C1958" s="260" t="s">
        <v>752</v>
      </c>
      <c r="D1958" s="197">
        <v>100</v>
      </c>
      <c r="E1958" s="197">
        <v>20020</v>
      </c>
      <c r="F1958" s="197">
        <v>178.6</v>
      </c>
      <c r="G1958" s="190">
        <v>45943</v>
      </c>
      <c r="H1958" s="196">
        <v>0</v>
      </c>
      <c r="I1958" s="197">
        <v>17860</v>
      </c>
      <c r="J1958" s="197">
        <v>17860</v>
      </c>
      <c r="K1958" s="197">
        <v>0</v>
      </c>
      <c r="L1958" s="197">
        <v>-2160</v>
      </c>
      <c r="M1958" s="260" t="s">
        <v>239</v>
      </c>
      <c r="N1958" s="260" t="s">
        <v>514</v>
      </c>
    </row>
    <row r="1959" spans="1:14" ht="14.5" x14ac:dyDescent="0.35">
      <c r="A1959" s="260" t="s">
        <v>565</v>
      </c>
      <c r="B1959" s="190">
        <v>45943</v>
      </c>
      <c r="C1959" s="260" t="s">
        <v>754</v>
      </c>
      <c r="D1959" s="197">
        <v>50</v>
      </c>
      <c r="E1959" s="197">
        <v>4104</v>
      </c>
      <c r="F1959" s="197">
        <v>80</v>
      </c>
      <c r="G1959" s="190">
        <v>45943</v>
      </c>
      <c r="H1959" s="196">
        <v>0</v>
      </c>
      <c r="I1959" s="197">
        <v>4000</v>
      </c>
      <c r="J1959" s="197">
        <v>4000</v>
      </c>
      <c r="K1959" s="197">
        <v>0</v>
      </c>
      <c r="L1959" s="197">
        <v>-104</v>
      </c>
      <c r="M1959" s="260" t="s">
        <v>239</v>
      </c>
      <c r="N1959" s="260" t="s">
        <v>514</v>
      </c>
    </row>
    <row r="1960" spans="1:14" ht="14.5" x14ac:dyDescent="0.35">
      <c r="A1960" s="260" t="s">
        <v>565</v>
      </c>
      <c r="B1960" s="190">
        <v>45944</v>
      </c>
      <c r="C1960" s="260" t="s">
        <v>749</v>
      </c>
      <c r="D1960" s="197">
        <v>100</v>
      </c>
      <c r="E1960" s="197">
        <v>5005</v>
      </c>
      <c r="F1960" s="197">
        <v>52.7</v>
      </c>
      <c r="G1960" s="190">
        <v>45944</v>
      </c>
      <c r="H1960" s="196">
        <v>0</v>
      </c>
      <c r="I1960" s="197">
        <v>5270</v>
      </c>
      <c r="J1960" s="197">
        <v>5270</v>
      </c>
      <c r="K1960" s="197">
        <v>0</v>
      </c>
      <c r="L1960" s="197">
        <v>265</v>
      </c>
      <c r="M1960" s="260" t="s">
        <v>239</v>
      </c>
      <c r="N1960" s="260" t="s">
        <v>514</v>
      </c>
    </row>
    <row r="1961" spans="1:14" ht="14.5" x14ac:dyDescent="0.35">
      <c r="A1961" s="260" t="s">
        <v>565</v>
      </c>
      <c r="B1961" s="190">
        <v>45944</v>
      </c>
      <c r="C1961" s="260" t="s">
        <v>752</v>
      </c>
      <c r="D1961" s="197">
        <v>100</v>
      </c>
      <c r="E1961" s="197">
        <v>20020</v>
      </c>
      <c r="F1961" s="197">
        <v>178.73</v>
      </c>
      <c r="G1961" s="190">
        <v>45944</v>
      </c>
      <c r="H1961" s="196">
        <v>0</v>
      </c>
      <c r="I1961" s="197">
        <v>17873</v>
      </c>
      <c r="J1961" s="197">
        <v>17873</v>
      </c>
      <c r="K1961" s="197">
        <v>0</v>
      </c>
      <c r="L1961" s="197">
        <v>-2147</v>
      </c>
      <c r="M1961" s="260" t="s">
        <v>239</v>
      </c>
      <c r="N1961" s="260" t="s">
        <v>514</v>
      </c>
    </row>
    <row r="1962" spans="1:14" ht="14.5" x14ac:dyDescent="0.35">
      <c r="A1962" s="260" t="s">
        <v>565</v>
      </c>
      <c r="B1962" s="190">
        <v>45944</v>
      </c>
      <c r="C1962" s="260" t="s">
        <v>754</v>
      </c>
      <c r="D1962" s="197">
        <v>50</v>
      </c>
      <c r="E1962" s="197">
        <v>4104</v>
      </c>
      <c r="F1962" s="197">
        <v>79.83</v>
      </c>
      <c r="G1962" s="190">
        <v>45944</v>
      </c>
      <c r="H1962" s="196">
        <v>0</v>
      </c>
      <c r="I1962" s="197">
        <v>3991.5</v>
      </c>
      <c r="J1962" s="197">
        <v>3991.5</v>
      </c>
      <c r="K1962" s="197">
        <v>0</v>
      </c>
      <c r="L1962" s="197">
        <v>-112.5</v>
      </c>
      <c r="M1962" s="260" t="s">
        <v>239</v>
      </c>
      <c r="N1962" s="260" t="s">
        <v>514</v>
      </c>
    </row>
    <row r="1963" spans="1:14" ht="14.5" x14ac:dyDescent="0.35">
      <c r="A1963" s="260" t="s">
        <v>565</v>
      </c>
      <c r="B1963" s="190">
        <v>45945</v>
      </c>
      <c r="C1963" s="260" t="s">
        <v>749</v>
      </c>
      <c r="D1963" s="197">
        <v>100</v>
      </c>
      <c r="E1963" s="197">
        <v>5005</v>
      </c>
      <c r="F1963" s="197">
        <v>52.6</v>
      </c>
      <c r="G1963" s="190">
        <v>45945</v>
      </c>
      <c r="H1963" s="196">
        <v>0</v>
      </c>
      <c r="I1963" s="197">
        <v>5260</v>
      </c>
      <c r="J1963" s="197">
        <v>5260</v>
      </c>
      <c r="K1963" s="197">
        <v>0</v>
      </c>
      <c r="L1963" s="197">
        <v>255</v>
      </c>
      <c r="M1963" s="260" t="s">
        <v>239</v>
      </c>
      <c r="N1963" s="260" t="s">
        <v>514</v>
      </c>
    </row>
    <row r="1964" spans="1:14" ht="14.5" x14ac:dyDescent="0.35">
      <c r="A1964" s="260" t="s">
        <v>565</v>
      </c>
      <c r="B1964" s="190">
        <v>45945</v>
      </c>
      <c r="C1964" s="260" t="s">
        <v>752</v>
      </c>
      <c r="D1964" s="197">
        <v>100</v>
      </c>
      <c r="E1964" s="197">
        <v>20020</v>
      </c>
      <c r="F1964" s="197">
        <v>178.87</v>
      </c>
      <c r="G1964" s="190">
        <v>45945</v>
      </c>
      <c r="H1964" s="196">
        <v>0</v>
      </c>
      <c r="I1964" s="197">
        <v>17887</v>
      </c>
      <c r="J1964" s="197">
        <v>17887</v>
      </c>
      <c r="K1964" s="197">
        <v>0</v>
      </c>
      <c r="L1964" s="197">
        <v>-2133</v>
      </c>
      <c r="M1964" s="260" t="s">
        <v>239</v>
      </c>
      <c r="N1964" s="260" t="s">
        <v>514</v>
      </c>
    </row>
    <row r="1965" spans="1:14" ht="14.5" x14ac:dyDescent="0.35">
      <c r="A1965" s="260" t="s">
        <v>565</v>
      </c>
      <c r="B1965" s="190">
        <v>45945</v>
      </c>
      <c r="C1965" s="260" t="s">
        <v>754</v>
      </c>
      <c r="D1965" s="197">
        <v>50</v>
      </c>
      <c r="E1965" s="197">
        <v>4104</v>
      </c>
      <c r="F1965" s="197">
        <v>79.67</v>
      </c>
      <c r="G1965" s="190">
        <v>45945</v>
      </c>
      <c r="H1965" s="196">
        <v>0</v>
      </c>
      <c r="I1965" s="197">
        <v>3983.5</v>
      </c>
      <c r="J1965" s="197">
        <v>3983.5</v>
      </c>
      <c r="K1965" s="197">
        <v>0</v>
      </c>
      <c r="L1965" s="197">
        <v>-120.5</v>
      </c>
      <c r="M1965" s="260" t="s">
        <v>239</v>
      </c>
      <c r="N1965" s="260" t="s">
        <v>514</v>
      </c>
    </row>
    <row r="1966" spans="1:14" ht="14.5" x14ac:dyDescent="0.35">
      <c r="A1966" s="260" t="s">
        <v>565</v>
      </c>
      <c r="B1966" s="190">
        <v>45946</v>
      </c>
      <c r="C1966" s="260" t="s">
        <v>749</v>
      </c>
      <c r="D1966" s="197">
        <v>100</v>
      </c>
      <c r="E1966" s="197">
        <v>5005</v>
      </c>
      <c r="F1966" s="197">
        <v>52.5</v>
      </c>
      <c r="G1966" s="190">
        <v>45946</v>
      </c>
      <c r="H1966" s="196">
        <v>0</v>
      </c>
      <c r="I1966" s="197">
        <v>5250</v>
      </c>
      <c r="J1966" s="197">
        <v>5250</v>
      </c>
      <c r="K1966" s="197">
        <v>0</v>
      </c>
      <c r="L1966" s="197">
        <v>245</v>
      </c>
      <c r="M1966" s="260" t="s">
        <v>239</v>
      </c>
      <c r="N1966" s="260" t="s">
        <v>514</v>
      </c>
    </row>
    <row r="1967" spans="1:14" ht="14.5" x14ac:dyDescent="0.35">
      <c r="A1967" s="260" t="s">
        <v>565</v>
      </c>
      <c r="B1967" s="190">
        <v>45946</v>
      </c>
      <c r="C1967" s="260" t="s">
        <v>752</v>
      </c>
      <c r="D1967" s="197">
        <v>100</v>
      </c>
      <c r="E1967" s="197">
        <v>20020</v>
      </c>
      <c r="F1967" s="197">
        <v>179</v>
      </c>
      <c r="G1967" s="190">
        <v>45946</v>
      </c>
      <c r="H1967" s="196">
        <v>0</v>
      </c>
      <c r="I1967" s="197">
        <v>17900</v>
      </c>
      <c r="J1967" s="197">
        <v>17900</v>
      </c>
      <c r="K1967" s="197">
        <v>0</v>
      </c>
      <c r="L1967" s="197">
        <v>-2120</v>
      </c>
      <c r="M1967" s="260" t="s">
        <v>239</v>
      </c>
      <c r="N1967" s="260" t="s">
        <v>514</v>
      </c>
    </row>
    <row r="1968" spans="1:14" ht="14.5" x14ac:dyDescent="0.35">
      <c r="A1968" s="260" t="s">
        <v>565</v>
      </c>
      <c r="B1968" s="190">
        <v>45946</v>
      </c>
      <c r="C1968" s="260" t="s">
        <v>754</v>
      </c>
      <c r="D1968" s="197">
        <v>50</v>
      </c>
      <c r="E1968" s="197">
        <v>4104</v>
      </c>
      <c r="F1968" s="197">
        <v>79.5</v>
      </c>
      <c r="G1968" s="190">
        <v>45946</v>
      </c>
      <c r="H1968" s="196">
        <v>0</v>
      </c>
      <c r="I1968" s="197">
        <v>3975</v>
      </c>
      <c r="J1968" s="197">
        <v>3975</v>
      </c>
      <c r="K1968" s="197">
        <v>0</v>
      </c>
      <c r="L1968" s="197">
        <v>-129</v>
      </c>
      <c r="M1968" s="260" t="s">
        <v>239</v>
      </c>
      <c r="N1968" s="260" t="s">
        <v>514</v>
      </c>
    </row>
    <row r="1969" spans="1:14" ht="14.5" x14ac:dyDescent="0.35">
      <c r="A1969" s="260" t="s">
        <v>565</v>
      </c>
      <c r="B1969" s="190">
        <v>45947</v>
      </c>
      <c r="C1969" s="260" t="s">
        <v>749</v>
      </c>
      <c r="D1969" s="197">
        <v>100</v>
      </c>
      <c r="E1969" s="197">
        <v>5005</v>
      </c>
      <c r="F1969" s="197">
        <v>52.4</v>
      </c>
      <c r="G1969" s="190">
        <v>45947</v>
      </c>
      <c r="H1969" s="196">
        <v>0</v>
      </c>
      <c r="I1969" s="197">
        <v>5240</v>
      </c>
      <c r="J1969" s="197">
        <v>5240</v>
      </c>
      <c r="K1969" s="197">
        <v>0</v>
      </c>
      <c r="L1969" s="197">
        <v>235</v>
      </c>
      <c r="M1969" s="260" t="s">
        <v>239</v>
      </c>
      <c r="N1969" s="260" t="s">
        <v>514</v>
      </c>
    </row>
    <row r="1970" spans="1:14" ht="14.5" x14ac:dyDescent="0.35">
      <c r="A1970" s="260" t="s">
        <v>565</v>
      </c>
      <c r="B1970" s="190">
        <v>45947</v>
      </c>
      <c r="C1970" s="260" t="s">
        <v>752</v>
      </c>
      <c r="D1970" s="197">
        <v>100</v>
      </c>
      <c r="E1970" s="197">
        <v>20020</v>
      </c>
      <c r="F1970" s="197">
        <v>179.13</v>
      </c>
      <c r="G1970" s="190">
        <v>45947</v>
      </c>
      <c r="H1970" s="196">
        <v>0</v>
      </c>
      <c r="I1970" s="197">
        <v>17913</v>
      </c>
      <c r="J1970" s="197">
        <v>17913</v>
      </c>
      <c r="K1970" s="197">
        <v>0</v>
      </c>
      <c r="L1970" s="197">
        <v>-2107</v>
      </c>
      <c r="M1970" s="260" t="s">
        <v>239</v>
      </c>
      <c r="N1970" s="260" t="s">
        <v>514</v>
      </c>
    </row>
    <row r="1971" spans="1:14" ht="14.5" x14ac:dyDescent="0.35">
      <c r="A1971" s="260" t="s">
        <v>565</v>
      </c>
      <c r="B1971" s="190">
        <v>45947</v>
      </c>
      <c r="C1971" s="260" t="s">
        <v>754</v>
      </c>
      <c r="D1971" s="197">
        <v>50</v>
      </c>
      <c r="E1971" s="197">
        <v>4104</v>
      </c>
      <c r="F1971" s="197">
        <v>79.33</v>
      </c>
      <c r="G1971" s="190">
        <v>45947</v>
      </c>
      <c r="H1971" s="196">
        <v>0</v>
      </c>
      <c r="I1971" s="197">
        <v>3966.5</v>
      </c>
      <c r="J1971" s="197">
        <v>3966.5</v>
      </c>
      <c r="K1971" s="197">
        <v>0</v>
      </c>
      <c r="L1971" s="197">
        <v>-137.5</v>
      </c>
      <c r="M1971" s="260" t="s">
        <v>239</v>
      </c>
      <c r="N1971" s="260" t="s">
        <v>514</v>
      </c>
    </row>
    <row r="1972" spans="1:14" ht="14.5" x14ac:dyDescent="0.35">
      <c r="A1972" s="260" t="s">
        <v>565</v>
      </c>
      <c r="B1972" s="190">
        <v>45948</v>
      </c>
      <c r="C1972" s="260" t="s">
        <v>749</v>
      </c>
      <c r="D1972" s="197">
        <v>100</v>
      </c>
      <c r="E1972" s="197">
        <v>5005</v>
      </c>
      <c r="F1972" s="197">
        <v>52.4</v>
      </c>
      <c r="G1972" s="190">
        <v>45947</v>
      </c>
      <c r="H1972" s="196">
        <v>1</v>
      </c>
      <c r="I1972" s="197">
        <v>5240</v>
      </c>
      <c r="J1972" s="197">
        <v>5240</v>
      </c>
      <c r="K1972" s="197">
        <v>0</v>
      </c>
      <c r="L1972" s="197">
        <v>235</v>
      </c>
      <c r="M1972" s="260" t="s">
        <v>239</v>
      </c>
      <c r="N1972" s="260" t="s">
        <v>514</v>
      </c>
    </row>
    <row r="1973" spans="1:14" ht="14.5" x14ac:dyDescent="0.35">
      <c r="A1973" s="260" t="s">
        <v>565</v>
      </c>
      <c r="B1973" s="190">
        <v>45948</v>
      </c>
      <c r="C1973" s="260" t="s">
        <v>752</v>
      </c>
      <c r="D1973" s="197">
        <v>100</v>
      </c>
      <c r="E1973" s="197">
        <v>20020</v>
      </c>
      <c r="F1973" s="197">
        <v>179.13</v>
      </c>
      <c r="G1973" s="190">
        <v>45947</v>
      </c>
      <c r="H1973" s="196">
        <v>1</v>
      </c>
      <c r="I1973" s="197">
        <v>17913</v>
      </c>
      <c r="J1973" s="197">
        <v>17913</v>
      </c>
      <c r="K1973" s="197">
        <v>0</v>
      </c>
      <c r="L1973" s="197">
        <v>-2107</v>
      </c>
      <c r="M1973" s="260" t="s">
        <v>239</v>
      </c>
      <c r="N1973" s="260" t="s">
        <v>514</v>
      </c>
    </row>
    <row r="1974" spans="1:14" ht="14.5" x14ac:dyDescent="0.35">
      <c r="A1974" s="260" t="s">
        <v>565</v>
      </c>
      <c r="B1974" s="190">
        <v>45948</v>
      </c>
      <c r="C1974" s="260" t="s">
        <v>754</v>
      </c>
      <c r="D1974" s="197">
        <v>50</v>
      </c>
      <c r="E1974" s="197">
        <v>4104</v>
      </c>
      <c r="F1974" s="197">
        <v>79.33</v>
      </c>
      <c r="G1974" s="190">
        <v>45947</v>
      </c>
      <c r="H1974" s="196">
        <v>1</v>
      </c>
      <c r="I1974" s="197">
        <v>3966.5</v>
      </c>
      <c r="J1974" s="197">
        <v>3966.5</v>
      </c>
      <c r="K1974" s="197">
        <v>0</v>
      </c>
      <c r="L1974" s="197">
        <v>-137.5</v>
      </c>
      <c r="M1974" s="260" t="s">
        <v>239</v>
      </c>
      <c r="N1974" s="260" t="s">
        <v>514</v>
      </c>
    </row>
    <row r="1975" spans="1:14" ht="14.5" x14ac:dyDescent="0.35">
      <c r="A1975" s="260" t="s">
        <v>565</v>
      </c>
      <c r="B1975" s="190">
        <v>45949</v>
      </c>
      <c r="C1975" s="260" t="s">
        <v>749</v>
      </c>
      <c r="D1975" s="197">
        <v>100</v>
      </c>
      <c r="E1975" s="197">
        <v>5005</v>
      </c>
      <c r="F1975" s="197">
        <v>52.4</v>
      </c>
      <c r="G1975" s="190">
        <v>45947</v>
      </c>
      <c r="H1975" s="196">
        <v>2</v>
      </c>
      <c r="I1975" s="197">
        <v>5240</v>
      </c>
      <c r="J1975" s="197">
        <v>5240</v>
      </c>
      <c r="K1975" s="197">
        <v>0</v>
      </c>
      <c r="L1975" s="197">
        <v>235</v>
      </c>
      <c r="M1975" s="260" t="s">
        <v>239</v>
      </c>
      <c r="N1975" s="260" t="s">
        <v>514</v>
      </c>
    </row>
    <row r="1976" spans="1:14" ht="14.5" x14ac:dyDescent="0.35">
      <c r="A1976" s="260" t="s">
        <v>565</v>
      </c>
      <c r="B1976" s="190">
        <v>45949</v>
      </c>
      <c r="C1976" s="260" t="s">
        <v>752</v>
      </c>
      <c r="D1976" s="197">
        <v>100</v>
      </c>
      <c r="E1976" s="197">
        <v>20020</v>
      </c>
      <c r="F1976" s="197">
        <v>179.13</v>
      </c>
      <c r="G1976" s="190">
        <v>45947</v>
      </c>
      <c r="H1976" s="196">
        <v>2</v>
      </c>
      <c r="I1976" s="197">
        <v>17913</v>
      </c>
      <c r="J1976" s="197">
        <v>17913</v>
      </c>
      <c r="K1976" s="197">
        <v>0</v>
      </c>
      <c r="L1976" s="197">
        <v>-2107</v>
      </c>
      <c r="M1976" s="260" t="s">
        <v>239</v>
      </c>
      <c r="N1976" s="260" t="s">
        <v>514</v>
      </c>
    </row>
    <row r="1977" spans="1:14" ht="14.5" x14ac:dyDescent="0.35">
      <c r="A1977" s="260" t="s">
        <v>565</v>
      </c>
      <c r="B1977" s="190">
        <v>45949</v>
      </c>
      <c r="C1977" s="260" t="s">
        <v>754</v>
      </c>
      <c r="D1977" s="197">
        <v>50</v>
      </c>
      <c r="E1977" s="197">
        <v>4104</v>
      </c>
      <c r="F1977" s="197">
        <v>79.33</v>
      </c>
      <c r="G1977" s="190">
        <v>45947</v>
      </c>
      <c r="H1977" s="196">
        <v>2</v>
      </c>
      <c r="I1977" s="197">
        <v>3966.5</v>
      </c>
      <c r="J1977" s="197">
        <v>3966.5</v>
      </c>
      <c r="K1977" s="197">
        <v>0</v>
      </c>
      <c r="L1977" s="197">
        <v>-137.5</v>
      </c>
      <c r="M1977" s="260" t="s">
        <v>239</v>
      </c>
      <c r="N1977" s="260" t="s">
        <v>514</v>
      </c>
    </row>
    <row r="1978" spans="1:14" ht="14.5" x14ac:dyDescent="0.35">
      <c r="A1978" s="260" t="s">
        <v>565</v>
      </c>
      <c r="B1978" s="190">
        <v>45950</v>
      </c>
      <c r="C1978" s="260" t="s">
        <v>749</v>
      </c>
      <c r="D1978" s="197">
        <v>100</v>
      </c>
      <c r="E1978" s="197">
        <v>5005</v>
      </c>
      <c r="F1978" s="197">
        <v>52.1</v>
      </c>
      <c r="G1978" s="190">
        <v>45950</v>
      </c>
      <c r="H1978" s="196">
        <v>0</v>
      </c>
      <c r="I1978" s="197">
        <v>5210</v>
      </c>
      <c r="J1978" s="197">
        <v>5210</v>
      </c>
      <c r="K1978" s="197">
        <v>0</v>
      </c>
      <c r="L1978" s="197">
        <v>205</v>
      </c>
      <c r="M1978" s="260" t="s">
        <v>239</v>
      </c>
      <c r="N1978" s="260" t="s">
        <v>514</v>
      </c>
    </row>
    <row r="1979" spans="1:14" ht="14.5" x14ac:dyDescent="0.35">
      <c r="A1979" s="260" t="s">
        <v>565</v>
      </c>
      <c r="B1979" s="190">
        <v>45950</v>
      </c>
      <c r="C1979" s="260" t="s">
        <v>752</v>
      </c>
      <c r="D1979" s="197">
        <v>100</v>
      </c>
      <c r="E1979" s="197">
        <v>20020</v>
      </c>
      <c r="F1979" s="197">
        <v>179.53</v>
      </c>
      <c r="G1979" s="190">
        <v>45950</v>
      </c>
      <c r="H1979" s="196">
        <v>0</v>
      </c>
      <c r="I1979" s="197">
        <v>17953</v>
      </c>
      <c r="J1979" s="197">
        <v>17953</v>
      </c>
      <c r="K1979" s="197">
        <v>0</v>
      </c>
      <c r="L1979" s="197">
        <v>-2067</v>
      </c>
      <c r="M1979" s="260" t="s">
        <v>239</v>
      </c>
      <c r="N1979" s="260" t="s">
        <v>514</v>
      </c>
    </row>
    <row r="1980" spans="1:14" ht="14.5" x14ac:dyDescent="0.35">
      <c r="A1980" s="260" t="s">
        <v>565</v>
      </c>
      <c r="B1980" s="190">
        <v>45950</v>
      </c>
      <c r="C1980" s="260" t="s">
        <v>754</v>
      </c>
      <c r="D1980" s="197">
        <v>50</v>
      </c>
      <c r="E1980" s="197">
        <v>4104</v>
      </c>
      <c r="F1980" s="197">
        <v>78.83</v>
      </c>
      <c r="G1980" s="190">
        <v>45950</v>
      </c>
      <c r="H1980" s="196">
        <v>0</v>
      </c>
      <c r="I1980" s="197">
        <v>3941.5</v>
      </c>
      <c r="J1980" s="197">
        <v>3941.5</v>
      </c>
      <c r="K1980" s="197">
        <v>0</v>
      </c>
      <c r="L1980" s="197">
        <v>-162.5</v>
      </c>
      <c r="M1980" s="260" t="s">
        <v>239</v>
      </c>
      <c r="N1980" s="260" t="s">
        <v>514</v>
      </c>
    </row>
    <row r="1981" spans="1:14" ht="14.5" x14ac:dyDescent="0.35">
      <c r="A1981" s="260" t="s">
        <v>565</v>
      </c>
      <c r="B1981" s="190">
        <v>45951</v>
      </c>
      <c r="C1981" s="260" t="s">
        <v>749</v>
      </c>
      <c r="D1981" s="197">
        <v>100</v>
      </c>
      <c r="E1981" s="197">
        <v>5005</v>
      </c>
      <c r="F1981" s="197">
        <v>52</v>
      </c>
      <c r="G1981" s="190">
        <v>45951</v>
      </c>
      <c r="H1981" s="196">
        <v>0</v>
      </c>
      <c r="I1981" s="197">
        <v>5200</v>
      </c>
      <c r="J1981" s="197">
        <v>5200</v>
      </c>
      <c r="K1981" s="197">
        <v>0</v>
      </c>
      <c r="L1981" s="197">
        <v>195</v>
      </c>
      <c r="M1981" s="260" t="s">
        <v>239</v>
      </c>
      <c r="N1981" s="260" t="s">
        <v>514</v>
      </c>
    </row>
    <row r="1982" spans="1:14" ht="14.5" x14ac:dyDescent="0.35">
      <c r="A1982" s="260" t="s">
        <v>565</v>
      </c>
      <c r="B1982" s="190">
        <v>45951</v>
      </c>
      <c r="C1982" s="260" t="s">
        <v>752</v>
      </c>
      <c r="D1982" s="197">
        <v>100</v>
      </c>
      <c r="E1982" s="197">
        <v>20020</v>
      </c>
      <c r="F1982" s="197">
        <v>179.67</v>
      </c>
      <c r="G1982" s="190">
        <v>45951</v>
      </c>
      <c r="H1982" s="196">
        <v>0</v>
      </c>
      <c r="I1982" s="197">
        <v>17967</v>
      </c>
      <c r="J1982" s="197">
        <v>17967</v>
      </c>
      <c r="K1982" s="197">
        <v>0</v>
      </c>
      <c r="L1982" s="197">
        <v>-2053</v>
      </c>
      <c r="M1982" s="260" t="s">
        <v>239</v>
      </c>
      <c r="N1982" s="260" t="s">
        <v>514</v>
      </c>
    </row>
    <row r="1983" spans="1:14" ht="14.5" x14ac:dyDescent="0.35">
      <c r="A1983" s="260" t="s">
        <v>565</v>
      </c>
      <c r="B1983" s="190">
        <v>45951</v>
      </c>
      <c r="C1983" s="260" t="s">
        <v>754</v>
      </c>
      <c r="D1983" s="197">
        <v>50</v>
      </c>
      <c r="E1983" s="197">
        <v>4104</v>
      </c>
      <c r="F1983" s="197">
        <v>78.67</v>
      </c>
      <c r="G1983" s="190">
        <v>45951</v>
      </c>
      <c r="H1983" s="196">
        <v>0</v>
      </c>
      <c r="I1983" s="197">
        <v>3933.5</v>
      </c>
      <c r="J1983" s="197">
        <v>3933.5</v>
      </c>
      <c r="K1983" s="197">
        <v>0</v>
      </c>
      <c r="L1983" s="197">
        <v>-170.5</v>
      </c>
      <c r="M1983" s="260" t="s">
        <v>239</v>
      </c>
      <c r="N1983" s="260" t="s">
        <v>514</v>
      </c>
    </row>
    <row r="1984" spans="1:14" ht="14.5" x14ac:dyDescent="0.35">
      <c r="A1984" s="260" t="s">
        <v>565</v>
      </c>
      <c r="B1984" s="190">
        <v>45952</v>
      </c>
      <c r="C1984" s="260" t="s">
        <v>749</v>
      </c>
      <c r="D1984" s="197">
        <v>100</v>
      </c>
      <c r="E1984" s="197">
        <v>5005</v>
      </c>
      <c r="F1984" s="197">
        <v>51.9</v>
      </c>
      <c r="G1984" s="190">
        <v>45952</v>
      </c>
      <c r="H1984" s="196">
        <v>0</v>
      </c>
      <c r="I1984" s="197">
        <v>5190</v>
      </c>
      <c r="J1984" s="197">
        <v>5190</v>
      </c>
      <c r="K1984" s="197">
        <v>0</v>
      </c>
      <c r="L1984" s="197">
        <v>185</v>
      </c>
      <c r="M1984" s="260" t="s">
        <v>239</v>
      </c>
      <c r="N1984" s="260" t="s">
        <v>514</v>
      </c>
    </row>
    <row r="1985" spans="1:14" ht="14.5" x14ac:dyDescent="0.35">
      <c r="A1985" s="260" t="s">
        <v>565</v>
      </c>
      <c r="B1985" s="190">
        <v>45952</v>
      </c>
      <c r="C1985" s="260" t="s">
        <v>752</v>
      </c>
      <c r="D1985" s="197">
        <v>100</v>
      </c>
      <c r="E1985" s="197">
        <v>20020</v>
      </c>
      <c r="F1985" s="197">
        <v>179.8</v>
      </c>
      <c r="G1985" s="190">
        <v>45952</v>
      </c>
      <c r="H1985" s="196">
        <v>0</v>
      </c>
      <c r="I1985" s="197">
        <v>17980</v>
      </c>
      <c r="J1985" s="197">
        <v>17980</v>
      </c>
      <c r="K1985" s="197">
        <v>0</v>
      </c>
      <c r="L1985" s="197">
        <v>-2040</v>
      </c>
      <c r="M1985" s="260" t="s">
        <v>239</v>
      </c>
      <c r="N1985" s="260" t="s">
        <v>514</v>
      </c>
    </row>
    <row r="1986" spans="1:14" ht="14.5" x14ac:dyDescent="0.35">
      <c r="A1986" s="260" t="s">
        <v>565</v>
      </c>
      <c r="B1986" s="190">
        <v>45952</v>
      </c>
      <c r="C1986" s="260" t="s">
        <v>754</v>
      </c>
      <c r="D1986" s="197">
        <v>50</v>
      </c>
      <c r="E1986" s="197">
        <v>4104</v>
      </c>
      <c r="F1986" s="197">
        <v>78.5</v>
      </c>
      <c r="G1986" s="190">
        <v>45952</v>
      </c>
      <c r="H1986" s="196">
        <v>0</v>
      </c>
      <c r="I1986" s="197">
        <v>3925</v>
      </c>
      <c r="J1986" s="197">
        <v>3925</v>
      </c>
      <c r="K1986" s="197">
        <v>0</v>
      </c>
      <c r="L1986" s="197">
        <v>-179</v>
      </c>
      <c r="M1986" s="260" t="s">
        <v>239</v>
      </c>
      <c r="N1986" s="260" t="s">
        <v>514</v>
      </c>
    </row>
    <row r="1987" spans="1:14" ht="14.5" x14ac:dyDescent="0.35">
      <c r="A1987" s="260" t="s">
        <v>565</v>
      </c>
      <c r="B1987" s="190">
        <v>45953</v>
      </c>
      <c r="C1987" s="260" t="s">
        <v>749</v>
      </c>
      <c r="D1987" s="197">
        <v>100</v>
      </c>
      <c r="E1987" s="197">
        <v>5005</v>
      </c>
      <c r="F1987" s="197">
        <v>51.8</v>
      </c>
      <c r="G1987" s="190">
        <v>45953</v>
      </c>
      <c r="H1987" s="196">
        <v>0</v>
      </c>
      <c r="I1987" s="197">
        <v>5180</v>
      </c>
      <c r="J1987" s="197">
        <v>5180</v>
      </c>
      <c r="K1987" s="197">
        <v>0</v>
      </c>
      <c r="L1987" s="197">
        <v>175</v>
      </c>
      <c r="M1987" s="260" t="s">
        <v>239</v>
      </c>
      <c r="N1987" s="260" t="s">
        <v>514</v>
      </c>
    </row>
    <row r="1988" spans="1:14" ht="14.5" x14ac:dyDescent="0.35">
      <c r="A1988" s="260" t="s">
        <v>565</v>
      </c>
      <c r="B1988" s="190">
        <v>45953</v>
      </c>
      <c r="C1988" s="260" t="s">
        <v>752</v>
      </c>
      <c r="D1988" s="197">
        <v>100</v>
      </c>
      <c r="E1988" s="197">
        <v>20020</v>
      </c>
      <c r="F1988" s="197">
        <v>179.93</v>
      </c>
      <c r="G1988" s="190">
        <v>45953</v>
      </c>
      <c r="H1988" s="196">
        <v>0</v>
      </c>
      <c r="I1988" s="197">
        <v>17993</v>
      </c>
      <c r="J1988" s="197">
        <v>17993</v>
      </c>
      <c r="K1988" s="197">
        <v>0</v>
      </c>
      <c r="L1988" s="197">
        <v>-2027</v>
      </c>
      <c r="M1988" s="260" t="s">
        <v>239</v>
      </c>
      <c r="N1988" s="260" t="s">
        <v>514</v>
      </c>
    </row>
    <row r="1989" spans="1:14" ht="14.5" x14ac:dyDescent="0.35">
      <c r="A1989" s="260" t="s">
        <v>565</v>
      </c>
      <c r="B1989" s="190">
        <v>45953</v>
      </c>
      <c r="C1989" s="260" t="s">
        <v>754</v>
      </c>
      <c r="D1989" s="197">
        <v>50</v>
      </c>
      <c r="E1989" s="197">
        <v>4104</v>
      </c>
      <c r="F1989" s="197">
        <v>78.33</v>
      </c>
      <c r="G1989" s="190">
        <v>45953</v>
      </c>
      <c r="H1989" s="196">
        <v>0</v>
      </c>
      <c r="I1989" s="197">
        <v>3916.5</v>
      </c>
      <c r="J1989" s="197">
        <v>3916.5</v>
      </c>
      <c r="K1989" s="197">
        <v>0</v>
      </c>
      <c r="L1989" s="197">
        <v>-187.5</v>
      </c>
      <c r="M1989" s="260" t="s">
        <v>239</v>
      </c>
      <c r="N1989" s="260" t="s">
        <v>514</v>
      </c>
    </row>
    <row r="1990" spans="1:14" ht="14.5" x14ac:dyDescent="0.35">
      <c r="A1990" s="260" t="s">
        <v>565</v>
      </c>
      <c r="B1990" s="190">
        <v>45954</v>
      </c>
      <c r="C1990" s="260" t="s">
        <v>749</v>
      </c>
      <c r="D1990" s="197">
        <v>100</v>
      </c>
      <c r="E1990" s="197">
        <v>5005</v>
      </c>
      <c r="F1990" s="197">
        <v>51.7</v>
      </c>
      <c r="G1990" s="190">
        <v>45954</v>
      </c>
      <c r="H1990" s="196">
        <v>0</v>
      </c>
      <c r="I1990" s="197">
        <v>5170</v>
      </c>
      <c r="J1990" s="197">
        <v>5170</v>
      </c>
      <c r="K1990" s="197">
        <v>0</v>
      </c>
      <c r="L1990" s="197">
        <v>165</v>
      </c>
      <c r="M1990" s="260" t="s">
        <v>239</v>
      </c>
      <c r="N1990" s="260" t="s">
        <v>514</v>
      </c>
    </row>
    <row r="1991" spans="1:14" ht="14.5" x14ac:dyDescent="0.35">
      <c r="A1991" s="260" t="s">
        <v>565</v>
      </c>
      <c r="B1991" s="190">
        <v>45954</v>
      </c>
      <c r="C1991" s="260" t="s">
        <v>752</v>
      </c>
      <c r="D1991" s="197">
        <v>100</v>
      </c>
      <c r="E1991" s="197">
        <v>20020</v>
      </c>
      <c r="F1991" s="197">
        <v>180.07</v>
      </c>
      <c r="G1991" s="190">
        <v>45954</v>
      </c>
      <c r="H1991" s="196">
        <v>0</v>
      </c>
      <c r="I1991" s="197">
        <v>18007</v>
      </c>
      <c r="J1991" s="197">
        <v>18007</v>
      </c>
      <c r="K1991" s="197">
        <v>0</v>
      </c>
      <c r="L1991" s="197">
        <v>-2013</v>
      </c>
      <c r="M1991" s="260" t="s">
        <v>239</v>
      </c>
      <c r="N1991" s="260" t="s">
        <v>514</v>
      </c>
    </row>
    <row r="1992" spans="1:14" ht="14.5" x14ac:dyDescent="0.35">
      <c r="A1992" s="260" t="s">
        <v>565</v>
      </c>
      <c r="B1992" s="190">
        <v>45954</v>
      </c>
      <c r="C1992" s="260" t="s">
        <v>754</v>
      </c>
      <c r="D1992" s="197">
        <v>50</v>
      </c>
      <c r="E1992" s="197">
        <v>4104</v>
      </c>
      <c r="F1992" s="197">
        <v>78.17</v>
      </c>
      <c r="G1992" s="190">
        <v>45954</v>
      </c>
      <c r="H1992" s="196">
        <v>0</v>
      </c>
      <c r="I1992" s="197">
        <v>3908.5</v>
      </c>
      <c r="J1992" s="197">
        <v>3908.5</v>
      </c>
      <c r="K1992" s="197">
        <v>0</v>
      </c>
      <c r="L1992" s="197">
        <v>-195.5</v>
      </c>
      <c r="M1992" s="260" t="s">
        <v>239</v>
      </c>
      <c r="N1992" s="260" t="s">
        <v>514</v>
      </c>
    </row>
    <row r="1993" spans="1:14" ht="14.5" x14ac:dyDescent="0.35">
      <c r="A1993" s="260" t="s">
        <v>565</v>
      </c>
      <c r="B1993" s="190">
        <v>45955</v>
      </c>
      <c r="C1993" s="260" t="s">
        <v>749</v>
      </c>
      <c r="D1993" s="197">
        <v>100</v>
      </c>
      <c r="E1993" s="197">
        <v>5005</v>
      </c>
      <c r="F1993" s="197">
        <v>51.7</v>
      </c>
      <c r="G1993" s="190">
        <v>45954</v>
      </c>
      <c r="H1993" s="196">
        <v>1</v>
      </c>
      <c r="I1993" s="197">
        <v>5170</v>
      </c>
      <c r="J1993" s="197">
        <v>5170</v>
      </c>
      <c r="K1993" s="197">
        <v>0</v>
      </c>
      <c r="L1993" s="197">
        <v>165</v>
      </c>
      <c r="M1993" s="260" t="s">
        <v>239</v>
      </c>
      <c r="N1993" s="260" t="s">
        <v>514</v>
      </c>
    </row>
    <row r="1994" spans="1:14" ht="14.5" x14ac:dyDescent="0.35">
      <c r="A1994" s="260" t="s">
        <v>565</v>
      </c>
      <c r="B1994" s="190">
        <v>45955</v>
      </c>
      <c r="C1994" s="260" t="s">
        <v>752</v>
      </c>
      <c r="D1994" s="197">
        <v>100</v>
      </c>
      <c r="E1994" s="197">
        <v>20020</v>
      </c>
      <c r="F1994" s="197">
        <v>180.07</v>
      </c>
      <c r="G1994" s="190">
        <v>45954</v>
      </c>
      <c r="H1994" s="196">
        <v>1</v>
      </c>
      <c r="I1994" s="197">
        <v>18007</v>
      </c>
      <c r="J1994" s="197">
        <v>18007</v>
      </c>
      <c r="K1994" s="197">
        <v>0</v>
      </c>
      <c r="L1994" s="197">
        <v>-2013</v>
      </c>
      <c r="M1994" s="260" t="s">
        <v>239</v>
      </c>
      <c r="N1994" s="260" t="s">
        <v>514</v>
      </c>
    </row>
    <row r="1995" spans="1:14" ht="14.5" x14ac:dyDescent="0.35">
      <c r="A1995" s="260" t="s">
        <v>565</v>
      </c>
      <c r="B1995" s="190">
        <v>45955</v>
      </c>
      <c r="C1995" s="260" t="s">
        <v>754</v>
      </c>
      <c r="D1995" s="197">
        <v>50</v>
      </c>
      <c r="E1995" s="197">
        <v>4104</v>
      </c>
      <c r="F1995" s="197">
        <v>78.17</v>
      </c>
      <c r="G1995" s="190">
        <v>45954</v>
      </c>
      <c r="H1995" s="196">
        <v>1</v>
      </c>
      <c r="I1995" s="197">
        <v>3908.5</v>
      </c>
      <c r="J1995" s="197">
        <v>3908.5</v>
      </c>
      <c r="K1995" s="197">
        <v>0</v>
      </c>
      <c r="L1995" s="197">
        <v>-195.5</v>
      </c>
      <c r="M1995" s="260" t="s">
        <v>239</v>
      </c>
      <c r="N1995" s="260" t="s">
        <v>514</v>
      </c>
    </row>
    <row r="1996" spans="1:14" ht="14.5" x14ac:dyDescent="0.35">
      <c r="A1996" s="260" t="s">
        <v>565</v>
      </c>
      <c r="B1996" s="190">
        <v>45956</v>
      </c>
      <c r="C1996" s="260" t="s">
        <v>749</v>
      </c>
      <c r="D1996" s="197">
        <v>100</v>
      </c>
      <c r="E1996" s="197">
        <v>5005</v>
      </c>
      <c r="F1996" s="197">
        <v>51.7</v>
      </c>
      <c r="G1996" s="190">
        <v>45954</v>
      </c>
      <c r="H1996" s="196">
        <v>2</v>
      </c>
      <c r="I1996" s="197">
        <v>5170</v>
      </c>
      <c r="J1996" s="197">
        <v>5170</v>
      </c>
      <c r="K1996" s="197">
        <v>0</v>
      </c>
      <c r="L1996" s="197">
        <v>165</v>
      </c>
      <c r="M1996" s="260" t="s">
        <v>239</v>
      </c>
      <c r="N1996" s="260" t="s">
        <v>514</v>
      </c>
    </row>
    <row r="1997" spans="1:14" ht="14.5" x14ac:dyDescent="0.35">
      <c r="A1997" s="260" t="s">
        <v>565</v>
      </c>
      <c r="B1997" s="190">
        <v>45956</v>
      </c>
      <c r="C1997" s="260" t="s">
        <v>752</v>
      </c>
      <c r="D1997" s="197">
        <v>100</v>
      </c>
      <c r="E1997" s="197">
        <v>20020</v>
      </c>
      <c r="F1997" s="197">
        <v>180.07</v>
      </c>
      <c r="G1997" s="190">
        <v>45954</v>
      </c>
      <c r="H1997" s="196">
        <v>2</v>
      </c>
      <c r="I1997" s="197">
        <v>18007</v>
      </c>
      <c r="J1997" s="197">
        <v>18007</v>
      </c>
      <c r="K1997" s="197">
        <v>0</v>
      </c>
      <c r="L1997" s="197">
        <v>-2013</v>
      </c>
      <c r="M1997" s="260" t="s">
        <v>239</v>
      </c>
      <c r="N1997" s="260" t="s">
        <v>514</v>
      </c>
    </row>
    <row r="1998" spans="1:14" ht="14.5" x14ac:dyDescent="0.35">
      <c r="A1998" s="260" t="s">
        <v>565</v>
      </c>
      <c r="B1998" s="190">
        <v>45956</v>
      </c>
      <c r="C1998" s="260" t="s">
        <v>754</v>
      </c>
      <c r="D1998" s="197">
        <v>50</v>
      </c>
      <c r="E1998" s="197">
        <v>4104</v>
      </c>
      <c r="F1998" s="197">
        <v>78.17</v>
      </c>
      <c r="G1998" s="190">
        <v>45954</v>
      </c>
      <c r="H1998" s="196">
        <v>2</v>
      </c>
      <c r="I1998" s="197">
        <v>3908.5</v>
      </c>
      <c r="J1998" s="197">
        <v>3908.5</v>
      </c>
      <c r="K1998" s="197">
        <v>0</v>
      </c>
      <c r="L1998" s="197">
        <v>-195.5</v>
      </c>
      <c r="M1998" s="260" t="s">
        <v>239</v>
      </c>
      <c r="N1998" s="260" t="s">
        <v>514</v>
      </c>
    </row>
    <row r="1999" spans="1:14" ht="14.5" x14ac:dyDescent="0.35">
      <c r="A1999" s="260" t="s">
        <v>565</v>
      </c>
      <c r="B1999" s="190">
        <v>45957</v>
      </c>
      <c r="C1999" s="260" t="s">
        <v>749</v>
      </c>
      <c r="D1999" s="197">
        <v>100</v>
      </c>
      <c r="E1999" s="197">
        <v>5005</v>
      </c>
      <c r="F1999" s="197">
        <v>51.4</v>
      </c>
      <c r="G1999" s="190">
        <v>45957</v>
      </c>
      <c r="H1999" s="196">
        <v>0</v>
      </c>
      <c r="I1999" s="197">
        <v>5140</v>
      </c>
      <c r="J1999" s="197">
        <v>5140</v>
      </c>
      <c r="K1999" s="197">
        <v>0</v>
      </c>
      <c r="L1999" s="197">
        <v>135</v>
      </c>
      <c r="M1999" s="260" t="s">
        <v>239</v>
      </c>
      <c r="N1999" s="260" t="s">
        <v>514</v>
      </c>
    </row>
    <row r="2000" spans="1:14" ht="14.5" x14ac:dyDescent="0.35">
      <c r="A2000" s="260" t="s">
        <v>565</v>
      </c>
      <c r="B2000" s="190">
        <v>45957</v>
      </c>
      <c r="C2000" s="260" t="s">
        <v>752</v>
      </c>
      <c r="D2000" s="197">
        <v>100</v>
      </c>
      <c r="E2000" s="197">
        <v>20020</v>
      </c>
      <c r="F2000" s="197">
        <v>180.47</v>
      </c>
      <c r="G2000" s="190">
        <v>45957</v>
      </c>
      <c r="H2000" s="196">
        <v>0</v>
      </c>
      <c r="I2000" s="197">
        <v>18047</v>
      </c>
      <c r="J2000" s="197">
        <v>18047</v>
      </c>
      <c r="K2000" s="197">
        <v>0</v>
      </c>
      <c r="L2000" s="197">
        <v>-1973</v>
      </c>
      <c r="M2000" s="260" t="s">
        <v>239</v>
      </c>
      <c r="N2000" s="260" t="s">
        <v>514</v>
      </c>
    </row>
    <row r="2001" spans="1:14" ht="14.5" x14ac:dyDescent="0.35">
      <c r="A2001" s="260" t="s">
        <v>565</v>
      </c>
      <c r="B2001" s="190">
        <v>45957</v>
      </c>
      <c r="C2001" s="260" t="s">
        <v>754</v>
      </c>
      <c r="D2001" s="197">
        <v>50</v>
      </c>
      <c r="E2001" s="197">
        <v>4104</v>
      </c>
      <c r="F2001" s="197">
        <v>77.67</v>
      </c>
      <c r="G2001" s="190">
        <v>45957</v>
      </c>
      <c r="H2001" s="196">
        <v>0</v>
      </c>
      <c r="I2001" s="197">
        <v>3883.5</v>
      </c>
      <c r="J2001" s="197">
        <v>3883.5</v>
      </c>
      <c r="K2001" s="197">
        <v>0</v>
      </c>
      <c r="L2001" s="197">
        <v>-220.5</v>
      </c>
      <c r="M2001" s="260" t="s">
        <v>239</v>
      </c>
      <c r="N2001" s="260" t="s">
        <v>514</v>
      </c>
    </row>
    <row r="2002" spans="1:14" ht="14.5" x14ac:dyDescent="0.35">
      <c r="A2002" s="260" t="s">
        <v>565</v>
      </c>
      <c r="B2002" s="190">
        <v>45958</v>
      </c>
      <c r="C2002" s="260" t="s">
        <v>749</v>
      </c>
      <c r="D2002" s="197">
        <v>100</v>
      </c>
      <c r="E2002" s="197">
        <v>5005</v>
      </c>
      <c r="F2002" s="197">
        <v>51.3</v>
      </c>
      <c r="G2002" s="190">
        <v>45958</v>
      </c>
      <c r="H2002" s="196">
        <v>0</v>
      </c>
      <c r="I2002" s="197">
        <v>5130</v>
      </c>
      <c r="J2002" s="197">
        <v>5130</v>
      </c>
      <c r="K2002" s="197">
        <v>0</v>
      </c>
      <c r="L2002" s="197">
        <v>125</v>
      </c>
      <c r="M2002" s="260" t="s">
        <v>239</v>
      </c>
      <c r="N2002" s="260" t="s">
        <v>514</v>
      </c>
    </row>
    <row r="2003" spans="1:14" ht="14.5" x14ac:dyDescent="0.35">
      <c r="A2003" s="260" t="s">
        <v>565</v>
      </c>
      <c r="B2003" s="190">
        <v>45958</v>
      </c>
      <c r="C2003" s="260" t="s">
        <v>752</v>
      </c>
      <c r="D2003" s="197">
        <v>100</v>
      </c>
      <c r="E2003" s="197">
        <v>20020</v>
      </c>
      <c r="F2003" s="197">
        <v>180.6</v>
      </c>
      <c r="G2003" s="190">
        <v>45958</v>
      </c>
      <c r="H2003" s="196">
        <v>0</v>
      </c>
      <c r="I2003" s="197">
        <v>18060</v>
      </c>
      <c r="J2003" s="197">
        <v>18060</v>
      </c>
      <c r="K2003" s="197">
        <v>0</v>
      </c>
      <c r="L2003" s="197">
        <v>-1960</v>
      </c>
      <c r="M2003" s="260" t="s">
        <v>239</v>
      </c>
      <c r="N2003" s="260" t="s">
        <v>514</v>
      </c>
    </row>
    <row r="2004" spans="1:14" ht="14.5" x14ac:dyDescent="0.35">
      <c r="A2004" s="260" t="s">
        <v>565</v>
      </c>
      <c r="B2004" s="190">
        <v>45958</v>
      </c>
      <c r="C2004" s="260" t="s">
        <v>754</v>
      </c>
      <c r="D2004" s="197">
        <v>50</v>
      </c>
      <c r="E2004" s="197">
        <v>4104</v>
      </c>
      <c r="F2004" s="197">
        <v>77.5</v>
      </c>
      <c r="G2004" s="190">
        <v>45958</v>
      </c>
      <c r="H2004" s="196">
        <v>0</v>
      </c>
      <c r="I2004" s="197">
        <v>3875</v>
      </c>
      <c r="J2004" s="197">
        <v>3875</v>
      </c>
      <c r="K2004" s="197">
        <v>0</v>
      </c>
      <c r="L2004" s="197">
        <v>-229</v>
      </c>
      <c r="M2004" s="260" t="s">
        <v>239</v>
      </c>
      <c r="N2004" s="260" t="s">
        <v>514</v>
      </c>
    </row>
    <row r="2005" spans="1:14" ht="14.5" x14ac:dyDescent="0.35">
      <c r="A2005" s="260" t="s">
        <v>565</v>
      </c>
      <c r="B2005" s="190">
        <v>45959</v>
      </c>
      <c r="C2005" s="260" t="s">
        <v>749</v>
      </c>
      <c r="D2005" s="197">
        <v>100</v>
      </c>
      <c r="E2005" s="197">
        <v>5005</v>
      </c>
      <c r="F2005" s="197">
        <v>51.2</v>
      </c>
      <c r="G2005" s="190">
        <v>45959</v>
      </c>
      <c r="H2005" s="196">
        <v>0</v>
      </c>
      <c r="I2005" s="197">
        <v>5120</v>
      </c>
      <c r="J2005" s="197">
        <v>5120</v>
      </c>
      <c r="K2005" s="197">
        <v>0</v>
      </c>
      <c r="L2005" s="197">
        <v>115</v>
      </c>
      <c r="M2005" s="260" t="s">
        <v>239</v>
      </c>
      <c r="N2005" s="260" t="s">
        <v>514</v>
      </c>
    </row>
    <row r="2006" spans="1:14" ht="14.5" x14ac:dyDescent="0.35">
      <c r="A2006" s="260" t="s">
        <v>565</v>
      </c>
      <c r="B2006" s="190">
        <v>45959</v>
      </c>
      <c r="C2006" s="260" t="s">
        <v>752</v>
      </c>
      <c r="D2006" s="197">
        <v>100</v>
      </c>
      <c r="E2006" s="197">
        <v>20020</v>
      </c>
      <c r="F2006" s="197">
        <v>180.73</v>
      </c>
      <c r="G2006" s="190">
        <v>45959</v>
      </c>
      <c r="H2006" s="196">
        <v>0</v>
      </c>
      <c r="I2006" s="197">
        <v>18073</v>
      </c>
      <c r="J2006" s="197">
        <v>18073</v>
      </c>
      <c r="K2006" s="197">
        <v>0</v>
      </c>
      <c r="L2006" s="197">
        <v>-1947</v>
      </c>
      <c r="M2006" s="260" t="s">
        <v>239</v>
      </c>
      <c r="N2006" s="260" t="s">
        <v>514</v>
      </c>
    </row>
    <row r="2007" spans="1:14" ht="14.5" x14ac:dyDescent="0.35">
      <c r="A2007" s="260" t="s">
        <v>565</v>
      </c>
      <c r="B2007" s="190">
        <v>45959</v>
      </c>
      <c r="C2007" s="260" t="s">
        <v>754</v>
      </c>
      <c r="D2007" s="197">
        <v>50</v>
      </c>
      <c r="E2007" s="197">
        <v>4104</v>
      </c>
      <c r="F2007" s="197">
        <v>77.33</v>
      </c>
      <c r="G2007" s="190">
        <v>45959</v>
      </c>
      <c r="H2007" s="196">
        <v>0</v>
      </c>
      <c r="I2007" s="197">
        <v>3866.5</v>
      </c>
      <c r="J2007" s="197">
        <v>3866.5</v>
      </c>
      <c r="K2007" s="197">
        <v>0</v>
      </c>
      <c r="L2007" s="197">
        <v>-237.5</v>
      </c>
      <c r="M2007" s="260" t="s">
        <v>239</v>
      </c>
      <c r="N2007" s="260" t="s">
        <v>514</v>
      </c>
    </row>
    <row r="2008" spans="1:14" ht="14.5" x14ac:dyDescent="0.35">
      <c r="A2008" s="260" t="s">
        <v>565</v>
      </c>
      <c r="B2008" s="190">
        <v>45960</v>
      </c>
      <c r="C2008" s="260" t="s">
        <v>749</v>
      </c>
      <c r="D2008" s="197">
        <v>100</v>
      </c>
      <c r="E2008" s="197">
        <v>5005</v>
      </c>
      <c r="F2008" s="197">
        <v>51.1</v>
      </c>
      <c r="G2008" s="190">
        <v>45960</v>
      </c>
      <c r="H2008" s="196">
        <v>0</v>
      </c>
      <c r="I2008" s="197">
        <v>5110</v>
      </c>
      <c r="J2008" s="197">
        <v>5110</v>
      </c>
      <c r="K2008" s="197">
        <v>0</v>
      </c>
      <c r="L2008" s="197">
        <v>105</v>
      </c>
      <c r="M2008" s="260" t="s">
        <v>239</v>
      </c>
      <c r="N2008" s="260" t="s">
        <v>514</v>
      </c>
    </row>
    <row r="2009" spans="1:14" ht="14.5" x14ac:dyDescent="0.35">
      <c r="A2009" s="260" t="s">
        <v>565</v>
      </c>
      <c r="B2009" s="190">
        <v>45960</v>
      </c>
      <c r="C2009" s="260" t="s">
        <v>752</v>
      </c>
      <c r="D2009" s="197">
        <v>100</v>
      </c>
      <c r="E2009" s="197">
        <v>20020</v>
      </c>
      <c r="F2009" s="197">
        <v>180.87</v>
      </c>
      <c r="G2009" s="190">
        <v>45960</v>
      </c>
      <c r="H2009" s="196">
        <v>0</v>
      </c>
      <c r="I2009" s="197">
        <v>18087</v>
      </c>
      <c r="J2009" s="197">
        <v>18087</v>
      </c>
      <c r="K2009" s="197">
        <v>0</v>
      </c>
      <c r="L2009" s="197">
        <v>-1933</v>
      </c>
      <c r="M2009" s="260" t="s">
        <v>239</v>
      </c>
      <c r="N2009" s="260" t="s">
        <v>514</v>
      </c>
    </row>
    <row r="2010" spans="1:14" ht="14.5" x14ac:dyDescent="0.35">
      <c r="A2010" s="260" t="s">
        <v>565</v>
      </c>
      <c r="B2010" s="190">
        <v>45960</v>
      </c>
      <c r="C2010" s="260" t="s">
        <v>754</v>
      </c>
      <c r="D2010" s="197">
        <v>50</v>
      </c>
      <c r="E2010" s="197">
        <v>4104</v>
      </c>
      <c r="F2010" s="197">
        <v>77.17</v>
      </c>
      <c r="G2010" s="190">
        <v>45960</v>
      </c>
      <c r="H2010" s="196">
        <v>0</v>
      </c>
      <c r="I2010" s="197">
        <v>3858.5</v>
      </c>
      <c r="J2010" s="197">
        <v>3858.5</v>
      </c>
      <c r="K2010" s="197">
        <v>0</v>
      </c>
      <c r="L2010" s="197">
        <v>-245.5</v>
      </c>
      <c r="M2010" s="260" t="s">
        <v>239</v>
      </c>
      <c r="N2010" s="260" t="s">
        <v>514</v>
      </c>
    </row>
    <row r="2011" spans="1:14" ht="14.5" x14ac:dyDescent="0.35">
      <c r="A2011" s="260" t="s">
        <v>565</v>
      </c>
      <c r="B2011" s="190">
        <v>45961</v>
      </c>
      <c r="C2011" s="260" t="s">
        <v>749</v>
      </c>
      <c r="D2011" s="197">
        <v>100</v>
      </c>
      <c r="E2011" s="197">
        <v>5005</v>
      </c>
      <c r="F2011" s="197">
        <v>51</v>
      </c>
      <c r="G2011" s="190">
        <v>45961</v>
      </c>
      <c r="H2011" s="196">
        <v>0</v>
      </c>
      <c r="I2011" s="197">
        <v>5100</v>
      </c>
      <c r="J2011" s="197">
        <v>5100</v>
      </c>
      <c r="K2011" s="197">
        <v>0</v>
      </c>
      <c r="L2011" s="197">
        <v>95</v>
      </c>
      <c r="M2011" s="260" t="s">
        <v>239</v>
      </c>
      <c r="N2011" s="260" t="s">
        <v>514</v>
      </c>
    </row>
    <row r="2012" spans="1:14" ht="14.5" x14ac:dyDescent="0.35">
      <c r="A2012" s="260" t="s">
        <v>565</v>
      </c>
      <c r="B2012" s="190">
        <v>45961</v>
      </c>
      <c r="C2012" s="260" t="s">
        <v>752</v>
      </c>
      <c r="D2012" s="197">
        <v>100</v>
      </c>
      <c r="E2012" s="197">
        <v>20020</v>
      </c>
      <c r="F2012" s="197">
        <v>181</v>
      </c>
      <c r="G2012" s="190">
        <v>45961</v>
      </c>
      <c r="H2012" s="196">
        <v>0</v>
      </c>
      <c r="I2012" s="197">
        <v>18100</v>
      </c>
      <c r="J2012" s="197">
        <v>18100</v>
      </c>
      <c r="K2012" s="197">
        <v>0</v>
      </c>
      <c r="L2012" s="197">
        <v>-1920</v>
      </c>
      <c r="M2012" s="260" t="s">
        <v>239</v>
      </c>
      <c r="N2012" s="260" t="s">
        <v>514</v>
      </c>
    </row>
    <row r="2013" spans="1:14" ht="14.5" x14ac:dyDescent="0.35">
      <c r="A2013" s="260" t="s">
        <v>565</v>
      </c>
      <c r="B2013" s="190">
        <v>45961</v>
      </c>
      <c r="C2013" s="260" t="s">
        <v>754</v>
      </c>
      <c r="D2013" s="197">
        <v>50</v>
      </c>
      <c r="E2013" s="197">
        <v>4104</v>
      </c>
      <c r="F2013" s="197">
        <v>77</v>
      </c>
      <c r="G2013" s="190">
        <v>45961</v>
      </c>
      <c r="H2013" s="196">
        <v>0</v>
      </c>
      <c r="I2013" s="197">
        <v>3850</v>
      </c>
      <c r="J2013" s="197">
        <v>3850</v>
      </c>
      <c r="K2013" s="197">
        <v>0</v>
      </c>
      <c r="L2013" s="197">
        <v>-254</v>
      </c>
      <c r="M2013" s="260" t="s">
        <v>239</v>
      </c>
      <c r="N2013" s="260" t="s">
        <v>514</v>
      </c>
    </row>
    <row r="2014" spans="1:14" ht="14.5" x14ac:dyDescent="0.35">
      <c r="A2014" s="260" t="s">
        <v>565</v>
      </c>
      <c r="B2014" s="190">
        <v>45962</v>
      </c>
      <c r="C2014" s="260" t="s">
        <v>749</v>
      </c>
      <c r="D2014" s="197">
        <v>100</v>
      </c>
      <c r="E2014" s="197">
        <v>5005</v>
      </c>
      <c r="F2014" s="197">
        <v>51</v>
      </c>
      <c r="G2014" s="190">
        <v>45961</v>
      </c>
      <c r="H2014" s="196">
        <v>1</v>
      </c>
      <c r="I2014" s="197">
        <v>5100</v>
      </c>
      <c r="J2014" s="197">
        <v>5100</v>
      </c>
      <c r="K2014" s="197">
        <v>0</v>
      </c>
      <c r="L2014" s="197">
        <v>95</v>
      </c>
      <c r="M2014" s="260" t="s">
        <v>239</v>
      </c>
      <c r="N2014" s="260" t="s">
        <v>514</v>
      </c>
    </row>
    <row r="2015" spans="1:14" ht="14.5" x14ac:dyDescent="0.35">
      <c r="A2015" s="260" t="s">
        <v>565</v>
      </c>
      <c r="B2015" s="190">
        <v>45962</v>
      </c>
      <c r="C2015" s="260" t="s">
        <v>752</v>
      </c>
      <c r="D2015" s="197">
        <v>100</v>
      </c>
      <c r="E2015" s="197">
        <v>20020</v>
      </c>
      <c r="F2015" s="197">
        <v>181</v>
      </c>
      <c r="G2015" s="190">
        <v>45961</v>
      </c>
      <c r="H2015" s="196">
        <v>1</v>
      </c>
      <c r="I2015" s="197">
        <v>18100</v>
      </c>
      <c r="J2015" s="197">
        <v>18100</v>
      </c>
      <c r="K2015" s="197">
        <v>0</v>
      </c>
      <c r="L2015" s="197">
        <v>-1920</v>
      </c>
      <c r="M2015" s="260" t="s">
        <v>239</v>
      </c>
      <c r="N2015" s="260" t="s">
        <v>514</v>
      </c>
    </row>
    <row r="2016" spans="1:14" ht="14.5" x14ac:dyDescent="0.35">
      <c r="A2016" s="260" t="s">
        <v>565</v>
      </c>
      <c r="B2016" s="190">
        <v>45962</v>
      </c>
      <c r="C2016" s="260" t="s">
        <v>754</v>
      </c>
      <c r="D2016" s="197">
        <v>50</v>
      </c>
      <c r="E2016" s="197">
        <v>4104</v>
      </c>
      <c r="F2016" s="197">
        <v>77</v>
      </c>
      <c r="G2016" s="190">
        <v>45961</v>
      </c>
      <c r="H2016" s="196">
        <v>1</v>
      </c>
      <c r="I2016" s="197">
        <v>3850</v>
      </c>
      <c r="J2016" s="197">
        <v>3850</v>
      </c>
      <c r="K2016" s="197">
        <v>0</v>
      </c>
      <c r="L2016" s="197">
        <v>-254</v>
      </c>
      <c r="M2016" s="260" t="s">
        <v>239</v>
      </c>
      <c r="N2016" s="260" t="s">
        <v>514</v>
      </c>
    </row>
    <row r="2017" spans="1:14" ht="14.5" x14ac:dyDescent="0.35">
      <c r="A2017" s="260" t="s">
        <v>565</v>
      </c>
      <c r="B2017" s="190">
        <v>45963</v>
      </c>
      <c r="C2017" s="260" t="s">
        <v>749</v>
      </c>
      <c r="D2017" s="197">
        <v>100</v>
      </c>
      <c r="E2017" s="197">
        <v>5005</v>
      </c>
      <c r="F2017" s="197">
        <v>51</v>
      </c>
      <c r="G2017" s="190">
        <v>45961</v>
      </c>
      <c r="H2017" s="196">
        <v>2</v>
      </c>
      <c r="I2017" s="197">
        <v>5100</v>
      </c>
      <c r="J2017" s="197">
        <v>5100</v>
      </c>
      <c r="K2017" s="197">
        <v>0</v>
      </c>
      <c r="L2017" s="197">
        <v>95</v>
      </c>
      <c r="M2017" s="260" t="s">
        <v>239</v>
      </c>
      <c r="N2017" s="260" t="s">
        <v>514</v>
      </c>
    </row>
    <row r="2018" spans="1:14" ht="14.5" x14ac:dyDescent="0.35">
      <c r="A2018" s="260" t="s">
        <v>565</v>
      </c>
      <c r="B2018" s="190">
        <v>45963</v>
      </c>
      <c r="C2018" s="260" t="s">
        <v>752</v>
      </c>
      <c r="D2018" s="197">
        <v>100</v>
      </c>
      <c r="E2018" s="197">
        <v>20020</v>
      </c>
      <c r="F2018" s="197">
        <v>181</v>
      </c>
      <c r="G2018" s="190">
        <v>45961</v>
      </c>
      <c r="H2018" s="196">
        <v>2</v>
      </c>
      <c r="I2018" s="197">
        <v>18100</v>
      </c>
      <c r="J2018" s="197">
        <v>18100</v>
      </c>
      <c r="K2018" s="197">
        <v>0</v>
      </c>
      <c r="L2018" s="197">
        <v>-1920</v>
      </c>
      <c r="M2018" s="260" t="s">
        <v>239</v>
      </c>
      <c r="N2018" s="260" t="s">
        <v>514</v>
      </c>
    </row>
    <row r="2019" spans="1:14" ht="14.5" x14ac:dyDescent="0.35">
      <c r="A2019" s="260" t="s">
        <v>565</v>
      </c>
      <c r="B2019" s="190">
        <v>45963</v>
      </c>
      <c r="C2019" s="260" t="s">
        <v>754</v>
      </c>
      <c r="D2019" s="197">
        <v>50</v>
      </c>
      <c r="E2019" s="197">
        <v>4104</v>
      </c>
      <c r="F2019" s="197">
        <v>77</v>
      </c>
      <c r="G2019" s="190">
        <v>45961</v>
      </c>
      <c r="H2019" s="196">
        <v>2</v>
      </c>
      <c r="I2019" s="197">
        <v>3850</v>
      </c>
      <c r="J2019" s="197">
        <v>3850</v>
      </c>
      <c r="K2019" s="197">
        <v>0</v>
      </c>
      <c r="L2019" s="197">
        <v>-254</v>
      </c>
      <c r="M2019" s="260" t="s">
        <v>239</v>
      </c>
      <c r="N2019" s="260" t="s">
        <v>514</v>
      </c>
    </row>
    <row r="2020" spans="1:14" ht="14.5" x14ac:dyDescent="0.35">
      <c r="A2020" s="260" t="s">
        <v>565</v>
      </c>
      <c r="B2020" s="190">
        <v>45964</v>
      </c>
      <c r="C2020" s="260" t="s">
        <v>749</v>
      </c>
      <c r="D2020" s="197">
        <v>100</v>
      </c>
      <c r="E2020" s="197">
        <v>5005</v>
      </c>
      <c r="F2020" s="197">
        <v>50.79</v>
      </c>
      <c r="G2020" s="190">
        <v>45964</v>
      </c>
      <c r="H2020" s="196">
        <v>0</v>
      </c>
      <c r="I2020" s="197">
        <v>5079</v>
      </c>
      <c r="J2020" s="197">
        <v>5079</v>
      </c>
      <c r="K2020" s="197">
        <v>0</v>
      </c>
      <c r="L2020" s="197">
        <v>74</v>
      </c>
      <c r="M2020" s="260" t="s">
        <v>239</v>
      </c>
      <c r="N2020" s="260" t="s">
        <v>514</v>
      </c>
    </row>
    <row r="2021" spans="1:14" ht="14.5" x14ac:dyDescent="0.35">
      <c r="A2021" s="260" t="s">
        <v>565</v>
      </c>
      <c r="B2021" s="190">
        <v>45964</v>
      </c>
      <c r="C2021" s="260" t="s">
        <v>752</v>
      </c>
      <c r="D2021" s="197">
        <v>100</v>
      </c>
      <c r="E2021" s="197">
        <v>20020</v>
      </c>
      <c r="F2021" s="197">
        <v>180.24</v>
      </c>
      <c r="G2021" s="190">
        <v>45964</v>
      </c>
      <c r="H2021" s="196">
        <v>0</v>
      </c>
      <c r="I2021" s="197">
        <v>18024</v>
      </c>
      <c r="J2021" s="197">
        <v>18024</v>
      </c>
      <c r="K2021" s="197">
        <v>0</v>
      </c>
      <c r="L2021" s="197">
        <v>-1996</v>
      </c>
      <c r="M2021" s="260" t="s">
        <v>239</v>
      </c>
      <c r="N2021" s="260" t="s">
        <v>514</v>
      </c>
    </row>
    <row r="2022" spans="1:14" ht="14.5" x14ac:dyDescent="0.35">
      <c r="A2022" s="260" t="s">
        <v>565</v>
      </c>
      <c r="B2022" s="190">
        <v>45964</v>
      </c>
      <c r="C2022" s="260" t="s">
        <v>754</v>
      </c>
      <c r="D2022" s="197">
        <v>50</v>
      </c>
      <c r="E2022" s="197">
        <v>4104</v>
      </c>
      <c r="F2022" s="197">
        <v>76.010000000000005</v>
      </c>
      <c r="G2022" s="190">
        <v>45964</v>
      </c>
      <c r="H2022" s="196">
        <v>0</v>
      </c>
      <c r="I2022" s="197">
        <v>3800.5000000000005</v>
      </c>
      <c r="J2022" s="197">
        <v>3800.5000000000005</v>
      </c>
      <c r="K2022" s="197">
        <v>60</v>
      </c>
      <c r="L2022" s="197">
        <v>-303.49999999999955</v>
      </c>
      <c r="M2022" s="260" t="s">
        <v>239</v>
      </c>
      <c r="N2022" s="260" t="s">
        <v>514</v>
      </c>
    </row>
    <row r="2023" spans="1:14" ht="14.5" x14ac:dyDescent="0.35">
      <c r="A2023" s="260" t="s">
        <v>565</v>
      </c>
      <c r="B2023" s="190">
        <v>45965</v>
      </c>
      <c r="C2023" s="260" t="s">
        <v>749</v>
      </c>
      <c r="D2023" s="197">
        <v>100</v>
      </c>
      <c r="E2023" s="197">
        <v>5005</v>
      </c>
      <c r="F2023" s="197">
        <v>50.69</v>
      </c>
      <c r="G2023" s="190">
        <v>45965</v>
      </c>
      <c r="H2023" s="196">
        <v>0</v>
      </c>
      <c r="I2023" s="197">
        <v>5069</v>
      </c>
      <c r="J2023" s="197">
        <v>5069</v>
      </c>
      <c r="K2023" s="197">
        <v>0</v>
      </c>
      <c r="L2023" s="197">
        <v>64</v>
      </c>
      <c r="M2023" s="260" t="s">
        <v>239</v>
      </c>
      <c r="N2023" s="260" t="s">
        <v>514</v>
      </c>
    </row>
    <row r="2024" spans="1:14" ht="14.5" x14ac:dyDescent="0.35">
      <c r="A2024" s="260" t="s">
        <v>565</v>
      </c>
      <c r="B2024" s="190">
        <v>45965</v>
      </c>
      <c r="C2024" s="260" t="s">
        <v>752</v>
      </c>
      <c r="D2024" s="197">
        <v>100</v>
      </c>
      <c r="E2024" s="197">
        <v>20020</v>
      </c>
      <c r="F2024" s="197">
        <v>179.86</v>
      </c>
      <c r="G2024" s="190">
        <v>45965</v>
      </c>
      <c r="H2024" s="196">
        <v>0</v>
      </c>
      <c r="I2024" s="197">
        <v>17986</v>
      </c>
      <c r="J2024" s="197">
        <v>17986</v>
      </c>
      <c r="K2024" s="197">
        <v>0</v>
      </c>
      <c r="L2024" s="197">
        <v>-2034</v>
      </c>
      <c r="M2024" s="260" t="s">
        <v>239</v>
      </c>
      <c r="N2024" s="260" t="s">
        <v>514</v>
      </c>
    </row>
    <row r="2025" spans="1:14" ht="14.5" x14ac:dyDescent="0.35">
      <c r="A2025" s="260" t="s">
        <v>565</v>
      </c>
      <c r="B2025" s="190">
        <v>45965</v>
      </c>
      <c r="C2025" s="260" t="s">
        <v>754</v>
      </c>
      <c r="D2025" s="197">
        <v>50</v>
      </c>
      <c r="E2025" s="197">
        <v>4104</v>
      </c>
      <c r="F2025" s="197">
        <v>76.11</v>
      </c>
      <c r="G2025" s="190">
        <v>45965</v>
      </c>
      <c r="H2025" s="196">
        <v>0</v>
      </c>
      <c r="I2025" s="197">
        <v>3805.5</v>
      </c>
      <c r="J2025" s="197">
        <v>3805.5</v>
      </c>
      <c r="K2025" s="197">
        <v>60</v>
      </c>
      <c r="L2025" s="197">
        <v>-298.5</v>
      </c>
      <c r="M2025" s="260" t="s">
        <v>239</v>
      </c>
      <c r="N2025" s="260" t="s">
        <v>514</v>
      </c>
    </row>
    <row r="2026" spans="1:14" ht="14.5" x14ac:dyDescent="0.35">
      <c r="A2026" s="260" t="s">
        <v>565</v>
      </c>
      <c r="B2026" s="190">
        <v>45966</v>
      </c>
      <c r="C2026" s="260" t="s">
        <v>749</v>
      </c>
      <c r="D2026" s="197">
        <v>100</v>
      </c>
      <c r="E2026" s="197">
        <v>5005</v>
      </c>
      <c r="F2026" s="197">
        <v>50.59</v>
      </c>
      <c r="G2026" s="190">
        <v>45966</v>
      </c>
      <c r="H2026" s="196">
        <v>0</v>
      </c>
      <c r="I2026" s="197">
        <v>5059</v>
      </c>
      <c r="J2026" s="197">
        <v>5059</v>
      </c>
      <c r="K2026" s="197">
        <v>0</v>
      </c>
      <c r="L2026" s="197">
        <v>54</v>
      </c>
      <c r="M2026" s="260" t="s">
        <v>239</v>
      </c>
      <c r="N2026" s="260" t="s">
        <v>514</v>
      </c>
    </row>
    <row r="2027" spans="1:14" ht="14.5" x14ac:dyDescent="0.35">
      <c r="A2027" s="260" t="s">
        <v>565</v>
      </c>
      <c r="B2027" s="190">
        <v>45966</v>
      </c>
      <c r="C2027" s="260" t="s">
        <v>752</v>
      </c>
      <c r="D2027" s="197">
        <v>100</v>
      </c>
      <c r="E2027" s="197">
        <v>20020</v>
      </c>
      <c r="F2027" s="197">
        <v>179.48</v>
      </c>
      <c r="G2027" s="190">
        <v>45966</v>
      </c>
      <c r="H2027" s="196">
        <v>0</v>
      </c>
      <c r="I2027" s="197">
        <v>17948</v>
      </c>
      <c r="J2027" s="197">
        <v>17948</v>
      </c>
      <c r="K2027" s="197">
        <v>0</v>
      </c>
      <c r="L2027" s="197">
        <v>-2072</v>
      </c>
      <c r="M2027" s="260" t="s">
        <v>239</v>
      </c>
      <c r="N2027" s="260" t="s">
        <v>514</v>
      </c>
    </row>
    <row r="2028" spans="1:14" ht="14.5" x14ac:dyDescent="0.35">
      <c r="A2028" s="260" t="s">
        <v>565</v>
      </c>
      <c r="B2028" s="190">
        <v>45966</v>
      </c>
      <c r="C2028" s="260" t="s">
        <v>754</v>
      </c>
      <c r="D2028" s="197">
        <v>50</v>
      </c>
      <c r="E2028" s="197">
        <v>4104</v>
      </c>
      <c r="F2028" s="197">
        <v>76.209999999999994</v>
      </c>
      <c r="G2028" s="190">
        <v>45966</v>
      </c>
      <c r="H2028" s="196">
        <v>0</v>
      </c>
      <c r="I2028" s="197">
        <v>3810.4999999999995</v>
      </c>
      <c r="J2028" s="197">
        <v>3810.4999999999995</v>
      </c>
      <c r="K2028" s="197">
        <v>60</v>
      </c>
      <c r="L2028" s="197">
        <v>-293.50000000000045</v>
      </c>
      <c r="M2028" s="260" t="s">
        <v>239</v>
      </c>
      <c r="N2028" s="260" t="s">
        <v>514</v>
      </c>
    </row>
    <row r="2029" spans="1:14" ht="14.5" x14ac:dyDescent="0.35">
      <c r="A2029" s="260" t="s">
        <v>565</v>
      </c>
      <c r="B2029" s="190">
        <v>45967</v>
      </c>
      <c r="C2029" s="260" t="s">
        <v>749</v>
      </c>
      <c r="D2029" s="197">
        <v>100</v>
      </c>
      <c r="E2029" s="197">
        <v>5005</v>
      </c>
      <c r="F2029" s="197">
        <v>50.48</v>
      </c>
      <c r="G2029" s="190">
        <v>45967</v>
      </c>
      <c r="H2029" s="196">
        <v>0</v>
      </c>
      <c r="I2029" s="197">
        <v>5048</v>
      </c>
      <c r="J2029" s="197">
        <v>5048</v>
      </c>
      <c r="K2029" s="197">
        <v>0</v>
      </c>
      <c r="L2029" s="197">
        <v>43</v>
      </c>
      <c r="M2029" s="260" t="s">
        <v>239</v>
      </c>
      <c r="N2029" s="260" t="s">
        <v>514</v>
      </c>
    </row>
    <row r="2030" spans="1:14" ht="14.5" x14ac:dyDescent="0.35">
      <c r="A2030" s="260" t="s">
        <v>565</v>
      </c>
      <c r="B2030" s="190">
        <v>45967</v>
      </c>
      <c r="C2030" s="260" t="s">
        <v>752</v>
      </c>
      <c r="D2030" s="197">
        <v>100</v>
      </c>
      <c r="E2030" s="197">
        <v>20020</v>
      </c>
      <c r="F2030" s="197">
        <v>179.1</v>
      </c>
      <c r="G2030" s="190">
        <v>45967</v>
      </c>
      <c r="H2030" s="196">
        <v>0</v>
      </c>
      <c r="I2030" s="197">
        <v>17910</v>
      </c>
      <c r="J2030" s="197">
        <v>17910</v>
      </c>
      <c r="K2030" s="197">
        <v>0</v>
      </c>
      <c r="L2030" s="197">
        <v>-2110</v>
      </c>
      <c r="M2030" s="260" t="s">
        <v>239</v>
      </c>
      <c r="N2030" s="260" t="s">
        <v>514</v>
      </c>
    </row>
    <row r="2031" spans="1:14" ht="14.5" x14ac:dyDescent="0.35">
      <c r="A2031" s="260" t="s">
        <v>565</v>
      </c>
      <c r="B2031" s="190">
        <v>45967</v>
      </c>
      <c r="C2031" s="260" t="s">
        <v>754</v>
      </c>
      <c r="D2031" s="197">
        <v>50</v>
      </c>
      <c r="E2031" s="197">
        <v>4104</v>
      </c>
      <c r="F2031" s="197">
        <v>76.319999999999993</v>
      </c>
      <c r="G2031" s="190">
        <v>45967</v>
      </c>
      <c r="H2031" s="196">
        <v>0</v>
      </c>
      <c r="I2031" s="197">
        <v>3815.9999999999995</v>
      </c>
      <c r="J2031" s="197">
        <v>3815.9999999999995</v>
      </c>
      <c r="K2031" s="197">
        <v>60</v>
      </c>
      <c r="L2031" s="197">
        <v>-288.00000000000045</v>
      </c>
      <c r="M2031" s="260" t="s">
        <v>239</v>
      </c>
      <c r="N2031" s="260" t="s">
        <v>514</v>
      </c>
    </row>
    <row r="2032" spans="1:14" ht="14.5" x14ac:dyDescent="0.35">
      <c r="A2032" s="260" t="s">
        <v>565</v>
      </c>
      <c r="B2032" s="190">
        <v>45968</v>
      </c>
      <c r="C2032" s="260" t="s">
        <v>749</v>
      </c>
      <c r="D2032" s="197">
        <v>100</v>
      </c>
      <c r="E2032" s="197">
        <v>5005</v>
      </c>
      <c r="F2032" s="197">
        <v>50.38</v>
      </c>
      <c r="G2032" s="190">
        <v>45968</v>
      </c>
      <c r="H2032" s="196">
        <v>0</v>
      </c>
      <c r="I2032" s="197">
        <v>5038</v>
      </c>
      <c r="J2032" s="197">
        <v>5038</v>
      </c>
      <c r="K2032" s="197">
        <v>0</v>
      </c>
      <c r="L2032" s="197">
        <v>33</v>
      </c>
      <c r="M2032" s="260" t="s">
        <v>239</v>
      </c>
      <c r="N2032" s="260" t="s">
        <v>514</v>
      </c>
    </row>
    <row r="2033" spans="1:14" ht="14.5" x14ac:dyDescent="0.35">
      <c r="A2033" s="260" t="s">
        <v>565</v>
      </c>
      <c r="B2033" s="190">
        <v>45968</v>
      </c>
      <c r="C2033" s="260" t="s">
        <v>752</v>
      </c>
      <c r="D2033" s="197">
        <v>100</v>
      </c>
      <c r="E2033" s="197">
        <v>20020</v>
      </c>
      <c r="F2033" s="197">
        <v>178.72</v>
      </c>
      <c r="G2033" s="190">
        <v>45968</v>
      </c>
      <c r="H2033" s="196">
        <v>0</v>
      </c>
      <c r="I2033" s="197">
        <v>17872</v>
      </c>
      <c r="J2033" s="197">
        <v>17872</v>
      </c>
      <c r="K2033" s="197">
        <v>0</v>
      </c>
      <c r="L2033" s="197">
        <v>-2148</v>
      </c>
      <c r="M2033" s="260" t="s">
        <v>239</v>
      </c>
      <c r="N2033" s="260" t="s">
        <v>514</v>
      </c>
    </row>
    <row r="2034" spans="1:14" ht="14.5" x14ac:dyDescent="0.35">
      <c r="A2034" s="260" t="s">
        <v>565</v>
      </c>
      <c r="B2034" s="190">
        <v>45968</v>
      </c>
      <c r="C2034" s="260" t="s">
        <v>754</v>
      </c>
      <c r="D2034" s="197">
        <v>50</v>
      </c>
      <c r="E2034" s="197">
        <v>4104</v>
      </c>
      <c r="F2034" s="197">
        <v>76.42</v>
      </c>
      <c r="G2034" s="190">
        <v>45968</v>
      </c>
      <c r="H2034" s="196">
        <v>0</v>
      </c>
      <c r="I2034" s="197">
        <v>3821</v>
      </c>
      <c r="J2034" s="197">
        <v>3821</v>
      </c>
      <c r="K2034" s="197">
        <v>60</v>
      </c>
      <c r="L2034" s="197">
        <v>-283</v>
      </c>
      <c r="M2034" s="260" t="s">
        <v>239</v>
      </c>
      <c r="N2034" s="260" t="s">
        <v>514</v>
      </c>
    </row>
    <row r="2035" spans="1:14" ht="14.5" x14ac:dyDescent="0.35">
      <c r="A2035" s="260" t="s">
        <v>565</v>
      </c>
      <c r="B2035" s="190">
        <v>45969</v>
      </c>
      <c r="C2035" s="260" t="s">
        <v>749</v>
      </c>
      <c r="D2035" s="197">
        <v>100</v>
      </c>
      <c r="E2035" s="197">
        <v>5005</v>
      </c>
      <c r="F2035" s="197">
        <v>50.38</v>
      </c>
      <c r="G2035" s="190">
        <v>45968</v>
      </c>
      <c r="H2035" s="196">
        <v>1</v>
      </c>
      <c r="I2035" s="197">
        <v>5038</v>
      </c>
      <c r="J2035" s="197">
        <v>5038</v>
      </c>
      <c r="K2035" s="197">
        <v>0</v>
      </c>
      <c r="L2035" s="197">
        <v>33</v>
      </c>
      <c r="M2035" s="260" t="s">
        <v>239</v>
      </c>
      <c r="N2035" s="260" t="s">
        <v>514</v>
      </c>
    </row>
    <row r="2036" spans="1:14" ht="14.5" x14ac:dyDescent="0.35">
      <c r="A2036" s="260" t="s">
        <v>565</v>
      </c>
      <c r="B2036" s="190">
        <v>45969</v>
      </c>
      <c r="C2036" s="260" t="s">
        <v>752</v>
      </c>
      <c r="D2036" s="197">
        <v>100</v>
      </c>
      <c r="E2036" s="197">
        <v>20020</v>
      </c>
      <c r="F2036" s="197">
        <v>178.72</v>
      </c>
      <c r="G2036" s="190">
        <v>45968</v>
      </c>
      <c r="H2036" s="196">
        <v>1</v>
      </c>
      <c r="I2036" s="197">
        <v>17872</v>
      </c>
      <c r="J2036" s="197">
        <v>17872</v>
      </c>
      <c r="K2036" s="197">
        <v>0</v>
      </c>
      <c r="L2036" s="197">
        <v>-2148</v>
      </c>
      <c r="M2036" s="260" t="s">
        <v>239</v>
      </c>
      <c r="N2036" s="260" t="s">
        <v>514</v>
      </c>
    </row>
    <row r="2037" spans="1:14" ht="14.5" x14ac:dyDescent="0.35">
      <c r="A2037" s="260" t="s">
        <v>565</v>
      </c>
      <c r="B2037" s="190">
        <v>45969</v>
      </c>
      <c r="C2037" s="260" t="s">
        <v>754</v>
      </c>
      <c r="D2037" s="197">
        <v>50</v>
      </c>
      <c r="E2037" s="197">
        <v>4104</v>
      </c>
      <c r="F2037" s="197">
        <v>76.42</v>
      </c>
      <c r="G2037" s="190">
        <v>45968</v>
      </c>
      <c r="H2037" s="196">
        <v>1</v>
      </c>
      <c r="I2037" s="197">
        <v>3821</v>
      </c>
      <c r="J2037" s="197">
        <v>3821</v>
      </c>
      <c r="K2037" s="197">
        <v>60</v>
      </c>
      <c r="L2037" s="197">
        <v>-283</v>
      </c>
      <c r="M2037" s="260" t="s">
        <v>239</v>
      </c>
      <c r="N2037" s="260" t="s">
        <v>514</v>
      </c>
    </row>
    <row r="2038" spans="1:14" ht="14.5" x14ac:dyDescent="0.35">
      <c r="A2038" s="260" t="s">
        <v>565</v>
      </c>
      <c r="B2038" s="190">
        <v>45970</v>
      </c>
      <c r="C2038" s="260" t="s">
        <v>749</v>
      </c>
      <c r="D2038" s="197">
        <v>100</v>
      </c>
      <c r="E2038" s="197">
        <v>5005</v>
      </c>
      <c r="F2038" s="197">
        <v>50.38</v>
      </c>
      <c r="G2038" s="190">
        <v>45968</v>
      </c>
      <c r="H2038" s="196">
        <v>2</v>
      </c>
      <c r="I2038" s="197">
        <v>5038</v>
      </c>
      <c r="J2038" s="197">
        <v>5038</v>
      </c>
      <c r="K2038" s="197">
        <v>0</v>
      </c>
      <c r="L2038" s="197">
        <v>33</v>
      </c>
      <c r="M2038" s="260" t="s">
        <v>239</v>
      </c>
      <c r="N2038" s="260" t="s">
        <v>514</v>
      </c>
    </row>
    <row r="2039" spans="1:14" ht="14.5" x14ac:dyDescent="0.35">
      <c r="A2039" s="260" t="s">
        <v>565</v>
      </c>
      <c r="B2039" s="190">
        <v>45970</v>
      </c>
      <c r="C2039" s="260" t="s">
        <v>752</v>
      </c>
      <c r="D2039" s="197">
        <v>100</v>
      </c>
      <c r="E2039" s="197">
        <v>20020</v>
      </c>
      <c r="F2039" s="197">
        <v>178.72</v>
      </c>
      <c r="G2039" s="190">
        <v>45968</v>
      </c>
      <c r="H2039" s="196">
        <v>2</v>
      </c>
      <c r="I2039" s="197">
        <v>17872</v>
      </c>
      <c r="J2039" s="197">
        <v>17872</v>
      </c>
      <c r="K2039" s="197">
        <v>0</v>
      </c>
      <c r="L2039" s="197">
        <v>-2148</v>
      </c>
      <c r="M2039" s="260" t="s">
        <v>239</v>
      </c>
      <c r="N2039" s="260" t="s">
        <v>514</v>
      </c>
    </row>
    <row r="2040" spans="1:14" ht="14.5" x14ac:dyDescent="0.35">
      <c r="A2040" s="260" t="s">
        <v>565</v>
      </c>
      <c r="B2040" s="190">
        <v>45970</v>
      </c>
      <c r="C2040" s="260" t="s">
        <v>754</v>
      </c>
      <c r="D2040" s="197">
        <v>50</v>
      </c>
      <c r="E2040" s="197">
        <v>4104</v>
      </c>
      <c r="F2040" s="197">
        <v>76.42</v>
      </c>
      <c r="G2040" s="190">
        <v>45968</v>
      </c>
      <c r="H2040" s="196">
        <v>2</v>
      </c>
      <c r="I2040" s="197">
        <v>3821</v>
      </c>
      <c r="J2040" s="197">
        <v>3821</v>
      </c>
      <c r="K2040" s="197">
        <v>60</v>
      </c>
      <c r="L2040" s="197">
        <v>-283</v>
      </c>
      <c r="M2040" s="260" t="s">
        <v>239</v>
      </c>
      <c r="N2040" s="260" t="s">
        <v>514</v>
      </c>
    </row>
    <row r="2041" spans="1:14" ht="14.5" x14ac:dyDescent="0.35">
      <c r="A2041" s="260" t="s">
        <v>565</v>
      </c>
      <c r="B2041" s="190">
        <v>45971</v>
      </c>
      <c r="C2041" s="260" t="s">
        <v>749</v>
      </c>
      <c r="D2041" s="197">
        <v>100</v>
      </c>
      <c r="E2041" s="197">
        <v>5005</v>
      </c>
      <c r="F2041" s="197">
        <v>50.07</v>
      </c>
      <c r="G2041" s="190">
        <v>45971</v>
      </c>
      <c r="H2041" s="196">
        <v>0</v>
      </c>
      <c r="I2041" s="197">
        <v>5007</v>
      </c>
      <c r="J2041" s="197">
        <v>5007</v>
      </c>
      <c r="K2041" s="197">
        <v>0</v>
      </c>
      <c r="L2041" s="197">
        <v>2</v>
      </c>
      <c r="M2041" s="260" t="s">
        <v>239</v>
      </c>
      <c r="N2041" s="260" t="s">
        <v>514</v>
      </c>
    </row>
    <row r="2042" spans="1:14" ht="14.5" x14ac:dyDescent="0.35">
      <c r="A2042" s="260" t="s">
        <v>565</v>
      </c>
      <c r="B2042" s="190">
        <v>45971</v>
      </c>
      <c r="C2042" s="260" t="s">
        <v>752</v>
      </c>
      <c r="D2042" s="197">
        <v>100</v>
      </c>
      <c r="E2042" s="197">
        <v>20020</v>
      </c>
      <c r="F2042" s="197">
        <v>177.59</v>
      </c>
      <c r="G2042" s="190">
        <v>45971</v>
      </c>
      <c r="H2042" s="196">
        <v>0</v>
      </c>
      <c r="I2042" s="197">
        <v>17759</v>
      </c>
      <c r="J2042" s="197">
        <v>17759</v>
      </c>
      <c r="K2042" s="197">
        <v>0</v>
      </c>
      <c r="L2042" s="197">
        <v>-2261</v>
      </c>
      <c r="M2042" s="260" t="s">
        <v>239</v>
      </c>
      <c r="N2042" s="260" t="s">
        <v>514</v>
      </c>
    </row>
    <row r="2043" spans="1:14" ht="14.5" x14ac:dyDescent="0.35">
      <c r="A2043" s="260" t="s">
        <v>565</v>
      </c>
      <c r="B2043" s="190">
        <v>45971</v>
      </c>
      <c r="C2043" s="260" t="s">
        <v>754</v>
      </c>
      <c r="D2043" s="197">
        <v>50</v>
      </c>
      <c r="E2043" s="197">
        <v>4104</v>
      </c>
      <c r="F2043" s="197">
        <v>76.73</v>
      </c>
      <c r="G2043" s="190">
        <v>45971</v>
      </c>
      <c r="H2043" s="196">
        <v>0</v>
      </c>
      <c r="I2043" s="197">
        <v>3836.5</v>
      </c>
      <c r="J2043" s="197">
        <v>3836.5</v>
      </c>
      <c r="K2043" s="197">
        <v>60</v>
      </c>
      <c r="L2043" s="197">
        <v>-267.5</v>
      </c>
      <c r="M2043" s="260" t="s">
        <v>239</v>
      </c>
      <c r="N2043" s="260" t="s">
        <v>514</v>
      </c>
    </row>
    <row r="2044" spans="1:14" ht="14.5" x14ac:dyDescent="0.35">
      <c r="A2044" s="260" t="s">
        <v>565</v>
      </c>
      <c r="B2044" s="190">
        <v>45972</v>
      </c>
      <c r="C2044" s="260" t="s">
        <v>749</v>
      </c>
      <c r="D2044" s="197">
        <v>100</v>
      </c>
      <c r="E2044" s="197">
        <v>5005</v>
      </c>
      <c r="F2044" s="197">
        <v>49.97</v>
      </c>
      <c r="G2044" s="190">
        <v>45972</v>
      </c>
      <c r="H2044" s="196">
        <v>0</v>
      </c>
      <c r="I2044" s="197">
        <v>4997</v>
      </c>
      <c r="J2044" s="197">
        <v>4997</v>
      </c>
      <c r="K2044" s="197">
        <v>0</v>
      </c>
      <c r="L2044" s="197">
        <v>-8</v>
      </c>
      <c r="M2044" s="260" t="s">
        <v>239</v>
      </c>
      <c r="N2044" s="260" t="s">
        <v>514</v>
      </c>
    </row>
    <row r="2045" spans="1:14" ht="14.5" x14ac:dyDescent="0.35">
      <c r="A2045" s="260" t="s">
        <v>565</v>
      </c>
      <c r="B2045" s="190">
        <v>45972</v>
      </c>
      <c r="C2045" s="260" t="s">
        <v>752</v>
      </c>
      <c r="D2045" s="197">
        <v>100</v>
      </c>
      <c r="E2045" s="197">
        <v>20020</v>
      </c>
      <c r="F2045" s="197">
        <v>177.21</v>
      </c>
      <c r="G2045" s="190">
        <v>45972</v>
      </c>
      <c r="H2045" s="196">
        <v>0</v>
      </c>
      <c r="I2045" s="197">
        <v>17721</v>
      </c>
      <c r="J2045" s="197">
        <v>17721</v>
      </c>
      <c r="K2045" s="197">
        <v>0</v>
      </c>
      <c r="L2045" s="197">
        <v>-2299</v>
      </c>
      <c r="M2045" s="260" t="s">
        <v>239</v>
      </c>
      <c r="N2045" s="260" t="s">
        <v>514</v>
      </c>
    </row>
    <row r="2046" spans="1:14" ht="14.5" x14ac:dyDescent="0.35">
      <c r="A2046" s="260" t="s">
        <v>565</v>
      </c>
      <c r="B2046" s="190">
        <v>45972</v>
      </c>
      <c r="C2046" s="260" t="s">
        <v>754</v>
      </c>
      <c r="D2046" s="197">
        <v>50</v>
      </c>
      <c r="E2046" s="197">
        <v>4104</v>
      </c>
      <c r="F2046" s="197">
        <v>76.83</v>
      </c>
      <c r="G2046" s="190">
        <v>45972</v>
      </c>
      <c r="H2046" s="196">
        <v>0</v>
      </c>
      <c r="I2046" s="197">
        <v>3841.5</v>
      </c>
      <c r="J2046" s="197">
        <v>3841.5</v>
      </c>
      <c r="K2046" s="197">
        <v>60</v>
      </c>
      <c r="L2046" s="197">
        <v>-262.5</v>
      </c>
      <c r="M2046" s="260" t="s">
        <v>239</v>
      </c>
      <c r="N2046" s="260" t="s">
        <v>514</v>
      </c>
    </row>
    <row r="2047" spans="1:14" ht="14.5" x14ac:dyDescent="0.35">
      <c r="A2047" s="260" t="s">
        <v>565</v>
      </c>
      <c r="B2047" s="190">
        <v>45973</v>
      </c>
      <c r="C2047" s="260" t="s">
        <v>749</v>
      </c>
      <c r="D2047" s="197">
        <v>100</v>
      </c>
      <c r="E2047" s="197">
        <v>5005</v>
      </c>
      <c r="F2047" s="197">
        <v>49.86</v>
      </c>
      <c r="G2047" s="190">
        <v>45973</v>
      </c>
      <c r="H2047" s="196">
        <v>0</v>
      </c>
      <c r="I2047" s="197">
        <v>4986</v>
      </c>
      <c r="J2047" s="197">
        <v>4986</v>
      </c>
      <c r="K2047" s="197">
        <v>0</v>
      </c>
      <c r="L2047" s="197">
        <v>-19</v>
      </c>
      <c r="M2047" s="260" t="s">
        <v>239</v>
      </c>
      <c r="N2047" s="260" t="s">
        <v>514</v>
      </c>
    </row>
    <row r="2048" spans="1:14" ht="14.5" x14ac:dyDescent="0.35">
      <c r="A2048" s="260" t="s">
        <v>565</v>
      </c>
      <c r="B2048" s="190">
        <v>45973</v>
      </c>
      <c r="C2048" s="260" t="s">
        <v>752</v>
      </c>
      <c r="D2048" s="197">
        <v>100</v>
      </c>
      <c r="E2048" s="197">
        <v>20020</v>
      </c>
      <c r="F2048" s="197">
        <v>176.83</v>
      </c>
      <c r="G2048" s="190">
        <v>45973</v>
      </c>
      <c r="H2048" s="196">
        <v>0</v>
      </c>
      <c r="I2048" s="197">
        <v>17683</v>
      </c>
      <c r="J2048" s="197">
        <v>17683</v>
      </c>
      <c r="K2048" s="197">
        <v>0</v>
      </c>
      <c r="L2048" s="197">
        <v>-2337</v>
      </c>
      <c r="M2048" s="260" t="s">
        <v>239</v>
      </c>
      <c r="N2048" s="260" t="s">
        <v>514</v>
      </c>
    </row>
    <row r="2049" spans="1:14" ht="14.5" x14ac:dyDescent="0.35">
      <c r="A2049" s="260" t="s">
        <v>565</v>
      </c>
      <c r="B2049" s="190">
        <v>45973</v>
      </c>
      <c r="C2049" s="260" t="s">
        <v>754</v>
      </c>
      <c r="D2049" s="197">
        <v>50</v>
      </c>
      <c r="E2049" s="197">
        <v>4104</v>
      </c>
      <c r="F2049" s="197">
        <v>76.94</v>
      </c>
      <c r="G2049" s="190">
        <v>45973</v>
      </c>
      <c r="H2049" s="196">
        <v>0</v>
      </c>
      <c r="I2049" s="197">
        <v>3847</v>
      </c>
      <c r="J2049" s="197">
        <v>3847</v>
      </c>
      <c r="K2049" s="197">
        <v>60</v>
      </c>
      <c r="L2049" s="197">
        <v>-257</v>
      </c>
      <c r="M2049" s="260" t="s">
        <v>239</v>
      </c>
      <c r="N2049" s="260" t="s">
        <v>514</v>
      </c>
    </row>
    <row r="2050" spans="1:14" ht="14.5" x14ac:dyDescent="0.35">
      <c r="A2050" s="260" t="s">
        <v>565</v>
      </c>
      <c r="B2050" s="190">
        <v>45974</v>
      </c>
      <c r="C2050" s="260" t="s">
        <v>749</v>
      </c>
      <c r="D2050" s="197">
        <v>100</v>
      </c>
      <c r="E2050" s="197">
        <v>5005</v>
      </c>
      <c r="F2050" s="197">
        <v>49.76</v>
      </c>
      <c r="G2050" s="190">
        <v>45974</v>
      </c>
      <c r="H2050" s="196">
        <v>0</v>
      </c>
      <c r="I2050" s="197">
        <v>4976</v>
      </c>
      <c r="J2050" s="197">
        <v>4976</v>
      </c>
      <c r="K2050" s="197">
        <v>0</v>
      </c>
      <c r="L2050" s="197">
        <v>-29</v>
      </c>
      <c r="M2050" s="260" t="s">
        <v>239</v>
      </c>
      <c r="N2050" s="260" t="s">
        <v>514</v>
      </c>
    </row>
    <row r="2051" spans="1:14" ht="14.5" x14ac:dyDescent="0.35">
      <c r="A2051" s="260" t="s">
        <v>565</v>
      </c>
      <c r="B2051" s="190">
        <v>45974</v>
      </c>
      <c r="C2051" s="260" t="s">
        <v>752</v>
      </c>
      <c r="D2051" s="197">
        <v>100</v>
      </c>
      <c r="E2051" s="197">
        <v>20020</v>
      </c>
      <c r="F2051" s="197">
        <v>176.45</v>
      </c>
      <c r="G2051" s="190">
        <v>45974</v>
      </c>
      <c r="H2051" s="196">
        <v>0</v>
      </c>
      <c r="I2051" s="197">
        <v>17645</v>
      </c>
      <c r="J2051" s="197">
        <v>17645</v>
      </c>
      <c r="K2051" s="197">
        <v>0</v>
      </c>
      <c r="L2051" s="197">
        <v>-2375</v>
      </c>
      <c r="M2051" s="260" t="s">
        <v>239</v>
      </c>
      <c r="N2051" s="260" t="s">
        <v>514</v>
      </c>
    </row>
    <row r="2052" spans="1:14" ht="14.5" x14ac:dyDescent="0.35">
      <c r="A2052" s="260" t="s">
        <v>565</v>
      </c>
      <c r="B2052" s="190">
        <v>45974</v>
      </c>
      <c r="C2052" s="260" t="s">
        <v>754</v>
      </c>
      <c r="D2052" s="197">
        <v>50</v>
      </c>
      <c r="E2052" s="197">
        <v>4104</v>
      </c>
      <c r="F2052" s="197">
        <v>77.040000000000006</v>
      </c>
      <c r="G2052" s="190">
        <v>45974</v>
      </c>
      <c r="H2052" s="196">
        <v>0</v>
      </c>
      <c r="I2052" s="197">
        <v>3852.0000000000005</v>
      </c>
      <c r="J2052" s="197">
        <v>3852.0000000000005</v>
      </c>
      <c r="K2052" s="197">
        <v>60</v>
      </c>
      <c r="L2052" s="197">
        <v>-251.99999999999955</v>
      </c>
      <c r="M2052" s="260" t="s">
        <v>239</v>
      </c>
      <c r="N2052" s="260" t="s">
        <v>514</v>
      </c>
    </row>
    <row r="2053" spans="1:14" ht="14.5" x14ac:dyDescent="0.35">
      <c r="A2053" s="260" t="s">
        <v>565</v>
      </c>
      <c r="B2053" s="190">
        <v>45975</v>
      </c>
      <c r="C2053" s="260" t="s">
        <v>749</v>
      </c>
      <c r="D2053" s="197">
        <v>100</v>
      </c>
      <c r="E2053" s="197">
        <v>5005</v>
      </c>
      <c r="F2053" s="197">
        <v>49.66</v>
      </c>
      <c r="G2053" s="190">
        <v>45975</v>
      </c>
      <c r="H2053" s="196">
        <v>0</v>
      </c>
      <c r="I2053" s="197">
        <v>4966</v>
      </c>
      <c r="J2053" s="197">
        <v>4966</v>
      </c>
      <c r="K2053" s="197">
        <v>0</v>
      </c>
      <c r="L2053" s="197">
        <v>-39</v>
      </c>
      <c r="M2053" s="260" t="s">
        <v>239</v>
      </c>
      <c r="N2053" s="260" t="s">
        <v>514</v>
      </c>
    </row>
    <row r="2054" spans="1:14" ht="14.5" x14ac:dyDescent="0.35">
      <c r="A2054" s="260" t="s">
        <v>565</v>
      </c>
      <c r="B2054" s="190">
        <v>45975</v>
      </c>
      <c r="C2054" s="260" t="s">
        <v>752</v>
      </c>
      <c r="D2054" s="197">
        <v>100</v>
      </c>
      <c r="E2054" s="197">
        <v>20020</v>
      </c>
      <c r="F2054" s="197">
        <v>176.07</v>
      </c>
      <c r="G2054" s="190">
        <v>45975</v>
      </c>
      <c r="H2054" s="196">
        <v>0</v>
      </c>
      <c r="I2054" s="197">
        <v>17607</v>
      </c>
      <c r="J2054" s="197">
        <v>17607</v>
      </c>
      <c r="K2054" s="197">
        <v>0</v>
      </c>
      <c r="L2054" s="197">
        <v>-2413</v>
      </c>
      <c r="M2054" s="260" t="s">
        <v>239</v>
      </c>
      <c r="N2054" s="260" t="s">
        <v>514</v>
      </c>
    </row>
    <row r="2055" spans="1:14" ht="14.5" x14ac:dyDescent="0.35">
      <c r="A2055" s="260" t="s">
        <v>565</v>
      </c>
      <c r="B2055" s="190">
        <v>45975</v>
      </c>
      <c r="C2055" s="260" t="s">
        <v>754</v>
      </c>
      <c r="D2055" s="197">
        <v>50</v>
      </c>
      <c r="E2055" s="197">
        <v>4104</v>
      </c>
      <c r="F2055" s="197">
        <v>77.14</v>
      </c>
      <c r="G2055" s="190">
        <v>45975</v>
      </c>
      <c r="H2055" s="196">
        <v>0</v>
      </c>
      <c r="I2055" s="197">
        <v>3857</v>
      </c>
      <c r="J2055" s="197">
        <v>3857</v>
      </c>
      <c r="K2055" s="197">
        <v>60</v>
      </c>
      <c r="L2055" s="197">
        <v>-247</v>
      </c>
      <c r="M2055" s="260" t="s">
        <v>239</v>
      </c>
      <c r="N2055" s="260" t="s">
        <v>514</v>
      </c>
    </row>
    <row r="2056" spans="1:14" ht="14.5" x14ac:dyDescent="0.35">
      <c r="A2056" s="260" t="s">
        <v>565</v>
      </c>
      <c r="B2056" s="190">
        <v>45976</v>
      </c>
      <c r="C2056" s="260" t="s">
        <v>749</v>
      </c>
      <c r="D2056" s="197">
        <v>100</v>
      </c>
      <c r="E2056" s="197">
        <v>5005</v>
      </c>
      <c r="F2056" s="197">
        <v>49.66</v>
      </c>
      <c r="G2056" s="190">
        <v>45975</v>
      </c>
      <c r="H2056" s="196">
        <v>1</v>
      </c>
      <c r="I2056" s="197">
        <v>4966</v>
      </c>
      <c r="J2056" s="197">
        <v>4966</v>
      </c>
      <c r="K2056" s="197">
        <v>0</v>
      </c>
      <c r="L2056" s="197">
        <v>-39</v>
      </c>
      <c r="M2056" s="260" t="s">
        <v>239</v>
      </c>
      <c r="N2056" s="260" t="s">
        <v>514</v>
      </c>
    </row>
    <row r="2057" spans="1:14" ht="14.5" x14ac:dyDescent="0.35">
      <c r="A2057" s="260" t="s">
        <v>565</v>
      </c>
      <c r="B2057" s="190">
        <v>45976</v>
      </c>
      <c r="C2057" s="260" t="s">
        <v>752</v>
      </c>
      <c r="D2057" s="197">
        <v>100</v>
      </c>
      <c r="E2057" s="197">
        <v>20020</v>
      </c>
      <c r="F2057" s="197">
        <v>176.07</v>
      </c>
      <c r="G2057" s="190">
        <v>45975</v>
      </c>
      <c r="H2057" s="196">
        <v>1</v>
      </c>
      <c r="I2057" s="197">
        <v>17607</v>
      </c>
      <c r="J2057" s="197">
        <v>17607</v>
      </c>
      <c r="K2057" s="197">
        <v>0</v>
      </c>
      <c r="L2057" s="197">
        <v>-2413</v>
      </c>
      <c r="M2057" s="260" t="s">
        <v>239</v>
      </c>
      <c r="N2057" s="260" t="s">
        <v>514</v>
      </c>
    </row>
    <row r="2058" spans="1:14" ht="14.5" x14ac:dyDescent="0.35">
      <c r="A2058" s="260" t="s">
        <v>565</v>
      </c>
      <c r="B2058" s="190">
        <v>45976</v>
      </c>
      <c r="C2058" s="260" t="s">
        <v>754</v>
      </c>
      <c r="D2058" s="197">
        <v>50</v>
      </c>
      <c r="E2058" s="197">
        <v>4104</v>
      </c>
      <c r="F2058" s="197">
        <v>77.14</v>
      </c>
      <c r="G2058" s="190">
        <v>45975</v>
      </c>
      <c r="H2058" s="196">
        <v>1</v>
      </c>
      <c r="I2058" s="197">
        <v>3857</v>
      </c>
      <c r="J2058" s="197">
        <v>3857</v>
      </c>
      <c r="K2058" s="197">
        <v>60</v>
      </c>
      <c r="L2058" s="197">
        <v>-247</v>
      </c>
      <c r="M2058" s="260" t="s">
        <v>239</v>
      </c>
      <c r="N2058" s="260" t="s">
        <v>514</v>
      </c>
    </row>
    <row r="2059" spans="1:14" ht="14.5" x14ac:dyDescent="0.35">
      <c r="A2059" s="260" t="s">
        <v>565</v>
      </c>
      <c r="B2059" s="190">
        <v>45977</v>
      </c>
      <c r="C2059" s="260" t="s">
        <v>749</v>
      </c>
      <c r="D2059" s="197">
        <v>100</v>
      </c>
      <c r="E2059" s="197">
        <v>5005</v>
      </c>
      <c r="F2059" s="197">
        <v>49.66</v>
      </c>
      <c r="G2059" s="190">
        <v>45975</v>
      </c>
      <c r="H2059" s="196">
        <v>2</v>
      </c>
      <c r="I2059" s="197">
        <v>4966</v>
      </c>
      <c r="J2059" s="197">
        <v>4966</v>
      </c>
      <c r="K2059" s="197">
        <v>0</v>
      </c>
      <c r="L2059" s="197">
        <v>-39</v>
      </c>
      <c r="M2059" s="260" t="s">
        <v>239</v>
      </c>
      <c r="N2059" s="260" t="s">
        <v>514</v>
      </c>
    </row>
    <row r="2060" spans="1:14" ht="14.5" x14ac:dyDescent="0.35">
      <c r="A2060" s="260" t="s">
        <v>565</v>
      </c>
      <c r="B2060" s="190">
        <v>45977</v>
      </c>
      <c r="C2060" s="260" t="s">
        <v>752</v>
      </c>
      <c r="D2060" s="197">
        <v>100</v>
      </c>
      <c r="E2060" s="197">
        <v>20020</v>
      </c>
      <c r="F2060" s="197">
        <v>176.07</v>
      </c>
      <c r="G2060" s="190">
        <v>45975</v>
      </c>
      <c r="H2060" s="196">
        <v>2</v>
      </c>
      <c r="I2060" s="197">
        <v>17607</v>
      </c>
      <c r="J2060" s="197">
        <v>17607</v>
      </c>
      <c r="K2060" s="197">
        <v>0</v>
      </c>
      <c r="L2060" s="197">
        <v>-2413</v>
      </c>
      <c r="M2060" s="260" t="s">
        <v>239</v>
      </c>
      <c r="N2060" s="260" t="s">
        <v>514</v>
      </c>
    </row>
    <row r="2061" spans="1:14" ht="14.5" x14ac:dyDescent="0.35">
      <c r="A2061" s="260" t="s">
        <v>565</v>
      </c>
      <c r="B2061" s="190">
        <v>45977</v>
      </c>
      <c r="C2061" s="260" t="s">
        <v>754</v>
      </c>
      <c r="D2061" s="197">
        <v>50</v>
      </c>
      <c r="E2061" s="197">
        <v>4104</v>
      </c>
      <c r="F2061" s="197">
        <v>77.14</v>
      </c>
      <c r="G2061" s="190">
        <v>45975</v>
      </c>
      <c r="H2061" s="196">
        <v>2</v>
      </c>
      <c r="I2061" s="197">
        <v>3857</v>
      </c>
      <c r="J2061" s="197">
        <v>3857</v>
      </c>
      <c r="K2061" s="197">
        <v>60</v>
      </c>
      <c r="L2061" s="197">
        <v>-247</v>
      </c>
      <c r="M2061" s="260" t="s">
        <v>239</v>
      </c>
      <c r="N2061" s="260" t="s">
        <v>514</v>
      </c>
    </row>
    <row r="2062" spans="1:14" ht="14.5" x14ac:dyDescent="0.35">
      <c r="A2062" s="260" t="s">
        <v>565</v>
      </c>
      <c r="B2062" s="190">
        <v>45978</v>
      </c>
      <c r="C2062" s="260" t="s">
        <v>749</v>
      </c>
      <c r="D2062" s="197">
        <v>100</v>
      </c>
      <c r="E2062" s="197">
        <v>5005</v>
      </c>
      <c r="F2062" s="197">
        <v>49.34</v>
      </c>
      <c r="G2062" s="190">
        <v>45978</v>
      </c>
      <c r="H2062" s="196">
        <v>0</v>
      </c>
      <c r="I2062" s="197">
        <v>4934</v>
      </c>
      <c r="J2062" s="197">
        <v>4934</v>
      </c>
      <c r="K2062" s="197">
        <v>0</v>
      </c>
      <c r="L2062" s="197">
        <v>-71</v>
      </c>
      <c r="M2062" s="260" t="s">
        <v>239</v>
      </c>
      <c r="N2062" s="260" t="s">
        <v>514</v>
      </c>
    </row>
    <row r="2063" spans="1:14" ht="14.5" x14ac:dyDescent="0.35">
      <c r="A2063" s="260" t="s">
        <v>565</v>
      </c>
      <c r="B2063" s="190">
        <v>45978</v>
      </c>
      <c r="C2063" s="260" t="s">
        <v>752</v>
      </c>
      <c r="D2063" s="197">
        <v>100</v>
      </c>
      <c r="E2063" s="197">
        <v>20020</v>
      </c>
      <c r="F2063" s="197">
        <v>174.93</v>
      </c>
      <c r="G2063" s="190">
        <v>45978</v>
      </c>
      <c r="H2063" s="196">
        <v>0</v>
      </c>
      <c r="I2063" s="197">
        <v>17493</v>
      </c>
      <c r="J2063" s="197">
        <v>17493</v>
      </c>
      <c r="K2063" s="197">
        <v>0</v>
      </c>
      <c r="L2063" s="197">
        <v>-2527</v>
      </c>
      <c r="M2063" s="260" t="s">
        <v>239</v>
      </c>
      <c r="N2063" s="260" t="s">
        <v>514</v>
      </c>
    </row>
    <row r="2064" spans="1:14" ht="14.5" x14ac:dyDescent="0.35">
      <c r="A2064" s="260" t="s">
        <v>565</v>
      </c>
      <c r="B2064" s="190">
        <v>45978</v>
      </c>
      <c r="C2064" s="260" t="s">
        <v>754</v>
      </c>
      <c r="D2064" s="197">
        <v>50</v>
      </c>
      <c r="E2064" s="197">
        <v>4104</v>
      </c>
      <c r="F2064" s="197">
        <v>77.459999999999994</v>
      </c>
      <c r="G2064" s="190">
        <v>45978</v>
      </c>
      <c r="H2064" s="196">
        <v>0</v>
      </c>
      <c r="I2064" s="197">
        <v>3872.9999999999995</v>
      </c>
      <c r="J2064" s="197">
        <v>3872.9999999999995</v>
      </c>
      <c r="K2064" s="197">
        <v>60</v>
      </c>
      <c r="L2064" s="197">
        <v>-231.00000000000045</v>
      </c>
      <c r="M2064" s="260" t="s">
        <v>239</v>
      </c>
      <c r="N2064" s="260" t="s">
        <v>514</v>
      </c>
    </row>
    <row r="2065" spans="1:14" ht="14.5" x14ac:dyDescent="0.35">
      <c r="A2065" s="260" t="s">
        <v>565</v>
      </c>
      <c r="B2065" s="190">
        <v>45979</v>
      </c>
      <c r="C2065" s="260" t="s">
        <v>749</v>
      </c>
      <c r="D2065" s="197">
        <v>100</v>
      </c>
      <c r="E2065" s="197">
        <v>5005</v>
      </c>
      <c r="F2065" s="197">
        <v>49.24</v>
      </c>
      <c r="G2065" s="190">
        <v>45979</v>
      </c>
      <c r="H2065" s="196">
        <v>0</v>
      </c>
      <c r="I2065" s="197">
        <v>4924</v>
      </c>
      <c r="J2065" s="197">
        <v>4924</v>
      </c>
      <c r="K2065" s="197">
        <v>0</v>
      </c>
      <c r="L2065" s="197">
        <v>-81</v>
      </c>
      <c r="M2065" s="260" t="s">
        <v>239</v>
      </c>
      <c r="N2065" s="260" t="s">
        <v>514</v>
      </c>
    </row>
    <row r="2066" spans="1:14" ht="14.5" x14ac:dyDescent="0.35">
      <c r="A2066" s="260" t="s">
        <v>565</v>
      </c>
      <c r="B2066" s="190">
        <v>45979</v>
      </c>
      <c r="C2066" s="260" t="s">
        <v>752</v>
      </c>
      <c r="D2066" s="197">
        <v>100</v>
      </c>
      <c r="E2066" s="197">
        <v>20020</v>
      </c>
      <c r="F2066" s="197">
        <v>174.55</v>
      </c>
      <c r="G2066" s="190">
        <v>45979</v>
      </c>
      <c r="H2066" s="196">
        <v>0</v>
      </c>
      <c r="I2066" s="197">
        <v>17455</v>
      </c>
      <c r="J2066" s="197">
        <v>17455</v>
      </c>
      <c r="K2066" s="197">
        <v>0</v>
      </c>
      <c r="L2066" s="197">
        <v>-2565</v>
      </c>
      <c r="M2066" s="260" t="s">
        <v>239</v>
      </c>
      <c r="N2066" s="260" t="s">
        <v>514</v>
      </c>
    </row>
    <row r="2067" spans="1:14" ht="14.5" x14ac:dyDescent="0.35">
      <c r="A2067" s="260" t="s">
        <v>565</v>
      </c>
      <c r="B2067" s="190">
        <v>45979</v>
      </c>
      <c r="C2067" s="260" t="s">
        <v>754</v>
      </c>
      <c r="D2067" s="197">
        <v>50</v>
      </c>
      <c r="E2067" s="197">
        <v>4104</v>
      </c>
      <c r="F2067" s="197">
        <v>77.56</v>
      </c>
      <c r="G2067" s="190">
        <v>45979</v>
      </c>
      <c r="H2067" s="196">
        <v>0</v>
      </c>
      <c r="I2067" s="197">
        <v>3878</v>
      </c>
      <c r="J2067" s="197">
        <v>3878</v>
      </c>
      <c r="K2067" s="197">
        <v>60</v>
      </c>
      <c r="L2067" s="197">
        <v>-226</v>
      </c>
      <c r="M2067" s="260" t="s">
        <v>239</v>
      </c>
      <c r="N2067" s="260" t="s">
        <v>514</v>
      </c>
    </row>
    <row r="2068" spans="1:14" ht="14.5" x14ac:dyDescent="0.35">
      <c r="A2068" s="260" t="s">
        <v>565</v>
      </c>
      <c r="B2068" s="190">
        <v>45980</v>
      </c>
      <c r="C2068" s="260" t="s">
        <v>749</v>
      </c>
      <c r="D2068" s="197">
        <v>100</v>
      </c>
      <c r="E2068" s="197">
        <v>5005</v>
      </c>
      <c r="F2068" s="197">
        <v>49.14</v>
      </c>
      <c r="G2068" s="190">
        <v>45980</v>
      </c>
      <c r="H2068" s="196">
        <v>0</v>
      </c>
      <c r="I2068" s="197">
        <v>4914</v>
      </c>
      <c r="J2068" s="197">
        <v>4914</v>
      </c>
      <c r="K2068" s="197">
        <v>0</v>
      </c>
      <c r="L2068" s="197">
        <v>-91</v>
      </c>
      <c r="M2068" s="260" t="s">
        <v>239</v>
      </c>
      <c r="N2068" s="260" t="s">
        <v>514</v>
      </c>
    </row>
    <row r="2069" spans="1:14" ht="14.5" x14ac:dyDescent="0.35">
      <c r="A2069" s="260" t="s">
        <v>565</v>
      </c>
      <c r="B2069" s="190">
        <v>45980</v>
      </c>
      <c r="C2069" s="260" t="s">
        <v>752</v>
      </c>
      <c r="D2069" s="197">
        <v>100</v>
      </c>
      <c r="E2069" s="197">
        <v>20020</v>
      </c>
      <c r="F2069" s="197">
        <v>174.17</v>
      </c>
      <c r="G2069" s="190">
        <v>45980</v>
      </c>
      <c r="H2069" s="196">
        <v>0</v>
      </c>
      <c r="I2069" s="197">
        <v>17417</v>
      </c>
      <c r="J2069" s="197">
        <v>17417</v>
      </c>
      <c r="K2069" s="197">
        <v>0</v>
      </c>
      <c r="L2069" s="197">
        <v>-2603</v>
      </c>
      <c r="M2069" s="260" t="s">
        <v>239</v>
      </c>
      <c r="N2069" s="260" t="s">
        <v>514</v>
      </c>
    </row>
    <row r="2070" spans="1:14" ht="14.5" x14ac:dyDescent="0.35">
      <c r="A2070" s="260" t="s">
        <v>565</v>
      </c>
      <c r="B2070" s="190">
        <v>45980</v>
      </c>
      <c r="C2070" s="260" t="s">
        <v>754</v>
      </c>
      <c r="D2070" s="197">
        <v>50</v>
      </c>
      <c r="E2070" s="197">
        <v>4104</v>
      </c>
      <c r="F2070" s="197">
        <v>77.66</v>
      </c>
      <c r="G2070" s="190">
        <v>45980</v>
      </c>
      <c r="H2070" s="196">
        <v>0</v>
      </c>
      <c r="I2070" s="197">
        <v>3883</v>
      </c>
      <c r="J2070" s="197">
        <v>3883</v>
      </c>
      <c r="K2070" s="197">
        <v>60</v>
      </c>
      <c r="L2070" s="197">
        <v>-221</v>
      </c>
      <c r="M2070" s="260" t="s">
        <v>239</v>
      </c>
      <c r="N2070" s="260" t="s">
        <v>514</v>
      </c>
    </row>
    <row r="2071" spans="1:14" ht="14.5" x14ac:dyDescent="0.35">
      <c r="A2071" s="260" t="s">
        <v>565</v>
      </c>
      <c r="B2071" s="190">
        <v>45981</v>
      </c>
      <c r="C2071" s="260" t="s">
        <v>749</v>
      </c>
      <c r="D2071" s="197">
        <v>100</v>
      </c>
      <c r="E2071" s="197">
        <v>5005</v>
      </c>
      <c r="F2071" s="197">
        <v>49.03</v>
      </c>
      <c r="G2071" s="190">
        <v>45981</v>
      </c>
      <c r="H2071" s="196">
        <v>0</v>
      </c>
      <c r="I2071" s="197">
        <v>4903</v>
      </c>
      <c r="J2071" s="197">
        <v>4903</v>
      </c>
      <c r="K2071" s="197">
        <v>0</v>
      </c>
      <c r="L2071" s="197">
        <v>-102</v>
      </c>
      <c r="M2071" s="260" t="s">
        <v>239</v>
      </c>
      <c r="N2071" s="260" t="s">
        <v>514</v>
      </c>
    </row>
    <row r="2072" spans="1:14" ht="14.5" x14ac:dyDescent="0.35">
      <c r="A2072" s="260" t="s">
        <v>565</v>
      </c>
      <c r="B2072" s="190">
        <v>45981</v>
      </c>
      <c r="C2072" s="260" t="s">
        <v>752</v>
      </c>
      <c r="D2072" s="197">
        <v>100</v>
      </c>
      <c r="E2072" s="197">
        <v>20020</v>
      </c>
      <c r="F2072" s="197">
        <v>173.79</v>
      </c>
      <c r="G2072" s="190">
        <v>45981</v>
      </c>
      <c r="H2072" s="196">
        <v>0</v>
      </c>
      <c r="I2072" s="197">
        <v>17379</v>
      </c>
      <c r="J2072" s="197">
        <v>17379</v>
      </c>
      <c r="K2072" s="197">
        <v>0</v>
      </c>
      <c r="L2072" s="197">
        <v>-2641</v>
      </c>
      <c r="M2072" s="260" t="s">
        <v>239</v>
      </c>
      <c r="N2072" s="260" t="s">
        <v>514</v>
      </c>
    </row>
    <row r="2073" spans="1:14" ht="14.5" x14ac:dyDescent="0.35">
      <c r="A2073" s="260" t="s">
        <v>565</v>
      </c>
      <c r="B2073" s="190">
        <v>45981</v>
      </c>
      <c r="C2073" s="260" t="s">
        <v>754</v>
      </c>
      <c r="D2073" s="197">
        <v>50</v>
      </c>
      <c r="E2073" s="197">
        <v>4104</v>
      </c>
      <c r="F2073" s="197">
        <v>77.77</v>
      </c>
      <c r="G2073" s="190">
        <v>45981</v>
      </c>
      <c r="H2073" s="196">
        <v>0</v>
      </c>
      <c r="I2073" s="197">
        <v>3888.5</v>
      </c>
      <c r="J2073" s="197">
        <v>3888.5</v>
      </c>
      <c r="K2073" s="197">
        <v>60</v>
      </c>
      <c r="L2073" s="197">
        <v>-215.5</v>
      </c>
      <c r="M2073" s="260" t="s">
        <v>239</v>
      </c>
      <c r="N2073" s="260" t="s">
        <v>514</v>
      </c>
    </row>
    <row r="2074" spans="1:14" ht="14.5" x14ac:dyDescent="0.35">
      <c r="A2074" s="260" t="s">
        <v>565</v>
      </c>
      <c r="B2074" s="190">
        <v>45982</v>
      </c>
      <c r="C2074" s="260" t="s">
        <v>749</v>
      </c>
      <c r="D2074" s="197">
        <v>100</v>
      </c>
      <c r="E2074" s="197">
        <v>5005</v>
      </c>
      <c r="F2074" s="197">
        <v>48.93</v>
      </c>
      <c r="G2074" s="190">
        <v>45982</v>
      </c>
      <c r="H2074" s="196">
        <v>0</v>
      </c>
      <c r="I2074" s="197">
        <v>4893</v>
      </c>
      <c r="J2074" s="197">
        <v>4893</v>
      </c>
      <c r="K2074" s="197">
        <v>0</v>
      </c>
      <c r="L2074" s="197">
        <v>-112</v>
      </c>
      <c r="M2074" s="260" t="s">
        <v>239</v>
      </c>
      <c r="N2074" s="260" t="s">
        <v>514</v>
      </c>
    </row>
    <row r="2075" spans="1:14" ht="14.5" x14ac:dyDescent="0.35">
      <c r="A2075" s="260" t="s">
        <v>565</v>
      </c>
      <c r="B2075" s="190">
        <v>45982</v>
      </c>
      <c r="C2075" s="260" t="s">
        <v>752</v>
      </c>
      <c r="D2075" s="197">
        <v>100</v>
      </c>
      <c r="E2075" s="197">
        <v>20020</v>
      </c>
      <c r="F2075" s="197">
        <v>173.41</v>
      </c>
      <c r="G2075" s="190">
        <v>45982</v>
      </c>
      <c r="H2075" s="196">
        <v>0</v>
      </c>
      <c r="I2075" s="197">
        <v>17341</v>
      </c>
      <c r="J2075" s="197">
        <v>17341</v>
      </c>
      <c r="K2075" s="197">
        <v>0</v>
      </c>
      <c r="L2075" s="197">
        <v>-2679</v>
      </c>
      <c r="M2075" s="260" t="s">
        <v>239</v>
      </c>
      <c r="N2075" s="260" t="s">
        <v>514</v>
      </c>
    </row>
    <row r="2076" spans="1:14" ht="14.5" x14ac:dyDescent="0.35">
      <c r="A2076" s="260" t="s">
        <v>565</v>
      </c>
      <c r="B2076" s="190">
        <v>45982</v>
      </c>
      <c r="C2076" s="260" t="s">
        <v>754</v>
      </c>
      <c r="D2076" s="197">
        <v>50</v>
      </c>
      <c r="E2076" s="197">
        <v>4104</v>
      </c>
      <c r="F2076" s="197">
        <v>77.87</v>
      </c>
      <c r="G2076" s="190">
        <v>45982</v>
      </c>
      <c r="H2076" s="196">
        <v>0</v>
      </c>
      <c r="I2076" s="197">
        <v>3893.5</v>
      </c>
      <c r="J2076" s="197">
        <v>3893.5</v>
      </c>
      <c r="K2076" s="197">
        <v>60</v>
      </c>
      <c r="L2076" s="197">
        <v>-210.5</v>
      </c>
      <c r="M2076" s="260" t="s">
        <v>239</v>
      </c>
      <c r="N2076" s="260" t="s">
        <v>514</v>
      </c>
    </row>
    <row r="2077" spans="1:14" ht="14.5" x14ac:dyDescent="0.35">
      <c r="A2077" s="260" t="s">
        <v>565</v>
      </c>
      <c r="B2077" s="190">
        <v>45983</v>
      </c>
      <c r="C2077" s="260" t="s">
        <v>749</v>
      </c>
      <c r="D2077" s="197">
        <v>100</v>
      </c>
      <c r="E2077" s="197">
        <v>5005</v>
      </c>
      <c r="F2077" s="197">
        <v>48.93</v>
      </c>
      <c r="G2077" s="190">
        <v>45982</v>
      </c>
      <c r="H2077" s="196">
        <v>1</v>
      </c>
      <c r="I2077" s="197">
        <v>4893</v>
      </c>
      <c r="J2077" s="197">
        <v>4893</v>
      </c>
      <c r="K2077" s="197">
        <v>0</v>
      </c>
      <c r="L2077" s="197">
        <v>-112</v>
      </c>
      <c r="M2077" s="260" t="s">
        <v>239</v>
      </c>
      <c r="N2077" s="260" t="s">
        <v>514</v>
      </c>
    </row>
    <row r="2078" spans="1:14" ht="14.5" x14ac:dyDescent="0.35">
      <c r="A2078" s="260" t="s">
        <v>565</v>
      </c>
      <c r="B2078" s="190">
        <v>45983</v>
      </c>
      <c r="C2078" s="260" t="s">
        <v>752</v>
      </c>
      <c r="D2078" s="197">
        <v>100</v>
      </c>
      <c r="E2078" s="197">
        <v>20020</v>
      </c>
      <c r="F2078" s="197">
        <v>173.41</v>
      </c>
      <c r="G2078" s="190">
        <v>45982</v>
      </c>
      <c r="H2078" s="196">
        <v>1</v>
      </c>
      <c r="I2078" s="197">
        <v>17341</v>
      </c>
      <c r="J2078" s="197">
        <v>17341</v>
      </c>
      <c r="K2078" s="197">
        <v>0</v>
      </c>
      <c r="L2078" s="197">
        <v>-2679</v>
      </c>
      <c r="M2078" s="260" t="s">
        <v>239</v>
      </c>
      <c r="N2078" s="260" t="s">
        <v>514</v>
      </c>
    </row>
    <row r="2079" spans="1:14" ht="14.5" x14ac:dyDescent="0.35">
      <c r="A2079" s="260" t="s">
        <v>565</v>
      </c>
      <c r="B2079" s="190">
        <v>45983</v>
      </c>
      <c r="C2079" s="260" t="s">
        <v>754</v>
      </c>
      <c r="D2079" s="197">
        <v>50</v>
      </c>
      <c r="E2079" s="197">
        <v>4104</v>
      </c>
      <c r="F2079" s="197">
        <v>77.87</v>
      </c>
      <c r="G2079" s="190">
        <v>45982</v>
      </c>
      <c r="H2079" s="196">
        <v>1</v>
      </c>
      <c r="I2079" s="197">
        <v>3893.5</v>
      </c>
      <c r="J2079" s="197">
        <v>3893.5</v>
      </c>
      <c r="K2079" s="197">
        <v>60</v>
      </c>
      <c r="L2079" s="197">
        <v>-210.5</v>
      </c>
      <c r="M2079" s="260" t="s">
        <v>239</v>
      </c>
      <c r="N2079" s="260" t="s">
        <v>514</v>
      </c>
    </row>
    <row r="2080" spans="1:14" ht="14.5" x14ac:dyDescent="0.35">
      <c r="A2080" s="260" t="s">
        <v>565</v>
      </c>
      <c r="B2080" s="190">
        <v>45984</v>
      </c>
      <c r="C2080" s="260" t="s">
        <v>749</v>
      </c>
      <c r="D2080" s="197">
        <v>100</v>
      </c>
      <c r="E2080" s="197">
        <v>5005</v>
      </c>
      <c r="F2080" s="197">
        <v>48.93</v>
      </c>
      <c r="G2080" s="190">
        <v>45982</v>
      </c>
      <c r="H2080" s="196">
        <v>2</v>
      </c>
      <c r="I2080" s="197">
        <v>4893</v>
      </c>
      <c r="J2080" s="197">
        <v>4893</v>
      </c>
      <c r="K2080" s="197">
        <v>0</v>
      </c>
      <c r="L2080" s="197">
        <v>-112</v>
      </c>
      <c r="M2080" s="260" t="s">
        <v>239</v>
      </c>
      <c r="N2080" s="260" t="s">
        <v>514</v>
      </c>
    </row>
    <row r="2081" spans="1:14" ht="14.5" x14ac:dyDescent="0.35">
      <c r="A2081" s="260" t="s">
        <v>565</v>
      </c>
      <c r="B2081" s="190">
        <v>45984</v>
      </c>
      <c r="C2081" s="260" t="s">
        <v>752</v>
      </c>
      <c r="D2081" s="197">
        <v>100</v>
      </c>
      <c r="E2081" s="197">
        <v>20020</v>
      </c>
      <c r="F2081" s="197">
        <v>173.41</v>
      </c>
      <c r="G2081" s="190">
        <v>45982</v>
      </c>
      <c r="H2081" s="196">
        <v>2</v>
      </c>
      <c r="I2081" s="197">
        <v>17341</v>
      </c>
      <c r="J2081" s="197">
        <v>17341</v>
      </c>
      <c r="K2081" s="197">
        <v>0</v>
      </c>
      <c r="L2081" s="197">
        <v>-2679</v>
      </c>
      <c r="M2081" s="260" t="s">
        <v>239</v>
      </c>
      <c r="N2081" s="260" t="s">
        <v>514</v>
      </c>
    </row>
    <row r="2082" spans="1:14" ht="14.5" x14ac:dyDescent="0.35">
      <c r="A2082" s="260" t="s">
        <v>565</v>
      </c>
      <c r="B2082" s="190">
        <v>45984</v>
      </c>
      <c r="C2082" s="260" t="s">
        <v>754</v>
      </c>
      <c r="D2082" s="197">
        <v>50</v>
      </c>
      <c r="E2082" s="197">
        <v>4104</v>
      </c>
      <c r="F2082" s="197">
        <v>77.87</v>
      </c>
      <c r="G2082" s="190">
        <v>45982</v>
      </c>
      <c r="H2082" s="196">
        <v>2</v>
      </c>
      <c r="I2082" s="197">
        <v>3893.5</v>
      </c>
      <c r="J2082" s="197">
        <v>3893.5</v>
      </c>
      <c r="K2082" s="197">
        <v>60</v>
      </c>
      <c r="L2082" s="197">
        <v>-210.5</v>
      </c>
      <c r="M2082" s="260" t="s">
        <v>239</v>
      </c>
      <c r="N2082" s="260" t="s">
        <v>514</v>
      </c>
    </row>
    <row r="2083" spans="1:14" ht="14.5" x14ac:dyDescent="0.35">
      <c r="A2083" s="260" t="s">
        <v>565</v>
      </c>
      <c r="B2083" s="190">
        <v>45985</v>
      </c>
      <c r="C2083" s="260" t="s">
        <v>749</v>
      </c>
      <c r="D2083" s="197">
        <v>100</v>
      </c>
      <c r="E2083" s="197">
        <v>5005</v>
      </c>
      <c r="F2083" s="197">
        <v>48.62</v>
      </c>
      <c r="G2083" s="190">
        <v>45985</v>
      </c>
      <c r="H2083" s="196">
        <v>0</v>
      </c>
      <c r="I2083" s="197">
        <v>4862</v>
      </c>
      <c r="J2083" s="197">
        <v>4862</v>
      </c>
      <c r="K2083" s="197">
        <v>0</v>
      </c>
      <c r="L2083" s="197">
        <v>-143</v>
      </c>
      <c r="M2083" s="260" t="s">
        <v>239</v>
      </c>
      <c r="N2083" s="260" t="s">
        <v>514</v>
      </c>
    </row>
    <row r="2084" spans="1:14" ht="14.5" x14ac:dyDescent="0.35">
      <c r="A2084" s="260" t="s">
        <v>565</v>
      </c>
      <c r="B2084" s="190">
        <v>45985</v>
      </c>
      <c r="C2084" s="260" t="s">
        <v>752</v>
      </c>
      <c r="D2084" s="197">
        <v>100</v>
      </c>
      <c r="E2084" s="197">
        <v>20020</v>
      </c>
      <c r="F2084" s="197">
        <v>172.28</v>
      </c>
      <c r="G2084" s="190">
        <v>45985</v>
      </c>
      <c r="H2084" s="196">
        <v>0</v>
      </c>
      <c r="I2084" s="197">
        <v>17228</v>
      </c>
      <c r="J2084" s="197">
        <v>17228</v>
      </c>
      <c r="K2084" s="197">
        <v>0</v>
      </c>
      <c r="L2084" s="197">
        <v>-2792</v>
      </c>
      <c r="M2084" s="260" t="s">
        <v>239</v>
      </c>
      <c r="N2084" s="260" t="s">
        <v>514</v>
      </c>
    </row>
    <row r="2085" spans="1:14" ht="14.5" x14ac:dyDescent="0.35">
      <c r="A2085" s="260" t="s">
        <v>565</v>
      </c>
      <c r="B2085" s="190">
        <v>45985</v>
      </c>
      <c r="C2085" s="260" t="s">
        <v>754</v>
      </c>
      <c r="D2085" s="197">
        <v>50</v>
      </c>
      <c r="E2085" s="197">
        <v>4104</v>
      </c>
      <c r="F2085" s="197">
        <v>78.180000000000007</v>
      </c>
      <c r="G2085" s="190">
        <v>45985</v>
      </c>
      <c r="H2085" s="196">
        <v>0</v>
      </c>
      <c r="I2085" s="197">
        <v>3909.0000000000005</v>
      </c>
      <c r="J2085" s="197">
        <v>3909.0000000000005</v>
      </c>
      <c r="K2085" s="197">
        <v>60</v>
      </c>
      <c r="L2085" s="197">
        <v>-194.99999999999955</v>
      </c>
      <c r="M2085" s="260" t="s">
        <v>239</v>
      </c>
      <c r="N2085" s="260" t="s">
        <v>514</v>
      </c>
    </row>
    <row r="2086" spans="1:14" ht="14.5" x14ac:dyDescent="0.35">
      <c r="A2086" s="260" t="s">
        <v>565</v>
      </c>
      <c r="B2086" s="190">
        <v>45986</v>
      </c>
      <c r="C2086" s="260" t="s">
        <v>749</v>
      </c>
      <c r="D2086" s="197">
        <v>100</v>
      </c>
      <c r="E2086" s="197">
        <v>5005</v>
      </c>
      <c r="F2086" s="197">
        <v>48.52</v>
      </c>
      <c r="G2086" s="190">
        <v>45986</v>
      </c>
      <c r="H2086" s="196">
        <v>0</v>
      </c>
      <c r="I2086" s="197">
        <v>4852</v>
      </c>
      <c r="J2086" s="197">
        <v>4852</v>
      </c>
      <c r="K2086" s="197">
        <v>0</v>
      </c>
      <c r="L2086" s="197">
        <v>-153</v>
      </c>
      <c r="M2086" s="260" t="s">
        <v>239</v>
      </c>
      <c r="N2086" s="260" t="s">
        <v>514</v>
      </c>
    </row>
    <row r="2087" spans="1:14" ht="14.5" x14ac:dyDescent="0.35">
      <c r="A2087" s="260" t="s">
        <v>565</v>
      </c>
      <c r="B2087" s="190">
        <v>45986</v>
      </c>
      <c r="C2087" s="260" t="s">
        <v>752</v>
      </c>
      <c r="D2087" s="197">
        <v>100</v>
      </c>
      <c r="E2087" s="197">
        <v>20020</v>
      </c>
      <c r="F2087" s="197">
        <v>171.9</v>
      </c>
      <c r="G2087" s="190">
        <v>45986</v>
      </c>
      <c r="H2087" s="196">
        <v>0</v>
      </c>
      <c r="I2087" s="197">
        <v>17190</v>
      </c>
      <c r="J2087" s="197">
        <v>17190</v>
      </c>
      <c r="K2087" s="197">
        <v>0</v>
      </c>
      <c r="L2087" s="197">
        <v>-2830</v>
      </c>
      <c r="M2087" s="260" t="s">
        <v>239</v>
      </c>
      <c r="N2087" s="260" t="s">
        <v>514</v>
      </c>
    </row>
    <row r="2088" spans="1:14" ht="14.5" x14ac:dyDescent="0.35">
      <c r="A2088" s="260" t="s">
        <v>565</v>
      </c>
      <c r="B2088" s="190">
        <v>45986</v>
      </c>
      <c r="C2088" s="260" t="s">
        <v>754</v>
      </c>
      <c r="D2088" s="197">
        <v>50</v>
      </c>
      <c r="E2088" s="197">
        <v>4104</v>
      </c>
      <c r="F2088" s="197">
        <v>78.28</v>
      </c>
      <c r="G2088" s="190">
        <v>45986</v>
      </c>
      <c r="H2088" s="196">
        <v>0</v>
      </c>
      <c r="I2088" s="197">
        <v>3914</v>
      </c>
      <c r="J2088" s="197">
        <v>3914</v>
      </c>
      <c r="K2088" s="197">
        <v>60</v>
      </c>
      <c r="L2088" s="197">
        <v>-190</v>
      </c>
      <c r="M2088" s="260" t="s">
        <v>239</v>
      </c>
      <c r="N2088" s="260" t="s">
        <v>514</v>
      </c>
    </row>
    <row r="2089" spans="1:14" ht="14.5" x14ac:dyDescent="0.35">
      <c r="A2089" s="260" t="s">
        <v>565</v>
      </c>
      <c r="B2089" s="190">
        <v>45987</v>
      </c>
      <c r="C2089" s="260" t="s">
        <v>749</v>
      </c>
      <c r="D2089" s="197">
        <v>100</v>
      </c>
      <c r="E2089" s="197">
        <v>5005</v>
      </c>
      <c r="F2089" s="197">
        <v>48.41</v>
      </c>
      <c r="G2089" s="190">
        <v>45987</v>
      </c>
      <c r="H2089" s="196">
        <v>0</v>
      </c>
      <c r="I2089" s="197">
        <v>4841</v>
      </c>
      <c r="J2089" s="197">
        <v>4841</v>
      </c>
      <c r="K2089" s="197">
        <v>0</v>
      </c>
      <c r="L2089" s="197">
        <v>-164</v>
      </c>
      <c r="M2089" s="260" t="s">
        <v>239</v>
      </c>
      <c r="N2089" s="260" t="s">
        <v>514</v>
      </c>
    </row>
    <row r="2090" spans="1:14" ht="14.5" x14ac:dyDescent="0.35">
      <c r="A2090" s="260" t="s">
        <v>565</v>
      </c>
      <c r="B2090" s="190">
        <v>45987</v>
      </c>
      <c r="C2090" s="260" t="s">
        <v>752</v>
      </c>
      <c r="D2090" s="197">
        <v>100</v>
      </c>
      <c r="E2090" s="197">
        <v>20020</v>
      </c>
      <c r="F2090" s="197">
        <v>171.52</v>
      </c>
      <c r="G2090" s="190">
        <v>45987</v>
      </c>
      <c r="H2090" s="196">
        <v>0</v>
      </c>
      <c r="I2090" s="197">
        <v>17152</v>
      </c>
      <c r="J2090" s="197">
        <v>17152</v>
      </c>
      <c r="K2090" s="197">
        <v>0</v>
      </c>
      <c r="L2090" s="197">
        <v>-2868</v>
      </c>
      <c r="M2090" s="260" t="s">
        <v>239</v>
      </c>
      <c r="N2090" s="260" t="s">
        <v>514</v>
      </c>
    </row>
    <row r="2091" spans="1:14" ht="14.5" x14ac:dyDescent="0.35">
      <c r="A2091" s="260" t="s">
        <v>565</v>
      </c>
      <c r="B2091" s="190">
        <v>45987</v>
      </c>
      <c r="C2091" s="260" t="s">
        <v>754</v>
      </c>
      <c r="D2091" s="197">
        <v>50</v>
      </c>
      <c r="E2091" s="197">
        <v>4104</v>
      </c>
      <c r="F2091" s="197">
        <v>78.39</v>
      </c>
      <c r="G2091" s="190">
        <v>45987</v>
      </c>
      <c r="H2091" s="196">
        <v>0</v>
      </c>
      <c r="I2091" s="197">
        <v>3919.5</v>
      </c>
      <c r="J2091" s="197">
        <v>3919.5</v>
      </c>
      <c r="K2091" s="197">
        <v>60</v>
      </c>
      <c r="L2091" s="197">
        <v>-184.5</v>
      </c>
      <c r="M2091" s="260" t="s">
        <v>239</v>
      </c>
      <c r="N2091" s="260" t="s">
        <v>514</v>
      </c>
    </row>
    <row r="2092" spans="1:14" ht="14.5" x14ac:dyDescent="0.35">
      <c r="A2092" s="260" t="s">
        <v>565</v>
      </c>
      <c r="B2092" s="190">
        <v>45988</v>
      </c>
      <c r="C2092" s="260" t="s">
        <v>749</v>
      </c>
      <c r="D2092" s="197">
        <v>100</v>
      </c>
      <c r="E2092" s="197">
        <v>5005</v>
      </c>
      <c r="F2092" s="197">
        <v>48.31</v>
      </c>
      <c r="G2092" s="190">
        <v>45988</v>
      </c>
      <c r="H2092" s="196">
        <v>0</v>
      </c>
      <c r="I2092" s="197">
        <v>4831</v>
      </c>
      <c r="J2092" s="197">
        <v>4831</v>
      </c>
      <c r="K2092" s="197">
        <v>0</v>
      </c>
      <c r="L2092" s="197">
        <v>-174</v>
      </c>
      <c r="M2092" s="260" t="s">
        <v>239</v>
      </c>
      <c r="N2092" s="260" t="s">
        <v>514</v>
      </c>
    </row>
    <row r="2093" spans="1:14" ht="14.5" x14ac:dyDescent="0.35">
      <c r="A2093" s="260" t="s">
        <v>565</v>
      </c>
      <c r="B2093" s="190">
        <v>45988</v>
      </c>
      <c r="C2093" s="260" t="s">
        <v>752</v>
      </c>
      <c r="D2093" s="197">
        <v>100</v>
      </c>
      <c r="E2093" s="197">
        <v>20020</v>
      </c>
      <c r="F2093" s="197">
        <v>171.14</v>
      </c>
      <c r="G2093" s="190">
        <v>45988</v>
      </c>
      <c r="H2093" s="196">
        <v>0</v>
      </c>
      <c r="I2093" s="197">
        <v>17114</v>
      </c>
      <c r="J2093" s="197">
        <v>17114</v>
      </c>
      <c r="K2093" s="197">
        <v>0</v>
      </c>
      <c r="L2093" s="197">
        <v>-2906</v>
      </c>
      <c r="M2093" s="260" t="s">
        <v>239</v>
      </c>
      <c r="N2093" s="260" t="s">
        <v>514</v>
      </c>
    </row>
    <row r="2094" spans="1:14" ht="14.5" x14ac:dyDescent="0.35">
      <c r="A2094" s="260" t="s">
        <v>565</v>
      </c>
      <c r="B2094" s="190">
        <v>45988</v>
      </c>
      <c r="C2094" s="260" t="s">
        <v>754</v>
      </c>
      <c r="D2094" s="197">
        <v>50</v>
      </c>
      <c r="E2094" s="197">
        <v>4104</v>
      </c>
      <c r="F2094" s="197">
        <v>78.489999999999995</v>
      </c>
      <c r="G2094" s="190">
        <v>45988</v>
      </c>
      <c r="H2094" s="196">
        <v>0</v>
      </c>
      <c r="I2094" s="197">
        <v>3924.4999999999995</v>
      </c>
      <c r="J2094" s="197">
        <v>3924.4999999999995</v>
      </c>
      <c r="K2094" s="197">
        <v>60</v>
      </c>
      <c r="L2094" s="197">
        <v>-179.50000000000045</v>
      </c>
      <c r="M2094" s="260" t="s">
        <v>239</v>
      </c>
      <c r="N2094" s="260" t="s">
        <v>514</v>
      </c>
    </row>
    <row r="2095" spans="1:14" ht="14.5" x14ac:dyDescent="0.35">
      <c r="A2095" s="260" t="s">
        <v>565</v>
      </c>
      <c r="B2095" s="190">
        <v>45989</v>
      </c>
      <c r="C2095" s="260" t="s">
        <v>749</v>
      </c>
      <c r="D2095" s="197">
        <v>100</v>
      </c>
      <c r="E2095" s="197">
        <v>5005</v>
      </c>
      <c r="F2095" s="197">
        <v>48.21</v>
      </c>
      <c r="G2095" s="190">
        <v>45989</v>
      </c>
      <c r="H2095" s="196">
        <v>0</v>
      </c>
      <c r="I2095" s="197">
        <v>4821</v>
      </c>
      <c r="J2095" s="197">
        <v>4821</v>
      </c>
      <c r="K2095" s="197">
        <v>0</v>
      </c>
      <c r="L2095" s="197">
        <v>-184</v>
      </c>
      <c r="M2095" s="260" t="s">
        <v>239</v>
      </c>
      <c r="N2095" s="260" t="s">
        <v>514</v>
      </c>
    </row>
    <row r="2096" spans="1:14" ht="14.5" x14ac:dyDescent="0.35">
      <c r="A2096" s="260" t="s">
        <v>565</v>
      </c>
      <c r="B2096" s="190">
        <v>45989</v>
      </c>
      <c r="C2096" s="260" t="s">
        <v>752</v>
      </c>
      <c r="D2096" s="197">
        <v>100</v>
      </c>
      <c r="E2096" s="197">
        <v>20020</v>
      </c>
      <c r="F2096" s="197">
        <v>170.76</v>
      </c>
      <c r="G2096" s="190">
        <v>45989</v>
      </c>
      <c r="H2096" s="196">
        <v>0</v>
      </c>
      <c r="I2096" s="197">
        <v>17076</v>
      </c>
      <c r="J2096" s="197">
        <v>17076</v>
      </c>
      <c r="K2096" s="197">
        <v>0</v>
      </c>
      <c r="L2096" s="197">
        <v>-2944</v>
      </c>
      <c r="M2096" s="260" t="s">
        <v>239</v>
      </c>
      <c r="N2096" s="260" t="s">
        <v>514</v>
      </c>
    </row>
    <row r="2097" spans="1:14" ht="14.5" x14ac:dyDescent="0.35">
      <c r="A2097" s="260" t="s">
        <v>565</v>
      </c>
      <c r="B2097" s="190">
        <v>45989</v>
      </c>
      <c r="C2097" s="260" t="s">
        <v>754</v>
      </c>
      <c r="D2097" s="197">
        <v>50</v>
      </c>
      <c r="E2097" s="197">
        <v>4104</v>
      </c>
      <c r="F2097" s="197">
        <v>78.59</v>
      </c>
      <c r="G2097" s="190">
        <v>45989</v>
      </c>
      <c r="H2097" s="196">
        <v>0</v>
      </c>
      <c r="I2097" s="197">
        <v>3929.5</v>
      </c>
      <c r="J2097" s="197">
        <v>3929.5</v>
      </c>
      <c r="K2097" s="197">
        <v>60</v>
      </c>
      <c r="L2097" s="197">
        <v>-174.5</v>
      </c>
      <c r="M2097" s="260" t="s">
        <v>239</v>
      </c>
      <c r="N2097" s="260" t="s">
        <v>514</v>
      </c>
    </row>
    <row r="2098" spans="1:14" ht="14.5" x14ac:dyDescent="0.35">
      <c r="A2098" s="260" t="s">
        <v>565</v>
      </c>
      <c r="B2098" s="190">
        <v>45990</v>
      </c>
      <c r="C2098" s="260" t="s">
        <v>749</v>
      </c>
      <c r="D2098" s="197">
        <v>100</v>
      </c>
      <c r="E2098" s="197">
        <v>5005</v>
      </c>
      <c r="F2098" s="197">
        <v>48.21</v>
      </c>
      <c r="G2098" s="190">
        <v>45989</v>
      </c>
      <c r="H2098" s="196">
        <v>1</v>
      </c>
      <c r="I2098" s="197">
        <v>4821</v>
      </c>
      <c r="J2098" s="197">
        <v>4821</v>
      </c>
      <c r="K2098" s="197">
        <v>0</v>
      </c>
      <c r="L2098" s="197">
        <v>-184</v>
      </c>
      <c r="M2098" s="260" t="s">
        <v>239</v>
      </c>
      <c r="N2098" s="260" t="s">
        <v>514</v>
      </c>
    </row>
    <row r="2099" spans="1:14" ht="14.5" x14ac:dyDescent="0.35">
      <c r="A2099" s="260" t="s">
        <v>565</v>
      </c>
      <c r="B2099" s="190">
        <v>45990</v>
      </c>
      <c r="C2099" s="260" t="s">
        <v>752</v>
      </c>
      <c r="D2099" s="197">
        <v>100</v>
      </c>
      <c r="E2099" s="197">
        <v>20020</v>
      </c>
      <c r="F2099" s="197">
        <v>170.76</v>
      </c>
      <c r="G2099" s="190">
        <v>45989</v>
      </c>
      <c r="H2099" s="196">
        <v>1</v>
      </c>
      <c r="I2099" s="197">
        <v>17076</v>
      </c>
      <c r="J2099" s="197">
        <v>17076</v>
      </c>
      <c r="K2099" s="197">
        <v>0</v>
      </c>
      <c r="L2099" s="197">
        <v>-2944</v>
      </c>
      <c r="M2099" s="260" t="s">
        <v>239</v>
      </c>
      <c r="N2099" s="260" t="s">
        <v>514</v>
      </c>
    </row>
    <row r="2100" spans="1:14" ht="14.5" x14ac:dyDescent="0.35">
      <c r="A2100" s="260" t="s">
        <v>565</v>
      </c>
      <c r="B2100" s="190">
        <v>45990</v>
      </c>
      <c r="C2100" s="260" t="s">
        <v>754</v>
      </c>
      <c r="D2100" s="197">
        <v>50</v>
      </c>
      <c r="E2100" s="197">
        <v>4104</v>
      </c>
      <c r="F2100" s="197">
        <v>78.59</v>
      </c>
      <c r="G2100" s="190">
        <v>45989</v>
      </c>
      <c r="H2100" s="196">
        <v>1</v>
      </c>
      <c r="I2100" s="197">
        <v>3929.5</v>
      </c>
      <c r="J2100" s="197">
        <v>3929.5</v>
      </c>
      <c r="K2100" s="197">
        <v>60</v>
      </c>
      <c r="L2100" s="197">
        <v>-174.5</v>
      </c>
      <c r="M2100" s="260" t="s">
        <v>239</v>
      </c>
      <c r="N2100" s="260" t="s">
        <v>514</v>
      </c>
    </row>
    <row r="2101" spans="1:14" ht="14.5" x14ac:dyDescent="0.35">
      <c r="A2101" s="260" t="s">
        <v>565</v>
      </c>
      <c r="B2101" s="190">
        <v>45991</v>
      </c>
      <c r="C2101" s="260" t="s">
        <v>749</v>
      </c>
      <c r="D2101" s="197">
        <v>100</v>
      </c>
      <c r="E2101" s="197">
        <v>5005</v>
      </c>
      <c r="F2101" s="197">
        <v>48.21</v>
      </c>
      <c r="G2101" s="190">
        <v>45989</v>
      </c>
      <c r="H2101" s="196">
        <v>2</v>
      </c>
      <c r="I2101" s="197">
        <v>4821</v>
      </c>
      <c r="J2101" s="197">
        <v>4821</v>
      </c>
      <c r="K2101" s="197">
        <v>0</v>
      </c>
      <c r="L2101" s="197">
        <v>-184</v>
      </c>
      <c r="M2101" s="260" t="s">
        <v>239</v>
      </c>
      <c r="N2101" s="260" t="s">
        <v>514</v>
      </c>
    </row>
    <row r="2102" spans="1:14" ht="14.5" x14ac:dyDescent="0.35">
      <c r="A2102" s="260" t="s">
        <v>565</v>
      </c>
      <c r="B2102" s="190">
        <v>45991</v>
      </c>
      <c r="C2102" s="260" t="s">
        <v>752</v>
      </c>
      <c r="D2102" s="197">
        <v>100</v>
      </c>
      <c r="E2102" s="197">
        <v>20020</v>
      </c>
      <c r="F2102" s="197">
        <v>170.76</v>
      </c>
      <c r="G2102" s="190">
        <v>45989</v>
      </c>
      <c r="H2102" s="196">
        <v>2</v>
      </c>
      <c r="I2102" s="197">
        <v>17076</v>
      </c>
      <c r="J2102" s="197">
        <v>17076</v>
      </c>
      <c r="K2102" s="197">
        <v>0</v>
      </c>
      <c r="L2102" s="197">
        <v>-2944</v>
      </c>
      <c r="M2102" s="260" t="s">
        <v>239</v>
      </c>
      <c r="N2102" s="260" t="s">
        <v>514</v>
      </c>
    </row>
    <row r="2103" spans="1:14" ht="14.5" x14ac:dyDescent="0.35">
      <c r="A2103" s="260" t="s">
        <v>565</v>
      </c>
      <c r="B2103" s="190">
        <v>45991</v>
      </c>
      <c r="C2103" s="260" t="s">
        <v>754</v>
      </c>
      <c r="D2103" s="197">
        <v>50</v>
      </c>
      <c r="E2103" s="197">
        <v>4104</v>
      </c>
      <c r="F2103" s="197">
        <v>78.59</v>
      </c>
      <c r="G2103" s="190">
        <v>45989</v>
      </c>
      <c r="H2103" s="196">
        <v>2</v>
      </c>
      <c r="I2103" s="197">
        <v>3929.5</v>
      </c>
      <c r="J2103" s="197">
        <v>3929.5</v>
      </c>
      <c r="K2103" s="197">
        <v>60</v>
      </c>
      <c r="L2103" s="197">
        <v>-174.5</v>
      </c>
      <c r="M2103" s="260" t="s">
        <v>239</v>
      </c>
      <c r="N2103" s="260" t="s">
        <v>514</v>
      </c>
    </row>
    <row r="2104" spans="1:14" ht="14.5" x14ac:dyDescent="0.35">
      <c r="A2104" s="260" t="s">
        <v>565</v>
      </c>
      <c r="B2104" s="190">
        <v>45992</v>
      </c>
      <c r="C2104" s="260" t="s">
        <v>749</v>
      </c>
      <c r="D2104" s="197">
        <v>100</v>
      </c>
      <c r="E2104" s="197">
        <v>5005</v>
      </c>
      <c r="F2104" s="197">
        <v>48</v>
      </c>
      <c r="G2104" s="190">
        <v>45992</v>
      </c>
      <c r="H2104" s="196">
        <v>0</v>
      </c>
      <c r="I2104" s="197">
        <v>4800</v>
      </c>
      <c r="J2104" s="197">
        <v>4800</v>
      </c>
      <c r="K2104" s="197">
        <v>0</v>
      </c>
      <c r="L2104" s="197">
        <v>-205</v>
      </c>
      <c r="M2104" s="260" t="s">
        <v>239</v>
      </c>
      <c r="N2104" s="260" t="s">
        <v>514</v>
      </c>
    </row>
    <row r="2105" spans="1:14" ht="14.5" x14ac:dyDescent="0.35">
      <c r="A2105" s="260" t="s">
        <v>565</v>
      </c>
      <c r="B2105" s="190">
        <v>45992</v>
      </c>
      <c r="C2105" s="260" t="s">
        <v>752</v>
      </c>
      <c r="D2105" s="197">
        <v>100</v>
      </c>
      <c r="E2105" s="197">
        <v>20020</v>
      </c>
      <c r="F2105" s="197">
        <v>170</v>
      </c>
      <c r="G2105" s="190">
        <v>45992</v>
      </c>
      <c r="H2105" s="196">
        <v>0</v>
      </c>
      <c r="I2105" s="197">
        <v>17000</v>
      </c>
      <c r="J2105" s="197">
        <v>17000</v>
      </c>
      <c r="K2105" s="197">
        <v>0</v>
      </c>
      <c r="L2105" s="197">
        <v>-3020</v>
      </c>
      <c r="M2105" s="260" t="s">
        <v>239</v>
      </c>
      <c r="N2105" s="260" t="s">
        <v>514</v>
      </c>
    </row>
    <row r="2106" spans="1:14" ht="14.5" x14ac:dyDescent="0.35">
      <c r="A2106" s="260" t="s">
        <v>565</v>
      </c>
      <c r="B2106" s="190">
        <v>45992</v>
      </c>
      <c r="C2106" s="260" t="s">
        <v>754</v>
      </c>
      <c r="D2106" s="197">
        <v>50</v>
      </c>
      <c r="E2106" s="197">
        <v>4104</v>
      </c>
      <c r="F2106" s="197">
        <v>78.8</v>
      </c>
      <c r="G2106" s="190">
        <v>45992</v>
      </c>
      <c r="H2106" s="196">
        <v>0</v>
      </c>
      <c r="I2106" s="197">
        <v>3940</v>
      </c>
      <c r="J2106" s="197">
        <v>3940</v>
      </c>
      <c r="K2106" s="197">
        <v>60</v>
      </c>
      <c r="L2106" s="197">
        <v>-164</v>
      </c>
      <c r="M2106" s="260" t="s">
        <v>239</v>
      </c>
      <c r="N2106" s="260" t="s">
        <v>514</v>
      </c>
    </row>
    <row r="2107" spans="1:14" ht="14.5" x14ac:dyDescent="0.35">
      <c r="A2107" s="260" t="s">
        <v>565</v>
      </c>
      <c r="B2107" s="190">
        <v>45993</v>
      </c>
      <c r="C2107" s="260" t="s">
        <v>749</v>
      </c>
      <c r="D2107" s="197">
        <v>100</v>
      </c>
      <c r="E2107" s="197">
        <v>5005</v>
      </c>
      <c r="F2107" s="197">
        <v>47.98</v>
      </c>
      <c r="G2107" s="190">
        <v>45993</v>
      </c>
      <c r="H2107" s="196">
        <v>0</v>
      </c>
      <c r="I2107" s="197">
        <v>4798</v>
      </c>
      <c r="J2107" s="197">
        <v>4798</v>
      </c>
      <c r="K2107" s="197">
        <v>0</v>
      </c>
      <c r="L2107" s="197">
        <v>-207</v>
      </c>
      <c r="M2107" s="260" t="s">
        <v>239</v>
      </c>
      <c r="N2107" s="260" t="s">
        <v>514</v>
      </c>
    </row>
    <row r="2108" spans="1:14" ht="14.5" x14ac:dyDescent="0.35">
      <c r="A2108" s="260" t="s">
        <v>565</v>
      </c>
      <c r="B2108" s="190">
        <v>45993</v>
      </c>
      <c r="C2108" s="260" t="s">
        <v>752</v>
      </c>
      <c r="D2108" s="197">
        <v>100</v>
      </c>
      <c r="E2108" s="197">
        <v>20020</v>
      </c>
      <c r="F2108" s="197">
        <v>169.97</v>
      </c>
      <c r="G2108" s="190">
        <v>45993</v>
      </c>
      <c r="H2108" s="196">
        <v>0</v>
      </c>
      <c r="I2108" s="197">
        <v>16997</v>
      </c>
      <c r="J2108" s="197">
        <v>16997</v>
      </c>
      <c r="K2108" s="197">
        <v>0</v>
      </c>
      <c r="L2108" s="197">
        <v>-3023</v>
      </c>
      <c r="M2108" s="260" t="s">
        <v>239</v>
      </c>
      <c r="N2108" s="260" t="s">
        <v>514</v>
      </c>
    </row>
    <row r="2109" spans="1:14" ht="14.5" x14ac:dyDescent="0.35">
      <c r="A2109" s="260" t="s">
        <v>565</v>
      </c>
      <c r="B2109" s="190">
        <v>45993</v>
      </c>
      <c r="C2109" s="260" t="s">
        <v>754</v>
      </c>
      <c r="D2109" s="197">
        <v>50</v>
      </c>
      <c r="E2109" s="197">
        <v>4104</v>
      </c>
      <c r="F2109" s="197">
        <v>78.77</v>
      </c>
      <c r="G2109" s="190">
        <v>45993</v>
      </c>
      <c r="H2109" s="196">
        <v>0</v>
      </c>
      <c r="I2109" s="197">
        <v>3938.5</v>
      </c>
      <c r="J2109" s="197">
        <v>3938.5</v>
      </c>
      <c r="K2109" s="197">
        <v>60</v>
      </c>
      <c r="L2109" s="197">
        <v>-165.5</v>
      </c>
      <c r="M2109" s="260" t="s">
        <v>239</v>
      </c>
      <c r="N2109" s="260" t="s">
        <v>514</v>
      </c>
    </row>
    <row r="2110" spans="1:14" ht="14.5" x14ac:dyDescent="0.35">
      <c r="A2110" s="260" t="s">
        <v>565</v>
      </c>
      <c r="B2110" s="190">
        <v>45994</v>
      </c>
      <c r="C2110" s="260" t="s">
        <v>749</v>
      </c>
      <c r="D2110" s="197">
        <v>100</v>
      </c>
      <c r="E2110" s="197">
        <v>5005</v>
      </c>
      <c r="F2110" s="197">
        <v>47.97</v>
      </c>
      <c r="G2110" s="190">
        <v>45994</v>
      </c>
      <c r="H2110" s="196">
        <v>0</v>
      </c>
      <c r="I2110" s="197">
        <v>4797</v>
      </c>
      <c r="J2110" s="197">
        <v>4797</v>
      </c>
      <c r="K2110" s="197">
        <v>0</v>
      </c>
      <c r="L2110" s="197">
        <v>-208</v>
      </c>
      <c r="M2110" s="260" t="s">
        <v>239</v>
      </c>
      <c r="N2110" s="260" t="s">
        <v>514</v>
      </c>
    </row>
    <row r="2111" spans="1:14" ht="14.5" x14ac:dyDescent="0.35">
      <c r="A2111" s="260" t="s">
        <v>565</v>
      </c>
      <c r="B2111" s="190">
        <v>45994</v>
      </c>
      <c r="C2111" s="260" t="s">
        <v>752</v>
      </c>
      <c r="D2111" s="197">
        <v>100</v>
      </c>
      <c r="E2111" s="197">
        <v>20020</v>
      </c>
      <c r="F2111" s="197">
        <v>169.93</v>
      </c>
      <c r="G2111" s="190">
        <v>45994</v>
      </c>
      <c r="H2111" s="196">
        <v>0</v>
      </c>
      <c r="I2111" s="197">
        <v>16993</v>
      </c>
      <c r="J2111" s="197">
        <v>16993</v>
      </c>
      <c r="K2111" s="197">
        <v>0</v>
      </c>
      <c r="L2111" s="197">
        <v>-3027</v>
      </c>
      <c r="M2111" s="260" t="s">
        <v>239</v>
      </c>
      <c r="N2111" s="260" t="s">
        <v>514</v>
      </c>
    </row>
    <row r="2112" spans="1:14" ht="14.5" x14ac:dyDescent="0.35">
      <c r="A2112" s="260" t="s">
        <v>565</v>
      </c>
      <c r="B2112" s="190">
        <v>45994</v>
      </c>
      <c r="C2112" s="260" t="s">
        <v>754</v>
      </c>
      <c r="D2112" s="197">
        <v>50</v>
      </c>
      <c r="E2112" s="197">
        <v>4104</v>
      </c>
      <c r="F2112" s="197">
        <v>78.73</v>
      </c>
      <c r="G2112" s="190">
        <v>45994</v>
      </c>
      <c r="H2112" s="196">
        <v>0</v>
      </c>
      <c r="I2112" s="197">
        <v>3936.5</v>
      </c>
      <c r="J2112" s="197">
        <v>3936.5</v>
      </c>
      <c r="K2112" s="197">
        <v>60</v>
      </c>
      <c r="L2112" s="197">
        <v>-167.5</v>
      </c>
      <c r="M2112" s="260" t="s">
        <v>239</v>
      </c>
      <c r="N2112" s="260" t="s">
        <v>514</v>
      </c>
    </row>
    <row r="2113" spans="1:14" ht="14.5" x14ac:dyDescent="0.35">
      <c r="A2113" s="260" t="s">
        <v>565</v>
      </c>
      <c r="B2113" s="190">
        <v>45995</v>
      </c>
      <c r="C2113" s="260" t="s">
        <v>749</v>
      </c>
      <c r="D2113" s="197">
        <v>100</v>
      </c>
      <c r="E2113" s="197">
        <v>5005</v>
      </c>
      <c r="F2113" s="197">
        <v>47.95</v>
      </c>
      <c r="G2113" s="190">
        <v>45995</v>
      </c>
      <c r="H2113" s="196">
        <v>0</v>
      </c>
      <c r="I2113" s="197">
        <v>4795</v>
      </c>
      <c r="J2113" s="197">
        <v>4795</v>
      </c>
      <c r="K2113" s="197">
        <v>0</v>
      </c>
      <c r="L2113" s="197">
        <v>-210</v>
      </c>
      <c r="M2113" s="260" t="s">
        <v>239</v>
      </c>
      <c r="N2113" s="260" t="s">
        <v>514</v>
      </c>
    </row>
    <row r="2114" spans="1:14" ht="14.5" x14ac:dyDescent="0.35">
      <c r="A2114" s="260" t="s">
        <v>565</v>
      </c>
      <c r="B2114" s="190">
        <v>45995</v>
      </c>
      <c r="C2114" s="260" t="s">
        <v>752</v>
      </c>
      <c r="D2114" s="197">
        <v>100</v>
      </c>
      <c r="E2114" s="197">
        <v>20020</v>
      </c>
      <c r="F2114" s="197">
        <v>169.9</v>
      </c>
      <c r="G2114" s="190">
        <v>45995</v>
      </c>
      <c r="H2114" s="196">
        <v>0</v>
      </c>
      <c r="I2114" s="197">
        <v>16990</v>
      </c>
      <c r="J2114" s="197">
        <v>16990</v>
      </c>
      <c r="K2114" s="197">
        <v>0</v>
      </c>
      <c r="L2114" s="197">
        <v>-3030</v>
      </c>
      <c r="M2114" s="260" t="s">
        <v>239</v>
      </c>
      <c r="N2114" s="260" t="s">
        <v>514</v>
      </c>
    </row>
    <row r="2115" spans="1:14" ht="14.5" x14ac:dyDescent="0.35">
      <c r="A2115" s="260" t="s">
        <v>565</v>
      </c>
      <c r="B2115" s="190">
        <v>45995</v>
      </c>
      <c r="C2115" s="260" t="s">
        <v>754</v>
      </c>
      <c r="D2115" s="197">
        <v>50</v>
      </c>
      <c r="E2115" s="197">
        <v>4104</v>
      </c>
      <c r="F2115" s="197">
        <v>78.7</v>
      </c>
      <c r="G2115" s="190">
        <v>45995</v>
      </c>
      <c r="H2115" s="196">
        <v>0</v>
      </c>
      <c r="I2115" s="197">
        <v>3935</v>
      </c>
      <c r="J2115" s="197">
        <v>3935</v>
      </c>
      <c r="K2115" s="197">
        <v>60</v>
      </c>
      <c r="L2115" s="197">
        <v>-169</v>
      </c>
      <c r="M2115" s="260" t="s">
        <v>239</v>
      </c>
      <c r="N2115" s="260" t="s">
        <v>514</v>
      </c>
    </row>
    <row r="2116" spans="1:14" ht="14.5" x14ac:dyDescent="0.35">
      <c r="A2116" s="260" t="s">
        <v>565</v>
      </c>
      <c r="B2116" s="190">
        <v>45996</v>
      </c>
      <c r="C2116" s="260" t="s">
        <v>749</v>
      </c>
      <c r="D2116" s="197">
        <v>100</v>
      </c>
      <c r="E2116" s="197">
        <v>5005</v>
      </c>
      <c r="F2116" s="197">
        <v>47.93</v>
      </c>
      <c r="G2116" s="190">
        <v>45996</v>
      </c>
      <c r="H2116" s="196">
        <v>0</v>
      </c>
      <c r="I2116" s="197">
        <v>4793</v>
      </c>
      <c r="J2116" s="197">
        <v>4793</v>
      </c>
      <c r="K2116" s="197">
        <v>0</v>
      </c>
      <c r="L2116" s="197">
        <v>-212</v>
      </c>
      <c r="M2116" s="260" t="s">
        <v>239</v>
      </c>
      <c r="N2116" s="260" t="s">
        <v>514</v>
      </c>
    </row>
    <row r="2117" spans="1:14" ht="14.5" x14ac:dyDescent="0.35">
      <c r="A2117" s="260" t="s">
        <v>565</v>
      </c>
      <c r="B2117" s="190">
        <v>45996</v>
      </c>
      <c r="C2117" s="260" t="s">
        <v>752</v>
      </c>
      <c r="D2117" s="197">
        <v>100</v>
      </c>
      <c r="E2117" s="197">
        <v>20020</v>
      </c>
      <c r="F2117" s="197">
        <v>169.87</v>
      </c>
      <c r="G2117" s="190">
        <v>45996</v>
      </c>
      <c r="H2117" s="196">
        <v>0</v>
      </c>
      <c r="I2117" s="197">
        <v>16987</v>
      </c>
      <c r="J2117" s="197">
        <v>16987</v>
      </c>
      <c r="K2117" s="197">
        <v>0</v>
      </c>
      <c r="L2117" s="197">
        <v>-3033</v>
      </c>
      <c r="M2117" s="260" t="s">
        <v>239</v>
      </c>
      <c r="N2117" s="260" t="s">
        <v>514</v>
      </c>
    </row>
    <row r="2118" spans="1:14" ht="14.5" x14ac:dyDescent="0.35">
      <c r="A2118" s="260" t="s">
        <v>565</v>
      </c>
      <c r="B2118" s="190">
        <v>45996</v>
      </c>
      <c r="C2118" s="260" t="s">
        <v>754</v>
      </c>
      <c r="D2118" s="197">
        <v>50</v>
      </c>
      <c r="E2118" s="197">
        <v>4104</v>
      </c>
      <c r="F2118" s="197">
        <v>78.67</v>
      </c>
      <c r="G2118" s="190">
        <v>45996</v>
      </c>
      <c r="H2118" s="196">
        <v>0</v>
      </c>
      <c r="I2118" s="197">
        <v>3933.5</v>
      </c>
      <c r="J2118" s="197">
        <v>3933.5</v>
      </c>
      <c r="K2118" s="197">
        <v>60</v>
      </c>
      <c r="L2118" s="197">
        <v>-170.5</v>
      </c>
      <c r="M2118" s="260" t="s">
        <v>239</v>
      </c>
      <c r="N2118" s="260" t="s">
        <v>514</v>
      </c>
    </row>
    <row r="2119" spans="1:14" ht="14.5" x14ac:dyDescent="0.35">
      <c r="A2119" s="260" t="s">
        <v>565</v>
      </c>
      <c r="B2119" s="190">
        <v>45997</v>
      </c>
      <c r="C2119" s="260" t="s">
        <v>749</v>
      </c>
      <c r="D2119" s="197">
        <v>100</v>
      </c>
      <c r="E2119" s="197">
        <v>5005</v>
      </c>
      <c r="F2119" s="197">
        <v>47.93</v>
      </c>
      <c r="G2119" s="190">
        <v>45996</v>
      </c>
      <c r="H2119" s="196">
        <v>1</v>
      </c>
      <c r="I2119" s="197">
        <v>4793</v>
      </c>
      <c r="J2119" s="197">
        <v>4793</v>
      </c>
      <c r="K2119" s="197">
        <v>0</v>
      </c>
      <c r="L2119" s="197">
        <v>-212</v>
      </c>
      <c r="M2119" s="260" t="s">
        <v>239</v>
      </c>
      <c r="N2119" s="260" t="s">
        <v>514</v>
      </c>
    </row>
    <row r="2120" spans="1:14" ht="14.5" x14ac:dyDescent="0.35">
      <c r="A2120" s="260" t="s">
        <v>565</v>
      </c>
      <c r="B2120" s="190">
        <v>45997</v>
      </c>
      <c r="C2120" s="260" t="s">
        <v>752</v>
      </c>
      <c r="D2120" s="197">
        <v>100</v>
      </c>
      <c r="E2120" s="197">
        <v>20020</v>
      </c>
      <c r="F2120" s="197">
        <v>169.87</v>
      </c>
      <c r="G2120" s="190">
        <v>45996</v>
      </c>
      <c r="H2120" s="196">
        <v>1</v>
      </c>
      <c r="I2120" s="197">
        <v>16987</v>
      </c>
      <c r="J2120" s="197">
        <v>16987</v>
      </c>
      <c r="K2120" s="197">
        <v>0</v>
      </c>
      <c r="L2120" s="197">
        <v>-3033</v>
      </c>
      <c r="M2120" s="260" t="s">
        <v>239</v>
      </c>
      <c r="N2120" s="260" t="s">
        <v>514</v>
      </c>
    </row>
    <row r="2121" spans="1:14" ht="14.5" x14ac:dyDescent="0.35">
      <c r="A2121" s="260" t="s">
        <v>565</v>
      </c>
      <c r="B2121" s="190">
        <v>45997</v>
      </c>
      <c r="C2121" s="260" t="s">
        <v>754</v>
      </c>
      <c r="D2121" s="197">
        <v>50</v>
      </c>
      <c r="E2121" s="197">
        <v>4104</v>
      </c>
      <c r="F2121" s="197">
        <v>78.67</v>
      </c>
      <c r="G2121" s="190">
        <v>45996</v>
      </c>
      <c r="H2121" s="196">
        <v>1</v>
      </c>
      <c r="I2121" s="197">
        <v>3933.5</v>
      </c>
      <c r="J2121" s="197">
        <v>3933.5</v>
      </c>
      <c r="K2121" s="197">
        <v>60</v>
      </c>
      <c r="L2121" s="197">
        <v>-170.5</v>
      </c>
      <c r="M2121" s="260" t="s">
        <v>239</v>
      </c>
      <c r="N2121" s="260" t="s">
        <v>514</v>
      </c>
    </row>
    <row r="2122" spans="1:14" ht="14.5" x14ac:dyDescent="0.35">
      <c r="A2122" s="260" t="s">
        <v>565</v>
      </c>
      <c r="B2122" s="190">
        <v>45998</v>
      </c>
      <c r="C2122" s="260" t="s">
        <v>749</v>
      </c>
      <c r="D2122" s="197">
        <v>100</v>
      </c>
      <c r="E2122" s="197">
        <v>5005</v>
      </c>
      <c r="F2122" s="197">
        <v>47.93</v>
      </c>
      <c r="G2122" s="190">
        <v>45996</v>
      </c>
      <c r="H2122" s="196">
        <v>2</v>
      </c>
      <c r="I2122" s="197">
        <v>4793</v>
      </c>
      <c r="J2122" s="197">
        <v>4793</v>
      </c>
      <c r="K2122" s="197">
        <v>0</v>
      </c>
      <c r="L2122" s="197">
        <v>-212</v>
      </c>
      <c r="M2122" s="260" t="s">
        <v>239</v>
      </c>
      <c r="N2122" s="260" t="s">
        <v>514</v>
      </c>
    </row>
    <row r="2123" spans="1:14" ht="14.5" x14ac:dyDescent="0.35">
      <c r="A2123" s="260" t="s">
        <v>565</v>
      </c>
      <c r="B2123" s="190">
        <v>45998</v>
      </c>
      <c r="C2123" s="260" t="s">
        <v>752</v>
      </c>
      <c r="D2123" s="197">
        <v>100</v>
      </c>
      <c r="E2123" s="197">
        <v>20020</v>
      </c>
      <c r="F2123" s="197">
        <v>169.87</v>
      </c>
      <c r="G2123" s="190">
        <v>45996</v>
      </c>
      <c r="H2123" s="196">
        <v>2</v>
      </c>
      <c r="I2123" s="197">
        <v>16987</v>
      </c>
      <c r="J2123" s="197">
        <v>16987</v>
      </c>
      <c r="K2123" s="197">
        <v>0</v>
      </c>
      <c r="L2123" s="197">
        <v>-3033</v>
      </c>
      <c r="M2123" s="260" t="s">
        <v>239</v>
      </c>
      <c r="N2123" s="260" t="s">
        <v>514</v>
      </c>
    </row>
    <row r="2124" spans="1:14" ht="14.5" x14ac:dyDescent="0.35">
      <c r="A2124" s="260" t="s">
        <v>565</v>
      </c>
      <c r="B2124" s="190">
        <v>45998</v>
      </c>
      <c r="C2124" s="260" t="s">
        <v>754</v>
      </c>
      <c r="D2124" s="197">
        <v>50</v>
      </c>
      <c r="E2124" s="197">
        <v>4104</v>
      </c>
      <c r="F2124" s="197">
        <v>78.67</v>
      </c>
      <c r="G2124" s="190">
        <v>45996</v>
      </c>
      <c r="H2124" s="196">
        <v>2</v>
      </c>
      <c r="I2124" s="197">
        <v>3933.5</v>
      </c>
      <c r="J2124" s="197">
        <v>3933.5</v>
      </c>
      <c r="K2124" s="197">
        <v>60</v>
      </c>
      <c r="L2124" s="197">
        <v>-170.5</v>
      </c>
      <c r="M2124" s="260" t="s">
        <v>239</v>
      </c>
      <c r="N2124" s="260" t="s">
        <v>514</v>
      </c>
    </row>
    <row r="2125" spans="1:14" ht="14.5" x14ac:dyDescent="0.35">
      <c r="A2125" s="260" t="s">
        <v>565</v>
      </c>
      <c r="B2125" s="190">
        <v>45999</v>
      </c>
      <c r="C2125" s="260" t="s">
        <v>749</v>
      </c>
      <c r="D2125" s="197">
        <v>100</v>
      </c>
      <c r="E2125" s="197">
        <v>5005</v>
      </c>
      <c r="F2125" s="197">
        <v>47.88</v>
      </c>
      <c r="G2125" s="190">
        <v>45999</v>
      </c>
      <c r="H2125" s="196">
        <v>0</v>
      </c>
      <c r="I2125" s="197">
        <v>4788</v>
      </c>
      <c r="J2125" s="197">
        <v>4788</v>
      </c>
      <c r="K2125" s="197">
        <v>0</v>
      </c>
      <c r="L2125" s="197">
        <v>-217</v>
      </c>
      <c r="M2125" s="260" t="s">
        <v>239</v>
      </c>
      <c r="N2125" s="260" t="s">
        <v>514</v>
      </c>
    </row>
    <row r="2126" spans="1:14" ht="14.5" x14ac:dyDescent="0.35">
      <c r="A2126" s="260" t="s">
        <v>565</v>
      </c>
      <c r="B2126" s="190">
        <v>45999</v>
      </c>
      <c r="C2126" s="260" t="s">
        <v>752</v>
      </c>
      <c r="D2126" s="197">
        <v>100</v>
      </c>
      <c r="E2126" s="197">
        <v>20020</v>
      </c>
      <c r="F2126" s="197">
        <v>169.77</v>
      </c>
      <c r="G2126" s="190">
        <v>45999</v>
      </c>
      <c r="H2126" s="196">
        <v>0</v>
      </c>
      <c r="I2126" s="197">
        <v>16977</v>
      </c>
      <c r="J2126" s="197">
        <v>16977</v>
      </c>
      <c r="K2126" s="197">
        <v>0</v>
      </c>
      <c r="L2126" s="197">
        <v>-3043</v>
      </c>
      <c r="M2126" s="260" t="s">
        <v>239</v>
      </c>
      <c r="N2126" s="260" t="s">
        <v>514</v>
      </c>
    </row>
    <row r="2127" spans="1:14" ht="14.5" x14ac:dyDescent="0.35">
      <c r="A2127" s="260" t="s">
        <v>565</v>
      </c>
      <c r="B2127" s="190">
        <v>45999</v>
      </c>
      <c r="C2127" s="260" t="s">
        <v>754</v>
      </c>
      <c r="D2127" s="197">
        <v>50</v>
      </c>
      <c r="E2127" s="197">
        <v>4104</v>
      </c>
      <c r="F2127" s="197">
        <v>78.569999999999993</v>
      </c>
      <c r="G2127" s="190">
        <v>45999</v>
      </c>
      <c r="H2127" s="196">
        <v>0</v>
      </c>
      <c r="I2127" s="197">
        <v>3928.4999999999995</v>
      </c>
      <c r="J2127" s="197">
        <v>3928.4999999999995</v>
      </c>
      <c r="K2127" s="197">
        <v>60</v>
      </c>
      <c r="L2127" s="197">
        <v>-175.50000000000045</v>
      </c>
      <c r="M2127" s="260" t="s">
        <v>239</v>
      </c>
      <c r="N2127" s="260" t="s">
        <v>514</v>
      </c>
    </row>
    <row r="2128" spans="1:14" ht="14.5" x14ac:dyDescent="0.35">
      <c r="A2128" s="260" t="s">
        <v>565</v>
      </c>
      <c r="B2128" s="190">
        <v>46000</v>
      </c>
      <c r="C2128" s="260" t="s">
        <v>749</v>
      </c>
      <c r="D2128" s="197">
        <v>100</v>
      </c>
      <c r="E2128" s="197">
        <v>5005</v>
      </c>
      <c r="F2128" s="197">
        <v>47.87</v>
      </c>
      <c r="G2128" s="190">
        <v>46000</v>
      </c>
      <c r="H2128" s="196">
        <v>0</v>
      </c>
      <c r="I2128" s="197">
        <v>4787</v>
      </c>
      <c r="J2128" s="197">
        <v>4787</v>
      </c>
      <c r="K2128" s="197">
        <v>0</v>
      </c>
      <c r="L2128" s="197">
        <v>-218</v>
      </c>
      <c r="M2128" s="260" t="s">
        <v>239</v>
      </c>
      <c r="N2128" s="260" t="s">
        <v>514</v>
      </c>
    </row>
    <row r="2129" spans="1:14" ht="14.5" x14ac:dyDescent="0.35">
      <c r="A2129" s="260" t="s">
        <v>565</v>
      </c>
      <c r="B2129" s="190">
        <v>46000</v>
      </c>
      <c r="C2129" s="260" t="s">
        <v>752</v>
      </c>
      <c r="D2129" s="197">
        <v>100</v>
      </c>
      <c r="E2129" s="197">
        <v>20020</v>
      </c>
      <c r="F2129" s="197">
        <v>169.73</v>
      </c>
      <c r="G2129" s="190">
        <v>46000</v>
      </c>
      <c r="H2129" s="196">
        <v>0</v>
      </c>
      <c r="I2129" s="197">
        <v>16973</v>
      </c>
      <c r="J2129" s="197">
        <v>16973</v>
      </c>
      <c r="K2129" s="197">
        <v>0</v>
      </c>
      <c r="L2129" s="197">
        <v>-3047</v>
      </c>
      <c r="M2129" s="260" t="s">
        <v>239</v>
      </c>
      <c r="N2129" s="260" t="s">
        <v>514</v>
      </c>
    </row>
    <row r="2130" spans="1:14" ht="14.5" x14ac:dyDescent="0.35">
      <c r="A2130" s="260" t="s">
        <v>565</v>
      </c>
      <c r="B2130" s="190">
        <v>46000</v>
      </c>
      <c r="C2130" s="260" t="s">
        <v>754</v>
      </c>
      <c r="D2130" s="197">
        <v>50</v>
      </c>
      <c r="E2130" s="197">
        <v>4104</v>
      </c>
      <c r="F2130" s="197">
        <v>78.53</v>
      </c>
      <c r="G2130" s="190">
        <v>46000</v>
      </c>
      <c r="H2130" s="196">
        <v>0</v>
      </c>
      <c r="I2130" s="197">
        <v>3926.5</v>
      </c>
      <c r="J2130" s="197">
        <v>3926.5</v>
      </c>
      <c r="K2130" s="197">
        <v>60</v>
      </c>
      <c r="L2130" s="197">
        <v>-177.5</v>
      </c>
      <c r="M2130" s="260" t="s">
        <v>239</v>
      </c>
      <c r="N2130" s="260" t="s">
        <v>514</v>
      </c>
    </row>
    <row r="2131" spans="1:14" ht="14.5" x14ac:dyDescent="0.35">
      <c r="A2131" s="260" t="s">
        <v>565</v>
      </c>
      <c r="B2131" s="190">
        <v>46001</v>
      </c>
      <c r="C2131" s="260" t="s">
        <v>749</v>
      </c>
      <c r="D2131" s="197">
        <v>100</v>
      </c>
      <c r="E2131" s="197">
        <v>5005</v>
      </c>
      <c r="F2131" s="197">
        <v>47.85</v>
      </c>
      <c r="G2131" s="190">
        <v>46001</v>
      </c>
      <c r="H2131" s="196">
        <v>0</v>
      </c>
      <c r="I2131" s="197">
        <v>4785</v>
      </c>
      <c r="J2131" s="197">
        <v>4785</v>
      </c>
      <c r="K2131" s="197">
        <v>0</v>
      </c>
      <c r="L2131" s="197">
        <v>-220</v>
      </c>
      <c r="M2131" s="260" t="s">
        <v>239</v>
      </c>
      <c r="N2131" s="260" t="s">
        <v>514</v>
      </c>
    </row>
    <row r="2132" spans="1:14" ht="14.5" x14ac:dyDescent="0.35">
      <c r="A2132" s="260" t="s">
        <v>565</v>
      </c>
      <c r="B2132" s="190">
        <v>46001</v>
      </c>
      <c r="C2132" s="260" t="s">
        <v>752</v>
      </c>
      <c r="D2132" s="197">
        <v>100</v>
      </c>
      <c r="E2132" s="197">
        <v>20020</v>
      </c>
      <c r="F2132" s="197">
        <v>169.7</v>
      </c>
      <c r="G2132" s="190">
        <v>46001</v>
      </c>
      <c r="H2132" s="196">
        <v>0</v>
      </c>
      <c r="I2132" s="197">
        <v>16970</v>
      </c>
      <c r="J2132" s="197">
        <v>16970</v>
      </c>
      <c r="K2132" s="197">
        <v>0</v>
      </c>
      <c r="L2132" s="197">
        <v>-3050</v>
      </c>
      <c r="M2132" s="260" t="s">
        <v>239</v>
      </c>
      <c r="N2132" s="260" t="s">
        <v>514</v>
      </c>
    </row>
    <row r="2133" spans="1:14" ht="14.5" x14ac:dyDescent="0.35">
      <c r="A2133" s="260" t="s">
        <v>565</v>
      </c>
      <c r="B2133" s="190">
        <v>46001</v>
      </c>
      <c r="C2133" s="260" t="s">
        <v>754</v>
      </c>
      <c r="D2133" s="197">
        <v>50</v>
      </c>
      <c r="E2133" s="197">
        <v>4104</v>
      </c>
      <c r="F2133" s="197">
        <v>78.5</v>
      </c>
      <c r="G2133" s="190">
        <v>46001</v>
      </c>
      <c r="H2133" s="196">
        <v>0</v>
      </c>
      <c r="I2133" s="197">
        <v>3925</v>
      </c>
      <c r="J2133" s="197">
        <v>3925</v>
      </c>
      <c r="K2133" s="197">
        <v>60</v>
      </c>
      <c r="L2133" s="197">
        <v>-179</v>
      </c>
      <c r="M2133" s="260" t="s">
        <v>239</v>
      </c>
      <c r="N2133" s="260" t="s">
        <v>514</v>
      </c>
    </row>
    <row r="2134" spans="1:14" ht="14.5" x14ac:dyDescent="0.35">
      <c r="A2134" s="260" t="s">
        <v>565</v>
      </c>
      <c r="B2134" s="190">
        <v>46002</v>
      </c>
      <c r="C2134" s="260" t="s">
        <v>749</v>
      </c>
      <c r="D2134" s="197">
        <v>100</v>
      </c>
      <c r="E2134" s="197">
        <v>5005</v>
      </c>
      <c r="F2134" s="197">
        <v>47.83</v>
      </c>
      <c r="G2134" s="190">
        <v>46002</v>
      </c>
      <c r="H2134" s="196">
        <v>0</v>
      </c>
      <c r="I2134" s="197">
        <v>4783</v>
      </c>
      <c r="J2134" s="197">
        <v>4783</v>
      </c>
      <c r="K2134" s="197">
        <v>0</v>
      </c>
      <c r="L2134" s="197">
        <v>-222</v>
      </c>
      <c r="M2134" s="260" t="s">
        <v>239</v>
      </c>
      <c r="N2134" s="260" t="s">
        <v>514</v>
      </c>
    </row>
    <row r="2135" spans="1:14" ht="14.5" x14ac:dyDescent="0.35">
      <c r="A2135" s="260" t="s">
        <v>565</v>
      </c>
      <c r="B2135" s="190">
        <v>46002</v>
      </c>
      <c r="C2135" s="260" t="s">
        <v>752</v>
      </c>
      <c r="D2135" s="197">
        <v>100</v>
      </c>
      <c r="E2135" s="197">
        <v>20020</v>
      </c>
      <c r="F2135" s="197">
        <v>169.67</v>
      </c>
      <c r="G2135" s="190">
        <v>46002</v>
      </c>
      <c r="H2135" s="196">
        <v>0</v>
      </c>
      <c r="I2135" s="197">
        <v>16967</v>
      </c>
      <c r="J2135" s="197">
        <v>16967</v>
      </c>
      <c r="K2135" s="197">
        <v>0</v>
      </c>
      <c r="L2135" s="197">
        <v>-3053</v>
      </c>
      <c r="M2135" s="260" t="s">
        <v>239</v>
      </c>
      <c r="N2135" s="260" t="s">
        <v>514</v>
      </c>
    </row>
    <row r="2136" spans="1:14" ht="14.5" x14ac:dyDescent="0.35">
      <c r="A2136" s="260" t="s">
        <v>565</v>
      </c>
      <c r="B2136" s="190">
        <v>46002</v>
      </c>
      <c r="C2136" s="260" t="s">
        <v>754</v>
      </c>
      <c r="D2136" s="197">
        <v>50</v>
      </c>
      <c r="E2136" s="197">
        <v>4104</v>
      </c>
      <c r="F2136" s="197">
        <v>78.47</v>
      </c>
      <c r="G2136" s="190">
        <v>46002</v>
      </c>
      <c r="H2136" s="196">
        <v>0</v>
      </c>
      <c r="I2136" s="197">
        <v>3923.5</v>
      </c>
      <c r="J2136" s="197">
        <v>3923.5</v>
      </c>
      <c r="K2136" s="197">
        <v>60</v>
      </c>
      <c r="L2136" s="197">
        <v>-180.5</v>
      </c>
      <c r="M2136" s="260" t="s">
        <v>239</v>
      </c>
      <c r="N2136" s="260" t="s">
        <v>514</v>
      </c>
    </row>
    <row r="2137" spans="1:14" ht="14.5" x14ac:dyDescent="0.35">
      <c r="A2137" s="260" t="s">
        <v>565</v>
      </c>
      <c r="B2137" s="190">
        <v>46003</v>
      </c>
      <c r="C2137" s="260" t="s">
        <v>749</v>
      </c>
      <c r="D2137" s="197">
        <v>100</v>
      </c>
      <c r="E2137" s="197">
        <v>5005</v>
      </c>
      <c r="F2137" s="197">
        <v>47.82</v>
      </c>
      <c r="G2137" s="190">
        <v>46003</v>
      </c>
      <c r="H2137" s="196">
        <v>0</v>
      </c>
      <c r="I2137" s="197">
        <v>4782</v>
      </c>
      <c r="J2137" s="197">
        <v>4782</v>
      </c>
      <c r="K2137" s="197">
        <v>0</v>
      </c>
      <c r="L2137" s="197">
        <v>-223</v>
      </c>
      <c r="M2137" s="260" t="s">
        <v>239</v>
      </c>
      <c r="N2137" s="260" t="s">
        <v>514</v>
      </c>
    </row>
    <row r="2138" spans="1:14" ht="14.5" x14ac:dyDescent="0.35">
      <c r="A2138" s="260" t="s">
        <v>565</v>
      </c>
      <c r="B2138" s="190">
        <v>46003</v>
      </c>
      <c r="C2138" s="260" t="s">
        <v>752</v>
      </c>
      <c r="D2138" s="197">
        <v>100</v>
      </c>
      <c r="E2138" s="197">
        <v>20020</v>
      </c>
      <c r="F2138" s="197">
        <v>169.63</v>
      </c>
      <c r="G2138" s="190">
        <v>46003</v>
      </c>
      <c r="H2138" s="196">
        <v>0</v>
      </c>
      <c r="I2138" s="197">
        <v>16963</v>
      </c>
      <c r="J2138" s="197">
        <v>16963</v>
      </c>
      <c r="K2138" s="197">
        <v>0</v>
      </c>
      <c r="L2138" s="197">
        <v>-3057</v>
      </c>
      <c r="M2138" s="260" t="s">
        <v>239</v>
      </c>
      <c r="N2138" s="260" t="s">
        <v>514</v>
      </c>
    </row>
    <row r="2139" spans="1:14" ht="14.5" x14ac:dyDescent="0.35">
      <c r="A2139" s="260" t="s">
        <v>565</v>
      </c>
      <c r="B2139" s="190">
        <v>46003</v>
      </c>
      <c r="C2139" s="260" t="s">
        <v>754</v>
      </c>
      <c r="D2139" s="197">
        <v>50</v>
      </c>
      <c r="E2139" s="197">
        <v>4104</v>
      </c>
      <c r="F2139" s="197">
        <v>78.430000000000007</v>
      </c>
      <c r="G2139" s="190">
        <v>46003</v>
      </c>
      <c r="H2139" s="196">
        <v>0</v>
      </c>
      <c r="I2139" s="197">
        <v>3921.5000000000005</v>
      </c>
      <c r="J2139" s="197">
        <v>3921.5000000000005</v>
      </c>
      <c r="K2139" s="197">
        <v>60</v>
      </c>
      <c r="L2139" s="197">
        <v>-182.49999999999955</v>
      </c>
      <c r="M2139" s="260" t="s">
        <v>239</v>
      </c>
      <c r="N2139" s="260" t="s">
        <v>514</v>
      </c>
    </row>
    <row r="2140" spans="1:14" ht="14.5" x14ac:dyDescent="0.35">
      <c r="A2140" s="260" t="s">
        <v>565</v>
      </c>
      <c r="B2140" s="190">
        <v>46004</v>
      </c>
      <c r="C2140" s="260" t="s">
        <v>749</v>
      </c>
      <c r="D2140" s="197">
        <v>100</v>
      </c>
      <c r="E2140" s="197">
        <v>5005</v>
      </c>
      <c r="F2140" s="197">
        <v>47.82</v>
      </c>
      <c r="G2140" s="190">
        <v>46003</v>
      </c>
      <c r="H2140" s="196">
        <v>1</v>
      </c>
      <c r="I2140" s="197">
        <v>4782</v>
      </c>
      <c r="J2140" s="197">
        <v>4782</v>
      </c>
      <c r="K2140" s="197">
        <v>0</v>
      </c>
      <c r="L2140" s="197">
        <v>-223</v>
      </c>
      <c r="M2140" s="260" t="s">
        <v>239</v>
      </c>
      <c r="N2140" s="260" t="s">
        <v>514</v>
      </c>
    </row>
    <row r="2141" spans="1:14" ht="14.5" x14ac:dyDescent="0.35">
      <c r="A2141" s="260" t="s">
        <v>565</v>
      </c>
      <c r="B2141" s="190">
        <v>46004</v>
      </c>
      <c r="C2141" s="260" t="s">
        <v>752</v>
      </c>
      <c r="D2141" s="197">
        <v>100</v>
      </c>
      <c r="E2141" s="197">
        <v>20020</v>
      </c>
      <c r="F2141" s="197">
        <v>169.63</v>
      </c>
      <c r="G2141" s="190">
        <v>46003</v>
      </c>
      <c r="H2141" s="196">
        <v>1</v>
      </c>
      <c r="I2141" s="197">
        <v>16963</v>
      </c>
      <c r="J2141" s="197">
        <v>16963</v>
      </c>
      <c r="K2141" s="197">
        <v>0</v>
      </c>
      <c r="L2141" s="197">
        <v>-3057</v>
      </c>
      <c r="M2141" s="260" t="s">
        <v>239</v>
      </c>
      <c r="N2141" s="260" t="s">
        <v>514</v>
      </c>
    </row>
    <row r="2142" spans="1:14" ht="14.5" x14ac:dyDescent="0.35">
      <c r="A2142" s="260" t="s">
        <v>565</v>
      </c>
      <c r="B2142" s="190">
        <v>46004</v>
      </c>
      <c r="C2142" s="260" t="s">
        <v>754</v>
      </c>
      <c r="D2142" s="197">
        <v>50</v>
      </c>
      <c r="E2142" s="197">
        <v>4104</v>
      </c>
      <c r="F2142" s="197">
        <v>78.430000000000007</v>
      </c>
      <c r="G2142" s="190">
        <v>46003</v>
      </c>
      <c r="H2142" s="196">
        <v>1</v>
      </c>
      <c r="I2142" s="197">
        <v>3921.5000000000005</v>
      </c>
      <c r="J2142" s="197">
        <v>3921.5000000000005</v>
      </c>
      <c r="K2142" s="197">
        <v>60</v>
      </c>
      <c r="L2142" s="197">
        <v>-182.49999999999955</v>
      </c>
      <c r="M2142" s="260" t="s">
        <v>239</v>
      </c>
      <c r="N2142" s="260" t="s">
        <v>514</v>
      </c>
    </row>
    <row r="2143" spans="1:14" ht="14.5" x14ac:dyDescent="0.35">
      <c r="A2143" s="260" t="s">
        <v>565</v>
      </c>
      <c r="B2143" s="190">
        <v>46005</v>
      </c>
      <c r="C2143" s="260" t="s">
        <v>749</v>
      </c>
      <c r="D2143" s="197">
        <v>100</v>
      </c>
      <c r="E2143" s="197">
        <v>5005</v>
      </c>
      <c r="F2143" s="197">
        <v>47.82</v>
      </c>
      <c r="G2143" s="190">
        <v>46003</v>
      </c>
      <c r="H2143" s="196">
        <v>2</v>
      </c>
      <c r="I2143" s="197">
        <v>4782</v>
      </c>
      <c r="J2143" s="197">
        <v>4782</v>
      </c>
      <c r="K2143" s="197">
        <v>0</v>
      </c>
      <c r="L2143" s="197">
        <v>-223</v>
      </c>
      <c r="M2143" s="260" t="s">
        <v>239</v>
      </c>
      <c r="N2143" s="260" t="s">
        <v>514</v>
      </c>
    </row>
    <row r="2144" spans="1:14" ht="14.5" x14ac:dyDescent="0.35">
      <c r="A2144" s="260" t="s">
        <v>565</v>
      </c>
      <c r="B2144" s="190">
        <v>46005</v>
      </c>
      <c r="C2144" s="260" t="s">
        <v>752</v>
      </c>
      <c r="D2144" s="197">
        <v>100</v>
      </c>
      <c r="E2144" s="197">
        <v>20020</v>
      </c>
      <c r="F2144" s="197">
        <v>169.63</v>
      </c>
      <c r="G2144" s="190">
        <v>46003</v>
      </c>
      <c r="H2144" s="196">
        <v>2</v>
      </c>
      <c r="I2144" s="197">
        <v>16963</v>
      </c>
      <c r="J2144" s="197">
        <v>16963</v>
      </c>
      <c r="K2144" s="197">
        <v>0</v>
      </c>
      <c r="L2144" s="197">
        <v>-3057</v>
      </c>
      <c r="M2144" s="260" t="s">
        <v>239</v>
      </c>
      <c r="N2144" s="260" t="s">
        <v>514</v>
      </c>
    </row>
    <row r="2145" spans="1:14" ht="14.5" x14ac:dyDescent="0.35">
      <c r="A2145" s="260" t="s">
        <v>565</v>
      </c>
      <c r="B2145" s="190">
        <v>46005</v>
      </c>
      <c r="C2145" s="260" t="s">
        <v>754</v>
      </c>
      <c r="D2145" s="197">
        <v>50</v>
      </c>
      <c r="E2145" s="197">
        <v>4104</v>
      </c>
      <c r="F2145" s="197">
        <v>78.430000000000007</v>
      </c>
      <c r="G2145" s="190">
        <v>46003</v>
      </c>
      <c r="H2145" s="196">
        <v>2</v>
      </c>
      <c r="I2145" s="197">
        <v>3921.5000000000005</v>
      </c>
      <c r="J2145" s="197">
        <v>3921.5000000000005</v>
      </c>
      <c r="K2145" s="197">
        <v>60</v>
      </c>
      <c r="L2145" s="197">
        <v>-182.49999999999955</v>
      </c>
      <c r="M2145" s="260" t="s">
        <v>239</v>
      </c>
      <c r="N2145" s="260" t="s">
        <v>514</v>
      </c>
    </row>
    <row r="2146" spans="1:14" ht="14.5" x14ac:dyDescent="0.35">
      <c r="A2146" s="260" t="s">
        <v>565</v>
      </c>
      <c r="B2146" s="190">
        <v>46006</v>
      </c>
      <c r="C2146" s="260" t="s">
        <v>749</v>
      </c>
      <c r="D2146" s="197">
        <v>100</v>
      </c>
      <c r="E2146" s="197">
        <v>5005</v>
      </c>
      <c r="F2146" s="197">
        <v>47.77</v>
      </c>
      <c r="G2146" s="190">
        <v>46006</v>
      </c>
      <c r="H2146" s="196">
        <v>0</v>
      </c>
      <c r="I2146" s="197">
        <v>4777</v>
      </c>
      <c r="J2146" s="197">
        <v>4777</v>
      </c>
      <c r="K2146" s="197">
        <v>0</v>
      </c>
      <c r="L2146" s="197">
        <v>-228</v>
      </c>
      <c r="M2146" s="260" t="s">
        <v>239</v>
      </c>
      <c r="N2146" s="260" t="s">
        <v>514</v>
      </c>
    </row>
    <row r="2147" spans="1:14" ht="14.5" x14ac:dyDescent="0.35">
      <c r="A2147" s="260" t="s">
        <v>565</v>
      </c>
      <c r="B2147" s="190">
        <v>46006</v>
      </c>
      <c r="C2147" s="260" t="s">
        <v>752</v>
      </c>
      <c r="D2147" s="197">
        <v>100</v>
      </c>
      <c r="E2147" s="197">
        <v>20020</v>
      </c>
      <c r="F2147" s="197">
        <v>169.53</v>
      </c>
      <c r="G2147" s="190">
        <v>46006</v>
      </c>
      <c r="H2147" s="196">
        <v>0</v>
      </c>
      <c r="I2147" s="197">
        <v>16953</v>
      </c>
      <c r="J2147" s="197">
        <v>16953</v>
      </c>
      <c r="K2147" s="197">
        <v>0</v>
      </c>
      <c r="L2147" s="197">
        <v>-3067</v>
      </c>
      <c r="M2147" s="260" t="s">
        <v>239</v>
      </c>
      <c r="N2147" s="260" t="s">
        <v>514</v>
      </c>
    </row>
    <row r="2148" spans="1:14" ht="14.5" x14ac:dyDescent="0.35">
      <c r="A2148" s="260" t="s">
        <v>565</v>
      </c>
      <c r="B2148" s="190">
        <v>46006</v>
      </c>
      <c r="C2148" s="260" t="s">
        <v>754</v>
      </c>
      <c r="D2148" s="197">
        <v>50</v>
      </c>
      <c r="E2148" s="197">
        <v>4104</v>
      </c>
      <c r="F2148" s="197">
        <v>78.33</v>
      </c>
      <c r="G2148" s="190">
        <v>46006</v>
      </c>
      <c r="H2148" s="196">
        <v>0</v>
      </c>
      <c r="I2148" s="197">
        <v>3916.5</v>
      </c>
      <c r="J2148" s="197">
        <v>3916.5</v>
      </c>
      <c r="K2148" s="197">
        <v>0</v>
      </c>
      <c r="L2148" s="197">
        <v>-187.5</v>
      </c>
      <c r="M2148" s="260" t="s">
        <v>239</v>
      </c>
      <c r="N2148" s="260" t="s">
        <v>514</v>
      </c>
    </row>
    <row r="2149" spans="1:14" ht="14.5" x14ac:dyDescent="0.35">
      <c r="A2149" s="260" t="s">
        <v>565</v>
      </c>
      <c r="B2149" s="190">
        <v>46007</v>
      </c>
      <c r="C2149" s="260" t="s">
        <v>749</v>
      </c>
      <c r="D2149" s="197">
        <v>100</v>
      </c>
      <c r="E2149" s="197">
        <v>5005</v>
      </c>
      <c r="F2149" s="197">
        <v>47.75</v>
      </c>
      <c r="G2149" s="190">
        <v>46007</v>
      </c>
      <c r="H2149" s="196">
        <v>0</v>
      </c>
      <c r="I2149" s="197">
        <v>4775</v>
      </c>
      <c r="J2149" s="197">
        <v>4775</v>
      </c>
      <c r="K2149" s="197">
        <v>0</v>
      </c>
      <c r="L2149" s="197">
        <v>-230</v>
      </c>
      <c r="M2149" s="260" t="s">
        <v>239</v>
      </c>
      <c r="N2149" s="260" t="s">
        <v>514</v>
      </c>
    </row>
    <row r="2150" spans="1:14" ht="14.5" x14ac:dyDescent="0.35">
      <c r="A2150" s="260" t="s">
        <v>565</v>
      </c>
      <c r="B2150" s="190">
        <v>46007</v>
      </c>
      <c r="C2150" s="260" t="s">
        <v>752</v>
      </c>
      <c r="D2150" s="197">
        <v>100</v>
      </c>
      <c r="E2150" s="197">
        <v>20020</v>
      </c>
      <c r="F2150" s="197">
        <v>169.5</v>
      </c>
      <c r="G2150" s="190">
        <v>46007</v>
      </c>
      <c r="H2150" s="196">
        <v>0</v>
      </c>
      <c r="I2150" s="197">
        <v>16950</v>
      </c>
      <c r="J2150" s="197">
        <v>16950</v>
      </c>
      <c r="K2150" s="197">
        <v>0</v>
      </c>
      <c r="L2150" s="197">
        <v>-3070</v>
      </c>
      <c r="M2150" s="260" t="s">
        <v>239</v>
      </c>
      <c r="N2150" s="260" t="s">
        <v>514</v>
      </c>
    </row>
    <row r="2151" spans="1:14" ht="14.5" x14ac:dyDescent="0.35">
      <c r="A2151" s="260" t="s">
        <v>565</v>
      </c>
      <c r="B2151" s="190">
        <v>46007</v>
      </c>
      <c r="C2151" s="260" t="s">
        <v>754</v>
      </c>
      <c r="D2151" s="197">
        <v>50</v>
      </c>
      <c r="E2151" s="197">
        <v>4104</v>
      </c>
      <c r="F2151" s="197">
        <v>78.3</v>
      </c>
      <c r="G2151" s="190">
        <v>46007</v>
      </c>
      <c r="H2151" s="196">
        <v>0</v>
      </c>
      <c r="I2151" s="197">
        <v>3915</v>
      </c>
      <c r="J2151" s="197">
        <v>3915</v>
      </c>
      <c r="K2151" s="197">
        <v>0</v>
      </c>
      <c r="L2151" s="197">
        <v>-189</v>
      </c>
      <c r="M2151" s="260" t="s">
        <v>239</v>
      </c>
      <c r="N2151" s="260" t="s">
        <v>514</v>
      </c>
    </row>
    <row r="2152" spans="1:14" ht="14.5" x14ac:dyDescent="0.35">
      <c r="A2152" s="260" t="s">
        <v>565</v>
      </c>
      <c r="B2152" s="190">
        <v>46008</v>
      </c>
      <c r="C2152" s="260" t="s">
        <v>749</v>
      </c>
      <c r="D2152" s="197">
        <v>100</v>
      </c>
      <c r="E2152" s="197">
        <v>5005</v>
      </c>
      <c r="F2152" s="197">
        <v>47.73</v>
      </c>
      <c r="G2152" s="190">
        <v>46008</v>
      </c>
      <c r="H2152" s="196">
        <v>0</v>
      </c>
      <c r="I2152" s="197">
        <v>4773</v>
      </c>
      <c r="J2152" s="197">
        <v>4773</v>
      </c>
      <c r="K2152" s="197">
        <v>0</v>
      </c>
      <c r="L2152" s="197">
        <v>-232</v>
      </c>
      <c r="M2152" s="260" t="s">
        <v>239</v>
      </c>
      <c r="N2152" s="260" t="s">
        <v>514</v>
      </c>
    </row>
    <row r="2153" spans="1:14" ht="14.5" x14ac:dyDescent="0.35">
      <c r="A2153" s="260" t="s">
        <v>565</v>
      </c>
      <c r="B2153" s="190">
        <v>46008</v>
      </c>
      <c r="C2153" s="260" t="s">
        <v>752</v>
      </c>
      <c r="D2153" s="197">
        <v>100</v>
      </c>
      <c r="E2153" s="197">
        <v>20020</v>
      </c>
      <c r="F2153" s="197">
        <v>169.47</v>
      </c>
      <c r="G2153" s="190">
        <v>46008</v>
      </c>
      <c r="H2153" s="196">
        <v>0</v>
      </c>
      <c r="I2153" s="197">
        <v>16947</v>
      </c>
      <c r="J2153" s="197">
        <v>16947</v>
      </c>
      <c r="K2153" s="197">
        <v>0</v>
      </c>
      <c r="L2153" s="197">
        <v>-3073</v>
      </c>
      <c r="M2153" s="260" t="s">
        <v>239</v>
      </c>
      <c r="N2153" s="260" t="s">
        <v>514</v>
      </c>
    </row>
    <row r="2154" spans="1:14" ht="14.5" x14ac:dyDescent="0.35">
      <c r="A2154" s="260" t="s">
        <v>565</v>
      </c>
      <c r="B2154" s="190">
        <v>46008</v>
      </c>
      <c r="C2154" s="260" t="s">
        <v>754</v>
      </c>
      <c r="D2154" s="197">
        <v>50</v>
      </c>
      <c r="E2154" s="197">
        <v>4104</v>
      </c>
      <c r="F2154" s="197">
        <v>78.27</v>
      </c>
      <c r="G2154" s="190">
        <v>46008</v>
      </c>
      <c r="H2154" s="196">
        <v>0</v>
      </c>
      <c r="I2154" s="197">
        <v>3913.5</v>
      </c>
      <c r="J2154" s="197">
        <v>3913.5</v>
      </c>
      <c r="K2154" s="197">
        <v>0</v>
      </c>
      <c r="L2154" s="197">
        <v>-190.5</v>
      </c>
      <c r="M2154" s="260" t="s">
        <v>239</v>
      </c>
      <c r="N2154" s="260" t="s">
        <v>514</v>
      </c>
    </row>
    <row r="2155" spans="1:14" ht="14.5" x14ac:dyDescent="0.35">
      <c r="A2155" s="260" t="s">
        <v>565</v>
      </c>
      <c r="B2155" s="190">
        <v>46009</v>
      </c>
      <c r="C2155" s="260" t="s">
        <v>749</v>
      </c>
      <c r="D2155" s="197">
        <v>100</v>
      </c>
      <c r="E2155" s="197">
        <v>5005</v>
      </c>
      <c r="F2155" s="197">
        <v>47.72</v>
      </c>
      <c r="G2155" s="190">
        <v>46009</v>
      </c>
      <c r="H2155" s="196">
        <v>0</v>
      </c>
      <c r="I2155" s="197">
        <v>4772</v>
      </c>
      <c r="J2155" s="197">
        <v>4772</v>
      </c>
      <c r="K2155" s="197">
        <v>0</v>
      </c>
      <c r="L2155" s="197">
        <v>-233</v>
      </c>
      <c r="M2155" s="260" t="s">
        <v>239</v>
      </c>
      <c r="N2155" s="260" t="s">
        <v>514</v>
      </c>
    </row>
    <row r="2156" spans="1:14" ht="14.5" x14ac:dyDescent="0.35">
      <c r="A2156" s="260" t="s">
        <v>565</v>
      </c>
      <c r="B2156" s="190">
        <v>46009</v>
      </c>
      <c r="C2156" s="260" t="s">
        <v>752</v>
      </c>
      <c r="D2156" s="197">
        <v>100</v>
      </c>
      <c r="E2156" s="197">
        <v>20020</v>
      </c>
      <c r="F2156" s="197">
        <v>169.43</v>
      </c>
      <c r="G2156" s="190">
        <v>46009</v>
      </c>
      <c r="H2156" s="196">
        <v>0</v>
      </c>
      <c r="I2156" s="197">
        <v>16943</v>
      </c>
      <c r="J2156" s="197">
        <v>16943</v>
      </c>
      <c r="K2156" s="197">
        <v>0</v>
      </c>
      <c r="L2156" s="197">
        <v>-3077</v>
      </c>
      <c r="M2156" s="260" t="s">
        <v>239</v>
      </c>
      <c r="N2156" s="260" t="s">
        <v>514</v>
      </c>
    </row>
    <row r="2157" spans="1:14" ht="14.5" x14ac:dyDescent="0.35">
      <c r="A2157" s="260" t="s">
        <v>565</v>
      </c>
      <c r="B2157" s="190">
        <v>46009</v>
      </c>
      <c r="C2157" s="260" t="s">
        <v>754</v>
      </c>
      <c r="D2157" s="197">
        <v>50</v>
      </c>
      <c r="E2157" s="197">
        <v>4104</v>
      </c>
      <c r="F2157" s="197">
        <v>78.23</v>
      </c>
      <c r="G2157" s="190">
        <v>46009</v>
      </c>
      <c r="H2157" s="196">
        <v>0</v>
      </c>
      <c r="I2157" s="197">
        <v>3911.5</v>
      </c>
      <c r="J2157" s="197">
        <v>3911.5</v>
      </c>
      <c r="K2157" s="197">
        <v>0</v>
      </c>
      <c r="L2157" s="197">
        <v>-192.5</v>
      </c>
      <c r="M2157" s="260" t="s">
        <v>239</v>
      </c>
      <c r="N2157" s="260" t="s">
        <v>514</v>
      </c>
    </row>
    <row r="2158" spans="1:14" ht="14.5" x14ac:dyDescent="0.35">
      <c r="A2158" s="260" t="s">
        <v>565</v>
      </c>
      <c r="B2158" s="190">
        <v>46010</v>
      </c>
      <c r="C2158" s="260" t="s">
        <v>749</v>
      </c>
      <c r="D2158" s="197">
        <v>100</v>
      </c>
      <c r="E2158" s="197">
        <v>5005</v>
      </c>
      <c r="F2158" s="197">
        <v>47.7</v>
      </c>
      <c r="G2158" s="190">
        <v>46010</v>
      </c>
      <c r="H2158" s="196">
        <v>0</v>
      </c>
      <c r="I2158" s="197">
        <v>4770</v>
      </c>
      <c r="J2158" s="197">
        <v>4770</v>
      </c>
      <c r="K2158" s="197">
        <v>0</v>
      </c>
      <c r="L2158" s="197">
        <v>-235</v>
      </c>
      <c r="M2158" s="260" t="s">
        <v>239</v>
      </c>
      <c r="N2158" s="260" t="s">
        <v>514</v>
      </c>
    </row>
    <row r="2159" spans="1:14" ht="14.5" x14ac:dyDescent="0.35">
      <c r="A2159" s="260" t="s">
        <v>565</v>
      </c>
      <c r="B2159" s="190">
        <v>46010</v>
      </c>
      <c r="C2159" s="260" t="s">
        <v>752</v>
      </c>
      <c r="D2159" s="197">
        <v>100</v>
      </c>
      <c r="E2159" s="197">
        <v>20020</v>
      </c>
      <c r="F2159" s="197">
        <v>169.4</v>
      </c>
      <c r="G2159" s="190">
        <v>46010</v>
      </c>
      <c r="H2159" s="196">
        <v>0</v>
      </c>
      <c r="I2159" s="197">
        <v>16940</v>
      </c>
      <c r="J2159" s="197">
        <v>16940</v>
      </c>
      <c r="K2159" s="197">
        <v>0</v>
      </c>
      <c r="L2159" s="197">
        <v>-3080</v>
      </c>
      <c r="M2159" s="260" t="s">
        <v>239</v>
      </c>
      <c r="N2159" s="260" t="s">
        <v>514</v>
      </c>
    </row>
    <row r="2160" spans="1:14" ht="14.5" x14ac:dyDescent="0.35">
      <c r="A2160" s="260" t="s">
        <v>565</v>
      </c>
      <c r="B2160" s="190">
        <v>46010</v>
      </c>
      <c r="C2160" s="260" t="s">
        <v>754</v>
      </c>
      <c r="D2160" s="197">
        <v>50</v>
      </c>
      <c r="E2160" s="197">
        <v>4104</v>
      </c>
      <c r="F2160" s="197">
        <v>78.2</v>
      </c>
      <c r="G2160" s="190">
        <v>46010</v>
      </c>
      <c r="H2160" s="196">
        <v>0</v>
      </c>
      <c r="I2160" s="197">
        <v>3910</v>
      </c>
      <c r="J2160" s="197">
        <v>3910</v>
      </c>
      <c r="K2160" s="197">
        <v>0</v>
      </c>
      <c r="L2160" s="197">
        <v>-194</v>
      </c>
      <c r="M2160" s="260" t="s">
        <v>239</v>
      </c>
      <c r="N2160" s="260" t="s">
        <v>514</v>
      </c>
    </row>
    <row r="2161" spans="1:14" ht="14.5" x14ac:dyDescent="0.35">
      <c r="A2161" s="260" t="s">
        <v>565</v>
      </c>
      <c r="B2161" s="190">
        <v>46011</v>
      </c>
      <c r="C2161" s="260" t="s">
        <v>749</v>
      </c>
      <c r="D2161" s="197">
        <v>100</v>
      </c>
      <c r="E2161" s="197">
        <v>5005</v>
      </c>
      <c r="F2161" s="197">
        <v>47.7</v>
      </c>
      <c r="G2161" s="190">
        <v>46010</v>
      </c>
      <c r="H2161" s="196">
        <v>1</v>
      </c>
      <c r="I2161" s="197">
        <v>4770</v>
      </c>
      <c r="J2161" s="197">
        <v>4770</v>
      </c>
      <c r="K2161" s="197">
        <v>0</v>
      </c>
      <c r="L2161" s="197">
        <v>-235</v>
      </c>
      <c r="M2161" s="260" t="s">
        <v>239</v>
      </c>
      <c r="N2161" s="260" t="s">
        <v>514</v>
      </c>
    </row>
    <row r="2162" spans="1:14" ht="14.5" x14ac:dyDescent="0.35">
      <c r="A2162" s="260" t="s">
        <v>565</v>
      </c>
      <c r="B2162" s="190">
        <v>46011</v>
      </c>
      <c r="C2162" s="260" t="s">
        <v>752</v>
      </c>
      <c r="D2162" s="197">
        <v>100</v>
      </c>
      <c r="E2162" s="197">
        <v>20020</v>
      </c>
      <c r="F2162" s="197">
        <v>169.4</v>
      </c>
      <c r="G2162" s="190">
        <v>46010</v>
      </c>
      <c r="H2162" s="196">
        <v>1</v>
      </c>
      <c r="I2162" s="197">
        <v>16940</v>
      </c>
      <c r="J2162" s="197">
        <v>16940</v>
      </c>
      <c r="K2162" s="197">
        <v>0</v>
      </c>
      <c r="L2162" s="197">
        <v>-3080</v>
      </c>
      <c r="M2162" s="260" t="s">
        <v>239</v>
      </c>
      <c r="N2162" s="260" t="s">
        <v>514</v>
      </c>
    </row>
    <row r="2163" spans="1:14" ht="14.5" x14ac:dyDescent="0.35">
      <c r="A2163" s="260" t="s">
        <v>565</v>
      </c>
      <c r="B2163" s="190">
        <v>46011</v>
      </c>
      <c r="C2163" s="260" t="s">
        <v>754</v>
      </c>
      <c r="D2163" s="197">
        <v>50</v>
      </c>
      <c r="E2163" s="197">
        <v>4104</v>
      </c>
      <c r="F2163" s="197">
        <v>78.2</v>
      </c>
      <c r="G2163" s="190">
        <v>46010</v>
      </c>
      <c r="H2163" s="196">
        <v>1</v>
      </c>
      <c r="I2163" s="197">
        <v>3910</v>
      </c>
      <c r="J2163" s="197">
        <v>3910</v>
      </c>
      <c r="K2163" s="197">
        <v>0</v>
      </c>
      <c r="L2163" s="197">
        <v>-194</v>
      </c>
      <c r="M2163" s="260" t="s">
        <v>239</v>
      </c>
      <c r="N2163" s="260" t="s">
        <v>514</v>
      </c>
    </row>
    <row r="2164" spans="1:14" ht="14.5" x14ac:dyDescent="0.35">
      <c r="A2164" s="260" t="s">
        <v>565</v>
      </c>
      <c r="B2164" s="190">
        <v>46012</v>
      </c>
      <c r="C2164" s="260" t="s">
        <v>749</v>
      </c>
      <c r="D2164" s="197">
        <v>100</v>
      </c>
      <c r="E2164" s="197">
        <v>5005</v>
      </c>
      <c r="F2164" s="197">
        <v>47.7</v>
      </c>
      <c r="G2164" s="190">
        <v>46010</v>
      </c>
      <c r="H2164" s="196">
        <v>2</v>
      </c>
      <c r="I2164" s="197">
        <v>4770</v>
      </c>
      <c r="J2164" s="197">
        <v>4770</v>
      </c>
      <c r="K2164" s="197">
        <v>0</v>
      </c>
      <c r="L2164" s="197">
        <v>-235</v>
      </c>
      <c r="M2164" s="260" t="s">
        <v>239</v>
      </c>
      <c r="N2164" s="260" t="s">
        <v>514</v>
      </c>
    </row>
    <row r="2165" spans="1:14" ht="14.5" x14ac:dyDescent="0.35">
      <c r="A2165" s="260" t="s">
        <v>565</v>
      </c>
      <c r="B2165" s="190">
        <v>46012</v>
      </c>
      <c r="C2165" s="260" t="s">
        <v>752</v>
      </c>
      <c r="D2165" s="197">
        <v>100</v>
      </c>
      <c r="E2165" s="197">
        <v>20020</v>
      </c>
      <c r="F2165" s="197">
        <v>169.4</v>
      </c>
      <c r="G2165" s="190">
        <v>46010</v>
      </c>
      <c r="H2165" s="196">
        <v>2</v>
      </c>
      <c r="I2165" s="197">
        <v>16940</v>
      </c>
      <c r="J2165" s="197">
        <v>16940</v>
      </c>
      <c r="K2165" s="197">
        <v>0</v>
      </c>
      <c r="L2165" s="197">
        <v>-3080</v>
      </c>
      <c r="M2165" s="260" t="s">
        <v>239</v>
      </c>
      <c r="N2165" s="260" t="s">
        <v>514</v>
      </c>
    </row>
    <row r="2166" spans="1:14" ht="14.5" x14ac:dyDescent="0.35">
      <c r="A2166" s="260" t="s">
        <v>565</v>
      </c>
      <c r="B2166" s="190">
        <v>46012</v>
      </c>
      <c r="C2166" s="260" t="s">
        <v>754</v>
      </c>
      <c r="D2166" s="197">
        <v>50</v>
      </c>
      <c r="E2166" s="197">
        <v>4104</v>
      </c>
      <c r="F2166" s="197">
        <v>78.2</v>
      </c>
      <c r="G2166" s="190">
        <v>46010</v>
      </c>
      <c r="H2166" s="196">
        <v>2</v>
      </c>
      <c r="I2166" s="197">
        <v>3910</v>
      </c>
      <c r="J2166" s="197">
        <v>3910</v>
      </c>
      <c r="K2166" s="197">
        <v>0</v>
      </c>
      <c r="L2166" s="197">
        <v>-194</v>
      </c>
      <c r="M2166" s="260" t="s">
        <v>239</v>
      </c>
      <c r="N2166" s="260" t="s">
        <v>514</v>
      </c>
    </row>
    <row r="2167" spans="1:14" ht="14.5" x14ac:dyDescent="0.35">
      <c r="A2167" s="260" t="s">
        <v>565</v>
      </c>
      <c r="B2167" s="190">
        <v>46013</v>
      </c>
      <c r="C2167" s="260" t="s">
        <v>749</v>
      </c>
      <c r="D2167" s="197">
        <v>100</v>
      </c>
      <c r="E2167" s="197">
        <v>5005</v>
      </c>
      <c r="F2167" s="197">
        <v>47.65</v>
      </c>
      <c r="G2167" s="190">
        <v>46013</v>
      </c>
      <c r="H2167" s="196">
        <v>0</v>
      </c>
      <c r="I2167" s="197">
        <v>4765</v>
      </c>
      <c r="J2167" s="197">
        <v>4765</v>
      </c>
      <c r="K2167" s="197">
        <v>0</v>
      </c>
      <c r="L2167" s="197">
        <v>-240</v>
      </c>
      <c r="M2167" s="260" t="s">
        <v>239</v>
      </c>
      <c r="N2167" s="260" t="s">
        <v>514</v>
      </c>
    </row>
    <row r="2168" spans="1:14" ht="14.5" x14ac:dyDescent="0.35">
      <c r="A2168" s="260" t="s">
        <v>565</v>
      </c>
      <c r="B2168" s="190">
        <v>46013</v>
      </c>
      <c r="C2168" s="260" t="s">
        <v>752</v>
      </c>
      <c r="D2168" s="197">
        <v>100</v>
      </c>
      <c r="E2168" s="197">
        <v>20020</v>
      </c>
      <c r="F2168" s="197">
        <v>169.3</v>
      </c>
      <c r="G2168" s="190">
        <v>46013</v>
      </c>
      <c r="H2168" s="196">
        <v>0</v>
      </c>
      <c r="I2168" s="197">
        <v>16930</v>
      </c>
      <c r="J2168" s="197">
        <v>16930</v>
      </c>
      <c r="K2168" s="197">
        <v>0</v>
      </c>
      <c r="L2168" s="197">
        <v>-3090</v>
      </c>
      <c r="M2168" s="260" t="s">
        <v>239</v>
      </c>
      <c r="N2168" s="260" t="s">
        <v>514</v>
      </c>
    </row>
    <row r="2169" spans="1:14" ht="14.5" x14ac:dyDescent="0.35">
      <c r="A2169" s="260" t="s">
        <v>565</v>
      </c>
      <c r="B2169" s="190">
        <v>46013</v>
      </c>
      <c r="C2169" s="260" t="s">
        <v>754</v>
      </c>
      <c r="D2169" s="197">
        <v>50</v>
      </c>
      <c r="E2169" s="197">
        <v>4104</v>
      </c>
      <c r="F2169" s="197">
        <v>78.099999999999994</v>
      </c>
      <c r="G2169" s="190">
        <v>46013</v>
      </c>
      <c r="H2169" s="196">
        <v>0</v>
      </c>
      <c r="I2169" s="197">
        <v>3904.9999999999995</v>
      </c>
      <c r="J2169" s="197">
        <v>3904.9999999999995</v>
      </c>
      <c r="K2169" s="197">
        <v>0</v>
      </c>
      <c r="L2169" s="197">
        <v>-199.00000000000045</v>
      </c>
      <c r="M2169" s="260" t="s">
        <v>239</v>
      </c>
      <c r="N2169" s="260" t="s">
        <v>514</v>
      </c>
    </row>
    <row r="2170" spans="1:14" ht="14.5" x14ac:dyDescent="0.35">
      <c r="A2170" s="260" t="s">
        <v>565</v>
      </c>
      <c r="B2170" s="190">
        <v>46014</v>
      </c>
      <c r="C2170" s="260" t="s">
        <v>749</v>
      </c>
      <c r="D2170" s="197">
        <v>100</v>
      </c>
      <c r="E2170" s="197">
        <v>5005</v>
      </c>
      <c r="F2170" s="197">
        <v>47.63</v>
      </c>
      <c r="G2170" s="190">
        <v>46014</v>
      </c>
      <c r="H2170" s="196">
        <v>0</v>
      </c>
      <c r="I2170" s="197">
        <v>4763</v>
      </c>
      <c r="J2170" s="197">
        <v>4763</v>
      </c>
      <c r="K2170" s="197">
        <v>0</v>
      </c>
      <c r="L2170" s="197">
        <v>-242</v>
      </c>
      <c r="M2170" s="260" t="s">
        <v>239</v>
      </c>
      <c r="N2170" s="260" t="s">
        <v>514</v>
      </c>
    </row>
    <row r="2171" spans="1:14" ht="14.5" x14ac:dyDescent="0.35">
      <c r="A2171" s="260" t="s">
        <v>565</v>
      </c>
      <c r="B2171" s="190">
        <v>46014</v>
      </c>
      <c r="C2171" s="260" t="s">
        <v>752</v>
      </c>
      <c r="D2171" s="197">
        <v>100</v>
      </c>
      <c r="E2171" s="197">
        <v>20020</v>
      </c>
      <c r="F2171" s="197">
        <v>169.27</v>
      </c>
      <c r="G2171" s="190">
        <v>46014</v>
      </c>
      <c r="H2171" s="196">
        <v>0</v>
      </c>
      <c r="I2171" s="197">
        <v>16927</v>
      </c>
      <c r="J2171" s="197">
        <v>16927</v>
      </c>
      <c r="K2171" s="197">
        <v>0</v>
      </c>
      <c r="L2171" s="197">
        <v>-3093</v>
      </c>
      <c r="M2171" s="260" t="s">
        <v>239</v>
      </c>
      <c r="N2171" s="260" t="s">
        <v>514</v>
      </c>
    </row>
    <row r="2172" spans="1:14" ht="14.5" x14ac:dyDescent="0.35">
      <c r="A2172" s="260" t="s">
        <v>565</v>
      </c>
      <c r="B2172" s="190">
        <v>46014</v>
      </c>
      <c r="C2172" s="260" t="s">
        <v>754</v>
      </c>
      <c r="D2172" s="197">
        <v>50</v>
      </c>
      <c r="E2172" s="197">
        <v>4104</v>
      </c>
      <c r="F2172" s="197">
        <v>78.069999999999993</v>
      </c>
      <c r="G2172" s="190">
        <v>46014</v>
      </c>
      <c r="H2172" s="196">
        <v>0</v>
      </c>
      <c r="I2172" s="197">
        <v>3903.4999999999995</v>
      </c>
      <c r="J2172" s="197">
        <v>3903.4999999999995</v>
      </c>
      <c r="K2172" s="197">
        <v>0</v>
      </c>
      <c r="L2172" s="197">
        <v>-200.50000000000045</v>
      </c>
      <c r="M2172" s="260" t="s">
        <v>239</v>
      </c>
      <c r="N2172" s="260" t="s">
        <v>514</v>
      </c>
    </row>
    <row r="2173" spans="1:14" ht="14.5" x14ac:dyDescent="0.35">
      <c r="A2173" s="260" t="s">
        <v>565</v>
      </c>
      <c r="B2173" s="190">
        <v>46015</v>
      </c>
      <c r="C2173" s="260" t="s">
        <v>749</v>
      </c>
      <c r="D2173" s="197">
        <v>100</v>
      </c>
      <c r="E2173" s="197">
        <v>5005</v>
      </c>
      <c r="F2173" s="197">
        <v>47.62</v>
      </c>
      <c r="G2173" s="190">
        <v>46015</v>
      </c>
      <c r="H2173" s="196">
        <v>0</v>
      </c>
      <c r="I2173" s="197">
        <v>4762</v>
      </c>
      <c r="J2173" s="197">
        <v>4762</v>
      </c>
      <c r="K2173" s="197">
        <v>0</v>
      </c>
      <c r="L2173" s="197">
        <v>-243</v>
      </c>
      <c r="M2173" s="260" t="s">
        <v>239</v>
      </c>
      <c r="N2173" s="260" t="s">
        <v>514</v>
      </c>
    </row>
    <row r="2174" spans="1:14" ht="14.5" x14ac:dyDescent="0.35">
      <c r="A2174" s="260" t="s">
        <v>565</v>
      </c>
      <c r="B2174" s="190">
        <v>46015</v>
      </c>
      <c r="C2174" s="260" t="s">
        <v>752</v>
      </c>
      <c r="D2174" s="197">
        <v>100</v>
      </c>
      <c r="E2174" s="197">
        <v>20020</v>
      </c>
      <c r="F2174" s="197">
        <v>169.23</v>
      </c>
      <c r="G2174" s="190">
        <v>46015</v>
      </c>
      <c r="H2174" s="196">
        <v>0</v>
      </c>
      <c r="I2174" s="197">
        <v>16923</v>
      </c>
      <c r="J2174" s="197">
        <v>16923</v>
      </c>
      <c r="K2174" s="197">
        <v>0</v>
      </c>
      <c r="L2174" s="197">
        <v>-3097</v>
      </c>
      <c r="M2174" s="260" t="s">
        <v>239</v>
      </c>
      <c r="N2174" s="260" t="s">
        <v>514</v>
      </c>
    </row>
    <row r="2175" spans="1:14" ht="14.5" x14ac:dyDescent="0.35">
      <c r="A2175" s="260" t="s">
        <v>565</v>
      </c>
      <c r="B2175" s="190">
        <v>46015</v>
      </c>
      <c r="C2175" s="260" t="s">
        <v>754</v>
      </c>
      <c r="D2175" s="197">
        <v>50</v>
      </c>
      <c r="E2175" s="197">
        <v>4104</v>
      </c>
      <c r="F2175" s="197">
        <v>78.03</v>
      </c>
      <c r="G2175" s="190">
        <v>46015</v>
      </c>
      <c r="H2175" s="196">
        <v>0</v>
      </c>
      <c r="I2175" s="197">
        <v>3901.5</v>
      </c>
      <c r="J2175" s="197">
        <v>3901.5</v>
      </c>
      <c r="K2175" s="197">
        <v>0</v>
      </c>
      <c r="L2175" s="197">
        <v>-202.5</v>
      </c>
      <c r="M2175" s="260" t="s">
        <v>239</v>
      </c>
      <c r="N2175" s="260" t="s">
        <v>514</v>
      </c>
    </row>
    <row r="2176" spans="1:14" ht="14.5" x14ac:dyDescent="0.35">
      <c r="A2176" s="260" t="s">
        <v>565</v>
      </c>
      <c r="B2176" s="190">
        <v>46016</v>
      </c>
      <c r="C2176" s="260" t="s">
        <v>749</v>
      </c>
      <c r="D2176" s="197">
        <v>100</v>
      </c>
      <c r="E2176" s="197">
        <v>5005</v>
      </c>
      <c r="F2176" s="197">
        <v>47.6</v>
      </c>
      <c r="G2176" s="190">
        <v>46016</v>
      </c>
      <c r="H2176" s="196">
        <v>0</v>
      </c>
      <c r="I2176" s="197">
        <v>4760</v>
      </c>
      <c r="J2176" s="197">
        <v>4760</v>
      </c>
      <c r="K2176" s="197">
        <v>0</v>
      </c>
      <c r="L2176" s="197">
        <v>-245</v>
      </c>
      <c r="M2176" s="260" t="s">
        <v>239</v>
      </c>
      <c r="N2176" s="260" t="s">
        <v>514</v>
      </c>
    </row>
    <row r="2177" spans="1:14" ht="14.5" x14ac:dyDescent="0.35">
      <c r="A2177" s="260" t="s">
        <v>565</v>
      </c>
      <c r="B2177" s="190">
        <v>46016</v>
      </c>
      <c r="C2177" s="260" t="s">
        <v>752</v>
      </c>
      <c r="D2177" s="197">
        <v>100</v>
      </c>
      <c r="E2177" s="197">
        <v>20020</v>
      </c>
      <c r="F2177" s="197">
        <v>169.2</v>
      </c>
      <c r="G2177" s="190">
        <v>46016</v>
      </c>
      <c r="H2177" s="196">
        <v>0</v>
      </c>
      <c r="I2177" s="197">
        <v>16920</v>
      </c>
      <c r="J2177" s="197">
        <v>16920</v>
      </c>
      <c r="K2177" s="197">
        <v>0</v>
      </c>
      <c r="L2177" s="197">
        <v>-3100</v>
      </c>
      <c r="M2177" s="260" t="s">
        <v>239</v>
      </c>
      <c r="N2177" s="260" t="s">
        <v>514</v>
      </c>
    </row>
    <row r="2178" spans="1:14" ht="14.5" x14ac:dyDescent="0.35">
      <c r="A2178" s="260" t="s">
        <v>565</v>
      </c>
      <c r="B2178" s="190">
        <v>46016</v>
      </c>
      <c r="C2178" s="260" t="s">
        <v>754</v>
      </c>
      <c r="D2178" s="197">
        <v>50</v>
      </c>
      <c r="E2178" s="197">
        <v>4104</v>
      </c>
      <c r="F2178" s="197">
        <v>78</v>
      </c>
      <c r="G2178" s="190">
        <v>46016</v>
      </c>
      <c r="H2178" s="196">
        <v>0</v>
      </c>
      <c r="I2178" s="197">
        <v>3900</v>
      </c>
      <c r="J2178" s="197">
        <v>3900</v>
      </c>
      <c r="K2178" s="197">
        <v>0</v>
      </c>
      <c r="L2178" s="197">
        <v>-204</v>
      </c>
      <c r="M2178" s="260" t="s">
        <v>239</v>
      </c>
      <c r="N2178" s="260" t="s">
        <v>514</v>
      </c>
    </row>
    <row r="2179" spans="1:14" ht="14.5" x14ac:dyDescent="0.35">
      <c r="A2179" s="260" t="s">
        <v>565</v>
      </c>
      <c r="B2179" s="190">
        <v>46017</v>
      </c>
      <c r="C2179" s="260" t="s">
        <v>749</v>
      </c>
      <c r="D2179" s="197">
        <v>100</v>
      </c>
      <c r="E2179" s="197">
        <v>5005</v>
      </c>
      <c r="F2179" s="197">
        <v>47.58</v>
      </c>
      <c r="G2179" s="190">
        <v>46017</v>
      </c>
      <c r="H2179" s="196">
        <v>0</v>
      </c>
      <c r="I2179" s="197">
        <v>4758</v>
      </c>
      <c r="J2179" s="197">
        <v>4758</v>
      </c>
      <c r="K2179" s="197">
        <v>0</v>
      </c>
      <c r="L2179" s="197">
        <v>-247</v>
      </c>
      <c r="M2179" s="260" t="s">
        <v>239</v>
      </c>
      <c r="N2179" s="260" t="s">
        <v>514</v>
      </c>
    </row>
    <row r="2180" spans="1:14" ht="14.5" x14ac:dyDescent="0.35">
      <c r="A2180" s="260" t="s">
        <v>565</v>
      </c>
      <c r="B2180" s="190">
        <v>46017</v>
      </c>
      <c r="C2180" s="260" t="s">
        <v>752</v>
      </c>
      <c r="D2180" s="197">
        <v>100</v>
      </c>
      <c r="E2180" s="197">
        <v>20020</v>
      </c>
      <c r="F2180" s="197">
        <v>169.17</v>
      </c>
      <c r="G2180" s="190">
        <v>46017</v>
      </c>
      <c r="H2180" s="196">
        <v>0</v>
      </c>
      <c r="I2180" s="197">
        <v>16917</v>
      </c>
      <c r="J2180" s="197">
        <v>16917</v>
      </c>
      <c r="K2180" s="197">
        <v>0</v>
      </c>
      <c r="L2180" s="197">
        <v>-3103</v>
      </c>
      <c r="M2180" s="260" t="s">
        <v>239</v>
      </c>
      <c r="N2180" s="260" t="s">
        <v>514</v>
      </c>
    </row>
    <row r="2181" spans="1:14" ht="14.5" x14ac:dyDescent="0.35">
      <c r="A2181" s="260" t="s">
        <v>565</v>
      </c>
      <c r="B2181" s="190">
        <v>46017</v>
      </c>
      <c r="C2181" s="260" t="s">
        <v>754</v>
      </c>
      <c r="D2181" s="197">
        <v>50</v>
      </c>
      <c r="E2181" s="197">
        <v>4104</v>
      </c>
      <c r="F2181" s="197">
        <v>77.97</v>
      </c>
      <c r="G2181" s="190">
        <v>46017</v>
      </c>
      <c r="H2181" s="196">
        <v>0</v>
      </c>
      <c r="I2181" s="197">
        <v>3898.5</v>
      </c>
      <c r="J2181" s="197">
        <v>3898.5</v>
      </c>
      <c r="K2181" s="197">
        <v>0</v>
      </c>
      <c r="L2181" s="197">
        <v>-205.5</v>
      </c>
      <c r="M2181" s="260" t="s">
        <v>239</v>
      </c>
      <c r="N2181" s="260" t="s">
        <v>514</v>
      </c>
    </row>
    <row r="2182" spans="1:14" ht="14.5" x14ac:dyDescent="0.35">
      <c r="A2182" s="260" t="s">
        <v>565</v>
      </c>
      <c r="B2182" s="190">
        <v>46018</v>
      </c>
      <c r="C2182" s="260" t="s">
        <v>749</v>
      </c>
      <c r="D2182" s="197">
        <v>100</v>
      </c>
      <c r="E2182" s="197">
        <v>5005</v>
      </c>
      <c r="F2182" s="197">
        <v>47.58</v>
      </c>
      <c r="G2182" s="190">
        <v>46017</v>
      </c>
      <c r="H2182" s="196">
        <v>1</v>
      </c>
      <c r="I2182" s="197">
        <v>4758</v>
      </c>
      <c r="J2182" s="197">
        <v>4758</v>
      </c>
      <c r="K2182" s="197">
        <v>0</v>
      </c>
      <c r="L2182" s="197">
        <v>-247</v>
      </c>
      <c r="M2182" s="260" t="s">
        <v>239</v>
      </c>
      <c r="N2182" s="260" t="s">
        <v>514</v>
      </c>
    </row>
    <row r="2183" spans="1:14" ht="14.5" x14ac:dyDescent="0.35">
      <c r="A2183" s="260" t="s">
        <v>565</v>
      </c>
      <c r="B2183" s="190">
        <v>46018</v>
      </c>
      <c r="C2183" s="260" t="s">
        <v>752</v>
      </c>
      <c r="D2183" s="197">
        <v>100</v>
      </c>
      <c r="E2183" s="197">
        <v>20020</v>
      </c>
      <c r="F2183" s="197">
        <v>169.17</v>
      </c>
      <c r="G2183" s="190">
        <v>46017</v>
      </c>
      <c r="H2183" s="196">
        <v>1</v>
      </c>
      <c r="I2183" s="197">
        <v>16917</v>
      </c>
      <c r="J2183" s="197">
        <v>16917</v>
      </c>
      <c r="K2183" s="197">
        <v>0</v>
      </c>
      <c r="L2183" s="197">
        <v>-3103</v>
      </c>
      <c r="M2183" s="260" t="s">
        <v>239</v>
      </c>
      <c r="N2183" s="260" t="s">
        <v>514</v>
      </c>
    </row>
    <row r="2184" spans="1:14" ht="14.5" x14ac:dyDescent="0.35">
      <c r="A2184" s="260" t="s">
        <v>565</v>
      </c>
      <c r="B2184" s="190">
        <v>46018</v>
      </c>
      <c r="C2184" s="260" t="s">
        <v>754</v>
      </c>
      <c r="D2184" s="197">
        <v>50</v>
      </c>
      <c r="E2184" s="197">
        <v>4104</v>
      </c>
      <c r="F2184" s="197">
        <v>77.97</v>
      </c>
      <c r="G2184" s="190">
        <v>46017</v>
      </c>
      <c r="H2184" s="196">
        <v>1</v>
      </c>
      <c r="I2184" s="197">
        <v>3898.5</v>
      </c>
      <c r="J2184" s="197">
        <v>3898.5</v>
      </c>
      <c r="K2184" s="197">
        <v>0</v>
      </c>
      <c r="L2184" s="197">
        <v>-205.5</v>
      </c>
      <c r="M2184" s="260" t="s">
        <v>239</v>
      </c>
      <c r="N2184" s="260" t="s">
        <v>514</v>
      </c>
    </row>
    <row r="2185" spans="1:14" ht="14.5" x14ac:dyDescent="0.35">
      <c r="A2185" s="260" t="s">
        <v>565</v>
      </c>
      <c r="B2185" s="190">
        <v>46019</v>
      </c>
      <c r="C2185" s="260" t="s">
        <v>749</v>
      </c>
      <c r="D2185" s="197">
        <v>100</v>
      </c>
      <c r="E2185" s="197">
        <v>5005</v>
      </c>
      <c r="F2185" s="197">
        <v>47.58</v>
      </c>
      <c r="G2185" s="190">
        <v>46017</v>
      </c>
      <c r="H2185" s="196">
        <v>2</v>
      </c>
      <c r="I2185" s="197">
        <v>4758</v>
      </c>
      <c r="J2185" s="197">
        <v>4758</v>
      </c>
      <c r="K2185" s="197">
        <v>0</v>
      </c>
      <c r="L2185" s="197">
        <v>-247</v>
      </c>
      <c r="M2185" s="260" t="s">
        <v>239</v>
      </c>
      <c r="N2185" s="260" t="s">
        <v>514</v>
      </c>
    </row>
    <row r="2186" spans="1:14" ht="14.5" x14ac:dyDescent="0.35">
      <c r="A2186" s="260" t="s">
        <v>565</v>
      </c>
      <c r="B2186" s="190">
        <v>46019</v>
      </c>
      <c r="C2186" s="260" t="s">
        <v>752</v>
      </c>
      <c r="D2186" s="197">
        <v>100</v>
      </c>
      <c r="E2186" s="197">
        <v>20020</v>
      </c>
      <c r="F2186" s="197">
        <v>169.17</v>
      </c>
      <c r="G2186" s="190">
        <v>46017</v>
      </c>
      <c r="H2186" s="196">
        <v>2</v>
      </c>
      <c r="I2186" s="197">
        <v>16917</v>
      </c>
      <c r="J2186" s="197">
        <v>16917</v>
      </c>
      <c r="K2186" s="197">
        <v>0</v>
      </c>
      <c r="L2186" s="197">
        <v>-3103</v>
      </c>
      <c r="M2186" s="260" t="s">
        <v>239</v>
      </c>
      <c r="N2186" s="260" t="s">
        <v>514</v>
      </c>
    </row>
    <row r="2187" spans="1:14" ht="14.5" x14ac:dyDescent="0.35">
      <c r="A2187" s="260" t="s">
        <v>565</v>
      </c>
      <c r="B2187" s="190">
        <v>46019</v>
      </c>
      <c r="C2187" s="260" t="s">
        <v>754</v>
      </c>
      <c r="D2187" s="197">
        <v>50</v>
      </c>
      <c r="E2187" s="197">
        <v>4104</v>
      </c>
      <c r="F2187" s="197">
        <v>77.97</v>
      </c>
      <c r="G2187" s="190">
        <v>46017</v>
      </c>
      <c r="H2187" s="196">
        <v>2</v>
      </c>
      <c r="I2187" s="197">
        <v>3898.5</v>
      </c>
      <c r="J2187" s="197">
        <v>3898.5</v>
      </c>
      <c r="K2187" s="197">
        <v>0</v>
      </c>
      <c r="L2187" s="197">
        <v>-205.5</v>
      </c>
      <c r="M2187" s="260" t="s">
        <v>239</v>
      </c>
      <c r="N2187" s="260" t="s">
        <v>514</v>
      </c>
    </row>
    <row r="2188" spans="1:14" ht="14.5" x14ac:dyDescent="0.35">
      <c r="A2188" s="260" t="s">
        <v>565</v>
      </c>
      <c r="B2188" s="190">
        <v>46020</v>
      </c>
      <c r="C2188" s="260" t="s">
        <v>749</v>
      </c>
      <c r="D2188" s="197">
        <v>100</v>
      </c>
      <c r="E2188" s="197">
        <v>5005</v>
      </c>
      <c r="F2188" s="197">
        <v>47.53</v>
      </c>
      <c r="G2188" s="190">
        <v>46020</v>
      </c>
      <c r="H2188" s="196">
        <v>0</v>
      </c>
      <c r="I2188" s="197">
        <v>4753</v>
      </c>
      <c r="J2188" s="197">
        <v>4753</v>
      </c>
      <c r="K2188" s="197">
        <v>0</v>
      </c>
      <c r="L2188" s="197">
        <v>-252</v>
      </c>
      <c r="M2188" s="260" t="s">
        <v>239</v>
      </c>
      <c r="N2188" s="260" t="s">
        <v>514</v>
      </c>
    </row>
    <row r="2189" spans="1:14" ht="14.5" x14ac:dyDescent="0.35">
      <c r="A2189" s="260" t="s">
        <v>565</v>
      </c>
      <c r="B2189" s="190">
        <v>46020</v>
      </c>
      <c r="C2189" s="260" t="s">
        <v>752</v>
      </c>
      <c r="D2189" s="197">
        <v>100</v>
      </c>
      <c r="E2189" s="197">
        <v>20020</v>
      </c>
      <c r="F2189" s="197">
        <v>169.07</v>
      </c>
      <c r="G2189" s="190">
        <v>46020</v>
      </c>
      <c r="H2189" s="196">
        <v>0</v>
      </c>
      <c r="I2189" s="197">
        <v>16907</v>
      </c>
      <c r="J2189" s="197">
        <v>16907</v>
      </c>
      <c r="K2189" s="197">
        <v>0</v>
      </c>
      <c r="L2189" s="197">
        <v>-3113</v>
      </c>
      <c r="M2189" s="260" t="s">
        <v>239</v>
      </c>
      <c r="N2189" s="260" t="s">
        <v>514</v>
      </c>
    </row>
    <row r="2190" spans="1:14" ht="14.5" x14ac:dyDescent="0.35">
      <c r="A2190" s="260" t="s">
        <v>565</v>
      </c>
      <c r="B2190" s="190">
        <v>46020</v>
      </c>
      <c r="C2190" s="260" t="s">
        <v>754</v>
      </c>
      <c r="D2190" s="197">
        <v>50</v>
      </c>
      <c r="E2190" s="197">
        <v>4104</v>
      </c>
      <c r="F2190" s="197">
        <v>77.87</v>
      </c>
      <c r="G2190" s="190">
        <v>46020</v>
      </c>
      <c r="H2190" s="196">
        <v>0</v>
      </c>
      <c r="I2190" s="197">
        <v>3893.5</v>
      </c>
      <c r="J2190" s="197">
        <v>3893.5</v>
      </c>
      <c r="K2190" s="197">
        <v>0</v>
      </c>
      <c r="L2190" s="197">
        <v>-210.5</v>
      </c>
      <c r="M2190" s="260" t="s">
        <v>239</v>
      </c>
      <c r="N2190" s="260" t="s">
        <v>514</v>
      </c>
    </row>
    <row r="2191" spans="1:14" ht="14.5" x14ac:dyDescent="0.35">
      <c r="A2191" s="260" t="s">
        <v>565</v>
      </c>
      <c r="B2191" s="190">
        <v>46021</v>
      </c>
      <c r="C2191" s="260" t="s">
        <v>749</v>
      </c>
      <c r="D2191" s="197">
        <v>100</v>
      </c>
      <c r="E2191" s="197">
        <v>5005</v>
      </c>
      <c r="F2191" s="197">
        <v>47.52</v>
      </c>
      <c r="G2191" s="190">
        <v>46021</v>
      </c>
      <c r="H2191" s="196">
        <v>0</v>
      </c>
      <c r="I2191" s="197">
        <v>4752</v>
      </c>
      <c r="J2191" s="197">
        <v>4752</v>
      </c>
      <c r="K2191" s="197">
        <v>0</v>
      </c>
      <c r="L2191" s="197">
        <v>-253</v>
      </c>
      <c r="M2191" s="260" t="s">
        <v>239</v>
      </c>
      <c r="N2191" s="260" t="s">
        <v>514</v>
      </c>
    </row>
    <row r="2192" spans="1:14" ht="14.5" x14ac:dyDescent="0.35">
      <c r="A2192" s="260" t="s">
        <v>565</v>
      </c>
      <c r="B2192" s="190">
        <v>46021</v>
      </c>
      <c r="C2192" s="260" t="s">
        <v>752</v>
      </c>
      <c r="D2192" s="197">
        <v>100</v>
      </c>
      <c r="E2192" s="197">
        <v>20020</v>
      </c>
      <c r="F2192" s="197">
        <v>169.03</v>
      </c>
      <c r="G2192" s="190">
        <v>46021</v>
      </c>
      <c r="H2192" s="196">
        <v>0</v>
      </c>
      <c r="I2192" s="197">
        <v>16903</v>
      </c>
      <c r="J2192" s="197">
        <v>16903</v>
      </c>
      <c r="K2192" s="197">
        <v>0</v>
      </c>
      <c r="L2192" s="197">
        <v>-3117</v>
      </c>
      <c r="M2192" s="260" t="s">
        <v>239</v>
      </c>
      <c r="N2192" s="260" t="s">
        <v>514</v>
      </c>
    </row>
    <row r="2193" spans="1:14" ht="14.5" x14ac:dyDescent="0.35">
      <c r="A2193" s="260" t="s">
        <v>565</v>
      </c>
      <c r="B2193" s="190">
        <v>46021</v>
      </c>
      <c r="C2193" s="260" t="s">
        <v>754</v>
      </c>
      <c r="D2193" s="197">
        <v>50</v>
      </c>
      <c r="E2193" s="197">
        <v>4104</v>
      </c>
      <c r="F2193" s="197">
        <v>77.83</v>
      </c>
      <c r="G2193" s="190">
        <v>46021</v>
      </c>
      <c r="H2193" s="196">
        <v>0</v>
      </c>
      <c r="I2193" s="197">
        <v>3891.5</v>
      </c>
      <c r="J2193" s="197">
        <v>3891.5</v>
      </c>
      <c r="K2193" s="197">
        <v>0</v>
      </c>
      <c r="L2193" s="197">
        <v>-212.5</v>
      </c>
      <c r="M2193" s="260" t="s">
        <v>239</v>
      </c>
      <c r="N2193" s="260" t="s">
        <v>514</v>
      </c>
    </row>
    <row r="2194" spans="1:14" ht="14.5" x14ac:dyDescent="0.35">
      <c r="A2194" s="260" t="s">
        <v>565</v>
      </c>
      <c r="B2194" s="190">
        <v>46022</v>
      </c>
      <c r="C2194" s="260" t="s">
        <v>749</v>
      </c>
      <c r="D2194" s="197">
        <v>100</v>
      </c>
      <c r="E2194" s="197">
        <v>5005</v>
      </c>
      <c r="F2194" s="197">
        <v>47.5</v>
      </c>
      <c r="G2194" s="190">
        <v>46022</v>
      </c>
      <c r="H2194" s="196">
        <v>0</v>
      </c>
      <c r="I2194" s="197">
        <v>4750</v>
      </c>
      <c r="J2194" s="197">
        <v>4750</v>
      </c>
      <c r="K2194" s="197">
        <v>0</v>
      </c>
      <c r="L2194" s="197">
        <v>-255</v>
      </c>
      <c r="M2194" s="260" t="s">
        <v>239</v>
      </c>
      <c r="N2194" s="260" t="s">
        <v>514</v>
      </c>
    </row>
    <row r="2195" spans="1:14" ht="14.5" x14ac:dyDescent="0.35">
      <c r="A2195" s="260" t="s">
        <v>565</v>
      </c>
      <c r="B2195" s="190">
        <v>46022</v>
      </c>
      <c r="C2195" s="260" t="s">
        <v>752</v>
      </c>
      <c r="D2195" s="197">
        <v>100</v>
      </c>
      <c r="E2195" s="197">
        <v>20020</v>
      </c>
      <c r="F2195" s="197">
        <v>169</v>
      </c>
      <c r="G2195" s="190">
        <v>46022</v>
      </c>
      <c r="H2195" s="196">
        <v>0</v>
      </c>
      <c r="I2195" s="197">
        <v>16900</v>
      </c>
      <c r="J2195" s="197">
        <v>16900</v>
      </c>
      <c r="K2195" s="197">
        <v>0</v>
      </c>
      <c r="L2195" s="197">
        <v>-3120</v>
      </c>
      <c r="M2195" s="260" t="s">
        <v>239</v>
      </c>
      <c r="N2195" s="260" t="s">
        <v>514</v>
      </c>
    </row>
    <row r="2196" spans="1:14" ht="14.5" x14ac:dyDescent="0.35">
      <c r="A2196" s="260" t="s">
        <v>565</v>
      </c>
      <c r="B2196" s="190">
        <v>46022</v>
      </c>
      <c r="C2196" s="260" t="s">
        <v>754</v>
      </c>
      <c r="D2196" s="197">
        <v>50</v>
      </c>
      <c r="E2196" s="197">
        <v>4104</v>
      </c>
      <c r="F2196" s="197">
        <v>77.8</v>
      </c>
      <c r="G2196" s="190">
        <v>46022</v>
      </c>
      <c r="H2196" s="196">
        <v>0</v>
      </c>
      <c r="I2196" s="197">
        <v>3890</v>
      </c>
      <c r="J2196" s="197">
        <v>3890</v>
      </c>
      <c r="K2196" s="197">
        <v>0</v>
      </c>
      <c r="L2196" s="197">
        <v>-214</v>
      </c>
      <c r="M2196" s="260" t="s">
        <v>239</v>
      </c>
      <c r="N2196" s="260" t="s">
        <v>514</v>
      </c>
    </row>
    <row r="2197" spans="1:14" ht="14.5" x14ac:dyDescent="0.35">
      <c r="A2197" s="260" t="s">
        <v>566</v>
      </c>
      <c r="B2197" s="190">
        <v>45658</v>
      </c>
      <c r="C2197" s="260" t="s">
        <v>749</v>
      </c>
      <c r="D2197" s="197">
        <v>0</v>
      </c>
      <c r="E2197" s="197">
        <v>0</v>
      </c>
      <c r="F2197" s="197">
        <v>100</v>
      </c>
      <c r="G2197" s="190">
        <v>45658</v>
      </c>
      <c r="H2197" s="196">
        <v>0</v>
      </c>
      <c r="I2197" s="197">
        <v>0</v>
      </c>
      <c r="J2197" s="197">
        <v>0</v>
      </c>
      <c r="K2197" s="197">
        <v>0</v>
      </c>
      <c r="L2197" s="197">
        <v>0</v>
      </c>
      <c r="M2197" s="260" t="s">
        <v>239</v>
      </c>
      <c r="N2197" s="260" t="s">
        <v>514</v>
      </c>
    </row>
    <row r="2198" spans="1:14" ht="14.5" x14ac:dyDescent="0.35">
      <c r="A2198" s="260" t="s">
        <v>566</v>
      </c>
      <c r="B2198" s="190">
        <v>45658</v>
      </c>
      <c r="C2198" s="260" t="s">
        <v>752</v>
      </c>
      <c r="D2198" s="197">
        <v>0</v>
      </c>
      <c r="E2198" s="197">
        <v>0</v>
      </c>
      <c r="F2198" s="197">
        <v>200</v>
      </c>
      <c r="G2198" s="190">
        <v>45658</v>
      </c>
      <c r="H2198" s="196">
        <v>0</v>
      </c>
      <c r="I2198" s="197">
        <v>0</v>
      </c>
      <c r="J2198" s="197">
        <v>0</v>
      </c>
      <c r="K2198" s="197">
        <v>0</v>
      </c>
      <c r="L2198" s="197">
        <v>0</v>
      </c>
      <c r="M2198" s="260" t="s">
        <v>239</v>
      </c>
      <c r="N2198" s="260" t="s">
        <v>514</v>
      </c>
    </row>
    <row r="2199" spans="1:14" ht="14.5" x14ac:dyDescent="0.35">
      <c r="A2199" s="260" t="s">
        <v>566</v>
      </c>
      <c r="B2199" s="190">
        <v>45658</v>
      </c>
      <c r="C2199" s="260" t="s">
        <v>754</v>
      </c>
      <c r="D2199" s="197">
        <v>0</v>
      </c>
      <c r="E2199" s="197">
        <v>0</v>
      </c>
      <c r="F2199" s="197">
        <v>80</v>
      </c>
      <c r="G2199" s="190">
        <v>45658</v>
      </c>
      <c r="H2199" s="196">
        <v>0</v>
      </c>
      <c r="I2199" s="197">
        <v>0</v>
      </c>
      <c r="J2199" s="197">
        <v>0</v>
      </c>
      <c r="K2199" s="197">
        <v>0</v>
      </c>
      <c r="L2199" s="197">
        <v>0</v>
      </c>
      <c r="M2199" s="260" t="s">
        <v>239</v>
      </c>
      <c r="N2199" s="260" t="s">
        <v>514</v>
      </c>
    </row>
    <row r="2200" spans="1:14" ht="14.5" x14ac:dyDescent="0.35">
      <c r="A2200" s="260" t="s">
        <v>566</v>
      </c>
      <c r="B2200" s="190">
        <v>45659</v>
      </c>
      <c r="C2200" s="260" t="s">
        <v>749</v>
      </c>
      <c r="D2200" s="197">
        <v>0</v>
      </c>
      <c r="E2200" s="197">
        <v>0</v>
      </c>
      <c r="F2200" s="197">
        <v>100.07</v>
      </c>
      <c r="G2200" s="190">
        <v>45659</v>
      </c>
      <c r="H2200" s="196">
        <v>0</v>
      </c>
      <c r="I2200" s="197">
        <v>0</v>
      </c>
      <c r="J2200" s="197">
        <v>0</v>
      </c>
      <c r="K2200" s="197">
        <v>0</v>
      </c>
      <c r="L2200" s="197">
        <v>0</v>
      </c>
      <c r="M2200" s="260" t="s">
        <v>239</v>
      </c>
      <c r="N2200" s="260" t="s">
        <v>514</v>
      </c>
    </row>
    <row r="2201" spans="1:14" ht="14.5" x14ac:dyDescent="0.35">
      <c r="A2201" s="260" t="s">
        <v>566</v>
      </c>
      <c r="B2201" s="190">
        <v>45659</v>
      </c>
      <c r="C2201" s="260" t="s">
        <v>752</v>
      </c>
      <c r="D2201" s="197">
        <v>0</v>
      </c>
      <c r="E2201" s="197">
        <v>0</v>
      </c>
      <c r="F2201" s="197">
        <v>199.83</v>
      </c>
      <c r="G2201" s="190">
        <v>45659</v>
      </c>
      <c r="H2201" s="196">
        <v>0</v>
      </c>
      <c r="I2201" s="197">
        <v>0</v>
      </c>
      <c r="J2201" s="197">
        <v>0</v>
      </c>
      <c r="K2201" s="197">
        <v>0</v>
      </c>
      <c r="L2201" s="197">
        <v>0</v>
      </c>
      <c r="M2201" s="260" t="s">
        <v>239</v>
      </c>
      <c r="N2201" s="260" t="s">
        <v>514</v>
      </c>
    </row>
    <row r="2202" spans="1:14" ht="14.5" x14ac:dyDescent="0.35">
      <c r="A2202" s="260" t="s">
        <v>566</v>
      </c>
      <c r="B2202" s="190">
        <v>45659</v>
      </c>
      <c r="C2202" s="260" t="s">
        <v>754</v>
      </c>
      <c r="D2202" s="197">
        <v>0</v>
      </c>
      <c r="E2202" s="197">
        <v>0</v>
      </c>
      <c r="F2202" s="197">
        <v>80.069999999999993</v>
      </c>
      <c r="G2202" s="190">
        <v>45659</v>
      </c>
      <c r="H2202" s="196">
        <v>0</v>
      </c>
      <c r="I2202" s="197">
        <v>0</v>
      </c>
      <c r="J2202" s="197">
        <v>0</v>
      </c>
      <c r="K2202" s="197">
        <v>0</v>
      </c>
      <c r="L2202" s="197">
        <v>0</v>
      </c>
      <c r="M2202" s="260" t="s">
        <v>239</v>
      </c>
      <c r="N2202" s="260" t="s">
        <v>514</v>
      </c>
    </row>
    <row r="2203" spans="1:14" ht="14.5" x14ac:dyDescent="0.35">
      <c r="A2203" s="260" t="s">
        <v>566</v>
      </c>
      <c r="B2203" s="190">
        <v>45660</v>
      </c>
      <c r="C2203" s="260" t="s">
        <v>749</v>
      </c>
      <c r="D2203" s="197">
        <v>0</v>
      </c>
      <c r="E2203" s="197">
        <v>0</v>
      </c>
      <c r="F2203" s="197">
        <v>100.13</v>
      </c>
      <c r="G2203" s="190">
        <v>45660</v>
      </c>
      <c r="H2203" s="196">
        <v>0</v>
      </c>
      <c r="I2203" s="197">
        <v>0</v>
      </c>
      <c r="J2203" s="197">
        <v>0</v>
      </c>
      <c r="K2203" s="197">
        <v>0</v>
      </c>
      <c r="L2203" s="197">
        <v>0</v>
      </c>
      <c r="M2203" s="260" t="s">
        <v>239</v>
      </c>
      <c r="N2203" s="260" t="s">
        <v>514</v>
      </c>
    </row>
    <row r="2204" spans="1:14" ht="14.5" x14ac:dyDescent="0.35">
      <c r="A2204" s="260" t="s">
        <v>566</v>
      </c>
      <c r="B2204" s="190">
        <v>45660</v>
      </c>
      <c r="C2204" s="260" t="s">
        <v>752</v>
      </c>
      <c r="D2204" s="197">
        <v>0</v>
      </c>
      <c r="E2204" s="197">
        <v>0</v>
      </c>
      <c r="F2204" s="197">
        <v>199.67</v>
      </c>
      <c r="G2204" s="190">
        <v>45660</v>
      </c>
      <c r="H2204" s="196">
        <v>0</v>
      </c>
      <c r="I2204" s="197">
        <v>0</v>
      </c>
      <c r="J2204" s="197">
        <v>0</v>
      </c>
      <c r="K2204" s="197">
        <v>0</v>
      </c>
      <c r="L2204" s="197">
        <v>0</v>
      </c>
      <c r="M2204" s="260" t="s">
        <v>239</v>
      </c>
      <c r="N2204" s="260" t="s">
        <v>514</v>
      </c>
    </row>
    <row r="2205" spans="1:14" ht="14.5" x14ac:dyDescent="0.35">
      <c r="A2205" s="260" t="s">
        <v>566</v>
      </c>
      <c r="B2205" s="190">
        <v>45660</v>
      </c>
      <c r="C2205" s="260" t="s">
        <v>754</v>
      </c>
      <c r="D2205" s="197">
        <v>0</v>
      </c>
      <c r="E2205" s="197">
        <v>0</v>
      </c>
      <c r="F2205" s="197">
        <v>80.13</v>
      </c>
      <c r="G2205" s="190">
        <v>45660</v>
      </c>
      <c r="H2205" s="196">
        <v>0</v>
      </c>
      <c r="I2205" s="197">
        <v>0</v>
      </c>
      <c r="J2205" s="197">
        <v>0</v>
      </c>
      <c r="K2205" s="197">
        <v>0</v>
      </c>
      <c r="L2205" s="197">
        <v>0</v>
      </c>
      <c r="M2205" s="260" t="s">
        <v>239</v>
      </c>
      <c r="N2205" s="260" t="s">
        <v>514</v>
      </c>
    </row>
    <row r="2206" spans="1:14" ht="14.5" x14ac:dyDescent="0.35">
      <c r="A2206" s="260" t="s">
        <v>566</v>
      </c>
      <c r="B2206" s="190">
        <v>45661</v>
      </c>
      <c r="C2206" s="260" t="s">
        <v>749</v>
      </c>
      <c r="D2206" s="197">
        <v>0</v>
      </c>
      <c r="E2206" s="197">
        <v>0</v>
      </c>
      <c r="F2206" s="197">
        <v>100.13</v>
      </c>
      <c r="G2206" s="190">
        <v>45660</v>
      </c>
      <c r="H2206" s="196">
        <v>1</v>
      </c>
      <c r="I2206" s="197">
        <v>0</v>
      </c>
      <c r="J2206" s="197">
        <v>0</v>
      </c>
      <c r="K2206" s="197">
        <v>0</v>
      </c>
      <c r="L2206" s="197">
        <v>0</v>
      </c>
      <c r="M2206" s="260" t="s">
        <v>239</v>
      </c>
      <c r="N2206" s="260" t="s">
        <v>514</v>
      </c>
    </row>
    <row r="2207" spans="1:14" ht="14.5" x14ac:dyDescent="0.35">
      <c r="A2207" s="260" t="s">
        <v>566</v>
      </c>
      <c r="B2207" s="190">
        <v>45661</v>
      </c>
      <c r="C2207" s="260" t="s">
        <v>752</v>
      </c>
      <c r="D2207" s="197">
        <v>0</v>
      </c>
      <c r="E2207" s="197">
        <v>0</v>
      </c>
      <c r="F2207" s="197">
        <v>199.67</v>
      </c>
      <c r="G2207" s="190">
        <v>45660</v>
      </c>
      <c r="H2207" s="196">
        <v>1</v>
      </c>
      <c r="I2207" s="197">
        <v>0</v>
      </c>
      <c r="J2207" s="197">
        <v>0</v>
      </c>
      <c r="K2207" s="197">
        <v>0</v>
      </c>
      <c r="L2207" s="197">
        <v>0</v>
      </c>
      <c r="M2207" s="260" t="s">
        <v>239</v>
      </c>
      <c r="N2207" s="260" t="s">
        <v>514</v>
      </c>
    </row>
    <row r="2208" spans="1:14" ht="14.5" x14ac:dyDescent="0.35">
      <c r="A2208" s="260" t="s">
        <v>566</v>
      </c>
      <c r="B2208" s="190">
        <v>45661</v>
      </c>
      <c r="C2208" s="260" t="s">
        <v>754</v>
      </c>
      <c r="D2208" s="197">
        <v>0</v>
      </c>
      <c r="E2208" s="197">
        <v>0</v>
      </c>
      <c r="F2208" s="197">
        <v>80.13</v>
      </c>
      <c r="G2208" s="190">
        <v>45660</v>
      </c>
      <c r="H2208" s="196">
        <v>1</v>
      </c>
      <c r="I2208" s="197">
        <v>0</v>
      </c>
      <c r="J2208" s="197">
        <v>0</v>
      </c>
      <c r="K2208" s="197">
        <v>0</v>
      </c>
      <c r="L2208" s="197">
        <v>0</v>
      </c>
      <c r="M2208" s="260" t="s">
        <v>239</v>
      </c>
      <c r="N2208" s="260" t="s">
        <v>514</v>
      </c>
    </row>
    <row r="2209" spans="1:14" ht="14.5" x14ac:dyDescent="0.35">
      <c r="A2209" s="260" t="s">
        <v>566</v>
      </c>
      <c r="B2209" s="190">
        <v>45662</v>
      </c>
      <c r="C2209" s="260" t="s">
        <v>749</v>
      </c>
      <c r="D2209" s="197">
        <v>0</v>
      </c>
      <c r="E2209" s="197">
        <v>0</v>
      </c>
      <c r="F2209" s="197">
        <v>100.13</v>
      </c>
      <c r="G2209" s="190">
        <v>45660</v>
      </c>
      <c r="H2209" s="196">
        <v>2</v>
      </c>
      <c r="I2209" s="197">
        <v>0</v>
      </c>
      <c r="J2209" s="197">
        <v>0</v>
      </c>
      <c r="K2209" s="197">
        <v>0</v>
      </c>
      <c r="L2209" s="197">
        <v>0</v>
      </c>
      <c r="M2209" s="260" t="s">
        <v>239</v>
      </c>
      <c r="N2209" s="260" t="s">
        <v>514</v>
      </c>
    </row>
    <row r="2210" spans="1:14" ht="14.5" x14ac:dyDescent="0.35">
      <c r="A2210" s="260" t="s">
        <v>566</v>
      </c>
      <c r="B2210" s="190">
        <v>45662</v>
      </c>
      <c r="C2210" s="260" t="s">
        <v>752</v>
      </c>
      <c r="D2210" s="197">
        <v>0</v>
      </c>
      <c r="E2210" s="197">
        <v>0</v>
      </c>
      <c r="F2210" s="197">
        <v>199.67</v>
      </c>
      <c r="G2210" s="190">
        <v>45660</v>
      </c>
      <c r="H2210" s="196">
        <v>2</v>
      </c>
      <c r="I2210" s="197">
        <v>0</v>
      </c>
      <c r="J2210" s="197">
        <v>0</v>
      </c>
      <c r="K2210" s="197">
        <v>0</v>
      </c>
      <c r="L2210" s="197">
        <v>0</v>
      </c>
      <c r="M2210" s="260" t="s">
        <v>239</v>
      </c>
      <c r="N2210" s="260" t="s">
        <v>514</v>
      </c>
    </row>
    <row r="2211" spans="1:14" ht="14.5" x14ac:dyDescent="0.35">
      <c r="A2211" s="260" t="s">
        <v>566</v>
      </c>
      <c r="B2211" s="190">
        <v>45662</v>
      </c>
      <c r="C2211" s="260" t="s">
        <v>754</v>
      </c>
      <c r="D2211" s="197">
        <v>0</v>
      </c>
      <c r="E2211" s="197">
        <v>0</v>
      </c>
      <c r="F2211" s="197">
        <v>80.13</v>
      </c>
      <c r="G2211" s="190">
        <v>45660</v>
      </c>
      <c r="H2211" s="196">
        <v>2</v>
      </c>
      <c r="I2211" s="197">
        <v>0</v>
      </c>
      <c r="J2211" s="197">
        <v>0</v>
      </c>
      <c r="K2211" s="197">
        <v>0</v>
      </c>
      <c r="L2211" s="197">
        <v>0</v>
      </c>
      <c r="M2211" s="260" t="s">
        <v>239</v>
      </c>
      <c r="N2211" s="260" t="s">
        <v>514</v>
      </c>
    </row>
    <row r="2212" spans="1:14" ht="14.5" x14ac:dyDescent="0.35">
      <c r="A2212" s="260" t="s">
        <v>566</v>
      </c>
      <c r="B2212" s="190">
        <v>45663</v>
      </c>
      <c r="C2212" s="260" t="s">
        <v>749</v>
      </c>
      <c r="D2212" s="197">
        <v>0</v>
      </c>
      <c r="E2212" s="197">
        <v>0</v>
      </c>
      <c r="F2212" s="197">
        <v>100.33</v>
      </c>
      <c r="G2212" s="190">
        <v>45663</v>
      </c>
      <c r="H2212" s="196">
        <v>0</v>
      </c>
      <c r="I2212" s="197">
        <v>0</v>
      </c>
      <c r="J2212" s="197">
        <v>0</v>
      </c>
      <c r="K2212" s="197">
        <v>0</v>
      </c>
      <c r="L2212" s="197">
        <v>0</v>
      </c>
      <c r="M2212" s="260" t="s">
        <v>239</v>
      </c>
      <c r="N2212" s="260" t="s">
        <v>514</v>
      </c>
    </row>
    <row r="2213" spans="1:14" ht="14.5" x14ac:dyDescent="0.35">
      <c r="A2213" s="260" t="s">
        <v>566</v>
      </c>
      <c r="B2213" s="190">
        <v>45663</v>
      </c>
      <c r="C2213" s="260" t="s">
        <v>752</v>
      </c>
      <c r="D2213" s="197">
        <v>0</v>
      </c>
      <c r="E2213" s="197">
        <v>0</v>
      </c>
      <c r="F2213" s="197">
        <v>199.17</v>
      </c>
      <c r="G2213" s="190">
        <v>45663</v>
      </c>
      <c r="H2213" s="196">
        <v>0</v>
      </c>
      <c r="I2213" s="197">
        <v>0</v>
      </c>
      <c r="J2213" s="197">
        <v>0</v>
      </c>
      <c r="K2213" s="197">
        <v>0</v>
      </c>
      <c r="L2213" s="197">
        <v>0</v>
      </c>
      <c r="M2213" s="260" t="s">
        <v>239</v>
      </c>
      <c r="N2213" s="260" t="s">
        <v>514</v>
      </c>
    </row>
    <row r="2214" spans="1:14" ht="14.5" x14ac:dyDescent="0.35">
      <c r="A2214" s="260" t="s">
        <v>566</v>
      </c>
      <c r="B2214" s="190">
        <v>45663</v>
      </c>
      <c r="C2214" s="260" t="s">
        <v>754</v>
      </c>
      <c r="D2214" s="197">
        <v>0</v>
      </c>
      <c r="E2214" s="197">
        <v>0</v>
      </c>
      <c r="F2214" s="197">
        <v>80.33</v>
      </c>
      <c r="G2214" s="190">
        <v>45663</v>
      </c>
      <c r="H2214" s="196">
        <v>0</v>
      </c>
      <c r="I2214" s="197">
        <v>0</v>
      </c>
      <c r="J2214" s="197">
        <v>0</v>
      </c>
      <c r="K2214" s="197">
        <v>0</v>
      </c>
      <c r="L2214" s="197">
        <v>0</v>
      </c>
      <c r="M2214" s="260" t="s">
        <v>239</v>
      </c>
      <c r="N2214" s="260" t="s">
        <v>514</v>
      </c>
    </row>
    <row r="2215" spans="1:14" ht="14.5" x14ac:dyDescent="0.35">
      <c r="A2215" s="260" t="s">
        <v>566</v>
      </c>
      <c r="B2215" s="190">
        <v>45664</v>
      </c>
      <c r="C2215" s="260" t="s">
        <v>749</v>
      </c>
      <c r="D2215" s="197">
        <v>0</v>
      </c>
      <c r="E2215" s="197">
        <v>0</v>
      </c>
      <c r="F2215" s="197">
        <v>100.4</v>
      </c>
      <c r="G2215" s="190">
        <v>45664</v>
      </c>
      <c r="H2215" s="196">
        <v>0</v>
      </c>
      <c r="I2215" s="197">
        <v>0</v>
      </c>
      <c r="J2215" s="197">
        <v>0</v>
      </c>
      <c r="K2215" s="197">
        <v>0</v>
      </c>
      <c r="L2215" s="197">
        <v>0</v>
      </c>
      <c r="M2215" s="260" t="s">
        <v>239</v>
      </c>
      <c r="N2215" s="260" t="s">
        <v>514</v>
      </c>
    </row>
    <row r="2216" spans="1:14" ht="14.5" x14ac:dyDescent="0.35">
      <c r="A2216" s="260" t="s">
        <v>566</v>
      </c>
      <c r="B2216" s="190">
        <v>45664</v>
      </c>
      <c r="C2216" s="260" t="s">
        <v>752</v>
      </c>
      <c r="D2216" s="197">
        <v>0</v>
      </c>
      <c r="E2216" s="197">
        <v>0</v>
      </c>
      <c r="F2216" s="197">
        <v>199</v>
      </c>
      <c r="G2216" s="190">
        <v>45664</v>
      </c>
      <c r="H2216" s="196">
        <v>0</v>
      </c>
      <c r="I2216" s="197">
        <v>0</v>
      </c>
      <c r="J2216" s="197">
        <v>0</v>
      </c>
      <c r="K2216" s="197">
        <v>0</v>
      </c>
      <c r="L2216" s="197">
        <v>0</v>
      </c>
      <c r="M2216" s="260" t="s">
        <v>239</v>
      </c>
      <c r="N2216" s="260" t="s">
        <v>514</v>
      </c>
    </row>
    <row r="2217" spans="1:14" ht="14.5" x14ac:dyDescent="0.35">
      <c r="A2217" s="260" t="s">
        <v>566</v>
      </c>
      <c r="B2217" s="190">
        <v>45664</v>
      </c>
      <c r="C2217" s="260" t="s">
        <v>754</v>
      </c>
      <c r="D2217" s="197">
        <v>0</v>
      </c>
      <c r="E2217" s="197">
        <v>0</v>
      </c>
      <c r="F2217" s="197">
        <v>80.400000000000006</v>
      </c>
      <c r="G2217" s="190">
        <v>45664</v>
      </c>
      <c r="H2217" s="196">
        <v>0</v>
      </c>
      <c r="I2217" s="197">
        <v>0</v>
      </c>
      <c r="J2217" s="197">
        <v>0</v>
      </c>
      <c r="K2217" s="197">
        <v>0</v>
      </c>
      <c r="L2217" s="197">
        <v>0</v>
      </c>
      <c r="M2217" s="260" t="s">
        <v>239</v>
      </c>
      <c r="N2217" s="260" t="s">
        <v>514</v>
      </c>
    </row>
    <row r="2218" spans="1:14" ht="14.5" x14ac:dyDescent="0.35">
      <c r="A2218" s="260" t="s">
        <v>566</v>
      </c>
      <c r="B2218" s="190">
        <v>45665</v>
      </c>
      <c r="C2218" s="260" t="s">
        <v>749</v>
      </c>
      <c r="D2218" s="197">
        <v>0</v>
      </c>
      <c r="E2218" s="197">
        <v>0</v>
      </c>
      <c r="F2218" s="197">
        <v>100.47</v>
      </c>
      <c r="G2218" s="190">
        <v>45665</v>
      </c>
      <c r="H2218" s="196">
        <v>0</v>
      </c>
      <c r="I2218" s="197">
        <v>0</v>
      </c>
      <c r="J2218" s="197">
        <v>0</v>
      </c>
      <c r="K2218" s="197">
        <v>0</v>
      </c>
      <c r="L2218" s="197">
        <v>0</v>
      </c>
      <c r="M2218" s="260" t="s">
        <v>239</v>
      </c>
      <c r="N2218" s="260" t="s">
        <v>514</v>
      </c>
    </row>
    <row r="2219" spans="1:14" ht="14.5" x14ac:dyDescent="0.35">
      <c r="A2219" s="260" t="s">
        <v>566</v>
      </c>
      <c r="B2219" s="190">
        <v>45665</v>
      </c>
      <c r="C2219" s="260" t="s">
        <v>752</v>
      </c>
      <c r="D2219" s="197">
        <v>0</v>
      </c>
      <c r="E2219" s="197">
        <v>0</v>
      </c>
      <c r="F2219" s="197">
        <v>198.83</v>
      </c>
      <c r="G2219" s="190">
        <v>45665</v>
      </c>
      <c r="H2219" s="196">
        <v>0</v>
      </c>
      <c r="I2219" s="197">
        <v>0</v>
      </c>
      <c r="J2219" s="197">
        <v>0</v>
      </c>
      <c r="K2219" s="197">
        <v>0</v>
      </c>
      <c r="L2219" s="197">
        <v>0</v>
      </c>
      <c r="M2219" s="260" t="s">
        <v>239</v>
      </c>
      <c r="N2219" s="260" t="s">
        <v>514</v>
      </c>
    </row>
    <row r="2220" spans="1:14" ht="14.5" x14ac:dyDescent="0.35">
      <c r="A2220" s="260" t="s">
        <v>566</v>
      </c>
      <c r="B2220" s="190">
        <v>45665</v>
      </c>
      <c r="C2220" s="260" t="s">
        <v>754</v>
      </c>
      <c r="D2220" s="197">
        <v>0</v>
      </c>
      <c r="E2220" s="197">
        <v>0</v>
      </c>
      <c r="F2220" s="197">
        <v>80.47</v>
      </c>
      <c r="G2220" s="190">
        <v>45665</v>
      </c>
      <c r="H2220" s="196">
        <v>0</v>
      </c>
      <c r="I2220" s="197">
        <v>0</v>
      </c>
      <c r="J2220" s="197">
        <v>0</v>
      </c>
      <c r="K2220" s="197">
        <v>0</v>
      </c>
      <c r="L2220" s="197">
        <v>0</v>
      </c>
      <c r="M2220" s="260" t="s">
        <v>239</v>
      </c>
      <c r="N2220" s="260" t="s">
        <v>514</v>
      </c>
    </row>
    <row r="2221" spans="1:14" ht="14.5" x14ac:dyDescent="0.35">
      <c r="A2221" s="260" t="s">
        <v>566</v>
      </c>
      <c r="B2221" s="190">
        <v>45666</v>
      </c>
      <c r="C2221" s="260" t="s">
        <v>749</v>
      </c>
      <c r="D2221" s="197">
        <v>0</v>
      </c>
      <c r="E2221" s="197">
        <v>0</v>
      </c>
      <c r="F2221" s="197">
        <v>100.53</v>
      </c>
      <c r="G2221" s="190">
        <v>45666</v>
      </c>
      <c r="H2221" s="196">
        <v>0</v>
      </c>
      <c r="I2221" s="197">
        <v>0</v>
      </c>
      <c r="J2221" s="197">
        <v>0</v>
      </c>
      <c r="K2221" s="197">
        <v>0</v>
      </c>
      <c r="L2221" s="197">
        <v>0</v>
      </c>
      <c r="M2221" s="260" t="s">
        <v>239</v>
      </c>
      <c r="N2221" s="260" t="s">
        <v>514</v>
      </c>
    </row>
    <row r="2222" spans="1:14" ht="14.5" x14ac:dyDescent="0.35">
      <c r="A2222" s="260" t="s">
        <v>566</v>
      </c>
      <c r="B2222" s="190">
        <v>45666</v>
      </c>
      <c r="C2222" s="260" t="s">
        <v>752</v>
      </c>
      <c r="D2222" s="197">
        <v>0</v>
      </c>
      <c r="E2222" s="197">
        <v>0</v>
      </c>
      <c r="F2222" s="197">
        <v>198.67</v>
      </c>
      <c r="G2222" s="190">
        <v>45666</v>
      </c>
      <c r="H2222" s="196">
        <v>0</v>
      </c>
      <c r="I2222" s="197">
        <v>0</v>
      </c>
      <c r="J2222" s="197">
        <v>0</v>
      </c>
      <c r="K2222" s="197">
        <v>0</v>
      </c>
      <c r="L2222" s="197">
        <v>0</v>
      </c>
      <c r="M2222" s="260" t="s">
        <v>239</v>
      </c>
      <c r="N2222" s="260" t="s">
        <v>514</v>
      </c>
    </row>
    <row r="2223" spans="1:14" ht="14.5" x14ac:dyDescent="0.35">
      <c r="A2223" s="260" t="s">
        <v>566</v>
      </c>
      <c r="B2223" s="190">
        <v>45666</v>
      </c>
      <c r="C2223" s="260" t="s">
        <v>754</v>
      </c>
      <c r="D2223" s="197">
        <v>0</v>
      </c>
      <c r="E2223" s="197">
        <v>0</v>
      </c>
      <c r="F2223" s="197">
        <v>80.53</v>
      </c>
      <c r="G2223" s="190">
        <v>45666</v>
      </c>
      <c r="H2223" s="196">
        <v>0</v>
      </c>
      <c r="I2223" s="197">
        <v>0</v>
      </c>
      <c r="J2223" s="197">
        <v>0</v>
      </c>
      <c r="K2223" s="197">
        <v>0</v>
      </c>
      <c r="L2223" s="197">
        <v>0</v>
      </c>
      <c r="M2223" s="260" t="s">
        <v>239</v>
      </c>
      <c r="N2223" s="260" t="s">
        <v>514</v>
      </c>
    </row>
    <row r="2224" spans="1:14" ht="14.5" x14ac:dyDescent="0.35">
      <c r="A2224" s="260" t="s">
        <v>566</v>
      </c>
      <c r="B2224" s="190">
        <v>45667</v>
      </c>
      <c r="C2224" s="260" t="s">
        <v>749</v>
      </c>
      <c r="D2224" s="197">
        <v>0</v>
      </c>
      <c r="E2224" s="197">
        <v>0</v>
      </c>
      <c r="F2224" s="197">
        <v>100.6</v>
      </c>
      <c r="G2224" s="190">
        <v>45667</v>
      </c>
      <c r="H2224" s="196">
        <v>0</v>
      </c>
      <c r="I2224" s="197">
        <v>0</v>
      </c>
      <c r="J2224" s="197">
        <v>0</v>
      </c>
      <c r="K2224" s="197">
        <v>0</v>
      </c>
      <c r="L2224" s="197">
        <v>0</v>
      </c>
      <c r="M2224" s="260" t="s">
        <v>239</v>
      </c>
      <c r="N2224" s="260" t="s">
        <v>514</v>
      </c>
    </row>
    <row r="2225" spans="1:14" ht="14.5" x14ac:dyDescent="0.35">
      <c r="A2225" s="260" t="s">
        <v>566</v>
      </c>
      <c r="B2225" s="190">
        <v>45667</v>
      </c>
      <c r="C2225" s="260" t="s">
        <v>752</v>
      </c>
      <c r="D2225" s="197">
        <v>0</v>
      </c>
      <c r="E2225" s="197">
        <v>0</v>
      </c>
      <c r="F2225" s="197">
        <v>198.5</v>
      </c>
      <c r="G2225" s="190">
        <v>45667</v>
      </c>
      <c r="H2225" s="196">
        <v>0</v>
      </c>
      <c r="I2225" s="197">
        <v>0</v>
      </c>
      <c r="J2225" s="197">
        <v>0</v>
      </c>
      <c r="K2225" s="197">
        <v>0</v>
      </c>
      <c r="L2225" s="197">
        <v>0</v>
      </c>
      <c r="M2225" s="260" t="s">
        <v>239</v>
      </c>
      <c r="N2225" s="260" t="s">
        <v>514</v>
      </c>
    </row>
    <row r="2226" spans="1:14" ht="14.5" x14ac:dyDescent="0.35">
      <c r="A2226" s="260" t="s">
        <v>566</v>
      </c>
      <c r="B2226" s="190">
        <v>45667</v>
      </c>
      <c r="C2226" s="260" t="s">
        <v>754</v>
      </c>
      <c r="D2226" s="197">
        <v>0</v>
      </c>
      <c r="E2226" s="197">
        <v>0</v>
      </c>
      <c r="F2226" s="197">
        <v>80.599999999999994</v>
      </c>
      <c r="G2226" s="190">
        <v>45667</v>
      </c>
      <c r="H2226" s="196">
        <v>0</v>
      </c>
      <c r="I2226" s="197">
        <v>0</v>
      </c>
      <c r="J2226" s="197">
        <v>0</v>
      </c>
      <c r="K2226" s="197">
        <v>0</v>
      </c>
      <c r="L2226" s="197">
        <v>0</v>
      </c>
      <c r="M2226" s="260" t="s">
        <v>239</v>
      </c>
      <c r="N2226" s="260" t="s">
        <v>514</v>
      </c>
    </row>
    <row r="2227" spans="1:14" ht="14.5" x14ac:dyDescent="0.35">
      <c r="A2227" s="260" t="s">
        <v>566</v>
      </c>
      <c r="B2227" s="190">
        <v>45668</v>
      </c>
      <c r="C2227" s="260" t="s">
        <v>749</v>
      </c>
      <c r="D2227" s="197">
        <v>0</v>
      </c>
      <c r="E2227" s="197">
        <v>0</v>
      </c>
      <c r="F2227" s="197">
        <v>100.6</v>
      </c>
      <c r="G2227" s="190">
        <v>45667</v>
      </c>
      <c r="H2227" s="196">
        <v>1</v>
      </c>
      <c r="I2227" s="197">
        <v>0</v>
      </c>
      <c r="J2227" s="197">
        <v>0</v>
      </c>
      <c r="K2227" s="197">
        <v>0</v>
      </c>
      <c r="L2227" s="197">
        <v>0</v>
      </c>
      <c r="M2227" s="260" t="s">
        <v>239</v>
      </c>
      <c r="N2227" s="260" t="s">
        <v>514</v>
      </c>
    </row>
    <row r="2228" spans="1:14" ht="14.5" x14ac:dyDescent="0.35">
      <c r="A2228" s="260" t="s">
        <v>566</v>
      </c>
      <c r="B2228" s="190">
        <v>45668</v>
      </c>
      <c r="C2228" s="260" t="s">
        <v>752</v>
      </c>
      <c r="D2228" s="197">
        <v>0</v>
      </c>
      <c r="E2228" s="197">
        <v>0</v>
      </c>
      <c r="F2228" s="197">
        <v>198.5</v>
      </c>
      <c r="G2228" s="190">
        <v>45667</v>
      </c>
      <c r="H2228" s="196">
        <v>1</v>
      </c>
      <c r="I2228" s="197">
        <v>0</v>
      </c>
      <c r="J2228" s="197">
        <v>0</v>
      </c>
      <c r="K2228" s="197">
        <v>0</v>
      </c>
      <c r="L2228" s="197">
        <v>0</v>
      </c>
      <c r="M2228" s="260" t="s">
        <v>239</v>
      </c>
      <c r="N2228" s="260" t="s">
        <v>514</v>
      </c>
    </row>
    <row r="2229" spans="1:14" ht="14.5" x14ac:dyDescent="0.35">
      <c r="A2229" s="260" t="s">
        <v>566</v>
      </c>
      <c r="B2229" s="190">
        <v>45668</v>
      </c>
      <c r="C2229" s="260" t="s">
        <v>754</v>
      </c>
      <c r="D2229" s="197">
        <v>0</v>
      </c>
      <c r="E2229" s="197">
        <v>0</v>
      </c>
      <c r="F2229" s="197">
        <v>80.599999999999994</v>
      </c>
      <c r="G2229" s="190">
        <v>45667</v>
      </c>
      <c r="H2229" s="196">
        <v>1</v>
      </c>
      <c r="I2229" s="197">
        <v>0</v>
      </c>
      <c r="J2229" s="197">
        <v>0</v>
      </c>
      <c r="K2229" s="197">
        <v>0</v>
      </c>
      <c r="L2229" s="197">
        <v>0</v>
      </c>
      <c r="M2229" s="260" t="s">
        <v>239</v>
      </c>
      <c r="N2229" s="260" t="s">
        <v>514</v>
      </c>
    </row>
    <row r="2230" spans="1:14" ht="14.5" x14ac:dyDescent="0.35">
      <c r="A2230" s="260" t="s">
        <v>566</v>
      </c>
      <c r="B2230" s="190">
        <v>45669</v>
      </c>
      <c r="C2230" s="260" t="s">
        <v>749</v>
      </c>
      <c r="D2230" s="197">
        <v>0</v>
      </c>
      <c r="E2230" s="197">
        <v>0</v>
      </c>
      <c r="F2230" s="197">
        <v>100.6</v>
      </c>
      <c r="G2230" s="190">
        <v>45667</v>
      </c>
      <c r="H2230" s="196">
        <v>2</v>
      </c>
      <c r="I2230" s="197">
        <v>0</v>
      </c>
      <c r="J2230" s="197">
        <v>0</v>
      </c>
      <c r="K2230" s="197">
        <v>0</v>
      </c>
      <c r="L2230" s="197">
        <v>0</v>
      </c>
      <c r="M2230" s="260" t="s">
        <v>239</v>
      </c>
      <c r="N2230" s="260" t="s">
        <v>514</v>
      </c>
    </row>
    <row r="2231" spans="1:14" ht="14.5" x14ac:dyDescent="0.35">
      <c r="A2231" s="260" t="s">
        <v>566</v>
      </c>
      <c r="B2231" s="190">
        <v>45669</v>
      </c>
      <c r="C2231" s="260" t="s">
        <v>752</v>
      </c>
      <c r="D2231" s="197">
        <v>0</v>
      </c>
      <c r="E2231" s="197">
        <v>0</v>
      </c>
      <c r="F2231" s="197">
        <v>198.5</v>
      </c>
      <c r="G2231" s="190">
        <v>45667</v>
      </c>
      <c r="H2231" s="196">
        <v>2</v>
      </c>
      <c r="I2231" s="197">
        <v>0</v>
      </c>
      <c r="J2231" s="197">
        <v>0</v>
      </c>
      <c r="K2231" s="197">
        <v>0</v>
      </c>
      <c r="L2231" s="197">
        <v>0</v>
      </c>
      <c r="M2231" s="260" t="s">
        <v>239</v>
      </c>
      <c r="N2231" s="260" t="s">
        <v>514</v>
      </c>
    </row>
    <row r="2232" spans="1:14" ht="14.5" x14ac:dyDescent="0.35">
      <c r="A2232" s="260" t="s">
        <v>566</v>
      </c>
      <c r="B2232" s="190">
        <v>45669</v>
      </c>
      <c r="C2232" s="260" t="s">
        <v>754</v>
      </c>
      <c r="D2232" s="197">
        <v>0</v>
      </c>
      <c r="E2232" s="197">
        <v>0</v>
      </c>
      <c r="F2232" s="197">
        <v>80.599999999999994</v>
      </c>
      <c r="G2232" s="190">
        <v>45667</v>
      </c>
      <c r="H2232" s="196">
        <v>2</v>
      </c>
      <c r="I2232" s="197">
        <v>0</v>
      </c>
      <c r="J2232" s="197">
        <v>0</v>
      </c>
      <c r="K2232" s="197">
        <v>0</v>
      </c>
      <c r="L2232" s="197">
        <v>0</v>
      </c>
      <c r="M2232" s="260" t="s">
        <v>239</v>
      </c>
      <c r="N2232" s="260" t="s">
        <v>514</v>
      </c>
    </row>
    <row r="2233" spans="1:14" ht="14.5" x14ac:dyDescent="0.35">
      <c r="A2233" s="260" t="s">
        <v>566</v>
      </c>
      <c r="B2233" s="190">
        <v>45670</v>
      </c>
      <c r="C2233" s="260" t="s">
        <v>749</v>
      </c>
      <c r="D2233" s="197">
        <v>0</v>
      </c>
      <c r="E2233" s="197">
        <v>0</v>
      </c>
      <c r="F2233" s="197">
        <v>100.8</v>
      </c>
      <c r="G2233" s="190">
        <v>45670</v>
      </c>
      <c r="H2233" s="196">
        <v>0</v>
      </c>
      <c r="I2233" s="197">
        <v>0</v>
      </c>
      <c r="J2233" s="197">
        <v>0</v>
      </c>
      <c r="K2233" s="197">
        <v>0</v>
      </c>
      <c r="L2233" s="197">
        <v>0</v>
      </c>
      <c r="M2233" s="260" t="s">
        <v>239</v>
      </c>
      <c r="N2233" s="260" t="s">
        <v>514</v>
      </c>
    </row>
    <row r="2234" spans="1:14" ht="14.5" x14ac:dyDescent="0.35">
      <c r="A2234" s="260" t="s">
        <v>566</v>
      </c>
      <c r="B2234" s="190">
        <v>45670</v>
      </c>
      <c r="C2234" s="260" t="s">
        <v>752</v>
      </c>
      <c r="D2234" s="197">
        <v>0</v>
      </c>
      <c r="E2234" s="197">
        <v>0</v>
      </c>
      <c r="F2234" s="197">
        <v>198</v>
      </c>
      <c r="G2234" s="190">
        <v>45670</v>
      </c>
      <c r="H2234" s="196">
        <v>0</v>
      </c>
      <c r="I2234" s="197">
        <v>0</v>
      </c>
      <c r="J2234" s="197">
        <v>0</v>
      </c>
      <c r="K2234" s="197">
        <v>0</v>
      </c>
      <c r="L2234" s="197">
        <v>0</v>
      </c>
      <c r="M2234" s="260" t="s">
        <v>239</v>
      </c>
      <c r="N2234" s="260" t="s">
        <v>514</v>
      </c>
    </row>
    <row r="2235" spans="1:14" ht="14.5" x14ac:dyDescent="0.35">
      <c r="A2235" s="260" t="s">
        <v>566</v>
      </c>
      <c r="B2235" s="190">
        <v>45670</v>
      </c>
      <c r="C2235" s="260" t="s">
        <v>754</v>
      </c>
      <c r="D2235" s="197">
        <v>0</v>
      </c>
      <c r="E2235" s="197">
        <v>0</v>
      </c>
      <c r="F2235" s="197">
        <v>80.8</v>
      </c>
      <c r="G2235" s="190">
        <v>45670</v>
      </c>
      <c r="H2235" s="196">
        <v>0</v>
      </c>
      <c r="I2235" s="197">
        <v>0</v>
      </c>
      <c r="J2235" s="197">
        <v>0</v>
      </c>
      <c r="K2235" s="197">
        <v>0</v>
      </c>
      <c r="L2235" s="197">
        <v>0</v>
      </c>
      <c r="M2235" s="260" t="s">
        <v>239</v>
      </c>
      <c r="N2235" s="260" t="s">
        <v>514</v>
      </c>
    </row>
    <row r="2236" spans="1:14" ht="14.5" x14ac:dyDescent="0.35">
      <c r="A2236" s="260" t="s">
        <v>566</v>
      </c>
      <c r="B2236" s="190">
        <v>45671</v>
      </c>
      <c r="C2236" s="260" t="s">
        <v>749</v>
      </c>
      <c r="D2236" s="197">
        <v>0</v>
      </c>
      <c r="E2236" s="197">
        <v>0</v>
      </c>
      <c r="F2236" s="197">
        <v>100.87</v>
      </c>
      <c r="G2236" s="190">
        <v>45671</v>
      </c>
      <c r="H2236" s="196">
        <v>0</v>
      </c>
      <c r="I2236" s="197">
        <v>0</v>
      </c>
      <c r="J2236" s="197">
        <v>0</v>
      </c>
      <c r="K2236" s="197">
        <v>0</v>
      </c>
      <c r="L2236" s="197">
        <v>0</v>
      </c>
      <c r="M2236" s="260" t="s">
        <v>239</v>
      </c>
      <c r="N2236" s="260" t="s">
        <v>514</v>
      </c>
    </row>
    <row r="2237" spans="1:14" ht="14.5" x14ac:dyDescent="0.35">
      <c r="A2237" s="260" t="s">
        <v>566</v>
      </c>
      <c r="B2237" s="190">
        <v>45671</v>
      </c>
      <c r="C2237" s="260" t="s">
        <v>752</v>
      </c>
      <c r="D2237" s="197">
        <v>0</v>
      </c>
      <c r="E2237" s="197">
        <v>0</v>
      </c>
      <c r="F2237" s="197">
        <v>197.83</v>
      </c>
      <c r="G2237" s="190">
        <v>45671</v>
      </c>
      <c r="H2237" s="196">
        <v>0</v>
      </c>
      <c r="I2237" s="197">
        <v>0</v>
      </c>
      <c r="J2237" s="197">
        <v>0</v>
      </c>
      <c r="K2237" s="197">
        <v>0</v>
      </c>
      <c r="L2237" s="197">
        <v>0</v>
      </c>
      <c r="M2237" s="260" t="s">
        <v>239</v>
      </c>
      <c r="N2237" s="260" t="s">
        <v>514</v>
      </c>
    </row>
    <row r="2238" spans="1:14" ht="14.5" x14ac:dyDescent="0.35">
      <c r="A2238" s="260" t="s">
        <v>566</v>
      </c>
      <c r="B2238" s="190">
        <v>45671</v>
      </c>
      <c r="C2238" s="260" t="s">
        <v>754</v>
      </c>
      <c r="D2238" s="197">
        <v>0</v>
      </c>
      <c r="E2238" s="197">
        <v>0</v>
      </c>
      <c r="F2238" s="197">
        <v>80.87</v>
      </c>
      <c r="G2238" s="190">
        <v>45671</v>
      </c>
      <c r="H2238" s="196">
        <v>0</v>
      </c>
      <c r="I2238" s="197">
        <v>0</v>
      </c>
      <c r="J2238" s="197">
        <v>0</v>
      </c>
      <c r="K2238" s="197">
        <v>0</v>
      </c>
      <c r="L2238" s="197">
        <v>0</v>
      </c>
      <c r="M2238" s="260" t="s">
        <v>239</v>
      </c>
      <c r="N2238" s="260" t="s">
        <v>514</v>
      </c>
    </row>
    <row r="2239" spans="1:14" ht="14.5" x14ac:dyDescent="0.35">
      <c r="A2239" s="260" t="s">
        <v>566</v>
      </c>
      <c r="B2239" s="190">
        <v>45672</v>
      </c>
      <c r="C2239" s="260" t="s">
        <v>749</v>
      </c>
      <c r="D2239" s="197">
        <v>0</v>
      </c>
      <c r="E2239" s="197">
        <v>0</v>
      </c>
      <c r="F2239" s="197">
        <v>100.93</v>
      </c>
      <c r="G2239" s="190">
        <v>45672</v>
      </c>
      <c r="H2239" s="196">
        <v>0</v>
      </c>
      <c r="I2239" s="197">
        <v>0</v>
      </c>
      <c r="J2239" s="197">
        <v>0</v>
      </c>
      <c r="K2239" s="197">
        <v>0</v>
      </c>
      <c r="L2239" s="197">
        <v>0</v>
      </c>
      <c r="M2239" s="260" t="s">
        <v>239</v>
      </c>
      <c r="N2239" s="260" t="s">
        <v>514</v>
      </c>
    </row>
    <row r="2240" spans="1:14" ht="14.5" x14ac:dyDescent="0.35">
      <c r="A2240" s="260" t="s">
        <v>566</v>
      </c>
      <c r="B2240" s="190">
        <v>45672</v>
      </c>
      <c r="C2240" s="260" t="s">
        <v>752</v>
      </c>
      <c r="D2240" s="197">
        <v>0</v>
      </c>
      <c r="E2240" s="197">
        <v>0</v>
      </c>
      <c r="F2240" s="197">
        <v>197.67</v>
      </c>
      <c r="G2240" s="190">
        <v>45672</v>
      </c>
      <c r="H2240" s="196">
        <v>0</v>
      </c>
      <c r="I2240" s="197">
        <v>0</v>
      </c>
      <c r="J2240" s="197">
        <v>0</v>
      </c>
      <c r="K2240" s="197">
        <v>0</v>
      </c>
      <c r="L2240" s="197">
        <v>0</v>
      </c>
      <c r="M2240" s="260" t="s">
        <v>239</v>
      </c>
      <c r="N2240" s="260" t="s">
        <v>514</v>
      </c>
    </row>
    <row r="2241" spans="1:14" ht="14.5" x14ac:dyDescent="0.35">
      <c r="A2241" s="260" t="s">
        <v>566</v>
      </c>
      <c r="B2241" s="190">
        <v>45672</v>
      </c>
      <c r="C2241" s="260" t="s">
        <v>754</v>
      </c>
      <c r="D2241" s="197">
        <v>0</v>
      </c>
      <c r="E2241" s="197">
        <v>0</v>
      </c>
      <c r="F2241" s="197">
        <v>80.930000000000007</v>
      </c>
      <c r="G2241" s="190">
        <v>45672</v>
      </c>
      <c r="H2241" s="196">
        <v>0</v>
      </c>
      <c r="I2241" s="197">
        <v>0</v>
      </c>
      <c r="J2241" s="197">
        <v>0</v>
      </c>
      <c r="K2241" s="197">
        <v>0</v>
      </c>
      <c r="L2241" s="197">
        <v>0</v>
      </c>
      <c r="M2241" s="260" t="s">
        <v>239</v>
      </c>
      <c r="N2241" s="260" t="s">
        <v>514</v>
      </c>
    </row>
    <row r="2242" spans="1:14" ht="14.5" x14ac:dyDescent="0.35">
      <c r="A2242" s="260" t="s">
        <v>566</v>
      </c>
      <c r="B2242" s="190">
        <v>45673</v>
      </c>
      <c r="C2242" s="260" t="s">
        <v>749</v>
      </c>
      <c r="D2242" s="197">
        <v>0</v>
      </c>
      <c r="E2242" s="197">
        <v>0</v>
      </c>
      <c r="F2242" s="197">
        <v>101</v>
      </c>
      <c r="G2242" s="190">
        <v>45673</v>
      </c>
      <c r="H2242" s="196">
        <v>0</v>
      </c>
      <c r="I2242" s="197">
        <v>0</v>
      </c>
      <c r="J2242" s="197">
        <v>0</v>
      </c>
      <c r="K2242" s="197">
        <v>0</v>
      </c>
      <c r="L2242" s="197">
        <v>0</v>
      </c>
      <c r="M2242" s="260" t="s">
        <v>239</v>
      </c>
      <c r="N2242" s="260" t="s">
        <v>514</v>
      </c>
    </row>
    <row r="2243" spans="1:14" ht="14.5" x14ac:dyDescent="0.35">
      <c r="A2243" s="260" t="s">
        <v>566</v>
      </c>
      <c r="B2243" s="190">
        <v>45673</v>
      </c>
      <c r="C2243" s="260" t="s">
        <v>752</v>
      </c>
      <c r="D2243" s="197">
        <v>0</v>
      </c>
      <c r="E2243" s="197">
        <v>0</v>
      </c>
      <c r="F2243" s="197">
        <v>197.5</v>
      </c>
      <c r="G2243" s="190">
        <v>45673</v>
      </c>
      <c r="H2243" s="196">
        <v>0</v>
      </c>
      <c r="I2243" s="197">
        <v>0</v>
      </c>
      <c r="J2243" s="197">
        <v>0</v>
      </c>
      <c r="K2243" s="197">
        <v>0</v>
      </c>
      <c r="L2243" s="197">
        <v>0</v>
      </c>
      <c r="M2243" s="260" t="s">
        <v>239</v>
      </c>
      <c r="N2243" s="260" t="s">
        <v>514</v>
      </c>
    </row>
    <row r="2244" spans="1:14" ht="14.5" x14ac:dyDescent="0.35">
      <c r="A2244" s="260" t="s">
        <v>566</v>
      </c>
      <c r="B2244" s="190">
        <v>45673</v>
      </c>
      <c r="C2244" s="260" t="s">
        <v>754</v>
      </c>
      <c r="D2244" s="197">
        <v>0</v>
      </c>
      <c r="E2244" s="197">
        <v>0</v>
      </c>
      <c r="F2244" s="197">
        <v>81</v>
      </c>
      <c r="G2244" s="190">
        <v>45673</v>
      </c>
      <c r="H2244" s="196">
        <v>0</v>
      </c>
      <c r="I2244" s="197">
        <v>0</v>
      </c>
      <c r="J2244" s="197">
        <v>0</v>
      </c>
      <c r="K2244" s="197">
        <v>0</v>
      </c>
      <c r="L2244" s="197">
        <v>0</v>
      </c>
      <c r="M2244" s="260" t="s">
        <v>239</v>
      </c>
      <c r="N2244" s="260" t="s">
        <v>514</v>
      </c>
    </row>
    <row r="2245" spans="1:14" ht="14.5" x14ac:dyDescent="0.35">
      <c r="A2245" s="260" t="s">
        <v>566</v>
      </c>
      <c r="B2245" s="190">
        <v>45674</v>
      </c>
      <c r="C2245" s="260" t="s">
        <v>749</v>
      </c>
      <c r="D2245" s="197">
        <v>0</v>
      </c>
      <c r="E2245" s="197">
        <v>0</v>
      </c>
      <c r="F2245" s="197">
        <v>101.07</v>
      </c>
      <c r="G2245" s="190">
        <v>45674</v>
      </c>
      <c r="H2245" s="196">
        <v>0</v>
      </c>
      <c r="I2245" s="197">
        <v>0</v>
      </c>
      <c r="J2245" s="197">
        <v>0</v>
      </c>
      <c r="K2245" s="197">
        <v>0</v>
      </c>
      <c r="L2245" s="197">
        <v>0</v>
      </c>
      <c r="M2245" s="260" t="s">
        <v>239</v>
      </c>
      <c r="N2245" s="260" t="s">
        <v>514</v>
      </c>
    </row>
    <row r="2246" spans="1:14" ht="14.5" x14ac:dyDescent="0.35">
      <c r="A2246" s="260" t="s">
        <v>566</v>
      </c>
      <c r="B2246" s="190">
        <v>45674</v>
      </c>
      <c r="C2246" s="260" t="s">
        <v>752</v>
      </c>
      <c r="D2246" s="197">
        <v>0</v>
      </c>
      <c r="E2246" s="197">
        <v>0</v>
      </c>
      <c r="F2246" s="197">
        <v>197.33</v>
      </c>
      <c r="G2246" s="190">
        <v>45674</v>
      </c>
      <c r="H2246" s="196">
        <v>0</v>
      </c>
      <c r="I2246" s="197">
        <v>0</v>
      </c>
      <c r="J2246" s="197">
        <v>0</v>
      </c>
      <c r="K2246" s="197">
        <v>0</v>
      </c>
      <c r="L2246" s="197">
        <v>0</v>
      </c>
      <c r="M2246" s="260" t="s">
        <v>239</v>
      </c>
      <c r="N2246" s="260" t="s">
        <v>514</v>
      </c>
    </row>
    <row r="2247" spans="1:14" ht="14.5" x14ac:dyDescent="0.35">
      <c r="A2247" s="260" t="s">
        <v>566</v>
      </c>
      <c r="B2247" s="190">
        <v>45674</v>
      </c>
      <c r="C2247" s="260" t="s">
        <v>754</v>
      </c>
      <c r="D2247" s="197">
        <v>0</v>
      </c>
      <c r="E2247" s="197">
        <v>0</v>
      </c>
      <c r="F2247" s="197">
        <v>81.069999999999993</v>
      </c>
      <c r="G2247" s="190">
        <v>45674</v>
      </c>
      <c r="H2247" s="196">
        <v>0</v>
      </c>
      <c r="I2247" s="197">
        <v>0</v>
      </c>
      <c r="J2247" s="197">
        <v>0</v>
      </c>
      <c r="K2247" s="197">
        <v>0</v>
      </c>
      <c r="L2247" s="197">
        <v>0</v>
      </c>
      <c r="M2247" s="260" t="s">
        <v>239</v>
      </c>
      <c r="N2247" s="260" t="s">
        <v>514</v>
      </c>
    </row>
    <row r="2248" spans="1:14" ht="14.5" x14ac:dyDescent="0.35">
      <c r="A2248" s="260" t="s">
        <v>566</v>
      </c>
      <c r="B2248" s="190">
        <v>45675</v>
      </c>
      <c r="C2248" s="260" t="s">
        <v>749</v>
      </c>
      <c r="D2248" s="197">
        <v>0</v>
      </c>
      <c r="E2248" s="197">
        <v>0</v>
      </c>
      <c r="F2248" s="197">
        <v>101.07</v>
      </c>
      <c r="G2248" s="190">
        <v>45674</v>
      </c>
      <c r="H2248" s="196">
        <v>1</v>
      </c>
      <c r="I2248" s="197">
        <v>0</v>
      </c>
      <c r="J2248" s="197">
        <v>0</v>
      </c>
      <c r="K2248" s="197">
        <v>0</v>
      </c>
      <c r="L2248" s="197">
        <v>0</v>
      </c>
      <c r="M2248" s="260" t="s">
        <v>239</v>
      </c>
      <c r="N2248" s="260" t="s">
        <v>514</v>
      </c>
    </row>
    <row r="2249" spans="1:14" ht="14.5" x14ac:dyDescent="0.35">
      <c r="A2249" s="260" t="s">
        <v>566</v>
      </c>
      <c r="B2249" s="190">
        <v>45675</v>
      </c>
      <c r="C2249" s="260" t="s">
        <v>752</v>
      </c>
      <c r="D2249" s="197">
        <v>0</v>
      </c>
      <c r="E2249" s="197">
        <v>0</v>
      </c>
      <c r="F2249" s="197">
        <v>197.33</v>
      </c>
      <c r="G2249" s="190">
        <v>45674</v>
      </c>
      <c r="H2249" s="196">
        <v>1</v>
      </c>
      <c r="I2249" s="197">
        <v>0</v>
      </c>
      <c r="J2249" s="197">
        <v>0</v>
      </c>
      <c r="K2249" s="197">
        <v>0</v>
      </c>
      <c r="L2249" s="197">
        <v>0</v>
      </c>
      <c r="M2249" s="260" t="s">
        <v>239</v>
      </c>
      <c r="N2249" s="260" t="s">
        <v>514</v>
      </c>
    </row>
    <row r="2250" spans="1:14" ht="14.5" x14ac:dyDescent="0.35">
      <c r="A2250" s="260" t="s">
        <v>566</v>
      </c>
      <c r="B2250" s="190">
        <v>45675</v>
      </c>
      <c r="C2250" s="260" t="s">
        <v>754</v>
      </c>
      <c r="D2250" s="197">
        <v>0</v>
      </c>
      <c r="E2250" s="197">
        <v>0</v>
      </c>
      <c r="F2250" s="197">
        <v>81.069999999999993</v>
      </c>
      <c r="G2250" s="190">
        <v>45674</v>
      </c>
      <c r="H2250" s="196">
        <v>1</v>
      </c>
      <c r="I2250" s="197">
        <v>0</v>
      </c>
      <c r="J2250" s="197">
        <v>0</v>
      </c>
      <c r="K2250" s="197">
        <v>0</v>
      </c>
      <c r="L2250" s="197">
        <v>0</v>
      </c>
      <c r="M2250" s="260" t="s">
        <v>239</v>
      </c>
      <c r="N2250" s="260" t="s">
        <v>514</v>
      </c>
    </row>
    <row r="2251" spans="1:14" ht="14.5" x14ac:dyDescent="0.35">
      <c r="A2251" s="260" t="s">
        <v>566</v>
      </c>
      <c r="B2251" s="190">
        <v>45676</v>
      </c>
      <c r="C2251" s="260" t="s">
        <v>749</v>
      </c>
      <c r="D2251" s="197">
        <v>0</v>
      </c>
      <c r="E2251" s="197">
        <v>0</v>
      </c>
      <c r="F2251" s="197">
        <v>101.07</v>
      </c>
      <c r="G2251" s="190">
        <v>45674</v>
      </c>
      <c r="H2251" s="196">
        <v>2</v>
      </c>
      <c r="I2251" s="197">
        <v>0</v>
      </c>
      <c r="J2251" s="197">
        <v>0</v>
      </c>
      <c r="K2251" s="197">
        <v>0</v>
      </c>
      <c r="L2251" s="197">
        <v>0</v>
      </c>
      <c r="M2251" s="260" t="s">
        <v>239</v>
      </c>
      <c r="N2251" s="260" t="s">
        <v>514</v>
      </c>
    </row>
    <row r="2252" spans="1:14" ht="14.5" x14ac:dyDescent="0.35">
      <c r="A2252" s="260" t="s">
        <v>566</v>
      </c>
      <c r="B2252" s="190">
        <v>45676</v>
      </c>
      <c r="C2252" s="260" t="s">
        <v>752</v>
      </c>
      <c r="D2252" s="197">
        <v>0</v>
      </c>
      <c r="E2252" s="197">
        <v>0</v>
      </c>
      <c r="F2252" s="197">
        <v>197.33</v>
      </c>
      <c r="G2252" s="190">
        <v>45674</v>
      </c>
      <c r="H2252" s="196">
        <v>2</v>
      </c>
      <c r="I2252" s="197">
        <v>0</v>
      </c>
      <c r="J2252" s="197">
        <v>0</v>
      </c>
      <c r="K2252" s="197">
        <v>0</v>
      </c>
      <c r="L2252" s="197">
        <v>0</v>
      </c>
      <c r="M2252" s="260" t="s">
        <v>239</v>
      </c>
      <c r="N2252" s="260" t="s">
        <v>514</v>
      </c>
    </row>
    <row r="2253" spans="1:14" ht="14.5" x14ac:dyDescent="0.35">
      <c r="A2253" s="260" t="s">
        <v>566</v>
      </c>
      <c r="B2253" s="190">
        <v>45676</v>
      </c>
      <c r="C2253" s="260" t="s">
        <v>754</v>
      </c>
      <c r="D2253" s="197">
        <v>0</v>
      </c>
      <c r="E2253" s="197">
        <v>0</v>
      </c>
      <c r="F2253" s="197">
        <v>81.069999999999993</v>
      </c>
      <c r="G2253" s="190">
        <v>45674</v>
      </c>
      <c r="H2253" s="196">
        <v>2</v>
      </c>
      <c r="I2253" s="197">
        <v>0</v>
      </c>
      <c r="J2253" s="197">
        <v>0</v>
      </c>
      <c r="K2253" s="197">
        <v>0</v>
      </c>
      <c r="L2253" s="197">
        <v>0</v>
      </c>
      <c r="M2253" s="260" t="s">
        <v>239</v>
      </c>
      <c r="N2253" s="260" t="s">
        <v>514</v>
      </c>
    </row>
    <row r="2254" spans="1:14" ht="14.5" x14ac:dyDescent="0.35">
      <c r="A2254" s="260" t="s">
        <v>566</v>
      </c>
      <c r="B2254" s="190">
        <v>45677</v>
      </c>
      <c r="C2254" s="260" t="s">
        <v>749</v>
      </c>
      <c r="D2254" s="197">
        <v>0</v>
      </c>
      <c r="E2254" s="197">
        <v>0</v>
      </c>
      <c r="F2254" s="197">
        <v>101.27</v>
      </c>
      <c r="G2254" s="190">
        <v>45677</v>
      </c>
      <c r="H2254" s="196">
        <v>0</v>
      </c>
      <c r="I2254" s="197">
        <v>0</v>
      </c>
      <c r="J2254" s="197">
        <v>0</v>
      </c>
      <c r="K2254" s="197">
        <v>0</v>
      </c>
      <c r="L2254" s="197">
        <v>0</v>
      </c>
      <c r="M2254" s="260" t="s">
        <v>239</v>
      </c>
      <c r="N2254" s="260" t="s">
        <v>514</v>
      </c>
    </row>
    <row r="2255" spans="1:14" ht="14.5" x14ac:dyDescent="0.35">
      <c r="A2255" s="260" t="s">
        <v>566</v>
      </c>
      <c r="B2255" s="190">
        <v>45677</v>
      </c>
      <c r="C2255" s="260" t="s">
        <v>752</v>
      </c>
      <c r="D2255" s="197">
        <v>0</v>
      </c>
      <c r="E2255" s="197">
        <v>0</v>
      </c>
      <c r="F2255" s="197">
        <v>196.83</v>
      </c>
      <c r="G2255" s="190">
        <v>45677</v>
      </c>
      <c r="H2255" s="196">
        <v>0</v>
      </c>
      <c r="I2255" s="197">
        <v>0</v>
      </c>
      <c r="J2255" s="197">
        <v>0</v>
      </c>
      <c r="K2255" s="197">
        <v>0</v>
      </c>
      <c r="L2255" s="197">
        <v>0</v>
      </c>
      <c r="M2255" s="260" t="s">
        <v>239</v>
      </c>
      <c r="N2255" s="260" t="s">
        <v>514</v>
      </c>
    </row>
    <row r="2256" spans="1:14" ht="14.5" x14ac:dyDescent="0.35">
      <c r="A2256" s="260" t="s">
        <v>566</v>
      </c>
      <c r="B2256" s="190">
        <v>45677</v>
      </c>
      <c r="C2256" s="260" t="s">
        <v>754</v>
      </c>
      <c r="D2256" s="197">
        <v>0</v>
      </c>
      <c r="E2256" s="197">
        <v>0</v>
      </c>
      <c r="F2256" s="197">
        <v>81.27</v>
      </c>
      <c r="G2256" s="190">
        <v>45677</v>
      </c>
      <c r="H2256" s="196">
        <v>0</v>
      </c>
      <c r="I2256" s="197">
        <v>0</v>
      </c>
      <c r="J2256" s="197">
        <v>0</v>
      </c>
      <c r="K2256" s="197">
        <v>0</v>
      </c>
      <c r="L2256" s="197">
        <v>0</v>
      </c>
      <c r="M2256" s="260" t="s">
        <v>239</v>
      </c>
      <c r="N2256" s="260" t="s">
        <v>514</v>
      </c>
    </row>
    <row r="2257" spans="1:14" ht="14.5" x14ac:dyDescent="0.35">
      <c r="A2257" s="260" t="s">
        <v>566</v>
      </c>
      <c r="B2257" s="190">
        <v>45678</v>
      </c>
      <c r="C2257" s="260" t="s">
        <v>749</v>
      </c>
      <c r="D2257" s="197">
        <v>0</v>
      </c>
      <c r="E2257" s="197">
        <v>0</v>
      </c>
      <c r="F2257" s="197">
        <v>101.33</v>
      </c>
      <c r="G2257" s="190">
        <v>45678</v>
      </c>
      <c r="H2257" s="196">
        <v>0</v>
      </c>
      <c r="I2257" s="197">
        <v>0</v>
      </c>
      <c r="J2257" s="197">
        <v>0</v>
      </c>
      <c r="K2257" s="197">
        <v>0</v>
      </c>
      <c r="L2257" s="197">
        <v>0</v>
      </c>
      <c r="M2257" s="260" t="s">
        <v>239</v>
      </c>
      <c r="N2257" s="260" t="s">
        <v>514</v>
      </c>
    </row>
    <row r="2258" spans="1:14" ht="14.5" x14ac:dyDescent="0.35">
      <c r="A2258" s="260" t="s">
        <v>566</v>
      </c>
      <c r="B2258" s="190">
        <v>45678</v>
      </c>
      <c r="C2258" s="260" t="s">
        <v>752</v>
      </c>
      <c r="D2258" s="197">
        <v>0</v>
      </c>
      <c r="E2258" s="197">
        <v>0</v>
      </c>
      <c r="F2258" s="197">
        <v>196.67</v>
      </c>
      <c r="G2258" s="190">
        <v>45678</v>
      </c>
      <c r="H2258" s="196">
        <v>0</v>
      </c>
      <c r="I2258" s="197">
        <v>0</v>
      </c>
      <c r="J2258" s="197">
        <v>0</v>
      </c>
      <c r="K2258" s="197">
        <v>0</v>
      </c>
      <c r="L2258" s="197">
        <v>0</v>
      </c>
      <c r="M2258" s="260" t="s">
        <v>239</v>
      </c>
      <c r="N2258" s="260" t="s">
        <v>514</v>
      </c>
    </row>
    <row r="2259" spans="1:14" ht="14.5" x14ac:dyDescent="0.35">
      <c r="A2259" s="260" t="s">
        <v>566</v>
      </c>
      <c r="B2259" s="190">
        <v>45678</v>
      </c>
      <c r="C2259" s="260" t="s">
        <v>754</v>
      </c>
      <c r="D2259" s="197">
        <v>0</v>
      </c>
      <c r="E2259" s="197">
        <v>0</v>
      </c>
      <c r="F2259" s="197">
        <v>81.33</v>
      </c>
      <c r="G2259" s="190">
        <v>45678</v>
      </c>
      <c r="H2259" s="196">
        <v>0</v>
      </c>
      <c r="I2259" s="197">
        <v>0</v>
      </c>
      <c r="J2259" s="197">
        <v>0</v>
      </c>
      <c r="K2259" s="197">
        <v>0</v>
      </c>
      <c r="L2259" s="197">
        <v>0</v>
      </c>
      <c r="M2259" s="260" t="s">
        <v>239</v>
      </c>
      <c r="N2259" s="260" t="s">
        <v>514</v>
      </c>
    </row>
    <row r="2260" spans="1:14" ht="14.5" x14ac:dyDescent="0.35">
      <c r="A2260" s="260" t="s">
        <v>566</v>
      </c>
      <c r="B2260" s="190">
        <v>45679</v>
      </c>
      <c r="C2260" s="260" t="s">
        <v>749</v>
      </c>
      <c r="D2260" s="197">
        <v>0</v>
      </c>
      <c r="E2260" s="197">
        <v>0</v>
      </c>
      <c r="F2260" s="197">
        <v>101.4</v>
      </c>
      <c r="G2260" s="190">
        <v>45679</v>
      </c>
      <c r="H2260" s="196">
        <v>0</v>
      </c>
      <c r="I2260" s="197">
        <v>0</v>
      </c>
      <c r="J2260" s="197">
        <v>0</v>
      </c>
      <c r="K2260" s="197">
        <v>0</v>
      </c>
      <c r="L2260" s="197">
        <v>0</v>
      </c>
      <c r="M2260" s="260" t="s">
        <v>239</v>
      </c>
      <c r="N2260" s="260" t="s">
        <v>514</v>
      </c>
    </row>
    <row r="2261" spans="1:14" ht="14.5" x14ac:dyDescent="0.35">
      <c r="A2261" s="260" t="s">
        <v>566</v>
      </c>
      <c r="B2261" s="190">
        <v>45679</v>
      </c>
      <c r="C2261" s="260" t="s">
        <v>752</v>
      </c>
      <c r="D2261" s="197">
        <v>0</v>
      </c>
      <c r="E2261" s="197">
        <v>0</v>
      </c>
      <c r="F2261" s="197">
        <v>196.5</v>
      </c>
      <c r="G2261" s="190">
        <v>45679</v>
      </c>
      <c r="H2261" s="196">
        <v>0</v>
      </c>
      <c r="I2261" s="197">
        <v>0</v>
      </c>
      <c r="J2261" s="197">
        <v>0</v>
      </c>
      <c r="K2261" s="197">
        <v>0</v>
      </c>
      <c r="L2261" s="197">
        <v>0</v>
      </c>
      <c r="M2261" s="260" t="s">
        <v>239</v>
      </c>
      <c r="N2261" s="260" t="s">
        <v>514</v>
      </c>
    </row>
    <row r="2262" spans="1:14" ht="14.5" x14ac:dyDescent="0.35">
      <c r="A2262" s="260" t="s">
        <v>566</v>
      </c>
      <c r="B2262" s="190">
        <v>45679</v>
      </c>
      <c r="C2262" s="260" t="s">
        <v>754</v>
      </c>
      <c r="D2262" s="197">
        <v>0</v>
      </c>
      <c r="E2262" s="197">
        <v>0</v>
      </c>
      <c r="F2262" s="197">
        <v>81.400000000000006</v>
      </c>
      <c r="G2262" s="190">
        <v>45679</v>
      </c>
      <c r="H2262" s="196">
        <v>0</v>
      </c>
      <c r="I2262" s="197">
        <v>0</v>
      </c>
      <c r="J2262" s="197">
        <v>0</v>
      </c>
      <c r="K2262" s="197">
        <v>0</v>
      </c>
      <c r="L2262" s="197">
        <v>0</v>
      </c>
      <c r="M2262" s="260" t="s">
        <v>239</v>
      </c>
      <c r="N2262" s="260" t="s">
        <v>514</v>
      </c>
    </row>
    <row r="2263" spans="1:14" ht="14.5" x14ac:dyDescent="0.35">
      <c r="A2263" s="260" t="s">
        <v>566</v>
      </c>
      <c r="B2263" s="190">
        <v>45680</v>
      </c>
      <c r="C2263" s="260" t="s">
        <v>749</v>
      </c>
      <c r="D2263" s="197">
        <v>0</v>
      </c>
      <c r="E2263" s="197">
        <v>0</v>
      </c>
      <c r="F2263" s="197">
        <v>101.47</v>
      </c>
      <c r="G2263" s="190">
        <v>45680</v>
      </c>
      <c r="H2263" s="196">
        <v>0</v>
      </c>
      <c r="I2263" s="197">
        <v>0</v>
      </c>
      <c r="J2263" s="197">
        <v>0</v>
      </c>
      <c r="K2263" s="197">
        <v>0</v>
      </c>
      <c r="L2263" s="197">
        <v>0</v>
      </c>
      <c r="M2263" s="260" t="s">
        <v>239</v>
      </c>
      <c r="N2263" s="260" t="s">
        <v>514</v>
      </c>
    </row>
    <row r="2264" spans="1:14" ht="14.5" x14ac:dyDescent="0.35">
      <c r="A2264" s="260" t="s">
        <v>566</v>
      </c>
      <c r="B2264" s="190">
        <v>45680</v>
      </c>
      <c r="C2264" s="260" t="s">
        <v>752</v>
      </c>
      <c r="D2264" s="197">
        <v>0</v>
      </c>
      <c r="E2264" s="197">
        <v>0</v>
      </c>
      <c r="F2264" s="197">
        <v>196.33</v>
      </c>
      <c r="G2264" s="190">
        <v>45680</v>
      </c>
      <c r="H2264" s="196">
        <v>0</v>
      </c>
      <c r="I2264" s="197">
        <v>0</v>
      </c>
      <c r="J2264" s="197">
        <v>0</v>
      </c>
      <c r="K2264" s="197">
        <v>0</v>
      </c>
      <c r="L2264" s="197">
        <v>0</v>
      </c>
      <c r="M2264" s="260" t="s">
        <v>239</v>
      </c>
      <c r="N2264" s="260" t="s">
        <v>514</v>
      </c>
    </row>
    <row r="2265" spans="1:14" ht="14.5" x14ac:dyDescent="0.35">
      <c r="A2265" s="260" t="s">
        <v>566</v>
      </c>
      <c r="B2265" s="190">
        <v>45680</v>
      </c>
      <c r="C2265" s="260" t="s">
        <v>754</v>
      </c>
      <c r="D2265" s="197">
        <v>0</v>
      </c>
      <c r="E2265" s="197">
        <v>0</v>
      </c>
      <c r="F2265" s="197">
        <v>81.47</v>
      </c>
      <c r="G2265" s="190">
        <v>45680</v>
      </c>
      <c r="H2265" s="196">
        <v>0</v>
      </c>
      <c r="I2265" s="197">
        <v>0</v>
      </c>
      <c r="J2265" s="197">
        <v>0</v>
      </c>
      <c r="K2265" s="197">
        <v>0</v>
      </c>
      <c r="L2265" s="197">
        <v>0</v>
      </c>
      <c r="M2265" s="260" t="s">
        <v>239</v>
      </c>
      <c r="N2265" s="260" t="s">
        <v>514</v>
      </c>
    </row>
    <row r="2266" spans="1:14" ht="14.5" x14ac:dyDescent="0.35">
      <c r="A2266" s="260" t="s">
        <v>566</v>
      </c>
      <c r="B2266" s="190">
        <v>45681</v>
      </c>
      <c r="C2266" s="260" t="s">
        <v>749</v>
      </c>
      <c r="D2266" s="197">
        <v>0</v>
      </c>
      <c r="E2266" s="197">
        <v>0</v>
      </c>
      <c r="F2266" s="197">
        <v>101.53</v>
      </c>
      <c r="G2266" s="190">
        <v>45681</v>
      </c>
      <c r="H2266" s="196">
        <v>0</v>
      </c>
      <c r="I2266" s="197">
        <v>0</v>
      </c>
      <c r="J2266" s="197">
        <v>0</v>
      </c>
      <c r="K2266" s="197">
        <v>0</v>
      </c>
      <c r="L2266" s="197">
        <v>0</v>
      </c>
      <c r="M2266" s="260" t="s">
        <v>239</v>
      </c>
      <c r="N2266" s="260" t="s">
        <v>514</v>
      </c>
    </row>
    <row r="2267" spans="1:14" ht="14.5" x14ac:dyDescent="0.35">
      <c r="A2267" s="260" t="s">
        <v>566</v>
      </c>
      <c r="B2267" s="190">
        <v>45681</v>
      </c>
      <c r="C2267" s="260" t="s">
        <v>752</v>
      </c>
      <c r="D2267" s="197">
        <v>0</v>
      </c>
      <c r="E2267" s="197">
        <v>0</v>
      </c>
      <c r="F2267" s="197">
        <v>196.17</v>
      </c>
      <c r="G2267" s="190">
        <v>45681</v>
      </c>
      <c r="H2267" s="196">
        <v>0</v>
      </c>
      <c r="I2267" s="197">
        <v>0</v>
      </c>
      <c r="J2267" s="197">
        <v>0</v>
      </c>
      <c r="K2267" s="197">
        <v>0</v>
      </c>
      <c r="L2267" s="197">
        <v>0</v>
      </c>
      <c r="M2267" s="260" t="s">
        <v>239</v>
      </c>
      <c r="N2267" s="260" t="s">
        <v>514</v>
      </c>
    </row>
    <row r="2268" spans="1:14" ht="14.5" x14ac:dyDescent="0.35">
      <c r="A2268" s="260" t="s">
        <v>566</v>
      </c>
      <c r="B2268" s="190">
        <v>45681</v>
      </c>
      <c r="C2268" s="260" t="s">
        <v>754</v>
      </c>
      <c r="D2268" s="197">
        <v>0</v>
      </c>
      <c r="E2268" s="197">
        <v>0</v>
      </c>
      <c r="F2268" s="197">
        <v>81.53</v>
      </c>
      <c r="G2268" s="190">
        <v>45681</v>
      </c>
      <c r="H2268" s="196">
        <v>0</v>
      </c>
      <c r="I2268" s="197">
        <v>0</v>
      </c>
      <c r="J2268" s="197">
        <v>0</v>
      </c>
      <c r="K2268" s="197">
        <v>0</v>
      </c>
      <c r="L2268" s="197">
        <v>0</v>
      </c>
      <c r="M2268" s="260" t="s">
        <v>239</v>
      </c>
      <c r="N2268" s="260" t="s">
        <v>514</v>
      </c>
    </row>
    <row r="2269" spans="1:14" ht="14.5" x14ac:dyDescent="0.35">
      <c r="A2269" s="260" t="s">
        <v>566</v>
      </c>
      <c r="B2269" s="190">
        <v>45682</v>
      </c>
      <c r="C2269" s="260" t="s">
        <v>749</v>
      </c>
      <c r="D2269" s="197">
        <v>0</v>
      </c>
      <c r="E2269" s="197">
        <v>0</v>
      </c>
      <c r="F2269" s="197">
        <v>101.53</v>
      </c>
      <c r="G2269" s="190">
        <v>45681</v>
      </c>
      <c r="H2269" s="196">
        <v>1</v>
      </c>
      <c r="I2269" s="197">
        <v>0</v>
      </c>
      <c r="J2269" s="197">
        <v>0</v>
      </c>
      <c r="K2269" s="197">
        <v>0</v>
      </c>
      <c r="L2269" s="197">
        <v>0</v>
      </c>
      <c r="M2269" s="260" t="s">
        <v>239</v>
      </c>
      <c r="N2269" s="260" t="s">
        <v>514</v>
      </c>
    </row>
    <row r="2270" spans="1:14" ht="14.5" x14ac:dyDescent="0.35">
      <c r="A2270" s="260" t="s">
        <v>566</v>
      </c>
      <c r="B2270" s="190">
        <v>45682</v>
      </c>
      <c r="C2270" s="260" t="s">
        <v>752</v>
      </c>
      <c r="D2270" s="197">
        <v>0</v>
      </c>
      <c r="E2270" s="197">
        <v>0</v>
      </c>
      <c r="F2270" s="197">
        <v>196.17</v>
      </c>
      <c r="G2270" s="190">
        <v>45681</v>
      </c>
      <c r="H2270" s="196">
        <v>1</v>
      </c>
      <c r="I2270" s="197">
        <v>0</v>
      </c>
      <c r="J2270" s="197">
        <v>0</v>
      </c>
      <c r="K2270" s="197">
        <v>0</v>
      </c>
      <c r="L2270" s="197">
        <v>0</v>
      </c>
      <c r="M2270" s="260" t="s">
        <v>239</v>
      </c>
      <c r="N2270" s="260" t="s">
        <v>514</v>
      </c>
    </row>
    <row r="2271" spans="1:14" ht="14.5" x14ac:dyDescent="0.35">
      <c r="A2271" s="260" t="s">
        <v>566</v>
      </c>
      <c r="B2271" s="190">
        <v>45682</v>
      </c>
      <c r="C2271" s="260" t="s">
        <v>754</v>
      </c>
      <c r="D2271" s="197">
        <v>0</v>
      </c>
      <c r="E2271" s="197">
        <v>0</v>
      </c>
      <c r="F2271" s="197">
        <v>81.53</v>
      </c>
      <c r="G2271" s="190">
        <v>45681</v>
      </c>
      <c r="H2271" s="196">
        <v>1</v>
      </c>
      <c r="I2271" s="197">
        <v>0</v>
      </c>
      <c r="J2271" s="197">
        <v>0</v>
      </c>
      <c r="K2271" s="197">
        <v>0</v>
      </c>
      <c r="L2271" s="197">
        <v>0</v>
      </c>
      <c r="M2271" s="260" t="s">
        <v>239</v>
      </c>
      <c r="N2271" s="260" t="s">
        <v>514</v>
      </c>
    </row>
    <row r="2272" spans="1:14" ht="14.5" x14ac:dyDescent="0.35">
      <c r="A2272" s="260" t="s">
        <v>566</v>
      </c>
      <c r="B2272" s="190">
        <v>45683</v>
      </c>
      <c r="C2272" s="260" t="s">
        <v>749</v>
      </c>
      <c r="D2272" s="197">
        <v>0</v>
      </c>
      <c r="E2272" s="197">
        <v>0</v>
      </c>
      <c r="F2272" s="197">
        <v>101.53</v>
      </c>
      <c r="G2272" s="190">
        <v>45681</v>
      </c>
      <c r="H2272" s="196">
        <v>2</v>
      </c>
      <c r="I2272" s="197">
        <v>0</v>
      </c>
      <c r="J2272" s="197">
        <v>0</v>
      </c>
      <c r="K2272" s="197">
        <v>0</v>
      </c>
      <c r="L2272" s="197">
        <v>0</v>
      </c>
      <c r="M2272" s="260" t="s">
        <v>239</v>
      </c>
      <c r="N2272" s="260" t="s">
        <v>514</v>
      </c>
    </row>
    <row r="2273" spans="1:14" ht="14.5" x14ac:dyDescent="0.35">
      <c r="A2273" s="260" t="s">
        <v>566</v>
      </c>
      <c r="B2273" s="190">
        <v>45683</v>
      </c>
      <c r="C2273" s="260" t="s">
        <v>752</v>
      </c>
      <c r="D2273" s="197">
        <v>0</v>
      </c>
      <c r="E2273" s="197">
        <v>0</v>
      </c>
      <c r="F2273" s="197">
        <v>196.17</v>
      </c>
      <c r="G2273" s="190">
        <v>45681</v>
      </c>
      <c r="H2273" s="196">
        <v>2</v>
      </c>
      <c r="I2273" s="197">
        <v>0</v>
      </c>
      <c r="J2273" s="197">
        <v>0</v>
      </c>
      <c r="K2273" s="197">
        <v>0</v>
      </c>
      <c r="L2273" s="197">
        <v>0</v>
      </c>
      <c r="M2273" s="260" t="s">
        <v>239</v>
      </c>
      <c r="N2273" s="260" t="s">
        <v>514</v>
      </c>
    </row>
    <row r="2274" spans="1:14" ht="14.5" x14ac:dyDescent="0.35">
      <c r="A2274" s="260" t="s">
        <v>566</v>
      </c>
      <c r="B2274" s="190">
        <v>45683</v>
      </c>
      <c r="C2274" s="260" t="s">
        <v>754</v>
      </c>
      <c r="D2274" s="197">
        <v>0</v>
      </c>
      <c r="E2274" s="197">
        <v>0</v>
      </c>
      <c r="F2274" s="197">
        <v>81.53</v>
      </c>
      <c r="G2274" s="190">
        <v>45681</v>
      </c>
      <c r="H2274" s="196">
        <v>2</v>
      </c>
      <c r="I2274" s="197">
        <v>0</v>
      </c>
      <c r="J2274" s="197">
        <v>0</v>
      </c>
      <c r="K2274" s="197">
        <v>0</v>
      </c>
      <c r="L2274" s="197">
        <v>0</v>
      </c>
      <c r="M2274" s="260" t="s">
        <v>239</v>
      </c>
      <c r="N2274" s="260" t="s">
        <v>514</v>
      </c>
    </row>
    <row r="2275" spans="1:14" ht="14.5" x14ac:dyDescent="0.35">
      <c r="A2275" s="260" t="s">
        <v>566</v>
      </c>
      <c r="B2275" s="190">
        <v>45684</v>
      </c>
      <c r="C2275" s="260" t="s">
        <v>749</v>
      </c>
      <c r="D2275" s="197">
        <v>0</v>
      </c>
      <c r="E2275" s="197">
        <v>0</v>
      </c>
      <c r="F2275" s="197">
        <v>101.73</v>
      </c>
      <c r="G2275" s="190">
        <v>45684</v>
      </c>
      <c r="H2275" s="196">
        <v>0</v>
      </c>
      <c r="I2275" s="197">
        <v>0</v>
      </c>
      <c r="J2275" s="197">
        <v>0</v>
      </c>
      <c r="K2275" s="197">
        <v>0</v>
      </c>
      <c r="L2275" s="197">
        <v>0</v>
      </c>
      <c r="M2275" s="260" t="s">
        <v>239</v>
      </c>
      <c r="N2275" s="260" t="s">
        <v>514</v>
      </c>
    </row>
    <row r="2276" spans="1:14" ht="14.5" x14ac:dyDescent="0.35">
      <c r="A2276" s="260" t="s">
        <v>566</v>
      </c>
      <c r="B2276" s="190">
        <v>45684</v>
      </c>
      <c r="C2276" s="260" t="s">
        <v>752</v>
      </c>
      <c r="D2276" s="197">
        <v>0</v>
      </c>
      <c r="E2276" s="197">
        <v>0</v>
      </c>
      <c r="F2276" s="197">
        <v>195.67</v>
      </c>
      <c r="G2276" s="190">
        <v>45684</v>
      </c>
      <c r="H2276" s="196">
        <v>0</v>
      </c>
      <c r="I2276" s="197">
        <v>0</v>
      </c>
      <c r="J2276" s="197">
        <v>0</v>
      </c>
      <c r="K2276" s="197">
        <v>0</v>
      </c>
      <c r="L2276" s="197">
        <v>0</v>
      </c>
      <c r="M2276" s="260" t="s">
        <v>239</v>
      </c>
      <c r="N2276" s="260" t="s">
        <v>514</v>
      </c>
    </row>
    <row r="2277" spans="1:14" ht="14.5" x14ac:dyDescent="0.35">
      <c r="A2277" s="260" t="s">
        <v>566</v>
      </c>
      <c r="B2277" s="190">
        <v>45684</v>
      </c>
      <c r="C2277" s="260" t="s">
        <v>754</v>
      </c>
      <c r="D2277" s="197">
        <v>0</v>
      </c>
      <c r="E2277" s="197">
        <v>0</v>
      </c>
      <c r="F2277" s="197">
        <v>81.73</v>
      </c>
      <c r="G2277" s="190">
        <v>45684</v>
      </c>
      <c r="H2277" s="196">
        <v>0</v>
      </c>
      <c r="I2277" s="197">
        <v>0</v>
      </c>
      <c r="J2277" s="197">
        <v>0</v>
      </c>
      <c r="K2277" s="197">
        <v>0</v>
      </c>
      <c r="L2277" s="197">
        <v>0</v>
      </c>
      <c r="M2277" s="260" t="s">
        <v>239</v>
      </c>
      <c r="N2277" s="260" t="s">
        <v>514</v>
      </c>
    </row>
    <row r="2278" spans="1:14" ht="14.5" x14ac:dyDescent="0.35">
      <c r="A2278" s="260" t="s">
        <v>566</v>
      </c>
      <c r="B2278" s="190">
        <v>45685</v>
      </c>
      <c r="C2278" s="260" t="s">
        <v>749</v>
      </c>
      <c r="D2278" s="197">
        <v>0</v>
      </c>
      <c r="E2278" s="197">
        <v>0</v>
      </c>
      <c r="F2278" s="197">
        <v>101.8</v>
      </c>
      <c r="G2278" s="190">
        <v>45685</v>
      </c>
      <c r="H2278" s="196">
        <v>0</v>
      </c>
      <c r="I2278" s="197">
        <v>0</v>
      </c>
      <c r="J2278" s="197">
        <v>0</v>
      </c>
      <c r="K2278" s="197">
        <v>0</v>
      </c>
      <c r="L2278" s="197">
        <v>0</v>
      </c>
      <c r="M2278" s="260" t="s">
        <v>239</v>
      </c>
      <c r="N2278" s="260" t="s">
        <v>514</v>
      </c>
    </row>
    <row r="2279" spans="1:14" ht="14.5" x14ac:dyDescent="0.35">
      <c r="A2279" s="260" t="s">
        <v>566</v>
      </c>
      <c r="B2279" s="190">
        <v>45685</v>
      </c>
      <c r="C2279" s="260" t="s">
        <v>752</v>
      </c>
      <c r="D2279" s="197">
        <v>0</v>
      </c>
      <c r="E2279" s="197">
        <v>0</v>
      </c>
      <c r="F2279" s="197">
        <v>195.5</v>
      </c>
      <c r="G2279" s="190">
        <v>45685</v>
      </c>
      <c r="H2279" s="196">
        <v>0</v>
      </c>
      <c r="I2279" s="197">
        <v>0</v>
      </c>
      <c r="J2279" s="197">
        <v>0</v>
      </c>
      <c r="K2279" s="197">
        <v>0</v>
      </c>
      <c r="L2279" s="197">
        <v>0</v>
      </c>
      <c r="M2279" s="260" t="s">
        <v>239</v>
      </c>
      <c r="N2279" s="260" t="s">
        <v>514</v>
      </c>
    </row>
    <row r="2280" spans="1:14" ht="14.5" x14ac:dyDescent="0.35">
      <c r="A2280" s="260" t="s">
        <v>566</v>
      </c>
      <c r="B2280" s="190">
        <v>45685</v>
      </c>
      <c r="C2280" s="260" t="s">
        <v>754</v>
      </c>
      <c r="D2280" s="197">
        <v>0</v>
      </c>
      <c r="E2280" s="197">
        <v>0</v>
      </c>
      <c r="F2280" s="197">
        <v>81.8</v>
      </c>
      <c r="G2280" s="190">
        <v>45685</v>
      </c>
      <c r="H2280" s="196">
        <v>0</v>
      </c>
      <c r="I2280" s="197">
        <v>0</v>
      </c>
      <c r="J2280" s="197">
        <v>0</v>
      </c>
      <c r="K2280" s="197">
        <v>0</v>
      </c>
      <c r="L2280" s="197">
        <v>0</v>
      </c>
      <c r="M2280" s="260" t="s">
        <v>239</v>
      </c>
      <c r="N2280" s="260" t="s">
        <v>514</v>
      </c>
    </row>
    <row r="2281" spans="1:14" ht="14.5" x14ac:dyDescent="0.35">
      <c r="A2281" s="260" t="s">
        <v>566</v>
      </c>
      <c r="B2281" s="190">
        <v>45686</v>
      </c>
      <c r="C2281" s="260" t="s">
        <v>749</v>
      </c>
      <c r="D2281" s="197">
        <v>0</v>
      </c>
      <c r="E2281" s="197">
        <v>0</v>
      </c>
      <c r="F2281" s="197">
        <v>101.87</v>
      </c>
      <c r="G2281" s="190">
        <v>45686</v>
      </c>
      <c r="H2281" s="196">
        <v>0</v>
      </c>
      <c r="I2281" s="197">
        <v>0</v>
      </c>
      <c r="J2281" s="197">
        <v>0</v>
      </c>
      <c r="K2281" s="197">
        <v>0</v>
      </c>
      <c r="L2281" s="197">
        <v>0</v>
      </c>
      <c r="M2281" s="260" t="s">
        <v>239</v>
      </c>
      <c r="N2281" s="260" t="s">
        <v>514</v>
      </c>
    </row>
    <row r="2282" spans="1:14" ht="14.5" x14ac:dyDescent="0.35">
      <c r="A2282" s="260" t="s">
        <v>566</v>
      </c>
      <c r="B2282" s="190">
        <v>45686</v>
      </c>
      <c r="C2282" s="260" t="s">
        <v>752</v>
      </c>
      <c r="D2282" s="197">
        <v>0</v>
      </c>
      <c r="E2282" s="197">
        <v>0</v>
      </c>
      <c r="F2282" s="197">
        <v>195.33</v>
      </c>
      <c r="G2282" s="190">
        <v>45686</v>
      </c>
      <c r="H2282" s="196">
        <v>0</v>
      </c>
      <c r="I2282" s="197">
        <v>0</v>
      </c>
      <c r="J2282" s="197">
        <v>0</v>
      </c>
      <c r="K2282" s="197">
        <v>0</v>
      </c>
      <c r="L2282" s="197">
        <v>0</v>
      </c>
      <c r="M2282" s="260" t="s">
        <v>239</v>
      </c>
      <c r="N2282" s="260" t="s">
        <v>514</v>
      </c>
    </row>
    <row r="2283" spans="1:14" ht="14.5" x14ac:dyDescent="0.35">
      <c r="A2283" s="260" t="s">
        <v>566</v>
      </c>
      <c r="B2283" s="190">
        <v>45686</v>
      </c>
      <c r="C2283" s="260" t="s">
        <v>754</v>
      </c>
      <c r="D2283" s="197">
        <v>0</v>
      </c>
      <c r="E2283" s="197">
        <v>0</v>
      </c>
      <c r="F2283" s="197">
        <v>81.87</v>
      </c>
      <c r="G2283" s="190">
        <v>45686</v>
      </c>
      <c r="H2283" s="196">
        <v>0</v>
      </c>
      <c r="I2283" s="197">
        <v>0</v>
      </c>
      <c r="J2283" s="197">
        <v>0</v>
      </c>
      <c r="K2283" s="197">
        <v>0</v>
      </c>
      <c r="L2283" s="197">
        <v>0</v>
      </c>
      <c r="M2283" s="260" t="s">
        <v>239</v>
      </c>
      <c r="N2283" s="260" t="s">
        <v>514</v>
      </c>
    </row>
    <row r="2284" spans="1:14" ht="14.5" x14ac:dyDescent="0.35">
      <c r="A2284" s="260" t="s">
        <v>566</v>
      </c>
      <c r="B2284" s="190">
        <v>45687</v>
      </c>
      <c r="C2284" s="260" t="s">
        <v>749</v>
      </c>
      <c r="D2284" s="197">
        <v>0</v>
      </c>
      <c r="E2284" s="197">
        <v>0</v>
      </c>
      <c r="F2284" s="197">
        <v>101.93</v>
      </c>
      <c r="G2284" s="190">
        <v>45687</v>
      </c>
      <c r="H2284" s="196">
        <v>0</v>
      </c>
      <c r="I2284" s="197">
        <v>0</v>
      </c>
      <c r="J2284" s="197">
        <v>0</v>
      </c>
      <c r="K2284" s="197">
        <v>0</v>
      </c>
      <c r="L2284" s="197">
        <v>0</v>
      </c>
      <c r="M2284" s="260" t="s">
        <v>239</v>
      </c>
      <c r="N2284" s="260" t="s">
        <v>514</v>
      </c>
    </row>
    <row r="2285" spans="1:14" ht="14.5" x14ac:dyDescent="0.35">
      <c r="A2285" s="260" t="s">
        <v>566</v>
      </c>
      <c r="B2285" s="190">
        <v>45687</v>
      </c>
      <c r="C2285" s="260" t="s">
        <v>752</v>
      </c>
      <c r="D2285" s="197">
        <v>0</v>
      </c>
      <c r="E2285" s="197">
        <v>0</v>
      </c>
      <c r="F2285" s="197">
        <v>195.17</v>
      </c>
      <c r="G2285" s="190">
        <v>45687</v>
      </c>
      <c r="H2285" s="196">
        <v>0</v>
      </c>
      <c r="I2285" s="197">
        <v>0</v>
      </c>
      <c r="J2285" s="197">
        <v>0</v>
      </c>
      <c r="K2285" s="197">
        <v>0</v>
      </c>
      <c r="L2285" s="197">
        <v>0</v>
      </c>
      <c r="M2285" s="260" t="s">
        <v>239</v>
      </c>
      <c r="N2285" s="260" t="s">
        <v>514</v>
      </c>
    </row>
    <row r="2286" spans="1:14" ht="14.5" x14ac:dyDescent="0.35">
      <c r="A2286" s="260" t="s">
        <v>566</v>
      </c>
      <c r="B2286" s="190">
        <v>45687</v>
      </c>
      <c r="C2286" s="260" t="s">
        <v>754</v>
      </c>
      <c r="D2286" s="197">
        <v>0</v>
      </c>
      <c r="E2286" s="197">
        <v>0</v>
      </c>
      <c r="F2286" s="197">
        <v>81.93</v>
      </c>
      <c r="G2286" s="190">
        <v>45687</v>
      </c>
      <c r="H2286" s="196">
        <v>0</v>
      </c>
      <c r="I2286" s="197">
        <v>0</v>
      </c>
      <c r="J2286" s="197">
        <v>0</v>
      </c>
      <c r="K2286" s="197">
        <v>0</v>
      </c>
      <c r="L2286" s="197">
        <v>0</v>
      </c>
      <c r="M2286" s="260" t="s">
        <v>239</v>
      </c>
      <c r="N2286" s="260" t="s">
        <v>514</v>
      </c>
    </row>
    <row r="2287" spans="1:14" ht="14.5" x14ac:dyDescent="0.35">
      <c r="A2287" s="260" t="s">
        <v>566</v>
      </c>
      <c r="B2287" s="190">
        <v>45688</v>
      </c>
      <c r="C2287" s="260" t="s">
        <v>749</v>
      </c>
      <c r="D2287" s="197">
        <v>0</v>
      </c>
      <c r="E2287" s="197">
        <v>0</v>
      </c>
      <c r="F2287" s="197">
        <v>102</v>
      </c>
      <c r="G2287" s="190">
        <v>45688</v>
      </c>
      <c r="H2287" s="196">
        <v>0</v>
      </c>
      <c r="I2287" s="197">
        <v>0</v>
      </c>
      <c r="J2287" s="197">
        <v>0</v>
      </c>
      <c r="K2287" s="197">
        <v>0</v>
      </c>
      <c r="L2287" s="197">
        <v>0</v>
      </c>
      <c r="M2287" s="260" t="s">
        <v>239</v>
      </c>
      <c r="N2287" s="260" t="s">
        <v>514</v>
      </c>
    </row>
    <row r="2288" spans="1:14" ht="14.5" x14ac:dyDescent="0.35">
      <c r="A2288" s="260" t="s">
        <v>566</v>
      </c>
      <c r="B2288" s="190">
        <v>45688</v>
      </c>
      <c r="C2288" s="260" t="s">
        <v>752</v>
      </c>
      <c r="D2288" s="197">
        <v>0</v>
      </c>
      <c r="E2288" s="197">
        <v>0</v>
      </c>
      <c r="F2288" s="197">
        <v>195</v>
      </c>
      <c r="G2288" s="190">
        <v>45688</v>
      </c>
      <c r="H2288" s="196">
        <v>0</v>
      </c>
      <c r="I2288" s="197">
        <v>0</v>
      </c>
      <c r="J2288" s="197">
        <v>0</v>
      </c>
      <c r="K2288" s="197">
        <v>0</v>
      </c>
      <c r="L2288" s="197">
        <v>0</v>
      </c>
      <c r="M2288" s="260" t="s">
        <v>239</v>
      </c>
      <c r="N2288" s="260" t="s">
        <v>514</v>
      </c>
    </row>
    <row r="2289" spans="1:14" ht="14.5" x14ac:dyDescent="0.35">
      <c r="A2289" s="260" t="s">
        <v>566</v>
      </c>
      <c r="B2289" s="190">
        <v>45688</v>
      </c>
      <c r="C2289" s="260" t="s">
        <v>754</v>
      </c>
      <c r="D2289" s="197">
        <v>0</v>
      </c>
      <c r="E2289" s="197">
        <v>0</v>
      </c>
      <c r="F2289" s="197">
        <v>82</v>
      </c>
      <c r="G2289" s="190">
        <v>45688</v>
      </c>
      <c r="H2289" s="196">
        <v>0</v>
      </c>
      <c r="I2289" s="197">
        <v>0</v>
      </c>
      <c r="J2289" s="197">
        <v>0</v>
      </c>
      <c r="K2289" s="197">
        <v>0</v>
      </c>
      <c r="L2289" s="197">
        <v>0</v>
      </c>
      <c r="M2289" s="260" t="s">
        <v>239</v>
      </c>
      <c r="N2289" s="260" t="s">
        <v>514</v>
      </c>
    </row>
    <row r="2290" spans="1:14" ht="14.5" x14ac:dyDescent="0.35">
      <c r="A2290" s="260" t="s">
        <v>566</v>
      </c>
      <c r="B2290" s="190">
        <v>45689</v>
      </c>
      <c r="C2290" s="260" t="s">
        <v>749</v>
      </c>
      <c r="D2290" s="197">
        <v>0</v>
      </c>
      <c r="E2290" s="197">
        <v>0</v>
      </c>
      <c r="F2290" s="197">
        <v>102</v>
      </c>
      <c r="G2290" s="190">
        <v>45688</v>
      </c>
      <c r="H2290" s="196">
        <v>1</v>
      </c>
      <c r="I2290" s="197">
        <v>0</v>
      </c>
      <c r="J2290" s="197">
        <v>0</v>
      </c>
      <c r="K2290" s="197">
        <v>0</v>
      </c>
      <c r="L2290" s="197">
        <v>0</v>
      </c>
      <c r="M2290" s="260" t="s">
        <v>239</v>
      </c>
      <c r="N2290" s="260" t="s">
        <v>514</v>
      </c>
    </row>
    <row r="2291" spans="1:14" ht="14.5" x14ac:dyDescent="0.35">
      <c r="A2291" s="260" t="s">
        <v>566</v>
      </c>
      <c r="B2291" s="190">
        <v>45689</v>
      </c>
      <c r="C2291" s="260" t="s">
        <v>752</v>
      </c>
      <c r="D2291" s="197">
        <v>0</v>
      </c>
      <c r="E2291" s="197">
        <v>0</v>
      </c>
      <c r="F2291" s="197">
        <v>195</v>
      </c>
      <c r="G2291" s="190">
        <v>45688</v>
      </c>
      <c r="H2291" s="196">
        <v>1</v>
      </c>
      <c r="I2291" s="197">
        <v>0</v>
      </c>
      <c r="J2291" s="197">
        <v>0</v>
      </c>
      <c r="K2291" s="197">
        <v>0</v>
      </c>
      <c r="L2291" s="197">
        <v>0</v>
      </c>
      <c r="M2291" s="260" t="s">
        <v>239</v>
      </c>
      <c r="N2291" s="260" t="s">
        <v>514</v>
      </c>
    </row>
    <row r="2292" spans="1:14" ht="14.5" x14ac:dyDescent="0.35">
      <c r="A2292" s="260" t="s">
        <v>566</v>
      </c>
      <c r="B2292" s="190">
        <v>45689</v>
      </c>
      <c r="C2292" s="260" t="s">
        <v>754</v>
      </c>
      <c r="D2292" s="197">
        <v>0</v>
      </c>
      <c r="E2292" s="197">
        <v>0</v>
      </c>
      <c r="F2292" s="197">
        <v>82</v>
      </c>
      <c r="G2292" s="190">
        <v>45688</v>
      </c>
      <c r="H2292" s="196">
        <v>1</v>
      </c>
      <c r="I2292" s="197">
        <v>0</v>
      </c>
      <c r="J2292" s="197">
        <v>0</v>
      </c>
      <c r="K2292" s="197">
        <v>0</v>
      </c>
      <c r="L2292" s="197">
        <v>0</v>
      </c>
      <c r="M2292" s="260" t="s">
        <v>239</v>
      </c>
      <c r="N2292" s="260" t="s">
        <v>514</v>
      </c>
    </row>
    <row r="2293" spans="1:14" ht="14.5" x14ac:dyDescent="0.35">
      <c r="A2293" s="260" t="s">
        <v>566</v>
      </c>
      <c r="B2293" s="190">
        <v>45690</v>
      </c>
      <c r="C2293" s="260" t="s">
        <v>749</v>
      </c>
      <c r="D2293" s="197">
        <v>0</v>
      </c>
      <c r="E2293" s="197">
        <v>0</v>
      </c>
      <c r="F2293" s="197">
        <v>102</v>
      </c>
      <c r="G2293" s="190">
        <v>45688</v>
      </c>
      <c r="H2293" s="196">
        <v>2</v>
      </c>
      <c r="I2293" s="197">
        <v>0</v>
      </c>
      <c r="J2293" s="197">
        <v>0</v>
      </c>
      <c r="K2293" s="197">
        <v>0</v>
      </c>
      <c r="L2293" s="197">
        <v>0</v>
      </c>
      <c r="M2293" s="260" t="s">
        <v>239</v>
      </c>
      <c r="N2293" s="260" t="s">
        <v>514</v>
      </c>
    </row>
    <row r="2294" spans="1:14" ht="14.5" x14ac:dyDescent="0.35">
      <c r="A2294" s="260" t="s">
        <v>566</v>
      </c>
      <c r="B2294" s="190">
        <v>45690</v>
      </c>
      <c r="C2294" s="260" t="s">
        <v>752</v>
      </c>
      <c r="D2294" s="197">
        <v>0</v>
      </c>
      <c r="E2294" s="197">
        <v>0</v>
      </c>
      <c r="F2294" s="197">
        <v>195</v>
      </c>
      <c r="G2294" s="190">
        <v>45688</v>
      </c>
      <c r="H2294" s="196">
        <v>2</v>
      </c>
      <c r="I2294" s="197">
        <v>0</v>
      </c>
      <c r="J2294" s="197">
        <v>0</v>
      </c>
      <c r="K2294" s="197">
        <v>0</v>
      </c>
      <c r="L2294" s="197">
        <v>0</v>
      </c>
      <c r="M2294" s="260" t="s">
        <v>239</v>
      </c>
      <c r="N2294" s="260" t="s">
        <v>514</v>
      </c>
    </row>
    <row r="2295" spans="1:14" ht="14.5" x14ac:dyDescent="0.35">
      <c r="A2295" s="260" t="s">
        <v>566</v>
      </c>
      <c r="B2295" s="190">
        <v>45690</v>
      </c>
      <c r="C2295" s="260" t="s">
        <v>754</v>
      </c>
      <c r="D2295" s="197">
        <v>0</v>
      </c>
      <c r="E2295" s="197">
        <v>0</v>
      </c>
      <c r="F2295" s="197">
        <v>82</v>
      </c>
      <c r="G2295" s="190">
        <v>45688</v>
      </c>
      <c r="H2295" s="196">
        <v>2</v>
      </c>
      <c r="I2295" s="197">
        <v>0</v>
      </c>
      <c r="J2295" s="197">
        <v>0</v>
      </c>
      <c r="K2295" s="197">
        <v>0</v>
      </c>
      <c r="L2295" s="197">
        <v>0</v>
      </c>
      <c r="M2295" s="260" t="s">
        <v>239</v>
      </c>
      <c r="N2295" s="260" t="s">
        <v>514</v>
      </c>
    </row>
    <row r="2296" spans="1:14" ht="14.5" x14ac:dyDescent="0.35">
      <c r="A2296" s="260" t="s">
        <v>566</v>
      </c>
      <c r="B2296" s="190">
        <v>45691</v>
      </c>
      <c r="C2296" s="260" t="s">
        <v>749</v>
      </c>
      <c r="D2296" s="197">
        <v>0</v>
      </c>
      <c r="E2296" s="197">
        <v>0</v>
      </c>
      <c r="F2296" s="197">
        <v>101.63</v>
      </c>
      <c r="G2296" s="190">
        <v>45691</v>
      </c>
      <c r="H2296" s="196">
        <v>0</v>
      </c>
      <c r="I2296" s="197">
        <v>0</v>
      </c>
      <c r="J2296" s="197">
        <v>0</v>
      </c>
      <c r="K2296" s="197">
        <v>0</v>
      </c>
      <c r="L2296" s="197">
        <v>0</v>
      </c>
      <c r="M2296" s="260" t="s">
        <v>239</v>
      </c>
      <c r="N2296" s="260" t="s">
        <v>514</v>
      </c>
    </row>
    <row r="2297" spans="1:14" ht="14.5" x14ac:dyDescent="0.35">
      <c r="A2297" s="260" t="s">
        <v>566</v>
      </c>
      <c r="B2297" s="190">
        <v>45691</v>
      </c>
      <c r="C2297" s="260" t="s">
        <v>752</v>
      </c>
      <c r="D2297" s="197">
        <v>0</v>
      </c>
      <c r="E2297" s="197">
        <v>0</v>
      </c>
      <c r="F2297" s="197">
        <v>195.44</v>
      </c>
      <c r="G2297" s="190">
        <v>45691</v>
      </c>
      <c r="H2297" s="196">
        <v>0</v>
      </c>
      <c r="I2297" s="197">
        <v>0</v>
      </c>
      <c r="J2297" s="197">
        <v>0</v>
      </c>
      <c r="K2297" s="197">
        <v>0</v>
      </c>
      <c r="L2297" s="197">
        <v>0</v>
      </c>
      <c r="M2297" s="260" t="s">
        <v>239</v>
      </c>
      <c r="N2297" s="260" t="s">
        <v>514</v>
      </c>
    </row>
    <row r="2298" spans="1:14" ht="14.5" x14ac:dyDescent="0.35">
      <c r="A2298" s="260" t="s">
        <v>566</v>
      </c>
      <c r="B2298" s="190">
        <v>45691</v>
      </c>
      <c r="C2298" s="260" t="s">
        <v>754</v>
      </c>
      <c r="D2298" s="197">
        <v>0</v>
      </c>
      <c r="E2298" s="197">
        <v>0</v>
      </c>
      <c r="F2298" s="197">
        <v>81.7</v>
      </c>
      <c r="G2298" s="190">
        <v>45691</v>
      </c>
      <c r="H2298" s="196">
        <v>0</v>
      </c>
      <c r="I2298" s="197">
        <v>0</v>
      </c>
      <c r="J2298" s="197">
        <v>0</v>
      </c>
      <c r="K2298" s="197">
        <v>0</v>
      </c>
      <c r="L2298" s="197">
        <v>0</v>
      </c>
      <c r="M2298" s="260" t="s">
        <v>239</v>
      </c>
      <c r="N2298" s="260" t="s">
        <v>514</v>
      </c>
    </row>
    <row r="2299" spans="1:14" ht="14.5" x14ac:dyDescent="0.35">
      <c r="A2299" s="260" t="s">
        <v>566</v>
      </c>
      <c r="B2299" s="190">
        <v>45692</v>
      </c>
      <c r="C2299" s="260" t="s">
        <v>749</v>
      </c>
      <c r="D2299" s="197">
        <v>0</v>
      </c>
      <c r="E2299" s="197">
        <v>0</v>
      </c>
      <c r="F2299" s="197">
        <v>101.44</v>
      </c>
      <c r="G2299" s="190">
        <v>45692</v>
      </c>
      <c r="H2299" s="196">
        <v>0</v>
      </c>
      <c r="I2299" s="197">
        <v>0</v>
      </c>
      <c r="J2299" s="197">
        <v>0</v>
      </c>
      <c r="K2299" s="197">
        <v>0</v>
      </c>
      <c r="L2299" s="197">
        <v>0</v>
      </c>
      <c r="M2299" s="260" t="s">
        <v>239</v>
      </c>
      <c r="N2299" s="260" t="s">
        <v>514</v>
      </c>
    </row>
    <row r="2300" spans="1:14" ht="14.5" x14ac:dyDescent="0.35">
      <c r="A2300" s="260" t="s">
        <v>566</v>
      </c>
      <c r="B2300" s="190">
        <v>45692</v>
      </c>
      <c r="C2300" s="260" t="s">
        <v>752</v>
      </c>
      <c r="D2300" s="197">
        <v>0</v>
      </c>
      <c r="E2300" s="197">
        <v>0</v>
      </c>
      <c r="F2300" s="197">
        <v>195.67</v>
      </c>
      <c r="G2300" s="190">
        <v>45692</v>
      </c>
      <c r="H2300" s="196">
        <v>0</v>
      </c>
      <c r="I2300" s="197">
        <v>0</v>
      </c>
      <c r="J2300" s="197">
        <v>0</v>
      </c>
      <c r="K2300" s="197">
        <v>0</v>
      </c>
      <c r="L2300" s="197">
        <v>0</v>
      </c>
      <c r="M2300" s="260" t="s">
        <v>239</v>
      </c>
      <c r="N2300" s="260" t="s">
        <v>514</v>
      </c>
    </row>
    <row r="2301" spans="1:14" ht="14.5" x14ac:dyDescent="0.35">
      <c r="A2301" s="260" t="s">
        <v>566</v>
      </c>
      <c r="B2301" s="190">
        <v>45692</v>
      </c>
      <c r="C2301" s="260" t="s">
        <v>754</v>
      </c>
      <c r="D2301" s="197">
        <v>0</v>
      </c>
      <c r="E2301" s="197">
        <v>0</v>
      </c>
      <c r="F2301" s="197">
        <v>81.56</v>
      </c>
      <c r="G2301" s="190">
        <v>45692</v>
      </c>
      <c r="H2301" s="196">
        <v>0</v>
      </c>
      <c r="I2301" s="197">
        <v>0</v>
      </c>
      <c r="J2301" s="197">
        <v>0</v>
      </c>
      <c r="K2301" s="197">
        <v>0</v>
      </c>
      <c r="L2301" s="197">
        <v>0</v>
      </c>
      <c r="M2301" s="260" t="s">
        <v>239</v>
      </c>
      <c r="N2301" s="260" t="s">
        <v>514</v>
      </c>
    </row>
    <row r="2302" spans="1:14" ht="14.5" x14ac:dyDescent="0.35">
      <c r="A2302" s="260" t="s">
        <v>566</v>
      </c>
      <c r="B2302" s="190">
        <v>45693</v>
      </c>
      <c r="C2302" s="260" t="s">
        <v>749</v>
      </c>
      <c r="D2302" s="197">
        <v>0</v>
      </c>
      <c r="E2302" s="197">
        <v>0</v>
      </c>
      <c r="F2302" s="197">
        <v>101.26</v>
      </c>
      <c r="G2302" s="190">
        <v>45693</v>
      </c>
      <c r="H2302" s="196">
        <v>0</v>
      </c>
      <c r="I2302" s="197">
        <v>0</v>
      </c>
      <c r="J2302" s="197">
        <v>0</v>
      </c>
      <c r="K2302" s="197">
        <v>0</v>
      </c>
      <c r="L2302" s="197">
        <v>0</v>
      </c>
      <c r="M2302" s="260" t="s">
        <v>239</v>
      </c>
      <c r="N2302" s="260" t="s">
        <v>514</v>
      </c>
    </row>
    <row r="2303" spans="1:14" ht="14.5" x14ac:dyDescent="0.35">
      <c r="A2303" s="260" t="s">
        <v>566</v>
      </c>
      <c r="B2303" s="190">
        <v>45693</v>
      </c>
      <c r="C2303" s="260" t="s">
        <v>752</v>
      </c>
      <c r="D2303" s="197">
        <v>0</v>
      </c>
      <c r="E2303" s="197">
        <v>0</v>
      </c>
      <c r="F2303" s="197">
        <v>195.89</v>
      </c>
      <c r="G2303" s="190">
        <v>45693</v>
      </c>
      <c r="H2303" s="196">
        <v>0</v>
      </c>
      <c r="I2303" s="197">
        <v>0</v>
      </c>
      <c r="J2303" s="197">
        <v>0</v>
      </c>
      <c r="K2303" s="197">
        <v>0</v>
      </c>
      <c r="L2303" s="197">
        <v>0</v>
      </c>
      <c r="M2303" s="260" t="s">
        <v>239</v>
      </c>
      <c r="N2303" s="260" t="s">
        <v>514</v>
      </c>
    </row>
    <row r="2304" spans="1:14" ht="14.5" x14ac:dyDescent="0.35">
      <c r="A2304" s="260" t="s">
        <v>566</v>
      </c>
      <c r="B2304" s="190">
        <v>45693</v>
      </c>
      <c r="C2304" s="260" t="s">
        <v>754</v>
      </c>
      <c r="D2304" s="197">
        <v>0</v>
      </c>
      <c r="E2304" s="197">
        <v>0</v>
      </c>
      <c r="F2304" s="197">
        <v>81.41</v>
      </c>
      <c r="G2304" s="190">
        <v>45693</v>
      </c>
      <c r="H2304" s="196">
        <v>0</v>
      </c>
      <c r="I2304" s="197">
        <v>0</v>
      </c>
      <c r="J2304" s="197">
        <v>0</v>
      </c>
      <c r="K2304" s="197">
        <v>0</v>
      </c>
      <c r="L2304" s="197">
        <v>0</v>
      </c>
      <c r="M2304" s="260" t="s">
        <v>239</v>
      </c>
      <c r="N2304" s="260" t="s">
        <v>514</v>
      </c>
    </row>
    <row r="2305" spans="1:14" ht="14.5" x14ac:dyDescent="0.35">
      <c r="A2305" s="260" t="s">
        <v>566</v>
      </c>
      <c r="B2305" s="190">
        <v>45694</v>
      </c>
      <c r="C2305" s="260" t="s">
        <v>749</v>
      </c>
      <c r="D2305" s="197">
        <v>0</v>
      </c>
      <c r="E2305" s="197">
        <v>0</v>
      </c>
      <c r="F2305" s="197">
        <v>101.07</v>
      </c>
      <c r="G2305" s="190">
        <v>45694</v>
      </c>
      <c r="H2305" s="196">
        <v>0</v>
      </c>
      <c r="I2305" s="197">
        <v>0</v>
      </c>
      <c r="J2305" s="197">
        <v>0</v>
      </c>
      <c r="K2305" s="197">
        <v>0</v>
      </c>
      <c r="L2305" s="197">
        <v>0</v>
      </c>
      <c r="M2305" s="260" t="s">
        <v>239</v>
      </c>
      <c r="N2305" s="260" t="s">
        <v>514</v>
      </c>
    </row>
    <row r="2306" spans="1:14" ht="14.5" x14ac:dyDescent="0.35">
      <c r="A2306" s="260" t="s">
        <v>566</v>
      </c>
      <c r="B2306" s="190">
        <v>45694</v>
      </c>
      <c r="C2306" s="260" t="s">
        <v>752</v>
      </c>
      <c r="D2306" s="197">
        <v>0</v>
      </c>
      <c r="E2306" s="197">
        <v>0</v>
      </c>
      <c r="F2306" s="197">
        <v>196.11</v>
      </c>
      <c r="G2306" s="190">
        <v>45694</v>
      </c>
      <c r="H2306" s="196">
        <v>0</v>
      </c>
      <c r="I2306" s="197">
        <v>0</v>
      </c>
      <c r="J2306" s="197">
        <v>0</v>
      </c>
      <c r="K2306" s="197">
        <v>0</v>
      </c>
      <c r="L2306" s="197">
        <v>0</v>
      </c>
      <c r="M2306" s="260" t="s">
        <v>239</v>
      </c>
      <c r="N2306" s="260" t="s">
        <v>514</v>
      </c>
    </row>
    <row r="2307" spans="1:14" ht="14.5" x14ac:dyDescent="0.35">
      <c r="A2307" s="260" t="s">
        <v>566</v>
      </c>
      <c r="B2307" s="190">
        <v>45694</v>
      </c>
      <c r="C2307" s="260" t="s">
        <v>754</v>
      </c>
      <c r="D2307" s="197">
        <v>0</v>
      </c>
      <c r="E2307" s="197">
        <v>0</v>
      </c>
      <c r="F2307" s="197">
        <v>81.260000000000005</v>
      </c>
      <c r="G2307" s="190">
        <v>45694</v>
      </c>
      <c r="H2307" s="196">
        <v>0</v>
      </c>
      <c r="I2307" s="197">
        <v>0</v>
      </c>
      <c r="J2307" s="197">
        <v>0</v>
      </c>
      <c r="K2307" s="197">
        <v>0</v>
      </c>
      <c r="L2307" s="197">
        <v>0</v>
      </c>
      <c r="M2307" s="260" t="s">
        <v>239</v>
      </c>
      <c r="N2307" s="260" t="s">
        <v>514</v>
      </c>
    </row>
    <row r="2308" spans="1:14" ht="14.5" x14ac:dyDescent="0.35">
      <c r="A2308" s="260" t="s">
        <v>566</v>
      </c>
      <c r="B2308" s="190">
        <v>45695</v>
      </c>
      <c r="C2308" s="260" t="s">
        <v>749</v>
      </c>
      <c r="D2308" s="197">
        <v>0</v>
      </c>
      <c r="E2308" s="197">
        <v>0</v>
      </c>
      <c r="F2308" s="197">
        <v>100.89</v>
      </c>
      <c r="G2308" s="190">
        <v>45695</v>
      </c>
      <c r="H2308" s="196">
        <v>0</v>
      </c>
      <c r="I2308" s="197">
        <v>0</v>
      </c>
      <c r="J2308" s="197">
        <v>0</v>
      </c>
      <c r="K2308" s="197">
        <v>0</v>
      </c>
      <c r="L2308" s="197">
        <v>0</v>
      </c>
      <c r="M2308" s="260" t="s">
        <v>239</v>
      </c>
      <c r="N2308" s="260" t="s">
        <v>514</v>
      </c>
    </row>
    <row r="2309" spans="1:14" ht="14.5" x14ac:dyDescent="0.35">
      <c r="A2309" s="260" t="s">
        <v>566</v>
      </c>
      <c r="B2309" s="190">
        <v>45695</v>
      </c>
      <c r="C2309" s="260" t="s">
        <v>752</v>
      </c>
      <c r="D2309" s="197">
        <v>0</v>
      </c>
      <c r="E2309" s="197">
        <v>0</v>
      </c>
      <c r="F2309" s="197">
        <v>196.33</v>
      </c>
      <c r="G2309" s="190">
        <v>45695</v>
      </c>
      <c r="H2309" s="196">
        <v>0</v>
      </c>
      <c r="I2309" s="197">
        <v>0</v>
      </c>
      <c r="J2309" s="197">
        <v>0</v>
      </c>
      <c r="K2309" s="197">
        <v>0</v>
      </c>
      <c r="L2309" s="197">
        <v>0</v>
      </c>
      <c r="M2309" s="260" t="s">
        <v>239</v>
      </c>
      <c r="N2309" s="260" t="s">
        <v>514</v>
      </c>
    </row>
    <row r="2310" spans="1:14" ht="14.5" x14ac:dyDescent="0.35">
      <c r="A2310" s="260" t="s">
        <v>566</v>
      </c>
      <c r="B2310" s="190">
        <v>45695</v>
      </c>
      <c r="C2310" s="260" t="s">
        <v>754</v>
      </c>
      <c r="D2310" s="197">
        <v>0</v>
      </c>
      <c r="E2310" s="197">
        <v>0</v>
      </c>
      <c r="F2310" s="197">
        <v>81.11</v>
      </c>
      <c r="G2310" s="190">
        <v>45695</v>
      </c>
      <c r="H2310" s="196">
        <v>0</v>
      </c>
      <c r="I2310" s="197">
        <v>0</v>
      </c>
      <c r="J2310" s="197">
        <v>0</v>
      </c>
      <c r="K2310" s="197">
        <v>0</v>
      </c>
      <c r="L2310" s="197">
        <v>0</v>
      </c>
      <c r="M2310" s="260" t="s">
        <v>239</v>
      </c>
      <c r="N2310" s="260" t="s">
        <v>514</v>
      </c>
    </row>
    <row r="2311" spans="1:14" ht="14.5" x14ac:dyDescent="0.35">
      <c r="A2311" s="260" t="s">
        <v>566</v>
      </c>
      <c r="B2311" s="190">
        <v>45696</v>
      </c>
      <c r="C2311" s="260" t="s">
        <v>749</v>
      </c>
      <c r="D2311" s="197">
        <v>0</v>
      </c>
      <c r="E2311" s="197">
        <v>0</v>
      </c>
      <c r="F2311" s="197">
        <v>100.89</v>
      </c>
      <c r="G2311" s="190">
        <v>45695</v>
      </c>
      <c r="H2311" s="196">
        <v>1</v>
      </c>
      <c r="I2311" s="197">
        <v>0</v>
      </c>
      <c r="J2311" s="197">
        <v>0</v>
      </c>
      <c r="K2311" s="197">
        <v>0</v>
      </c>
      <c r="L2311" s="197">
        <v>0</v>
      </c>
      <c r="M2311" s="260" t="s">
        <v>239</v>
      </c>
      <c r="N2311" s="260" t="s">
        <v>514</v>
      </c>
    </row>
    <row r="2312" spans="1:14" ht="14.5" x14ac:dyDescent="0.35">
      <c r="A2312" s="260" t="s">
        <v>566</v>
      </c>
      <c r="B2312" s="190">
        <v>45696</v>
      </c>
      <c r="C2312" s="260" t="s">
        <v>752</v>
      </c>
      <c r="D2312" s="197">
        <v>0</v>
      </c>
      <c r="E2312" s="197">
        <v>0</v>
      </c>
      <c r="F2312" s="197">
        <v>196.33</v>
      </c>
      <c r="G2312" s="190">
        <v>45695</v>
      </c>
      <c r="H2312" s="196">
        <v>1</v>
      </c>
      <c r="I2312" s="197">
        <v>0</v>
      </c>
      <c r="J2312" s="197">
        <v>0</v>
      </c>
      <c r="K2312" s="197">
        <v>0</v>
      </c>
      <c r="L2312" s="197">
        <v>0</v>
      </c>
      <c r="M2312" s="260" t="s">
        <v>239</v>
      </c>
      <c r="N2312" s="260" t="s">
        <v>514</v>
      </c>
    </row>
    <row r="2313" spans="1:14" ht="14.5" x14ac:dyDescent="0.35">
      <c r="A2313" s="260" t="s">
        <v>566</v>
      </c>
      <c r="B2313" s="190">
        <v>45696</v>
      </c>
      <c r="C2313" s="260" t="s">
        <v>754</v>
      </c>
      <c r="D2313" s="197">
        <v>0</v>
      </c>
      <c r="E2313" s="197">
        <v>0</v>
      </c>
      <c r="F2313" s="197">
        <v>81.11</v>
      </c>
      <c r="G2313" s="190">
        <v>45695</v>
      </c>
      <c r="H2313" s="196">
        <v>1</v>
      </c>
      <c r="I2313" s="197">
        <v>0</v>
      </c>
      <c r="J2313" s="197">
        <v>0</v>
      </c>
      <c r="K2313" s="197">
        <v>0</v>
      </c>
      <c r="L2313" s="197">
        <v>0</v>
      </c>
      <c r="M2313" s="260" t="s">
        <v>239</v>
      </c>
      <c r="N2313" s="260" t="s">
        <v>514</v>
      </c>
    </row>
    <row r="2314" spans="1:14" ht="14.5" x14ac:dyDescent="0.35">
      <c r="A2314" s="260" t="s">
        <v>566</v>
      </c>
      <c r="B2314" s="190">
        <v>45697</v>
      </c>
      <c r="C2314" s="260" t="s">
        <v>749</v>
      </c>
      <c r="D2314" s="197">
        <v>0</v>
      </c>
      <c r="E2314" s="197">
        <v>0</v>
      </c>
      <c r="F2314" s="197">
        <v>100.89</v>
      </c>
      <c r="G2314" s="190">
        <v>45695</v>
      </c>
      <c r="H2314" s="196">
        <v>2</v>
      </c>
      <c r="I2314" s="197">
        <v>0</v>
      </c>
      <c r="J2314" s="197">
        <v>0</v>
      </c>
      <c r="K2314" s="197">
        <v>0</v>
      </c>
      <c r="L2314" s="197">
        <v>0</v>
      </c>
      <c r="M2314" s="260" t="s">
        <v>239</v>
      </c>
      <c r="N2314" s="260" t="s">
        <v>514</v>
      </c>
    </row>
    <row r="2315" spans="1:14" ht="14.5" x14ac:dyDescent="0.35">
      <c r="A2315" s="260" t="s">
        <v>566</v>
      </c>
      <c r="B2315" s="190">
        <v>45697</v>
      </c>
      <c r="C2315" s="260" t="s">
        <v>752</v>
      </c>
      <c r="D2315" s="197">
        <v>0</v>
      </c>
      <c r="E2315" s="197">
        <v>0</v>
      </c>
      <c r="F2315" s="197">
        <v>196.33</v>
      </c>
      <c r="G2315" s="190">
        <v>45695</v>
      </c>
      <c r="H2315" s="196">
        <v>2</v>
      </c>
      <c r="I2315" s="197">
        <v>0</v>
      </c>
      <c r="J2315" s="197">
        <v>0</v>
      </c>
      <c r="K2315" s="197">
        <v>0</v>
      </c>
      <c r="L2315" s="197">
        <v>0</v>
      </c>
      <c r="M2315" s="260" t="s">
        <v>239</v>
      </c>
      <c r="N2315" s="260" t="s">
        <v>514</v>
      </c>
    </row>
    <row r="2316" spans="1:14" ht="14.5" x14ac:dyDescent="0.35">
      <c r="A2316" s="260" t="s">
        <v>566</v>
      </c>
      <c r="B2316" s="190">
        <v>45697</v>
      </c>
      <c r="C2316" s="260" t="s">
        <v>754</v>
      </c>
      <c r="D2316" s="197">
        <v>0</v>
      </c>
      <c r="E2316" s="197">
        <v>0</v>
      </c>
      <c r="F2316" s="197">
        <v>81.11</v>
      </c>
      <c r="G2316" s="190">
        <v>45695</v>
      </c>
      <c r="H2316" s="196">
        <v>2</v>
      </c>
      <c r="I2316" s="197">
        <v>0</v>
      </c>
      <c r="J2316" s="197">
        <v>0</v>
      </c>
      <c r="K2316" s="197">
        <v>0</v>
      </c>
      <c r="L2316" s="197">
        <v>0</v>
      </c>
      <c r="M2316" s="260" t="s">
        <v>239</v>
      </c>
      <c r="N2316" s="260" t="s">
        <v>514</v>
      </c>
    </row>
    <row r="2317" spans="1:14" ht="14.5" x14ac:dyDescent="0.35">
      <c r="A2317" s="260" t="s">
        <v>566</v>
      </c>
      <c r="B2317" s="190">
        <v>45698</v>
      </c>
      <c r="C2317" s="260" t="s">
        <v>749</v>
      </c>
      <c r="D2317" s="197">
        <v>0</v>
      </c>
      <c r="E2317" s="197">
        <v>0</v>
      </c>
      <c r="F2317" s="197">
        <v>100.33</v>
      </c>
      <c r="G2317" s="190">
        <v>45698</v>
      </c>
      <c r="H2317" s="196">
        <v>0</v>
      </c>
      <c r="I2317" s="197">
        <v>0</v>
      </c>
      <c r="J2317" s="197">
        <v>0</v>
      </c>
      <c r="K2317" s="197">
        <v>0</v>
      </c>
      <c r="L2317" s="197">
        <v>0</v>
      </c>
      <c r="M2317" s="260" t="s">
        <v>239</v>
      </c>
      <c r="N2317" s="260" t="s">
        <v>514</v>
      </c>
    </row>
    <row r="2318" spans="1:14" ht="14.5" x14ac:dyDescent="0.35">
      <c r="A2318" s="260" t="s">
        <v>566</v>
      </c>
      <c r="B2318" s="190">
        <v>45698</v>
      </c>
      <c r="C2318" s="260" t="s">
        <v>752</v>
      </c>
      <c r="D2318" s="197">
        <v>0</v>
      </c>
      <c r="E2318" s="197">
        <v>0</v>
      </c>
      <c r="F2318" s="197">
        <v>197</v>
      </c>
      <c r="G2318" s="190">
        <v>45698</v>
      </c>
      <c r="H2318" s="196">
        <v>0</v>
      </c>
      <c r="I2318" s="197">
        <v>0</v>
      </c>
      <c r="J2318" s="197">
        <v>0</v>
      </c>
      <c r="K2318" s="197">
        <v>0</v>
      </c>
      <c r="L2318" s="197">
        <v>0</v>
      </c>
      <c r="M2318" s="260" t="s">
        <v>239</v>
      </c>
      <c r="N2318" s="260" t="s">
        <v>514</v>
      </c>
    </row>
    <row r="2319" spans="1:14" ht="14.5" x14ac:dyDescent="0.35">
      <c r="A2319" s="260" t="s">
        <v>566</v>
      </c>
      <c r="B2319" s="190">
        <v>45698</v>
      </c>
      <c r="C2319" s="260" t="s">
        <v>754</v>
      </c>
      <c r="D2319" s="197">
        <v>0</v>
      </c>
      <c r="E2319" s="197">
        <v>0</v>
      </c>
      <c r="F2319" s="197">
        <v>80.67</v>
      </c>
      <c r="G2319" s="190">
        <v>45698</v>
      </c>
      <c r="H2319" s="196">
        <v>0</v>
      </c>
      <c r="I2319" s="197">
        <v>0</v>
      </c>
      <c r="J2319" s="197">
        <v>0</v>
      </c>
      <c r="K2319" s="197">
        <v>0</v>
      </c>
      <c r="L2319" s="197">
        <v>0</v>
      </c>
      <c r="M2319" s="260" t="s">
        <v>239</v>
      </c>
      <c r="N2319" s="260" t="s">
        <v>514</v>
      </c>
    </row>
    <row r="2320" spans="1:14" ht="14.5" x14ac:dyDescent="0.35">
      <c r="A2320" s="260" t="s">
        <v>566</v>
      </c>
      <c r="B2320" s="190">
        <v>45699</v>
      </c>
      <c r="C2320" s="260" t="s">
        <v>749</v>
      </c>
      <c r="D2320" s="197">
        <v>0</v>
      </c>
      <c r="E2320" s="197">
        <v>0</v>
      </c>
      <c r="F2320" s="197">
        <v>100.15</v>
      </c>
      <c r="G2320" s="190">
        <v>45699</v>
      </c>
      <c r="H2320" s="196">
        <v>0</v>
      </c>
      <c r="I2320" s="197">
        <v>0</v>
      </c>
      <c r="J2320" s="197">
        <v>0</v>
      </c>
      <c r="K2320" s="197">
        <v>0</v>
      </c>
      <c r="L2320" s="197">
        <v>0</v>
      </c>
      <c r="M2320" s="260" t="s">
        <v>239</v>
      </c>
      <c r="N2320" s="260" t="s">
        <v>514</v>
      </c>
    </row>
    <row r="2321" spans="1:14" ht="14.5" x14ac:dyDescent="0.35">
      <c r="A2321" s="260" t="s">
        <v>566</v>
      </c>
      <c r="B2321" s="190">
        <v>45699</v>
      </c>
      <c r="C2321" s="260" t="s">
        <v>752</v>
      </c>
      <c r="D2321" s="197">
        <v>0</v>
      </c>
      <c r="E2321" s="197">
        <v>0</v>
      </c>
      <c r="F2321" s="197">
        <v>197.22</v>
      </c>
      <c r="G2321" s="190">
        <v>45699</v>
      </c>
      <c r="H2321" s="196">
        <v>0</v>
      </c>
      <c r="I2321" s="197">
        <v>0</v>
      </c>
      <c r="J2321" s="197">
        <v>0</v>
      </c>
      <c r="K2321" s="197">
        <v>0</v>
      </c>
      <c r="L2321" s="197">
        <v>0</v>
      </c>
      <c r="M2321" s="260" t="s">
        <v>239</v>
      </c>
      <c r="N2321" s="260" t="s">
        <v>514</v>
      </c>
    </row>
    <row r="2322" spans="1:14" ht="14.5" x14ac:dyDescent="0.35">
      <c r="A2322" s="260" t="s">
        <v>566</v>
      </c>
      <c r="B2322" s="190">
        <v>45699</v>
      </c>
      <c r="C2322" s="260" t="s">
        <v>754</v>
      </c>
      <c r="D2322" s="197">
        <v>0</v>
      </c>
      <c r="E2322" s="197">
        <v>0</v>
      </c>
      <c r="F2322" s="197">
        <v>80.52</v>
      </c>
      <c r="G2322" s="190">
        <v>45699</v>
      </c>
      <c r="H2322" s="196">
        <v>0</v>
      </c>
      <c r="I2322" s="197">
        <v>0</v>
      </c>
      <c r="J2322" s="197">
        <v>0</v>
      </c>
      <c r="K2322" s="197">
        <v>0</v>
      </c>
      <c r="L2322" s="197">
        <v>0</v>
      </c>
      <c r="M2322" s="260" t="s">
        <v>239</v>
      </c>
      <c r="N2322" s="260" t="s">
        <v>514</v>
      </c>
    </row>
    <row r="2323" spans="1:14" ht="14.5" x14ac:dyDescent="0.35">
      <c r="A2323" s="260" t="s">
        <v>566</v>
      </c>
      <c r="B2323" s="190">
        <v>45700</v>
      </c>
      <c r="C2323" s="260" t="s">
        <v>749</v>
      </c>
      <c r="D2323" s="197">
        <v>0</v>
      </c>
      <c r="E2323" s="197">
        <v>0</v>
      </c>
      <c r="F2323" s="197">
        <v>99.96</v>
      </c>
      <c r="G2323" s="190">
        <v>45700</v>
      </c>
      <c r="H2323" s="196">
        <v>0</v>
      </c>
      <c r="I2323" s="197">
        <v>0</v>
      </c>
      <c r="J2323" s="197">
        <v>0</v>
      </c>
      <c r="K2323" s="197">
        <v>0</v>
      </c>
      <c r="L2323" s="197">
        <v>0</v>
      </c>
      <c r="M2323" s="260" t="s">
        <v>239</v>
      </c>
      <c r="N2323" s="260" t="s">
        <v>514</v>
      </c>
    </row>
    <row r="2324" spans="1:14" ht="14.5" x14ac:dyDescent="0.35">
      <c r="A2324" s="260" t="s">
        <v>566</v>
      </c>
      <c r="B2324" s="190">
        <v>45700</v>
      </c>
      <c r="C2324" s="260" t="s">
        <v>752</v>
      </c>
      <c r="D2324" s="197">
        <v>0</v>
      </c>
      <c r="E2324" s="197">
        <v>0</v>
      </c>
      <c r="F2324" s="197">
        <v>197.44</v>
      </c>
      <c r="G2324" s="190">
        <v>45700</v>
      </c>
      <c r="H2324" s="196">
        <v>0</v>
      </c>
      <c r="I2324" s="197">
        <v>0</v>
      </c>
      <c r="J2324" s="197">
        <v>0</v>
      </c>
      <c r="K2324" s="197">
        <v>0</v>
      </c>
      <c r="L2324" s="197">
        <v>0</v>
      </c>
      <c r="M2324" s="260" t="s">
        <v>239</v>
      </c>
      <c r="N2324" s="260" t="s">
        <v>514</v>
      </c>
    </row>
    <row r="2325" spans="1:14" ht="14.5" x14ac:dyDescent="0.35">
      <c r="A2325" s="260" t="s">
        <v>566</v>
      </c>
      <c r="B2325" s="190">
        <v>45700</v>
      </c>
      <c r="C2325" s="260" t="s">
        <v>754</v>
      </c>
      <c r="D2325" s="197">
        <v>0</v>
      </c>
      <c r="E2325" s="197">
        <v>0</v>
      </c>
      <c r="F2325" s="197">
        <v>80.37</v>
      </c>
      <c r="G2325" s="190">
        <v>45700</v>
      </c>
      <c r="H2325" s="196">
        <v>0</v>
      </c>
      <c r="I2325" s="197">
        <v>0</v>
      </c>
      <c r="J2325" s="197">
        <v>0</v>
      </c>
      <c r="K2325" s="197">
        <v>0</v>
      </c>
      <c r="L2325" s="197">
        <v>0</v>
      </c>
      <c r="M2325" s="260" t="s">
        <v>239</v>
      </c>
      <c r="N2325" s="260" t="s">
        <v>514</v>
      </c>
    </row>
    <row r="2326" spans="1:14" ht="14.5" x14ac:dyDescent="0.35">
      <c r="A2326" s="260" t="s">
        <v>566</v>
      </c>
      <c r="B2326" s="190">
        <v>45701</v>
      </c>
      <c r="C2326" s="260" t="s">
        <v>749</v>
      </c>
      <c r="D2326" s="197">
        <v>0</v>
      </c>
      <c r="E2326" s="197">
        <v>0</v>
      </c>
      <c r="F2326" s="197">
        <v>99.78</v>
      </c>
      <c r="G2326" s="190">
        <v>45701</v>
      </c>
      <c r="H2326" s="196">
        <v>0</v>
      </c>
      <c r="I2326" s="197">
        <v>0</v>
      </c>
      <c r="J2326" s="197">
        <v>0</v>
      </c>
      <c r="K2326" s="197">
        <v>0</v>
      </c>
      <c r="L2326" s="197">
        <v>0</v>
      </c>
      <c r="M2326" s="260" t="s">
        <v>239</v>
      </c>
      <c r="N2326" s="260" t="s">
        <v>514</v>
      </c>
    </row>
    <row r="2327" spans="1:14" ht="14.5" x14ac:dyDescent="0.35">
      <c r="A2327" s="260" t="s">
        <v>566</v>
      </c>
      <c r="B2327" s="190">
        <v>45701</v>
      </c>
      <c r="C2327" s="260" t="s">
        <v>752</v>
      </c>
      <c r="D2327" s="197">
        <v>0</v>
      </c>
      <c r="E2327" s="197">
        <v>0</v>
      </c>
      <c r="F2327" s="197">
        <v>197.67</v>
      </c>
      <c r="G2327" s="190">
        <v>45701</v>
      </c>
      <c r="H2327" s="196">
        <v>0</v>
      </c>
      <c r="I2327" s="197">
        <v>0</v>
      </c>
      <c r="J2327" s="197">
        <v>0</v>
      </c>
      <c r="K2327" s="197">
        <v>0</v>
      </c>
      <c r="L2327" s="197">
        <v>0</v>
      </c>
      <c r="M2327" s="260" t="s">
        <v>239</v>
      </c>
      <c r="N2327" s="260" t="s">
        <v>514</v>
      </c>
    </row>
    <row r="2328" spans="1:14" ht="14.5" x14ac:dyDescent="0.35">
      <c r="A2328" s="260" t="s">
        <v>566</v>
      </c>
      <c r="B2328" s="190">
        <v>45701</v>
      </c>
      <c r="C2328" s="260" t="s">
        <v>754</v>
      </c>
      <c r="D2328" s="197">
        <v>0</v>
      </c>
      <c r="E2328" s="197">
        <v>0</v>
      </c>
      <c r="F2328" s="197">
        <v>80.22</v>
      </c>
      <c r="G2328" s="190">
        <v>45701</v>
      </c>
      <c r="H2328" s="196">
        <v>0</v>
      </c>
      <c r="I2328" s="197">
        <v>0</v>
      </c>
      <c r="J2328" s="197">
        <v>0</v>
      </c>
      <c r="K2328" s="197">
        <v>0</v>
      </c>
      <c r="L2328" s="197">
        <v>0</v>
      </c>
      <c r="M2328" s="260" t="s">
        <v>239</v>
      </c>
      <c r="N2328" s="260" t="s">
        <v>514</v>
      </c>
    </row>
    <row r="2329" spans="1:14" ht="14.5" x14ac:dyDescent="0.35">
      <c r="A2329" s="260" t="s">
        <v>566</v>
      </c>
      <c r="B2329" s="190">
        <v>45702</v>
      </c>
      <c r="C2329" s="260" t="s">
        <v>749</v>
      </c>
      <c r="D2329" s="197">
        <v>0</v>
      </c>
      <c r="E2329" s="197">
        <v>0</v>
      </c>
      <c r="F2329" s="197">
        <v>99.59</v>
      </c>
      <c r="G2329" s="190">
        <v>45702</v>
      </c>
      <c r="H2329" s="196">
        <v>0</v>
      </c>
      <c r="I2329" s="197">
        <v>0</v>
      </c>
      <c r="J2329" s="197">
        <v>0</v>
      </c>
      <c r="K2329" s="197">
        <v>0</v>
      </c>
      <c r="L2329" s="197">
        <v>0</v>
      </c>
      <c r="M2329" s="260" t="s">
        <v>239</v>
      </c>
      <c r="N2329" s="260" t="s">
        <v>514</v>
      </c>
    </row>
    <row r="2330" spans="1:14" ht="14.5" x14ac:dyDescent="0.35">
      <c r="A2330" s="260" t="s">
        <v>566</v>
      </c>
      <c r="B2330" s="190">
        <v>45702</v>
      </c>
      <c r="C2330" s="260" t="s">
        <v>752</v>
      </c>
      <c r="D2330" s="197">
        <v>0</v>
      </c>
      <c r="E2330" s="197">
        <v>0</v>
      </c>
      <c r="F2330" s="197">
        <v>197.89</v>
      </c>
      <c r="G2330" s="190">
        <v>45702</v>
      </c>
      <c r="H2330" s="196">
        <v>0</v>
      </c>
      <c r="I2330" s="197">
        <v>0</v>
      </c>
      <c r="J2330" s="197">
        <v>0</v>
      </c>
      <c r="K2330" s="197">
        <v>0</v>
      </c>
      <c r="L2330" s="197">
        <v>0</v>
      </c>
      <c r="M2330" s="260" t="s">
        <v>239</v>
      </c>
      <c r="N2330" s="260" t="s">
        <v>514</v>
      </c>
    </row>
    <row r="2331" spans="1:14" ht="14.5" x14ac:dyDescent="0.35">
      <c r="A2331" s="260" t="s">
        <v>566</v>
      </c>
      <c r="B2331" s="190">
        <v>45702</v>
      </c>
      <c r="C2331" s="260" t="s">
        <v>754</v>
      </c>
      <c r="D2331" s="197">
        <v>0</v>
      </c>
      <c r="E2331" s="197">
        <v>0</v>
      </c>
      <c r="F2331" s="197">
        <v>80.069999999999993</v>
      </c>
      <c r="G2331" s="190">
        <v>45702</v>
      </c>
      <c r="H2331" s="196">
        <v>0</v>
      </c>
      <c r="I2331" s="197">
        <v>0</v>
      </c>
      <c r="J2331" s="197">
        <v>0</v>
      </c>
      <c r="K2331" s="197">
        <v>0</v>
      </c>
      <c r="L2331" s="197">
        <v>0</v>
      </c>
      <c r="M2331" s="260" t="s">
        <v>239</v>
      </c>
      <c r="N2331" s="260" t="s">
        <v>514</v>
      </c>
    </row>
    <row r="2332" spans="1:14" ht="14.5" x14ac:dyDescent="0.35">
      <c r="A2332" s="260" t="s">
        <v>566</v>
      </c>
      <c r="B2332" s="190">
        <v>45703</v>
      </c>
      <c r="C2332" s="260" t="s">
        <v>749</v>
      </c>
      <c r="D2332" s="197">
        <v>0</v>
      </c>
      <c r="E2332" s="197">
        <v>0</v>
      </c>
      <c r="F2332" s="197">
        <v>99.59</v>
      </c>
      <c r="G2332" s="190">
        <v>45702</v>
      </c>
      <c r="H2332" s="196">
        <v>1</v>
      </c>
      <c r="I2332" s="197">
        <v>0</v>
      </c>
      <c r="J2332" s="197">
        <v>0</v>
      </c>
      <c r="K2332" s="197">
        <v>0</v>
      </c>
      <c r="L2332" s="197">
        <v>0</v>
      </c>
      <c r="M2332" s="260" t="s">
        <v>239</v>
      </c>
      <c r="N2332" s="260" t="s">
        <v>514</v>
      </c>
    </row>
    <row r="2333" spans="1:14" ht="14.5" x14ac:dyDescent="0.35">
      <c r="A2333" s="260" t="s">
        <v>566</v>
      </c>
      <c r="B2333" s="190">
        <v>45703</v>
      </c>
      <c r="C2333" s="260" t="s">
        <v>752</v>
      </c>
      <c r="D2333" s="197">
        <v>0</v>
      </c>
      <c r="E2333" s="197">
        <v>0</v>
      </c>
      <c r="F2333" s="197">
        <v>197.89</v>
      </c>
      <c r="G2333" s="190">
        <v>45702</v>
      </c>
      <c r="H2333" s="196">
        <v>1</v>
      </c>
      <c r="I2333" s="197">
        <v>0</v>
      </c>
      <c r="J2333" s="197">
        <v>0</v>
      </c>
      <c r="K2333" s="197">
        <v>0</v>
      </c>
      <c r="L2333" s="197">
        <v>0</v>
      </c>
      <c r="M2333" s="260" t="s">
        <v>239</v>
      </c>
      <c r="N2333" s="260" t="s">
        <v>514</v>
      </c>
    </row>
    <row r="2334" spans="1:14" ht="14.5" x14ac:dyDescent="0.35">
      <c r="A2334" s="260" t="s">
        <v>566</v>
      </c>
      <c r="B2334" s="190">
        <v>45703</v>
      </c>
      <c r="C2334" s="260" t="s">
        <v>754</v>
      </c>
      <c r="D2334" s="197">
        <v>0</v>
      </c>
      <c r="E2334" s="197">
        <v>0</v>
      </c>
      <c r="F2334" s="197">
        <v>80.069999999999993</v>
      </c>
      <c r="G2334" s="190">
        <v>45702</v>
      </c>
      <c r="H2334" s="196">
        <v>1</v>
      </c>
      <c r="I2334" s="197">
        <v>0</v>
      </c>
      <c r="J2334" s="197">
        <v>0</v>
      </c>
      <c r="K2334" s="197">
        <v>0</v>
      </c>
      <c r="L2334" s="197">
        <v>0</v>
      </c>
      <c r="M2334" s="260" t="s">
        <v>239</v>
      </c>
      <c r="N2334" s="260" t="s">
        <v>514</v>
      </c>
    </row>
    <row r="2335" spans="1:14" ht="14.5" x14ac:dyDescent="0.35">
      <c r="A2335" s="260" t="s">
        <v>566</v>
      </c>
      <c r="B2335" s="190">
        <v>45704</v>
      </c>
      <c r="C2335" s="260" t="s">
        <v>749</v>
      </c>
      <c r="D2335" s="197">
        <v>0</v>
      </c>
      <c r="E2335" s="197">
        <v>0</v>
      </c>
      <c r="F2335" s="197">
        <v>99.59</v>
      </c>
      <c r="G2335" s="190">
        <v>45702</v>
      </c>
      <c r="H2335" s="196">
        <v>2</v>
      </c>
      <c r="I2335" s="197">
        <v>0</v>
      </c>
      <c r="J2335" s="197">
        <v>0</v>
      </c>
      <c r="K2335" s="197">
        <v>0</v>
      </c>
      <c r="L2335" s="197">
        <v>0</v>
      </c>
      <c r="M2335" s="260" t="s">
        <v>239</v>
      </c>
      <c r="N2335" s="260" t="s">
        <v>514</v>
      </c>
    </row>
    <row r="2336" spans="1:14" ht="14.5" x14ac:dyDescent="0.35">
      <c r="A2336" s="260" t="s">
        <v>566</v>
      </c>
      <c r="B2336" s="190">
        <v>45704</v>
      </c>
      <c r="C2336" s="260" t="s">
        <v>752</v>
      </c>
      <c r="D2336" s="197">
        <v>0</v>
      </c>
      <c r="E2336" s="197">
        <v>0</v>
      </c>
      <c r="F2336" s="197">
        <v>197.89</v>
      </c>
      <c r="G2336" s="190">
        <v>45702</v>
      </c>
      <c r="H2336" s="196">
        <v>2</v>
      </c>
      <c r="I2336" s="197">
        <v>0</v>
      </c>
      <c r="J2336" s="197">
        <v>0</v>
      </c>
      <c r="K2336" s="197">
        <v>0</v>
      </c>
      <c r="L2336" s="197">
        <v>0</v>
      </c>
      <c r="M2336" s="260" t="s">
        <v>239</v>
      </c>
      <c r="N2336" s="260" t="s">
        <v>514</v>
      </c>
    </row>
    <row r="2337" spans="1:14" ht="14.5" x14ac:dyDescent="0.35">
      <c r="A2337" s="260" t="s">
        <v>566</v>
      </c>
      <c r="B2337" s="190">
        <v>45704</v>
      </c>
      <c r="C2337" s="260" t="s">
        <v>754</v>
      </c>
      <c r="D2337" s="197">
        <v>0</v>
      </c>
      <c r="E2337" s="197">
        <v>0</v>
      </c>
      <c r="F2337" s="197">
        <v>80.069999999999993</v>
      </c>
      <c r="G2337" s="190">
        <v>45702</v>
      </c>
      <c r="H2337" s="196">
        <v>2</v>
      </c>
      <c r="I2337" s="197">
        <v>0</v>
      </c>
      <c r="J2337" s="197">
        <v>0</v>
      </c>
      <c r="K2337" s="197">
        <v>0</v>
      </c>
      <c r="L2337" s="197">
        <v>0</v>
      </c>
      <c r="M2337" s="260" t="s">
        <v>239</v>
      </c>
      <c r="N2337" s="260" t="s">
        <v>514</v>
      </c>
    </row>
    <row r="2338" spans="1:14" ht="14.5" x14ac:dyDescent="0.35">
      <c r="A2338" s="260" t="s">
        <v>566</v>
      </c>
      <c r="B2338" s="190">
        <v>45705</v>
      </c>
      <c r="C2338" s="260" t="s">
        <v>749</v>
      </c>
      <c r="D2338" s="197">
        <v>0</v>
      </c>
      <c r="E2338" s="197">
        <v>0</v>
      </c>
      <c r="F2338" s="197">
        <v>99.04</v>
      </c>
      <c r="G2338" s="190">
        <v>45705</v>
      </c>
      <c r="H2338" s="196">
        <v>0</v>
      </c>
      <c r="I2338" s="197">
        <v>0</v>
      </c>
      <c r="J2338" s="197">
        <v>0</v>
      </c>
      <c r="K2338" s="197">
        <v>0</v>
      </c>
      <c r="L2338" s="197">
        <v>0</v>
      </c>
      <c r="M2338" s="260" t="s">
        <v>239</v>
      </c>
      <c r="N2338" s="260" t="s">
        <v>514</v>
      </c>
    </row>
    <row r="2339" spans="1:14" ht="14.5" x14ac:dyDescent="0.35">
      <c r="A2339" s="260" t="s">
        <v>566</v>
      </c>
      <c r="B2339" s="190">
        <v>45705</v>
      </c>
      <c r="C2339" s="260" t="s">
        <v>752</v>
      </c>
      <c r="D2339" s="197">
        <v>0</v>
      </c>
      <c r="E2339" s="197">
        <v>0</v>
      </c>
      <c r="F2339" s="197">
        <v>198.56</v>
      </c>
      <c r="G2339" s="190">
        <v>45705</v>
      </c>
      <c r="H2339" s="196">
        <v>0</v>
      </c>
      <c r="I2339" s="197">
        <v>0</v>
      </c>
      <c r="J2339" s="197">
        <v>0</v>
      </c>
      <c r="K2339" s="197">
        <v>0</v>
      </c>
      <c r="L2339" s="197">
        <v>0</v>
      </c>
      <c r="M2339" s="260" t="s">
        <v>239</v>
      </c>
      <c r="N2339" s="260" t="s">
        <v>514</v>
      </c>
    </row>
    <row r="2340" spans="1:14" ht="14.5" x14ac:dyDescent="0.35">
      <c r="A2340" s="260" t="s">
        <v>566</v>
      </c>
      <c r="B2340" s="190">
        <v>45705</v>
      </c>
      <c r="C2340" s="260" t="s">
        <v>754</v>
      </c>
      <c r="D2340" s="197">
        <v>0</v>
      </c>
      <c r="E2340" s="197">
        <v>0</v>
      </c>
      <c r="F2340" s="197">
        <v>79.63</v>
      </c>
      <c r="G2340" s="190">
        <v>45705</v>
      </c>
      <c r="H2340" s="196">
        <v>0</v>
      </c>
      <c r="I2340" s="197">
        <v>0</v>
      </c>
      <c r="J2340" s="197">
        <v>0</v>
      </c>
      <c r="K2340" s="197">
        <v>0</v>
      </c>
      <c r="L2340" s="197">
        <v>0</v>
      </c>
      <c r="M2340" s="260" t="s">
        <v>239</v>
      </c>
      <c r="N2340" s="260" t="s">
        <v>514</v>
      </c>
    </row>
    <row r="2341" spans="1:14" ht="14.5" x14ac:dyDescent="0.35">
      <c r="A2341" s="260" t="s">
        <v>566</v>
      </c>
      <c r="B2341" s="190">
        <v>45706</v>
      </c>
      <c r="C2341" s="260" t="s">
        <v>749</v>
      </c>
      <c r="D2341" s="197">
        <v>0</v>
      </c>
      <c r="E2341" s="197">
        <v>0</v>
      </c>
      <c r="F2341" s="197">
        <v>98.85</v>
      </c>
      <c r="G2341" s="190">
        <v>45706</v>
      </c>
      <c r="H2341" s="196">
        <v>0</v>
      </c>
      <c r="I2341" s="197">
        <v>0</v>
      </c>
      <c r="J2341" s="197">
        <v>0</v>
      </c>
      <c r="K2341" s="197">
        <v>0</v>
      </c>
      <c r="L2341" s="197">
        <v>0</v>
      </c>
      <c r="M2341" s="260" t="s">
        <v>239</v>
      </c>
      <c r="N2341" s="260" t="s">
        <v>514</v>
      </c>
    </row>
    <row r="2342" spans="1:14" ht="14.5" x14ac:dyDescent="0.35">
      <c r="A2342" s="260" t="s">
        <v>566</v>
      </c>
      <c r="B2342" s="190">
        <v>45706</v>
      </c>
      <c r="C2342" s="260" t="s">
        <v>752</v>
      </c>
      <c r="D2342" s="197">
        <v>0</v>
      </c>
      <c r="E2342" s="197">
        <v>0</v>
      </c>
      <c r="F2342" s="197">
        <v>198.78</v>
      </c>
      <c r="G2342" s="190">
        <v>45706</v>
      </c>
      <c r="H2342" s="196">
        <v>0</v>
      </c>
      <c r="I2342" s="197">
        <v>0</v>
      </c>
      <c r="J2342" s="197">
        <v>0</v>
      </c>
      <c r="K2342" s="197">
        <v>0</v>
      </c>
      <c r="L2342" s="197">
        <v>0</v>
      </c>
      <c r="M2342" s="260" t="s">
        <v>239</v>
      </c>
      <c r="N2342" s="260" t="s">
        <v>514</v>
      </c>
    </row>
    <row r="2343" spans="1:14" ht="14.5" x14ac:dyDescent="0.35">
      <c r="A2343" s="260" t="s">
        <v>566</v>
      </c>
      <c r="B2343" s="190">
        <v>45706</v>
      </c>
      <c r="C2343" s="260" t="s">
        <v>754</v>
      </c>
      <c r="D2343" s="197">
        <v>0</v>
      </c>
      <c r="E2343" s="197">
        <v>0</v>
      </c>
      <c r="F2343" s="197">
        <v>79.48</v>
      </c>
      <c r="G2343" s="190">
        <v>45706</v>
      </c>
      <c r="H2343" s="196">
        <v>0</v>
      </c>
      <c r="I2343" s="197">
        <v>0</v>
      </c>
      <c r="J2343" s="197">
        <v>0</v>
      </c>
      <c r="K2343" s="197">
        <v>0</v>
      </c>
      <c r="L2343" s="197">
        <v>0</v>
      </c>
      <c r="M2343" s="260" t="s">
        <v>239</v>
      </c>
      <c r="N2343" s="260" t="s">
        <v>514</v>
      </c>
    </row>
    <row r="2344" spans="1:14" ht="14.5" x14ac:dyDescent="0.35">
      <c r="A2344" s="260" t="s">
        <v>566</v>
      </c>
      <c r="B2344" s="190">
        <v>45707</v>
      </c>
      <c r="C2344" s="260" t="s">
        <v>749</v>
      </c>
      <c r="D2344" s="197">
        <v>0</v>
      </c>
      <c r="E2344" s="197">
        <v>0</v>
      </c>
      <c r="F2344" s="197">
        <v>98.67</v>
      </c>
      <c r="G2344" s="190">
        <v>45707</v>
      </c>
      <c r="H2344" s="196">
        <v>0</v>
      </c>
      <c r="I2344" s="197">
        <v>0</v>
      </c>
      <c r="J2344" s="197">
        <v>0</v>
      </c>
      <c r="K2344" s="197">
        <v>0</v>
      </c>
      <c r="L2344" s="197">
        <v>0</v>
      </c>
      <c r="M2344" s="260" t="s">
        <v>239</v>
      </c>
      <c r="N2344" s="260" t="s">
        <v>514</v>
      </c>
    </row>
    <row r="2345" spans="1:14" ht="14.5" x14ac:dyDescent="0.35">
      <c r="A2345" s="260" t="s">
        <v>566</v>
      </c>
      <c r="B2345" s="190">
        <v>45707</v>
      </c>
      <c r="C2345" s="260" t="s">
        <v>752</v>
      </c>
      <c r="D2345" s="197">
        <v>0</v>
      </c>
      <c r="E2345" s="197">
        <v>0</v>
      </c>
      <c r="F2345" s="197">
        <v>199</v>
      </c>
      <c r="G2345" s="190">
        <v>45707</v>
      </c>
      <c r="H2345" s="196">
        <v>0</v>
      </c>
      <c r="I2345" s="197">
        <v>0</v>
      </c>
      <c r="J2345" s="197">
        <v>0</v>
      </c>
      <c r="K2345" s="197">
        <v>0</v>
      </c>
      <c r="L2345" s="197">
        <v>0</v>
      </c>
      <c r="M2345" s="260" t="s">
        <v>239</v>
      </c>
      <c r="N2345" s="260" t="s">
        <v>514</v>
      </c>
    </row>
    <row r="2346" spans="1:14" ht="14.5" x14ac:dyDescent="0.35">
      <c r="A2346" s="260" t="s">
        <v>566</v>
      </c>
      <c r="B2346" s="190">
        <v>45707</v>
      </c>
      <c r="C2346" s="260" t="s">
        <v>754</v>
      </c>
      <c r="D2346" s="197">
        <v>0</v>
      </c>
      <c r="E2346" s="197">
        <v>0</v>
      </c>
      <c r="F2346" s="197">
        <v>79.33</v>
      </c>
      <c r="G2346" s="190">
        <v>45707</v>
      </c>
      <c r="H2346" s="196">
        <v>0</v>
      </c>
      <c r="I2346" s="197">
        <v>0</v>
      </c>
      <c r="J2346" s="197">
        <v>0</v>
      </c>
      <c r="K2346" s="197">
        <v>0</v>
      </c>
      <c r="L2346" s="197">
        <v>0</v>
      </c>
      <c r="M2346" s="260" t="s">
        <v>239</v>
      </c>
      <c r="N2346" s="260" t="s">
        <v>514</v>
      </c>
    </row>
    <row r="2347" spans="1:14" ht="14.5" x14ac:dyDescent="0.35">
      <c r="A2347" s="260" t="s">
        <v>566</v>
      </c>
      <c r="B2347" s="190">
        <v>45708</v>
      </c>
      <c r="C2347" s="260" t="s">
        <v>749</v>
      </c>
      <c r="D2347" s="197">
        <v>0</v>
      </c>
      <c r="E2347" s="197">
        <v>0</v>
      </c>
      <c r="F2347" s="197">
        <v>98.48</v>
      </c>
      <c r="G2347" s="190">
        <v>45708</v>
      </c>
      <c r="H2347" s="196">
        <v>0</v>
      </c>
      <c r="I2347" s="197">
        <v>0</v>
      </c>
      <c r="J2347" s="197">
        <v>0</v>
      </c>
      <c r="K2347" s="197">
        <v>0</v>
      </c>
      <c r="L2347" s="197">
        <v>0</v>
      </c>
      <c r="M2347" s="260" t="s">
        <v>239</v>
      </c>
      <c r="N2347" s="260" t="s">
        <v>514</v>
      </c>
    </row>
    <row r="2348" spans="1:14" ht="14.5" x14ac:dyDescent="0.35">
      <c r="A2348" s="260" t="s">
        <v>566</v>
      </c>
      <c r="B2348" s="190">
        <v>45708</v>
      </c>
      <c r="C2348" s="260" t="s">
        <v>752</v>
      </c>
      <c r="D2348" s="197">
        <v>0</v>
      </c>
      <c r="E2348" s="197">
        <v>0</v>
      </c>
      <c r="F2348" s="197">
        <v>199.22</v>
      </c>
      <c r="G2348" s="190">
        <v>45708</v>
      </c>
      <c r="H2348" s="196">
        <v>0</v>
      </c>
      <c r="I2348" s="197">
        <v>0</v>
      </c>
      <c r="J2348" s="197">
        <v>0</v>
      </c>
      <c r="K2348" s="197">
        <v>0</v>
      </c>
      <c r="L2348" s="197">
        <v>0</v>
      </c>
      <c r="M2348" s="260" t="s">
        <v>239</v>
      </c>
      <c r="N2348" s="260" t="s">
        <v>514</v>
      </c>
    </row>
    <row r="2349" spans="1:14" ht="14.5" x14ac:dyDescent="0.35">
      <c r="A2349" s="260" t="s">
        <v>566</v>
      </c>
      <c r="B2349" s="190">
        <v>45708</v>
      </c>
      <c r="C2349" s="260" t="s">
        <v>754</v>
      </c>
      <c r="D2349" s="197">
        <v>0</v>
      </c>
      <c r="E2349" s="197">
        <v>0</v>
      </c>
      <c r="F2349" s="197">
        <v>79.19</v>
      </c>
      <c r="G2349" s="190">
        <v>45708</v>
      </c>
      <c r="H2349" s="196">
        <v>0</v>
      </c>
      <c r="I2349" s="197">
        <v>0</v>
      </c>
      <c r="J2349" s="197">
        <v>0</v>
      </c>
      <c r="K2349" s="197">
        <v>0</v>
      </c>
      <c r="L2349" s="197">
        <v>0</v>
      </c>
      <c r="M2349" s="260" t="s">
        <v>239</v>
      </c>
      <c r="N2349" s="260" t="s">
        <v>514</v>
      </c>
    </row>
    <row r="2350" spans="1:14" ht="14.5" x14ac:dyDescent="0.35">
      <c r="A2350" s="260" t="s">
        <v>566</v>
      </c>
      <c r="B2350" s="190">
        <v>45709</v>
      </c>
      <c r="C2350" s="260" t="s">
        <v>749</v>
      </c>
      <c r="D2350" s="197">
        <v>0</v>
      </c>
      <c r="E2350" s="197">
        <v>0</v>
      </c>
      <c r="F2350" s="197">
        <v>98.3</v>
      </c>
      <c r="G2350" s="190">
        <v>45709</v>
      </c>
      <c r="H2350" s="196">
        <v>0</v>
      </c>
      <c r="I2350" s="197">
        <v>0</v>
      </c>
      <c r="J2350" s="197">
        <v>0</v>
      </c>
      <c r="K2350" s="197">
        <v>0</v>
      </c>
      <c r="L2350" s="197">
        <v>0</v>
      </c>
      <c r="M2350" s="260" t="s">
        <v>239</v>
      </c>
      <c r="N2350" s="260" t="s">
        <v>514</v>
      </c>
    </row>
    <row r="2351" spans="1:14" ht="14.5" x14ac:dyDescent="0.35">
      <c r="A2351" s="260" t="s">
        <v>566</v>
      </c>
      <c r="B2351" s="190">
        <v>45709</v>
      </c>
      <c r="C2351" s="260" t="s">
        <v>752</v>
      </c>
      <c r="D2351" s="197">
        <v>0</v>
      </c>
      <c r="E2351" s="197">
        <v>0</v>
      </c>
      <c r="F2351" s="197">
        <v>199.44</v>
      </c>
      <c r="G2351" s="190">
        <v>45709</v>
      </c>
      <c r="H2351" s="196">
        <v>0</v>
      </c>
      <c r="I2351" s="197">
        <v>0</v>
      </c>
      <c r="J2351" s="197">
        <v>0</v>
      </c>
      <c r="K2351" s="197">
        <v>0</v>
      </c>
      <c r="L2351" s="197">
        <v>0</v>
      </c>
      <c r="M2351" s="260" t="s">
        <v>239</v>
      </c>
      <c r="N2351" s="260" t="s">
        <v>514</v>
      </c>
    </row>
    <row r="2352" spans="1:14" ht="14.5" x14ac:dyDescent="0.35">
      <c r="A2352" s="260" t="s">
        <v>566</v>
      </c>
      <c r="B2352" s="190">
        <v>45709</v>
      </c>
      <c r="C2352" s="260" t="s">
        <v>754</v>
      </c>
      <c r="D2352" s="197">
        <v>0</v>
      </c>
      <c r="E2352" s="197">
        <v>0</v>
      </c>
      <c r="F2352" s="197">
        <v>79.040000000000006</v>
      </c>
      <c r="G2352" s="190">
        <v>45709</v>
      </c>
      <c r="H2352" s="196">
        <v>0</v>
      </c>
      <c r="I2352" s="197">
        <v>0</v>
      </c>
      <c r="J2352" s="197">
        <v>0</v>
      </c>
      <c r="K2352" s="197">
        <v>0</v>
      </c>
      <c r="L2352" s="197">
        <v>0</v>
      </c>
      <c r="M2352" s="260" t="s">
        <v>239</v>
      </c>
      <c r="N2352" s="260" t="s">
        <v>514</v>
      </c>
    </row>
    <row r="2353" spans="1:14" ht="14.5" x14ac:dyDescent="0.35">
      <c r="A2353" s="260" t="s">
        <v>566</v>
      </c>
      <c r="B2353" s="190">
        <v>45710</v>
      </c>
      <c r="C2353" s="260" t="s">
        <v>749</v>
      </c>
      <c r="D2353" s="197">
        <v>0</v>
      </c>
      <c r="E2353" s="197">
        <v>0</v>
      </c>
      <c r="F2353" s="197">
        <v>98.3</v>
      </c>
      <c r="G2353" s="190">
        <v>45709</v>
      </c>
      <c r="H2353" s="196">
        <v>1</v>
      </c>
      <c r="I2353" s="197">
        <v>0</v>
      </c>
      <c r="J2353" s="197">
        <v>0</v>
      </c>
      <c r="K2353" s="197">
        <v>0</v>
      </c>
      <c r="L2353" s="197">
        <v>0</v>
      </c>
      <c r="M2353" s="260" t="s">
        <v>239</v>
      </c>
      <c r="N2353" s="260" t="s">
        <v>514</v>
      </c>
    </row>
    <row r="2354" spans="1:14" ht="14.5" x14ac:dyDescent="0.35">
      <c r="A2354" s="260" t="s">
        <v>566</v>
      </c>
      <c r="B2354" s="190">
        <v>45710</v>
      </c>
      <c r="C2354" s="260" t="s">
        <v>752</v>
      </c>
      <c r="D2354" s="197">
        <v>0</v>
      </c>
      <c r="E2354" s="197">
        <v>0</v>
      </c>
      <c r="F2354" s="197">
        <v>199.44</v>
      </c>
      <c r="G2354" s="190">
        <v>45709</v>
      </c>
      <c r="H2354" s="196">
        <v>1</v>
      </c>
      <c r="I2354" s="197">
        <v>0</v>
      </c>
      <c r="J2354" s="197">
        <v>0</v>
      </c>
      <c r="K2354" s="197">
        <v>0</v>
      </c>
      <c r="L2354" s="197">
        <v>0</v>
      </c>
      <c r="M2354" s="260" t="s">
        <v>239</v>
      </c>
      <c r="N2354" s="260" t="s">
        <v>514</v>
      </c>
    </row>
    <row r="2355" spans="1:14" ht="14.5" x14ac:dyDescent="0.35">
      <c r="A2355" s="260" t="s">
        <v>566</v>
      </c>
      <c r="B2355" s="190">
        <v>45710</v>
      </c>
      <c r="C2355" s="260" t="s">
        <v>754</v>
      </c>
      <c r="D2355" s="197">
        <v>0</v>
      </c>
      <c r="E2355" s="197">
        <v>0</v>
      </c>
      <c r="F2355" s="197">
        <v>79.040000000000006</v>
      </c>
      <c r="G2355" s="190">
        <v>45709</v>
      </c>
      <c r="H2355" s="196">
        <v>1</v>
      </c>
      <c r="I2355" s="197">
        <v>0</v>
      </c>
      <c r="J2355" s="197">
        <v>0</v>
      </c>
      <c r="K2355" s="197">
        <v>0</v>
      </c>
      <c r="L2355" s="197">
        <v>0</v>
      </c>
      <c r="M2355" s="260" t="s">
        <v>239</v>
      </c>
      <c r="N2355" s="260" t="s">
        <v>514</v>
      </c>
    </row>
    <row r="2356" spans="1:14" ht="14.5" x14ac:dyDescent="0.35">
      <c r="A2356" s="260" t="s">
        <v>566</v>
      </c>
      <c r="B2356" s="190">
        <v>45711</v>
      </c>
      <c r="C2356" s="260" t="s">
        <v>749</v>
      </c>
      <c r="D2356" s="197">
        <v>0</v>
      </c>
      <c r="E2356" s="197">
        <v>0</v>
      </c>
      <c r="F2356" s="197">
        <v>98.3</v>
      </c>
      <c r="G2356" s="190">
        <v>45709</v>
      </c>
      <c r="H2356" s="196">
        <v>2</v>
      </c>
      <c r="I2356" s="197">
        <v>0</v>
      </c>
      <c r="J2356" s="197">
        <v>0</v>
      </c>
      <c r="K2356" s="197">
        <v>0</v>
      </c>
      <c r="L2356" s="197">
        <v>0</v>
      </c>
      <c r="M2356" s="260" t="s">
        <v>239</v>
      </c>
      <c r="N2356" s="260" t="s">
        <v>514</v>
      </c>
    </row>
    <row r="2357" spans="1:14" ht="14.5" x14ac:dyDescent="0.35">
      <c r="A2357" s="260" t="s">
        <v>566</v>
      </c>
      <c r="B2357" s="190">
        <v>45711</v>
      </c>
      <c r="C2357" s="260" t="s">
        <v>752</v>
      </c>
      <c r="D2357" s="197">
        <v>0</v>
      </c>
      <c r="E2357" s="197">
        <v>0</v>
      </c>
      <c r="F2357" s="197">
        <v>199.44</v>
      </c>
      <c r="G2357" s="190">
        <v>45709</v>
      </c>
      <c r="H2357" s="196">
        <v>2</v>
      </c>
      <c r="I2357" s="197">
        <v>0</v>
      </c>
      <c r="J2357" s="197">
        <v>0</v>
      </c>
      <c r="K2357" s="197">
        <v>0</v>
      </c>
      <c r="L2357" s="197">
        <v>0</v>
      </c>
      <c r="M2357" s="260" t="s">
        <v>239</v>
      </c>
      <c r="N2357" s="260" t="s">
        <v>514</v>
      </c>
    </row>
    <row r="2358" spans="1:14" ht="14.5" x14ac:dyDescent="0.35">
      <c r="A2358" s="260" t="s">
        <v>566</v>
      </c>
      <c r="B2358" s="190">
        <v>45711</v>
      </c>
      <c r="C2358" s="260" t="s">
        <v>754</v>
      </c>
      <c r="D2358" s="197">
        <v>0</v>
      </c>
      <c r="E2358" s="197">
        <v>0</v>
      </c>
      <c r="F2358" s="197">
        <v>79.040000000000006</v>
      </c>
      <c r="G2358" s="190">
        <v>45709</v>
      </c>
      <c r="H2358" s="196">
        <v>2</v>
      </c>
      <c r="I2358" s="197">
        <v>0</v>
      </c>
      <c r="J2358" s="197">
        <v>0</v>
      </c>
      <c r="K2358" s="197">
        <v>0</v>
      </c>
      <c r="L2358" s="197">
        <v>0</v>
      </c>
      <c r="M2358" s="260" t="s">
        <v>239</v>
      </c>
      <c r="N2358" s="260" t="s">
        <v>514</v>
      </c>
    </row>
    <row r="2359" spans="1:14" ht="14.5" x14ac:dyDescent="0.35">
      <c r="A2359" s="260" t="s">
        <v>566</v>
      </c>
      <c r="B2359" s="190">
        <v>45712</v>
      </c>
      <c r="C2359" s="260" t="s">
        <v>749</v>
      </c>
      <c r="D2359" s="197">
        <v>0</v>
      </c>
      <c r="E2359" s="197">
        <v>0</v>
      </c>
      <c r="F2359" s="197">
        <v>97.74</v>
      </c>
      <c r="G2359" s="190">
        <v>45712</v>
      </c>
      <c r="H2359" s="196">
        <v>0</v>
      </c>
      <c r="I2359" s="197">
        <v>0</v>
      </c>
      <c r="J2359" s="197">
        <v>0</v>
      </c>
      <c r="K2359" s="197">
        <v>0</v>
      </c>
      <c r="L2359" s="197">
        <v>0</v>
      </c>
      <c r="M2359" s="260" t="s">
        <v>239</v>
      </c>
      <c r="N2359" s="260" t="s">
        <v>514</v>
      </c>
    </row>
    <row r="2360" spans="1:14" ht="14.5" x14ac:dyDescent="0.35">
      <c r="A2360" s="260" t="s">
        <v>566</v>
      </c>
      <c r="B2360" s="190">
        <v>45712</v>
      </c>
      <c r="C2360" s="260" t="s">
        <v>752</v>
      </c>
      <c r="D2360" s="197">
        <v>0</v>
      </c>
      <c r="E2360" s="197">
        <v>0</v>
      </c>
      <c r="F2360" s="197">
        <v>200.11</v>
      </c>
      <c r="G2360" s="190">
        <v>45712</v>
      </c>
      <c r="H2360" s="196">
        <v>0</v>
      </c>
      <c r="I2360" s="197">
        <v>0</v>
      </c>
      <c r="J2360" s="197">
        <v>0</v>
      </c>
      <c r="K2360" s="197">
        <v>0</v>
      </c>
      <c r="L2360" s="197">
        <v>0</v>
      </c>
      <c r="M2360" s="260" t="s">
        <v>239</v>
      </c>
      <c r="N2360" s="260" t="s">
        <v>514</v>
      </c>
    </row>
    <row r="2361" spans="1:14" ht="14.5" x14ac:dyDescent="0.35">
      <c r="A2361" s="260" t="s">
        <v>566</v>
      </c>
      <c r="B2361" s="190">
        <v>45712</v>
      </c>
      <c r="C2361" s="260" t="s">
        <v>754</v>
      </c>
      <c r="D2361" s="197">
        <v>0</v>
      </c>
      <c r="E2361" s="197">
        <v>0</v>
      </c>
      <c r="F2361" s="197">
        <v>78.59</v>
      </c>
      <c r="G2361" s="190">
        <v>45712</v>
      </c>
      <c r="H2361" s="196">
        <v>0</v>
      </c>
      <c r="I2361" s="197">
        <v>0</v>
      </c>
      <c r="J2361" s="197">
        <v>0</v>
      </c>
      <c r="K2361" s="197">
        <v>0</v>
      </c>
      <c r="L2361" s="197">
        <v>0</v>
      </c>
      <c r="M2361" s="260" t="s">
        <v>239</v>
      </c>
      <c r="N2361" s="260" t="s">
        <v>514</v>
      </c>
    </row>
    <row r="2362" spans="1:14" ht="14.5" x14ac:dyDescent="0.35">
      <c r="A2362" s="260" t="s">
        <v>566</v>
      </c>
      <c r="B2362" s="190">
        <v>45713</v>
      </c>
      <c r="C2362" s="260" t="s">
        <v>749</v>
      </c>
      <c r="D2362" s="197">
        <v>0</v>
      </c>
      <c r="E2362" s="197">
        <v>0</v>
      </c>
      <c r="F2362" s="197">
        <v>97.56</v>
      </c>
      <c r="G2362" s="190">
        <v>45713</v>
      </c>
      <c r="H2362" s="196">
        <v>0</v>
      </c>
      <c r="I2362" s="197">
        <v>0</v>
      </c>
      <c r="J2362" s="197">
        <v>0</v>
      </c>
      <c r="K2362" s="197">
        <v>0</v>
      </c>
      <c r="L2362" s="197">
        <v>0</v>
      </c>
      <c r="M2362" s="260" t="s">
        <v>239</v>
      </c>
      <c r="N2362" s="260" t="s">
        <v>514</v>
      </c>
    </row>
    <row r="2363" spans="1:14" ht="14.5" x14ac:dyDescent="0.35">
      <c r="A2363" s="260" t="s">
        <v>566</v>
      </c>
      <c r="B2363" s="190">
        <v>45713</v>
      </c>
      <c r="C2363" s="260" t="s">
        <v>752</v>
      </c>
      <c r="D2363" s="197">
        <v>0</v>
      </c>
      <c r="E2363" s="197">
        <v>0</v>
      </c>
      <c r="F2363" s="197">
        <v>200.33</v>
      </c>
      <c r="G2363" s="190">
        <v>45713</v>
      </c>
      <c r="H2363" s="196">
        <v>0</v>
      </c>
      <c r="I2363" s="197">
        <v>0</v>
      </c>
      <c r="J2363" s="197">
        <v>0</v>
      </c>
      <c r="K2363" s="197">
        <v>0</v>
      </c>
      <c r="L2363" s="197">
        <v>0</v>
      </c>
      <c r="M2363" s="260" t="s">
        <v>239</v>
      </c>
      <c r="N2363" s="260" t="s">
        <v>514</v>
      </c>
    </row>
    <row r="2364" spans="1:14" ht="14.5" x14ac:dyDescent="0.35">
      <c r="A2364" s="260" t="s">
        <v>566</v>
      </c>
      <c r="B2364" s="190">
        <v>45713</v>
      </c>
      <c r="C2364" s="260" t="s">
        <v>754</v>
      </c>
      <c r="D2364" s="197">
        <v>0</v>
      </c>
      <c r="E2364" s="197">
        <v>0</v>
      </c>
      <c r="F2364" s="197">
        <v>78.44</v>
      </c>
      <c r="G2364" s="190">
        <v>45713</v>
      </c>
      <c r="H2364" s="196">
        <v>0</v>
      </c>
      <c r="I2364" s="197">
        <v>0</v>
      </c>
      <c r="J2364" s="197">
        <v>0</v>
      </c>
      <c r="K2364" s="197">
        <v>0</v>
      </c>
      <c r="L2364" s="197">
        <v>0</v>
      </c>
      <c r="M2364" s="260" t="s">
        <v>239</v>
      </c>
      <c r="N2364" s="260" t="s">
        <v>514</v>
      </c>
    </row>
    <row r="2365" spans="1:14" ht="14.5" x14ac:dyDescent="0.35">
      <c r="A2365" s="260" t="s">
        <v>566</v>
      </c>
      <c r="B2365" s="190">
        <v>45714</v>
      </c>
      <c r="C2365" s="260" t="s">
        <v>749</v>
      </c>
      <c r="D2365" s="197">
        <v>0</v>
      </c>
      <c r="E2365" s="197">
        <v>0</v>
      </c>
      <c r="F2365" s="197">
        <v>97.37</v>
      </c>
      <c r="G2365" s="190">
        <v>45714</v>
      </c>
      <c r="H2365" s="196">
        <v>0</v>
      </c>
      <c r="I2365" s="197">
        <v>0</v>
      </c>
      <c r="J2365" s="197">
        <v>0</v>
      </c>
      <c r="K2365" s="197">
        <v>0</v>
      </c>
      <c r="L2365" s="197">
        <v>0</v>
      </c>
      <c r="M2365" s="260" t="s">
        <v>239</v>
      </c>
      <c r="N2365" s="260" t="s">
        <v>514</v>
      </c>
    </row>
    <row r="2366" spans="1:14" ht="14.5" x14ac:dyDescent="0.35">
      <c r="A2366" s="260" t="s">
        <v>566</v>
      </c>
      <c r="B2366" s="190">
        <v>45714</v>
      </c>
      <c r="C2366" s="260" t="s">
        <v>752</v>
      </c>
      <c r="D2366" s="197">
        <v>0</v>
      </c>
      <c r="E2366" s="197">
        <v>0</v>
      </c>
      <c r="F2366" s="197">
        <v>200.56</v>
      </c>
      <c r="G2366" s="190">
        <v>45714</v>
      </c>
      <c r="H2366" s="196">
        <v>0</v>
      </c>
      <c r="I2366" s="197">
        <v>0</v>
      </c>
      <c r="J2366" s="197">
        <v>0</v>
      </c>
      <c r="K2366" s="197">
        <v>0</v>
      </c>
      <c r="L2366" s="197">
        <v>0</v>
      </c>
      <c r="M2366" s="260" t="s">
        <v>239</v>
      </c>
      <c r="N2366" s="260" t="s">
        <v>514</v>
      </c>
    </row>
    <row r="2367" spans="1:14" ht="14.5" x14ac:dyDescent="0.35">
      <c r="A2367" s="260" t="s">
        <v>566</v>
      </c>
      <c r="B2367" s="190">
        <v>45714</v>
      </c>
      <c r="C2367" s="260" t="s">
        <v>754</v>
      </c>
      <c r="D2367" s="197">
        <v>0</v>
      </c>
      <c r="E2367" s="197">
        <v>0</v>
      </c>
      <c r="F2367" s="197">
        <v>78.3</v>
      </c>
      <c r="G2367" s="190">
        <v>45714</v>
      </c>
      <c r="H2367" s="196">
        <v>0</v>
      </c>
      <c r="I2367" s="197">
        <v>0</v>
      </c>
      <c r="J2367" s="197">
        <v>0</v>
      </c>
      <c r="K2367" s="197">
        <v>0</v>
      </c>
      <c r="L2367" s="197">
        <v>0</v>
      </c>
      <c r="M2367" s="260" t="s">
        <v>239</v>
      </c>
      <c r="N2367" s="260" t="s">
        <v>514</v>
      </c>
    </row>
    <row r="2368" spans="1:14" ht="14.5" x14ac:dyDescent="0.35">
      <c r="A2368" s="260" t="s">
        <v>566</v>
      </c>
      <c r="B2368" s="190">
        <v>45715</v>
      </c>
      <c r="C2368" s="260" t="s">
        <v>749</v>
      </c>
      <c r="D2368" s="197">
        <v>0</v>
      </c>
      <c r="E2368" s="197">
        <v>0</v>
      </c>
      <c r="F2368" s="197">
        <v>97.19</v>
      </c>
      <c r="G2368" s="190">
        <v>45715</v>
      </c>
      <c r="H2368" s="196">
        <v>0</v>
      </c>
      <c r="I2368" s="197">
        <v>0</v>
      </c>
      <c r="J2368" s="197">
        <v>0</v>
      </c>
      <c r="K2368" s="197">
        <v>0</v>
      </c>
      <c r="L2368" s="197">
        <v>0</v>
      </c>
      <c r="M2368" s="260" t="s">
        <v>239</v>
      </c>
      <c r="N2368" s="260" t="s">
        <v>514</v>
      </c>
    </row>
    <row r="2369" spans="1:14" ht="14.5" x14ac:dyDescent="0.35">
      <c r="A2369" s="260" t="s">
        <v>566</v>
      </c>
      <c r="B2369" s="190">
        <v>45715</v>
      </c>
      <c r="C2369" s="260" t="s">
        <v>752</v>
      </c>
      <c r="D2369" s="197">
        <v>0</v>
      </c>
      <c r="E2369" s="197">
        <v>0</v>
      </c>
      <c r="F2369" s="197">
        <v>200.78</v>
      </c>
      <c r="G2369" s="190">
        <v>45715</v>
      </c>
      <c r="H2369" s="196">
        <v>0</v>
      </c>
      <c r="I2369" s="197">
        <v>0</v>
      </c>
      <c r="J2369" s="197">
        <v>0</v>
      </c>
      <c r="K2369" s="197">
        <v>0</v>
      </c>
      <c r="L2369" s="197">
        <v>0</v>
      </c>
      <c r="M2369" s="260" t="s">
        <v>239</v>
      </c>
      <c r="N2369" s="260" t="s">
        <v>514</v>
      </c>
    </row>
    <row r="2370" spans="1:14" ht="14.5" x14ac:dyDescent="0.35">
      <c r="A2370" s="260" t="s">
        <v>566</v>
      </c>
      <c r="B2370" s="190">
        <v>45715</v>
      </c>
      <c r="C2370" s="260" t="s">
        <v>754</v>
      </c>
      <c r="D2370" s="197">
        <v>0</v>
      </c>
      <c r="E2370" s="197">
        <v>0</v>
      </c>
      <c r="F2370" s="197">
        <v>78.150000000000006</v>
      </c>
      <c r="G2370" s="190">
        <v>45715</v>
      </c>
      <c r="H2370" s="196">
        <v>0</v>
      </c>
      <c r="I2370" s="197">
        <v>0</v>
      </c>
      <c r="J2370" s="197">
        <v>0</v>
      </c>
      <c r="K2370" s="197">
        <v>0</v>
      </c>
      <c r="L2370" s="197">
        <v>0</v>
      </c>
      <c r="M2370" s="260" t="s">
        <v>239</v>
      </c>
      <c r="N2370" s="260" t="s">
        <v>514</v>
      </c>
    </row>
    <row r="2371" spans="1:14" ht="14.5" x14ac:dyDescent="0.35">
      <c r="A2371" s="260" t="s">
        <v>566</v>
      </c>
      <c r="B2371" s="190">
        <v>45716</v>
      </c>
      <c r="C2371" s="260" t="s">
        <v>749</v>
      </c>
      <c r="D2371" s="197">
        <v>0</v>
      </c>
      <c r="E2371" s="197">
        <v>0</v>
      </c>
      <c r="F2371" s="197">
        <v>97</v>
      </c>
      <c r="G2371" s="190">
        <v>45716</v>
      </c>
      <c r="H2371" s="196">
        <v>0</v>
      </c>
      <c r="I2371" s="197">
        <v>0</v>
      </c>
      <c r="J2371" s="197">
        <v>0</v>
      </c>
      <c r="K2371" s="197">
        <v>0</v>
      </c>
      <c r="L2371" s="197">
        <v>0</v>
      </c>
      <c r="M2371" s="260" t="s">
        <v>239</v>
      </c>
      <c r="N2371" s="260" t="s">
        <v>514</v>
      </c>
    </row>
    <row r="2372" spans="1:14" ht="14.5" x14ac:dyDescent="0.35">
      <c r="A2372" s="260" t="s">
        <v>566</v>
      </c>
      <c r="B2372" s="190">
        <v>45716</v>
      </c>
      <c r="C2372" s="260" t="s">
        <v>752</v>
      </c>
      <c r="D2372" s="197">
        <v>0</v>
      </c>
      <c r="E2372" s="197">
        <v>0</v>
      </c>
      <c r="F2372" s="197">
        <v>201</v>
      </c>
      <c r="G2372" s="190">
        <v>45716</v>
      </c>
      <c r="H2372" s="196">
        <v>0</v>
      </c>
      <c r="I2372" s="197">
        <v>0</v>
      </c>
      <c r="J2372" s="197">
        <v>0</v>
      </c>
      <c r="K2372" s="197">
        <v>0</v>
      </c>
      <c r="L2372" s="197">
        <v>0</v>
      </c>
      <c r="M2372" s="260" t="s">
        <v>239</v>
      </c>
      <c r="N2372" s="260" t="s">
        <v>514</v>
      </c>
    </row>
    <row r="2373" spans="1:14" ht="14.5" x14ac:dyDescent="0.35">
      <c r="A2373" s="260" t="s">
        <v>566</v>
      </c>
      <c r="B2373" s="190">
        <v>45716</v>
      </c>
      <c r="C2373" s="260" t="s">
        <v>754</v>
      </c>
      <c r="D2373" s="197">
        <v>0</v>
      </c>
      <c r="E2373" s="197">
        <v>0</v>
      </c>
      <c r="F2373" s="197">
        <v>78</v>
      </c>
      <c r="G2373" s="190">
        <v>45716</v>
      </c>
      <c r="H2373" s="196">
        <v>0</v>
      </c>
      <c r="I2373" s="197">
        <v>0</v>
      </c>
      <c r="J2373" s="197">
        <v>0</v>
      </c>
      <c r="K2373" s="197">
        <v>0</v>
      </c>
      <c r="L2373" s="197">
        <v>0</v>
      </c>
      <c r="M2373" s="260" t="s">
        <v>239</v>
      </c>
      <c r="N2373" s="260" t="s">
        <v>514</v>
      </c>
    </row>
    <row r="2374" spans="1:14" ht="14.5" x14ac:dyDescent="0.35">
      <c r="A2374" s="260" t="s">
        <v>566</v>
      </c>
      <c r="B2374" s="190">
        <v>45717</v>
      </c>
      <c r="C2374" s="260" t="s">
        <v>749</v>
      </c>
      <c r="D2374" s="197">
        <v>0</v>
      </c>
      <c r="E2374" s="197">
        <v>0</v>
      </c>
      <c r="F2374" s="197">
        <v>97</v>
      </c>
      <c r="G2374" s="190">
        <v>45716</v>
      </c>
      <c r="H2374" s="196">
        <v>1</v>
      </c>
      <c r="I2374" s="197">
        <v>0</v>
      </c>
      <c r="J2374" s="197">
        <v>0</v>
      </c>
      <c r="K2374" s="197">
        <v>0</v>
      </c>
      <c r="L2374" s="197">
        <v>0</v>
      </c>
      <c r="M2374" s="260" t="s">
        <v>239</v>
      </c>
      <c r="N2374" s="260" t="s">
        <v>514</v>
      </c>
    </row>
    <row r="2375" spans="1:14" ht="14.5" x14ac:dyDescent="0.35">
      <c r="A2375" s="260" t="s">
        <v>566</v>
      </c>
      <c r="B2375" s="190">
        <v>45717</v>
      </c>
      <c r="C2375" s="260" t="s">
        <v>752</v>
      </c>
      <c r="D2375" s="197">
        <v>0</v>
      </c>
      <c r="E2375" s="197">
        <v>0</v>
      </c>
      <c r="F2375" s="197">
        <v>201</v>
      </c>
      <c r="G2375" s="190">
        <v>45716</v>
      </c>
      <c r="H2375" s="196">
        <v>1</v>
      </c>
      <c r="I2375" s="197">
        <v>0</v>
      </c>
      <c r="J2375" s="197">
        <v>0</v>
      </c>
      <c r="K2375" s="197">
        <v>0</v>
      </c>
      <c r="L2375" s="197">
        <v>0</v>
      </c>
      <c r="M2375" s="260" t="s">
        <v>239</v>
      </c>
      <c r="N2375" s="260" t="s">
        <v>514</v>
      </c>
    </row>
    <row r="2376" spans="1:14" ht="14.5" x14ac:dyDescent="0.35">
      <c r="A2376" s="260" t="s">
        <v>566</v>
      </c>
      <c r="B2376" s="190">
        <v>45717</v>
      </c>
      <c r="C2376" s="260" t="s">
        <v>754</v>
      </c>
      <c r="D2376" s="197">
        <v>0</v>
      </c>
      <c r="E2376" s="197">
        <v>0</v>
      </c>
      <c r="F2376" s="197">
        <v>78</v>
      </c>
      <c r="G2376" s="190">
        <v>45716</v>
      </c>
      <c r="H2376" s="196">
        <v>1</v>
      </c>
      <c r="I2376" s="197">
        <v>0</v>
      </c>
      <c r="J2376" s="197">
        <v>0</v>
      </c>
      <c r="K2376" s="197">
        <v>0</v>
      </c>
      <c r="L2376" s="197">
        <v>0</v>
      </c>
      <c r="M2376" s="260" t="s">
        <v>239</v>
      </c>
      <c r="N2376" s="260" t="s">
        <v>514</v>
      </c>
    </row>
    <row r="2377" spans="1:14" ht="14.5" x14ac:dyDescent="0.35">
      <c r="A2377" s="260" t="s">
        <v>566</v>
      </c>
      <c r="B2377" s="190">
        <v>45718</v>
      </c>
      <c r="C2377" s="260" t="s">
        <v>749</v>
      </c>
      <c r="D2377" s="197">
        <v>0</v>
      </c>
      <c r="E2377" s="197">
        <v>0</v>
      </c>
      <c r="F2377" s="197">
        <v>97</v>
      </c>
      <c r="G2377" s="190">
        <v>45716</v>
      </c>
      <c r="H2377" s="196">
        <v>2</v>
      </c>
      <c r="I2377" s="197">
        <v>0</v>
      </c>
      <c r="J2377" s="197">
        <v>0</v>
      </c>
      <c r="K2377" s="197">
        <v>0</v>
      </c>
      <c r="L2377" s="197">
        <v>0</v>
      </c>
      <c r="M2377" s="260" t="s">
        <v>239</v>
      </c>
      <c r="N2377" s="260" t="s">
        <v>514</v>
      </c>
    </row>
    <row r="2378" spans="1:14" ht="14.5" x14ac:dyDescent="0.35">
      <c r="A2378" s="260" t="s">
        <v>566</v>
      </c>
      <c r="B2378" s="190">
        <v>45718</v>
      </c>
      <c r="C2378" s="260" t="s">
        <v>752</v>
      </c>
      <c r="D2378" s="197">
        <v>0</v>
      </c>
      <c r="E2378" s="197">
        <v>0</v>
      </c>
      <c r="F2378" s="197">
        <v>201</v>
      </c>
      <c r="G2378" s="190">
        <v>45716</v>
      </c>
      <c r="H2378" s="196">
        <v>2</v>
      </c>
      <c r="I2378" s="197">
        <v>0</v>
      </c>
      <c r="J2378" s="197">
        <v>0</v>
      </c>
      <c r="K2378" s="197">
        <v>0</v>
      </c>
      <c r="L2378" s="197">
        <v>0</v>
      </c>
      <c r="M2378" s="260" t="s">
        <v>239</v>
      </c>
      <c r="N2378" s="260" t="s">
        <v>514</v>
      </c>
    </row>
    <row r="2379" spans="1:14" ht="14.5" x14ac:dyDescent="0.35">
      <c r="A2379" s="260" t="s">
        <v>566</v>
      </c>
      <c r="B2379" s="190">
        <v>45718</v>
      </c>
      <c r="C2379" s="260" t="s">
        <v>754</v>
      </c>
      <c r="D2379" s="197">
        <v>0</v>
      </c>
      <c r="E2379" s="197">
        <v>0</v>
      </c>
      <c r="F2379" s="197">
        <v>78</v>
      </c>
      <c r="G2379" s="190">
        <v>45716</v>
      </c>
      <c r="H2379" s="196">
        <v>2</v>
      </c>
      <c r="I2379" s="197">
        <v>0</v>
      </c>
      <c r="J2379" s="197">
        <v>0</v>
      </c>
      <c r="K2379" s="197">
        <v>0</v>
      </c>
      <c r="L2379" s="197">
        <v>0</v>
      </c>
      <c r="M2379" s="260" t="s">
        <v>239</v>
      </c>
      <c r="N2379" s="260" t="s">
        <v>514</v>
      </c>
    </row>
    <row r="2380" spans="1:14" ht="14.5" x14ac:dyDescent="0.35">
      <c r="A2380" s="260" t="s">
        <v>566</v>
      </c>
      <c r="B2380" s="190">
        <v>45719</v>
      </c>
      <c r="C2380" s="260" t="s">
        <v>749</v>
      </c>
      <c r="D2380" s="197">
        <v>0</v>
      </c>
      <c r="E2380" s="197">
        <v>0</v>
      </c>
      <c r="F2380" s="197">
        <v>97.6</v>
      </c>
      <c r="G2380" s="190">
        <v>45719</v>
      </c>
      <c r="H2380" s="196">
        <v>0</v>
      </c>
      <c r="I2380" s="197">
        <v>0</v>
      </c>
      <c r="J2380" s="197">
        <v>0</v>
      </c>
      <c r="K2380" s="197">
        <v>0</v>
      </c>
      <c r="L2380" s="197">
        <v>0</v>
      </c>
      <c r="M2380" s="260" t="s">
        <v>239</v>
      </c>
      <c r="N2380" s="260" t="s">
        <v>514</v>
      </c>
    </row>
    <row r="2381" spans="1:14" ht="14.5" x14ac:dyDescent="0.35">
      <c r="A2381" s="260" t="s">
        <v>566</v>
      </c>
      <c r="B2381" s="190">
        <v>45719</v>
      </c>
      <c r="C2381" s="260" t="s">
        <v>752</v>
      </c>
      <c r="D2381" s="197">
        <v>0</v>
      </c>
      <c r="E2381" s="197">
        <v>0</v>
      </c>
      <c r="F2381" s="197">
        <v>200.8</v>
      </c>
      <c r="G2381" s="190">
        <v>45719</v>
      </c>
      <c r="H2381" s="196">
        <v>0</v>
      </c>
      <c r="I2381" s="197">
        <v>0</v>
      </c>
      <c r="J2381" s="197">
        <v>0</v>
      </c>
      <c r="K2381" s="197">
        <v>0</v>
      </c>
      <c r="L2381" s="197">
        <v>0</v>
      </c>
      <c r="M2381" s="260" t="s">
        <v>239</v>
      </c>
      <c r="N2381" s="260" t="s">
        <v>514</v>
      </c>
    </row>
    <row r="2382" spans="1:14" ht="14.5" x14ac:dyDescent="0.35">
      <c r="A2382" s="260" t="s">
        <v>566</v>
      </c>
      <c r="B2382" s="190">
        <v>45719</v>
      </c>
      <c r="C2382" s="260" t="s">
        <v>754</v>
      </c>
      <c r="D2382" s="197">
        <v>0</v>
      </c>
      <c r="E2382" s="197">
        <v>0</v>
      </c>
      <c r="F2382" s="197">
        <v>77.8</v>
      </c>
      <c r="G2382" s="190">
        <v>45719</v>
      </c>
      <c r="H2382" s="196">
        <v>0</v>
      </c>
      <c r="I2382" s="197">
        <v>0</v>
      </c>
      <c r="J2382" s="197">
        <v>0</v>
      </c>
      <c r="K2382" s="197">
        <v>0</v>
      </c>
      <c r="L2382" s="197">
        <v>0</v>
      </c>
      <c r="M2382" s="260" t="s">
        <v>239</v>
      </c>
      <c r="N2382" s="260" t="s">
        <v>514</v>
      </c>
    </row>
    <row r="2383" spans="1:14" ht="14.5" x14ac:dyDescent="0.35">
      <c r="A2383" s="260" t="s">
        <v>566</v>
      </c>
      <c r="B2383" s="190">
        <v>45720</v>
      </c>
      <c r="C2383" s="260" t="s">
        <v>749</v>
      </c>
      <c r="D2383" s="197">
        <v>0</v>
      </c>
      <c r="E2383" s="197">
        <v>0</v>
      </c>
      <c r="F2383" s="197">
        <v>97.9</v>
      </c>
      <c r="G2383" s="190">
        <v>45720</v>
      </c>
      <c r="H2383" s="196">
        <v>0</v>
      </c>
      <c r="I2383" s="197">
        <v>0</v>
      </c>
      <c r="J2383" s="197">
        <v>0</v>
      </c>
      <c r="K2383" s="197">
        <v>0</v>
      </c>
      <c r="L2383" s="197">
        <v>0</v>
      </c>
      <c r="M2383" s="260" t="s">
        <v>239</v>
      </c>
      <c r="N2383" s="260" t="s">
        <v>514</v>
      </c>
    </row>
    <row r="2384" spans="1:14" ht="14.5" x14ac:dyDescent="0.35">
      <c r="A2384" s="260" t="s">
        <v>566</v>
      </c>
      <c r="B2384" s="190">
        <v>45720</v>
      </c>
      <c r="C2384" s="260" t="s">
        <v>752</v>
      </c>
      <c r="D2384" s="197">
        <v>0</v>
      </c>
      <c r="E2384" s="197">
        <v>0</v>
      </c>
      <c r="F2384" s="197">
        <v>200.7</v>
      </c>
      <c r="G2384" s="190">
        <v>45720</v>
      </c>
      <c r="H2384" s="196">
        <v>0</v>
      </c>
      <c r="I2384" s="197">
        <v>0</v>
      </c>
      <c r="J2384" s="197">
        <v>0</v>
      </c>
      <c r="K2384" s="197">
        <v>0</v>
      </c>
      <c r="L2384" s="197">
        <v>0</v>
      </c>
      <c r="M2384" s="260" t="s">
        <v>239</v>
      </c>
      <c r="N2384" s="260" t="s">
        <v>514</v>
      </c>
    </row>
    <row r="2385" spans="1:14" ht="14.5" x14ac:dyDescent="0.35">
      <c r="A2385" s="260" t="s">
        <v>566</v>
      </c>
      <c r="B2385" s="190">
        <v>45720</v>
      </c>
      <c r="C2385" s="260" t="s">
        <v>754</v>
      </c>
      <c r="D2385" s="197">
        <v>0</v>
      </c>
      <c r="E2385" s="197">
        <v>0</v>
      </c>
      <c r="F2385" s="197">
        <v>77.7</v>
      </c>
      <c r="G2385" s="190">
        <v>45720</v>
      </c>
      <c r="H2385" s="196">
        <v>0</v>
      </c>
      <c r="I2385" s="197">
        <v>0</v>
      </c>
      <c r="J2385" s="197">
        <v>0</v>
      </c>
      <c r="K2385" s="197">
        <v>0</v>
      </c>
      <c r="L2385" s="197">
        <v>0</v>
      </c>
      <c r="M2385" s="260" t="s">
        <v>239</v>
      </c>
      <c r="N2385" s="260" t="s">
        <v>514</v>
      </c>
    </row>
    <row r="2386" spans="1:14" ht="14.5" x14ac:dyDescent="0.35">
      <c r="A2386" s="260" t="s">
        <v>566</v>
      </c>
      <c r="B2386" s="190">
        <v>45721</v>
      </c>
      <c r="C2386" s="260" t="s">
        <v>749</v>
      </c>
      <c r="D2386" s="197">
        <v>0</v>
      </c>
      <c r="E2386" s="197">
        <v>0</v>
      </c>
      <c r="F2386" s="197">
        <v>98.2</v>
      </c>
      <c r="G2386" s="190">
        <v>45721</v>
      </c>
      <c r="H2386" s="196">
        <v>0</v>
      </c>
      <c r="I2386" s="197">
        <v>0</v>
      </c>
      <c r="J2386" s="197">
        <v>0</v>
      </c>
      <c r="K2386" s="197">
        <v>0</v>
      </c>
      <c r="L2386" s="197">
        <v>0</v>
      </c>
      <c r="M2386" s="260" t="s">
        <v>239</v>
      </c>
      <c r="N2386" s="260" t="s">
        <v>514</v>
      </c>
    </row>
    <row r="2387" spans="1:14" ht="14.5" x14ac:dyDescent="0.35">
      <c r="A2387" s="260" t="s">
        <v>566</v>
      </c>
      <c r="B2387" s="190">
        <v>45721</v>
      </c>
      <c r="C2387" s="260" t="s">
        <v>752</v>
      </c>
      <c r="D2387" s="197">
        <v>0</v>
      </c>
      <c r="E2387" s="197">
        <v>0</v>
      </c>
      <c r="F2387" s="197">
        <v>200.6</v>
      </c>
      <c r="G2387" s="190">
        <v>45721</v>
      </c>
      <c r="H2387" s="196">
        <v>0</v>
      </c>
      <c r="I2387" s="197">
        <v>0</v>
      </c>
      <c r="J2387" s="197">
        <v>0</v>
      </c>
      <c r="K2387" s="197">
        <v>0</v>
      </c>
      <c r="L2387" s="197">
        <v>0</v>
      </c>
      <c r="M2387" s="260" t="s">
        <v>239</v>
      </c>
      <c r="N2387" s="260" t="s">
        <v>514</v>
      </c>
    </row>
    <row r="2388" spans="1:14" ht="14.5" x14ac:dyDescent="0.35">
      <c r="A2388" s="260" t="s">
        <v>566</v>
      </c>
      <c r="B2388" s="190">
        <v>45721</v>
      </c>
      <c r="C2388" s="260" t="s">
        <v>754</v>
      </c>
      <c r="D2388" s="197">
        <v>0</v>
      </c>
      <c r="E2388" s="197">
        <v>0</v>
      </c>
      <c r="F2388" s="197">
        <v>77.599999999999994</v>
      </c>
      <c r="G2388" s="190">
        <v>45721</v>
      </c>
      <c r="H2388" s="196">
        <v>0</v>
      </c>
      <c r="I2388" s="197">
        <v>0</v>
      </c>
      <c r="J2388" s="197">
        <v>0</v>
      </c>
      <c r="K2388" s="197">
        <v>0</v>
      </c>
      <c r="L2388" s="197">
        <v>0</v>
      </c>
      <c r="M2388" s="260" t="s">
        <v>239</v>
      </c>
      <c r="N2388" s="260" t="s">
        <v>514</v>
      </c>
    </row>
    <row r="2389" spans="1:14" ht="14.5" x14ac:dyDescent="0.35">
      <c r="A2389" s="260" t="s">
        <v>566</v>
      </c>
      <c r="B2389" s="190">
        <v>45722</v>
      </c>
      <c r="C2389" s="260" t="s">
        <v>749</v>
      </c>
      <c r="D2389" s="197">
        <v>0</v>
      </c>
      <c r="E2389" s="197">
        <v>0</v>
      </c>
      <c r="F2389" s="197">
        <v>98.5</v>
      </c>
      <c r="G2389" s="190">
        <v>45722</v>
      </c>
      <c r="H2389" s="196">
        <v>0</v>
      </c>
      <c r="I2389" s="197">
        <v>0</v>
      </c>
      <c r="J2389" s="197">
        <v>0</v>
      </c>
      <c r="K2389" s="197">
        <v>0</v>
      </c>
      <c r="L2389" s="197">
        <v>0</v>
      </c>
      <c r="M2389" s="260" t="s">
        <v>239</v>
      </c>
      <c r="N2389" s="260" t="s">
        <v>514</v>
      </c>
    </row>
    <row r="2390" spans="1:14" ht="14.5" x14ac:dyDescent="0.35">
      <c r="A2390" s="260" t="s">
        <v>566</v>
      </c>
      <c r="B2390" s="190">
        <v>45722</v>
      </c>
      <c r="C2390" s="260" t="s">
        <v>752</v>
      </c>
      <c r="D2390" s="197">
        <v>0</v>
      </c>
      <c r="E2390" s="197">
        <v>0</v>
      </c>
      <c r="F2390" s="197">
        <v>200.5</v>
      </c>
      <c r="G2390" s="190">
        <v>45722</v>
      </c>
      <c r="H2390" s="196">
        <v>0</v>
      </c>
      <c r="I2390" s="197">
        <v>0</v>
      </c>
      <c r="J2390" s="197">
        <v>0</v>
      </c>
      <c r="K2390" s="197">
        <v>0</v>
      </c>
      <c r="L2390" s="197">
        <v>0</v>
      </c>
      <c r="M2390" s="260" t="s">
        <v>239</v>
      </c>
      <c r="N2390" s="260" t="s">
        <v>514</v>
      </c>
    </row>
    <row r="2391" spans="1:14" ht="14.5" x14ac:dyDescent="0.35">
      <c r="A2391" s="260" t="s">
        <v>566</v>
      </c>
      <c r="B2391" s="190">
        <v>45722</v>
      </c>
      <c r="C2391" s="260" t="s">
        <v>754</v>
      </c>
      <c r="D2391" s="197">
        <v>0</v>
      </c>
      <c r="E2391" s="197">
        <v>0</v>
      </c>
      <c r="F2391" s="197">
        <v>77.5</v>
      </c>
      <c r="G2391" s="190">
        <v>45722</v>
      </c>
      <c r="H2391" s="196">
        <v>0</v>
      </c>
      <c r="I2391" s="197">
        <v>0</v>
      </c>
      <c r="J2391" s="197">
        <v>0</v>
      </c>
      <c r="K2391" s="197">
        <v>0</v>
      </c>
      <c r="L2391" s="197">
        <v>0</v>
      </c>
      <c r="M2391" s="260" t="s">
        <v>239</v>
      </c>
      <c r="N2391" s="260" t="s">
        <v>514</v>
      </c>
    </row>
    <row r="2392" spans="1:14" ht="14.5" x14ac:dyDescent="0.35">
      <c r="A2392" s="260" t="s">
        <v>566</v>
      </c>
      <c r="B2392" s="190">
        <v>45723</v>
      </c>
      <c r="C2392" s="260" t="s">
        <v>749</v>
      </c>
      <c r="D2392" s="197">
        <v>0</v>
      </c>
      <c r="E2392" s="197">
        <v>0</v>
      </c>
      <c r="F2392" s="197">
        <v>98.8</v>
      </c>
      <c r="G2392" s="190">
        <v>45723</v>
      </c>
      <c r="H2392" s="196">
        <v>0</v>
      </c>
      <c r="I2392" s="197">
        <v>0</v>
      </c>
      <c r="J2392" s="197">
        <v>0</v>
      </c>
      <c r="K2392" s="197">
        <v>0</v>
      </c>
      <c r="L2392" s="197">
        <v>0</v>
      </c>
      <c r="M2392" s="260" t="s">
        <v>239</v>
      </c>
      <c r="N2392" s="260" t="s">
        <v>514</v>
      </c>
    </row>
    <row r="2393" spans="1:14" ht="14.5" x14ac:dyDescent="0.35">
      <c r="A2393" s="260" t="s">
        <v>566</v>
      </c>
      <c r="B2393" s="190">
        <v>45723</v>
      </c>
      <c r="C2393" s="260" t="s">
        <v>752</v>
      </c>
      <c r="D2393" s="197">
        <v>0</v>
      </c>
      <c r="E2393" s="197">
        <v>0</v>
      </c>
      <c r="F2393" s="197">
        <v>200.4</v>
      </c>
      <c r="G2393" s="190">
        <v>45723</v>
      </c>
      <c r="H2393" s="196">
        <v>0</v>
      </c>
      <c r="I2393" s="197">
        <v>0</v>
      </c>
      <c r="J2393" s="197">
        <v>0</v>
      </c>
      <c r="K2393" s="197">
        <v>0</v>
      </c>
      <c r="L2393" s="197">
        <v>0</v>
      </c>
      <c r="M2393" s="260" t="s">
        <v>239</v>
      </c>
      <c r="N2393" s="260" t="s">
        <v>514</v>
      </c>
    </row>
    <row r="2394" spans="1:14" ht="14.5" x14ac:dyDescent="0.35">
      <c r="A2394" s="260" t="s">
        <v>566</v>
      </c>
      <c r="B2394" s="190">
        <v>45723</v>
      </c>
      <c r="C2394" s="260" t="s">
        <v>754</v>
      </c>
      <c r="D2394" s="197">
        <v>0</v>
      </c>
      <c r="E2394" s="197">
        <v>0</v>
      </c>
      <c r="F2394" s="197">
        <v>77.400000000000006</v>
      </c>
      <c r="G2394" s="190">
        <v>45723</v>
      </c>
      <c r="H2394" s="196">
        <v>0</v>
      </c>
      <c r="I2394" s="197">
        <v>0</v>
      </c>
      <c r="J2394" s="197">
        <v>0</v>
      </c>
      <c r="K2394" s="197">
        <v>0</v>
      </c>
      <c r="L2394" s="197">
        <v>0</v>
      </c>
      <c r="M2394" s="260" t="s">
        <v>239</v>
      </c>
      <c r="N2394" s="260" t="s">
        <v>514</v>
      </c>
    </row>
    <row r="2395" spans="1:14" ht="14.5" x14ac:dyDescent="0.35">
      <c r="A2395" s="260" t="s">
        <v>566</v>
      </c>
      <c r="B2395" s="190">
        <v>45724</v>
      </c>
      <c r="C2395" s="260" t="s">
        <v>749</v>
      </c>
      <c r="D2395" s="197">
        <v>0</v>
      </c>
      <c r="E2395" s="197">
        <v>0</v>
      </c>
      <c r="F2395" s="197">
        <v>98.8</v>
      </c>
      <c r="G2395" s="190">
        <v>45723</v>
      </c>
      <c r="H2395" s="196">
        <v>1</v>
      </c>
      <c r="I2395" s="197">
        <v>0</v>
      </c>
      <c r="J2395" s="197">
        <v>0</v>
      </c>
      <c r="K2395" s="197">
        <v>0</v>
      </c>
      <c r="L2395" s="197">
        <v>0</v>
      </c>
      <c r="M2395" s="260" t="s">
        <v>239</v>
      </c>
      <c r="N2395" s="260" t="s">
        <v>514</v>
      </c>
    </row>
    <row r="2396" spans="1:14" ht="14.5" x14ac:dyDescent="0.35">
      <c r="A2396" s="260" t="s">
        <v>566</v>
      </c>
      <c r="B2396" s="190">
        <v>45724</v>
      </c>
      <c r="C2396" s="260" t="s">
        <v>752</v>
      </c>
      <c r="D2396" s="197">
        <v>0</v>
      </c>
      <c r="E2396" s="197">
        <v>0</v>
      </c>
      <c r="F2396" s="197">
        <v>200.4</v>
      </c>
      <c r="G2396" s="190">
        <v>45723</v>
      </c>
      <c r="H2396" s="196">
        <v>1</v>
      </c>
      <c r="I2396" s="197">
        <v>0</v>
      </c>
      <c r="J2396" s="197">
        <v>0</v>
      </c>
      <c r="K2396" s="197">
        <v>0</v>
      </c>
      <c r="L2396" s="197">
        <v>0</v>
      </c>
      <c r="M2396" s="260" t="s">
        <v>239</v>
      </c>
      <c r="N2396" s="260" t="s">
        <v>514</v>
      </c>
    </row>
    <row r="2397" spans="1:14" ht="14.5" x14ac:dyDescent="0.35">
      <c r="A2397" s="260" t="s">
        <v>566</v>
      </c>
      <c r="B2397" s="190">
        <v>45724</v>
      </c>
      <c r="C2397" s="260" t="s">
        <v>754</v>
      </c>
      <c r="D2397" s="197">
        <v>0</v>
      </c>
      <c r="E2397" s="197">
        <v>0</v>
      </c>
      <c r="F2397" s="197">
        <v>77.400000000000006</v>
      </c>
      <c r="G2397" s="190">
        <v>45723</v>
      </c>
      <c r="H2397" s="196">
        <v>1</v>
      </c>
      <c r="I2397" s="197">
        <v>0</v>
      </c>
      <c r="J2397" s="197">
        <v>0</v>
      </c>
      <c r="K2397" s="197">
        <v>0</v>
      </c>
      <c r="L2397" s="197">
        <v>0</v>
      </c>
      <c r="M2397" s="260" t="s">
        <v>239</v>
      </c>
      <c r="N2397" s="260" t="s">
        <v>514</v>
      </c>
    </row>
    <row r="2398" spans="1:14" ht="14.5" x14ac:dyDescent="0.35">
      <c r="A2398" s="260" t="s">
        <v>566</v>
      </c>
      <c r="B2398" s="190">
        <v>45725</v>
      </c>
      <c r="C2398" s="260" t="s">
        <v>749</v>
      </c>
      <c r="D2398" s="197">
        <v>0</v>
      </c>
      <c r="E2398" s="197">
        <v>0</v>
      </c>
      <c r="F2398" s="197">
        <v>98.8</v>
      </c>
      <c r="G2398" s="190">
        <v>45723</v>
      </c>
      <c r="H2398" s="196">
        <v>2</v>
      </c>
      <c r="I2398" s="197">
        <v>0</v>
      </c>
      <c r="J2398" s="197">
        <v>0</v>
      </c>
      <c r="K2398" s="197">
        <v>0</v>
      </c>
      <c r="L2398" s="197">
        <v>0</v>
      </c>
      <c r="M2398" s="260" t="s">
        <v>239</v>
      </c>
      <c r="N2398" s="260" t="s">
        <v>514</v>
      </c>
    </row>
    <row r="2399" spans="1:14" ht="14.5" x14ac:dyDescent="0.35">
      <c r="A2399" s="260" t="s">
        <v>566</v>
      </c>
      <c r="B2399" s="190">
        <v>45725</v>
      </c>
      <c r="C2399" s="260" t="s">
        <v>752</v>
      </c>
      <c r="D2399" s="197">
        <v>0</v>
      </c>
      <c r="E2399" s="197">
        <v>0</v>
      </c>
      <c r="F2399" s="197">
        <v>200.4</v>
      </c>
      <c r="G2399" s="190">
        <v>45723</v>
      </c>
      <c r="H2399" s="196">
        <v>2</v>
      </c>
      <c r="I2399" s="197">
        <v>0</v>
      </c>
      <c r="J2399" s="197">
        <v>0</v>
      </c>
      <c r="K2399" s="197">
        <v>0</v>
      </c>
      <c r="L2399" s="197">
        <v>0</v>
      </c>
      <c r="M2399" s="260" t="s">
        <v>239</v>
      </c>
      <c r="N2399" s="260" t="s">
        <v>514</v>
      </c>
    </row>
    <row r="2400" spans="1:14" ht="14.5" x14ac:dyDescent="0.35">
      <c r="A2400" s="260" t="s">
        <v>566</v>
      </c>
      <c r="B2400" s="190">
        <v>45725</v>
      </c>
      <c r="C2400" s="260" t="s">
        <v>754</v>
      </c>
      <c r="D2400" s="197">
        <v>0</v>
      </c>
      <c r="E2400" s="197">
        <v>0</v>
      </c>
      <c r="F2400" s="197">
        <v>77.400000000000006</v>
      </c>
      <c r="G2400" s="190">
        <v>45723</v>
      </c>
      <c r="H2400" s="196">
        <v>2</v>
      </c>
      <c r="I2400" s="197">
        <v>0</v>
      </c>
      <c r="J2400" s="197">
        <v>0</v>
      </c>
      <c r="K2400" s="197">
        <v>0</v>
      </c>
      <c r="L2400" s="197">
        <v>0</v>
      </c>
      <c r="M2400" s="260" t="s">
        <v>239</v>
      </c>
      <c r="N2400" s="260" t="s">
        <v>514</v>
      </c>
    </row>
    <row r="2401" spans="1:14" ht="14.5" x14ac:dyDescent="0.35">
      <c r="A2401" s="260" t="s">
        <v>566</v>
      </c>
      <c r="B2401" s="190">
        <v>45726</v>
      </c>
      <c r="C2401" s="260" t="s">
        <v>749</v>
      </c>
      <c r="D2401" s="197">
        <v>0</v>
      </c>
      <c r="E2401" s="197">
        <v>0</v>
      </c>
      <c r="F2401" s="197">
        <v>99.7</v>
      </c>
      <c r="G2401" s="190">
        <v>45726</v>
      </c>
      <c r="H2401" s="196">
        <v>0</v>
      </c>
      <c r="I2401" s="197">
        <v>0</v>
      </c>
      <c r="J2401" s="197">
        <v>0</v>
      </c>
      <c r="K2401" s="197">
        <v>0</v>
      </c>
      <c r="L2401" s="197">
        <v>0</v>
      </c>
      <c r="M2401" s="260" t="s">
        <v>239</v>
      </c>
      <c r="N2401" s="260" t="s">
        <v>514</v>
      </c>
    </row>
    <row r="2402" spans="1:14" ht="14.5" x14ac:dyDescent="0.35">
      <c r="A2402" s="260" t="s">
        <v>566</v>
      </c>
      <c r="B2402" s="190">
        <v>45726</v>
      </c>
      <c r="C2402" s="260" t="s">
        <v>752</v>
      </c>
      <c r="D2402" s="197">
        <v>0</v>
      </c>
      <c r="E2402" s="197">
        <v>0</v>
      </c>
      <c r="F2402" s="197">
        <v>200.1</v>
      </c>
      <c r="G2402" s="190">
        <v>45726</v>
      </c>
      <c r="H2402" s="196">
        <v>0</v>
      </c>
      <c r="I2402" s="197">
        <v>0</v>
      </c>
      <c r="J2402" s="197">
        <v>0</v>
      </c>
      <c r="K2402" s="197">
        <v>0</v>
      </c>
      <c r="L2402" s="197">
        <v>0</v>
      </c>
      <c r="M2402" s="260" t="s">
        <v>239</v>
      </c>
      <c r="N2402" s="260" t="s">
        <v>514</v>
      </c>
    </row>
    <row r="2403" spans="1:14" ht="14.5" x14ac:dyDescent="0.35">
      <c r="A2403" s="260" t="s">
        <v>566</v>
      </c>
      <c r="B2403" s="190">
        <v>45726</v>
      </c>
      <c r="C2403" s="260" t="s">
        <v>754</v>
      </c>
      <c r="D2403" s="197">
        <v>0</v>
      </c>
      <c r="E2403" s="197">
        <v>0</v>
      </c>
      <c r="F2403" s="197">
        <v>77.099999999999994</v>
      </c>
      <c r="G2403" s="190">
        <v>45726</v>
      </c>
      <c r="H2403" s="196">
        <v>0</v>
      </c>
      <c r="I2403" s="197">
        <v>0</v>
      </c>
      <c r="J2403" s="197">
        <v>0</v>
      </c>
      <c r="K2403" s="197">
        <v>0</v>
      </c>
      <c r="L2403" s="197">
        <v>0</v>
      </c>
      <c r="M2403" s="260" t="s">
        <v>239</v>
      </c>
      <c r="N2403" s="260" t="s">
        <v>514</v>
      </c>
    </row>
    <row r="2404" spans="1:14" ht="14.5" x14ac:dyDescent="0.35">
      <c r="A2404" s="260" t="s">
        <v>566</v>
      </c>
      <c r="B2404" s="190">
        <v>45727</v>
      </c>
      <c r="C2404" s="260" t="s">
        <v>749</v>
      </c>
      <c r="D2404" s="197">
        <v>0</v>
      </c>
      <c r="E2404" s="197">
        <v>0</v>
      </c>
      <c r="F2404" s="197">
        <v>100</v>
      </c>
      <c r="G2404" s="190">
        <v>45727</v>
      </c>
      <c r="H2404" s="196">
        <v>0</v>
      </c>
      <c r="I2404" s="197">
        <v>0</v>
      </c>
      <c r="J2404" s="197">
        <v>0</v>
      </c>
      <c r="K2404" s="197">
        <v>0</v>
      </c>
      <c r="L2404" s="197">
        <v>0</v>
      </c>
      <c r="M2404" s="260" t="s">
        <v>239</v>
      </c>
      <c r="N2404" s="260" t="s">
        <v>514</v>
      </c>
    </row>
    <row r="2405" spans="1:14" ht="14.5" x14ac:dyDescent="0.35">
      <c r="A2405" s="260" t="s">
        <v>566</v>
      </c>
      <c r="B2405" s="190">
        <v>45727</v>
      </c>
      <c r="C2405" s="260" t="s">
        <v>752</v>
      </c>
      <c r="D2405" s="197">
        <v>0</v>
      </c>
      <c r="E2405" s="197">
        <v>0</v>
      </c>
      <c r="F2405" s="197">
        <v>200</v>
      </c>
      <c r="G2405" s="190">
        <v>45727</v>
      </c>
      <c r="H2405" s="196">
        <v>0</v>
      </c>
      <c r="I2405" s="197">
        <v>0</v>
      </c>
      <c r="J2405" s="197">
        <v>0</v>
      </c>
      <c r="K2405" s="197">
        <v>0</v>
      </c>
      <c r="L2405" s="197">
        <v>0</v>
      </c>
      <c r="M2405" s="260" t="s">
        <v>239</v>
      </c>
      <c r="N2405" s="260" t="s">
        <v>514</v>
      </c>
    </row>
    <row r="2406" spans="1:14" ht="14.5" x14ac:dyDescent="0.35">
      <c r="A2406" s="260" t="s">
        <v>566</v>
      </c>
      <c r="B2406" s="190">
        <v>45727</v>
      </c>
      <c r="C2406" s="260" t="s">
        <v>754</v>
      </c>
      <c r="D2406" s="197">
        <v>0</v>
      </c>
      <c r="E2406" s="197">
        <v>0</v>
      </c>
      <c r="F2406" s="197">
        <v>77</v>
      </c>
      <c r="G2406" s="190">
        <v>45727</v>
      </c>
      <c r="H2406" s="196">
        <v>0</v>
      </c>
      <c r="I2406" s="197">
        <v>0</v>
      </c>
      <c r="J2406" s="197">
        <v>0</v>
      </c>
      <c r="K2406" s="197">
        <v>0</v>
      </c>
      <c r="L2406" s="197">
        <v>0</v>
      </c>
      <c r="M2406" s="260" t="s">
        <v>239</v>
      </c>
      <c r="N2406" s="260" t="s">
        <v>514</v>
      </c>
    </row>
    <row r="2407" spans="1:14" ht="14.5" x14ac:dyDescent="0.35">
      <c r="A2407" s="260" t="s">
        <v>566</v>
      </c>
      <c r="B2407" s="190">
        <v>45728</v>
      </c>
      <c r="C2407" s="260" t="s">
        <v>749</v>
      </c>
      <c r="D2407" s="197">
        <v>0</v>
      </c>
      <c r="E2407" s="197">
        <v>0</v>
      </c>
      <c r="F2407" s="197">
        <v>100.3</v>
      </c>
      <c r="G2407" s="190">
        <v>45728</v>
      </c>
      <c r="H2407" s="196">
        <v>0</v>
      </c>
      <c r="I2407" s="197">
        <v>0</v>
      </c>
      <c r="J2407" s="197">
        <v>0</v>
      </c>
      <c r="K2407" s="197">
        <v>0</v>
      </c>
      <c r="L2407" s="197">
        <v>0</v>
      </c>
      <c r="M2407" s="260" t="s">
        <v>239</v>
      </c>
      <c r="N2407" s="260" t="s">
        <v>514</v>
      </c>
    </row>
    <row r="2408" spans="1:14" ht="14.5" x14ac:dyDescent="0.35">
      <c r="A2408" s="260" t="s">
        <v>566</v>
      </c>
      <c r="B2408" s="190">
        <v>45728</v>
      </c>
      <c r="C2408" s="260" t="s">
        <v>752</v>
      </c>
      <c r="D2408" s="197">
        <v>0</v>
      </c>
      <c r="E2408" s="197">
        <v>0</v>
      </c>
      <c r="F2408" s="197">
        <v>199.9</v>
      </c>
      <c r="G2408" s="190">
        <v>45728</v>
      </c>
      <c r="H2408" s="196">
        <v>0</v>
      </c>
      <c r="I2408" s="197">
        <v>0</v>
      </c>
      <c r="J2408" s="197">
        <v>0</v>
      </c>
      <c r="K2408" s="197">
        <v>0</v>
      </c>
      <c r="L2408" s="197">
        <v>0</v>
      </c>
      <c r="M2408" s="260" t="s">
        <v>239</v>
      </c>
      <c r="N2408" s="260" t="s">
        <v>514</v>
      </c>
    </row>
    <row r="2409" spans="1:14" ht="14.5" x14ac:dyDescent="0.35">
      <c r="A2409" s="260" t="s">
        <v>566</v>
      </c>
      <c r="B2409" s="190">
        <v>45728</v>
      </c>
      <c r="C2409" s="260" t="s">
        <v>754</v>
      </c>
      <c r="D2409" s="197">
        <v>0</v>
      </c>
      <c r="E2409" s="197">
        <v>0</v>
      </c>
      <c r="F2409" s="197">
        <v>76.900000000000006</v>
      </c>
      <c r="G2409" s="190">
        <v>45728</v>
      </c>
      <c r="H2409" s="196">
        <v>0</v>
      </c>
      <c r="I2409" s="197">
        <v>0</v>
      </c>
      <c r="J2409" s="197">
        <v>0</v>
      </c>
      <c r="K2409" s="197">
        <v>0</v>
      </c>
      <c r="L2409" s="197">
        <v>0</v>
      </c>
      <c r="M2409" s="260" t="s">
        <v>239</v>
      </c>
      <c r="N2409" s="260" t="s">
        <v>514</v>
      </c>
    </row>
    <row r="2410" spans="1:14" ht="14.5" x14ac:dyDescent="0.35">
      <c r="A2410" s="260" t="s">
        <v>566</v>
      </c>
      <c r="B2410" s="190">
        <v>45729</v>
      </c>
      <c r="C2410" s="260" t="s">
        <v>749</v>
      </c>
      <c r="D2410" s="197">
        <v>0</v>
      </c>
      <c r="E2410" s="197">
        <v>0</v>
      </c>
      <c r="F2410" s="197">
        <v>100.6</v>
      </c>
      <c r="G2410" s="190">
        <v>45729</v>
      </c>
      <c r="H2410" s="196">
        <v>0</v>
      </c>
      <c r="I2410" s="197">
        <v>0</v>
      </c>
      <c r="J2410" s="197">
        <v>0</v>
      </c>
      <c r="K2410" s="197">
        <v>0</v>
      </c>
      <c r="L2410" s="197">
        <v>0</v>
      </c>
      <c r="M2410" s="260" t="s">
        <v>239</v>
      </c>
      <c r="N2410" s="260" t="s">
        <v>514</v>
      </c>
    </row>
    <row r="2411" spans="1:14" ht="14.5" x14ac:dyDescent="0.35">
      <c r="A2411" s="260" t="s">
        <v>566</v>
      </c>
      <c r="B2411" s="190">
        <v>45729</v>
      </c>
      <c r="C2411" s="260" t="s">
        <v>752</v>
      </c>
      <c r="D2411" s="197">
        <v>0</v>
      </c>
      <c r="E2411" s="197">
        <v>0</v>
      </c>
      <c r="F2411" s="197">
        <v>199.8</v>
      </c>
      <c r="G2411" s="190">
        <v>45729</v>
      </c>
      <c r="H2411" s="196">
        <v>0</v>
      </c>
      <c r="I2411" s="197">
        <v>0</v>
      </c>
      <c r="J2411" s="197">
        <v>0</v>
      </c>
      <c r="K2411" s="197">
        <v>0</v>
      </c>
      <c r="L2411" s="197">
        <v>0</v>
      </c>
      <c r="M2411" s="260" t="s">
        <v>239</v>
      </c>
      <c r="N2411" s="260" t="s">
        <v>514</v>
      </c>
    </row>
    <row r="2412" spans="1:14" ht="14.5" x14ac:dyDescent="0.35">
      <c r="A2412" s="260" t="s">
        <v>566</v>
      </c>
      <c r="B2412" s="190">
        <v>45729</v>
      </c>
      <c r="C2412" s="260" t="s">
        <v>754</v>
      </c>
      <c r="D2412" s="197">
        <v>0</v>
      </c>
      <c r="E2412" s="197">
        <v>0</v>
      </c>
      <c r="F2412" s="197">
        <v>76.8</v>
      </c>
      <c r="G2412" s="190">
        <v>45729</v>
      </c>
      <c r="H2412" s="196">
        <v>0</v>
      </c>
      <c r="I2412" s="197">
        <v>0</v>
      </c>
      <c r="J2412" s="197">
        <v>0</v>
      </c>
      <c r="K2412" s="197">
        <v>0</v>
      </c>
      <c r="L2412" s="197">
        <v>0</v>
      </c>
      <c r="M2412" s="260" t="s">
        <v>239</v>
      </c>
      <c r="N2412" s="260" t="s">
        <v>514</v>
      </c>
    </row>
    <row r="2413" spans="1:14" ht="14.5" x14ac:dyDescent="0.35">
      <c r="A2413" s="260" t="s">
        <v>566</v>
      </c>
      <c r="B2413" s="190">
        <v>45730</v>
      </c>
      <c r="C2413" s="260" t="s">
        <v>749</v>
      </c>
      <c r="D2413" s="197">
        <v>0</v>
      </c>
      <c r="E2413" s="197">
        <v>0</v>
      </c>
      <c r="F2413" s="197">
        <v>100.9</v>
      </c>
      <c r="G2413" s="190">
        <v>45730</v>
      </c>
      <c r="H2413" s="196">
        <v>0</v>
      </c>
      <c r="I2413" s="197">
        <v>0</v>
      </c>
      <c r="J2413" s="197">
        <v>0</v>
      </c>
      <c r="K2413" s="197">
        <v>0</v>
      </c>
      <c r="L2413" s="197">
        <v>0</v>
      </c>
      <c r="M2413" s="260" t="s">
        <v>239</v>
      </c>
      <c r="N2413" s="260" t="s">
        <v>514</v>
      </c>
    </row>
    <row r="2414" spans="1:14" ht="14.5" x14ac:dyDescent="0.35">
      <c r="A2414" s="260" t="s">
        <v>566</v>
      </c>
      <c r="B2414" s="190">
        <v>45730</v>
      </c>
      <c r="C2414" s="260" t="s">
        <v>752</v>
      </c>
      <c r="D2414" s="197">
        <v>0</v>
      </c>
      <c r="E2414" s="197">
        <v>0</v>
      </c>
      <c r="F2414" s="197">
        <v>199.7</v>
      </c>
      <c r="G2414" s="190">
        <v>45730</v>
      </c>
      <c r="H2414" s="196">
        <v>0</v>
      </c>
      <c r="I2414" s="197">
        <v>0</v>
      </c>
      <c r="J2414" s="197">
        <v>0</v>
      </c>
      <c r="K2414" s="197">
        <v>0</v>
      </c>
      <c r="L2414" s="197">
        <v>0</v>
      </c>
      <c r="M2414" s="260" t="s">
        <v>239</v>
      </c>
      <c r="N2414" s="260" t="s">
        <v>514</v>
      </c>
    </row>
    <row r="2415" spans="1:14" ht="14.5" x14ac:dyDescent="0.35">
      <c r="A2415" s="260" t="s">
        <v>566</v>
      </c>
      <c r="B2415" s="190">
        <v>45730</v>
      </c>
      <c r="C2415" s="260" t="s">
        <v>754</v>
      </c>
      <c r="D2415" s="197">
        <v>0</v>
      </c>
      <c r="E2415" s="197">
        <v>0</v>
      </c>
      <c r="F2415" s="197">
        <v>76.7</v>
      </c>
      <c r="G2415" s="190">
        <v>45730</v>
      </c>
      <c r="H2415" s="196">
        <v>0</v>
      </c>
      <c r="I2415" s="197">
        <v>0</v>
      </c>
      <c r="J2415" s="197">
        <v>0</v>
      </c>
      <c r="K2415" s="197">
        <v>0</v>
      </c>
      <c r="L2415" s="197">
        <v>0</v>
      </c>
      <c r="M2415" s="260" t="s">
        <v>239</v>
      </c>
      <c r="N2415" s="260" t="s">
        <v>514</v>
      </c>
    </row>
    <row r="2416" spans="1:14" ht="14.5" x14ac:dyDescent="0.35">
      <c r="A2416" s="260" t="s">
        <v>566</v>
      </c>
      <c r="B2416" s="190">
        <v>45731</v>
      </c>
      <c r="C2416" s="260" t="s">
        <v>749</v>
      </c>
      <c r="D2416" s="197">
        <v>0</v>
      </c>
      <c r="E2416" s="197">
        <v>0</v>
      </c>
      <c r="F2416" s="197">
        <v>100.9</v>
      </c>
      <c r="G2416" s="190">
        <v>45730</v>
      </c>
      <c r="H2416" s="196">
        <v>1</v>
      </c>
      <c r="I2416" s="197">
        <v>0</v>
      </c>
      <c r="J2416" s="197">
        <v>0</v>
      </c>
      <c r="K2416" s="197">
        <v>0</v>
      </c>
      <c r="L2416" s="197">
        <v>0</v>
      </c>
      <c r="M2416" s="260" t="s">
        <v>239</v>
      </c>
      <c r="N2416" s="260" t="s">
        <v>514</v>
      </c>
    </row>
    <row r="2417" spans="1:14" ht="14.5" x14ac:dyDescent="0.35">
      <c r="A2417" s="260" t="s">
        <v>566</v>
      </c>
      <c r="B2417" s="190">
        <v>45731</v>
      </c>
      <c r="C2417" s="260" t="s">
        <v>752</v>
      </c>
      <c r="D2417" s="197">
        <v>0</v>
      </c>
      <c r="E2417" s="197">
        <v>0</v>
      </c>
      <c r="F2417" s="197">
        <v>199.7</v>
      </c>
      <c r="G2417" s="190">
        <v>45730</v>
      </c>
      <c r="H2417" s="196">
        <v>1</v>
      </c>
      <c r="I2417" s="197">
        <v>0</v>
      </c>
      <c r="J2417" s="197">
        <v>0</v>
      </c>
      <c r="K2417" s="197">
        <v>0</v>
      </c>
      <c r="L2417" s="197">
        <v>0</v>
      </c>
      <c r="M2417" s="260" t="s">
        <v>239</v>
      </c>
      <c r="N2417" s="260" t="s">
        <v>514</v>
      </c>
    </row>
    <row r="2418" spans="1:14" ht="14.5" x14ac:dyDescent="0.35">
      <c r="A2418" s="260" t="s">
        <v>566</v>
      </c>
      <c r="B2418" s="190">
        <v>45731</v>
      </c>
      <c r="C2418" s="260" t="s">
        <v>754</v>
      </c>
      <c r="D2418" s="197">
        <v>0</v>
      </c>
      <c r="E2418" s="197">
        <v>0</v>
      </c>
      <c r="F2418" s="197">
        <v>76.7</v>
      </c>
      <c r="G2418" s="190">
        <v>45730</v>
      </c>
      <c r="H2418" s="196">
        <v>1</v>
      </c>
      <c r="I2418" s="197">
        <v>0</v>
      </c>
      <c r="J2418" s="197">
        <v>0</v>
      </c>
      <c r="K2418" s="197">
        <v>0</v>
      </c>
      <c r="L2418" s="197">
        <v>0</v>
      </c>
      <c r="M2418" s="260" t="s">
        <v>239</v>
      </c>
      <c r="N2418" s="260" t="s">
        <v>514</v>
      </c>
    </row>
    <row r="2419" spans="1:14" ht="14.5" x14ac:dyDescent="0.35">
      <c r="A2419" s="260" t="s">
        <v>566</v>
      </c>
      <c r="B2419" s="190">
        <v>45732</v>
      </c>
      <c r="C2419" s="260" t="s">
        <v>749</v>
      </c>
      <c r="D2419" s="197">
        <v>0</v>
      </c>
      <c r="E2419" s="197">
        <v>0</v>
      </c>
      <c r="F2419" s="197">
        <v>100.9</v>
      </c>
      <c r="G2419" s="190">
        <v>45730</v>
      </c>
      <c r="H2419" s="196">
        <v>2</v>
      </c>
      <c r="I2419" s="197">
        <v>0</v>
      </c>
      <c r="J2419" s="197">
        <v>0</v>
      </c>
      <c r="K2419" s="197">
        <v>0</v>
      </c>
      <c r="L2419" s="197">
        <v>0</v>
      </c>
      <c r="M2419" s="260" t="s">
        <v>239</v>
      </c>
      <c r="N2419" s="260" t="s">
        <v>514</v>
      </c>
    </row>
    <row r="2420" spans="1:14" ht="14.5" x14ac:dyDescent="0.35">
      <c r="A2420" s="260" t="s">
        <v>566</v>
      </c>
      <c r="B2420" s="190">
        <v>45732</v>
      </c>
      <c r="C2420" s="260" t="s">
        <v>752</v>
      </c>
      <c r="D2420" s="197">
        <v>0</v>
      </c>
      <c r="E2420" s="197">
        <v>0</v>
      </c>
      <c r="F2420" s="197">
        <v>199.7</v>
      </c>
      <c r="G2420" s="190">
        <v>45730</v>
      </c>
      <c r="H2420" s="196">
        <v>2</v>
      </c>
      <c r="I2420" s="197">
        <v>0</v>
      </c>
      <c r="J2420" s="197">
        <v>0</v>
      </c>
      <c r="K2420" s="197">
        <v>0</v>
      </c>
      <c r="L2420" s="197">
        <v>0</v>
      </c>
      <c r="M2420" s="260" t="s">
        <v>239</v>
      </c>
      <c r="N2420" s="260" t="s">
        <v>514</v>
      </c>
    </row>
    <row r="2421" spans="1:14" ht="14.5" x14ac:dyDescent="0.35">
      <c r="A2421" s="260" t="s">
        <v>566</v>
      </c>
      <c r="B2421" s="190">
        <v>45732</v>
      </c>
      <c r="C2421" s="260" t="s">
        <v>754</v>
      </c>
      <c r="D2421" s="197">
        <v>0</v>
      </c>
      <c r="E2421" s="197">
        <v>0</v>
      </c>
      <c r="F2421" s="197">
        <v>76.7</v>
      </c>
      <c r="G2421" s="190">
        <v>45730</v>
      </c>
      <c r="H2421" s="196">
        <v>2</v>
      </c>
      <c r="I2421" s="197">
        <v>0</v>
      </c>
      <c r="J2421" s="197">
        <v>0</v>
      </c>
      <c r="K2421" s="197">
        <v>0</v>
      </c>
      <c r="L2421" s="197">
        <v>0</v>
      </c>
      <c r="M2421" s="260" t="s">
        <v>239</v>
      </c>
      <c r="N2421" s="260" t="s">
        <v>514</v>
      </c>
    </row>
    <row r="2422" spans="1:14" ht="14.5" x14ac:dyDescent="0.35">
      <c r="A2422" s="260" t="s">
        <v>566</v>
      </c>
      <c r="B2422" s="190">
        <v>45733</v>
      </c>
      <c r="C2422" s="260" t="s">
        <v>749</v>
      </c>
      <c r="D2422" s="197">
        <v>0</v>
      </c>
      <c r="E2422" s="197">
        <v>0</v>
      </c>
      <c r="F2422" s="197">
        <v>101.8</v>
      </c>
      <c r="G2422" s="190">
        <v>45733</v>
      </c>
      <c r="H2422" s="196">
        <v>0</v>
      </c>
      <c r="I2422" s="197">
        <v>0</v>
      </c>
      <c r="J2422" s="197">
        <v>0</v>
      </c>
      <c r="K2422" s="197">
        <v>0</v>
      </c>
      <c r="L2422" s="197">
        <v>0</v>
      </c>
      <c r="M2422" s="260" t="s">
        <v>239</v>
      </c>
      <c r="N2422" s="260" t="s">
        <v>514</v>
      </c>
    </row>
    <row r="2423" spans="1:14" ht="14.5" x14ac:dyDescent="0.35">
      <c r="A2423" s="260" t="s">
        <v>566</v>
      </c>
      <c r="B2423" s="190">
        <v>45733</v>
      </c>
      <c r="C2423" s="260" t="s">
        <v>752</v>
      </c>
      <c r="D2423" s="197">
        <v>0</v>
      </c>
      <c r="E2423" s="197">
        <v>0</v>
      </c>
      <c r="F2423" s="197">
        <v>199.4</v>
      </c>
      <c r="G2423" s="190">
        <v>45733</v>
      </c>
      <c r="H2423" s="196">
        <v>0</v>
      </c>
      <c r="I2423" s="197">
        <v>0</v>
      </c>
      <c r="J2423" s="197">
        <v>0</v>
      </c>
      <c r="K2423" s="197">
        <v>0</v>
      </c>
      <c r="L2423" s="197">
        <v>0</v>
      </c>
      <c r="M2423" s="260" t="s">
        <v>239</v>
      </c>
      <c r="N2423" s="260" t="s">
        <v>514</v>
      </c>
    </row>
    <row r="2424" spans="1:14" ht="14.5" x14ac:dyDescent="0.35">
      <c r="A2424" s="260" t="s">
        <v>566</v>
      </c>
      <c r="B2424" s="190">
        <v>45733</v>
      </c>
      <c r="C2424" s="260" t="s">
        <v>754</v>
      </c>
      <c r="D2424" s="197">
        <v>0</v>
      </c>
      <c r="E2424" s="197">
        <v>0</v>
      </c>
      <c r="F2424" s="197">
        <v>76.400000000000006</v>
      </c>
      <c r="G2424" s="190">
        <v>45733</v>
      </c>
      <c r="H2424" s="196">
        <v>0</v>
      </c>
      <c r="I2424" s="197">
        <v>0</v>
      </c>
      <c r="J2424" s="197">
        <v>0</v>
      </c>
      <c r="K2424" s="197">
        <v>0</v>
      </c>
      <c r="L2424" s="197">
        <v>0</v>
      </c>
      <c r="M2424" s="260" t="s">
        <v>239</v>
      </c>
      <c r="N2424" s="260" t="s">
        <v>514</v>
      </c>
    </row>
    <row r="2425" spans="1:14" ht="14.5" x14ac:dyDescent="0.35">
      <c r="A2425" s="260" t="s">
        <v>566</v>
      </c>
      <c r="B2425" s="190">
        <v>45734</v>
      </c>
      <c r="C2425" s="260" t="s">
        <v>749</v>
      </c>
      <c r="D2425" s="197">
        <v>0</v>
      </c>
      <c r="E2425" s="197">
        <v>0</v>
      </c>
      <c r="F2425" s="197">
        <v>102.1</v>
      </c>
      <c r="G2425" s="190">
        <v>45734</v>
      </c>
      <c r="H2425" s="196">
        <v>0</v>
      </c>
      <c r="I2425" s="197">
        <v>0</v>
      </c>
      <c r="J2425" s="197">
        <v>0</v>
      </c>
      <c r="K2425" s="197">
        <v>0</v>
      </c>
      <c r="L2425" s="197">
        <v>0</v>
      </c>
      <c r="M2425" s="260" t="s">
        <v>239</v>
      </c>
      <c r="N2425" s="260" t="s">
        <v>514</v>
      </c>
    </row>
    <row r="2426" spans="1:14" ht="14.5" x14ac:dyDescent="0.35">
      <c r="A2426" s="260" t="s">
        <v>566</v>
      </c>
      <c r="B2426" s="190">
        <v>45734</v>
      </c>
      <c r="C2426" s="260" t="s">
        <v>752</v>
      </c>
      <c r="D2426" s="197">
        <v>0</v>
      </c>
      <c r="E2426" s="197">
        <v>0</v>
      </c>
      <c r="F2426" s="197">
        <v>199.3</v>
      </c>
      <c r="G2426" s="190">
        <v>45734</v>
      </c>
      <c r="H2426" s="196">
        <v>0</v>
      </c>
      <c r="I2426" s="197">
        <v>0</v>
      </c>
      <c r="J2426" s="197">
        <v>0</v>
      </c>
      <c r="K2426" s="197">
        <v>0</v>
      </c>
      <c r="L2426" s="197">
        <v>0</v>
      </c>
      <c r="M2426" s="260" t="s">
        <v>239</v>
      </c>
      <c r="N2426" s="260" t="s">
        <v>514</v>
      </c>
    </row>
    <row r="2427" spans="1:14" ht="14.5" x14ac:dyDescent="0.35">
      <c r="A2427" s="260" t="s">
        <v>566</v>
      </c>
      <c r="B2427" s="190">
        <v>45734</v>
      </c>
      <c r="C2427" s="260" t="s">
        <v>754</v>
      </c>
      <c r="D2427" s="197">
        <v>0</v>
      </c>
      <c r="E2427" s="197">
        <v>0</v>
      </c>
      <c r="F2427" s="197">
        <v>76.3</v>
      </c>
      <c r="G2427" s="190">
        <v>45734</v>
      </c>
      <c r="H2427" s="196">
        <v>0</v>
      </c>
      <c r="I2427" s="197">
        <v>0</v>
      </c>
      <c r="J2427" s="197">
        <v>0</v>
      </c>
      <c r="K2427" s="197">
        <v>0</v>
      </c>
      <c r="L2427" s="197">
        <v>0</v>
      </c>
      <c r="M2427" s="260" t="s">
        <v>239</v>
      </c>
      <c r="N2427" s="260" t="s">
        <v>514</v>
      </c>
    </row>
    <row r="2428" spans="1:14" ht="14.5" x14ac:dyDescent="0.35">
      <c r="A2428" s="260" t="s">
        <v>566</v>
      </c>
      <c r="B2428" s="190">
        <v>45735</v>
      </c>
      <c r="C2428" s="260" t="s">
        <v>749</v>
      </c>
      <c r="D2428" s="197">
        <v>0</v>
      </c>
      <c r="E2428" s="197">
        <v>0</v>
      </c>
      <c r="F2428" s="197">
        <v>102.4</v>
      </c>
      <c r="G2428" s="190">
        <v>45735</v>
      </c>
      <c r="H2428" s="196">
        <v>0</v>
      </c>
      <c r="I2428" s="197">
        <v>0</v>
      </c>
      <c r="J2428" s="197">
        <v>0</v>
      </c>
      <c r="K2428" s="197">
        <v>0</v>
      </c>
      <c r="L2428" s="197">
        <v>0</v>
      </c>
      <c r="M2428" s="260" t="s">
        <v>239</v>
      </c>
      <c r="N2428" s="260" t="s">
        <v>514</v>
      </c>
    </row>
    <row r="2429" spans="1:14" ht="14.5" x14ac:dyDescent="0.35">
      <c r="A2429" s="260" t="s">
        <v>566</v>
      </c>
      <c r="B2429" s="190">
        <v>45735</v>
      </c>
      <c r="C2429" s="260" t="s">
        <v>752</v>
      </c>
      <c r="D2429" s="197">
        <v>0</v>
      </c>
      <c r="E2429" s="197">
        <v>0</v>
      </c>
      <c r="F2429" s="197">
        <v>199.2</v>
      </c>
      <c r="G2429" s="190">
        <v>45735</v>
      </c>
      <c r="H2429" s="196">
        <v>0</v>
      </c>
      <c r="I2429" s="197">
        <v>0</v>
      </c>
      <c r="J2429" s="197">
        <v>0</v>
      </c>
      <c r="K2429" s="197">
        <v>0</v>
      </c>
      <c r="L2429" s="197">
        <v>0</v>
      </c>
      <c r="M2429" s="260" t="s">
        <v>239</v>
      </c>
      <c r="N2429" s="260" t="s">
        <v>514</v>
      </c>
    </row>
    <row r="2430" spans="1:14" ht="14.5" x14ac:dyDescent="0.35">
      <c r="A2430" s="260" t="s">
        <v>566</v>
      </c>
      <c r="B2430" s="190">
        <v>45735</v>
      </c>
      <c r="C2430" s="260" t="s">
        <v>754</v>
      </c>
      <c r="D2430" s="197">
        <v>0</v>
      </c>
      <c r="E2430" s="197">
        <v>0</v>
      </c>
      <c r="F2430" s="197">
        <v>76.2</v>
      </c>
      <c r="G2430" s="190">
        <v>45735</v>
      </c>
      <c r="H2430" s="196">
        <v>0</v>
      </c>
      <c r="I2430" s="197">
        <v>0</v>
      </c>
      <c r="J2430" s="197">
        <v>0</v>
      </c>
      <c r="K2430" s="197">
        <v>0</v>
      </c>
      <c r="L2430" s="197">
        <v>0</v>
      </c>
      <c r="M2430" s="260" t="s">
        <v>239</v>
      </c>
      <c r="N2430" s="260" t="s">
        <v>514</v>
      </c>
    </row>
    <row r="2431" spans="1:14" ht="14.5" x14ac:dyDescent="0.35">
      <c r="A2431" s="260" t="s">
        <v>566</v>
      </c>
      <c r="B2431" s="190">
        <v>45736</v>
      </c>
      <c r="C2431" s="260" t="s">
        <v>749</v>
      </c>
      <c r="D2431" s="197">
        <v>0</v>
      </c>
      <c r="E2431" s="197">
        <v>0</v>
      </c>
      <c r="F2431" s="197">
        <v>102.7</v>
      </c>
      <c r="G2431" s="190">
        <v>45736</v>
      </c>
      <c r="H2431" s="196">
        <v>0</v>
      </c>
      <c r="I2431" s="197">
        <v>0</v>
      </c>
      <c r="J2431" s="197">
        <v>0</v>
      </c>
      <c r="K2431" s="197">
        <v>0</v>
      </c>
      <c r="L2431" s="197">
        <v>0</v>
      </c>
      <c r="M2431" s="260" t="s">
        <v>239</v>
      </c>
      <c r="N2431" s="260" t="s">
        <v>514</v>
      </c>
    </row>
    <row r="2432" spans="1:14" ht="14.5" x14ac:dyDescent="0.35">
      <c r="A2432" s="260" t="s">
        <v>566</v>
      </c>
      <c r="B2432" s="190">
        <v>45736</v>
      </c>
      <c r="C2432" s="260" t="s">
        <v>752</v>
      </c>
      <c r="D2432" s="197">
        <v>0</v>
      </c>
      <c r="E2432" s="197">
        <v>0</v>
      </c>
      <c r="F2432" s="197">
        <v>199.1</v>
      </c>
      <c r="G2432" s="190">
        <v>45736</v>
      </c>
      <c r="H2432" s="196">
        <v>0</v>
      </c>
      <c r="I2432" s="197">
        <v>0</v>
      </c>
      <c r="J2432" s="197">
        <v>0</v>
      </c>
      <c r="K2432" s="197">
        <v>0</v>
      </c>
      <c r="L2432" s="197">
        <v>0</v>
      </c>
      <c r="M2432" s="260" t="s">
        <v>239</v>
      </c>
      <c r="N2432" s="260" t="s">
        <v>514</v>
      </c>
    </row>
    <row r="2433" spans="1:14" ht="14.5" x14ac:dyDescent="0.35">
      <c r="A2433" s="260" t="s">
        <v>566</v>
      </c>
      <c r="B2433" s="190">
        <v>45736</v>
      </c>
      <c r="C2433" s="260" t="s">
        <v>754</v>
      </c>
      <c r="D2433" s="197">
        <v>0</v>
      </c>
      <c r="E2433" s="197">
        <v>0</v>
      </c>
      <c r="F2433" s="197">
        <v>76.099999999999994</v>
      </c>
      <c r="G2433" s="190">
        <v>45736</v>
      </c>
      <c r="H2433" s="196">
        <v>0</v>
      </c>
      <c r="I2433" s="197">
        <v>0</v>
      </c>
      <c r="J2433" s="197">
        <v>0</v>
      </c>
      <c r="K2433" s="197">
        <v>0</v>
      </c>
      <c r="L2433" s="197">
        <v>0</v>
      </c>
      <c r="M2433" s="260" t="s">
        <v>239</v>
      </c>
      <c r="N2433" s="260" t="s">
        <v>514</v>
      </c>
    </row>
    <row r="2434" spans="1:14" ht="14.5" x14ac:dyDescent="0.35">
      <c r="A2434" s="260" t="s">
        <v>566</v>
      </c>
      <c r="B2434" s="190">
        <v>45737</v>
      </c>
      <c r="C2434" s="260" t="s">
        <v>749</v>
      </c>
      <c r="D2434" s="197">
        <v>0</v>
      </c>
      <c r="E2434" s="197">
        <v>0</v>
      </c>
      <c r="F2434" s="197">
        <v>103</v>
      </c>
      <c r="G2434" s="190">
        <v>45737</v>
      </c>
      <c r="H2434" s="196">
        <v>0</v>
      </c>
      <c r="I2434" s="197">
        <v>0</v>
      </c>
      <c r="J2434" s="197">
        <v>0</v>
      </c>
      <c r="K2434" s="197">
        <v>0</v>
      </c>
      <c r="L2434" s="197">
        <v>0</v>
      </c>
      <c r="M2434" s="260" t="s">
        <v>239</v>
      </c>
      <c r="N2434" s="260" t="s">
        <v>514</v>
      </c>
    </row>
    <row r="2435" spans="1:14" ht="14.5" x14ac:dyDescent="0.35">
      <c r="A2435" s="260" t="s">
        <v>566</v>
      </c>
      <c r="B2435" s="190">
        <v>45737</v>
      </c>
      <c r="C2435" s="260" t="s">
        <v>752</v>
      </c>
      <c r="D2435" s="197">
        <v>0</v>
      </c>
      <c r="E2435" s="197">
        <v>0</v>
      </c>
      <c r="F2435" s="197">
        <v>199</v>
      </c>
      <c r="G2435" s="190">
        <v>45737</v>
      </c>
      <c r="H2435" s="196">
        <v>0</v>
      </c>
      <c r="I2435" s="197">
        <v>0</v>
      </c>
      <c r="J2435" s="197">
        <v>0</v>
      </c>
      <c r="K2435" s="197">
        <v>0</v>
      </c>
      <c r="L2435" s="197">
        <v>0</v>
      </c>
      <c r="M2435" s="260" t="s">
        <v>239</v>
      </c>
      <c r="N2435" s="260" t="s">
        <v>514</v>
      </c>
    </row>
    <row r="2436" spans="1:14" ht="14.5" x14ac:dyDescent="0.35">
      <c r="A2436" s="260" t="s">
        <v>566</v>
      </c>
      <c r="B2436" s="190">
        <v>45737</v>
      </c>
      <c r="C2436" s="260" t="s">
        <v>754</v>
      </c>
      <c r="D2436" s="197">
        <v>0</v>
      </c>
      <c r="E2436" s="197">
        <v>0</v>
      </c>
      <c r="F2436" s="197">
        <v>76</v>
      </c>
      <c r="G2436" s="190">
        <v>45737</v>
      </c>
      <c r="H2436" s="196">
        <v>0</v>
      </c>
      <c r="I2436" s="197">
        <v>0</v>
      </c>
      <c r="J2436" s="197">
        <v>0</v>
      </c>
      <c r="K2436" s="197">
        <v>0</v>
      </c>
      <c r="L2436" s="197">
        <v>0</v>
      </c>
      <c r="M2436" s="260" t="s">
        <v>239</v>
      </c>
      <c r="N2436" s="260" t="s">
        <v>514</v>
      </c>
    </row>
    <row r="2437" spans="1:14" ht="14.5" x14ac:dyDescent="0.35">
      <c r="A2437" s="260" t="s">
        <v>566</v>
      </c>
      <c r="B2437" s="190">
        <v>45738</v>
      </c>
      <c r="C2437" s="260" t="s">
        <v>749</v>
      </c>
      <c r="D2437" s="197">
        <v>0</v>
      </c>
      <c r="E2437" s="197">
        <v>0</v>
      </c>
      <c r="F2437" s="197">
        <v>103</v>
      </c>
      <c r="G2437" s="190">
        <v>45737</v>
      </c>
      <c r="H2437" s="196">
        <v>1</v>
      </c>
      <c r="I2437" s="197">
        <v>0</v>
      </c>
      <c r="J2437" s="197">
        <v>0</v>
      </c>
      <c r="K2437" s="197">
        <v>0</v>
      </c>
      <c r="L2437" s="197">
        <v>0</v>
      </c>
      <c r="M2437" s="260" t="s">
        <v>239</v>
      </c>
      <c r="N2437" s="260" t="s">
        <v>514</v>
      </c>
    </row>
    <row r="2438" spans="1:14" ht="14.5" x14ac:dyDescent="0.35">
      <c r="A2438" s="260" t="s">
        <v>566</v>
      </c>
      <c r="B2438" s="190">
        <v>45738</v>
      </c>
      <c r="C2438" s="260" t="s">
        <v>752</v>
      </c>
      <c r="D2438" s="197">
        <v>0</v>
      </c>
      <c r="E2438" s="197">
        <v>0</v>
      </c>
      <c r="F2438" s="197">
        <v>199</v>
      </c>
      <c r="G2438" s="190">
        <v>45737</v>
      </c>
      <c r="H2438" s="196">
        <v>1</v>
      </c>
      <c r="I2438" s="197">
        <v>0</v>
      </c>
      <c r="J2438" s="197">
        <v>0</v>
      </c>
      <c r="K2438" s="197">
        <v>0</v>
      </c>
      <c r="L2438" s="197">
        <v>0</v>
      </c>
      <c r="M2438" s="260" t="s">
        <v>239</v>
      </c>
      <c r="N2438" s="260" t="s">
        <v>514</v>
      </c>
    </row>
    <row r="2439" spans="1:14" ht="14.5" x14ac:dyDescent="0.35">
      <c r="A2439" s="260" t="s">
        <v>566</v>
      </c>
      <c r="B2439" s="190">
        <v>45738</v>
      </c>
      <c r="C2439" s="260" t="s">
        <v>754</v>
      </c>
      <c r="D2439" s="197">
        <v>0</v>
      </c>
      <c r="E2439" s="197">
        <v>0</v>
      </c>
      <c r="F2439" s="197">
        <v>76</v>
      </c>
      <c r="G2439" s="190">
        <v>45737</v>
      </c>
      <c r="H2439" s="196">
        <v>1</v>
      </c>
      <c r="I2439" s="197">
        <v>0</v>
      </c>
      <c r="J2439" s="197">
        <v>0</v>
      </c>
      <c r="K2439" s="197">
        <v>0</v>
      </c>
      <c r="L2439" s="197">
        <v>0</v>
      </c>
      <c r="M2439" s="260" t="s">
        <v>239</v>
      </c>
      <c r="N2439" s="260" t="s">
        <v>514</v>
      </c>
    </row>
    <row r="2440" spans="1:14" ht="14.5" x14ac:dyDescent="0.35">
      <c r="A2440" s="260" t="s">
        <v>566</v>
      </c>
      <c r="B2440" s="190">
        <v>45739</v>
      </c>
      <c r="C2440" s="260" t="s">
        <v>749</v>
      </c>
      <c r="D2440" s="197">
        <v>0</v>
      </c>
      <c r="E2440" s="197">
        <v>0</v>
      </c>
      <c r="F2440" s="197">
        <v>103</v>
      </c>
      <c r="G2440" s="190">
        <v>45737</v>
      </c>
      <c r="H2440" s="196">
        <v>2</v>
      </c>
      <c r="I2440" s="197">
        <v>0</v>
      </c>
      <c r="J2440" s="197">
        <v>0</v>
      </c>
      <c r="K2440" s="197">
        <v>0</v>
      </c>
      <c r="L2440" s="197">
        <v>0</v>
      </c>
      <c r="M2440" s="260" t="s">
        <v>239</v>
      </c>
      <c r="N2440" s="260" t="s">
        <v>514</v>
      </c>
    </row>
    <row r="2441" spans="1:14" ht="14.5" x14ac:dyDescent="0.35">
      <c r="A2441" s="260" t="s">
        <v>566</v>
      </c>
      <c r="B2441" s="190">
        <v>45739</v>
      </c>
      <c r="C2441" s="260" t="s">
        <v>752</v>
      </c>
      <c r="D2441" s="197">
        <v>0</v>
      </c>
      <c r="E2441" s="197">
        <v>0</v>
      </c>
      <c r="F2441" s="197">
        <v>199</v>
      </c>
      <c r="G2441" s="190">
        <v>45737</v>
      </c>
      <c r="H2441" s="196">
        <v>2</v>
      </c>
      <c r="I2441" s="197">
        <v>0</v>
      </c>
      <c r="J2441" s="197">
        <v>0</v>
      </c>
      <c r="K2441" s="197">
        <v>0</v>
      </c>
      <c r="L2441" s="197">
        <v>0</v>
      </c>
      <c r="M2441" s="260" t="s">
        <v>239</v>
      </c>
      <c r="N2441" s="260" t="s">
        <v>514</v>
      </c>
    </row>
    <row r="2442" spans="1:14" ht="14.5" x14ac:dyDescent="0.35">
      <c r="A2442" s="260" t="s">
        <v>566</v>
      </c>
      <c r="B2442" s="190">
        <v>45739</v>
      </c>
      <c r="C2442" s="260" t="s">
        <v>754</v>
      </c>
      <c r="D2442" s="197">
        <v>0</v>
      </c>
      <c r="E2442" s="197">
        <v>0</v>
      </c>
      <c r="F2442" s="197">
        <v>76</v>
      </c>
      <c r="G2442" s="190">
        <v>45737</v>
      </c>
      <c r="H2442" s="196">
        <v>2</v>
      </c>
      <c r="I2442" s="197">
        <v>0</v>
      </c>
      <c r="J2442" s="197">
        <v>0</v>
      </c>
      <c r="K2442" s="197">
        <v>0</v>
      </c>
      <c r="L2442" s="197">
        <v>0</v>
      </c>
      <c r="M2442" s="260" t="s">
        <v>239</v>
      </c>
      <c r="N2442" s="260" t="s">
        <v>514</v>
      </c>
    </row>
    <row r="2443" spans="1:14" ht="14.5" x14ac:dyDescent="0.35">
      <c r="A2443" s="260" t="s">
        <v>566</v>
      </c>
      <c r="B2443" s="190">
        <v>45740</v>
      </c>
      <c r="C2443" s="260" t="s">
        <v>749</v>
      </c>
      <c r="D2443" s="197">
        <v>0</v>
      </c>
      <c r="E2443" s="197">
        <v>0</v>
      </c>
      <c r="F2443" s="197">
        <v>103.9</v>
      </c>
      <c r="G2443" s="190">
        <v>45740</v>
      </c>
      <c r="H2443" s="196">
        <v>0</v>
      </c>
      <c r="I2443" s="197">
        <v>0</v>
      </c>
      <c r="J2443" s="197">
        <v>0</v>
      </c>
      <c r="K2443" s="197">
        <v>0</v>
      </c>
      <c r="L2443" s="197">
        <v>0</v>
      </c>
      <c r="M2443" s="260" t="s">
        <v>239</v>
      </c>
      <c r="N2443" s="260" t="s">
        <v>514</v>
      </c>
    </row>
    <row r="2444" spans="1:14" ht="14.5" x14ac:dyDescent="0.35">
      <c r="A2444" s="260" t="s">
        <v>566</v>
      </c>
      <c r="B2444" s="190">
        <v>45740</v>
      </c>
      <c r="C2444" s="260" t="s">
        <v>752</v>
      </c>
      <c r="D2444" s="197">
        <v>0</v>
      </c>
      <c r="E2444" s="197">
        <v>0</v>
      </c>
      <c r="F2444" s="197">
        <v>198.7</v>
      </c>
      <c r="G2444" s="190">
        <v>45740</v>
      </c>
      <c r="H2444" s="196">
        <v>0</v>
      </c>
      <c r="I2444" s="197">
        <v>0</v>
      </c>
      <c r="J2444" s="197">
        <v>0</v>
      </c>
      <c r="K2444" s="197">
        <v>0</v>
      </c>
      <c r="L2444" s="197">
        <v>0</v>
      </c>
      <c r="M2444" s="260" t="s">
        <v>239</v>
      </c>
      <c r="N2444" s="260" t="s">
        <v>514</v>
      </c>
    </row>
    <row r="2445" spans="1:14" ht="14.5" x14ac:dyDescent="0.35">
      <c r="A2445" s="260" t="s">
        <v>566</v>
      </c>
      <c r="B2445" s="190">
        <v>45740</v>
      </c>
      <c r="C2445" s="260" t="s">
        <v>754</v>
      </c>
      <c r="D2445" s="197">
        <v>0</v>
      </c>
      <c r="E2445" s="197">
        <v>0</v>
      </c>
      <c r="F2445" s="197">
        <v>75.7</v>
      </c>
      <c r="G2445" s="190">
        <v>45740</v>
      </c>
      <c r="H2445" s="196">
        <v>0</v>
      </c>
      <c r="I2445" s="197">
        <v>0</v>
      </c>
      <c r="J2445" s="197">
        <v>0</v>
      </c>
      <c r="K2445" s="197">
        <v>0</v>
      </c>
      <c r="L2445" s="197">
        <v>0</v>
      </c>
      <c r="M2445" s="260" t="s">
        <v>239</v>
      </c>
      <c r="N2445" s="260" t="s">
        <v>514</v>
      </c>
    </row>
    <row r="2446" spans="1:14" ht="14.5" x14ac:dyDescent="0.35">
      <c r="A2446" s="260" t="s">
        <v>566</v>
      </c>
      <c r="B2446" s="190">
        <v>45741</v>
      </c>
      <c r="C2446" s="260" t="s">
        <v>749</v>
      </c>
      <c r="D2446" s="197">
        <v>0</v>
      </c>
      <c r="E2446" s="197">
        <v>0</v>
      </c>
      <c r="F2446" s="197">
        <v>104.2</v>
      </c>
      <c r="G2446" s="190">
        <v>45741</v>
      </c>
      <c r="H2446" s="196">
        <v>0</v>
      </c>
      <c r="I2446" s="197">
        <v>0</v>
      </c>
      <c r="J2446" s="197">
        <v>0</v>
      </c>
      <c r="K2446" s="197">
        <v>0</v>
      </c>
      <c r="L2446" s="197">
        <v>0</v>
      </c>
      <c r="M2446" s="260" t="s">
        <v>239</v>
      </c>
      <c r="N2446" s="260" t="s">
        <v>514</v>
      </c>
    </row>
    <row r="2447" spans="1:14" ht="14.5" x14ac:dyDescent="0.35">
      <c r="A2447" s="260" t="s">
        <v>566</v>
      </c>
      <c r="B2447" s="190">
        <v>45741</v>
      </c>
      <c r="C2447" s="260" t="s">
        <v>752</v>
      </c>
      <c r="D2447" s="197">
        <v>0</v>
      </c>
      <c r="E2447" s="197">
        <v>0</v>
      </c>
      <c r="F2447" s="197">
        <v>198.6</v>
      </c>
      <c r="G2447" s="190">
        <v>45741</v>
      </c>
      <c r="H2447" s="196">
        <v>0</v>
      </c>
      <c r="I2447" s="197">
        <v>0</v>
      </c>
      <c r="J2447" s="197">
        <v>0</v>
      </c>
      <c r="K2447" s="197">
        <v>0</v>
      </c>
      <c r="L2447" s="197">
        <v>0</v>
      </c>
      <c r="M2447" s="260" t="s">
        <v>239</v>
      </c>
      <c r="N2447" s="260" t="s">
        <v>514</v>
      </c>
    </row>
    <row r="2448" spans="1:14" ht="14.5" x14ac:dyDescent="0.35">
      <c r="A2448" s="260" t="s">
        <v>566</v>
      </c>
      <c r="B2448" s="190">
        <v>45741</v>
      </c>
      <c r="C2448" s="260" t="s">
        <v>754</v>
      </c>
      <c r="D2448" s="197">
        <v>0</v>
      </c>
      <c r="E2448" s="197">
        <v>0</v>
      </c>
      <c r="F2448" s="197">
        <v>75.599999999999994</v>
      </c>
      <c r="G2448" s="190">
        <v>45741</v>
      </c>
      <c r="H2448" s="196">
        <v>0</v>
      </c>
      <c r="I2448" s="197">
        <v>0</v>
      </c>
      <c r="J2448" s="197">
        <v>0</v>
      </c>
      <c r="K2448" s="197">
        <v>0</v>
      </c>
      <c r="L2448" s="197">
        <v>0</v>
      </c>
      <c r="M2448" s="260" t="s">
        <v>239</v>
      </c>
      <c r="N2448" s="260" t="s">
        <v>514</v>
      </c>
    </row>
    <row r="2449" spans="1:14" ht="14.5" x14ac:dyDescent="0.35">
      <c r="A2449" s="260" t="s">
        <v>566</v>
      </c>
      <c r="B2449" s="190">
        <v>45742</v>
      </c>
      <c r="C2449" s="260" t="s">
        <v>749</v>
      </c>
      <c r="D2449" s="197">
        <v>0</v>
      </c>
      <c r="E2449" s="197">
        <v>0</v>
      </c>
      <c r="F2449" s="197">
        <v>104.5</v>
      </c>
      <c r="G2449" s="190">
        <v>45742</v>
      </c>
      <c r="H2449" s="196">
        <v>0</v>
      </c>
      <c r="I2449" s="197">
        <v>0</v>
      </c>
      <c r="J2449" s="197">
        <v>0</v>
      </c>
      <c r="K2449" s="197">
        <v>0</v>
      </c>
      <c r="L2449" s="197">
        <v>0</v>
      </c>
      <c r="M2449" s="260" t="s">
        <v>239</v>
      </c>
      <c r="N2449" s="260" t="s">
        <v>514</v>
      </c>
    </row>
    <row r="2450" spans="1:14" ht="14.5" x14ac:dyDescent="0.35">
      <c r="A2450" s="260" t="s">
        <v>566</v>
      </c>
      <c r="B2450" s="190">
        <v>45742</v>
      </c>
      <c r="C2450" s="260" t="s">
        <v>752</v>
      </c>
      <c r="D2450" s="197">
        <v>0</v>
      </c>
      <c r="E2450" s="197">
        <v>0</v>
      </c>
      <c r="F2450" s="197">
        <v>198.5</v>
      </c>
      <c r="G2450" s="190">
        <v>45742</v>
      </c>
      <c r="H2450" s="196">
        <v>0</v>
      </c>
      <c r="I2450" s="197">
        <v>0</v>
      </c>
      <c r="J2450" s="197">
        <v>0</v>
      </c>
      <c r="K2450" s="197">
        <v>0</v>
      </c>
      <c r="L2450" s="197">
        <v>0</v>
      </c>
      <c r="M2450" s="260" t="s">
        <v>239</v>
      </c>
      <c r="N2450" s="260" t="s">
        <v>514</v>
      </c>
    </row>
    <row r="2451" spans="1:14" ht="14.5" x14ac:dyDescent="0.35">
      <c r="A2451" s="260" t="s">
        <v>566</v>
      </c>
      <c r="B2451" s="190">
        <v>45742</v>
      </c>
      <c r="C2451" s="260" t="s">
        <v>754</v>
      </c>
      <c r="D2451" s="197">
        <v>0</v>
      </c>
      <c r="E2451" s="197">
        <v>0</v>
      </c>
      <c r="F2451" s="197">
        <v>75.5</v>
      </c>
      <c r="G2451" s="190">
        <v>45742</v>
      </c>
      <c r="H2451" s="196">
        <v>0</v>
      </c>
      <c r="I2451" s="197">
        <v>0</v>
      </c>
      <c r="J2451" s="197">
        <v>0</v>
      </c>
      <c r="K2451" s="197">
        <v>0</v>
      </c>
      <c r="L2451" s="197">
        <v>0</v>
      </c>
      <c r="M2451" s="260" t="s">
        <v>239</v>
      </c>
      <c r="N2451" s="260" t="s">
        <v>514</v>
      </c>
    </row>
    <row r="2452" spans="1:14" ht="14.5" x14ac:dyDescent="0.35">
      <c r="A2452" s="260" t="s">
        <v>566</v>
      </c>
      <c r="B2452" s="190">
        <v>45743</v>
      </c>
      <c r="C2452" s="260" t="s">
        <v>749</v>
      </c>
      <c r="D2452" s="197">
        <v>0</v>
      </c>
      <c r="E2452" s="197">
        <v>0</v>
      </c>
      <c r="F2452" s="197">
        <v>104.8</v>
      </c>
      <c r="G2452" s="190">
        <v>45743</v>
      </c>
      <c r="H2452" s="196">
        <v>0</v>
      </c>
      <c r="I2452" s="197">
        <v>0</v>
      </c>
      <c r="J2452" s="197">
        <v>0</v>
      </c>
      <c r="K2452" s="197">
        <v>0</v>
      </c>
      <c r="L2452" s="197">
        <v>0</v>
      </c>
      <c r="M2452" s="260" t="s">
        <v>239</v>
      </c>
      <c r="N2452" s="260" t="s">
        <v>514</v>
      </c>
    </row>
    <row r="2453" spans="1:14" ht="14.5" x14ac:dyDescent="0.35">
      <c r="A2453" s="260" t="s">
        <v>566</v>
      </c>
      <c r="B2453" s="190">
        <v>45743</v>
      </c>
      <c r="C2453" s="260" t="s">
        <v>752</v>
      </c>
      <c r="D2453" s="197">
        <v>0</v>
      </c>
      <c r="E2453" s="197">
        <v>0</v>
      </c>
      <c r="F2453" s="197">
        <v>198.4</v>
      </c>
      <c r="G2453" s="190">
        <v>45743</v>
      </c>
      <c r="H2453" s="196">
        <v>0</v>
      </c>
      <c r="I2453" s="197">
        <v>0</v>
      </c>
      <c r="J2453" s="197">
        <v>0</v>
      </c>
      <c r="K2453" s="197">
        <v>0</v>
      </c>
      <c r="L2453" s="197">
        <v>0</v>
      </c>
      <c r="M2453" s="260" t="s">
        <v>239</v>
      </c>
      <c r="N2453" s="260" t="s">
        <v>514</v>
      </c>
    </row>
    <row r="2454" spans="1:14" ht="14.5" x14ac:dyDescent="0.35">
      <c r="A2454" s="260" t="s">
        <v>566</v>
      </c>
      <c r="B2454" s="190">
        <v>45743</v>
      </c>
      <c r="C2454" s="260" t="s">
        <v>754</v>
      </c>
      <c r="D2454" s="197">
        <v>0</v>
      </c>
      <c r="E2454" s="197">
        <v>0</v>
      </c>
      <c r="F2454" s="197">
        <v>75.400000000000006</v>
      </c>
      <c r="G2454" s="190">
        <v>45743</v>
      </c>
      <c r="H2454" s="196">
        <v>0</v>
      </c>
      <c r="I2454" s="197">
        <v>0</v>
      </c>
      <c r="J2454" s="197">
        <v>0</v>
      </c>
      <c r="K2454" s="197">
        <v>0</v>
      </c>
      <c r="L2454" s="197">
        <v>0</v>
      </c>
      <c r="M2454" s="260" t="s">
        <v>239</v>
      </c>
      <c r="N2454" s="260" t="s">
        <v>514</v>
      </c>
    </row>
    <row r="2455" spans="1:14" ht="14.5" x14ac:dyDescent="0.35">
      <c r="A2455" s="260" t="s">
        <v>566</v>
      </c>
      <c r="B2455" s="190">
        <v>45744</v>
      </c>
      <c r="C2455" s="260" t="s">
        <v>749</v>
      </c>
      <c r="D2455" s="197">
        <v>0</v>
      </c>
      <c r="E2455" s="197">
        <v>0</v>
      </c>
      <c r="F2455" s="197">
        <v>105.1</v>
      </c>
      <c r="G2455" s="190">
        <v>45744</v>
      </c>
      <c r="H2455" s="196">
        <v>0</v>
      </c>
      <c r="I2455" s="197">
        <v>0</v>
      </c>
      <c r="J2455" s="197">
        <v>0</v>
      </c>
      <c r="K2455" s="197">
        <v>0</v>
      </c>
      <c r="L2455" s="197">
        <v>0</v>
      </c>
      <c r="M2455" s="260" t="s">
        <v>239</v>
      </c>
      <c r="N2455" s="260" t="s">
        <v>514</v>
      </c>
    </row>
    <row r="2456" spans="1:14" ht="14.5" x14ac:dyDescent="0.35">
      <c r="A2456" s="260" t="s">
        <v>566</v>
      </c>
      <c r="B2456" s="190">
        <v>45744</v>
      </c>
      <c r="C2456" s="260" t="s">
        <v>752</v>
      </c>
      <c r="D2456" s="197">
        <v>0</v>
      </c>
      <c r="E2456" s="197">
        <v>0</v>
      </c>
      <c r="F2456" s="197">
        <v>198.3</v>
      </c>
      <c r="G2456" s="190">
        <v>45744</v>
      </c>
      <c r="H2456" s="196">
        <v>0</v>
      </c>
      <c r="I2456" s="197">
        <v>0</v>
      </c>
      <c r="J2456" s="197">
        <v>0</v>
      </c>
      <c r="K2456" s="197">
        <v>0</v>
      </c>
      <c r="L2456" s="197">
        <v>0</v>
      </c>
      <c r="M2456" s="260" t="s">
        <v>239</v>
      </c>
      <c r="N2456" s="260" t="s">
        <v>514</v>
      </c>
    </row>
    <row r="2457" spans="1:14" ht="14.5" x14ac:dyDescent="0.35">
      <c r="A2457" s="260" t="s">
        <v>566</v>
      </c>
      <c r="B2457" s="190">
        <v>45744</v>
      </c>
      <c r="C2457" s="260" t="s">
        <v>754</v>
      </c>
      <c r="D2457" s="197">
        <v>0</v>
      </c>
      <c r="E2457" s="197">
        <v>0</v>
      </c>
      <c r="F2457" s="197">
        <v>75.3</v>
      </c>
      <c r="G2457" s="190">
        <v>45744</v>
      </c>
      <c r="H2457" s="196">
        <v>0</v>
      </c>
      <c r="I2457" s="197">
        <v>0</v>
      </c>
      <c r="J2457" s="197">
        <v>0</v>
      </c>
      <c r="K2457" s="197">
        <v>0</v>
      </c>
      <c r="L2457" s="197">
        <v>0</v>
      </c>
      <c r="M2457" s="260" t="s">
        <v>239</v>
      </c>
      <c r="N2457" s="260" t="s">
        <v>514</v>
      </c>
    </row>
    <row r="2458" spans="1:14" ht="14.5" x14ac:dyDescent="0.35">
      <c r="A2458" s="260" t="s">
        <v>566</v>
      </c>
      <c r="B2458" s="190">
        <v>45745</v>
      </c>
      <c r="C2458" s="260" t="s">
        <v>749</v>
      </c>
      <c r="D2458" s="197">
        <v>0</v>
      </c>
      <c r="E2458" s="197">
        <v>0</v>
      </c>
      <c r="F2458" s="197">
        <v>105.1</v>
      </c>
      <c r="G2458" s="190">
        <v>45744</v>
      </c>
      <c r="H2458" s="196">
        <v>1</v>
      </c>
      <c r="I2458" s="197">
        <v>0</v>
      </c>
      <c r="J2458" s="197">
        <v>0</v>
      </c>
      <c r="K2458" s="197">
        <v>0</v>
      </c>
      <c r="L2458" s="197">
        <v>0</v>
      </c>
      <c r="M2458" s="260" t="s">
        <v>239</v>
      </c>
      <c r="N2458" s="260" t="s">
        <v>514</v>
      </c>
    </row>
    <row r="2459" spans="1:14" ht="14.5" x14ac:dyDescent="0.35">
      <c r="A2459" s="260" t="s">
        <v>566</v>
      </c>
      <c r="B2459" s="190">
        <v>45745</v>
      </c>
      <c r="C2459" s="260" t="s">
        <v>752</v>
      </c>
      <c r="D2459" s="197">
        <v>0</v>
      </c>
      <c r="E2459" s="197">
        <v>0</v>
      </c>
      <c r="F2459" s="197">
        <v>198.3</v>
      </c>
      <c r="G2459" s="190">
        <v>45744</v>
      </c>
      <c r="H2459" s="196">
        <v>1</v>
      </c>
      <c r="I2459" s="197">
        <v>0</v>
      </c>
      <c r="J2459" s="197">
        <v>0</v>
      </c>
      <c r="K2459" s="197">
        <v>0</v>
      </c>
      <c r="L2459" s="197">
        <v>0</v>
      </c>
      <c r="M2459" s="260" t="s">
        <v>239</v>
      </c>
      <c r="N2459" s="260" t="s">
        <v>514</v>
      </c>
    </row>
    <row r="2460" spans="1:14" ht="14.5" x14ac:dyDescent="0.35">
      <c r="A2460" s="260" t="s">
        <v>566</v>
      </c>
      <c r="B2460" s="190">
        <v>45745</v>
      </c>
      <c r="C2460" s="260" t="s">
        <v>754</v>
      </c>
      <c r="D2460" s="197">
        <v>0</v>
      </c>
      <c r="E2460" s="197">
        <v>0</v>
      </c>
      <c r="F2460" s="197">
        <v>75.3</v>
      </c>
      <c r="G2460" s="190">
        <v>45744</v>
      </c>
      <c r="H2460" s="196">
        <v>1</v>
      </c>
      <c r="I2460" s="197">
        <v>0</v>
      </c>
      <c r="J2460" s="197">
        <v>0</v>
      </c>
      <c r="K2460" s="197">
        <v>0</v>
      </c>
      <c r="L2460" s="197">
        <v>0</v>
      </c>
      <c r="M2460" s="260" t="s">
        <v>239</v>
      </c>
      <c r="N2460" s="260" t="s">
        <v>514</v>
      </c>
    </row>
    <row r="2461" spans="1:14" ht="14.5" x14ac:dyDescent="0.35">
      <c r="A2461" s="260" t="s">
        <v>566</v>
      </c>
      <c r="B2461" s="190">
        <v>45746</v>
      </c>
      <c r="C2461" s="260" t="s">
        <v>749</v>
      </c>
      <c r="D2461" s="197">
        <v>0</v>
      </c>
      <c r="E2461" s="197">
        <v>0</v>
      </c>
      <c r="F2461" s="197">
        <v>105.1</v>
      </c>
      <c r="G2461" s="190">
        <v>45744</v>
      </c>
      <c r="H2461" s="196">
        <v>2</v>
      </c>
      <c r="I2461" s="197">
        <v>0</v>
      </c>
      <c r="J2461" s="197">
        <v>0</v>
      </c>
      <c r="K2461" s="197">
        <v>0</v>
      </c>
      <c r="L2461" s="197">
        <v>0</v>
      </c>
      <c r="M2461" s="260" t="s">
        <v>239</v>
      </c>
      <c r="N2461" s="260" t="s">
        <v>514</v>
      </c>
    </row>
    <row r="2462" spans="1:14" ht="14.5" x14ac:dyDescent="0.35">
      <c r="A2462" s="260" t="s">
        <v>566</v>
      </c>
      <c r="B2462" s="190">
        <v>45746</v>
      </c>
      <c r="C2462" s="260" t="s">
        <v>752</v>
      </c>
      <c r="D2462" s="197">
        <v>0</v>
      </c>
      <c r="E2462" s="197">
        <v>0</v>
      </c>
      <c r="F2462" s="197">
        <v>198.3</v>
      </c>
      <c r="G2462" s="190">
        <v>45744</v>
      </c>
      <c r="H2462" s="196">
        <v>2</v>
      </c>
      <c r="I2462" s="197">
        <v>0</v>
      </c>
      <c r="J2462" s="197">
        <v>0</v>
      </c>
      <c r="K2462" s="197">
        <v>0</v>
      </c>
      <c r="L2462" s="197">
        <v>0</v>
      </c>
      <c r="M2462" s="260" t="s">
        <v>239</v>
      </c>
      <c r="N2462" s="260" t="s">
        <v>514</v>
      </c>
    </row>
    <row r="2463" spans="1:14" ht="14.5" x14ac:dyDescent="0.35">
      <c r="A2463" s="260" t="s">
        <v>566</v>
      </c>
      <c r="B2463" s="190">
        <v>45746</v>
      </c>
      <c r="C2463" s="260" t="s">
        <v>754</v>
      </c>
      <c r="D2463" s="197">
        <v>0</v>
      </c>
      <c r="E2463" s="197">
        <v>0</v>
      </c>
      <c r="F2463" s="197">
        <v>75.3</v>
      </c>
      <c r="G2463" s="190">
        <v>45744</v>
      </c>
      <c r="H2463" s="196">
        <v>2</v>
      </c>
      <c r="I2463" s="197">
        <v>0</v>
      </c>
      <c r="J2463" s="197">
        <v>0</v>
      </c>
      <c r="K2463" s="197">
        <v>0</v>
      </c>
      <c r="L2463" s="197">
        <v>0</v>
      </c>
      <c r="M2463" s="260" t="s">
        <v>239</v>
      </c>
      <c r="N2463" s="260" t="s">
        <v>514</v>
      </c>
    </row>
    <row r="2464" spans="1:14" ht="14.5" x14ac:dyDescent="0.35">
      <c r="A2464" s="260" t="s">
        <v>566</v>
      </c>
      <c r="B2464" s="190">
        <v>45747</v>
      </c>
      <c r="C2464" s="260" t="s">
        <v>749</v>
      </c>
      <c r="D2464" s="197">
        <v>0</v>
      </c>
      <c r="E2464" s="197">
        <v>0</v>
      </c>
      <c r="F2464" s="197">
        <v>106</v>
      </c>
      <c r="G2464" s="190">
        <v>45747</v>
      </c>
      <c r="H2464" s="196">
        <v>0</v>
      </c>
      <c r="I2464" s="197">
        <v>0</v>
      </c>
      <c r="J2464" s="197">
        <v>0</v>
      </c>
      <c r="K2464" s="197">
        <v>0</v>
      </c>
      <c r="L2464" s="197">
        <v>0</v>
      </c>
      <c r="M2464" s="260" t="s">
        <v>239</v>
      </c>
      <c r="N2464" s="260" t="s">
        <v>514</v>
      </c>
    </row>
    <row r="2465" spans="1:14" ht="14.5" x14ac:dyDescent="0.35">
      <c r="A2465" s="260" t="s">
        <v>566</v>
      </c>
      <c r="B2465" s="190">
        <v>45747</v>
      </c>
      <c r="C2465" s="260" t="s">
        <v>752</v>
      </c>
      <c r="D2465" s="197">
        <v>0</v>
      </c>
      <c r="E2465" s="197">
        <v>0</v>
      </c>
      <c r="F2465" s="197">
        <v>198</v>
      </c>
      <c r="G2465" s="190">
        <v>45747</v>
      </c>
      <c r="H2465" s="196">
        <v>0</v>
      </c>
      <c r="I2465" s="197">
        <v>0</v>
      </c>
      <c r="J2465" s="197">
        <v>0</v>
      </c>
      <c r="K2465" s="197">
        <v>0</v>
      </c>
      <c r="L2465" s="197">
        <v>0</v>
      </c>
      <c r="M2465" s="260" t="s">
        <v>239</v>
      </c>
      <c r="N2465" s="260" t="s">
        <v>514</v>
      </c>
    </row>
    <row r="2466" spans="1:14" ht="14.5" x14ac:dyDescent="0.35">
      <c r="A2466" s="260" t="s">
        <v>566</v>
      </c>
      <c r="B2466" s="190">
        <v>45747</v>
      </c>
      <c r="C2466" s="260" t="s">
        <v>754</v>
      </c>
      <c r="D2466" s="197">
        <v>0</v>
      </c>
      <c r="E2466" s="197">
        <v>0</v>
      </c>
      <c r="F2466" s="197">
        <v>75</v>
      </c>
      <c r="G2466" s="190">
        <v>45747</v>
      </c>
      <c r="H2466" s="196">
        <v>0</v>
      </c>
      <c r="I2466" s="197">
        <v>0</v>
      </c>
      <c r="J2466" s="197">
        <v>0</v>
      </c>
      <c r="K2466" s="197">
        <v>0</v>
      </c>
      <c r="L2466" s="197">
        <v>0</v>
      </c>
      <c r="M2466" s="260" t="s">
        <v>239</v>
      </c>
      <c r="N2466" s="260" t="s">
        <v>514</v>
      </c>
    </row>
    <row r="2467" spans="1:14" ht="14.5" x14ac:dyDescent="0.35">
      <c r="A2467" s="260" t="s">
        <v>566</v>
      </c>
      <c r="B2467" s="190">
        <v>45748</v>
      </c>
      <c r="C2467" s="260" t="s">
        <v>749</v>
      </c>
      <c r="D2467" s="197">
        <v>0</v>
      </c>
      <c r="E2467" s="197">
        <v>0</v>
      </c>
      <c r="F2467" s="197">
        <v>106</v>
      </c>
      <c r="G2467" s="190">
        <v>45748</v>
      </c>
      <c r="H2467" s="196">
        <v>0</v>
      </c>
      <c r="I2467" s="197">
        <v>0</v>
      </c>
      <c r="J2467" s="197">
        <v>0</v>
      </c>
      <c r="K2467" s="197">
        <v>0</v>
      </c>
      <c r="L2467" s="197">
        <v>0</v>
      </c>
      <c r="M2467" s="260" t="s">
        <v>239</v>
      </c>
      <c r="N2467" s="260" t="s">
        <v>514</v>
      </c>
    </row>
    <row r="2468" spans="1:14" ht="14.5" x14ac:dyDescent="0.35">
      <c r="A2468" s="260" t="s">
        <v>566</v>
      </c>
      <c r="B2468" s="190">
        <v>45748</v>
      </c>
      <c r="C2468" s="260" t="s">
        <v>752</v>
      </c>
      <c r="D2468" s="197">
        <v>0</v>
      </c>
      <c r="E2468" s="197">
        <v>0</v>
      </c>
      <c r="F2468" s="197">
        <v>198</v>
      </c>
      <c r="G2468" s="190">
        <v>45748</v>
      </c>
      <c r="H2468" s="196">
        <v>0</v>
      </c>
      <c r="I2468" s="197">
        <v>0</v>
      </c>
      <c r="J2468" s="197">
        <v>0</v>
      </c>
      <c r="K2468" s="197">
        <v>0</v>
      </c>
      <c r="L2468" s="197">
        <v>0</v>
      </c>
      <c r="M2468" s="260" t="s">
        <v>239</v>
      </c>
      <c r="N2468" s="260" t="s">
        <v>514</v>
      </c>
    </row>
    <row r="2469" spans="1:14" ht="14.5" x14ac:dyDescent="0.35">
      <c r="A2469" s="260" t="s">
        <v>566</v>
      </c>
      <c r="B2469" s="190">
        <v>45748</v>
      </c>
      <c r="C2469" s="260" t="s">
        <v>754</v>
      </c>
      <c r="D2469" s="197">
        <v>0</v>
      </c>
      <c r="E2469" s="197">
        <v>0</v>
      </c>
      <c r="F2469" s="197">
        <v>75</v>
      </c>
      <c r="G2469" s="190">
        <v>45748</v>
      </c>
      <c r="H2469" s="196">
        <v>0</v>
      </c>
      <c r="I2469" s="197">
        <v>0</v>
      </c>
      <c r="J2469" s="197">
        <v>0</v>
      </c>
      <c r="K2469" s="197">
        <v>0</v>
      </c>
      <c r="L2469" s="197">
        <v>0</v>
      </c>
      <c r="M2469" s="260" t="s">
        <v>239</v>
      </c>
      <c r="N2469" s="260" t="s">
        <v>514</v>
      </c>
    </row>
    <row r="2470" spans="1:14" ht="14.5" x14ac:dyDescent="0.35">
      <c r="A2470" s="260" t="s">
        <v>566</v>
      </c>
      <c r="B2470" s="190">
        <v>45749</v>
      </c>
      <c r="C2470" s="260" t="s">
        <v>749</v>
      </c>
      <c r="D2470" s="197">
        <v>0</v>
      </c>
      <c r="E2470" s="197">
        <v>0</v>
      </c>
      <c r="F2470" s="197">
        <v>105.83</v>
      </c>
      <c r="G2470" s="190">
        <v>45749</v>
      </c>
      <c r="H2470" s="196">
        <v>0</v>
      </c>
      <c r="I2470" s="197">
        <v>0</v>
      </c>
      <c r="J2470" s="197">
        <v>0</v>
      </c>
      <c r="K2470" s="197">
        <v>0</v>
      </c>
      <c r="L2470" s="197">
        <v>0</v>
      </c>
      <c r="M2470" s="260" t="s">
        <v>239</v>
      </c>
      <c r="N2470" s="260" t="s">
        <v>514</v>
      </c>
    </row>
    <row r="2471" spans="1:14" ht="14.5" x14ac:dyDescent="0.35">
      <c r="A2471" s="260" t="s">
        <v>566</v>
      </c>
      <c r="B2471" s="190">
        <v>45749</v>
      </c>
      <c r="C2471" s="260" t="s">
        <v>752</v>
      </c>
      <c r="D2471" s="197">
        <v>0</v>
      </c>
      <c r="E2471" s="197">
        <v>0</v>
      </c>
      <c r="F2471" s="197">
        <v>197.62</v>
      </c>
      <c r="G2471" s="190">
        <v>45749</v>
      </c>
      <c r="H2471" s="196">
        <v>0</v>
      </c>
      <c r="I2471" s="197">
        <v>0</v>
      </c>
      <c r="J2471" s="197">
        <v>0</v>
      </c>
      <c r="K2471" s="197">
        <v>0</v>
      </c>
      <c r="L2471" s="197">
        <v>0</v>
      </c>
      <c r="M2471" s="260" t="s">
        <v>239</v>
      </c>
      <c r="N2471" s="260" t="s">
        <v>514</v>
      </c>
    </row>
    <row r="2472" spans="1:14" ht="14.5" x14ac:dyDescent="0.35">
      <c r="A2472" s="260" t="s">
        <v>566</v>
      </c>
      <c r="B2472" s="190">
        <v>45749</v>
      </c>
      <c r="C2472" s="260" t="s">
        <v>754</v>
      </c>
      <c r="D2472" s="197">
        <v>0</v>
      </c>
      <c r="E2472" s="197">
        <v>0</v>
      </c>
      <c r="F2472" s="197">
        <v>75.14</v>
      </c>
      <c r="G2472" s="190">
        <v>45749</v>
      </c>
      <c r="H2472" s="196">
        <v>0</v>
      </c>
      <c r="I2472" s="197">
        <v>0</v>
      </c>
      <c r="J2472" s="197">
        <v>0</v>
      </c>
      <c r="K2472" s="197">
        <v>0</v>
      </c>
      <c r="L2472" s="197">
        <v>0</v>
      </c>
      <c r="M2472" s="260" t="s">
        <v>239</v>
      </c>
      <c r="N2472" s="260" t="s">
        <v>514</v>
      </c>
    </row>
    <row r="2473" spans="1:14" ht="14.5" x14ac:dyDescent="0.35">
      <c r="A2473" s="260" t="s">
        <v>566</v>
      </c>
      <c r="B2473" s="190">
        <v>45750</v>
      </c>
      <c r="C2473" s="260" t="s">
        <v>749</v>
      </c>
      <c r="D2473" s="197">
        <v>0</v>
      </c>
      <c r="E2473" s="197">
        <v>0</v>
      </c>
      <c r="F2473" s="197">
        <v>105.66</v>
      </c>
      <c r="G2473" s="190">
        <v>45750</v>
      </c>
      <c r="H2473" s="196">
        <v>0</v>
      </c>
      <c r="I2473" s="197">
        <v>0</v>
      </c>
      <c r="J2473" s="197">
        <v>0</v>
      </c>
      <c r="K2473" s="197">
        <v>0</v>
      </c>
      <c r="L2473" s="197">
        <v>0</v>
      </c>
      <c r="M2473" s="260" t="s">
        <v>239</v>
      </c>
      <c r="N2473" s="260" t="s">
        <v>514</v>
      </c>
    </row>
    <row r="2474" spans="1:14" ht="14.5" x14ac:dyDescent="0.35">
      <c r="A2474" s="260" t="s">
        <v>566</v>
      </c>
      <c r="B2474" s="190">
        <v>45750</v>
      </c>
      <c r="C2474" s="260" t="s">
        <v>752</v>
      </c>
      <c r="D2474" s="197">
        <v>0</v>
      </c>
      <c r="E2474" s="197">
        <v>0</v>
      </c>
      <c r="F2474" s="197">
        <v>197.24</v>
      </c>
      <c r="G2474" s="190">
        <v>45750</v>
      </c>
      <c r="H2474" s="196">
        <v>0</v>
      </c>
      <c r="I2474" s="197">
        <v>0</v>
      </c>
      <c r="J2474" s="197">
        <v>0</v>
      </c>
      <c r="K2474" s="197">
        <v>0</v>
      </c>
      <c r="L2474" s="197">
        <v>0</v>
      </c>
      <c r="M2474" s="260" t="s">
        <v>239</v>
      </c>
      <c r="N2474" s="260" t="s">
        <v>514</v>
      </c>
    </row>
    <row r="2475" spans="1:14" ht="14.5" x14ac:dyDescent="0.35">
      <c r="A2475" s="260" t="s">
        <v>566</v>
      </c>
      <c r="B2475" s="190">
        <v>45750</v>
      </c>
      <c r="C2475" s="260" t="s">
        <v>754</v>
      </c>
      <c r="D2475" s="197">
        <v>0</v>
      </c>
      <c r="E2475" s="197">
        <v>0</v>
      </c>
      <c r="F2475" s="197">
        <v>75.28</v>
      </c>
      <c r="G2475" s="190">
        <v>45750</v>
      </c>
      <c r="H2475" s="196">
        <v>0</v>
      </c>
      <c r="I2475" s="197">
        <v>0</v>
      </c>
      <c r="J2475" s="197">
        <v>0</v>
      </c>
      <c r="K2475" s="197">
        <v>0</v>
      </c>
      <c r="L2475" s="197">
        <v>0</v>
      </c>
      <c r="M2475" s="260" t="s">
        <v>239</v>
      </c>
      <c r="N2475" s="260" t="s">
        <v>514</v>
      </c>
    </row>
    <row r="2476" spans="1:14" ht="14.5" x14ac:dyDescent="0.35">
      <c r="A2476" s="260" t="s">
        <v>566</v>
      </c>
      <c r="B2476" s="190">
        <v>45751</v>
      </c>
      <c r="C2476" s="260" t="s">
        <v>749</v>
      </c>
      <c r="D2476" s="197">
        <v>0</v>
      </c>
      <c r="E2476" s="197">
        <v>0</v>
      </c>
      <c r="F2476" s="197">
        <v>105.48</v>
      </c>
      <c r="G2476" s="190">
        <v>45751</v>
      </c>
      <c r="H2476" s="196">
        <v>0</v>
      </c>
      <c r="I2476" s="197">
        <v>0</v>
      </c>
      <c r="J2476" s="197">
        <v>0</v>
      </c>
      <c r="K2476" s="197">
        <v>0</v>
      </c>
      <c r="L2476" s="197">
        <v>0</v>
      </c>
      <c r="M2476" s="260" t="s">
        <v>239</v>
      </c>
      <c r="N2476" s="260" t="s">
        <v>514</v>
      </c>
    </row>
    <row r="2477" spans="1:14" ht="14.5" x14ac:dyDescent="0.35">
      <c r="A2477" s="260" t="s">
        <v>566</v>
      </c>
      <c r="B2477" s="190">
        <v>45751</v>
      </c>
      <c r="C2477" s="260" t="s">
        <v>752</v>
      </c>
      <c r="D2477" s="197">
        <v>0</v>
      </c>
      <c r="E2477" s="197">
        <v>0</v>
      </c>
      <c r="F2477" s="197">
        <v>196.86</v>
      </c>
      <c r="G2477" s="190">
        <v>45751</v>
      </c>
      <c r="H2477" s="196">
        <v>0</v>
      </c>
      <c r="I2477" s="197">
        <v>0</v>
      </c>
      <c r="J2477" s="197">
        <v>0</v>
      </c>
      <c r="K2477" s="197">
        <v>0</v>
      </c>
      <c r="L2477" s="197">
        <v>0</v>
      </c>
      <c r="M2477" s="260" t="s">
        <v>239</v>
      </c>
      <c r="N2477" s="260" t="s">
        <v>514</v>
      </c>
    </row>
    <row r="2478" spans="1:14" ht="14.5" x14ac:dyDescent="0.35">
      <c r="A2478" s="260" t="s">
        <v>566</v>
      </c>
      <c r="B2478" s="190">
        <v>45751</v>
      </c>
      <c r="C2478" s="260" t="s">
        <v>754</v>
      </c>
      <c r="D2478" s="197">
        <v>0</v>
      </c>
      <c r="E2478" s="197">
        <v>0</v>
      </c>
      <c r="F2478" s="197">
        <v>75.41</v>
      </c>
      <c r="G2478" s="190">
        <v>45751</v>
      </c>
      <c r="H2478" s="196">
        <v>0</v>
      </c>
      <c r="I2478" s="197">
        <v>0</v>
      </c>
      <c r="J2478" s="197">
        <v>0</v>
      </c>
      <c r="K2478" s="197">
        <v>0</v>
      </c>
      <c r="L2478" s="197">
        <v>0</v>
      </c>
      <c r="M2478" s="260" t="s">
        <v>239</v>
      </c>
      <c r="N2478" s="260" t="s">
        <v>514</v>
      </c>
    </row>
    <row r="2479" spans="1:14" ht="14.5" x14ac:dyDescent="0.35">
      <c r="A2479" s="260" t="s">
        <v>566</v>
      </c>
      <c r="B2479" s="190">
        <v>45752</v>
      </c>
      <c r="C2479" s="260" t="s">
        <v>749</v>
      </c>
      <c r="D2479" s="197">
        <v>0</v>
      </c>
      <c r="E2479" s="197">
        <v>0</v>
      </c>
      <c r="F2479" s="197">
        <v>105.48</v>
      </c>
      <c r="G2479" s="190">
        <v>45751</v>
      </c>
      <c r="H2479" s="196">
        <v>1</v>
      </c>
      <c r="I2479" s="197">
        <v>0</v>
      </c>
      <c r="J2479" s="197">
        <v>0</v>
      </c>
      <c r="K2479" s="197">
        <v>0</v>
      </c>
      <c r="L2479" s="197">
        <v>0</v>
      </c>
      <c r="M2479" s="260" t="s">
        <v>239</v>
      </c>
      <c r="N2479" s="260" t="s">
        <v>514</v>
      </c>
    </row>
    <row r="2480" spans="1:14" ht="14.5" x14ac:dyDescent="0.35">
      <c r="A2480" s="260" t="s">
        <v>566</v>
      </c>
      <c r="B2480" s="190">
        <v>45752</v>
      </c>
      <c r="C2480" s="260" t="s">
        <v>752</v>
      </c>
      <c r="D2480" s="197">
        <v>0</v>
      </c>
      <c r="E2480" s="197">
        <v>0</v>
      </c>
      <c r="F2480" s="197">
        <v>196.86</v>
      </c>
      <c r="G2480" s="190">
        <v>45751</v>
      </c>
      <c r="H2480" s="196">
        <v>1</v>
      </c>
      <c r="I2480" s="197">
        <v>0</v>
      </c>
      <c r="J2480" s="197">
        <v>0</v>
      </c>
      <c r="K2480" s="197">
        <v>0</v>
      </c>
      <c r="L2480" s="197">
        <v>0</v>
      </c>
      <c r="M2480" s="260" t="s">
        <v>239</v>
      </c>
      <c r="N2480" s="260" t="s">
        <v>514</v>
      </c>
    </row>
    <row r="2481" spans="1:14" ht="14.5" x14ac:dyDescent="0.35">
      <c r="A2481" s="260" t="s">
        <v>566</v>
      </c>
      <c r="B2481" s="190">
        <v>45752</v>
      </c>
      <c r="C2481" s="260" t="s">
        <v>754</v>
      </c>
      <c r="D2481" s="197">
        <v>0</v>
      </c>
      <c r="E2481" s="197">
        <v>0</v>
      </c>
      <c r="F2481" s="197">
        <v>75.41</v>
      </c>
      <c r="G2481" s="190">
        <v>45751</v>
      </c>
      <c r="H2481" s="196">
        <v>1</v>
      </c>
      <c r="I2481" s="197">
        <v>0</v>
      </c>
      <c r="J2481" s="197">
        <v>0</v>
      </c>
      <c r="K2481" s="197">
        <v>0</v>
      </c>
      <c r="L2481" s="197">
        <v>0</v>
      </c>
      <c r="M2481" s="260" t="s">
        <v>239</v>
      </c>
      <c r="N2481" s="260" t="s">
        <v>514</v>
      </c>
    </row>
    <row r="2482" spans="1:14" ht="14.5" x14ac:dyDescent="0.35">
      <c r="A2482" s="260" t="s">
        <v>566</v>
      </c>
      <c r="B2482" s="190">
        <v>45753</v>
      </c>
      <c r="C2482" s="260" t="s">
        <v>749</v>
      </c>
      <c r="D2482" s="197">
        <v>0</v>
      </c>
      <c r="E2482" s="197">
        <v>0</v>
      </c>
      <c r="F2482" s="197">
        <v>105.48</v>
      </c>
      <c r="G2482" s="190">
        <v>45751</v>
      </c>
      <c r="H2482" s="196">
        <v>2</v>
      </c>
      <c r="I2482" s="197">
        <v>0</v>
      </c>
      <c r="J2482" s="197">
        <v>0</v>
      </c>
      <c r="K2482" s="197">
        <v>0</v>
      </c>
      <c r="L2482" s="197">
        <v>0</v>
      </c>
      <c r="M2482" s="260" t="s">
        <v>239</v>
      </c>
      <c r="N2482" s="260" t="s">
        <v>514</v>
      </c>
    </row>
    <row r="2483" spans="1:14" ht="14.5" x14ac:dyDescent="0.35">
      <c r="A2483" s="260" t="s">
        <v>566</v>
      </c>
      <c r="B2483" s="190">
        <v>45753</v>
      </c>
      <c r="C2483" s="260" t="s">
        <v>752</v>
      </c>
      <c r="D2483" s="197">
        <v>0</v>
      </c>
      <c r="E2483" s="197">
        <v>0</v>
      </c>
      <c r="F2483" s="197">
        <v>196.86</v>
      </c>
      <c r="G2483" s="190">
        <v>45751</v>
      </c>
      <c r="H2483" s="196">
        <v>2</v>
      </c>
      <c r="I2483" s="197">
        <v>0</v>
      </c>
      <c r="J2483" s="197">
        <v>0</v>
      </c>
      <c r="K2483" s="197">
        <v>0</v>
      </c>
      <c r="L2483" s="197">
        <v>0</v>
      </c>
      <c r="M2483" s="260" t="s">
        <v>239</v>
      </c>
      <c r="N2483" s="260" t="s">
        <v>514</v>
      </c>
    </row>
    <row r="2484" spans="1:14" ht="14.5" x14ac:dyDescent="0.35">
      <c r="A2484" s="260" t="s">
        <v>566</v>
      </c>
      <c r="B2484" s="190">
        <v>45753</v>
      </c>
      <c r="C2484" s="260" t="s">
        <v>754</v>
      </c>
      <c r="D2484" s="197">
        <v>0</v>
      </c>
      <c r="E2484" s="197">
        <v>0</v>
      </c>
      <c r="F2484" s="197">
        <v>75.41</v>
      </c>
      <c r="G2484" s="190">
        <v>45751</v>
      </c>
      <c r="H2484" s="196">
        <v>2</v>
      </c>
      <c r="I2484" s="197">
        <v>0</v>
      </c>
      <c r="J2484" s="197">
        <v>0</v>
      </c>
      <c r="K2484" s="197">
        <v>0</v>
      </c>
      <c r="L2484" s="197">
        <v>0</v>
      </c>
      <c r="M2484" s="260" t="s">
        <v>239</v>
      </c>
      <c r="N2484" s="260" t="s">
        <v>514</v>
      </c>
    </row>
    <row r="2485" spans="1:14" ht="14.5" x14ac:dyDescent="0.35">
      <c r="A2485" s="260" t="s">
        <v>566</v>
      </c>
      <c r="B2485" s="190">
        <v>45754</v>
      </c>
      <c r="C2485" s="260" t="s">
        <v>749</v>
      </c>
      <c r="D2485" s="197">
        <v>0</v>
      </c>
      <c r="E2485" s="197">
        <v>0</v>
      </c>
      <c r="F2485" s="197">
        <v>104.97</v>
      </c>
      <c r="G2485" s="190">
        <v>45754</v>
      </c>
      <c r="H2485" s="196">
        <v>0</v>
      </c>
      <c r="I2485" s="197">
        <v>0</v>
      </c>
      <c r="J2485" s="197">
        <v>0</v>
      </c>
      <c r="K2485" s="197">
        <v>0</v>
      </c>
      <c r="L2485" s="197">
        <v>0</v>
      </c>
      <c r="M2485" s="260" t="s">
        <v>239</v>
      </c>
      <c r="N2485" s="260" t="s">
        <v>514</v>
      </c>
    </row>
    <row r="2486" spans="1:14" ht="14.5" x14ac:dyDescent="0.35">
      <c r="A2486" s="260" t="s">
        <v>566</v>
      </c>
      <c r="B2486" s="190">
        <v>45754</v>
      </c>
      <c r="C2486" s="260" t="s">
        <v>752</v>
      </c>
      <c r="D2486" s="197">
        <v>0</v>
      </c>
      <c r="E2486" s="197">
        <v>0</v>
      </c>
      <c r="F2486" s="197">
        <v>195.72</v>
      </c>
      <c r="G2486" s="190">
        <v>45754</v>
      </c>
      <c r="H2486" s="196">
        <v>0</v>
      </c>
      <c r="I2486" s="197">
        <v>0</v>
      </c>
      <c r="J2486" s="197">
        <v>0</v>
      </c>
      <c r="K2486" s="197">
        <v>0</v>
      </c>
      <c r="L2486" s="197">
        <v>0</v>
      </c>
      <c r="M2486" s="260" t="s">
        <v>239</v>
      </c>
      <c r="N2486" s="260" t="s">
        <v>514</v>
      </c>
    </row>
    <row r="2487" spans="1:14" ht="14.5" x14ac:dyDescent="0.35">
      <c r="A2487" s="260" t="s">
        <v>566</v>
      </c>
      <c r="B2487" s="190">
        <v>45754</v>
      </c>
      <c r="C2487" s="260" t="s">
        <v>754</v>
      </c>
      <c r="D2487" s="197">
        <v>0</v>
      </c>
      <c r="E2487" s="197">
        <v>0</v>
      </c>
      <c r="F2487" s="197">
        <v>75.83</v>
      </c>
      <c r="G2487" s="190">
        <v>45754</v>
      </c>
      <c r="H2487" s="196">
        <v>0</v>
      </c>
      <c r="I2487" s="197">
        <v>0</v>
      </c>
      <c r="J2487" s="197">
        <v>0</v>
      </c>
      <c r="K2487" s="197">
        <v>0</v>
      </c>
      <c r="L2487" s="197">
        <v>0</v>
      </c>
      <c r="M2487" s="260" t="s">
        <v>239</v>
      </c>
      <c r="N2487" s="260" t="s">
        <v>514</v>
      </c>
    </row>
    <row r="2488" spans="1:14" ht="14.5" x14ac:dyDescent="0.35">
      <c r="A2488" s="260" t="s">
        <v>566</v>
      </c>
      <c r="B2488" s="190">
        <v>45755</v>
      </c>
      <c r="C2488" s="260" t="s">
        <v>749</v>
      </c>
      <c r="D2488" s="197">
        <v>0</v>
      </c>
      <c r="E2488" s="197">
        <v>0</v>
      </c>
      <c r="F2488" s="197">
        <v>104.79</v>
      </c>
      <c r="G2488" s="190">
        <v>45755</v>
      </c>
      <c r="H2488" s="196">
        <v>0</v>
      </c>
      <c r="I2488" s="197">
        <v>0</v>
      </c>
      <c r="J2488" s="197">
        <v>0</v>
      </c>
      <c r="K2488" s="197">
        <v>0</v>
      </c>
      <c r="L2488" s="197">
        <v>0</v>
      </c>
      <c r="M2488" s="260" t="s">
        <v>239</v>
      </c>
      <c r="N2488" s="260" t="s">
        <v>514</v>
      </c>
    </row>
    <row r="2489" spans="1:14" ht="14.5" x14ac:dyDescent="0.35">
      <c r="A2489" s="260" t="s">
        <v>566</v>
      </c>
      <c r="B2489" s="190">
        <v>45755</v>
      </c>
      <c r="C2489" s="260" t="s">
        <v>752</v>
      </c>
      <c r="D2489" s="197">
        <v>0</v>
      </c>
      <c r="E2489" s="197">
        <v>0</v>
      </c>
      <c r="F2489" s="197">
        <v>195.34</v>
      </c>
      <c r="G2489" s="190">
        <v>45755</v>
      </c>
      <c r="H2489" s="196">
        <v>0</v>
      </c>
      <c r="I2489" s="197">
        <v>0</v>
      </c>
      <c r="J2489" s="197">
        <v>0</v>
      </c>
      <c r="K2489" s="197">
        <v>0</v>
      </c>
      <c r="L2489" s="197">
        <v>0</v>
      </c>
      <c r="M2489" s="260" t="s">
        <v>239</v>
      </c>
      <c r="N2489" s="260" t="s">
        <v>514</v>
      </c>
    </row>
    <row r="2490" spans="1:14" ht="14.5" x14ac:dyDescent="0.35">
      <c r="A2490" s="260" t="s">
        <v>566</v>
      </c>
      <c r="B2490" s="190">
        <v>45755</v>
      </c>
      <c r="C2490" s="260" t="s">
        <v>754</v>
      </c>
      <c r="D2490" s="197">
        <v>0</v>
      </c>
      <c r="E2490" s="197">
        <v>0</v>
      </c>
      <c r="F2490" s="197">
        <v>75.97</v>
      </c>
      <c r="G2490" s="190">
        <v>45755</v>
      </c>
      <c r="H2490" s="196">
        <v>0</v>
      </c>
      <c r="I2490" s="197">
        <v>0</v>
      </c>
      <c r="J2490" s="197">
        <v>0</v>
      </c>
      <c r="K2490" s="197">
        <v>0</v>
      </c>
      <c r="L2490" s="197">
        <v>0</v>
      </c>
      <c r="M2490" s="260" t="s">
        <v>239</v>
      </c>
      <c r="N2490" s="260" t="s">
        <v>514</v>
      </c>
    </row>
    <row r="2491" spans="1:14" ht="14.5" x14ac:dyDescent="0.35">
      <c r="A2491" s="260" t="s">
        <v>566</v>
      </c>
      <c r="B2491" s="190">
        <v>45756</v>
      </c>
      <c r="C2491" s="260" t="s">
        <v>749</v>
      </c>
      <c r="D2491" s="197">
        <v>0</v>
      </c>
      <c r="E2491" s="197">
        <v>0</v>
      </c>
      <c r="F2491" s="197">
        <v>104.62</v>
      </c>
      <c r="G2491" s="190">
        <v>45756</v>
      </c>
      <c r="H2491" s="196">
        <v>0</v>
      </c>
      <c r="I2491" s="197">
        <v>0</v>
      </c>
      <c r="J2491" s="197">
        <v>0</v>
      </c>
      <c r="K2491" s="197">
        <v>0</v>
      </c>
      <c r="L2491" s="197">
        <v>0</v>
      </c>
      <c r="M2491" s="260" t="s">
        <v>239</v>
      </c>
      <c r="N2491" s="260" t="s">
        <v>514</v>
      </c>
    </row>
    <row r="2492" spans="1:14" ht="14.5" x14ac:dyDescent="0.35">
      <c r="A2492" s="260" t="s">
        <v>566</v>
      </c>
      <c r="B2492" s="190">
        <v>45756</v>
      </c>
      <c r="C2492" s="260" t="s">
        <v>752</v>
      </c>
      <c r="D2492" s="197">
        <v>0</v>
      </c>
      <c r="E2492" s="197">
        <v>0</v>
      </c>
      <c r="F2492" s="197">
        <v>194.97</v>
      </c>
      <c r="G2492" s="190">
        <v>45756</v>
      </c>
      <c r="H2492" s="196">
        <v>0</v>
      </c>
      <c r="I2492" s="197">
        <v>0</v>
      </c>
      <c r="J2492" s="197">
        <v>0</v>
      </c>
      <c r="K2492" s="197">
        <v>0</v>
      </c>
      <c r="L2492" s="197">
        <v>0</v>
      </c>
      <c r="M2492" s="260" t="s">
        <v>239</v>
      </c>
      <c r="N2492" s="260" t="s">
        <v>514</v>
      </c>
    </row>
    <row r="2493" spans="1:14" ht="14.5" x14ac:dyDescent="0.35">
      <c r="A2493" s="260" t="s">
        <v>566</v>
      </c>
      <c r="B2493" s="190">
        <v>45756</v>
      </c>
      <c r="C2493" s="260" t="s">
        <v>754</v>
      </c>
      <c r="D2493" s="197">
        <v>0</v>
      </c>
      <c r="E2493" s="197">
        <v>0</v>
      </c>
      <c r="F2493" s="197">
        <v>76.099999999999994</v>
      </c>
      <c r="G2493" s="190">
        <v>45756</v>
      </c>
      <c r="H2493" s="196">
        <v>0</v>
      </c>
      <c r="I2493" s="197">
        <v>0</v>
      </c>
      <c r="J2493" s="197">
        <v>0</v>
      </c>
      <c r="K2493" s="197">
        <v>0</v>
      </c>
      <c r="L2493" s="197">
        <v>0</v>
      </c>
      <c r="M2493" s="260" t="s">
        <v>239</v>
      </c>
      <c r="N2493" s="260" t="s">
        <v>514</v>
      </c>
    </row>
    <row r="2494" spans="1:14" ht="14.5" x14ac:dyDescent="0.35">
      <c r="A2494" s="260" t="s">
        <v>566</v>
      </c>
      <c r="B2494" s="190">
        <v>45757</v>
      </c>
      <c r="C2494" s="260" t="s">
        <v>749</v>
      </c>
      <c r="D2494" s="197">
        <v>0</v>
      </c>
      <c r="E2494" s="197">
        <v>0</v>
      </c>
      <c r="F2494" s="197">
        <v>104.45</v>
      </c>
      <c r="G2494" s="190">
        <v>45757</v>
      </c>
      <c r="H2494" s="196">
        <v>0</v>
      </c>
      <c r="I2494" s="197">
        <v>0</v>
      </c>
      <c r="J2494" s="197">
        <v>0</v>
      </c>
      <c r="K2494" s="197">
        <v>0</v>
      </c>
      <c r="L2494" s="197">
        <v>0</v>
      </c>
      <c r="M2494" s="260" t="s">
        <v>239</v>
      </c>
      <c r="N2494" s="260" t="s">
        <v>514</v>
      </c>
    </row>
    <row r="2495" spans="1:14" ht="14.5" x14ac:dyDescent="0.35">
      <c r="A2495" s="260" t="s">
        <v>566</v>
      </c>
      <c r="B2495" s="190">
        <v>45757</v>
      </c>
      <c r="C2495" s="260" t="s">
        <v>752</v>
      </c>
      <c r="D2495" s="197">
        <v>0</v>
      </c>
      <c r="E2495" s="197">
        <v>0</v>
      </c>
      <c r="F2495" s="197">
        <v>194.59</v>
      </c>
      <c r="G2495" s="190">
        <v>45757</v>
      </c>
      <c r="H2495" s="196">
        <v>0</v>
      </c>
      <c r="I2495" s="197">
        <v>0</v>
      </c>
      <c r="J2495" s="197">
        <v>0</v>
      </c>
      <c r="K2495" s="197">
        <v>0</v>
      </c>
      <c r="L2495" s="197">
        <v>0</v>
      </c>
      <c r="M2495" s="260" t="s">
        <v>239</v>
      </c>
      <c r="N2495" s="260" t="s">
        <v>514</v>
      </c>
    </row>
    <row r="2496" spans="1:14" ht="14.5" x14ac:dyDescent="0.35">
      <c r="A2496" s="260" t="s">
        <v>566</v>
      </c>
      <c r="B2496" s="190">
        <v>45757</v>
      </c>
      <c r="C2496" s="260" t="s">
        <v>754</v>
      </c>
      <c r="D2496" s="197">
        <v>0</v>
      </c>
      <c r="E2496" s="197">
        <v>0</v>
      </c>
      <c r="F2496" s="197">
        <v>76.239999999999995</v>
      </c>
      <c r="G2496" s="190">
        <v>45757</v>
      </c>
      <c r="H2496" s="196">
        <v>0</v>
      </c>
      <c r="I2496" s="197">
        <v>0</v>
      </c>
      <c r="J2496" s="197">
        <v>0</v>
      </c>
      <c r="K2496" s="197">
        <v>0</v>
      </c>
      <c r="L2496" s="197">
        <v>0</v>
      </c>
      <c r="M2496" s="260" t="s">
        <v>239</v>
      </c>
      <c r="N2496" s="260" t="s">
        <v>514</v>
      </c>
    </row>
    <row r="2497" spans="1:14" ht="14.5" x14ac:dyDescent="0.35">
      <c r="A2497" s="260" t="s">
        <v>566</v>
      </c>
      <c r="B2497" s="190">
        <v>45758</v>
      </c>
      <c r="C2497" s="260" t="s">
        <v>749</v>
      </c>
      <c r="D2497" s="197">
        <v>0</v>
      </c>
      <c r="E2497" s="197">
        <v>0</v>
      </c>
      <c r="F2497" s="197">
        <v>104.28</v>
      </c>
      <c r="G2497" s="190">
        <v>45758</v>
      </c>
      <c r="H2497" s="196">
        <v>0</v>
      </c>
      <c r="I2497" s="197">
        <v>0</v>
      </c>
      <c r="J2497" s="197">
        <v>0</v>
      </c>
      <c r="K2497" s="197">
        <v>0</v>
      </c>
      <c r="L2497" s="197">
        <v>0</v>
      </c>
      <c r="M2497" s="260" t="s">
        <v>239</v>
      </c>
      <c r="N2497" s="260" t="s">
        <v>514</v>
      </c>
    </row>
    <row r="2498" spans="1:14" ht="14.5" x14ac:dyDescent="0.35">
      <c r="A2498" s="260" t="s">
        <v>566</v>
      </c>
      <c r="B2498" s="190">
        <v>45758</v>
      </c>
      <c r="C2498" s="260" t="s">
        <v>752</v>
      </c>
      <c r="D2498" s="197">
        <v>0</v>
      </c>
      <c r="E2498" s="197">
        <v>0</v>
      </c>
      <c r="F2498" s="197">
        <v>194.21</v>
      </c>
      <c r="G2498" s="190">
        <v>45758</v>
      </c>
      <c r="H2498" s="196">
        <v>0</v>
      </c>
      <c r="I2498" s="197">
        <v>0</v>
      </c>
      <c r="J2498" s="197">
        <v>0</v>
      </c>
      <c r="K2498" s="197">
        <v>0</v>
      </c>
      <c r="L2498" s="197">
        <v>0</v>
      </c>
      <c r="M2498" s="260" t="s">
        <v>239</v>
      </c>
      <c r="N2498" s="260" t="s">
        <v>514</v>
      </c>
    </row>
    <row r="2499" spans="1:14" ht="14.5" x14ac:dyDescent="0.35">
      <c r="A2499" s="260" t="s">
        <v>566</v>
      </c>
      <c r="B2499" s="190">
        <v>45758</v>
      </c>
      <c r="C2499" s="260" t="s">
        <v>754</v>
      </c>
      <c r="D2499" s="197">
        <v>0</v>
      </c>
      <c r="E2499" s="197">
        <v>0</v>
      </c>
      <c r="F2499" s="197">
        <v>76.38</v>
      </c>
      <c r="G2499" s="190">
        <v>45758</v>
      </c>
      <c r="H2499" s="196">
        <v>0</v>
      </c>
      <c r="I2499" s="197">
        <v>0</v>
      </c>
      <c r="J2499" s="197">
        <v>0</v>
      </c>
      <c r="K2499" s="197">
        <v>0</v>
      </c>
      <c r="L2499" s="197">
        <v>0</v>
      </c>
      <c r="M2499" s="260" t="s">
        <v>239</v>
      </c>
      <c r="N2499" s="260" t="s">
        <v>514</v>
      </c>
    </row>
    <row r="2500" spans="1:14" ht="14.5" x14ac:dyDescent="0.35">
      <c r="A2500" s="260" t="s">
        <v>566</v>
      </c>
      <c r="B2500" s="190">
        <v>45759</v>
      </c>
      <c r="C2500" s="260" t="s">
        <v>749</v>
      </c>
      <c r="D2500" s="197">
        <v>0</v>
      </c>
      <c r="E2500" s="197">
        <v>0</v>
      </c>
      <c r="F2500" s="197">
        <v>104.28</v>
      </c>
      <c r="G2500" s="190">
        <v>45758</v>
      </c>
      <c r="H2500" s="196">
        <v>1</v>
      </c>
      <c r="I2500" s="197">
        <v>0</v>
      </c>
      <c r="J2500" s="197">
        <v>0</v>
      </c>
      <c r="K2500" s="197">
        <v>0</v>
      </c>
      <c r="L2500" s="197">
        <v>0</v>
      </c>
      <c r="M2500" s="260" t="s">
        <v>239</v>
      </c>
      <c r="N2500" s="260" t="s">
        <v>514</v>
      </c>
    </row>
    <row r="2501" spans="1:14" ht="14.5" x14ac:dyDescent="0.35">
      <c r="A2501" s="260" t="s">
        <v>566</v>
      </c>
      <c r="B2501" s="190">
        <v>45759</v>
      </c>
      <c r="C2501" s="260" t="s">
        <v>752</v>
      </c>
      <c r="D2501" s="197">
        <v>0</v>
      </c>
      <c r="E2501" s="197">
        <v>0</v>
      </c>
      <c r="F2501" s="197">
        <v>194.21</v>
      </c>
      <c r="G2501" s="190">
        <v>45758</v>
      </c>
      <c r="H2501" s="196">
        <v>1</v>
      </c>
      <c r="I2501" s="197">
        <v>0</v>
      </c>
      <c r="J2501" s="197">
        <v>0</v>
      </c>
      <c r="K2501" s="197">
        <v>0</v>
      </c>
      <c r="L2501" s="197">
        <v>0</v>
      </c>
      <c r="M2501" s="260" t="s">
        <v>239</v>
      </c>
      <c r="N2501" s="260" t="s">
        <v>514</v>
      </c>
    </row>
    <row r="2502" spans="1:14" ht="14.5" x14ac:dyDescent="0.35">
      <c r="A2502" s="260" t="s">
        <v>566</v>
      </c>
      <c r="B2502" s="190">
        <v>45759</v>
      </c>
      <c r="C2502" s="260" t="s">
        <v>754</v>
      </c>
      <c r="D2502" s="197">
        <v>0</v>
      </c>
      <c r="E2502" s="197">
        <v>0</v>
      </c>
      <c r="F2502" s="197">
        <v>76.38</v>
      </c>
      <c r="G2502" s="190">
        <v>45758</v>
      </c>
      <c r="H2502" s="196">
        <v>1</v>
      </c>
      <c r="I2502" s="197">
        <v>0</v>
      </c>
      <c r="J2502" s="197">
        <v>0</v>
      </c>
      <c r="K2502" s="197">
        <v>0</v>
      </c>
      <c r="L2502" s="197">
        <v>0</v>
      </c>
      <c r="M2502" s="260" t="s">
        <v>239</v>
      </c>
      <c r="N2502" s="260" t="s">
        <v>514</v>
      </c>
    </row>
    <row r="2503" spans="1:14" ht="14.5" x14ac:dyDescent="0.35">
      <c r="A2503" s="260" t="s">
        <v>566</v>
      </c>
      <c r="B2503" s="190">
        <v>45760</v>
      </c>
      <c r="C2503" s="260" t="s">
        <v>749</v>
      </c>
      <c r="D2503" s="197">
        <v>0</v>
      </c>
      <c r="E2503" s="197">
        <v>0</v>
      </c>
      <c r="F2503" s="197">
        <v>104.28</v>
      </c>
      <c r="G2503" s="190">
        <v>45758</v>
      </c>
      <c r="H2503" s="196">
        <v>2</v>
      </c>
      <c r="I2503" s="197">
        <v>0</v>
      </c>
      <c r="J2503" s="197">
        <v>0</v>
      </c>
      <c r="K2503" s="197">
        <v>0</v>
      </c>
      <c r="L2503" s="197">
        <v>0</v>
      </c>
      <c r="M2503" s="260" t="s">
        <v>239</v>
      </c>
      <c r="N2503" s="260" t="s">
        <v>514</v>
      </c>
    </row>
    <row r="2504" spans="1:14" ht="14.5" x14ac:dyDescent="0.35">
      <c r="A2504" s="260" t="s">
        <v>566</v>
      </c>
      <c r="B2504" s="190">
        <v>45760</v>
      </c>
      <c r="C2504" s="260" t="s">
        <v>752</v>
      </c>
      <c r="D2504" s="197">
        <v>0</v>
      </c>
      <c r="E2504" s="197">
        <v>0</v>
      </c>
      <c r="F2504" s="197">
        <v>194.21</v>
      </c>
      <c r="G2504" s="190">
        <v>45758</v>
      </c>
      <c r="H2504" s="196">
        <v>2</v>
      </c>
      <c r="I2504" s="197">
        <v>0</v>
      </c>
      <c r="J2504" s="197">
        <v>0</v>
      </c>
      <c r="K2504" s="197">
        <v>0</v>
      </c>
      <c r="L2504" s="197">
        <v>0</v>
      </c>
      <c r="M2504" s="260" t="s">
        <v>239</v>
      </c>
      <c r="N2504" s="260" t="s">
        <v>514</v>
      </c>
    </row>
    <row r="2505" spans="1:14" ht="14.5" x14ac:dyDescent="0.35">
      <c r="A2505" s="260" t="s">
        <v>566</v>
      </c>
      <c r="B2505" s="190">
        <v>45760</v>
      </c>
      <c r="C2505" s="260" t="s">
        <v>754</v>
      </c>
      <c r="D2505" s="197">
        <v>0</v>
      </c>
      <c r="E2505" s="197">
        <v>0</v>
      </c>
      <c r="F2505" s="197">
        <v>76.38</v>
      </c>
      <c r="G2505" s="190">
        <v>45758</v>
      </c>
      <c r="H2505" s="196">
        <v>2</v>
      </c>
      <c r="I2505" s="197">
        <v>0</v>
      </c>
      <c r="J2505" s="197">
        <v>0</v>
      </c>
      <c r="K2505" s="197">
        <v>0</v>
      </c>
      <c r="L2505" s="197">
        <v>0</v>
      </c>
      <c r="M2505" s="260" t="s">
        <v>239</v>
      </c>
      <c r="N2505" s="260" t="s">
        <v>514</v>
      </c>
    </row>
    <row r="2506" spans="1:14" ht="14.5" x14ac:dyDescent="0.35">
      <c r="A2506" s="260" t="s">
        <v>566</v>
      </c>
      <c r="B2506" s="190">
        <v>45761</v>
      </c>
      <c r="C2506" s="260" t="s">
        <v>749</v>
      </c>
      <c r="D2506" s="197">
        <v>0</v>
      </c>
      <c r="E2506" s="197">
        <v>0</v>
      </c>
      <c r="F2506" s="197">
        <v>103.76</v>
      </c>
      <c r="G2506" s="190">
        <v>45761</v>
      </c>
      <c r="H2506" s="196">
        <v>0</v>
      </c>
      <c r="I2506" s="197">
        <v>0</v>
      </c>
      <c r="J2506" s="197">
        <v>0</v>
      </c>
      <c r="K2506" s="197">
        <v>0</v>
      </c>
      <c r="L2506" s="197">
        <v>0</v>
      </c>
      <c r="M2506" s="260" t="s">
        <v>239</v>
      </c>
      <c r="N2506" s="260" t="s">
        <v>514</v>
      </c>
    </row>
    <row r="2507" spans="1:14" ht="14.5" x14ac:dyDescent="0.35">
      <c r="A2507" s="260" t="s">
        <v>566</v>
      </c>
      <c r="B2507" s="190">
        <v>45761</v>
      </c>
      <c r="C2507" s="260" t="s">
        <v>752</v>
      </c>
      <c r="D2507" s="197">
        <v>0</v>
      </c>
      <c r="E2507" s="197">
        <v>0</v>
      </c>
      <c r="F2507" s="197">
        <v>193.07</v>
      </c>
      <c r="G2507" s="190">
        <v>45761</v>
      </c>
      <c r="H2507" s="196">
        <v>0</v>
      </c>
      <c r="I2507" s="197">
        <v>0</v>
      </c>
      <c r="J2507" s="197">
        <v>0</v>
      </c>
      <c r="K2507" s="197">
        <v>0</v>
      </c>
      <c r="L2507" s="197">
        <v>0</v>
      </c>
      <c r="M2507" s="260" t="s">
        <v>239</v>
      </c>
      <c r="N2507" s="260" t="s">
        <v>514</v>
      </c>
    </row>
    <row r="2508" spans="1:14" ht="14.5" x14ac:dyDescent="0.35">
      <c r="A2508" s="260" t="s">
        <v>566</v>
      </c>
      <c r="B2508" s="190">
        <v>45761</v>
      </c>
      <c r="C2508" s="260" t="s">
        <v>754</v>
      </c>
      <c r="D2508" s="197">
        <v>0</v>
      </c>
      <c r="E2508" s="197">
        <v>0</v>
      </c>
      <c r="F2508" s="197">
        <v>76.790000000000006</v>
      </c>
      <c r="G2508" s="190">
        <v>45761</v>
      </c>
      <c r="H2508" s="196">
        <v>0</v>
      </c>
      <c r="I2508" s="197">
        <v>0</v>
      </c>
      <c r="J2508" s="197">
        <v>0</v>
      </c>
      <c r="K2508" s="197">
        <v>0</v>
      </c>
      <c r="L2508" s="197">
        <v>0</v>
      </c>
      <c r="M2508" s="260" t="s">
        <v>239</v>
      </c>
      <c r="N2508" s="260" t="s">
        <v>514</v>
      </c>
    </row>
    <row r="2509" spans="1:14" ht="14.5" x14ac:dyDescent="0.35">
      <c r="A2509" s="260" t="s">
        <v>566</v>
      </c>
      <c r="B2509" s="190">
        <v>45762</v>
      </c>
      <c r="C2509" s="260" t="s">
        <v>749</v>
      </c>
      <c r="D2509" s="197">
        <v>0</v>
      </c>
      <c r="E2509" s="197">
        <v>0</v>
      </c>
      <c r="F2509" s="197">
        <v>103.59</v>
      </c>
      <c r="G2509" s="190">
        <v>45762</v>
      </c>
      <c r="H2509" s="196">
        <v>0</v>
      </c>
      <c r="I2509" s="197">
        <v>0</v>
      </c>
      <c r="J2509" s="197">
        <v>0</v>
      </c>
      <c r="K2509" s="197">
        <v>0</v>
      </c>
      <c r="L2509" s="197">
        <v>0</v>
      </c>
      <c r="M2509" s="260" t="s">
        <v>239</v>
      </c>
      <c r="N2509" s="260" t="s">
        <v>514</v>
      </c>
    </row>
    <row r="2510" spans="1:14" ht="14.5" x14ac:dyDescent="0.35">
      <c r="A2510" s="260" t="s">
        <v>566</v>
      </c>
      <c r="B2510" s="190">
        <v>45762</v>
      </c>
      <c r="C2510" s="260" t="s">
        <v>752</v>
      </c>
      <c r="D2510" s="197">
        <v>0</v>
      </c>
      <c r="E2510" s="197">
        <v>0</v>
      </c>
      <c r="F2510" s="197">
        <v>192.69</v>
      </c>
      <c r="G2510" s="190">
        <v>45762</v>
      </c>
      <c r="H2510" s="196">
        <v>0</v>
      </c>
      <c r="I2510" s="197">
        <v>0</v>
      </c>
      <c r="J2510" s="197">
        <v>0</v>
      </c>
      <c r="K2510" s="197">
        <v>0</v>
      </c>
      <c r="L2510" s="197">
        <v>0</v>
      </c>
      <c r="M2510" s="260" t="s">
        <v>239</v>
      </c>
      <c r="N2510" s="260" t="s">
        <v>514</v>
      </c>
    </row>
    <row r="2511" spans="1:14" ht="14.5" x14ac:dyDescent="0.35">
      <c r="A2511" s="260" t="s">
        <v>566</v>
      </c>
      <c r="B2511" s="190">
        <v>45762</v>
      </c>
      <c r="C2511" s="260" t="s">
        <v>754</v>
      </c>
      <c r="D2511" s="197">
        <v>0</v>
      </c>
      <c r="E2511" s="197">
        <v>0</v>
      </c>
      <c r="F2511" s="197">
        <v>76.930000000000007</v>
      </c>
      <c r="G2511" s="190">
        <v>45762</v>
      </c>
      <c r="H2511" s="196">
        <v>0</v>
      </c>
      <c r="I2511" s="197">
        <v>0</v>
      </c>
      <c r="J2511" s="197">
        <v>0</v>
      </c>
      <c r="K2511" s="197">
        <v>0</v>
      </c>
      <c r="L2511" s="197">
        <v>0</v>
      </c>
      <c r="M2511" s="260" t="s">
        <v>239</v>
      </c>
      <c r="N2511" s="260" t="s">
        <v>514</v>
      </c>
    </row>
    <row r="2512" spans="1:14" ht="14.5" x14ac:dyDescent="0.35">
      <c r="A2512" s="260" t="s">
        <v>566</v>
      </c>
      <c r="B2512" s="190">
        <v>45763</v>
      </c>
      <c r="C2512" s="260" t="s">
        <v>749</v>
      </c>
      <c r="D2512" s="197">
        <v>0</v>
      </c>
      <c r="E2512" s="197">
        <v>0</v>
      </c>
      <c r="F2512" s="197">
        <v>103.41</v>
      </c>
      <c r="G2512" s="190">
        <v>45763</v>
      </c>
      <c r="H2512" s="196">
        <v>0</v>
      </c>
      <c r="I2512" s="197">
        <v>0</v>
      </c>
      <c r="J2512" s="197">
        <v>0</v>
      </c>
      <c r="K2512" s="197">
        <v>0</v>
      </c>
      <c r="L2512" s="197">
        <v>0</v>
      </c>
      <c r="M2512" s="260" t="s">
        <v>239</v>
      </c>
      <c r="N2512" s="260" t="s">
        <v>514</v>
      </c>
    </row>
    <row r="2513" spans="1:14" ht="14.5" x14ac:dyDescent="0.35">
      <c r="A2513" s="260" t="s">
        <v>566</v>
      </c>
      <c r="B2513" s="190">
        <v>45763</v>
      </c>
      <c r="C2513" s="260" t="s">
        <v>752</v>
      </c>
      <c r="D2513" s="197">
        <v>0</v>
      </c>
      <c r="E2513" s="197">
        <v>0</v>
      </c>
      <c r="F2513" s="197">
        <v>192.31</v>
      </c>
      <c r="G2513" s="190">
        <v>45763</v>
      </c>
      <c r="H2513" s="196">
        <v>0</v>
      </c>
      <c r="I2513" s="197">
        <v>0</v>
      </c>
      <c r="J2513" s="197">
        <v>0</v>
      </c>
      <c r="K2513" s="197">
        <v>0</v>
      </c>
      <c r="L2513" s="197">
        <v>0</v>
      </c>
      <c r="M2513" s="260" t="s">
        <v>239</v>
      </c>
      <c r="N2513" s="260" t="s">
        <v>514</v>
      </c>
    </row>
    <row r="2514" spans="1:14" ht="14.5" x14ac:dyDescent="0.35">
      <c r="A2514" s="260" t="s">
        <v>566</v>
      </c>
      <c r="B2514" s="190">
        <v>45763</v>
      </c>
      <c r="C2514" s="260" t="s">
        <v>754</v>
      </c>
      <c r="D2514" s="197">
        <v>0</v>
      </c>
      <c r="E2514" s="197">
        <v>0</v>
      </c>
      <c r="F2514" s="197">
        <v>77.069999999999993</v>
      </c>
      <c r="G2514" s="190">
        <v>45763</v>
      </c>
      <c r="H2514" s="196">
        <v>0</v>
      </c>
      <c r="I2514" s="197">
        <v>0</v>
      </c>
      <c r="J2514" s="197">
        <v>0</v>
      </c>
      <c r="K2514" s="197">
        <v>0</v>
      </c>
      <c r="L2514" s="197">
        <v>0</v>
      </c>
      <c r="M2514" s="260" t="s">
        <v>239</v>
      </c>
      <c r="N2514" s="260" t="s">
        <v>514</v>
      </c>
    </row>
    <row r="2515" spans="1:14" ht="14.5" x14ac:dyDescent="0.35">
      <c r="A2515" s="260" t="s">
        <v>566</v>
      </c>
      <c r="B2515" s="190">
        <v>45764</v>
      </c>
      <c r="C2515" s="260" t="s">
        <v>749</v>
      </c>
      <c r="D2515" s="197">
        <v>0</v>
      </c>
      <c r="E2515" s="197">
        <v>0</v>
      </c>
      <c r="F2515" s="197">
        <v>103.24</v>
      </c>
      <c r="G2515" s="190">
        <v>45764</v>
      </c>
      <c r="H2515" s="196">
        <v>0</v>
      </c>
      <c r="I2515" s="197">
        <v>0</v>
      </c>
      <c r="J2515" s="197">
        <v>0</v>
      </c>
      <c r="K2515" s="197">
        <v>0</v>
      </c>
      <c r="L2515" s="197">
        <v>0</v>
      </c>
      <c r="M2515" s="260" t="s">
        <v>239</v>
      </c>
      <c r="N2515" s="260" t="s">
        <v>514</v>
      </c>
    </row>
    <row r="2516" spans="1:14" ht="14.5" x14ac:dyDescent="0.35">
      <c r="A2516" s="260" t="s">
        <v>566</v>
      </c>
      <c r="B2516" s="190">
        <v>45764</v>
      </c>
      <c r="C2516" s="260" t="s">
        <v>752</v>
      </c>
      <c r="D2516" s="197">
        <v>0</v>
      </c>
      <c r="E2516" s="197">
        <v>0</v>
      </c>
      <c r="F2516" s="197">
        <v>191.93</v>
      </c>
      <c r="G2516" s="190">
        <v>45764</v>
      </c>
      <c r="H2516" s="196">
        <v>0</v>
      </c>
      <c r="I2516" s="197">
        <v>0</v>
      </c>
      <c r="J2516" s="197">
        <v>0</v>
      </c>
      <c r="K2516" s="197">
        <v>0</v>
      </c>
      <c r="L2516" s="197">
        <v>0</v>
      </c>
      <c r="M2516" s="260" t="s">
        <v>239</v>
      </c>
      <c r="N2516" s="260" t="s">
        <v>514</v>
      </c>
    </row>
    <row r="2517" spans="1:14" ht="14.5" x14ac:dyDescent="0.35">
      <c r="A2517" s="260" t="s">
        <v>566</v>
      </c>
      <c r="B2517" s="190">
        <v>45764</v>
      </c>
      <c r="C2517" s="260" t="s">
        <v>754</v>
      </c>
      <c r="D2517" s="197">
        <v>0</v>
      </c>
      <c r="E2517" s="197">
        <v>0</v>
      </c>
      <c r="F2517" s="197">
        <v>77.209999999999994</v>
      </c>
      <c r="G2517" s="190">
        <v>45764</v>
      </c>
      <c r="H2517" s="196">
        <v>0</v>
      </c>
      <c r="I2517" s="197">
        <v>0</v>
      </c>
      <c r="J2517" s="197">
        <v>0</v>
      </c>
      <c r="K2517" s="197">
        <v>0</v>
      </c>
      <c r="L2517" s="197">
        <v>0</v>
      </c>
      <c r="M2517" s="260" t="s">
        <v>239</v>
      </c>
      <c r="N2517" s="260" t="s">
        <v>514</v>
      </c>
    </row>
    <row r="2518" spans="1:14" ht="14.5" x14ac:dyDescent="0.35">
      <c r="A2518" s="260" t="s">
        <v>566</v>
      </c>
      <c r="B2518" s="190">
        <v>45765</v>
      </c>
      <c r="C2518" s="260" t="s">
        <v>749</v>
      </c>
      <c r="D2518" s="197">
        <v>0</v>
      </c>
      <c r="E2518" s="197">
        <v>0</v>
      </c>
      <c r="F2518" s="197">
        <v>103.07</v>
      </c>
      <c r="G2518" s="190">
        <v>45765</v>
      </c>
      <c r="H2518" s="196">
        <v>0</v>
      </c>
      <c r="I2518" s="197">
        <v>0</v>
      </c>
      <c r="J2518" s="197">
        <v>0</v>
      </c>
      <c r="K2518" s="197">
        <v>0</v>
      </c>
      <c r="L2518" s="197">
        <v>0</v>
      </c>
      <c r="M2518" s="260" t="s">
        <v>239</v>
      </c>
      <c r="N2518" s="260" t="s">
        <v>514</v>
      </c>
    </row>
    <row r="2519" spans="1:14" ht="14.5" x14ac:dyDescent="0.35">
      <c r="A2519" s="260" t="s">
        <v>566</v>
      </c>
      <c r="B2519" s="190">
        <v>45765</v>
      </c>
      <c r="C2519" s="260" t="s">
        <v>752</v>
      </c>
      <c r="D2519" s="197">
        <v>0</v>
      </c>
      <c r="E2519" s="197">
        <v>0</v>
      </c>
      <c r="F2519" s="197">
        <v>191.55</v>
      </c>
      <c r="G2519" s="190">
        <v>45765</v>
      </c>
      <c r="H2519" s="196">
        <v>0</v>
      </c>
      <c r="I2519" s="197">
        <v>0</v>
      </c>
      <c r="J2519" s="197">
        <v>0</v>
      </c>
      <c r="K2519" s="197">
        <v>0</v>
      </c>
      <c r="L2519" s="197">
        <v>0</v>
      </c>
      <c r="M2519" s="260" t="s">
        <v>239</v>
      </c>
      <c r="N2519" s="260" t="s">
        <v>514</v>
      </c>
    </row>
    <row r="2520" spans="1:14" ht="14.5" x14ac:dyDescent="0.35">
      <c r="A2520" s="260" t="s">
        <v>566</v>
      </c>
      <c r="B2520" s="190">
        <v>45765</v>
      </c>
      <c r="C2520" s="260" t="s">
        <v>754</v>
      </c>
      <c r="D2520" s="197">
        <v>0</v>
      </c>
      <c r="E2520" s="197">
        <v>0</v>
      </c>
      <c r="F2520" s="197">
        <v>77.34</v>
      </c>
      <c r="G2520" s="190">
        <v>45765</v>
      </c>
      <c r="H2520" s="196">
        <v>0</v>
      </c>
      <c r="I2520" s="197">
        <v>0</v>
      </c>
      <c r="J2520" s="197">
        <v>0</v>
      </c>
      <c r="K2520" s="197">
        <v>0</v>
      </c>
      <c r="L2520" s="197">
        <v>0</v>
      </c>
      <c r="M2520" s="260" t="s">
        <v>239</v>
      </c>
      <c r="N2520" s="260" t="s">
        <v>514</v>
      </c>
    </row>
    <row r="2521" spans="1:14" ht="14.5" x14ac:dyDescent="0.35">
      <c r="A2521" s="260" t="s">
        <v>566</v>
      </c>
      <c r="B2521" s="190">
        <v>45766</v>
      </c>
      <c r="C2521" s="260" t="s">
        <v>749</v>
      </c>
      <c r="D2521" s="197">
        <v>0</v>
      </c>
      <c r="E2521" s="197">
        <v>0</v>
      </c>
      <c r="F2521" s="197">
        <v>103.07</v>
      </c>
      <c r="G2521" s="190">
        <v>45765</v>
      </c>
      <c r="H2521" s="196">
        <v>1</v>
      </c>
      <c r="I2521" s="197">
        <v>0</v>
      </c>
      <c r="J2521" s="197">
        <v>0</v>
      </c>
      <c r="K2521" s="197">
        <v>0</v>
      </c>
      <c r="L2521" s="197">
        <v>0</v>
      </c>
      <c r="M2521" s="260" t="s">
        <v>239</v>
      </c>
      <c r="N2521" s="260" t="s">
        <v>514</v>
      </c>
    </row>
    <row r="2522" spans="1:14" ht="14.5" x14ac:dyDescent="0.35">
      <c r="A2522" s="260" t="s">
        <v>566</v>
      </c>
      <c r="B2522" s="190">
        <v>45766</v>
      </c>
      <c r="C2522" s="260" t="s">
        <v>752</v>
      </c>
      <c r="D2522" s="197">
        <v>0</v>
      </c>
      <c r="E2522" s="197">
        <v>0</v>
      </c>
      <c r="F2522" s="197">
        <v>191.55</v>
      </c>
      <c r="G2522" s="190">
        <v>45765</v>
      </c>
      <c r="H2522" s="196">
        <v>1</v>
      </c>
      <c r="I2522" s="197">
        <v>0</v>
      </c>
      <c r="J2522" s="197">
        <v>0</v>
      </c>
      <c r="K2522" s="197">
        <v>0</v>
      </c>
      <c r="L2522" s="197">
        <v>0</v>
      </c>
      <c r="M2522" s="260" t="s">
        <v>239</v>
      </c>
      <c r="N2522" s="260" t="s">
        <v>514</v>
      </c>
    </row>
    <row r="2523" spans="1:14" ht="14.5" x14ac:dyDescent="0.35">
      <c r="A2523" s="260" t="s">
        <v>566</v>
      </c>
      <c r="B2523" s="190">
        <v>45766</v>
      </c>
      <c r="C2523" s="260" t="s">
        <v>754</v>
      </c>
      <c r="D2523" s="197">
        <v>0</v>
      </c>
      <c r="E2523" s="197">
        <v>0</v>
      </c>
      <c r="F2523" s="197">
        <v>77.34</v>
      </c>
      <c r="G2523" s="190">
        <v>45765</v>
      </c>
      <c r="H2523" s="196">
        <v>1</v>
      </c>
      <c r="I2523" s="197">
        <v>0</v>
      </c>
      <c r="J2523" s="197">
        <v>0</v>
      </c>
      <c r="K2523" s="197">
        <v>0</v>
      </c>
      <c r="L2523" s="197">
        <v>0</v>
      </c>
      <c r="M2523" s="260" t="s">
        <v>239</v>
      </c>
      <c r="N2523" s="260" t="s">
        <v>514</v>
      </c>
    </row>
    <row r="2524" spans="1:14" ht="14.5" x14ac:dyDescent="0.35">
      <c r="A2524" s="260" t="s">
        <v>566</v>
      </c>
      <c r="B2524" s="190">
        <v>45767</v>
      </c>
      <c r="C2524" s="260" t="s">
        <v>749</v>
      </c>
      <c r="D2524" s="197">
        <v>0</v>
      </c>
      <c r="E2524" s="197">
        <v>0</v>
      </c>
      <c r="F2524" s="197">
        <v>103.07</v>
      </c>
      <c r="G2524" s="190">
        <v>45765</v>
      </c>
      <c r="H2524" s="196">
        <v>2</v>
      </c>
      <c r="I2524" s="197">
        <v>0</v>
      </c>
      <c r="J2524" s="197">
        <v>0</v>
      </c>
      <c r="K2524" s="197">
        <v>0</v>
      </c>
      <c r="L2524" s="197">
        <v>0</v>
      </c>
      <c r="M2524" s="260" t="s">
        <v>239</v>
      </c>
      <c r="N2524" s="260" t="s">
        <v>514</v>
      </c>
    </row>
    <row r="2525" spans="1:14" ht="14.5" x14ac:dyDescent="0.35">
      <c r="A2525" s="260" t="s">
        <v>566</v>
      </c>
      <c r="B2525" s="190">
        <v>45767</v>
      </c>
      <c r="C2525" s="260" t="s">
        <v>752</v>
      </c>
      <c r="D2525" s="197">
        <v>0</v>
      </c>
      <c r="E2525" s="197">
        <v>0</v>
      </c>
      <c r="F2525" s="197">
        <v>191.55</v>
      </c>
      <c r="G2525" s="190">
        <v>45765</v>
      </c>
      <c r="H2525" s="196">
        <v>2</v>
      </c>
      <c r="I2525" s="197">
        <v>0</v>
      </c>
      <c r="J2525" s="197">
        <v>0</v>
      </c>
      <c r="K2525" s="197">
        <v>0</v>
      </c>
      <c r="L2525" s="197">
        <v>0</v>
      </c>
      <c r="M2525" s="260" t="s">
        <v>239</v>
      </c>
      <c r="N2525" s="260" t="s">
        <v>514</v>
      </c>
    </row>
    <row r="2526" spans="1:14" ht="14.5" x14ac:dyDescent="0.35">
      <c r="A2526" s="260" t="s">
        <v>566</v>
      </c>
      <c r="B2526" s="190">
        <v>45767</v>
      </c>
      <c r="C2526" s="260" t="s">
        <v>754</v>
      </c>
      <c r="D2526" s="197">
        <v>0</v>
      </c>
      <c r="E2526" s="197">
        <v>0</v>
      </c>
      <c r="F2526" s="197">
        <v>77.34</v>
      </c>
      <c r="G2526" s="190">
        <v>45765</v>
      </c>
      <c r="H2526" s="196">
        <v>2</v>
      </c>
      <c r="I2526" s="197">
        <v>0</v>
      </c>
      <c r="J2526" s="197">
        <v>0</v>
      </c>
      <c r="K2526" s="197">
        <v>0</v>
      </c>
      <c r="L2526" s="197">
        <v>0</v>
      </c>
      <c r="M2526" s="260" t="s">
        <v>239</v>
      </c>
      <c r="N2526" s="260" t="s">
        <v>514</v>
      </c>
    </row>
    <row r="2527" spans="1:14" ht="14.5" x14ac:dyDescent="0.35">
      <c r="A2527" s="260" t="s">
        <v>566</v>
      </c>
      <c r="B2527" s="190">
        <v>45768</v>
      </c>
      <c r="C2527" s="260" t="s">
        <v>749</v>
      </c>
      <c r="D2527" s="197">
        <v>0</v>
      </c>
      <c r="E2527" s="197">
        <v>0</v>
      </c>
      <c r="F2527" s="197">
        <v>102.55</v>
      </c>
      <c r="G2527" s="190">
        <v>45768</v>
      </c>
      <c r="H2527" s="196">
        <v>0</v>
      </c>
      <c r="I2527" s="197">
        <v>0</v>
      </c>
      <c r="J2527" s="197">
        <v>0</v>
      </c>
      <c r="K2527" s="197">
        <v>0</v>
      </c>
      <c r="L2527" s="197">
        <v>0</v>
      </c>
      <c r="M2527" s="260" t="s">
        <v>239</v>
      </c>
      <c r="N2527" s="260" t="s">
        <v>514</v>
      </c>
    </row>
    <row r="2528" spans="1:14" ht="14.5" x14ac:dyDescent="0.35">
      <c r="A2528" s="260" t="s">
        <v>566</v>
      </c>
      <c r="B2528" s="190">
        <v>45768</v>
      </c>
      <c r="C2528" s="260" t="s">
        <v>752</v>
      </c>
      <c r="D2528" s="197">
        <v>0</v>
      </c>
      <c r="E2528" s="197">
        <v>0</v>
      </c>
      <c r="F2528" s="197">
        <v>190.41</v>
      </c>
      <c r="G2528" s="190">
        <v>45768</v>
      </c>
      <c r="H2528" s="196">
        <v>0</v>
      </c>
      <c r="I2528" s="197">
        <v>0</v>
      </c>
      <c r="J2528" s="197">
        <v>0</v>
      </c>
      <c r="K2528" s="197">
        <v>0</v>
      </c>
      <c r="L2528" s="197">
        <v>0</v>
      </c>
      <c r="M2528" s="260" t="s">
        <v>239</v>
      </c>
      <c r="N2528" s="260" t="s">
        <v>514</v>
      </c>
    </row>
    <row r="2529" spans="1:14" ht="14.5" x14ac:dyDescent="0.35">
      <c r="A2529" s="260" t="s">
        <v>566</v>
      </c>
      <c r="B2529" s="190">
        <v>45768</v>
      </c>
      <c r="C2529" s="260" t="s">
        <v>754</v>
      </c>
      <c r="D2529" s="197">
        <v>0</v>
      </c>
      <c r="E2529" s="197">
        <v>0</v>
      </c>
      <c r="F2529" s="197">
        <v>77.760000000000005</v>
      </c>
      <c r="G2529" s="190">
        <v>45768</v>
      </c>
      <c r="H2529" s="196">
        <v>0</v>
      </c>
      <c r="I2529" s="197">
        <v>0</v>
      </c>
      <c r="J2529" s="197">
        <v>0</v>
      </c>
      <c r="K2529" s="197">
        <v>0</v>
      </c>
      <c r="L2529" s="197">
        <v>0</v>
      </c>
      <c r="M2529" s="260" t="s">
        <v>239</v>
      </c>
      <c r="N2529" s="260" t="s">
        <v>514</v>
      </c>
    </row>
    <row r="2530" spans="1:14" ht="14.5" x14ac:dyDescent="0.35">
      <c r="A2530" s="260" t="s">
        <v>566</v>
      </c>
      <c r="B2530" s="190">
        <v>45769</v>
      </c>
      <c r="C2530" s="260" t="s">
        <v>749</v>
      </c>
      <c r="D2530" s="197">
        <v>0</v>
      </c>
      <c r="E2530" s="197">
        <v>0</v>
      </c>
      <c r="F2530" s="197">
        <v>102.38</v>
      </c>
      <c r="G2530" s="190">
        <v>45769</v>
      </c>
      <c r="H2530" s="196">
        <v>0</v>
      </c>
      <c r="I2530" s="197">
        <v>0</v>
      </c>
      <c r="J2530" s="197">
        <v>0</v>
      </c>
      <c r="K2530" s="197">
        <v>0</v>
      </c>
      <c r="L2530" s="197">
        <v>0</v>
      </c>
      <c r="M2530" s="260" t="s">
        <v>239</v>
      </c>
      <c r="N2530" s="260" t="s">
        <v>514</v>
      </c>
    </row>
    <row r="2531" spans="1:14" ht="14.5" x14ac:dyDescent="0.35">
      <c r="A2531" s="260" t="s">
        <v>566</v>
      </c>
      <c r="B2531" s="190">
        <v>45769</v>
      </c>
      <c r="C2531" s="260" t="s">
        <v>752</v>
      </c>
      <c r="D2531" s="197">
        <v>0</v>
      </c>
      <c r="E2531" s="197">
        <v>0</v>
      </c>
      <c r="F2531" s="197">
        <v>190.03</v>
      </c>
      <c r="G2531" s="190">
        <v>45769</v>
      </c>
      <c r="H2531" s="196">
        <v>0</v>
      </c>
      <c r="I2531" s="197">
        <v>0</v>
      </c>
      <c r="J2531" s="197">
        <v>0</v>
      </c>
      <c r="K2531" s="197">
        <v>0</v>
      </c>
      <c r="L2531" s="197">
        <v>0</v>
      </c>
      <c r="M2531" s="260" t="s">
        <v>239</v>
      </c>
      <c r="N2531" s="260" t="s">
        <v>514</v>
      </c>
    </row>
    <row r="2532" spans="1:14" ht="14.5" x14ac:dyDescent="0.35">
      <c r="A2532" s="260" t="s">
        <v>566</v>
      </c>
      <c r="B2532" s="190">
        <v>45769</v>
      </c>
      <c r="C2532" s="260" t="s">
        <v>754</v>
      </c>
      <c r="D2532" s="197">
        <v>0</v>
      </c>
      <c r="E2532" s="197">
        <v>0</v>
      </c>
      <c r="F2532" s="197">
        <v>77.900000000000006</v>
      </c>
      <c r="G2532" s="190">
        <v>45769</v>
      </c>
      <c r="H2532" s="196">
        <v>0</v>
      </c>
      <c r="I2532" s="197">
        <v>0</v>
      </c>
      <c r="J2532" s="197">
        <v>0</v>
      </c>
      <c r="K2532" s="197">
        <v>0</v>
      </c>
      <c r="L2532" s="197">
        <v>0</v>
      </c>
      <c r="M2532" s="260" t="s">
        <v>239</v>
      </c>
      <c r="N2532" s="260" t="s">
        <v>514</v>
      </c>
    </row>
    <row r="2533" spans="1:14" ht="14.5" x14ac:dyDescent="0.35">
      <c r="A2533" s="260" t="s">
        <v>566</v>
      </c>
      <c r="B2533" s="190">
        <v>45770</v>
      </c>
      <c r="C2533" s="260" t="s">
        <v>749</v>
      </c>
      <c r="D2533" s="197">
        <v>0</v>
      </c>
      <c r="E2533" s="197">
        <v>0</v>
      </c>
      <c r="F2533" s="197">
        <v>102.21</v>
      </c>
      <c r="G2533" s="190">
        <v>45770</v>
      </c>
      <c r="H2533" s="196">
        <v>0</v>
      </c>
      <c r="I2533" s="197">
        <v>0</v>
      </c>
      <c r="J2533" s="197">
        <v>0</v>
      </c>
      <c r="K2533" s="197">
        <v>0</v>
      </c>
      <c r="L2533" s="197">
        <v>0</v>
      </c>
      <c r="M2533" s="260" t="s">
        <v>239</v>
      </c>
      <c r="N2533" s="260" t="s">
        <v>514</v>
      </c>
    </row>
    <row r="2534" spans="1:14" ht="14.5" x14ac:dyDescent="0.35">
      <c r="A2534" s="260" t="s">
        <v>566</v>
      </c>
      <c r="B2534" s="190">
        <v>45770</v>
      </c>
      <c r="C2534" s="260" t="s">
        <v>752</v>
      </c>
      <c r="D2534" s="197">
        <v>0</v>
      </c>
      <c r="E2534" s="197">
        <v>0</v>
      </c>
      <c r="F2534" s="197">
        <v>189.66</v>
      </c>
      <c r="G2534" s="190">
        <v>45770</v>
      </c>
      <c r="H2534" s="196">
        <v>0</v>
      </c>
      <c r="I2534" s="197">
        <v>0</v>
      </c>
      <c r="J2534" s="197">
        <v>0</v>
      </c>
      <c r="K2534" s="197">
        <v>0</v>
      </c>
      <c r="L2534" s="197">
        <v>0</v>
      </c>
      <c r="M2534" s="260" t="s">
        <v>239</v>
      </c>
      <c r="N2534" s="260" t="s">
        <v>514</v>
      </c>
    </row>
    <row r="2535" spans="1:14" ht="14.5" x14ac:dyDescent="0.35">
      <c r="A2535" s="260" t="s">
        <v>566</v>
      </c>
      <c r="B2535" s="190">
        <v>45770</v>
      </c>
      <c r="C2535" s="260" t="s">
        <v>754</v>
      </c>
      <c r="D2535" s="197">
        <v>0</v>
      </c>
      <c r="E2535" s="197">
        <v>0</v>
      </c>
      <c r="F2535" s="197">
        <v>78.03</v>
      </c>
      <c r="G2535" s="190">
        <v>45770</v>
      </c>
      <c r="H2535" s="196">
        <v>0</v>
      </c>
      <c r="I2535" s="197">
        <v>0</v>
      </c>
      <c r="J2535" s="197">
        <v>0</v>
      </c>
      <c r="K2535" s="197">
        <v>0</v>
      </c>
      <c r="L2535" s="197">
        <v>0</v>
      </c>
      <c r="M2535" s="260" t="s">
        <v>239</v>
      </c>
      <c r="N2535" s="260" t="s">
        <v>514</v>
      </c>
    </row>
    <row r="2536" spans="1:14" ht="14.5" x14ac:dyDescent="0.35">
      <c r="A2536" s="260" t="s">
        <v>566</v>
      </c>
      <c r="B2536" s="190">
        <v>45771</v>
      </c>
      <c r="C2536" s="260" t="s">
        <v>749</v>
      </c>
      <c r="D2536" s="197">
        <v>0</v>
      </c>
      <c r="E2536" s="197">
        <v>0</v>
      </c>
      <c r="F2536" s="197">
        <v>102.03</v>
      </c>
      <c r="G2536" s="190">
        <v>45771</v>
      </c>
      <c r="H2536" s="196">
        <v>0</v>
      </c>
      <c r="I2536" s="197">
        <v>0</v>
      </c>
      <c r="J2536" s="197">
        <v>0</v>
      </c>
      <c r="K2536" s="197">
        <v>0</v>
      </c>
      <c r="L2536" s="197">
        <v>0</v>
      </c>
      <c r="M2536" s="260" t="s">
        <v>239</v>
      </c>
      <c r="N2536" s="260" t="s">
        <v>514</v>
      </c>
    </row>
    <row r="2537" spans="1:14" ht="14.5" x14ac:dyDescent="0.35">
      <c r="A2537" s="260" t="s">
        <v>566</v>
      </c>
      <c r="B2537" s="190">
        <v>45771</v>
      </c>
      <c r="C2537" s="260" t="s">
        <v>752</v>
      </c>
      <c r="D2537" s="197">
        <v>0</v>
      </c>
      <c r="E2537" s="197">
        <v>0</v>
      </c>
      <c r="F2537" s="197">
        <v>189.28</v>
      </c>
      <c r="G2537" s="190">
        <v>45771</v>
      </c>
      <c r="H2537" s="196">
        <v>0</v>
      </c>
      <c r="I2537" s="197">
        <v>0</v>
      </c>
      <c r="J2537" s="197">
        <v>0</v>
      </c>
      <c r="K2537" s="197">
        <v>0</v>
      </c>
      <c r="L2537" s="197">
        <v>0</v>
      </c>
      <c r="M2537" s="260" t="s">
        <v>239</v>
      </c>
      <c r="N2537" s="260" t="s">
        <v>514</v>
      </c>
    </row>
    <row r="2538" spans="1:14" ht="14.5" x14ac:dyDescent="0.35">
      <c r="A2538" s="260" t="s">
        <v>566</v>
      </c>
      <c r="B2538" s="190">
        <v>45771</v>
      </c>
      <c r="C2538" s="260" t="s">
        <v>754</v>
      </c>
      <c r="D2538" s="197">
        <v>0</v>
      </c>
      <c r="E2538" s="197">
        <v>0</v>
      </c>
      <c r="F2538" s="197">
        <v>78.17</v>
      </c>
      <c r="G2538" s="190">
        <v>45771</v>
      </c>
      <c r="H2538" s="196">
        <v>0</v>
      </c>
      <c r="I2538" s="197">
        <v>0</v>
      </c>
      <c r="J2538" s="197">
        <v>0</v>
      </c>
      <c r="K2538" s="197">
        <v>0</v>
      </c>
      <c r="L2538" s="197">
        <v>0</v>
      </c>
      <c r="M2538" s="260" t="s">
        <v>239</v>
      </c>
      <c r="N2538" s="260" t="s">
        <v>514</v>
      </c>
    </row>
    <row r="2539" spans="1:14" ht="14.5" x14ac:dyDescent="0.35">
      <c r="A2539" s="260" t="s">
        <v>566</v>
      </c>
      <c r="B2539" s="190">
        <v>45772</v>
      </c>
      <c r="C2539" s="260" t="s">
        <v>749</v>
      </c>
      <c r="D2539" s="197">
        <v>0</v>
      </c>
      <c r="E2539" s="197">
        <v>0</v>
      </c>
      <c r="F2539" s="197">
        <v>101.86</v>
      </c>
      <c r="G2539" s="190">
        <v>45772</v>
      </c>
      <c r="H2539" s="196">
        <v>0</v>
      </c>
      <c r="I2539" s="197">
        <v>0</v>
      </c>
      <c r="J2539" s="197">
        <v>0</v>
      </c>
      <c r="K2539" s="197">
        <v>0</v>
      </c>
      <c r="L2539" s="197">
        <v>0</v>
      </c>
      <c r="M2539" s="260" t="s">
        <v>239</v>
      </c>
      <c r="N2539" s="260" t="s">
        <v>514</v>
      </c>
    </row>
    <row r="2540" spans="1:14" ht="14.5" x14ac:dyDescent="0.35">
      <c r="A2540" s="260" t="s">
        <v>566</v>
      </c>
      <c r="B2540" s="190">
        <v>45772</v>
      </c>
      <c r="C2540" s="260" t="s">
        <v>752</v>
      </c>
      <c r="D2540" s="197">
        <v>0</v>
      </c>
      <c r="E2540" s="197">
        <v>0</v>
      </c>
      <c r="F2540" s="197">
        <v>188.9</v>
      </c>
      <c r="G2540" s="190">
        <v>45772</v>
      </c>
      <c r="H2540" s="196">
        <v>0</v>
      </c>
      <c r="I2540" s="197">
        <v>0</v>
      </c>
      <c r="J2540" s="197">
        <v>0</v>
      </c>
      <c r="K2540" s="197">
        <v>0</v>
      </c>
      <c r="L2540" s="197">
        <v>0</v>
      </c>
      <c r="M2540" s="260" t="s">
        <v>239</v>
      </c>
      <c r="N2540" s="260" t="s">
        <v>514</v>
      </c>
    </row>
    <row r="2541" spans="1:14" ht="14.5" x14ac:dyDescent="0.35">
      <c r="A2541" s="260" t="s">
        <v>566</v>
      </c>
      <c r="B2541" s="190">
        <v>45772</v>
      </c>
      <c r="C2541" s="260" t="s">
        <v>754</v>
      </c>
      <c r="D2541" s="197">
        <v>0</v>
      </c>
      <c r="E2541" s="197">
        <v>0</v>
      </c>
      <c r="F2541" s="197">
        <v>78.31</v>
      </c>
      <c r="G2541" s="190">
        <v>45772</v>
      </c>
      <c r="H2541" s="196">
        <v>0</v>
      </c>
      <c r="I2541" s="197">
        <v>0</v>
      </c>
      <c r="J2541" s="197">
        <v>0</v>
      </c>
      <c r="K2541" s="197">
        <v>0</v>
      </c>
      <c r="L2541" s="197">
        <v>0</v>
      </c>
      <c r="M2541" s="260" t="s">
        <v>239</v>
      </c>
      <c r="N2541" s="260" t="s">
        <v>514</v>
      </c>
    </row>
    <row r="2542" spans="1:14" ht="14.5" x14ac:dyDescent="0.35">
      <c r="A2542" s="260" t="s">
        <v>566</v>
      </c>
      <c r="B2542" s="190">
        <v>45773</v>
      </c>
      <c r="C2542" s="260" t="s">
        <v>749</v>
      </c>
      <c r="D2542" s="197">
        <v>0</v>
      </c>
      <c r="E2542" s="197">
        <v>0</v>
      </c>
      <c r="F2542" s="197">
        <v>101.86</v>
      </c>
      <c r="G2542" s="190">
        <v>45772</v>
      </c>
      <c r="H2542" s="196">
        <v>1</v>
      </c>
      <c r="I2542" s="197">
        <v>0</v>
      </c>
      <c r="J2542" s="197">
        <v>0</v>
      </c>
      <c r="K2542" s="197">
        <v>0</v>
      </c>
      <c r="L2542" s="197">
        <v>0</v>
      </c>
      <c r="M2542" s="260" t="s">
        <v>239</v>
      </c>
      <c r="N2542" s="260" t="s">
        <v>514</v>
      </c>
    </row>
    <row r="2543" spans="1:14" ht="14.5" x14ac:dyDescent="0.35">
      <c r="A2543" s="260" t="s">
        <v>566</v>
      </c>
      <c r="B2543" s="190">
        <v>45773</v>
      </c>
      <c r="C2543" s="260" t="s">
        <v>752</v>
      </c>
      <c r="D2543" s="197">
        <v>0</v>
      </c>
      <c r="E2543" s="197">
        <v>0</v>
      </c>
      <c r="F2543" s="197">
        <v>188.9</v>
      </c>
      <c r="G2543" s="190">
        <v>45772</v>
      </c>
      <c r="H2543" s="196">
        <v>1</v>
      </c>
      <c r="I2543" s="197">
        <v>0</v>
      </c>
      <c r="J2543" s="197">
        <v>0</v>
      </c>
      <c r="K2543" s="197">
        <v>0</v>
      </c>
      <c r="L2543" s="197">
        <v>0</v>
      </c>
      <c r="M2543" s="260" t="s">
        <v>239</v>
      </c>
      <c r="N2543" s="260" t="s">
        <v>514</v>
      </c>
    </row>
    <row r="2544" spans="1:14" ht="14.5" x14ac:dyDescent="0.35">
      <c r="A2544" s="260" t="s">
        <v>566</v>
      </c>
      <c r="B2544" s="190">
        <v>45773</v>
      </c>
      <c r="C2544" s="260" t="s">
        <v>754</v>
      </c>
      <c r="D2544" s="197">
        <v>0</v>
      </c>
      <c r="E2544" s="197">
        <v>0</v>
      </c>
      <c r="F2544" s="197">
        <v>78.31</v>
      </c>
      <c r="G2544" s="190">
        <v>45772</v>
      </c>
      <c r="H2544" s="196">
        <v>1</v>
      </c>
      <c r="I2544" s="197">
        <v>0</v>
      </c>
      <c r="J2544" s="197">
        <v>0</v>
      </c>
      <c r="K2544" s="197">
        <v>0</v>
      </c>
      <c r="L2544" s="197">
        <v>0</v>
      </c>
      <c r="M2544" s="260" t="s">
        <v>239</v>
      </c>
      <c r="N2544" s="260" t="s">
        <v>514</v>
      </c>
    </row>
    <row r="2545" spans="1:14" ht="14.5" x14ac:dyDescent="0.35">
      <c r="A2545" s="260" t="s">
        <v>566</v>
      </c>
      <c r="B2545" s="190">
        <v>45774</v>
      </c>
      <c r="C2545" s="260" t="s">
        <v>749</v>
      </c>
      <c r="D2545" s="197">
        <v>0</v>
      </c>
      <c r="E2545" s="197">
        <v>0</v>
      </c>
      <c r="F2545" s="197">
        <v>101.86</v>
      </c>
      <c r="G2545" s="190">
        <v>45772</v>
      </c>
      <c r="H2545" s="196">
        <v>2</v>
      </c>
      <c r="I2545" s="197">
        <v>0</v>
      </c>
      <c r="J2545" s="197">
        <v>0</v>
      </c>
      <c r="K2545" s="197">
        <v>0</v>
      </c>
      <c r="L2545" s="197">
        <v>0</v>
      </c>
      <c r="M2545" s="260" t="s">
        <v>239</v>
      </c>
      <c r="N2545" s="260" t="s">
        <v>514</v>
      </c>
    </row>
    <row r="2546" spans="1:14" ht="14.5" x14ac:dyDescent="0.35">
      <c r="A2546" s="260" t="s">
        <v>566</v>
      </c>
      <c r="B2546" s="190">
        <v>45774</v>
      </c>
      <c r="C2546" s="260" t="s">
        <v>752</v>
      </c>
      <c r="D2546" s="197">
        <v>0</v>
      </c>
      <c r="E2546" s="197">
        <v>0</v>
      </c>
      <c r="F2546" s="197">
        <v>188.9</v>
      </c>
      <c r="G2546" s="190">
        <v>45772</v>
      </c>
      <c r="H2546" s="196">
        <v>2</v>
      </c>
      <c r="I2546" s="197">
        <v>0</v>
      </c>
      <c r="J2546" s="197">
        <v>0</v>
      </c>
      <c r="K2546" s="197">
        <v>0</v>
      </c>
      <c r="L2546" s="197">
        <v>0</v>
      </c>
      <c r="M2546" s="260" t="s">
        <v>239</v>
      </c>
      <c r="N2546" s="260" t="s">
        <v>514</v>
      </c>
    </row>
    <row r="2547" spans="1:14" ht="14.5" x14ac:dyDescent="0.35">
      <c r="A2547" s="260" t="s">
        <v>566</v>
      </c>
      <c r="B2547" s="190">
        <v>45774</v>
      </c>
      <c r="C2547" s="260" t="s">
        <v>754</v>
      </c>
      <c r="D2547" s="197">
        <v>0</v>
      </c>
      <c r="E2547" s="197">
        <v>0</v>
      </c>
      <c r="F2547" s="197">
        <v>78.31</v>
      </c>
      <c r="G2547" s="190">
        <v>45772</v>
      </c>
      <c r="H2547" s="196">
        <v>2</v>
      </c>
      <c r="I2547" s="197">
        <v>0</v>
      </c>
      <c r="J2547" s="197">
        <v>0</v>
      </c>
      <c r="K2547" s="197">
        <v>0</v>
      </c>
      <c r="L2547" s="197">
        <v>0</v>
      </c>
      <c r="M2547" s="260" t="s">
        <v>239</v>
      </c>
      <c r="N2547" s="260" t="s">
        <v>514</v>
      </c>
    </row>
    <row r="2548" spans="1:14" ht="14.5" x14ac:dyDescent="0.35">
      <c r="A2548" s="260" t="s">
        <v>566</v>
      </c>
      <c r="B2548" s="190">
        <v>45775</v>
      </c>
      <c r="C2548" s="260" t="s">
        <v>749</v>
      </c>
      <c r="D2548" s="197">
        <v>0</v>
      </c>
      <c r="E2548" s="197">
        <v>0</v>
      </c>
      <c r="F2548" s="197">
        <v>101.34</v>
      </c>
      <c r="G2548" s="190">
        <v>45775</v>
      </c>
      <c r="H2548" s="196">
        <v>0</v>
      </c>
      <c r="I2548" s="197">
        <v>0</v>
      </c>
      <c r="J2548" s="197">
        <v>0</v>
      </c>
      <c r="K2548" s="197">
        <v>0</v>
      </c>
      <c r="L2548" s="197">
        <v>0</v>
      </c>
      <c r="M2548" s="260" t="s">
        <v>239</v>
      </c>
      <c r="N2548" s="260" t="s">
        <v>514</v>
      </c>
    </row>
    <row r="2549" spans="1:14" ht="14.5" x14ac:dyDescent="0.35">
      <c r="A2549" s="260" t="s">
        <v>566</v>
      </c>
      <c r="B2549" s="190">
        <v>45775</v>
      </c>
      <c r="C2549" s="260" t="s">
        <v>752</v>
      </c>
      <c r="D2549" s="197">
        <v>0</v>
      </c>
      <c r="E2549" s="197">
        <v>0</v>
      </c>
      <c r="F2549" s="197">
        <v>187.76</v>
      </c>
      <c r="G2549" s="190">
        <v>45775</v>
      </c>
      <c r="H2549" s="196">
        <v>0</v>
      </c>
      <c r="I2549" s="197">
        <v>0</v>
      </c>
      <c r="J2549" s="197">
        <v>0</v>
      </c>
      <c r="K2549" s="197">
        <v>0</v>
      </c>
      <c r="L2549" s="197">
        <v>0</v>
      </c>
      <c r="M2549" s="260" t="s">
        <v>239</v>
      </c>
      <c r="N2549" s="260" t="s">
        <v>514</v>
      </c>
    </row>
    <row r="2550" spans="1:14" ht="14.5" x14ac:dyDescent="0.35">
      <c r="A2550" s="260" t="s">
        <v>566</v>
      </c>
      <c r="B2550" s="190">
        <v>45775</v>
      </c>
      <c r="C2550" s="260" t="s">
        <v>754</v>
      </c>
      <c r="D2550" s="197">
        <v>0</v>
      </c>
      <c r="E2550" s="197">
        <v>0</v>
      </c>
      <c r="F2550" s="197">
        <v>78.72</v>
      </c>
      <c r="G2550" s="190">
        <v>45775</v>
      </c>
      <c r="H2550" s="196">
        <v>0</v>
      </c>
      <c r="I2550" s="197">
        <v>0</v>
      </c>
      <c r="J2550" s="197">
        <v>0</v>
      </c>
      <c r="K2550" s="197">
        <v>0</v>
      </c>
      <c r="L2550" s="197">
        <v>0</v>
      </c>
      <c r="M2550" s="260" t="s">
        <v>239</v>
      </c>
      <c r="N2550" s="260" t="s">
        <v>514</v>
      </c>
    </row>
    <row r="2551" spans="1:14" ht="14.5" x14ac:dyDescent="0.35">
      <c r="A2551" s="260" t="s">
        <v>566</v>
      </c>
      <c r="B2551" s="190">
        <v>45776</v>
      </c>
      <c r="C2551" s="260" t="s">
        <v>749</v>
      </c>
      <c r="D2551" s="197">
        <v>0</v>
      </c>
      <c r="E2551" s="197">
        <v>0</v>
      </c>
      <c r="F2551" s="197">
        <v>101.17</v>
      </c>
      <c r="G2551" s="190">
        <v>45776</v>
      </c>
      <c r="H2551" s="196">
        <v>0</v>
      </c>
      <c r="I2551" s="197">
        <v>0</v>
      </c>
      <c r="J2551" s="197">
        <v>0</v>
      </c>
      <c r="K2551" s="197">
        <v>0</v>
      </c>
      <c r="L2551" s="197">
        <v>0</v>
      </c>
      <c r="M2551" s="260" t="s">
        <v>239</v>
      </c>
      <c r="N2551" s="260" t="s">
        <v>514</v>
      </c>
    </row>
    <row r="2552" spans="1:14" ht="14.5" x14ac:dyDescent="0.35">
      <c r="A2552" s="260" t="s">
        <v>566</v>
      </c>
      <c r="B2552" s="190">
        <v>45776</v>
      </c>
      <c r="C2552" s="260" t="s">
        <v>752</v>
      </c>
      <c r="D2552" s="197">
        <v>0</v>
      </c>
      <c r="E2552" s="197">
        <v>0</v>
      </c>
      <c r="F2552" s="197">
        <v>187.38</v>
      </c>
      <c r="G2552" s="190">
        <v>45776</v>
      </c>
      <c r="H2552" s="196">
        <v>0</v>
      </c>
      <c r="I2552" s="197">
        <v>0</v>
      </c>
      <c r="J2552" s="197">
        <v>0</v>
      </c>
      <c r="K2552" s="197">
        <v>0</v>
      </c>
      <c r="L2552" s="197">
        <v>0</v>
      </c>
      <c r="M2552" s="260" t="s">
        <v>239</v>
      </c>
      <c r="N2552" s="260" t="s">
        <v>514</v>
      </c>
    </row>
    <row r="2553" spans="1:14" ht="14.5" x14ac:dyDescent="0.35">
      <c r="A2553" s="260" t="s">
        <v>566</v>
      </c>
      <c r="B2553" s="190">
        <v>45776</v>
      </c>
      <c r="C2553" s="260" t="s">
        <v>754</v>
      </c>
      <c r="D2553" s="197">
        <v>0</v>
      </c>
      <c r="E2553" s="197">
        <v>0</v>
      </c>
      <c r="F2553" s="197">
        <v>78.86</v>
      </c>
      <c r="G2553" s="190">
        <v>45776</v>
      </c>
      <c r="H2553" s="196">
        <v>0</v>
      </c>
      <c r="I2553" s="197">
        <v>0</v>
      </c>
      <c r="J2553" s="197">
        <v>0</v>
      </c>
      <c r="K2553" s="197">
        <v>0</v>
      </c>
      <c r="L2553" s="197">
        <v>0</v>
      </c>
      <c r="M2553" s="260" t="s">
        <v>239</v>
      </c>
      <c r="N2553" s="260" t="s">
        <v>514</v>
      </c>
    </row>
    <row r="2554" spans="1:14" ht="14.5" x14ac:dyDescent="0.35">
      <c r="A2554" s="260" t="s">
        <v>566</v>
      </c>
      <c r="B2554" s="190">
        <v>45777</v>
      </c>
      <c r="C2554" s="260" t="s">
        <v>749</v>
      </c>
      <c r="D2554" s="197">
        <v>0</v>
      </c>
      <c r="E2554" s="197">
        <v>0</v>
      </c>
      <c r="F2554" s="197">
        <v>101</v>
      </c>
      <c r="G2554" s="190">
        <v>45777</v>
      </c>
      <c r="H2554" s="196">
        <v>0</v>
      </c>
      <c r="I2554" s="197">
        <v>0</v>
      </c>
      <c r="J2554" s="197">
        <v>0</v>
      </c>
      <c r="K2554" s="197">
        <v>0</v>
      </c>
      <c r="L2554" s="197">
        <v>0</v>
      </c>
      <c r="M2554" s="260" t="s">
        <v>239</v>
      </c>
      <c r="N2554" s="260" t="s">
        <v>514</v>
      </c>
    </row>
    <row r="2555" spans="1:14" ht="14.5" x14ac:dyDescent="0.35">
      <c r="A2555" s="260" t="s">
        <v>566</v>
      </c>
      <c r="B2555" s="190">
        <v>45777</v>
      </c>
      <c r="C2555" s="260" t="s">
        <v>752</v>
      </c>
      <c r="D2555" s="197">
        <v>0</v>
      </c>
      <c r="E2555" s="197">
        <v>0</v>
      </c>
      <c r="F2555" s="197">
        <v>187</v>
      </c>
      <c r="G2555" s="190">
        <v>45777</v>
      </c>
      <c r="H2555" s="196">
        <v>0</v>
      </c>
      <c r="I2555" s="197">
        <v>0</v>
      </c>
      <c r="J2555" s="197">
        <v>0</v>
      </c>
      <c r="K2555" s="197">
        <v>0</v>
      </c>
      <c r="L2555" s="197">
        <v>0</v>
      </c>
      <c r="M2555" s="260" t="s">
        <v>239</v>
      </c>
      <c r="N2555" s="260" t="s">
        <v>514</v>
      </c>
    </row>
    <row r="2556" spans="1:14" ht="14.5" x14ac:dyDescent="0.35">
      <c r="A2556" s="260" t="s">
        <v>566</v>
      </c>
      <c r="B2556" s="190">
        <v>45777</v>
      </c>
      <c r="C2556" s="260" t="s">
        <v>754</v>
      </c>
      <c r="D2556" s="197">
        <v>0</v>
      </c>
      <c r="E2556" s="197">
        <v>0</v>
      </c>
      <c r="F2556" s="197">
        <v>79</v>
      </c>
      <c r="G2556" s="190">
        <v>45777</v>
      </c>
      <c r="H2556" s="196">
        <v>0</v>
      </c>
      <c r="I2556" s="197">
        <v>0</v>
      </c>
      <c r="J2556" s="197">
        <v>0</v>
      </c>
      <c r="K2556" s="197">
        <v>0</v>
      </c>
      <c r="L2556" s="197">
        <v>0</v>
      </c>
      <c r="M2556" s="260" t="s">
        <v>239</v>
      </c>
      <c r="N2556" s="260" t="s">
        <v>514</v>
      </c>
    </row>
    <row r="2557" spans="1:14" ht="14.5" x14ac:dyDescent="0.35">
      <c r="A2557" s="260" t="s">
        <v>566</v>
      </c>
      <c r="B2557" s="190">
        <v>45778</v>
      </c>
      <c r="C2557" s="260" t="s">
        <v>749</v>
      </c>
      <c r="D2557" s="197">
        <v>0</v>
      </c>
      <c r="E2557" s="197">
        <v>0</v>
      </c>
      <c r="F2557" s="197">
        <v>101</v>
      </c>
      <c r="G2557" s="190">
        <v>45778</v>
      </c>
      <c r="H2557" s="196">
        <v>0</v>
      </c>
      <c r="I2557" s="197">
        <v>0</v>
      </c>
      <c r="J2557" s="197">
        <v>0</v>
      </c>
      <c r="K2557" s="197">
        <v>0</v>
      </c>
      <c r="L2557" s="197">
        <v>0</v>
      </c>
      <c r="M2557" s="260" t="s">
        <v>239</v>
      </c>
      <c r="N2557" s="260" t="s">
        <v>514</v>
      </c>
    </row>
    <row r="2558" spans="1:14" ht="14.5" x14ac:dyDescent="0.35">
      <c r="A2558" s="260" t="s">
        <v>566</v>
      </c>
      <c r="B2558" s="190">
        <v>45778</v>
      </c>
      <c r="C2558" s="260" t="s">
        <v>752</v>
      </c>
      <c r="D2558" s="197">
        <v>0</v>
      </c>
      <c r="E2558" s="197">
        <v>0</v>
      </c>
      <c r="F2558" s="197">
        <v>187</v>
      </c>
      <c r="G2558" s="190">
        <v>45778</v>
      </c>
      <c r="H2558" s="196">
        <v>0</v>
      </c>
      <c r="I2558" s="197">
        <v>0</v>
      </c>
      <c r="J2558" s="197">
        <v>0</v>
      </c>
      <c r="K2558" s="197">
        <v>0</v>
      </c>
      <c r="L2558" s="197">
        <v>0</v>
      </c>
      <c r="M2558" s="260" t="s">
        <v>239</v>
      </c>
      <c r="N2558" s="260" t="s">
        <v>514</v>
      </c>
    </row>
    <row r="2559" spans="1:14" ht="14.5" x14ac:dyDescent="0.35">
      <c r="A2559" s="260" t="s">
        <v>566</v>
      </c>
      <c r="B2559" s="190">
        <v>45778</v>
      </c>
      <c r="C2559" s="260" t="s">
        <v>754</v>
      </c>
      <c r="D2559" s="197">
        <v>0</v>
      </c>
      <c r="E2559" s="197">
        <v>0</v>
      </c>
      <c r="F2559" s="197">
        <v>79</v>
      </c>
      <c r="G2559" s="190">
        <v>45778</v>
      </c>
      <c r="H2559" s="196">
        <v>0</v>
      </c>
      <c r="I2559" s="197">
        <v>0</v>
      </c>
      <c r="J2559" s="197">
        <v>0</v>
      </c>
      <c r="K2559" s="197">
        <v>0</v>
      </c>
      <c r="L2559" s="197">
        <v>0</v>
      </c>
      <c r="M2559" s="260" t="s">
        <v>239</v>
      </c>
      <c r="N2559" s="260" t="s">
        <v>514</v>
      </c>
    </row>
    <row r="2560" spans="1:14" ht="14.5" x14ac:dyDescent="0.35">
      <c r="A2560" s="260" t="s">
        <v>566</v>
      </c>
      <c r="B2560" s="190">
        <v>45779</v>
      </c>
      <c r="C2560" s="260" t="s">
        <v>749</v>
      </c>
      <c r="D2560" s="197">
        <v>0</v>
      </c>
      <c r="E2560" s="197">
        <v>0</v>
      </c>
      <c r="F2560" s="197">
        <v>100.93</v>
      </c>
      <c r="G2560" s="190">
        <v>45779</v>
      </c>
      <c r="H2560" s="196">
        <v>0</v>
      </c>
      <c r="I2560" s="197">
        <v>0</v>
      </c>
      <c r="J2560" s="197">
        <v>0</v>
      </c>
      <c r="K2560" s="197">
        <v>0</v>
      </c>
      <c r="L2560" s="197">
        <v>0</v>
      </c>
      <c r="M2560" s="260" t="s">
        <v>239</v>
      </c>
      <c r="N2560" s="260" t="s">
        <v>514</v>
      </c>
    </row>
    <row r="2561" spans="1:14" ht="14.5" x14ac:dyDescent="0.35">
      <c r="A2561" s="260" t="s">
        <v>566</v>
      </c>
      <c r="B2561" s="190">
        <v>45779</v>
      </c>
      <c r="C2561" s="260" t="s">
        <v>752</v>
      </c>
      <c r="D2561" s="197">
        <v>0</v>
      </c>
      <c r="E2561" s="197">
        <v>0</v>
      </c>
      <c r="F2561" s="197">
        <v>187.2</v>
      </c>
      <c r="G2561" s="190">
        <v>45779</v>
      </c>
      <c r="H2561" s="196">
        <v>0</v>
      </c>
      <c r="I2561" s="197">
        <v>0</v>
      </c>
      <c r="J2561" s="197">
        <v>0</v>
      </c>
      <c r="K2561" s="197">
        <v>0</v>
      </c>
      <c r="L2561" s="197">
        <v>0</v>
      </c>
      <c r="M2561" s="260" t="s">
        <v>239</v>
      </c>
      <c r="N2561" s="260" t="s">
        <v>514</v>
      </c>
    </row>
    <row r="2562" spans="1:14" ht="14.5" x14ac:dyDescent="0.35">
      <c r="A2562" s="260" t="s">
        <v>566</v>
      </c>
      <c r="B2562" s="190">
        <v>45779</v>
      </c>
      <c r="C2562" s="260" t="s">
        <v>754</v>
      </c>
      <c r="D2562" s="197">
        <v>0</v>
      </c>
      <c r="E2562" s="197">
        <v>0</v>
      </c>
      <c r="F2562" s="197">
        <v>79.2</v>
      </c>
      <c r="G2562" s="190">
        <v>45779</v>
      </c>
      <c r="H2562" s="196">
        <v>0</v>
      </c>
      <c r="I2562" s="197">
        <v>0</v>
      </c>
      <c r="J2562" s="197">
        <v>0</v>
      </c>
      <c r="K2562" s="197">
        <v>0</v>
      </c>
      <c r="L2562" s="197">
        <v>0</v>
      </c>
      <c r="M2562" s="260" t="s">
        <v>239</v>
      </c>
      <c r="N2562" s="260" t="s">
        <v>514</v>
      </c>
    </row>
    <row r="2563" spans="1:14" ht="14.5" x14ac:dyDescent="0.35">
      <c r="A2563" s="260" t="s">
        <v>566</v>
      </c>
      <c r="B2563" s="190">
        <v>45780</v>
      </c>
      <c r="C2563" s="260" t="s">
        <v>749</v>
      </c>
      <c r="D2563" s="197">
        <v>0</v>
      </c>
      <c r="E2563" s="197">
        <v>0</v>
      </c>
      <c r="F2563" s="197">
        <v>100.93</v>
      </c>
      <c r="G2563" s="190">
        <v>45779</v>
      </c>
      <c r="H2563" s="196">
        <v>1</v>
      </c>
      <c r="I2563" s="197">
        <v>0</v>
      </c>
      <c r="J2563" s="197">
        <v>0</v>
      </c>
      <c r="K2563" s="197">
        <v>0</v>
      </c>
      <c r="L2563" s="197">
        <v>0</v>
      </c>
      <c r="M2563" s="260" t="s">
        <v>239</v>
      </c>
      <c r="N2563" s="260" t="s">
        <v>514</v>
      </c>
    </row>
    <row r="2564" spans="1:14" ht="14.5" x14ac:dyDescent="0.35">
      <c r="A2564" s="260" t="s">
        <v>566</v>
      </c>
      <c r="B2564" s="190">
        <v>45780</v>
      </c>
      <c r="C2564" s="260" t="s">
        <v>752</v>
      </c>
      <c r="D2564" s="197">
        <v>0</v>
      </c>
      <c r="E2564" s="197">
        <v>0</v>
      </c>
      <c r="F2564" s="197">
        <v>187.2</v>
      </c>
      <c r="G2564" s="190">
        <v>45779</v>
      </c>
      <c r="H2564" s="196">
        <v>1</v>
      </c>
      <c r="I2564" s="197">
        <v>0</v>
      </c>
      <c r="J2564" s="197">
        <v>0</v>
      </c>
      <c r="K2564" s="197">
        <v>0</v>
      </c>
      <c r="L2564" s="197">
        <v>0</v>
      </c>
      <c r="M2564" s="260" t="s">
        <v>239</v>
      </c>
      <c r="N2564" s="260" t="s">
        <v>514</v>
      </c>
    </row>
    <row r="2565" spans="1:14" ht="14.5" x14ac:dyDescent="0.35">
      <c r="A2565" s="260" t="s">
        <v>566</v>
      </c>
      <c r="B2565" s="190">
        <v>45780</v>
      </c>
      <c r="C2565" s="260" t="s">
        <v>754</v>
      </c>
      <c r="D2565" s="197">
        <v>0</v>
      </c>
      <c r="E2565" s="197">
        <v>0</v>
      </c>
      <c r="F2565" s="197">
        <v>79.2</v>
      </c>
      <c r="G2565" s="190">
        <v>45779</v>
      </c>
      <c r="H2565" s="196">
        <v>1</v>
      </c>
      <c r="I2565" s="197">
        <v>0</v>
      </c>
      <c r="J2565" s="197">
        <v>0</v>
      </c>
      <c r="K2565" s="197">
        <v>0</v>
      </c>
      <c r="L2565" s="197">
        <v>0</v>
      </c>
      <c r="M2565" s="260" t="s">
        <v>239</v>
      </c>
      <c r="N2565" s="260" t="s">
        <v>514</v>
      </c>
    </row>
    <row r="2566" spans="1:14" ht="14.5" x14ac:dyDescent="0.35">
      <c r="A2566" s="260" t="s">
        <v>566</v>
      </c>
      <c r="B2566" s="190">
        <v>45781</v>
      </c>
      <c r="C2566" s="260" t="s">
        <v>749</v>
      </c>
      <c r="D2566" s="197">
        <v>0</v>
      </c>
      <c r="E2566" s="197">
        <v>0</v>
      </c>
      <c r="F2566" s="197">
        <v>100.93</v>
      </c>
      <c r="G2566" s="190">
        <v>45779</v>
      </c>
      <c r="H2566" s="196">
        <v>2</v>
      </c>
      <c r="I2566" s="197">
        <v>0</v>
      </c>
      <c r="J2566" s="197">
        <v>0</v>
      </c>
      <c r="K2566" s="197">
        <v>0</v>
      </c>
      <c r="L2566" s="197">
        <v>0</v>
      </c>
      <c r="M2566" s="260" t="s">
        <v>239</v>
      </c>
      <c r="N2566" s="260" t="s">
        <v>514</v>
      </c>
    </row>
    <row r="2567" spans="1:14" ht="14.5" x14ac:dyDescent="0.35">
      <c r="A2567" s="260" t="s">
        <v>566</v>
      </c>
      <c r="B2567" s="190">
        <v>45781</v>
      </c>
      <c r="C2567" s="260" t="s">
        <v>752</v>
      </c>
      <c r="D2567" s="197">
        <v>0</v>
      </c>
      <c r="E2567" s="197">
        <v>0</v>
      </c>
      <c r="F2567" s="197">
        <v>187.2</v>
      </c>
      <c r="G2567" s="190">
        <v>45779</v>
      </c>
      <c r="H2567" s="196">
        <v>2</v>
      </c>
      <c r="I2567" s="197">
        <v>0</v>
      </c>
      <c r="J2567" s="197">
        <v>0</v>
      </c>
      <c r="K2567" s="197">
        <v>0</v>
      </c>
      <c r="L2567" s="197">
        <v>0</v>
      </c>
      <c r="M2567" s="260" t="s">
        <v>239</v>
      </c>
      <c r="N2567" s="260" t="s">
        <v>514</v>
      </c>
    </row>
    <row r="2568" spans="1:14" ht="14.5" x14ac:dyDescent="0.35">
      <c r="A2568" s="260" t="s">
        <v>566</v>
      </c>
      <c r="B2568" s="190">
        <v>45781</v>
      </c>
      <c r="C2568" s="260" t="s">
        <v>754</v>
      </c>
      <c r="D2568" s="197">
        <v>0</v>
      </c>
      <c r="E2568" s="197">
        <v>0</v>
      </c>
      <c r="F2568" s="197">
        <v>79.2</v>
      </c>
      <c r="G2568" s="190">
        <v>45779</v>
      </c>
      <c r="H2568" s="196">
        <v>2</v>
      </c>
      <c r="I2568" s="197">
        <v>0</v>
      </c>
      <c r="J2568" s="197">
        <v>0</v>
      </c>
      <c r="K2568" s="197">
        <v>0</v>
      </c>
      <c r="L2568" s="197">
        <v>0</v>
      </c>
      <c r="M2568" s="260" t="s">
        <v>239</v>
      </c>
      <c r="N2568" s="260" t="s">
        <v>514</v>
      </c>
    </row>
    <row r="2569" spans="1:14" ht="14.5" x14ac:dyDescent="0.35">
      <c r="A2569" s="260" t="s">
        <v>566</v>
      </c>
      <c r="B2569" s="190">
        <v>45782</v>
      </c>
      <c r="C2569" s="260" t="s">
        <v>749</v>
      </c>
      <c r="D2569" s="197">
        <v>0</v>
      </c>
      <c r="E2569" s="197">
        <v>0</v>
      </c>
      <c r="F2569" s="197">
        <v>100.73</v>
      </c>
      <c r="G2569" s="190">
        <v>45782</v>
      </c>
      <c r="H2569" s="196">
        <v>0</v>
      </c>
      <c r="I2569" s="197">
        <v>0</v>
      </c>
      <c r="J2569" s="197">
        <v>0</v>
      </c>
      <c r="K2569" s="197">
        <v>0</v>
      </c>
      <c r="L2569" s="197">
        <v>0</v>
      </c>
      <c r="M2569" s="260" t="s">
        <v>239</v>
      </c>
      <c r="N2569" s="260" t="s">
        <v>514</v>
      </c>
    </row>
    <row r="2570" spans="1:14" ht="14.5" x14ac:dyDescent="0.35">
      <c r="A2570" s="260" t="s">
        <v>566</v>
      </c>
      <c r="B2570" s="190">
        <v>45782</v>
      </c>
      <c r="C2570" s="260" t="s">
        <v>752</v>
      </c>
      <c r="D2570" s="197">
        <v>0</v>
      </c>
      <c r="E2570" s="197">
        <v>0</v>
      </c>
      <c r="F2570" s="197">
        <v>187.8</v>
      </c>
      <c r="G2570" s="190">
        <v>45782</v>
      </c>
      <c r="H2570" s="196">
        <v>0</v>
      </c>
      <c r="I2570" s="197">
        <v>0</v>
      </c>
      <c r="J2570" s="197">
        <v>0</v>
      </c>
      <c r="K2570" s="197">
        <v>0</v>
      </c>
      <c r="L2570" s="197">
        <v>0</v>
      </c>
      <c r="M2570" s="260" t="s">
        <v>239</v>
      </c>
      <c r="N2570" s="260" t="s">
        <v>514</v>
      </c>
    </row>
    <row r="2571" spans="1:14" ht="14.5" x14ac:dyDescent="0.35">
      <c r="A2571" s="260" t="s">
        <v>566</v>
      </c>
      <c r="B2571" s="190">
        <v>45782</v>
      </c>
      <c r="C2571" s="260" t="s">
        <v>754</v>
      </c>
      <c r="D2571" s="197">
        <v>0</v>
      </c>
      <c r="E2571" s="197">
        <v>0</v>
      </c>
      <c r="F2571" s="197">
        <v>79.8</v>
      </c>
      <c r="G2571" s="190">
        <v>45782</v>
      </c>
      <c r="H2571" s="196">
        <v>0</v>
      </c>
      <c r="I2571" s="197">
        <v>0</v>
      </c>
      <c r="J2571" s="197">
        <v>0</v>
      </c>
      <c r="K2571" s="197">
        <v>0</v>
      </c>
      <c r="L2571" s="197">
        <v>0</v>
      </c>
      <c r="M2571" s="260" t="s">
        <v>239</v>
      </c>
      <c r="N2571" s="260" t="s">
        <v>514</v>
      </c>
    </row>
    <row r="2572" spans="1:14" ht="14.5" x14ac:dyDescent="0.35">
      <c r="A2572" s="260" t="s">
        <v>566</v>
      </c>
      <c r="B2572" s="190">
        <v>45783</v>
      </c>
      <c r="C2572" s="260" t="s">
        <v>749</v>
      </c>
      <c r="D2572" s="197">
        <v>0</v>
      </c>
      <c r="E2572" s="197">
        <v>0</v>
      </c>
      <c r="F2572" s="197">
        <v>100.67</v>
      </c>
      <c r="G2572" s="190">
        <v>45783</v>
      </c>
      <c r="H2572" s="196">
        <v>0</v>
      </c>
      <c r="I2572" s="197">
        <v>0</v>
      </c>
      <c r="J2572" s="197">
        <v>0</v>
      </c>
      <c r="K2572" s="197">
        <v>0</v>
      </c>
      <c r="L2572" s="197">
        <v>0</v>
      </c>
      <c r="M2572" s="260" t="s">
        <v>239</v>
      </c>
      <c r="N2572" s="260" t="s">
        <v>514</v>
      </c>
    </row>
    <row r="2573" spans="1:14" ht="14.5" x14ac:dyDescent="0.35">
      <c r="A2573" s="260" t="s">
        <v>566</v>
      </c>
      <c r="B2573" s="190">
        <v>45783</v>
      </c>
      <c r="C2573" s="260" t="s">
        <v>752</v>
      </c>
      <c r="D2573" s="197">
        <v>0</v>
      </c>
      <c r="E2573" s="197">
        <v>0</v>
      </c>
      <c r="F2573" s="197">
        <v>188</v>
      </c>
      <c r="G2573" s="190">
        <v>45783</v>
      </c>
      <c r="H2573" s="196">
        <v>0</v>
      </c>
      <c r="I2573" s="197">
        <v>0</v>
      </c>
      <c r="J2573" s="197">
        <v>0</v>
      </c>
      <c r="K2573" s="197">
        <v>0</v>
      </c>
      <c r="L2573" s="197">
        <v>0</v>
      </c>
      <c r="M2573" s="260" t="s">
        <v>239</v>
      </c>
      <c r="N2573" s="260" t="s">
        <v>514</v>
      </c>
    </row>
    <row r="2574" spans="1:14" ht="14.5" x14ac:dyDescent="0.35">
      <c r="A2574" s="260" t="s">
        <v>566</v>
      </c>
      <c r="B2574" s="190">
        <v>45783</v>
      </c>
      <c r="C2574" s="260" t="s">
        <v>754</v>
      </c>
      <c r="D2574" s="197">
        <v>0</v>
      </c>
      <c r="E2574" s="197">
        <v>0</v>
      </c>
      <c r="F2574" s="197">
        <v>80</v>
      </c>
      <c r="G2574" s="190">
        <v>45783</v>
      </c>
      <c r="H2574" s="196">
        <v>0</v>
      </c>
      <c r="I2574" s="197">
        <v>0</v>
      </c>
      <c r="J2574" s="197">
        <v>0</v>
      </c>
      <c r="K2574" s="197">
        <v>0</v>
      </c>
      <c r="L2574" s="197">
        <v>0</v>
      </c>
      <c r="M2574" s="260" t="s">
        <v>239</v>
      </c>
      <c r="N2574" s="260" t="s">
        <v>514</v>
      </c>
    </row>
    <row r="2575" spans="1:14" ht="14.5" x14ac:dyDescent="0.35">
      <c r="A2575" s="260" t="s">
        <v>566</v>
      </c>
      <c r="B2575" s="190">
        <v>45784</v>
      </c>
      <c r="C2575" s="260" t="s">
        <v>749</v>
      </c>
      <c r="D2575" s="197">
        <v>0</v>
      </c>
      <c r="E2575" s="197">
        <v>0</v>
      </c>
      <c r="F2575" s="197">
        <v>100.6</v>
      </c>
      <c r="G2575" s="190">
        <v>45784</v>
      </c>
      <c r="H2575" s="196">
        <v>0</v>
      </c>
      <c r="I2575" s="197">
        <v>0</v>
      </c>
      <c r="J2575" s="197">
        <v>0</v>
      </c>
      <c r="K2575" s="197">
        <v>0</v>
      </c>
      <c r="L2575" s="197">
        <v>0</v>
      </c>
      <c r="M2575" s="260" t="s">
        <v>239</v>
      </c>
      <c r="N2575" s="260" t="s">
        <v>514</v>
      </c>
    </row>
    <row r="2576" spans="1:14" ht="14.5" x14ac:dyDescent="0.35">
      <c r="A2576" s="260" t="s">
        <v>566</v>
      </c>
      <c r="B2576" s="190">
        <v>45784</v>
      </c>
      <c r="C2576" s="260" t="s">
        <v>752</v>
      </c>
      <c r="D2576" s="197">
        <v>0</v>
      </c>
      <c r="E2576" s="197">
        <v>0</v>
      </c>
      <c r="F2576" s="197">
        <v>188.2</v>
      </c>
      <c r="G2576" s="190">
        <v>45784</v>
      </c>
      <c r="H2576" s="196">
        <v>0</v>
      </c>
      <c r="I2576" s="197">
        <v>0</v>
      </c>
      <c r="J2576" s="197">
        <v>0</v>
      </c>
      <c r="K2576" s="197">
        <v>0</v>
      </c>
      <c r="L2576" s="197">
        <v>0</v>
      </c>
      <c r="M2576" s="260" t="s">
        <v>239</v>
      </c>
      <c r="N2576" s="260" t="s">
        <v>514</v>
      </c>
    </row>
    <row r="2577" spans="1:14" ht="14.5" x14ac:dyDescent="0.35">
      <c r="A2577" s="260" t="s">
        <v>566</v>
      </c>
      <c r="B2577" s="190">
        <v>45784</v>
      </c>
      <c r="C2577" s="260" t="s">
        <v>754</v>
      </c>
      <c r="D2577" s="197">
        <v>0</v>
      </c>
      <c r="E2577" s="197">
        <v>0</v>
      </c>
      <c r="F2577" s="197">
        <v>80.2</v>
      </c>
      <c r="G2577" s="190">
        <v>45784</v>
      </c>
      <c r="H2577" s="196">
        <v>0</v>
      </c>
      <c r="I2577" s="197">
        <v>0</v>
      </c>
      <c r="J2577" s="197">
        <v>0</v>
      </c>
      <c r="K2577" s="197">
        <v>0</v>
      </c>
      <c r="L2577" s="197">
        <v>0</v>
      </c>
      <c r="M2577" s="260" t="s">
        <v>239</v>
      </c>
      <c r="N2577" s="260" t="s">
        <v>514</v>
      </c>
    </row>
    <row r="2578" spans="1:14" ht="14.5" x14ac:dyDescent="0.35">
      <c r="A2578" s="260" t="s">
        <v>566</v>
      </c>
      <c r="B2578" s="190">
        <v>45785</v>
      </c>
      <c r="C2578" s="260" t="s">
        <v>749</v>
      </c>
      <c r="D2578" s="197">
        <v>0</v>
      </c>
      <c r="E2578" s="197">
        <v>0</v>
      </c>
      <c r="F2578" s="197">
        <v>100.53</v>
      </c>
      <c r="G2578" s="190">
        <v>45785</v>
      </c>
      <c r="H2578" s="196">
        <v>0</v>
      </c>
      <c r="I2578" s="197">
        <v>0</v>
      </c>
      <c r="J2578" s="197">
        <v>0</v>
      </c>
      <c r="K2578" s="197">
        <v>0</v>
      </c>
      <c r="L2578" s="197">
        <v>0</v>
      </c>
      <c r="M2578" s="260" t="s">
        <v>239</v>
      </c>
      <c r="N2578" s="260" t="s">
        <v>514</v>
      </c>
    </row>
    <row r="2579" spans="1:14" ht="14.5" x14ac:dyDescent="0.35">
      <c r="A2579" s="260" t="s">
        <v>566</v>
      </c>
      <c r="B2579" s="190">
        <v>45785</v>
      </c>
      <c r="C2579" s="260" t="s">
        <v>752</v>
      </c>
      <c r="D2579" s="197">
        <v>0</v>
      </c>
      <c r="E2579" s="197">
        <v>0</v>
      </c>
      <c r="F2579" s="197">
        <v>188.4</v>
      </c>
      <c r="G2579" s="190">
        <v>45785</v>
      </c>
      <c r="H2579" s="196">
        <v>0</v>
      </c>
      <c r="I2579" s="197">
        <v>0</v>
      </c>
      <c r="J2579" s="197">
        <v>0</v>
      </c>
      <c r="K2579" s="197">
        <v>0</v>
      </c>
      <c r="L2579" s="197">
        <v>0</v>
      </c>
      <c r="M2579" s="260" t="s">
        <v>239</v>
      </c>
      <c r="N2579" s="260" t="s">
        <v>514</v>
      </c>
    </row>
    <row r="2580" spans="1:14" ht="14.5" x14ac:dyDescent="0.35">
      <c r="A2580" s="260" t="s">
        <v>566</v>
      </c>
      <c r="B2580" s="190">
        <v>45785</v>
      </c>
      <c r="C2580" s="260" t="s">
        <v>754</v>
      </c>
      <c r="D2580" s="197">
        <v>0</v>
      </c>
      <c r="E2580" s="197">
        <v>0</v>
      </c>
      <c r="F2580" s="197">
        <v>80.400000000000006</v>
      </c>
      <c r="G2580" s="190">
        <v>45785</v>
      </c>
      <c r="H2580" s="196">
        <v>0</v>
      </c>
      <c r="I2580" s="197">
        <v>0</v>
      </c>
      <c r="J2580" s="197">
        <v>0</v>
      </c>
      <c r="K2580" s="197">
        <v>0</v>
      </c>
      <c r="L2580" s="197">
        <v>0</v>
      </c>
      <c r="M2580" s="260" t="s">
        <v>239</v>
      </c>
      <c r="N2580" s="260" t="s">
        <v>514</v>
      </c>
    </row>
    <row r="2581" spans="1:14" ht="14.5" x14ac:dyDescent="0.35">
      <c r="A2581" s="260" t="s">
        <v>566</v>
      </c>
      <c r="B2581" s="190">
        <v>45786</v>
      </c>
      <c r="C2581" s="260" t="s">
        <v>749</v>
      </c>
      <c r="D2581" s="197">
        <v>0</v>
      </c>
      <c r="E2581" s="197">
        <v>0</v>
      </c>
      <c r="F2581" s="197">
        <v>100.47</v>
      </c>
      <c r="G2581" s="190">
        <v>45786</v>
      </c>
      <c r="H2581" s="196">
        <v>0</v>
      </c>
      <c r="I2581" s="197">
        <v>0</v>
      </c>
      <c r="J2581" s="197">
        <v>0</v>
      </c>
      <c r="K2581" s="197">
        <v>0</v>
      </c>
      <c r="L2581" s="197">
        <v>0</v>
      </c>
      <c r="M2581" s="260" t="s">
        <v>239</v>
      </c>
      <c r="N2581" s="260" t="s">
        <v>514</v>
      </c>
    </row>
    <row r="2582" spans="1:14" ht="14.5" x14ac:dyDescent="0.35">
      <c r="A2582" s="260" t="s">
        <v>566</v>
      </c>
      <c r="B2582" s="190">
        <v>45786</v>
      </c>
      <c r="C2582" s="260" t="s">
        <v>752</v>
      </c>
      <c r="D2582" s="197">
        <v>0</v>
      </c>
      <c r="E2582" s="197">
        <v>0</v>
      </c>
      <c r="F2582" s="197">
        <v>188.6</v>
      </c>
      <c r="G2582" s="190">
        <v>45786</v>
      </c>
      <c r="H2582" s="196">
        <v>0</v>
      </c>
      <c r="I2582" s="197">
        <v>0</v>
      </c>
      <c r="J2582" s="197">
        <v>0</v>
      </c>
      <c r="K2582" s="197">
        <v>0</v>
      </c>
      <c r="L2582" s="197">
        <v>0</v>
      </c>
      <c r="M2582" s="260" t="s">
        <v>239</v>
      </c>
      <c r="N2582" s="260" t="s">
        <v>514</v>
      </c>
    </row>
    <row r="2583" spans="1:14" ht="14.5" x14ac:dyDescent="0.35">
      <c r="A2583" s="260" t="s">
        <v>566</v>
      </c>
      <c r="B2583" s="190">
        <v>45786</v>
      </c>
      <c r="C2583" s="260" t="s">
        <v>754</v>
      </c>
      <c r="D2583" s="197">
        <v>0</v>
      </c>
      <c r="E2583" s="197">
        <v>0</v>
      </c>
      <c r="F2583" s="197">
        <v>80.599999999999994</v>
      </c>
      <c r="G2583" s="190">
        <v>45786</v>
      </c>
      <c r="H2583" s="196">
        <v>0</v>
      </c>
      <c r="I2583" s="197">
        <v>0</v>
      </c>
      <c r="J2583" s="197">
        <v>0</v>
      </c>
      <c r="K2583" s="197">
        <v>0</v>
      </c>
      <c r="L2583" s="197">
        <v>0</v>
      </c>
      <c r="M2583" s="260" t="s">
        <v>239</v>
      </c>
      <c r="N2583" s="260" t="s">
        <v>514</v>
      </c>
    </row>
    <row r="2584" spans="1:14" ht="14.5" x14ac:dyDescent="0.35">
      <c r="A2584" s="260" t="s">
        <v>566</v>
      </c>
      <c r="B2584" s="190">
        <v>45787</v>
      </c>
      <c r="C2584" s="260" t="s">
        <v>749</v>
      </c>
      <c r="D2584" s="197">
        <v>0</v>
      </c>
      <c r="E2584" s="197">
        <v>0</v>
      </c>
      <c r="F2584" s="197">
        <v>100.47</v>
      </c>
      <c r="G2584" s="190">
        <v>45786</v>
      </c>
      <c r="H2584" s="196">
        <v>1</v>
      </c>
      <c r="I2584" s="197">
        <v>0</v>
      </c>
      <c r="J2584" s="197">
        <v>0</v>
      </c>
      <c r="K2584" s="197">
        <v>0</v>
      </c>
      <c r="L2584" s="197">
        <v>0</v>
      </c>
      <c r="M2584" s="260" t="s">
        <v>239</v>
      </c>
      <c r="N2584" s="260" t="s">
        <v>514</v>
      </c>
    </row>
    <row r="2585" spans="1:14" ht="14.5" x14ac:dyDescent="0.35">
      <c r="A2585" s="260" t="s">
        <v>566</v>
      </c>
      <c r="B2585" s="190">
        <v>45787</v>
      </c>
      <c r="C2585" s="260" t="s">
        <v>752</v>
      </c>
      <c r="D2585" s="197">
        <v>0</v>
      </c>
      <c r="E2585" s="197">
        <v>0</v>
      </c>
      <c r="F2585" s="197">
        <v>188.6</v>
      </c>
      <c r="G2585" s="190">
        <v>45786</v>
      </c>
      <c r="H2585" s="196">
        <v>1</v>
      </c>
      <c r="I2585" s="197">
        <v>0</v>
      </c>
      <c r="J2585" s="197">
        <v>0</v>
      </c>
      <c r="K2585" s="197">
        <v>0</v>
      </c>
      <c r="L2585" s="197">
        <v>0</v>
      </c>
      <c r="M2585" s="260" t="s">
        <v>239</v>
      </c>
      <c r="N2585" s="260" t="s">
        <v>514</v>
      </c>
    </row>
    <row r="2586" spans="1:14" ht="14.5" x14ac:dyDescent="0.35">
      <c r="A2586" s="260" t="s">
        <v>566</v>
      </c>
      <c r="B2586" s="190">
        <v>45787</v>
      </c>
      <c r="C2586" s="260" t="s">
        <v>754</v>
      </c>
      <c r="D2586" s="197">
        <v>0</v>
      </c>
      <c r="E2586" s="197">
        <v>0</v>
      </c>
      <c r="F2586" s="197">
        <v>80.599999999999994</v>
      </c>
      <c r="G2586" s="190">
        <v>45786</v>
      </c>
      <c r="H2586" s="196">
        <v>1</v>
      </c>
      <c r="I2586" s="197">
        <v>0</v>
      </c>
      <c r="J2586" s="197">
        <v>0</v>
      </c>
      <c r="K2586" s="197">
        <v>0</v>
      </c>
      <c r="L2586" s="197">
        <v>0</v>
      </c>
      <c r="M2586" s="260" t="s">
        <v>239</v>
      </c>
      <c r="N2586" s="260" t="s">
        <v>514</v>
      </c>
    </row>
    <row r="2587" spans="1:14" ht="14.5" x14ac:dyDescent="0.35">
      <c r="A2587" s="260" t="s">
        <v>566</v>
      </c>
      <c r="B2587" s="190">
        <v>45788</v>
      </c>
      <c r="C2587" s="260" t="s">
        <v>749</v>
      </c>
      <c r="D2587" s="197">
        <v>0</v>
      </c>
      <c r="E2587" s="197">
        <v>0</v>
      </c>
      <c r="F2587" s="197">
        <v>100.47</v>
      </c>
      <c r="G2587" s="190">
        <v>45786</v>
      </c>
      <c r="H2587" s="196">
        <v>2</v>
      </c>
      <c r="I2587" s="197">
        <v>0</v>
      </c>
      <c r="J2587" s="197">
        <v>0</v>
      </c>
      <c r="K2587" s="197">
        <v>0</v>
      </c>
      <c r="L2587" s="197">
        <v>0</v>
      </c>
      <c r="M2587" s="260" t="s">
        <v>239</v>
      </c>
      <c r="N2587" s="260" t="s">
        <v>514</v>
      </c>
    </row>
    <row r="2588" spans="1:14" ht="14.5" x14ac:dyDescent="0.35">
      <c r="A2588" s="260" t="s">
        <v>566</v>
      </c>
      <c r="B2588" s="190">
        <v>45788</v>
      </c>
      <c r="C2588" s="260" t="s">
        <v>752</v>
      </c>
      <c r="D2588" s="197">
        <v>0</v>
      </c>
      <c r="E2588" s="197">
        <v>0</v>
      </c>
      <c r="F2588" s="197">
        <v>188.6</v>
      </c>
      <c r="G2588" s="190">
        <v>45786</v>
      </c>
      <c r="H2588" s="196">
        <v>2</v>
      </c>
      <c r="I2588" s="197">
        <v>0</v>
      </c>
      <c r="J2588" s="197">
        <v>0</v>
      </c>
      <c r="K2588" s="197">
        <v>0</v>
      </c>
      <c r="L2588" s="197">
        <v>0</v>
      </c>
      <c r="M2588" s="260" t="s">
        <v>239</v>
      </c>
      <c r="N2588" s="260" t="s">
        <v>514</v>
      </c>
    </row>
    <row r="2589" spans="1:14" ht="14.5" x14ac:dyDescent="0.35">
      <c r="A2589" s="260" t="s">
        <v>566</v>
      </c>
      <c r="B2589" s="190">
        <v>45788</v>
      </c>
      <c r="C2589" s="260" t="s">
        <v>754</v>
      </c>
      <c r="D2589" s="197">
        <v>0</v>
      </c>
      <c r="E2589" s="197">
        <v>0</v>
      </c>
      <c r="F2589" s="197">
        <v>80.599999999999994</v>
      </c>
      <c r="G2589" s="190">
        <v>45786</v>
      </c>
      <c r="H2589" s="196">
        <v>2</v>
      </c>
      <c r="I2589" s="197">
        <v>0</v>
      </c>
      <c r="J2589" s="197">
        <v>0</v>
      </c>
      <c r="K2589" s="197">
        <v>0</v>
      </c>
      <c r="L2589" s="197">
        <v>0</v>
      </c>
      <c r="M2589" s="260" t="s">
        <v>239</v>
      </c>
      <c r="N2589" s="260" t="s">
        <v>514</v>
      </c>
    </row>
    <row r="2590" spans="1:14" ht="14.5" x14ac:dyDescent="0.35">
      <c r="A2590" s="260" t="s">
        <v>566</v>
      </c>
      <c r="B2590" s="190">
        <v>45789</v>
      </c>
      <c r="C2590" s="260" t="s">
        <v>749</v>
      </c>
      <c r="D2590" s="197">
        <v>0</v>
      </c>
      <c r="E2590" s="197">
        <v>0</v>
      </c>
      <c r="F2590" s="197">
        <v>100.27</v>
      </c>
      <c r="G2590" s="190">
        <v>45789</v>
      </c>
      <c r="H2590" s="196">
        <v>0</v>
      </c>
      <c r="I2590" s="197">
        <v>0</v>
      </c>
      <c r="J2590" s="197">
        <v>0</v>
      </c>
      <c r="K2590" s="197">
        <v>0</v>
      </c>
      <c r="L2590" s="197">
        <v>0</v>
      </c>
      <c r="M2590" s="260" t="s">
        <v>239</v>
      </c>
      <c r="N2590" s="260" t="s">
        <v>514</v>
      </c>
    </row>
    <row r="2591" spans="1:14" ht="14.5" x14ac:dyDescent="0.35">
      <c r="A2591" s="260" t="s">
        <v>566</v>
      </c>
      <c r="B2591" s="190">
        <v>45789</v>
      </c>
      <c r="C2591" s="260" t="s">
        <v>752</v>
      </c>
      <c r="D2591" s="197">
        <v>0</v>
      </c>
      <c r="E2591" s="197">
        <v>0</v>
      </c>
      <c r="F2591" s="197">
        <v>189.2</v>
      </c>
      <c r="G2591" s="190">
        <v>45789</v>
      </c>
      <c r="H2591" s="196">
        <v>0</v>
      </c>
      <c r="I2591" s="197">
        <v>0</v>
      </c>
      <c r="J2591" s="197">
        <v>0</v>
      </c>
      <c r="K2591" s="197">
        <v>0</v>
      </c>
      <c r="L2591" s="197">
        <v>0</v>
      </c>
      <c r="M2591" s="260" t="s">
        <v>239</v>
      </c>
      <c r="N2591" s="260" t="s">
        <v>514</v>
      </c>
    </row>
    <row r="2592" spans="1:14" ht="14.5" x14ac:dyDescent="0.35">
      <c r="A2592" s="260" t="s">
        <v>566</v>
      </c>
      <c r="B2592" s="190">
        <v>45789</v>
      </c>
      <c r="C2592" s="260" t="s">
        <v>754</v>
      </c>
      <c r="D2592" s="197">
        <v>0</v>
      </c>
      <c r="E2592" s="197">
        <v>0</v>
      </c>
      <c r="F2592" s="197">
        <v>81.2</v>
      </c>
      <c r="G2592" s="190">
        <v>45789</v>
      </c>
      <c r="H2592" s="196">
        <v>0</v>
      </c>
      <c r="I2592" s="197">
        <v>0</v>
      </c>
      <c r="J2592" s="197">
        <v>0</v>
      </c>
      <c r="K2592" s="197">
        <v>0</v>
      </c>
      <c r="L2592" s="197">
        <v>0</v>
      </c>
      <c r="M2592" s="260" t="s">
        <v>239</v>
      </c>
      <c r="N2592" s="260" t="s">
        <v>514</v>
      </c>
    </row>
    <row r="2593" spans="1:14" ht="14.5" x14ac:dyDescent="0.35">
      <c r="A2593" s="260" t="s">
        <v>566</v>
      </c>
      <c r="B2593" s="190">
        <v>45790</v>
      </c>
      <c r="C2593" s="260" t="s">
        <v>749</v>
      </c>
      <c r="D2593" s="197">
        <v>0</v>
      </c>
      <c r="E2593" s="197">
        <v>0</v>
      </c>
      <c r="F2593" s="197">
        <v>100.2</v>
      </c>
      <c r="G2593" s="190">
        <v>45790</v>
      </c>
      <c r="H2593" s="196">
        <v>0</v>
      </c>
      <c r="I2593" s="197">
        <v>0</v>
      </c>
      <c r="J2593" s="197">
        <v>0</v>
      </c>
      <c r="K2593" s="197">
        <v>0</v>
      </c>
      <c r="L2593" s="197">
        <v>0</v>
      </c>
      <c r="M2593" s="260" t="s">
        <v>239</v>
      </c>
      <c r="N2593" s="260" t="s">
        <v>514</v>
      </c>
    </row>
    <row r="2594" spans="1:14" ht="14.5" x14ac:dyDescent="0.35">
      <c r="A2594" s="260" t="s">
        <v>566</v>
      </c>
      <c r="B2594" s="190">
        <v>45790</v>
      </c>
      <c r="C2594" s="260" t="s">
        <v>752</v>
      </c>
      <c r="D2594" s="197">
        <v>0</v>
      </c>
      <c r="E2594" s="197">
        <v>0</v>
      </c>
      <c r="F2594" s="197">
        <v>189.4</v>
      </c>
      <c r="G2594" s="190">
        <v>45790</v>
      </c>
      <c r="H2594" s="196">
        <v>0</v>
      </c>
      <c r="I2594" s="197">
        <v>0</v>
      </c>
      <c r="J2594" s="197">
        <v>0</v>
      </c>
      <c r="K2594" s="197">
        <v>0</v>
      </c>
      <c r="L2594" s="197">
        <v>0</v>
      </c>
      <c r="M2594" s="260" t="s">
        <v>239</v>
      </c>
      <c r="N2594" s="260" t="s">
        <v>514</v>
      </c>
    </row>
    <row r="2595" spans="1:14" ht="14.5" x14ac:dyDescent="0.35">
      <c r="A2595" s="260" t="s">
        <v>566</v>
      </c>
      <c r="B2595" s="190">
        <v>45790</v>
      </c>
      <c r="C2595" s="260" t="s">
        <v>754</v>
      </c>
      <c r="D2595" s="197">
        <v>0</v>
      </c>
      <c r="E2595" s="197">
        <v>0</v>
      </c>
      <c r="F2595" s="197">
        <v>81.400000000000006</v>
      </c>
      <c r="G2595" s="190">
        <v>45790</v>
      </c>
      <c r="H2595" s="196">
        <v>0</v>
      </c>
      <c r="I2595" s="197">
        <v>0</v>
      </c>
      <c r="J2595" s="197">
        <v>0</v>
      </c>
      <c r="K2595" s="197">
        <v>0</v>
      </c>
      <c r="L2595" s="197">
        <v>0</v>
      </c>
      <c r="M2595" s="260" t="s">
        <v>239</v>
      </c>
      <c r="N2595" s="260" t="s">
        <v>514</v>
      </c>
    </row>
    <row r="2596" spans="1:14" ht="14.5" x14ac:dyDescent="0.35">
      <c r="A2596" s="260" t="s">
        <v>566</v>
      </c>
      <c r="B2596" s="190">
        <v>45791</v>
      </c>
      <c r="C2596" s="260" t="s">
        <v>749</v>
      </c>
      <c r="D2596" s="197">
        <v>0</v>
      </c>
      <c r="E2596" s="197">
        <v>0</v>
      </c>
      <c r="F2596" s="197">
        <v>100.13</v>
      </c>
      <c r="G2596" s="190">
        <v>45791</v>
      </c>
      <c r="H2596" s="196">
        <v>0</v>
      </c>
      <c r="I2596" s="197">
        <v>0</v>
      </c>
      <c r="J2596" s="197">
        <v>0</v>
      </c>
      <c r="K2596" s="197">
        <v>0</v>
      </c>
      <c r="L2596" s="197">
        <v>0</v>
      </c>
      <c r="M2596" s="260" t="s">
        <v>239</v>
      </c>
      <c r="N2596" s="260" t="s">
        <v>514</v>
      </c>
    </row>
    <row r="2597" spans="1:14" ht="14.5" x14ac:dyDescent="0.35">
      <c r="A2597" s="260" t="s">
        <v>566</v>
      </c>
      <c r="B2597" s="190">
        <v>45791</v>
      </c>
      <c r="C2597" s="260" t="s">
        <v>752</v>
      </c>
      <c r="D2597" s="197">
        <v>0</v>
      </c>
      <c r="E2597" s="197">
        <v>0</v>
      </c>
      <c r="F2597" s="197">
        <v>189.6</v>
      </c>
      <c r="G2597" s="190">
        <v>45791</v>
      </c>
      <c r="H2597" s="196">
        <v>0</v>
      </c>
      <c r="I2597" s="197">
        <v>0</v>
      </c>
      <c r="J2597" s="197">
        <v>0</v>
      </c>
      <c r="K2597" s="197">
        <v>0</v>
      </c>
      <c r="L2597" s="197">
        <v>0</v>
      </c>
      <c r="M2597" s="260" t="s">
        <v>239</v>
      </c>
      <c r="N2597" s="260" t="s">
        <v>514</v>
      </c>
    </row>
    <row r="2598" spans="1:14" ht="14.5" x14ac:dyDescent="0.35">
      <c r="A2598" s="260" t="s">
        <v>566</v>
      </c>
      <c r="B2598" s="190">
        <v>45791</v>
      </c>
      <c r="C2598" s="260" t="s">
        <v>754</v>
      </c>
      <c r="D2598" s="197">
        <v>0</v>
      </c>
      <c r="E2598" s="197">
        <v>0</v>
      </c>
      <c r="F2598" s="197">
        <v>81.599999999999994</v>
      </c>
      <c r="G2598" s="190">
        <v>45791</v>
      </c>
      <c r="H2598" s="196">
        <v>0</v>
      </c>
      <c r="I2598" s="197">
        <v>0</v>
      </c>
      <c r="J2598" s="197">
        <v>0</v>
      </c>
      <c r="K2598" s="197">
        <v>0</v>
      </c>
      <c r="L2598" s="197">
        <v>0</v>
      </c>
      <c r="M2598" s="260" t="s">
        <v>239</v>
      </c>
      <c r="N2598" s="260" t="s">
        <v>514</v>
      </c>
    </row>
    <row r="2599" spans="1:14" ht="14.5" x14ac:dyDescent="0.35">
      <c r="A2599" s="260" t="s">
        <v>566</v>
      </c>
      <c r="B2599" s="190">
        <v>45792</v>
      </c>
      <c r="C2599" s="260" t="s">
        <v>749</v>
      </c>
      <c r="D2599" s="197">
        <v>0</v>
      </c>
      <c r="E2599" s="197">
        <v>0</v>
      </c>
      <c r="F2599" s="197">
        <v>100.07</v>
      </c>
      <c r="G2599" s="190">
        <v>45792</v>
      </c>
      <c r="H2599" s="196">
        <v>0</v>
      </c>
      <c r="I2599" s="197">
        <v>0</v>
      </c>
      <c r="J2599" s="197">
        <v>0</v>
      </c>
      <c r="K2599" s="197">
        <v>0</v>
      </c>
      <c r="L2599" s="197">
        <v>0</v>
      </c>
      <c r="M2599" s="260" t="s">
        <v>239</v>
      </c>
      <c r="N2599" s="260" t="s">
        <v>514</v>
      </c>
    </row>
    <row r="2600" spans="1:14" ht="14.5" x14ac:dyDescent="0.35">
      <c r="A2600" s="260" t="s">
        <v>566</v>
      </c>
      <c r="B2600" s="190">
        <v>45792</v>
      </c>
      <c r="C2600" s="260" t="s">
        <v>752</v>
      </c>
      <c r="D2600" s="197">
        <v>0</v>
      </c>
      <c r="E2600" s="197">
        <v>0</v>
      </c>
      <c r="F2600" s="197">
        <v>189.8</v>
      </c>
      <c r="G2600" s="190">
        <v>45792</v>
      </c>
      <c r="H2600" s="196">
        <v>0</v>
      </c>
      <c r="I2600" s="197">
        <v>0</v>
      </c>
      <c r="J2600" s="197">
        <v>0</v>
      </c>
      <c r="K2600" s="197">
        <v>0</v>
      </c>
      <c r="L2600" s="197">
        <v>0</v>
      </c>
      <c r="M2600" s="260" t="s">
        <v>239</v>
      </c>
      <c r="N2600" s="260" t="s">
        <v>514</v>
      </c>
    </row>
    <row r="2601" spans="1:14" ht="14.5" x14ac:dyDescent="0.35">
      <c r="A2601" s="260" t="s">
        <v>566</v>
      </c>
      <c r="B2601" s="190">
        <v>45792</v>
      </c>
      <c r="C2601" s="260" t="s">
        <v>754</v>
      </c>
      <c r="D2601" s="197">
        <v>0</v>
      </c>
      <c r="E2601" s="197">
        <v>0</v>
      </c>
      <c r="F2601" s="197">
        <v>81.8</v>
      </c>
      <c r="G2601" s="190">
        <v>45792</v>
      </c>
      <c r="H2601" s="196">
        <v>0</v>
      </c>
      <c r="I2601" s="197">
        <v>0</v>
      </c>
      <c r="J2601" s="197">
        <v>0</v>
      </c>
      <c r="K2601" s="197">
        <v>0</v>
      </c>
      <c r="L2601" s="197">
        <v>0</v>
      </c>
      <c r="M2601" s="260" t="s">
        <v>239</v>
      </c>
      <c r="N2601" s="260" t="s">
        <v>514</v>
      </c>
    </row>
    <row r="2602" spans="1:14" ht="14.5" x14ac:dyDescent="0.35">
      <c r="A2602" s="260" t="s">
        <v>566</v>
      </c>
      <c r="B2602" s="190">
        <v>45793</v>
      </c>
      <c r="C2602" s="260" t="s">
        <v>749</v>
      </c>
      <c r="D2602" s="197">
        <v>0</v>
      </c>
      <c r="E2602" s="197">
        <v>0</v>
      </c>
      <c r="F2602" s="197">
        <v>100</v>
      </c>
      <c r="G2602" s="190">
        <v>45793</v>
      </c>
      <c r="H2602" s="196">
        <v>0</v>
      </c>
      <c r="I2602" s="197">
        <v>0</v>
      </c>
      <c r="J2602" s="197">
        <v>0</v>
      </c>
      <c r="K2602" s="197">
        <v>0</v>
      </c>
      <c r="L2602" s="197">
        <v>0</v>
      </c>
      <c r="M2602" s="260" t="s">
        <v>239</v>
      </c>
      <c r="N2602" s="260" t="s">
        <v>514</v>
      </c>
    </row>
    <row r="2603" spans="1:14" ht="14.5" x14ac:dyDescent="0.35">
      <c r="A2603" s="260" t="s">
        <v>566</v>
      </c>
      <c r="B2603" s="190">
        <v>45793</v>
      </c>
      <c r="C2603" s="260" t="s">
        <v>752</v>
      </c>
      <c r="D2603" s="197">
        <v>0</v>
      </c>
      <c r="E2603" s="197">
        <v>0</v>
      </c>
      <c r="F2603" s="197">
        <v>190</v>
      </c>
      <c r="G2603" s="190">
        <v>45793</v>
      </c>
      <c r="H2603" s="196">
        <v>0</v>
      </c>
      <c r="I2603" s="197">
        <v>0</v>
      </c>
      <c r="J2603" s="197">
        <v>0</v>
      </c>
      <c r="K2603" s="197">
        <v>0</v>
      </c>
      <c r="L2603" s="197">
        <v>0</v>
      </c>
      <c r="M2603" s="260" t="s">
        <v>239</v>
      </c>
      <c r="N2603" s="260" t="s">
        <v>514</v>
      </c>
    </row>
    <row r="2604" spans="1:14" ht="14.5" x14ac:dyDescent="0.35">
      <c r="A2604" s="260" t="s">
        <v>566</v>
      </c>
      <c r="B2604" s="190">
        <v>45793</v>
      </c>
      <c r="C2604" s="260" t="s">
        <v>754</v>
      </c>
      <c r="D2604" s="197">
        <v>0</v>
      </c>
      <c r="E2604" s="197">
        <v>0</v>
      </c>
      <c r="F2604" s="197">
        <v>82</v>
      </c>
      <c r="G2604" s="190">
        <v>45793</v>
      </c>
      <c r="H2604" s="196">
        <v>0</v>
      </c>
      <c r="I2604" s="197">
        <v>0</v>
      </c>
      <c r="J2604" s="197">
        <v>0</v>
      </c>
      <c r="K2604" s="197">
        <v>0</v>
      </c>
      <c r="L2604" s="197">
        <v>0</v>
      </c>
      <c r="M2604" s="260" t="s">
        <v>239</v>
      </c>
      <c r="N2604" s="260" t="s">
        <v>514</v>
      </c>
    </row>
    <row r="2605" spans="1:14" ht="14.5" x14ac:dyDescent="0.35">
      <c r="A2605" s="260" t="s">
        <v>566</v>
      </c>
      <c r="B2605" s="190">
        <v>45794</v>
      </c>
      <c r="C2605" s="260" t="s">
        <v>749</v>
      </c>
      <c r="D2605" s="197">
        <v>0</v>
      </c>
      <c r="E2605" s="197">
        <v>0</v>
      </c>
      <c r="F2605" s="197">
        <v>100</v>
      </c>
      <c r="G2605" s="190">
        <v>45793</v>
      </c>
      <c r="H2605" s="196">
        <v>1</v>
      </c>
      <c r="I2605" s="197">
        <v>0</v>
      </c>
      <c r="J2605" s="197">
        <v>0</v>
      </c>
      <c r="K2605" s="197">
        <v>0</v>
      </c>
      <c r="L2605" s="197">
        <v>0</v>
      </c>
      <c r="M2605" s="260" t="s">
        <v>239</v>
      </c>
      <c r="N2605" s="260" t="s">
        <v>514</v>
      </c>
    </row>
    <row r="2606" spans="1:14" ht="14.5" x14ac:dyDescent="0.35">
      <c r="A2606" s="260" t="s">
        <v>566</v>
      </c>
      <c r="B2606" s="190">
        <v>45794</v>
      </c>
      <c r="C2606" s="260" t="s">
        <v>752</v>
      </c>
      <c r="D2606" s="197">
        <v>0</v>
      </c>
      <c r="E2606" s="197">
        <v>0</v>
      </c>
      <c r="F2606" s="197">
        <v>190</v>
      </c>
      <c r="G2606" s="190">
        <v>45793</v>
      </c>
      <c r="H2606" s="196">
        <v>1</v>
      </c>
      <c r="I2606" s="197">
        <v>0</v>
      </c>
      <c r="J2606" s="197">
        <v>0</v>
      </c>
      <c r="K2606" s="197">
        <v>0</v>
      </c>
      <c r="L2606" s="197">
        <v>0</v>
      </c>
      <c r="M2606" s="260" t="s">
        <v>239</v>
      </c>
      <c r="N2606" s="260" t="s">
        <v>514</v>
      </c>
    </row>
    <row r="2607" spans="1:14" ht="14.5" x14ac:dyDescent="0.35">
      <c r="A2607" s="260" t="s">
        <v>566</v>
      </c>
      <c r="B2607" s="190">
        <v>45794</v>
      </c>
      <c r="C2607" s="260" t="s">
        <v>754</v>
      </c>
      <c r="D2607" s="197">
        <v>0</v>
      </c>
      <c r="E2607" s="197">
        <v>0</v>
      </c>
      <c r="F2607" s="197">
        <v>82</v>
      </c>
      <c r="G2607" s="190">
        <v>45793</v>
      </c>
      <c r="H2607" s="196">
        <v>1</v>
      </c>
      <c r="I2607" s="197">
        <v>0</v>
      </c>
      <c r="J2607" s="197">
        <v>0</v>
      </c>
      <c r="K2607" s="197">
        <v>0</v>
      </c>
      <c r="L2607" s="197">
        <v>0</v>
      </c>
      <c r="M2607" s="260" t="s">
        <v>239</v>
      </c>
      <c r="N2607" s="260" t="s">
        <v>514</v>
      </c>
    </row>
    <row r="2608" spans="1:14" ht="14.5" x14ac:dyDescent="0.35">
      <c r="A2608" s="260" t="s">
        <v>566</v>
      </c>
      <c r="B2608" s="190">
        <v>45795</v>
      </c>
      <c r="C2608" s="260" t="s">
        <v>749</v>
      </c>
      <c r="D2608" s="197">
        <v>0</v>
      </c>
      <c r="E2608" s="197">
        <v>0</v>
      </c>
      <c r="F2608" s="197">
        <v>100</v>
      </c>
      <c r="G2608" s="190">
        <v>45793</v>
      </c>
      <c r="H2608" s="196">
        <v>2</v>
      </c>
      <c r="I2608" s="197">
        <v>0</v>
      </c>
      <c r="J2608" s="197">
        <v>0</v>
      </c>
      <c r="K2608" s="197">
        <v>0</v>
      </c>
      <c r="L2608" s="197">
        <v>0</v>
      </c>
      <c r="M2608" s="260" t="s">
        <v>239</v>
      </c>
      <c r="N2608" s="260" t="s">
        <v>514</v>
      </c>
    </row>
    <row r="2609" spans="1:14" ht="14.5" x14ac:dyDescent="0.35">
      <c r="A2609" s="260" t="s">
        <v>566</v>
      </c>
      <c r="B2609" s="190">
        <v>45795</v>
      </c>
      <c r="C2609" s="260" t="s">
        <v>752</v>
      </c>
      <c r="D2609" s="197">
        <v>0</v>
      </c>
      <c r="E2609" s="197">
        <v>0</v>
      </c>
      <c r="F2609" s="197">
        <v>190</v>
      </c>
      <c r="G2609" s="190">
        <v>45793</v>
      </c>
      <c r="H2609" s="196">
        <v>2</v>
      </c>
      <c r="I2609" s="197">
        <v>0</v>
      </c>
      <c r="J2609" s="197">
        <v>0</v>
      </c>
      <c r="K2609" s="197">
        <v>0</v>
      </c>
      <c r="L2609" s="197">
        <v>0</v>
      </c>
      <c r="M2609" s="260" t="s">
        <v>239</v>
      </c>
      <c r="N2609" s="260" t="s">
        <v>514</v>
      </c>
    </row>
    <row r="2610" spans="1:14" ht="14.5" x14ac:dyDescent="0.35">
      <c r="A2610" s="260" t="s">
        <v>566</v>
      </c>
      <c r="B2610" s="190">
        <v>45795</v>
      </c>
      <c r="C2610" s="260" t="s">
        <v>754</v>
      </c>
      <c r="D2610" s="197">
        <v>0</v>
      </c>
      <c r="E2610" s="197">
        <v>0</v>
      </c>
      <c r="F2610" s="197">
        <v>82</v>
      </c>
      <c r="G2610" s="190">
        <v>45793</v>
      </c>
      <c r="H2610" s="196">
        <v>2</v>
      </c>
      <c r="I2610" s="197">
        <v>0</v>
      </c>
      <c r="J2610" s="197">
        <v>0</v>
      </c>
      <c r="K2610" s="197">
        <v>0</v>
      </c>
      <c r="L2610" s="197">
        <v>0</v>
      </c>
      <c r="M2610" s="260" t="s">
        <v>239</v>
      </c>
      <c r="N2610" s="260" t="s">
        <v>514</v>
      </c>
    </row>
    <row r="2611" spans="1:14" ht="14.5" x14ac:dyDescent="0.35">
      <c r="A2611" s="260" t="s">
        <v>566</v>
      </c>
      <c r="B2611" s="190">
        <v>45796</v>
      </c>
      <c r="C2611" s="260" t="s">
        <v>749</v>
      </c>
      <c r="D2611" s="197">
        <v>0</v>
      </c>
      <c r="E2611" s="197">
        <v>0</v>
      </c>
      <c r="F2611" s="197">
        <v>99.8</v>
      </c>
      <c r="G2611" s="190">
        <v>45796</v>
      </c>
      <c r="H2611" s="196">
        <v>0</v>
      </c>
      <c r="I2611" s="197">
        <v>0</v>
      </c>
      <c r="J2611" s="197">
        <v>0</v>
      </c>
      <c r="K2611" s="197">
        <v>0</v>
      </c>
      <c r="L2611" s="197">
        <v>0</v>
      </c>
      <c r="M2611" s="260" t="s">
        <v>239</v>
      </c>
      <c r="N2611" s="260" t="s">
        <v>514</v>
      </c>
    </row>
    <row r="2612" spans="1:14" ht="14.5" x14ac:dyDescent="0.35">
      <c r="A2612" s="260" t="s">
        <v>566</v>
      </c>
      <c r="B2612" s="190">
        <v>45796</v>
      </c>
      <c r="C2612" s="260" t="s">
        <v>752</v>
      </c>
      <c r="D2612" s="197">
        <v>0</v>
      </c>
      <c r="E2612" s="197">
        <v>0</v>
      </c>
      <c r="F2612" s="197">
        <v>190.6</v>
      </c>
      <c r="G2612" s="190">
        <v>45796</v>
      </c>
      <c r="H2612" s="196">
        <v>0</v>
      </c>
      <c r="I2612" s="197">
        <v>0</v>
      </c>
      <c r="J2612" s="197">
        <v>0</v>
      </c>
      <c r="K2612" s="197">
        <v>0</v>
      </c>
      <c r="L2612" s="197">
        <v>0</v>
      </c>
      <c r="M2612" s="260" t="s">
        <v>239</v>
      </c>
      <c r="N2612" s="260" t="s">
        <v>514</v>
      </c>
    </row>
    <row r="2613" spans="1:14" ht="14.5" x14ac:dyDescent="0.35">
      <c r="A2613" s="260" t="s">
        <v>566</v>
      </c>
      <c r="B2613" s="190">
        <v>45796</v>
      </c>
      <c r="C2613" s="260" t="s">
        <v>754</v>
      </c>
      <c r="D2613" s="197">
        <v>0</v>
      </c>
      <c r="E2613" s="197">
        <v>0</v>
      </c>
      <c r="F2613" s="197">
        <v>82.6</v>
      </c>
      <c r="G2613" s="190">
        <v>45796</v>
      </c>
      <c r="H2613" s="196">
        <v>0</v>
      </c>
      <c r="I2613" s="197">
        <v>0</v>
      </c>
      <c r="J2613" s="197">
        <v>0</v>
      </c>
      <c r="K2613" s="197">
        <v>0</v>
      </c>
      <c r="L2613" s="197">
        <v>0</v>
      </c>
      <c r="M2613" s="260" t="s">
        <v>239</v>
      </c>
      <c r="N2613" s="260" t="s">
        <v>514</v>
      </c>
    </row>
    <row r="2614" spans="1:14" ht="14.5" x14ac:dyDescent="0.35">
      <c r="A2614" s="260" t="s">
        <v>566</v>
      </c>
      <c r="B2614" s="190">
        <v>45797</v>
      </c>
      <c r="C2614" s="260" t="s">
        <v>749</v>
      </c>
      <c r="D2614" s="197">
        <v>0</v>
      </c>
      <c r="E2614" s="197">
        <v>0</v>
      </c>
      <c r="F2614" s="197">
        <v>99.73</v>
      </c>
      <c r="G2614" s="190">
        <v>45797</v>
      </c>
      <c r="H2614" s="196">
        <v>0</v>
      </c>
      <c r="I2614" s="197">
        <v>0</v>
      </c>
      <c r="J2614" s="197">
        <v>0</v>
      </c>
      <c r="K2614" s="197">
        <v>0</v>
      </c>
      <c r="L2614" s="197">
        <v>0</v>
      </c>
      <c r="M2614" s="260" t="s">
        <v>239</v>
      </c>
      <c r="N2614" s="260" t="s">
        <v>514</v>
      </c>
    </row>
    <row r="2615" spans="1:14" ht="14.5" x14ac:dyDescent="0.35">
      <c r="A2615" s="260" t="s">
        <v>566</v>
      </c>
      <c r="B2615" s="190">
        <v>45797</v>
      </c>
      <c r="C2615" s="260" t="s">
        <v>752</v>
      </c>
      <c r="D2615" s="197">
        <v>0</v>
      </c>
      <c r="E2615" s="197">
        <v>0</v>
      </c>
      <c r="F2615" s="197">
        <v>190.8</v>
      </c>
      <c r="G2615" s="190">
        <v>45797</v>
      </c>
      <c r="H2615" s="196">
        <v>0</v>
      </c>
      <c r="I2615" s="197">
        <v>0</v>
      </c>
      <c r="J2615" s="197">
        <v>0</v>
      </c>
      <c r="K2615" s="197">
        <v>0</v>
      </c>
      <c r="L2615" s="197">
        <v>0</v>
      </c>
      <c r="M2615" s="260" t="s">
        <v>239</v>
      </c>
      <c r="N2615" s="260" t="s">
        <v>514</v>
      </c>
    </row>
    <row r="2616" spans="1:14" ht="14.5" x14ac:dyDescent="0.35">
      <c r="A2616" s="260" t="s">
        <v>566</v>
      </c>
      <c r="B2616" s="190">
        <v>45797</v>
      </c>
      <c r="C2616" s="260" t="s">
        <v>754</v>
      </c>
      <c r="D2616" s="197">
        <v>0</v>
      </c>
      <c r="E2616" s="197">
        <v>0</v>
      </c>
      <c r="F2616" s="197">
        <v>82.8</v>
      </c>
      <c r="G2616" s="190">
        <v>45797</v>
      </c>
      <c r="H2616" s="196">
        <v>0</v>
      </c>
      <c r="I2616" s="197">
        <v>0</v>
      </c>
      <c r="J2616" s="197">
        <v>0</v>
      </c>
      <c r="K2616" s="197">
        <v>0</v>
      </c>
      <c r="L2616" s="197">
        <v>0</v>
      </c>
      <c r="M2616" s="260" t="s">
        <v>239</v>
      </c>
      <c r="N2616" s="260" t="s">
        <v>514</v>
      </c>
    </row>
    <row r="2617" spans="1:14" ht="14.5" x14ac:dyDescent="0.35">
      <c r="A2617" s="260" t="s">
        <v>566</v>
      </c>
      <c r="B2617" s="190">
        <v>45798</v>
      </c>
      <c r="C2617" s="260" t="s">
        <v>749</v>
      </c>
      <c r="D2617" s="197">
        <v>0</v>
      </c>
      <c r="E2617" s="197">
        <v>0</v>
      </c>
      <c r="F2617" s="197">
        <v>99.67</v>
      </c>
      <c r="G2617" s="190">
        <v>45798</v>
      </c>
      <c r="H2617" s="196">
        <v>0</v>
      </c>
      <c r="I2617" s="197">
        <v>0</v>
      </c>
      <c r="J2617" s="197">
        <v>0</v>
      </c>
      <c r="K2617" s="197">
        <v>0</v>
      </c>
      <c r="L2617" s="197">
        <v>0</v>
      </c>
      <c r="M2617" s="260" t="s">
        <v>239</v>
      </c>
      <c r="N2617" s="260" t="s">
        <v>514</v>
      </c>
    </row>
    <row r="2618" spans="1:14" ht="14.5" x14ac:dyDescent="0.35">
      <c r="A2618" s="260" t="s">
        <v>566</v>
      </c>
      <c r="B2618" s="190">
        <v>45798</v>
      </c>
      <c r="C2618" s="260" t="s">
        <v>752</v>
      </c>
      <c r="D2618" s="197">
        <v>0</v>
      </c>
      <c r="E2618" s="197">
        <v>0</v>
      </c>
      <c r="F2618" s="197">
        <v>191</v>
      </c>
      <c r="G2618" s="190">
        <v>45798</v>
      </c>
      <c r="H2618" s="196">
        <v>0</v>
      </c>
      <c r="I2618" s="197">
        <v>0</v>
      </c>
      <c r="J2618" s="197">
        <v>0</v>
      </c>
      <c r="K2618" s="197">
        <v>0</v>
      </c>
      <c r="L2618" s="197">
        <v>0</v>
      </c>
      <c r="M2618" s="260" t="s">
        <v>239</v>
      </c>
      <c r="N2618" s="260" t="s">
        <v>514</v>
      </c>
    </row>
    <row r="2619" spans="1:14" ht="14.5" x14ac:dyDescent="0.35">
      <c r="A2619" s="260" t="s">
        <v>566</v>
      </c>
      <c r="B2619" s="190">
        <v>45798</v>
      </c>
      <c r="C2619" s="260" t="s">
        <v>754</v>
      </c>
      <c r="D2619" s="197">
        <v>0</v>
      </c>
      <c r="E2619" s="197">
        <v>0</v>
      </c>
      <c r="F2619" s="197">
        <v>83</v>
      </c>
      <c r="G2619" s="190">
        <v>45798</v>
      </c>
      <c r="H2619" s="196">
        <v>0</v>
      </c>
      <c r="I2619" s="197">
        <v>0</v>
      </c>
      <c r="J2619" s="197">
        <v>0</v>
      </c>
      <c r="K2619" s="197">
        <v>0</v>
      </c>
      <c r="L2619" s="197">
        <v>0</v>
      </c>
      <c r="M2619" s="260" t="s">
        <v>239</v>
      </c>
      <c r="N2619" s="260" t="s">
        <v>514</v>
      </c>
    </row>
    <row r="2620" spans="1:14" ht="14.5" x14ac:dyDescent="0.35">
      <c r="A2620" s="260" t="s">
        <v>566</v>
      </c>
      <c r="B2620" s="190">
        <v>45799</v>
      </c>
      <c r="C2620" s="260" t="s">
        <v>749</v>
      </c>
      <c r="D2620" s="197">
        <v>0</v>
      </c>
      <c r="E2620" s="197">
        <v>0</v>
      </c>
      <c r="F2620" s="197">
        <v>99.6</v>
      </c>
      <c r="G2620" s="190">
        <v>45799</v>
      </c>
      <c r="H2620" s="196">
        <v>0</v>
      </c>
      <c r="I2620" s="197">
        <v>0</v>
      </c>
      <c r="J2620" s="197">
        <v>0</v>
      </c>
      <c r="K2620" s="197">
        <v>0</v>
      </c>
      <c r="L2620" s="197">
        <v>0</v>
      </c>
      <c r="M2620" s="260" t="s">
        <v>239</v>
      </c>
      <c r="N2620" s="260" t="s">
        <v>514</v>
      </c>
    </row>
    <row r="2621" spans="1:14" ht="14.5" x14ac:dyDescent="0.35">
      <c r="A2621" s="260" t="s">
        <v>566</v>
      </c>
      <c r="B2621" s="190">
        <v>45799</v>
      </c>
      <c r="C2621" s="260" t="s">
        <v>752</v>
      </c>
      <c r="D2621" s="197">
        <v>0</v>
      </c>
      <c r="E2621" s="197">
        <v>0</v>
      </c>
      <c r="F2621" s="197">
        <v>191.2</v>
      </c>
      <c r="G2621" s="190">
        <v>45799</v>
      </c>
      <c r="H2621" s="196">
        <v>0</v>
      </c>
      <c r="I2621" s="197">
        <v>0</v>
      </c>
      <c r="J2621" s="197">
        <v>0</v>
      </c>
      <c r="K2621" s="197">
        <v>0</v>
      </c>
      <c r="L2621" s="197">
        <v>0</v>
      </c>
      <c r="M2621" s="260" t="s">
        <v>239</v>
      </c>
      <c r="N2621" s="260" t="s">
        <v>514</v>
      </c>
    </row>
    <row r="2622" spans="1:14" ht="14.5" x14ac:dyDescent="0.35">
      <c r="A2622" s="260" t="s">
        <v>566</v>
      </c>
      <c r="B2622" s="190">
        <v>45799</v>
      </c>
      <c r="C2622" s="260" t="s">
        <v>754</v>
      </c>
      <c r="D2622" s="197">
        <v>0</v>
      </c>
      <c r="E2622" s="197">
        <v>0</v>
      </c>
      <c r="F2622" s="197">
        <v>83.2</v>
      </c>
      <c r="G2622" s="190">
        <v>45799</v>
      </c>
      <c r="H2622" s="196">
        <v>0</v>
      </c>
      <c r="I2622" s="197">
        <v>0</v>
      </c>
      <c r="J2622" s="197">
        <v>0</v>
      </c>
      <c r="K2622" s="197">
        <v>0</v>
      </c>
      <c r="L2622" s="197">
        <v>0</v>
      </c>
      <c r="M2622" s="260" t="s">
        <v>239</v>
      </c>
      <c r="N2622" s="260" t="s">
        <v>514</v>
      </c>
    </row>
    <row r="2623" spans="1:14" ht="14.5" x14ac:dyDescent="0.35">
      <c r="A2623" s="260" t="s">
        <v>566</v>
      </c>
      <c r="B2623" s="190">
        <v>45800</v>
      </c>
      <c r="C2623" s="260" t="s">
        <v>749</v>
      </c>
      <c r="D2623" s="197">
        <v>0</v>
      </c>
      <c r="E2623" s="197">
        <v>0</v>
      </c>
      <c r="F2623" s="197">
        <v>99.53</v>
      </c>
      <c r="G2623" s="190">
        <v>45800</v>
      </c>
      <c r="H2623" s="196">
        <v>0</v>
      </c>
      <c r="I2623" s="197">
        <v>0</v>
      </c>
      <c r="J2623" s="197">
        <v>0</v>
      </c>
      <c r="K2623" s="197">
        <v>0</v>
      </c>
      <c r="L2623" s="197">
        <v>0</v>
      </c>
      <c r="M2623" s="260" t="s">
        <v>239</v>
      </c>
      <c r="N2623" s="260" t="s">
        <v>514</v>
      </c>
    </row>
    <row r="2624" spans="1:14" ht="14.5" x14ac:dyDescent="0.35">
      <c r="A2624" s="260" t="s">
        <v>566</v>
      </c>
      <c r="B2624" s="190">
        <v>45800</v>
      </c>
      <c r="C2624" s="260" t="s">
        <v>752</v>
      </c>
      <c r="D2624" s="197">
        <v>0</v>
      </c>
      <c r="E2624" s="197">
        <v>0</v>
      </c>
      <c r="F2624" s="197">
        <v>191.4</v>
      </c>
      <c r="G2624" s="190">
        <v>45800</v>
      </c>
      <c r="H2624" s="196">
        <v>0</v>
      </c>
      <c r="I2624" s="197">
        <v>0</v>
      </c>
      <c r="J2624" s="197">
        <v>0</v>
      </c>
      <c r="K2624" s="197">
        <v>0</v>
      </c>
      <c r="L2624" s="197">
        <v>0</v>
      </c>
      <c r="M2624" s="260" t="s">
        <v>239</v>
      </c>
      <c r="N2624" s="260" t="s">
        <v>514</v>
      </c>
    </row>
    <row r="2625" spans="1:14" ht="14.5" x14ac:dyDescent="0.35">
      <c r="A2625" s="260" t="s">
        <v>566</v>
      </c>
      <c r="B2625" s="190">
        <v>45800</v>
      </c>
      <c r="C2625" s="260" t="s">
        <v>754</v>
      </c>
      <c r="D2625" s="197">
        <v>0</v>
      </c>
      <c r="E2625" s="197">
        <v>0</v>
      </c>
      <c r="F2625" s="197">
        <v>83.4</v>
      </c>
      <c r="G2625" s="190">
        <v>45800</v>
      </c>
      <c r="H2625" s="196">
        <v>0</v>
      </c>
      <c r="I2625" s="197">
        <v>0</v>
      </c>
      <c r="J2625" s="197">
        <v>0</v>
      </c>
      <c r="K2625" s="197">
        <v>0</v>
      </c>
      <c r="L2625" s="197">
        <v>0</v>
      </c>
      <c r="M2625" s="260" t="s">
        <v>239</v>
      </c>
      <c r="N2625" s="260" t="s">
        <v>514</v>
      </c>
    </row>
    <row r="2626" spans="1:14" ht="14.5" x14ac:dyDescent="0.35">
      <c r="A2626" s="260" t="s">
        <v>566</v>
      </c>
      <c r="B2626" s="190">
        <v>45801</v>
      </c>
      <c r="C2626" s="260" t="s">
        <v>749</v>
      </c>
      <c r="D2626" s="197">
        <v>0</v>
      </c>
      <c r="E2626" s="197">
        <v>0</v>
      </c>
      <c r="F2626" s="197">
        <v>99.53</v>
      </c>
      <c r="G2626" s="190">
        <v>45800</v>
      </c>
      <c r="H2626" s="196">
        <v>1</v>
      </c>
      <c r="I2626" s="197">
        <v>0</v>
      </c>
      <c r="J2626" s="197">
        <v>0</v>
      </c>
      <c r="K2626" s="197">
        <v>0</v>
      </c>
      <c r="L2626" s="197">
        <v>0</v>
      </c>
      <c r="M2626" s="260" t="s">
        <v>239</v>
      </c>
      <c r="N2626" s="260" t="s">
        <v>514</v>
      </c>
    </row>
    <row r="2627" spans="1:14" ht="14.5" x14ac:dyDescent="0.35">
      <c r="A2627" s="260" t="s">
        <v>566</v>
      </c>
      <c r="B2627" s="190">
        <v>45801</v>
      </c>
      <c r="C2627" s="260" t="s">
        <v>752</v>
      </c>
      <c r="D2627" s="197">
        <v>0</v>
      </c>
      <c r="E2627" s="197">
        <v>0</v>
      </c>
      <c r="F2627" s="197">
        <v>191.4</v>
      </c>
      <c r="G2627" s="190">
        <v>45800</v>
      </c>
      <c r="H2627" s="196">
        <v>1</v>
      </c>
      <c r="I2627" s="197">
        <v>0</v>
      </c>
      <c r="J2627" s="197">
        <v>0</v>
      </c>
      <c r="K2627" s="197">
        <v>0</v>
      </c>
      <c r="L2627" s="197">
        <v>0</v>
      </c>
      <c r="M2627" s="260" t="s">
        <v>239</v>
      </c>
      <c r="N2627" s="260" t="s">
        <v>514</v>
      </c>
    </row>
    <row r="2628" spans="1:14" ht="14.5" x14ac:dyDescent="0.35">
      <c r="A2628" s="260" t="s">
        <v>566</v>
      </c>
      <c r="B2628" s="190">
        <v>45801</v>
      </c>
      <c r="C2628" s="260" t="s">
        <v>754</v>
      </c>
      <c r="D2628" s="197">
        <v>0</v>
      </c>
      <c r="E2628" s="197">
        <v>0</v>
      </c>
      <c r="F2628" s="197">
        <v>83.4</v>
      </c>
      <c r="G2628" s="190">
        <v>45800</v>
      </c>
      <c r="H2628" s="196">
        <v>1</v>
      </c>
      <c r="I2628" s="197">
        <v>0</v>
      </c>
      <c r="J2628" s="197">
        <v>0</v>
      </c>
      <c r="K2628" s="197">
        <v>0</v>
      </c>
      <c r="L2628" s="197">
        <v>0</v>
      </c>
      <c r="M2628" s="260" t="s">
        <v>239</v>
      </c>
      <c r="N2628" s="260" t="s">
        <v>514</v>
      </c>
    </row>
    <row r="2629" spans="1:14" ht="14.5" x14ac:dyDescent="0.35">
      <c r="A2629" s="260" t="s">
        <v>566</v>
      </c>
      <c r="B2629" s="190">
        <v>45802</v>
      </c>
      <c r="C2629" s="260" t="s">
        <v>749</v>
      </c>
      <c r="D2629" s="197">
        <v>0</v>
      </c>
      <c r="E2629" s="197">
        <v>0</v>
      </c>
      <c r="F2629" s="197">
        <v>99.53</v>
      </c>
      <c r="G2629" s="190">
        <v>45800</v>
      </c>
      <c r="H2629" s="196">
        <v>2</v>
      </c>
      <c r="I2629" s="197">
        <v>0</v>
      </c>
      <c r="J2629" s="197">
        <v>0</v>
      </c>
      <c r="K2629" s="197">
        <v>0</v>
      </c>
      <c r="L2629" s="197">
        <v>0</v>
      </c>
      <c r="M2629" s="260" t="s">
        <v>239</v>
      </c>
      <c r="N2629" s="260" t="s">
        <v>514</v>
      </c>
    </row>
    <row r="2630" spans="1:14" ht="14.5" x14ac:dyDescent="0.35">
      <c r="A2630" s="260" t="s">
        <v>566</v>
      </c>
      <c r="B2630" s="190">
        <v>45802</v>
      </c>
      <c r="C2630" s="260" t="s">
        <v>752</v>
      </c>
      <c r="D2630" s="197">
        <v>0</v>
      </c>
      <c r="E2630" s="197">
        <v>0</v>
      </c>
      <c r="F2630" s="197">
        <v>191.4</v>
      </c>
      <c r="G2630" s="190">
        <v>45800</v>
      </c>
      <c r="H2630" s="196">
        <v>2</v>
      </c>
      <c r="I2630" s="197">
        <v>0</v>
      </c>
      <c r="J2630" s="197">
        <v>0</v>
      </c>
      <c r="K2630" s="197">
        <v>0</v>
      </c>
      <c r="L2630" s="197">
        <v>0</v>
      </c>
      <c r="M2630" s="260" t="s">
        <v>239</v>
      </c>
      <c r="N2630" s="260" t="s">
        <v>514</v>
      </c>
    </row>
    <row r="2631" spans="1:14" ht="14.5" x14ac:dyDescent="0.35">
      <c r="A2631" s="260" t="s">
        <v>566</v>
      </c>
      <c r="B2631" s="190">
        <v>45802</v>
      </c>
      <c r="C2631" s="260" t="s">
        <v>754</v>
      </c>
      <c r="D2631" s="197">
        <v>0</v>
      </c>
      <c r="E2631" s="197">
        <v>0</v>
      </c>
      <c r="F2631" s="197">
        <v>83.4</v>
      </c>
      <c r="G2631" s="190">
        <v>45800</v>
      </c>
      <c r="H2631" s="196">
        <v>2</v>
      </c>
      <c r="I2631" s="197">
        <v>0</v>
      </c>
      <c r="J2631" s="197">
        <v>0</v>
      </c>
      <c r="K2631" s="197">
        <v>0</v>
      </c>
      <c r="L2631" s="197">
        <v>0</v>
      </c>
      <c r="M2631" s="260" t="s">
        <v>239</v>
      </c>
      <c r="N2631" s="260" t="s">
        <v>514</v>
      </c>
    </row>
    <row r="2632" spans="1:14" ht="14.5" x14ac:dyDescent="0.35">
      <c r="A2632" s="260" t="s">
        <v>566</v>
      </c>
      <c r="B2632" s="190">
        <v>45803</v>
      </c>
      <c r="C2632" s="260" t="s">
        <v>749</v>
      </c>
      <c r="D2632" s="197">
        <v>0</v>
      </c>
      <c r="E2632" s="197">
        <v>0</v>
      </c>
      <c r="F2632" s="197">
        <v>99.33</v>
      </c>
      <c r="G2632" s="190">
        <v>45803</v>
      </c>
      <c r="H2632" s="196">
        <v>0</v>
      </c>
      <c r="I2632" s="197">
        <v>0</v>
      </c>
      <c r="J2632" s="197">
        <v>0</v>
      </c>
      <c r="K2632" s="197">
        <v>0</v>
      </c>
      <c r="L2632" s="197">
        <v>0</v>
      </c>
      <c r="M2632" s="260" t="s">
        <v>239</v>
      </c>
      <c r="N2632" s="260" t="s">
        <v>514</v>
      </c>
    </row>
    <row r="2633" spans="1:14" ht="14.5" x14ac:dyDescent="0.35">
      <c r="A2633" s="260" t="s">
        <v>566</v>
      </c>
      <c r="B2633" s="190">
        <v>45803</v>
      </c>
      <c r="C2633" s="260" t="s">
        <v>752</v>
      </c>
      <c r="D2633" s="197">
        <v>0</v>
      </c>
      <c r="E2633" s="197">
        <v>0</v>
      </c>
      <c r="F2633" s="197">
        <v>192</v>
      </c>
      <c r="G2633" s="190">
        <v>45803</v>
      </c>
      <c r="H2633" s="196">
        <v>0</v>
      </c>
      <c r="I2633" s="197">
        <v>0</v>
      </c>
      <c r="J2633" s="197">
        <v>0</v>
      </c>
      <c r="K2633" s="197">
        <v>0</v>
      </c>
      <c r="L2633" s="197">
        <v>0</v>
      </c>
      <c r="M2633" s="260" t="s">
        <v>239</v>
      </c>
      <c r="N2633" s="260" t="s">
        <v>514</v>
      </c>
    </row>
    <row r="2634" spans="1:14" ht="14.5" x14ac:dyDescent="0.35">
      <c r="A2634" s="260" t="s">
        <v>566</v>
      </c>
      <c r="B2634" s="190">
        <v>45803</v>
      </c>
      <c r="C2634" s="260" t="s">
        <v>754</v>
      </c>
      <c r="D2634" s="197">
        <v>0</v>
      </c>
      <c r="E2634" s="197">
        <v>0</v>
      </c>
      <c r="F2634" s="197">
        <v>84</v>
      </c>
      <c r="G2634" s="190">
        <v>45803</v>
      </c>
      <c r="H2634" s="196">
        <v>0</v>
      </c>
      <c r="I2634" s="197">
        <v>0</v>
      </c>
      <c r="J2634" s="197">
        <v>0</v>
      </c>
      <c r="K2634" s="197">
        <v>0</v>
      </c>
      <c r="L2634" s="197">
        <v>0</v>
      </c>
      <c r="M2634" s="260" t="s">
        <v>239</v>
      </c>
      <c r="N2634" s="260" t="s">
        <v>514</v>
      </c>
    </row>
    <row r="2635" spans="1:14" ht="14.5" x14ac:dyDescent="0.35">
      <c r="A2635" s="260" t="s">
        <v>566</v>
      </c>
      <c r="B2635" s="190">
        <v>45804</v>
      </c>
      <c r="C2635" s="260" t="s">
        <v>749</v>
      </c>
      <c r="D2635" s="197">
        <v>0</v>
      </c>
      <c r="E2635" s="197">
        <v>0</v>
      </c>
      <c r="F2635" s="197">
        <v>99.27</v>
      </c>
      <c r="G2635" s="190">
        <v>45804</v>
      </c>
      <c r="H2635" s="196">
        <v>0</v>
      </c>
      <c r="I2635" s="197">
        <v>0</v>
      </c>
      <c r="J2635" s="197">
        <v>0</v>
      </c>
      <c r="K2635" s="197">
        <v>0</v>
      </c>
      <c r="L2635" s="197">
        <v>0</v>
      </c>
      <c r="M2635" s="260" t="s">
        <v>239</v>
      </c>
      <c r="N2635" s="260" t="s">
        <v>514</v>
      </c>
    </row>
    <row r="2636" spans="1:14" ht="14.5" x14ac:dyDescent="0.35">
      <c r="A2636" s="260" t="s">
        <v>566</v>
      </c>
      <c r="B2636" s="190">
        <v>45804</v>
      </c>
      <c r="C2636" s="260" t="s">
        <v>752</v>
      </c>
      <c r="D2636" s="197">
        <v>0</v>
      </c>
      <c r="E2636" s="197">
        <v>0</v>
      </c>
      <c r="F2636" s="197">
        <v>192.2</v>
      </c>
      <c r="G2636" s="190">
        <v>45804</v>
      </c>
      <c r="H2636" s="196">
        <v>0</v>
      </c>
      <c r="I2636" s="197">
        <v>0</v>
      </c>
      <c r="J2636" s="197">
        <v>0</v>
      </c>
      <c r="K2636" s="197">
        <v>0</v>
      </c>
      <c r="L2636" s="197">
        <v>0</v>
      </c>
      <c r="M2636" s="260" t="s">
        <v>239</v>
      </c>
      <c r="N2636" s="260" t="s">
        <v>514</v>
      </c>
    </row>
    <row r="2637" spans="1:14" ht="14.5" x14ac:dyDescent="0.35">
      <c r="A2637" s="260" t="s">
        <v>566</v>
      </c>
      <c r="B2637" s="190">
        <v>45804</v>
      </c>
      <c r="C2637" s="260" t="s">
        <v>754</v>
      </c>
      <c r="D2637" s="197">
        <v>0</v>
      </c>
      <c r="E2637" s="197">
        <v>0</v>
      </c>
      <c r="F2637" s="197">
        <v>84.2</v>
      </c>
      <c r="G2637" s="190">
        <v>45804</v>
      </c>
      <c r="H2637" s="196">
        <v>0</v>
      </c>
      <c r="I2637" s="197">
        <v>0</v>
      </c>
      <c r="J2637" s="197">
        <v>0</v>
      </c>
      <c r="K2637" s="197">
        <v>0</v>
      </c>
      <c r="L2637" s="197">
        <v>0</v>
      </c>
      <c r="M2637" s="260" t="s">
        <v>239</v>
      </c>
      <c r="N2637" s="260" t="s">
        <v>514</v>
      </c>
    </row>
    <row r="2638" spans="1:14" ht="14.5" x14ac:dyDescent="0.35">
      <c r="A2638" s="260" t="s">
        <v>566</v>
      </c>
      <c r="B2638" s="190">
        <v>45805</v>
      </c>
      <c r="C2638" s="260" t="s">
        <v>749</v>
      </c>
      <c r="D2638" s="197">
        <v>0</v>
      </c>
      <c r="E2638" s="197">
        <v>0</v>
      </c>
      <c r="F2638" s="197">
        <v>99.2</v>
      </c>
      <c r="G2638" s="190">
        <v>45805</v>
      </c>
      <c r="H2638" s="196">
        <v>0</v>
      </c>
      <c r="I2638" s="197">
        <v>0</v>
      </c>
      <c r="J2638" s="197">
        <v>0</v>
      </c>
      <c r="K2638" s="197">
        <v>0</v>
      </c>
      <c r="L2638" s="197">
        <v>0</v>
      </c>
      <c r="M2638" s="260" t="s">
        <v>239</v>
      </c>
      <c r="N2638" s="260" t="s">
        <v>514</v>
      </c>
    </row>
    <row r="2639" spans="1:14" ht="14.5" x14ac:dyDescent="0.35">
      <c r="A2639" s="260" t="s">
        <v>566</v>
      </c>
      <c r="B2639" s="190">
        <v>45805</v>
      </c>
      <c r="C2639" s="260" t="s">
        <v>752</v>
      </c>
      <c r="D2639" s="197">
        <v>0</v>
      </c>
      <c r="E2639" s="197">
        <v>0</v>
      </c>
      <c r="F2639" s="197">
        <v>192.4</v>
      </c>
      <c r="G2639" s="190">
        <v>45805</v>
      </c>
      <c r="H2639" s="196">
        <v>0</v>
      </c>
      <c r="I2639" s="197">
        <v>0</v>
      </c>
      <c r="J2639" s="197">
        <v>0</v>
      </c>
      <c r="K2639" s="197">
        <v>0</v>
      </c>
      <c r="L2639" s="197">
        <v>0</v>
      </c>
      <c r="M2639" s="260" t="s">
        <v>239</v>
      </c>
      <c r="N2639" s="260" t="s">
        <v>514</v>
      </c>
    </row>
    <row r="2640" spans="1:14" ht="14.5" x14ac:dyDescent="0.35">
      <c r="A2640" s="260" t="s">
        <v>566</v>
      </c>
      <c r="B2640" s="190">
        <v>45805</v>
      </c>
      <c r="C2640" s="260" t="s">
        <v>754</v>
      </c>
      <c r="D2640" s="197">
        <v>0</v>
      </c>
      <c r="E2640" s="197">
        <v>0</v>
      </c>
      <c r="F2640" s="197">
        <v>84.4</v>
      </c>
      <c r="G2640" s="190">
        <v>45805</v>
      </c>
      <c r="H2640" s="196">
        <v>0</v>
      </c>
      <c r="I2640" s="197">
        <v>0</v>
      </c>
      <c r="J2640" s="197">
        <v>0</v>
      </c>
      <c r="K2640" s="197">
        <v>0</v>
      </c>
      <c r="L2640" s="197">
        <v>0</v>
      </c>
      <c r="M2640" s="260" t="s">
        <v>239</v>
      </c>
      <c r="N2640" s="260" t="s">
        <v>514</v>
      </c>
    </row>
    <row r="2641" spans="1:14" ht="14.5" x14ac:dyDescent="0.35">
      <c r="A2641" s="260" t="s">
        <v>566</v>
      </c>
      <c r="B2641" s="190">
        <v>45806</v>
      </c>
      <c r="C2641" s="260" t="s">
        <v>749</v>
      </c>
      <c r="D2641" s="197">
        <v>0</v>
      </c>
      <c r="E2641" s="197">
        <v>0</v>
      </c>
      <c r="F2641" s="197">
        <v>99.13</v>
      </c>
      <c r="G2641" s="190">
        <v>45806</v>
      </c>
      <c r="H2641" s="196">
        <v>0</v>
      </c>
      <c r="I2641" s="197">
        <v>0</v>
      </c>
      <c r="J2641" s="197">
        <v>0</v>
      </c>
      <c r="K2641" s="197">
        <v>0</v>
      </c>
      <c r="L2641" s="197">
        <v>0</v>
      </c>
      <c r="M2641" s="260" t="s">
        <v>239</v>
      </c>
      <c r="N2641" s="260" t="s">
        <v>514</v>
      </c>
    </row>
    <row r="2642" spans="1:14" ht="14.5" x14ac:dyDescent="0.35">
      <c r="A2642" s="260" t="s">
        <v>566</v>
      </c>
      <c r="B2642" s="190">
        <v>45806</v>
      </c>
      <c r="C2642" s="260" t="s">
        <v>752</v>
      </c>
      <c r="D2642" s="197">
        <v>0</v>
      </c>
      <c r="E2642" s="197">
        <v>0</v>
      </c>
      <c r="F2642" s="197">
        <v>192.6</v>
      </c>
      <c r="G2642" s="190">
        <v>45806</v>
      </c>
      <c r="H2642" s="196">
        <v>0</v>
      </c>
      <c r="I2642" s="197">
        <v>0</v>
      </c>
      <c r="J2642" s="197">
        <v>0</v>
      </c>
      <c r="K2642" s="197">
        <v>0</v>
      </c>
      <c r="L2642" s="197">
        <v>0</v>
      </c>
      <c r="M2642" s="260" t="s">
        <v>239</v>
      </c>
      <c r="N2642" s="260" t="s">
        <v>514</v>
      </c>
    </row>
    <row r="2643" spans="1:14" ht="14.5" x14ac:dyDescent="0.35">
      <c r="A2643" s="260" t="s">
        <v>566</v>
      </c>
      <c r="B2643" s="190">
        <v>45806</v>
      </c>
      <c r="C2643" s="260" t="s">
        <v>754</v>
      </c>
      <c r="D2643" s="197">
        <v>0</v>
      </c>
      <c r="E2643" s="197">
        <v>0</v>
      </c>
      <c r="F2643" s="197">
        <v>84.6</v>
      </c>
      <c r="G2643" s="190">
        <v>45806</v>
      </c>
      <c r="H2643" s="196">
        <v>0</v>
      </c>
      <c r="I2643" s="197">
        <v>0</v>
      </c>
      <c r="J2643" s="197">
        <v>0</v>
      </c>
      <c r="K2643" s="197">
        <v>0</v>
      </c>
      <c r="L2643" s="197">
        <v>0</v>
      </c>
      <c r="M2643" s="260" t="s">
        <v>239</v>
      </c>
      <c r="N2643" s="260" t="s">
        <v>514</v>
      </c>
    </row>
    <row r="2644" spans="1:14" ht="14.5" x14ac:dyDescent="0.35">
      <c r="A2644" s="260" t="s">
        <v>566</v>
      </c>
      <c r="B2644" s="190">
        <v>45807</v>
      </c>
      <c r="C2644" s="260" t="s">
        <v>749</v>
      </c>
      <c r="D2644" s="197">
        <v>0</v>
      </c>
      <c r="E2644" s="197">
        <v>0</v>
      </c>
      <c r="F2644" s="197">
        <v>99.07</v>
      </c>
      <c r="G2644" s="190">
        <v>45807</v>
      </c>
      <c r="H2644" s="196">
        <v>0</v>
      </c>
      <c r="I2644" s="197">
        <v>0</v>
      </c>
      <c r="J2644" s="197">
        <v>0</v>
      </c>
      <c r="K2644" s="197">
        <v>0</v>
      </c>
      <c r="L2644" s="197">
        <v>0</v>
      </c>
      <c r="M2644" s="260" t="s">
        <v>239</v>
      </c>
      <c r="N2644" s="260" t="s">
        <v>514</v>
      </c>
    </row>
    <row r="2645" spans="1:14" ht="14.5" x14ac:dyDescent="0.35">
      <c r="A2645" s="260" t="s">
        <v>566</v>
      </c>
      <c r="B2645" s="190">
        <v>45807</v>
      </c>
      <c r="C2645" s="260" t="s">
        <v>752</v>
      </c>
      <c r="D2645" s="197">
        <v>0</v>
      </c>
      <c r="E2645" s="197">
        <v>0</v>
      </c>
      <c r="F2645" s="197">
        <v>192.8</v>
      </c>
      <c r="G2645" s="190">
        <v>45807</v>
      </c>
      <c r="H2645" s="196">
        <v>0</v>
      </c>
      <c r="I2645" s="197">
        <v>0</v>
      </c>
      <c r="J2645" s="197">
        <v>0</v>
      </c>
      <c r="K2645" s="197">
        <v>0</v>
      </c>
      <c r="L2645" s="197">
        <v>0</v>
      </c>
      <c r="M2645" s="260" t="s">
        <v>239</v>
      </c>
      <c r="N2645" s="260" t="s">
        <v>514</v>
      </c>
    </row>
    <row r="2646" spans="1:14" ht="14.5" x14ac:dyDescent="0.35">
      <c r="A2646" s="260" t="s">
        <v>566</v>
      </c>
      <c r="B2646" s="190">
        <v>45807</v>
      </c>
      <c r="C2646" s="260" t="s">
        <v>754</v>
      </c>
      <c r="D2646" s="197">
        <v>0</v>
      </c>
      <c r="E2646" s="197">
        <v>0</v>
      </c>
      <c r="F2646" s="197">
        <v>84.8</v>
      </c>
      <c r="G2646" s="190">
        <v>45807</v>
      </c>
      <c r="H2646" s="196">
        <v>0</v>
      </c>
      <c r="I2646" s="197">
        <v>0</v>
      </c>
      <c r="J2646" s="197">
        <v>0</v>
      </c>
      <c r="K2646" s="197">
        <v>0</v>
      </c>
      <c r="L2646" s="197">
        <v>0</v>
      </c>
      <c r="M2646" s="260" t="s">
        <v>239</v>
      </c>
      <c r="N2646" s="260" t="s">
        <v>514</v>
      </c>
    </row>
    <row r="2647" spans="1:14" ht="14.5" x14ac:dyDescent="0.35">
      <c r="A2647" s="260" t="s">
        <v>566</v>
      </c>
      <c r="B2647" s="190">
        <v>45808</v>
      </c>
      <c r="C2647" s="260" t="s">
        <v>749</v>
      </c>
      <c r="D2647" s="197">
        <v>0</v>
      </c>
      <c r="E2647" s="197">
        <v>0</v>
      </c>
      <c r="F2647" s="197">
        <v>99.07</v>
      </c>
      <c r="G2647" s="190">
        <v>45807</v>
      </c>
      <c r="H2647" s="196">
        <v>1</v>
      </c>
      <c r="I2647" s="197">
        <v>0</v>
      </c>
      <c r="J2647" s="197">
        <v>0</v>
      </c>
      <c r="K2647" s="197">
        <v>0</v>
      </c>
      <c r="L2647" s="197">
        <v>0</v>
      </c>
      <c r="M2647" s="260" t="s">
        <v>239</v>
      </c>
      <c r="N2647" s="260" t="s">
        <v>514</v>
      </c>
    </row>
    <row r="2648" spans="1:14" ht="14.5" x14ac:dyDescent="0.35">
      <c r="A2648" s="260" t="s">
        <v>566</v>
      </c>
      <c r="B2648" s="190">
        <v>45808</v>
      </c>
      <c r="C2648" s="260" t="s">
        <v>752</v>
      </c>
      <c r="D2648" s="197">
        <v>0</v>
      </c>
      <c r="E2648" s="197">
        <v>0</v>
      </c>
      <c r="F2648" s="197">
        <v>192.8</v>
      </c>
      <c r="G2648" s="190">
        <v>45807</v>
      </c>
      <c r="H2648" s="196">
        <v>1</v>
      </c>
      <c r="I2648" s="197">
        <v>0</v>
      </c>
      <c r="J2648" s="197">
        <v>0</v>
      </c>
      <c r="K2648" s="197">
        <v>0</v>
      </c>
      <c r="L2648" s="197">
        <v>0</v>
      </c>
      <c r="M2648" s="260" t="s">
        <v>239</v>
      </c>
      <c r="N2648" s="260" t="s">
        <v>514</v>
      </c>
    </row>
    <row r="2649" spans="1:14" ht="14.5" x14ac:dyDescent="0.35">
      <c r="A2649" s="260" t="s">
        <v>566</v>
      </c>
      <c r="B2649" s="190">
        <v>45808</v>
      </c>
      <c r="C2649" s="260" t="s">
        <v>754</v>
      </c>
      <c r="D2649" s="197">
        <v>0</v>
      </c>
      <c r="E2649" s="197">
        <v>0</v>
      </c>
      <c r="F2649" s="197">
        <v>84.8</v>
      </c>
      <c r="G2649" s="190">
        <v>45807</v>
      </c>
      <c r="H2649" s="196">
        <v>1</v>
      </c>
      <c r="I2649" s="197">
        <v>0</v>
      </c>
      <c r="J2649" s="197">
        <v>0</v>
      </c>
      <c r="K2649" s="197">
        <v>0</v>
      </c>
      <c r="L2649" s="197">
        <v>0</v>
      </c>
      <c r="M2649" s="260" t="s">
        <v>239</v>
      </c>
      <c r="N2649" s="260" t="s">
        <v>514</v>
      </c>
    </row>
    <row r="2650" spans="1:14" ht="14.5" x14ac:dyDescent="0.35">
      <c r="A2650" s="260" t="s">
        <v>566</v>
      </c>
      <c r="B2650" s="190">
        <v>45809</v>
      </c>
      <c r="C2650" s="260" t="s">
        <v>749</v>
      </c>
      <c r="D2650" s="197">
        <v>0</v>
      </c>
      <c r="E2650" s="197">
        <v>0</v>
      </c>
      <c r="F2650" s="197">
        <v>99.07</v>
      </c>
      <c r="G2650" s="190">
        <v>45807</v>
      </c>
      <c r="H2650" s="196">
        <v>2</v>
      </c>
      <c r="I2650" s="197">
        <v>0</v>
      </c>
      <c r="J2650" s="197">
        <v>0</v>
      </c>
      <c r="K2650" s="197">
        <v>0</v>
      </c>
      <c r="L2650" s="197">
        <v>0</v>
      </c>
      <c r="M2650" s="260" t="s">
        <v>239</v>
      </c>
      <c r="N2650" s="260" t="s">
        <v>514</v>
      </c>
    </row>
    <row r="2651" spans="1:14" ht="14.5" x14ac:dyDescent="0.35">
      <c r="A2651" s="260" t="s">
        <v>566</v>
      </c>
      <c r="B2651" s="190">
        <v>45809</v>
      </c>
      <c r="C2651" s="260" t="s">
        <v>752</v>
      </c>
      <c r="D2651" s="197">
        <v>0</v>
      </c>
      <c r="E2651" s="197">
        <v>0</v>
      </c>
      <c r="F2651" s="197">
        <v>192.8</v>
      </c>
      <c r="G2651" s="190">
        <v>45807</v>
      </c>
      <c r="H2651" s="196">
        <v>2</v>
      </c>
      <c r="I2651" s="197">
        <v>0</v>
      </c>
      <c r="J2651" s="197">
        <v>0</v>
      </c>
      <c r="K2651" s="197">
        <v>0</v>
      </c>
      <c r="L2651" s="197">
        <v>0</v>
      </c>
      <c r="M2651" s="260" t="s">
        <v>239</v>
      </c>
      <c r="N2651" s="260" t="s">
        <v>514</v>
      </c>
    </row>
    <row r="2652" spans="1:14" ht="14.5" x14ac:dyDescent="0.35">
      <c r="A2652" s="260" t="s">
        <v>566</v>
      </c>
      <c r="B2652" s="190">
        <v>45809</v>
      </c>
      <c r="C2652" s="260" t="s">
        <v>754</v>
      </c>
      <c r="D2652" s="197">
        <v>0</v>
      </c>
      <c r="E2652" s="197">
        <v>0</v>
      </c>
      <c r="F2652" s="197">
        <v>84.8</v>
      </c>
      <c r="G2652" s="190">
        <v>45807</v>
      </c>
      <c r="H2652" s="196">
        <v>2</v>
      </c>
      <c r="I2652" s="197">
        <v>0</v>
      </c>
      <c r="J2652" s="197">
        <v>0</v>
      </c>
      <c r="K2652" s="197">
        <v>0</v>
      </c>
      <c r="L2652" s="197">
        <v>0</v>
      </c>
      <c r="M2652" s="260" t="s">
        <v>239</v>
      </c>
      <c r="N2652" s="260" t="s">
        <v>514</v>
      </c>
    </row>
    <row r="2653" spans="1:14" ht="14.5" x14ac:dyDescent="0.35">
      <c r="A2653" s="260" t="s">
        <v>566</v>
      </c>
      <c r="B2653" s="190">
        <v>45810</v>
      </c>
      <c r="C2653" s="260" t="s">
        <v>749</v>
      </c>
      <c r="D2653" s="197">
        <v>0</v>
      </c>
      <c r="E2653" s="197">
        <v>0</v>
      </c>
      <c r="F2653" s="197">
        <v>99.41</v>
      </c>
      <c r="G2653" s="190">
        <v>45810</v>
      </c>
      <c r="H2653" s="196">
        <v>0</v>
      </c>
      <c r="I2653" s="197">
        <v>0</v>
      </c>
      <c r="J2653" s="197">
        <v>0</v>
      </c>
      <c r="K2653" s="197">
        <v>0</v>
      </c>
      <c r="L2653" s="197">
        <v>0</v>
      </c>
      <c r="M2653" s="260" t="s">
        <v>239</v>
      </c>
      <c r="N2653" s="260" t="s">
        <v>514</v>
      </c>
    </row>
    <row r="2654" spans="1:14" ht="14.5" x14ac:dyDescent="0.35">
      <c r="A2654" s="260" t="s">
        <v>566</v>
      </c>
      <c r="B2654" s="190">
        <v>45810</v>
      </c>
      <c r="C2654" s="260" t="s">
        <v>752</v>
      </c>
      <c r="D2654" s="197">
        <v>0</v>
      </c>
      <c r="E2654" s="197">
        <v>0</v>
      </c>
      <c r="F2654" s="197">
        <v>192.62</v>
      </c>
      <c r="G2654" s="190">
        <v>45810</v>
      </c>
      <c r="H2654" s="196">
        <v>0</v>
      </c>
      <c r="I2654" s="197">
        <v>0</v>
      </c>
      <c r="J2654" s="197">
        <v>0</v>
      </c>
      <c r="K2654" s="197">
        <v>0</v>
      </c>
      <c r="L2654" s="197">
        <v>0</v>
      </c>
      <c r="M2654" s="260" t="s">
        <v>239</v>
      </c>
      <c r="N2654" s="260" t="s">
        <v>514</v>
      </c>
    </row>
    <row r="2655" spans="1:14" ht="14.5" x14ac:dyDescent="0.35">
      <c r="A2655" s="260" t="s">
        <v>566</v>
      </c>
      <c r="B2655" s="190">
        <v>45810</v>
      </c>
      <c r="C2655" s="260" t="s">
        <v>754</v>
      </c>
      <c r="D2655" s="197">
        <v>0</v>
      </c>
      <c r="E2655" s="197">
        <v>0</v>
      </c>
      <c r="F2655" s="197">
        <v>84.86</v>
      </c>
      <c r="G2655" s="190">
        <v>45810</v>
      </c>
      <c r="H2655" s="196">
        <v>0</v>
      </c>
      <c r="I2655" s="197">
        <v>0</v>
      </c>
      <c r="J2655" s="197">
        <v>0</v>
      </c>
      <c r="K2655" s="197">
        <v>0</v>
      </c>
      <c r="L2655" s="197">
        <v>0</v>
      </c>
      <c r="M2655" s="260" t="s">
        <v>239</v>
      </c>
      <c r="N2655" s="260" t="s">
        <v>514</v>
      </c>
    </row>
    <row r="2656" spans="1:14" ht="14.5" x14ac:dyDescent="0.35">
      <c r="A2656" s="260" t="s">
        <v>566</v>
      </c>
      <c r="B2656" s="190">
        <v>45811</v>
      </c>
      <c r="C2656" s="260" t="s">
        <v>749</v>
      </c>
      <c r="D2656" s="197">
        <v>0</v>
      </c>
      <c r="E2656" s="197">
        <v>0</v>
      </c>
      <c r="F2656" s="197">
        <v>99.83</v>
      </c>
      <c r="G2656" s="190">
        <v>45811</v>
      </c>
      <c r="H2656" s="196">
        <v>0</v>
      </c>
      <c r="I2656" s="197">
        <v>0</v>
      </c>
      <c r="J2656" s="197">
        <v>0</v>
      </c>
      <c r="K2656" s="197">
        <v>0</v>
      </c>
      <c r="L2656" s="197">
        <v>0</v>
      </c>
      <c r="M2656" s="260" t="s">
        <v>239</v>
      </c>
      <c r="N2656" s="260" t="s">
        <v>514</v>
      </c>
    </row>
    <row r="2657" spans="1:14" ht="14.5" x14ac:dyDescent="0.35">
      <c r="A2657" s="260" t="s">
        <v>566</v>
      </c>
      <c r="B2657" s="190">
        <v>45811</v>
      </c>
      <c r="C2657" s="260" t="s">
        <v>752</v>
      </c>
      <c r="D2657" s="197">
        <v>0</v>
      </c>
      <c r="E2657" s="197">
        <v>0</v>
      </c>
      <c r="F2657" s="197">
        <v>192.24</v>
      </c>
      <c r="G2657" s="190">
        <v>45811</v>
      </c>
      <c r="H2657" s="196">
        <v>0</v>
      </c>
      <c r="I2657" s="197">
        <v>0</v>
      </c>
      <c r="J2657" s="197">
        <v>0</v>
      </c>
      <c r="K2657" s="197">
        <v>0</v>
      </c>
      <c r="L2657" s="197">
        <v>0</v>
      </c>
      <c r="M2657" s="260" t="s">
        <v>239</v>
      </c>
      <c r="N2657" s="260" t="s">
        <v>514</v>
      </c>
    </row>
    <row r="2658" spans="1:14" ht="14.5" x14ac:dyDescent="0.35">
      <c r="A2658" s="260" t="s">
        <v>566</v>
      </c>
      <c r="B2658" s="190">
        <v>45811</v>
      </c>
      <c r="C2658" s="260" t="s">
        <v>754</v>
      </c>
      <c r="D2658" s="197">
        <v>0</v>
      </c>
      <c r="E2658" s="197">
        <v>0</v>
      </c>
      <c r="F2658" s="197">
        <v>84.72</v>
      </c>
      <c r="G2658" s="190">
        <v>45811</v>
      </c>
      <c r="H2658" s="196">
        <v>0</v>
      </c>
      <c r="I2658" s="197">
        <v>0</v>
      </c>
      <c r="J2658" s="197">
        <v>0</v>
      </c>
      <c r="K2658" s="197">
        <v>0</v>
      </c>
      <c r="L2658" s="197">
        <v>0</v>
      </c>
      <c r="M2658" s="260" t="s">
        <v>239</v>
      </c>
      <c r="N2658" s="260" t="s">
        <v>514</v>
      </c>
    </row>
    <row r="2659" spans="1:14" ht="14.5" x14ac:dyDescent="0.35">
      <c r="A2659" s="260" t="s">
        <v>566</v>
      </c>
      <c r="B2659" s="190">
        <v>45812</v>
      </c>
      <c r="C2659" s="260" t="s">
        <v>749</v>
      </c>
      <c r="D2659" s="197">
        <v>0</v>
      </c>
      <c r="E2659" s="197">
        <v>0</v>
      </c>
      <c r="F2659" s="197">
        <v>100.24</v>
      </c>
      <c r="G2659" s="190">
        <v>45812</v>
      </c>
      <c r="H2659" s="196">
        <v>0</v>
      </c>
      <c r="I2659" s="197">
        <v>0</v>
      </c>
      <c r="J2659" s="197">
        <v>0</v>
      </c>
      <c r="K2659" s="197">
        <v>0</v>
      </c>
      <c r="L2659" s="197">
        <v>0</v>
      </c>
      <c r="M2659" s="260" t="s">
        <v>239</v>
      </c>
      <c r="N2659" s="260" t="s">
        <v>514</v>
      </c>
    </row>
    <row r="2660" spans="1:14" ht="14.5" x14ac:dyDescent="0.35">
      <c r="A2660" s="260" t="s">
        <v>566</v>
      </c>
      <c r="B2660" s="190">
        <v>45812</v>
      </c>
      <c r="C2660" s="260" t="s">
        <v>752</v>
      </c>
      <c r="D2660" s="197">
        <v>0</v>
      </c>
      <c r="E2660" s="197">
        <v>0</v>
      </c>
      <c r="F2660" s="197">
        <v>191.86</v>
      </c>
      <c r="G2660" s="190">
        <v>45812</v>
      </c>
      <c r="H2660" s="196">
        <v>0</v>
      </c>
      <c r="I2660" s="197">
        <v>0</v>
      </c>
      <c r="J2660" s="197">
        <v>0</v>
      </c>
      <c r="K2660" s="197">
        <v>0</v>
      </c>
      <c r="L2660" s="197">
        <v>0</v>
      </c>
      <c r="M2660" s="260" t="s">
        <v>239</v>
      </c>
      <c r="N2660" s="260" t="s">
        <v>514</v>
      </c>
    </row>
    <row r="2661" spans="1:14" ht="14.5" x14ac:dyDescent="0.35">
      <c r="A2661" s="260" t="s">
        <v>566</v>
      </c>
      <c r="B2661" s="190">
        <v>45812</v>
      </c>
      <c r="C2661" s="260" t="s">
        <v>754</v>
      </c>
      <c r="D2661" s="197">
        <v>0</v>
      </c>
      <c r="E2661" s="197">
        <v>0</v>
      </c>
      <c r="F2661" s="197">
        <v>84.59</v>
      </c>
      <c r="G2661" s="190">
        <v>45812</v>
      </c>
      <c r="H2661" s="196">
        <v>0</v>
      </c>
      <c r="I2661" s="197">
        <v>0</v>
      </c>
      <c r="J2661" s="197">
        <v>0</v>
      </c>
      <c r="K2661" s="197">
        <v>0</v>
      </c>
      <c r="L2661" s="197">
        <v>0</v>
      </c>
      <c r="M2661" s="260" t="s">
        <v>239</v>
      </c>
      <c r="N2661" s="260" t="s">
        <v>514</v>
      </c>
    </row>
    <row r="2662" spans="1:14" ht="14.5" x14ac:dyDescent="0.35">
      <c r="A2662" s="260" t="s">
        <v>566</v>
      </c>
      <c r="B2662" s="190">
        <v>45813</v>
      </c>
      <c r="C2662" s="260" t="s">
        <v>749</v>
      </c>
      <c r="D2662" s="197">
        <v>0</v>
      </c>
      <c r="E2662" s="197">
        <v>0</v>
      </c>
      <c r="F2662" s="197">
        <v>100.66</v>
      </c>
      <c r="G2662" s="190">
        <v>45813</v>
      </c>
      <c r="H2662" s="196">
        <v>0</v>
      </c>
      <c r="I2662" s="197">
        <v>0</v>
      </c>
      <c r="J2662" s="197">
        <v>0</v>
      </c>
      <c r="K2662" s="197">
        <v>0</v>
      </c>
      <c r="L2662" s="197">
        <v>0</v>
      </c>
      <c r="M2662" s="260" t="s">
        <v>239</v>
      </c>
      <c r="N2662" s="260" t="s">
        <v>514</v>
      </c>
    </row>
    <row r="2663" spans="1:14" ht="14.5" x14ac:dyDescent="0.35">
      <c r="A2663" s="260" t="s">
        <v>566</v>
      </c>
      <c r="B2663" s="190">
        <v>45813</v>
      </c>
      <c r="C2663" s="260" t="s">
        <v>752</v>
      </c>
      <c r="D2663" s="197">
        <v>0</v>
      </c>
      <c r="E2663" s="197">
        <v>0</v>
      </c>
      <c r="F2663" s="197">
        <v>191.48</v>
      </c>
      <c r="G2663" s="190">
        <v>45813</v>
      </c>
      <c r="H2663" s="196">
        <v>0</v>
      </c>
      <c r="I2663" s="197">
        <v>0</v>
      </c>
      <c r="J2663" s="197">
        <v>0</v>
      </c>
      <c r="K2663" s="197">
        <v>0</v>
      </c>
      <c r="L2663" s="197">
        <v>0</v>
      </c>
      <c r="M2663" s="260" t="s">
        <v>239</v>
      </c>
      <c r="N2663" s="260" t="s">
        <v>514</v>
      </c>
    </row>
    <row r="2664" spans="1:14" ht="14.5" x14ac:dyDescent="0.35">
      <c r="A2664" s="260" t="s">
        <v>566</v>
      </c>
      <c r="B2664" s="190">
        <v>45813</v>
      </c>
      <c r="C2664" s="260" t="s">
        <v>754</v>
      </c>
      <c r="D2664" s="197">
        <v>0</v>
      </c>
      <c r="E2664" s="197">
        <v>0</v>
      </c>
      <c r="F2664" s="197">
        <v>84.45</v>
      </c>
      <c r="G2664" s="190">
        <v>45813</v>
      </c>
      <c r="H2664" s="196">
        <v>0</v>
      </c>
      <c r="I2664" s="197">
        <v>0</v>
      </c>
      <c r="J2664" s="197">
        <v>0</v>
      </c>
      <c r="K2664" s="197">
        <v>0</v>
      </c>
      <c r="L2664" s="197">
        <v>0</v>
      </c>
      <c r="M2664" s="260" t="s">
        <v>239</v>
      </c>
      <c r="N2664" s="260" t="s">
        <v>514</v>
      </c>
    </row>
    <row r="2665" spans="1:14" ht="14.5" x14ac:dyDescent="0.35">
      <c r="A2665" s="260" t="s">
        <v>566</v>
      </c>
      <c r="B2665" s="190">
        <v>45814</v>
      </c>
      <c r="C2665" s="260" t="s">
        <v>749</v>
      </c>
      <c r="D2665" s="197">
        <v>0</v>
      </c>
      <c r="E2665" s="197">
        <v>0</v>
      </c>
      <c r="F2665" s="197">
        <v>101.07</v>
      </c>
      <c r="G2665" s="190">
        <v>45814</v>
      </c>
      <c r="H2665" s="196">
        <v>0</v>
      </c>
      <c r="I2665" s="197">
        <v>0</v>
      </c>
      <c r="J2665" s="197">
        <v>0</v>
      </c>
      <c r="K2665" s="197">
        <v>0</v>
      </c>
      <c r="L2665" s="197">
        <v>0</v>
      </c>
      <c r="M2665" s="260" t="s">
        <v>239</v>
      </c>
      <c r="N2665" s="260" t="s">
        <v>514</v>
      </c>
    </row>
    <row r="2666" spans="1:14" ht="14.5" x14ac:dyDescent="0.35">
      <c r="A2666" s="260" t="s">
        <v>566</v>
      </c>
      <c r="B2666" s="190">
        <v>45814</v>
      </c>
      <c r="C2666" s="260" t="s">
        <v>752</v>
      </c>
      <c r="D2666" s="197">
        <v>0</v>
      </c>
      <c r="E2666" s="197">
        <v>0</v>
      </c>
      <c r="F2666" s="197">
        <v>191.1</v>
      </c>
      <c r="G2666" s="190">
        <v>45814</v>
      </c>
      <c r="H2666" s="196">
        <v>0</v>
      </c>
      <c r="I2666" s="197">
        <v>0</v>
      </c>
      <c r="J2666" s="197">
        <v>0</v>
      </c>
      <c r="K2666" s="197">
        <v>0</v>
      </c>
      <c r="L2666" s="197">
        <v>0</v>
      </c>
      <c r="M2666" s="260" t="s">
        <v>239</v>
      </c>
      <c r="N2666" s="260" t="s">
        <v>514</v>
      </c>
    </row>
    <row r="2667" spans="1:14" ht="14.5" x14ac:dyDescent="0.35">
      <c r="A2667" s="260" t="s">
        <v>566</v>
      </c>
      <c r="B2667" s="190">
        <v>45814</v>
      </c>
      <c r="C2667" s="260" t="s">
        <v>754</v>
      </c>
      <c r="D2667" s="197">
        <v>0</v>
      </c>
      <c r="E2667" s="197">
        <v>0</v>
      </c>
      <c r="F2667" s="197">
        <v>84.31</v>
      </c>
      <c r="G2667" s="190">
        <v>45814</v>
      </c>
      <c r="H2667" s="196">
        <v>0</v>
      </c>
      <c r="I2667" s="197">
        <v>0</v>
      </c>
      <c r="J2667" s="197">
        <v>0</v>
      </c>
      <c r="K2667" s="197">
        <v>0</v>
      </c>
      <c r="L2667" s="197">
        <v>0</v>
      </c>
      <c r="M2667" s="260" t="s">
        <v>239</v>
      </c>
      <c r="N2667" s="260" t="s">
        <v>514</v>
      </c>
    </row>
    <row r="2668" spans="1:14" ht="14.5" x14ac:dyDescent="0.35">
      <c r="A2668" s="260" t="s">
        <v>566</v>
      </c>
      <c r="B2668" s="190">
        <v>45815</v>
      </c>
      <c r="C2668" s="260" t="s">
        <v>749</v>
      </c>
      <c r="D2668" s="197">
        <v>0</v>
      </c>
      <c r="E2668" s="197">
        <v>0</v>
      </c>
      <c r="F2668" s="197">
        <v>101.07</v>
      </c>
      <c r="G2668" s="190">
        <v>45814</v>
      </c>
      <c r="H2668" s="196">
        <v>1</v>
      </c>
      <c r="I2668" s="197">
        <v>0</v>
      </c>
      <c r="J2668" s="197">
        <v>0</v>
      </c>
      <c r="K2668" s="197">
        <v>0</v>
      </c>
      <c r="L2668" s="197">
        <v>0</v>
      </c>
      <c r="M2668" s="260" t="s">
        <v>239</v>
      </c>
      <c r="N2668" s="260" t="s">
        <v>514</v>
      </c>
    </row>
    <row r="2669" spans="1:14" ht="14.5" x14ac:dyDescent="0.35">
      <c r="A2669" s="260" t="s">
        <v>566</v>
      </c>
      <c r="B2669" s="190">
        <v>45815</v>
      </c>
      <c r="C2669" s="260" t="s">
        <v>752</v>
      </c>
      <c r="D2669" s="197">
        <v>0</v>
      </c>
      <c r="E2669" s="197">
        <v>0</v>
      </c>
      <c r="F2669" s="197">
        <v>191.1</v>
      </c>
      <c r="G2669" s="190">
        <v>45814</v>
      </c>
      <c r="H2669" s="196">
        <v>1</v>
      </c>
      <c r="I2669" s="197">
        <v>0</v>
      </c>
      <c r="J2669" s="197">
        <v>0</v>
      </c>
      <c r="K2669" s="197">
        <v>0</v>
      </c>
      <c r="L2669" s="197">
        <v>0</v>
      </c>
      <c r="M2669" s="260" t="s">
        <v>239</v>
      </c>
      <c r="N2669" s="260" t="s">
        <v>514</v>
      </c>
    </row>
    <row r="2670" spans="1:14" ht="14.5" x14ac:dyDescent="0.35">
      <c r="A2670" s="260" t="s">
        <v>566</v>
      </c>
      <c r="B2670" s="190">
        <v>45815</v>
      </c>
      <c r="C2670" s="260" t="s">
        <v>754</v>
      </c>
      <c r="D2670" s="197">
        <v>0</v>
      </c>
      <c r="E2670" s="197">
        <v>0</v>
      </c>
      <c r="F2670" s="197">
        <v>84.31</v>
      </c>
      <c r="G2670" s="190">
        <v>45814</v>
      </c>
      <c r="H2670" s="196">
        <v>1</v>
      </c>
      <c r="I2670" s="197">
        <v>0</v>
      </c>
      <c r="J2670" s="197">
        <v>0</v>
      </c>
      <c r="K2670" s="197">
        <v>0</v>
      </c>
      <c r="L2670" s="197">
        <v>0</v>
      </c>
      <c r="M2670" s="260" t="s">
        <v>239</v>
      </c>
      <c r="N2670" s="260" t="s">
        <v>514</v>
      </c>
    </row>
    <row r="2671" spans="1:14" ht="14.5" x14ac:dyDescent="0.35">
      <c r="A2671" s="260" t="s">
        <v>566</v>
      </c>
      <c r="B2671" s="190">
        <v>45816</v>
      </c>
      <c r="C2671" s="260" t="s">
        <v>749</v>
      </c>
      <c r="D2671" s="197">
        <v>0</v>
      </c>
      <c r="E2671" s="197">
        <v>0</v>
      </c>
      <c r="F2671" s="197">
        <v>101.07</v>
      </c>
      <c r="G2671" s="190">
        <v>45814</v>
      </c>
      <c r="H2671" s="196">
        <v>2</v>
      </c>
      <c r="I2671" s="197">
        <v>0</v>
      </c>
      <c r="J2671" s="197">
        <v>0</v>
      </c>
      <c r="K2671" s="197">
        <v>0</v>
      </c>
      <c r="L2671" s="197">
        <v>0</v>
      </c>
      <c r="M2671" s="260" t="s">
        <v>239</v>
      </c>
      <c r="N2671" s="260" t="s">
        <v>514</v>
      </c>
    </row>
    <row r="2672" spans="1:14" ht="14.5" x14ac:dyDescent="0.35">
      <c r="A2672" s="260" t="s">
        <v>566</v>
      </c>
      <c r="B2672" s="190">
        <v>45816</v>
      </c>
      <c r="C2672" s="260" t="s">
        <v>752</v>
      </c>
      <c r="D2672" s="197">
        <v>0</v>
      </c>
      <c r="E2672" s="197">
        <v>0</v>
      </c>
      <c r="F2672" s="197">
        <v>191.1</v>
      </c>
      <c r="G2672" s="190">
        <v>45814</v>
      </c>
      <c r="H2672" s="196">
        <v>2</v>
      </c>
      <c r="I2672" s="197">
        <v>0</v>
      </c>
      <c r="J2672" s="197">
        <v>0</v>
      </c>
      <c r="K2672" s="197">
        <v>0</v>
      </c>
      <c r="L2672" s="197">
        <v>0</v>
      </c>
      <c r="M2672" s="260" t="s">
        <v>239</v>
      </c>
      <c r="N2672" s="260" t="s">
        <v>514</v>
      </c>
    </row>
    <row r="2673" spans="1:14" ht="14.5" x14ac:dyDescent="0.35">
      <c r="A2673" s="260" t="s">
        <v>566</v>
      </c>
      <c r="B2673" s="190">
        <v>45816</v>
      </c>
      <c r="C2673" s="260" t="s">
        <v>754</v>
      </c>
      <c r="D2673" s="197">
        <v>0</v>
      </c>
      <c r="E2673" s="197">
        <v>0</v>
      </c>
      <c r="F2673" s="197">
        <v>84.31</v>
      </c>
      <c r="G2673" s="190">
        <v>45814</v>
      </c>
      <c r="H2673" s="196">
        <v>2</v>
      </c>
      <c r="I2673" s="197">
        <v>0</v>
      </c>
      <c r="J2673" s="197">
        <v>0</v>
      </c>
      <c r="K2673" s="197">
        <v>0</v>
      </c>
      <c r="L2673" s="197">
        <v>0</v>
      </c>
      <c r="M2673" s="260" t="s">
        <v>239</v>
      </c>
      <c r="N2673" s="260" t="s">
        <v>514</v>
      </c>
    </row>
    <row r="2674" spans="1:14" ht="14.5" x14ac:dyDescent="0.35">
      <c r="A2674" s="260" t="s">
        <v>566</v>
      </c>
      <c r="B2674" s="190">
        <v>45817</v>
      </c>
      <c r="C2674" s="260" t="s">
        <v>749</v>
      </c>
      <c r="D2674" s="197">
        <v>0</v>
      </c>
      <c r="E2674" s="197">
        <v>0</v>
      </c>
      <c r="F2674" s="197">
        <v>102.31</v>
      </c>
      <c r="G2674" s="190">
        <v>45817</v>
      </c>
      <c r="H2674" s="196">
        <v>0</v>
      </c>
      <c r="I2674" s="197">
        <v>0</v>
      </c>
      <c r="J2674" s="197">
        <v>0</v>
      </c>
      <c r="K2674" s="197">
        <v>0</v>
      </c>
      <c r="L2674" s="197">
        <v>0</v>
      </c>
      <c r="M2674" s="260" t="s">
        <v>239</v>
      </c>
      <c r="N2674" s="260" t="s">
        <v>514</v>
      </c>
    </row>
    <row r="2675" spans="1:14" ht="14.5" x14ac:dyDescent="0.35">
      <c r="A2675" s="260" t="s">
        <v>566</v>
      </c>
      <c r="B2675" s="190">
        <v>45817</v>
      </c>
      <c r="C2675" s="260" t="s">
        <v>752</v>
      </c>
      <c r="D2675" s="197">
        <v>0</v>
      </c>
      <c r="E2675" s="197">
        <v>0</v>
      </c>
      <c r="F2675" s="197">
        <v>189.97</v>
      </c>
      <c r="G2675" s="190">
        <v>45817</v>
      </c>
      <c r="H2675" s="196">
        <v>0</v>
      </c>
      <c r="I2675" s="197">
        <v>0</v>
      </c>
      <c r="J2675" s="197">
        <v>0</v>
      </c>
      <c r="K2675" s="197">
        <v>0</v>
      </c>
      <c r="L2675" s="197">
        <v>0</v>
      </c>
      <c r="M2675" s="260" t="s">
        <v>239</v>
      </c>
      <c r="N2675" s="260" t="s">
        <v>514</v>
      </c>
    </row>
    <row r="2676" spans="1:14" ht="14.5" x14ac:dyDescent="0.35">
      <c r="A2676" s="260" t="s">
        <v>566</v>
      </c>
      <c r="B2676" s="190">
        <v>45817</v>
      </c>
      <c r="C2676" s="260" t="s">
        <v>754</v>
      </c>
      <c r="D2676" s="197">
        <v>0</v>
      </c>
      <c r="E2676" s="197">
        <v>0</v>
      </c>
      <c r="F2676" s="197">
        <v>83.9</v>
      </c>
      <c r="G2676" s="190">
        <v>45817</v>
      </c>
      <c r="H2676" s="196">
        <v>0</v>
      </c>
      <c r="I2676" s="197">
        <v>0</v>
      </c>
      <c r="J2676" s="197">
        <v>0</v>
      </c>
      <c r="K2676" s="197">
        <v>0</v>
      </c>
      <c r="L2676" s="197">
        <v>0</v>
      </c>
      <c r="M2676" s="260" t="s">
        <v>239</v>
      </c>
      <c r="N2676" s="260" t="s">
        <v>514</v>
      </c>
    </row>
    <row r="2677" spans="1:14" ht="14.5" x14ac:dyDescent="0.35">
      <c r="A2677" s="260" t="s">
        <v>566</v>
      </c>
      <c r="B2677" s="190">
        <v>45818</v>
      </c>
      <c r="C2677" s="260" t="s">
        <v>749</v>
      </c>
      <c r="D2677" s="197">
        <v>0</v>
      </c>
      <c r="E2677" s="197">
        <v>0</v>
      </c>
      <c r="F2677" s="197">
        <v>102.72</v>
      </c>
      <c r="G2677" s="190">
        <v>45818</v>
      </c>
      <c r="H2677" s="196">
        <v>0</v>
      </c>
      <c r="I2677" s="197">
        <v>0</v>
      </c>
      <c r="J2677" s="197">
        <v>0</v>
      </c>
      <c r="K2677" s="197">
        <v>0</v>
      </c>
      <c r="L2677" s="197">
        <v>0</v>
      </c>
      <c r="M2677" s="260" t="s">
        <v>239</v>
      </c>
      <c r="N2677" s="260" t="s">
        <v>514</v>
      </c>
    </row>
    <row r="2678" spans="1:14" ht="14.5" x14ac:dyDescent="0.35">
      <c r="A2678" s="260" t="s">
        <v>566</v>
      </c>
      <c r="B2678" s="190">
        <v>45818</v>
      </c>
      <c r="C2678" s="260" t="s">
        <v>752</v>
      </c>
      <c r="D2678" s="197">
        <v>0</v>
      </c>
      <c r="E2678" s="197">
        <v>0</v>
      </c>
      <c r="F2678" s="197">
        <v>189.59</v>
      </c>
      <c r="G2678" s="190">
        <v>45818</v>
      </c>
      <c r="H2678" s="196">
        <v>0</v>
      </c>
      <c r="I2678" s="197">
        <v>0</v>
      </c>
      <c r="J2678" s="197">
        <v>0</v>
      </c>
      <c r="K2678" s="197">
        <v>0</v>
      </c>
      <c r="L2678" s="197">
        <v>0</v>
      </c>
      <c r="M2678" s="260" t="s">
        <v>239</v>
      </c>
      <c r="N2678" s="260" t="s">
        <v>514</v>
      </c>
    </row>
    <row r="2679" spans="1:14" ht="14.5" x14ac:dyDescent="0.35">
      <c r="A2679" s="260" t="s">
        <v>566</v>
      </c>
      <c r="B2679" s="190">
        <v>45818</v>
      </c>
      <c r="C2679" s="260" t="s">
        <v>754</v>
      </c>
      <c r="D2679" s="197">
        <v>0</v>
      </c>
      <c r="E2679" s="197">
        <v>0</v>
      </c>
      <c r="F2679" s="197">
        <v>83.76</v>
      </c>
      <c r="G2679" s="190">
        <v>45818</v>
      </c>
      <c r="H2679" s="196">
        <v>0</v>
      </c>
      <c r="I2679" s="197">
        <v>0</v>
      </c>
      <c r="J2679" s="197">
        <v>0</v>
      </c>
      <c r="K2679" s="197">
        <v>0</v>
      </c>
      <c r="L2679" s="197">
        <v>0</v>
      </c>
      <c r="M2679" s="260" t="s">
        <v>239</v>
      </c>
      <c r="N2679" s="260" t="s">
        <v>514</v>
      </c>
    </row>
    <row r="2680" spans="1:14" ht="14.5" x14ac:dyDescent="0.35">
      <c r="A2680" s="260" t="s">
        <v>566</v>
      </c>
      <c r="B2680" s="190">
        <v>45819</v>
      </c>
      <c r="C2680" s="260" t="s">
        <v>749</v>
      </c>
      <c r="D2680" s="197">
        <v>0</v>
      </c>
      <c r="E2680" s="197">
        <v>0</v>
      </c>
      <c r="F2680" s="197">
        <v>103.14</v>
      </c>
      <c r="G2680" s="190">
        <v>45819</v>
      </c>
      <c r="H2680" s="196">
        <v>0</v>
      </c>
      <c r="I2680" s="197">
        <v>0</v>
      </c>
      <c r="J2680" s="197">
        <v>0</v>
      </c>
      <c r="K2680" s="197">
        <v>0</v>
      </c>
      <c r="L2680" s="197">
        <v>0</v>
      </c>
      <c r="M2680" s="260" t="s">
        <v>239</v>
      </c>
      <c r="N2680" s="260" t="s">
        <v>514</v>
      </c>
    </row>
    <row r="2681" spans="1:14" ht="14.5" x14ac:dyDescent="0.35">
      <c r="A2681" s="260" t="s">
        <v>566</v>
      </c>
      <c r="B2681" s="190">
        <v>45819</v>
      </c>
      <c r="C2681" s="260" t="s">
        <v>752</v>
      </c>
      <c r="D2681" s="197">
        <v>0</v>
      </c>
      <c r="E2681" s="197">
        <v>0</v>
      </c>
      <c r="F2681" s="197">
        <v>189.21</v>
      </c>
      <c r="G2681" s="190">
        <v>45819</v>
      </c>
      <c r="H2681" s="196">
        <v>0</v>
      </c>
      <c r="I2681" s="197">
        <v>0</v>
      </c>
      <c r="J2681" s="197">
        <v>0</v>
      </c>
      <c r="K2681" s="197">
        <v>0</v>
      </c>
      <c r="L2681" s="197">
        <v>0</v>
      </c>
      <c r="M2681" s="260" t="s">
        <v>239</v>
      </c>
      <c r="N2681" s="260" t="s">
        <v>514</v>
      </c>
    </row>
    <row r="2682" spans="1:14" ht="14.5" x14ac:dyDescent="0.35">
      <c r="A2682" s="260" t="s">
        <v>566</v>
      </c>
      <c r="B2682" s="190">
        <v>45819</v>
      </c>
      <c r="C2682" s="260" t="s">
        <v>754</v>
      </c>
      <c r="D2682" s="197">
        <v>0</v>
      </c>
      <c r="E2682" s="197">
        <v>0</v>
      </c>
      <c r="F2682" s="197">
        <v>83.62</v>
      </c>
      <c r="G2682" s="190">
        <v>45819</v>
      </c>
      <c r="H2682" s="196">
        <v>0</v>
      </c>
      <c r="I2682" s="197">
        <v>0</v>
      </c>
      <c r="J2682" s="197">
        <v>0</v>
      </c>
      <c r="K2682" s="197">
        <v>0</v>
      </c>
      <c r="L2682" s="197">
        <v>0</v>
      </c>
      <c r="M2682" s="260" t="s">
        <v>239</v>
      </c>
      <c r="N2682" s="260" t="s">
        <v>514</v>
      </c>
    </row>
    <row r="2683" spans="1:14" ht="14.5" x14ac:dyDescent="0.35">
      <c r="A2683" s="260" t="s">
        <v>566</v>
      </c>
      <c r="B2683" s="190">
        <v>45820</v>
      </c>
      <c r="C2683" s="260" t="s">
        <v>749</v>
      </c>
      <c r="D2683" s="197">
        <v>0</v>
      </c>
      <c r="E2683" s="197">
        <v>0</v>
      </c>
      <c r="F2683" s="197">
        <v>103.55</v>
      </c>
      <c r="G2683" s="190">
        <v>45820</v>
      </c>
      <c r="H2683" s="196">
        <v>0</v>
      </c>
      <c r="I2683" s="197">
        <v>0</v>
      </c>
      <c r="J2683" s="197">
        <v>0</v>
      </c>
      <c r="K2683" s="197">
        <v>0</v>
      </c>
      <c r="L2683" s="197">
        <v>0</v>
      </c>
      <c r="M2683" s="260" t="s">
        <v>239</v>
      </c>
      <c r="N2683" s="260" t="s">
        <v>514</v>
      </c>
    </row>
    <row r="2684" spans="1:14" ht="14.5" x14ac:dyDescent="0.35">
      <c r="A2684" s="260" t="s">
        <v>566</v>
      </c>
      <c r="B2684" s="190">
        <v>45820</v>
      </c>
      <c r="C2684" s="260" t="s">
        <v>752</v>
      </c>
      <c r="D2684" s="197">
        <v>0</v>
      </c>
      <c r="E2684" s="197">
        <v>0</v>
      </c>
      <c r="F2684" s="197">
        <v>188.83</v>
      </c>
      <c r="G2684" s="190">
        <v>45820</v>
      </c>
      <c r="H2684" s="196">
        <v>0</v>
      </c>
      <c r="I2684" s="197">
        <v>0</v>
      </c>
      <c r="J2684" s="197">
        <v>0</v>
      </c>
      <c r="K2684" s="197">
        <v>0</v>
      </c>
      <c r="L2684" s="197">
        <v>0</v>
      </c>
      <c r="M2684" s="260" t="s">
        <v>239</v>
      </c>
      <c r="N2684" s="260" t="s">
        <v>514</v>
      </c>
    </row>
    <row r="2685" spans="1:14" ht="14.5" x14ac:dyDescent="0.35">
      <c r="A2685" s="260" t="s">
        <v>566</v>
      </c>
      <c r="B2685" s="190">
        <v>45820</v>
      </c>
      <c r="C2685" s="260" t="s">
        <v>754</v>
      </c>
      <c r="D2685" s="197">
        <v>0</v>
      </c>
      <c r="E2685" s="197">
        <v>0</v>
      </c>
      <c r="F2685" s="197">
        <v>83.48</v>
      </c>
      <c r="G2685" s="190">
        <v>45820</v>
      </c>
      <c r="H2685" s="196">
        <v>0</v>
      </c>
      <c r="I2685" s="197">
        <v>0</v>
      </c>
      <c r="J2685" s="197">
        <v>0</v>
      </c>
      <c r="K2685" s="197">
        <v>0</v>
      </c>
      <c r="L2685" s="197">
        <v>0</v>
      </c>
      <c r="M2685" s="260" t="s">
        <v>239</v>
      </c>
      <c r="N2685" s="260" t="s">
        <v>514</v>
      </c>
    </row>
    <row r="2686" spans="1:14" ht="14.5" x14ac:dyDescent="0.35">
      <c r="A2686" s="260" t="s">
        <v>566</v>
      </c>
      <c r="B2686" s="190">
        <v>45821</v>
      </c>
      <c r="C2686" s="260" t="s">
        <v>749</v>
      </c>
      <c r="D2686" s="197">
        <v>0</v>
      </c>
      <c r="E2686" s="197">
        <v>0</v>
      </c>
      <c r="F2686" s="197">
        <v>103.97</v>
      </c>
      <c r="G2686" s="190">
        <v>45821</v>
      </c>
      <c r="H2686" s="196">
        <v>0</v>
      </c>
      <c r="I2686" s="197">
        <v>0</v>
      </c>
      <c r="J2686" s="197">
        <v>0</v>
      </c>
      <c r="K2686" s="197">
        <v>0</v>
      </c>
      <c r="L2686" s="197">
        <v>0</v>
      </c>
      <c r="M2686" s="260" t="s">
        <v>239</v>
      </c>
      <c r="N2686" s="260" t="s">
        <v>514</v>
      </c>
    </row>
    <row r="2687" spans="1:14" ht="14.5" x14ac:dyDescent="0.35">
      <c r="A2687" s="260" t="s">
        <v>566</v>
      </c>
      <c r="B2687" s="190">
        <v>45821</v>
      </c>
      <c r="C2687" s="260" t="s">
        <v>752</v>
      </c>
      <c r="D2687" s="197">
        <v>0</v>
      </c>
      <c r="E2687" s="197">
        <v>0</v>
      </c>
      <c r="F2687" s="197">
        <v>188.45</v>
      </c>
      <c r="G2687" s="190">
        <v>45821</v>
      </c>
      <c r="H2687" s="196">
        <v>0</v>
      </c>
      <c r="I2687" s="197">
        <v>0</v>
      </c>
      <c r="J2687" s="197">
        <v>0</v>
      </c>
      <c r="K2687" s="197">
        <v>0</v>
      </c>
      <c r="L2687" s="197">
        <v>0</v>
      </c>
      <c r="M2687" s="260" t="s">
        <v>239</v>
      </c>
      <c r="N2687" s="260" t="s">
        <v>514</v>
      </c>
    </row>
    <row r="2688" spans="1:14" ht="14.5" x14ac:dyDescent="0.35">
      <c r="A2688" s="260" t="s">
        <v>566</v>
      </c>
      <c r="B2688" s="190">
        <v>45821</v>
      </c>
      <c r="C2688" s="260" t="s">
        <v>754</v>
      </c>
      <c r="D2688" s="197">
        <v>0</v>
      </c>
      <c r="E2688" s="197">
        <v>0</v>
      </c>
      <c r="F2688" s="197">
        <v>83.34</v>
      </c>
      <c r="G2688" s="190">
        <v>45821</v>
      </c>
      <c r="H2688" s="196">
        <v>0</v>
      </c>
      <c r="I2688" s="197">
        <v>0</v>
      </c>
      <c r="J2688" s="197">
        <v>0</v>
      </c>
      <c r="K2688" s="197">
        <v>0</v>
      </c>
      <c r="L2688" s="197">
        <v>0</v>
      </c>
      <c r="M2688" s="260" t="s">
        <v>239</v>
      </c>
      <c r="N2688" s="260" t="s">
        <v>514</v>
      </c>
    </row>
    <row r="2689" spans="1:14" ht="14.5" x14ac:dyDescent="0.35">
      <c r="A2689" s="260" t="s">
        <v>566</v>
      </c>
      <c r="B2689" s="190">
        <v>45822</v>
      </c>
      <c r="C2689" s="260" t="s">
        <v>749</v>
      </c>
      <c r="D2689" s="197">
        <v>0</v>
      </c>
      <c r="E2689" s="197">
        <v>0</v>
      </c>
      <c r="F2689" s="197">
        <v>103.97</v>
      </c>
      <c r="G2689" s="190">
        <v>45821</v>
      </c>
      <c r="H2689" s="196">
        <v>1</v>
      </c>
      <c r="I2689" s="197">
        <v>0</v>
      </c>
      <c r="J2689" s="197">
        <v>0</v>
      </c>
      <c r="K2689" s="197">
        <v>0</v>
      </c>
      <c r="L2689" s="197">
        <v>0</v>
      </c>
      <c r="M2689" s="260" t="s">
        <v>239</v>
      </c>
      <c r="N2689" s="260" t="s">
        <v>514</v>
      </c>
    </row>
    <row r="2690" spans="1:14" ht="14.5" x14ac:dyDescent="0.35">
      <c r="A2690" s="260" t="s">
        <v>566</v>
      </c>
      <c r="B2690" s="190">
        <v>45822</v>
      </c>
      <c r="C2690" s="260" t="s">
        <v>752</v>
      </c>
      <c r="D2690" s="197">
        <v>0</v>
      </c>
      <c r="E2690" s="197">
        <v>0</v>
      </c>
      <c r="F2690" s="197">
        <v>188.45</v>
      </c>
      <c r="G2690" s="190">
        <v>45821</v>
      </c>
      <c r="H2690" s="196">
        <v>1</v>
      </c>
      <c r="I2690" s="197">
        <v>0</v>
      </c>
      <c r="J2690" s="197">
        <v>0</v>
      </c>
      <c r="K2690" s="197">
        <v>0</v>
      </c>
      <c r="L2690" s="197">
        <v>0</v>
      </c>
      <c r="M2690" s="260" t="s">
        <v>239</v>
      </c>
      <c r="N2690" s="260" t="s">
        <v>514</v>
      </c>
    </row>
    <row r="2691" spans="1:14" ht="14.5" x14ac:dyDescent="0.35">
      <c r="A2691" s="260" t="s">
        <v>566</v>
      </c>
      <c r="B2691" s="190">
        <v>45822</v>
      </c>
      <c r="C2691" s="260" t="s">
        <v>754</v>
      </c>
      <c r="D2691" s="197">
        <v>0</v>
      </c>
      <c r="E2691" s="197">
        <v>0</v>
      </c>
      <c r="F2691" s="197">
        <v>83.34</v>
      </c>
      <c r="G2691" s="190">
        <v>45821</v>
      </c>
      <c r="H2691" s="196">
        <v>1</v>
      </c>
      <c r="I2691" s="197">
        <v>0</v>
      </c>
      <c r="J2691" s="197">
        <v>0</v>
      </c>
      <c r="K2691" s="197">
        <v>0</v>
      </c>
      <c r="L2691" s="197">
        <v>0</v>
      </c>
      <c r="M2691" s="260" t="s">
        <v>239</v>
      </c>
      <c r="N2691" s="260" t="s">
        <v>514</v>
      </c>
    </row>
    <row r="2692" spans="1:14" ht="14.5" x14ac:dyDescent="0.35">
      <c r="A2692" s="260" t="s">
        <v>566</v>
      </c>
      <c r="B2692" s="190">
        <v>45823</v>
      </c>
      <c r="C2692" s="260" t="s">
        <v>749</v>
      </c>
      <c r="D2692" s="197">
        <v>0</v>
      </c>
      <c r="E2692" s="197">
        <v>0</v>
      </c>
      <c r="F2692" s="197">
        <v>103.97</v>
      </c>
      <c r="G2692" s="190">
        <v>45821</v>
      </c>
      <c r="H2692" s="196">
        <v>2</v>
      </c>
      <c r="I2692" s="197">
        <v>0</v>
      </c>
      <c r="J2692" s="197">
        <v>0</v>
      </c>
      <c r="K2692" s="197">
        <v>0</v>
      </c>
      <c r="L2692" s="197">
        <v>0</v>
      </c>
      <c r="M2692" s="260" t="s">
        <v>239</v>
      </c>
      <c r="N2692" s="260" t="s">
        <v>514</v>
      </c>
    </row>
    <row r="2693" spans="1:14" ht="14.5" x14ac:dyDescent="0.35">
      <c r="A2693" s="260" t="s">
        <v>566</v>
      </c>
      <c r="B2693" s="190">
        <v>45823</v>
      </c>
      <c r="C2693" s="260" t="s">
        <v>752</v>
      </c>
      <c r="D2693" s="197">
        <v>0</v>
      </c>
      <c r="E2693" s="197">
        <v>0</v>
      </c>
      <c r="F2693" s="197">
        <v>188.45</v>
      </c>
      <c r="G2693" s="190">
        <v>45821</v>
      </c>
      <c r="H2693" s="196">
        <v>2</v>
      </c>
      <c r="I2693" s="197">
        <v>0</v>
      </c>
      <c r="J2693" s="197">
        <v>0</v>
      </c>
      <c r="K2693" s="197">
        <v>0</v>
      </c>
      <c r="L2693" s="197">
        <v>0</v>
      </c>
      <c r="M2693" s="260" t="s">
        <v>239</v>
      </c>
      <c r="N2693" s="260" t="s">
        <v>514</v>
      </c>
    </row>
    <row r="2694" spans="1:14" ht="14.5" x14ac:dyDescent="0.35">
      <c r="A2694" s="260" t="s">
        <v>566</v>
      </c>
      <c r="B2694" s="190">
        <v>45823</v>
      </c>
      <c r="C2694" s="260" t="s">
        <v>754</v>
      </c>
      <c r="D2694" s="197">
        <v>0</v>
      </c>
      <c r="E2694" s="197">
        <v>0</v>
      </c>
      <c r="F2694" s="197">
        <v>83.34</v>
      </c>
      <c r="G2694" s="190">
        <v>45821</v>
      </c>
      <c r="H2694" s="196">
        <v>2</v>
      </c>
      <c r="I2694" s="197">
        <v>0</v>
      </c>
      <c r="J2694" s="197">
        <v>0</v>
      </c>
      <c r="K2694" s="197">
        <v>0</v>
      </c>
      <c r="L2694" s="197">
        <v>0</v>
      </c>
      <c r="M2694" s="260" t="s">
        <v>239</v>
      </c>
      <c r="N2694" s="260" t="s">
        <v>514</v>
      </c>
    </row>
    <row r="2695" spans="1:14" ht="14.5" x14ac:dyDescent="0.35">
      <c r="A2695" s="260" t="s">
        <v>566</v>
      </c>
      <c r="B2695" s="190">
        <v>45824</v>
      </c>
      <c r="C2695" s="260" t="s">
        <v>749</v>
      </c>
      <c r="D2695" s="197">
        <v>0</v>
      </c>
      <c r="E2695" s="197">
        <v>0</v>
      </c>
      <c r="F2695" s="197">
        <v>52.6</v>
      </c>
      <c r="G2695" s="190">
        <v>45824</v>
      </c>
      <c r="H2695" s="196">
        <v>0</v>
      </c>
      <c r="I2695" s="197">
        <v>0</v>
      </c>
      <c r="J2695" s="197">
        <v>0</v>
      </c>
      <c r="K2695" s="197">
        <v>0</v>
      </c>
      <c r="L2695" s="197">
        <v>0</v>
      </c>
      <c r="M2695" s="260" t="s">
        <v>239</v>
      </c>
      <c r="N2695" s="260" t="s">
        <v>514</v>
      </c>
    </row>
    <row r="2696" spans="1:14" ht="14.5" x14ac:dyDescent="0.35">
      <c r="A2696" s="260" t="s">
        <v>566</v>
      </c>
      <c r="B2696" s="190">
        <v>45824</v>
      </c>
      <c r="C2696" s="260" t="s">
        <v>752</v>
      </c>
      <c r="D2696" s="197">
        <v>0</v>
      </c>
      <c r="E2696" s="197">
        <v>0</v>
      </c>
      <c r="F2696" s="197">
        <v>187.31</v>
      </c>
      <c r="G2696" s="190">
        <v>45824</v>
      </c>
      <c r="H2696" s="196">
        <v>0</v>
      </c>
      <c r="I2696" s="197">
        <v>0</v>
      </c>
      <c r="J2696" s="197">
        <v>0</v>
      </c>
      <c r="K2696" s="197">
        <v>0</v>
      </c>
      <c r="L2696" s="197">
        <v>0</v>
      </c>
      <c r="M2696" s="260" t="s">
        <v>239</v>
      </c>
      <c r="N2696" s="260" t="s">
        <v>514</v>
      </c>
    </row>
    <row r="2697" spans="1:14" ht="14.5" x14ac:dyDescent="0.35">
      <c r="A2697" s="260" t="s">
        <v>566</v>
      </c>
      <c r="B2697" s="190">
        <v>45824</v>
      </c>
      <c r="C2697" s="260" t="s">
        <v>754</v>
      </c>
      <c r="D2697" s="197">
        <v>0</v>
      </c>
      <c r="E2697" s="197">
        <v>0</v>
      </c>
      <c r="F2697" s="197">
        <v>82.93</v>
      </c>
      <c r="G2697" s="190">
        <v>45824</v>
      </c>
      <c r="H2697" s="196">
        <v>0</v>
      </c>
      <c r="I2697" s="197">
        <v>0</v>
      </c>
      <c r="J2697" s="197">
        <v>0</v>
      </c>
      <c r="K2697" s="197">
        <v>0</v>
      </c>
      <c r="L2697" s="197">
        <v>0</v>
      </c>
      <c r="M2697" s="260" t="s">
        <v>239</v>
      </c>
      <c r="N2697" s="260" t="s">
        <v>514</v>
      </c>
    </row>
    <row r="2698" spans="1:14" ht="14.5" x14ac:dyDescent="0.35">
      <c r="A2698" s="260" t="s">
        <v>566</v>
      </c>
      <c r="B2698" s="190">
        <v>45825</v>
      </c>
      <c r="C2698" s="260" t="s">
        <v>749</v>
      </c>
      <c r="D2698" s="197">
        <v>0</v>
      </c>
      <c r="E2698" s="197">
        <v>0</v>
      </c>
      <c r="F2698" s="197">
        <v>52.81</v>
      </c>
      <c r="G2698" s="190">
        <v>45825</v>
      </c>
      <c r="H2698" s="196">
        <v>0</v>
      </c>
      <c r="I2698" s="197">
        <v>0</v>
      </c>
      <c r="J2698" s="197">
        <v>0</v>
      </c>
      <c r="K2698" s="197">
        <v>0</v>
      </c>
      <c r="L2698" s="197">
        <v>0</v>
      </c>
      <c r="M2698" s="260" t="s">
        <v>239</v>
      </c>
      <c r="N2698" s="260" t="s">
        <v>514</v>
      </c>
    </row>
    <row r="2699" spans="1:14" ht="14.5" x14ac:dyDescent="0.35">
      <c r="A2699" s="260" t="s">
        <v>566</v>
      </c>
      <c r="B2699" s="190">
        <v>45825</v>
      </c>
      <c r="C2699" s="260" t="s">
        <v>752</v>
      </c>
      <c r="D2699" s="197">
        <v>0</v>
      </c>
      <c r="E2699" s="197">
        <v>0</v>
      </c>
      <c r="F2699" s="197">
        <v>186.93</v>
      </c>
      <c r="G2699" s="190">
        <v>45825</v>
      </c>
      <c r="H2699" s="196">
        <v>0</v>
      </c>
      <c r="I2699" s="197">
        <v>0</v>
      </c>
      <c r="J2699" s="197">
        <v>0</v>
      </c>
      <c r="K2699" s="197">
        <v>0</v>
      </c>
      <c r="L2699" s="197">
        <v>0</v>
      </c>
      <c r="M2699" s="260" t="s">
        <v>239</v>
      </c>
      <c r="N2699" s="260" t="s">
        <v>514</v>
      </c>
    </row>
    <row r="2700" spans="1:14" ht="14.5" x14ac:dyDescent="0.35">
      <c r="A2700" s="260" t="s">
        <v>566</v>
      </c>
      <c r="B2700" s="190">
        <v>45825</v>
      </c>
      <c r="C2700" s="260" t="s">
        <v>754</v>
      </c>
      <c r="D2700" s="197">
        <v>0</v>
      </c>
      <c r="E2700" s="197">
        <v>0</v>
      </c>
      <c r="F2700" s="197">
        <v>82.79</v>
      </c>
      <c r="G2700" s="190">
        <v>45825</v>
      </c>
      <c r="H2700" s="196">
        <v>0</v>
      </c>
      <c r="I2700" s="197">
        <v>0</v>
      </c>
      <c r="J2700" s="197">
        <v>0</v>
      </c>
      <c r="K2700" s="197">
        <v>0</v>
      </c>
      <c r="L2700" s="197">
        <v>0</v>
      </c>
      <c r="M2700" s="260" t="s">
        <v>239</v>
      </c>
      <c r="N2700" s="260" t="s">
        <v>514</v>
      </c>
    </row>
    <row r="2701" spans="1:14" ht="14.5" x14ac:dyDescent="0.35">
      <c r="A2701" s="260" t="s">
        <v>566</v>
      </c>
      <c r="B2701" s="190">
        <v>45826</v>
      </c>
      <c r="C2701" s="260" t="s">
        <v>749</v>
      </c>
      <c r="D2701" s="197">
        <v>0</v>
      </c>
      <c r="E2701" s="197">
        <v>0</v>
      </c>
      <c r="F2701" s="197">
        <v>53.02</v>
      </c>
      <c r="G2701" s="190">
        <v>45826</v>
      </c>
      <c r="H2701" s="196">
        <v>0</v>
      </c>
      <c r="I2701" s="197">
        <v>0</v>
      </c>
      <c r="J2701" s="197">
        <v>0</v>
      </c>
      <c r="K2701" s="197">
        <v>0</v>
      </c>
      <c r="L2701" s="197">
        <v>0</v>
      </c>
      <c r="M2701" s="260" t="s">
        <v>239</v>
      </c>
      <c r="N2701" s="260" t="s">
        <v>514</v>
      </c>
    </row>
    <row r="2702" spans="1:14" ht="14.5" x14ac:dyDescent="0.35">
      <c r="A2702" s="260" t="s">
        <v>566</v>
      </c>
      <c r="B2702" s="190">
        <v>45826</v>
      </c>
      <c r="C2702" s="260" t="s">
        <v>752</v>
      </c>
      <c r="D2702" s="197">
        <v>0</v>
      </c>
      <c r="E2702" s="197">
        <v>0</v>
      </c>
      <c r="F2702" s="197">
        <v>186.55</v>
      </c>
      <c r="G2702" s="190">
        <v>45826</v>
      </c>
      <c r="H2702" s="196">
        <v>0</v>
      </c>
      <c r="I2702" s="197">
        <v>0</v>
      </c>
      <c r="J2702" s="197">
        <v>0</v>
      </c>
      <c r="K2702" s="197">
        <v>0</v>
      </c>
      <c r="L2702" s="197">
        <v>0</v>
      </c>
      <c r="M2702" s="260" t="s">
        <v>239</v>
      </c>
      <c r="N2702" s="260" t="s">
        <v>514</v>
      </c>
    </row>
    <row r="2703" spans="1:14" ht="14.5" x14ac:dyDescent="0.35">
      <c r="A2703" s="260" t="s">
        <v>566</v>
      </c>
      <c r="B2703" s="190">
        <v>45826</v>
      </c>
      <c r="C2703" s="260" t="s">
        <v>754</v>
      </c>
      <c r="D2703" s="197">
        <v>0</v>
      </c>
      <c r="E2703" s="197">
        <v>0</v>
      </c>
      <c r="F2703" s="197">
        <v>82.66</v>
      </c>
      <c r="G2703" s="190">
        <v>45826</v>
      </c>
      <c r="H2703" s="196">
        <v>0</v>
      </c>
      <c r="I2703" s="197">
        <v>0</v>
      </c>
      <c r="J2703" s="197">
        <v>0</v>
      </c>
      <c r="K2703" s="197">
        <v>0</v>
      </c>
      <c r="L2703" s="197">
        <v>0</v>
      </c>
      <c r="M2703" s="260" t="s">
        <v>239</v>
      </c>
      <c r="N2703" s="260" t="s">
        <v>514</v>
      </c>
    </row>
    <row r="2704" spans="1:14" ht="14.5" x14ac:dyDescent="0.35">
      <c r="A2704" s="260" t="s">
        <v>566</v>
      </c>
      <c r="B2704" s="190">
        <v>45827</v>
      </c>
      <c r="C2704" s="260" t="s">
        <v>749</v>
      </c>
      <c r="D2704" s="197">
        <v>0</v>
      </c>
      <c r="E2704" s="197">
        <v>0</v>
      </c>
      <c r="F2704" s="197">
        <v>53.22</v>
      </c>
      <c r="G2704" s="190">
        <v>45827</v>
      </c>
      <c r="H2704" s="196">
        <v>0</v>
      </c>
      <c r="I2704" s="197">
        <v>0</v>
      </c>
      <c r="J2704" s="197">
        <v>0</v>
      </c>
      <c r="K2704" s="197">
        <v>0</v>
      </c>
      <c r="L2704" s="197">
        <v>0</v>
      </c>
      <c r="M2704" s="260" t="s">
        <v>239</v>
      </c>
      <c r="N2704" s="260" t="s">
        <v>514</v>
      </c>
    </row>
    <row r="2705" spans="1:14" ht="14.5" x14ac:dyDescent="0.35">
      <c r="A2705" s="260" t="s">
        <v>566</v>
      </c>
      <c r="B2705" s="190">
        <v>45827</v>
      </c>
      <c r="C2705" s="260" t="s">
        <v>752</v>
      </c>
      <c r="D2705" s="197">
        <v>0</v>
      </c>
      <c r="E2705" s="197">
        <v>0</v>
      </c>
      <c r="F2705" s="197">
        <v>186.17</v>
      </c>
      <c r="G2705" s="190">
        <v>45827</v>
      </c>
      <c r="H2705" s="196">
        <v>0</v>
      </c>
      <c r="I2705" s="197">
        <v>0</v>
      </c>
      <c r="J2705" s="197">
        <v>0</v>
      </c>
      <c r="K2705" s="197">
        <v>0</v>
      </c>
      <c r="L2705" s="197">
        <v>0</v>
      </c>
      <c r="M2705" s="260" t="s">
        <v>239</v>
      </c>
      <c r="N2705" s="260" t="s">
        <v>514</v>
      </c>
    </row>
    <row r="2706" spans="1:14" ht="14.5" x14ac:dyDescent="0.35">
      <c r="A2706" s="260" t="s">
        <v>566</v>
      </c>
      <c r="B2706" s="190">
        <v>45827</v>
      </c>
      <c r="C2706" s="260" t="s">
        <v>754</v>
      </c>
      <c r="D2706" s="197">
        <v>0</v>
      </c>
      <c r="E2706" s="197">
        <v>0</v>
      </c>
      <c r="F2706" s="197">
        <v>82.52</v>
      </c>
      <c r="G2706" s="190">
        <v>45827</v>
      </c>
      <c r="H2706" s="196">
        <v>0</v>
      </c>
      <c r="I2706" s="197">
        <v>0</v>
      </c>
      <c r="J2706" s="197">
        <v>0</v>
      </c>
      <c r="K2706" s="197">
        <v>0</v>
      </c>
      <c r="L2706" s="197">
        <v>0</v>
      </c>
      <c r="M2706" s="260" t="s">
        <v>239</v>
      </c>
      <c r="N2706" s="260" t="s">
        <v>514</v>
      </c>
    </row>
    <row r="2707" spans="1:14" ht="14.5" x14ac:dyDescent="0.35">
      <c r="A2707" s="260" t="s">
        <v>566</v>
      </c>
      <c r="B2707" s="190">
        <v>45828</v>
      </c>
      <c r="C2707" s="260" t="s">
        <v>749</v>
      </c>
      <c r="D2707" s="197">
        <v>0</v>
      </c>
      <c r="E2707" s="197">
        <v>0</v>
      </c>
      <c r="F2707" s="197">
        <v>53.43</v>
      </c>
      <c r="G2707" s="190">
        <v>45828</v>
      </c>
      <c r="H2707" s="196">
        <v>0</v>
      </c>
      <c r="I2707" s="197">
        <v>0</v>
      </c>
      <c r="J2707" s="197">
        <v>0</v>
      </c>
      <c r="K2707" s="197">
        <v>0</v>
      </c>
      <c r="L2707" s="197">
        <v>0</v>
      </c>
      <c r="M2707" s="260" t="s">
        <v>239</v>
      </c>
      <c r="N2707" s="260" t="s">
        <v>514</v>
      </c>
    </row>
    <row r="2708" spans="1:14" ht="14.5" x14ac:dyDescent="0.35">
      <c r="A2708" s="260" t="s">
        <v>566</v>
      </c>
      <c r="B2708" s="190">
        <v>45828</v>
      </c>
      <c r="C2708" s="260" t="s">
        <v>752</v>
      </c>
      <c r="D2708" s="197">
        <v>0</v>
      </c>
      <c r="E2708" s="197">
        <v>0</v>
      </c>
      <c r="F2708" s="197">
        <v>185.79</v>
      </c>
      <c r="G2708" s="190">
        <v>45828</v>
      </c>
      <c r="H2708" s="196">
        <v>0</v>
      </c>
      <c r="I2708" s="197">
        <v>0</v>
      </c>
      <c r="J2708" s="197">
        <v>0</v>
      </c>
      <c r="K2708" s="197">
        <v>0</v>
      </c>
      <c r="L2708" s="197">
        <v>0</v>
      </c>
      <c r="M2708" s="260" t="s">
        <v>239</v>
      </c>
      <c r="N2708" s="260" t="s">
        <v>514</v>
      </c>
    </row>
    <row r="2709" spans="1:14" ht="14.5" x14ac:dyDescent="0.35">
      <c r="A2709" s="260" t="s">
        <v>566</v>
      </c>
      <c r="B2709" s="190">
        <v>45828</v>
      </c>
      <c r="C2709" s="260" t="s">
        <v>754</v>
      </c>
      <c r="D2709" s="197">
        <v>0</v>
      </c>
      <c r="E2709" s="197">
        <v>0</v>
      </c>
      <c r="F2709" s="197">
        <v>82.38</v>
      </c>
      <c r="G2709" s="190">
        <v>45828</v>
      </c>
      <c r="H2709" s="196">
        <v>0</v>
      </c>
      <c r="I2709" s="197">
        <v>0</v>
      </c>
      <c r="J2709" s="197">
        <v>0</v>
      </c>
      <c r="K2709" s="197">
        <v>0</v>
      </c>
      <c r="L2709" s="197">
        <v>0</v>
      </c>
      <c r="M2709" s="260" t="s">
        <v>239</v>
      </c>
      <c r="N2709" s="260" t="s">
        <v>514</v>
      </c>
    </row>
    <row r="2710" spans="1:14" ht="14.5" x14ac:dyDescent="0.35">
      <c r="A2710" s="260" t="s">
        <v>566</v>
      </c>
      <c r="B2710" s="190">
        <v>45829</v>
      </c>
      <c r="C2710" s="260" t="s">
        <v>749</v>
      </c>
      <c r="D2710" s="197">
        <v>0</v>
      </c>
      <c r="E2710" s="197">
        <v>0</v>
      </c>
      <c r="F2710" s="197">
        <v>53.43</v>
      </c>
      <c r="G2710" s="190">
        <v>45828</v>
      </c>
      <c r="H2710" s="196">
        <v>1</v>
      </c>
      <c r="I2710" s="197">
        <v>0</v>
      </c>
      <c r="J2710" s="197">
        <v>0</v>
      </c>
      <c r="K2710" s="197">
        <v>0</v>
      </c>
      <c r="L2710" s="197">
        <v>0</v>
      </c>
      <c r="M2710" s="260" t="s">
        <v>239</v>
      </c>
      <c r="N2710" s="260" t="s">
        <v>514</v>
      </c>
    </row>
    <row r="2711" spans="1:14" ht="14.5" x14ac:dyDescent="0.35">
      <c r="A2711" s="260" t="s">
        <v>566</v>
      </c>
      <c r="B2711" s="190">
        <v>45829</v>
      </c>
      <c r="C2711" s="260" t="s">
        <v>752</v>
      </c>
      <c r="D2711" s="197">
        <v>0</v>
      </c>
      <c r="E2711" s="197">
        <v>0</v>
      </c>
      <c r="F2711" s="197">
        <v>185.79</v>
      </c>
      <c r="G2711" s="190">
        <v>45828</v>
      </c>
      <c r="H2711" s="196">
        <v>1</v>
      </c>
      <c r="I2711" s="197">
        <v>0</v>
      </c>
      <c r="J2711" s="197">
        <v>0</v>
      </c>
      <c r="K2711" s="197">
        <v>0</v>
      </c>
      <c r="L2711" s="197">
        <v>0</v>
      </c>
      <c r="M2711" s="260" t="s">
        <v>239</v>
      </c>
      <c r="N2711" s="260" t="s">
        <v>514</v>
      </c>
    </row>
    <row r="2712" spans="1:14" ht="14.5" x14ac:dyDescent="0.35">
      <c r="A2712" s="260" t="s">
        <v>566</v>
      </c>
      <c r="B2712" s="190">
        <v>45829</v>
      </c>
      <c r="C2712" s="260" t="s">
        <v>754</v>
      </c>
      <c r="D2712" s="197">
        <v>0</v>
      </c>
      <c r="E2712" s="197">
        <v>0</v>
      </c>
      <c r="F2712" s="197">
        <v>82.38</v>
      </c>
      <c r="G2712" s="190">
        <v>45828</v>
      </c>
      <c r="H2712" s="196">
        <v>1</v>
      </c>
      <c r="I2712" s="197">
        <v>0</v>
      </c>
      <c r="J2712" s="197">
        <v>0</v>
      </c>
      <c r="K2712" s="197">
        <v>0</v>
      </c>
      <c r="L2712" s="197">
        <v>0</v>
      </c>
      <c r="M2712" s="260" t="s">
        <v>239</v>
      </c>
      <c r="N2712" s="260" t="s">
        <v>514</v>
      </c>
    </row>
    <row r="2713" spans="1:14" ht="14.5" x14ac:dyDescent="0.35">
      <c r="A2713" s="260" t="s">
        <v>566</v>
      </c>
      <c r="B2713" s="190">
        <v>45830</v>
      </c>
      <c r="C2713" s="260" t="s">
        <v>749</v>
      </c>
      <c r="D2713" s="197">
        <v>0</v>
      </c>
      <c r="E2713" s="197">
        <v>0</v>
      </c>
      <c r="F2713" s="197">
        <v>53.43</v>
      </c>
      <c r="G2713" s="190">
        <v>45828</v>
      </c>
      <c r="H2713" s="196">
        <v>2</v>
      </c>
      <c r="I2713" s="197">
        <v>0</v>
      </c>
      <c r="J2713" s="197">
        <v>0</v>
      </c>
      <c r="K2713" s="197">
        <v>0</v>
      </c>
      <c r="L2713" s="197">
        <v>0</v>
      </c>
      <c r="M2713" s="260" t="s">
        <v>239</v>
      </c>
      <c r="N2713" s="260" t="s">
        <v>514</v>
      </c>
    </row>
    <row r="2714" spans="1:14" ht="14.5" x14ac:dyDescent="0.35">
      <c r="A2714" s="260" t="s">
        <v>566</v>
      </c>
      <c r="B2714" s="190">
        <v>45830</v>
      </c>
      <c r="C2714" s="260" t="s">
        <v>752</v>
      </c>
      <c r="D2714" s="197">
        <v>0</v>
      </c>
      <c r="E2714" s="197">
        <v>0</v>
      </c>
      <c r="F2714" s="197">
        <v>185.79</v>
      </c>
      <c r="G2714" s="190">
        <v>45828</v>
      </c>
      <c r="H2714" s="196">
        <v>2</v>
      </c>
      <c r="I2714" s="197">
        <v>0</v>
      </c>
      <c r="J2714" s="197">
        <v>0</v>
      </c>
      <c r="K2714" s="197">
        <v>0</v>
      </c>
      <c r="L2714" s="197">
        <v>0</v>
      </c>
      <c r="M2714" s="260" t="s">
        <v>239</v>
      </c>
      <c r="N2714" s="260" t="s">
        <v>514</v>
      </c>
    </row>
    <row r="2715" spans="1:14" ht="14.5" x14ac:dyDescent="0.35">
      <c r="A2715" s="260" t="s">
        <v>566</v>
      </c>
      <c r="B2715" s="190">
        <v>45830</v>
      </c>
      <c r="C2715" s="260" t="s">
        <v>754</v>
      </c>
      <c r="D2715" s="197">
        <v>0</v>
      </c>
      <c r="E2715" s="197">
        <v>0</v>
      </c>
      <c r="F2715" s="197">
        <v>82.38</v>
      </c>
      <c r="G2715" s="190">
        <v>45828</v>
      </c>
      <c r="H2715" s="196">
        <v>2</v>
      </c>
      <c r="I2715" s="197">
        <v>0</v>
      </c>
      <c r="J2715" s="197">
        <v>0</v>
      </c>
      <c r="K2715" s="197">
        <v>0</v>
      </c>
      <c r="L2715" s="197">
        <v>0</v>
      </c>
      <c r="M2715" s="260" t="s">
        <v>239</v>
      </c>
      <c r="N2715" s="260" t="s">
        <v>514</v>
      </c>
    </row>
    <row r="2716" spans="1:14" ht="14.5" x14ac:dyDescent="0.35">
      <c r="A2716" s="260" t="s">
        <v>566</v>
      </c>
      <c r="B2716" s="190">
        <v>45831</v>
      </c>
      <c r="C2716" s="260" t="s">
        <v>749</v>
      </c>
      <c r="D2716" s="197">
        <v>0</v>
      </c>
      <c r="E2716" s="197">
        <v>0</v>
      </c>
      <c r="F2716" s="197">
        <v>54.05</v>
      </c>
      <c r="G2716" s="190">
        <v>45831</v>
      </c>
      <c r="H2716" s="196">
        <v>0</v>
      </c>
      <c r="I2716" s="197">
        <v>0</v>
      </c>
      <c r="J2716" s="197">
        <v>0</v>
      </c>
      <c r="K2716" s="197">
        <v>0</v>
      </c>
      <c r="L2716" s="197">
        <v>0</v>
      </c>
      <c r="M2716" s="260" t="s">
        <v>239</v>
      </c>
      <c r="N2716" s="260" t="s">
        <v>514</v>
      </c>
    </row>
    <row r="2717" spans="1:14" ht="14.5" x14ac:dyDescent="0.35">
      <c r="A2717" s="260" t="s">
        <v>566</v>
      </c>
      <c r="B2717" s="190">
        <v>45831</v>
      </c>
      <c r="C2717" s="260" t="s">
        <v>752</v>
      </c>
      <c r="D2717" s="197">
        <v>0</v>
      </c>
      <c r="E2717" s="197">
        <v>0</v>
      </c>
      <c r="F2717" s="197">
        <v>184.66</v>
      </c>
      <c r="G2717" s="190">
        <v>45831</v>
      </c>
      <c r="H2717" s="196">
        <v>0</v>
      </c>
      <c r="I2717" s="197">
        <v>0</v>
      </c>
      <c r="J2717" s="197">
        <v>0</v>
      </c>
      <c r="K2717" s="197">
        <v>0</v>
      </c>
      <c r="L2717" s="197">
        <v>0</v>
      </c>
      <c r="M2717" s="260" t="s">
        <v>239</v>
      </c>
      <c r="N2717" s="260" t="s">
        <v>514</v>
      </c>
    </row>
    <row r="2718" spans="1:14" ht="14.5" x14ac:dyDescent="0.35">
      <c r="A2718" s="260" t="s">
        <v>566</v>
      </c>
      <c r="B2718" s="190">
        <v>45831</v>
      </c>
      <c r="C2718" s="260" t="s">
        <v>754</v>
      </c>
      <c r="D2718" s="197">
        <v>0</v>
      </c>
      <c r="E2718" s="197">
        <v>0</v>
      </c>
      <c r="F2718" s="197">
        <v>81.97</v>
      </c>
      <c r="G2718" s="190">
        <v>45831</v>
      </c>
      <c r="H2718" s="196">
        <v>0</v>
      </c>
      <c r="I2718" s="197">
        <v>0</v>
      </c>
      <c r="J2718" s="197">
        <v>0</v>
      </c>
      <c r="K2718" s="197">
        <v>0</v>
      </c>
      <c r="L2718" s="197">
        <v>0</v>
      </c>
      <c r="M2718" s="260" t="s">
        <v>239</v>
      </c>
      <c r="N2718" s="260" t="s">
        <v>514</v>
      </c>
    </row>
    <row r="2719" spans="1:14" ht="14.5" x14ac:dyDescent="0.35">
      <c r="A2719" s="260" t="s">
        <v>566</v>
      </c>
      <c r="B2719" s="190">
        <v>45832</v>
      </c>
      <c r="C2719" s="260" t="s">
        <v>749</v>
      </c>
      <c r="D2719" s="197">
        <v>0</v>
      </c>
      <c r="E2719" s="197">
        <v>0</v>
      </c>
      <c r="F2719" s="197">
        <v>54.26</v>
      </c>
      <c r="G2719" s="190">
        <v>45832</v>
      </c>
      <c r="H2719" s="196">
        <v>0</v>
      </c>
      <c r="I2719" s="197">
        <v>0</v>
      </c>
      <c r="J2719" s="197">
        <v>0</v>
      </c>
      <c r="K2719" s="197">
        <v>0</v>
      </c>
      <c r="L2719" s="197">
        <v>0</v>
      </c>
      <c r="M2719" s="260" t="s">
        <v>239</v>
      </c>
      <c r="N2719" s="260" t="s">
        <v>514</v>
      </c>
    </row>
    <row r="2720" spans="1:14" ht="14.5" x14ac:dyDescent="0.35">
      <c r="A2720" s="260" t="s">
        <v>566</v>
      </c>
      <c r="B2720" s="190">
        <v>45832</v>
      </c>
      <c r="C2720" s="260" t="s">
        <v>752</v>
      </c>
      <c r="D2720" s="197">
        <v>0</v>
      </c>
      <c r="E2720" s="197">
        <v>0</v>
      </c>
      <c r="F2720" s="197">
        <v>184.28</v>
      </c>
      <c r="G2720" s="190">
        <v>45832</v>
      </c>
      <c r="H2720" s="196">
        <v>0</v>
      </c>
      <c r="I2720" s="197">
        <v>0</v>
      </c>
      <c r="J2720" s="197">
        <v>0</v>
      </c>
      <c r="K2720" s="197">
        <v>0</v>
      </c>
      <c r="L2720" s="197">
        <v>0</v>
      </c>
      <c r="M2720" s="260" t="s">
        <v>239</v>
      </c>
      <c r="N2720" s="260" t="s">
        <v>514</v>
      </c>
    </row>
    <row r="2721" spans="1:14" ht="14.5" x14ac:dyDescent="0.35">
      <c r="A2721" s="260" t="s">
        <v>566</v>
      </c>
      <c r="B2721" s="190">
        <v>45832</v>
      </c>
      <c r="C2721" s="260" t="s">
        <v>754</v>
      </c>
      <c r="D2721" s="197">
        <v>0</v>
      </c>
      <c r="E2721" s="197">
        <v>0</v>
      </c>
      <c r="F2721" s="197">
        <v>81.83</v>
      </c>
      <c r="G2721" s="190">
        <v>45832</v>
      </c>
      <c r="H2721" s="196">
        <v>0</v>
      </c>
      <c r="I2721" s="197">
        <v>0</v>
      </c>
      <c r="J2721" s="197">
        <v>0</v>
      </c>
      <c r="K2721" s="197">
        <v>0</v>
      </c>
      <c r="L2721" s="197">
        <v>0</v>
      </c>
      <c r="M2721" s="260" t="s">
        <v>239</v>
      </c>
      <c r="N2721" s="260" t="s">
        <v>514</v>
      </c>
    </row>
    <row r="2722" spans="1:14" ht="14.5" x14ac:dyDescent="0.35">
      <c r="A2722" s="260" t="s">
        <v>566</v>
      </c>
      <c r="B2722" s="190">
        <v>45833</v>
      </c>
      <c r="C2722" s="260" t="s">
        <v>749</v>
      </c>
      <c r="D2722" s="197">
        <v>0</v>
      </c>
      <c r="E2722" s="197">
        <v>0</v>
      </c>
      <c r="F2722" s="197">
        <v>54.47</v>
      </c>
      <c r="G2722" s="190">
        <v>45833</v>
      </c>
      <c r="H2722" s="196">
        <v>0</v>
      </c>
      <c r="I2722" s="197">
        <v>0</v>
      </c>
      <c r="J2722" s="197">
        <v>0</v>
      </c>
      <c r="K2722" s="197">
        <v>0</v>
      </c>
      <c r="L2722" s="197">
        <v>0</v>
      </c>
      <c r="M2722" s="260" t="s">
        <v>239</v>
      </c>
      <c r="N2722" s="260" t="s">
        <v>514</v>
      </c>
    </row>
    <row r="2723" spans="1:14" ht="14.5" x14ac:dyDescent="0.35">
      <c r="A2723" s="260" t="s">
        <v>566</v>
      </c>
      <c r="B2723" s="190">
        <v>45833</v>
      </c>
      <c r="C2723" s="260" t="s">
        <v>752</v>
      </c>
      <c r="D2723" s="197">
        <v>0</v>
      </c>
      <c r="E2723" s="197">
        <v>0</v>
      </c>
      <c r="F2723" s="197">
        <v>183.9</v>
      </c>
      <c r="G2723" s="190">
        <v>45833</v>
      </c>
      <c r="H2723" s="196">
        <v>0</v>
      </c>
      <c r="I2723" s="197">
        <v>0</v>
      </c>
      <c r="J2723" s="197">
        <v>0</v>
      </c>
      <c r="K2723" s="197">
        <v>0</v>
      </c>
      <c r="L2723" s="197">
        <v>0</v>
      </c>
      <c r="M2723" s="260" t="s">
        <v>239</v>
      </c>
      <c r="N2723" s="260" t="s">
        <v>514</v>
      </c>
    </row>
    <row r="2724" spans="1:14" ht="14.5" x14ac:dyDescent="0.35">
      <c r="A2724" s="260" t="s">
        <v>566</v>
      </c>
      <c r="B2724" s="190">
        <v>45833</v>
      </c>
      <c r="C2724" s="260" t="s">
        <v>754</v>
      </c>
      <c r="D2724" s="197">
        <v>0</v>
      </c>
      <c r="E2724" s="197">
        <v>0</v>
      </c>
      <c r="F2724" s="197">
        <v>81.69</v>
      </c>
      <c r="G2724" s="190">
        <v>45833</v>
      </c>
      <c r="H2724" s="196">
        <v>0</v>
      </c>
      <c r="I2724" s="197">
        <v>0</v>
      </c>
      <c r="J2724" s="197">
        <v>0</v>
      </c>
      <c r="K2724" s="197">
        <v>0</v>
      </c>
      <c r="L2724" s="197">
        <v>0</v>
      </c>
      <c r="M2724" s="260" t="s">
        <v>239</v>
      </c>
      <c r="N2724" s="260" t="s">
        <v>514</v>
      </c>
    </row>
    <row r="2725" spans="1:14" ht="14.5" x14ac:dyDescent="0.35">
      <c r="A2725" s="260" t="s">
        <v>566</v>
      </c>
      <c r="B2725" s="190">
        <v>45834</v>
      </c>
      <c r="C2725" s="260" t="s">
        <v>749</v>
      </c>
      <c r="D2725" s="197">
        <v>0</v>
      </c>
      <c r="E2725" s="197">
        <v>0</v>
      </c>
      <c r="F2725" s="197">
        <v>54.67</v>
      </c>
      <c r="G2725" s="190">
        <v>45834</v>
      </c>
      <c r="H2725" s="196">
        <v>0</v>
      </c>
      <c r="I2725" s="197">
        <v>0</v>
      </c>
      <c r="J2725" s="197">
        <v>0</v>
      </c>
      <c r="K2725" s="197">
        <v>0</v>
      </c>
      <c r="L2725" s="197">
        <v>0</v>
      </c>
      <c r="M2725" s="260" t="s">
        <v>239</v>
      </c>
      <c r="N2725" s="260" t="s">
        <v>514</v>
      </c>
    </row>
    <row r="2726" spans="1:14" ht="14.5" x14ac:dyDescent="0.35">
      <c r="A2726" s="260" t="s">
        <v>566</v>
      </c>
      <c r="B2726" s="190">
        <v>45834</v>
      </c>
      <c r="C2726" s="260" t="s">
        <v>752</v>
      </c>
      <c r="D2726" s="197">
        <v>0</v>
      </c>
      <c r="E2726" s="197">
        <v>0</v>
      </c>
      <c r="F2726" s="197">
        <v>183.52</v>
      </c>
      <c r="G2726" s="190">
        <v>45834</v>
      </c>
      <c r="H2726" s="196">
        <v>0</v>
      </c>
      <c r="I2726" s="197">
        <v>0</v>
      </c>
      <c r="J2726" s="197">
        <v>0</v>
      </c>
      <c r="K2726" s="197">
        <v>0</v>
      </c>
      <c r="L2726" s="197">
        <v>0</v>
      </c>
      <c r="M2726" s="260" t="s">
        <v>239</v>
      </c>
      <c r="N2726" s="260" t="s">
        <v>514</v>
      </c>
    </row>
    <row r="2727" spans="1:14" ht="14.5" x14ac:dyDescent="0.35">
      <c r="A2727" s="260" t="s">
        <v>566</v>
      </c>
      <c r="B2727" s="190">
        <v>45834</v>
      </c>
      <c r="C2727" s="260" t="s">
        <v>754</v>
      </c>
      <c r="D2727" s="197">
        <v>0</v>
      </c>
      <c r="E2727" s="197">
        <v>0</v>
      </c>
      <c r="F2727" s="197">
        <v>81.55</v>
      </c>
      <c r="G2727" s="190">
        <v>45834</v>
      </c>
      <c r="H2727" s="196">
        <v>0</v>
      </c>
      <c r="I2727" s="197">
        <v>0</v>
      </c>
      <c r="J2727" s="197">
        <v>0</v>
      </c>
      <c r="K2727" s="197">
        <v>0</v>
      </c>
      <c r="L2727" s="197">
        <v>0</v>
      </c>
      <c r="M2727" s="260" t="s">
        <v>239</v>
      </c>
      <c r="N2727" s="260" t="s">
        <v>514</v>
      </c>
    </row>
    <row r="2728" spans="1:14" ht="14.5" x14ac:dyDescent="0.35">
      <c r="A2728" s="260" t="s">
        <v>566</v>
      </c>
      <c r="B2728" s="190">
        <v>45835</v>
      </c>
      <c r="C2728" s="260" t="s">
        <v>749</v>
      </c>
      <c r="D2728" s="197">
        <v>0</v>
      </c>
      <c r="E2728" s="197">
        <v>0</v>
      </c>
      <c r="F2728" s="197">
        <v>54.88</v>
      </c>
      <c r="G2728" s="190">
        <v>45835</v>
      </c>
      <c r="H2728" s="196">
        <v>0</v>
      </c>
      <c r="I2728" s="197">
        <v>0</v>
      </c>
      <c r="J2728" s="197">
        <v>0</v>
      </c>
      <c r="K2728" s="197">
        <v>0</v>
      </c>
      <c r="L2728" s="197">
        <v>0</v>
      </c>
      <c r="M2728" s="260" t="s">
        <v>239</v>
      </c>
      <c r="N2728" s="260" t="s">
        <v>514</v>
      </c>
    </row>
    <row r="2729" spans="1:14" ht="14.5" x14ac:dyDescent="0.35">
      <c r="A2729" s="260" t="s">
        <v>566</v>
      </c>
      <c r="B2729" s="190">
        <v>45835</v>
      </c>
      <c r="C2729" s="260" t="s">
        <v>752</v>
      </c>
      <c r="D2729" s="197">
        <v>0</v>
      </c>
      <c r="E2729" s="197">
        <v>0</v>
      </c>
      <c r="F2729" s="197">
        <v>183.14</v>
      </c>
      <c r="G2729" s="190">
        <v>45835</v>
      </c>
      <c r="H2729" s="196">
        <v>0</v>
      </c>
      <c r="I2729" s="197">
        <v>0</v>
      </c>
      <c r="J2729" s="197">
        <v>0</v>
      </c>
      <c r="K2729" s="197">
        <v>0</v>
      </c>
      <c r="L2729" s="197">
        <v>0</v>
      </c>
      <c r="M2729" s="260" t="s">
        <v>239</v>
      </c>
      <c r="N2729" s="260" t="s">
        <v>514</v>
      </c>
    </row>
    <row r="2730" spans="1:14" ht="14.5" x14ac:dyDescent="0.35">
      <c r="A2730" s="260" t="s">
        <v>566</v>
      </c>
      <c r="B2730" s="190">
        <v>45835</v>
      </c>
      <c r="C2730" s="260" t="s">
        <v>754</v>
      </c>
      <c r="D2730" s="197">
        <v>0</v>
      </c>
      <c r="E2730" s="197">
        <v>0</v>
      </c>
      <c r="F2730" s="197">
        <v>81.41</v>
      </c>
      <c r="G2730" s="190">
        <v>45835</v>
      </c>
      <c r="H2730" s="196">
        <v>0</v>
      </c>
      <c r="I2730" s="197">
        <v>0</v>
      </c>
      <c r="J2730" s="197">
        <v>0</v>
      </c>
      <c r="K2730" s="197">
        <v>0</v>
      </c>
      <c r="L2730" s="197">
        <v>0</v>
      </c>
      <c r="M2730" s="260" t="s">
        <v>239</v>
      </c>
      <c r="N2730" s="260" t="s">
        <v>514</v>
      </c>
    </row>
    <row r="2731" spans="1:14" ht="14.5" x14ac:dyDescent="0.35">
      <c r="A2731" s="260" t="s">
        <v>566</v>
      </c>
      <c r="B2731" s="190">
        <v>45836</v>
      </c>
      <c r="C2731" s="260" t="s">
        <v>749</v>
      </c>
      <c r="D2731" s="197">
        <v>0</v>
      </c>
      <c r="E2731" s="197">
        <v>0</v>
      </c>
      <c r="F2731" s="197">
        <v>54.88</v>
      </c>
      <c r="G2731" s="190">
        <v>45835</v>
      </c>
      <c r="H2731" s="196">
        <v>1</v>
      </c>
      <c r="I2731" s="197">
        <v>0</v>
      </c>
      <c r="J2731" s="197">
        <v>0</v>
      </c>
      <c r="K2731" s="197">
        <v>0</v>
      </c>
      <c r="L2731" s="197">
        <v>0</v>
      </c>
      <c r="M2731" s="260" t="s">
        <v>239</v>
      </c>
      <c r="N2731" s="260" t="s">
        <v>514</v>
      </c>
    </row>
    <row r="2732" spans="1:14" ht="14.5" x14ac:dyDescent="0.35">
      <c r="A2732" s="260" t="s">
        <v>566</v>
      </c>
      <c r="B2732" s="190">
        <v>45836</v>
      </c>
      <c r="C2732" s="260" t="s">
        <v>752</v>
      </c>
      <c r="D2732" s="197">
        <v>0</v>
      </c>
      <c r="E2732" s="197">
        <v>0</v>
      </c>
      <c r="F2732" s="197">
        <v>183.14</v>
      </c>
      <c r="G2732" s="190">
        <v>45835</v>
      </c>
      <c r="H2732" s="196">
        <v>1</v>
      </c>
      <c r="I2732" s="197">
        <v>0</v>
      </c>
      <c r="J2732" s="197">
        <v>0</v>
      </c>
      <c r="K2732" s="197">
        <v>0</v>
      </c>
      <c r="L2732" s="197">
        <v>0</v>
      </c>
      <c r="M2732" s="260" t="s">
        <v>239</v>
      </c>
      <c r="N2732" s="260" t="s">
        <v>514</v>
      </c>
    </row>
    <row r="2733" spans="1:14" ht="14.5" x14ac:dyDescent="0.35">
      <c r="A2733" s="260" t="s">
        <v>566</v>
      </c>
      <c r="B2733" s="190">
        <v>45836</v>
      </c>
      <c r="C2733" s="260" t="s">
        <v>754</v>
      </c>
      <c r="D2733" s="197">
        <v>0</v>
      </c>
      <c r="E2733" s="197">
        <v>0</v>
      </c>
      <c r="F2733" s="197">
        <v>81.41</v>
      </c>
      <c r="G2733" s="190">
        <v>45835</v>
      </c>
      <c r="H2733" s="196">
        <v>1</v>
      </c>
      <c r="I2733" s="197">
        <v>0</v>
      </c>
      <c r="J2733" s="197">
        <v>0</v>
      </c>
      <c r="K2733" s="197">
        <v>0</v>
      </c>
      <c r="L2733" s="197">
        <v>0</v>
      </c>
      <c r="M2733" s="260" t="s">
        <v>239</v>
      </c>
      <c r="N2733" s="260" t="s">
        <v>514</v>
      </c>
    </row>
    <row r="2734" spans="1:14" ht="14.5" x14ac:dyDescent="0.35">
      <c r="A2734" s="260" t="s">
        <v>566</v>
      </c>
      <c r="B2734" s="190">
        <v>45837</v>
      </c>
      <c r="C2734" s="260" t="s">
        <v>749</v>
      </c>
      <c r="D2734" s="197">
        <v>0</v>
      </c>
      <c r="E2734" s="197">
        <v>0</v>
      </c>
      <c r="F2734" s="197">
        <v>54.88</v>
      </c>
      <c r="G2734" s="190">
        <v>45835</v>
      </c>
      <c r="H2734" s="196">
        <v>2</v>
      </c>
      <c r="I2734" s="197">
        <v>0</v>
      </c>
      <c r="J2734" s="197">
        <v>0</v>
      </c>
      <c r="K2734" s="197">
        <v>0</v>
      </c>
      <c r="L2734" s="197">
        <v>0</v>
      </c>
      <c r="M2734" s="260" t="s">
        <v>239</v>
      </c>
      <c r="N2734" s="260" t="s">
        <v>514</v>
      </c>
    </row>
    <row r="2735" spans="1:14" ht="14.5" x14ac:dyDescent="0.35">
      <c r="A2735" s="260" t="s">
        <v>566</v>
      </c>
      <c r="B2735" s="190">
        <v>45837</v>
      </c>
      <c r="C2735" s="260" t="s">
        <v>752</v>
      </c>
      <c r="D2735" s="197">
        <v>0</v>
      </c>
      <c r="E2735" s="197">
        <v>0</v>
      </c>
      <c r="F2735" s="197">
        <v>183.14</v>
      </c>
      <c r="G2735" s="190">
        <v>45835</v>
      </c>
      <c r="H2735" s="196">
        <v>2</v>
      </c>
      <c r="I2735" s="197">
        <v>0</v>
      </c>
      <c r="J2735" s="197">
        <v>0</v>
      </c>
      <c r="K2735" s="197">
        <v>0</v>
      </c>
      <c r="L2735" s="197">
        <v>0</v>
      </c>
      <c r="M2735" s="260" t="s">
        <v>239</v>
      </c>
      <c r="N2735" s="260" t="s">
        <v>514</v>
      </c>
    </row>
    <row r="2736" spans="1:14" ht="14.5" x14ac:dyDescent="0.35">
      <c r="A2736" s="260" t="s">
        <v>566</v>
      </c>
      <c r="B2736" s="190">
        <v>45837</v>
      </c>
      <c r="C2736" s="260" t="s">
        <v>754</v>
      </c>
      <c r="D2736" s="197">
        <v>0</v>
      </c>
      <c r="E2736" s="197">
        <v>0</v>
      </c>
      <c r="F2736" s="197">
        <v>81.41</v>
      </c>
      <c r="G2736" s="190">
        <v>45835</v>
      </c>
      <c r="H2736" s="196">
        <v>2</v>
      </c>
      <c r="I2736" s="197">
        <v>0</v>
      </c>
      <c r="J2736" s="197">
        <v>0</v>
      </c>
      <c r="K2736" s="197">
        <v>0</v>
      </c>
      <c r="L2736" s="197">
        <v>0</v>
      </c>
      <c r="M2736" s="260" t="s">
        <v>239</v>
      </c>
      <c r="N2736" s="260" t="s">
        <v>514</v>
      </c>
    </row>
    <row r="2737" spans="1:14" ht="14.5" x14ac:dyDescent="0.35">
      <c r="A2737" s="260" t="s">
        <v>566</v>
      </c>
      <c r="B2737" s="190">
        <v>45838</v>
      </c>
      <c r="C2737" s="260" t="s">
        <v>749</v>
      </c>
      <c r="D2737" s="197">
        <v>0</v>
      </c>
      <c r="E2737" s="197">
        <v>0</v>
      </c>
      <c r="F2737" s="197">
        <v>55.5</v>
      </c>
      <c r="G2737" s="190">
        <v>45838</v>
      </c>
      <c r="H2737" s="196">
        <v>0</v>
      </c>
      <c r="I2737" s="197">
        <v>0</v>
      </c>
      <c r="J2737" s="197">
        <v>0</v>
      </c>
      <c r="K2737" s="197">
        <v>0</v>
      </c>
      <c r="L2737" s="197">
        <v>0</v>
      </c>
      <c r="M2737" s="260" t="s">
        <v>239</v>
      </c>
      <c r="N2737" s="260" t="s">
        <v>514</v>
      </c>
    </row>
    <row r="2738" spans="1:14" ht="14.5" x14ac:dyDescent="0.35">
      <c r="A2738" s="260" t="s">
        <v>566</v>
      </c>
      <c r="B2738" s="190">
        <v>45838</v>
      </c>
      <c r="C2738" s="260" t="s">
        <v>752</v>
      </c>
      <c r="D2738" s="197">
        <v>0</v>
      </c>
      <c r="E2738" s="197">
        <v>0</v>
      </c>
      <c r="F2738" s="197">
        <v>182</v>
      </c>
      <c r="G2738" s="190">
        <v>45838</v>
      </c>
      <c r="H2738" s="196">
        <v>0</v>
      </c>
      <c r="I2738" s="197">
        <v>0</v>
      </c>
      <c r="J2738" s="197">
        <v>0</v>
      </c>
      <c r="K2738" s="197">
        <v>0</v>
      </c>
      <c r="L2738" s="197">
        <v>0</v>
      </c>
      <c r="M2738" s="260" t="s">
        <v>239</v>
      </c>
      <c r="N2738" s="260" t="s">
        <v>514</v>
      </c>
    </row>
    <row r="2739" spans="1:14" ht="14.5" x14ac:dyDescent="0.35">
      <c r="A2739" s="260" t="s">
        <v>566</v>
      </c>
      <c r="B2739" s="190">
        <v>45838</v>
      </c>
      <c r="C2739" s="260" t="s">
        <v>754</v>
      </c>
      <c r="D2739" s="197">
        <v>0</v>
      </c>
      <c r="E2739" s="197">
        <v>0</v>
      </c>
      <c r="F2739" s="197">
        <v>81</v>
      </c>
      <c r="G2739" s="190">
        <v>45838</v>
      </c>
      <c r="H2739" s="196">
        <v>0</v>
      </c>
      <c r="I2739" s="197">
        <v>0</v>
      </c>
      <c r="J2739" s="197">
        <v>0</v>
      </c>
      <c r="K2739" s="197">
        <v>0</v>
      </c>
      <c r="L2739" s="197">
        <v>0</v>
      </c>
      <c r="M2739" s="260" t="s">
        <v>239</v>
      </c>
      <c r="N2739" s="260" t="s">
        <v>514</v>
      </c>
    </row>
    <row r="2740" spans="1:14" ht="14.5" x14ac:dyDescent="0.35">
      <c r="A2740" s="260" t="s">
        <v>566</v>
      </c>
      <c r="B2740" s="190">
        <v>45839</v>
      </c>
      <c r="C2740" s="260" t="s">
        <v>749</v>
      </c>
      <c r="D2740" s="197">
        <v>0</v>
      </c>
      <c r="E2740" s="197">
        <v>0</v>
      </c>
      <c r="F2740" s="197">
        <v>55.5</v>
      </c>
      <c r="G2740" s="190">
        <v>45839</v>
      </c>
      <c r="H2740" s="196">
        <v>0</v>
      </c>
      <c r="I2740" s="197">
        <v>0</v>
      </c>
      <c r="J2740" s="197">
        <v>0</v>
      </c>
      <c r="K2740" s="197">
        <v>0</v>
      </c>
      <c r="L2740" s="197">
        <v>0</v>
      </c>
      <c r="M2740" s="260" t="s">
        <v>239</v>
      </c>
      <c r="N2740" s="260" t="s">
        <v>514</v>
      </c>
    </row>
    <row r="2741" spans="1:14" ht="14.5" x14ac:dyDescent="0.35">
      <c r="A2741" s="260" t="s">
        <v>566</v>
      </c>
      <c r="B2741" s="190">
        <v>45839</v>
      </c>
      <c r="C2741" s="260" t="s">
        <v>752</v>
      </c>
      <c r="D2741" s="197">
        <v>0</v>
      </c>
      <c r="E2741" s="197">
        <v>0</v>
      </c>
      <c r="F2741" s="197">
        <v>182</v>
      </c>
      <c r="G2741" s="190">
        <v>45839</v>
      </c>
      <c r="H2741" s="196">
        <v>0</v>
      </c>
      <c r="I2741" s="197">
        <v>0</v>
      </c>
      <c r="J2741" s="197">
        <v>0</v>
      </c>
      <c r="K2741" s="197">
        <v>0</v>
      </c>
      <c r="L2741" s="197">
        <v>0</v>
      </c>
      <c r="M2741" s="260" t="s">
        <v>239</v>
      </c>
      <c r="N2741" s="260" t="s">
        <v>514</v>
      </c>
    </row>
    <row r="2742" spans="1:14" ht="14.5" x14ac:dyDescent="0.35">
      <c r="A2742" s="260" t="s">
        <v>566</v>
      </c>
      <c r="B2742" s="190">
        <v>45839</v>
      </c>
      <c r="C2742" s="260" t="s">
        <v>754</v>
      </c>
      <c r="D2742" s="197">
        <v>0</v>
      </c>
      <c r="E2742" s="197">
        <v>0</v>
      </c>
      <c r="F2742" s="197">
        <v>81</v>
      </c>
      <c r="G2742" s="190">
        <v>45839</v>
      </c>
      <c r="H2742" s="196">
        <v>0</v>
      </c>
      <c r="I2742" s="197">
        <v>0</v>
      </c>
      <c r="J2742" s="197">
        <v>0</v>
      </c>
      <c r="K2742" s="197">
        <v>0</v>
      </c>
      <c r="L2742" s="197">
        <v>0</v>
      </c>
      <c r="M2742" s="260" t="s">
        <v>239</v>
      </c>
      <c r="N2742" s="260" t="s">
        <v>514</v>
      </c>
    </row>
    <row r="2743" spans="1:14" ht="14.5" x14ac:dyDescent="0.35">
      <c r="A2743" s="260" t="s">
        <v>566</v>
      </c>
      <c r="B2743" s="190">
        <v>45840</v>
      </c>
      <c r="C2743" s="260" t="s">
        <v>749</v>
      </c>
      <c r="D2743" s="197">
        <v>0</v>
      </c>
      <c r="E2743" s="197">
        <v>0</v>
      </c>
      <c r="F2743" s="197">
        <v>55.38</v>
      </c>
      <c r="G2743" s="190">
        <v>45840</v>
      </c>
      <c r="H2743" s="196">
        <v>0</v>
      </c>
      <c r="I2743" s="197">
        <v>0</v>
      </c>
      <c r="J2743" s="197">
        <v>0</v>
      </c>
      <c r="K2743" s="197">
        <v>0</v>
      </c>
      <c r="L2743" s="197">
        <v>0</v>
      </c>
      <c r="M2743" s="260" t="s">
        <v>239</v>
      </c>
      <c r="N2743" s="260" t="s">
        <v>514</v>
      </c>
    </row>
    <row r="2744" spans="1:14" ht="14.5" x14ac:dyDescent="0.35">
      <c r="A2744" s="260" t="s">
        <v>566</v>
      </c>
      <c r="B2744" s="190">
        <v>45840</v>
      </c>
      <c r="C2744" s="260" t="s">
        <v>752</v>
      </c>
      <c r="D2744" s="197">
        <v>0</v>
      </c>
      <c r="E2744" s="197">
        <v>0</v>
      </c>
      <c r="F2744" s="197">
        <v>181.87</v>
      </c>
      <c r="G2744" s="190">
        <v>45840</v>
      </c>
      <c r="H2744" s="196">
        <v>0</v>
      </c>
      <c r="I2744" s="197">
        <v>0</v>
      </c>
      <c r="J2744" s="197">
        <v>0</v>
      </c>
      <c r="K2744" s="197">
        <v>0</v>
      </c>
      <c r="L2744" s="197">
        <v>0</v>
      </c>
      <c r="M2744" s="260" t="s">
        <v>239</v>
      </c>
      <c r="N2744" s="260" t="s">
        <v>514</v>
      </c>
    </row>
    <row r="2745" spans="1:14" ht="14.5" x14ac:dyDescent="0.35">
      <c r="A2745" s="260" t="s">
        <v>566</v>
      </c>
      <c r="B2745" s="190">
        <v>45840</v>
      </c>
      <c r="C2745" s="260" t="s">
        <v>754</v>
      </c>
      <c r="D2745" s="197">
        <v>0</v>
      </c>
      <c r="E2745" s="197">
        <v>0</v>
      </c>
      <c r="F2745" s="197">
        <v>80.87</v>
      </c>
      <c r="G2745" s="190">
        <v>45840</v>
      </c>
      <c r="H2745" s="196">
        <v>0</v>
      </c>
      <c r="I2745" s="197">
        <v>0</v>
      </c>
      <c r="J2745" s="197">
        <v>0</v>
      </c>
      <c r="K2745" s="197">
        <v>0</v>
      </c>
      <c r="L2745" s="197">
        <v>0</v>
      </c>
      <c r="M2745" s="260" t="s">
        <v>239</v>
      </c>
      <c r="N2745" s="260" t="s">
        <v>514</v>
      </c>
    </row>
    <row r="2746" spans="1:14" ht="14.5" x14ac:dyDescent="0.35">
      <c r="A2746" s="260" t="s">
        <v>566</v>
      </c>
      <c r="B2746" s="190">
        <v>45841</v>
      </c>
      <c r="C2746" s="260" t="s">
        <v>749</v>
      </c>
      <c r="D2746" s="197">
        <v>0</v>
      </c>
      <c r="E2746" s="197">
        <v>0</v>
      </c>
      <c r="F2746" s="197">
        <v>55.27</v>
      </c>
      <c r="G2746" s="190">
        <v>45841</v>
      </c>
      <c r="H2746" s="196">
        <v>0</v>
      </c>
      <c r="I2746" s="197">
        <v>0</v>
      </c>
      <c r="J2746" s="197">
        <v>0</v>
      </c>
      <c r="K2746" s="197">
        <v>0</v>
      </c>
      <c r="L2746" s="197">
        <v>0</v>
      </c>
      <c r="M2746" s="260" t="s">
        <v>239</v>
      </c>
      <c r="N2746" s="260" t="s">
        <v>514</v>
      </c>
    </row>
    <row r="2747" spans="1:14" ht="14.5" x14ac:dyDescent="0.35">
      <c r="A2747" s="260" t="s">
        <v>566</v>
      </c>
      <c r="B2747" s="190">
        <v>45841</v>
      </c>
      <c r="C2747" s="260" t="s">
        <v>752</v>
      </c>
      <c r="D2747" s="197">
        <v>0</v>
      </c>
      <c r="E2747" s="197">
        <v>0</v>
      </c>
      <c r="F2747" s="197">
        <v>181.73</v>
      </c>
      <c r="G2747" s="190">
        <v>45841</v>
      </c>
      <c r="H2747" s="196">
        <v>0</v>
      </c>
      <c r="I2747" s="197">
        <v>0</v>
      </c>
      <c r="J2747" s="197">
        <v>0</v>
      </c>
      <c r="K2747" s="197">
        <v>0</v>
      </c>
      <c r="L2747" s="197">
        <v>0</v>
      </c>
      <c r="M2747" s="260" t="s">
        <v>239</v>
      </c>
      <c r="N2747" s="260" t="s">
        <v>514</v>
      </c>
    </row>
    <row r="2748" spans="1:14" ht="14.5" x14ac:dyDescent="0.35">
      <c r="A2748" s="260" t="s">
        <v>566</v>
      </c>
      <c r="B2748" s="190">
        <v>45841</v>
      </c>
      <c r="C2748" s="260" t="s">
        <v>754</v>
      </c>
      <c r="D2748" s="197">
        <v>0</v>
      </c>
      <c r="E2748" s="197">
        <v>0</v>
      </c>
      <c r="F2748" s="197">
        <v>80.73</v>
      </c>
      <c r="G2748" s="190">
        <v>45841</v>
      </c>
      <c r="H2748" s="196">
        <v>0</v>
      </c>
      <c r="I2748" s="197">
        <v>0</v>
      </c>
      <c r="J2748" s="197">
        <v>0</v>
      </c>
      <c r="K2748" s="197">
        <v>0</v>
      </c>
      <c r="L2748" s="197">
        <v>0</v>
      </c>
      <c r="M2748" s="260" t="s">
        <v>239</v>
      </c>
      <c r="N2748" s="260" t="s">
        <v>514</v>
      </c>
    </row>
    <row r="2749" spans="1:14" ht="14.5" x14ac:dyDescent="0.35">
      <c r="A2749" s="260" t="s">
        <v>566</v>
      </c>
      <c r="B2749" s="190">
        <v>45842</v>
      </c>
      <c r="C2749" s="260" t="s">
        <v>749</v>
      </c>
      <c r="D2749" s="197">
        <v>0</v>
      </c>
      <c r="E2749" s="197">
        <v>0</v>
      </c>
      <c r="F2749" s="197">
        <v>55.15</v>
      </c>
      <c r="G2749" s="190">
        <v>45842</v>
      </c>
      <c r="H2749" s="196">
        <v>0</v>
      </c>
      <c r="I2749" s="197">
        <v>0</v>
      </c>
      <c r="J2749" s="197">
        <v>0</v>
      </c>
      <c r="K2749" s="197">
        <v>0</v>
      </c>
      <c r="L2749" s="197">
        <v>0</v>
      </c>
      <c r="M2749" s="260" t="s">
        <v>239</v>
      </c>
      <c r="N2749" s="260" t="s">
        <v>514</v>
      </c>
    </row>
    <row r="2750" spans="1:14" ht="14.5" x14ac:dyDescent="0.35">
      <c r="A2750" s="260" t="s">
        <v>566</v>
      </c>
      <c r="B2750" s="190">
        <v>45842</v>
      </c>
      <c r="C2750" s="260" t="s">
        <v>752</v>
      </c>
      <c r="D2750" s="197">
        <v>0</v>
      </c>
      <c r="E2750" s="197">
        <v>0</v>
      </c>
      <c r="F2750" s="197">
        <v>181.6</v>
      </c>
      <c r="G2750" s="190">
        <v>45842</v>
      </c>
      <c r="H2750" s="196">
        <v>0</v>
      </c>
      <c r="I2750" s="197">
        <v>0</v>
      </c>
      <c r="J2750" s="197">
        <v>0</v>
      </c>
      <c r="K2750" s="197">
        <v>0</v>
      </c>
      <c r="L2750" s="197">
        <v>0</v>
      </c>
      <c r="M2750" s="260" t="s">
        <v>239</v>
      </c>
      <c r="N2750" s="260" t="s">
        <v>514</v>
      </c>
    </row>
    <row r="2751" spans="1:14" ht="14.5" x14ac:dyDescent="0.35">
      <c r="A2751" s="260" t="s">
        <v>566</v>
      </c>
      <c r="B2751" s="190">
        <v>45842</v>
      </c>
      <c r="C2751" s="260" t="s">
        <v>754</v>
      </c>
      <c r="D2751" s="197">
        <v>0</v>
      </c>
      <c r="E2751" s="197">
        <v>0</v>
      </c>
      <c r="F2751" s="197">
        <v>80.599999999999994</v>
      </c>
      <c r="G2751" s="190">
        <v>45842</v>
      </c>
      <c r="H2751" s="196">
        <v>0</v>
      </c>
      <c r="I2751" s="197">
        <v>0</v>
      </c>
      <c r="J2751" s="197">
        <v>0</v>
      </c>
      <c r="K2751" s="197">
        <v>0</v>
      </c>
      <c r="L2751" s="197">
        <v>0</v>
      </c>
      <c r="M2751" s="260" t="s">
        <v>239</v>
      </c>
      <c r="N2751" s="260" t="s">
        <v>514</v>
      </c>
    </row>
    <row r="2752" spans="1:14" ht="14.5" x14ac:dyDescent="0.35">
      <c r="A2752" s="260" t="s">
        <v>566</v>
      </c>
      <c r="B2752" s="190">
        <v>45843</v>
      </c>
      <c r="C2752" s="260" t="s">
        <v>749</v>
      </c>
      <c r="D2752" s="197">
        <v>0</v>
      </c>
      <c r="E2752" s="197">
        <v>0</v>
      </c>
      <c r="F2752" s="197">
        <v>55.15</v>
      </c>
      <c r="G2752" s="190">
        <v>45842</v>
      </c>
      <c r="H2752" s="196">
        <v>1</v>
      </c>
      <c r="I2752" s="197">
        <v>0</v>
      </c>
      <c r="J2752" s="197">
        <v>0</v>
      </c>
      <c r="K2752" s="197">
        <v>0</v>
      </c>
      <c r="L2752" s="197">
        <v>0</v>
      </c>
      <c r="M2752" s="260" t="s">
        <v>239</v>
      </c>
      <c r="N2752" s="260" t="s">
        <v>514</v>
      </c>
    </row>
    <row r="2753" spans="1:14" ht="14.5" x14ac:dyDescent="0.35">
      <c r="A2753" s="260" t="s">
        <v>566</v>
      </c>
      <c r="B2753" s="190">
        <v>45843</v>
      </c>
      <c r="C2753" s="260" t="s">
        <v>752</v>
      </c>
      <c r="D2753" s="197">
        <v>0</v>
      </c>
      <c r="E2753" s="197">
        <v>0</v>
      </c>
      <c r="F2753" s="197">
        <v>181.6</v>
      </c>
      <c r="G2753" s="190">
        <v>45842</v>
      </c>
      <c r="H2753" s="196">
        <v>1</v>
      </c>
      <c r="I2753" s="197">
        <v>0</v>
      </c>
      <c r="J2753" s="197">
        <v>0</v>
      </c>
      <c r="K2753" s="197">
        <v>0</v>
      </c>
      <c r="L2753" s="197">
        <v>0</v>
      </c>
      <c r="M2753" s="260" t="s">
        <v>239</v>
      </c>
      <c r="N2753" s="260" t="s">
        <v>514</v>
      </c>
    </row>
    <row r="2754" spans="1:14" ht="14.5" x14ac:dyDescent="0.35">
      <c r="A2754" s="260" t="s">
        <v>566</v>
      </c>
      <c r="B2754" s="190">
        <v>45843</v>
      </c>
      <c r="C2754" s="260" t="s">
        <v>754</v>
      </c>
      <c r="D2754" s="197">
        <v>0</v>
      </c>
      <c r="E2754" s="197">
        <v>0</v>
      </c>
      <c r="F2754" s="197">
        <v>80.599999999999994</v>
      </c>
      <c r="G2754" s="190">
        <v>45842</v>
      </c>
      <c r="H2754" s="196">
        <v>1</v>
      </c>
      <c r="I2754" s="197">
        <v>0</v>
      </c>
      <c r="J2754" s="197">
        <v>0</v>
      </c>
      <c r="K2754" s="197">
        <v>0</v>
      </c>
      <c r="L2754" s="197">
        <v>0</v>
      </c>
      <c r="M2754" s="260" t="s">
        <v>239</v>
      </c>
      <c r="N2754" s="260" t="s">
        <v>514</v>
      </c>
    </row>
    <row r="2755" spans="1:14" ht="14.5" x14ac:dyDescent="0.35">
      <c r="A2755" s="260" t="s">
        <v>566</v>
      </c>
      <c r="B2755" s="190">
        <v>45844</v>
      </c>
      <c r="C2755" s="260" t="s">
        <v>749</v>
      </c>
      <c r="D2755" s="197">
        <v>0</v>
      </c>
      <c r="E2755" s="197">
        <v>0</v>
      </c>
      <c r="F2755" s="197">
        <v>55.15</v>
      </c>
      <c r="G2755" s="190">
        <v>45842</v>
      </c>
      <c r="H2755" s="196">
        <v>2</v>
      </c>
      <c r="I2755" s="197">
        <v>0</v>
      </c>
      <c r="J2755" s="197">
        <v>0</v>
      </c>
      <c r="K2755" s="197">
        <v>0</v>
      </c>
      <c r="L2755" s="197">
        <v>0</v>
      </c>
      <c r="M2755" s="260" t="s">
        <v>239</v>
      </c>
      <c r="N2755" s="260" t="s">
        <v>514</v>
      </c>
    </row>
    <row r="2756" spans="1:14" ht="14.5" x14ac:dyDescent="0.35">
      <c r="A2756" s="260" t="s">
        <v>566</v>
      </c>
      <c r="B2756" s="190">
        <v>45844</v>
      </c>
      <c r="C2756" s="260" t="s">
        <v>752</v>
      </c>
      <c r="D2756" s="197">
        <v>0</v>
      </c>
      <c r="E2756" s="197">
        <v>0</v>
      </c>
      <c r="F2756" s="197">
        <v>181.6</v>
      </c>
      <c r="G2756" s="190">
        <v>45842</v>
      </c>
      <c r="H2756" s="196">
        <v>2</v>
      </c>
      <c r="I2756" s="197">
        <v>0</v>
      </c>
      <c r="J2756" s="197">
        <v>0</v>
      </c>
      <c r="K2756" s="197">
        <v>0</v>
      </c>
      <c r="L2756" s="197">
        <v>0</v>
      </c>
      <c r="M2756" s="260" t="s">
        <v>239</v>
      </c>
      <c r="N2756" s="260" t="s">
        <v>514</v>
      </c>
    </row>
    <row r="2757" spans="1:14" ht="14.5" x14ac:dyDescent="0.35">
      <c r="A2757" s="260" t="s">
        <v>566</v>
      </c>
      <c r="B2757" s="190">
        <v>45844</v>
      </c>
      <c r="C2757" s="260" t="s">
        <v>754</v>
      </c>
      <c r="D2757" s="197">
        <v>0</v>
      </c>
      <c r="E2757" s="197">
        <v>0</v>
      </c>
      <c r="F2757" s="197">
        <v>80.599999999999994</v>
      </c>
      <c r="G2757" s="190">
        <v>45842</v>
      </c>
      <c r="H2757" s="196">
        <v>2</v>
      </c>
      <c r="I2757" s="197">
        <v>0</v>
      </c>
      <c r="J2757" s="197">
        <v>0</v>
      </c>
      <c r="K2757" s="197">
        <v>0</v>
      </c>
      <c r="L2757" s="197">
        <v>0</v>
      </c>
      <c r="M2757" s="260" t="s">
        <v>239</v>
      </c>
      <c r="N2757" s="260" t="s">
        <v>514</v>
      </c>
    </row>
    <row r="2758" spans="1:14" ht="14.5" x14ac:dyDescent="0.35">
      <c r="A2758" s="260" t="s">
        <v>566</v>
      </c>
      <c r="B2758" s="190">
        <v>45845</v>
      </c>
      <c r="C2758" s="260" t="s">
        <v>749</v>
      </c>
      <c r="D2758" s="197">
        <v>0</v>
      </c>
      <c r="E2758" s="197">
        <v>0</v>
      </c>
      <c r="F2758" s="197">
        <v>54.8</v>
      </c>
      <c r="G2758" s="190">
        <v>45845</v>
      </c>
      <c r="H2758" s="196">
        <v>0</v>
      </c>
      <c r="I2758" s="197">
        <v>0</v>
      </c>
      <c r="J2758" s="197">
        <v>0</v>
      </c>
      <c r="K2758" s="197">
        <v>0</v>
      </c>
      <c r="L2758" s="197">
        <v>0</v>
      </c>
      <c r="M2758" s="260" t="s">
        <v>239</v>
      </c>
      <c r="N2758" s="260" t="s">
        <v>514</v>
      </c>
    </row>
    <row r="2759" spans="1:14" ht="14.5" x14ac:dyDescent="0.35">
      <c r="A2759" s="260" t="s">
        <v>566</v>
      </c>
      <c r="B2759" s="190">
        <v>45845</v>
      </c>
      <c r="C2759" s="260" t="s">
        <v>752</v>
      </c>
      <c r="D2759" s="197">
        <v>0</v>
      </c>
      <c r="E2759" s="197">
        <v>0</v>
      </c>
      <c r="F2759" s="197">
        <v>181.2</v>
      </c>
      <c r="G2759" s="190">
        <v>45845</v>
      </c>
      <c r="H2759" s="196">
        <v>0</v>
      </c>
      <c r="I2759" s="197">
        <v>0</v>
      </c>
      <c r="J2759" s="197">
        <v>0</v>
      </c>
      <c r="K2759" s="197">
        <v>0</v>
      </c>
      <c r="L2759" s="197">
        <v>0</v>
      </c>
      <c r="M2759" s="260" t="s">
        <v>239</v>
      </c>
      <c r="N2759" s="260" t="s">
        <v>514</v>
      </c>
    </row>
    <row r="2760" spans="1:14" ht="14.5" x14ac:dyDescent="0.35">
      <c r="A2760" s="260" t="s">
        <v>566</v>
      </c>
      <c r="B2760" s="190">
        <v>45845</v>
      </c>
      <c r="C2760" s="260" t="s">
        <v>754</v>
      </c>
      <c r="D2760" s="197">
        <v>0</v>
      </c>
      <c r="E2760" s="197">
        <v>0</v>
      </c>
      <c r="F2760" s="197">
        <v>80.2</v>
      </c>
      <c r="G2760" s="190">
        <v>45845</v>
      </c>
      <c r="H2760" s="196">
        <v>0</v>
      </c>
      <c r="I2760" s="197">
        <v>0</v>
      </c>
      <c r="J2760" s="197">
        <v>0</v>
      </c>
      <c r="K2760" s="197">
        <v>0</v>
      </c>
      <c r="L2760" s="197">
        <v>0</v>
      </c>
      <c r="M2760" s="260" t="s">
        <v>239</v>
      </c>
      <c r="N2760" s="260" t="s">
        <v>514</v>
      </c>
    </row>
    <row r="2761" spans="1:14" ht="14.5" x14ac:dyDescent="0.35">
      <c r="A2761" s="260" t="s">
        <v>566</v>
      </c>
      <c r="B2761" s="190">
        <v>45846</v>
      </c>
      <c r="C2761" s="260" t="s">
        <v>749</v>
      </c>
      <c r="D2761" s="197">
        <v>0</v>
      </c>
      <c r="E2761" s="197">
        <v>0</v>
      </c>
      <c r="F2761" s="197">
        <v>54.68</v>
      </c>
      <c r="G2761" s="190">
        <v>45846</v>
      </c>
      <c r="H2761" s="196">
        <v>0</v>
      </c>
      <c r="I2761" s="197">
        <v>0</v>
      </c>
      <c r="J2761" s="197">
        <v>0</v>
      </c>
      <c r="K2761" s="197">
        <v>0</v>
      </c>
      <c r="L2761" s="197">
        <v>0</v>
      </c>
      <c r="M2761" s="260" t="s">
        <v>239</v>
      </c>
      <c r="N2761" s="260" t="s">
        <v>514</v>
      </c>
    </row>
    <row r="2762" spans="1:14" ht="14.5" x14ac:dyDescent="0.35">
      <c r="A2762" s="260" t="s">
        <v>566</v>
      </c>
      <c r="B2762" s="190">
        <v>45846</v>
      </c>
      <c r="C2762" s="260" t="s">
        <v>752</v>
      </c>
      <c r="D2762" s="197">
        <v>0</v>
      </c>
      <c r="E2762" s="197">
        <v>0</v>
      </c>
      <c r="F2762" s="197">
        <v>181.07</v>
      </c>
      <c r="G2762" s="190">
        <v>45846</v>
      </c>
      <c r="H2762" s="196">
        <v>0</v>
      </c>
      <c r="I2762" s="197">
        <v>0</v>
      </c>
      <c r="J2762" s="197">
        <v>0</v>
      </c>
      <c r="K2762" s="197">
        <v>0</v>
      </c>
      <c r="L2762" s="197">
        <v>0</v>
      </c>
      <c r="M2762" s="260" t="s">
        <v>239</v>
      </c>
      <c r="N2762" s="260" t="s">
        <v>514</v>
      </c>
    </row>
    <row r="2763" spans="1:14" ht="14.5" x14ac:dyDescent="0.35">
      <c r="A2763" s="260" t="s">
        <v>566</v>
      </c>
      <c r="B2763" s="190">
        <v>45846</v>
      </c>
      <c r="C2763" s="260" t="s">
        <v>754</v>
      </c>
      <c r="D2763" s="197">
        <v>0</v>
      </c>
      <c r="E2763" s="197">
        <v>0</v>
      </c>
      <c r="F2763" s="197">
        <v>80.069999999999993</v>
      </c>
      <c r="G2763" s="190">
        <v>45846</v>
      </c>
      <c r="H2763" s="196">
        <v>0</v>
      </c>
      <c r="I2763" s="197">
        <v>0</v>
      </c>
      <c r="J2763" s="197">
        <v>0</v>
      </c>
      <c r="K2763" s="197">
        <v>0</v>
      </c>
      <c r="L2763" s="197">
        <v>0</v>
      </c>
      <c r="M2763" s="260" t="s">
        <v>239</v>
      </c>
      <c r="N2763" s="260" t="s">
        <v>514</v>
      </c>
    </row>
    <row r="2764" spans="1:14" ht="14.5" x14ac:dyDescent="0.35">
      <c r="A2764" s="260" t="s">
        <v>566</v>
      </c>
      <c r="B2764" s="190">
        <v>45847</v>
      </c>
      <c r="C2764" s="260" t="s">
        <v>749</v>
      </c>
      <c r="D2764" s="197">
        <v>0</v>
      </c>
      <c r="E2764" s="197">
        <v>0</v>
      </c>
      <c r="F2764" s="197">
        <v>54.57</v>
      </c>
      <c r="G2764" s="190">
        <v>45847</v>
      </c>
      <c r="H2764" s="196">
        <v>0</v>
      </c>
      <c r="I2764" s="197">
        <v>0</v>
      </c>
      <c r="J2764" s="197">
        <v>0</v>
      </c>
      <c r="K2764" s="197">
        <v>0</v>
      </c>
      <c r="L2764" s="197">
        <v>0</v>
      </c>
      <c r="M2764" s="260" t="s">
        <v>239</v>
      </c>
      <c r="N2764" s="260" t="s">
        <v>514</v>
      </c>
    </row>
    <row r="2765" spans="1:14" ht="14.5" x14ac:dyDescent="0.35">
      <c r="A2765" s="260" t="s">
        <v>566</v>
      </c>
      <c r="B2765" s="190">
        <v>45847</v>
      </c>
      <c r="C2765" s="260" t="s">
        <v>752</v>
      </c>
      <c r="D2765" s="197">
        <v>0</v>
      </c>
      <c r="E2765" s="197">
        <v>0</v>
      </c>
      <c r="F2765" s="197">
        <v>180.93</v>
      </c>
      <c r="G2765" s="190">
        <v>45847</v>
      </c>
      <c r="H2765" s="196">
        <v>0</v>
      </c>
      <c r="I2765" s="197">
        <v>0</v>
      </c>
      <c r="J2765" s="197">
        <v>0</v>
      </c>
      <c r="K2765" s="197">
        <v>0</v>
      </c>
      <c r="L2765" s="197">
        <v>0</v>
      </c>
      <c r="M2765" s="260" t="s">
        <v>239</v>
      </c>
      <c r="N2765" s="260" t="s">
        <v>514</v>
      </c>
    </row>
    <row r="2766" spans="1:14" ht="14.5" x14ac:dyDescent="0.35">
      <c r="A2766" s="260" t="s">
        <v>566</v>
      </c>
      <c r="B2766" s="190">
        <v>45847</v>
      </c>
      <c r="C2766" s="260" t="s">
        <v>754</v>
      </c>
      <c r="D2766" s="197">
        <v>0</v>
      </c>
      <c r="E2766" s="197">
        <v>0</v>
      </c>
      <c r="F2766" s="197">
        <v>79.930000000000007</v>
      </c>
      <c r="G2766" s="190">
        <v>45847</v>
      </c>
      <c r="H2766" s="196">
        <v>0</v>
      </c>
      <c r="I2766" s="197">
        <v>0</v>
      </c>
      <c r="J2766" s="197">
        <v>0</v>
      </c>
      <c r="K2766" s="197">
        <v>0</v>
      </c>
      <c r="L2766" s="197">
        <v>0</v>
      </c>
      <c r="M2766" s="260" t="s">
        <v>239</v>
      </c>
      <c r="N2766" s="260" t="s">
        <v>514</v>
      </c>
    </row>
    <row r="2767" spans="1:14" ht="14.5" x14ac:dyDescent="0.35">
      <c r="A2767" s="260" t="s">
        <v>566</v>
      </c>
      <c r="B2767" s="190">
        <v>45848</v>
      </c>
      <c r="C2767" s="260" t="s">
        <v>749</v>
      </c>
      <c r="D2767" s="197">
        <v>0</v>
      </c>
      <c r="E2767" s="197">
        <v>0</v>
      </c>
      <c r="F2767" s="197">
        <v>54.45</v>
      </c>
      <c r="G2767" s="190">
        <v>45848</v>
      </c>
      <c r="H2767" s="196">
        <v>0</v>
      </c>
      <c r="I2767" s="197">
        <v>0</v>
      </c>
      <c r="J2767" s="197">
        <v>0</v>
      </c>
      <c r="K2767" s="197">
        <v>0</v>
      </c>
      <c r="L2767" s="197">
        <v>0</v>
      </c>
      <c r="M2767" s="260" t="s">
        <v>239</v>
      </c>
      <c r="N2767" s="260" t="s">
        <v>514</v>
      </c>
    </row>
    <row r="2768" spans="1:14" ht="14.5" x14ac:dyDescent="0.35">
      <c r="A2768" s="260" t="s">
        <v>566</v>
      </c>
      <c r="B2768" s="190">
        <v>45848</v>
      </c>
      <c r="C2768" s="260" t="s">
        <v>752</v>
      </c>
      <c r="D2768" s="197">
        <v>0</v>
      </c>
      <c r="E2768" s="197">
        <v>0</v>
      </c>
      <c r="F2768" s="197">
        <v>180.8</v>
      </c>
      <c r="G2768" s="190">
        <v>45848</v>
      </c>
      <c r="H2768" s="196">
        <v>0</v>
      </c>
      <c r="I2768" s="197">
        <v>0</v>
      </c>
      <c r="J2768" s="197">
        <v>0</v>
      </c>
      <c r="K2768" s="197">
        <v>0</v>
      </c>
      <c r="L2768" s="197">
        <v>0</v>
      </c>
      <c r="M2768" s="260" t="s">
        <v>239</v>
      </c>
      <c r="N2768" s="260" t="s">
        <v>514</v>
      </c>
    </row>
    <row r="2769" spans="1:14" ht="14.5" x14ac:dyDescent="0.35">
      <c r="A2769" s="260" t="s">
        <v>566</v>
      </c>
      <c r="B2769" s="190">
        <v>45848</v>
      </c>
      <c r="C2769" s="260" t="s">
        <v>754</v>
      </c>
      <c r="D2769" s="197">
        <v>0</v>
      </c>
      <c r="E2769" s="197">
        <v>0</v>
      </c>
      <c r="F2769" s="197">
        <v>79.8</v>
      </c>
      <c r="G2769" s="190">
        <v>45848</v>
      </c>
      <c r="H2769" s="196">
        <v>0</v>
      </c>
      <c r="I2769" s="197">
        <v>0</v>
      </c>
      <c r="J2769" s="197">
        <v>0</v>
      </c>
      <c r="K2769" s="197">
        <v>0</v>
      </c>
      <c r="L2769" s="197">
        <v>0</v>
      </c>
      <c r="M2769" s="260" t="s">
        <v>239</v>
      </c>
      <c r="N2769" s="260" t="s">
        <v>514</v>
      </c>
    </row>
    <row r="2770" spans="1:14" ht="14.5" x14ac:dyDescent="0.35">
      <c r="A2770" s="260" t="s">
        <v>566</v>
      </c>
      <c r="B2770" s="190">
        <v>45849</v>
      </c>
      <c r="C2770" s="260" t="s">
        <v>749</v>
      </c>
      <c r="D2770" s="197">
        <v>0</v>
      </c>
      <c r="E2770" s="197">
        <v>0</v>
      </c>
      <c r="F2770" s="197">
        <v>54.33</v>
      </c>
      <c r="G2770" s="190">
        <v>45849</v>
      </c>
      <c r="H2770" s="196">
        <v>0</v>
      </c>
      <c r="I2770" s="197">
        <v>0</v>
      </c>
      <c r="J2770" s="197">
        <v>0</v>
      </c>
      <c r="K2770" s="197">
        <v>0</v>
      </c>
      <c r="L2770" s="197">
        <v>0</v>
      </c>
      <c r="M2770" s="260" t="s">
        <v>239</v>
      </c>
      <c r="N2770" s="260" t="s">
        <v>514</v>
      </c>
    </row>
    <row r="2771" spans="1:14" ht="14.5" x14ac:dyDescent="0.35">
      <c r="A2771" s="260" t="s">
        <v>566</v>
      </c>
      <c r="B2771" s="190">
        <v>45849</v>
      </c>
      <c r="C2771" s="260" t="s">
        <v>752</v>
      </c>
      <c r="D2771" s="197">
        <v>0</v>
      </c>
      <c r="E2771" s="197">
        <v>0</v>
      </c>
      <c r="F2771" s="197">
        <v>180.67</v>
      </c>
      <c r="G2771" s="190">
        <v>45849</v>
      </c>
      <c r="H2771" s="196">
        <v>0</v>
      </c>
      <c r="I2771" s="197">
        <v>0</v>
      </c>
      <c r="J2771" s="197">
        <v>0</v>
      </c>
      <c r="K2771" s="197">
        <v>0</v>
      </c>
      <c r="L2771" s="197">
        <v>0</v>
      </c>
      <c r="M2771" s="260" t="s">
        <v>239</v>
      </c>
      <c r="N2771" s="260" t="s">
        <v>514</v>
      </c>
    </row>
    <row r="2772" spans="1:14" ht="14.5" x14ac:dyDescent="0.35">
      <c r="A2772" s="260" t="s">
        <v>566</v>
      </c>
      <c r="B2772" s="190">
        <v>45849</v>
      </c>
      <c r="C2772" s="260" t="s">
        <v>754</v>
      </c>
      <c r="D2772" s="197">
        <v>0</v>
      </c>
      <c r="E2772" s="197">
        <v>0</v>
      </c>
      <c r="F2772" s="197">
        <v>79.67</v>
      </c>
      <c r="G2772" s="190">
        <v>45849</v>
      </c>
      <c r="H2772" s="196">
        <v>0</v>
      </c>
      <c r="I2772" s="197">
        <v>0</v>
      </c>
      <c r="J2772" s="197">
        <v>0</v>
      </c>
      <c r="K2772" s="197">
        <v>0</v>
      </c>
      <c r="L2772" s="197">
        <v>0</v>
      </c>
      <c r="M2772" s="260" t="s">
        <v>239</v>
      </c>
      <c r="N2772" s="260" t="s">
        <v>514</v>
      </c>
    </row>
    <row r="2773" spans="1:14" ht="14.5" x14ac:dyDescent="0.35">
      <c r="A2773" s="260" t="s">
        <v>566</v>
      </c>
      <c r="B2773" s="190">
        <v>45850</v>
      </c>
      <c r="C2773" s="260" t="s">
        <v>749</v>
      </c>
      <c r="D2773" s="197">
        <v>0</v>
      </c>
      <c r="E2773" s="197">
        <v>0</v>
      </c>
      <c r="F2773" s="197">
        <v>54.33</v>
      </c>
      <c r="G2773" s="190">
        <v>45849</v>
      </c>
      <c r="H2773" s="196">
        <v>1</v>
      </c>
      <c r="I2773" s="197">
        <v>0</v>
      </c>
      <c r="J2773" s="197">
        <v>0</v>
      </c>
      <c r="K2773" s="197">
        <v>0</v>
      </c>
      <c r="L2773" s="197">
        <v>0</v>
      </c>
      <c r="M2773" s="260" t="s">
        <v>239</v>
      </c>
      <c r="N2773" s="260" t="s">
        <v>514</v>
      </c>
    </row>
    <row r="2774" spans="1:14" ht="14.5" x14ac:dyDescent="0.35">
      <c r="A2774" s="260" t="s">
        <v>566</v>
      </c>
      <c r="B2774" s="190">
        <v>45850</v>
      </c>
      <c r="C2774" s="260" t="s">
        <v>752</v>
      </c>
      <c r="D2774" s="197">
        <v>0</v>
      </c>
      <c r="E2774" s="197">
        <v>0</v>
      </c>
      <c r="F2774" s="197">
        <v>180.67</v>
      </c>
      <c r="G2774" s="190">
        <v>45849</v>
      </c>
      <c r="H2774" s="196">
        <v>1</v>
      </c>
      <c r="I2774" s="197">
        <v>0</v>
      </c>
      <c r="J2774" s="197">
        <v>0</v>
      </c>
      <c r="K2774" s="197">
        <v>0</v>
      </c>
      <c r="L2774" s="197">
        <v>0</v>
      </c>
      <c r="M2774" s="260" t="s">
        <v>239</v>
      </c>
      <c r="N2774" s="260" t="s">
        <v>514</v>
      </c>
    </row>
    <row r="2775" spans="1:14" ht="14.5" x14ac:dyDescent="0.35">
      <c r="A2775" s="260" t="s">
        <v>566</v>
      </c>
      <c r="B2775" s="190">
        <v>45850</v>
      </c>
      <c r="C2775" s="260" t="s">
        <v>754</v>
      </c>
      <c r="D2775" s="197">
        <v>0</v>
      </c>
      <c r="E2775" s="197">
        <v>0</v>
      </c>
      <c r="F2775" s="197">
        <v>79.67</v>
      </c>
      <c r="G2775" s="190">
        <v>45849</v>
      </c>
      <c r="H2775" s="196">
        <v>1</v>
      </c>
      <c r="I2775" s="197">
        <v>0</v>
      </c>
      <c r="J2775" s="197">
        <v>0</v>
      </c>
      <c r="K2775" s="197">
        <v>0</v>
      </c>
      <c r="L2775" s="197">
        <v>0</v>
      </c>
      <c r="M2775" s="260" t="s">
        <v>239</v>
      </c>
      <c r="N2775" s="260" t="s">
        <v>514</v>
      </c>
    </row>
    <row r="2776" spans="1:14" ht="14.5" x14ac:dyDescent="0.35">
      <c r="A2776" s="260" t="s">
        <v>566</v>
      </c>
      <c r="B2776" s="190">
        <v>45851</v>
      </c>
      <c r="C2776" s="260" t="s">
        <v>749</v>
      </c>
      <c r="D2776" s="197">
        <v>0</v>
      </c>
      <c r="E2776" s="197">
        <v>0</v>
      </c>
      <c r="F2776" s="197">
        <v>54.33</v>
      </c>
      <c r="G2776" s="190">
        <v>45849</v>
      </c>
      <c r="H2776" s="196">
        <v>2</v>
      </c>
      <c r="I2776" s="197">
        <v>0</v>
      </c>
      <c r="J2776" s="197">
        <v>0</v>
      </c>
      <c r="K2776" s="197">
        <v>0</v>
      </c>
      <c r="L2776" s="197">
        <v>0</v>
      </c>
      <c r="M2776" s="260" t="s">
        <v>239</v>
      </c>
      <c r="N2776" s="260" t="s">
        <v>514</v>
      </c>
    </row>
    <row r="2777" spans="1:14" ht="14.5" x14ac:dyDescent="0.35">
      <c r="A2777" s="260" t="s">
        <v>566</v>
      </c>
      <c r="B2777" s="190">
        <v>45851</v>
      </c>
      <c r="C2777" s="260" t="s">
        <v>752</v>
      </c>
      <c r="D2777" s="197">
        <v>0</v>
      </c>
      <c r="E2777" s="197">
        <v>0</v>
      </c>
      <c r="F2777" s="197">
        <v>180.67</v>
      </c>
      <c r="G2777" s="190">
        <v>45849</v>
      </c>
      <c r="H2777" s="196">
        <v>2</v>
      </c>
      <c r="I2777" s="197">
        <v>0</v>
      </c>
      <c r="J2777" s="197">
        <v>0</v>
      </c>
      <c r="K2777" s="197">
        <v>0</v>
      </c>
      <c r="L2777" s="197">
        <v>0</v>
      </c>
      <c r="M2777" s="260" t="s">
        <v>239</v>
      </c>
      <c r="N2777" s="260" t="s">
        <v>514</v>
      </c>
    </row>
    <row r="2778" spans="1:14" ht="14.5" x14ac:dyDescent="0.35">
      <c r="A2778" s="260" t="s">
        <v>566</v>
      </c>
      <c r="B2778" s="190">
        <v>45851</v>
      </c>
      <c r="C2778" s="260" t="s">
        <v>754</v>
      </c>
      <c r="D2778" s="197">
        <v>0</v>
      </c>
      <c r="E2778" s="197">
        <v>0</v>
      </c>
      <c r="F2778" s="197">
        <v>79.67</v>
      </c>
      <c r="G2778" s="190">
        <v>45849</v>
      </c>
      <c r="H2778" s="196">
        <v>2</v>
      </c>
      <c r="I2778" s="197">
        <v>0</v>
      </c>
      <c r="J2778" s="197">
        <v>0</v>
      </c>
      <c r="K2778" s="197">
        <v>0</v>
      </c>
      <c r="L2778" s="197">
        <v>0</v>
      </c>
      <c r="M2778" s="260" t="s">
        <v>239</v>
      </c>
      <c r="N2778" s="260" t="s">
        <v>514</v>
      </c>
    </row>
    <row r="2779" spans="1:14" ht="14.5" x14ac:dyDescent="0.35">
      <c r="A2779" s="260" t="s">
        <v>566</v>
      </c>
      <c r="B2779" s="190">
        <v>45852</v>
      </c>
      <c r="C2779" s="260" t="s">
        <v>749</v>
      </c>
      <c r="D2779" s="197">
        <v>0</v>
      </c>
      <c r="E2779" s="197">
        <v>0</v>
      </c>
      <c r="F2779" s="197">
        <v>53.98</v>
      </c>
      <c r="G2779" s="190">
        <v>45852</v>
      </c>
      <c r="H2779" s="196">
        <v>0</v>
      </c>
      <c r="I2779" s="197">
        <v>0</v>
      </c>
      <c r="J2779" s="197">
        <v>0</v>
      </c>
      <c r="K2779" s="197">
        <v>0</v>
      </c>
      <c r="L2779" s="197">
        <v>0</v>
      </c>
      <c r="M2779" s="260" t="s">
        <v>239</v>
      </c>
      <c r="N2779" s="260" t="s">
        <v>514</v>
      </c>
    </row>
    <row r="2780" spans="1:14" ht="14.5" x14ac:dyDescent="0.35">
      <c r="A2780" s="260" t="s">
        <v>566</v>
      </c>
      <c r="B2780" s="190">
        <v>45852</v>
      </c>
      <c r="C2780" s="260" t="s">
        <v>752</v>
      </c>
      <c r="D2780" s="197">
        <v>0</v>
      </c>
      <c r="E2780" s="197">
        <v>0</v>
      </c>
      <c r="F2780" s="197">
        <v>180.27</v>
      </c>
      <c r="G2780" s="190">
        <v>45852</v>
      </c>
      <c r="H2780" s="196">
        <v>0</v>
      </c>
      <c r="I2780" s="197">
        <v>0</v>
      </c>
      <c r="J2780" s="197">
        <v>0</v>
      </c>
      <c r="K2780" s="197">
        <v>0</v>
      </c>
      <c r="L2780" s="197">
        <v>0</v>
      </c>
      <c r="M2780" s="260" t="s">
        <v>239</v>
      </c>
      <c r="N2780" s="260" t="s">
        <v>514</v>
      </c>
    </row>
    <row r="2781" spans="1:14" ht="14.5" x14ac:dyDescent="0.35">
      <c r="A2781" s="260" t="s">
        <v>566</v>
      </c>
      <c r="B2781" s="190">
        <v>45852</v>
      </c>
      <c r="C2781" s="260" t="s">
        <v>754</v>
      </c>
      <c r="D2781" s="197">
        <v>0</v>
      </c>
      <c r="E2781" s="197">
        <v>0</v>
      </c>
      <c r="F2781" s="197">
        <v>79.27</v>
      </c>
      <c r="G2781" s="190">
        <v>45852</v>
      </c>
      <c r="H2781" s="196">
        <v>0</v>
      </c>
      <c r="I2781" s="197">
        <v>0</v>
      </c>
      <c r="J2781" s="197">
        <v>0</v>
      </c>
      <c r="K2781" s="197">
        <v>0</v>
      </c>
      <c r="L2781" s="197">
        <v>0</v>
      </c>
      <c r="M2781" s="260" t="s">
        <v>239</v>
      </c>
      <c r="N2781" s="260" t="s">
        <v>514</v>
      </c>
    </row>
    <row r="2782" spans="1:14" ht="14.5" x14ac:dyDescent="0.35">
      <c r="A2782" s="260" t="s">
        <v>566</v>
      </c>
      <c r="B2782" s="190">
        <v>45853</v>
      </c>
      <c r="C2782" s="260" t="s">
        <v>749</v>
      </c>
      <c r="D2782" s="197">
        <v>0</v>
      </c>
      <c r="E2782" s="197">
        <v>0</v>
      </c>
      <c r="F2782" s="197">
        <v>53.87</v>
      </c>
      <c r="G2782" s="190">
        <v>45853</v>
      </c>
      <c r="H2782" s="196">
        <v>0</v>
      </c>
      <c r="I2782" s="197">
        <v>0</v>
      </c>
      <c r="J2782" s="197">
        <v>0</v>
      </c>
      <c r="K2782" s="197">
        <v>0</v>
      </c>
      <c r="L2782" s="197">
        <v>0</v>
      </c>
      <c r="M2782" s="260" t="s">
        <v>239</v>
      </c>
      <c r="N2782" s="260" t="s">
        <v>514</v>
      </c>
    </row>
    <row r="2783" spans="1:14" ht="14.5" x14ac:dyDescent="0.35">
      <c r="A2783" s="260" t="s">
        <v>566</v>
      </c>
      <c r="B2783" s="190">
        <v>45853</v>
      </c>
      <c r="C2783" s="260" t="s">
        <v>752</v>
      </c>
      <c r="D2783" s="197">
        <v>0</v>
      </c>
      <c r="E2783" s="197">
        <v>0</v>
      </c>
      <c r="F2783" s="197">
        <v>180.13</v>
      </c>
      <c r="G2783" s="190">
        <v>45853</v>
      </c>
      <c r="H2783" s="196">
        <v>0</v>
      </c>
      <c r="I2783" s="197">
        <v>0</v>
      </c>
      <c r="J2783" s="197">
        <v>0</v>
      </c>
      <c r="K2783" s="197">
        <v>0</v>
      </c>
      <c r="L2783" s="197">
        <v>0</v>
      </c>
      <c r="M2783" s="260" t="s">
        <v>239</v>
      </c>
      <c r="N2783" s="260" t="s">
        <v>514</v>
      </c>
    </row>
    <row r="2784" spans="1:14" ht="14.5" x14ac:dyDescent="0.35">
      <c r="A2784" s="260" t="s">
        <v>566</v>
      </c>
      <c r="B2784" s="190">
        <v>45853</v>
      </c>
      <c r="C2784" s="260" t="s">
        <v>754</v>
      </c>
      <c r="D2784" s="197">
        <v>0</v>
      </c>
      <c r="E2784" s="197">
        <v>0</v>
      </c>
      <c r="F2784" s="197">
        <v>79.13</v>
      </c>
      <c r="G2784" s="190">
        <v>45853</v>
      </c>
      <c r="H2784" s="196">
        <v>0</v>
      </c>
      <c r="I2784" s="197">
        <v>0</v>
      </c>
      <c r="J2784" s="197">
        <v>0</v>
      </c>
      <c r="K2784" s="197">
        <v>0</v>
      </c>
      <c r="L2784" s="197">
        <v>0</v>
      </c>
      <c r="M2784" s="260" t="s">
        <v>239</v>
      </c>
      <c r="N2784" s="260" t="s">
        <v>514</v>
      </c>
    </row>
    <row r="2785" spans="1:14" ht="14.5" x14ac:dyDescent="0.35">
      <c r="A2785" s="260" t="s">
        <v>566</v>
      </c>
      <c r="B2785" s="190">
        <v>45854</v>
      </c>
      <c r="C2785" s="260" t="s">
        <v>749</v>
      </c>
      <c r="D2785" s="197">
        <v>0</v>
      </c>
      <c r="E2785" s="197">
        <v>0</v>
      </c>
      <c r="F2785" s="197">
        <v>53.75</v>
      </c>
      <c r="G2785" s="190">
        <v>45854</v>
      </c>
      <c r="H2785" s="196">
        <v>0</v>
      </c>
      <c r="I2785" s="197">
        <v>0</v>
      </c>
      <c r="J2785" s="197">
        <v>0</v>
      </c>
      <c r="K2785" s="197">
        <v>0</v>
      </c>
      <c r="L2785" s="197">
        <v>0</v>
      </c>
      <c r="M2785" s="260" t="s">
        <v>239</v>
      </c>
      <c r="N2785" s="260" t="s">
        <v>514</v>
      </c>
    </row>
    <row r="2786" spans="1:14" ht="14.5" x14ac:dyDescent="0.35">
      <c r="A2786" s="260" t="s">
        <v>566</v>
      </c>
      <c r="B2786" s="190">
        <v>45854</v>
      </c>
      <c r="C2786" s="260" t="s">
        <v>752</v>
      </c>
      <c r="D2786" s="197">
        <v>0</v>
      </c>
      <c r="E2786" s="197">
        <v>0</v>
      </c>
      <c r="F2786" s="197">
        <v>180</v>
      </c>
      <c r="G2786" s="190">
        <v>45854</v>
      </c>
      <c r="H2786" s="196">
        <v>0</v>
      </c>
      <c r="I2786" s="197">
        <v>0</v>
      </c>
      <c r="J2786" s="197">
        <v>0</v>
      </c>
      <c r="K2786" s="197">
        <v>0</v>
      </c>
      <c r="L2786" s="197">
        <v>0</v>
      </c>
      <c r="M2786" s="260" t="s">
        <v>239</v>
      </c>
      <c r="N2786" s="260" t="s">
        <v>514</v>
      </c>
    </row>
    <row r="2787" spans="1:14" ht="14.5" x14ac:dyDescent="0.35">
      <c r="A2787" s="260" t="s">
        <v>566</v>
      </c>
      <c r="B2787" s="190">
        <v>45854</v>
      </c>
      <c r="C2787" s="260" t="s">
        <v>754</v>
      </c>
      <c r="D2787" s="197">
        <v>0</v>
      </c>
      <c r="E2787" s="197">
        <v>0</v>
      </c>
      <c r="F2787" s="197">
        <v>79</v>
      </c>
      <c r="G2787" s="190">
        <v>45854</v>
      </c>
      <c r="H2787" s="196">
        <v>0</v>
      </c>
      <c r="I2787" s="197">
        <v>0</v>
      </c>
      <c r="J2787" s="197">
        <v>0</v>
      </c>
      <c r="K2787" s="197">
        <v>0</v>
      </c>
      <c r="L2787" s="197">
        <v>0</v>
      </c>
      <c r="M2787" s="260" t="s">
        <v>239</v>
      </c>
      <c r="N2787" s="260" t="s">
        <v>514</v>
      </c>
    </row>
    <row r="2788" spans="1:14" ht="14.5" x14ac:dyDescent="0.35">
      <c r="A2788" s="260" t="s">
        <v>566</v>
      </c>
      <c r="B2788" s="190">
        <v>45855</v>
      </c>
      <c r="C2788" s="260" t="s">
        <v>749</v>
      </c>
      <c r="D2788" s="197">
        <v>0</v>
      </c>
      <c r="E2788" s="197">
        <v>0</v>
      </c>
      <c r="F2788" s="197">
        <v>53.63</v>
      </c>
      <c r="G2788" s="190">
        <v>45855</v>
      </c>
      <c r="H2788" s="196">
        <v>0</v>
      </c>
      <c r="I2788" s="197">
        <v>0</v>
      </c>
      <c r="J2788" s="197">
        <v>0</v>
      </c>
      <c r="K2788" s="197">
        <v>0</v>
      </c>
      <c r="L2788" s="197">
        <v>0</v>
      </c>
      <c r="M2788" s="260" t="s">
        <v>239</v>
      </c>
      <c r="N2788" s="260" t="s">
        <v>514</v>
      </c>
    </row>
    <row r="2789" spans="1:14" ht="14.5" x14ac:dyDescent="0.35">
      <c r="A2789" s="260" t="s">
        <v>566</v>
      </c>
      <c r="B2789" s="190">
        <v>45855</v>
      </c>
      <c r="C2789" s="260" t="s">
        <v>752</v>
      </c>
      <c r="D2789" s="197">
        <v>0</v>
      </c>
      <c r="E2789" s="197">
        <v>0</v>
      </c>
      <c r="F2789" s="197">
        <v>179.87</v>
      </c>
      <c r="G2789" s="190">
        <v>45855</v>
      </c>
      <c r="H2789" s="196">
        <v>0</v>
      </c>
      <c r="I2789" s="197">
        <v>0</v>
      </c>
      <c r="J2789" s="197">
        <v>0</v>
      </c>
      <c r="K2789" s="197">
        <v>0</v>
      </c>
      <c r="L2789" s="197">
        <v>0</v>
      </c>
      <c r="M2789" s="260" t="s">
        <v>239</v>
      </c>
      <c r="N2789" s="260" t="s">
        <v>514</v>
      </c>
    </row>
    <row r="2790" spans="1:14" ht="14.5" x14ac:dyDescent="0.35">
      <c r="A2790" s="260" t="s">
        <v>566</v>
      </c>
      <c r="B2790" s="190">
        <v>45855</v>
      </c>
      <c r="C2790" s="260" t="s">
        <v>754</v>
      </c>
      <c r="D2790" s="197">
        <v>0</v>
      </c>
      <c r="E2790" s="197">
        <v>0</v>
      </c>
      <c r="F2790" s="197">
        <v>78.87</v>
      </c>
      <c r="G2790" s="190">
        <v>45855</v>
      </c>
      <c r="H2790" s="196">
        <v>0</v>
      </c>
      <c r="I2790" s="197">
        <v>0</v>
      </c>
      <c r="J2790" s="197">
        <v>0</v>
      </c>
      <c r="K2790" s="197">
        <v>0</v>
      </c>
      <c r="L2790" s="197">
        <v>0</v>
      </c>
      <c r="M2790" s="260" t="s">
        <v>239</v>
      </c>
      <c r="N2790" s="260" t="s">
        <v>514</v>
      </c>
    </row>
    <row r="2791" spans="1:14" ht="14.5" x14ac:dyDescent="0.35">
      <c r="A2791" s="260" t="s">
        <v>566</v>
      </c>
      <c r="B2791" s="190">
        <v>45856</v>
      </c>
      <c r="C2791" s="260" t="s">
        <v>749</v>
      </c>
      <c r="D2791" s="197">
        <v>0</v>
      </c>
      <c r="E2791" s="197">
        <v>0</v>
      </c>
      <c r="F2791" s="197">
        <v>53.52</v>
      </c>
      <c r="G2791" s="190">
        <v>45856</v>
      </c>
      <c r="H2791" s="196">
        <v>0</v>
      </c>
      <c r="I2791" s="197">
        <v>0</v>
      </c>
      <c r="J2791" s="197">
        <v>0</v>
      </c>
      <c r="K2791" s="197">
        <v>0</v>
      </c>
      <c r="L2791" s="197">
        <v>0</v>
      </c>
      <c r="M2791" s="260" t="s">
        <v>239</v>
      </c>
      <c r="N2791" s="260" t="s">
        <v>514</v>
      </c>
    </row>
    <row r="2792" spans="1:14" ht="14.5" x14ac:dyDescent="0.35">
      <c r="A2792" s="260" t="s">
        <v>566</v>
      </c>
      <c r="B2792" s="190">
        <v>45856</v>
      </c>
      <c r="C2792" s="260" t="s">
        <v>752</v>
      </c>
      <c r="D2792" s="197">
        <v>0</v>
      </c>
      <c r="E2792" s="197">
        <v>0</v>
      </c>
      <c r="F2792" s="197">
        <v>179.73</v>
      </c>
      <c r="G2792" s="190">
        <v>45856</v>
      </c>
      <c r="H2792" s="196">
        <v>0</v>
      </c>
      <c r="I2792" s="197">
        <v>0</v>
      </c>
      <c r="J2792" s="197">
        <v>0</v>
      </c>
      <c r="K2792" s="197">
        <v>0</v>
      </c>
      <c r="L2792" s="197">
        <v>0</v>
      </c>
      <c r="M2792" s="260" t="s">
        <v>239</v>
      </c>
      <c r="N2792" s="260" t="s">
        <v>514</v>
      </c>
    </row>
    <row r="2793" spans="1:14" ht="14.5" x14ac:dyDescent="0.35">
      <c r="A2793" s="260" t="s">
        <v>566</v>
      </c>
      <c r="B2793" s="190">
        <v>45856</v>
      </c>
      <c r="C2793" s="260" t="s">
        <v>754</v>
      </c>
      <c r="D2793" s="197">
        <v>0</v>
      </c>
      <c r="E2793" s="197">
        <v>0</v>
      </c>
      <c r="F2793" s="197">
        <v>78.73</v>
      </c>
      <c r="G2793" s="190">
        <v>45856</v>
      </c>
      <c r="H2793" s="196">
        <v>0</v>
      </c>
      <c r="I2793" s="197">
        <v>0</v>
      </c>
      <c r="J2793" s="197">
        <v>0</v>
      </c>
      <c r="K2793" s="197">
        <v>0</v>
      </c>
      <c r="L2793" s="197">
        <v>0</v>
      </c>
      <c r="M2793" s="260" t="s">
        <v>239</v>
      </c>
      <c r="N2793" s="260" t="s">
        <v>514</v>
      </c>
    </row>
    <row r="2794" spans="1:14" ht="14.5" x14ac:dyDescent="0.35">
      <c r="A2794" s="260" t="s">
        <v>566</v>
      </c>
      <c r="B2794" s="190">
        <v>45857</v>
      </c>
      <c r="C2794" s="260" t="s">
        <v>749</v>
      </c>
      <c r="D2794" s="197">
        <v>0</v>
      </c>
      <c r="E2794" s="197">
        <v>0</v>
      </c>
      <c r="F2794" s="197">
        <v>53.52</v>
      </c>
      <c r="G2794" s="190">
        <v>45856</v>
      </c>
      <c r="H2794" s="196">
        <v>1</v>
      </c>
      <c r="I2794" s="197">
        <v>0</v>
      </c>
      <c r="J2794" s="197">
        <v>0</v>
      </c>
      <c r="K2794" s="197">
        <v>0</v>
      </c>
      <c r="L2794" s="197">
        <v>0</v>
      </c>
      <c r="M2794" s="260" t="s">
        <v>239</v>
      </c>
      <c r="N2794" s="260" t="s">
        <v>514</v>
      </c>
    </row>
    <row r="2795" spans="1:14" ht="14.5" x14ac:dyDescent="0.35">
      <c r="A2795" s="260" t="s">
        <v>566</v>
      </c>
      <c r="B2795" s="190">
        <v>45857</v>
      </c>
      <c r="C2795" s="260" t="s">
        <v>752</v>
      </c>
      <c r="D2795" s="197">
        <v>0</v>
      </c>
      <c r="E2795" s="197">
        <v>0</v>
      </c>
      <c r="F2795" s="197">
        <v>179.73</v>
      </c>
      <c r="G2795" s="190">
        <v>45856</v>
      </c>
      <c r="H2795" s="196">
        <v>1</v>
      </c>
      <c r="I2795" s="197">
        <v>0</v>
      </c>
      <c r="J2795" s="197">
        <v>0</v>
      </c>
      <c r="K2795" s="197">
        <v>0</v>
      </c>
      <c r="L2795" s="197">
        <v>0</v>
      </c>
      <c r="M2795" s="260" t="s">
        <v>239</v>
      </c>
      <c r="N2795" s="260" t="s">
        <v>514</v>
      </c>
    </row>
    <row r="2796" spans="1:14" ht="14.5" x14ac:dyDescent="0.35">
      <c r="A2796" s="260" t="s">
        <v>566</v>
      </c>
      <c r="B2796" s="190">
        <v>45857</v>
      </c>
      <c r="C2796" s="260" t="s">
        <v>754</v>
      </c>
      <c r="D2796" s="197">
        <v>0</v>
      </c>
      <c r="E2796" s="197">
        <v>0</v>
      </c>
      <c r="F2796" s="197">
        <v>78.73</v>
      </c>
      <c r="G2796" s="190">
        <v>45856</v>
      </c>
      <c r="H2796" s="196">
        <v>1</v>
      </c>
      <c r="I2796" s="197">
        <v>0</v>
      </c>
      <c r="J2796" s="197">
        <v>0</v>
      </c>
      <c r="K2796" s="197">
        <v>0</v>
      </c>
      <c r="L2796" s="197">
        <v>0</v>
      </c>
      <c r="M2796" s="260" t="s">
        <v>239</v>
      </c>
      <c r="N2796" s="260" t="s">
        <v>514</v>
      </c>
    </row>
    <row r="2797" spans="1:14" ht="14.5" x14ac:dyDescent="0.35">
      <c r="A2797" s="260" t="s">
        <v>566</v>
      </c>
      <c r="B2797" s="190">
        <v>45858</v>
      </c>
      <c r="C2797" s="260" t="s">
        <v>749</v>
      </c>
      <c r="D2797" s="197">
        <v>0</v>
      </c>
      <c r="E2797" s="197">
        <v>0</v>
      </c>
      <c r="F2797" s="197">
        <v>53.52</v>
      </c>
      <c r="G2797" s="190">
        <v>45856</v>
      </c>
      <c r="H2797" s="196">
        <v>2</v>
      </c>
      <c r="I2797" s="197">
        <v>0</v>
      </c>
      <c r="J2797" s="197">
        <v>0</v>
      </c>
      <c r="K2797" s="197">
        <v>0</v>
      </c>
      <c r="L2797" s="197">
        <v>0</v>
      </c>
      <c r="M2797" s="260" t="s">
        <v>239</v>
      </c>
      <c r="N2797" s="260" t="s">
        <v>514</v>
      </c>
    </row>
    <row r="2798" spans="1:14" ht="14.5" x14ac:dyDescent="0.35">
      <c r="A2798" s="260" t="s">
        <v>566</v>
      </c>
      <c r="B2798" s="190">
        <v>45858</v>
      </c>
      <c r="C2798" s="260" t="s">
        <v>752</v>
      </c>
      <c r="D2798" s="197">
        <v>0</v>
      </c>
      <c r="E2798" s="197">
        <v>0</v>
      </c>
      <c r="F2798" s="197">
        <v>179.73</v>
      </c>
      <c r="G2798" s="190">
        <v>45856</v>
      </c>
      <c r="H2798" s="196">
        <v>2</v>
      </c>
      <c r="I2798" s="197">
        <v>0</v>
      </c>
      <c r="J2798" s="197">
        <v>0</v>
      </c>
      <c r="K2798" s="197">
        <v>0</v>
      </c>
      <c r="L2798" s="197">
        <v>0</v>
      </c>
      <c r="M2798" s="260" t="s">
        <v>239</v>
      </c>
      <c r="N2798" s="260" t="s">
        <v>514</v>
      </c>
    </row>
    <row r="2799" spans="1:14" ht="14.5" x14ac:dyDescent="0.35">
      <c r="A2799" s="260" t="s">
        <v>566</v>
      </c>
      <c r="B2799" s="190">
        <v>45858</v>
      </c>
      <c r="C2799" s="260" t="s">
        <v>754</v>
      </c>
      <c r="D2799" s="197">
        <v>0</v>
      </c>
      <c r="E2799" s="197">
        <v>0</v>
      </c>
      <c r="F2799" s="197">
        <v>78.73</v>
      </c>
      <c r="G2799" s="190">
        <v>45856</v>
      </c>
      <c r="H2799" s="196">
        <v>2</v>
      </c>
      <c r="I2799" s="197">
        <v>0</v>
      </c>
      <c r="J2799" s="197">
        <v>0</v>
      </c>
      <c r="K2799" s="197">
        <v>0</v>
      </c>
      <c r="L2799" s="197">
        <v>0</v>
      </c>
      <c r="M2799" s="260" t="s">
        <v>239</v>
      </c>
      <c r="N2799" s="260" t="s">
        <v>514</v>
      </c>
    </row>
    <row r="2800" spans="1:14" ht="14.5" x14ac:dyDescent="0.35">
      <c r="A2800" s="260" t="s">
        <v>566</v>
      </c>
      <c r="B2800" s="190">
        <v>45859</v>
      </c>
      <c r="C2800" s="260" t="s">
        <v>749</v>
      </c>
      <c r="D2800" s="197">
        <v>0</v>
      </c>
      <c r="E2800" s="197">
        <v>0</v>
      </c>
      <c r="F2800" s="197">
        <v>53.17</v>
      </c>
      <c r="G2800" s="190">
        <v>45859</v>
      </c>
      <c r="H2800" s="196">
        <v>0</v>
      </c>
      <c r="I2800" s="197">
        <v>0</v>
      </c>
      <c r="J2800" s="197">
        <v>0</v>
      </c>
      <c r="K2800" s="197">
        <v>0</v>
      </c>
      <c r="L2800" s="197">
        <v>0</v>
      </c>
      <c r="M2800" s="260" t="s">
        <v>239</v>
      </c>
      <c r="N2800" s="260" t="s">
        <v>514</v>
      </c>
    </row>
    <row r="2801" spans="1:14" ht="14.5" x14ac:dyDescent="0.35">
      <c r="A2801" s="260" t="s">
        <v>566</v>
      </c>
      <c r="B2801" s="190">
        <v>45859</v>
      </c>
      <c r="C2801" s="260" t="s">
        <v>752</v>
      </c>
      <c r="D2801" s="197">
        <v>0</v>
      </c>
      <c r="E2801" s="197">
        <v>0</v>
      </c>
      <c r="F2801" s="197">
        <v>179.33</v>
      </c>
      <c r="G2801" s="190">
        <v>45859</v>
      </c>
      <c r="H2801" s="196">
        <v>0</v>
      </c>
      <c r="I2801" s="197">
        <v>0</v>
      </c>
      <c r="J2801" s="197">
        <v>0</v>
      </c>
      <c r="K2801" s="197">
        <v>0</v>
      </c>
      <c r="L2801" s="197">
        <v>0</v>
      </c>
      <c r="M2801" s="260" t="s">
        <v>239</v>
      </c>
      <c r="N2801" s="260" t="s">
        <v>514</v>
      </c>
    </row>
    <row r="2802" spans="1:14" ht="14.5" x14ac:dyDescent="0.35">
      <c r="A2802" s="260" t="s">
        <v>566</v>
      </c>
      <c r="B2802" s="190">
        <v>45859</v>
      </c>
      <c r="C2802" s="260" t="s">
        <v>754</v>
      </c>
      <c r="D2802" s="197">
        <v>0</v>
      </c>
      <c r="E2802" s="197">
        <v>0</v>
      </c>
      <c r="F2802" s="197">
        <v>78.33</v>
      </c>
      <c r="G2802" s="190">
        <v>45859</v>
      </c>
      <c r="H2802" s="196">
        <v>0</v>
      </c>
      <c r="I2802" s="197">
        <v>0</v>
      </c>
      <c r="J2802" s="197">
        <v>0</v>
      </c>
      <c r="K2802" s="197">
        <v>0</v>
      </c>
      <c r="L2802" s="197">
        <v>0</v>
      </c>
      <c r="M2802" s="260" t="s">
        <v>239</v>
      </c>
      <c r="N2802" s="260" t="s">
        <v>514</v>
      </c>
    </row>
    <row r="2803" spans="1:14" ht="14.5" x14ac:dyDescent="0.35">
      <c r="A2803" s="260" t="s">
        <v>566</v>
      </c>
      <c r="B2803" s="190">
        <v>45860</v>
      </c>
      <c r="C2803" s="260" t="s">
        <v>749</v>
      </c>
      <c r="D2803" s="197">
        <v>0</v>
      </c>
      <c r="E2803" s="197">
        <v>0</v>
      </c>
      <c r="F2803" s="197">
        <v>53.05</v>
      </c>
      <c r="G2803" s="190">
        <v>45860</v>
      </c>
      <c r="H2803" s="196">
        <v>0</v>
      </c>
      <c r="I2803" s="197">
        <v>0</v>
      </c>
      <c r="J2803" s="197">
        <v>0</v>
      </c>
      <c r="K2803" s="197">
        <v>0</v>
      </c>
      <c r="L2803" s="197">
        <v>0</v>
      </c>
      <c r="M2803" s="260" t="s">
        <v>239</v>
      </c>
      <c r="N2803" s="260" t="s">
        <v>514</v>
      </c>
    </row>
    <row r="2804" spans="1:14" ht="14.5" x14ac:dyDescent="0.35">
      <c r="A2804" s="260" t="s">
        <v>566</v>
      </c>
      <c r="B2804" s="190">
        <v>45860</v>
      </c>
      <c r="C2804" s="260" t="s">
        <v>752</v>
      </c>
      <c r="D2804" s="197">
        <v>0</v>
      </c>
      <c r="E2804" s="197">
        <v>0</v>
      </c>
      <c r="F2804" s="197">
        <v>179.2</v>
      </c>
      <c r="G2804" s="190">
        <v>45860</v>
      </c>
      <c r="H2804" s="196">
        <v>0</v>
      </c>
      <c r="I2804" s="197">
        <v>0</v>
      </c>
      <c r="J2804" s="197">
        <v>0</v>
      </c>
      <c r="K2804" s="197">
        <v>0</v>
      </c>
      <c r="L2804" s="197">
        <v>0</v>
      </c>
      <c r="M2804" s="260" t="s">
        <v>239</v>
      </c>
      <c r="N2804" s="260" t="s">
        <v>514</v>
      </c>
    </row>
    <row r="2805" spans="1:14" ht="14.5" x14ac:dyDescent="0.35">
      <c r="A2805" s="260" t="s">
        <v>566</v>
      </c>
      <c r="B2805" s="190">
        <v>45860</v>
      </c>
      <c r="C2805" s="260" t="s">
        <v>754</v>
      </c>
      <c r="D2805" s="197">
        <v>0</v>
      </c>
      <c r="E2805" s="197">
        <v>0</v>
      </c>
      <c r="F2805" s="197">
        <v>78.2</v>
      </c>
      <c r="G2805" s="190">
        <v>45860</v>
      </c>
      <c r="H2805" s="196">
        <v>0</v>
      </c>
      <c r="I2805" s="197">
        <v>0</v>
      </c>
      <c r="J2805" s="197">
        <v>0</v>
      </c>
      <c r="K2805" s="197">
        <v>0</v>
      </c>
      <c r="L2805" s="197">
        <v>0</v>
      </c>
      <c r="M2805" s="260" t="s">
        <v>239</v>
      </c>
      <c r="N2805" s="260" t="s">
        <v>514</v>
      </c>
    </row>
    <row r="2806" spans="1:14" ht="14.5" x14ac:dyDescent="0.35">
      <c r="A2806" s="260" t="s">
        <v>566</v>
      </c>
      <c r="B2806" s="190">
        <v>45861</v>
      </c>
      <c r="C2806" s="260" t="s">
        <v>749</v>
      </c>
      <c r="D2806" s="197">
        <v>0</v>
      </c>
      <c r="E2806" s="197">
        <v>0</v>
      </c>
      <c r="F2806" s="197">
        <v>52.93</v>
      </c>
      <c r="G2806" s="190">
        <v>45861</v>
      </c>
      <c r="H2806" s="196">
        <v>0</v>
      </c>
      <c r="I2806" s="197">
        <v>0</v>
      </c>
      <c r="J2806" s="197">
        <v>0</v>
      </c>
      <c r="K2806" s="197">
        <v>0</v>
      </c>
      <c r="L2806" s="197">
        <v>0</v>
      </c>
      <c r="M2806" s="260" t="s">
        <v>239</v>
      </c>
      <c r="N2806" s="260" t="s">
        <v>514</v>
      </c>
    </row>
    <row r="2807" spans="1:14" ht="14.5" x14ac:dyDescent="0.35">
      <c r="A2807" s="260" t="s">
        <v>566</v>
      </c>
      <c r="B2807" s="190">
        <v>45861</v>
      </c>
      <c r="C2807" s="260" t="s">
        <v>752</v>
      </c>
      <c r="D2807" s="197">
        <v>0</v>
      </c>
      <c r="E2807" s="197">
        <v>0</v>
      </c>
      <c r="F2807" s="197">
        <v>179.07</v>
      </c>
      <c r="G2807" s="190">
        <v>45861</v>
      </c>
      <c r="H2807" s="196">
        <v>0</v>
      </c>
      <c r="I2807" s="197">
        <v>0</v>
      </c>
      <c r="J2807" s="197">
        <v>0</v>
      </c>
      <c r="K2807" s="197">
        <v>0</v>
      </c>
      <c r="L2807" s="197">
        <v>0</v>
      </c>
      <c r="M2807" s="260" t="s">
        <v>239</v>
      </c>
      <c r="N2807" s="260" t="s">
        <v>514</v>
      </c>
    </row>
    <row r="2808" spans="1:14" ht="14.5" x14ac:dyDescent="0.35">
      <c r="A2808" s="260" t="s">
        <v>566</v>
      </c>
      <c r="B2808" s="190">
        <v>45861</v>
      </c>
      <c r="C2808" s="260" t="s">
        <v>754</v>
      </c>
      <c r="D2808" s="197">
        <v>0</v>
      </c>
      <c r="E2808" s="197">
        <v>0</v>
      </c>
      <c r="F2808" s="197">
        <v>78.069999999999993</v>
      </c>
      <c r="G2808" s="190">
        <v>45861</v>
      </c>
      <c r="H2808" s="196">
        <v>0</v>
      </c>
      <c r="I2808" s="197">
        <v>0</v>
      </c>
      <c r="J2808" s="197">
        <v>0</v>
      </c>
      <c r="K2808" s="197">
        <v>0</v>
      </c>
      <c r="L2808" s="197">
        <v>0</v>
      </c>
      <c r="M2808" s="260" t="s">
        <v>239</v>
      </c>
      <c r="N2808" s="260" t="s">
        <v>514</v>
      </c>
    </row>
    <row r="2809" spans="1:14" ht="14.5" x14ac:dyDescent="0.35">
      <c r="A2809" s="260" t="s">
        <v>566</v>
      </c>
      <c r="B2809" s="190">
        <v>45862</v>
      </c>
      <c r="C2809" s="260" t="s">
        <v>749</v>
      </c>
      <c r="D2809" s="197">
        <v>0</v>
      </c>
      <c r="E2809" s="197">
        <v>0</v>
      </c>
      <c r="F2809" s="197">
        <v>52.82</v>
      </c>
      <c r="G2809" s="190">
        <v>45862</v>
      </c>
      <c r="H2809" s="196">
        <v>0</v>
      </c>
      <c r="I2809" s="197">
        <v>0</v>
      </c>
      <c r="J2809" s="197">
        <v>0</v>
      </c>
      <c r="K2809" s="197">
        <v>0</v>
      </c>
      <c r="L2809" s="197">
        <v>0</v>
      </c>
      <c r="M2809" s="260" t="s">
        <v>239</v>
      </c>
      <c r="N2809" s="260" t="s">
        <v>514</v>
      </c>
    </row>
    <row r="2810" spans="1:14" ht="14.5" x14ac:dyDescent="0.35">
      <c r="A2810" s="260" t="s">
        <v>566</v>
      </c>
      <c r="B2810" s="190">
        <v>45862</v>
      </c>
      <c r="C2810" s="260" t="s">
        <v>752</v>
      </c>
      <c r="D2810" s="197">
        <v>0</v>
      </c>
      <c r="E2810" s="197">
        <v>0</v>
      </c>
      <c r="F2810" s="197">
        <v>178.93</v>
      </c>
      <c r="G2810" s="190">
        <v>45862</v>
      </c>
      <c r="H2810" s="196">
        <v>0</v>
      </c>
      <c r="I2810" s="197">
        <v>0</v>
      </c>
      <c r="J2810" s="197">
        <v>0</v>
      </c>
      <c r="K2810" s="197">
        <v>0</v>
      </c>
      <c r="L2810" s="197">
        <v>0</v>
      </c>
      <c r="M2810" s="260" t="s">
        <v>239</v>
      </c>
      <c r="N2810" s="260" t="s">
        <v>514</v>
      </c>
    </row>
    <row r="2811" spans="1:14" ht="14.5" x14ac:dyDescent="0.35">
      <c r="A2811" s="260" t="s">
        <v>566</v>
      </c>
      <c r="B2811" s="190">
        <v>45862</v>
      </c>
      <c r="C2811" s="260" t="s">
        <v>754</v>
      </c>
      <c r="D2811" s="197">
        <v>0</v>
      </c>
      <c r="E2811" s="197">
        <v>0</v>
      </c>
      <c r="F2811" s="197">
        <v>77.930000000000007</v>
      </c>
      <c r="G2811" s="190">
        <v>45862</v>
      </c>
      <c r="H2811" s="196">
        <v>0</v>
      </c>
      <c r="I2811" s="197">
        <v>0</v>
      </c>
      <c r="J2811" s="197">
        <v>0</v>
      </c>
      <c r="K2811" s="197">
        <v>0</v>
      </c>
      <c r="L2811" s="197">
        <v>0</v>
      </c>
      <c r="M2811" s="260" t="s">
        <v>239</v>
      </c>
      <c r="N2811" s="260" t="s">
        <v>514</v>
      </c>
    </row>
    <row r="2812" spans="1:14" ht="14.5" x14ac:dyDescent="0.35">
      <c r="A2812" s="260" t="s">
        <v>566</v>
      </c>
      <c r="B2812" s="190">
        <v>45863</v>
      </c>
      <c r="C2812" s="260" t="s">
        <v>749</v>
      </c>
      <c r="D2812" s="197">
        <v>0</v>
      </c>
      <c r="E2812" s="197">
        <v>0</v>
      </c>
      <c r="F2812" s="197">
        <v>52.7</v>
      </c>
      <c r="G2812" s="190">
        <v>45863</v>
      </c>
      <c r="H2812" s="196">
        <v>0</v>
      </c>
      <c r="I2812" s="197">
        <v>0</v>
      </c>
      <c r="J2812" s="197">
        <v>0</v>
      </c>
      <c r="K2812" s="197">
        <v>0</v>
      </c>
      <c r="L2812" s="197">
        <v>0</v>
      </c>
      <c r="M2812" s="260" t="s">
        <v>239</v>
      </c>
      <c r="N2812" s="260" t="s">
        <v>514</v>
      </c>
    </row>
    <row r="2813" spans="1:14" ht="14.5" x14ac:dyDescent="0.35">
      <c r="A2813" s="260" t="s">
        <v>566</v>
      </c>
      <c r="B2813" s="190">
        <v>45863</v>
      </c>
      <c r="C2813" s="260" t="s">
        <v>752</v>
      </c>
      <c r="D2813" s="197">
        <v>0</v>
      </c>
      <c r="E2813" s="197">
        <v>0</v>
      </c>
      <c r="F2813" s="197">
        <v>178.8</v>
      </c>
      <c r="G2813" s="190">
        <v>45863</v>
      </c>
      <c r="H2813" s="196">
        <v>0</v>
      </c>
      <c r="I2813" s="197">
        <v>0</v>
      </c>
      <c r="J2813" s="197">
        <v>0</v>
      </c>
      <c r="K2813" s="197">
        <v>0</v>
      </c>
      <c r="L2813" s="197">
        <v>0</v>
      </c>
      <c r="M2813" s="260" t="s">
        <v>239</v>
      </c>
      <c r="N2813" s="260" t="s">
        <v>514</v>
      </c>
    </row>
    <row r="2814" spans="1:14" ht="14.5" x14ac:dyDescent="0.35">
      <c r="A2814" s="260" t="s">
        <v>566</v>
      </c>
      <c r="B2814" s="190">
        <v>45863</v>
      </c>
      <c r="C2814" s="260" t="s">
        <v>754</v>
      </c>
      <c r="D2814" s="197">
        <v>0</v>
      </c>
      <c r="E2814" s="197">
        <v>0</v>
      </c>
      <c r="F2814" s="197">
        <v>77.8</v>
      </c>
      <c r="G2814" s="190">
        <v>45863</v>
      </c>
      <c r="H2814" s="196">
        <v>0</v>
      </c>
      <c r="I2814" s="197">
        <v>0</v>
      </c>
      <c r="J2814" s="197">
        <v>0</v>
      </c>
      <c r="K2814" s="197">
        <v>0</v>
      </c>
      <c r="L2814" s="197">
        <v>0</v>
      </c>
      <c r="M2814" s="260" t="s">
        <v>239</v>
      </c>
      <c r="N2814" s="260" t="s">
        <v>514</v>
      </c>
    </row>
    <row r="2815" spans="1:14" ht="14.5" x14ac:dyDescent="0.35">
      <c r="A2815" s="260" t="s">
        <v>566</v>
      </c>
      <c r="B2815" s="190">
        <v>45864</v>
      </c>
      <c r="C2815" s="260" t="s">
        <v>749</v>
      </c>
      <c r="D2815" s="197">
        <v>0</v>
      </c>
      <c r="E2815" s="197">
        <v>0</v>
      </c>
      <c r="F2815" s="197">
        <v>52.7</v>
      </c>
      <c r="G2815" s="190">
        <v>45863</v>
      </c>
      <c r="H2815" s="196">
        <v>1</v>
      </c>
      <c r="I2815" s="197">
        <v>0</v>
      </c>
      <c r="J2815" s="197">
        <v>0</v>
      </c>
      <c r="K2815" s="197">
        <v>0</v>
      </c>
      <c r="L2815" s="197">
        <v>0</v>
      </c>
      <c r="M2815" s="260" t="s">
        <v>239</v>
      </c>
      <c r="N2815" s="260" t="s">
        <v>514</v>
      </c>
    </row>
    <row r="2816" spans="1:14" ht="14.5" x14ac:dyDescent="0.35">
      <c r="A2816" s="260" t="s">
        <v>566</v>
      </c>
      <c r="B2816" s="190">
        <v>45864</v>
      </c>
      <c r="C2816" s="260" t="s">
        <v>752</v>
      </c>
      <c r="D2816" s="197">
        <v>0</v>
      </c>
      <c r="E2816" s="197">
        <v>0</v>
      </c>
      <c r="F2816" s="197">
        <v>178.8</v>
      </c>
      <c r="G2816" s="190">
        <v>45863</v>
      </c>
      <c r="H2816" s="196">
        <v>1</v>
      </c>
      <c r="I2816" s="197">
        <v>0</v>
      </c>
      <c r="J2816" s="197">
        <v>0</v>
      </c>
      <c r="K2816" s="197">
        <v>0</v>
      </c>
      <c r="L2816" s="197">
        <v>0</v>
      </c>
      <c r="M2816" s="260" t="s">
        <v>239</v>
      </c>
      <c r="N2816" s="260" t="s">
        <v>514</v>
      </c>
    </row>
    <row r="2817" spans="1:14" ht="14.5" x14ac:dyDescent="0.35">
      <c r="A2817" s="260" t="s">
        <v>566</v>
      </c>
      <c r="B2817" s="190">
        <v>45864</v>
      </c>
      <c r="C2817" s="260" t="s">
        <v>754</v>
      </c>
      <c r="D2817" s="197">
        <v>0</v>
      </c>
      <c r="E2817" s="197">
        <v>0</v>
      </c>
      <c r="F2817" s="197">
        <v>77.8</v>
      </c>
      <c r="G2817" s="190">
        <v>45863</v>
      </c>
      <c r="H2817" s="196">
        <v>1</v>
      </c>
      <c r="I2817" s="197">
        <v>0</v>
      </c>
      <c r="J2817" s="197">
        <v>0</v>
      </c>
      <c r="K2817" s="197">
        <v>0</v>
      </c>
      <c r="L2817" s="197">
        <v>0</v>
      </c>
      <c r="M2817" s="260" t="s">
        <v>239</v>
      </c>
      <c r="N2817" s="260" t="s">
        <v>514</v>
      </c>
    </row>
    <row r="2818" spans="1:14" ht="14.5" x14ac:dyDescent="0.35">
      <c r="A2818" s="260" t="s">
        <v>566</v>
      </c>
      <c r="B2818" s="190">
        <v>45865</v>
      </c>
      <c r="C2818" s="260" t="s">
        <v>749</v>
      </c>
      <c r="D2818" s="197">
        <v>0</v>
      </c>
      <c r="E2818" s="197">
        <v>0</v>
      </c>
      <c r="F2818" s="197">
        <v>52.7</v>
      </c>
      <c r="G2818" s="190">
        <v>45863</v>
      </c>
      <c r="H2818" s="196">
        <v>2</v>
      </c>
      <c r="I2818" s="197">
        <v>0</v>
      </c>
      <c r="J2818" s="197">
        <v>0</v>
      </c>
      <c r="K2818" s="197">
        <v>0</v>
      </c>
      <c r="L2818" s="197">
        <v>0</v>
      </c>
      <c r="M2818" s="260" t="s">
        <v>239</v>
      </c>
      <c r="N2818" s="260" t="s">
        <v>514</v>
      </c>
    </row>
    <row r="2819" spans="1:14" ht="14.5" x14ac:dyDescent="0.35">
      <c r="A2819" s="260" t="s">
        <v>566</v>
      </c>
      <c r="B2819" s="190">
        <v>45865</v>
      </c>
      <c r="C2819" s="260" t="s">
        <v>752</v>
      </c>
      <c r="D2819" s="197">
        <v>0</v>
      </c>
      <c r="E2819" s="197">
        <v>0</v>
      </c>
      <c r="F2819" s="197">
        <v>178.8</v>
      </c>
      <c r="G2819" s="190">
        <v>45863</v>
      </c>
      <c r="H2819" s="196">
        <v>2</v>
      </c>
      <c r="I2819" s="197">
        <v>0</v>
      </c>
      <c r="J2819" s="197">
        <v>0</v>
      </c>
      <c r="K2819" s="197">
        <v>0</v>
      </c>
      <c r="L2819" s="197">
        <v>0</v>
      </c>
      <c r="M2819" s="260" t="s">
        <v>239</v>
      </c>
      <c r="N2819" s="260" t="s">
        <v>514</v>
      </c>
    </row>
    <row r="2820" spans="1:14" ht="14.5" x14ac:dyDescent="0.35">
      <c r="A2820" s="260" t="s">
        <v>566</v>
      </c>
      <c r="B2820" s="190">
        <v>45865</v>
      </c>
      <c r="C2820" s="260" t="s">
        <v>754</v>
      </c>
      <c r="D2820" s="197">
        <v>0</v>
      </c>
      <c r="E2820" s="197">
        <v>0</v>
      </c>
      <c r="F2820" s="197">
        <v>77.8</v>
      </c>
      <c r="G2820" s="190">
        <v>45863</v>
      </c>
      <c r="H2820" s="196">
        <v>2</v>
      </c>
      <c r="I2820" s="197">
        <v>0</v>
      </c>
      <c r="J2820" s="197">
        <v>0</v>
      </c>
      <c r="K2820" s="197">
        <v>0</v>
      </c>
      <c r="L2820" s="197">
        <v>0</v>
      </c>
      <c r="M2820" s="260" t="s">
        <v>239</v>
      </c>
      <c r="N2820" s="260" t="s">
        <v>514</v>
      </c>
    </row>
    <row r="2821" spans="1:14" ht="14.5" x14ac:dyDescent="0.35">
      <c r="A2821" s="260" t="s">
        <v>566</v>
      </c>
      <c r="B2821" s="190">
        <v>45866</v>
      </c>
      <c r="C2821" s="260" t="s">
        <v>749</v>
      </c>
      <c r="D2821" s="197">
        <v>0</v>
      </c>
      <c r="E2821" s="197">
        <v>0</v>
      </c>
      <c r="F2821" s="197">
        <v>52.35</v>
      </c>
      <c r="G2821" s="190">
        <v>45866</v>
      </c>
      <c r="H2821" s="196">
        <v>0</v>
      </c>
      <c r="I2821" s="197">
        <v>0</v>
      </c>
      <c r="J2821" s="197">
        <v>0</v>
      </c>
      <c r="K2821" s="197">
        <v>0</v>
      </c>
      <c r="L2821" s="197">
        <v>0</v>
      </c>
      <c r="M2821" s="260" t="s">
        <v>239</v>
      </c>
      <c r="N2821" s="260" t="s">
        <v>514</v>
      </c>
    </row>
    <row r="2822" spans="1:14" ht="14.5" x14ac:dyDescent="0.35">
      <c r="A2822" s="260" t="s">
        <v>566</v>
      </c>
      <c r="B2822" s="190">
        <v>45866</v>
      </c>
      <c r="C2822" s="260" t="s">
        <v>752</v>
      </c>
      <c r="D2822" s="197">
        <v>0</v>
      </c>
      <c r="E2822" s="197">
        <v>0</v>
      </c>
      <c r="F2822" s="197">
        <v>178.4</v>
      </c>
      <c r="G2822" s="190">
        <v>45866</v>
      </c>
      <c r="H2822" s="196">
        <v>0</v>
      </c>
      <c r="I2822" s="197">
        <v>0</v>
      </c>
      <c r="J2822" s="197">
        <v>0</v>
      </c>
      <c r="K2822" s="197">
        <v>0</v>
      </c>
      <c r="L2822" s="197">
        <v>0</v>
      </c>
      <c r="M2822" s="260" t="s">
        <v>239</v>
      </c>
      <c r="N2822" s="260" t="s">
        <v>514</v>
      </c>
    </row>
    <row r="2823" spans="1:14" ht="14.5" x14ac:dyDescent="0.35">
      <c r="A2823" s="260" t="s">
        <v>566</v>
      </c>
      <c r="B2823" s="190">
        <v>45866</v>
      </c>
      <c r="C2823" s="260" t="s">
        <v>754</v>
      </c>
      <c r="D2823" s="197">
        <v>0</v>
      </c>
      <c r="E2823" s="197">
        <v>0</v>
      </c>
      <c r="F2823" s="197">
        <v>77.400000000000006</v>
      </c>
      <c r="G2823" s="190">
        <v>45866</v>
      </c>
      <c r="H2823" s="196">
        <v>0</v>
      </c>
      <c r="I2823" s="197">
        <v>0</v>
      </c>
      <c r="J2823" s="197">
        <v>0</v>
      </c>
      <c r="K2823" s="197">
        <v>0</v>
      </c>
      <c r="L2823" s="197">
        <v>0</v>
      </c>
      <c r="M2823" s="260" t="s">
        <v>239</v>
      </c>
      <c r="N2823" s="260" t="s">
        <v>514</v>
      </c>
    </row>
    <row r="2824" spans="1:14" ht="14.5" x14ac:dyDescent="0.35">
      <c r="A2824" s="260" t="s">
        <v>566</v>
      </c>
      <c r="B2824" s="190">
        <v>45867</v>
      </c>
      <c r="C2824" s="260" t="s">
        <v>749</v>
      </c>
      <c r="D2824" s="197">
        <v>0</v>
      </c>
      <c r="E2824" s="197">
        <v>0</v>
      </c>
      <c r="F2824" s="197">
        <v>52.23</v>
      </c>
      <c r="G2824" s="190">
        <v>45867</v>
      </c>
      <c r="H2824" s="196">
        <v>0</v>
      </c>
      <c r="I2824" s="197">
        <v>0</v>
      </c>
      <c r="J2824" s="197">
        <v>0</v>
      </c>
      <c r="K2824" s="197">
        <v>0</v>
      </c>
      <c r="L2824" s="197">
        <v>0</v>
      </c>
      <c r="M2824" s="260" t="s">
        <v>239</v>
      </c>
      <c r="N2824" s="260" t="s">
        <v>514</v>
      </c>
    </row>
    <row r="2825" spans="1:14" ht="14.5" x14ac:dyDescent="0.35">
      <c r="A2825" s="260" t="s">
        <v>566</v>
      </c>
      <c r="B2825" s="190">
        <v>45867</v>
      </c>
      <c r="C2825" s="260" t="s">
        <v>752</v>
      </c>
      <c r="D2825" s="197">
        <v>0</v>
      </c>
      <c r="E2825" s="197">
        <v>0</v>
      </c>
      <c r="F2825" s="197">
        <v>178.27</v>
      </c>
      <c r="G2825" s="190">
        <v>45867</v>
      </c>
      <c r="H2825" s="196">
        <v>0</v>
      </c>
      <c r="I2825" s="197">
        <v>0</v>
      </c>
      <c r="J2825" s="197">
        <v>0</v>
      </c>
      <c r="K2825" s="197">
        <v>0</v>
      </c>
      <c r="L2825" s="197">
        <v>0</v>
      </c>
      <c r="M2825" s="260" t="s">
        <v>239</v>
      </c>
      <c r="N2825" s="260" t="s">
        <v>514</v>
      </c>
    </row>
    <row r="2826" spans="1:14" ht="14.5" x14ac:dyDescent="0.35">
      <c r="A2826" s="260" t="s">
        <v>566</v>
      </c>
      <c r="B2826" s="190">
        <v>45867</v>
      </c>
      <c r="C2826" s="260" t="s">
        <v>754</v>
      </c>
      <c r="D2826" s="197">
        <v>0</v>
      </c>
      <c r="E2826" s="197">
        <v>0</v>
      </c>
      <c r="F2826" s="197">
        <v>77.27</v>
      </c>
      <c r="G2826" s="190">
        <v>45867</v>
      </c>
      <c r="H2826" s="196">
        <v>0</v>
      </c>
      <c r="I2826" s="197">
        <v>0</v>
      </c>
      <c r="J2826" s="197">
        <v>0</v>
      </c>
      <c r="K2826" s="197">
        <v>0</v>
      </c>
      <c r="L2826" s="197">
        <v>0</v>
      </c>
      <c r="M2826" s="260" t="s">
        <v>239</v>
      </c>
      <c r="N2826" s="260" t="s">
        <v>514</v>
      </c>
    </row>
    <row r="2827" spans="1:14" ht="14.5" x14ac:dyDescent="0.35">
      <c r="A2827" s="260" t="s">
        <v>566</v>
      </c>
      <c r="B2827" s="190">
        <v>45868</v>
      </c>
      <c r="C2827" s="260" t="s">
        <v>749</v>
      </c>
      <c r="D2827" s="197">
        <v>0</v>
      </c>
      <c r="E2827" s="197">
        <v>0</v>
      </c>
      <c r="F2827" s="197">
        <v>52.12</v>
      </c>
      <c r="G2827" s="190">
        <v>45868</v>
      </c>
      <c r="H2827" s="196">
        <v>0</v>
      </c>
      <c r="I2827" s="197">
        <v>0</v>
      </c>
      <c r="J2827" s="197">
        <v>0</v>
      </c>
      <c r="K2827" s="197">
        <v>0</v>
      </c>
      <c r="L2827" s="197">
        <v>0</v>
      </c>
      <c r="M2827" s="260" t="s">
        <v>239</v>
      </c>
      <c r="N2827" s="260" t="s">
        <v>514</v>
      </c>
    </row>
    <row r="2828" spans="1:14" ht="14.5" x14ac:dyDescent="0.35">
      <c r="A2828" s="260" t="s">
        <v>566</v>
      </c>
      <c r="B2828" s="190">
        <v>45868</v>
      </c>
      <c r="C2828" s="260" t="s">
        <v>752</v>
      </c>
      <c r="D2828" s="197">
        <v>0</v>
      </c>
      <c r="E2828" s="197">
        <v>0</v>
      </c>
      <c r="F2828" s="197">
        <v>178.13</v>
      </c>
      <c r="G2828" s="190">
        <v>45868</v>
      </c>
      <c r="H2828" s="196">
        <v>0</v>
      </c>
      <c r="I2828" s="197">
        <v>0</v>
      </c>
      <c r="J2828" s="197">
        <v>0</v>
      </c>
      <c r="K2828" s="197">
        <v>0</v>
      </c>
      <c r="L2828" s="197">
        <v>0</v>
      </c>
      <c r="M2828" s="260" t="s">
        <v>239</v>
      </c>
      <c r="N2828" s="260" t="s">
        <v>514</v>
      </c>
    </row>
    <row r="2829" spans="1:14" ht="14.5" x14ac:dyDescent="0.35">
      <c r="A2829" s="260" t="s">
        <v>566</v>
      </c>
      <c r="B2829" s="190">
        <v>45868</v>
      </c>
      <c r="C2829" s="260" t="s">
        <v>754</v>
      </c>
      <c r="D2829" s="197">
        <v>0</v>
      </c>
      <c r="E2829" s="197">
        <v>0</v>
      </c>
      <c r="F2829" s="197">
        <v>77.13</v>
      </c>
      <c r="G2829" s="190">
        <v>45868</v>
      </c>
      <c r="H2829" s="196">
        <v>0</v>
      </c>
      <c r="I2829" s="197">
        <v>0</v>
      </c>
      <c r="J2829" s="197">
        <v>0</v>
      </c>
      <c r="K2829" s="197">
        <v>0</v>
      </c>
      <c r="L2829" s="197">
        <v>0</v>
      </c>
      <c r="M2829" s="260" t="s">
        <v>239</v>
      </c>
      <c r="N2829" s="260" t="s">
        <v>514</v>
      </c>
    </row>
    <row r="2830" spans="1:14" ht="14.5" x14ac:dyDescent="0.35">
      <c r="A2830" s="260" t="s">
        <v>566</v>
      </c>
      <c r="B2830" s="190">
        <v>45869</v>
      </c>
      <c r="C2830" s="260" t="s">
        <v>749</v>
      </c>
      <c r="D2830" s="197">
        <v>0</v>
      </c>
      <c r="E2830" s="197">
        <v>0</v>
      </c>
      <c r="F2830" s="197">
        <v>52</v>
      </c>
      <c r="G2830" s="190">
        <v>45869</v>
      </c>
      <c r="H2830" s="196">
        <v>0</v>
      </c>
      <c r="I2830" s="197">
        <v>0</v>
      </c>
      <c r="J2830" s="197">
        <v>0</v>
      </c>
      <c r="K2830" s="197">
        <v>0</v>
      </c>
      <c r="L2830" s="197">
        <v>0</v>
      </c>
      <c r="M2830" s="260" t="s">
        <v>239</v>
      </c>
      <c r="N2830" s="260" t="s">
        <v>514</v>
      </c>
    </row>
    <row r="2831" spans="1:14" ht="14.5" x14ac:dyDescent="0.35">
      <c r="A2831" s="260" t="s">
        <v>566</v>
      </c>
      <c r="B2831" s="190">
        <v>45869</v>
      </c>
      <c r="C2831" s="260" t="s">
        <v>752</v>
      </c>
      <c r="D2831" s="197">
        <v>0</v>
      </c>
      <c r="E2831" s="197">
        <v>0</v>
      </c>
      <c r="F2831" s="197">
        <v>178</v>
      </c>
      <c r="G2831" s="190">
        <v>45869</v>
      </c>
      <c r="H2831" s="196">
        <v>0</v>
      </c>
      <c r="I2831" s="197">
        <v>0</v>
      </c>
      <c r="J2831" s="197">
        <v>0</v>
      </c>
      <c r="K2831" s="197">
        <v>0</v>
      </c>
      <c r="L2831" s="197">
        <v>0</v>
      </c>
      <c r="M2831" s="260" t="s">
        <v>239</v>
      </c>
      <c r="N2831" s="260" t="s">
        <v>514</v>
      </c>
    </row>
    <row r="2832" spans="1:14" ht="14.5" x14ac:dyDescent="0.35">
      <c r="A2832" s="260" t="s">
        <v>566</v>
      </c>
      <c r="B2832" s="190">
        <v>45869</v>
      </c>
      <c r="C2832" s="260" t="s">
        <v>754</v>
      </c>
      <c r="D2832" s="197">
        <v>0</v>
      </c>
      <c r="E2832" s="197">
        <v>0</v>
      </c>
      <c r="F2832" s="197">
        <v>77</v>
      </c>
      <c r="G2832" s="190">
        <v>45869</v>
      </c>
      <c r="H2832" s="196">
        <v>0</v>
      </c>
      <c r="I2832" s="197">
        <v>0</v>
      </c>
      <c r="J2832" s="197">
        <v>0</v>
      </c>
      <c r="K2832" s="197">
        <v>0</v>
      </c>
      <c r="L2832" s="197">
        <v>0</v>
      </c>
      <c r="M2832" s="260" t="s">
        <v>239</v>
      </c>
      <c r="N2832" s="260" t="s">
        <v>514</v>
      </c>
    </row>
    <row r="2833" spans="1:14" ht="14.5" x14ac:dyDescent="0.35">
      <c r="A2833" s="260" t="s">
        <v>566</v>
      </c>
      <c r="B2833" s="190">
        <v>45870</v>
      </c>
      <c r="C2833" s="260" t="s">
        <v>749</v>
      </c>
      <c r="D2833" s="197">
        <v>0</v>
      </c>
      <c r="E2833" s="197">
        <v>0</v>
      </c>
      <c r="F2833" s="197">
        <v>52</v>
      </c>
      <c r="G2833" s="190">
        <v>45870</v>
      </c>
      <c r="H2833" s="196">
        <v>0</v>
      </c>
      <c r="I2833" s="197">
        <v>0</v>
      </c>
      <c r="J2833" s="197">
        <v>0</v>
      </c>
      <c r="K2833" s="197">
        <v>0</v>
      </c>
      <c r="L2833" s="197">
        <v>0</v>
      </c>
      <c r="M2833" s="260" t="s">
        <v>239</v>
      </c>
      <c r="N2833" s="260" t="s">
        <v>514</v>
      </c>
    </row>
    <row r="2834" spans="1:14" ht="14.5" x14ac:dyDescent="0.35">
      <c r="A2834" s="260" t="s">
        <v>566</v>
      </c>
      <c r="B2834" s="190">
        <v>45870</v>
      </c>
      <c r="C2834" s="260" t="s">
        <v>752</v>
      </c>
      <c r="D2834" s="197">
        <v>0</v>
      </c>
      <c r="E2834" s="197">
        <v>0</v>
      </c>
      <c r="F2834" s="197">
        <v>178</v>
      </c>
      <c r="G2834" s="190">
        <v>45870</v>
      </c>
      <c r="H2834" s="196">
        <v>0</v>
      </c>
      <c r="I2834" s="197">
        <v>0</v>
      </c>
      <c r="J2834" s="197">
        <v>0</v>
      </c>
      <c r="K2834" s="197">
        <v>0</v>
      </c>
      <c r="L2834" s="197">
        <v>0</v>
      </c>
      <c r="M2834" s="260" t="s">
        <v>239</v>
      </c>
      <c r="N2834" s="260" t="s">
        <v>514</v>
      </c>
    </row>
    <row r="2835" spans="1:14" ht="14.5" x14ac:dyDescent="0.35">
      <c r="A2835" s="260" t="s">
        <v>566</v>
      </c>
      <c r="B2835" s="190">
        <v>45870</v>
      </c>
      <c r="C2835" s="260" t="s">
        <v>754</v>
      </c>
      <c r="D2835" s="197">
        <v>0</v>
      </c>
      <c r="E2835" s="197">
        <v>0</v>
      </c>
      <c r="F2835" s="197">
        <v>77</v>
      </c>
      <c r="G2835" s="190">
        <v>45870</v>
      </c>
      <c r="H2835" s="196">
        <v>0</v>
      </c>
      <c r="I2835" s="197">
        <v>0</v>
      </c>
      <c r="J2835" s="197">
        <v>0</v>
      </c>
      <c r="K2835" s="197">
        <v>0</v>
      </c>
      <c r="L2835" s="197">
        <v>0</v>
      </c>
      <c r="M2835" s="260" t="s">
        <v>239</v>
      </c>
      <c r="N2835" s="260" t="s">
        <v>514</v>
      </c>
    </row>
    <row r="2836" spans="1:14" ht="14.5" x14ac:dyDescent="0.35">
      <c r="A2836" s="260" t="s">
        <v>566</v>
      </c>
      <c r="B2836" s="190">
        <v>45871</v>
      </c>
      <c r="C2836" s="260" t="s">
        <v>749</v>
      </c>
      <c r="D2836" s="197">
        <v>0</v>
      </c>
      <c r="E2836" s="197">
        <v>0</v>
      </c>
      <c r="F2836" s="197">
        <v>52</v>
      </c>
      <c r="G2836" s="190">
        <v>45870</v>
      </c>
      <c r="H2836" s="196">
        <v>1</v>
      </c>
      <c r="I2836" s="197">
        <v>0</v>
      </c>
      <c r="J2836" s="197">
        <v>0</v>
      </c>
      <c r="K2836" s="197">
        <v>0</v>
      </c>
      <c r="L2836" s="197">
        <v>0</v>
      </c>
      <c r="M2836" s="260" t="s">
        <v>239</v>
      </c>
      <c r="N2836" s="260" t="s">
        <v>514</v>
      </c>
    </row>
    <row r="2837" spans="1:14" ht="14.5" x14ac:dyDescent="0.35">
      <c r="A2837" s="260" t="s">
        <v>566</v>
      </c>
      <c r="B2837" s="190">
        <v>45871</v>
      </c>
      <c r="C2837" s="260" t="s">
        <v>752</v>
      </c>
      <c r="D2837" s="197">
        <v>0</v>
      </c>
      <c r="E2837" s="197">
        <v>0</v>
      </c>
      <c r="F2837" s="197">
        <v>178</v>
      </c>
      <c r="G2837" s="190">
        <v>45870</v>
      </c>
      <c r="H2837" s="196">
        <v>1</v>
      </c>
      <c r="I2837" s="197">
        <v>0</v>
      </c>
      <c r="J2837" s="197">
        <v>0</v>
      </c>
      <c r="K2837" s="197">
        <v>0</v>
      </c>
      <c r="L2837" s="197">
        <v>0</v>
      </c>
      <c r="M2837" s="260" t="s">
        <v>239</v>
      </c>
      <c r="N2837" s="260" t="s">
        <v>514</v>
      </c>
    </row>
    <row r="2838" spans="1:14" ht="14.5" x14ac:dyDescent="0.35">
      <c r="A2838" s="260" t="s">
        <v>566</v>
      </c>
      <c r="B2838" s="190">
        <v>45871</v>
      </c>
      <c r="C2838" s="260" t="s">
        <v>754</v>
      </c>
      <c r="D2838" s="197">
        <v>0</v>
      </c>
      <c r="E2838" s="197">
        <v>0</v>
      </c>
      <c r="F2838" s="197">
        <v>77</v>
      </c>
      <c r="G2838" s="190">
        <v>45870</v>
      </c>
      <c r="H2838" s="196">
        <v>1</v>
      </c>
      <c r="I2838" s="197">
        <v>0</v>
      </c>
      <c r="J2838" s="197">
        <v>0</v>
      </c>
      <c r="K2838" s="197">
        <v>0</v>
      </c>
      <c r="L2838" s="197">
        <v>0</v>
      </c>
      <c r="M2838" s="260" t="s">
        <v>239</v>
      </c>
      <c r="N2838" s="260" t="s">
        <v>514</v>
      </c>
    </row>
    <row r="2839" spans="1:14" ht="14.5" x14ac:dyDescent="0.35">
      <c r="A2839" s="260" t="s">
        <v>566</v>
      </c>
      <c r="B2839" s="190">
        <v>45872</v>
      </c>
      <c r="C2839" s="260" t="s">
        <v>749</v>
      </c>
      <c r="D2839" s="197">
        <v>0</v>
      </c>
      <c r="E2839" s="197">
        <v>0</v>
      </c>
      <c r="F2839" s="197">
        <v>52</v>
      </c>
      <c r="G2839" s="190">
        <v>45870</v>
      </c>
      <c r="H2839" s="196">
        <v>2</v>
      </c>
      <c r="I2839" s="197">
        <v>0</v>
      </c>
      <c r="J2839" s="197">
        <v>0</v>
      </c>
      <c r="K2839" s="197">
        <v>0</v>
      </c>
      <c r="L2839" s="197">
        <v>0</v>
      </c>
      <c r="M2839" s="260" t="s">
        <v>239</v>
      </c>
      <c r="N2839" s="260" t="s">
        <v>514</v>
      </c>
    </row>
    <row r="2840" spans="1:14" ht="14.5" x14ac:dyDescent="0.35">
      <c r="A2840" s="260" t="s">
        <v>566</v>
      </c>
      <c r="B2840" s="190">
        <v>45872</v>
      </c>
      <c r="C2840" s="260" t="s">
        <v>752</v>
      </c>
      <c r="D2840" s="197">
        <v>0</v>
      </c>
      <c r="E2840" s="197">
        <v>0</v>
      </c>
      <c r="F2840" s="197">
        <v>178</v>
      </c>
      <c r="G2840" s="190">
        <v>45870</v>
      </c>
      <c r="H2840" s="196">
        <v>2</v>
      </c>
      <c r="I2840" s="197">
        <v>0</v>
      </c>
      <c r="J2840" s="197">
        <v>0</v>
      </c>
      <c r="K2840" s="197">
        <v>0</v>
      </c>
      <c r="L2840" s="197">
        <v>0</v>
      </c>
      <c r="M2840" s="260" t="s">
        <v>239</v>
      </c>
      <c r="N2840" s="260" t="s">
        <v>514</v>
      </c>
    </row>
    <row r="2841" spans="1:14" ht="14.5" x14ac:dyDescent="0.35">
      <c r="A2841" s="260" t="s">
        <v>566</v>
      </c>
      <c r="B2841" s="190">
        <v>45872</v>
      </c>
      <c r="C2841" s="260" t="s">
        <v>754</v>
      </c>
      <c r="D2841" s="197">
        <v>0</v>
      </c>
      <c r="E2841" s="197">
        <v>0</v>
      </c>
      <c r="F2841" s="197">
        <v>77</v>
      </c>
      <c r="G2841" s="190">
        <v>45870</v>
      </c>
      <c r="H2841" s="196">
        <v>2</v>
      </c>
      <c r="I2841" s="197">
        <v>0</v>
      </c>
      <c r="J2841" s="197">
        <v>0</v>
      </c>
      <c r="K2841" s="197">
        <v>0</v>
      </c>
      <c r="L2841" s="197">
        <v>0</v>
      </c>
      <c r="M2841" s="260" t="s">
        <v>239</v>
      </c>
      <c r="N2841" s="260" t="s">
        <v>514</v>
      </c>
    </row>
    <row r="2842" spans="1:14" ht="14.5" x14ac:dyDescent="0.35">
      <c r="A2842" s="260" t="s">
        <v>566</v>
      </c>
      <c r="B2842" s="190">
        <v>45873</v>
      </c>
      <c r="C2842" s="260" t="s">
        <v>749</v>
      </c>
      <c r="D2842" s="197">
        <v>0</v>
      </c>
      <c r="E2842" s="197">
        <v>0</v>
      </c>
      <c r="F2842" s="197">
        <v>51.7</v>
      </c>
      <c r="G2842" s="190">
        <v>45873</v>
      </c>
      <c r="H2842" s="196">
        <v>0</v>
      </c>
      <c r="I2842" s="197">
        <v>0</v>
      </c>
      <c r="J2842" s="197">
        <v>0</v>
      </c>
      <c r="K2842" s="197">
        <v>0</v>
      </c>
      <c r="L2842" s="197">
        <v>0</v>
      </c>
      <c r="M2842" s="260" t="s">
        <v>239</v>
      </c>
      <c r="N2842" s="260" t="s">
        <v>514</v>
      </c>
    </row>
    <row r="2843" spans="1:14" ht="14.5" x14ac:dyDescent="0.35">
      <c r="A2843" s="260" t="s">
        <v>566</v>
      </c>
      <c r="B2843" s="190">
        <v>45873</v>
      </c>
      <c r="C2843" s="260" t="s">
        <v>752</v>
      </c>
      <c r="D2843" s="197">
        <v>0</v>
      </c>
      <c r="E2843" s="197">
        <v>0</v>
      </c>
      <c r="F2843" s="197">
        <v>179.1</v>
      </c>
      <c r="G2843" s="190">
        <v>45873</v>
      </c>
      <c r="H2843" s="196">
        <v>0</v>
      </c>
      <c r="I2843" s="197">
        <v>0</v>
      </c>
      <c r="J2843" s="197">
        <v>0</v>
      </c>
      <c r="K2843" s="197">
        <v>0</v>
      </c>
      <c r="L2843" s="197">
        <v>0</v>
      </c>
      <c r="M2843" s="260" t="s">
        <v>239</v>
      </c>
      <c r="N2843" s="260" t="s">
        <v>514</v>
      </c>
    </row>
    <row r="2844" spans="1:14" ht="14.5" x14ac:dyDescent="0.35">
      <c r="A2844" s="260" t="s">
        <v>566</v>
      </c>
      <c r="B2844" s="190">
        <v>45873</v>
      </c>
      <c r="C2844" s="260" t="s">
        <v>754</v>
      </c>
      <c r="D2844" s="197">
        <v>0</v>
      </c>
      <c r="E2844" s="197">
        <v>0</v>
      </c>
      <c r="F2844" s="197">
        <v>77.900000000000006</v>
      </c>
      <c r="G2844" s="190">
        <v>45873</v>
      </c>
      <c r="H2844" s="196">
        <v>0</v>
      </c>
      <c r="I2844" s="197">
        <v>0</v>
      </c>
      <c r="J2844" s="197">
        <v>0</v>
      </c>
      <c r="K2844" s="197">
        <v>0</v>
      </c>
      <c r="L2844" s="197">
        <v>0</v>
      </c>
      <c r="M2844" s="260" t="s">
        <v>239</v>
      </c>
      <c r="N2844" s="260" t="s">
        <v>514</v>
      </c>
    </row>
    <row r="2845" spans="1:14" ht="14.5" x14ac:dyDescent="0.35">
      <c r="A2845" s="260" t="s">
        <v>566</v>
      </c>
      <c r="B2845" s="190">
        <v>45874</v>
      </c>
      <c r="C2845" s="260" t="s">
        <v>749</v>
      </c>
      <c r="D2845" s="197">
        <v>0</v>
      </c>
      <c r="E2845" s="197">
        <v>0</v>
      </c>
      <c r="F2845" s="197">
        <v>51.6</v>
      </c>
      <c r="G2845" s="190">
        <v>45874</v>
      </c>
      <c r="H2845" s="196">
        <v>0</v>
      </c>
      <c r="I2845" s="197">
        <v>0</v>
      </c>
      <c r="J2845" s="197">
        <v>0</v>
      </c>
      <c r="K2845" s="197">
        <v>0</v>
      </c>
      <c r="L2845" s="197">
        <v>0</v>
      </c>
      <c r="M2845" s="260" t="s">
        <v>239</v>
      </c>
      <c r="N2845" s="260" t="s">
        <v>514</v>
      </c>
    </row>
    <row r="2846" spans="1:14" ht="14.5" x14ac:dyDescent="0.35">
      <c r="A2846" s="260" t="s">
        <v>566</v>
      </c>
      <c r="B2846" s="190">
        <v>45874</v>
      </c>
      <c r="C2846" s="260" t="s">
        <v>752</v>
      </c>
      <c r="D2846" s="197">
        <v>0</v>
      </c>
      <c r="E2846" s="197">
        <v>0</v>
      </c>
      <c r="F2846" s="197">
        <v>179.47</v>
      </c>
      <c r="G2846" s="190">
        <v>45874</v>
      </c>
      <c r="H2846" s="196">
        <v>0</v>
      </c>
      <c r="I2846" s="197">
        <v>0</v>
      </c>
      <c r="J2846" s="197">
        <v>0</v>
      </c>
      <c r="K2846" s="197">
        <v>0</v>
      </c>
      <c r="L2846" s="197">
        <v>0</v>
      </c>
      <c r="M2846" s="260" t="s">
        <v>239</v>
      </c>
      <c r="N2846" s="260" t="s">
        <v>514</v>
      </c>
    </row>
    <row r="2847" spans="1:14" ht="14.5" x14ac:dyDescent="0.35">
      <c r="A2847" s="260" t="s">
        <v>566</v>
      </c>
      <c r="B2847" s="190">
        <v>45874</v>
      </c>
      <c r="C2847" s="260" t="s">
        <v>754</v>
      </c>
      <c r="D2847" s="197">
        <v>0</v>
      </c>
      <c r="E2847" s="197">
        <v>0</v>
      </c>
      <c r="F2847" s="197">
        <v>78.2</v>
      </c>
      <c r="G2847" s="190">
        <v>45874</v>
      </c>
      <c r="H2847" s="196">
        <v>0</v>
      </c>
      <c r="I2847" s="197">
        <v>0</v>
      </c>
      <c r="J2847" s="197">
        <v>0</v>
      </c>
      <c r="K2847" s="197">
        <v>0</v>
      </c>
      <c r="L2847" s="197">
        <v>0</v>
      </c>
      <c r="M2847" s="260" t="s">
        <v>239</v>
      </c>
      <c r="N2847" s="260" t="s">
        <v>514</v>
      </c>
    </row>
    <row r="2848" spans="1:14" ht="14.5" x14ac:dyDescent="0.35">
      <c r="A2848" s="260" t="s">
        <v>566</v>
      </c>
      <c r="B2848" s="190">
        <v>45875</v>
      </c>
      <c r="C2848" s="260" t="s">
        <v>749</v>
      </c>
      <c r="D2848" s="197">
        <v>0</v>
      </c>
      <c r="E2848" s="197">
        <v>0</v>
      </c>
      <c r="F2848" s="197">
        <v>51.5</v>
      </c>
      <c r="G2848" s="190">
        <v>45875</v>
      </c>
      <c r="H2848" s="196">
        <v>0</v>
      </c>
      <c r="I2848" s="197">
        <v>0</v>
      </c>
      <c r="J2848" s="197">
        <v>0</v>
      </c>
      <c r="K2848" s="197">
        <v>0</v>
      </c>
      <c r="L2848" s="197">
        <v>0</v>
      </c>
      <c r="M2848" s="260" t="s">
        <v>239</v>
      </c>
      <c r="N2848" s="260" t="s">
        <v>514</v>
      </c>
    </row>
    <row r="2849" spans="1:14" ht="14.5" x14ac:dyDescent="0.35">
      <c r="A2849" s="260" t="s">
        <v>566</v>
      </c>
      <c r="B2849" s="190">
        <v>45875</v>
      </c>
      <c r="C2849" s="260" t="s">
        <v>752</v>
      </c>
      <c r="D2849" s="197">
        <v>0</v>
      </c>
      <c r="E2849" s="197">
        <v>0</v>
      </c>
      <c r="F2849" s="197">
        <v>179.83</v>
      </c>
      <c r="G2849" s="190">
        <v>45875</v>
      </c>
      <c r="H2849" s="196">
        <v>0</v>
      </c>
      <c r="I2849" s="197">
        <v>0</v>
      </c>
      <c r="J2849" s="197">
        <v>0</v>
      </c>
      <c r="K2849" s="197">
        <v>0</v>
      </c>
      <c r="L2849" s="197">
        <v>0</v>
      </c>
      <c r="M2849" s="260" t="s">
        <v>239</v>
      </c>
      <c r="N2849" s="260" t="s">
        <v>514</v>
      </c>
    </row>
    <row r="2850" spans="1:14" ht="14.5" x14ac:dyDescent="0.35">
      <c r="A2850" s="260" t="s">
        <v>566</v>
      </c>
      <c r="B2850" s="190">
        <v>45875</v>
      </c>
      <c r="C2850" s="260" t="s">
        <v>754</v>
      </c>
      <c r="D2850" s="197">
        <v>0</v>
      </c>
      <c r="E2850" s="197">
        <v>0</v>
      </c>
      <c r="F2850" s="197">
        <v>78.5</v>
      </c>
      <c r="G2850" s="190">
        <v>45875</v>
      </c>
      <c r="H2850" s="196">
        <v>0</v>
      </c>
      <c r="I2850" s="197">
        <v>0</v>
      </c>
      <c r="J2850" s="197">
        <v>0</v>
      </c>
      <c r="K2850" s="197">
        <v>0</v>
      </c>
      <c r="L2850" s="197">
        <v>0</v>
      </c>
      <c r="M2850" s="260" t="s">
        <v>239</v>
      </c>
      <c r="N2850" s="260" t="s">
        <v>514</v>
      </c>
    </row>
    <row r="2851" spans="1:14" ht="14.5" x14ac:dyDescent="0.35">
      <c r="A2851" s="260" t="s">
        <v>566</v>
      </c>
      <c r="B2851" s="190">
        <v>45876</v>
      </c>
      <c r="C2851" s="260" t="s">
        <v>749</v>
      </c>
      <c r="D2851" s="197">
        <v>0</v>
      </c>
      <c r="E2851" s="197">
        <v>0</v>
      </c>
      <c r="F2851" s="197">
        <v>51.4</v>
      </c>
      <c r="G2851" s="190">
        <v>45876</v>
      </c>
      <c r="H2851" s="196">
        <v>0</v>
      </c>
      <c r="I2851" s="197">
        <v>0</v>
      </c>
      <c r="J2851" s="197">
        <v>0</v>
      </c>
      <c r="K2851" s="197">
        <v>0</v>
      </c>
      <c r="L2851" s="197">
        <v>0</v>
      </c>
      <c r="M2851" s="260" t="s">
        <v>239</v>
      </c>
      <c r="N2851" s="260" t="s">
        <v>514</v>
      </c>
    </row>
    <row r="2852" spans="1:14" ht="14.5" x14ac:dyDescent="0.35">
      <c r="A2852" s="260" t="s">
        <v>566</v>
      </c>
      <c r="B2852" s="190">
        <v>45876</v>
      </c>
      <c r="C2852" s="260" t="s">
        <v>752</v>
      </c>
      <c r="D2852" s="197">
        <v>0</v>
      </c>
      <c r="E2852" s="197">
        <v>0</v>
      </c>
      <c r="F2852" s="197">
        <v>180.2</v>
      </c>
      <c r="G2852" s="190">
        <v>45876</v>
      </c>
      <c r="H2852" s="196">
        <v>0</v>
      </c>
      <c r="I2852" s="197">
        <v>0</v>
      </c>
      <c r="J2852" s="197">
        <v>0</v>
      </c>
      <c r="K2852" s="197">
        <v>0</v>
      </c>
      <c r="L2852" s="197">
        <v>0</v>
      </c>
      <c r="M2852" s="260" t="s">
        <v>239</v>
      </c>
      <c r="N2852" s="260" t="s">
        <v>514</v>
      </c>
    </row>
    <row r="2853" spans="1:14" ht="14.5" x14ac:dyDescent="0.35">
      <c r="A2853" s="260" t="s">
        <v>566</v>
      </c>
      <c r="B2853" s="190">
        <v>45876</v>
      </c>
      <c r="C2853" s="260" t="s">
        <v>754</v>
      </c>
      <c r="D2853" s="197">
        <v>0</v>
      </c>
      <c r="E2853" s="197">
        <v>0</v>
      </c>
      <c r="F2853" s="197">
        <v>78.8</v>
      </c>
      <c r="G2853" s="190">
        <v>45876</v>
      </c>
      <c r="H2853" s="196">
        <v>0</v>
      </c>
      <c r="I2853" s="197">
        <v>0</v>
      </c>
      <c r="J2853" s="197">
        <v>0</v>
      </c>
      <c r="K2853" s="197">
        <v>0</v>
      </c>
      <c r="L2853" s="197">
        <v>0</v>
      </c>
      <c r="M2853" s="260" t="s">
        <v>239</v>
      </c>
      <c r="N2853" s="260" t="s">
        <v>514</v>
      </c>
    </row>
    <row r="2854" spans="1:14" ht="14.5" x14ac:dyDescent="0.35">
      <c r="A2854" s="260" t="s">
        <v>566</v>
      </c>
      <c r="B2854" s="190">
        <v>45877</v>
      </c>
      <c r="C2854" s="260" t="s">
        <v>749</v>
      </c>
      <c r="D2854" s="197">
        <v>0</v>
      </c>
      <c r="E2854" s="197">
        <v>0</v>
      </c>
      <c r="F2854" s="197">
        <v>51.3</v>
      </c>
      <c r="G2854" s="190">
        <v>45877</v>
      </c>
      <c r="H2854" s="196">
        <v>0</v>
      </c>
      <c r="I2854" s="197">
        <v>0</v>
      </c>
      <c r="J2854" s="197">
        <v>0</v>
      </c>
      <c r="K2854" s="197">
        <v>0</v>
      </c>
      <c r="L2854" s="197">
        <v>0</v>
      </c>
      <c r="M2854" s="260" t="s">
        <v>239</v>
      </c>
      <c r="N2854" s="260" t="s">
        <v>514</v>
      </c>
    </row>
    <row r="2855" spans="1:14" ht="14.5" x14ac:dyDescent="0.35">
      <c r="A2855" s="260" t="s">
        <v>566</v>
      </c>
      <c r="B2855" s="190">
        <v>45877</v>
      </c>
      <c r="C2855" s="260" t="s">
        <v>752</v>
      </c>
      <c r="D2855" s="197">
        <v>0</v>
      </c>
      <c r="E2855" s="197">
        <v>0</v>
      </c>
      <c r="F2855" s="197">
        <v>180.57</v>
      </c>
      <c r="G2855" s="190">
        <v>45877</v>
      </c>
      <c r="H2855" s="196">
        <v>0</v>
      </c>
      <c r="I2855" s="197">
        <v>0</v>
      </c>
      <c r="J2855" s="197">
        <v>0</v>
      </c>
      <c r="K2855" s="197">
        <v>0</v>
      </c>
      <c r="L2855" s="197">
        <v>0</v>
      </c>
      <c r="M2855" s="260" t="s">
        <v>239</v>
      </c>
      <c r="N2855" s="260" t="s">
        <v>514</v>
      </c>
    </row>
    <row r="2856" spans="1:14" ht="14.5" x14ac:dyDescent="0.35">
      <c r="A2856" s="260" t="s">
        <v>566</v>
      </c>
      <c r="B2856" s="190">
        <v>45877</v>
      </c>
      <c r="C2856" s="260" t="s">
        <v>754</v>
      </c>
      <c r="D2856" s="197">
        <v>0</v>
      </c>
      <c r="E2856" s="197">
        <v>0</v>
      </c>
      <c r="F2856" s="197">
        <v>79.099999999999994</v>
      </c>
      <c r="G2856" s="190">
        <v>45877</v>
      </c>
      <c r="H2856" s="196">
        <v>0</v>
      </c>
      <c r="I2856" s="197">
        <v>0</v>
      </c>
      <c r="J2856" s="197">
        <v>0</v>
      </c>
      <c r="K2856" s="197">
        <v>0</v>
      </c>
      <c r="L2856" s="197">
        <v>0</v>
      </c>
      <c r="M2856" s="260" t="s">
        <v>239</v>
      </c>
      <c r="N2856" s="260" t="s">
        <v>514</v>
      </c>
    </row>
    <row r="2857" spans="1:14" ht="14.5" x14ac:dyDescent="0.35">
      <c r="A2857" s="260" t="s">
        <v>566</v>
      </c>
      <c r="B2857" s="190">
        <v>45878</v>
      </c>
      <c r="C2857" s="260" t="s">
        <v>749</v>
      </c>
      <c r="D2857" s="197">
        <v>0</v>
      </c>
      <c r="E2857" s="197">
        <v>0</v>
      </c>
      <c r="F2857" s="197">
        <v>51.3</v>
      </c>
      <c r="G2857" s="190">
        <v>45877</v>
      </c>
      <c r="H2857" s="196">
        <v>1</v>
      </c>
      <c r="I2857" s="197">
        <v>0</v>
      </c>
      <c r="J2857" s="197">
        <v>0</v>
      </c>
      <c r="K2857" s="197">
        <v>0</v>
      </c>
      <c r="L2857" s="197">
        <v>0</v>
      </c>
      <c r="M2857" s="260" t="s">
        <v>239</v>
      </c>
      <c r="N2857" s="260" t="s">
        <v>514</v>
      </c>
    </row>
    <row r="2858" spans="1:14" ht="14.5" x14ac:dyDescent="0.35">
      <c r="A2858" s="260" t="s">
        <v>566</v>
      </c>
      <c r="B2858" s="190">
        <v>45878</v>
      </c>
      <c r="C2858" s="260" t="s">
        <v>752</v>
      </c>
      <c r="D2858" s="197">
        <v>0</v>
      </c>
      <c r="E2858" s="197">
        <v>0</v>
      </c>
      <c r="F2858" s="197">
        <v>180.57</v>
      </c>
      <c r="G2858" s="190">
        <v>45877</v>
      </c>
      <c r="H2858" s="196">
        <v>1</v>
      </c>
      <c r="I2858" s="197">
        <v>0</v>
      </c>
      <c r="J2858" s="197">
        <v>0</v>
      </c>
      <c r="K2858" s="197">
        <v>0</v>
      </c>
      <c r="L2858" s="197">
        <v>0</v>
      </c>
      <c r="M2858" s="260" t="s">
        <v>239</v>
      </c>
      <c r="N2858" s="260" t="s">
        <v>514</v>
      </c>
    </row>
    <row r="2859" spans="1:14" ht="14.5" x14ac:dyDescent="0.35">
      <c r="A2859" s="260" t="s">
        <v>566</v>
      </c>
      <c r="B2859" s="190">
        <v>45878</v>
      </c>
      <c r="C2859" s="260" t="s">
        <v>754</v>
      </c>
      <c r="D2859" s="197">
        <v>0</v>
      </c>
      <c r="E2859" s="197">
        <v>0</v>
      </c>
      <c r="F2859" s="197">
        <v>79.099999999999994</v>
      </c>
      <c r="G2859" s="190">
        <v>45877</v>
      </c>
      <c r="H2859" s="196">
        <v>1</v>
      </c>
      <c r="I2859" s="197">
        <v>0</v>
      </c>
      <c r="J2859" s="197">
        <v>0</v>
      </c>
      <c r="K2859" s="197">
        <v>0</v>
      </c>
      <c r="L2859" s="197">
        <v>0</v>
      </c>
      <c r="M2859" s="260" t="s">
        <v>239</v>
      </c>
      <c r="N2859" s="260" t="s">
        <v>514</v>
      </c>
    </row>
    <row r="2860" spans="1:14" ht="14.5" x14ac:dyDescent="0.35">
      <c r="A2860" s="260" t="s">
        <v>566</v>
      </c>
      <c r="B2860" s="190">
        <v>45879</v>
      </c>
      <c r="C2860" s="260" t="s">
        <v>749</v>
      </c>
      <c r="D2860" s="197">
        <v>0</v>
      </c>
      <c r="E2860" s="197">
        <v>0</v>
      </c>
      <c r="F2860" s="197">
        <v>51.3</v>
      </c>
      <c r="G2860" s="190">
        <v>45877</v>
      </c>
      <c r="H2860" s="196">
        <v>2</v>
      </c>
      <c r="I2860" s="197">
        <v>0</v>
      </c>
      <c r="J2860" s="197">
        <v>0</v>
      </c>
      <c r="K2860" s="197">
        <v>0</v>
      </c>
      <c r="L2860" s="197">
        <v>0</v>
      </c>
      <c r="M2860" s="260" t="s">
        <v>239</v>
      </c>
      <c r="N2860" s="260" t="s">
        <v>514</v>
      </c>
    </row>
    <row r="2861" spans="1:14" ht="14.5" x14ac:dyDescent="0.35">
      <c r="A2861" s="260" t="s">
        <v>566</v>
      </c>
      <c r="B2861" s="190">
        <v>45879</v>
      </c>
      <c r="C2861" s="260" t="s">
        <v>752</v>
      </c>
      <c r="D2861" s="197">
        <v>0</v>
      </c>
      <c r="E2861" s="197">
        <v>0</v>
      </c>
      <c r="F2861" s="197">
        <v>180.57</v>
      </c>
      <c r="G2861" s="190">
        <v>45877</v>
      </c>
      <c r="H2861" s="196">
        <v>2</v>
      </c>
      <c r="I2861" s="197">
        <v>0</v>
      </c>
      <c r="J2861" s="197">
        <v>0</v>
      </c>
      <c r="K2861" s="197">
        <v>0</v>
      </c>
      <c r="L2861" s="197">
        <v>0</v>
      </c>
      <c r="M2861" s="260" t="s">
        <v>239</v>
      </c>
      <c r="N2861" s="260" t="s">
        <v>514</v>
      </c>
    </row>
    <row r="2862" spans="1:14" ht="14.5" x14ac:dyDescent="0.35">
      <c r="A2862" s="260" t="s">
        <v>566</v>
      </c>
      <c r="B2862" s="190">
        <v>45879</v>
      </c>
      <c r="C2862" s="260" t="s">
        <v>754</v>
      </c>
      <c r="D2862" s="197">
        <v>0</v>
      </c>
      <c r="E2862" s="197">
        <v>0</v>
      </c>
      <c r="F2862" s="197">
        <v>79.099999999999994</v>
      </c>
      <c r="G2862" s="190">
        <v>45877</v>
      </c>
      <c r="H2862" s="196">
        <v>2</v>
      </c>
      <c r="I2862" s="197">
        <v>0</v>
      </c>
      <c r="J2862" s="197">
        <v>0</v>
      </c>
      <c r="K2862" s="197">
        <v>0</v>
      </c>
      <c r="L2862" s="197">
        <v>0</v>
      </c>
      <c r="M2862" s="260" t="s">
        <v>239</v>
      </c>
      <c r="N2862" s="260" t="s">
        <v>514</v>
      </c>
    </row>
    <row r="2863" spans="1:14" ht="14.5" x14ac:dyDescent="0.35">
      <c r="A2863" s="260" t="s">
        <v>566</v>
      </c>
      <c r="B2863" s="190">
        <v>45880</v>
      </c>
      <c r="C2863" s="260" t="s">
        <v>749</v>
      </c>
      <c r="D2863" s="197">
        <v>0</v>
      </c>
      <c r="E2863" s="197">
        <v>0</v>
      </c>
      <c r="F2863" s="197">
        <v>51</v>
      </c>
      <c r="G2863" s="190">
        <v>45880</v>
      </c>
      <c r="H2863" s="196">
        <v>0</v>
      </c>
      <c r="I2863" s="197">
        <v>0</v>
      </c>
      <c r="J2863" s="197">
        <v>0</v>
      </c>
      <c r="K2863" s="197">
        <v>0</v>
      </c>
      <c r="L2863" s="197">
        <v>0</v>
      </c>
      <c r="M2863" s="260" t="s">
        <v>239</v>
      </c>
      <c r="N2863" s="260" t="s">
        <v>514</v>
      </c>
    </row>
    <row r="2864" spans="1:14" ht="14.5" x14ac:dyDescent="0.35">
      <c r="A2864" s="260" t="s">
        <v>566</v>
      </c>
      <c r="B2864" s="190">
        <v>45880</v>
      </c>
      <c r="C2864" s="260" t="s">
        <v>752</v>
      </c>
      <c r="D2864" s="197">
        <v>0</v>
      </c>
      <c r="E2864" s="197">
        <v>0</v>
      </c>
      <c r="F2864" s="197">
        <v>181.67</v>
      </c>
      <c r="G2864" s="190">
        <v>45880</v>
      </c>
      <c r="H2864" s="196">
        <v>0</v>
      </c>
      <c r="I2864" s="197">
        <v>0</v>
      </c>
      <c r="J2864" s="197">
        <v>0</v>
      </c>
      <c r="K2864" s="197">
        <v>0</v>
      </c>
      <c r="L2864" s="197">
        <v>0</v>
      </c>
      <c r="M2864" s="260" t="s">
        <v>239</v>
      </c>
      <c r="N2864" s="260" t="s">
        <v>514</v>
      </c>
    </row>
    <row r="2865" spans="1:14" ht="14.5" x14ac:dyDescent="0.35">
      <c r="A2865" s="260" t="s">
        <v>566</v>
      </c>
      <c r="B2865" s="190">
        <v>45880</v>
      </c>
      <c r="C2865" s="260" t="s">
        <v>754</v>
      </c>
      <c r="D2865" s="197">
        <v>0</v>
      </c>
      <c r="E2865" s="197">
        <v>0</v>
      </c>
      <c r="F2865" s="197">
        <v>80</v>
      </c>
      <c r="G2865" s="190">
        <v>45880</v>
      </c>
      <c r="H2865" s="196">
        <v>0</v>
      </c>
      <c r="I2865" s="197">
        <v>0</v>
      </c>
      <c r="J2865" s="197">
        <v>0</v>
      </c>
      <c r="K2865" s="197">
        <v>0</v>
      </c>
      <c r="L2865" s="197">
        <v>0</v>
      </c>
      <c r="M2865" s="260" t="s">
        <v>239</v>
      </c>
      <c r="N2865" s="260" t="s">
        <v>514</v>
      </c>
    </row>
    <row r="2866" spans="1:14" ht="14.5" x14ac:dyDescent="0.35">
      <c r="A2866" s="260" t="s">
        <v>566</v>
      </c>
      <c r="B2866" s="190">
        <v>45881</v>
      </c>
      <c r="C2866" s="260" t="s">
        <v>749</v>
      </c>
      <c r="D2866" s="197">
        <v>0</v>
      </c>
      <c r="E2866" s="197">
        <v>0</v>
      </c>
      <c r="F2866" s="197">
        <v>50.9</v>
      </c>
      <c r="G2866" s="190">
        <v>45881</v>
      </c>
      <c r="H2866" s="196">
        <v>0</v>
      </c>
      <c r="I2866" s="197">
        <v>0</v>
      </c>
      <c r="J2866" s="197">
        <v>0</v>
      </c>
      <c r="K2866" s="197">
        <v>0</v>
      </c>
      <c r="L2866" s="197">
        <v>0</v>
      </c>
      <c r="M2866" s="260" t="s">
        <v>239</v>
      </c>
      <c r="N2866" s="260" t="s">
        <v>514</v>
      </c>
    </row>
    <row r="2867" spans="1:14" ht="14.5" x14ac:dyDescent="0.35">
      <c r="A2867" s="260" t="s">
        <v>566</v>
      </c>
      <c r="B2867" s="190">
        <v>45881</v>
      </c>
      <c r="C2867" s="260" t="s">
        <v>752</v>
      </c>
      <c r="D2867" s="197">
        <v>0</v>
      </c>
      <c r="E2867" s="197">
        <v>0</v>
      </c>
      <c r="F2867" s="197">
        <v>182.03</v>
      </c>
      <c r="G2867" s="190">
        <v>45881</v>
      </c>
      <c r="H2867" s="196">
        <v>0</v>
      </c>
      <c r="I2867" s="197">
        <v>0</v>
      </c>
      <c r="J2867" s="197">
        <v>0</v>
      </c>
      <c r="K2867" s="197">
        <v>0</v>
      </c>
      <c r="L2867" s="197">
        <v>0</v>
      </c>
      <c r="M2867" s="260" t="s">
        <v>239</v>
      </c>
      <c r="N2867" s="260" t="s">
        <v>514</v>
      </c>
    </row>
    <row r="2868" spans="1:14" ht="14.5" x14ac:dyDescent="0.35">
      <c r="A2868" s="260" t="s">
        <v>566</v>
      </c>
      <c r="B2868" s="190">
        <v>45881</v>
      </c>
      <c r="C2868" s="260" t="s">
        <v>754</v>
      </c>
      <c r="D2868" s="197">
        <v>0</v>
      </c>
      <c r="E2868" s="197">
        <v>0</v>
      </c>
      <c r="F2868" s="197">
        <v>80.3</v>
      </c>
      <c r="G2868" s="190">
        <v>45881</v>
      </c>
      <c r="H2868" s="196">
        <v>0</v>
      </c>
      <c r="I2868" s="197">
        <v>0</v>
      </c>
      <c r="J2868" s="197">
        <v>0</v>
      </c>
      <c r="K2868" s="197">
        <v>0</v>
      </c>
      <c r="L2868" s="197">
        <v>0</v>
      </c>
      <c r="M2868" s="260" t="s">
        <v>239</v>
      </c>
      <c r="N2868" s="260" t="s">
        <v>514</v>
      </c>
    </row>
    <row r="2869" spans="1:14" ht="14.5" x14ac:dyDescent="0.35">
      <c r="A2869" s="260" t="s">
        <v>566</v>
      </c>
      <c r="B2869" s="190">
        <v>45882</v>
      </c>
      <c r="C2869" s="260" t="s">
        <v>749</v>
      </c>
      <c r="D2869" s="197">
        <v>0</v>
      </c>
      <c r="E2869" s="197">
        <v>0</v>
      </c>
      <c r="F2869" s="197">
        <v>50.8</v>
      </c>
      <c r="G2869" s="190">
        <v>45882</v>
      </c>
      <c r="H2869" s="196">
        <v>0</v>
      </c>
      <c r="I2869" s="197">
        <v>0</v>
      </c>
      <c r="J2869" s="197">
        <v>0</v>
      </c>
      <c r="K2869" s="197">
        <v>0</v>
      </c>
      <c r="L2869" s="197">
        <v>0</v>
      </c>
      <c r="M2869" s="260" t="s">
        <v>239</v>
      </c>
      <c r="N2869" s="260" t="s">
        <v>514</v>
      </c>
    </row>
    <row r="2870" spans="1:14" ht="14.5" x14ac:dyDescent="0.35">
      <c r="A2870" s="260" t="s">
        <v>566</v>
      </c>
      <c r="B2870" s="190">
        <v>45882</v>
      </c>
      <c r="C2870" s="260" t="s">
        <v>752</v>
      </c>
      <c r="D2870" s="197">
        <v>0</v>
      </c>
      <c r="E2870" s="197">
        <v>0</v>
      </c>
      <c r="F2870" s="197">
        <v>182.4</v>
      </c>
      <c r="G2870" s="190">
        <v>45882</v>
      </c>
      <c r="H2870" s="196">
        <v>0</v>
      </c>
      <c r="I2870" s="197">
        <v>0</v>
      </c>
      <c r="J2870" s="197">
        <v>0</v>
      </c>
      <c r="K2870" s="197">
        <v>0</v>
      </c>
      <c r="L2870" s="197">
        <v>0</v>
      </c>
      <c r="M2870" s="260" t="s">
        <v>239</v>
      </c>
      <c r="N2870" s="260" t="s">
        <v>514</v>
      </c>
    </row>
    <row r="2871" spans="1:14" ht="14.5" x14ac:dyDescent="0.35">
      <c r="A2871" s="260" t="s">
        <v>566</v>
      </c>
      <c r="B2871" s="190">
        <v>45882</v>
      </c>
      <c r="C2871" s="260" t="s">
        <v>754</v>
      </c>
      <c r="D2871" s="197">
        <v>0</v>
      </c>
      <c r="E2871" s="197">
        <v>0</v>
      </c>
      <c r="F2871" s="197">
        <v>80.599999999999994</v>
      </c>
      <c r="G2871" s="190">
        <v>45882</v>
      </c>
      <c r="H2871" s="196">
        <v>0</v>
      </c>
      <c r="I2871" s="197">
        <v>0</v>
      </c>
      <c r="J2871" s="197">
        <v>0</v>
      </c>
      <c r="K2871" s="197">
        <v>0</v>
      </c>
      <c r="L2871" s="197">
        <v>0</v>
      </c>
      <c r="M2871" s="260" t="s">
        <v>239</v>
      </c>
      <c r="N2871" s="260" t="s">
        <v>514</v>
      </c>
    </row>
    <row r="2872" spans="1:14" ht="14.5" x14ac:dyDescent="0.35">
      <c r="A2872" s="260" t="s">
        <v>566</v>
      </c>
      <c r="B2872" s="190">
        <v>45883</v>
      </c>
      <c r="C2872" s="260" t="s">
        <v>749</v>
      </c>
      <c r="D2872" s="197">
        <v>0</v>
      </c>
      <c r="E2872" s="197">
        <v>0</v>
      </c>
      <c r="F2872" s="197">
        <v>50.7</v>
      </c>
      <c r="G2872" s="190">
        <v>45883</v>
      </c>
      <c r="H2872" s="196">
        <v>0</v>
      </c>
      <c r="I2872" s="197">
        <v>0</v>
      </c>
      <c r="J2872" s="197">
        <v>0</v>
      </c>
      <c r="K2872" s="197">
        <v>0</v>
      </c>
      <c r="L2872" s="197">
        <v>0</v>
      </c>
      <c r="M2872" s="260" t="s">
        <v>239</v>
      </c>
      <c r="N2872" s="260" t="s">
        <v>514</v>
      </c>
    </row>
    <row r="2873" spans="1:14" ht="14.5" x14ac:dyDescent="0.35">
      <c r="A2873" s="260" t="s">
        <v>566</v>
      </c>
      <c r="B2873" s="190">
        <v>45883</v>
      </c>
      <c r="C2873" s="260" t="s">
        <v>752</v>
      </c>
      <c r="D2873" s="197">
        <v>0</v>
      </c>
      <c r="E2873" s="197">
        <v>0</v>
      </c>
      <c r="F2873" s="197">
        <v>182.77</v>
      </c>
      <c r="G2873" s="190">
        <v>45883</v>
      </c>
      <c r="H2873" s="196">
        <v>0</v>
      </c>
      <c r="I2873" s="197">
        <v>0</v>
      </c>
      <c r="J2873" s="197">
        <v>0</v>
      </c>
      <c r="K2873" s="197">
        <v>0</v>
      </c>
      <c r="L2873" s="197">
        <v>0</v>
      </c>
      <c r="M2873" s="260" t="s">
        <v>239</v>
      </c>
      <c r="N2873" s="260" t="s">
        <v>514</v>
      </c>
    </row>
    <row r="2874" spans="1:14" ht="14.5" x14ac:dyDescent="0.35">
      <c r="A2874" s="260" t="s">
        <v>566</v>
      </c>
      <c r="B2874" s="190">
        <v>45883</v>
      </c>
      <c r="C2874" s="260" t="s">
        <v>754</v>
      </c>
      <c r="D2874" s="197">
        <v>0</v>
      </c>
      <c r="E2874" s="197">
        <v>0</v>
      </c>
      <c r="F2874" s="197">
        <v>80.900000000000006</v>
      </c>
      <c r="G2874" s="190">
        <v>45883</v>
      </c>
      <c r="H2874" s="196">
        <v>0</v>
      </c>
      <c r="I2874" s="197">
        <v>0</v>
      </c>
      <c r="J2874" s="197">
        <v>0</v>
      </c>
      <c r="K2874" s="197">
        <v>0</v>
      </c>
      <c r="L2874" s="197">
        <v>0</v>
      </c>
      <c r="M2874" s="260" t="s">
        <v>239</v>
      </c>
      <c r="N2874" s="260" t="s">
        <v>514</v>
      </c>
    </row>
    <row r="2875" spans="1:14" ht="14.5" x14ac:dyDescent="0.35">
      <c r="A2875" s="260" t="s">
        <v>566</v>
      </c>
      <c r="B2875" s="190">
        <v>45884</v>
      </c>
      <c r="C2875" s="260" t="s">
        <v>749</v>
      </c>
      <c r="D2875" s="197">
        <v>0</v>
      </c>
      <c r="E2875" s="197">
        <v>0</v>
      </c>
      <c r="F2875" s="197">
        <v>50.6</v>
      </c>
      <c r="G2875" s="190">
        <v>45884</v>
      </c>
      <c r="H2875" s="196">
        <v>0</v>
      </c>
      <c r="I2875" s="197">
        <v>0</v>
      </c>
      <c r="J2875" s="197">
        <v>0</v>
      </c>
      <c r="K2875" s="197">
        <v>0</v>
      </c>
      <c r="L2875" s="197">
        <v>0</v>
      </c>
      <c r="M2875" s="260" t="s">
        <v>239</v>
      </c>
      <c r="N2875" s="260" t="s">
        <v>514</v>
      </c>
    </row>
    <row r="2876" spans="1:14" ht="14.5" x14ac:dyDescent="0.35">
      <c r="A2876" s="260" t="s">
        <v>566</v>
      </c>
      <c r="B2876" s="190">
        <v>45884</v>
      </c>
      <c r="C2876" s="260" t="s">
        <v>752</v>
      </c>
      <c r="D2876" s="197">
        <v>0</v>
      </c>
      <c r="E2876" s="197">
        <v>0</v>
      </c>
      <c r="F2876" s="197">
        <v>183.13</v>
      </c>
      <c r="G2876" s="190">
        <v>45884</v>
      </c>
      <c r="H2876" s="196">
        <v>0</v>
      </c>
      <c r="I2876" s="197">
        <v>0</v>
      </c>
      <c r="J2876" s="197">
        <v>0</v>
      </c>
      <c r="K2876" s="197">
        <v>0</v>
      </c>
      <c r="L2876" s="197">
        <v>0</v>
      </c>
      <c r="M2876" s="260" t="s">
        <v>239</v>
      </c>
      <c r="N2876" s="260" t="s">
        <v>514</v>
      </c>
    </row>
    <row r="2877" spans="1:14" ht="14.5" x14ac:dyDescent="0.35">
      <c r="A2877" s="260" t="s">
        <v>566</v>
      </c>
      <c r="B2877" s="190">
        <v>45884</v>
      </c>
      <c r="C2877" s="260" t="s">
        <v>754</v>
      </c>
      <c r="D2877" s="197">
        <v>0</v>
      </c>
      <c r="E2877" s="197">
        <v>0</v>
      </c>
      <c r="F2877" s="197">
        <v>81.2</v>
      </c>
      <c r="G2877" s="190">
        <v>45884</v>
      </c>
      <c r="H2877" s="196">
        <v>0</v>
      </c>
      <c r="I2877" s="197">
        <v>0</v>
      </c>
      <c r="J2877" s="197">
        <v>0</v>
      </c>
      <c r="K2877" s="197">
        <v>0</v>
      </c>
      <c r="L2877" s="197">
        <v>0</v>
      </c>
      <c r="M2877" s="260" t="s">
        <v>239</v>
      </c>
      <c r="N2877" s="260" t="s">
        <v>514</v>
      </c>
    </row>
    <row r="2878" spans="1:14" ht="14.5" x14ac:dyDescent="0.35">
      <c r="A2878" s="260" t="s">
        <v>566</v>
      </c>
      <c r="B2878" s="190">
        <v>45885</v>
      </c>
      <c r="C2878" s="260" t="s">
        <v>749</v>
      </c>
      <c r="D2878" s="197">
        <v>0</v>
      </c>
      <c r="E2878" s="197">
        <v>0</v>
      </c>
      <c r="F2878" s="197">
        <v>50.6</v>
      </c>
      <c r="G2878" s="190">
        <v>45884</v>
      </c>
      <c r="H2878" s="196">
        <v>1</v>
      </c>
      <c r="I2878" s="197">
        <v>0</v>
      </c>
      <c r="J2878" s="197">
        <v>0</v>
      </c>
      <c r="K2878" s="197">
        <v>0</v>
      </c>
      <c r="L2878" s="197">
        <v>0</v>
      </c>
      <c r="M2878" s="260" t="s">
        <v>239</v>
      </c>
      <c r="N2878" s="260" t="s">
        <v>514</v>
      </c>
    </row>
    <row r="2879" spans="1:14" ht="14.5" x14ac:dyDescent="0.35">
      <c r="A2879" s="260" t="s">
        <v>566</v>
      </c>
      <c r="B2879" s="190">
        <v>45885</v>
      </c>
      <c r="C2879" s="260" t="s">
        <v>752</v>
      </c>
      <c r="D2879" s="197">
        <v>0</v>
      </c>
      <c r="E2879" s="197">
        <v>0</v>
      </c>
      <c r="F2879" s="197">
        <v>183.13</v>
      </c>
      <c r="G2879" s="190">
        <v>45884</v>
      </c>
      <c r="H2879" s="196">
        <v>1</v>
      </c>
      <c r="I2879" s="197">
        <v>0</v>
      </c>
      <c r="J2879" s="197">
        <v>0</v>
      </c>
      <c r="K2879" s="197">
        <v>0</v>
      </c>
      <c r="L2879" s="197">
        <v>0</v>
      </c>
      <c r="M2879" s="260" t="s">
        <v>239</v>
      </c>
      <c r="N2879" s="260" t="s">
        <v>514</v>
      </c>
    </row>
    <row r="2880" spans="1:14" ht="14.5" x14ac:dyDescent="0.35">
      <c r="A2880" s="260" t="s">
        <v>566</v>
      </c>
      <c r="B2880" s="190">
        <v>45885</v>
      </c>
      <c r="C2880" s="260" t="s">
        <v>754</v>
      </c>
      <c r="D2880" s="197">
        <v>0</v>
      </c>
      <c r="E2880" s="197">
        <v>0</v>
      </c>
      <c r="F2880" s="197">
        <v>81.2</v>
      </c>
      <c r="G2880" s="190">
        <v>45884</v>
      </c>
      <c r="H2880" s="196">
        <v>1</v>
      </c>
      <c r="I2880" s="197">
        <v>0</v>
      </c>
      <c r="J2880" s="197">
        <v>0</v>
      </c>
      <c r="K2880" s="197">
        <v>0</v>
      </c>
      <c r="L2880" s="197">
        <v>0</v>
      </c>
      <c r="M2880" s="260" t="s">
        <v>239</v>
      </c>
      <c r="N2880" s="260" t="s">
        <v>514</v>
      </c>
    </row>
    <row r="2881" spans="1:14" ht="14.5" x14ac:dyDescent="0.35">
      <c r="A2881" s="260" t="s">
        <v>566</v>
      </c>
      <c r="B2881" s="190">
        <v>45886</v>
      </c>
      <c r="C2881" s="260" t="s">
        <v>749</v>
      </c>
      <c r="D2881" s="197">
        <v>0</v>
      </c>
      <c r="E2881" s="197">
        <v>0</v>
      </c>
      <c r="F2881" s="197">
        <v>50.6</v>
      </c>
      <c r="G2881" s="190">
        <v>45884</v>
      </c>
      <c r="H2881" s="196">
        <v>2</v>
      </c>
      <c r="I2881" s="197">
        <v>0</v>
      </c>
      <c r="J2881" s="197">
        <v>0</v>
      </c>
      <c r="K2881" s="197">
        <v>0</v>
      </c>
      <c r="L2881" s="197">
        <v>0</v>
      </c>
      <c r="M2881" s="260" t="s">
        <v>239</v>
      </c>
      <c r="N2881" s="260" t="s">
        <v>514</v>
      </c>
    </row>
    <row r="2882" spans="1:14" ht="14.5" x14ac:dyDescent="0.35">
      <c r="A2882" s="260" t="s">
        <v>566</v>
      </c>
      <c r="B2882" s="190">
        <v>45886</v>
      </c>
      <c r="C2882" s="260" t="s">
        <v>752</v>
      </c>
      <c r="D2882" s="197">
        <v>0</v>
      </c>
      <c r="E2882" s="197">
        <v>0</v>
      </c>
      <c r="F2882" s="197">
        <v>183.13</v>
      </c>
      <c r="G2882" s="190">
        <v>45884</v>
      </c>
      <c r="H2882" s="196">
        <v>2</v>
      </c>
      <c r="I2882" s="197">
        <v>0</v>
      </c>
      <c r="J2882" s="197">
        <v>0</v>
      </c>
      <c r="K2882" s="197">
        <v>0</v>
      </c>
      <c r="L2882" s="197">
        <v>0</v>
      </c>
      <c r="M2882" s="260" t="s">
        <v>239</v>
      </c>
      <c r="N2882" s="260" t="s">
        <v>514</v>
      </c>
    </row>
    <row r="2883" spans="1:14" ht="14.5" x14ac:dyDescent="0.35">
      <c r="A2883" s="260" t="s">
        <v>566</v>
      </c>
      <c r="B2883" s="190">
        <v>45886</v>
      </c>
      <c r="C2883" s="260" t="s">
        <v>754</v>
      </c>
      <c r="D2883" s="197">
        <v>0</v>
      </c>
      <c r="E2883" s="197">
        <v>0</v>
      </c>
      <c r="F2883" s="197">
        <v>81.2</v>
      </c>
      <c r="G2883" s="190">
        <v>45884</v>
      </c>
      <c r="H2883" s="196">
        <v>2</v>
      </c>
      <c r="I2883" s="197">
        <v>0</v>
      </c>
      <c r="J2883" s="197">
        <v>0</v>
      </c>
      <c r="K2883" s="197">
        <v>0</v>
      </c>
      <c r="L2883" s="197">
        <v>0</v>
      </c>
      <c r="M2883" s="260" t="s">
        <v>239</v>
      </c>
      <c r="N2883" s="260" t="s">
        <v>514</v>
      </c>
    </row>
    <row r="2884" spans="1:14" ht="14.5" x14ac:dyDescent="0.35">
      <c r="A2884" s="260" t="s">
        <v>566</v>
      </c>
      <c r="B2884" s="190">
        <v>45887</v>
      </c>
      <c r="C2884" s="260" t="s">
        <v>749</v>
      </c>
      <c r="D2884" s="197">
        <v>0</v>
      </c>
      <c r="E2884" s="197">
        <v>0</v>
      </c>
      <c r="F2884" s="197">
        <v>50.3</v>
      </c>
      <c r="G2884" s="190">
        <v>45887</v>
      </c>
      <c r="H2884" s="196">
        <v>0</v>
      </c>
      <c r="I2884" s="197">
        <v>0</v>
      </c>
      <c r="J2884" s="197">
        <v>0</v>
      </c>
      <c r="K2884" s="197">
        <v>0</v>
      </c>
      <c r="L2884" s="197">
        <v>0</v>
      </c>
      <c r="M2884" s="260" t="s">
        <v>239</v>
      </c>
      <c r="N2884" s="260" t="s">
        <v>514</v>
      </c>
    </row>
    <row r="2885" spans="1:14" ht="14.5" x14ac:dyDescent="0.35">
      <c r="A2885" s="260" t="s">
        <v>566</v>
      </c>
      <c r="B2885" s="190">
        <v>45887</v>
      </c>
      <c r="C2885" s="260" t="s">
        <v>752</v>
      </c>
      <c r="D2885" s="197">
        <v>0</v>
      </c>
      <c r="E2885" s="197">
        <v>0</v>
      </c>
      <c r="F2885" s="197">
        <v>184.23</v>
      </c>
      <c r="G2885" s="190">
        <v>45887</v>
      </c>
      <c r="H2885" s="196">
        <v>0</v>
      </c>
      <c r="I2885" s="197">
        <v>0</v>
      </c>
      <c r="J2885" s="197">
        <v>0</v>
      </c>
      <c r="K2885" s="197">
        <v>0</v>
      </c>
      <c r="L2885" s="197">
        <v>0</v>
      </c>
      <c r="M2885" s="260" t="s">
        <v>239</v>
      </c>
      <c r="N2885" s="260" t="s">
        <v>514</v>
      </c>
    </row>
    <row r="2886" spans="1:14" ht="14.5" x14ac:dyDescent="0.35">
      <c r="A2886" s="260" t="s">
        <v>566</v>
      </c>
      <c r="B2886" s="190">
        <v>45887</v>
      </c>
      <c r="C2886" s="260" t="s">
        <v>754</v>
      </c>
      <c r="D2886" s="197">
        <v>0</v>
      </c>
      <c r="E2886" s="197">
        <v>0</v>
      </c>
      <c r="F2886" s="197">
        <v>82.1</v>
      </c>
      <c r="G2886" s="190">
        <v>45887</v>
      </c>
      <c r="H2886" s="196">
        <v>0</v>
      </c>
      <c r="I2886" s="197">
        <v>0</v>
      </c>
      <c r="J2886" s="197">
        <v>0</v>
      </c>
      <c r="K2886" s="197">
        <v>0</v>
      </c>
      <c r="L2886" s="197">
        <v>0</v>
      </c>
      <c r="M2886" s="260" t="s">
        <v>239</v>
      </c>
      <c r="N2886" s="260" t="s">
        <v>514</v>
      </c>
    </row>
    <row r="2887" spans="1:14" ht="14.5" x14ac:dyDescent="0.35">
      <c r="A2887" s="260" t="s">
        <v>566</v>
      </c>
      <c r="B2887" s="190">
        <v>45888</v>
      </c>
      <c r="C2887" s="260" t="s">
        <v>749</v>
      </c>
      <c r="D2887" s="197">
        <v>0</v>
      </c>
      <c r="E2887" s="197">
        <v>0</v>
      </c>
      <c r="F2887" s="197">
        <v>50.2</v>
      </c>
      <c r="G2887" s="190">
        <v>45888</v>
      </c>
      <c r="H2887" s="196">
        <v>0</v>
      </c>
      <c r="I2887" s="197">
        <v>0</v>
      </c>
      <c r="J2887" s="197">
        <v>0</v>
      </c>
      <c r="K2887" s="197">
        <v>0</v>
      </c>
      <c r="L2887" s="197">
        <v>0</v>
      </c>
      <c r="M2887" s="260" t="s">
        <v>239</v>
      </c>
      <c r="N2887" s="260" t="s">
        <v>514</v>
      </c>
    </row>
    <row r="2888" spans="1:14" ht="14.5" x14ac:dyDescent="0.35">
      <c r="A2888" s="260" t="s">
        <v>566</v>
      </c>
      <c r="B2888" s="190">
        <v>45888</v>
      </c>
      <c r="C2888" s="260" t="s">
        <v>752</v>
      </c>
      <c r="D2888" s="197">
        <v>0</v>
      </c>
      <c r="E2888" s="197">
        <v>0</v>
      </c>
      <c r="F2888" s="197">
        <v>184.6</v>
      </c>
      <c r="G2888" s="190">
        <v>45888</v>
      </c>
      <c r="H2888" s="196">
        <v>0</v>
      </c>
      <c r="I2888" s="197">
        <v>0</v>
      </c>
      <c r="J2888" s="197">
        <v>0</v>
      </c>
      <c r="K2888" s="197">
        <v>0</v>
      </c>
      <c r="L2888" s="197">
        <v>0</v>
      </c>
      <c r="M2888" s="260" t="s">
        <v>239</v>
      </c>
      <c r="N2888" s="260" t="s">
        <v>514</v>
      </c>
    </row>
    <row r="2889" spans="1:14" ht="14.5" x14ac:dyDescent="0.35">
      <c r="A2889" s="260" t="s">
        <v>566</v>
      </c>
      <c r="B2889" s="190">
        <v>45888</v>
      </c>
      <c r="C2889" s="260" t="s">
        <v>754</v>
      </c>
      <c r="D2889" s="197">
        <v>0</v>
      </c>
      <c r="E2889" s="197">
        <v>0</v>
      </c>
      <c r="F2889" s="197">
        <v>82.4</v>
      </c>
      <c r="G2889" s="190">
        <v>45888</v>
      </c>
      <c r="H2889" s="196">
        <v>0</v>
      </c>
      <c r="I2889" s="197">
        <v>0</v>
      </c>
      <c r="J2889" s="197">
        <v>0</v>
      </c>
      <c r="K2889" s="197">
        <v>0</v>
      </c>
      <c r="L2889" s="197">
        <v>0</v>
      </c>
      <c r="M2889" s="260" t="s">
        <v>239</v>
      </c>
      <c r="N2889" s="260" t="s">
        <v>514</v>
      </c>
    </row>
    <row r="2890" spans="1:14" ht="14.5" x14ac:dyDescent="0.35">
      <c r="A2890" s="260" t="s">
        <v>566</v>
      </c>
      <c r="B2890" s="190">
        <v>45889</v>
      </c>
      <c r="C2890" s="260" t="s">
        <v>749</v>
      </c>
      <c r="D2890" s="197">
        <v>0</v>
      </c>
      <c r="E2890" s="197">
        <v>0</v>
      </c>
      <c r="F2890" s="197">
        <v>50.1</v>
      </c>
      <c r="G2890" s="190">
        <v>45889</v>
      </c>
      <c r="H2890" s="196">
        <v>0</v>
      </c>
      <c r="I2890" s="197">
        <v>0</v>
      </c>
      <c r="J2890" s="197">
        <v>0</v>
      </c>
      <c r="K2890" s="197">
        <v>0</v>
      </c>
      <c r="L2890" s="197">
        <v>0</v>
      </c>
      <c r="M2890" s="260" t="s">
        <v>239</v>
      </c>
      <c r="N2890" s="260" t="s">
        <v>514</v>
      </c>
    </row>
    <row r="2891" spans="1:14" ht="14.5" x14ac:dyDescent="0.35">
      <c r="A2891" s="260" t="s">
        <v>566</v>
      </c>
      <c r="B2891" s="190">
        <v>45889</v>
      </c>
      <c r="C2891" s="260" t="s">
        <v>752</v>
      </c>
      <c r="D2891" s="197">
        <v>0</v>
      </c>
      <c r="E2891" s="197">
        <v>0</v>
      </c>
      <c r="F2891" s="197">
        <v>184.97</v>
      </c>
      <c r="G2891" s="190">
        <v>45889</v>
      </c>
      <c r="H2891" s="196">
        <v>0</v>
      </c>
      <c r="I2891" s="197">
        <v>0</v>
      </c>
      <c r="J2891" s="197">
        <v>0</v>
      </c>
      <c r="K2891" s="197">
        <v>0</v>
      </c>
      <c r="L2891" s="197">
        <v>0</v>
      </c>
      <c r="M2891" s="260" t="s">
        <v>239</v>
      </c>
      <c r="N2891" s="260" t="s">
        <v>514</v>
      </c>
    </row>
    <row r="2892" spans="1:14" ht="14.5" x14ac:dyDescent="0.35">
      <c r="A2892" s="260" t="s">
        <v>566</v>
      </c>
      <c r="B2892" s="190">
        <v>45889</v>
      </c>
      <c r="C2892" s="260" t="s">
        <v>754</v>
      </c>
      <c r="D2892" s="197">
        <v>0</v>
      </c>
      <c r="E2892" s="197">
        <v>0</v>
      </c>
      <c r="F2892" s="197">
        <v>82.7</v>
      </c>
      <c r="G2892" s="190">
        <v>45889</v>
      </c>
      <c r="H2892" s="196">
        <v>0</v>
      </c>
      <c r="I2892" s="197">
        <v>0</v>
      </c>
      <c r="J2892" s="197">
        <v>0</v>
      </c>
      <c r="K2892" s="197">
        <v>0</v>
      </c>
      <c r="L2892" s="197">
        <v>0</v>
      </c>
      <c r="M2892" s="260" t="s">
        <v>239</v>
      </c>
      <c r="N2892" s="260" t="s">
        <v>514</v>
      </c>
    </row>
    <row r="2893" spans="1:14" ht="14.5" x14ac:dyDescent="0.35">
      <c r="A2893" s="260" t="s">
        <v>566</v>
      </c>
      <c r="B2893" s="190">
        <v>45890</v>
      </c>
      <c r="C2893" s="260" t="s">
        <v>749</v>
      </c>
      <c r="D2893" s="197">
        <v>0</v>
      </c>
      <c r="E2893" s="197">
        <v>0</v>
      </c>
      <c r="F2893" s="197">
        <v>50</v>
      </c>
      <c r="G2893" s="190">
        <v>45890</v>
      </c>
      <c r="H2893" s="196">
        <v>0</v>
      </c>
      <c r="I2893" s="197">
        <v>0</v>
      </c>
      <c r="J2893" s="197">
        <v>0</v>
      </c>
      <c r="K2893" s="197">
        <v>0</v>
      </c>
      <c r="L2893" s="197">
        <v>0</v>
      </c>
      <c r="M2893" s="260" t="s">
        <v>239</v>
      </c>
      <c r="N2893" s="260" t="s">
        <v>514</v>
      </c>
    </row>
    <row r="2894" spans="1:14" ht="14.5" x14ac:dyDescent="0.35">
      <c r="A2894" s="260" t="s">
        <v>566</v>
      </c>
      <c r="B2894" s="190">
        <v>45890</v>
      </c>
      <c r="C2894" s="260" t="s">
        <v>752</v>
      </c>
      <c r="D2894" s="197">
        <v>0</v>
      </c>
      <c r="E2894" s="197">
        <v>0</v>
      </c>
      <c r="F2894" s="197">
        <v>185.33</v>
      </c>
      <c r="G2894" s="190">
        <v>45890</v>
      </c>
      <c r="H2894" s="196">
        <v>0</v>
      </c>
      <c r="I2894" s="197">
        <v>0</v>
      </c>
      <c r="J2894" s="197">
        <v>0</v>
      </c>
      <c r="K2894" s="197">
        <v>0</v>
      </c>
      <c r="L2894" s="197">
        <v>0</v>
      </c>
      <c r="M2894" s="260" t="s">
        <v>239</v>
      </c>
      <c r="N2894" s="260" t="s">
        <v>514</v>
      </c>
    </row>
    <row r="2895" spans="1:14" ht="14.5" x14ac:dyDescent="0.35">
      <c r="A2895" s="260" t="s">
        <v>566</v>
      </c>
      <c r="B2895" s="190">
        <v>45890</v>
      </c>
      <c r="C2895" s="260" t="s">
        <v>754</v>
      </c>
      <c r="D2895" s="197">
        <v>0</v>
      </c>
      <c r="E2895" s="197">
        <v>0</v>
      </c>
      <c r="F2895" s="197">
        <v>83</v>
      </c>
      <c r="G2895" s="190">
        <v>45890</v>
      </c>
      <c r="H2895" s="196">
        <v>0</v>
      </c>
      <c r="I2895" s="197">
        <v>0</v>
      </c>
      <c r="J2895" s="197">
        <v>0</v>
      </c>
      <c r="K2895" s="197">
        <v>0</v>
      </c>
      <c r="L2895" s="197">
        <v>0</v>
      </c>
      <c r="M2895" s="260" t="s">
        <v>239</v>
      </c>
      <c r="N2895" s="260" t="s">
        <v>514</v>
      </c>
    </row>
    <row r="2896" spans="1:14" ht="14.5" x14ac:dyDescent="0.35">
      <c r="A2896" s="260" t="s">
        <v>566</v>
      </c>
      <c r="B2896" s="190">
        <v>45891</v>
      </c>
      <c r="C2896" s="260" t="s">
        <v>749</v>
      </c>
      <c r="D2896" s="197">
        <v>0</v>
      </c>
      <c r="E2896" s="197">
        <v>0</v>
      </c>
      <c r="F2896" s="197">
        <v>49.9</v>
      </c>
      <c r="G2896" s="190">
        <v>45891</v>
      </c>
      <c r="H2896" s="196">
        <v>0</v>
      </c>
      <c r="I2896" s="197">
        <v>0</v>
      </c>
      <c r="J2896" s="197">
        <v>0</v>
      </c>
      <c r="K2896" s="197">
        <v>0</v>
      </c>
      <c r="L2896" s="197">
        <v>0</v>
      </c>
      <c r="M2896" s="260" t="s">
        <v>239</v>
      </c>
      <c r="N2896" s="260" t="s">
        <v>514</v>
      </c>
    </row>
    <row r="2897" spans="1:14" ht="14.5" x14ac:dyDescent="0.35">
      <c r="A2897" s="260" t="s">
        <v>566</v>
      </c>
      <c r="B2897" s="190">
        <v>45891</v>
      </c>
      <c r="C2897" s="260" t="s">
        <v>752</v>
      </c>
      <c r="D2897" s="197">
        <v>0</v>
      </c>
      <c r="E2897" s="197">
        <v>0</v>
      </c>
      <c r="F2897" s="197">
        <v>185.7</v>
      </c>
      <c r="G2897" s="190">
        <v>45891</v>
      </c>
      <c r="H2897" s="196">
        <v>0</v>
      </c>
      <c r="I2897" s="197">
        <v>0</v>
      </c>
      <c r="J2897" s="197">
        <v>0</v>
      </c>
      <c r="K2897" s="197">
        <v>0</v>
      </c>
      <c r="L2897" s="197">
        <v>0</v>
      </c>
      <c r="M2897" s="260" t="s">
        <v>239</v>
      </c>
      <c r="N2897" s="260" t="s">
        <v>514</v>
      </c>
    </row>
    <row r="2898" spans="1:14" ht="14.5" x14ac:dyDescent="0.35">
      <c r="A2898" s="260" t="s">
        <v>566</v>
      </c>
      <c r="B2898" s="190">
        <v>45891</v>
      </c>
      <c r="C2898" s="260" t="s">
        <v>754</v>
      </c>
      <c r="D2898" s="197">
        <v>0</v>
      </c>
      <c r="E2898" s="197">
        <v>0</v>
      </c>
      <c r="F2898" s="197">
        <v>83.3</v>
      </c>
      <c r="G2898" s="190">
        <v>45891</v>
      </c>
      <c r="H2898" s="196">
        <v>0</v>
      </c>
      <c r="I2898" s="197">
        <v>0</v>
      </c>
      <c r="J2898" s="197">
        <v>0</v>
      </c>
      <c r="K2898" s="197">
        <v>0</v>
      </c>
      <c r="L2898" s="197">
        <v>0</v>
      </c>
      <c r="M2898" s="260" t="s">
        <v>239</v>
      </c>
      <c r="N2898" s="260" t="s">
        <v>514</v>
      </c>
    </row>
    <row r="2899" spans="1:14" ht="14.5" x14ac:dyDescent="0.35">
      <c r="A2899" s="260" t="s">
        <v>566</v>
      </c>
      <c r="B2899" s="190">
        <v>45892</v>
      </c>
      <c r="C2899" s="260" t="s">
        <v>749</v>
      </c>
      <c r="D2899" s="197">
        <v>0</v>
      </c>
      <c r="E2899" s="197">
        <v>0</v>
      </c>
      <c r="F2899" s="197">
        <v>49.9</v>
      </c>
      <c r="G2899" s="190">
        <v>45891</v>
      </c>
      <c r="H2899" s="196">
        <v>1</v>
      </c>
      <c r="I2899" s="197">
        <v>0</v>
      </c>
      <c r="J2899" s="197">
        <v>0</v>
      </c>
      <c r="K2899" s="197">
        <v>0</v>
      </c>
      <c r="L2899" s="197">
        <v>0</v>
      </c>
      <c r="M2899" s="260" t="s">
        <v>239</v>
      </c>
      <c r="N2899" s="260" t="s">
        <v>514</v>
      </c>
    </row>
    <row r="2900" spans="1:14" ht="14.5" x14ac:dyDescent="0.35">
      <c r="A2900" s="260" t="s">
        <v>566</v>
      </c>
      <c r="B2900" s="190">
        <v>45892</v>
      </c>
      <c r="C2900" s="260" t="s">
        <v>752</v>
      </c>
      <c r="D2900" s="197">
        <v>0</v>
      </c>
      <c r="E2900" s="197">
        <v>0</v>
      </c>
      <c r="F2900" s="197">
        <v>185.7</v>
      </c>
      <c r="G2900" s="190">
        <v>45891</v>
      </c>
      <c r="H2900" s="196">
        <v>1</v>
      </c>
      <c r="I2900" s="197">
        <v>0</v>
      </c>
      <c r="J2900" s="197">
        <v>0</v>
      </c>
      <c r="K2900" s="197">
        <v>0</v>
      </c>
      <c r="L2900" s="197">
        <v>0</v>
      </c>
      <c r="M2900" s="260" t="s">
        <v>239</v>
      </c>
      <c r="N2900" s="260" t="s">
        <v>514</v>
      </c>
    </row>
    <row r="2901" spans="1:14" ht="14.5" x14ac:dyDescent="0.35">
      <c r="A2901" s="260" t="s">
        <v>566</v>
      </c>
      <c r="B2901" s="190">
        <v>45892</v>
      </c>
      <c r="C2901" s="260" t="s">
        <v>754</v>
      </c>
      <c r="D2901" s="197">
        <v>0</v>
      </c>
      <c r="E2901" s="197">
        <v>0</v>
      </c>
      <c r="F2901" s="197">
        <v>83.3</v>
      </c>
      <c r="G2901" s="190">
        <v>45891</v>
      </c>
      <c r="H2901" s="196">
        <v>1</v>
      </c>
      <c r="I2901" s="197">
        <v>0</v>
      </c>
      <c r="J2901" s="197">
        <v>0</v>
      </c>
      <c r="K2901" s="197">
        <v>0</v>
      </c>
      <c r="L2901" s="197">
        <v>0</v>
      </c>
      <c r="M2901" s="260" t="s">
        <v>239</v>
      </c>
      <c r="N2901" s="260" t="s">
        <v>514</v>
      </c>
    </row>
    <row r="2902" spans="1:14" ht="14.5" x14ac:dyDescent="0.35">
      <c r="A2902" s="260" t="s">
        <v>566</v>
      </c>
      <c r="B2902" s="190">
        <v>45893</v>
      </c>
      <c r="C2902" s="260" t="s">
        <v>749</v>
      </c>
      <c r="D2902" s="197">
        <v>0</v>
      </c>
      <c r="E2902" s="197">
        <v>0</v>
      </c>
      <c r="F2902" s="197">
        <v>49.9</v>
      </c>
      <c r="G2902" s="190">
        <v>45891</v>
      </c>
      <c r="H2902" s="196">
        <v>2</v>
      </c>
      <c r="I2902" s="197">
        <v>0</v>
      </c>
      <c r="J2902" s="197">
        <v>0</v>
      </c>
      <c r="K2902" s="197">
        <v>0</v>
      </c>
      <c r="L2902" s="197">
        <v>0</v>
      </c>
      <c r="M2902" s="260" t="s">
        <v>239</v>
      </c>
      <c r="N2902" s="260" t="s">
        <v>514</v>
      </c>
    </row>
    <row r="2903" spans="1:14" ht="14.5" x14ac:dyDescent="0.35">
      <c r="A2903" s="260" t="s">
        <v>566</v>
      </c>
      <c r="B2903" s="190">
        <v>45893</v>
      </c>
      <c r="C2903" s="260" t="s">
        <v>752</v>
      </c>
      <c r="D2903" s="197">
        <v>0</v>
      </c>
      <c r="E2903" s="197">
        <v>0</v>
      </c>
      <c r="F2903" s="197">
        <v>185.7</v>
      </c>
      <c r="G2903" s="190">
        <v>45891</v>
      </c>
      <c r="H2903" s="196">
        <v>2</v>
      </c>
      <c r="I2903" s="197">
        <v>0</v>
      </c>
      <c r="J2903" s="197">
        <v>0</v>
      </c>
      <c r="K2903" s="197">
        <v>0</v>
      </c>
      <c r="L2903" s="197">
        <v>0</v>
      </c>
      <c r="M2903" s="260" t="s">
        <v>239</v>
      </c>
      <c r="N2903" s="260" t="s">
        <v>514</v>
      </c>
    </row>
    <row r="2904" spans="1:14" ht="14.5" x14ac:dyDescent="0.35">
      <c r="A2904" s="260" t="s">
        <v>566</v>
      </c>
      <c r="B2904" s="190">
        <v>45893</v>
      </c>
      <c r="C2904" s="260" t="s">
        <v>754</v>
      </c>
      <c r="D2904" s="197">
        <v>0</v>
      </c>
      <c r="E2904" s="197">
        <v>0</v>
      </c>
      <c r="F2904" s="197">
        <v>83.3</v>
      </c>
      <c r="G2904" s="190">
        <v>45891</v>
      </c>
      <c r="H2904" s="196">
        <v>2</v>
      </c>
      <c r="I2904" s="197">
        <v>0</v>
      </c>
      <c r="J2904" s="197">
        <v>0</v>
      </c>
      <c r="K2904" s="197">
        <v>0</v>
      </c>
      <c r="L2904" s="197">
        <v>0</v>
      </c>
      <c r="M2904" s="260" t="s">
        <v>239</v>
      </c>
      <c r="N2904" s="260" t="s">
        <v>514</v>
      </c>
    </row>
    <row r="2905" spans="1:14" ht="14.5" x14ac:dyDescent="0.35">
      <c r="A2905" s="260" t="s">
        <v>566</v>
      </c>
      <c r="B2905" s="190">
        <v>45894</v>
      </c>
      <c r="C2905" s="260" t="s">
        <v>749</v>
      </c>
      <c r="D2905" s="197">
        <v>0</v>
      </c>
      <c r="E2905" s="197">
        <v>0</v>
      </c>
      <c r="F2905" s="197">
        <v>49.6</v>
      </c>
      <c r="G2905" s="190">
        <v>45894</v>
      </c>
      <c r="H2905" s="196">
        <v>0</v>
      </c>
      <c r="I2905" s="197">
        <v>0</v>
      </c>
      <c r="J2905" s="197">
        <v>0</v>
      </c>
      <c r="K2905" s="197">
        <v>0</v>
      </c>
      <c r="L2905" s="197">
        <v>0</v>
      </c>
      <c r="M2905" s="260" t="s">
        <v>239</v>
      </c>
      <c r="N2905" s="260" t="s">
        <v>514</v>
      </c>
    </row>
    <row r="2906" spans="1:14" ht="14.5" x14ac:dyDescent="0.35">
      <c r="A2906" s="260" t="s">
        <v>566</v>
      </c>
      <c r="B2906" s="190">
        <v>45894</v>
      </c>
      <c r="C2906" s="260" t="s">
        <v>752</v>
      </c>
      <c r="D2906" s="197">
        <v>0</v>
      </c>
      <c r="E2906" s="197">
        <v>0</v>
      </c>
      <c r="F2906" s="197">
        <v>186.8</v>
      </c>
      <c r="G2906" s="190">
        <v>45894</v>
      </c>
      <c r="H2906" s="196">
        <v>0</v>
      </c>
      <c r="I2906" s="197">
        <v>0</v>
      </c>
      <c r="J2906" s="197">
        <v>0</v>
      </c>
      <c r="K2906" s="197">
        <v>0</v>
      </c>
      <c r="L2906" s="197">
        <v>0</v>
      </c>
      <c r="M2906" s="260" t="s">
        <v>239</v>
      </c>
      <c r="N2906" s="260" t="s">
        <v>514</v>
      </c>
    </row>
    <row r="2907" spans="1:14" ht="14.5" x14ac:dyDescent="0.35">
      <c r="A2907" s="260" t="s">
        <v>566</v>
      </c>
      <c r="B2907" s="190">
        <v>45894</v>
      </c>
      <c r="C2907" s="260" t="s">
        <v>754</v>
      </c>
      <c r="D2907" s="197">
        <v>0</v>
      </c>
      <c r="E2907" s="197">
        <v>0</v>
      </c>
      <c r="F2907" s="197">
        <v>84.2</v>
      </c>
      <c r="G2907" s="190">
        <v>45894</v>
      </c>
      <c r="H2907" s="196">
        <v>0</v>
      </c>
      <c r="I2907" s="197">
        <v>0</v>
      </c>
      <c r="J2907" s="197">
        <v>0</v>
      </c>
      <c r="K2907" s="197">
        <v>0</v>
      </c>
      <c r="L2907" s="197">
        <v>0</v>
      </c>
      <c r="M2907" s="260" t="s">
        <v>239</v>
      </c>
      <c r="N2907" s="260" t="s">
        <v>514</v>
      </c>
    </row>
    <row r="2908" spans="1:14" ht="14.5" x14ac:dyDescent="0.35">
      <c r="A2908" s="260" t="s">
        <v>566</v>
      </c>
      <c r="B2908" s="190">
        <v>45895</v>
      </c>
      <c r="C2908" s="260" t="s">
        <v>749</v>
      </c>
      <c r="D2908" s="197">
        <v>0</v>
      </c>
      <c r="E2908" s="197">
        <v>0</v>
      </c>
      <c r="F2908" s="197">
        <v>49.5</v>
      </c>
      <c r="G2908" s="190">
        <v>45895</v>
      </c>
      <c r="H2908" s="196">
        <v>0</v>
      </c>
      <c r="I2908" s="197">
        <v>0</v>
      </c>
      <c r="J2908" s="197">
        <v>0</v>
      </c>
      <c r="K2908" s="197">
        <v>0</v>
      </c>
      <c r="L2908" s="197">
        <v>0</v>
      </c>
      <c r="M2908" s="260" t="s">
        <v>239</v>
      </c>
      <c r="N2908" s="260" t="s">
        <v>514</v>
      </c>
    </row>
    <row r="2909" spans="1:14" ht="14.5" x14ac:dyDescent="0.35">
      <c r="A2909" s="260" t="s">
        <v>566</v>
      </c>
      <c r="B2909" s="190">
        <v>45895</v>
      </c>
      <c r="C2909" s="260" t="s">
        <v>752</v>
      </c>
      <c r="D2909" s="197">
        <v>0</v>
      </c>
      <c r="E2909" s="197">
        <v>0</v>
      </c>
      <c r="F2909" s="197">
        <v>187.17</v>
      </c>
      <c r="G2909" s="190">
        <v>45895</v>
      </c>
      <c r="H2909" s="196">
        <v>0</v>
      </c>
      <c r="I2909" s="197">
        <v>0</v>
      </c>
      <c r="J2909" s="197">
        <v>0</v>
      </c>
      <c r="K2909" s="197">
        <v>0</v>
      </c>
      <c r="L2909" s="197">
        <v>0</v>
      </c>
      <c r="M2909" s="260" t="s">
        <v>239</v>
      </c>
      <c r="N2909" s="260" t="s">
        <v>514</v>
      </c>
    </row>
    <row r="2910" spans="1:14" ht="14.5" x14ac:dyDescent="0.35">
      <c r="A2910" s="260" t="s">
        <v>566</v>
      </c>
      <c r="B2910" s="190">
        <v>45895</v>
      </c>
      <c r="C2910" s="260" t="s">
        <v>754</v>
      </c>
      <c r="D2910" s="197">
        <v>0</v>
      </c>
      <c r="E2910" s="197">
        <v>0</v>
      </c>
      <c r="F2910" s="197">
        <v>84.5</v>
      </c>
      <c r="G2910" s="190">
        <v>45895</v>
      </c>
      <c r="H2910" s="196">
        <v>0</v>
      </c>
      <c r="I2910" s="197">
        <v>0</v>
      </c>
      <c r="J2910" s="197">
        <v>0</v>
      </c>
      <c r="K2910" s="197">
        <v>0</v>
      </c>
      <c r="L2910" s="197">
        <v>0</v>
      </c>
      <c r="M2910" s="260" t="s">
        <v>239</v>
      </c>
      <c r="N2910" s="260" t="s">
        <v>514</v>
      </c>
    </row>
    <row r="2911" spans="1:14" ht="14.5" x14ac:dyDescent="0.35">
      <c r="A2911" s="260" t="s">
        <v>566</v>
      </c>
      <c r="B2911" s="190">
        <v>45896</v>
      </c>
      <c r="C2911" s="260" t="s">
        <v>749</v>
      </c>
      <c r="D2911" s="197">
        <v>0</v>
      </c>
      <c r="E2911" s="197">
        <v>0</v>
      </c>
      <c r="F2911" s="197">
        <v>49.4</v>
      </c>
      <c r="G2911" s="190">
        <v>45896</v>
      </c>
      <c r="H2911" s="196">
        <v>0</v>
      </c>
      <c r="I2911" s="197">
        <v>0</v>
      </c>
      <c r="J2911" s="197">
        <v>0</v>
      </c>
      <c r="K2911" s="197">
        <v>0</v>
      </c>
      <c r="L2911" s="197">
        <v>0</v>
      </c>
      <c r="M2911" s="260" t="s">
        <v>239</v>
      </c>
      <c r="N2911" s="260" t="s">
        <v>514</v>
      </c>
    </row>
    <row r="2912" spans="1:14" ht="14.5" x14ac:dyDescent="0.35">
      <c r="A2912" s="260" t="s">
        <v>566</v>
      </c>
      <c r="B2912" s="190">
        <v>45896</v>
      </c>
      <c r="C2912" s="260" t="s">
        <v>752</v>
      </c>
      <c r="D2912" s="197">
        <v>0</v>
      </c>
      <c r="E2912" s="197">
        <v>0</v>
      </c>
      <c r="F2912" s="197">
        <v>187.53</v>
      </c>
      <c r="G2912" s="190">
        <v>45896</v>
      </c>
      <c r="H2912" s="196">
        <v>0</v>
      </c>
      <c r="I2912" s="197">
        <v>0</v>
      </c>
      <c r="J2912" s="197">
        <v>0</v>
      </c>
      <c r="K2912" s="197">
        <v>0</v>
      </c>
      <c r="L2912" s="197">
        <v>0</v>
      </c>
      <c r="M2912" s="260" t="s">
        <v>239</v>
      </c>
      <c r="N2912" s="260" t="s">
        <v>514</v>
      </c>
    </row>
    <row r="2913" spans="1:14" ht="14.5" x14ac:dyDescent="0.35">
      <c r="A2913" s="260" t="s">
        <v>566</v>
      </c>
      <c r="B2913" s="190">
        <v>45896</v>
      </c>
      <c r="C2913" s="260" t="s">
        <v>754</v>
      </c>
      <c r="D2913" s="197">
        <v>0</v>
      </c>
      <c r="E2913" s="197">
        <v>0</v>
      </c>
      <c r="F2913" s="197">
        <v>84.8</v>
      </c>
      <c r="G2913" s="190">
        <v>45896</v>
      </c>
      <c r="H2913" s="196">
        <v>0</v>
      </c>
      <c r="I2913" s="197">
        <v>0</v>
      </c>
      <c r="J2913" s="197">
        <v>0</v>
      </c>
      <c r="K2913" s="197">
        <v>0</v>
      </c>
      <c r="L2913" s="197">
        <v>0</v>
      </c>
      <c r="M2913" s="260" t="s">
        <v>239</v>
      </c>
      <c r="N2913" s="260" t="s">
        <v>514</v>
      </c>
    </row>
    <row r="2914" spans="1:14" ht="14.5" x14ac:dyDescent="0.35">
      <c r="A2914" s="260" t="s">
        <v>566</v>
      </c>
      <c r="B2914" s="190">
        <v>45897</v>
      </c>
      <c r="C2914" s="260" t="s">
        <v>749</v>
      </c>
      <c r="D2914" s="197">
        <v>0</v>
      </c>
      <c r="E2914" s="197">
        <v>0</v>
      </c>
      <c r="F2914" s="197">
        <v>49.3</v>
      </c>
      <c r="G2914" s="190">
        <v>45897</v>
      </c>
      <c r="H2914" s="196">
        <v>0</v>
      </c>
      <c r="I2914" s="197">
        <v>0</v>
      </c>
      <c r="J2914" s="197">
        <v>0</v>
      </c>
      <c r="K2914" s="197">
        <v>0</v>
      </c>
      <c r="L2914" s="197">
        <v>0</v>
      </c>
      <c r="M2914" s="260" t="s">
        <v>239</v>
      </c>
      <c r="N2914" s="260" t="s">
        <v>514</v>
      </c>
    </row>
    <row r="2915" spans="1:14" ht="14.5" x14ac:dyDescent="0.35">
      <c r="A2915" s="260" t="s">
        <v>566</v>
      </c>
      <c r="B2915" s="190">
        <v>45897</v>
      </c>
      <c r="C2915" s="260" t="s">
        <v>752</v>
      </c>
      <c r="D2915" s="197">
        <v>0</v>
      </c>
      <c r="E2915" s="197">
        <v>0</v>
      </c>
      <c r="F2915" s="197">
        <v>187.9</v>
      </c>
      <c r="G2915" s="190">
        <v>45897</v>
      </c>
      <c r="H2915" s="196">
        <v>0</v>
      </c>
      <c r="I2915" s="197">
        <v>0</v>
      </c>
      <c r="J2915" s="197">
        <v>0</v>
      </c>
      <c r="K2915" s="197">
        <v>0</v>
      </c>
      <c r="L2915" s="197">
        <v>0</v>
      </c>
      <c r="M2915" s="260" t="s">
        <v>239</v>
      </c>
      <c r="N2915" s="260" t="s">
        <v>514</v>
      </c>
    </row>
    <row r="2916" spans="1:14" ht="14.5" x14ac:dyDescent="0.35">
      <c r="A2916" s="260" t="s">
        <v>566</v>
      </c>
      <c r="B2916" s="190">
        <v>45897</v>
      </c>
      <c r="C2916" s="260" t="s">
        <v>754</v>
      </c>
      <c r="D2916" s="197">
        <v>0</v>
      </c>
      <c r="E2916" s="197">
        <v>0</v>
      </c>
      <c r="F2916" s="197">
        <v>85.1</v>
      </c>
      <c r="G2916" s="190">
        <v>45897</v>
      </c>
      <c r="H2916" s="196">
        <v>0</v>
      </c>
      <c r="I2916" s="197">
        <v>0</v>
      </c>
      <c r="J2916" s="197">
        <v>0</v>
      </c>
      <c r="K2916" s="197">
        <v>0</v>
      </c>
      <c r="L2916" s="197">
        <v>0</v>
      </c>
      <c r="M2916" s="260" t="s">
        <v>239</v>
      </c>
      <c r="N2916" s="260" t="s">
        <v>514</v>
      </c>
    </row>
    <row r="2917" spans="1:14" ht="14.5" x14ac:dyDescent="0.35">
      <c r="A2917" s="260" t="s">
        <v>566</v>
      </c>
      <c r="B2917" s="190">
        <v>45898</v>
      </c>
      <c r="C2917" s="260" t="s">
        <v>749</v>
      </c>
      <c r="D2917" s="197">
        <v>0</v>
      </c>
      <c r="E2917" s="197">
        <v>0</v>
      </c>
      <c r="F2917" s="197">
        <v>49.2</v>
      </c>
      <c r="G2917" s="190">
        <v>45898</v>
      </c>
      <c r="H2917" s="196">
        <v>0</v>
      </c>
      <c r="I2917" s="197">
        <v>0</v>
      </c>
      <c r="J2917" s="197">
        <v>0</v>
      </c>
      <c r="K2917" s="197">
        <v>0</v>
      </c>
      <c r="L2917" s="197">
        <v>0</v>
      </c>
      <c r="M2917" s="260" t="s">
        <v>239</v>
      </c>
      <c r="N2917" s="260" t="s">
        <v>514</v>
      </c>
    </row>
    <row r="2918" spans="1:14" ht="14.5" x14ac:dyDescent="0.35">
      <c r="A2918" s="260" t="s">
        <v>566</v>
      </c>
      <c r="B2918" s="190">
        <v>45898</v>
      </c>
      <c r="C2918" s="260" t="s">
        <v>752</v>
      </c>
      <c r="D2918" s="197">
        <v>0</v>
      </c>
      <c r="E2918" s="197">
        <v>0</v>
      </c>
      <c r="F2918" s="197">
        <v>188.27</v>
      </c>
      <c r="G2918" s="190">
        <v>45898</v>
      </c>
      <c r="H2918" s="196">
        <v>0</v>
      </c>
      <c r="I2918" s="197">
        <v>0</v>
      </c>
      <c r="J2918" s="197">
        <v>0</v>
      </c>
      <c r="K2918" s="197">
        <v>0</v>
      </c>
      <c r="L2918" s="197">
        <v>0</v>
      </c>
      <c r="M2918" s="260" t="s">
        <v>239</v>
      </c>
      <c r="N2918" s="260" t="s">
        <v>514</v>
      </c>
    </row>
    <row r="2919" spans="1:14" ht="14.5" x14ac:dyDescent="0.35">
      <c r="A2919" s="260" t="s">
        <v>566</v>
      </c>
      <c r="B2919" s="190">
        <v>45898</v>
      </c>
      <c r="C2919" s="260" t="s">
        <v>754</v>
      </c>
      <c r="D2919" s="197">
        <v>0</v>
      </c>
      <c r="E2919" s="197">
        <v>0</v>
      </c>
      <c r="F2919" s="197">
        <v>85.4</v>
      </c>
      <c r="G2919" s="190">
        <v>45898</v>
      </c>
      <c r="H2919" s="196">
        <v>0</v>
      </c>
      <c r="I2919" s="197">
        <v>0</v>
      </c>
      <c r="J2919" s="197">
        <v>0</v>
      </c>
      <c r="K2919" s="197">
        <v>0</v>
      </c>
      <c r="L2919" s="197">
        <v>0</v>
      </c>
      <c r="M2919" s="260" t="s">
        <v>239</v>
      </c>
      <c r="N2919" s="260" t="s">
        <v>514</v>
      </c>
    </row>
    <row r="2920" spans="1:14" ht="14.5" x14ac:dyDescent="0.35">
      <c r="A2920" s="260" t="s">
        <v>566</v>
      </c>
      <c r="B2920" s="190">
        <v>45899</v>
      </c>
      <c r="C2920" s="260" t="s">
        <v>749</v>
      </c>
      <c r="D2920" s="197">
        <v>0</v>
      </c>
      <c r="E2920" s="197">
        <v>0</v>
      </c>
      <c r="F2920" s="197">
        <v>49.2</v>
      </c>
      <c r="G2920" s="190">
        <v>45898</v>
      </c>
      <c r="H2920" s="196">
        <v>1</v>
      </c>
      <c r="I2920" s="197">
        <v>0</v>
      </c>
      <c r="J2920" s="197">
        <v>0</v>
      </c>
      <c r="K2920" s="197">
        <v>0</v>
      </c>
      <c r="L2920" s="197">
        <v>0</v>
      </c>
      <c r="M2920" s="260" t="s">
        <v>239</v>
      </c>
      <c r="N2920" s="260" t="s">
        <v>514</v>
      </c>
    </row>
    <row r="2921" spans="1:14" ht="14.5" x14ac:dyDescent="0.35">
      <c r="A2921" s="260" t="s">
        <v>566</v>
      </c>
      <c r="B2921" s="190">
        <v>45899</v>
      </c>
      <c r="C2921" s="260" t="s">
        <v>752</v>
      </c>
      <c r="D2921" s="197">
        <v>0</v>
      </c>
      <c r="E2921" s="197">
        <v>0</v>
      </c>
      <c r="F2921" s="197">
        <v>188.27</v>
      </c>
      <c r="G2921" s="190">
        <v>45898</v>
      </c>
      <c r="H2921" s="196">
        <v>1</v>
      </c>
      <c r="I2921" s="197">
        <v>0</v>
      </c>
      <c r="J2921" s="197">
        <v>0</v>
      </c>
      <c r="K2921" s="197">
        <v>0</v>
      </c>
      <c r="L2921" s="197">
        <v>0</v>
      </c>
      <c r="M2921" s="260" t="s">
        <v>239</v>
      </c>
      <c r="N2921" s="260" t="s">
        <v>514</v>
      </c>
    </row>
    <row r="2922" spans="1:14" ht="14.5" x14ac:dyDescent="0.35">
      <c r="A2922" s="260" t="s">
        <v>566</v>
      </c>
      <c r="B2922" s="190">
        <v>45899</v>
      </c>
      <c r="C2922" s="260" t="s">
        <v>754</v>
      </c>
      <c r="D2922" s="197">
        <v>0</v>
      </c>
      <c r="E2922" s="197">
        <v>0</v>
      </c>
      <c r="F2922" s="197">
        <v>85.4</v>
      </c>
      <c r="G2922" s="190">
        <v>45898</v>
      </c>
      <c r="H2922" s="196">
        <v>1</v>
      </c>
      <c r="I2922" s="197">
        <v>0</v>
      </c>
      <c r="J2922" s="197">
        <v>0</v>
      </c>
      <c r="K2922" s="197">
        <v>0</v>
      </c>
      <c r="L2922" s="197">
        <v>0</v>
      </c>
      <c r="M2922" s="260" t="s">
        <v>239</v>
      </c>
      <c r="N2922" s="260" t="s">
        <v>514</v>
      </c>
    </row>
    <row r="2923" spans="1:14" ht="14.5" x14ac:dyDescent="0.35">
      <c r="A2923" s="260" t="s">
        <v>566</v>
      </c>
      <c r="B2923" s="190">
        <v>45900</v>
      </c>
      <c r="C2923" s="260" t="s">
        <v>749</v>
      </c>
      <c r="D2923" s="197">
        <v>0</v>
      </c>
      <c r="E2923" s="197">
        <v>0</v>
      </c>
      <c r="F2923" s="197">
        <v>49.2</v>
      </c>
      <c r="G2923" s="190">
        <v>45898</v>
      </c>
      <c r="H2923" s="196">
        <v>2</v>
      </c>
      <c r="I2923" s="197">
        <v>0</v>
      </c>
      <c r="J2923" s="197">
        <v>0</v>
      </c>
      <c r="K2923" s="197">
        <v>0</v>
      </c>
      <c r="L2923" s="197">
        <v>0</v>
      </c>
      <c r="M2923" s="260" t="s">
        <v>239</v>
      </c>
      <c r="N2923" s="260" t="s">
        <v>514</v>
      </c>
    </row>
    <row r="2924" spans="1:14" ht="14.5" x14ac:dyDescent="0.35">
      <c r="A2924" s="260" t="s">
        <v>566</v>
      </c>
      <c r="B2924" s="190">
        <v>45900</v>
      </c>
      <c r="C2924" s="260" t="s">
        <v>752</v>
      </c>
      <c r="D2924" s="197">
        <v>0</v>
      </c>
      <c r="E2924" s="197">
        <v>0</v>
      </c>
      <c r="F2924" s="197">
        <v>188.27</v>
      </c>
      <c r="G2924" s="190">
        <v>45898</v>
      </c>
      <c r="H2924" s="196">
        <v>2</v>
      </c>
      <c r="I2924" s="197">
        <v>0</v>
      </c>
      <c r="J2924" s="197">
        <v>0</v>
      </c>
      <c r="K2924" s="197">
        <v>0</v>
      </c>
      <c r="L2924" s="197">
        <v>0</v>
      </c>
      <c r="M2924" s="260" t="s">
        <v>239</v>
      </c>
      <c r="N2924" s="260" t="s">
        <v>514</v>
      </c>
    </row>
    <row r="2925" spans="1:14" ht="14.5" x14ac:dyDescent="0.35">
      <c r="A2925" s="260" t="s">
        <v>566</v>
      </c>
      <c r="B2925" s="190">
        <v>45900</v>
      </c>
      <c r="C2925" s="260" t="s">
        <v>754</v>
      </c>
      <c r="D2925" s="197">
        <v>0</v>
      </c>
      <c r="E2925" s="197">
        <v>0</v>
      </c>
      <c r="F2925" s="197">
        <v>85.4</v>
      </c>
      <c r="G2925" s="190">
        <v>45898</v>
      </c>
      <c r="H2925" s="196">
        <v>2</v>
      </c>
      <c r="I2925" s="197">
        <v>0</v>
      </c>
      <c r="J2925" s="197">
        <v>0</v>
      </c>
      <c r="K2925" s="197">
        <v>0</v>
      </c>
      <c r="L2925" s="197">
        <v>0</v>
      </c>
      <c r="M2925" s="260" t="s">
        <v>239</v>
      </c>
      <c r="N2925" s="260" t="s">
        <v>514</v>
      </c>
    </row>
    <row r="2926" spans="1:14" ht="14.5" x14ac:dyDescent="0.35">
      <c r="A2926" s="260" t="s">
        <v>566</v>
      </c>
      <c r="B2926" s="190">
        <v>45901</v>
      </c>
      <c r="C2926" s="260" t="s">
        <v>749</v>
      </c>
      <c r="D2926" s="197">
        <v>0</v>
      </c>
      <c r="E2926" s="197">
        <v>0</v>
      </c>
      <c r="F2926" s="197">
        <v>49</v>
      </c>
      <c r="G2926" s="190">
        <v>45901</v>
      </c>
      <c r="H2926" s="196">
        <v>0</v>
      </c>
      <c r="I2926" s="197">
        <v>0</v>
      </c>
      <c r="J2926" s="197">
        <v>0</v>
      </c>
      <c r="K2926" s="197">
        <v>0</v>
      </c>
      <c r="L2926" s="197">
        <v>0</v>
      </c>
      <c r="M2926" s="260" t="s">
        <v>239</v>
      </c>
      <c r="N2926" s="260" t="s">
        <v>514</v>
      </c>
    </row>
    <row r="2927" spans="1:14" ht="14.5" x14ac:dyDescent="0.35">
      <c r="A2927" s="260" t="s">
        <v>566</v>
      </c>
      <c r="B2927" s="190">
        <v>45901</v>
      </c>
      <c r="C2927" s="260" t="s">
        <v>752</v>
      </c>
      <c r="D2927" s="197">
        <v>0</v>
      </c>
      <c r="E2927" s="197">
        <v>0</v>
      </c>
      <c r="F2927" s="197">
        <v>186</v>
      </c>
      <c r="G2927" s="190">
        <v>45901</v>
      </c>
      <c r="H2927" s="196">
        <v>0</v>
      </c>
      <c r="I2927" s="197">
        <v>0</v>
      </c>
      <c r="J2927" s="197">
        <v>0</v>
      </c>
      <c r="K2927" s="197">
        <v>0</v>
      </c>
      <c r="L2927" s="197">
        <v>0</v>
      </c>
      <c r="M2927" s="260" t="s">
        <v>239</v>
      </c>
      <c r="N2927" s="260" t="s">
        <v>514</v>
      </c>
    </row>
    <row r="2928" spans="1:14" ht="14.5" x14ac:dyDescent="0.35">
      <c r="A2928" s="260" t="s">
        <v>566</v>
      </c>
      <c r="B2928" s="190">
        <v>45901</v>
      </c>
      <c r="C2928" s="260" t="s">
        <v>754</v>
      </c>
      <c r="D2928" s="197">
        <v>0</v>
      </c>
      <c r="E2928" s="197">
        <v>0</v>
      </c>
      <c r="F2928" s="197">
        <v>86</v>
      </c>
      <c r="G2928" s="190">
        <v>45901</v>
      </c>
      <c r="H2928" s="196">
        <v>0</v>
      </c>
      <c r="I2928" s="197">
        <v>0</v>
      </c>
      <c r="J2928" s="197">
        <v>0</v>
      </c>
      <c r="K2928" s="197">
        <v>0</v>
      </c>
      <c r="L2928" s="197">
        <v>0</v>
      </c>
      <c r="M2928" s="260" t="s">
        <v>239</v>
      </c>
      <c r="N2928" s="260" t="s">
        <v>514</v>
      </c>
    </row>
    <row r="2929" spans="1:14" ht="14.5" x14ac:dyDescent="0.35">
      <c r="A2929" s="260" t="s">
        <v>566</v>
      </c>
      <c r="B2929" s="190">
        <v>45902</v>
      </c>
      <c r="C2929" s="260" t="s">
        <v>749</v>
      </c>
      <c r="D2929" s="197">
        <v>0</v>
      </c>
      <c r="E2929" s="197">
        <v>0</v>
      </c>
      <c r="F2929" s="197">
        <v>49.17</v>
      </c>
      <c r="G2929" s="190">
        <v>45902</v>
      </c>
      <c r="H2929" s="196">
        <v>0</v>
      </c>
      <c r="I2929" s="197">
        <v>0</v>
      </c>
      <c r="J2929" s="197">
        <v>0</v>
      </c>
      <c r="K2929" s="197">
        <v>0</v>
      </c>
      <c r="L2929" s="197">
        <v>0</v>
      </c>
      <c r="M2929" s="260" t="s">
        <v>239</v>
      </c>
      <c r="N2929" s="260" t="s">
        <v>514</v>
      </c>
    </row>
    <row r="2930" spans="1:14" ht="14.5" x14ac:dyDescent="0.35">
      <c r="A2930" s="260" t="s">
        <v>566</v>
      </c>
      <c r="B2930" s="190">
        <v>45902</v>
      </c>
      <c r="C2930" s="260" t="s">
        <v>752</v>
      </c>
      <c r="D2930" s="197">
        <v>0</v>
      </c>
      <c r="E2930" s="197">
        <v>0</v>
      </c>
      <c r="F2930" s="197">
        <v>185.69</v>
      </c>
      <c r="G2930" s="190">
        <v>45902</v>
      </c>
      <c r="H2930" s="196">
        <v>0</v>
      </c>
      <c r="I2930" s="197">
        <v>0</v>
      </c>
      <c r="J2930" s="197">
        <v>0</v>
      </c>
      <c r="K2930" s="197">
        <v>0</v>
      </c>
      <c r="L2930" s="197">
        <v>0</v>
      </c>
      <c r="M2930" s="260" t="s">
        <v>239</v>
      </c>
      <c r="N2930" s="260" t="s">
        <v>514</v>
      </c>
    </row>
    <row r="2931" spans="1:14" ht="14.5" x14ac:dyDescent="0.35">
      <c r="A2931" s="260" t="s">
        <v>566</v>
      </c>
      <c r="B2931" s="190">
        <v>45902</v>
      </c>
      <c r="C2931" s="260" t="s">
        <v>754</v>
      </c>
      <c r="D2931" s="197">
        <v>0</v>
      </c>
      <c r="E2931" s="197">
        <v>0</v>
      </c>
      <c r="F2931" s="197">
        <v>85.86</v>
      </c>
      <c r="G2931" s="190">
        <v>45902</v>
      </c>
      <c r="H2931" s="196">
        <v>0</v>
      </c>
      <c r="I2931" s="197">
        <v>0</v>
      </c>
      <c r="J2931" s="197">
        <v>0</v>
      </c>
      <c r="K2931" s="197">
        <v>0</v>
      </c>
      <c r="L2931" s="197">
        <v>0</v>
      </c>
      <c r="M2931" s="260" t="s">
        <v>239</v>
      </c>
      <c r="N2931" s="260" t="s">
        <v>514</v>
      </c>
    </row>
    <row r="2932" spans="1:14" ht="14.5" x14ac:dyDescent="0.35">
      <c r="A2932" s="260" t="s">
        <v>566</v>
      </c>
      <c r="B2932" s="190">
        <v>45903</v>
      </c>
      <c r="C2932" s="260" t="s">
        <v>749</v>
      </c>
      <c r="D2932" s="197">
        <v>0</v>
      </c>
      <c r="E2932" s="197">
        <v>0</v>
      </c>
      <c r="F2932" s="197">
        <v>49.34</v>
      </c>
      <c r="G2932" s="190">
        <v>45903</v>
      </c>
      <c r="H2932" s="196">
        <v>0</v>
      </c>
      <c r="I2932" s="197">
        <v>0</v>
      </c>
      <c r="J2932" s="197">
        <v>0</v>
      </c>
      <c r="K2932" s="197">
        <v>0</v>
      </c>
      <c r="L2932" s="197">
        <v>0</v>
      </c>
      <c r="M2932" s="260" t="s">
        <v>239</v>
      </c>
      <c r="N2932" s="260" t="s">
        <v>514</v>
      </c>
    </row>
    <row r="2933" spans="1:14" ht="14.5" x14ac:dyDescent="0.35">
      <c r="A2933" s="260" t="s">
        <v>566</v>
      </c>
      <c r="B2933" s="190">
        <v>45903</v>
      </c>
      <c r="C2933" s="260" t="s">
        <v>752</v>
      </c>
      <c r="D2933" s="197">
        <v>0</v>
      </c>
      <c r="E2933" s="197">
        <v>0</v>
      </c>
      <c r="F2933" s="197">
        <v>185.38</v>
      </c>
      <c r="G2933" s="190">
        <v>45903</v>
      </c>
      <c r="H2933" s="196">
        <v>0</v>
      </c>
      <c r="I2933" s="197">
        <v>0</v>
      </c>
      <c r="J2933" s="197">
        <v>0</v>
      </c>
      <c r="K2933" s="197">
        <v>0</v>
      </c>
      <c r="L2933" s="197">
        <v>0</v>
      </c>
      <c r="M2933" s="260" t="s">
        <v>239</v>
      </c>
      <c r="N2933" s="260" t="s">
        <v>514</v>
      </c>
    </row>
    <row r="2934" spans="1:14" ht="14.5" x14ac:dyDescent="0.35">
      <c r="A2934" s="260" t="s">
        <v>566</v>
      </c>
      <c r="B2934" s="190">
        <v>45903</v>
      </c>
      <c r="C2934" s="260" t="s">
        <v>754</v>
      </c>
      <c r="D2934" s="197">
        <v>0</v>
      </c>
      <c r="E2934" s="197">
        <v>0</v>
      </c>
      <c r="F2934" s="197">
        <v>85.72</v>
      </c>
      <c r="G2934" s="190">
        <v>45903</v>
      </c>
      <c r="H2934" s="196">
        <v>0</v>
      </c>
      <c r="I2934" s="197">
        <v>0</v>
      </c>
      <c r="J2934" s="197">
        <v>0</v>
      </c>
      <c r="K2934" s="197">
        <v>0</v>
      </c>
      <c r="L2934" s="197">
        <v>0</v>
      </c>
      <c r="M2934" s="260" t="s">
        <v>239</v>
      </c>
      <c r="N2934" s="260" t="s">
        <v>514</v>
      </c>
    </row>
    <row r="2935" spans="1:14" ht="14.5" x14ac:dyDescent="0.35">
      <c r="A2935" s="260" t="s">
        <v>566</v>
      </c>
      <c r="B2935" s="190">
        <v>45904</v>
      </c>
      <c r="C2935" s="260" t="s">
        <v>749</v>
      </c>
      <c r="D2935" s="197">
        <v>0</v>
      </c>
      <c r="E2935" s="197">
        <v>0</v>
      </c>
      <c r="F2935" s="197">
        <v>49.52</v>
      </c>
      <c r="G2935" s="190">
        <v>45904</v>
      </c>
      <c r="H2935" s="196">
        <v>0</v>
      </c>
      <c r="I2935" s="197">
        <v>0</v>
      </c>
      <c r="J2935" s="197">
        <v>0</v>
      </c>
      <c r="K2935" s="197">
        <v>0</v>
      </c>
      <c r="L2935" s="197">
        <v>0</v>
      </c>
      <c r="M2935" s="260" t="s">
        <v>239</v>
      </c>
      <c r="N2935" s="260" t="s">
        <v>514</v>
      </c>
    </row>
    <row r="2936" spans="1:14" ht="14.5" x14ac:dyDescent="0.35">
      <c r="A2936" s="260" t="s">
        <v>566</v>
      </c>
      <c r="B2936" s="190">
        <v>45904</v>
      </c>
      <c r="C2936" s="260" t="s">
        <v>752</v>
      </c>
      <c r="D2936" s="197">
        <v>0</v>
      </c>
      <c r="E2936" s="197">
        <v>0</v>
      </c>
      <c r="F2936" s="197">
        <v>185.07</v>
      </c>
      <c r="G2936" s="190">
        <v>45904</v>
      </c>
      <c r="H2936" s="196">
        <v>0</v>
      </c>
      <c r="I2936" s="197">
        <v>0</v>
      </c>
      <c r="J2936" s="197">
        <v>0</v>
      </c>
      <c r="K2936" s="197">
        <v>0</v>
      </c>
      <c r="L2936" s="197">
        <v>0</v>
      </c>
      <c r="M2936" s="260" t="s">
        <v>239</v>
      </c>
      <c r="N2936" s="260" t="s">
        <v>514</v>
      </c>
    </row>
    <row r="2937" spans="1:14" ht="14.5" x14ac:dyDescent="0.35">
      <c r="A2937" s="260" t="s">
        <v>566</v>
      </c>
      <c r="B2937" s="190">
        <v>45904</v>
      </c>
      <c r="C2937" s="260" t="s">
        <v>754</v>
      </c>
      <c r="D2937" s="197">
        <v>0</v>
      </c>
      <c r="E2937" s="197">
        <v>0</v>
      </c>
      <c r="F2937" s="197">
        <v>85.59</v>
      </c>
      <c r="G2937" s="190">
        <v>45904</v>
      </c>
      <c r="H2937" s="196">
        <v>0</v>
      </c>
      <c r="I2937" s="197">
        <v>0</v>
      </c>
      <c r="J2937" s="197">
        <v>0</v>
      </c>
      <c r="K2937" s="197">
        <v>0</v>
      </c>
      <c r="L2937" s="197">
        <v>0</v>
      </c>
      <c r="M2937" s="260" t="s">
        <v>239</v>
      </c>
      <c r="N2937" s="260" t="s">
        <v>514</v>
      </c>
    </row>
    <row r="2938" spans="1:14" ht="14.5" x14ac:dyDescent="0.35">
      <c r="A2938" s="260" t="s">
        <v>566</v>
      </c>
      <c r="B2938" s="190">
        <v>45905</v>
      </c>
      <c r="C2938" s="260" t="s">
        <v>749</v>
      </c>
      <c r="D2938" s="197">
        <v>0</v>
      </c>
      <c r="E2938" s="197">
        <v>0</v>
      </c>
      <c r="F2938" s="197">
        <v>49.69</v>
      </c>
      <c r="G2938" s="190">
        <v>45905</v>
      </c>
      <c r="H2938" s="196">
        <v>0</v>
      </c>
      <c r="I2938" s="197">
        <v>0</v>
      </c>
      <c r="J2938" s="197">
        <v>0</v>
      </c>
      <c r="K2938" s="197">
        <v>0</v>
      </c>
      <c r="L2938" s="197">
        <v>0</v>
      </c>
      <c r="M2938" s="260" t="s">
        <v>239</v>
      </c>
      <c r="N2938" s="260" t="s">
        <v>514</v>
      </c>
    </row>
    <row r="2939" spans="1:14" ht="14.5" x14ac:dyDescent="0.35">
      <c r="A2939" s="260" t="s">
        <v>566</v>
      </c>
      <c r="B2939" s="190">
        <v>45905</v>
      </c>
      <c r="C2939" s="260" t="s">
        <v>752</v>
      </c>
      <c r="D2939" s="197">
        <v>0</v>
      </c>
      <c r="E2939" s="197">
        <v>0</v>
      </c>
      <c r="F2939" s="197">
        <v>184.76</v>
      </c>
      <c r="G2939" s="190">
        <v>45905</v>
      </c>
      <c r="H2939" s="196">
        <v>0</v>
      </c>
      <c r="I2939" s="197">
        <v>0</v>
      </c>
      <c r="J2939" s="197">
        <v>0</v>
      </c>
      <c r="K2939" s="197">
        <v>0</v>
      </c>
      <c r="L2939" s="197">
        <v>0</v>
      </c>
      <c r="M2939" s="260" t="s">
        <v>239</v>
      </c>
      <c r="N2939" s="260" t="s">
        <v>514</v>
      </c>
    </row>
    <row r="2940" spans="1:14" ht="14.5" x14ac:dyDescent="0.35">
      <c r="A2940" s="260" t="s">
        <v>566</v>
      </c>
      <c r="B2940" s="190">
        <v>45905</v>
      </c>
      <c r="C2940" s="260" t="s">
        <v>754</v>
      </c>
      <c r="D2940" s="197">
        <v>0</v>
      </c>
      <c r="E2940" s="197">
        <v>0</v>
      </c>
      <c r="F2940" s="197">
        <v>85.45</v>
      </c>
      <c r="G2940" s="190">
        <v>45905</v>
      </c>
      <c r="H2940" s="196">
        <v>0</v>
      </c>
      <c r="I2940" s="197">
        <v>0</v>
      </c>
      <c r="J2940" s="197">
        <v>0</v>
      </c>
      <c r="K2940" s="197">
        <v>0</v>
      </c>
      <c r="L2940" s="197">
        <v>0</v>
      </c>
      <c r="M2940" s="260" t="s">
        <v>239</v>
      </c>
      <c r="N2940" s="260" t="s">
        <v>514</v>
      </c>
    </row>
    <row r="2941" spans="1:14" ht="14.5" x14ac:dyDescent="0.35">
      <c r="A2941" s="260" t="s">
        <v>566</v>
      </c>
      <c r="B2941" s="190">
        <v>45906</v>
      </c>
      <c r="C2941" s="260" t="s">
        <v>749</v>
      </c>
      <c r="D2941" s="197">
        <v>0</v>
      </c>
      <c r="E2941" s="197">
        <v>0</v>
      </c>
      <c r="F2941" s="197">
        <v>49.69</v>
      </c>
      <c r="G2941" s="190">
        <v>45905</v>
      </c>
      <c r="H2941" s="196">
        <v>1</v>
      </c>
      <c r="I2941" s="197">
        <v>0</v>
      </c>
      <c r="J2941" s="197">
        <v>0</v>
      </c>
      <c r="K2941" s="197">
        <v>0</v>
      </c>
      <c r="L2941" s="197">
        <v>0</v>
      </c>
      <c r="M2941" s="260" t="s">
        <v>239</v>
      </c>
      <c r="N2941" s="260" t="s">
        <v>514</v>
      </c>
    </row>
    <row r="2942" spans="1:14" ht="14.5" x14ac:dyDescent="0.35">
      <c r="A2942" s="260" t="s">
        <v>566</v>
      </c>
      <c r="B2942" s="190">
        <v>45906</v>
      </c>
      <c r="C2942" s="260" t="s">
        <v>752</v>
      </c>
      <c r="D2942" s="197">
        <v>0</v>
      </c>
      <c r="E2942" s="197">
        <v>0</v>
      </c>
      <c r="F2942" s="197">
        <v>184.76</v>
      </c>
      <c r="G2942" s="190">
        <v>45905</v>
      </c>
      <c r="H2942" s="196">
        <v>1</v>
      </c>
      <c r="I2942" s="197">
        <v>0</v>
      </c>
      <c r="J2942" s="197">
        <v>0</v>
      </c>
      <c r="K2942" s="197">
        <v>0</v>
      </c>
      <c r="L2942" s="197">
        <v>0</v>
      </c>
      <c r="M2942" s="260" t="s">
        <v>239</v>
      </c>
      <c r="N2942" s="260" t="s">
        <v>514</v>
      </c>
    </row>
    <row r="2943" spans="1:14" ht="14.5" x14ac:dyDescent="0.35">
      <c r="A2943" s="260" t="s">
        <v>566</v>
      </c>
      <c r="B2943" s="190">
        <v>45906</v>
      </c>
      <c r="C2943" s="260" t="s">
        <v>754</v>
      </c>
      <c r="D2943" s="197">
        <v>0</v>
      </c>
      <c r="E2943" s="197">
        <v>0</v>
      </c>
      <c r="F2943" s="197">
        <v>85.45</v>
      </c>
      <c r="G2943" s="190">
        <v>45905</v>
      </c>
      <c r="H2943" s="196">
        <v>1</v>
      </c>
      <c r="I2943" s="197">
        <v>0</v>
      </c>
      <c r="J2943" s="197">
        <v>0</v>
      </c>
      <c r="K2943" s="197">
        <v>0</v>
      </c>
      <c r="L2943" s="197">
        <v>0</v>
      </c>
      <c r="M2943" s="260" t="s">
        <v>239</v>
      </c>
      <c r="N2943" s="260" t="s">
        <v>514</v>
      </c>
    </row>
    <row r="2944" spans="1:14" ht="14.5" x14ac:dyDescent="0.35">
      <c r="A2944" s="260" t="s">
        <v>566</v>
      </c>
      <c r="B2944" s="190">
        <v>45907</v>
      </c>
      <c r="C2944" s="260" t="s">
        <v>749</v>
      </c>
      <c r="D2944" s="197">
        <v>0</v>
      </c>
      <c r="E2944" s="197">
        <v>0</v>
      </c>
      <c r="F2944" s="197">
        <v>49.69</v>
      </c>
      <c r="G2944" s="190">
        <v>45905</v>
      </c>
      <c r="H2944" s="196">
        <v>2</v>
      </c>
      <c r="I2944" s="197">
        <v>0</v>
      </c>
      <c r="J2944" s="197">
        <v>0</v>
      </c>
      <c r="K2944" s="197">
        <v>0</v>
      </c>
      <c r="L2944" s="197">
        <v>0</v>
      </c>
      <c r="M2944" s="260" t="s">
        <v>239</v>
      </c>
      <c r="N2944" s="260" t="s">
        <v>514</v>
      </c>
    </row>
    <row r="2945" spans="1:14" ht="14.5" x14ac:dyDescent="0.35">
      <c r="A2945" s="260" t="s">
        <v>566</v>
      </c>
      <c r="B2945" s="190">
        <v>45907</v>
      </c>
      <c r="C2945" s="260" t="s">
        <v>752</v>
      </c>
      <c r="D2945" s="197">
        <v>0</v>
      </c>
      <c r="E2945" s="197">
        <v>0</v>
      </c>
      <c r="F2945" s="197">
        <v>184.76</v>
      </c>
      <c r="G2945" s="190">
        <v>45905</v>
      </c>
      <c r="H2945" s="196">
        <v>2</v>
      </c>
      <c r="I2945" s="197">
        <v>0</v>
      </c>
      <c r="J2945" s="197">
        <v>0</v>
      </c>
      <c r="K2945" s="197">
        <v>0</v>
      </c>
      <c r="L2945" s="197">
        <v>0</v>
      </c>
      <c r="M2945" s="260" t="s">
        <v>239</v>
      </c>
      <c r="N2945" s="260" t="s">
        <v>514</v>
      </c>
    </row>
    <row r="2946" spans="1:14" ht="14.5" x14ac:dyDescent="0.35">
      <c r="A2946" s="260" t="s">
        <v>566</v>
      </c>
      <c r="B2946" s="190">
        <v>45907</v>
      </c>
      <c r="C2946" s="260" t="s">
        <v>754</v>
      </c>
      <c r="D2946" s="197">
        <v>0</v>
      </c>
      <c r="E2946" s="197">
        <v>0</v>
      </c>
      <c r="F2946" s="197">
        <v>85.45</v>
      </c>
      <c r="G2946" s="190">
        <v>45905</v>
      </c>
      <c r="H2946" s="196">
        <v>2</v>
      </c>
      <c r="I2946" s="197">
        <v>0</v>
      </c>
      <c r="J2946" s="197">
        <v>0</v>
      </c>
      <c r="K2946" s="197">
        <v>0</v>
      </c>
      <c r="L2946" s="197">
        <v>0</v>
      </c>
      <c r="M2946" s="260" t="s">
        <v>239</v>
      </c>
      <c r="N2946" s="260" t="s">
        <v>514</v>
      </c>
    </row>
    <row r="2947" spans="1:14" ht="14.5" x14ac:dyDescent="0.35">
      <c r="A2947" s="260" t="s">
        <v>566</v>
      </c>
      <c r="B2947" s="190">
        <v>45908</v>
      </c>
      <c r="C2947" s="260" t="s">
        <v>749</v>
      </c>
      <c r="D2947" s="197">
        <v>0</v>
      </c>
      <c r="E2947" s="197">
        <v>0</v>
      </c>
      <c r="F2947" s="197">
        <v>50.21</v>
      </c>
      <c r="G2947" s="190">
        <v>45908</v>
      </c>
      <c r="H2947" s="196">
        <v>0</v>
      </c>
      <c r="I2947" s="197">
        <v>0</v>
      </c>
      <c r="J2947" s="197">
        <v>0</v>
      </c>
      <c r="K2947" s="197">
        <v>0</v>
      </c>
      <c r="L2947" s="197">
        <v>0</v>
      </c>
      <c r="M2947" s="260" t="s">
        <v>239</v>
      </c>
      <c r="N2947" s="260" t="s">
        <v>514</v>
      </c>
    </row>
    <row r="2948" spans="1:14" ht="14.5" x14ac:dyDescent="0.35">
      <c r="A2948" s="260" t="s">
        <v>566</v>
      </c>
      <c r="B2948" s="190">
        <v>45908</v>
      </c>
      <c r="C2948" s="260" t="s">
        <v>752</v>
      </c>
      <c r="D2948" s="197">
        <v>0</v>
      </c>
      <c r="E2948" s="197">
        <v>0</v>
      </c>
      <c r="F2948" s="197">
        <v>183.83</v>
      </c>
      <c r="G2948" s="190">
        <v>45908</v>
      </c>
      <c r="H2948" s="196">
        <v>0</v>
      </c>
      <c r="I2948" s="197">
        <v>0</v>
      </c>
      <c r="J2948" s="197">
        <v>0</v>
      </c>
      <c r="K2948" s="197">
        <v>0</v>
      </c>
      <c r="L2948" s="197">
        <v>0</v>
      </c>
      <c r="M2948" s="260" t="s">
        <v>239</v>
      </c>
      <c r="N2948" s="260" t="s">
        <v>514</v>
      </c>
    </row>
    <row r="2949" spans="1:14" ht="14.5" x14ac:dyDescent="0.35">
      <c r="A2949" s="260" t="s">
        <v>566</v>
      </c>
      <c r="B2949" s="190">
        <v>45908</v>
      </c>
      <c r="C2949" s="260" t="s">
        <v>754</v>
      </c>
      <c r="D2949" s="197">
        <v>0</v>
      </c>
      <c r="E2949" s="197">
        <v>0</v>
      </c>
      <c r="F2949" s="197">
        <v>85.03</v>
      </c>
      <c r="G2949" s="190">
        <v>45908</v>
      </c>
      <c r="H2949" s="196">
        <v>0</v>
      </c>
      <c r="I2949" s="197">
        <v>0</v>
      </c>
      <c r="J2949" s="197">
        <v>0</v>
      </c>
      <c r="K2949" s="197">
        <v>0</v>
      </c>
      <c r="L2949" s="197">
        <v>0</v>
      </c>
      <c r="M2949" s="260" t="s">
        <v>239</v>
      </c>
      <c r="N2949" s="260" t="s">
        <v>514</v>
      </c>
    </row>
    <row r="2950" spans="1:14" ht="14.5" x14ac:dyDescent="0.35">
      <c r="A2950" s="260" t="s">
        <v>566</v>
      </c>
      <c r="B2950" s="190">
        <v>45909</v>
      </c>
      <c r="C2950" s="260" t="s">
        <v>749</v>
      </c>
      <c r="D2950" s="197">
        <v>0</v>
      </c>
      <c r="E2950" s="197">
        <v>0</v>
      </c>
      <c r="F2950" s="197">
        <v>50.38</v>
      </c>
      <c r="G2950" s="190">
        <v>45909</v>
      </c>
      <c r="H2950" s="196">
        <v>0</v>
      </c>
      <c r="I2950" s="197">
        <v>0</v>
      </c>
      <c r="J2950" s="197">
        <v>0</v>
      </c>
      <c r="K2950" s="197">
        <v>0</v>
      </c>
      <c r="L2950" s="197">
        <v>0</v>
      </c>
      <c r="M2950" s="260" t="s">
        <v>239</v>
      </c>
      <c r="N2950" s="260" t="s">
        <v>514</v>
      </c>
    </row>
    <row r="2951" spans="1:14" ht="14.5" x14ac:dyDescent="0.35">
      <c r="A2951" s="260" t="s">
        <v>566</v>
      </c>
      <c r="B2951" s="190">
        <v>45909</v>
      </c>
      <c r="C2951" s="260" t="s">
        <v>752</v>
      </c>
      <c r="D2951" s="197">
        <v>0</v>
      </c>
      <c r="E2951" s="197">
        <v>0</v>
      </c>
      <c r="F2951" s="197">
        <v>183.52</v>
      </c>
      <c r="G2951" s="190">
        <v>45909</v>
      </c>
      <c r="H2951" s="196">
        <v>0</v>
      </c>
      <c r="I2951" s="197">
        <v>0</v>
      </c>
      <c r="J2951" s="197">
        <v>0</v>
      </c>
      <c r="K2951" s="197">
        <v>0</v>
      </c>
      <c r="L2951" s="197">
        <v>0</v>
      </c>
      <c r="M2951" s="260" t="s">
        <v>239</v>
      </c>
      <c r="N2951" s="260" t="s">
        <v>514</v>
      </c>
    </row>
    <row r="2952" spans="1:14" ht="14.5" x14ac:dyDescent="0.35">
      <c r="A2952" s="260" t="s">
        <v>566</v>
      </c>
      <c r="B2952" s="190">
        <v>45909</v>
      </c>
      <c r="C2952" s="260" t="s">
        <v>754</v>
      </c>
      <c r="D2952" s="197">
        <v>0</v>
      </c>
      <c r="E2952" s="197">
        <v>0</v>
      </c>
      <c r="F2952" s="197">
        <v>84.9</v>
      </c>
      <c r="G2952" s="190">
        <v>45909</v>
      </c>
      <c r="H2952" s="196">
        <v>0</v>
      </c>
      <c r="I2952" s="197">
        <v>0</v>
      </c>
      <c r="J2952" s="197">
        <v>0</v>
      </c>
      <c r="K2952" s="197">
        <v>0</v>
      </c>
      <c r="L2952" s="197">
        <v>0</v>
      </c>
      <c r="M2952" s="260" t="s">
        <v>239</v>
      </c>
      <c r="N2952" s="260" t="s">
        <v>514</v>
      </c>
    </row>
    <row r="2953" spans="1:14" ht="14.5" x14ac:dyDescent="0.35">
      <c r="A2953" s="260" t="s">
        <v>566</v>
      </c>
      <c r="B2953" s="190">
        <v>45910</v>
      </c>
      <c r="C2953" s="260" t="s">
        <v>749</v>
      </c>
      <c r="D2953" s="197">
        <v>0</v>
      </c>
      <c r="E2953" s="197">
        <v>0</v>
      </c>
      <c r="F2953" s="197">
        <v>50.55</v>
      </c>
      <c r="G2953" s="190">
        <v>45910</v>
      </c>
      <c r="H2953" s="196">
        <v>0</v>
      </c>
      <c r="I2953" s="197">
        <v>0</v>
      </c>
      <c r="J2953" s="197">
        <v>0</v>
      </c>
      <c r="K2953" s="197">
        <v>0</v>
      </c>
      <c r="L2953" s="197">
        <v>0</v>
      </c>
      <c r="M2953" s="260" t="s">
        <v>239</v>
      </c>
      <c r="N2953" s="260" t="s">
        <v>514</v>
      </c>
    </row>
    <row r="2954" spans="1:14" ht="14.5" x14ac:dyDescent="0.35">
      <c r="A2954" s="260" t="s">
        <v>566</v>
      </c>
      <c r="B2954" s="190">
        <v>45910</v>
      </c>
      <c r="C2954" s="260" t="s">
        <v>752</v>
      </c>
      <c r="D2954" s="197">
        <v>0</v>
      </c>
      <c r="E2954" s="197">
        <v>0</v>
      </c>
      <c r="F2954" s="197">
        <v>183.21</v>
      </c>
      <c r="G2954" s="190">
        <v>45910</v>
      </c>
      <c r="H2954" s="196">
        <v>0</v>
      </c>
      <c r="I2954" s="197">
        <v>0</v>
      </c>
      <c r="J2954" s="197">
        <v>0</v>
      </c>
      <c r="K2954" s="197">
        <v>0</v>
      </c>
      <c r="L2954" s="197">
        <v>0</v>
      </c>
      <c r="M2954" s="260" t="s">
        <v>239</v>
      </c>
      <c r="N2954" s="260" t="s">
        <v>514</v>
      </c>
    </row>
    <row r="2955" spans="1:14" ht="14.5" x14ac:dyDescent="0.35">
      <c r="A2955" s="260" t="s">
        <v>566</v>
      </c>
      <c r="B2955" s="190">
        <v>45910</v>
      </c>
      <c r="C2955" s="260" t="s">
        <v>754</v>
      </c>
      <c r="D2955" s="197">
        <v>0</v>
      </c>
      <c r="E2955" s="197">
        <v>0</v>
      </c>
      <c r="F2955" s="197">
        <v>84.76</v>
      </c>
      <c r="G2955" s="190">
        <v>45910</v>
      </c>
      <c r="H2955" s="196">
        <v>0</v>
      </c>
      <c r="I2955" s="197">
        <v>0</v>
      </c>
      <c r="J2955" s="197">
        <v>0</v>
      </c>
      <c r="K2955" s="197">
        <v>0</v>
      </c>
      <c r="L2955" s="197">
        <v>0</v>
      </c>
      <c r="M2955" s="260" t="s">
        <v>239</v>
      </c>
      <c r="N2955" s="260" t="s">
        <v>514</v>
      </c>
    </row>
    <row r="2956" spans="1:14" ht="14.5" x14ac:dyDescent="0.35">
      <c r="A2956" s="260" t="s">
        <v>566</v>
      </c>
      <c r="B2956" s="190">
        <v>45911</v>
      </c>
      <c r="C2956" s="260" t="s">
        <v>749</v>
      </c>
      <c r="D2956" s="197">
        <v>0</v>
      </c>
      <c r="E2956" s="197">
        <v>0</v>
      </c>
      <c r="F2956" s="197">
        <v>50.72</v>
      </c>
      <c r="G2956" s="190">
        <v>45911</v>
      </c>
      <c r="H2956" s="196">
        <v>0</v>
      </c>
      <c r="I2956" s="197">
        <v>0</v>
      </c>
      <c r="J2956" s="197">
        <v>0</v>
      </c>
      <c r="K2956" s="197">
        <v>0</v>
      </c>
      <c r="L2956" s="197">
        <v>0</v>
      </c>
      <c r="M2956" s="260" t="s">
        <v>239</v>
      </c>
      <c r="N2956" s="260" t="s">
        <v>514</v>
      </c>
    </row>
    <row r="2957" spans="1:14" ht="14.5" x14ac:dyDescent="0.35">
      <c r="A2957" s="260" t="s">
        <v>566</v>
      </c>
      <c r="B2957" s="190">
        <v>45911</v>
      </c>
      <c r="C2957" s="260" t="s">
        <v>752</v>
      </c>
      <c r="D2957" s="197">
        <v>0</v>
      </c>
      <c r="E2957" s="197">
        <v>0</v>
      </c>
      <c r="F2957" s="197">
        <v>182.9</v>
      </c>
      <c r="G2957" s="190">
        <v>45911</v>
      </c>
      <c r="H2957" s="196">
        <v>0</v>
      </c>
      <c r="I2957" s="197">
        <v>0</v>
      </c>
      <c r="J2957" s="197">
        <v>0</v>
      </c>
      <c r="K2957" s="197">
        <v>0</v>
      </c>
      <c r="L2957" s="197">
        <v>0</v>
      </c>
      <c r="M2957" s="260" t="s">
        <v>239</v>
      </c>
      <c r="N2957" s="260" t="s">
        <v>514</v>
      </c>
    </row>
    <row r="2958" spans="1:14" ht="14.5" x14ac:dyDescent="0.35">
      <c r="A2958" s="260" t="s">
        <v>566</v>
      </c>
      <c r="B2958" s="190">
        <v>45911</v>
      </c>
      <c r="C2958" s="260" t="s">
        <v>754</v>
      </c>
      <c r="D2958" s="197">
        <v>0</v>
      </c>
      <c r="E2958" s="197">
        <v>0</v>
      </c>
      <c r="F2958" s="197">
        <v>84.62</v>
      </c>
      <c r="G2958" s="190">
        <v>45911</v>
      </c>
      <c r="H2958" s="196">
        <v>0</v>
      </c>
      <c r="I2958" s="197">
        <v>0</v>
      </c>
      <c r="J2958" s="197">
        <v>0</v>
      </c>
      <c r="K2958" s="197">
        <v>0</v>
      </c>
      <c r="L2958" s="197">
        <v>0</v>
      </c>
      <c r="M2958" s="260" t="s">
        <v>239</v>
      </c>
      <c r="N2958" s="260" t="s">
        <v>514</v>
      </c>
    </row>
    <row r="2959" spans="1:14" ht="14.5" x14ac:dyDescent="0.35">
      <c r="A2959" s="260" t="s">
        <v>566</v>
      </c>
      <c r="B2959" s="190">
        <v>45912</v>
      </c>
      <c r="C2959" s="260" t="s">
        <v>749</v>
      </c>
      <c r="D2959" s="197">
        <v>0</v>
      </c>
      <c r="E2959" s="197">
        <v>0</v>
      </c>
      <c r="F2959" s="197">
        <v>50.9</v>
      </c>
      <c r="G2959" s="190">
        <v>45912</v>
      </c>
      <c r="H2959" s="196">
        <v>0</v>
      </c>
      <c r="I2959" s="197">
        <v>0</v>
      </c>
      <c r="J2959" s="197">
        <v>0</v>
      </c>
      <c r="K2959" s="197">
        <v>0</v>
      </c>
      <c r="L2959" s="197">
        <v>0</v>
      </c>
      <c r="M2959" s="260" t="s">
        <v>239</v>
      </c>
      <c r="N2959" s="260" t="s">
        <v>514</v>
      </c>
    </row>
    <row r="2960" spans="1:14" ht="14.5" x14ac:dyDescent="0.35">
      <c r="A2960" s="260" t="s">
        <v>566</v>
      </c>
      <c r="B2960" s="190">
        <v>45912</v>
      </c>
      <c r="C2960" s="260" t="s">
        <v>752</v>
      </c>
      <c r="D2960" s="197">
        <v>0</v>
      </c>
      <c r="E2960" s="197">
        <v>0</v>
      </c>
      <c r="F2960" s="197">
        <v>182.59</v>
      </c>
      <c r="G2960" s="190">
        <v>45912</v>
      </c>
      <c r="H2960" s="196">
        <v>0</v>
      </c>
      <c r="I2960" s="197">
        <v>0</v>
      </c>
      <c r="J2960" s="197">
        <v>0</v>
      </c>
      <c r="K2960" s="197">
        <v>0</v>
      </c>
      <c r="L2960" s="197">
        <v>0</v>
      </c>
      <c r="M2960" s="260" t="s">
        <v>239</v>
      </c>
      <c r="N2960" s="260" t="s">
        <v>514</v>
      </c>
    </row>
    <row r="2961" spans="1:14" ht="14.5" x14ac:dyDescent="0.35">
      <c r="A2961" s="260" t="s">
        <v>566</v>
      </c>
      <c r="B2961" s="190">
        <v>45912</v>
      </c>
      <c r="C2961" s="260" t="s">
        <v>754</v>
      </c>
      <c r="D2961" s="197">
        <v>0</v>
      </c>
      <c r="E2961" s="197">
        <v>0</v>
      </c>
      <c r="F2961" s="197">
        <v>84.48</v>
      </c>
      <c r="G2961" s="190">
        <v>45912</v>
      </c>
      <c r="H2961" s="196">
        <v>0</v>
      </c>
      <c r="I2961" s="197">
        <v>0</v>
      </c>
      <c r="J2961" s="197">
        <v>0</v>
      </c>
      <c r="K2961" s="197">
        <v>0</v>
      </c>
      <c r="L2961" s="197">
        <v>0</v>
      </c>
      <c r="M2961" s="260" t="s">
        <v>239</v>
      </c>
      <c r="N2961" s="260" t="s">
        <v>514</v>
      </c>
    </row>
    <row r="2962" spans="1:14" ht="14.5" x14ac:dyDescent="0.35">
      <c r="A2962" s="260" t="s">
        <v>566</v>
      </c>
      <c r="B2962" s="190">
        <v>45913</v>
      </c>
      <c r="C2962" s="260" t="s">
        <v>749</v>
      </c>
      <c r="D2962" s="197">
        <v>0</v>
      </c>
      <c r="E2962" s="197">
        <v>0</v>
      </c>
      <c r="F2962" s="197">
        <v>50.9</v>
      </c>
      <c r="G2962" s="190">
        <v>45912</v>
      </c>
      <c r="H2962" s="196">
        <v>1</v>
      </c>
      <c r="I2962" s="197">
        <v>0</v>
      </c>
      <c r="J2962" s="197">
        <v>0</v>
      </c>
      <c r="K2962" s="197">
        <v>0</v>
      </c>
      <c r="L2962" s="197">
        <v>0</v>
      </c>
      <c r="M2962" s="260" t="s">
        <v>239</v>
      </c>
      <c r="N2962" s="260" t="s">
        <v>514</v>
      </c>
    </row>
    <row r="2963" spans="1:14" ht="14.5" x14ac:dyDescent="0.35">
      <c r="A2963" s="260" t="s">
        <v>566</v>
      </c>
      <c r="B2963" s="190">
        <v>45913</v>
      </c>
      <c r="C2963" s="260" t="s">
        <v>752</v>
      </c>
      <c r="D2963" s="197">
        <v>0</v>
      </c>
      <c r="E2963" s="197">
        <v>0</v>
      </c>
      <c r="F2963" s="197">
        <v>182.59</v>
      </c>
      <c r="G2963" s="190">
        <v>45912</v>
      </c>
      <c r="H2963" s="196">
        <v>1</v>
      </c>
      <c r="I2963" s="197">
        <v>0</v>
      </c>
      <c r="J2963" s="197">
        <v>0</v>
      </c>
      <c r="K2963" s="197">
        <v>0</v>
      </c>
      <c r="L2963" s="197">
        <v>0</v>
      </c>
      <c r="M2963" s="260" t="s">
        <v>239</v>
      </c>
      <c r="N2963" s="260" t="s">
        <v>514</v>
      </c>
    </row>
    <row r="2964" spans="1:14" ht="14.5" x14ac:dyDescent="0.35">
      <c r="A2964" s="260" t="s">
        <v>566</v>
      </c>
      <c r="B2964" s="190">
        <v>45913</v>
      </c>
      <c r="C2964" s="260" t="s">
        <v>754</v>
      </c>
      <c r="D2964" s="197">
        <v>0</v>
      </c>
      <c r="E2964" s="197">
        <v>0</v>
      </c>
      <c r="F2964" s="197">
        <v>84.48</v>
      </c>
      <c r="G2964" s="190">
        <v>45912</v>
      </c>
      <c r="H2964" s="196">
        <v>1</v>
      </c>
      <c r="I2964" s="197">
        <v>0</v>
      </c>
      <c r="J2964" s="197">
        <v>0</v>
      </c>
      <c r="K2964" s="197">
        <v>0</v>
      </c>
      <c r="L2964" s="197">
        <v>0</v>
      </c>
      <c r="M2964" s="260" t="s">
        <v>239</v>
      </c>
      <c r="N2964" s="260" t="s">
        <v>514</v>
      </c>
    </row>
    <row r="2965" spans="1:14" ht="14.5" x14ac:dyDescent="0.35">
      <c r="A2965" s="260" t="s">
        <v>566</v>
      </c>
      <c r="B2965" s="190">
        <v>45914</v>
      </c>
      <c r="C2965" s="260" t="s">
        <v>749</v>
      </c>
      <c r="D2965" s="197">
        <v>0</v>
      </c>
      <c r="E2965" s="197">
        <v>0</v>
      </c>
      <c r="F2965" s="197">
        <v>50.9</v>
      </c>
      <c r="G2965" s="190">
        <v>45912</v>
      </c>
      <c r="H2965" s="196">
        <v>2</v>
      </c>
      <c r="I2965" s="197">
        <v>0</v>
      </c>
      <c r="J2965" s="197">
        <v>0</v>
      </c>
      <c r="K2965" s="197">
        <v>0</v>
      </c>
      <c r="L2965" s="197">
        <v>0</v>
      </c>
      <c r="M2965" s="260" t="s">
        <v>239</v>
      </c>
      <c r="N2965" s="260" t="s">
        <v>514</v>
      </c>
    </row>
    <row r="2966" spans="1:14" ht="14.5" x14ac:dyDescent="0.35">
      <c r="A2966" s="260" t="s">
        <v>566</v>
      </c>
      <c r="B2966" s="190">
        <v>45914</v>
      </c>
      <c r="C2966" s="260" t="s">
        <v>752</v>
      </c>
      <c r="D2966" s="197">
        <v>0</v>
      </c>
      <c r="E2966" s="197">
        <v>0</v>
      </c>
      <c r="F2966" s="197">
        <v>182.59</v>
      </c>
      <c r="G2966" s="190">
        <v>45912</v>
      </c>
      <c r="H2966" s="196">
        <v>2</v>
      </c>
      <c r="I2966" s="197">
        <v>0</v>
      </c>
      <c r="J2966" s="197">
        <v>0</v>
      </c>
      <c r="K2966" s="197">
        <v>0</v>
      </c>
      <c r="L2966" s="197">
        <v>0</v>
      </c>
      <c r="M2966" s="260" t="s">
        <v>239</v>
      </c>
      <c r="N2966" s="260" t="s">
        <v>514</v>
      </c>
    </row>
    <row r="2967" spans="1:14" ht="14.5" x14ac:dyDescent="0.35">
      <c r="A2967" s="260" t="s">
        <v>566</v>
      </c>
      <c r="B2967" s="190">
        <v>45914</v>
      </c>
      <c r="C2967" s="260" t="s">
        <v>754</v>
      </c>
      <c r="D2967" s="197">
        <v>0</v>
      </c>
      <c r="E2967" s="197">
        <v>0</v>
      </c>
      <c r="F2967" s="197">
        <v>84.48</v>
      </c>
      <c r="G2967" s="190">
        <v>45912</v>
      </c>
      <c r="H2967" s="196">
        <v>2</v>
      </c>
      <c r="I2967" s="197">
        <v>0</v>
      </c>
      <c r="J2967" s="197">
        <v>0</v>
      </c>
      <c r="K2967" s="197">
        <v>0</v>
      </c>
      <c r="L2967" s="197">
        <v>0</v>
      </c>
      <c r="M2967" s="260" t="s">
        <v>239</v>
      </c>
      <c r="N2967" s="260" t="s">
        <v>514</v>
      </c>
    </row>
    <row r="2968" spans="1:14" ht="14.5" x14ac:dyDescent="0.35">
      <c r="A2968" s="260" t="s">
        <v>566</v>
      </c>
      <c r="B2968" s="190">
        <v>45915</v>
      </c>
      <c r="C2968" s="260" t="s">
        <v>749</v>
      </c>
      <c r="D2968" s="197">
        <v>0</v>
      </c>
      <c r="E2968" s="197">
        <v>0</v>
      </c>
      <c r="F2968" s="197">
        <v>51.41</v>
      </c>
      <c r="G2968" s="190">
        <v>45915</v>
      </c>
      <c r="H2968" s="196">
        <v>0</v>
      </c>
      <c r="I2968" s="197">
        <v>0</v>
      </c>
      <c r="J2968" s="197">
        <v>0</v>
      </c>
      <c r="K2968" s="197">
        <v>0</v>
      </c>
      <c r="L2968" s="197">
        <v>0</v>
      </c>
      <c r="M2968" s="260" t="s">
        <v>239</v>
      </c>
      <c r="N2968" s="260" t="s">
        <v>514</v>
      </c>
    </row>
    <row r="2969" spans="1:14" ht="14.5" x14ac:dyDescent="0.35">
      <c r="A2969" s="260" t="s">
        <v>566</v>
      </c>
      <c r="B2969" s="190">
        <v>45915</v>
      </c>
      <c r="C2969" s="260" t="s">
        <v>752</v>
      </c>
      <c r="D2969" s="197">
        <v>0</v>
      </c>
      <c r="E2969" s="197">
        <v>0</v>
      </c>
      <c r="F2969" s="197">
        <v>181.66</v>
      </c>
      <c r="G2969" s="190">
        <v>45915</v>
      </c>
      <c r="H2969" s="196">
        <v>0</v>
      </c>
      <c r="I2969" s="197">
        <v>0</v>
      </c>
      <c r="J2969" s="197">
        <v>0</v>
      </c>
      <c r="K2969" s="197">
        <v>0</v>
      </c>
      <c r="L2969" s="197">
        <v>0</v>
      </c>
      <c r="M2969" s="260" t="s">
        <v>239</v>
      </c>
      <c r="N2969" s="260" t="s">
        <v>514</v>
      </c>
    </row>
    <row r="2970" spans="1:14" ht="14.5" x14ac:dyDescent="0.35">
      <c r="A2970" s="260" t="s">
        <v>566</v>
      </c>
      <c r="B2970" s="190">
        <v>45915</v>
      </c>
      <c r="C2970" s="260" t="s">
        <v>754</v>
      </c>
      <c r="D2970" s="197">
        <v>0</v>
      </c>
      <c r="E2970" s="197">
        <v>0</v>
      </c>
      <c r="F2970" s="197">
        <v>84.07</v>
      </c>
      <c r="G2970" s="190">
        <v>45915</v>
      </c>
      <c r="H2970" s="196">
        <v>0</v>
      </c>
      <c r="I2970" s="197">
        <v>0</v>
      </c>
      <c r="J2970" s="197">
        <v>0</v>
      </c>
      <c r="K2970" s="197">
        <v>0</v>
      </c>
      <c r="L2970" s="197">
        <v>0</v>
      </c>
      <c r="M2970" s="260" t="s">
        <v>239</v>
      </c>
      <c r="N2970" s="260" t="s">
        <v>514</v>
      </c>
    </row>
    <row r="2971" spans="1:14" ht="14.5" x14ac:dyDescent="0.35">
      <c r="A2971" s="260" t="s">
        <v>566</v>
      </c>
      <c r="B2971" s="190">
        <v>45916</v>
      </c>
      <c r="C2971" s="260" t="s">
        <v>749</v>
      </c>
      <c r="D2971" s="197">
        <v>0</v>
      </c>
      <c r="E2971" s="197">
        <v>0</v>
      </c>
      <c r="F2971" s="197">
        <v>51.59</v>
      </c>
      <c r="G2971" s="190">
        <v>45916</v>
      </c>
      <c r="H2971" s="196">
        <v>0</v>
      </c>
      <c r="I2971" s="197">
        <v>0</v>
      </c>
      <c r="J2971" s="197">
        <v>0</v>
      </c>
      <c r="K2971" s="197">
        <v>0</v>
      </c>
      <c r="L2971" s="197">
        <v>0</v>
      </c>
      <c r="M2971" s="260" t="s">
        <v>239</v>
      </c>
      <c r="N2971" s="260" t="s">
        <v>514</v>
      </c>
    </row>
    <row r="2972" spans="1:14" ht="14.5" x14ac:dyDescent="0.35">
      <c r="A2972" s="260" t="s">
        <v>566</v>
      </c>
      <c r="B2972" s="190">
        <v>45916</v>
      </c>
      <c r="C2972" s="260" t="s">
        <v>752</v>
      </c>
      <c r="D2972" s="197">
        <v>0</v>
      </c>
      <c r="E2972" s="197">
        <v>0</v>
      </c>
      <c r="F2972" s="197">
        <v>181.34</v>
      </c>
      <c r="G2972" s="190">
        <v>45916</v>
      </c>
      <c r="H2972" s="196">
        <v>0</v>
      </c>
      <c r="I2972" s="197">
        <v>0</v>
      </c>
      <c r="J2972" s="197">
        <v>0</v>
      </c>
      <c r="K2972" s="197">
        <v>0</v>
      </c>
      <c r="L2972" s="197">
        <v>0</v>
      </c>
      <c r="M2972" s="260" t="s">
        <v>239</v>
      </c>
      <c r="N2972" s="260" t="s">
        <v>514</v>
      </c>
    </row>
    <row r="2973" spans="1:14" ht="14.5" x14ac:dyDescent="0.35">
      <c r="A2973" s="260" t="s">
        <v>566</v>
      </c>
      <c r="B2973" s="190">
        <v>45916</v>
      </c>
      <c r="C2973" s="260" t="s">
        <v>754</v>
      </c>
      <c r="D2973" s="197">
        <v>0</v>
      </c>
      <c r="E2973" s="197">
        <v>0</v>
      </c>
      <c r="F2973" s="197">
        <v>83.93</v>
      </c>
      <c r="G2973" s="190">
        <v>45916</v>
      </c>
      <c r="H2973" s="196">
        <v>0</v>
      </c>
      <c r="I2973" s="197">
        <v>0</v>
      </c>
      <c r="J2973" s="197">
        <v>0</v>
      </c>
      <c r="K2973" s="197">
        <v>0</v>
      </c>
      <c r="L2973" s="197">
        <v>0</v>
      </c>
      <c r="M2973" s="260" t="s">
        <v>239</v>
      </c>
      <c r="N2973" s="260" t="s">
        <v>514</v>
      </c>
    </row>
    <row r="2974" spans="1:14" ht="14.5" x14ac:dyDescent="0.35">
      <c r="A2974" s="260" t="s">
        <v>566</v>
      </c>
      <c r="B2974" s="190">
        <v>45917</v>
      </c>
      <c r="C2974" s="260" t="s">
        <v>749</v>
      </c>
      <c r="D2974" s="197">
        <v>0</v>
      </c>
      <c r="E2974" s="197">
        <v>0</v>
      </c>
      <c r="F2974" s="197">
        <v>51.76</v>
      </c>
      <c r="G2974" s="190">
        <v>45917</v>
      </c>
      <c r="H2974" s="196">
        <v>0</v>
      </c>
      <c r="I2974" s="197">
        <v>0</v>
      </c>
      <c r="J2974" s="197">
        <v>0</v>
      </c>
      <c r="K2974" s="197">
        <v>0</v>
      </c>
      <c r="L2974" s="197">
        <v>0</v>
      </c>
      <c r="M2974" s="260" t="s">
        <v>239</v>
      </c>
      <c r="N2974" s="260" t="s">
        <v>514</v>
      </c>
    </row>
    <row r="2975" spans="1:14" ht="14.5" x14ac:dyDescent="0.35">
      <c r="A2975" s="260" t="s">
        <v>566</v>
      </c>
      <c r="B2975" s="190">
        <v>45917</v>
      </c>
      <c r="C2975" s="260" t="s">
        <v>752</v>
      </c>
      <c r="D2975" s="197">
        <v>0</v>
      </c>
      <c r="E2975" s="197">
        <v>0</v>
      </c>
      <c r="F2975" s="197">
        <v>181.03</v>
      </c>
      <c r="G2975" s="190">
        <v>45917</v>
      </c>
      <c r="H2975" s="196">
        <v>0</v>
      </c>
      <c r="I2975" s="197">
        <v>0</v>
      </c>
      <c r="J2975" s="197">
        <v>0</v>
      </c>
      <c r="K2975" s="197">
        <v>0</v>
      </c>
      <c r="L2975" s="197">
        <v>0</v>
      </c>
      <c r="M2975" s="260" t="s">
        <v>239</v>
      </c>
      <c r="N2975" s="260" t="s">
        <v>514</v>
      </c>
    </row>
    <row r="2976" spans="1:14" ht="14.5" x14ac:dyDescent="0.35">
      <c r="A2976" s="260" t="s">
        <v>566</v>
      </c>
      <c r="B2976" s="190">
        <v>45917</v>
      </c>
      <c r="C2976" s="260" t="s">
        <v>754</v>
      </c>
      <c r="D2976" s="197">
        <v>0</v>
      </c>
      <c r="E2976" s="197">
        <v>0</v>
      </c>
      <c r="F2976" s="197">
        <v>83.79</v>
      </c>
      <c r="G2976" s="190">
        <v>45917</v>
      </c>
      <c r="H2976" s="196">
        <v>0</v>
      </c>
      <c r="I2976" s="197">
        <v>0</v>
      </c>
      <c r="J2976" s="197">
        <v>0</v>
      </c>
      <c r="K2976" s="197">
        <v>0</v>
      </c>
      <c r="L2976" s="197">
        <v>0</v>
      </c>
      <c r="M2976" s="260" t="s">
        <v>239</v>
      </c>
      <c r="N2976" s="260" t="s">
        <v>514</v>
      </c>
    </row>
    <row r="2977" spans="1:14" ht="14.5" x14ac:dyDescent="0.35">
      <c r="A2977" s="260" t="s">
        <v>566</v>
      </c>
      <c r="B2977" s="190">
        <v>45918</v>
      </c>
      <c r="C2977" s="260" t="s">
        <v>749</v>
      </c>
      <c r="D2977" s="197">
        <v>0</v>
      </c>
      <c r="E2977" s="197">
        <v>0</v>
      </c>
      <c r="F2977" s="197">
        <v>51.93</v>
      </c>
      <c r="G2977" s="190">
        <v>45918</v>
      </c>
      <c r="H2977" s="196">
        <v>0</v>
      </c>
      <c r="I2977" s="197">
        <v>0</v>
      </c>
      <c r="J2977" s="197">
        <v>0</v>
      </c>
      <c r="K2977" s="197">
        <v>0</v>
      </c>
      <c r="L2977" s="197">
        <v>0</v>
      </c>
      <c r="M2977" s="260" t="s">
        <v>239</v>
      </c>
      <c r="N2977" s="260" t="s">
        <v>514</v>
      </c>
    </row>
    <row r="2978" spans="1:14" ht="14.5" x14ac:dyDescent="0.35">
      <c r="A2978" s="260" t="s">
        <v>566</v>
      </c>
      <c r="B2978" s="190">
        <v>45918</v>
      </c>
      <c r="C2978" s="260" t="s">
        <v>752</v>
      </c>
      <c r="D2978" s="197">
        <v>0</v>
      </c>
      <c r="E2978" s="197">
        <v>0</v>
      </c>
      <c r="F2978" s="197">
        <v>180.72</v>
      </c>
      <c r="G2978" s="190">
        <v>45918</v>
      </c>
      <c r="H2978" s="196">
        <v>0</v>
      </c>
      <c r="I2978" s="197">
        <v>0</v>
      </c>
      <c r="J2978" s="197">
        <v>0</v>
      </c>
      <c r="K2978" s="197">
        <v>0</v>
      </c>
      <c r="L2978" s="197">
        <v>0</v>
      </c>
      <c r="M2978" s="260" t="s">
        <v>239</v>
      </c>
      <c r="N2978" s="260" t="s">
        <v>514</v>
      </c>
    </row>
    <row r="2979" spans="1:14" ht="14.5" x14ac:dyDescent="0.35">
      <c r="A2979" s="260" t="s">
        <v>566</v>
      </c>
      <c r="B2979" s="190">
        <v>45918</v>
      </c>
      <c r="C2979" s="260" t="s">
        <v>754</v>
      </c>
      <c r="D2979" s="197">
        <v>0</v>
      </c>
      <c r="E2979" s="197">
        <v>0</v>
      </c>
      <c r="F2979" s="197">
        <v>83.66</v>
      </c>
      <c r="G2979" s="190">
        <v>45918</v>
      </c>
      <c r="H2979" s="196">
        <v>0</v>
      </c>
      <c r="I2979" s="197">
        <v>0</v>
      </c>
      <c r="J2979" s="197">
        <v>0</v>
      </c>
      <c r="K2979" s="197">
        <v>0</v>
      </c>
      <c r="L2979" s="197">
        <v>0</v>
      </c>
      <c r="M2979" s="260" t="s">
        <v>239</v>
      </c>
      <c r="N2979" s="260" t="s">
        <v>514</v>
      </c>
    </row>
    <row r="2980" spans="1:14" ht="14.5" x14ac:dyDescent="0.35">
      <c r="A2980" s="260" t="s">
        <v>566</v>
      </c>
      <c r="B2980" s="190">
        <v>45919</v>
      </c>
      <c r="C2980" s="260" t="s">
        <v>749</v>
      </c>
      <c r="D2980" s="197">
        <v>0</v>
      </c>
      <c r="E2980" s="197">
        <v>0</v>
      </c>
      <c r="F2980" s="197">
        <v>52.1</v>
      </c>
      <c r="G2980" s="190">
        <v>45919</v>
      </c>
      <c r="H2980" s="196">
        <v>0</v>
      </c>
      <c r="I2980" s="197">
        <v>0</v>
      </c>
      <c r="J2980" s="197">
        <v>0</v>
      </c>
      <c r="K2980" s="197">
        <v>0</v>
      </c>
      <c r="L2980" s="197">
        <v>0</v>
      </c>
      <c r="M2980" s="260" t="s">
        <v>239</v>
      </c>
      <c r="N2980" s="260" t="s">
        <v>514</v>
      </c>
    </row>
    <row r="2981" spans="1:14" ht="14.5" x14ac:dyDescent="0.35">
      <c r="A2981" s="260" t="s">
        <v>566</v>
      </c>
      <c r="B2981" s="190">
        <v>45919</v>
      </c>
      <c r="C2981" s="260" t="s">
        <v>752</v>
      </c>
      <c r="D2981" s="197">
        <v>0</v>
      </c>
      <c r="E2981" s="197">
        <v>0</v>
      </c>
      <c r="F2981" s="197">
        <v>180.41</v>
      </c>
      <c r="G2981" s="190">
        <v>45919</v>
      </c>
      <c r="H2981" s="196">
        <v>0</v>
      </c>
      <c r="I2981" s="197">
        <v>0</v>
      </c>
      <c r="J2981" s="197">
        <v>0</v>
      </c>
      <c r="K2981" s="197">
        <v>0</v>
      </c>
      <c r="L2981" s="197">
        <v>0</v>
      </c>
      <c r="M2981" s="260" t="s">
        <v>239</v>
      </c>
      <c r="N2981" s="260" t="s">
        <v>514</v>
      </c>
    </row>
    <row r="2982" spans="1:14" ht="14.5" x14ac:dyDescent="0.35">
      <c r="A2982" s="260" t="s">
        <v>566</v>
      </c>
      <c r="B2982" s="190">
        <v>45919</v>
      </c>
      <c r="C2982" s="260" t="s">
        <v>754</v>
      </c>
      <c r="D2982" s="197">
        <v>0</v>
      </c>
      <c r="E2982" s="197">
        <v>0</v>
      </c>
      <c r="F2982" s="197">
        <v>83.52</v>
      </c>
      <c r="G2982" s="190">
        <v>45919</v>
      </c>
      <c r="H2982" s="196">
        <v>0</v>
      </c>
      <c r="I2982" s="197">
        <v>0</v>
      </c>
      <c r="J2982" s="197">
        <v>0</v>
      </c>
      <c r="K2982" s="197">
        <v>0</v>
      </c>
      <c r="L2982" s="197">
        <v>0</v>
      </c>
      <c r="M2982" s="260" t="s">
        <v>239</v>
      </c>
      <c r="N2982" s="260" t="s">
        <v>514</v>
      </c>
    </row>
    <row r="2983" spans="1:14" ht="14.5" x14ac:dyDescent="0.35">
      <c r="A2983" s="260" t="s">
        <v>566</v>
      </c>
      <c r="B2983" s="190">
        <v>45920</v>
      </c>
      <c r="C2983" s="260" t="s">
        <v>749</v>
      </c>
      <c r="D2983" s="197">
        <v>0</v>
      </c>
      <c r="E2983" s="197">
        <v>0</v>
      </c>
      <c r="F2983" s="197">
        <v>52.1</v>
      </c>
      <c r="G2983" s="190">
        <v>45919</v>
      </c>
      <c r="H2983" s="196">
        <v>1</v>
      </c>
      <c r="I2983" s="197">
        <v>0</v>
      </c>
      <c r="J2983" s="197">
        <v>0</v>
      </c>
      <c r="K2983" s="197">
        <v>0</v>
      </c>
      <c r="L2983" s="197">
        <v>0</v>
      </c>
      <c r="M2983" s="260" t="s">
        <v>239</v>
      </c>
      <c r="N2983" s="260" t="s">
        <v>514</v>
      </c>
    </row>
    <row r="2984" spans="1:14" ht="14.5" x14ac:dyDescent="0.35">
      <c r="A2984" s="260" t="s">
        <v>566</v>
      </c>
      <c r="B2984" s="190">
        <v>45920</v>
      </c>
      <c r="C2984" s="260" t="s">
        <v>752</v>
      </c>
      <c r="D2984" s="197">
        <v>0</v>
      </c>
      <c r="E2984" s="197">
        <v>0</v>
      </c>
      <c r="F2984" s="197">
        <v>180.41</v>
      </c>
      <c r="G2984" s="190">
        <v>45919</v>
      </c>
      <c r="H2984" s="196">
        <v>1</v>
      </c>
      <c r="I2984" s="197">
        <v>0</v>
      </c>
      <c r="J2984" s="197">
        <v>0</v>
      </c>
      <c r="K2984" s="197">
        <v>0</v>
      </c>
      <c r="L2984" s="197">
        <v>0</v>
      </c>
      <c r="M2984" s="260" t="s">
        <v>239</v>
      </c>
      <c r="N2984" s="260" t="s">
        <v>514</v>
      </c>
    </row>
    <row r="2985" spans="1:14" ht="14.5" x14ac:dyDescent="0.35">
      <c r="A2985" s="260" t="s">
        <v>566</v>
      </c>
      <c r="B2985" s="190">
        <v>45920</v>
      </c>
      <c r="C2985" s="260" t="s">
        <v>754</v>
      </c>
      <c r="D2985" s="197">
        <v>0</v>
      </c>
      <c r="E2985" s="197">
        <v>0</v>
      </c>
      <c r="F2985" s="197">
        <v>83.52</v>
      </c>
      <c r="G2985" s="190">
        <v>45919</v>
      </c>
      <c r="H2985" s="196">
        <v>1</v>
      </c>
      <c r="I2985" s="197">
        <v>0</v>
      </c>
      <c r="J2985" s="197">
        <v>0</v>
      </c>
      <c r="K2985" s="197">
        <v>0</v>
      </c>
      <c r="L2985" s="197">
        <v>0</v>
      </c>
      <c r="M2985" s="260" t="s">
        <v>239</v>
      </c>
      <c r="N2985" s="260" t="s">
        <v>514</v>
      </c>
    </row>
    <row r="2986" spans="1:14" ht="14.5" x14ac:dyDescent="0.35">
      <c r="A2986" s="260" t="s">
        <v>566</v>
      </c>
      <c r="B2986" s="190">
        <v>45921</v>
      </c>
      <c r="C2986" s="260" t="s">
        <v>749</v>
      </c>
      <c r="D2986" s="197">
        <v>0</v>
      </c>
      <c r="E2986" s="197">
        <v>0</v>
      </c>
      <c r="F2986" s="197">
        <v>52.1</v>
      </c>
      <c r="G2986" s="190">
        <v>45919</v>
      </c>
      <c r="H2986" s="196">
        <v>2</v>
      </c>
      <c r="I2986" s="197">
        <v>0</v>
      </c>
      <c r="J2986" s="197">
        <v>0</v>
      </c>
      <c r="K2986" s="197">
        <v>0</v>
      </c>
      <c r="L2986" s="197">
        <v>0</v>
      </c>
      <c r="M2986" s="260" t="s">
        <v>239</v>
      </c>
      <c r="N2986" s="260" t="s">
        <v>514</v>
      </c>
    </row>
    <row r="2987" spans="1:14" ht="14.5" x14ac:dyDescent="0.35">
      <c r="A2987" s="260" t="s">
        <v>566</v>
      </c>
      <c r="B2987" s="190">
        <v>45921</v>
      </c>
      <c r="C2987" s="260" t="s">
        <v>752</v>
      </c>
      <c r="D2987" s="197">
        <v>0</v>
      </c>
      <c r="E2987" s="197">
        <v>0</v>
      </c>
      <c r="F2987" s="197">
        <v>180.41</v>
      </c>
      <c r="G2987" s="190">
        <v>45919</v>
      </c>
      <c r="H2987" s="196">
        <v>2</v>
      </c>
      <c r="I2987" s="197">
        <v>0</v>
      </c>
      <c r="J2987" s="197">
        <v>0</v>
      </c>
      <c r="K2987" s="197">
        <v>0</v>
      </c>
      <c r="L2987" s="197">
        <v>0</v>
      </c>
      <c r="M2987" s="260" t="s">
        <v>239</v>
      </c>
      <c r="N2987" s="260" t="s">
        <v>514</v>
      </c>
    </row>
    <row r="2988" spans="1:14" ht="14.5" x14ac:dyDescent="0.35">
      <c r="A2988" s="260" t="s">
        <v>566</v>
      </c>
      <c r="B2988" s="190">
        <v>45921</v>
      </c>
      <c r="C2988" s="260" t="s">
        <v>754</v>
      </c>
      <c r="D2988" s="197">
        <v>0</v>
      </c>
      <c r="E2988" s="197">
        <v>0</v>
      </c>
      <c r="F2988" s="197">
        <v>83.52</v>
      </c>
      <c r="G2988" s="190">
        <v>45919</v>
      </c>
      <c r="H2988" s="196">
        <v>2</v>
      </c>
      <c r="I2988" s="197">
        <v>0</v>
      </c>
      <c r="J2988" s="197">
        <v>0</v>
      </c>
      <c r="K2988" s="197">
        <v>0</v>
      </c>
      <c r="L2988" s="197">
        <v>0</v>
      </c>
      <c r="M2988" s="260" t="s">
        <v>239</v>
      </c>
      <c r="N2988" s="260" t="s">
        <v>514</v>
      </c>
    </row>
    <row r="2989" spans="1:14" ht="14.5" x14ac:dyDescent="0.35">
      <c r="A2989" s="260" t="s">
        <v>566</v>
      </c>
      <c r="B2989" s="190">
        <v>45922</v>
      </c>
      <c r="C2989" s="260" t="s">
        <v>749</v>
      </c>
      <c r="D2989" s="197">
        <v>0</v>
      </c>
      <c r="E2989" s="197">
        <v>0</v>
      </c>
      <c r="F2989" s="197">
        <v>52.62</v>
      </c>
      <c r="G2989" s="190">
        <v>45922</v>
      </c>
      <c r="H2989" s="196">
        <v>0</v>
      </c>
      <c r="I2989" s="197">
        <v>0</v>
      </c>
      <c r="J2989" s="197">
        <v>0</v>
      </c>
      <c r="K2989" s="197">
        <v>0</v>
      </c>
      <c r="L2989" s="197">
        <v>0</v>
      </c>
      <c r="M2989" s="260" t="s">
        <v>239</v>
      </c>
      <c r="N2989" s="260" t="s">
        <v>514</v>
      </c>
    </row>
    <row r="2990" spans="1:14" ht="14.5" x14ac:dyDescent="0.35">
      <c r="A2990" s="260" t="s">
        <v>566</v>
      </c>
      <c r="B2990" s="190">
        <v>45922</v>
      </c>
      <c r="C2990" s="260" t="s">
        <v>752</v>
      </c>
      <c r="D2990" s="197">
        <v>0</v>
      </c>
      <c r="E2990" s="197">
        <v>0</v>
      </c>
      <c r="F2990" s="197">
        <v>179.48</v>
      </c>
      <c r="G2990" s="190">
        <v>45922</v>
      </c>
      <c r="H2990" s="196">
        <v>0</v>
      </c>
      <c r="I2990" s="197">
        <v>0</v>
      </c>
      <c r="J2990" s="197">
        <v>0</v>
      </c>
      <c r="K2990" s="197">
        <v>0</v>
      </c>
      <c r="L2990" s="197">
        <v>0</v>
      </c>
      <c r="M2990" s="260" t="s">
        <v>239</v>
      </c>
      <c r="N2990" s="260" t="s">
        <v>514</v>
      </c>
    </row>
    <row r="2991" spans="1:14" ht="14.5" x14ac:dyDescent="0.35">
      <c r="A2991" s="260" t="s">
        <v>566</v>
      </c>
      <c r="B2991" s="190">
        <v>45922</v>
      </c>
      <c r="C2991" s="260" t="s">
        <v>754</v>
      </c>
      <c r="D2991" s="197">
        <v>0</v>
      </c>
      <c r="E2991" s="197">
        <v>0</v>
      </c>
      <c r="F2991" s="197">
        <v>83.1</v>
      </c>
      <c r="G2991" s="190">
        <v>45922</v>
      </c>
      <c r="H2991" s="196">
        <v>0</v>
      </c>
      <c r="I2991" s="197">
        <v>0</v>
      </c>
      <c r="J2991" s="197">
        <v>0</v>
      </c>
      <c r="K2991" s="197">
        <v>0</v>
      </c>
      <c r="L2991" s="197">
        <v>0</v>
      </c>
      <c r="M2991" s="260" t="s">
        <v>239</v>
      </c>
      <c r="N2991" s="260" t="s">
        <v>514</v>
      </c>
    </row>
    <row r="2992" spans="1:14" ht="14.5" x14ac:dyDescent="0.35">
      <c r="A2992" s="260" t="s">
        <v>566</v>
      </c>
      <c r="B2992" s="190">
        <v>45923</v>
      </c>
      <c r="C2992" s="260" t="s">
        <v>749</v>
      </c>
      <c r="D2992" s="197">
        <v>0</v>
      </c>
      <c r="E2992" s="197">
        <v>0</v>
      </c>
      <c r="F2992" s="197">
        <v>52.79</v>
      </c>
      <c r="G2992" s="190">
        <v>45923</v>
      </c>
      <c r="H2992" s="196">
        <v>0</v>
      </c>
      <c r="I2992" s="197">
        <v>0</v>
      </c>
      <c r="J2992" s="197">
        <v>0</v>
      </c>
      <c r="K2992" s="197">
        <v>0</v>
      </c>
      <c r="L2992" s="197">
        <v>0</v>
      </c>
      <c r="M2992" s="260" t="s">
        <v>239</v>
      </c>
      <c r="N2992" s="260" t="s">
        <v>514</v>
      </c>
    </row>
    <row r="2993" spans="1:14" ht="14.5" x14ac:dyDescent="0.35">
      <c r="A2993" s="260" t="s">
        <v>566</v>
      </c>
      <c r="B2993" s="190">
        <v>45923</v>
      </c>
      <c r="C2993" s="260" t="s">
        <v>752</v>
      </c>
      <c r="D2993" s="197">
        <v>0</v>
      </c>
      <c r="E2993" s="197">
        <v>0</v>
      </c>
      <c r="F2993" s="197">
        <v>179.17</v>
      </c>
      <c r="G2993" s="190">
        <v>45923</v>
      </c>
      <c r="H2993" s="196">
        <v>0</v>
      </c>
      <c r="I2993" s="197">
        <v>0</v>
      </c>
      <c r="J2993" s="197">
        <v>0</v>
      </c>
      <c r="K2993" s="197">
        <v>0</v>
      </c>
      <c r="L2993" s="197">
        <v>0</v>
      </c>
      <c r="M2993" s="260" t="s">
        <v>239</v>
      </c>
      <c r="N2993" s="260" t="s">
        <v>514</v>
      </c>
    </row>
    <row r="2994" spans="1:14" ht="14.5" x14ac:dyDescent="0.35">
      <c r="A2994" s="260" t="s">
        <v>566</v>
      </c>
      <c r="B2994" s="190">
        <v>45923</v>
      </c>
      <c r="C2994" s="260" t="s">
        <v>754</v>
      </c>
      <c r="D2994" s="197">
        <v>0</v>
      </c>
      <c r="E2994" s="197">
        <v>0</v>
      </c>
      <c r="F2994" s="197">
        <v>82.97</v>
      </c>
      <c r="G2994" s="190">
        <v>45923</v>
      </c>
      <c r="H2994" s="196">
        <v>0</v>
      </c>
      <c r="I2994" s="197">
        <v>0</v>
      </c>
      <c r="J2994" s="197">
        <v>0</v>
      </c>
      <c r="K2994" s="197">
        <v>0</v>
      </c>
      <c r="L2994" s="197">
        <v>0</v>
      </c>
      <c r="M2994" s="260" t="s">
        <v>239</v>
      </c>
      <c r="N2994" s="260" t="s">
        <v>514</v>
      </c>
    </row>
    <row r="2995" spans="1:14" ht="14.5" x14ac:dyDescent="0.35">
      <c r="A2995" s="260" t="s">
        <v>566</v>
      </c>
      <c r="B2995" s="190">
        <v>45924</v>
      </c>
      <c r="C2995" s="260" t="s">
        <v>749</v>
      </c>
      <c r="D2995" s="197">
        <v>0</v>
      </c>
      <c r="E2995" s="197">
        <v>0</v>
      </c>
      <c r="F2995" s="197">
        <v>52.97</v>
      </c>
      <c r="G2995" s="190">
        <v>45924</v>
      </c>
      <c r="H2995" s="196">
        <v>0</v>
      </c>
      <c r="I2995" s="197">
        <v>0</v>
      </c>
      <c r="J2995" s="197">
        <v>0</v>
      </c>
      <c r="K2995" s="197">
        <v>0</v>
      </c>
      <c r="L2995" s="197">
        <v>0</v>
      </c>
      <c r="M2995" s="260" t="s">
        <v>239</v>
      </c>
      <c r="N2995" s="260" t="s">
        <v>514</v>
      </c>
    </row>
    <row r="2996" spans="1:14" ht="14.5" x14ac:dyDescent="0.35">
      <c r="A2996" s="260" t="s">
        <v>566</v>
      </c>
      <c r="B2996" s="190">
        <v>45924</v>
      </c>
      <c r="C2996" s="260" t="s">
        <v>752</v>
      </c>
      <c r="D2996" s="197">
        <v>0</v>
      </c>
      <c r="E2996" s="197">
        <v>0</v>
      </c>
      <c r="F2996" s="197">
        <v>178.86</v>
      </c>
      <c r="G2996" s="190">
        <v>45924</v>
      </c>
      <c r="H2996" s="196">
        <v>0</v>
      </c>
      <c r="I2996" s="197">
        <v>0</v>
      </c>
      <c r="J2996" s="197">
        <v>0</v>
      </c>
      <c r="K2996" s="197">
        <v>0</v>
      </c>
      <c r="L2996" s="197">
        <v>0</v>
      </c>
      <c r="M2996" s="260" t="s">
        <v>239</v>
      </c>
      <c r="N2996" s="260" t="s">
        <v>514</v>
      </c>
    </row>
    <row r="2997" spans="1:14" ht="14.5" x14ac:dyDescent="0.35">
      <c r="A2997" s="260" t="s">
        <v>566</v>
      </c>
      <c r="B2997" s="190">
        <v>45924</v>
      </c>
      <c r="C2997" s="260" t="s">
        <v>754</v>
      </c>
      <c r="D2997" s="197">
        <v>0</v>
      </c>
      <c r="E2997" s="197">
        <v>0</v>
      </c>
      <c r="F2997" s="197">
        <v>82.83</v>
      </c>
      <c r="G2997" s="190">
        <v>45924</v>
      </c>
      <c r="H2997" s="196">
        <v>0</v>
      </c>
      <c r="I2997" s="197">
        <v>0</v>
      </c>
      <c r="J2997" s="197">
        <v>0</v>
      </c>
      <c r="K2997" s="197">
        <v>0</v>
      </c>
      <c r="L2997" s="197">
        <v>0</v>
      </c>
      <c r="M2997" s="260" t="s">
        <v>239</v>
      </c>
      <c r="N2997" s="260" t="s">
        <v>514</v>
      </c>
    </row>
    <row r="2998" spans="1:14" ht="14.5" x14ac:dyDescent="0.35">
      <c r="A2998" s="260" t="s">
        <v>566</v>
      </c>
      <c r="B2998" s="190">
        <v>45925</v>
      </c>
      <c r="C2998" s="260" t="s">
        <v>749</v>
      </c>
      <c r="D2998" s="197">
        <v>0</v>
      </c>
      <c r="E2998" s="197">
        <v>0</v>
      </c>
      <c r="F2998" s="197">
        <v>53.14</v>
      </c>
      <c r="G2998" s="190">
        <v>45925</v>
      </c>
      <c r="H2998" s="196">
        <v>0</v>
      </c>
      <c r="I2998" s="197">
        <v>0</v>
      </c>
      <c r="J2998" s="197">
        <v>0</v>
      </c>
      <c r="K2998" s="197">
        <v>0</v>
      </c>
      <c r="L2998" s="197">
        <v>0</v>
      </c>
      <c r="M2998" s="260" t="s">
        <v>239</v>
      </c>
      <c r="N2998" s="260" t="s">
        <v>514</v>
      </c>
    </row>
    <row r="2999" spans="1:14" ht="14.5" x14ac:dyDescent="0.35">
      <c r="A2999" s="260" t="s">
        <v>566</v>
      </c>
      <c r="B2999" s="190">
        <v>45925</v>
      </c>
      <c r="C2999" s="260" t="s">
        <v>752</v>
      </c>
      <c r="D2999" s="197">
        <v>0</v>
      </c>
      <c r="E2999" s="197">
        <v>0</v>
      </c>
      <c r="F2999" s="197">
        <v>178.55</v>
      </c>
      <c r="G2999" s="190">
        <v>45925</v>
      </c>
      <c r="H2999" s="196">
        <v>0</v>
      </c>
      <c r="I2999" s="197">
        <v>0</v>
      </c>
      <c r="J2999" s="197">
        <v>0</v>
      </c>
      <c r="K2999" s="197">
        <v>0</v>
      </c>
      <c r="L2999" s="197">
        <v>0</v>
      </c>
      <c r="M2999" s="260" t="s">
        <v>239</v>
      </c>
      <c r="N2999" s="260" t="s">
        <v>514</v>
      </c>
    </row>
    <row r="3000" spans="1:14" ht="14.5" x14ac:dyDescent="0.35">
      <c r="A3000" s="260" t="s">
        <v>566</v>
      </c>
      <c r="B3000" s="190">
        <v>45925</v>
      </c>
      <c r="C3000" s="260" t="s">
        <v>754</v>
      </c>
      <c r="D3000" s="197">
        <v>0</v>
      </c>
      <c r="E3000" s="197">
        <v>0</v>
      </c>
      <c r="F3000" s="197">
        <v>82.69</v>
      </c>
      <c r="G3000" s="190">
        <v>45925</v>
      </c>
      <c r="H3000" s="196">
        <v>0</v>
      </c>
      <c r="I3000" s="197">
        <v>0</v>
      </c>
      <c r="J3000" s="197">
        <v>0</v>
      </c>
      <c r="K3000" s="197">
        <v>0</v>
      </c>
      <c r="L3000" s="197">
        <v>0</v>
      </c>
      <c r="M3000" s="260" t="s">
        <v>239</v>
      </c>
      <c r="N3000" s="260" t="s">
        <v>514</v>
      </c>
    </row>
    <row r="3001" spans="1:14" ht="14.5" x14ac:dyDescent="0.35">
      <c r="A3001" s="260" t="s">
        <v>566</v>
      </c>
      <c r="B3001" s="190">
        <v>45926</v>
      </c>
      <c r="C3001" s="260" t="s">
        <v>749</v>
      </c>
      <c r="D3001" s="197">
        <v>0</v>
      </c>
      <c r="E3001" s="197">
        <v>0</v>
      </c>
      <c r="F3001" s="197">
        <v>53.31</v>
      </c>
      <c r="G3001" s="190">
        <v>45926</v>
      </c>
      <c r="H3001" s="196">
        <v>0</v>
      </c>
      <c r="I3001" s="197">
        <v>0</v>
      </c>
      <c r="J3001" s="197">
        <v>0</v>
      </c>
      <c r="K3001" s="197">
        <v>0</v>
      </c>
      <c r="L3001" s="197">
        <v>0</v>
      </c>
      <c r="M3001" s="260" t="s">
        <v>239</v>
      </c>
      <c r="N3001" s="260" t="s">
        <v>514</v>
      </c>
    </row>
    <row r="3002" spans="1:14" ht="14.5" x14ac:dyDescent="0.35">
      <c r="A3002" s="260" t="s">
        <v>566</v>
      </c>
      <c r="B3002" s="190">
        <v>45926</v>
      </c>
      <c r="C3002" s="260" t="s">
        <v>752</v>
      </c>
      <c r="D3002" s="197">
        <v>0</v>
      </c>
      <c r="E3002" s="197">
        <v>0</v>
      </c>
      <c r="F3002" s="197">
        <v>178.24</v>
      </c>
      <c r="G3002" s="190">
        <v>45926</v>
      </c>
      <c r="H3002" s="196">
        <v>0</v>
      </c>
      <c r="I3002" s="197">
        <v>0</v>
      </c>
      <c r="J3002" s="197">
        <v>0</v>
      </c>
      <c r="K3002" s="197">
        <v>0</v>
      </c>
      <c r="L3002" s="197">
        <v>0</v>
      </c>
      <c r="M3002" s="260" t="s">
        <v>239</v>
      </c>
      <c r="N3002" s="260" t="s">
        <v>514</v>
      </c>
    </row>
    <row r="3003" spans="1:14" ht="14.5" x14ac:dyDescent="0.35">
      <c r="A3003" s="260" t="s">
        <v>566</v>
      </c>
      <c r="B3003" s="190">
        <v>45926</v>
      </c>
      <c r="C3003" s="260" t="s">
        <v>754</v>
      </c>
      <c r="D3003" s="197">
        <v>0</v>
      </c>
      <c r="E3003" s="197">
        <v>0</v>
      </c>
      <c r="F3003" s="197">
        <v>82.55</v>
      </c>
      <c r="G3003" s="190">
        <v>45926</v>
      </c>
      <c r="H3003" s="196">
        <v>0</v>
      </c>
      <c r="I3003" s="197">
        <v>0</v>
      </c>
      <c r="J3003" s="197">
        <v>0</v>
      </c>
      <c r="K3003" s="197">
        <v>0</v>
      </c>
      <c r="L3003" s="197">
        <v>0</v>
      </c>
      <c r="M3003" s="260" t="s">
        <v>239</v>
      </c>
      <c r="N3003" s="260" t="s">
        <v>514</v>
      </c>
    </row>
    <row r="3004" spans="1:14" ht="14.5" x14ac:dyDescent="0.35">
      <c r="A3004" s="260" t="s">
        <v>566</v>
      </c>
      <c r="B3004" s="190">
        <v>45927</v>
      </c>
      <c r="C3004" s="260" t="s">
        <v>749</v>
      </c>
      <c r="D3004" s="197">
        <v>0</v>
      </c>
      <c r="E3004" s="197">
        <v>0</v>
      </c>
      <c r="F3004" s="197">
        <v>53.31</v>
      </c>
      <c r="G3004" s="190">
        <v>45926</v>
      </c>
      <c r="H3004" s="196">
        <v>1</v>
      </c>
      <c r="I3004" s="197">
        <v>0</v>
      </c>
      <c r="J3004" s="197">
        <v>0</v>
      </c>
      <c r="K3004" s="197">
        <v>0</v>
      </c>
      <c r="L3004" s="197">
        <v>0</v>
      </c>
      <c r="M3004" s="260" t="s">
        <v>239</v>
      </c>
      <c r="N3004" s="260" t="s">
        <v>514</v>
      </c>
    </row>
    <row r="3005" spans="1:14" ht="14.5" x14ac:dyDescent="0.35">
      <c r="A3005" s="260" t="s">
        <v>566</v>
      </c>
      <c r="B3005" s="190">
        <v>45927</v>
      </c>
      <c r="C3005" s="260" t="s">
        <v>752</v>
      </c>
      <c r="D3005" s="197">
        <v>0</v>
      </c>
      <c r="E3005" s="197">
        <v>0</v>
      </c>
      <c r="F3005" s="197">
        <v>178.24</v>
      </c>
      <c r="G3005" s="190">
        <v>45926</v>
      </c>
      <c r="H3005" s="196">
        <v>1</v>
      </c>
      <c r="I3005" s="197">
        <v>0</v>
      </c>
      <c r="J3005" s="197">
        <v>0</v>
      </c>
      <c r="K3005" s="197">
        <v>0</v>
      </c>
      <c r="L3005" s="197">
        <v>0</v>
      </c>
      <c r="M3005" s="260" t="s">
        <v>239</v>
      </c>
      <c r="N3005" s="260" t="s">
        <v>514</v>
      </c>
    </row>
    <row r="3006" spans="1:14" ht="14.5" x14ac:dyDescent="0.35">
      <c r="A3006" s="260" t="s">
        <v>566</v>
      </c>
      <c r="B3006" s="190">
        <v>45927</v>
      </c>
      <c r="C3006" s="260" t="s">
        <v>754</v>
      </c>
      <c r="D3006" s="197">
        <v>0</v>
      </c>
      <c r="E3006" s="197">
        <v>0</v>
      </c>
      <c r="F3006" s="197">
        <v>82.55</v>
      </c>
      <c r="G3006" s="190">
        <v>45926</v>
      </c>
      <c r="H3006" s="196">
        <v>1</v>
      </c>
      <c r="I3006" s="197">
        <v>0</v>
      </c>
      <c r="J3006" s="197">
        <v>0</v>
      </c>
      <c r="K3006" s="197">
        <v>0</v>
      </c>
      <c r="L3006" s="197">
        <v>0</v>
      </c>
      <c r="M3006" s="260" t="s">
        <v>239</v>
      </c>
      <c r="N3006" s="260" t="s">
        <v>514</v>
      </c>
    </row>
    <row r="3007" spans="1:14" ht="14.5" x14ac:dyDescent="0.35">
      <c r="A3007" s="260" t="s">
        <v>566</v>
      </c>
      <c r="B3007" s="190">
        <v>45928</v>
      </c>
      <c r="C3007" s="260" t="s">
        <v>749</v>
      </c>
      <c r="D3007" s="197">
        <v>0</v>
      </c>
      <c r="E3007" s="197">
        <v>0</v>
      </c>
      <c r="F3007" s="197">
        <v>53.31</v>
      </c>
      <c r="G3007" s="190">
        <v>45926</v>
      </c>
      <c r="H3007" s="196">
        <v>2</v>
      </c>
      <c r="I3007" s="197">
        <v>0</v>
      </c>
      <c r="J3007" s="197">
        <v>0</v>
      </c>
      <c r="K3007" s="197">
        <v>0</v>
      </c>
      <c r="L3007" s="197">
        <v>0</v>
      </c>
      <c r="M3007" s="260" t="s">
        <v>239</v>
      </c>
      <c r="N3007" s="260" t="s">
        <v>514</v>
      </c>
    </row>
    <row r="3008" spans="1:14" ht="14.5" x14ac:dyDescent="0.35">
      <c r="A3008" s="260" t="s">
        <v>566</v>
      </c>
      <c r="B3008" s="190">
        <v>45928</v>
      </c>
      <c r="C3008" s="260" t="s">
        <v>752</v>
      </c>
      <c r="D3008" s="197">
        <v>0</v>
      </c>
      <c r="E3008" s="197">
        <v>0</v>
      </c>
      <c r="F3008" s="197">
        <v>178.24</v>
      </c>
      <c r="G3008" s="190">
        <v>45926</v>
      </c>
      <c r="H3008" s="196">
        <v>2</v>
      </c>
      <c r="I3008" s="197">
        <v>0</v>
      </c>
      <c r="J3008" s="197">
        <v>0</v>
      </c>
      <c r="K3008" s="197">
        <v>0</v>
      </c>
      <c r="L3008" s="197">
        <v>0</v>
      </c>
      <c r="M3008" s="260" t="s">
        <v>239</v>
      </c>
      <c r="N3008" s="260" t="s">
        <v>514</v>
      </c>
    </row>
    <row r="3009" spans="1:14" ht="14.5" x14ac:dyDescent="0.35">
      <c r="A3009" s="260" t="s">
        <v>566</v>
      </c>
      <c r="B3009" s="190">
        <v>45928</v>
      </c>
      <c r="C3009" s="260" t="s">
        <v>754</v>
      </c>
      <c r="D3009" s="197">
        <v>0</v>
      </c>
      <c r="E3009" s="197">
        <v>0</v>
      </c>
      <c r="F3009" s="197">
        <v>82.55</v>
      </c>
      <c r="G3009" s="190">
        <v>45926</v>
      </c>
      <c r="H3009" s="196">
        <v>2</v>
      </c>
      <c r="I3009" s="197">
        <v>0</v>
      </c>
      <c r="J3009" s="197">
        <v>0</v>
      </c>
      <c r="K3009" s="197">
        <v>0</v>
      </c>
      <c r="L3009" s="197">
        <v>0</v>
      </c>
      <c r="M3009" s="260" t="s">
        <v>239</v>
      </c>
      <c r="N3009" s="260" t="s">
        <v>514</v>
      </c>
    </row>
    <row r="3010" spans="1:14" ht="14.5" x14ac:dyDescent="0.35">
      <c r="A3010" s="260" t="s">
        <v>566</v>
      </c>
      <c r="B3010" s="190">
        <v>45929</v>
      </c>
      <c r="C3010" s="260" t="s">
        <v>749</v>
      </c>
      <c r="D3010" s="197">
        <v>0</v>
      </c>
      <c r="E3010" s="197">
        <v>0</v>
      </c>
      <c r="F3010" s="197">
        <v>53.83</v>
      </c>
      <c r="G3010" s="190">
        <v>45929</v>
      </c>
      <c r="H3010" s="196">
        <v>0</v>
      </c>
      <c r="I3010" s="197">
        <v>0</v>
      </c>
      <c r="J3010" s="197">
        <v>0</v>
      </c>
      <c r="K3010" s="197">
        <v>0</v>
      </c>
      <c r="L3010" s="197">
        <v>0</v>
      </c>
      <c r="M3010" s="260" t="s">
        <v>239</v>
      </c>
      <c r="N3010" s="260" t="s">
        <v>514</v>
      </c>
    </row>
    <row r="3011" spans="1:14" ht="14.5" x14ac:dyDescent="0.35">
      <c r="A3011" s="260" t="s">
        <v>566</v>
      </c>
      <c r="B3011" s="190">
        <v>45929</v>
      </c>
      <c r="C3011" s="260" t="s">
        <v>752</v>
      </c>
      <c r="D3011" s="197">
        <v>0</v>
      </c>
      <c r="E3011" s="197">
        <v>0</v>
      </c>
      <c r="F3011" s="197">
        <v>177.31</v>
      </c>
      <c r="G3011" s="190">
        <v>45929</v>
      </c>
      <c r="H3011" s="196">
        <v>0</v>
      </c>
      <c r="I3011" s="197">
        <v>0</v>
      </c>
      <c r="J3011" s="197">
        <v>0</v>
      </c>
      <c r="K3011" s="197">
        <v>0</v>
      </c>
      <c r="L3011" s="197">
        <v>0</v>
      </c>
      <c r="M3011" s="260" t="s">
        <v>239</v>
      </c>
      <c r="N3011" s="260" t="s">
        <v>514</v>
      </c>
    </row>
    <row r="3012" spans="1:14" ht="14.5" x14ac:dyDescent="0.35">
      <c r="A3012" s="260" t="s">
        <v>566</v>
      </c>
      <c r="B3012" s="190">
        <v>45929</v>
      </c>
      <c r="C3012" s="260" t="s">
        <v>754</v>
      </c>
      <c r="D3012" s="197">
        <v>0</v>
      </c>
      <c r="E3012" s="197">
        <v>0</v>
      </c>
      <c r="F3012" s="197">
        <v>82.14</v>
      </c>
      <c r="G3012" s="190">
        <v>45929</v>
      </c>
      <c r="H3012" s="196">
        <v>0</v>
      </c>
      <c r="I3012" s="197">
        <v>0</v>
      </c>
      <c r="J3012" s="197">
        <v>0</v>
      </c>
      <c r="K3012" s="197">
        <v>0</v>
      </c>
      <c r="L3012" s="197">
        <v>0</v>
      </c>
      <c r="M3012" s="260" t="s">
        <v>239</v>
      </c>
      <c r="N3012" s="260" t="s">
        <v>514</v>
      </c>
    </row>
    <row r="3013" spans="1:14" ht="14.5" x14ac:dyDescent="0.35">
      <c r="A3013" s="260" t="s">
        <v>566</v>
      </c>
      <c r="B3013" s="190">
        <v>45930</v>
      </c>
      <c r="C3013" s="260" t="s">
        <v>749</v>
      </c>
      <c r="D3013" s="197">
        <v>0</v>
      </c>
      <c r="E3013" s="197">
        <v>0</v>
      </c>
      <c r="F3013" s="197">
        <v>54</v>
      </c>
      <c r="G3013" s="190">
        <v>45930</v>
      </c>
      <c r="H3013" s="196">
        <v>0</v>
      </c>
      <c r="I3013" s="197">
        <v>0</v>
      </c>
      <c r="J3013" s="197">
        <v>0</v>
      </c>
      <c r="K3013" s="197">
        <v>0</v>
      </c>
      <c r="L3013" s="197">
        <v>0</v>
      </c>
      <c r="M3013" s="260" t="s">
        <v>239</v>
      </c>
      <c r="N3013" s="260" t="s">
        <v>514</v>
      </c>
    </row>
    <row r="3014" spans="1:14" ht="14.5" x14ac:dyDescent="0.35">
      <c r="A3014" s="260" t="s">
        <v>566</v>
      </c>
      <c r="B3014" s="190">
        <v>45930</v>
      </c>
      <c r="C3014" s="260" t="s">
        <v>752</v>
      </c>
      <c r="D3014" s="197">
        <v>0</v>
      </c>
      <c r="E3014" s="197">
        <v>0</v>
      </c>
      <c r="F3014" s="197">
        <v>177</v>
      </c>
      <c r="G3014" s="190">
        <v>45930</v>
      </c>
      <c r="H3014" s="196">
        <v>0</v>
      </c>
      <c r="I3014" s="197">
        <v>0</v>
      </c>
      <c r="J3014" s="197">
        <v>0</v>
      </c>
      <c r="K3014" s="197">
        <v>0</v>
      </c>
      <c r="L3014" s="197">
        <v>0</v>
      </c>
      <c r="M3014" s="260" t="s">
        <v>239</v>
      </c>
      <c r="N3014" s="260" t="s">
        <v>514</v>
      </c>
    </row>
    <row r="3015" spans="1:14" ht="14.5" x14ac:dyDescent="0.35">
      <c r="A3015" s="260" t="s">
        <v>566</v>
      </c>
      <c r="B3015" s="190">
        <v>45930</v>
      </c>
      <c r="C3015" s="260" t="s">
        <v>754</v>
      </c>
      <c r="D3015" s="197">
        <v>0</v>
      </c>
      <c r="E3015" s="197">
        <v>0</v>
      </c>
      <c r="F3015" s="197">
        <v>82</v>
      </c>
      <c r="G3015" s="190">
        <v>45930</v>
      </c>
      <c r="H3015" s="196">
        <v>0</v>
      </c>
      <c r="I3015" s="197">
        <v>0</v>
      </c>
      <c r="J3015" s="197">
        <v>0</v>
      </c>
      <c r="K3015" s="197">
        <v>0</v>
      </c>
      <c r="L3015" s="197">
        <v>0</v>
      </c>
      <c r="M3015" s="260" t="s">
        <v>239</v>
      </c>
      <c r="N3015" s="260" t="s">
        <v>514</v>
      </c>
    </row>
    <row r="3016" spans="1:14" ht="14.5" x14ac:dyDescent="0.35">
      <c r="A3016" s="260" t="s">
        <v>566</v>
      </c>
      <c r="B3016" s="190">
        <v>45931</v>
      </c>
      <c r="C3016" s="260" t="s">
        <v>749</v>
      </c>
      <c r="D3016" s="197">
        <v>0</v>
      </c>
      <c r="E3016" s="197">
        <v>0</v>
      </c>
      <c r="F3016" s="197">
        <v>54</v>
      </c>
      <c r="G3016" s="190">
        <v>45931</v>
      </c>
      <c r="H3016" s="196">
        <v>0</v>
      </c>
      <c r="I3016" s="197">
        <v>0</v>
      </c>
      <c r="J3016" s="197">
        <v>0</v>
      </c>
      <c r="K3016" s="197">
        <v>0</v>
      </c>
      <c r="L3016" s="197">
        <v>0</v>
      </c>
      <c r="M3016" s="260" t="s">
        <v>239</v>
      </c>
      <c r="N3016" s="260" t="s">
        <v>514</v>
      </c>
    </row>
    <row r="3017" spans="1:14" ht="14.5" x14ac:dyDescent="0.35">
      <c r="A3017" s="260" t="s">
        <v>566</v>
      </c>
      <c r="B3017" s="190">
        <v>45931</v>
      </c>
      <c r="C3017" s="260" t="s">
        <v>752</v>
      </c>
      <c r="D3017" s="197">
        <v>0</v>
      </c>
      <c r="E3017" s="197">
        <v>0</v>
      </c>
      <c r="F3017" s="197">
        <v>177</v>
      </c>
      <c r="G3017" s="190">
        <v>45931</v>
      </c>
      <c r="H3017" s="196">
        <v>0</v>
      </c>
      <c r="I3017" s="197">
        <v>0</v>
      </c>
      <c r="J3017" s="197">
        <v>0</v>
      </c>
      <c r="K3017" s="197">
        <v>0</v>
      </c>
      <c r="L3017" s="197">
        <v>0</v>
      </c>
      <c r="M3017" s="260" t="s">
        <v>239</v>
      </c>
      <c r="N3017" s="260" t="s">
        <v>514</v>
      </c>
    </row>
    <row r="3018" spans="1:14" ht="14.5" x14ac:dyDescent="0.35">
      <c r="A3018" s="260" t="s">
        <v>566</v>
      </c>
      <c r="B3018" s="190">
        <v>45931</v>
      </c>
      <c r="C3018" s="260" t="s">
        <v>754</v>
      </c>
      <c r="D3018" s="197">
        <v>0</v>
      </c>
      <c r="E3018" s="197">
        <v>0</v>
      </c>
      <c r="F3018" s="197">
        <v>82</v>
      </c>
      <c r="G3018" s="190">
        <v>45931</v>
      </c>
      <c r="H3018" s="196">
        <v>0</v>
      </c>
      <c r="I3018" s="197">
        <v>0</v>
      </c>
      <c r="J3018" s="197">
        <v>0</v>
      </c>
      <c r="K3018" s="197">
        <v>0</v>
      </c>
      <c r="L3018" s="197">
        <v>0</v>
      </c>
      <c r="M3018" s="260" t="s">
        <v>239</v>
      </c>
      <c r="N3018" s="260" t="s">
        <v>514</v>
      </c>
    </row>
    <row r="3019" spans="1:14" ht="14.5" x14ac:dyDescent="0.35">
      <c r="A3019" s="260" t="s">
        <v>566</v>
      </c>
      <c r="B3019" s="190">
        <v>45932</v>
      </c>
      <c r="C3019" s="260" t="s">
        <v>749</v>
      </c>
      <c r="D3019" s="197">
        <v>0</v>
      </c>
      <c r="E3019" s="197">
        <v>0</v>
      </c>
      <c r="F3019" s="197">
        <v>53.9</v>
      </c>
      <c r="G3019" s="190">
        <v>45932</v>
      </c>
      <c r="H3019" s="196">
        <v>0</v>
      </c>
      <c r="I3019" s="197">
        <v>0</v>
      </c>
      <c r="J3019" s="197">
        <v>0</v>
      </c>
      <c r="K3019" s="197">
        <v>0</v>
      </c>
      <c r="L3019" s="197">
        <v>0</v>
      </c>
      <c r="M3019" s="260" t="s">
        <v>239</v>
      </c>
      <c r="N3019" s="260" t="s">
        <v>514</v>
      </c>
    </row>
    <row r="3020" spans="1:14" ht="14.5" x14ac:dyDescent="0.35">
      <c r="A3020" s="260" t="s">
        <v>566</v>
      </c>
      <c r="B3020" s="190">
        <v>45932</v>
      </c>
      <c r="C3020" s="260" t="s">
        <v>752</v>
      </c>
      <c r="D3020" s="197">
        <v>0</v>
      </c>
      <c r="E3020" s="197">
        <v>0</v>
      </c>
      <c r="F3020" s="197">
        <v>177.13</v>
      </c>
      <c r="G3020" s="190">
        <v>45932</v>
      </c>
      <c r="H3020" s="196">
        <v>0</v>
      </c>
      <c r="I3020" s="197">
        <v>0</v>
      </c>
      <c r="J3020" s="197">
        <v>0</v>
      </c>
      <c r="K3020" s="197">
        <v>0</v>
      </c>
      <c r="L3020" s="197">
        <v>0</v>
      </c>
      <c r="M3020" s="260" t="s">
        <v>239</v>
      </c>
      <c r="N3020" s="260" t="s">
        <v>514</v>
      </c>
    </row>
    <row r="3021" spans="1:14" ht="14.5" x14ac:dyDescent="0.35">
      <c r="A3021" s="260" t="s">
        <v>566</v>
      </c>
      <c r="B3021" s="190">
        <v>45932</v>
      </c>
      <c r="C3021" s="260" t="s">
        <v>754</v>
      </c>
      <c r="D3021" s="197">
        <v>0</v>
      </c>
      <c r="E3021" s="197">
        <v>0</v>
      </c>
      <c r="F3021" s="197">
        <v>81.83</v>
      </c>
      <c r="G3021" s="190">
        <v>45932</v>
      </c>
      <c r="H3021" s="196">
        <v>0</v>
      </c>
      <c r="I3021" s="197">
        <v>0</v>
      </c>
      <c r="J3021" s="197">
        <v>0</v>
      </c>
      <c r="K3021" s="197">
        <v>0</v>
      </c>
      <c r="L3021" s="197">
        <v>0</v>
      </c>
      <c r="M3021" s="260" t="s">
        <v>239</v>
      </c>
      <c r="N3021" s="260" t="s">
        <v>514</v>
      </c>
    </row>
    <row r="3022" spans="1:14" ht="14.5" x14ac:dyDescent="0.35">
      <c r="A3022" s="260" t="s">
        <v>566</v>
      </c>
      <c r="B3022" s="190">
        <v>45933</v>
      </c>
      <c r="C3022" s="260" t="s">
        <v>749</v>
      </c>
      <c r="D3022" s="197">
        <v>0</v>
      </c>
      <c r="E3022" s="197">
        <v>0</v>
      </c>
      <c r="F3022" s="197">
        <v>53.8</v>
      </c>
      <c r="G3022" s="190">
        <v>45933</v>
      </c>
      <c r="H3022" s="196">
        <v>0</v>
      </c>
      <c r="I3022" s="197">
        <v>0</v>
      </c>
      <c r="J3022" s="197">
        <v>0</v>
      </c>
      <c r="K3022" s="197">
        <v>0</v>
      </c>
      <c r="L3022" s="197">
        <v>0</v>
      </c>
      <c r="M3022" s="260" t="s">
        <v>239</v>
      </c>
      <c r="N3022" s="260" t="s">
        <v>514</v>
      </c>
    </row>
    <row r="3023" spans="1:14" ht="14.5" x14ac:dyDescent="0.35">
      <c r="A3023" s="260" t="s">
        <v>566</v>
      </c>
      <c r="B3023" s="190">
        <v>45933</v>
      </c>
      <c r="C3023" s="260" t="s">
        <v>752</v>
      </c>
      <c r="D3023" s="197">
        <v>0</v>
      </c>
      <c r="E3023" s="197">
        <v>0</v>
      </c>
      <c r="F3023" s="197">
        <v>177.27</v>
      </c>
      <c r="G3023" s="190">
        <v>45933</v>
      </c>
      <c r="H3023" s="196">
        <v>0</v>
      </c>
      <c r="I3023" s="197">
        <v>0</v>
      </c>
      <c r="J3023" s="197">
        <v>0</v>
      </c>
      <c r="K3023" s="197">
        <v>0</v>
      </c>
      <c r="L3023" s="197">
        <v>0</v>
      </c>
      <c r="M3023" s="260" t="s">
        <v>239</v>
      </c>
      <c r="N3023" s="260" t="s">
        <v>514</v>
      </c>
    </row>
    <row r="3024" spans="1:14" ht="14.5" x14ac:dyDescent="0.35">
      <c r="A3024" s="260" t="s">
        <v>566</v>
      </c>
      <c r="B3024" s="190">
        <v>45933</v>
      </c>
      <c r="C3024" s="260" t="s">
        <v>754</v>
      </c>
      <c r="D3024" s="197">
        <v>0</v>
      </c>
      <c r="E3024" s="197">
        <v>0</v>
      </c>
      <c r="F3024" s="197">
        <v>81.67</v>
      </c>
      <c r="G3024" s="190">
        <v>45933</v>
      </c>
      <c r="H3024" s="196">
        <v>0</v>
      </c>
      <c r="I3024" s="197">
        <v>0</v>
      </c>
      <c r="J3024" s="197">
        <v>0</v>
      </c>
      <c r="K3024" s="197">
        <v>0</v>
      </c>
      <c r="L3024" s="197">
        <v>0</v>
      </c>
      <c r="M3024" s="260" t="s">
        <v>239</v>
      </c>
      <c r="N3024" s="260" t="s">
        <v>514</v>
      </c>
    </row>
    <row r="3025" spans="1:14" ht="14.5" x14ac:dyDescent="0.35">
      <c r="A3025" s="260" t="s">
        <v>566</v>
      </c>
      <c r="B3025" s="190">
        <v>45934</v>
      </c>
      <c r="C3025" s="260" t="s">
        <v>749</v>
      </c>
      <c r="D3025" s="197">
        <v>0</v>
      </c>
      <c r="E3025" s="197">
        <v>0</v>
      </c>
      <c r="F3025" s="197">
        <v>53.8</v>
      </c>
      <c r="G3025" s="190">
        <v>45933</v>
      </c>
      <c r="H3025" s="196">
        <v>1</v>
      </c>
      <c r="I3025" s="197">
        <v>0</v>
      </c>
      <c r="J3025" s="197">
        <v>0</v>
      </c>
      <c r="K3025" s="197">
        <v>0</v>
      </c>
      <c r="L3025" s="197">
        <v>0</v>
      </c>
      <c r="M3025" s="260" t="s">
        <v>239</v>
      </c>
      <c r="N3025" s="260" t="s">
        <v>514</v>
      </c>
    </row>
    <row r="3026" spans="1:14" ht="14.5" x14ac:dyDescent="0.35">
      <c r="A3026" s="260" t="s">
        <v>566</v>
      </c>
      <c r="B3026" s="190">
        <v>45934</v>
      </c>
      <c r="C3026" s="260" t="s">
        <v>752</v>
      </c>
      <c r="D3026" s="197">
        <v>0</v>
      </c>
      <c r="E3026" s="197">
        <v>0</v>
      </c>
      <c r="F3026" s="197">
        <v>177.27</v>
      </c>
      <c r="G3026" s="190">
        <v>45933</v>
      </c>
      <c r="H3026" s="196">
        <v>1</v>
      </c>
      <c r="I3026" s="197">
        <v>0</v>
      </c>
      <c r="J3026" s="197">
        <v>0</v>
      </c>
      <c r="K3026" s="197">
        <v>0</v>
      </c>
      <c r="L3026" s="197">
        <v>0</v>
      </c>
      <c r="M3026" s="260" t="s">
        <v>239</v>
      </c>
      <c r="N3026" s="260" t="s">
        <v>514</v>
      </c>
    </row>
    <row r="3027" spans="1:14" ht="14.5" x14ac:dyDescent="0.35">
      <c r="A3027" s="260" t="s">
        <v>566</v>
      </c>
      <c r="B3027" s="190">
        <v>45934</v>
      </c>
      <c r="C3027" s="260" t="s">
        <v>754</v>
      </c>
      <c r="D3027" s="197">
        <v>0</v>
      </c>
      <c r="E3027" s="197">
        <v>0</v>
      </c>
      <c r="F3027" s="197">
        <v>81.67</v>
      </c>
      <c r="G3027" s="190">
        <v>45933</v>
      </c>
      <c r="H3027" s="196">
        <v>1</v>
      </c>
      <c r="I3027" s="197">
        <v>0</v>
      </c>
      <c r="J3027" s="197">
        <v>0</v>
      </c>
      <c r="K3027" s="197">
        <v>0</v>
      </c>
      <c r="L3027" s="197">
        <v>0</v>
      </c>
      <c r="M3027" s="260" t="s">
        <v>239</v>
      </c>
      <c r="N3027" s="260" t="s">
        <v>514</v>
      </c>
    </row>
    <row r="3028" spans="1:14" ht="14.5" x14ac:dyDescent="0.35">
      <c r="A3028" s="260" t="s">
        <v>566</v>
      </c>
      <c r="B3028" s="190">
        <v>45935</v>
      </c>
      <c r="C3028" s="260" t="s">
        <v>749</v>
      </c>
      <c r="D3028" s="197">
        <v>0</v>
      </c>
      <c r="E3028" s="197">
        <v>0</v>
      </c>
      <c r="F3028" s="197">
        <v>53.8</v>
      </c>
      <c r="G3028" s="190">
        <v>45933</v>
      </c>
      <c r="H3028" s="196">
        <v>2</v>
      </c>
      <c r="I3028" s="197">
        <v>0</v>
      </c>
      <c r="J3028" s="197">
        <v>0</v>
      </c>
      <c r="K3028" s="197">
        <v>0</v>
      </c>
      <c r="L3028" s="197">
        <v>0</v>
      </c>
      <c r="M3028" s="260" t="s">
        <v>239</v>
      </c>
      <c r="N3028" s="260" t="s">
        <v>514</v>
      </c>
    </row>
    <row r="3029" spans="1:14" ht="14.5" x14ac:dyDescent="0.35">
      <c r="A3029" s="260" t="s">
        <v>566</v>
      </c>
      <c r="B3029" s="190">
        <v>45935</v>
      </c>
      <c r="C3029" s="260" t="s">
        <v>752</v>
      </c>
      <c r="D3029" s="197">
        <v>0</v>
      </c>
      <c r="E3029" s="197">
        <v>0</v>
      </c>
      <c r="F3029" s="197">
        <v>177.27</v>
      </c>
      <c r="G3029" s="190">
        <v>45933</v>
      </c>
      <c r="H3029" s="196">
        <v>2</v>
      </c>
      <c r="I3029" s="197">
        <v>0</v>
      </c>
      <c r="J3029" s="197">
        <v>0</v>
      </c>
      <c r="K3029" s="197">
        <v>0</v>
      </c>
      <c r="L3029" s="197">
        <v>0</v>
      </c>
      <c r="M3029" s="260" t="s">
        <v>239</v>
      </c>
      <c r="N3029" s="260" t="s">
        <v>514</v>
      </c>
    </row>
    <row r="3030" spans="1:14" ht="14.5" x14ac:dyDescent="0.35">
      <c r="A3030" s="260" t="s">
        <v>566</v>
      </c>
      <c r="B3030" s="190">
        <v>45935</v>
      </c>
      <c r="C3030" s="260" t="s">
        <v>754</v>
      </c>
      <c r="D3030" s="197">
        <v>0</v>
      </c>
      <c r="E3030" s="197">
        <v>0</v>
      </c>
      <c r="F3030" s="197">
        <v>81.67</v>
      </c>
      <c r="G3030" s="190">
        <v>45933</v>
      </c>
      <c r="H3030" s="196">
        <v>2</v>
      </c>
      <c r="I3030" s="197">
        <v>0</v>
      </c>
      <c r="J3030" s="197">
        <v>0</v>
      </c>
      <c r="K3030" s="197">
        <v>0</v>
      </c>
      <c r="L3030" s="197">
        <v>0</v>
      </c>
      <c r="M3030" s="260" t="s">
        <v>239</v>
      </c>
      <c r="N3030" s="260" t="s">
        <v>514</v>
      </c>
    </row>
    <row r="3031" spans="1:14" ht="14.5" x14ac:dyDescent="0.35">
      <c r="A3031" s="260" t="s">
        <v>566</v>
      </c>
      <c r="B3031" s="190">
        <v>45936</v>
      </c>
      <c r="C3031" s="260" t="s">
        <v>749</v>
      </c>
      <c r="D3031" s="197">
        <v>0</v>
      </c>
      <c r="E3031" s="197">
        <v>0</v>
      </c>
      <c r="F3031" s="197">
        <v>53.5</v>
      </c>
      <c r="G3031" s="190">
        <v>45936</v>
      </c>
      <c r="H3031" s="196">
        <v>0</v>
      </c>
      <c r="I3031" s="197">
        <v>0</v>
      </c>
      <c r="J3031" s="197">
        <v>0</v>
      </c>
      <c r="K3031" s="197">
        <v>0</v>
      </c>
      <c r="L3031" s="197">
        <v>0</v>
      </c>
      <c r="M3031" s="260" t="s">
        <v>239</v>
      </c>
      <c r="N3031" s="260" t="s">
        <v>514</v>
      </c>
    </row>
    <row r="3032" spans="1:14" ht="14.5" x14ac:dyDescent="0.35">
      <c r="A3032" s="260" t="s">
        <v>566</v>
      </c>
      <c r="B3032" s="190">
        <v>45936</v>
      </c>
      <c r="C3032" s="260" t="s">
        <v>752</v>
      </c>
      <c r="D3032" s="197">
        <v>0</v>
      </c>
      <c r="E3032" s="197">
        <v>0</v>
      </c>
      <c r="F3032" s="197">
        <v>177.67</v>
      </c>
      <c r="G3032" s="190">
        <v>45936</v>
      </c>
      <c r="H3032" s="196">
        <v>0</v>
      </c>
      <c r="I3032" s="197">
        <v>0</v>
      </c>
      <c r="J3032" s="197">
        <v>0</v>
      </c>
      <c r="K3032" s="197">
        <v>0</v>
      </c>
      <c r="L3032" s="197">
        <v>0</v>
      </c>
      <c r="M3032" s="260" t="s">
        <v>239</v>
      </c>
      <c r="N3032" s="260" t="s">
        <v>514</v>
      </c>
    </row>
    <row r="3033" spans="1:14" ht="14.5" x14ac:dyDescent="0.35">
      <c r="A3033" s="260" t="s">
        <v>566</v>
      </c>
      <c r="B3033" s="190">
        <v>45936</v>
      </c>
      <c r="C3033" s="260" t="s">
        <v>754</v>
      </c>
      <c r="D3033" s="197">
        <v>0</v>
      </c>
      <c r="E3033" s="197">
        <v>0</v>
      </c>
      <c r="F3033" s="197">
        <v>81.17</v>
      </c>
      <c r="G3033" s="190">
        <v>45936</v>
      </c>
      <c r="H3033" s="196">
        <v>0</v>
      </c>
      <c r="I3033" s="197">
        <v>0</v>
      </c>
      <c r="J3033" s="197">
        <v>0</v>
      </c>
      <c r="K3033" s="197">
        <v>0</v>
      </c>
      <c r="L3033" s="197">
        <v>0</v>
      </c>
      <c r="M3033" s="260" t="s">
        <v>239</v>
      </c>
      <c r="N3033" s="260" t="s">
        <v>514</v>
      </c>
    </row>
    <row r="3034" spans="1:14" ht="14.5" x14ac:dyDescent="0.35">
      <c r="A3034" s="260" t="s">
        <v>566</v>
      </c>
      <c r="B3034" s="190">
        <v>45937</v>
      </c>
      <c r="C3034" s="260" t="s">
        <v>749</v>
      </c>
      <c r="D3034" s="197">
        <v>0</v>
      </c>
      <c r="E3034" s="197">
        <v>0</v>
      </c>
      <c r="F3034" s="197">
        <v>53.4</v>
      </c>
      <c r="G3034" s="190">
        <v>45937</v>
      </c>
      <c r="H3034" s="196">
        <v>0</v>
      </c>
      <c r="I3034" s="197">
        <v>0</v>
      </c>
      <c r="J3034" s="197">
        <v>0</v>
      </c>
      <c r="K3034" s="197">
        <v>0</v>
      </c>
      <c r="L3034" s="197">
        <v>0</v>
      </c>
      <c r="M3034" s="260" t="s">
        <v>239</v>
      </c>
      <c r="N3034" s="260" t="s">
        <v>514</v>
      </c>
    </row>
    <row r="3035" spans="1:14" ht="14.5" x14ac:dyDescent="0.35">
      <c r="A3035" s="260" t="s">
        <v>566</v>
      </c>
      <c r="B3035" s="190">
        <v>45937</v>
      </c>
      <c r="C3035" s="260" t="s">
        <v>752</v>
      </c>
      <c r="D3035" s="197">
        <v>0</v>
      </c>
      <c r="E3035" s="197">
        <v>0</v>
      </c>
      <c r="F3035" s="197">
        <v>177.8</v>
      </c>
      <c r="G3035" s="190">
        <v>45937</v>
      </c>
      <c r="H3035" s="196">
        <v>0</v>
      </c>
      <c r="I3035" s="197">
        <v>0</v>
      </c>
      <c r="J3035" s="197">
        <v>0</v>
      </c>
      <c r="K3035" s="197">
        <v>0</v>
      </c>
      <c r="L3035" s="197">
        <v>0</v>
      </c>
      <c r="M3035" s="260" t="s">
        <v>239</v>
      </c>
      <c r="N3035" s="260" t="s">
        <v>514</v>
      </c>
    </row>
    <row r="3036" spans="1:14" ht="14.5" x14ac:dyDescent="0.35">
      <c r="A3036" s="260" t="s">
        <v>566</v>
      </c>
      <c r="B3036" s="190">
        <v>45937</v>
      </c>
      <c r="C3036" s="260" t="s">
        <v>754</v>
      </c>
      <c r="D3036" s="197">
        <v>0</v>
      </c>
      <c r="E3036" s="197">
        <v>0</v>
      </c>
      <c r="F3036" s="197">
        <v>81</v>
      </c>
      <c r="G3036" s="190">
        <v>45937</v>
      </c>
      <c r="H3036" s="196">
        <v>0</v>
      </c>
      <c r="I3036" s="197">
        <v>0</v>
      </c>
      <c r="J3036" s="197">
        <v>0</v>
      </c>
      <c r="K3036" s="197">
        <v>0</v>
      </c>
      <c r="L3036" s="197">
        <v>0</v>
      </c>
      <c r="M3036" s="260" t="s">
        <v>239</v>
      </c>
      <c r="N3036" s="260" t="s">
        <v>514</v>
      </c>
    </row>
    <row r="3037" spans="1:14" ht="14.5" x14ac:dyDescent="0.35">
      <c r="A3037" s="260" t="s">
        <v>566</v>
      </c>
      <c r="B3037" s="190">
        <v>45938</v>
      </c>
      <c r="C3037" s="260" t="s">
        <v>749</v>
      </c>
      <c r="D3037" s="197">
        <v>0</v>
      </c>
      <c r="E3037" s="197">
        <v>0</v>
      </c>
      <c r="F3037" s="197">
        <v>53.3</v>
      </c>
      <c r="G3037" s="190">
        <v>45938</v>
      </c>
      <c r="H3037" s="196">
        <v>0</v>
      </c>
      <c r="I3037" s="197">
        <v>0</v>
      </c>
      <c r="J3037" s="197">
        <v>0</v>
      </c>
      <c r="K3037" s="197">
        <v>0</v>
      </c>
      <c r="L3037" s="197">
        <v>0</v>
      </c>
      <c r="M3037" s="260" t="s">
        <v>239</v>
      </c>
      <c r="N3037" s="260" t="s">
        <v>514</v>
      </c>
    </row>
    <row r="3038" spans="1:14" ht="14.5" x14ac:dyDescent="0.35">
      <c r="A3038" s="260" t="s">
        <v>566</v>
      </c>
      <c r="B3038" s="190">
        <v>45938</v>
      </c>
      <c r="C3038" s="260" t="s">
        <v>752</v>
      </c>
      <c r="D3038" s="197">
        <v>0</v>
      </c>
      <c r="E3038" s="197">
        <v>0</v>
      </c>
      <c r="F3038" s="197">
        <v>177.93</v>
      </c>
      <c r="G3038" s="190">
        <v>45938</v>
      </c>
      <c r="H3038" s="196">
        <v>0</v>
      </c>
      <c r="I3038" s="197">
        <v>0</v>
      </c>
      <c r="J3038" s="197">
        <v>0</v>
      </c>
      <c r="K3038" s="197">
        <v>0</v>
      </c>
      <c r="L3038" s="197">
        <v>0</v>
      </c>
      <c r="M3038" s="260" t="s">
        <v>239</v>
      </c>
      <c r="N3038" s="260" t="s">
        <v>514</v>
      </c>
    </row>
    <row r="3039" spans="1:14" ht="14.5" x14ac:dyDescent="0.35">
      <c r="A3039" s="260" t="s">
        <v>566</v>
      </c>
      <c r="B3039" s="190">
        <v>45938</v>
      </c>
      <c r="C3039" s="260" t="s">
        <v>754</v>
      </c>
      <c r="D3039" s="197">
        <v>0</v>
      </c>
      <c r="E3039" s="197">
        <v>0</v>
      </c>
      <c r="F3039" s="197">
        <v>80.83</v>
      </c>
      <c r="G3039" s="190">
        <v>45938</v>
      </c>
      <c r="H3039" s="196">
        <v>0</v>
      </c>
      <c r="I3039" s="197">
        <v>0</v>
      </c>
      <c r="J3039" s="197">
        <v>0</v>
      </c>
      <c r="K3039" s="197">
        <v>0</v>
      </c>
      <c r="L3039" s="197">
        <v>0</v>
      </c>
      <c r="M3039" s="260" t="s">
        <v>239</v>
      </c>
      <c r="N3039" s="260" t="s">
        <v>514</v>
      </c>
    </row>
    <row r="3040" spans="1:14" ht="14.5" x14ac:dyDescent="0.35">
      <c r="A3040" s="260" t="s">
        <v>566</v>
      </c>
      <c r="B3040" s="190">
        <v>45939</v>
      </c>
      <c r="C3040" s="260" t="s">
        <v>749</v>
      </c>
      <c r="D3040" s="197">
        <v>0</v>
      </c>
      <c r="E3040" s="197">
        <v>0</v>
      </c>
      <c r="F3040" s="197">
        <v>53.2</v>
      </c>
      <c r="G3040" s="190">
        <v>45939</v>
      </c>
      <c r="H3040" s="196">
        <v>0</v>
      </c>
      <c r="I3040" s="197">
        <v>0</v>
      </c>
      <c r="J3040" s="197">
        <v>0</v>
      </c>
      <c r="K3040" s="197">
        <v>0</v>
      </c>
      <c r="L3040" s="197">
        <v>0</v>
      </c>
      <c r="M3040" s="260" t="s">
        <v>239</v>
      </c>
      <c r="N3040" s="260" t="s">
        <v>514</v>
      </c>
    </row>
    <row r="3041" spans="1:14" ht="14.5" x14ac:dyDescent="0.35">
      <c r="A3041" s="260" t="s">
        <v>566</v>
      </c>
      <c r="B3041" s="190">
        <v>45939</v>
      </c>
      <c r="C3041" s="260" t="s">
        <v>752</v>
      </c>
      <c r="D3041" s="197">
        <v>0</v>
      </c>
      <c r="E3041" s="197">
        <v>0</v>
      </c>
      <c r="F3041" s="197">
        <v>178.07</v>
      </c>
      <c r="G3041" s="190">
        <v>45939</v>
      </c>
      <c r="H3041" s="196">
        <v>0</v>
      </c>
      <c r="I3041" s="197">
        <v>0</v>
      </c>
      <c r="J3041" s="197">
        <v>0</v>
      </c>
      <c r="K3041" s="197">
        <v>0</v>
      </c>
      <c r="L3041" s="197">
        <v>0</v>
      </c>
      <c r="M3041" s="260" t="s">
        <v>239</v>
      </c>
      <c r="N3041" s="260" t="s">
        <v>514</v>
      </c>
    </row>
    <row r="3042" spans="1:14" ht="14.5" x14ac:dyDescent="0.35">
      <c r="A3042" s="260" t="s">
        <v>566</v>
      </c>
      <c r="B3042" s="190">
        <v>45939</v>
      </c>
      <c r="C3042" s="260" t="s">
        <v>754</v>
      </c>
      <c r="D3042" s="197">
        <v>0</v>
      </c>
      <c r="E3042" s="197">
        <v>0</v>
      </c>
      <c r="F3042" s="197">
        <v>80.67</v>
      </c>
      <c r="G3042" s="190">
        <v>45939</v>
      </c>
      <c r="H3042" s="196">
        <v>0</v>
      </c>
      <c r="I3042" s="197">
        <v>0</v>
      </c>
      <c r="J3042" s="197">
        <v>0</v>
      </c>
      <c r="K3042" s="197">
        <v>0</v>
      </c>
      <c r="L3042" s="197">
        <v>0</v>
      </c>
      <c r="M3042" s="260" t="s">
        <v>239</v>
      </c>
      <c r="N3042" s="260" t="s">
        <v>514</v>
      </c>
    </row>
    <row r="3043" spans="1:14" ht="14.5" x14ac:dyDescent="0.35">
      <c r="A3043" s="260" t="s">
        <v>566</v>
      </c>
      <c r="B3043" s="190">
        <v>45940</v>
      </c>
      <c r="C3043" s="260" t="s">
        <v>749</v>
      </c>
      <c r="D3043" s="197">
        <v>0</v>
      </c>
      <c r="E3043" s="197">
        <v>0</v>
      </c>
      <c r="F3043" s="197">
        <v>53.1</v>
      </c>
      <c r="G3043" s="190">
        <v>45940</v>
      </c>
      <c r="H3043" s="196">
        <v>0</v>
      </c>
      <c r="I3043" s="197">
        <v>0</v>
      </c>
      <c r="J3043" s="197">
        <v>0</v>
      </c>
      <c r="K3043" s="197">
        <v>0</v>
      </c>
      <c r="L3043" s="197">
        <v>0</v>
      </c>
      <c r="M3043" s="260" t="s">
        <v>239</v>
      </c>
      <c r="N3043" s="260" t="s">
        <v>514</v>
      </c>
    </row>
    <row r="3044" spans="1:14" ht="14.5" x14ac:dyDescent="0.35">
      <c r="A3044" s="260" t="s">
        <v>566</v>
      </c>
      <c r="B3044" s="190">
        <v>45940</v>
      </c>
      <c r="C3044" s="260" t="s">
        <v>752</v>
      </c>
      <c r="D3044" s="197">
        <v>0</v>
      </c>
      <c r="E3044" s="197">
        <v>0</v>
      </c>
      <c r="F3044" s="197">
        <v>178.2</v>
      </c>
      <c r="G3044" s="190">
        <v>45940</v>
      </c>
      <c r="H3044" s="196">
        <v>0</v>
      </c>
      <c r="I3044" s="197">
        <v>0</v>
      </c>
      <c r="J3044" s="197">
        <v>0</v>
      </c>
      <c r="K3044" s="197">
        <v>0</v>
      </c>
      <c r="L3044" s="197">
        <v>0</v>
      </c>
      <c r="M3044" s="260" t="s">
        <v>239</v>
      </c>
      <c r="N3044" s="260" t="s">
        <v>514</v>
      </c>
    </row>
    <row r="3045" spans="1:14" ht="14.5" x14ac:dyDescent="0.35">
      <c r="A3045" s="260" t="s">
        <v>566</v>
      </c>
      <c r="B3045" s="190">
        <v>45940</v>
      </c>
      <c r="C3045" s="260" t="s">
        <v>754</v>
      </c>
      <c r="D3045" s="197">
        <v>0</v>
      </c>
      <c r="E3045" s="197">
        <v>0</v>
      </c>
      <c r="F3045" s="197">
        <v>80.5</v>
      </c>
      <c r="G3045" s="190">
        <v>45940</v>
      </c>
      <c r="H3045" s="196">
        <v>0</v>
      </c>
      <c r="I3045" s="197">
        <v>0</v>
      </c>
      <c r="J3045" s="197">
        <v>0</v>
      </c>
      <c r="K3045" s="197">
        <v>0</v>
      </c>
      <c r="L3045" s="197">
        <v>0</v>
      </c>
      <c r="M3045" s="260" t="s">
        <v>239</v>
      </c>
      <c r="N3045" s="260" t="s">
        <v>514</v>
      </c>
    </row>
    <row r="3046" spans="1:14" ht="14.5" x14ac:dyDescent="0.35">
      <c r="A3046" s="260" t="s">
        <v>566</v>
      </c>
      <c r="B3046" s="190">
        <v>45941</v>
      </c>
      <c r="C3046" s="260" t="s">
        <v>749</v>
      </c>
      <c r="D3046" s="197">
        <v>0</v>
      </c>
      <c r="E3046" s="197">
        <v>0</v>
      </c>
      <c r="F3046" s="197">
        <v>53.1</v>
      </c>
      <c r="G3046" s="190">
        <v>45940</v>
      </c>
      <c r="H3046" s="196">
        <v>1</v>
      </c>
      <c r="I3046" s="197">
        <v>0</v>
      </c>
      <c r="J3046" s="197">
        <v>0</v>
      </c>
      <c r="K3046" s="197">
        <v>0</v>
      </c>
      <c r="L3046" s="197">
        <v>0</v>
      </c>
      <c r="M3046" s="260" t="s">
        <v>239</v>
      </c>
      <c r="N3046" s="260" t="s">
        <v>514</v>
      </c>
    </row>
    <row r="3047" spans="1:14" ht="14.5" x14ac:dyDescent="0.35">
      <c r="A3047" s="260" t="s">
        <v>566</v>
      </c>
      <c r="B3047" s="190">
        <v>45941</v>
      </c>
      <c r="C3047" s="260" t="s">
        <v>752</v>
      </c>
      <c r="D3047" s="197">
        <v>0</v>
      </c>
      <c r="E3047" s="197">
        <v>0</v>
      </c>
      <c r="F3047" s="197">
        <v>178.2</v>
      </c>
      <c r="G3047" s="190">
        <v>45940</v>
      </c>
      <c r="H3047" s="196">
        <v>1</v>
      </c>
      <c r="I3047" s="197">
        <v>0</v>
      </c>
      <c r="J3047" s="197">
        <v>0</v>
      </c>
      <c r="K3047" s="197">
        <v>0</v>
      </c>
      <c r="L3047" s="197">
        <v>0</v>
      </c>
      <c r="M3047" s="260" t="s">
        <v>239</v>
      </c>
      <c r="N3047" s="260" t="s">
        <v>514</v>
      </c>
    </row>
    <row r="3048" spans="1:14" ht="14.5" x14ac:dyDescent="0.35">
      <c r="A3048" s="260" t="s">
        <v>566</v>
      </c>
      <c r="B3048" s="190">
        <v>45941</v>
      </c>
      <c r="C3048" s="260" t="s">
        <v>754</v>
      </c>
      <c r="D3048" s="197">
        <v>0</v>
      </c>
      <c r="E3048" s="197">
        <v>0</v>
      </c>
      <c r="F3048" s="197">
        <v>80.5</v>
      </c>
      <c r="G3048" s="190">
        <v>45940</v>
      </c>
      <c r="H3048" s="196">
        <v>1</v>
      </c>
      <c r="I3048" s="197">
        <v>0</v>
      </c>
      <c r="J3048" s="197">
        <v>0</v>
      </c>
      <c r="K3048" s="197">
        <v>0</v>
      </c>
      <c r="L3048" s="197">
        <v>0</v>
      </c>
      <c r="M3048" s="260" t="s">
        <v>239</v>
      </c>
      <c r="N3048" s="260" t="s">
        <v>514</v>
      </c>
    </row>
    <row r="3049" spans="1:14" ht="14.5" x14ac:dyDescent="0.35">
      <c r="A3049" s="260" t="s">
        <v>566</v>
      </c>
      <c r="B3049" s="190">
        <v>45942</v>
      </c>
      <c r="C3049" s="260" t="s">
        <v>749</v>
      </c>
      <c r="D3049" s="197">
        <v>0</v>
      </c>
      <c r="E3049" s="197">
        <v>0</v>
      </c>
      <c r="F3049" s="197">
        <v>53.1</v>
      </c>
      <c r="G3049" s="190">
        <v>45940</v>
      </c>
      <c r="H3049" s="196">
        <v>2</v>
      </c>
      <c r="I3049" s="197">
        <v>0</v>
      </c>
      <c r="J3049" s="197">
        <v>0</v>
      </c>
      <c r="K3049" s="197">
        <v>0</v>
      </c>
      <c r="L3049" s="197">
        <v>0</v>
      </c>
      <c r="M3049" s="260" t="s">
        <v>239</v>
      </c>
      <c r="N3049" s="260" t="s">
        <v>514</v>
      </c>
    </row>
    <row r="3050" spans="1:14" ht="14.5" x14ac:dyDescent="0.35">
      <c r="A3050" s="260" t="s">
        <v>566</v>
      </c>
      <c r="B3050" s="190">
        <v>45942</v>
      </c>
      <c r="C3050" s="260" t="s">
        <v>752</v>
      </c>
      <c r="D3050" s="197">
        <v>0</v>
      </c>
      <c r="E3050" s="197">
        <v>0</v>
      </c>
      <c r="F3050" s="197">
        <v>178.2</v>
      </c>
      <c r="G3050" s="190">
        <v>45940</v>
      </c>
      <c r="H3050" s="196">
        <v>2</v>
      </c>
      <c r="I3050" s="197">
        <v>0</v>
      </c>
      <c r="J3050" s="197">
        <v>0</v>
      </c>
      <c r="K3050" s="197">
        <v>0</v>
      </c>
      <c r="L3050" s="197">
        <v>0</v>
      </c>
      <c r="M3050" s="260" t="s">
        <v>239</v>
      </c>
      <c r="N3050" s="260" t="s">
        <v>514</v>
      </c>
    </row>
    <row r="3051" spans="1:14" ht="14.5" x14ac:dyDescent="0.35">
      <c r="A3051" s="260" t="s">
        <v>566</v>
      </c>
      <c r="B3051" s="190">
        <v>45942</v>
      </c>
      <c r="C3051" s="260" t="s">
        <v>754</v>
      </c>
      <c r="D3051" s="197">
        <v>0</v>
      </c>
      <c r="E3051" s="197">
        <v>0</v>
      </c>
      <c r="F3051" s="197">
        <v>80.5</v>
      </c>
      <c r="G3051" s="190">
        <v>45940</v>
      </c>
      <c r="H3051" s="196">
        <v>2</v>
      </c>
      <c r="I3051" s="197">
        <v>0</v>
      </c>
      <c r="J3051" s="197">
        <v>0</v>
      </c>
      <c r="K3051" s="197">
        <v>0</v>
      </c>
      <c r="L3051" s="197">
        <v>0</v>
      </c>
      <c r="M3051" s="260" t="s">
        <v>239</v>
      </c>
      <c r="N3051" s="260" t="s">
        <v>514</v>
      </c>
    </row>
    <row r="3052" spans="1:14" ht="14.5" x14ac:dyDescent="0.35">
      <c r="A3052" s="260" t="s">
        <v>566</v>
      </c>
      <c r="B3052" s="190">
        <v>45943</v>
      </c>
      <c r="C3052" s="260" t="s">
        <v>749</v>
      </c>
      <c r="D3052" s="197">
        <v>0</v>
      </c>
      <c r="E3052" s="197">
        <v>0</v>
      </c>
      <c r="F3052" s="197">
        <v>52.8</v>
      </c>
      <c r="G3052" s="190">
        <v>45943</v>
      </c>
      <c r="H3052" s="196">
        <v>0</v>
      </c>
      <c r="I3052" s="197">
        <v>0</v>
      </c>
      <c r="J3052" s="197">
        <v>0</v>
      </c>
      <c r="K3052" s="197">
        <v>0</v>
      </c>
      <c r="L3052" s="197">
        <v>0</v>
      </c>
      <c r="M3052" s="260" t="s">
        <v>239</v>
      </c>
      <c r="N3052" s="260" t="s">
        <v>514</v>
      </c>
    </row>
    <row r="3053" spans="1:14" ht="14.5" x14ac:dyDescent="0.35">
      <c r="A3053" s="260" t="s">
        <v>566</v>
      </c>
      <c r="B3053" s="190">
        <v>45943</v>
      </c>
      <c r="C3053" s="260" t="s">
        <v>752</v>
      </c>
      <c r="D3053" s="197">
        <v>0</v>
      </c>
      <c r="E3053" s="197">
        <v>0</v>
      </c>
      <c r="F3053" s="197">
        <v>178.6</v>
      </c>
      <c r="G3053" s="190">
        <v>45943</v>
      </c>
      <c r="H3053" s="196">
        <v>0</v>
      </c>
      <c r="I3053" s="197">
        <v>0</v>
      </c>
      <c r="J3053" s="197">
        <v>0</v>
      </c>
      <c r="K3053" s="197">
        <v>0</v>
      </c>
      <c r="L3053" s="197">
        <v>0</v>
      </c>
      <c r="M3053" s="260" t="s">
        <v>239</v>
      </c>
      <c r="N3053" s="260" t="s">
        <v>514</v>
      </c>
    </row>
    <row r="3054" spans="1:14" ht="14.5" x14ac:dyDescent="0.35">
      <c r="A3054" s="260" t="s">
        <v>566</v>
      </c>
      <c r="B3054" s="190">
        <v>45943</v>
      </c>
      <c r="C3054" s="260" t="s">
        <v>754</v>
      </c>
      <c r="D3054" s="197">
        <v>0</v>
      </c>
      <c r="E3054" s="197">
        <v>0</v>
      </c>
      <c r="F3054" s="197">
        <v>80</v>
      </c>
      <c r="G3054" s="190">
        <v>45943</v>
      </c>
      <c r="H3054" s="196">
        <v>0</v>
      </c>
      <c r="I3054" s="197">
        <v>0</v>
      </c>
      <c r="J3054" s="197">
        <v>0</v>
      </c>
      <c r="K3054" s="197">
        <v>0</v>
      </c>
      <c r="L3054" s="197">
        <v>0</v>
      </c>
      <c r="M3054" s="260" t="s">
        <v>239</v>
      </c>
      <c r="N3054" s="260" t="s">
        <v>514</v>
      </c>
    </row>
    <row r="3055" spans="1:14" ht="14.5" x14ac:dyDescent="0.35">
      <c r="A3055" s="260" t="s">
        <v>566</v>
      </c>
      <c r="B3055" s="190">
        <v>45944</v>
      </c>
      <c r="C3055" s="260" t="s">
        <v>749</v>
      </c>
      <c r="D3055" s="197">
        <v>0</v>
      </c>
      <c r="E3055" s="197">
        <v>0</v>
      </c>
      <c r="F3055" s="197">
        <v>52.7</v>
      </c>
      <c r="G3055" s="190">
        <v>45944</v>
      </c>
      <c r="H3055" s="196">
        <v>0</v>
      </c>
      <c r="I3055" s="197">
        <v>0</v>
      </c>
      <c r="J3055" s="197">
        <v>0</v>
      </c>
      <c r="K3055" s="197">
        <v>0</v>
      </c>
      <c r="L3055" s="197">
        <v>0</v>
      </c>
      <c r="M3055" s="260" t="s">
        <v>239</v>
      </c>
      <c r="N3055" s="260" t="s">
        <v>514</v>
      </c>
    </row>
    <row r="3056" spans="1:14" ht="14.5" x14ac:dyDescent="0.35">
      <c r="A3056" s="260" t="s">
        <v>566</v>
      </c>
      <c r="B3056" s="190">
        <v>45944</v>
      </c>
      <c r="C3056" s="260" t="s">
        <v>752</v>
      </c>
      <c r="D3056" s="197">
        <v>0</v>
      </c>
      <c r="E3056" s="197">
        <v>0</v>
      </c>
      <c r="F3056" s="197">
        <v>178.73</v>
      </c>
      <c r="G3056" s="190">
        <v>45944</v>
      </c>
      <c r="H3056" s="196">
        <v>0</v>
      </c>
      <c r="I3056" s="197">
        <v>0</v>
      </c>
      <c r="J3056" s="197">
        <v>0</v>
      </c>
      <c r="K3056" s="197">
        <v>0</v>
      </c>
      <c r="L3056" s="197">
        <v>0</v>
      </c>
      <c r="M3056" s="260" t="s">
        <v>239</v>
      </c>
      <c r="N3056" s="260" t="s">
        <v>514</v>
      </c>
    </row>
    <row r="3057" spans="1:14" ht="14.5" x14ac:dyDescent="0.35">
      <c r="A3057" s="260" t="s">
        <v>566</v>
      </c>
      <c r="B3057" s="190">
        <v>45944</v>
      </c>
      <c r="C3057" s="260" t="s">
        <v>754</v>
      </c>
      <c r="D3057" s="197">
        <v>0</v>
      </c>
      <c r="E3057" s="197">
        <v>0</v>
      </c>
      <c r="F3057" s="197">
        <v>79.83</v>
      </c>
      <c r="G3057" s="190">
        <v>45944</v>
      </c>
      <c r="H3057" s="196">
        <v>0</v>
      </c>
      <c r="I3057" s="197">
        <v>0</v>
      </c>
      <c r="J3057" s="197">
        <v>0</v>
      </c>
      <c r="K3057" s="197">
        <v>0</v>
      </c>
      <c r="L3057" s="197">
        <v>0</v>
      </c>
      <c r="M3057" s="260" t="s">
        <v>239</v>
      </c>
      <c r="N3057" s="260" t="s">
        <v>514</v>
      </c>
    </row>
    <row r="3058" spans="1:14" ht="14.5" x14ac:dyDescent="0.35">
      <c r="A3058" s="260" t="s">
        <v>566</v>
      </c>
      <c r="B3058" s="190">
        <v>45945</v>
      </c>
      <c r="C3058" s="260" t="s">
        <v>749</v>
      </c>
      <c r="D3058" s="197">
        <v>0</v>
      </c>
      <c r="E3058" s="197">
        <v>0</v>
      </c>
      <c r="F3058" s="197">
        <v>52.6</v>
      </c>
      <c r="G3058" s="190">
        <v>45945</v>
      </c>
      <c r="H3058" s="196">
        <v>0</v>
      </c>
      <c r="I3058" s="197">
        <v>0</v>
      </c>
      <c r="J3058" s="197">
        <v>0</v>
      </c>
      <c r="K3058" s="197">
        <v>0</v>
      </c>
      <c r="L3058" s="197">
        <v>0</v>
      </c>
      <c r="M3058" s="260" t="s">
        <v>239</v>
      </c>
      <c r="N3058" s="260" t="s">
        <v>514</v>
      </c>
    </row>
    <row r="3059" spans="1:14" ht="14.5" x14ac:dyDescent="0.35">
      <c r="A3059" s="260" t="s">
        <v>566</v>
      </c>
      <c r="B3059" s="190">
        <v>45945</v>
      </c>
      <c r="C3059" s="260" t="s">
        <v>752</v>
      </c>
      <c r="D3059" s="197">
        <v>0</v>
      </c>
      <c r="E3059" s="197">
        <v>0</v>
      </c>
      <c r="F3059" s="197">
        <v>178.87</v>
      </c>
      <c r="G3059" s="190">
        <v>45945</v>
      </c>
      <c r="H3059" s="196">
        <v>0</v>
      </c>
      <c r="I3059" s="197">
        <v>0</v>
      </c>
      <c r="J3059" s="197">
        <v>0</v>
      </c>
      <c r="K3059" s="197">
        <v>0</v>
      </c>
      <c r="L3059" s="197">
        <v>0</v>
      </c>
      <c r="M3059" s="260" t="s">
        <v>239</v>
      </c>
      <c r="N3059" s="260" t="s">
        <v>514</v>
      </c>
    </row>
    <row r="3060" spans="1:14" ht="14.5" x14ac:dyDescent="0.35">
      <c r="A3060" s="260" t="s">
        <v>566</v>
      </c>
      <c r="B3060" s="190">
        <v>45945</v>
      </c>
      <c r="C3060" s="260" t="s">
        <v>754</v>
      </c>
      <c r="D3060" s="197">
        <v>0</v>
      </c>
      <c r="E3060" s="197">
        <v>0</v>
      </c>
      <c r="F3060" s="197">
        <v>79.67</v>
      </c>
      <c r="G3060" s="190">
        <v>45945</v>
      </c>
      <c r="H3060" s="196">
        <v>0</v>
      </c>
      <c r="I3060" s="197">
        <v>0</v>
      </c>
      <c r="J3060" s="197">
        <v>0</v>
      </c>
      <c r="K3060" s="197">
        <v>0</v>
      </c>
      <c r="L3060" s="197">
        <v>0</v>
      </c>
      <c r="M3060" s="260" t="s">
        <v>239</v>
      </c>
      <c r="N3060" s="260" t="s">
        <v>514</v>
      </c>
    </row>
    <row r="3061" spans="1:14" ht="14.5" x14ac:dyDescent="0.35">
      <c r="A3061" s="260" t="s">
        <v>566</v>
      </c>
      <c r="B3061" s="190">
        <v>45946</v>
      </c>
      <c r="C3061" s="260" t="s">
        <v>749</v>
      </c>
      <c r="D3061" s="197">
        <v>0</v>
      </c>
      <c r="E3061" s="197">
        <v>0</v>
      </c>
      <c r="F3061" s="197">
        <v>52.5</v>
      </c>
      <c r="G3061" s="190">
        <v>45946</v>
      </c>
      <c r="H3061" s="196">
        <v>0</v>
      </c>
      <c r="I3061" s="197">
        <v>0</v>
      </c>
      <c r="J3061" s="197">
        <v>0</v>
      </c>
      <c r="K3061" s="197">
        <v>0</v>
      </c>
      <c r="L3061" s="197">
        <v>0</v>
      </c>
      <c r="M3061" s="260" t="s">
        <v>239</v>
      </c>
      <c r="N3061" s="260" t="s">
        <v>514</v>
      </c>
    </row>
    <row r="3062" spans="1:14" ht="14.5" x14ac:dyDescent="0.35">
      <c r="A3062" s="260" t="s">
        <v>566</v>
      </c>
      <c r="B3062" s="190">
        <v>45946</v>
      </c>
      <c r="C3062" s="260" t="s">
        <v>752</v>
      </c>
      <c r="D3062" s="197">
        <v>0</v>
      </c>
      <c r="E3062" s="197">
        <v>0</v>
      </c>
      <c r="F3062" s="197">
        <v>179</v>
      </c>
      <c r="G3062" s="190">
        <v>45946</v>
      </c>
      <c r="H3062" s="196">
        <v>0</v>
      </c>
      <c r="I3062" s="197">
        <v>0</v>
      </c>
      <c r="J3062" s="197">
        <v>0</v>
      </c>
      <c r="K3062" s="197">
        <v>0</v>
      </c>
      <c r="L3062" s="197">
        <v>0</v>
      </c>
      <c r="M3062" s="260" t="s">
        <v>239</v>
      </c>
      <c r="N3062" s="260" t="s">
        <v>514</v>
      </c>
    </row>
    <row r="3063" spans="1:14" ht="14.5" x14ac:dyDescent="0.35">
      <c r="A3063" s="260" t="s">
        <v>566</v>
      </c>
      <c r="B3063" s="190">
        <v>45946</v>
      </c>
      <c r="C3063" s="260" t="s">
        <v>754</v>
      </c>
      <c r="D3063" s="197">
        <v>0</v>
      </c>
      <c r="E3063" s="197">
        <v>0</v>
      </c>
      <c r="F3063" s="197">
        <v>79.5</v>
      </c>
      <c r="G3063" s="190">
        <v>45946</v>
      </c>
      <c r="H3063" s="196">
        <v>0</v>
      </c>
      <c r="I3063" s="197">
        <v>0</v>
      </c>
      <c r="J3063" s="197">
        <v>0</v>
      </c>
      <c r="K3063" s="197">
        <v>0</v>
      </c>
      <c r="L3063" s="197">
        <v>0</v>
      </c>
      <c r="M3063" s="260" t="s">
        <v>239</v>
      </c>
      <c r="N3063" s="260" t="s">
        <v>514</v>
      </c>
    </row>
    <row r="3064" spans="1:14" ht="14.5" x14ac:dyDescent="0.35">
      <c r="A3064" s="260" t="s">
        <v>566</v>
      </c>
      <c r="B3064" s="190">
        <v>45947</v>
      </c>
      <c r="C3064" s="260" t="s">
        <v>749</v>
      </c>
      <c r="D3064" s="197">
        <v>0</v>
      </c>
      <c r="E3064" s="197">
        <v>0</v>
      </c>
      <c r="F3064" s="197">
        <v>52.4</v>
      </c>
      <c r="G3064" s="190">
        <v>45947</v>
      </c>
      <c r="H3064" s="196">
        <v>0</v>
      </c>
      <c r="I3064" s="197">
        <v>0</v>
      </c>
      <c r="J3064" s="197">
        <v>0</v>
      </c>
      <c r="K3064" s="197">
        <v>0</v>
      </c>
      <c r="L3064" s="197">
        <v>0</v>
      </c>
      <c r="M3064" s="260" t="s">
        <v>239</v>
      </c>
      <c r="N3064" s="260" t="s">
        <v>514</v>
      </c>
    </row>
    <row r="3065" spans="1:14" ht="14.5" x14ac:dyDescent="0.35">
      <c r="A3065" s="260" t="s">
        <v>566</v>
      </c>
      <c r="B3065" s="190">
        <v>45947</v>
      </c>
      <c r="C3065" s="260" t="s">
        <v>752</v>
      </c>
      <c r="D3065" s="197">
        <v>0</v>
      </c>
      <c r="E3065" s="197">
        <v>0</v>
      </c>
      <c r="F3065" s="197">
        <v>179.13</v>
      </c>
      <c r="G3065" s="190">
        <v>45947</v>
      </c>
      <c r="H3065" s="196">
        <v>0</v>
      </c>
      <c r="I3065" s="197">
        <v>0</v>
      </c>
      <c r="J3065" s="197">
        <v>0</v>
      </c>
      <c r="K3065" s="197">
        <v>0</v>
      </c>
      <c r="L3065" s="197">
        <v>0</v>
      </c>
      <c r="M3065" s="260" t="s">
        <v>239</v>
      </c>
      <c r="N3065" s="260" t="s">
        <v>514</v>
      </c>
    </row>
    <row r="3066" spans="1:14" ht="14.5" x14ac:dyDescent="0.35">
      <c r="A3066" s="260" t="s">
        <v>566</v>
      </c>
      <c r="B3066" s="190">
        <v>45947</v>
      </c>
      <c r="C3066" s="260" t="s">
        <v>754</v>
      </c>
      <c r="D3066" s="197">
        <v>0</v>
      </c>
      <c r="E3066" s="197">
        <v>0</v>
      </c>
      <c r="F3066" s="197">
        <v>79.33</v>
      </c>
      <c r="G3066" s="190">
        <v>45947</v>
      </c>
      <c r="H3066" s="196">
        <v>0</v>
      </c>
      <c r="I3066" s="197">
        <v>0</v>
      </c>
      <c r="J3066" s="197">
        <v>0</v>
      </c>
      <c r="K3066" s="197">
        <v>0</v>
      </c>
      <c r="L3066" s="197">
        <v>0</v>
      </c>
      <c r="M3066" s="260" t="s">
        <v>239</v>
      </c>
      <c r="N3066" s="260" t="s">
        <v>514</v>
      </c>
    </row>
    <row r="3067" spans="1:14" ht="14.5" x14ac:dyDescent="0.35">
      <c r="A3067" s="260" t="s">
        <v>566</v>
      </c>
      <c r="B3067" s="190">
        <v>45948</v>
      </c>
      <c r="C3067" s="260" t="s">
        <v>749</v>
      </c>
      <c r="D3067" s="197">
        <v>0</v>
      </c>
      <c r="E3067" s="197">
        <v>0</v>
      </c>
      <c r="F3067" s="197">
        <v>52.4</v>
      </c>
      <c r="G3067" s="190">
        <v>45947</v>
      </c>
      <c r="H3067" s="196">
        <v>1</v>
      </c>
      <c r="I3067" s="197">
        <v>0</v>
      </c>
      <c r="J3067" s="197">
        <v>0</v>
      </c>
      <c r="K3067" s="197">
        <v>0</v>
      </c>
      <c r="L3067" s="197">
        <v>0</v>
      </c>
      <c r="M3067" s="260" t="s">
        <v>239</v>
      </c>
      <c r="N3067" s="260" t="s">
        <v>514</v>
      </c>
    </row>
    <row r="3068" spans="1:14" ht="14.5" x14ac:dyDescent="0.35">
      <c r="A3068" s="260" t="s">
        <v>566</v>
      </c>
      <c r="B3068" s="190">
        <v>45948</v>
      </c>
      <c r="C3068" s="260" t="s">
        <v>752</v>
      </c>
      <c r="D3068" s="197">
        <v>0</v>
      </c>
      <c r="E3068" s="197">
        <v>0</v>
      </c>
      <c r="F3068" s="197">
        <v>179.13</v>
      </c>
      <c r="G3068" s="190">
        <v>45947</v>
      </c>
      <c r="H3068" s="196">
        <v>1</v>
      </c>
      <c r="I3068" s="197">
        <v>0</v>
      </c>
      <c r="J3068" s="197">
        <v>0</v>
      </c>
      <c r="K3068" s="197">
        <v>0</v>
      </c>
      <c r="L3068" s="197">
        <v>0</v>
      </c>
      <c r="M3068" s="260" t="s">
        <v>239</v>
      </c>
      <c r="N3068" s="260" t="s">
        <v>514</v>
      </c>
    </row>
    <row r="3069" spans="1:14" ht="14.5" x14ac:dyDescent="0.35">
      <c r="A3069" s="260" t="s">
        <v>566</v>
      </c>
      <c r="B3069" s="190">
        <v>45948</v>
      </c>
      <c r="C3069" s="260" t="s">
        <v>754</v>
      </c>
      <c r="D3069" s="197">
        <v>0</v>
      </c>
      <c r="E3069" s="197">
        <v>0</v>
      </c>
      <c r="F3069" s="197">
        <v>79.33</v>
      </c>
      <c r="G3069" s="190">
        <v>45947</v>
      </c>
      <c r="H3069" s="196">
        <v>1</v>
      </c>
      <c r="I3069" s="197">
        <v>0</v>
      </c>
      <c r="J3069" s="197">
        <v>0</v>
      </c>
      <c r="K3069" s="197">
        <v>0</v>
      </c>
      <c r="L3069" s="197">
        <v>0</v>
      </c>
      <c r="M3069" s="260" t="s">
        <v>239</v>
      </c>
      <c r="N3069" s="260" t="s">
        <v>514</v>
      </c>
    </row>
    <row r="3070" spans="1:14" ht="14.5" x14ac:dyDescent="0.35">
      <c r="A3070" s="260" t="s">
        <v>566</v>
      </c>
      <c r="B3070" s="190">
        <v>45949</v>
      </c>
      <c r="C3070" s="260" t="s">
        <v>749</v>
      </c>
      <c r="D3070" s="197">
        <v>0</v>
      </c>
      <c r="E3070" s="197">
        <v>0</v>
      </c>
      <c r="F3070" s="197">
        <v>52.4</v>
      </c>
      <c r="G3070" s="190">
        <v>45947</v>
      </c>
      <c r="H3070" s="196">
        <v>2</v>
      </c>
      <c r="I3070" s="197">
        <v>0</v>
      </c>
      <c r="J3070" s="197">
        <v>0</v>
      </c>
      <c r="K3070" s="197">
        <v>0</v>
      </c>
      <c r="L3070" s="197">
        <v>0</v>
      </c>
      <c r="M3070" s="260" t="s">
        <v>239</v>
      </c>
      <c r="N3070" s="260" t="s">
        <v>514</v>
      </c>
    </row>
    <row r="3071" spans="1:14" ht="14.5" x14ac:dyDescent="0.35">
      <c r="A3071" s="260" t="s">
        <v>566</v>
      </c>
      <c r="B3071" s="190">
        <v>45949</v>
      </c>
      <c r="C3071" s="260" t="s">
        <v>752</v>
      </c>
      <c r="D3071" s="197">
        <v>0</v>
      </c>
      <c r="E3071" s="197">
        <v>0</v>
      </c>
      <c r="F3071" s="197">
        <v>179.13</v>
      </c>
      <c r="G3071" s="190">
        <v>45947</v>
      </c>
      <c r="H3071" s="196">
        <v>2</v>
      </c>
      <c r="I3071" s="197">
        <v>0</v>
      </c>
      <c r="J3071" s="197">
        <v>0</v>
      </c>
      <c r="K3071" s="197">
        <v>0</v>
      </c>
      <c r="L3071" s="197">
        <v>0</v>
      </c>
      <c r="M3071" s="260" t="s">
        <v>239</v>
      </c>
      <c r="N3071" s="260" t="s">
        <v>514</v>
      </c>
    </row>
    <row r="3072" spans="1:14" ht="14.5" x14ac:dyDescent="0.35">
      <c r="A3072" s="260" t="s">
        <v>566</v>
      </c>
      <c r="B3072" s="190">
        <v>45949</v>
      </c>
      <c r="C3072" s="260" t="s">
        <v>754</v>
      </c>
      <c r="D3072" s="197">
        <v>0</v>
      </c>
      <c r="E3072" s="197">
        <v>0</v>
      </c>
      <c r="F3072" s="197">
        <v>79.33</v>
      </c>
      <c r="G3072" s="190">
        <v>45947</v>
      </c>
      <c r="H3072" s="196">
        <v>2</v>
      </c>
      <c r="I3072" s="197">
        <v>0</v>
      </c>
      <c r="J3072" s="197">
        <v>0</v>
      </c>
      <c r="K3072" s="197">
        <v>0</v>
      </c>
      <c r="L3072" s="197">
        <v>0</v>
      </c>
      <c r="M3072" s="260" t="s">
        <v>239</v>
      </c>
      <c r="N3072" s="260" t="s">
        <v>514</v>
      </c>
    </row>
    <row r="3073" spans="1:14" ht="14.5" x14ac:dyDescent="0.35">
      <c r="A3073" s="260" t="s">
        <v>566</v>
      </c>
      <c r="B3073" s="190">
        <v>45950</v>
      </c>
      <c r="C3073" s="260" t="s">
        <v>749</v>
      </c>
      <c r="D3073" s="197">
        <v>0</v>
      </c>
      <c r="E3073" s="197">
        <v>0</v>
      </c>
      <c r="F3073" s="197">
        <v>52.1</v>
      </c>
      <c r="G3073" s="190">
        <v>45950</v>
      </c>
      <c r="H3073" s="196">
        <v>0</v>
      </c>
      <c r="I3073" s="197">
        <v>0</v>
      </c>
      <c r="J3073" s="197">
        <v>0</v>
      </c>
      <c r="K3073" s="197">
        <v>0</v>
      </c>
      <c r="L3073" s="197">
        <v>0</v>
      </c>
      <c r="M3073" s="260" t="s">
        <v>239</v>
      </c>
      <c r="N3073" s="260" t="s">
        <v>514</v>
      </c>
    </row>
    <row r="3074" spans="1:14" ht="14.5" x14ac:dyDescent="0.35">
      <c r="A3074" s="260" t="s">
        <v>566</v>
      </c>
      <c r="B3074" s="190">
        <v>45950</v>
      </c>
      <c r="C3074" s="260" t="s">
        <v>752</v>
      </c>
      <c r="D3074" s="197">
        <v>0</v>
      </c>
      <c r="E3074" s="197">
        <v>0</v>
      </c>
      <c r="F3074" s="197">
        <v>179.53</v>
      </c>
      <c r="G3074" s="190">
        <v>45950</v>
      </c>
      <c r="H3074" s="196">
        <v>0</v>
      </c>
      <c r="I3074" s="197">
        <v>0</v>
      </c>
      <c r="J3074" s="197">
        <v>0</v>
      </c>
      <c r="K3074" s="197">
        <v>0</v>
      </c>
      <c r="L3074" s="197">
        <v>0</v>
      </c>
      <c r="M3074" s="260" t="s">
        <v>239</v>
      </c>
      <c r="N3074" s="260" t="s">
        <v>514</v>
      </c>
    </row>
    <row r="3075" spans="1:14" ht="14.5" x14ac:dyDescent="0.35">
      <c r="A3075" s="260" t="s">
        <v>566</v>
      </c>
      <c r="B3075" s="190">
        <v>45950</v>
      </c>
      <c r="C3075" s="260" t="s">
        <v>754</v>
      </c>
      <c r="D3075" s="197">
        <v>0</v>
      </c>
      <c r="E3075" s="197">
        <v>0</v>
      </c>
      <c r="F3075" s="197">
        <v>78.83</v>
      </c>
      <c r="G3075" s="190">
        <v>45950</v>
      </c>
      <c r="H3075" s="196">
        <v>0</v>
      </c>
      <c r="I3075" s="197">
        <v>0</v>
      </c>
      <c r="J3075" s="197">
        <v>0</v>
      </c>
      <c r="K3075" s="197">
        <v>0</v>
      </c>
      <c r="L3075" s="197">
        <v>0</v>
      </c>
      <c r="M3075" s="260" t="s">
        <v>239</v>
      </c>
      <c r="N3075" s="260" t="s">
        <v>514</v>
      </c>
    </row>
    <row r="3076" spans="1:14" ht="14.5" x14ac:dyDescent="0.35">
      <c r="A3076" s="260" t="s">
        <v>566</v>
      </c>
      <c r="B3076" s="190">
        <v>45951</v>
      </c>
      <c r="C3076" s="260" t="s">
        <v>749</v>
      </c>
      <c r="D3076" s="197">
        <v>0</v>
      </c>
      <c r="E3076" s="197">
        <v>0</v>
      </c>
      <c r="F3076" s="197">
        <v>52</v>
      </c>
      <c r="G3076" s="190">
        <v>45951</v>
      </c>
      <c r="H3076" s="196">
        <v>0</v>
      </c>
      <c r="I3076" s="197">
        <v>0</v>
      </c>
      <c r="J3076" s="197">
        <v>0</v>
      </c>
      <c r="K3076" s="197">
        <v>0</v>
      </c>
      <c r="L3076" s="197">
        <v>0</v>
      </c>
      <c r="M3076" s="260" t="s">
        <v>239</v>
      </c>
      <c r="N3076" s="260" t="s">
        <v>514</v>
      </c>
    </row>
    <row r="3077" spans="1:14" ht="14.5" x14ac:dyDescent="0.35">
      <c r="A3077" s="260" t="s">
        <v>566</v>
      </c>
      <c r="B3077" s="190">
        <v>45951</v>
      </c>
      <c r="C3077" s="260" t="s">
        <v>752</v>
      </c>
      <c r="D3077" s="197">
        <v>0</v>
      </c>
      <c r="E3077" s="197">
        <v>0</v>
      </c>
      <c r="F3077" s="197">
        <v>179.67</v>
      </c>
      <c r="G3077" s="190">
        <v>45951</v>
      </c>
      <c r="H3077" s="196">
        <v>0</v>
      </c>
      <c r="I3077" s="197">
        <v>0</v>
      </c>
      <c r="J3077" s="197">
        <v>0</v>
      </c>
      <c r="K3077" s="197">
        <v>0</v>
      </c>
      <c r="L3077" s="197">
        <v>0</v>
      </c>
      <c r="M3077" s="260" t="s">
        <v>239</v>
      </c>
      <c r="N3077" s="260" t="s">
        <v>514</v>
      </c>
    </row>
    <row r="3078" spans="1:14" ht="14.5" x14ac:dyDescent="0.35">
      <c r="A3078" s="260" t="s">
        <v>566</v>
      </c>
      <c r="B3078" s="190">
        <v>45951</v>
      </c>
      <c r="C3078" s="260" t="s">
        <v>754</v>
      </c>
      <c r="D3078" s="197">
        <v>0</v>
      </c>
      <c r="E3078" s="197">
        <v>0</v>
      </c>
      <c r="F3078" s="197">
        <v>78.67</v>
      </c>
      <c r="G3078" s="190">
        <v>45951</v>
      </c>
      <c r="H3078" s="196">
        <v>0</v>
      </c>
      <c r="I3078" s="197">
        <v>0</v>
      </c>
      <c r="J3078" s="197">
        <v>0</v>
      </c>
      <c r="K3078" s="197">
        <v>0</v>
      </c>
      <c r="L3078" s="197">
        <v>0</v>
      </c>
      <c r="M3078" s="260" t="s">
        <v>239</v>
      </c>
      <c r="N3078" s="260" t="s">
        <v>514</v>
      </c>
    </row>
    <row r="3079" spans="1:14" ht="14.5" x14ac:dyDescent="0.35">
      <c r="A3079" s="260" t="s">
        <v>566</v>
      </c>
      <c r="B3079" s="190">
        <v>45952</v>
      </c>
      <c r="C3079" s="260" t="s">
        <v>749</v>
      </c>
      <c r="D3079" s="197">
        <v>0</v>
      </c>
      <c r="E3079" s="197">
        <v>0</v>
      </c>
      <c r="F3079" s="197">
        <v>51.9</v>
      </c>
      <c r="G3079" s="190">
        <v>45952</v>
      </c>
      <c r="H3079" s="196">
        <v>0</v>
      </c>
      <c r="I3079" s="197">
        <v>0</v>
      </c>
      <c r="J3079" s="197">
        <v>0</v>
      </c>
      <c r="K3079" s="197">
        <v>0</v>
      </c>
      <c r="L3079" s="197">
        <v>0</v>
      </c>
      <c r="M3079" s="260" t="s">
        <v>239</v>
      </c>
      <c r="N3079" s="260" t="s">
        <v>514</v>
      </c>
    </row>
    <row r="3080" spans="1:14" ht="14.5" x14ac:dyDescent="0.35">
      <c r="A3080" s="260" t="s">
        <v>566</v>
      </c>
      <c r="B3080" s="190">
        <v>45952</v>
      </c>
      <c r="C3080" s="260" t="s">
        <v>752</v>
      </c>
      <c r="D3080" s="197">
        <v>0</v>
      </c>
      <c r="E3080" s="197">
        <v>0</v>
      </c>
      <c r="F3080" s="197">
        <v>179.8</v>
      </c>
      <c r="G3080" s="190">
        <v>45952</v>
      </c>
      <c r="H3080" s="196">
        <v>0</v>
      </c>
      <c r="I3080" s="197">
        <v>0</v>
      </c>
      <c r="J3080" s="197">
        <v>0</v>
      </c>
      <c r="K3080" s="197">
        <v>0</v>
      </c>
      <c r="L3080" s="197">
        <v>0</v>
      </c>
      <c r="M3080" s="260" t="s">
        <v>239</v>
      </c>
      <c r="N3080" s="260" t="s">
        <v>514</v>
      </c>
    </row>
    <row r="3081" spans="1:14" ht="14.5" x14ac:dyDescent="0.35">
      <c r="A3081" s="260" t="s">
        <v>566</v>
      </c>
      <c r="B3081" s="190">
        <v>45952</v>
      </c>
      <c r="C3081" s="260" t="s">
        <v>754</v>
      </c>
      <c r="D3081" s="197">
        <v>0</v>
      </c>
      <c r="E3081" s="197">
        <v>0</v>
      </c>
      <c r="F3081" s="197">
        <v>78.5</v>
      </c>
      <c r="G3081" s="190">
        <v>45952</v>
      </c>
      <c r="H3081" s="196">
        <v>0</v>
      </c>
      <c r="I3081" s="197">
        <v>0</v>
      </c>
      <c r="J3081" s="197">
        <v>0</v>
      </c>
      <c r="K3081" s="197">
        <v>0</v>
      </c>
      <c r="L3081" s="197">
        <v>0</v>
      </c>
      <c r="M3081" s="260" t="s">
        <v>239</v>
      </c>
      <c r="N3081" s="260" t="s">
        <v>514</v>
      </c>
    </row>
    <row r="3082" spans="1:14" ht="14.5" x14ac:dyDescent="0.35">
      <c r="A3082" s="260" t="s">
        <v>566</v>
      </c>
      <c r="B3082" s="190">
        <v>45953</v>
      </c>
      <c r="C3082" s="260" t="s">
        <v>749</v>
      </c>
      <c r="D3082" s="197">
        <v>0</v>
      </c>
      <c r="E3082" s="197">
        <v>0</v>
      </c>
      <c r="F3082" s="197">
        <v>51.8</v>
      </c>
      <c r="G3082" s="190">
        <v>45953</v>
      </c>
      <c r="H3082" s="196">
        <v>0</v>
      </c>
      <c r="I3082" s="197">
        <v>0</v>
      </c>
      <c r="J3082" s="197">
        <v>0</v>
      </c>
      <c r="K3082" s="197">
        <v>0</v>
      </c>
      <c r="L3082" s="197">
        <v>0</v>
      </c>
      <c r="M3082" s="260" t="s">
        <v>239</v>
      </c>
      <c r="N3082" s="260" t="s">
        <v>514</v>
      </c>
    </row>
    <row r="3083" spans="1:14" ht="14.5" x14ac:dyDescent="0.35">
      <c r="A3083" s="260" t="s">
        <v>566</v>
      </c>
      <c r="B3083" s="190">
        <v>45953</v>
      </c>
      <c r="C3083" s="260" t="s">
        <v>752</v>
      </c>
      <c r="D3083" s="197">
        <v>0</v>
      </c>
      <c r="E3083" s="197">
        <v>0</v>
      </c>
      <c r="F3083" s="197">
        <v>179.93</v>
      </c>
      <c r="G3083" s="190">
        <v>45953</v>
      </c>
      <c r="H3083" s="196">
        <v>0</v>
      </c>
      <c r="I3083" s="197">
        <v>0</v>
      </c>
      <c r="J3083" s="197">
        <v>0</v>
      </c>
      <c r="K3083" s="197">
        <v>0</v>
      </c>
      <c r="L3083" s="197">
        <v>0</v>
      </c>
      <c r="M3083" s="260" t="s">
        <v>239</v>
      </c>
      <c r="N3083" s="260" t="s">
        <v>514</v>
      </c>
    </row>
    <row r="3084" spans="1:14" ht="14.5" x14ac:dyDescent="0.35">
      <c r="A3084" s="260" t="s">
        <v>566</v>
      </c>
      <c r="B3084" s="190">
        <v>45953</v>
      </c>
      <c r="C3084" s="260" t="s">
        <v>754</v>
      </c>
      <c r="D3084" s="197">
        <v>0</v>
      </c>
      <c r="E3084" s="197">
        <v>0</v>
      </c>
      <c r="F3084" s="197">
        <v>78.33</v>
      </c>
      <c r="G3084" s="190">
        <v>45953</v>
      </c>
      <c r="H3084" s="196">
        <v>0</v>
      </c>
      <c r="I3084" s="197">
        <v>0</v>
      </c>
      <c r="J3084" s="197">
        <v>0</v>
      </c>
      <c r="K3084" s="197">
        <v>0</v>
      </c>
      <c r="L3084" s="197">
        <v>0</v>
      </c>
      <c r="M3084" s="260" t="s">
        <v>239</v>
      </c>
      <c r="N3084" s="260" t="s">
        <v>514</v>
      </c>
    </row>
    <row r="3085" spans="1:14" ht="14.5" x14ac:dyDescent="0.35">
      <c r="A3085" s="260" t="s">
        <v>566</v>
      </c>
      <c r="B3085" s="190">
        <v>45954</v>
      </c>
      <c r="C3085" s="260" t="s">
        <v>749</v>
      </c>
      <c r="D3085" s="197">
        <v>0</v>
      </c>
      <c r="E3085" s="197">
        <v>0</v>
      </c>
      <c r="F3085" s="197">
        <v>51.7</v>
      </c>
      <c r="G3085" s="190">
        <v>45954</v>
      </c>
      <c r="H3085" s="196">
        <v>0</v>
      </c>
      <c r="I3085" s="197">
        <v>0</v>
      </c>
      <c r="J3085" s="197">
        <v>0</v>
      </c>
      <c r="K3085" s="197">
        <v>0</v>
      </c>
      <c r="L3085" s="197">
        <v>0</v>
      </c>
      <c r="M3085" s="260" t="s">
        <v>239</v>
      </c>
      <c r="N3085" s="260" t="s">
        <v>514</v>
      </c>
    </row>
    <row r="3086" spans="1:14" ht="14.5" x14ac:dyDescent="0.35">
      <c r="A3086" s="260" t="s">
        <v>566</v>
      </c>
      <c r="B3086" s="190">
        <v>45954</v>
      </c>
      <c r="C3086" s="260" t="s">
        <v>752</v>
      </c>
      <c r="D3086" s="197">
        <v>0</v>
      </c>
      <c r="E3086" s="197">
        <v>0</v>
      </c>
      <c r="F3086" s="197">
        <v>180.07</v>
      </c>
      <c r="G3086" s="190">
        <v>45954</v>
      </c>
      <c r="H3086" s="196">
        <v>0</v>
      </c>
      <c r="I3086" s="197">
        <v>0</v>
      </c>
      <c r="J3086" s="197">
        <v>0</v>
      </c>
      <c r="K3086" s="197">
        <v>0</v>
      </c>
      <c r="L3086" s="197">
        <v>0</v>
      </c>
      <c r="M3086" s="260" t="s">
        <v>239</v>
      </c>
      <c r="N3086" s="260" t="s">
        <v>514</v>
      </c>
    </row>
    <row r="3087" spans="1:14" ht="14.5" x14ac:dyDescent="0.35">
      <c r="A3087" s="260" t="s">
        <v>566</v>
      </c>
      <c r="B3087" s="190">
        <v>45954</v>
      </c>
      <c r="C3087" s="260" t="s">
        <v>754</v>
      </c>
      <c r="D3087" s="197">
        <v>0</v>
      </c>
      <c r="E3087" s="197">
        <v>0</v>
      </c>
      <c r="F3087" s="197">
        <v>78.17</v>
      </c>
      <c r="G3087" s="190">
        <v>45954</v>
      </c>
      <c r="H3087" s="196">
        <v>0</v>
      </c>
      <c r="I3087" s="197">
        <v>0</v>
      </c>
      <c r="J3087" s="197">
        <v>0</v>
      </c>
      <c r="K3087" s="197">
        <v>0</v>
      </c>
      <c r="L3087" s="197">
        <v>0</v>
      </c>
      <c r="M3087" s="260" t="s">
        <v>239</v>
      </c>
      <c r="N3087" s="260" t="s">
        <v>514</v>
      </c>
    </row>
    <row r="3088" spans="1:14" ht="14.5" x14ac:dyDescent="0.35">
      <c r="A3088" s="260" t="s">
        <v>566</v>
      </c>
      <c r="B3088" s="190">
        <v>45955</v>
      </c>
      <c r="C3088" s="260" t="s">
        <v>749</v>
      </c>
      <c r="D3088" s="197">
        <v>0</v>
      </c>
      <c r="E3088" s="197">
        <v>0</v>
      </c>
      <c r="F3088" s="197">
        <v>51.7</v>
      </c>
      <c r="G3088" s="190">
        <v>45954</v>
      </c>
      <c r="H3088" s="196">
        <v>1</v>
      </c>
      <c r="I3088" s="197">
        <v>0</v>
      </c>
      <c r="J3088" s="197">
        <v>0</v>
      </c>
      <c r="K3088" s="197">
        <v>0</v>
      </c>
      <c r="L3088" s="197">
        <v>0</v>
      </c>
      <c r="M3088" s="260" t="s">
        <v>239</v>
      </c>
      <c r="N3088" s="260" t="s">
        <v>514</v>
      </c>
    </row>
    <row r="3089" spans="1:14" ht="14.5" x14ac:dyDescent="0.35">
      <c r="A3089" s="260" t="s">
        <v>566</v>
      </c>
      <c r="B3089" s="190">
        <v>45955</v>
      </c>
      <c r="C3089" s="260" t="s">
        <v>752</v>
      </c>
      <c r="D3089" s="197">
        <v>0</v>
      </c>
      <c r="E3089" s="197">
        <v>0</v>
      </c>
      <c r="F3089" s="197">
        <v>180.07</v>
      </c>
      <c r="G3089" s="190">
        <v>45954</v>
      </c>
      <c r="H3089" s="196">
        <v>1</v>
      </c>
      <c r="I3089" s="197">
        <v>0</v>
      </c>
      <c r="J3089" s="197">
        <v>0</v>
      </c>
      <c r="K3089" s="197">
        <v>0</v>
      </c>
      <c r="L3089" s="197">
        <v>0</v>
      </c>
      <c r="M3089" s="260" t="s">
        <v>239</v>
      </c>
      <c r="N3089" s="260" t="s">
        <v>514</v>
      </c>
    </row>
    <row r="3090" spans="1:14" ht="14.5" x14ac:dyDescent="0.35">
      <c r="A3090" s="260" t="s">
        <v>566</v>
      </c>
      <c r="B3090" s="190">
        <v>45955</v>
      </c>
      <c r="C3090" s="260" t="s">
        <v>754</v>
      </c>
      <c r="D3090" s="197">
        <v>0</v>
      </c>
      <c r="E3090" s="197">
        <v>0</v>
      </c>
      <c r="F3090" s="197">
        <v>78.17</v>
      </c>
      <c r="G3090" s="190">
        <v>45954</v>
      </c>
      <c r="H3090" s="196">
        <v>1</v>
      </c>
      <c r="I3090" s="197">
        <v>0</v>
      </c>
      <c r="J3090" s="197">
        <v>0</v>
      </c>
      <c r="K3090" s="197">
        <v>0</v>
      </c>
      <c r="L3090" s="197">
        <v>0</v>
      </c>
      <c r="M3090" s="260" t="s">
        <v>239</v>
      </c>
      <c r="N3090" s="260" t="s">
        <v>514</v>
      </c>
    </row>
    <row r="3091" spans="1:14" ht="14.5" x14ac:dyDescent="0.35">
      <c r="A3091" s="260" t="s">
        <v>566</v>
      </c>
      <c r="B3091" s="190">
        <v>45956</v>
      </c>
      <c r="C3091" s="260" t="s">
        <v>749</v>
      </c>
      <c r="D3091" s="197">
        <v>0</v>
      </c>
      <c r="E3091" s="197">
        <v>0</v>
      </c>
      <c r="F3091" s="197">
        <v>51.7</v>
      </c>
      <c r="G3091" s="190">
        <v>45954</v>
      </c>
      <c r="H3091" s="196">
        <v>2</v>
      </c>
      <c r="I3091" s="197">
        <v>0</v>
      </c>
      <c r="J3091" s="197">
        <v>0</v>
      </c>
      <c r="K3091" s="197">
        <v>0</v>
      </c>
      <c r="L3091" s="197">
        <v>0</v>
      </c>
      <c r="M3091" s="260" t="s">
        <v>239</v>
      </c>
      <c r="N3091" s="260" t="s">
        <v>514</v>
      </c>
    </row>
    <row r="3092" spans="1:14" ht="14.5" x14ac:dyDescent="0.35">
      <c r="A3092" s="260" t="s">
        <v>566</v>
      </c>
      <c r="B3092" s="190">
        <v>45956</v>
      </c>
      <c r="C3092" s="260" t="s">
        <v>752</v>
      </c>
      <c r="D3092" s="197">
        <v>0</v>
      </c>
      <c r="E3092" s="197">
        <v>0</v>
      </c>
      <c r="F3092" s="197">
        <v>180.07</v>
      </c>
      <c r="G3092" s="190">
        <v>45954</v>
      </c>
      <c r="H3092" s="196">
        <v>2</v>
      </c>
      <c r="I3092" s="197">
        <v>0</v>
      </c>
      <c r="J3092" s="197">
        <v>0</v>
      </c>
      <c r="K3092" s="197">
        <v>0</v>
      </c>
      <c r="L3092" s="197">
        <v>0</v>
      </c>
      <c r="M3092" s="260" t="s">
        <v>239</v>
      </c>
      <c r="N3092" s="260" t="s">
        <v>514</v>
      </c>
    </row>
    <row r="3093" spans="1:14" ht="14.5" x14ac:dyDescent="0.35">
      <c r="A3093" s="260" t="s">
        <v>566</v>
      </c>
      <c r="B3093" s="190">
        <v>45956</v>
      </c>
      <c r="C3093" s="260" t="s">
        <v>754</v>
      </c>
      <c r="D3093" s="197">
        <v>0</v>
      </c>
      <c r="E3093" s="197">
        <v>0</v>
      </c>
      <c r="F3093" s="197">
        <v>78.17</v>
      </c>
      <c r="G3093" s="190">
        <v>45954</v>
      </c>
      <c r="H3093" s="196">
        <v>2</v>
      </c>
      <c r="I3093" s="197">
        <v>0</v>
      </c>
      <c r="J3093" s="197">
        <v>0</v>
      </c>
      <c r="K3093" s="197">
        <v>0</v>
      </c>
      <c r="L3093" s="197">
        <v>0</v>
      </c>
      <c r="M3093" s="260" t="s">
        <v>239</v>
      </c>
      <c r="N3093" s="260" t="s">
        <v>514</v>
      </c>
    </row>
    <row r="3094" spans="1:14" ht="14.5" x14ac:dyDescent="0.35">
      <c r="A3094" s="260" t="s">
        <v>566</v>
      </c>
      <c r="B3094" s="190">
        <v>45957</v>
      </c>
      <c r="C3094" s="260" t="s">
        <v>749</v>
      </c>
      <c r="D3094" s="197">
        <v>0</v>
      </c>
      <c r="E3094" s="197">
        <v>0</v>
      </c>
      <c r="F3094" s="197">
        <v>51.4</v>
      </c>
      <c r="G3094" s="190">
        <v>45957</v>
      </c>
      <c r="H3094" s="196">
        <v>0</v>
      </c>
      <c r="I3094" s="197">
        <v>0</v>
      </c>
      <c r="J3094" s="197">
        <v>0</v>
      </c>
      <c r="K3094" s="197">
        <v>0</v>
      </c>
      <c r="L3094" s="197">
        <v>0</v>
      </c>
      <c r="M3094" s="260" t="s">
        <v>239</v>
      </c>
      <c r="N3094" s="260" t="s">
        <v>514</v>
      </c>
    </row>
    <row r="3095" spans="1:14" ht="14.5" x14ac:dyDescent="0.35">
      <c r="A3095" s="260" t="s">
        <v>566</v>
      </c>
      <c r="B3095" s="190">
        <v>45957</v>
      </c>
      <c r="C3095" s="260" t="s">
        <v>752</v>
      </c>
      <c r="D3095" s="197">
        <v>0</v>
      </c>
      <c r="E3095" s="197">
        <v>0</v>
      </c>
      <c r="F3095" s="197">
        <v>180.47</v>
      </c>
      <c r="G3095" s="190">
        <v>45957</v>
      </c>
      <c r="H3095" s="196">
        <v>0</v>
      </c>
      <c r="I3095" s="197">
        <v>0</v>
      </c>
      <c r="J3095" s="197">
        <v>0</v>
      </c>
      <c r="K3095" s="197">
        <v>0</v>
      </c>
      <c r="L3095" s="197">
        <v>0</v>
      </c>
      <c r="M3095" s="260" t="s">
        <v>239</v>
      </c>
      <c r="N3095" s="260" t="s">
        <v>514</v>
      </c>
    </row>
    <row r="3096" spans="1:14" ht="14.5" x14ac:dyDescent="0.35">
      <c r="A3096" s="260" t="s">
        <v>566</v>
      </c>
      <c r="B3096" s="190">
        <v>45957</v>
      </c>
      <c r="C3096" s="260" t="s">
        <v>754</v>
      </c>
      <c r="D3096" s="197">
        <v>0</v>
      </c>
      <c r="E3096" s="197">
        <v>0</v>
      </c>
      <c r="F3096" s="197">
        <v>77.67</v>
      </c>
      <c r="G3096" s="190">
        <v>45957</v>
      </c>
      <c r="H3096" s="196">
        <v>0</v>
      </c>
      <c r="I3096" s="197">
        <v>0</v>
      </c>
      <c r="J3096" s="197">
        <v>0</v>
      </c>
      <c r="K3096" s="197">
        <v>0</v>
      </c>
      <c r="L3096" s="197">
        <v>0</v>
      </c>
      <c r="M3096" s="260" t="s">
        <v>239</v>
      </c>
      <c r="N3096" s="260" t="s">
        <v>514</v>
      </c>
    </row>
    <row r="3097" spans="1:14" ht="14.5" x14ac:dyDescent="0.35">
      <c r="A3097" s="260" t="s">
        <v>566</v>
      </c>
      <c r="B3097" s="190">
        <v>45958</v>
      </c>
      <c r="C3097" s="260" t="s">
        <v>749</v>
      </c>
      <c r="D3097" s="197">
        <v>0</v>
      </c>
      <c r="E3097" s="197">
        <v>0</v>
      </c>
      <c r="F3097" s="197">
        <v>51.3</v>
      </c>
      <c r="G3097" s="190">
        <v>45958</v>
      </c>
      <c r="H3097" s="196">
        <v>0</v>
      </c>
      <c r="I3097" s="197">
        <v>0</v>
      </c>
      <c r="J3097" s="197">
        <v>0</v>
      </c>
      <c r="K3097" s="197">
        <v>0</v>
      </c>
      <c r="L3097" s="197">
        <v>0</v>
      </c>
      <c r="M3097" s="260" t="s">
        <v>239</v>
      </c>
      <c r="N3097" s="260" t="s">
        <v>514</v>
      </c>
    </row>
    <row r="3098" spans="1:14" ht="14.5" x14ac:dyDescent="0.35">
      <c r="A3098" s="260" t="s">
        <v>566</v>
      </c>
      <c r="B3098" s="190">
        <v>45958</v>
      </c>
      <c r="C3098" s="260" t="s">
        <v>752</v>
      </c>
      <c r="D3098" s="197">
        <v>0</v>
      </c>
      <c r="E3098" s="197">
        <v>0</v>
      </c>
      <c r="F3098" s="197">
        <v>180.6</v>
      </c>
      <c r="G3098" s="190">
        <v>45958</v>
      </c>
      <c r="H3098" s="196">
        <v>0</v>
      </c>
      <c r="I3098" s="197">
        <v>0</v>
      </c>
      <c r="J3098" s="197">
        <v>0</v>
      </c>
      <c r="K3098" s="197">
        <v>0</v>
      </c>
      <c r="L3098" s="197">
        <v>0</v>
      </c>
      <c r="M3098" s="260" t="s">
        <v>239</v>
      </c>
      <c r="N3098" s="260" t="s">
        <v>514</v>
      </c>
    </row>
    <row r="3099" spans="1:14" ht="14.5" x14ac:dyDescent="0.35">
      <c r="A3099" s="260" t="s">
        <v>566</v>
      </c>
      <c r="B3099" s="190">
        <v>45958</v>
      </c>
      <c r="C3099" s="260" t="s">
        <v>754</v>
      </c>
      <c r="D3099" s="197">
        <v>0</v>
      </c>
      <c r="E3099" s="197">
        <v>0</v>
      </c>
      <c r="F3099" s="197">
        <v>77.5</v>
      </c>
      <c r="G3099" s="190">
        <v>45958</v>
      </c>
      <c r="H3099" s="196">
        <v>0</v>
      </c>
      <c r="I3099" s="197">
        <v>0</v>
      </c>
      <c r="J3099" s="197">
        <v>0</v>
      </c>
      <c r="K3099" s="197">
        <v>0</v>
      </c>
      <c r="L3099" s="197">
        <v>0</v>
      </c>
      <c r="M3099" s="260" t="s">
        <v>239</v>
      </c>
      <c r="N3099" s="260" t="s">
        <v>514</v>
      </c>
    </row>
    <row r="3100" spans="1:14" ht="14.5" x14ac:dyDescent="0.35">
      <c r="A3100" s="260" t="s">
        <v>566</v>
      </c>
      <c r="B3100" s="190">
        <v>45959</v>
      </c>
      <c r="C3100" s="260" t="s">
        <v>749</v>
      </c>
      <c r="D3100" s="197">
        <v>0</v>
      </c>
      <c r="E3100" s="197">
        <v>0</v>
      </c>
      <c r="F3100" s="197">
        <v>51.2</v>
      </c>
      <c r="G3100" s="190">
        <v>45959</v>
      </c>
      <c r="H3100" s="196">
        <v>0</v>
      </c>
      <c r="I3100" s="197">
        <v>0</v>
      </c>
      <c r="J3100" s="197">
        <v>0</v>
      </c>
      <c r="K3100" s="197">
        <v>0</v>
      </c>
      <c r="L3100" s="197">
        <v>0</v>
      </c>
      <c r="M3100" s="260" t="s">
        <v>239</v>
      </c>
      <c r="N3100" s="260" t="s">
        <v>514</v>
      </c>
    </row>
    <row r="3101" spans="1:14" ht="14.5" x14ac:dyDescent="0.35">
      <c r="A3101" s="260" t="s">
        <v>566</v>
      </c>
      <c r="B3101" s="190">
        <v>45959</v>
      </c>
      <c r="C3101" s="260" t="s">
        <v>752</v>
      </c>
      <c r="D3101" s="197">
        <v>0</v>
      </c>
      <c r="E3101" s="197">
        <v>0</v>
      </c>
      <c r="F3101" s="197">
        <v>180.73</v>
      </c>
      <c r="G3101" s="190">
        <v>45959</v>
      </c>
      <c r="H3101" s="196">
        <v>0</v>
      </c>
      <c r="I3101" s="197">
        <v>0</v>
      </c>
      <c r="J3101" s="197">
        <v>0</v>
      </c>
      <c r="K3101" s="197">
        <v>0</v>
      </c>
      <c r="L3101" s="197">
        <v>0</v>
      </c>
      <c r="M3101" s="260" t="s">
        <v>239</v>
      </c>
      <c r="N3101" s="260" t="s">
        <v>514</v>
      </c>
    </row>
    <row r="3102" spans="1:14" ht="14.5" x14ac:dyDescent="0.35">
      <c r="A3102" s="260" t="s">
        <v>566</v>
      </c>
      <c r="B3102" s="190">
        <v>45959</v>
      </c>
      <c r="C3102" s="260" t="s">
        <v>754</v>
      </c>
      <c r="D3102" s="197">
        <v>0</v>
      </c>
      <c r="E3102" s="197">
        <v>0</v>
      </c>
      <c r="F3102" s="197">
        <v>77.33</v>
      </c>
      <c r="G3102" s="190">
        <v>45959</v>
      </c>
      <c r="H3102" s="196">
        <v>0</v>
      </c>
      <c r="I3102" s="197">
        <v>0</v>
      </c>
      <c r="J3102" s="197">
        <v>0</v>
      </c>
      <c r="K3102" s="197">
        <v>0</v>
      </c>
      <c r="L3102" s="197">
        <v>0</v>
      </c>
      <c r="M3102" s="260" t="s">
        <v>239</v>
      </c>
      <c r="N3102" s="260" t="s">
        <v>514</v>
      </c>
    </row>
    <row r="3103" spans="1:14" ht="14.5" x14ac:dyDescent="0.35">
      <c r="A3103" s="260" t="s">
        <v>566</v>
      </c>
      <c r="B3103" s="190">
        <v>45960</v>
      </c>
      <c r="C3103" s="260" t="s">
        <v>749</v>
      </c>
      <c r="D3103" s="197">
        <v>0</v>
      </c>
      <c r="E3103" s="197">
        <v>0</v>
      </c>
      <c r="F3103" s="197">
        <v>51.1</v>
      </c>
      <c r="G3103" s="190">
        <v>45960</v>
      </c>
      <c r="H3103" s="196">
        <v>0</v>
      </c>
      <c r="I3103" s="197">
        <v>0</v>
      </c>
      <c r="J3103" s="197">
        <v>0</v>
      </c>
      <c r="K3103" s="197">
        <v>0</v>
      </c>
      <c r="L3103" s="197">
        <v>0</v>
      </c>
      <c r="M3103" s="260" t="s">
        <v>239</v>
      </c>
      <c r="N3103" s="260" t="s">
        <v>514</v>
      </c>
    </row>
    <row r="3104" spans="1:14" ht="14.5" x14ac:dyDescent="0.35">
      <c r="A3104" s="260" t="s">
        <v>566</v>
      </c>
      <c r="B3104" s="190">
        <v>45960</v>
      </c>
      <c r="C3104" s="260" t="s">
        <v>752</v>
      </c>
      <c r="D3104" s="197">
        <v>0</v>
      </c>
      <c r="E3104" s="197">
        <v>0</v>
      </c>
      <c r="F3104" s="197">
        <v>180.87</v>
      </c>
      <c r="G3104" s="190">
        <v>45960</v>
      </c>
      <c r="H3104" s="196">
        <v>0</v>
      </c>
      <c r="I3104" s="197">
        <v>0</v>
      </c>
      <c r="J3104" s="197">
        <v>0</v>
      </c>
      <c r="K3104" s="197">
        <v>0</v>
      </c>
      <c r="L3104" s="197">
        <v>0</v>
      </c>
      <c r="M3104" s="260" t="s">
        <v>239</v>
      </c>
      <c r="N3104" s="260" t="s">
        <v>514</v>
      </c>
    </row>
    <row r="3105" spans="1:14" ht="14.5" x14ac:dyDescent="0.35">
      <c r="A3105" s="260" t="s">
        <v>566</v>
      </c>
      <c r="B3105" s="190">
        <v>45960</v>
      </c>
      <c r="C3105" s="260" t="s">
        <v>754</v>
      </c>
      <c r="D3105" s="197">
        <v>0</v>
      </c>
      <c r="E3105" s="197">
        <v>0</v>
      </c>
      <c r="F3105" s="197">
        <v>77.17</v>
      </c>
      <c r="G3105" s="190">
        <v>45960</v>
      </c>
      <c r="H3105" s="196">
        <v>0</v>
      </c>
      <c r="I3105" s="197">
        <v>0</v>
      </c>
      <c r="J3105" s="197">
        <v>0</v>
      </c>
      <c r="K3105" s="197">
        <v>0</v>
      </c>
      <c r="L3105" s="197">
        <v>0</v>
      </c>
      <c r="M3105" s="260" t="s">
        <v>239</v>
      </c>
      <c r="N3105" s="260" t="s">
        <v>514</v>
      </c>
    </row>
    <row r="3106" spans="1:14" ht="14.5" x14ac:dyDescent="0.35">
      <c r="A3106" s="260" t="s">
        <v>566</v>
      </c>
      <c r="B3106" s="190">
        <v>45961</v>
      </c>
      <c r="C3106" s="260" t="s">
        <v>749</v>
      </c>
      <c r="D3106" s="197">
        <v>0</v>
      </c>
      <c r="E3106" s="197">
        <v>0</v>
      </c>
      <c r="F3106" s="197">
        <v>51</v>
      </c>
      <c r="G3106" s="190">
        <v>45961</v>
      </c>
      <c r="H3106" s="196">
        <v>0</v>
      </c>
      <c r="I3106" s="197">
        <v>0</v>
      </c>
      <c r="J3106" s="197">
        <v>0</v>
      </c>
      <c r="K3106" s="197">
        <v>0</v>
      </c>
      <c r="L3106" s="197">
        <v>0</v>
      </c>
      <c r="M3106" s="260" t="s">
        <v>239</v>
      </c>
      <c r="N3106" s="260" t="s">
        <v>514</v>
      </c>
    </row>
    <row r="3107" spans="1:14" ht="14.5" x14ac:dyDescent="0.35">
      <c r="A3107" s="260" t="s">
        <v>566</v>
      </c>
      <c r="B3107" s="190">
        <v>45961</v>
      </c>
      <c r="C3107" s="260" t="s">
        <v>752</v>
      </c>
      <c r="D3107" s="197">
        <v>0</v>
      </c>
      <c r="E3107" s="197">
        <v>0</v>
      </c>
      <c r="F3107" s="197">
        <v>181</v>
      </c>
      <c r="G3107" s="190">
        <v>45961</v>
      </c>
      <c r="H3107" s="196">
        <v>0</v>
      </c>
      <c r="I3107" s="197">
        <v>0</v>
      </c>
      <c r="J3107" s="197">
        <v>0</v>
      </c>
      <c r="K3107" s="197">
        <v>0</v>
      </c>
      <c r="L3107" s="197">
        <v>0</v>
      </c>
      <c r="M3107" s="260" t="s">
        <v>239</v>
      </c>
      <c r="N3107" s="260" t="s">
        <v>514</v>
      </c>
    </row>
    <row r="3108" spans="1:14" ht="14.5" x14ac:dyDescent="0.35">
      <c r="A3108" s="260" t="s">
        <v>566</v>
      </c>
      <c r="B3108" s="190">
        <v>45961</v>
      </c>
      <c r="C3108" s="260" t="s">
        <v>754</v>
      </c>
      <c r="D3108" s="197">
        <v>0</v>
      </c>
      <c r="E3108" s="197">
        <v>0</v>
      </c>
      <c r="F3108" s="197">
        <v>77</v>
      </c>
      <c r="G3108" s="190">
        <v>45961</v>
      </c>
      <c r="H3108" s="196">
        <v>0</v>
      </c>
      <c r="I3108" s="197">
        <v>0</v>
      </c>
      <c r="J3108" s="197">
        <v>0</v>
      </c>
      <c r="K3108" s="197">
        <v>0</v>
      </c>
      <c r="L3108" s="197">
        <v>0</v>
      </c>
      <c r="M3108" s="260" t="s">
        <v>239</v>
      </c>
      <c r="N3108" s="260" t="s">
        <v>514</v>
      </c>
    </row>
    <row r="3109" spans="1:14" ht="14.5" x14ac:dyDescent="0.35">
      <c r="A3109" s="260" t="s">
        <v>566</v>
      </c>
      <c r="B3109" s="190">
        <v>45962</v>
      </c>
      <c r="C3109" s="260" t="s">
        <v>749</v>
      </c>
      <c r="D3109" s="197">
        <v>0</v>
      </c>
      <c r="E3109" s="197">
        <v>0</v>
      </c>
      <c r="F3109" s="197">
        <v>51</v>
      </c>
      <c r="G3109" s="190">
        <v>45961</v>
      </c>
      <c r="H3109" s="196">
        <v>1</v>
      </c>
      <c r="I3109" s="197">
        <v>0</v>
      </c>
      <c r="J3109" s="197">
        <v>0</v>
      </c>
      <c r="K3109" s="197">
        <v>0</v>
      </c>
      <c r="L3109" s="197">
        <v>0</v>
      </c>
      <c r="M3109" s="260" t="s">
        <v>239</v>
      </c>
      <c r="N3109" s="260" t="s">
        <v>514</v>
      </c>
    </row>
    <row r="3110" spans="1:14" ht="14.5" x14ac:dyDescent="0.35">
      <c r="A3110" s="260" t="s">
        <v>566</v>
      </c>
      <c r="B3110" s="190">
        <v>45962</v>
      </c>
      <c r="C3110" s="260" t="s">
        <v>752</v>
      </c>
      <c r="D3110" s="197">
        <v>0</v>
      </c>
      <c r="E3110" s="197">
        <v>0</v>
      </c>
      <c r="F3110" s="197">
        <v>181</v>
      </c>
      <c r="G3110" s="190">
        <v>45961</v>
      </c>
      <c r="H3110" s="196">
        <v>1</v>
      </c>
      <c r="I3110" s="197">
        <v>0</v>
      </c>
      <c r="J3110" s="197">
        <v>0</v>
      </c>
      <c r="K3110" s="197">
        <v>0</v>
      </c>
      <c r="L3110" s="197">
        <v>0</v>
      </c>
      <c r="M3110" s="260" t="s">
        <v>239</v>
      </c>
      <c r="N3110" s="260" t="s">
        <v>514</v>
      </c>
    </row>
    <row r="3111" spans="1:14" ht="14.5" x14ac:dyDescent="0.35">
      <c r="A3111" s="260" t="s">
        <v>566</v>
      </c>
      <c r="B3111" s="190">
        <v>45962</v>
      </c>
      <c r="C3111" s="260" t="s">
        <v>754</v>
      </c>
      <c r="D3111" s="197">
        <v>0</v>
      </c>
      <c r="E3111" s="197">
        <v>0</v>
      </c>
      <c r="F3111" s="197">
        <v>77</v>
      </c>
      <c r="G3111" s="190">
        <v>45961</v>
      </c>
      <c r="H3111" s="196">
        <v>1</v>
      </c>
      <c r="I3111" s="197">
        <v>0</v>
      </c>
      <c r="J3111" s="197">
        <v>0</v>
      </c>
      <c r="K3111" s="197">
        <v>0</v>
      </c>
      <c r="L3111" s="197">
        <v>0</v>
      </c>
      <c r="M3111" s="260" t="s">
        <v>239</v>
      </c>
      <c r="N3111" s="260" t="s">
        <v>514</v>
      </c>
    </row>
    <row r="3112" spans="1:14" ht="14.5" x14ac:dyDescent="0.35">
      <c r="A3112" s="260" t="s">
        <v>566</v>
      </c>
      <c r="B3112" s="190">
        <v>45963</v>
      </c>
      <c r="C3112" s="260" t="s">
        <v>749</v>
      </c>
      <c r="D3112" s="197">
        <v>0</v>
      </c>
      <c r="E3112" s="197">
        <v>0</v>
      </c>
      <c r="F3112" s="197">
        <v>51</v>
      </c>
      <c r="G3112" s="190">
        <v>45961</v>
      </c>
      <c r="H3112" s="196">
        <v>2</v>
      </c>
      <c r="I3112" s="197">
        <v>0</v>
      </c>
      <c r="J3112" s="197">
        <v>0</v>
      </c>
      <c r="K3112" s="197">
        <v>0</v>
      </c>
      <c r="L3112" s="197">
        <v>0</v>
      </c>
      <c r="M3112" s="260" t="s">
        <v>239</v>
      </c>
      <c r="N3112" s="260" t="s">
        <v>514</v>
      </c>
    </row>
    <row r="3113" spans="1:14" ht="14.5" x14ac:dyDescent="0.35">
      <c r="A3113" s="260" t="s">
        <v>566</v>
      </c>
      <c r="B3113" s="190">
        <v>45963</v>
      </c>
      <c r="C3113" s="260" t="s">
        <v>752</v>
      </c>
      <c r="D3113" s="197">
        <v>0</v>
      </c>
      <c r="E3113" s="197">
        <v>0</v>
      </c>
      <c r="F3113" s="197">
        <v>181</v>
      </c>
      <c r="G3113" s="190">
        <v>45961</v>
      </c>
      <c r="H3113" s="196">
        <v>2</v>
      </c>
      <c r="I3113" s="197">
        <v>0</v>
      </c>
      <c r="J3113" s="197">
        <v>0</v>
      </c>
      <c r="K3113" s="197">
        <v>0</v>
      </c>
      <c r="L3113" s="197">
        <v>0</v>
      </c>
      <c r="M3113" s="260" t="s">
        <v>239</v>
      </c>
      <c r="N3113" s="260" t="s">
        <v>514</v>
      </c>
    </row>
    <row r="3114" spans="1:14" ht="14.5" x14ac:dyDescent="0.35">
      <c r="A3114" s="260" t="s">
        <v>566</v>
      </c>
      <c r="B3114" s="190">
        <v>45963</v>
      </c>
      <c r="C3114" s="260" t="s">
        <v>754</v>
      </c>
      <c r="D3114" s="197">
        <v>0</v>
      </c>
      <c r="E3114" s="197">
        <v>0</v>
      </c>
      <c r="F3114" s="197">
        <v>77</v>
      </c>
      <c r="G3114" s="190">
        <v>45961</v>
      </c>
      <c r="H3114" s="196">
        <v>2</v>
      </c>
      <c r="I3114" s="197">
        <v>0</v>
      </c>
      <c r="J3114" s="197">
        <v>0</v>
      </c>
      <c r="K3114" s="197">
        <v>0</v>
      </c>
      <c r="L3114" s="197">
        <v>0</v>
      </c>
      <c r="M3114" s="260" t="s">
        <v>239</v>
      </c>
      <c r="N3114" s="260" t="s">
        <v>514</v>
      </c>
    </row>
    <row r="3115" spans="1:14" ht="14.5" x14ac:dyDescent="0.35">
      <c r="A3115" s="260" t="s">
        <v>566</v>
      </c>
      <c r="B3115" s="190">
        <v>45964</v>
      </c>
      <c r="C3115" s="260" t="s">
        <v>749</v>
      </c>
      <c r="D3115" s="197">
        <v>0</v>
      </c>
      <c r="E3115" s="197">
        <v>0</v>
      </c>
      <c r="F3115" s="197">
        <v>50.79</v>
      </c>
      <c r="G3115" s="190">
        <v>45964</v>
      </c>
      <c r="H3115" s="196">
        <v>0</v>
      </c>
      <c r="I3115" s="197">
        <v>0</v>
      </c>
      <c r="J3115" s="197">
        <v>0</v>
      </c>
      <c r="K3115" s="197">
        <v>0</v>
      </c>
      <c r="L3115" s="197">
        <v>0</v>
      </c>
      <c r="M3115" s="260" t="s">
        <v>239</v>
      </c>
      <c r="N3115" s="260" t="s">
        <v>514</v>
      </c>
    </row>
    <row r="3116" spans="1:14" ht="14.5" x14ac:dyDescent="0.35">
      <c r="A3116" s="260" t="s">
        <v>566</v>
      </c>
      <c r="B3116" s="190">
        <v>45964</v>
      </c>
      <c r="C3116" s="260" t="s">
        <v>752</v>
      </c>
      <c r="D3116" s="197">
        <v>0</v>
      </c>
      <c r="E3116" s="197">
        <v>0</v>
      </c>
      <c r="F3116" s="197">
        <v>180.24</v>
      </c>
      <c r="G3116" s="190">
        <v>45964</v>
      </c>
      <c r="H3116" s="196">
        <v>0</v>
      </c>
      <c r="I3116" s="197">
        <v>0</v>
      </c>
      <c r="J3116" s="197">
        <v>0</v>
      </c>
      <c r="K3116" s="197">
        <v>0</v>
      </c>
      <c r="L3116" s="197">
        <v>0</v>
      </c>
      <c r="M3116" s="260" t="s">
        <v>239</v>
      </c>
      <c r="N3116" s="260" t="s">
        <v>514</v>
      </c>
    </row>
    <row r="3117" spans="1:14" ht="14.5" x14ac:dyDescent="0.35">
      <c r="A3117" s="260" t="s">
        <v>566</v>
      </c>
      <c r="B3117" s="190">
        <v>45964</v>
      </c>
      <c r="C3117" s="260" t="s">
        <v>754</v>
      </c>
      <c r="D3117" s="197">
        <v>0</v>
      </c>
      <c r="E3117" s="197">
        <v>0</v>
      </c>
      <c r="F3117" s="197">
        <v>76.010000000000005</v>
      </c>
      <c r="G3117" s="190">
        <v>45964</v>
      </c>
      <c r="H3117" s="196">
        <v>0</v>
      </c>
      <c r="I3117" s="197">
        <v>0</v>
      </c>
      <c r="J3117" s="197">
        <v>0</v>
      </c>
      <c r="K3117" s="197">
        <v>0</v>
      </c>
      <c r="L3117" s="197">
        <v>0</v>
      </c>
      <c r="M3117" s="260" t="s">
        <v>239</v>
      </c>
      <c r="N3117" s="260" t="s">
        <v>514</v>
      </c>
    </row>
    <row r="3118" spans="1:14" ht="14.5" x14ac:dyDescent="0.35">
      <c r="A3118" s="260" t="s">
        <v>566</v>
      </c>
      <c r="B3118" s="190">
        <v>45965</v>
      </c>
      <c r="C3118" s="260" t="s">
        <v>749</v>
      </c>
      <c r="D3118" s="197">
        <v>0</v>
      </c>
      <c r="E3118" s="197">
        <v>0</v>
      </c>
      <c r="F3118" s="197">
        <v>50.69</v>
      </c>
      <c r="G3118" s="190">
        <v>45965</v>
      </c>
      <c r="H3118" s="196">
        <v>0</v>
      </c>
      <c r="I3118" s="197">
        <v>0</v>
      </c>
      <c r="J3118" s="197">
        <v>0</v>
      </c>
      <c r="K3118" s="197">
        <v>0</v>
      </c>
      <c r="L3118" s="197">
        <v>0</v>
      </c>
      <c r="M3118" s="260" t="s">
        <v>239</v>
      </c>
      <c r="N3118" s="260" t="s">
        <v>514</v>
      </c>
    </row>
    <row r="3119" spans="1:14" ht="14.5" x14ac:dyDescent="0.35">
      <c r="A3119" s="260" t="s">
        <v>566</v>
      </c>
      <c r="B3119" s="190">
        <v>45965</v>
      </c>
      <c r="C3119" s="260" t="s">
        <v>752</v>
      </c>
      <c r="D3119" s="197">
        <v>0</v>
      </c>
      <c r="E3119" s="197">
        <v>0</v>
      </c>
      <c r="F3119" s="197">
        <v>179.86</v>
      </c>
      <c r="G3119" s="190">
        <v>45965</v>
      </c>
      <c r="H3119" s="196">
        <v>0</v>
      </c>
      <c r="I3119" s="197">
        <v>0</v>
      </c>
      <c r="J3119" s="197">
        <v>0</v>
      </c>
      <c r="K3119" s="197">
        <v>0</v>
      </c>
      <c r="L3119" s="197">
        <v>0</v>
      </c>
      <c r="M3119" s="260" t="s">
        <v>239</v>
      </c>
      <c r="N3119" s="260" t="s">
        <v>514</v>
      </c>
    </row>
    <row r="3120" spans="1:14" ht="14.5" x14ac:dyDescent="0.35">
      <c r="A3120" s="260" t="s">
        <v>566</v>
      </c>
      <c r="B3120" s="190">
        <v>45965</v>
      </c>
      <c r="C3120" s="260" t="s">
        <v>754</v>
      </c>
      <c r="D3120" s="197">
        <v>0</v>
      </c>
      <c r="E3120" s="197">
        <v>0</v>
      </c>
      <c r="F3120" s="197">
        <v>76.11</v>
      </c>
      <c r="G3120" s="190">
        <v>45965</v>
      </c>
      <c r="H3120" s="196">
        <v>0</v>
      </c>
      <c r="I3120" s="197">
        <v>0</v>
      </c>
      <c r="J3120" s="197">
        <v>0</v>
      </c>
      <c r="K3120" s="197">
        <v>0</v>
      </c>
      <c r="L3120" s="197">
        <v>0</v>
      </c>
      <c r="M3120" s="260" t="s">
        <v>239</v>
      </c>
      <c r="N3120" s="260" t="s">
        <v>514</v>
      </c>
    </row>
    <row r="3121" spans="1:14" ht="14.5" x14ac:dyDescent="0.35">
      <c r="A3121" s="260" t="s">
        <v>566</v>
      </c>
      <c r="B3121" s="190">
        <v>45966</v>
      </c>
      <c r="C3121" s="260" t="s">
        <v>749</v>
      </c>
      <c r="D3121" s="197">
        <v>0</v>
      </c>
      <c r="E3121" s="197">
        <v>0</v>
      </c>
      <c r="F3121" s="197">
        <v>50.59</v>
      </c>
      <c r="G3121" s="190">
        <v>45966</v>
      </c>
      <c r="H3121" s="196">
        <v>0</v>
      </c>
      <c r="I3121" s="197">
        <v>0</v>
      </c>
      <c r="J3121" s="197">
        <v>0</v>
      </c>
      <c r="K3121" s="197">
        <v>0</v>
      </c>
      <c r="L3121" s="197">
        <v>0</v>
      </c>
      <c r="M3121" s="260" t="s">
        <v>239</v>
      </c>
      <c r="N3121" s="260" t="s">
        <v>514</v>
      </c>
    </row>
    <row r="3122" spans="1:14" ht="14.5" x14ac:dyDescent="0.35">
      <c r="A3122" s="260" t="s">
        <v>566</v>
      </c>
      <c r="B3122" s="190">
        <v>45966</v>
      </c>
      <c r="C3122" s="260" t="s">
        <v>752</v>
      </c>
      <c r="D3122" s="197">
        <v>0</v>
      </c>
      <c r="E3122" s="197">
        <v>0</v>
      </c>
      <c r="F3122" s="197">
        <v>179.48</v>
      </c>
      <c r="G3122" s="190">
        <v>45966</v>
      </c>
      <c r="H3122" s="196">
        <v>0</v>
      </c>
      <c r="I3122" s="197">
        <v>0</v>
      </c>
      <c r="J3122" s="197">
        <v>0</v>
      </c>
      <c r="K3122" s="197">
        <v>0</v>
      </c>
      <c r="L3122" s="197">
        <v>0</v>
      </c>
      <c r="M3122" s="260" t="s">
        <v>239</v>
      </c>
      <c r="N3122" s="260" t="s">
        <v>514</v>
      </c>
    </row>
    <row r="3123" spans="1:14" ht="14.5" x14ac:dyDescent="0.35">
      <c r="A3123" s="260" t="s">
        <v>566</v>
      </c>
      <c r="B3123" s="190">
        <v>45966</v>
      </c>
      <c r="C3123" s="260" t="s">
        <v>754</v>
      </c>
      <c r="D3123" s="197">
        <v>0</v>
      </c>
      <c r="E3123" s="197">
        <v>0</v>
      </c>
      <c r="F3123" s="197">
        <v>76.209999999999994</v>
      </c>
      <c r="G3123" s="190">
        <v>45966</v>
      </c>
      <c r="H3123" s="196">
        <v>0</v>
      </c>
      <c r="I3123" s="197">
        <v>0</v>
      </c>
      <c r="J3123" s="197">
        <v>0</v>
      </c>
      <c r="K3123" s="197">
        <v>0</v>
      </c>
      <c r="L3123" s="197">
        <v>0</v>
      </c>
      <c r="M3123" s="260" t="s">
        <v>239</v>
      </c>
      <c r="N3123" s="260" t="s">
        <v>514</v>
      </c>
    </row>
    <row r="3124" spans="1:14" ht="14.5" x14ac:dyDescent="0.35">
      <c r="A3124" s="260" t="s">
        <v>566</v>
      </c>
      <c r="B3124" s="190">
        <v>45967</v>
      </c>
      <c r="C3124" s="260" t="s">
        <v>749</v>
      </c>
      <c r="D3124" s="197">
        <v>0</v>
      </c>
      <c r="E3124" s="197">
        <v>0</v>
      </c>
      <c r="F3124" s="197">
        <v>50.48</v>
      </c>
      <c r="G3124" s="190">
        <v>45967</v>
      </c>
      <c r="H3124" s="196">
        <v>0</v>
      </c>
      <c r="I3124" s="197">
        <v>0</v>
      </c>
      <c r="J3124" s="197">
        <v>0</v>
      </c>
      <c r="K3124" s="197">
        <v>0</v>
      </c>
      <c r="L3124" s="197">
        <v>0</v>
      </c>
      <c r="M3124" s="260" t="s">
        <v>239</v>
      </c>
      <c r="N3124" s="260" t="s">
        <v>514</v>
      </c>
    </row>
    <row r="3125" spans="1:14" ht="14.5" x14ac:dyDescent="0.35">
      <c r="A3125" s="260" t="s">
        <v>566</v>
      </c>
      <c r="B3125" s="190">
        <v>45967</v>
      </c>
      <c r="C3125" s="260" t="s">
        <v>752</v>
      </c>
      <c r="D3125" s="197">
        <v>0</v>
      </c>
      <c r="E3125" s="197">
        <v>0</v>
      </c>
      <c r="F3125" s="197">
        <v>179.1</v>
      </c>
      <c r="G3125" s="190">
        <v>45967</v>
      </c>
      <c r="H3125" s="196">
        <v>0</v>
      </c>
      <c r="I3125" s="197">
        <v>0</v>
      </c>
      <c r="J3125" s="197">
        <v>0</v>
      </c>
      <c r="K3125" s="197">
        <v>0</v>
      </c>
      <c r="L3125" s="197">
        <v>0</v>
      </c>
      <c r="M3125" s="260" t="s">
        <v>239</v>
      </c>
      <c r="N3125" s="260" t="s">
        <v>514</v>
      </c>
    </row>
    <row r="3126" spans="1:14" ht="14.5" x14ac:dyDescent="0.35">
      <c r="A3126" s="260" t="s">
        <v>566</v>
      </c>
      <c r="B3126" s="190">
        <v>45967</v>
      </c>
      <c r="C3126" s="260" t="s">
        <v>754</v>
      </c>
      <c r="D3126" s="197">
        <v>0</v>
      </c>
      <c r="E3126" s="197">
        <v>0</v>
      </c>
      <c r="F3126" s="197">
        <v>76.319999999999993</v>
      </c>
      <c r="G3126" s="190">
        <v>45967</v>
      </c>
      <c r="H3126" s="196">
        <v>0</v>
      </c>
      <c r="I3126" s="197">
        <v>0</v>
      </c>
      <c r="J3126" s="197">
        <v>0</v>
      </c>
      <c r="K3126" s="197">
        <v>0</v>
      </c>
      <c r="L3126" s="197">
        <v>0</v>
      </c>
      <c r="M3126" s="260" t="s">
        <v>239</v>
      </c>
      <c r="N3126" s="260" t="s">
        <v>514</v>
      </c>
    </row>
    <row r="3127" spans="1:14" ht="14.5" x14ac:dyDescent="0.35">
      <c r="A3127" s="260" t="s">
        <v>566</v>
      </c>
      <c r="B3127" s="190">
        <v>45968</v>
      </c>
      <c r="C3127" s="260" t="s">
        <v>749</v>
      </c>
      <c r="D3127" s="197">
        <v>0</v>
      </c>
      <c r="E3127" s="197">
        <v>0</v>
      </c>
      <c r="F3127" s="197">
        <v>50.38</v>
      </c>
      <c r="G3127" s="190">
        <v>45968</v>
      </c>
      <c r="H3127" s="196">
        <v>0</v>
      </c>
      <c r="I3127" s="197">
        <v>0</v>
      </c>
      <c r="J3127" s="197">
        <v>0</v>
      </c>
      <c r="K3127" s="197">
        <v>0</v>
      </c>
      <c r="L3127" s="197">
        <v>0</v>
      </c>
      <c r="M3127" s="260" t="s">
        <v>239</v>
      </c>
      <c r="N3127" s="260" t="s">
        <v>514</v>
      </c>
    </row>
    <row r="3128" spans="1:14" ht="14.5" x14ac:dyDescent="0.35">
      <c r="A3128" s="260" t="s">
        <v>566</v>
      </c>
      <c r="B3128" s="190">
        <v>45968</v>
      </c>
      <c r="C3128" s="260" t="s">
        <v>752</v>
      </c>
      <c r="D3128" s="197">
        <v>0</v>
      </c>
      <c r="E3128" s="197">
        <v>0</v>
      </c>
      <c r="F3128" s="197">
        <v>178.72</v>
      </c>
      <c r="G3128" s="190">
        <v>45968</v>
      </c>
      <c r="H3128" s="196">
        <v>0</v>
      </c>
      <c r="I3128" s="197">
        <v>0</v>
      </c>
      <c r="J3128" s="197">
        <v>0</v>
      </c>
      <c r="K3128" s="197">
        <v>0</v>
      </c>
      <c r="L3128" s="197">
        <v>0</v>
      </c>
      <c r="M3128" s="260" t="s">
        <v>239</v>
      </c>
      <c r="N3128" s="260" t="s">
        <v>514</v>
      </c>
    </row>
    <row r="3129" spans="1:14" ht="14.5" x14ac:dyDescent="0.35">
      <c r="A3129" s="260" t="s">
        <v>566</v>
      </c>
      <c r="B3129" s="190">
        <v>45968</v>
      </c>
      <c r="C3129" s="260" t="s">
        <v>754</v>
      </c>
      <c r="D3129" s="197">
        <v>0</v>
      </c>
      <c r="E3129" s="197">
        <v>0</v>
      </c>
      <c r="F3129" s="197">
        <v>76.42</v>
      </c>
      <c r="G3129" s="190">
        <v>45968</v>
      </c>
      <c r="H3129" s="196">
        <v>0</v>
      </c>
      <c r="I3129" s="197">
        <v>0</v>
      </c>
      <c r="J3129" s="197">
        <v>0</v>
      </c>
      <c r="K3129" s="197">
        <v>0</v>
      </c>
      <c r="L3129" s="197">
        <v>0</v>
      </c>
      <c r="M3129" s="260" t="s">
        <v>239</v>
      </c>
      <c r="N3129" s="260" t="s">
        <v>514</v>
      </c>
    </row>
    <row r="3130" spans="1:14" ht="14.5" x14ac:dyDescent="0.35">
      <c r="A3130" s="260" t="s">
        <v>566</v>
      </c>
      <c r="B3130" s="190">
        <v>45969</v>
      </c>
      <c r="C3130" s="260" t="s">
        <v>749</v>
      </c>
      <c r="D3130" s="197">
        <v>0</v>
      </c>
      <c r="E3130" s="197">
        <v>0</v>
      </c>
      <c r="F3130" s="197">
        <v>50.38</v>
      </c>
      <c r="G3130" s="190">
        <v>45968</v>
      </c>
      <c r="H3130" s="196">
        <v>1</v>
      </c>
      <c r="I3130" s="197">
        <v>0</v>
      </c>
      <c r="J3130" s="197">
        <v>0</v>
      </c>
      <c r="K3130" s="197">
        <v>0</v>
      </c>
      <c r="L3130" s="197">
        <v>0</v>
      </c>
      <c r="M3130" s="260" t="s">
        <v>239</v>
      </c>
      <c r="N3130" s="260" t="s">
        <v>514</v>
      </c>
    </row>
    <row r="3131" spans="1:14" ht="14.5" x14ac:dyDescent="0.35">
      <c r="A3131" s="260" t="s">
        <v>566</v>
      </c>
      <c r="B3131" s="190">
        <v>45969</v>
      </c>
      <c r="C3131" s="260" t="s">
        <v>752</v>
      </c>
      <c r="D3131" s="197">
        <v>0</v>
      </c>
      <c r="E3131" s="197">
        <v>0</v>
      </c>
      <c r="F3131" s="197">
        <v>178.72</v>
      </c>
      <c r="G3131" s="190">
        <v>45968</v>
      </c>
      <c r="H3131" s="196">
        <v>1</v>
      </c>
      <c r="I3131" s="197">
        <v>0</v>
      </c>
      <c r="J3131" s="197">
        <v>0</v>
      </c>
      <c r="K3131" s="197">
        <v>0</v>
      </c>
      <c r="L3131" s="197">
        <v>0</v>
      </c>
      <c r="M3131" s="260" t="s">
        <v>239</v>
      </c>
      <c r="N3131" s="260" t="s">
        <v>514</v>
      </c>
    </row>
    <row r="3132" spans="1:14" ht="14.5" x14ac:dyDescent="0.35">
      <c r="A3132" s="260" t="s">
        <v>566</v>
      </c>
      <c r="B3132" s="190">
        <v>45969</v>
      </c>
      <c r="C3132" s="260" t="s">
        <v>754</v>
      </c>
      <c r="D3132" s="197">
        <v>0</v>
      </c>
      <c r="E3132" s="197">
        <v>0</v>
      </c>
      <c r="F3132" s="197">
        <v>76.42</v>
      </c>
      <c r="G3132" s="190">
        <v>45968</v>
      </c>
      <c r="H3132" s="196">
        <v>1</v>
      </c>
      <c r="I3132" s="197">
        <v>0</v>
      </c>
      <c r="J3132" s="197">
        <v>0</v>
      </c>
      <c r="K3132" s="197">
        <v>0</v>
      </c>
      <c r="L3132" s="197">
        <v>0</v>
      </c>
      <c r="M3132" s="260" t="s">
        <v>239</v>
      </c>
      <c r="N3132" s="260" t="s">
        <v>514</v>
      </c>
    </row>
    <row r="3133" spans="1:14" ht="14.5" x14ac:dyDescent="0.35">
      <c r="A3133" s="260" t="s">
        <v>566</v>
      </c>
      <c r="B3133" s="190">
        <v>45970</v>
      </c>
      <c r="C3133" s="260" t="s">
        <v>749</v>
      </c>
      <c r="D3133" s="197">
        <v>0</v>
      </c>
      <c r="E3133" s="197">
        <v>0</v>
      </c>
      <c r="F3133" s="197">
        <v>50.38</v>
      </c>
      <c r="G3133" s="190">
        <v>45968</v>
      </c>
      <c r="H3133" s="196">
        <v>2</v>
      </c>
      <c r="I3133" s="197">
        <v>0</v>
      </c>
      <c r="J3133" s="197">
        <v>0</v>
      </c>
      <c r="K3133" s="197">
        <v>0</v>
      </c>
      <c r="L3133" s="197">
        <v>0</v>
      </c>
      <c r="M3133" s="260" t="s">
        <v>239</v>
      </c>
      <c r="N3133" s="260" t="s">
        <v>514</v>
      </c>
    </row>
    <row r="3134" spans="1:14" ht="14.5" x14ac:dyDescent="0.35">
      <c r="A3134" s="260" t="s">
        <v>566</v>
      </c>
      <c r="B3134" s="190">
        <v>45970</v>
      </c>
      <c r="C3134" s="260" t="s">
        <v>752</v>
      </c>
      <c r="D3134" s="197">
        <v>0</v>
      </c>
      <c r="E3134" s="197">
        <v>0</v>
      </c>
      <c r="F3134" s="197">
        <v>178.72</v>
      </c>
      <c r="G3134" s="190">
        <v>45968</v>
      </c>
      <c r="H3134" s="196">
        <v>2</v>
      </c>
      <c r="I3134" s="197">
        <v>0</v>
      </c>
      <c r="J3134" s="197">
        <v>0</v>
      </c>
      <c r="K3134" s="197">
        <v>0</v>
      </c>
      <c r="L3134" s="197">
        <v>0</v>
      </c>
      <c r="M3134" s="260" t="s">
        <v>239</v>
      </c>
      <c r="N3134" s="260" t="s">
        <v>514</v>
      </c>
    </row>
    <row r="3135" spans="1:14" ht="14.5" x14ac:dyDescent="0.35">
      <c r="A3135" s="260" t="s">
        <v>566</v>
      </c>
      <c r="B3135" s="190">
        <v>45970</v>
      </c>
      <c r="C3135" s="260" t="s">
        <v>754</v>
      </c>
      <c r="D3135" s="197">
        <v>0</v>
      </c>
      <c r="E3135" s="197">
        <v>0</v>
      </c>
      <c r="F3135" s="197">
        <v>76.42</v>
      </c>
      <c r="G3135" s="190">
        <v>45968</v>
      </c>
      <c r="H3135" s="196">
        <v>2</v>
      </c>
      <c r="I3135" s="197">
        <v>0</v>
      </c>
      <c r="J3135" s="197">
        <v>0</v>
      </c>
      <c r="K3135" s="197">
        <v>0</v>
      </c>
      <c r="L3135" s="197">
        <v>0</v>
      </c>
      <c r="M3135" s="260" t="s">
        <v>239</v>
      </c>
      <c r="N3135" s="260" t="s">
        <v>514</v>
      </c>
    </row>
    <row r="3136" spans="1:14" ht="14.5" x14ac:dyDescent="0.35">
      <c r="A3136" s="260" t="s">
        <v>566</v>
      </c>
      <c r="B3136" s="190">
        <v>45971</v>
      </c>
      <c r="C3136" s="260" t="s">
        <v>749</v>
      </c>
      <c r="D3136" s="197">
        <v>0</v>
      </c>
      <c r="E3136" s="197">
        <v>0</v>
      </c>
      <c r="F3136" s="197">
        <v>50.07</v>
      </c>
      <c r="G3136" s="190">
        <v>45971</v>
      </c>
      <c r="H3136" s="196">
        <v>0</v>
      </c>
      <c r="I3136" s="197">
        <v>0</v>
      </c>
      <c r="J3136" s="197">
        <v>0</v>
      </c>
      <c r="K3136" s="197">
        <v>0</v>
      </c>
      <c r="L3136" s="197">
        <v>0</v>
      </c>
      <c r="M3136" s="260" t="s">
        <v>239</v>
      </c>
      <c r="N3136" s="260" t="s">
        <v>514</v>
      </c>
    </row>
    <row r="3137" spans="1:14" ht="14.5" x14ac:dyDescent="0.35">
      <c r="A3137" s="260" t="s">
        <v>566</v>
      </c>
      <c r="B3137" s="190">
        <v>45971</v>
      </c>
      <c r="C3137" s="260" t="s">
        <v>752</v>
      </c>
      <c r="D3137" s="197">
        <v>0</v>
      </c>
      <c r="E3137" s="197">
        <v>0</v>
      </c>
      <c r="F3137" s="197">
        <v>177.59</v>
      </c>
      <c r="G3137" s="190">
        <v>45971</v>
      </c>
      <c r="H3137" s="196">
        <v>0</v>
      </c>
      <c r="I3137" s="197">
        <v>0</v>
      </c>
      <c r="J3137" s="197">
        <v>0</v>
      </c>
      <c r="K3137" s="197">
        <v>0</v>
      </c>
      <c r="L3137" s="197">
        <v>0</v>
      </c>
      <c r="M3137" s="260" t="s">
        <v>239</v>
      </c>
      <c r="N3137" s="260" t="s">
        <v>514</v>
      </c>
    </row>
    <row r="3138" spans="1:14" ht="14.5" x14ac:dyDescent="0.35">
      <c r="A3138" s="260" t="s">
        <v>566</v>
      </c>
      <c r="B3138" s="190">
        <v>45971</v>
      </c>
      <c r="C3138" s="260" t="s">
        <v>754</v>
      </c>
      <c r="D3138" s="197">
        <v>0</v>
      </c>
      <c r="E3138" s="197">
        <v>0</v>
      </c>
      <c r="F3138" s="197">
        <v>76.73</v>
      </c>
      <c r="G3138" s="190">
        <v>45971</v>
      </c>
      <c r="H3138" s="196">
        <v>0</v>
      </c>
      <c r="I3138" s="197">
        <v>0</v>
      </c>
      <c r="J3138" s="197">
        <v>0</v>
      </c>
      <c r="K3138" s="197">
        <v>0</v>
      </c>
      <c r="L3138" s="197">
        <v>0</v>
      </c>
      <c r="M3138" s="260" t="s">
        <v>239</v>
      </c>
      <c r="N3138" s="260" t="s">
        <v>514</v>
      </c>
    </row>
    <row r="3139" spans="1:14" ht="14.5" x14ac:dyDescent="0.35">
      <c r="A3139" s="260" t="s">
        <v>566</v>
      </c>
      <c r="B3139" s="190">
        <v>45972</v>
      </c>
      <c r="C3139" s="260" t="s">
        <v>749</v>
      </c>
      <c r="D3139" s="197">
        <v>0</v>
      </c>
      <c r="E3139" s="197">
        <v>0</v>
      </c>
      <c r="F3139" s="197">
        <v>49.97</v>
      </c>
      <c r="G3139" s="190">
        <v>45972</v>
      </c>
      <c r="H3139" s="196">
        <v>0</v>
      </c>
      <c r="I3139" s="197">
        <v>0</v>
      </c>
      <c r="J3139" s="197">
        <v>0</v>
      </c>
      <c r="K3139" s="197">
        <v>0</v>
      </c>
      <c r="L3139" s="197">
        <v>0</v>
      </c>
      <c r="M3139" s="260" t="s">
        <v>239</v>
      </c>
      <c r="N3139" s="260" t="s">
        <v>514</v>
      </c>
    </row>
    <row r="3140" spans="1:14" ht="14.5" x14ac:dyDescent="0.35">
      <c r="A3140" s="260" t="s">
        <v>566</v>
      </c>
      <c r="B3140" s="190">
        <v>45972</v>
      </c>
      <c r="C3140" s="260" t="s">
        <v>752</v>
      </c>
      <c r="D3140" s="197">
        <v>0</v>
      </c>
      <c r="E3140" s="197">
        <v>0</v>
      </c>
      <c r="F3140" s="197">
        <v>177.21</v>
      </c>
      <c r="G3140" s="190">
        <v>45972</v>
      </c>
      <c r="H3140" s="196">
        <v>0</v>
      </c>
      <c r="I3140" s="197">
        <v>0</v>
      </c>
      <c r="J3140" s="197">
        <v>0</v>
      </c>
      <c r="K3140" s="197">
        <v>0</v>
      </c>
      <c r="L3140" s="197">
        <v>0</v>
      </c>
      <c r="M3140" s="260" t="s">
        <v>239</v>
      </c>
      <c r="N3140" s="260" t="s">
        <v>514</v>
      </c>
    </row>
    <row r="3141" spans="1:14" ht="14.5" x14ac:dyDescent="0.35">
      <c r="A3141" s="260" t="s">
        <v>566</v>
      </c>
      <c r="B3141" s="190">
        <v>45972</v>
      </c>
      <c r="C3141" s="260" t="s">
        <v>754</v>
      </c>
      <c r="D3141" s="197">
        <v>0</v>
      </c>
      <c r="E3141" s="197">
        <v>0</v>
      </c>
      <c r="F3141" s="197">
        <v>76.83</v>
      </c>
      <c r="G3141" s="190">
        <v>45972</v>
      </c>
      <c r="H3141" s="196">
        <v>0</v>
      </c>
      <c r="I3141" s="197">
        <v>0</v>
      </c>
      <c r="J3141" s="197">
        <v>0</v>
      </c>
      <c r="K3141" s="197">
        <v>0</v>
      </c>
      <c r="L3141" s="197">
        <v>0</v>
      </c>
      <c r="M3141" s="260" t="s">
        <v>239</v>
      </c>
      <c r="N3141" s="260" t="s">
        <v>514</v>
      </c>
    </row>
    <row r="3142" spans="1:14" ht="14.5" x14ac:dyDescent="0.35">
      <c r="A3142" s="260" t="s">
        <v>566</v>
      </c>
      <c r="B3142" s="190">
        <v>45973</v>
      </c>
      <c r="C3142" s="260" t="s">
        <v>749</v>
      </c>
      <c r="D3142" s="197">
        <v>0</v>
      </c>
      <c r="E3142" s="197">
        <v>0</v>
      </c>
      <c r="F3142" s="197">
        <v>49.86</v>
      </c>
      <c r="G3142" s="190">
        <v>45973</v>
      </c>
      <c r="H3142" s="196">
        <v>0</v>
      </c>
      <c r="I3142" s="197">
        <v>0</v>
      </c>
      <c r="J3142" s="197">
        <v>0</v>
      </c>
      <c r="K3142" s="197">
        <v>0</v>
      </c>
      <c r="L3142" s="197">
        <v>0</v>
      </c>
      <c r="M3142" s="260" t="s">
        <v>239</v>
      </c>
      <c r="N3142" s="260" t="s">
        <v>514</v>
      </c>
    </row>
    <row r="3143" spans="1:14" ht="14.5" x14ac:dyDescent="0.35">
      <c r="A3143" s="260" t="s">
        <v>566</v>
      </c>
      <c r="B3143" s="190">
        <v>45973</v>
      </c>
      <c r="C3143" s="260" t="s">
        <v>752</v>
      </c>
      <c r="D3143" s="197">
        <v>0</v>
      </c>
      <c r="E3143" s="197">
        <v>0</v>
      </c>
      <c r="F3143" s="197">
        <v>176.83</v>
      </c>
      <c r="G3143" s="190">
        <v>45973</v>
      </c>
      <c r="H3143" s="196">
        <v>0</v>
      </c>
      <c r="I3143" s="197">
        <v>0</v>
      </c>
      <c r="J3143" s="197">
        <v>0</v>
      </c>
      <c r="K3143" s="197">
        <v>0</v>
      </c>
      <c r="L3143" s="197">
        <v>0</v>
      </c>
      <c r="M3143" s="260" t="s">
        <v>239</v>
      </c>
      <c r="N3143" s="260" t="s">
        <v>514</v>
      </c>
    </row>
    <row r="3144" spans="1:14" ht="14.5" x14ac:dyDescent="0.35">
      <c r="A3144" s="260" t="s">
        <v>566</v>
      </c>
      <c r="B3144" s="190">
        <v>45973</v>
      </c>
      <c r="C3144" s="260" t="s">
        <v>754</v>
      </c>
      <c r="D3144" s="197">
        <v>0</v>
      </c>
      <c r="E3144" s="197">
        <v>0</v>
      </c>
      <c r="F3144" s="197">
        <v>76.94</v>
      </c>
      <c r="G3144" s="190">
        <v>45973</v>
      </c>
      <c r="H3144" s="196">
        <v>0</v>
      </c>
      <c r="I3144" s="197">
        <v>0</v>
      </c>
      <c r="J3144" s="197">
        <v>0</v>
      </c>
      <c r="K3144" s="197">
        <v>0</v>
      </c>
      <c r="L3144" s="197">
        <v>0</v>
      </c>
      <c r="M3144" s="260" t="s">
        <v>239</v>
      </c>
      <c r="N3144" s="260" t="s">
        <v>514</v>
      </c>
    </row>
    <row r="3145" spans="1:14" ht="14.5" x14ac:dyDescent="0.35">
      <c r="A3145" s="260" t="s">
        <v>566</v>
      </c>
      <c r="B3145" s="190">
        <v>45974</v>
      </c>
      <c r="C3145" s="260" t="s">
        <v>749</v>
      </c>
      <c r="D3145" s="197">
        <v>0</v>
      </c>
      <c r="E3145" s="197">
        <v>0</v>
      </c>
      <c r="F3145" s="197">
        <v>49.76</v>
      </c>
      <c r="G3145" s="190">
        <v>45974</v>
      </c>
      <c r="H3145" s="196">
        <v>0</v>
      </c>
      <c r="I3145" s="197">
        <v>0</v>
      </c>
      <c r="J3145" s="197">
        <v>0</v>
      </c>
      <c r="K3145" s="197">
        <v>0</v>
      </c>
      <c r="L3145" s="197">
        <v>0</v>
      </c>
      <c r="M3145" s="260" t="s">
        <v>239</v>
      </c>
      <c r="N3145" s="260" t="s">
        <v>514</v>
      </c>
    </row>
    <row r="3146" spans="1:14" ht="14.5" x14ac:dyDescent="0.35">
      <c r="A3146" s="260" t="s">
        <v>566</v>
      </c>
      <c r="B3146" s="190">
        <v>45974</v>
      </c>
      <c r="C3146" s="260" t="s">
        <v>752</v>
      </c>
      <c r="D3146" s="197">
        <v>0</v>
      </c>
      <c r="E3146" s="197">
        <v>0</v>
      </c>
      <c r="F3146" s="197">
        <v>176.45</v>
      </c>
      <c r="G3146" s="190">
        <v>45974</v>
      </c>
      <c r="H3146" s="196">
        <v>0</v>
      </c>
      <c r="I3146" s="197">
        <v>0</v>
      </c>
      <c r="J3146" s="197">
        <v>0</v>
      </c>
      <c r="K3146" s="197">
        <v>0</v>
      </c>
      <c r="L3146" s="197">
        <v>0</v>
      </c>
      <c r="M3146" s="260" t="s">
        <v>239</v>
      </c>
      <c r="N3146" s="260" t="s">
        <v>514</v>
      </c>
    </row>
    <row r="3147" spans="1:14" ht="14.5" x14ac:dyDescent="0.35">
      <c r="A3147" s="260" t="s">
        <v>566</v>
      </c>
      <c r="B3147" s="190">
        <v>45974</v>
      </c>
      <c r="C3147" s="260" t="s">
        <v>754</v>
      </c>
      <c r="D3147" s="197">
        <v>0</v>
      </c>
      <c r="E3147" s="197">
        <v>0</v>
      </c>
      <c r="F3147" s="197">
        <v>77.040000000000006</v>
      </c>
      <c r="G3147" s="190">
        <v>45974</v>
      </c>
      <c r="H3147" s="196">
        <v>0</v>
      </c>
      <c r="I3147" s="197">
        <v>0</v>
      </c>
      <c r="J3147" s="197">
        <v>0</v>
      </c>
      <c r="K3147" s="197">
        <v>0</v>
      </c>
      <c r="L3147" s="197">
        <v>0</v>
      </c>
      <c r="M3147" s="260" t="s">
        <v>239</v>
      </c>
      <c r="N3147" s="260" t="s">
        <v>514</v>
      </c>
    </row>
    <row r="3148" spans="1:14" ht="14.5" x14ac:dyDescent="0.35">
      <c r="A3148" s="260" t="s">
        <v>566</v>
      </c>
      <c r="B3148" s="190">
        <v>45975</v>
      </c>
      <c r="C3148" s="260" t="s">
        <v>749</v>
      </c>
      <c r="D3148" s="197">
        <v>0</v>
      </c>
      <c r="E3148" s="197">
        <v>0</v>
      </c>
      <c r="F3148" s="197">
        <v>49.66</v>
      </c>
      <c r="G3148" s="190">
        <v>45975</v>
      </c>
      <c r="H3148" s="196">
        <v>0</v>
      </c>
      <c r="I3148" s="197">
        <v>0</v>
      </c>
      <c r="J3148" s="197">
        <v>0</v>
      </c>
      <c r="K3148" s="197">
        <v>0</v>
      </c>
      <c r="L3148" s="197">
        <v>0</v>
      </c>
      <c r="M3148" s="260" t="s">
        <v>239</v>
      </c>
      <c r="N3148" s="260" t="s">
        <v>514</v>
      </c>
    </row>
    <row r="3149" spans="1:14" ht="14.5" x14ac:dyDescent="0.35">
      <c r="A3149" s="260" t="s">
        <v>566</v>
      </c>
      <c r="B3149" s="190">
        <v>45975</v>
      </c>
      <c r="C3149" s="260" t="s">
        <v>752</v>
      </c>
      <c r="D3149" s="197">
        <v>0</v>
      </c>
      <c r="E3149" s="197">
        <v>0</v>
      </c>
      <c r="F3149" s="197">
        <v>176.07</v>
      </c>
      <c r="G3149" s="190">
        <v>45975</v>
      </c>
      <c r="H3149" s="196">
        <v>0</v>
      </c>
      <c r="I3149" s="197">
        <v>0</v>
      </c>
      <c r="J3149" s="197">
        <v>0</v>
      </c>
      <c r="K3149" s="197">
        <v>0</v>
      </c>
      <c r="L3149" s="197">
        <v>0</v>
      </c>
      <c r="M3149" s="260" t="s">
        <v>239</v>
      </c>
      <c r="N3149" s="260" t="s">
        <v>514</v>
      </c>
    </row>
    <row r="3150" spans="1:14" ht="14.5" x14ac:dyDescent="0.35">
      <c r="A3150" s="260" t="s">
        <v>566</v>
      </c>
      <c r="B3150" s="190">
        <v>45975</v>
      </c>
      <c r="C3150" s="260" t="s">
        <v>754</v>
      </c>
      <c r="D3150" s="197">
        <v>0</v>
      </c>
      <c r="E3150" s="197">
        <v>0</v>
      </c>
      <c r="F3150" s="197">
        <v>77.14</v>
      </c>
      <c r="G3150" s="190">
        <v>45975</v>
      </c>
      <c r="H3150" s="196">
        <v>0</v>
      </c>
      <c r="I3150" s="197">
        <v>0</v>
      </c>
      <c r="J3150" s="197">
        <v>0</v>
      </c>
      <c r="K3150" s="197">
        <v>0</v>
      </c>
      <c r="L3150" s="197">
        <v>0</v>
      </c>
      <c r="M3150" s="260" t="s">
        <v>239</v>
      </c>
      <c r="N3150" s="260" t="s">
        <v>514</v>
      </c>
    </row>
    <row r="3151" spans="1:14" ht="14.5" x14ac:dyDescent="0.35">
      <c r="A3151" s="260" t="s">
        <v>566</v>
      </c>
      <c r="B3151" s="190">
        <v>45976</v>
      </c>
      <c r="C3151" s="260" t="s">
        <v>749</v>
      </c>
      <c r="D3151" s="197">
        <v>0</v>
      </c>
      <c r="E3151" s="197">
        <v>0</v>
      </c>
      <c r="F3151" s="197">
        <v>49.66</v>
      </c>
      <c r="G3151" s="190">
        <v>45975</v>
      </c>
      <c r="H3151" s="196">
        <v>1</v>
      </c>
      <c r="I3151" s="197">
        <v>0</v>
      </c>
      <c r="J3151" s="197">
        <v>0</v>
      </c>
      <c r="K3151" s="197">
        <v>0</v>
      </c>
      <c r="L3151" s="197">
        <v>0</v>
      </c>
      <c r="M3151" s="260" t="s">
        <v>239</v>
      </c>
      <c r="N3151" s="260" t="s">
        <v>514</v>
      </c>
    </row>
    <row r="3152" spans="1:14" ht="14.5" x14ac:dyDescent="0.35">
      <c r="A3152" s="260" t="s">
        <v>566</v>
      </c>
      <c r="B3152" s="190">
        <v>45976</v>
      </c>
      <c r="C3152" s="260" t="s">
        <v>752</v>
      </c>
      <c r="D3152" s="197">
        <v>0</v>
      </c>
      <c r="E3152" s="197">
        <v>0</v>
      </c>
      <c r="F3152" s="197">
        <v>176.07</v>
      </c>
      <c r="G3152" s="190">
        <v>45975</v>
      </c>
      <c r="H3152" s="196">
        <v>1</v>
      </c>
      <c r="I3152" s="197">
        <v>0</v>
      </c>
      <c r="J3152" s="197">
        <v>0</v>
      </c>
      <c r="K3152" s="197">
        <v>0</v>
      </c>
      <c r="L3152" s="197">
        <v>0</v>
      </c>
      <c r="M3152" s="260" t="s">
        <v>239</v>
      </c>
      <c r="N3152" s="260" t="s">
        <v>514</v>
      </c>
    </row>
    <row r="3153" spans="1:14" ht="14.5" x14ac:dyDescent="0.35">
      <c r="A3153" s="260" t="s">
        <v>566</v>
      </c>
      <c r="B3153" s="190">
        <v>45976</v>
      </c>
      <c r="C3153" s="260" t="s">
        <v>754</v>
      </c>
      <c r="D3153" s="197">
        <v>0</v>
      </c>
      <c r="E3153" s="197">
        <v>0</v>
      </c>
      <c r="F3153" s="197">
        <v>77.14</v>
      </c>
      <c r="G3153" s="190">
        <v>45975</v>
      </c>
      <c r="H3153" s="196">
        <v>1</v>
      </c>
      <c r="I3153" s="197">
        <v>0</v>
      </c>
      <c r="J3153" s="197">
        <v>0</v>
      </c>
      <c r="K3153" s="197">
        <v>0</v>
      </c>
      <c r="L3153" s="197">
        <v>0</v>
      </c>
      <c r="M3153" s="260" t="s">
        <v>239</v>
      </c>
      <c r="N3153" s="260" t="s">
        <v>514</v>
      </c>
    </row>
    <row r="3154" spans="1:14" ht="14.5" x14ac:dyDescent="0.35">
      <c r="A3154" s="260" t="s">
        <v>566</v>
      </c>
      <c r="B3154" s="190">
        <v>45977</v>
      </c>
      <c r="C3154" s="260" t="s">
        <v>749</v>
      </c>
      <c r="D3154" s="197">
        <v>0</v>
      </c>
      <c r="E3154" s="197">
        <v>0</v>
      </c>
      <c r="F3154" s="197">
        <v>49.66</v>
      </c>
      <c r="G3154" s="190">
        <v>45975</v>
      </c>
      <c r="H3154" s="196">
        <v>2</v>
      </c>
      <c r="I3154" s="197">
        <v>0</v>
      </c>
      <c r="J3154" s="197">
        <v>0</v>
      </c>
      <c r="K3154" s="197">
        <v>0</v>
      </c>
      <c r="L3154" s="197">
        <v>0</v>
      </c>
      <c r="M3154" s="260" t="s">
        <v>239</v>
      </c>
      <c r="N3154" s="260" t="s">
        <v>514</v>
      </c>
    </row>
    <row r="3155" spans="1:14" ht="14.5" x14ac:dyDescent="0.35">
      <c r="A3155" s="260" t="s">
        <v>566</v>
      </c>
      <c r="B3155" s="190">
        <v>45977</v>
      </c>
      <c r="C3155" s="260" t="s">
        <v>752</v>
      </c>
      <c r="D3155" s="197">
        <v>0</v>
      </c>
      <c r="E3155" s="197">
        <v>0</v>
      </c>
      <c r="F3155" s="197">
        <v>176.07</v>
      </c>
      <c r="G3155" s="190">
        <v>45975</v>
      </c>
      <c r="H3155" s="196">
        <v>2</v>
      </c>
      <c r="I3155" s="197">
        <v>0</v>
      </c>
      <c r="J3155" s="197">
        <v>0</v>
      </c>
      <c r="K3155" s="197">
        <v>0</v>
      </c>
      <c r="L3155" s="197">
        <v>0</v>
      </c>
      <c r="M3155" s="260" t="s">
        <v>239</v>
      </c>
      <c r="N3155" s="260" t="s">
        <v>514</v>
      </c>
    </row>
    <row r="3156" spans="1:14" ht="14.5" x14ac:dyDescent="0.35">
      <c r="A3156" s="260" t="s">
        <v>566</v>
      </c>
      <c r="B3156" s="190">
        <v>45977</v>
      </c>
      <c r="C3156" s="260" t="s">
        <v>754</v>
      </c>
      <c r="D3156" s="197">
        <v>0</v>
      </c>
      <c r="E3156" s="197">
        <v>0</v>
      </c>
      <c r="F3156" s="197">
        <v>77.14</v>
      </c>
      <c r="G3156" s="190">
        <v>45975</v>
      </c>
      <c r="H3156" s="196">
        <v>2</v>
      </c>
      <c r="I3156" s="197">
        <v>0</v>
      </c>
      <c r="J3156" s="197">
        <v>0</v>
      </c>
      <c r="K3156" s="197">
        <v>0</v>
      </c>
      <c r="L3156" s="197">
        <v>0</v>
      </c>
      <c r="M3156" s="260" t="s">
        <v>239</v>
      </c>
      <c r="N3156" s="260" t="s">
        <v>514</v>
      </c>
    </row>
    <row r="3157" spans="1:14" ht="14.5" x14ac:dyDescent="0.35">
      <c r="A3157" s="260" t="s">
        <v>566</v>
      </c>
      <c r="B3157" s="190">
        <v>45978</v>
      </c>
      <c r="C3157" s="260" t="s">
        <v>749</v>
      </c>
      <c r="D3157" s="197">
        <v>0</v>
      </c>
      <c r="E3157" s="197">
        <v>0</v>
      </c>
      <c r="F3157" s="197">
        <v>49.34</v>
      </c>
      <c r="G3157" s="190">
        <v>45978</v>
      </c>
      <c r="H3157" s="196">
        <v>0</v>
      </c>
      <c r="I3157" s="197">
        <v>0</v>
      </c>
      <c r="J3157" s="197">
        <v>0</v>
      </c>
      <c r="K3157" s="197">
        <v>0</v>
      </c>
      <c r="L3157" s="197">
        <v>0</v>
      </c>
      <c r="M3157" s="260" t="s">
        <v>239</v>
      </c>
      <c r="N3157" s="260" t="s">
        <v>514</v>
      </c>
    </row>
    <row r="3158" spans="1:14" ht="14.5" x14ac:dyDescent="0.35">
      <c r="A3158" s="260" t="s">
        <v>566</v>
      </c>
      <c r="B3158" s="190">
        <v>45978</v>
      </c>
      <c r="C3158" s="260" t="s">
        <v>752</v>
      </c>
      <c r="D3158" s="197">
        <v>0</v>
      </c>
      <c r="E3158" s="197">
        <v>0</v>
      </c>
      <c r="F3158" s="197">
        <v>174.93</v>
      </c>
      <c r="G3158" s="190">
        <v>45978</v>
      </c>
      <c r="H3158" s="196">
        <v>0</v>
      </c>
      <c r="I3158" s="197">
        <v>0</v>
      </c>
      <c r="J3158" s="197">
        <v>0</v>
      </c>
      <c r="K3158" s="197">
        <v>0</v>
      </c>
      <c r="L3158" s="197">
        <v>0</v>
      </c>
      <c r="M3158" s="260" t="s">
        <v>239</v>
      </c>
      <c r="N3158" s="260" t="s">
        <v>514</v>
      </c>
    </row>
    <row r="3159" spans="1:14" ht="14.5" x14ac:dyDescent="0.35">
      <c r="A3159" s="260" t="s">
        <v>566</v>
      </c>
      <c r="B3159" s="190">
        <v>45978</v>
      </c>
      <c r="C3159" s="260" t="s">
        <v>754</v>
      </c>
      <c r="D3159" s="197">
        <v>0</v>
      </c>
      <c r="E3159" s="197">
        <v>0</v>
      </c>
      <c r="F3159" s="197">
        <v>77.459999999999994</v>
      </c>
      <c r="G3159" s="190">
        <v>45978</v>
      </c>
      <c r="H3159" s="196">
        <v>0</v>
      </c>
      <c r="I3159" s="197">
        <v>0</v>
      </c>
      <c r="J3159" s="197">
        <v>0</v>
      </c>
      <c r="K3159" s="197">
        <v>0</v>
      </c>
      <c r="L3159" s="197">
        <v>0</v>
      </c>
      <c r="M3159" s="260" t="s">
        <v>239</v>
      </c>
      <c r="N3159" s="260" t="s">
        <v>514</v>
      </c>
    </row>
    <row r="3160" spans="1:14" ht="14.5" x14ac:dyDescent="0.35">
      <c r="A3160" s="260" t="s">
        <v>566</v>
      </c>
      <c r="B3160" s="190">
        <v>45979</v>
      </c>
      <c r="C3160" s="260" t="s">
        <v>749</v>
      </c>
      <c r="D3160" s="197">
        <v>0</v>
      </c>
      <c r="E3160" s="197">
        <v>0</v>
      </c>
      <c r="F3160" s="197">
        <v>49.24</v>
      </c>
      <c r="G3160" s="190">
        <v>45979</v>
      </c>
      <c r="H3160" s="196">
        <v>0</v>
      </c>
      <c r="I3160" s="197">
        <v>0</v>
      </c>
      <c r="J3160" s="197">
        <v>0</v>
      </c>
      <c r="K3160" s="197">
        <v>0</v>
      </c>
      <c r="L3160" s="197">
        <v>0</v>
      </c>
      <c r="M3160" s="260" t="s">
        <v>239</v>
      </c>
      <c r="N3160" s="260" t="s">
        <v>514</v>
      </c>
    </row>
    <row r="3161" spans="1:14" ht="14.5" x14ac:dyDescent="0.35">
      <c r="A3161" s="260" t="s">
        <v>566</v>
      </c>
      <c r="B3161" s="190">
        <v>45979</v>
      </c>
      <c r="C3161" s="260" t="s">
        <v>752</v>
      </c>
      <c r="D3161" s="197">
        <v>0</v>
      </c>
      <c r="E3161" s="197">
        <v>0</v>
      </c>
      <c r="F3161" s="197">
        <v>174.55</v>
      </c>
      <c r="G3161" s="190">
        <v>45979</v>
      </c>
      <c r="H3161" s="196">
        <v>0</v>
      </c>
      <c r="I3161" s="197">
        <v>0</v>
      </c>
      <c r="J3161" s="197">
        <v>0</v>
      </c>
      <c r="K3161" s="197">
        <v>0</v>
      </c>
      <c r="L3161" s="197">
        <v>0</v>
      </c>
      <c r="M3161" s="260" t="s">
        <v>239</v>
      </c>
      <c r="N3161" s="260" t="s">
        <v>514</v>
      </c>
    </row>
    <row r="3162" spans="1:14" ht="14.5" x14ac:dyDescent="0.35">
      <c r="A3162" s="260" t="s">
        <v>566</v>
      </c>
      <c r="B3162" s="190">
        <v>45979</v>
      </c>
      <c r="C3162" s="260" t="s">
        <v>754</v>
      </c>
      <c r="D3162" s="197">
        <v>0</v>
      </c>
      <c r="E3162" s="197">
        <v>0</v>
      </c>
      <c r="F3162" s="197">
        <v>77.56</v>
      </c>
      <c r="G3162" s="190">
        <v>45979</v>
      </c>
      <c r="H3162" s="196">
        <v>0</v>
      </c>
      <c r="I3162" s="197">
        <v>0</v>
      </c>
      <c r="J3162" s="197">
        <v>0</v>
      </c>
      <c r="K3162" s="197">
        <v>0</v>
      </c>
      <c r="L3162" s="197">
        <v>0</v>
      </c>
      <c r="M3162" s="260" t="s">
        <v>239</v>
      </c>
      <c r="N3162" s="260" t="s">
        <v>514</v>
      </c>
    </row>
    <row r="3163" spans="1:14" ht="14.5" x14ac:dyDescent="0.35">
      <c r="A3163" s="260" t="s">
        <v>566</v>
      </c>
      <c r="B3163" s="190">
        <v>45980</v>
      </c>
      <c r="C3163" s="260" t="s">
        <v>749</v>
      </c>
      <c r="D3163" s="197">
        <v>0</v>
      </c>
      <c r="E3163" s="197">
        <v>0</v>
      </c>
      <c r="F3163" s="197">
        <v>49.14</v>
      </c>
      <c r="G3163" s="190">
        <v>45980</v>
      </c>
      <c r="H3163" s="196">
        <v>0</v>
      </c>
      <c r="I3163" s="197">
        <v>0</v>
      </c>
      <c r="J3163" s="197">
        <v>0</v>
      </c>
      <c r="K3163" s="197">
        <v>0</v>
      </c>
      <c r="L3163" s="197">
        <v>0</v>
      </c>
      <c r="M3163" s="260" t="s">
        <v>239</v>
      </c>
      <c r="N3163" s="260" t="s">
        <v>514</v>
      </c>
    </row>
    <row r="3164" spans="1:14" ht="14.5" x14ac:dyDescent="0.35">
      <c r="A3164" s="260" t="s">
        <v>566</v>
      </c>
      <c r="B3164" s="190">
        <v>45980</v>
      </c>
      <c r="C3164" s="260" t="s">
        <v>752</v>
      </c>
      <c r="D3164" s="197">
        <v>0</v>
      </c>
      <c r="E3164" s="197">
        <v>0</v>
      </c>
      <c r="F3164" s="197">
        <v>174.17</v>
      </c>
      <c r="G3164" s="190">
        <v>45980</v>
      </c>
      <c r="H3164" s="196">
        <v>0</v>
      </c>
      <c r="I3164" s="197">
        <v>0</v>
      </c>
      <c r="J3164" s="197">
        <v>0</v>
      </c>
      <c r="K3164" s="197">
        <v>0</v>
      </c>
      <c r="L3164" s="197">
        <v>0</v>
      </c>
      <c r="M3164" s="260" t="s">
        <v>239</v>
      </c>
      <c r="N3164" s="260" t="s">
        <v>514</v>
      </c>
    </row>
    <row r="3165" spans="1:14" ht="14.5" x14ac:dyDescent="0.35">
      <c r="A3165" s="260" t="s">
        <v>566</v>
      </c>
      <c r="B3165" s="190">
        <v>45980</v>
      </c>
      <c r="C3165" s="260" t="s">
        <v>754</v>
      </c>
      <c r="D3165" s="197">
        <v>0</v>
      </c>
      <c r="E3165" s="197">
        <v>0</v>
      </c>
      <c r="F3165" s="197">
        <v>77.66</v>
      </c>
      <c r="G3165" s="190">
        <v>45980</v>
      </c>
      <c r="H3165" s="196">
        <v>0</v>
      </c>
      <c r="I3165" s="197">
        <v>0</v>
      </c>
      <c r="J3165" s="197">
        <v>0</v>
      </c>
      <c r="K3165" s="197">
        <v>0</v>
      </c>
      <c r="L3165" s="197">
        <v>0</v>
      </c>
      <c r="M3165" s="260" t="s">
        <v>239</v>
      </c>
      <c r="N3165" s="260" t="s">
        <v>514</v>
      </c>
    </row>
    <row r="3166" spans="1:14" ht="14.5" x14ac:dyDescent="0.35">
      <c r="A3166" s="260" t="s">
        <v>566</v>
      </c>
      <c r="B3166" s="190">
        <v>45981</v>
      </c>
      <c r="C3166" s="260" t="s">
        <v>749</v>
      </c>
      <c r="D3166" s="197">
        <v>0</v>
      </c>
      <c r="E3166" s="197">
        <v>0</v>
      </c>
      <c r="F3166" s="197">
        <v>49.03</v>
      </c>
      <c r="G3166" s="190">
        <v>45981</v>
      </c>
      <c r="H3166" s="196">
        <v>0</v>
      </c>
      <c r="I3166" s="197">
        <v>0</v>
      </c>
      <c r="J3166" s="197">
        <v>0</v>
      </c>
      <c r="K3166" s="197">
        <v>0</v>
      </c>
      <c r="L3166" s="197">
        <v>0</v>
      </c>
      <c r="M3166" s="260" t="s">
        <v>239</v>
      </c>
      <c r="N3166" s="260" t="s">
        <v>514</v>
      </c>
    </row>
    <row r="3167" spans="1:14" ht="14.5" x14ac:dyDescent="0.35">
      <c r="A3167" s="260" t="s">
        <v>566</v>
      </c>
      <c r="B3167" s="190">
        <v>45981</v>
      </c>
      <c r="C3167" s="260" t="s">
        <v>752</v>
      </c>
      <c r="D3167" s="197">
        <v>0</v>
      </c>
      <c r="E3167" s="197">
        <v>0</v>
      </c>
      <c r="F3167" s="197">
        <v>173.79</v>
      </c>
      <c r="G3167" s="190">
        <v>45981</v>
      </c>
      <c r="H3167" s="196">
        <v>0</v>
      </c>
      <c r="I3167" s="197">
        <v>0</v>
      </c>
      <c r="J3167" s="197">
        <v>0</v>
      </c>
      <c r="K3167" s="197">
        <v>0</v>
      </c>
      <c r="L3167" s="197">
        <v>0</v>
      </c>
      <c r="M3167" s="260" t="s">
        <v>239</v>
      </c>
      <c r="N3167" s="260" t="s">
        <v>514</v>
      </c>
    </row>
    <row r="3168" spans="1:14" ht="14.5" x14ac:dyDescent="0.35">
      <c r="A3168" s="260" t="s">
        <v>566</v>
      </c>
      <c r="B3168" s="190">
        <v>45981</v>
      </c>
      <c r="C3168" s="260" t="s">
        <v>754</v>
      </c>
      <c r="D3168" s="197">
        <v>0</v>
      </c>
      <c r="E3168" s="197">
        <v>0</v>
      </c>
      <c r="F3168" s="197">
        <v>77.77</v>
      </c>
      <c r="G3168" s="190">
        <v>45981</v>
      </c>
      <c r="H3168" s="196">
        <v>0</v>
      </c>
      <c r="I3168" s="197">
        <v>0</v>
      </c>
      <c r="J3168" s="197">
        <v>0</v>
      </c>
      <c r="K3168" s="197">
        <v>0</v>
      </c>
      <c r="L3168" s="197">
        <v>0</v>
      </c>
      <c r="M3168" s="260" t="s">
        <v>239</v>
      </c>
      <c r="N3168" s="260" t="s">
        <v>514</v>
      </c>
    </row>
    <row r="3169" spans="1:14" ht="14.5" x14ac:dyDescent="0.35">
      <c r="A3169" s="260" t="s">
        <v>566</v>
      </c>
      <c r="B3169" s="190">
        <v>45982</v>
      </c>
      <c r="C3169" s="260" t="s">
        <v>749</v>
      </c>
      <c r="D3169" s="197">
        <v>0</v>
      </c>
      <c r="E3169" s="197">
        <v>0</v>
      </c>
      <c r="F3169" s="197">
        <v>48.93</v>
      </c>
      <c r="G3169" s="190">
        <v>45982</v>
      </c>
      <c r="H3169" s="196">
        <v>0</v>
      </c>
      <c r="I3169" s="197">
        <v>0</v>
      </c>
      <c r="J3169" s="197">
        <v>0</v>
      </c>
      <c r="K3169" s="197">
        <v>0</v>
      </c>
      <c r="L3169" s="197">
        <v>0</v>
      </c>
      <c r="M3169" s="260" t="s">
        <v>239</v>
      </c>
      <c r="N3169" s="260" t="s">
        <v>514</v>
      </c>
    </row>
    <row r="3170" spans="1:14" ht="14.5" x14ac:dyDescent="0.35">
      <c r="A3170" s="260" t="s">
        <v>566</v>
      </c>
      <c r="B3170" s="190">
        <v>45982</v>
      </c>
      <c r="C3170" s="260" t="s">
        <v>752</v>
      </c>
      <c r="D3170" s="197">
        <v>0</v>
      </c>
      <c r="E3170" s="197">
        <v>0</v>
      </c>
      <c r="F3170" s="197">
        <v>173.41</v>
      </c>
      <c r="G3170" s="190">
        <v>45982</v>
      </c>
      <c r="H3170" s="196">
        <v>0</v>
      </c>
      <c r="I3170" s="197">
        <v>0</v>
      </c>
      <c r="J3170" s="197">
        <v>0</v>
      </c>
      <c r="K3170" s="197">
        <v>0</v>
      </c>
      <c r="L3170" s="197">
        <v>0</v>
      </c>
      <c r="M3170" s="260" t="s">
        <v>239</v>
      </c>
      <c r="N3170" s="260" t="s">
        <v>514</v>
      </c>
    </row>
    <row r="3171" spans="1:14" ht="14.5" x14ac:dyDescent="0.35">
      <c r="A3171" s="260" t="s">
        <v>566</v>
      </c>
      <c r="B3171" s="190">
        <v>45982</v>
      </c>
      <c r="C3171" s="260" t="s">
        <v>754</v>
      </c>
      <c r="D3171" s="197">
        <v>0</v>
      </c>
      <c r="E3171" s="197">
        <v>0</v>
      </c>
      <c r="F3171" s="197">
        <v>77.87</v>
      </c>
      <c r="G3171" s="190">
        <v>45982</v>
      </c>
      <c r="H3171" s="196">
        <v>0</v>
      </c>
      <c r="I3171" s="197">
        <v>0</v>
      </c>
      <c r="J3171" s="197">
        <v>0</v>
      </c>
      <c r="K3171" s="197">
        <v>0</v>
      </c>
      <c r="L3171" s="197">
        <v>0</v>
      </c>
      <c r="M3171" s="260" t="s">
        <v>239</v>
      </c>
      <c r="N3171" s="260" t="s">
        <v>514</v>
      </c>
    </row>
    <row r="3172" spans="1:14" ht="14.5" x14ac:dyDescent="0.35">
      <c r="A3172" s="260" t="s">
        <v>566</v>
      </c>
      <c r="B3172" s="190">
        <v>45983</v>
      </c>
      <c r="C3172" s="260" t="s">
        <v>749</v>
      </c>
      <c r="D3172" s="197">
        <v>0</v>
      </c>
      <c r="E3172" s="197">
        <v>0</v>
      </c>
      <c r="F3172" s="197">
        <v>48.93</v>
      </c>
      <c r="G3172" s="190">
        <v>45982</v>
      </c>
      <c r="H3172" s="196">
        <v>1</v>
      </c>
      <c r="I3172" s="197">
        <v>0</v>
      </c>
      <c r="J3172" s="197">
        <v>0</v>
      </c>
      <c r="K3172" s="197">
        <v>0</v>
      </c>
      <c r="L3172" s="197">
        <v>0</v>
      </c>
      <c r="M3172" s="260" t="s">
        <v>239</v>
      </c>
      <c r="N3172" s="260" t="s">
        <v>514</v>
      </c>
    </row>
    <row r="3173" spans="1:14" ht="14.5" x14ac:dyDescent="0.35">
      <c r="A3173" s="260" t="s">
        <v>566</v>
      </c>
      <c r="B3173" s="190">
        <v>45983</v>
      </c>
      <c r="C3173" s="260" t="s">
        <v>752</v>
      </c>
      <c r="D3173" s="197">
        <v>0</v>
      </c>
      <c r="E3173" s="197">
        <v>0</v>
      </c>
      <c r="F3173" s="197">
        <v>173.41</v>
      </c>
      <c r="G3173" s="190">
        <v>45982</v>
      </c>
      <c r="H3173" s="196">
        <v>1</v>
      </c>
      <c r="I3173" s="197">
        <v>0</v>
      </c>
      <c r="J3173" s="197">
        <v>0</v>
      </c>
      <c r="K3173" s="197">
        <v>0</v>
      </c>
      <c r="L3173" s="197">
        <v>0</v>
      </c>
      <c r="M3173" s="260" t="s">
        <v>239</v>
      </c>
      <c r="N3173" s="260" t="s">
        <v>514</v>
      </c>
    </row>
    <row r="3174" spans="1:14" ht="14.5" x14ac:dyDescent="0.35">
      <c r="A3174" s="260" t="s">
        <v>566</v>
      </c>
      <c r="B3174" s="190">
        <v>45983</v>
      </c>
      <c r="C3174" s="260" t="s">
        <v>754</v>
      </c>
      <c r="D3174" s="197">
        <v>0</v>
      </c>
      <c r="E3174" s="197">
        <v>0</v>
      </c>
      <c r="F3174" s="197">
        <v>77.87</v>
      </c>
      <c r="G3174" s="190">
        <v>45982</v>
      </c>
      <c r="H3174" s="196">
        <v>1</v>
      </c>
      <c r="I3174" s="197">
        <v>0</v>
      </c>
      <c r="J3174" s="197">
        <v>0</v>
      </c>
      <c r="K3174" s="197">
        <v>0</v>
      </c>
      <c r="L3174" s="197">
        <v>0</v>
      </c>
      <c r="M3174" s="260" t="s">
        <v>239</v>
      </c>
      <c r="N3174" s="260" t="s">
        <v>514</v>
      </c>
    </row>
    <row r="3175" spans="1:14" ht="14.5" x14ac:dyDescent="0.35">
      <c r="A3175" s="260" t="s">
        <v>566</v>
      </c>
      <c r="B3175" s="190">
        <v>45984</v>
      </c>
      <c r="C3175" s="260" t="s">
        <v>749</v>
      </c>
      <c r="D3175" s="197">
        <v>0</v>
      </c>
      <c r="E3175" s="197">
        <v>0</v>
      </c>
      <c r="F3175" s="197">
        <v>48.93</v>
      </c>
      <c r="G3175" s="190">
        <v>45982</v>
      </c>
      <c r="H3175" s="196">
        <v>2</v>
      </c>
      <c r="I3175" s="197">
        <v>0</v>
      </c>
      <c r="J3175" s="197">
        <v>0</v>
      </c>
      <c r="K3175" s="197">
        <v>0</v>
      </c>
      <c r="L3175" s="197">
        <v>0</v>
      </c>
      <c r="M3175" s="260" t="s">
        <v>239</v>
      </c>
      <c r="N3175" s="260" t="s">
        <v>514</v>
      </c>
    </row>
    <row r="3176" spans="1:14" ht="14.5" x14ac:dyDescent="0.35">
      <c r="A3176" s="260" t="s">
        <v>566</v>
      </c>
      <c r="B3176" s="190">
        <v>45984</v>
      </c>
      <c r="C3176" s="260" t="s">
        <v>752</v>
      </c>
      <c r="D3176" s="197">
        <v>0</v>
      </c>
      <c r="E3176" s="197">
        <v>0</v>
      </c>
      <c r="F3176" s="197">
        <v>173.41</v>
      </c>
      <c r="G3176" s="190">
        <v>45982</v>
      </c>
      <c r="H3176" s="196">
        <v>2</v>
      </c>
      <c r="I3176" s="197">
        <v>0</v>
      </c>
      <c r="J3176" s="197">
        <v>0</v>
      </c>
      <c r="K3176" s="197">
        <v>0</v>
      </c>
      <c r="L3176" s="197">
        <v>0</v>
      </c>
      <c r="M3176" s="260" t="s">
        <v>239</v>
      </c>
      <c r="N3176" s="260" t="s">
        <v>514</v>
      </c>
    </row>
    <row r="3177" spans="1:14" ht="14.5" x14ac:dyDescent="0.35">
      <c r="A3177" s="260" t="s">
        <v>566</v>
      </c>
      <c r="B3177" s="190">
        <v>45984</v>
      </c>
      <c r="C3177" s="260" t="s">
        <v>754</v>
      </c>
      <c r="D3177" s="197">
        <v>0</v>
      </c>
      <c r="E3177" s="197">
        <v>0</v>
      </c>
      <c r="F3177" s="197">
        <v>77.87</v>
      </c>
      <c r="G3177" s="190">
        <v>45982</v>
      </c>
      <c r="H3177" s="196">
        <v>2</v>
      </c>
      <c r="I3177" s="197">
        <v>0</v>
      </c>
      <c r="J3177" s="197">
        <v>0</v>
      </c>
      <c r="K3177" s="197">
        <v>0</v>
      </c>
      <c r="L3177" s="197">
        <v>0</v>
      </c>
      <c r="M3177" s="260" t="s">
        <v>239</v>
      </c>
      <c r="N3177" s="260" t="s">
        <v>514</v>
      </c>
    </row>
    <row r="3178" spans="1:14" ht="14.5" x14ac:dyDescent="0.35">
      <c r="A3178" s="260" t="s">
        <v>566</v>
      </c>
      <c r="B3178" s="190">
        <v>45985</v>
      </c>
      <c r="C3178" s="260" t="s">
        <v>749</v>
      </c>
      <c r="D3178" s="197">
        <v>0</v>
      </c>
      <c r="E3178" s="197">
        <v>0</v>
      </c>
      <c r="F3178" s="197">
        <v>48.62</v>
      </c>
      <c r="G3178" s="190">
        <v>45985</v>
      </c>
      <c r="H3178" s="196">
        <v>0</v>
      </c>
      <c r="I3178" s="197">
        <v>0</v>
      </c>
      <c r="J3178" s="197">
        <v>0</v>
      </c>
      <c r="K3178" s="197">
        <v>0</v>
      </c>
      <c r="L3178" s="197">
        <v>0</v>
      </c>
      <c r="M3178" s="260" t="s">
        <v>239</v>
      </c>
      <c r="N3178" s="260" t="s">
        <v>514</v>
      </c>
    </row>
    <row r="3179" spans="1:14" ht="14.5" x14ac:dyDescent="0.35">
      <c r="A3179" s="260" t="s">
        <v>566</v>
      </c>
      <c r="B3179" s="190">
        <v>45985</v>
      </c>
      <c r="C3179" s="260" t="s">
        <v>752</v>
      </c>
      <c r="D3179" s="197">
        <v>0</v>
      </c>
      <c r="E3179" s="197">
        <v>0</v>
      </c>
      <c r="F3179" s="197">
        <v>172.28</v>
      </c>
      <c r="G3179" s="190">
        <v>45985</v>
      </c>
      <c r="H3179" s="196">
        <v>0</v>
      </c>
      <c r="I3179" s="197">
        <v>0</v>
      </c>
      <c r="J3179" s="197">
        <v>0</v>
      </c>
      <c r="K3179" s="197">
        <v>0</v>
      </c>
      <c r="L3179" s="197">
        <v>0</v>
      </c>
      <c r="M3179" s="260" t="s">
        <v>239</v>
      </c>
      <c r="N3179" s="260" t="s">
        <v>514</v>
      </c>
    </row>
    <row r="3180" spans="1:14" ht="14.5" x14ac:dyDescent="0.35">
      <c r="A3180" s="260" t="s">
        <v>566</v>
      </c>
      <c r="B3180" s="190">
        <v>45985</v>
      </c>
      <c r="C3180" s="260" t="s">
        <v>754</v>
      </c>
      <c r="D3180" s="197">
        <v>0</v>
      </c>
      <c r="E3180" s="197">
        <v>0</v>
      </c>
      <c r="F3180" s="197">
        <v>78.180000000000007</v>
      </c>
      <c r="G3180" s="190">
        <v>45985</v>
      </c>
      <c r="H3180" s="196">
        <v>0</v>
      </c>
      <c r="I3180" s="197">
        <v>0</v>
      </c>
      <c r="J3180" s="197">
        <v>0</v>
      </c>
      <c r="K3180" s="197">
        <v>0</v>
      </c>
      <c r="L3180" s="197">
        <v>0</v>
      </c>
      <c r="M3180" s="260" t="s">
        <v>239</v>
      </c>
      <c r="N3180" s="260" t="s">
        <v>514</v>
      </c>
    </row>
    <row r="3181" spans="1:14" ht="14.5" x14ac:dyDescent="0.35">
      <c r="A3181" s="260" t="s">
        <v>566</v>
      </c>
      <c r="B3181" s="190">
        <v>45986</v>
      </c>
      <c r="C3181" s="260" t="s">
        <v>749</v>
      </c>
      <c r="D3181" s="197">
        <v>0</v>
      </c>
      <c r="E3181" s="197">
        <v>0</v>
      </c>
      <c r="F3181" s="197">
        <v>48.52</v>
      </c>
      <c r="G3181" s="190">
        <v>45986</v>
      </c>
      <c r="H3181" s="196">
        <v>0</v>
      </c>
      <c r="I3181" s="197">
        <v>0</v>
      </c>
      <c r="J3181" s="197">
        <v>0</v>
      </c>
      <c r="K3181" s="197">
        <v>0</v>
      </c>
      <c r="L3181" s="197">
        <v>0</v>
      </c>
      <c r="M3181" s="260" t="s">
        <v>239</v>
      </c>
      <c r="N3181" s="260" t="s">
        <v>514</v>
      </c>
    </row>
    <row r="3182" spans="1:14" ht="14.5" x14ac:dyDescent="0.35">
      <c r="A3182" s="260" t="s">
        <v>566</v>
      </c>
      <c r="B3182" s="190">
        <v>45986</v>
      </c>
      <c r="C3182" s="260" t="s">
        <v>752</v>
      </c>
      <c r="D3182" s="197">
        <v>0</v>
      </c>
      <c r="E3182" s="197">
        <v>0</v>
      </c>
      <c r="F3182" s="197">
        <v>171.9</v>
      </c>
      <c r="G3182" s="190">
        <v>45986</v>
      </c>
      <c r="H3182" s="196">
        <v>0</v>
      </c>
      <c r="I3182" s="197">
        <v>0</v>
      </c>
      <c r="J3182" s="197">
        <v>0</v>
      </c>
      <c r="K3182" s="197">
        <v>0</v>
      </c>
      <c r="L3182" s="197">
        <v>0</v>
      </c>
      <c r="M3182" s="260" t="s">
        <v>239</v>
      </c>
      <c r="N3182" s="260" t="s">
        <v>514</v>
      </c>
    </row>
    <row r="3183" spans="1:14" ht="14.5" x14ac:dyDescent="0.35">
      <c r="A3183" s="260" t="s">
        <v>566</v>
      </c>
      <c r="B3183" s="190">
        <v>45986</v>
      </c>
      <c r="C3183" s="260" t="s">
        <v>754</v>
      </c>
      <c r="D3183" s="197">
        <v>0</v>
      </c>
      <c r="E3183" s="197">
        <v>0</v>
      </c>
      <c r="F3183" s="197">
        <v>78.28</v>
      </c>
      <c r="G3183" s="190">
        <v>45986</v>
      </c>
      <c r="H3183" s="196">
        <v>0</v>
      </c>
      <c r="I3183" s="197">
        <v>0</v>
      </c>
      <c r="J3183" s="197">
        <v>0</v>
      </c>
      <c r="K3183" s="197">
        <v>0</v>
      </c>
      <c r="L3183" s="197">
        <v>0</v>
      </c>
      <c r="M3183" s="260" t="s">
        <v>239</v>
      </c>
      <c r="N3183" s="260" t="s">
        <v>514</v>
      </c>
    </row>
    <row r="3184" spans="1:14" ht="14.5" x14ac:dyDescent="0.35">
      <c r="A3184" s="260" t="s">
        <v>566</v>
      </c>
      <c r="B3184" s="190">
        <v>45987</v>
      </c>
      <c r="C3184" s="260" t="s">
        <v>749</v>
      </c>
      <c r="D3184" s="197">
        <v>0</v>
      </c>
      <c r="E3184" s="197">
        <v>0</v>
      </c>
      <c r="F3184" s="197">
        <v>48.41</v>
      </c>
      <c r="G3184" s="190">
        <v>45987</v>
      </c>
      <c r="H3184" s="196">
        <v>0</v>
      </c>
      <c r="I3184" s="197">
        <v>0</v>
      </c>
      <c r="J3184" s="197">
        <v>0</v>
      </c>
      <c r="K3184" s="197">
        <v>0</v>
      </c>
      <c r="L3184" s="197">
        <v>0</v>
      </c>
      <c r="M3184" s="260" t="s">
        <v>239</v>
      </c>
      <c r="N3184" s="260" t="s">
        <v>514</v>
      </c>
    </row>
    <row r="3185" spans="1:14" ht="14.5" x14ac:dyDescent="0.35">
      <c r="A3185" s="260" t="s">
        <v>566</v>
      </c>
      <c r="B3185" s="190">
        <v>45987</v>
      </c>
      <c r="C3185" s="260" t="s">
        <v>752</v>
      </c>
      <c r="D3185" s="197">
        <v>0</v>
      </c>
      <c r="E3185" s="197">
        <v>0</v>
      </c>
      <c r="F3185" s="197">
        <v>171.52</v>
      </c>
      <c r="G3185" s="190">
        <v>45987</v>
      </c>
      <c r="H3185" s="196">
        <v>0</v>
      </c>
      <c r="I3185" s="197">
        <v>0</v>
      </c>
      <c r="J3185" s="197">
        <v>0</v>
      </c>
      <c r="K3185" s="197">
        <v>0</v>
      </c>
      <c r="L3185" s="197">
        <v>0</v>
      </c>
      <c r="M3185" s="260" t="s">
        <v>239</v>
      </c>
      <c r="N3185" s="260" t="s">
        <v>514</v>
      </c>
    </row>
    <row r="3186" spans="1:14" ht="14.5" x14ac:dyDescent="0.35">
      <c r="A3186" s="260" t="s">
        <v>566</v>
      </c>
      <c r="B3186" s="190">
        <v>45987</v>
      </c>
      <c r="C3186" s="260" t="s">
        <v>754</v>
      </c>
      <c r="D3186" s="197">
        <v>0</v>
      </c>
      <c r="E3186" s="197">
        <v>0</v>
      </c>
      <c r="F3186" s="197">
        <v>78.39</v>
      </c>
      <c r="G3186" s="190">
        <v>45987</v>
      </c>
      <c r="H3186" s="196">
        <v>0</v>
      </c>
      <c r="I3186" s="197">
        <v>0</v>
      </c>
      <c r="J3186" s="197">
        <v>0</v>
      </c>
      <c r="K3186" s="197">
        <v>0</v>
      </c>
      <c r="L3186" s="197">
        <v>0</v>
      </c>
      <c r="M3186" s="260" t="s">
        <v>239</v>
      </c>
      <c r="N3186" s="260" t="s">
        <v>514</v>
      </c>
    </row>
    <row r="3187" spans="1:14" ht="14.5" x14ac:dyDescent="0.35">
      <c r="A3187" s="260" t="s">
        <v>566</v>
      </c>
      <c r="B3187" s="190">
        <v>45988</v>
      </c>
      <c r="C3187" s="260" t="s">
        <v>749</v>
      </c>
      <c r="D3187" s="197">
        <v>0</v>
      </c>
      <c r="E3187" s="197">
        <v>0</v>
      </c>
      <c r="F3187" s="197">
        <v>48.31</v>
      </c>
      <c r="G3187" s="190">
        <v>45988</v>
      </c>
      <c r="H3187" s="196">
        <v>0</v>
      </c>
      <c r="I3187" s="197">
        <v>0</v>
      </c>
      <c r="J3187" s="197">
        <v>0</v>
      </c>
      <c r="K3187" s="197">
        <v>0</v>
      </c>
      <c r="L3187" s="197">
        <v>0</v>
      </c>
      <c r="M3187" s="260" t="s">
        <v>239</v>
      </c>
      <c r="N3187" s="260" t="s">
        <v>514</v>
      </c>
    </row>
    <row r="3188" spans="1:14" ht="14.5" x14ac:dyDescent="0.35">
      <c r="A3188" s="260" t="s">
        <v>566</v>
      </c>
      <c r="B3188" s="190">
        <v>45988</v>
      </c>
      <c r="C3188" s="260" t="s">
        <v>752</v>
      </c>
      <c r="D3188" s="197">
        <v>0</v>
      </c>
      <c r="E3188" s="197">
        <v>0</v>
      </c>
      <c r="F3188" s="197">
        <v>171.14</v>
      </c>
      <c r="G3188" s="190">
        <v>45988</v>
      </c>
      <c r="H3188" s="196">
        <v>0</v>
      </c>
      <c r="I3188" s="197">
        <v>0</v>
      </c>
      <c r="J3188" s="197">
        <v>0</v>
      </c>
      <c r="K3188" s="197">
        <v>0</v>
      </c>
      <c r="L3188" s="197">
        <v>0</v>
      </c>
      <c r="M3188" s="260" t="s">
        <v>239</v>
      </c>
      <c r="N3188" s="260" t="s">
        <v>514</v>
      </c>
    </row>
    <row r="3189" spans="1:14" ht="14.5" x14ac:dyDescent="0.35">
      <c r="A3189" s="260" t="s">
        <v>566</v>
      </c>
      <c r="B3189" s="190">
        <v>45988</v>
      </c>
      <c r="C3189" s="260" t="s">
        <v>754</v>
      </c>
      <c r="D3189" s="197">
        <v>0</v>
      </c>
      <c r="E3189" s="197">
        <v>0</v>
      </c>
      <c r="F3189" s="197">
        <v>78.489999999999995</v>
      </c>
      <c r="G3189" s="190">
        <v>45988</v>
      </c>
      <c r="H3189" s="196">
        <v>0</v>
      </c>
      <c r="I3189" s="197">
        <v>0</v>
      </c>
      <c r="J3189" s="197">
        <v>0</v>
      </c>
      <c r="K3189" s="197">
        <v>0</v>
      </c>
      <c r="L3189" s="197">
        <v>0</v>
      </c>
      <c r="M3189" s="260" t="s">
        <v>239</v>
      </c>
      <c r="N3189" s="260" t="s">
        <v>514</v>
      </c>
    </row>
    <row r="3190" spans="1:14" ht="14.5" x14ac:dyDescent="0.35">
      <c r="A3190" s="260" t="s">
        <v>566</v>
      </c>
      <c r="B3190" s="190">
        <v>45989</v>
      </c>
      <c r="C3190" s="260" t="s">
        <v>749</v>
      </c>
      <c r="D3190" s="197">
        <v>0</v>
      </c>
      <c r="E3190" s="197">
        <v>0</v>
      </c>
      <c r="F3190" s="197">
        <v>48.21</v>
      </c>
      <c r="G3190" s="190">
        <v>45989</v>
      </c>
      <c r="H3190" s="196">
        <v>0</v>
      </c>
      <c r="I3190" s="197">
        <v>0</v>
      </c>
      <c r="J3190" s="197">
        <v>0</v>
      </c>
      <c r="K3190" s="197">
        <v>0</v>
      </c>
      <c r="L3190" s="197">
        <v>0</v>
      </c>
      <c r="M3190" s="260" t="s">
        <v>239</v>
      </c>
      <c r="N3190" s="260" t="s">
        <v>514</v>
      </c>
    </row>
    <row r="3191" spans="1:14" ht="14.5" x14ac:dyDescent="0.35">
      <c r="A3191" s="260" t="s">
        <v>566</v>
      </c>
      <c r="B3191" s="190">
        <v>45989</v>
      </c>
      <c r="C3191" s="260" t="s">
        <v>752</v>
      </c>
      <c r="D3191" s="197">
        <v>0</v>
      </c>
      <c r="E3191" s="197">
        <v>0</v>
      </c>
      <c r="F3191" s="197">
        <v>170.76</v>
      </c>
      <c r="G3191" s="190">
        <v>45989</v>
      </c>
      <c r="H3191" s="196">
        <v>0</v>
      </c>
      <c r="I3191" s="197">
        <v>0</v>
      </c>
      <c r="J3191" s="197">
        <v>0</v>
      </c>
      <c r="K3191" s="197">
        <v>0</v>
      </c>
      <c r="L3191" s="197">
        <v>0</v>
      </c>
      <c r="M3191" s="260" t="s">
        <v>239</v>
      </c>
      <c r="N3191" s="260" t="s">
        <v>514</v>
      </c>
    </row>
    <row r="3192" spans="1:14" ht="14.5" x14ac:dyDescent="0.35">
      <c r="A3192" s="260" t="s">
        <v>566</v>
      </c>
      <c r="B3192" s="190">
        <v>45989</v>
      </c>
      <c r="C3192" s="260" t="s">
        <v>754</v>
      </c>
      <c r="D3192" s="197">
        <v>0</v>
      </c>
      <c r="E3192" s="197">
        <v>0</v>
      </c>
      <c r="F3192" s="197">
        <v>78.59</v>
      </c>
      <c r="G3192" s="190">
        <v>45989</v>
      </c>
      <c r="H3192" s="196">
        <v>0</v>
      </c>
      <c r="I3192" s="197">
        <v>0</v>
      </c>
      <c r="J3192" s="197">
        <v>0</v>
      </c>
      <c r="K3192" s="197">
        <v>0</v>
      </c>
      <c r="L3192" s="197">
        <v>0</v>
      </c>
      <c r="M3192" s="260" t="s">
        <v>239</v>
      </c>
      <c r="N3192" s="260" t="s">
        <v>514</v>
      </c>
    </row>
    <row r="3193" spans="1:14" ht="14.5" x14ac:dyDescent="0.35">
      <c r="A3193" s="260" t="s">
        <v>566</v>
      </c>
      <c r="B3193" s="190">
        <v>45990</v>
      </c>
      <c r="C3193" s="260" t="s">
        <v>749</v>
      </c>
      <c r="D3193" s="197">
        <v>0</v>
      </c>
      <c r="E3193" s="197">
        <v>0</v>
      </c>
      <c r="F3193" s="197">
        <v>48.21</v>
      </c>
      <c r="G3193" s="190">
        <v>45989</v>
      </c>
      <c r="H3193" s="196">
        <v>1</v>
      </c>
      <c r="I3193" s="197">
        <v>0</v>
      </c>
      <c r="J3193" s="197">
        <v>0</v>
      </c>
      <c r="K3193" s="197">
        <v>0</v>
      </c>
      <c r="L3193" s="197">
        <v>0</v>
      </c>
      <c r="M3193" s="260" t="s">
        <v>239</v>
      </c>
      <c r="N3193" s="260" t="s">
        <v>514</v>
      </c>
    </row>
    <row r="3194" spans="1:14" ht="14.5" x14ac:dyDescent="0.35">
      <c r="A3194" s="260" t="s">
        <v>566</v>
      </c>
      <c r="B3194" s="190">
        <v>45990</v>
      </c>
      <c r="C3194" s="260" t="s">
        <v>752</v>
      </c>
      <c r="D3194" s="197">
        <v>0</v>
      </c>
      <c r="E3194" s="197">
        <v>0</v>
      </c>
      <c r="F3194" s="197">
        <v>170.76</v>
      </c>
      <c r="G3194" s="190">
        <v>45989</v>
      </c>
      <c r="H3194" s="196">
        <v>1</v>
      </c>
      <c r="I3194" s="197">
        <v>0</v>
      </c>
      <c r="J3194" s="197">
        <v>0</v>
      </c>
      <c r="K3194" s="197">
        <v>0</v>
      </c>
      <c r="L3194" s="197">
        <v>0</v>
      </c>
      <c r="M3194" s="260" t="s">
        <v>239</v>
      </c>
      <c r="N3194" s="260" t="s">
        <v>514</v>
      </c>
    </row>
    <row r="3195" spans="1:14" ht="14.5" x14ac:dyDescent="0.35">
      <c r="A3195" s="260" t="s">
        <v>566</v>
      </c>
      <c r="B3195" s="190">
        <v>45990</v>
      </c>
      <c r="C3195" s="260" t="s">
        <v>754</v>
      </c>
      <c r="D3195" s="197">
        <v>0</v>
      </c>
      <c r="E3195" s="197">
        <v>0</v>
      </c>
      <c r="F3195" s="197">
        <v>78.59</v>
      </c>
      <c r="G3195" s="190">
        <v>45989</v>
      </c>
      <c r="H3195" s="196">
        <v>1</v>
      </c>
      <c r="I3195" s="197">
        <v>0</v>
      </c>
      <c r="J3195" s="197">
        <v>0</v>
      </c>
      <c r="K3195" s="197">
        <v>0</v>
      </c>
      <c r="L3195" s="197">
        <v>0</v>
      </c>
      <c r="M3195" s="260" t="s">
        <v>239</v>
      </c>
      <c r="N3195" s="260" t="s">
        <v>514</v>
      </c>
    </row>
    <row r="3196" spans="1:14" ht="14.5" x14ac:dyDescent="0.35">
      <c r="A3196" s="260" t="s">
        <v>566</v>
      </c>
      <c r="B3196" s="190">
        <v>45991</v>
      </c>
      <c r="C3196" s="260" t="s">
        <v>749</v>
      </c>
      <c r="D3196" s="197">
        <v>0</v>
      </c>
      <c r="E3196" s="197">
        <v>0</v>
      </c>
      <c r="F3196" s="197">
        <v>48.21</v>
      </c>
      <c r="G3196" s="190">
        <v>45989</v>
      </c>
      <c r="H3196" s="196">
        <v>2</v>
      </c>
      <c r="I3196" s="197">
        <v>0</v>
      </c>
      <c r="J3196" s="197">
        <v>0</v>
      </c>
      <c r="K3196" s="197">
        <v>0</v>
      </c>
      <c r="L3196" s="197">
        <v>0</v>
      </c>
      <c r="M3196" s="260" t="s">
        <v>239</v>
      </c>
      <c r="N3196" s="260" t="s">
        <v>514</v>
      </c>
    </row>
    <row r="3197" spans="1:14" ht="14.5" x14ac:dyDescent="0.35">
      <c r="A3197" s="260" t="s">
        <v>566</v>
      </c>
      <c r="B3197" s="190">
        <v>45991</v>
      </c>
      <c r="C3197" s="260" t="s">
        <v>752</v>
      </c>
      <c r="D3197" s="197">
        <v>0</v>
      </c>
      <c r="E3197" s="197">
        <v>0</v>
      </c>
      <c r="F3197" s="197">
        <v>170.76</v>
      </c>
      <c r="G3197" s="190">
        <v>45989</v>
      </c>
      <c r="H3197" s="196">
        <v>2</v>
      </c>
      <c r="I3197" s="197">
        <v>0</v>
      </c>
      <c r="J3197" s="197">
        <v>0</v>
      </c>
      <c r="K3197" s="197">
        <v>0</v>
      </c>
      <c r="L3197" s="197">
        <v>0</v>
      </c>
      <c r="M3197" s="260" t="s">
        <v>239</v>
      </c>
      <c r="N3197" s="260" t="s">
        <v>514</v>
      </c>
    </row>
    <row r="3198" spans="1:14" ht="14.5" x14ac:dyDescent="0.35">
      <c r="A3198" s="260" t="s">
        <v>566</v>
      </c>
      <c r="B3198" s="190">
        <v>45991</v>
      </c>
      <c r="C3198" s="260" t="s">
        <v>754</v>
      </c>
      <c r="D3198" s="197">
        <v>0</v>
      </c>
      <c r="E3198" s="197">
        <v>0</v>
      </c>
      <c r="F3198" s="197">
        <v>78.59</v>
      </c>
      <c r="G3198" s="190">
        <v>45989</v>
      </c>
      <c r="H3198" s="196">
        <v>2</v>
      </c>
      <c r="I3198" s="197">
        <v>0</v>
      </c>
      <c r="J3198" s="197">
        <v>0</v>
      </c>
      <c r="K3198" s="197">
        <v>0</v>
      </c>
      <c r="L3198" s="197">
        <v>0</v>
      </c>
      <c r="M3198" s="260" t="s">
        <v>239</v>
      </c>
      <c r="N3198" s="260" t="s">
        <v>514</v>
      </c>
    </row>
    <row r="3199" spans="1:14" ht="14.5" x14ac:dyDescent="0.35">
      <c r="A3199" s="260" t="s">
        <v>566</v>
      </c>
      <c r="B3199" s="190">
        <v>45992</v>
      </c>
      <c r="C3199" s="260" t="s">
        <v>749</v>
      </c>
      <c r="D3199" s="197">
        <v>0</v>
      </c>
      <c r="E3199" s="197">
        <v>0</v>
      </c>
      <c r="F3199" s="197">
        <v>48</v>
      </c>
      <c r="G3199" s="190">
        <v>45992</v>
      </c>
      <c r="H3199" s="196">
        <v>0</v>
      </c>
      <c r="I3199" s="197">
        <v>0</v>
      </c>
      <c r="J3199" s="197">
        <v>0</v>
      </c>
      <c r="K3199" s="197">
        <v>0</v>
      </c>
      <c r="L3199" s="197">
        <v>0</v>
      </c>
      <c r="M3199" s="260" t="s">
        <v>239</v>
      </c>
      <c r="N3199" s="260" t="s">
        <v>514</v>
      </c>
    </row>
    <row r="3200" spans="1:14" ht="14.5" x14ac:dyDescent="0.35">
      <c r="A3200" s="260" t="s">
        <v>566</v>
      </c>
      <c r="B3200" s="190">
        <v>45992</v>
      </c>
      <c r="C3200" s="260" t="s">
        <v>752</v>
      </c>
      <c r="D3200" s="197">
        <v>0</v>
      </c>
      <c r="E3200" s="197">
        <v>0</v>
      </c>
      <c r="F3200" s="197">
        <v>170</v>
      </c>
      <c r="G3200" s="190">
        <v>45992</v>
      </c>
      <c r="H3200" s="196">
        <v>0</v>
      </c>
      <c r="I3200" s="197">
        <v>0</v>
      </c>
      <c r="J3200" s="197">
        <v>0</v>
      </c>
      <c r="K3200" s="197">
        <v>0</v>
      </c>
      <c r="L3200" s="197">
        <v>0</v>
      </c>
      <c r="M3200" s="260" t="s">
        <v>239</v>
      </c>
      <c r="N3200" s="260" t="s">
        <v>514</v>
      </c>
    </row>
    <row r="3201" spans="1:14" ht="14.5" x14ac:dyDescent="0.35">
      <c r="A3201" s="260" t="s">
        <v>566</v>
      </c>
      <c r="B3201" s="190">
        <v>45992</v>
      </c>
      <c r="C3201" s="260" t="s">
        <v>754</v>
      </c>
      <c r="D3201" s="197">
        <v>0</v>
      </c>
      <c r="E3201" s="197">
        <v>0</v>
      </c>
      <c r="F3201" s="197">
        <v>78.8</v>
      </c>
      <c r="G3201" s="190">
        <v>45992</v>
      </c>
      <c r="H3201" s="196">
        <v>0</v>
      </c>
      <c r="I3201" s="197">
        <v>0</v>
      </c>
      <c r="J3201" s="197">
        <v>0</v>
      </c>
      <c r="K3201" s="197">
        <v>0</v>
      </c>
      <c r="L3201" s="197">
        <v>0</v>
      </c>
      <c r="M3201" s="260" t="s">
        <v>239</v>
      </c>
      <c r="N3201" s="260" t="s">
        <v>514</v>
      </c>
    </row>
    <row r="3202" spans="1:14" ht="14.5" x14ac:dyDescent="0.35">
      <c r="A3202" s="260" t="s">
        <v>566</v>
      </c>
      <c r="B3202" s="190">
        <v>45993</v>
      </c>
      <c r="C3202" s="260" t="s">
        <v>749</v>
      </c>
      <c r="D3202" s="197">
        <v>0</v>
      </c>
      <c r="E3202" s="197">
        <v>0</v>
      </c>
      <c r="F3202" s="197">
        <v>47.98</v>
      </c>
      <c r="G3202" s="190">
        <v>45993</v>
      </c>
      <c r="H3202" s="196">
        <v>0</v>
      </c>
      <c r="I3202" s="197">
        <v>0</v>
      </c>
      <c r="J3202" s="197">
        <v>0</v>
      </c>
      <c r="K3202" s="197">
        <v>0</v>
      </c>
      <c r="L3202" s="197">
        <v>0</v>
      </c>
      <c r="M3202" s="260" t="s">
        <v>239</v>
      </c>
      <c r="N3202" s="260" t="s">
        <v>514</v>
      </c>
    </row>
    <row r="3203" spans="1:14" ht="14.5" x14ac:dyDescent="0.35">
      <c r="A3203" s="260" t="s">
        <v>566</v>
      </c>
      <c r="B3203" s="190">
        <v>45993</v>
      </c>
      <c r="C3203" s="260" t="s">
        <v>752</v>
      </c>
      <c r="D3203" s="197">
        <v>0</v>
      </c>
      <c r="E3203" s="197">
        <v>0</v>
      </c>
      <c r="F3203" s="197">
        <v>169.97</v>
      </c>
      <c r="G3203" s="190">
        <v>45993</v>
      </c>
      <c r="H3203" s="196">
        <v>0</v>
      </c>
      <c r="I3203" s="197">
        <v>0</v>
      </c>
      <c r="J3203" s="197">
        <v>0</v>
      </c>
      <c r="K3203" s="197">
        <v>0</v>
      </c>
      <c r="L3203" s="197">
        <v>0</v>
      </c>
      <c r="M3203" s="260" t="s">
        <v>239</v>
      </c>
      <c r="N3203" s="260" t="s">
        <v>514</v>
      </c>
    </row>
    <row r="3204" spans="1:14" ht="14.5" x14ac:dyDescent="0.35">
      <c r="A3204" s="260" t="s">
        <v>566</v>
      </c>
      <c r="B3204" s="190">
        <v>45993</v>
      </c>
      <c r="C3204" s="260" t="s">
        <v>754</v>
      </c>
      <c r="D3204" s="197">
        <v>0</v>
      </c>
      <c r="E3204" s="197">
        <v>0</v>
      </c>
      <c r="F3204" s="197">
        <v>78.77</v>
      </c>
      <c r="G3204" s="190">
        <v>45993</v>
      </c>
      <c r="H3204" s="196">
        <v>0</v>
      </c>
      <c r="I3204" s="197">
        <v>0</v>
      </c>
      <c r="J3204" s="197">
        <v>0</v>
      </c>
      <c r="K3204" s="197">
        <v>0</v>
      </c>
      <c r="L3204" s="197">
        <v>0</v>
      </c>
      <c r="M3204" s="260" t="s">
        <v>239</v>
      </c>
      <c r="N3204" s="260" t="s">
        <v>514</v>
      </c>
    </row>
    <row r="3205" spans="1:14" ht="14.5" x14ac:dyDescent="0.35">
      <c r="A3205" s="260" t="s">
        <v>566</v>
      </c>
      <c r="B3205" s="190">
        <v>45994</v>
      </c>
      <c r="C3205" s="260" t="s">
        <v>749</v>
      </c>
      <c r="D3205" s="197">
        <v>0</v>
      </c>
      <c r="E3205" s="197">
        <v>0</v>
      </c>
      <c r="F3205" s="197">
        <v>47.97</v>
      </c>
      <c r="G3205" s="190">
        <v>45994</v>
      </c>
      <c r="H3205" s="196">
        <v>0</v>
      </c>
      <c r="I3205" s="197">
        <v>0</v>
      </c>
      <c r="J3205" s="197">
        <v>0</v>
      </c>
      <c r="K3205" s="197">
        <v>0</v>
      </c>
      <c r="L3205" s="197">
        <v>0</v>
      </c>
      <c r="M3205" s="260" t="s">
        <v>239</v>
      </c>
      <c r="N3205" s="260" t="s">
        <v>514</v>
      </c>
    </row>
    <row r="3206" spans="1:14" ht="14.5" x14ac:dyDescent="0.35">
      <c r="A3206" s="260" t="s">
        <v>566</v>
      </c>
      <c r="B3206" s="190">
        <v>45994</v>
      </c>
      <c r="C3206" s="260" t="s">
        <v>752</v>
      </c>
      <c r="D3206" s="197">
        <v>0</v>
      </c>
      <c r="E3206" s="197">
        <v>0</v>
      </c>
      <c r="F3206" s="197">
        <v>169.93</v>
      </c>
      <c r="G3206" s="190">
        <v>45994</v>
      </c>
      <c r="H3206" s="196">
        <v>0</v>
      </c>
      <c r="I3206" s="197">
        <v>0</v>
      </c>
      <c r="J3206" s="197">
        <v>0</v>
      </c>
      <c r="K3206" s="197">
        <v>0</v>
      </c>
      <c r="L3206" s="197">
        <v>0</v>
      </c>
      <c r="M3206" s="260" t="s">
        <v>239</v>
      </c>
      <c r="N3206" s="260" t="s">
        <v>514</v>
      </c>
    </row>
    <row r="3207" spans="1:14" ht="14.5" x14ac:dyDescent="0.35">
      <c r="A3207" s="260" t="s">
        <v>566</v>
      </c>
      <c r="B3207" s="190">
        <v>45994</v>
      </c>
      <c r="C3207" s="260" t="s">
        <v>754</v>
      </c>
      <c r="D3207" s="197">
        <v>0</v>
      </c>
      <c r="E3207" s="197">
        <v>0</v>
      </c>
      <c r="F3207" s="197">
        <v>78.73</v>
      </c>
      <c r="G3207" s="190">
        <v>45994</v>
      </c>
      <c r="H3207" s="196">
        <v>0</v>
      </c>
      <c r="I3207" s="197">
        <v>0</v>
      </c>
      <c r="J3207" s="197">
        <v>0</v>
      </c>
      <c r="K3207" s="197">
        <v>0</v>
      </c>
      <c r="L3207" s="197">
        <v>0</v>
      </c>
      <c r="M3207" s="260" t="s">
        <v>239</v>
      </c>
      <c r="N3207" s="260" t="s">
        <v>514</v>
      </c>
    </row>
    <row r="3208" spans="1:14" ht="14.5" x14ac:dyDescent="0.35">
      <c r="A3208" s="260" t="s">
        <v>566</v>
      </c>
      <c r="B3208" s="190">
        <v>45995</v>
      </c>
      <c r="C3208" s="260" t="s">
        <v>749</v>
      </c>
      <c r="D3208" s="197">
        <v>0</v>
      </c>
      <c r="E3208" s="197">
        <v>0</v>
      </c>
      <c r="F3208" s="197">
        <v>47.95</v>
      </c>
      <c r="G3208" s="190">
        <v>45995</v>
      </c>
      <c r="H3208" s="196">
        <v>0</v>
      </c>
      <c r="I3208" s="197">
        <v>0</v>
      </c>
      <c r="J3208" s="197">
        <v>0</v>
      </c>
      <c r="K3208" s="197">
        <v>0</v>
      </c>
      <c r="L3208" s="197">
        <v>0</v>
      </c>
      <c r="M3208" s="260" t="s">
        <v>239</v>
      </c>
      <c r="N3208" s="260" t="s">
        <v>514</v>
      </c>
    </row>
    <row r="3209" spans="1:14" ht="14.5" x14ac:dyDescent="0.35">
      <c r="A3209" s="260" t="s">
        <v>566</v>
      </c>
      <c r="B3209" s="190">
        <v>45995</v>
      </c>
      <c r="C3209" s="260" t="s">
        <v>752</v>
      </c>
      <c r="D3209" s="197">
        <v>0</v>
      </c>
      <c r="E3209" s="197">
        <v>0</v>
      </c>
      <c r="F3209" s="197">
        <v>169.9</v>
      </c>
      <c r="G3209" s="190">
        <v>45995</v>
      </c>
      <c r="H3209" s="196">
        <v>0</v>
      </c>
      <c r="I3209" s="197">
        <v>0</v>
      </c>
      <c r="J3209" s="197">
        <v>0</v>
      </c>
      <c r="K3209" s="197">
        <v>0</v>
      </c>
      <c r="L3209" s="197">
        <v>0</v>
      </c>
      <c r="M3209" s="260" t="s">
        <v>239</v>
      </c>
      <c r="N3209" s="260" t="s">
        <v>514</v>
      </c>
    </row>
    <row r="3210" spans="1:14" ht="14.5" x14ac:dyDescent="0.35">
      <c r="A3210" s="260" t="s">
        <v>566</v>
      </c>
      <c r="B3210" s="190">
        <v>45995</v>
      </c>
      <c r="C3210" s="260" t="s">
        <v>754</v>
      </c>
      <c r="D3210" s="197">
        <v>0</v>
      </c>
      <c r="E3210" s="197">
        <v>0</v>
      </c>
      <c r="F3210" s="197">
        <v>78.7</v>
      </c>
      <c r="G3210" s="190">
        <v>45995</v>
      </c>
      <c r="H3210" s="196">
        <v>0</v>
      </c>
      <c r="I3210" s="197">
        <v>0</v>
      </c>
      <c r="J3210" s="197">
        <v>0</v>
      </c>
      <c r="K3210" s="197">
        <v>0</v>
      </c>
      <c r="L3210" s="197">
        <v>0</v>
      </c>
      <c r="M3210" s="260" t="s">
        <v>239</v>
      </c>
      <c r="N3210" s="260" t="s">
        <v>514</v>
      </c>
    </row>
    <row r="3211" spans="1:14" ht="14.5" x14ac:dyDescent="0.35">
      <c r="A3211" s="260" t="s">
        <v>566</v>
      </c>
      <c r="B3211" s="190">
        <v>45996</v>
      </c>
      <c r="C3211" s="260" t="s">
        <v>749</v>
      </c>
      <c r="D3211" s="197">
        <v>0</v>
      </c>
      <c r="E3211" s="197">
        <v>0</v>
      </c>
      <c r="F3211" s="197">
        <v>47.93</v>
      </c>
      <c r="G3211" s="190">
        <v>45996</v>
      </c>
      <c r="H3211" s="196">
        <v>0</v>
      </c>
      <c r="I3211" s="197">
        <v>0</v>
      </c>
      <c r="J3211" s="197">
        <v>0</v>
      </c>
      <c r="K3211" s="197">
        <v>0</v>
      </c>
      <c r="L3211" s="197">
        <v>0</v>
      </c>
      <c r="M3211" s="260" t="s">
        <v>239</v>
      </c>
      <c r="N3211" s="260" t="s">
        <v>514</v>
      </c>
    </row>
    <row r="3212" spans="1:14" ht="14.5" x14ac:dyDescent="0.35">
      <c r="A3212" s="260" t="s">
        <v>566</v>
      </c>
      <c r="B3212" s="190">
        <v>45996</v>
      </c>
      <c r="C3212" s="260" t="s">
        <v>752</v>
      </c>
      <c r="D3212" s="197">
        <v>0</v>
      </c>
      <c r="E3212" s="197">
        <v>0</v>
      </c>
      <c r="F3212" s="197">
        <v>169.87</v>
      </c>
      <c r="G3212" s="190">
        <v>45996</v>
      </c>
      <c r="H3212" s="196">
        <v>0</v>
      </c>
      <c r="I3212" s="197">
        <v>0</v>
      </c>
      <c r="J3212" s="197">
        <v>0</v>
      </c>
      <c r="K3212" s="197">
        <v>0</v>
      </c>
      <c r="L3212" s="197">
        <v>0</v>
      </c>
      <c r="M3212" s="260" t="s">
        <v>239</v>
      </c>
      <c r="N3212" s="260" t="s">
        <v>514</v>
      </c>
    </row>
    <row r="3213" spans="1:14" ht="14.5" x14ac:dyDescent="0.35">
      <c r="A3213" s="260" t="s">
        <v>566</v>
      </c>
      <c r="B3213" s="190">
        <v>45996</v>
      </c>
      <c r="C3213" s="260" t="s">
        <v>754</v>
      </c>
      <c r="D3213" s="197">
        <v>0</v>
      </c>
      <c r="E3213" s="197">
        <v>0</v>
      </c>
      <c r="F3213" s="197">
        <v>78.67</v>
      </c>
      <c r="G3213" s="190">
        <v>45996</v>
      </c>
      <c r="H3213" s="196">
        <v>0</v>
      </c>
      <c r="I3213" s="197">
        <v>0</v>
      </c>
      <c r="J3213" s="197">
        <v>0</v>
      </c>
      <c r="K3213" s="197">
        <v>0</v>
      </c>
      <c r="L3213" s="197">
        <v>0</v>
      </c>
      <c r="M3213" s="260" t="s">
        <v>239</v>
      </c>
      <c r="N3213" s="260" t="s">
        <v>514</v>
      </c>
    </row>
    <row r="3214" spans="1:14" ht="14.5" x14ac:dyDescent="0.35">
      <c r="A3214" s="260" t="s">
        <v>566</v>
      </c>
      <c r="B3214" s="190">
        <v>45997</v>
      </c>
      <c r="C3214" s="260" t="s">
        <v>749</v>
      </c>
      <c r="D3214" s="197">
        <v>0</v>
      </c>
      <c r="E3214" s="197">
        <v>0</v>
      </c>
      <c r="F3214" s="197">
        <v>47.93</v>
      </c>
      <c r="G3214" s="190">
        <v>45996</v>
      </c>
      <c r="H3214" s="196">
        <v>1</v>
      </c>
      <c r="I3214" s="197">
        <v>0</v>
      </c>
      <c r="J3214" s="197">
        <v>0</v>
      </c>
      <c r="K3214" s="197">
        <v>0</v>
      </c>
      <c r="L3214" s="197">
        <v>0</v>
      </c>
      <c r="M3214" s="260" t="s">
        <v>239</v>
      </c>
      <c r="N3214" s="260" t="s">
        <v>514</v>
      </c>
    </row>
    <row r="3215" spans="1:14" ht="14.5" x14ac:dyDescent="0.35">
      <c r="A3215" s="260" t="s">
        <v>566</v>
      </c>
      <c r="B3215" s="190">
        <v>45997</v>
      </c>
      <c r="C3215" s="260" t="s">
        <v>752</v>
      </c>
      <c r="D3215" s="197">
        <v>0</v>
      </c>
      <c r="E3215" s="197">
        <v>0</v>
      </c>
      <c r="F3215" s="197">
        <v>169.87</v>
      </c>
      <c r="G3215" s="190">
        <v>45996</v>
      </c>
      <c r="H3215" s="196">
        <v>1</v>
      </c>
      <c r="I3215" s="197">
        <v>0</v>
      </c>
      <c r="J3215" s="197">
        <v>0</v>
      </c>
      <c r="K3215" s="197">
        <v>0</v>
      </c>
      <c r="L3215" s="197">
        <v>0</v>
      </c>
      <c r="M3215" s="260" t="s">
        <v>239</v>
      </c>
      <c r="N3215" s="260" t="s">
        <v>514</v>
      </c>
    </row>
    <row r="3216" spans="1:14" ht="14.5" x14ac:dyDescent="0.35">
      <c r="A3216" s="260" t="s">
        <v>566</v>
      </c>
      <c r="B3216" s="190">
        <v>45997</v>
      </c>
      <c r="C3216" s="260" t="s">
        <v>754</v>
      </c>
      <c r="D3216" s="197">
        <v>0</v>
      </c>
      <c r="E3216" s="197">
        <v>0</v>
      </c>
      <c r="F3216" s="197">
        <v>78.67</v>
      </c>
      <c r="G3216" s="190">
        <v>45996</v>
      </c>
      <c r="H3216" s="196">
        <v>1</v>
      </c>
      <c r="I3216" s="197">
        <v>0</v>
      </c>
      <c r="J3216" s="197">
        <v>0</v>
      </c>
      <c r="K3216" s="197">
        <v>0</v>
      </c>
      <c r="L3216" s="197">
        <v>0</v>
      </c>
      <c r="M3216" s="260" t="s">
        <v>239</v>
      </c>
      <c r="N3216" s="260" t="s">
        <v>514</v>
      </c>
    </row>
    <row r="3217" spans="1:14" ht="14.5" x14ac:dyDescent="0.35">
      <c r="A3217" s="260" t="s">
        <v>566</v>
      </c>
      <c r="B3217" s="190">
        <v>45998</v>
      </c>
      <c r="C3217" s="260" t="s">
        <v>749</v>
      </c>
      <c r="D3217" s="197">
        <v>0</v>
      </c>
      <c r="E3217" s="197">
        <v>0</v>
      </c>
      <c r="F3217" s="197">
        <v>47.93</v>
      </c>
      <c r="G3217" s="190">
        <v>45996</v>
      </c>
      <c r="H3217" s="196">
        <v>2</v>
      </c>
      <c r="I3217" s="197">
        <v>0</v>
      </c>
      <c r="J3217" s="197">
        <v>0</v>
      </c>
      <c r="K3217" s="197">
        <v>0</v>
      </c>
      <c r="L3217" s="197">
        <v>0</v>
      </c>
      <c r="M3217" s="260" t="s">
        <v>239</v>
      </c>
      <c r="N3217" s="260" t="s">
        <v>514</v>
      </c>
    </row>
    <row r="3218" spans="1:14" ht="14.5" x14ac:dyDescent="0.35">
      <c r="A3218" s="260" t="s">
        <v>566</v>
      </c>
      <c r="B3218" s="190">
        <v>45998</v>
      </c>
      <c r="C3218" s="260" t="s">
        <v>752</v>
      </c>
      <c r="D3218" s="197">
        <v>0</v>
      </c>
      <c r="E3218" s="197">
        <v>0</v>
      </c>
      <c r="F3218" s="197">
        <v>169.87</v>
      </c>
      <c r="G3218" s="190">
        <v>45996</v>
      </c>
      <c r="H3218" s="196">
        <v>2</v>
      </c>
      <c r="I3218" s="197">
        <v>0</v>
      </c>
      <c r="J3218" s="197">
        <v>0</v>
      </c>
      <c r="K3218" s="197">
        <v>0</v>
      </c>
      <c r="L3218" s="197">
        <v>0</v>
      </c>
      <c r="M3218" s="260" t="s">
        <v>239</v>
      </c>
      <c r="N3218" s="260" t="s">
        <v>514</v>
      </c>
    </row>
    <row r="3219" spans="1:14" ht="14.5" x14ac:dyDescent="0.35">
      <c r="A3219" s="260" t="s">
        <v>566</v>
      </c>
      <c r="B3219" s="190">
        <v>45998</v>
      </c>
      <c r="C3219" s="260" t="s">
        <v>754</v>
      </c>
      <c r="D3219" s="197">
        <v>0</v>
      </c>
      <c r="E3219" s="197">
        <v>0</v>
      </c>
      <c r="F3219" s="197">
        <v>78.67</v>
      </c>
      <c r="G3219" s="190">
        <v>45996</v>
      </c>
      <c r="H3219" s="196">
        <v>2</v>
      </c>
      <c r="I3219" s="197">
        <v>0</v>
      </c>
      <c r="J3219" s="197">
        <v>0</v>
      </c>
      <c r="K3219" s="197">
        <v>0</v>
      </c>
      <c r="L3219" s="197">
        <v>0</v>
      </c>
      <c r="M3219" s="260" t="s">
        <v>239</v>
      </c>
      <c r="N3219" s="260" t="s">
        <v>514</v>
      </c>
    </row>
    <row r="3220" spans="1:14" ht="14.5" x14ac:dyDescent="0.35">
      <c r="A3220" s="260" t="s">
        <v>566</v>
      </c>
      <c r="B3220" s="190">
        <v>45999</v>
      </c>
      <c r="C3220" s="260" t="s">
        <v>749</v>
      </c>
      <c r="D3220" s="197">
        <v>0</v>
      </c>
      <c r="E3220" s="197">
        <v>0</v>
      </c>
      <c r="F3220" s="197">
        <v>47.88</v>
      </c>
      <c r="G3220" s="190">
        <v>45999</v>
      </c>
      <c r="H3220" s="196">
        <v>0</v>
      </c>
      <c r="I3220" s="197">
        <v>0</v>
      </c>
      <c r="J3220" s="197">
        <v>0</v>
      </c>
      <c r="K3220" s="197">
        <v>0</v>
      </c>
      <c r="L3220" s="197">
        <v>0</v>
      </c>
      <c r="M3220" s="260" t="s">
        <v>239</v>
      </c>
      <c r="N3220" s="260" t="s">
        <v>514</v>
      </c>
    </row>
    <row r="3221" spans="1:14" ht="14.5" x14ac:dyDescent="0.35">
      <c r="A3221" s="260" t="s">
        <v>566</v>
      </c>
      <c r="B3221" s="190">
        <v>45999</v>
      </c>
      <c r="C3221" s="260" t="s">
        <v>752</v>
      </c>
      <c r="D3221" s="197">
        <v>0</v>
      </c>
      <c r="E3221" s="197">
        <v>0</v>
      </c>
      <c r="F3221" s="197">
        <v>169.77</v>
      </c>
      <c r="G3221" s="190">
        <v>45999</v>
      </c>
      <c r="H3221" s="196">
        <v>0</v>
      </c>
      <c r="I3221" s="197">
        <v>0</v>
      </c>
      <c r="J3221" s="197">
        <v>0</v>
      </c>
      <c r="K3221" s="197">
        <v>0</v>
      </c>
      <c r="L3221" s="197">
        <v>0</v>
      </c>
      <c r="M3221" s="260" t="s">
        <v>239</v>
      </c>
      <c r="N3221" s="260" t="s">
        <v>514</v>
      </c>
    </row>
    <row r="3222" spans="1:14" ht="14.5" x14ac:dyDescent="0.35">
      <c r="A3222" s="260" t="s">
        <v>566</v>
      </c>
      <c r="B3222" s="190">
        <v>45999</v>
      </c>
      <c r="C3222" s="260" t="s">
        <v>754</v>
      </c>
      <c r="D3222" s="197">
        <v>0</v>
      </c>
      <c r="E3222" s="197">
        <v>0</v>
      </c>
      <c r="F3222" s="197">
        <v>78.569999999999993</v>
      </c>
      <c r="G3222" s="190">
        <v>45999</v>
      </c>
      <c r="H3222" s="196">
        <v>0</v>
      </c>
      <c r="I3222" s="197">
        <v>0</v>
      </c>
      <c r="J3222" s="197">
        <v>0</v>
      </c>
      <c r="K3222" s="197">
        <v>0</v>
      </c>
      <c r="L3222" s="197">
        <v>0</v>
      </c>
      <c r="M3222" s="260" t="s">
        <v>239</v>
      </c>
      <c r="N3222" s="260" t="s">
        <v>514</v>
      </c>
    </row>
    <row r="3223" spans="1:14" ht="14.5" x14ac:dyDescent="0.35">
      <c r="A3223" s="260" t="s">
        <v>566</v>
      </c>
      <c r="B3223" s="190">
        <v>46000</v>
      </c>
      <c r="C3223" s="260" t="s">
        <v>749</v>
      </c>
      <c r="D3223" s="197">
        <v>0</v>
      </c>
      <c r="E3223" s="197">
        <v>0</v>
      </c>
      <c r="F3223" s="197">
        <v>47.87</v>
      </c>
      <c r="G3223" s="190">
        <v>46000</v>
      </c>
      <c r="H3223" s="196">
        <v>0</v>
      </c>
      <c r="I3223" s="197">
        <v>0</v>
      </c>
      <c r="J3223" s="197">
        <v>0</v>
      </c>
      <c r="K3223" s="197">
        <v>0</v>
      </c>
      <c r="L3223" s="197">
        <v>0</v>
      </c>
      <c r="M3223" s="260" t="s">
        <v>239</v>
      </c>
      <c r="N3223" s="260" t="s">
        <v>514</v>
      </c>
    </row>
    <row r="3224" spans="1:14" ht="14.5" x14ac:dyDescent="0.35">
      <c r="A3224" s="260" t="s">
        <v>566</v>
      </c>
      <c r="B3224" s="190">
        <v>46000</v>
      </c>
      <c r="C3224" s="260" t="s">
        <v>752</v>
      </c>
      <c r="D3224" s="197">
        <v>0</v>
      </c>
      <c r="E3224" s="197">
        <v>0</v>
      </c>
      <c r="F3224" s="197">
        <v>169.73</v>
      </c>
      <c r="G3224" s="190">
        <v>46000</v>
      </c>
      <c r="H3224" s="196">
        <v>0</v>
      </c>
      <c r="I3224" s="197">
        <v>0</v>
      </c>
      <c r="J3224" s="197">
        <v>0</v>
      </c>
      <c r="K3224" s="197">
        <v>0</v>
      </c>
      <c r="L3224" s="197">
        <v>0</v>
      </c>
      <c r="M3224" s="260" t="s">
        <v>239</v>
      </c>
      <c r="N3224" s="260" t="s">
        <v>514</v>
      </c>
    </row>
    <row r="3225" spans="1:14" ht="14.5" x14ac:dyDescent="0.35">
      <c r="A3225" s="260" t="s">
        <v>566</v>
      </c>
      <c r="B3225" s="190">
        <v>46000</v>
      </c>
      <c r="C3225" s="260" t="s">
        <v>754</v>
      </c>
      <c r="D3225" s="197">
        <v>0</v>
      </c>
      <c r="E3225" s="197">
        <v>0</v>
      </c>
      <c r="F3225" s="197">
        <v>78.53</v>
      </c>
      <c r="G3225" s="190">
        <v>46000</v>
      </c>
      <c r="H3225" s="196">
        <v>0</v>
      </c>
      <c r="I3225" s="197">
        <v>0</v>
      </c>
      <c r="J3225" s="197">
        <v>0</v>
      </c>
      <c r="K3225" s="197">
        <v>0</v>
      </c>
      <c r="L3225" s="197">
        <v>0</v>
      </c>
      <c r="M3225" s="260" t="s">
        <v>239</v>
      </c>
      <c r="N3225" s="260" t="s">
        <v>514</v>
      </c>
    </row>
    <row r="3226" spans="1:14" ht="14.5" x14ac:dyDescent="0.35">
      <c r="A3226" s="260" t="s">
        <v>566</v>
      </c>
      <c r="B3226" s="190">
        <v>46001</v>
      </c>
      <c r="C3226" s="260" t="s">
        <v>749</v>
      </c>
      <c r="D3226" s="197">
        <v>0</v>
      </c>
      <c r="E3226" s="197">
        <v>0</v>
      </c>
      <c r="F3226" s="197">
        <v>47.85</v>
      </c>
      <c r="G3226" s="190">
        <v>46001</v>
      </c>
      <c r="H3226" s="196">
        <v>0</v>
      </c>
      <c r="I3226" s="197">
        <v>0</v>
      </c>
      <c r="J3226" s="197">
        <v>0</v>
      </c>
      <c r="K3226" s="197">
        <v>0</v>
      </c>
      <c r="L3226" s="197">
        <v>0</v>
      </c>
      <c r="M3226" s="260" t="s">
        <v>239</v>
      </c>
      <c r="N3226" s="260" t="s">
        <v>514</v>
      </c>
    </row>
    <row r="3227" spans="1:14" ht="14.5" x14ac:dyDescent="0.35">
      <c r="A3227" s="260" t="s">
        <v>566</v>
      </c>
      <c r="B3227" s="190">
        <v>46001</v>
      </c>
      <c r="C3227" s="260" t="s">
        <v>752</v>
      </c>
      <c r="D3227" s="197">
        <v>0</v>
      </c>
      <c r="E3227" s="197">
        <v>0</v>
      </c>
      <c r="F3227" s="197">
        <v>169.7</v>
      </c>
      <c r="G3227" s="190">
        <v>46001</v>
      </c>
      <c r="H3227" s="196">
        <v>0</v>
      </c>
      <c r="I3227" s="197">
        <v>0</v>
      </c>
      <c r="J3227" s="197">
        <v>0</v>
      </c>
      <c r="K3227" s="197">
        <v>0</v>
      </c>
      <c r="L3227" s="197">
        <v>0</v>
      </c>
      <c r="M3227" s="260" t="s">
        <v>239</v>
      </c>
      <c r="N3227" s="260" t="s">
        <v>514</v>
      </c>
    </row>
    <row r="3228" spans="1:14" ht="14.5" x14ac:dyDescent="0.35">
      <c r="A3228" s="260" t="s">
        <v>566</v>
      </c>
      <c r="B3228" s="190">
        <v>46001</v>
      </c>
      <c r="C3228" s="260" t="s">
        <v>754</v>
      </c>
      <c r="D3228" s="197">
        <v>0</v>
      </c>
      <c r="E3228" s="197">
        <v>0</v>
      </c>
      <c r="F3228" s="197">
        <v>78.5</v>
      </c>
      <c r="G3228" s="190">
        <v>46001</v>
      </c>
      <c r="H3228" s="196">
        <v>0</v>
      </c>
      <c r="I3228" s="197">
        <v>0</v>
      </c>
      <c r="J3228" s="197">
        <v>0</v>
      </c>
      <c r="K3228" s="197">
        <v>0</v>
      </c>
      <c r="L3228" s="197">
        <v>0</v>
      </c>
      <c r="M3228" s="260" t="s">
        <v>239</v>
      </c>
      <c r="N3228" s="260" t="s">
        <v>514</v>
      </c>
    </row>
    <row r="3229" spans="1:14" ht="14.5" x14ac:dyDescent="0.35">
      <c r="A3229" s="260" t="s">
        <v>566</v>
      </c>
      <c r="B3229" s="190">
        <v>46002</v>
      </c>
      <c r="C3229" s="260" t="s">
        <v>749</v>
      </c>
      <c r="D3229" s="197">
        <v>0</v>
      </c>
      <c r="E3229" s="197">
        <v>0</v>
      </c>
      <c r="F3229" s="197">
        <v>47.83</v>
      </c>
      <c r="G3229" s="190">
        <v>46002</v>
      </c>
      <c r="H3229" s="196">
        <v>0</v>
      </c>
      <c r="I3229" s="197">
        <v>0</v>
      </c>
      <c r="J3229" s="197">
        <v>0</v>
      </c>
      <c r="K3229" s="197">
        <v>0</v>
      </c>
      <c r="L3229" s="197">
        <v>0</v>
      </c>
      <c r="M3229" s="260" t="s">
        <v>239</v>
      </c>
      <c r="N3229" s="260" t="s">
        <v>514</v>
      </c>
    </row>
    <row r="3230" spans="1:14" ht="14.5" x14ac:dyDescent="0.35">
      <c r="A3230" s="260" t="s">
        <v>566</v>
      </c>
      <c r="B3230" s="190">
        <v>46002</v>
      </c>
      <c r="C3230" s="260" t="s">
        <v>752</v>
      </c>
      <c r="D3230" s="197">
        <v>0</v>
      </c>
      <c r="E3230" s="197">
        <v>0</v>
      </c>
      <c r="F3230" s="197">
        <v>169.67</v>
      </c>
      <c r="G3230" s="190">
        <v>46002</v>
      </c>
      <c r="H3230" s="196">
        <v>0</v>
      </c>
      <c r="I3230" s="197">
        <v>0</v>
      </c>
      <c r="J3230" s="197">
        <v>0</v>
      </c>
      <c r="K3230" s="197">
        <v>0</v>
      </c>
      <c r="L3230" s="197">
        <v>0</v>
      </c>
      <c r="M3230" s="260" t="s">
        <v>239</v>
      </c>
      <c r="N3230" s="260" t="s">
        <v>514</v>
      </c>
    </row>
    <row r="3231" spans="1:14" ht="14.5" x14ac:dyDescent="0.35">
      <c r="A3231" s="260" t="s">
        <v>566</v>
      </c>
      <c r="B3231" s="190">
        <v>46002</v>
      </c>
      <c r="C3231" s="260" t="s">
        <v>754</v>
      </c>
      <c r="D3231" s="197">
        <v>0</v>
      </c>
      <c r="E3231" s="197">
        <v>0</v>
      </c>
      <c r="F3231" s="197">
        <v>78.47</v>
      </c>
      <c r="G3231" s="190">
        <v>46002</v>
      </c>
      <c r="H3231" s="196">
        <v>0</v>
      </c>
      <c r="I3231" s="197">
        <v>0</v>
      </c>
      <c r="J3231" s="197">
        <v>0</v>
      </c>
      <c r="K3231" s="197">
        <v>0</v>
      </c>
      <c r="L3231" s="197">
        <v>0</v>
      </c>
      <c r="M3231" s="260" t="s">
        <v>239</v>
      </c>
      <c r="N3231" s="260" t="s">
        <v>514</v>
      </c>
    </row>
    <row r="3232" spans="1:14" ht="14.5" x14ac:dyDescent="0.35">
      <c r="A3232" s="260" t="s">
        <v>566</v>
      </c>
      <c r="B3232" s="190">
        <v>46003</v>
      </c>
      <c r="C3232" s="260" t="s">
        <v>749</v>
      </c>
      <c r="D3232" s="197">
        <v>0</v>
      </c>
      <c r="E3232" s="197">
        <v>0</v>
      </c>
      <c r="F3232" s="197">
        <v>47.82</v>
      </c>
      <c r="G3232" s="190">
        <v>46003</v>
      </c>
      <c r="H3232" s="196">
        <v>0</v>
      </c>
      <c r="I3232" s="197">
        <v>0</v>
      </c>
      <c r="J3232" s="197">
        <v>0</v>
      </c>
      <c r="K3232" s="197">
        <v>0</v>
      </c>
      <c r="L3232" s="197">
        <v>0</v>
      </c>
      <c r="M3232" s="260" t="s">
        <v>239</v>
      </c>
      <c r="N3232" s="260" t="s">
        <v>514</v>
      </c>
    </row>
    <row r="3233" spans="1:14" ht="14.5" x14ac:dyDescent="0.35">
      <c r="A3233" s="260" t="s">
        <v>566</v>
      </c>
      <c r="B3233" s="190">
        <v>46003</v>
      </c>
      <c r="C3233" s="260" t="s">
        <v>752</v>
      </c>
      <c r="D3233" s="197">
        <v>0</v>
      </c>
      <c r="E3233" s="197">
        <v>0</v>
      </c>
      <c r="F3233" s="197">
        <v>169.63</v>
      </c>
      <c r="G3233" s="190">
        <v>46003</v>
      </c>
      <c r="H3233" s="196">
        <v>0</v>
      </c>
      <c r="I3233" s="197">
        <v>0</v>
      </c>
      <c r="J3233" s="197">
        <v>0</v>
      </c>
      <c r="K3233" s="197">
        <v>0</v>
      </c>
      <c r="L3233" s="197">
        <v>0</v>
      </c>
      <c r="M3233" s="260" t="s">
        <v>239</v>
      </c>
      <c r="N3233" s="260" t="s">
        <v>514</v>
      </c>
    </row>
    <row r="3234" spans="1:14" ht="14.5" x14ac:dyDescent="0.35">
      <c r="A3234" s="260" t="s">
        <v>566</v>
      </c>
      <c r="B3234" s="190">
        <v>46003</v>
      </c>
      <c r="C3234" s="260" t="s">
        <v>754</v>
      </c>
      <c r="D3234" s="197">
        <v>0</v>
      </c>
      <c r="E3234" s="197">
        <v>0</v>
      </c>
      <c r="F3234" s="197">
        <v>78.430000000000007</v>
      </c>
      <c r="G3234" s="190">
        <v>46003</v>
      </c>
      <c r="H3234" s="196">
        <v>0</v>
      </c>
      <c r="I3234" s="197">
        <v>0</v>
      </c>
      <c r="J3234" s="197">
        <v>0</v>
      </c>
      <c r="K3234" s="197">
        <v>0</v>
      </c>
      <c r="L3234" s="197">
        <v>0</v>
      </c>
      <c r="M3234" s="260" t="s">
        <v>239</v>
      </c>
      <c r="N3234" s="260" t="s">
        <v>514</v>
      </c>
    </row>
    <row r="3235" spans="1:14" ht="14.5" x14ac:dyDescent="0.35">
      <c r="A3235" s="260" t="s">
        <v>566</v>
      </c>
      <c r="B3235" s="190">
        <v>46004</v>
      </c>
      <c r="C3235" s="260" t="s">
        <v>749</v>
      </c>
      <c r="D3235" s="197">
        <v>0</v>
      </c>
      <c r="E3235" s="197">
        <v>0</v>
      </c>
      <c r="F3235" s="197">
        <v>47.82</v>
      </c>
      <c r="G3235" s="190">
        <v>46003</v>
      </c>
      <c r="H3235" s="196">
        <v>1</v>
      </c>
      <c r="I3235" s="197">
        <v>0</v>
      </c>
      <c r="J3235" s="197">
        <v>0</v>
      </c>
      <c r="K3235" s="197">
        <v>0</v>
      </c>
      <c r="L3235" s="197">
        <v>0</v>
      </c>
      <c r="M3235" s="260" t="s">
        <v>239</v>
      </c>
      <c r="N3235" s="260" t="s">
        <v>514</v>
      </c>
    </row>
    <row r="3236" spans="1:14" ht="14.5" x14ac:dyDescent="0.35">
      <c r="A3236" s="260" t="s">
        <v>566</v>
      </c>
      <c r="B3236" s="190">
        <v>46004</v>
      </c>
      <c r="C3236" s="260" t="s">
        <v>752</v>
      </c>
      <c r="D3236" s="197">
        <v>0</v>
      </c>
      <c r="E3236" s="197">
        <v>0</v>
      </c>
      <c r="F3236" s="197">
        <v>169.63</v>
      </c>
      <c r="G3236" s="190">
        <v>46003</v>
      </c>
      <c r="H3236" s="196">
        <v>1</v>
      </c>
      <c r="I3236" s="197">
        <v>0</v>
      </c>
      <c r="J3236" s="197">
        <v>0</v>
      </c>
      <c r="K3236" s="197">
        <v>0</v>
      </c>
      <c r="L3236" s="197">
        <v>0</v>
      </c>
      <c r="M3236" s="260" t="s">
        <v>239</v>
      </c>
      <c r="N3236" s="260" t="s">
        <v>514</v>
      </c>
    </row>
    <row r="3237" spans="1:14" ht="14.5" x14ac:dyDescent="0.35">
      <c r="A3237" s="260" t="s">
        <v>566</v>
      </c>
      <c r="B3237" s="190">
        <v>46004</v>
      </c>
      <c r="C3237" s="260" t="s">
        <v>754</v>
      </c>
      <c r="D3237" s="197">
        <v>0</v>
      </c>
      <c r="E3237" s="197">
        <v>0</v>
      </c>
      <c r="F3237" s="197">
        <v>78.430000000000007</v>
      </c>
      <c r="G3237" s="190">
        <v>46003</v>
      </c>
      <c r="H3237" s="196">
        <v>1</v>
      </c>
      <c r="I3237" s="197">
        <v>0</v>
      </c>
      <c r="J3237" s="197">
        <v>0</v>
      </c>
      <c r="K3237" s="197">
        <v>0</v>
      </c>
      <c r="L3237" s="197">
        <v>0</v>
      </c>
      <c r="M3237" s="260" t="s">
        <v>239</v>
      </c>
      <c r="N3237" s="260" t="s">
        <v>514</v>
      </c>
    </row>
    <row r="3238" spans="1:14" ht="14.5" x14ac:dyDescent="0.35">
      <c r="A3238" s="260" t="s">
        <v>566</v>
      </c>
      <c r="B3238" s="190">
        <v>46005</v>
      </c>
      <c r="C3238" s="260" t="s">
        <v>749</v>
      </c>
      <c r="D3238" s="197">
        <v>0</v>
      </c>
      <c r="E3238" s="197">
        <v>0</v>
      </c>
      <c r="F3238" s="197">
        <v>47.82</v>
      </c>
      <c r="G3238" s="190">
        <v>46003</v>
      </c>
      <c r="H3238" s="196">
        <v>2</v>
      </c>
      <c r="I3238" s="197">
        <v>0</v>
      </c>
      <c r="J3238" s="197">
        <v>0</v>
      </c>
      <c r="K3238" s="197">
        <v>0</v>
      </c>
      <c r="L3238" s="197">
        <v>0</v>
      </c>
      <c r="M3238" s="260" t="s">
        <v>239</v>
      </c>
      <c r="N3238" s="260" t="s">
        <v>514</v>
      </c>
    </row>
    <row r="3239" spans="1:14" ht="14.5" x14ac:dyDescent="0.35">
      <c r="A3239" s="260" t="s">
        <v>566</v>
      </c>
      <c r="B3239" s="190">
        <v>46005</v>
      </c>
      <c r="C3239" s="260" t="s">
        <v>752</v>
      </c>
      <c r="D3239" s="197">
        <v>0</v>
      </c>
      <c r="E3239" s="197">
        <v>0</v>
      </c>
      <c r="F3239" s="197">
        <v>169.63</v>
      </c>
      <c r="G3239" s="190">
        <v>46003</v>
      </c>
      <c r="H3239" s="196">
        <v>2</v>
      </c>
      <c r="I3239" s="197">
        <v>0</v>
      </c>
      <c r="J3239" s="197">
        <v>0</v>
      </c>
      <c r="K3239" s="197">
        <v>0</v>
      </c>
      <c r="L3239" s="197">
        <v>0</v>
      </c>
      <c r="M3239" s="260" t="s">
        <v>239</v>
      </c>
      <c r="N3239" s="260" t="s">
        <v>514</v>
      </c>
    </row>
    <row r="3240" spans="1:14" ht="14.5" x14ac:dyDescent="0.35">
      <c r="A3240" s="260" t="s">
        <v>566</v>
      </c>
      <c r="B3240" s="190">
        <v>46005</v>
      </c>
      <c r="C3240" s="260" t="s">
        <v>754</v>
      </c>
      <c r="D3240" s="197">
        <v>0</v>
      </c>
      <c r="E3240" s="197">
        <v>0</v>
      </c>
      <c r="F3240" s="197">
        <v>78.430000000000007</v>
      </c>
      <c r="G3240" s="190">
        <v>46003</v>
      </c>
      <c r="H3240" s="196">
        <v>2</v>
      </c>
      <c r="I3240" s="197">
        <v>0</v>
      </c>
      <c r="J3240" s="197">
        <v>0</v>
      </c>
      <c r="K3240" s="197">
        <v>0</v>
      </c>
      <c r="L3240" s="197">
        <v>0</v>
      </c>
      <c r="M3240" s="260" t="s">
        <v>239</v>
      </c>
      <c r="N3240" s="260" t="s">
        <v>514</v>
      </c>
    </row>
    <row r="3241" spans="1:14" ht="14.5" x14ac:dyDescent="0.35">
      <c r="A3241" s="260" t="s">
        <v>566</v>
      </c>
      <c r="B3241" s="190">
        <v>46006</v>
      </c>
      <c r="C3241" s="260" t="s">
        <v>749</v>
      </c>
      <c r="D3241" s="197">
        <v>0</v>
      </c>
      <c r="E3241" s="197">
        <v>0</v>
      </c>
      <c r="F3241" s="197">
        <v>47.77</v>
      </c>
      <c r="G3241" s="190">
        <v>46006</v>
      </c>
      <c r="H3241" s="196">
        <v>0</v>
      </c>
      <c r="I3241" s="197">
        <v>0</v>
      </c>
      <c r="J3241" s="197">
        <v>0</v>
      </c>
      <c r="K3241" s="197">
        <v>0</v>
      </c>
      <c r="L3241" s="197">
        <v>0</v>
      </c>
      <c r="M3241" s="260" t="s">
        <v>239</v>
      </c>
      <c r="N3241" s="260" t="s">
        <v>514</v>
      </c>
    </row>
    <row r="3242" spans="1:14" ht="14.5" x14ac:dyDescent="0.35">
      <c r="A3242" s="260" t="s">
        <v>566</v>
      </c>
      <c r="B3242" s="190">
        <v>46006</v>
      </c>
      <c r="C3242" s="260" t="s">
        <v>752</v>
      </c>
      <c r="D3242" s="197">
        <v>0</v>
      </c>
      <c r="E3242" s="197">
        <v>0</v>
      </c>
      <c r="F3242" s="197">
        <v>169.53</v>
      </c>
      <c r="G3242" s="190">
        <v>46006</v>
      </c>
      <c r="H3242" s="196">
        <v>0</v>
      </c>
      <c r="I3242" s="197">
        <v>0</v>
      </c>
      <c r="J3242" s="197">
        <v>0</v>
      </c>
      <c r="K3242" s="197">
        <v>0</v>
      </c>
      <c r="L3242" s="197">
        <v>0</v>
      </c>
      <c r="M3242" s="260" t="s">
        <v>239</v>
      </c>
      <c r="N3242" s="260" t="s">
        <v>514</v>
      </c>
    </row>
    <row r="3243" spans="1:14" ht="14.5" x14ac:dyDescent="0.35">
      <c r="A3243" s="260" t="s">
        <v>566</v>
      </c>
      <c r="B3243" s="190">
        <v>46006</v>
      </c>
      <c r="C3243" s="260" t="s">
        <v>754</v>
      </c>
      <c r="D3243" s="197">
        <v>0</v>
      </c>
      <c r="E3243" s="197">
        <v>0</v>
      </c>
      <c r="F3243" s="197">
        <v>78.33</v>
      </c>
      <c r="G3243" s="190">
        <v>46006</v>
      </c>
      <c r="H3243" s="196">
        <v>0</v>
      </c>
      <c r="I3243" s="197">
        <v>0</v>
      </c>
      <c r="J3243" s="197">
        <v>0</v>
      </c>
      <c r="K3243" s="197">
        <v>0</v>
      </c>
      <c r="L3243" s="197">
        <v>0</v>
      </c>
      <c r="M3243" s="260" t="s">
        <v>239</v>
      </c>
      <c r="N3243" s="260" t="s">
        <v>514</v>
      </c>
    </row>
    <row r="3244" spans="1:14" ht="14.5" x14ac:dyDescent="0.35">
      <c r="A3244" s="260" t="s">
        <v>566</v>
      </c>
      <c r="B3244" s="190">
        <v>46007</v>
      </c>
      <c r="C3244" s="260" t="s">
        <v>749</v>
      </c>
      <c r="D3244" s="197">
        <v>0</v>
      </c>
      <c r="E3244" s="197">
        <v>0</v>
      </c>
      <c r="F3244" s="197">
        <v>47.75</v>
      </c>
      <c r="G3244" s="190">
        <v>46007</v>
      </c>
      <c r="H3244" s="196">
        <v>0</v>
      </c>
      <c r="I3244" s="197">
        <v>0</v>
      </c>
      <c r="J3244" s="197">
        <v>0</v>
      </c>
      <c r="K3244" s="197">
        <v>0</v>
      </c>
      <c r="L3244" s="197">
        <v>0</v>
      </c>
      <c r="M3244" s="260" t="s">
        <v>239</v>
      </c>
      <c r="N3244" s="260" t="s">
        <v>514</v>
      </c>
    </row>
    <row r="3245" spans="1:14" ht="14.5" x14ac:dyDescent="0.35">
      <c r="A3245" s="260" t="s">
        <v>566</v>
      </c>
      <c r="B3245" s="190">
        <v>46007</v>
      </c>
      <c r="C3245" s="260" t="s">
        <v>752</v>
      </c>
      <c r="D3245" s="197">
        <v>0</v>
      </c>
      <c r="E3245" s="197">
        <v>0</v>
      </c>
      <c r="F3245" s="197">
        <v>169.5</v>
      </c>
      <c r="G3245" s="190">
        <v>46007</v>
      </c>
      <c r="H3245" s="196">
        <v>0</v>
      </c>
      <c r="I3245" s="197">
        <v>0</v>
      </c>
      <c r="J3245" s="197">
        <v>0</v>
      </c>
      <c r="K3245" s="197">
        <v>0</v>
      </c>
      <c r="L3245" s="197">
        <v>0</v>
      </c>
      <c r="M3245" s="260" t="s">
        <v>239</v>
      </c>
      <c r="N3245" s="260" t="s">
        <v>514</v>
      </c>
    </row>
    <row r="3246" spans="1:14" ht="14.5" x14ac:dyDescent="0.35">
      <c r="A3246" s="260" t="s">
        <v>566</v>
      </c>
      <c r="B3246" s="190">
        <v>46007</v>
      </c>
      <c r="C3246" s="260" t="s">
        <v>754</v>
      </c>
      <c r="D3246" s="197">
        <v>0</v>
      </c>
      <c r="E3246" s="197">
        <v>0</v>
      </c>
      <c r="F3246" s="197">
        <v>78.3</v>
      </c>
      <c r="G3246" s="190">
        <v>46007</v>
      </c>
      <c r="H3246" s="196">
        <v>0</v>
      </c>
      <c r="I3246" s="197">
        <v>0</v>
      </c>
      <c r="J3246" s="197">
        <v>0</v>
      </c>
      <c r="K3246" s="197">
        <v>0</v>
      </c>
      <c r="L3246" s="197">
        <v>0</v>
      </c>
      <c r="M3246" s="260" t="s">
        <v>239</v>
      </c>
      <c r="N3246" s="260" t="s">
        <v>514</v>
      </c>
    </row>
    <row r="3247" spans="1:14" ht="14.5" x14ac:dyDescent="0.35">
      <c r="A3247" s="260" t="s">
        <v>566</v>
      </c>
      <c r="B3247" s="190">
        <v>46008</v>
      </c>
      <c r="C3247" s="260" t="s">
        <v>749</v>
      </c>
      <c r="D3247" s="197">
        <v>0</v>
      </c>
      <c r="E3247" s="197">
        <v>0</v>
      </c>
      <c r="F3247" s="197">
        <v>47.73</v>
      </c>
      <c r="G3247" s="190">
        <v>46008</v>
      </c>
      <c r="H3247" s="196">
        <v>0</v>
      </c>
      <c r="I3247" s="197">
        <v>0</v>
      </c>
      <c r="J3247" s="197">
        <v>0</v>
      </c>
      <c r="K3247" s="197">
        <v>0</v>
      </c>
      <c r="L3247" s="197">
        <v>0</v>
      </c>
      <c r="M3247" s="260" t="s">
        <v>239</v>
      </c>
      <c r="N3247" s="260" t="s">
        <v>514</v>
      </c>
    </row>
    <row r="3248" spans="1:14" ht="14.5" x14ac:dyDescent="0.35">
      <c r="A3248" s="260" t="s">
        <v>566</v>
      </c>
      <c r="B3248" s="190">
        <v>46008</v>
      </c>
      <c r="C3248" s="260" t="s">
        <v>752</v>
      </c>
      <c r="D3248" s="197">
        <v>0</v>
      </c>
      <c r="E3248" s="197">
        <v>0</v>
      </c>
      <c r="F3248" s="197">
        <v>169.47</v>
      </c>
      <c r="G3248" s="190">
        <v>46008</v>
      </c>
      <c r="H3248" s="196">
        <v>0</v>
      </c>
      <c r="I3248" s="197">
        <v>0</v>
      </c>
      <c r="J3248" s="197">
        <v>0</v>
      </c>
      <c r="K3248" s="197">
        <v>0</v>
      </c>
      <c r="L3248" s="197">
        <v>0</v>
      </c>
      <c r="M3248" s="260" t="s">
        <v>239</v>
      </c>
      <c r="N3248" s="260" t="s">
        <v>514</v>
      </c>
    </row>
    <row r="3249" spans="1:14" ht="14.5" x14ac:dyDescent="0.35">
      <c r="A3249" s="260" t="s">
        <v>566</v>
      </c>
      <c r="B3249" s="190">
        <v>46008</v>
      </c>
      <c r="C3249" s="260" t="s">
        <v>754</v>
      </c>
      <c r="D3249" s="197">
        <v>0</v>
      </c>
      <c r="E3249" s="197">
        <v>0</v>
      </c>
      <c r="F3249" s="197">
        <v>78.27</v>
      </c>
      <c r="G3249" s="190">
        <v>46008</v>
      </c>
      <c r="H3249" s="196">
        <v>0</v>
      </c>
      <c r="I3249" s="197">
        <v>0</v>
      </c>
      <c r="J3249" s="197">
        <v>0</v>
      </c>
      <c r="K3249" s="197">
        <v>0</v>
      </c>
      <c r="L3249" s="197">
        <v>0</v>
      </c>
      <c r="M3249" s="260" t="s">
        <v>239</v>
      </c>
      <c r="N3249" s="260" t="s">
        <v>514</v>
      </c>
    </row>
    <row r="3250" spans="1:14" ht="14.5" x14ac:dyDescent="0.35">
      <c r="A3250" s="260" t="s">
        <v>566</v>
      </c>
      <c r="B3250" s="190">
        <v>46009</v>
      </c>
      <c r="C3250" s="260" t="s">
        <v>749</v>
      </c>
      <c r="D3250" s="197">
        <v>0</v>
      </c>
      <c r="E3250" s="197">
        <v>0</v>
      </c>
      <c r="F3250" s="197">
        <v>47.72</v>
      </c>
      <c r="G3250" s="190">
        <v>46009</v>
      </c>
      <c r="H3250" s="196">
        <v>0</v>
      </c>
      <c r="I3250" s="197">
        <v>0</v>
      </c>
      <c r="J3250" s="197">
        <v>0</v>
      </c>
      <c r="K3250" s="197">
        <v>0</v>
      </c>
      <c r="L3250" s="197">
        <v>0</v>
      </c>
      <c r="M3250" s="260" t="s">
        <v>239</v>
      </c>
      <c r="N3250" s="260" t="s">
        <v>514</v>
      </c>
    </row>
    <row r="3251" spans="1:14" ht="14.5" x14ac:dyDescent="0.35">
      <c r="A3251" s="260" t="s">
        <v>566</v>
      </c>
      <c r="B3251" s="190">
        <v>46009</v>
      </c>
      <c r="C3251" s="260" t="s">
        <v>752</v>
      </c>
      <c r="D3251" s="197">
        <v>0</v>
      </c>
      <c r="E3251" s="197">
        <v>0</v>
      </c>
      <c r="F3251" s="197">
        <v>169.43</v>
      </c>
      <c r="G3251" s="190">
        <v>46009</v>
      </c>
      <c r="H3251" s="196">
        <v>0</v>
      </c>
      <c r="I3251" s="197">
        <v>0</v>
      </c>
      <c r="J3251" s="197">
        <v>0</v>
      </c>
      <c r="K3251" s="197">
        <v>0</v>
      </c>
      <c r="L3251" s="197">
        <v>0</v>
      </c>
      <c r="M3251" s="260" t="s">
        <v>239</v>
      </c>
      <c r="N3251" s="260" t="s">
        <v>514</v>
      </c>
    </row>
    <row r="3252" spans="1:14" ht="14.5" x14ac:dyDescent="0.35">
      <c r="A3252" s="260" t="s">
        <v>566</v>
      </c>
      <c r="B3252" s="190">
        <v>46009</v>
      </c>
      <c r="C3252" s="260" t="s">
        <v>754</v>
      </c>
      <c r="D3252" s="197">
        <v>0</v>
      </c>
      <c r="E3252" s="197">
        <v>0</v>
      </c>
      <c r="F3252" s="197">
        <v>78.23</v>
      </c>
      <c r="G3252" s="190">
        <v>46009</v>
      </c>
      <c r="H3252" s="196">
        <v>0</v>
      </c>
      <c r="I3252" s="197">
        <v>0</v>
      </c>
      <c r="J3252" s="197">
        <v>0</v>
      </c>
      <c r="K3252" s="197">
        <v>0</v>
      </c>
      <c r="L3252" s="197">
        <v>0</v>
      </c>
      <c r="M3252" s="260" t="s">
        <v>239</v>
      </c>
      <c r="N3252" s="260" t="s">
        <v>514</v>
      </c>
    </row>
    <row r="3253" spans="1:14" ht="14.5" x14ac:dyDescent="0.35">
      <c r="A3253" s="260" t="s">
        <v>566</v>
      </c>
      <c r="B3253" s="190">
        <v>46010</v>
      </c>
      <c r="C3253" s="260" t="s">
        <v>749</v>
      </c>
      <c r="D3253" s="197">
        <v>0</v>
      </c>
      <c r="E3253" s="197">
        <v>0</v>
      </c>
      <c r="F3253" s="197">
        <v>47.7</v>
      </c>
      <c r="G3253" s="190">
        <v>46010</v>
      </c>
      <c r="H3253" s="196">
        <v>0</v>
      </c>
      <c r="I3253" s="197">
        <v>0</v>
      </c>
      <c r="J3253" s="197">
        <v>0</v>
      </c>
      <c r="K3253" s="197">
        <v>0</v>
      </c>
      <c r="L3253" s="197">
        <v>0</v>
      </c>
      <c r="M3253" s="260" t="s">
        <v>239</v>
      </c>
      <c r="N3253" s="260" t="s">
        <v>514</v>
      </c>
    </row>
    <row r="3254" spans="1:14" ht="14.5" x14ac:dyDescent="0.35">
      <c r="A3254" s="260" t="s">
        <v>566</v>
      </c>
      <c r="B3254" s="190">
        <v>46010</v>
      </c>
      <c r="C3254" s="260" t="s">
        <v>752</v>
      </c>
      <c r="D3254" s="197">
        <v>0</v>
      </c>
      <c r="E3254" s="197">
        <v>0</v>
      </c>
      <c r="F3254" s="197">
        <v>169.4</v>
      </c>
      <c r="G3254" s="190">
        <v>46010</v>
      </c>
      <c r="H3254" s="196">
        <v>0</v>
      </c>
      <c r="I3254" s="197">
        <v>0</v>
      </c>
      <c r="J3254" s="197">
        <v>0</v>
      </c>
      <c r="K3254" s="197">
        <v>0</v>
      </c>
      <c r="L3254" s="197">
        <v>0</v>
      </c>
      <c r="M3254" s="260" t="s">
        <v>239</v>
      </c>
      <c r="N3254" s="260" t="s">
        <v>514</v>
      </c>
    </row>
    <row r="3255" spans="1:14" ht="14.5" x14ac:dyDescent="0.35">
      <c r="A3255" s="260" t="s">
        <v>566</v>
      </c>
      <c r="B3255" s="190">
        <v>46010</v>
      </c>
      <c r="C3255" s="260" t="s">
        <v>754</v>
      </c>
      <c r="D3255" s="197">
        <v>0</v>
      </c>
      <c r="E3255" s="197">
        <v>0</v>
      </c>
      <c r="F3255" s="197">
        <v>78.2</v>
      </c>
      <c r="G3255" s="190">
        <v>46010</v>
      </c>
      <c r="H3255" s="196">
        <v>0</v>
      </c>
      <c r="I3255" s="197">
        <v>0</v>
      </c>
      <c r="J3255" s="197">
        <v>0</v>
      </c>
      <c r="K3255" s="197">
        <v>0</v>
      </c>
      <c r="L3255" s="197">
        <v>0</v>
      </c>
      <c r="M3255" s="260" t="s">
        <v>239</v>
      </c>
      <c r="N3255" s="260" t="s">
        <v>514</v>
      </c>
    </row>
    <row r="3256" spans="1:14" ht="14.5" x14ac:dyDescent="0.35">
      <c r="A3256" s="260" t="s">
        <v>566</v>
      </c>
      <c r="B3256" s="190">
        <v>46011</v>
      </c>
      <c r="C3256" s="260" t="s">
        <v>749</v>
      </c>
      <c r="D3256" s="197">
        <v>0</v>
      </c>
      <c r="E3256" s="197">
        <v>0</v>
      </c>
      <c r="F3256" s="197">
        <v>47.7</v>
      </c>
      <c r="G3256" s="190">
        <v>46010</v>
      </c>
      <c r="H3256" s="196">
        <v>1</v>
      </c>
      <c r="I3256" s="197">
        <v>0</v>
      </c>
      <c r="J3256" s="197">
        <v>0</v>
      </c>
      <c r="K3256" s="197">
        <v>0</v>
      </c>
      <c r="L3256" s="197">
        <v>0</v>
      </c>
      <c r="M3256" s="260" t="s">
        <v>239</v>
      </c>
      <c r="N3256" s="260" t="s">
        <v>514</v>
      </c>
    </row>
    <row r="3257" spans="1:14" ht="14.5" x14ac:dyDescent="0.35">
      <c r="A3257" s="260" t="s">
        <v>566</v>
      </c>
      <c r="B3257" s="190">
        <v>46011</v>
      </c>
      <c r="C3257" s="260" t="s">
        <v>752</v>
      </c>
      <c r="D3257" s="197">
        <v>0</v>
      </c>
      <c r="E3257" s="197">
        <v>0</v>
      </c>
      <c r="F3257" s="197">
        <v>169.4</v>
      </c>
      <c r="G3257" s="190">
        <v>46010</v>
      </c>
      <c r="H3257" s="196">
        <v>1</v>
      </c>
      <c r="I3257" s="197">
        <v>0</v>
      </c>
      <c r="J3257" s="197">
        <v>0</v>
      </c>
      <c r="K3257" s="197">
        <v>0</v>
      </c>
      <c r="L3257" s="197">
        <v>0</v>
      </c>
      <c r="M3257" s="260" t="s">
        <v>239</v>
      </c>
      <c r="N3257" s="260" t="s">
        <v>514</v>
      </c>
    </row>
    <row r="3258" spans="1:14" ht="14.5" x14ac:dyDescent="0.35">
      <c r="A3258" s="260" t="s">
        <v>566</v>
      </c>
      <c r="B3258" s="190">
        <v>46011</v>
      </c>
      <c r="C3258" s="260" t="s">
        <v>754</v>
      </c>
      <c r="D3258" s="197">
        <v>0</v>
      </c>
      <c r="E3258" s="197">
        <v>0</v>
      </c>
      <c r="F3258" s="197">
        <v>78.2</v>
      </c>
      <c r="G3258" s="190">
        <v>46010</v>
      </c>
      <c r="H3258" s="196">
        <v>1</v>
      </c>
      <c r="I3258" s="197">
        <v>0</v>
      </c>
      <c r="J3258" s="197">
        <v>0</v>
      </c>
      <c r="K3258" s="197">
        <v>0</v>
      </c>
      <c r="L3258" s="197">
        <v>0</v>
      </c>
      <c r="M3258" s="260" t="s">
        <v>239</v>
      </c>
      <c r="N3258" s="260" t="s">
        <v>514</v>
      </c>
    </row>
    <row r="3259" spans="1:14" ht="14.5" x14ac:dyDescent="0.35">
      <c r="A3259" s="260" t="s">
        <v>566</v>
      </c>
      <c r="B3259" s="190">
        <v>46012</v>
      </c>
      <c r="C3259" s="260" t="s">
        <v>749</v>
      </c>
      <c r="D3259" s="197">
        <v>0</v>
      </c>
      <c r="E3259" s="197">
        <v>0</v>
      </c>
      <c r="F3259" s="197">
        <v>47.7</v>
      </c>
      <c r="G3259" s="190">
        <v>46010</v>
      </c>
      <c r="H3259" s="196">
        <v>2</v>
      </c>
      <c r="I3259" s="197">
        <v>0</v>
      </c>
      <c r="J3259" s="197">
        <v>0</v>
      </c>
      <c r="K3259" s="197">
        <v>0</v>
      </c>
      <c r="L3259" s="197">
        <v>0</v>
      </c>
      <c r="M3259" s="260" t="s">
        <v>239</v>
      </c>
      <c r="N3259" s="260" t="s">
        <v>514</v>
      </c>
    </row>
    <row r="3260" spans="1:14" ht="14.5" x14ac:dyDescent="0.35">
      <c r="A3260" s="260" t="s">
        <v>566</v>
      </c>
      <c r="B3260" s="190">
        <v>46012</v>
      </c>
      <c r="C3260" s="260" t="s">
        <v>752</v>
      </c>
      <c r="D3260" s="197">
        <v>0</v>
      </c>
      <c r="E3260" s="197">
        <v>0</v>
      </c>
      <c r="F3260" s="197">
        <v>169.4</v>
      </c>
      <c r="G3260" s="190">
        <v>46010</v>
      </c>
      <c r="H3260" s="196">
        <v>2</v>
      </c>
      <c r="I3260" s="197">
        <v>0</v>
      </c>
      <c r="J3260" s="197">
        <v>0</v>
      </c>
      <c r="K3260" s="197">
        <v>0</v>
      </c>
      <c r="L3260" s="197">
        <v>0</v>
      </c>
      <c r="M3260" s="260" t="s">
        <v>239</v>
      </c>
      <c r="N3260" s="260" t="s">
        <v>514</v>
      </c>
    </row>
    <row r="3261" spans="1:14" ht="14.5" x14ac:dyDescent="0.35">
      <c r="A3261" s="260" t="s">
        <v>566</v>
      </c>
      <c r="B3261" s="190">
        <v>46012</v>
      </c>
      <c r="C3261" s="260" t="s">
        <v>754</v>
      </c>
      <c r="D3261" s="197">
        <v>0</v>
      </c>
      <c r="E3261" s="197">
        <v>0</v>
      </c>
      <c r="F3261" s="197">
        <v>78.2</v>
      </c>
      <c r="G3261" s="190">
        <v>46010</v>
      </c>
      <c r="H3261" s="196">
        <v>2</v>
      </c>
      <c r="I3261" s="197">
        <v>0</v>
      </c>
      <c r="J3261" s="197">
        <v>0</v>
      </c>
      <c r="K3261" s="197">
        <v>0</v>
      </c>
      <c r="L3261" s="197">
        <v>0</v>
      </c>
      <c r="M3261" s="260" t="s">
        <v>239</v>
      </c>
      <c r="N3261" s="260" t="s">
        <v>514</v>
      </c>
    </row>
    <row r="3262" spans="1:14" ht="14.5" x14ac:dyDescent="0.35">
      <c r="A3262" s="260" t="s">
        <v>566</v>
      </c>
      <c r="B3262" s="190">
        <v>46013</v>
      </c>
      <c r="C3262" s="260" t="s">
        <v>749</v>
      </c>
      <c r="D3262" s="197">
        <v>0</v>
      </c>
      <c r="E3262" s="197">
        <v>0</v>
      </c>
      <c r="F3262" s="197">
        <v>47.65</v>
      </c>
      <c r="G3262" s="190">
        <v>46013</v>
      </c>
      <c r="H3262" s="196">
        <v>0</v>
      </c>
      <c r="I3262" s="197">
        <v>0</v>
      </c>
      <c r="J3262" s="197">
        <v>0</v>
      </c>
      <c r="K3262" s="197">
        <v>0</v>
      </c>
      <c r="L3262" s="197">
        <v>0</v>
      </c>
      <c r="M3262" s="260" t="s">
        <v>239</v>
      </c>
      <c r="N3262" s="260" t="s">
        <v>514</v>
      </c>
    </row>
    <row r="3263" spans="1:14" ht="14.5" x14ac:dyDescent="0.35">
      <c r="A3263" s="260" t="s">
        <v>566</v>
      </c>
      <c r="B3263" s="190">
        <v>46013</v>
      </c>
      <c r="C3263" s="260" t="s">
        <v>752</v>
      </c>
      <c r="D3263" s="197">
        <v>0</v>
      </c>
      <c r="E3263" s="197">
        <v>0</v>
      </c>
      <c r="F3263" s="197">
        <v>169.3</v>
      </c>
      <c r="G3263" s="190">
        <v>46013</v>
      </c>
      <c r="H3263" s="196">
        <v>0</v>
      </c>
      <c r="I3263" s="197">
        <v>0</v>
      </c>
      <c r="J3263" s="197">
        <v>0</v>
      </c>
      <c r="K3263" s="197">
        <v>0</v>
      </c>
      <c r="L3263" s="197">
        <v>0</v>
      </c>
      <c r="M3263" s="260" t="s">
        <v>239</v>
      </c>
      <c r="N3263" s="260" t="s">
        <v>514</v>
      </c>
    </row>
    <row r="3264" spans="1:14" ht="14.5" x14ac:dyDescent="0.35">
      <c r="A3264" s="260" t="s">
        <v>566</v>
      </c>
      <c r="B3264" s="190">
        <v>46013</v>
      </c>
      <c r="C3264" s="260" t="s">
        <v>754</v>
      </c>
      <c r="D3264" s="197">
        <v>0</v>
      </c>
      <c r="E3264" s="197">
        <v>0</v>
      </c>
      <c r="F3264" s="197">
        <v>78.099999999999994</v>
      </c>
      <c r="G3264" s="190">
        <v>46013</v>
      </c>
      <c r="H3264" s="196">
        <v>0</v>
      </c>
      <c r="I3264" s="197">
        <v>0</v>
      </c>
      <c r="J3264" s="197">
        <v>0</v>
      </c>
      <c r="K3264" s="197">
        <v>0</v>
      </c>
      <c r="L3264" s="197">
        <v>0</v>
      </c>
      <c r="M3264" s="260" t="s">
        <v>239</v>
      </c>
      <c r="N3264" s="260" t="s">
        <v>514</v>
      </c>
    </row>
    <row r="3265" spans="1:14" ht="14.5" x14ac:dyDescent="0.35">
      <c r="A3265" s="260" t="s">
        <v>566</v>
      </c>
      <c r="B3265" s="190">
        <v>46014</v>
      </c>
      <c r="C3265" s="260" t="s">
        <v>749</v>
      </c>
      <c r="D3265" s="197">
        <v>0</v>
      </c>
      <c r="E3265" s="197">
        <v>0</v>
      </c>
      <c r="F3265" s="197">
        <v>47.63</v>
      </c>
      <c r="G3265" s="190">
        <v>46014</v>
      </c>
      <c r="H3265" s="196">
        <v>0</v>
      </c>
      <c r="I3265" s="197">
        <v>0</v>
      </c>
      <c r="J3265" s="197">
        <v>0</v>
      </c>
      <c r="K3265" s="197">
        <v>0</v>
      </c>
      <c r="L3265" s="197">
        <v>0</v>
      </c>
      <c r="M3265" s="260" t="s">
        <v>239</v>
      </c>
      <c r="N3265" s="260" t="s">
        <v>514</v>
      </c>
    </row>
    <row r="3266" spans="1:14" ht="14.5" x14ac:dyDescent="0.35">
      <c r="A3266" s="260" t="s">
        <v>566</v>
      </c>
      <c r="B3266" s="190">
        <v>46014</v>
      </c>
      <c r="C3266" s="260" t="s">
        <v>752</v>
      </c>
      <c r="D3266" s="197">
        <v>0</v>
      </c>
      <c r="E3266" s="197">
        <v>0</v>
      </c>
      <c r="F3266" s="197">
        <v>169.27</v>
      </c>
      <c r="G3266" s="190">
        <v>46014</v>
      </c>
      <c r="H3266" s="196">
        <v>0</v>
      </c>
      <c r="I3266" s="197">
        <v>0</v>
      </c>
      <c r="J3266" s="197">
        <v>0</v>
      </c>
      <c r="K3266" s="197">
        <v>0</v>
      </c>
      <c r="L3266" s="197">
        <v>0</v>
      </c>
      <c r="M3266" s="260" t="s">
        <v>239</v>
      </c>
      <c r="N3266" s="260" t="s">
        <v>514</v>
      </c>
    </row>
    <row r="3267" spans="1:14" ht="14.5" x14ac:dyDescent="0.35">
      <c r="A3267" s="260" t="s">
        <v>566</v>
      </c>
      <c r="B3267" s="190">
        <v>46014</v>
      </c>
      <c r="C3267" s="260" t="s">
        <v>754</v>
      </c>
      <c r="D3267" s="197">
        <v>0</v>
      </c>
      <c r="E3267" s="197">
        <v>0</v>
      </c>
      <c r="F3267" s="197">
        <v>78.069999999999993</v>
      </c>
      <c r="G3267" s="190">
        <v>46014</v>
      </c>
      <c r="H3267" s="196">
        <v>0</v>
      </c>
      <c r="I3267" s="197">
        <v>0</v>
      </c>
      <c r="J3267" s="197">
        <v>0</v>
      </c>
      <c r="K3267" s="197">
        <v>0</v>
      </c>
      <c r="L3267" s="197">
        <v>0</v>
      </c>
      <c r="M3267" s="260" t="s">
        <v>239</v>
      </c>
      <c r="N3267" s="260" t="s">
        <v>514</v>
      </c>
    </row>
    <row r="3268" spans="1:14" ht="14.5" x14ac:dyDescent="0.35">
      <c r="A3268" s="260" t="s">
        <v>566</v>
      </c>
      <c r="B3268" s="190">
        <v>46015</v>
      </c>
      <c r="C3268" s="260" t="s">
        <v>749</v>
      </c>
      <c r="D3268" s="197">
        <v>0</v>
      </c>
      <c r="E3268" s="197">
        <v>0</v>
      </c>
      <c r="F3268" s="197">
        <v>47.62</v>
      </c>
      <c r="G3268" s="190">
        <v>46015</v>
      </c>
      <c r="H3268" s="196">
        <v>0</v>
      </c>
      <c r="I3268" s="197">
        <v>0</v>
      </c>
      <c r="J3268" s="197">
        <v>0</v>
      </c>
      <c r="K3268" s="197">
        <v>0</v>
      </c>
      <c r="L3268" s="197">
        <v>0</v>
      </c>
      <c r="M3268" s="260" t="s">
        <v>239</v>
      </c>
      <c r="N3268" s="260" t="s">
        <v>514</v>
      </c>
    </row>
    <row r="3269" spans="1:14" ht="14.5" x14ac:dyDescent="0.35">
      <c r="A3269" s="260" t="s">
        <v>566</v>
      </c>
      <c r="B3269" s="190">
        <v>46015</v>
      </c>
      <c r="C3269" s="260" t="s">
        <v>752</v>
      </c>
      <c r="D3269" s="197">
        <v>0</v>
      </c>
      <c r="E3269" s="197">
        <v>0</v>
      </c>
      <c r="F3269" s="197">
        <v>169.23</v>
      </c>
      <c r="G3269" s="190">
        <v>46015</v>
      </c>
      <c r="H3269" s="196">
        <v>0</v>
      </c>
      <c r="I3269" s="197">
        <v>0</v>
      </c>
      <c r="J3269" s="197">
        <v>0</v>
      </c>
      <c r="K3269" s="197">
        <v>0</v>
      </c>
      <c r="L3269" s="197">
        <v>0</v>
      </c>
      <c r="M3269" s="260" t="s">
        <v>239</v>
      </c>
      <c r="N3269" s="260" t="s">
        <v>514</v>
      </c>
    </row>
    <row r="3270" spans="1:14" ht="14.5" x14ac:dyDescent="0.35">
      <c r="A3270" s="260" t="s">
        <v>566</v>
      </c>
      <c r="B3270" s="190">
        <v>46015</v>
      </c>
      <c r="C3270" s="260" t="s">
        <v>754</v>
      </c>
      <c r="D3270" s="197">
        <v>0</v>
      </c>
      <c r="E3270" s="197">
        <v>0</v>
      </c>
      <c r="F3270" s="197">
        <v>78.03</v>
      </c>
      <c r="G3270" s="190">
        <v>46015</v>
      </c>
      <c r="H3270" s="196">
        <v>0</v>
      </c>
      <c r="I3270" s="197">
        <v>0</v>
      </c>
      <c r="J3270" s="197">
        <v>0</v>
      </c>
      <c r="K3270" s="197">
        <v>0</v>
      </c>
      <c r="L3270" s="197">
        <v>0</v>
      </c>
      <c r="M3270" s="260" t="s">
        <v>239</v>
      </c>
      <c r="N3270" s="260" t="s">
        <v>514</v>
      </c>
    </row>
    <row r="3271" spans="1:14" ht="14.5" x14ac:dyDescent="0.35">
      <c r="A3271" s="260" t="s">
        <v>566</v>
      </c>
      <c r="B3271" s="190">
        <v>46016</v>
      </c>
      <c r="C3271" s="260" t="s">
        <v>749</v>
      </c>
      <c r="D3271" s="197">
        <v>0</v>
      </c>
      <c r="E3271" s="197">
        <v>0</v>
      </c>
      <c r="F3271" s="197">
        <v>47.6</v>
      </c>
      <c r="G3271" s="190">
        <v>46016</v>
      </c>
      <c r="H3271" s="196">
        <v>0</v>
      </c>
      <c r="I3271" s="197">
        <v>0</v>
      </c>
      <c r="J3271" s="197">
        <v>0</v>
      </c>
      <c r="K3271" s="197">
        <v>0</v>
      </c>
      <c r="L3271" s="197">
        <v>0</v>
      </c>
      <c r="M3271" s="260" t="s">
        <v>239</v>
      </c>
      <c r="N3271" s="260" t="s">
        <v>514</v>
      </c>
    </row>
    <row r="3272" spans="1:14" ht="14.5" x14ac:dyDescent="0.35">
      <c r="A3272" s="260" t="s">
        <v>566</v>
      </c>
      <c r="B3272" s="190">
        <v>46016</v>
      </c>
      <c r="C3272" s="260" t="s">
        <v>752</v>
      </c>
      <c r="D3272" s="197">
        <v>0</v>
      </c>
      <c r="E3272" s="197">
        <v>0</v>
      </c>
      <c r="F3272" s="197">
        <v>169.2</v>
      </c>
      <c r="G3272" s="190">
        <v>46016</v>
      </c>
      <c r="H3272" s="196">
        <v>0</v>
      </c>
      <c r="I3272" s="197">
        <v>0</v>
      </c>
      <c r="J3272" s="197">
        <v>0</v>
      </c>
      <c r="K3272" s="197">
        <v>0</v>
      </c>
      <c r="L3272" s="197">
        <v>0</v>
      </c>
      <c r="M3272" s="260" t="s">
        <v>239</v>
      </c>
      <c r="N3272" s="260" t="s">
        <v>514</v>
      </c>
    </row>
    <row r="3273" spans="1:14" ht="14.5" x14ac:dyDescent="0.35">
      <c r="A3273" s="260" t="s">
        <v>566</v>
      </c>
      <c r="B3273" s="190">
        <v>46016</v>
      </c>
      <c r="C3273" s="260" t="s">
        <v>754</v>
      </c>
      <c r="D3273" s="197">
        <v>0</v>
      </c>
      <c r="E3273" s="197">
        <v>0</v>
      </c>
      <c r="F3273" s="197">
        <v>78</v>
      </c>
      <c r="G3273" s="190">
        <v>46016</v>
      </c>
      <c r="H3273" s="196">
        <v>0</v>
      </c>
      <c r="I3273" s="197">
        <v>0</v>
      </c>
      <c r="J3273" s="197">
        <v>0</v>
      </c>
      <c r="K3273" s="197">
        <v>0</v>
      </c>
      <c r="L3273" s="197">
        <v>0</v>
      </c>
      <c r="M3273" s="260" t="s">
        <v>239</v>
      </c>
      <c r="N3273" s="260" t="s">
        <v>514</v>
      </c>
    </row>
    <row r="3274" spans="1:14" ht="14.5" x14ac:dyDescent="0.35">
      <c r="A3274" s="260" t="s">
        <v>566</v>
      </c>
      <c r="B3274" s="190">
        <v>46017</v>
      </c>
      <c r="C3274" s="260" t="s">
        <v>749</v>
      </c>
      <c r="D3274" s="197">
        <v>0</v>
      </c>
      <c r="E3274" s="197">
        <v>0</v>
      </c>
      <c r="F3274" s="197">
        <v>47.58</v>
      </c>
      <c r="G3274" s="190">
        <v>46017</v>
      </c>
      <c r="H3274" s="196">
        <v>0</v>
      </c>
      <c r="I3274" s="197">
        <v>0</v>
      </c>
      <c r="J3274" s="197">
        <v>0</v>
      </c>
      <c r="K3274" s="197">
        <v>0</v>
      </c>
      <c r="L3274" s="197">
        <v>0</v>
      </c>
      <c r="M3274" s="260" t="s">
        <v>239</v>
      </c>
      <c r="N3274" s="260" t="s">
        <v>514</v>
      </c>
    </row>
    <row r="3275" spans="1:14" ht="14.5" x14ac:dyDescent="0.35">
      <c r="A3275" s="260" t="s">
        <v>566</v>
      </c>
      <c r="B3275" s="190">
        <v>46017</v>
      </c>
      <c r="C3275" s="260" t="s">
        <v>752</v>
      </c>
      <c r="D3275" s="197">
        <v>0</v>
      </c>
      <c r="E3275" s="197">
        <v>0</v>
      </c>
      <c r="F3275" s="197">
        <v>169.17</v>
      </c>
      <c r="G3275" s="190">
        <v>46017</v>
      </c>
      <c r="H3275" s="196">
        <v>0</v>
      </c>
      <c r="I3275" s="197">
        <v>0</v>
      </c>
      <c r="J3275" s="197">
        <v>0</v>
      </c>
      <c r="K3275" s="197">
        <v>0</v>
      </c>
      <c r="L3275" s="197">
        <v>0</v>
      </c>
      <c r="M3275" s="260" t="s">
        <v>239</v>
      </c>
      <c r="N3275" s="260" t="s">
        <v>514</v>
      </c>
    </row>
    <row r="3276" spans="1:14" ht="14.5" x14ac:dyDescent="0.35">
      <c r="A3276" s="260" t="s">
        <v>566</v>
      </c>
      <c r="B3276" s="190">
        <v>46017</v>
      </c>
      <c r="C3276" s="260" t="s">
        <v>754</v>
      </c>
      <c r="D3276" s="197">
        <v>0</v>
      </c>
      <c r="E3276" s="197">
        <v>0</v>
      </c>
      <c r="F3276" s="197">
        <v>77.97</v>
      </c>
      <c r="G3276" s="190">
        <v>46017</v>
      </c>
      <c r="H3276" s="196">
        <v>0</v>
      </c>
      <c r="I3276" s="197">
        <v>0</v>
      </c>
      <c r="J3276" s="197">
        <v>0</v>
      </c>
      <c r="K3276" s="197">
        <v>0</v>
      </c>
      <c r="L3276" s="197">
        <v>0</v>
      </c>
      <c r="M3276" s="260" t="s">
        <v>239</v>
      </c>
      <c r="N3276" s="260" t="s">
        <v>514</v>
      </c>
    </row>
    <row r="3277" spans="1:14" ht="14.5" x14ac:dyDescent="0.35">
      <c r="A3277" s="260" t="s">
        <v>566</v>
      </c>
      <c r="B3277" s="190">
        <v>46018</v>
      </c>
      <c r="C3277" s="260" t="s">
        <v>749</v>
      </c>
      <c r="D3277" s="197">
        <v>0</v>
      </c>
      <c r="E3277" s="197">
        <v>0</v>
      </c>
      <c r="F3277" s="197">
        <v>47.58</v>
      </c>
      <c r="G3277" s="190">
        <v>46017</v>
      </c>
      <c r="H3277" s="196">
        <v>1</v>
      </c>
      <c r="I3277" s="197">
        <v>0</v>
      </c>
      <c r="J3277" s="197">
        <v>0</v>
      </c>
      <c r="K3277" s="197">
        <v>0</v>
      </c>
      <c r="L3277" s="197">
        <v>0</v>
      </c>
      <c r="M3277" s="260" t="s">
        <v>239</v>
      </c>
      <c r="N3277" s="260" t="s">
        <v>514</v>
      </c>
    </row>
    <row r="3278" spans="1:14" ht="14.5" x14ac:dyDescent="0.35">
      <c r="A3278" s="260" t="s">
        <v>566</v>
      </c>
      <c r="B3278" s="190">
        <v>46018</v>
      </c>
      <c r="C3278" s="260" t="s">
        <v>752</v>
      </c>
      <c r="D3278" s="197">
        <v>0</v>
      </c>
      <c r="E3278" s="197">
        <v>0</v>
      </c>
      <c r="F3278" s="197">
        <v>169.17</v>
      </c>
      <c r="G3278" s="190">
        <v>46017</v>
      </c>
      <c r="H3278" s="196">
        <v>1</v>
      </c>
      <c r="I3278" s="197">
        <v>0</v>
      </c>
      <c r="J3278" s="197">
        <v>0</v>
      </c>
      <c r="K3278" s="197">
        <v>0</v>
      </c>
      <c r="L3278" s="197">
        <v>0</v>
      </c>
      <c r="M3278" s="260" t="s">
        <v>239</v>
      </c>
      <c r="N3278" s="260" t="s">
        <v>514</v>
      </c>
    </row>
    <row r="3279" spans="1:14" ht="14.5" x14ac:dyDescent="0.35">
      <c r="A3279" s="260" t="s">
        <v>566</v>
      </c>
      <c r="B3279" s="190">
        <v>46018</v>
      </c>
      <c r="C3279" s="260" t="s">
        <v>754</v>
      </c>
      <c r="D3279" s="197">
        <v>0</v>
      </c>
      <c r="E3279" s="197">
        <v>0</v>
      </c>
      <c r="F3279" s="197">
        <v>77.97</v>
      </c>
      <c r="G3279" s="190">
        <v>46017</v>
      </c>
      <c r="H3279" s="196">
        <v>1</v>
      </c>
      <c r="I3279" s="197">
        <v>0</v>
      </c>
      <c r="J3279" s="197">
        <v>0</v>
      </c>
      <c r="K3279" s="197">
        <v>0</v>
      </c>
      <c r="L3279" s="197">
        <v>0</v>
      </c>
      <c r="M3279" s="260" t="s">
        <v>239</v>
      </c>
      <c r="N3279" s="260" t="s">
        <v>514</v>
      </c>
    </row>
    <row r="3280" spans="1:14" ht="14.5" x14ac:dyDescent="0.35">
      <c r="A3280" s="260" t="s">
        <v>566</v>
      </c>
      <c r="B3280" s="190">
        <v>46019</v>
      </c>
      <c r="C3280" s="260" t="s">
        <v>749</v>
      </c>
      <c r="D3280" s="197">
        <v>0</v>
      </c>
      <c r="E3280" s="197">
        <v>0</v>
      </c>
      <c r="F3280" s="197">
        <v>47.58</v>
      </c>
      <c r="G3280" s="190">
        <v>46017</v>
      </c>
      <c r="H3280" s="196">
        <v>2</v>
      </c>
      <c r="I3280" s="197">
        <v>0</v>
      </c>
      <c r="J3280" s="197">
        <v>0</v>
      </c>
      <c r="K3280" s="197">
        <v>0</v>
      </c>
      <c r="L3280" s="197">
        <v>0</v>
      </c>
      <c r="M3280" s="260" t="s">
        <v>239</v>
      </c>
      <c r="N3280" s="260" t="s">
        <v>514</v>
      </c>
    </row>
    <row r="3281" spans="1:14" ht="14.5" x14ac:dyDescent="0.35">
      <c r="A3281" s="260" t="s">
        <v>566</v>
      </c>
      <c r="B3281" s="190">
        <v>46019</v>
      </c>
      <c r="C3281" s="260" t="s">
        <v>752</v>
      </c>
      <c r="D3281" s="197">
        <v>0</v>
      </c>
      <c r="E3281" s="197">
        <v>0</v>
      </c>
      <c r="F3281" s="197">
        <v>169.17</v>
      </c>
      <c r="G3281" s="190">
        <v>46017</v>
      </c>
      <c r="H3281" s="196">
        <v>2</v>
      </c>
      <c r="I3281" s="197">
        <v>0</v>
      </c>
      <c r="J3281" s="197">
        <v>0</v>
      </c>
      <c r="K3281" s="197">
        <v>0</v>
      </c>
      <c r="L3281" s="197">
        <v>0</v>
      </c>
      <c r="M3281" s="260" t="s">
        <v>239</v>
      </c>
      <c r="N3281" s="260" t="s">
        <v>514</v>
      </c>
    </row>
    <row r="3282" spans="1:14" ht="14.5" x14ac:dyDescent="0.35">
      <c r="A3282" s="260" t="s">
        <v>566</v>
      </c>
      <c r="B3282" s="190">
        <v>46019</v>
      </c>
      <c r="C3282" s="260" t="s">
        <v>754</v>
      </c>
      <c r="D3282" s="197">
        <v>0</v>
      </c>
      <c r="E3282" s="197">
        <v>0</v>
      </c>
      <c r="F3282" s="197">
        <v>77.97</v>
      </c>
      <c r="G3282" s="190">
        <v>46017</v>
      </c>
      <c r="H3282" s="196">
        <v>2</v>
      </c>
      <c r="I3282" s="197">
        <v>0</v>
      </c>
      <c r="J3282" s="197">
        <v>0</v>
      </c>
      <c r="K3282" s="197">
        <v>0</v>
      </c>
      <c r="L3282" s="197">
        <v>0</v>
      </c>
      <c r="M3282" s="260" t="s">
        <v>239</v>
      </c>
      <c r="N3282" s="260" t="s">
        <v>514</v>
      </c>
    </row>
    <row r="3283" spans="1:14" ht="14.5" x14ac:dyDescent="0.35">
      <c r="A3283" s="260" t="s">
        <v>566</v>
      </c>
      <c r="B3283" s="190">
        <v>46020</v>
      </c>
      <c r="C3283" s="260" t="s">
        <v>749</v>
      </c>
      <c r="D3283" s="197">
        <v>0</v>
      </c>
      <c r="E3283" s="197">
        <v>0</v>
      </c>
      <c r="F3283" s="197">
        <v>47.53</v>
      </c>
      <c r="G3283" s="190">
        <v>46020</v>
      </c>
      <c r="H3283" s="196">
        <v>0</v>
      </c>
      <c r="I3283" s="197">
        <v>0</v>
      </c>
      <c r="J3283" s="197">
        <v>0</v>
      </c>
      <c r="K3283" s="197">
        <v>0</v>
      </c>
      <c r="L3283" s="197">
        <v>0</v>
      </c>
      <c r="M3283" s="260" t="s">
        <v>239</v>
      </c>
      <c r="N3283" s="260" t="s">
        <v>514</v>
      </c>
    </row>
    <row r="3284" spans="1:14" ht="14.5" x14ac:dyDescent="0.35">
      <c r="A3284" s="260" t="s">
        <v>566</v>
      </c>
      <c r="B3284" s="190">
        <v>46020</v>
      </c>
      <c r="C3284" s="260" t="s">
        <v>752</v>
      </c>
      <c r="D3284" s="197">
        <v>0</v>
      </c>
      <c r="E3284" s="197">
        <v>0</v>
      </c>
      <c r="F3284" s="197">
        <v>169.07</v>
      </c>
      <c r="G3284" s="190">
        <v>46020</v>
      </c>
      <c r="H3284" s="196">
        <v>0</v>
      </c>
      <c r="I3284" s="197">
        <v>0</v>
      </c>
      <c r="J3284" s="197">
        <v>0</v>
      </c>
      <c r="K3284" s="197">
        <v>0</v>
      </c>
      <c r="L3284" s="197">
        <v>0</v>
      </c>
      <c r="M3284" s="260" t="s">
        <v>239</v>
      </c>
      <c r="N3284" s="260" t="s">
        <v>514</v>
      </c>
    </row>
    <row r="3285" spans="1:14" ht="14.5" x14ac:dyDescent="0.35">
      <c r="A3285" s="260" t="s">
        <v>566</v>
      </c>
      <c r="B3285" s="190">
        <v>46020</v>
      </c>
      <c r="C3285" s="260" t="s">
        <v>754</v>
      </c>
      <c r="D3285" s="197">
        <v>0</v>
      </c>
      <c r="E3285" s="197">
        <v>0</v>
      </c>
      <c r="F3285" s="197">
        <v>77.87</v>
      </c>
      <c r="G3285" s="190">
        <v>46020</v>
      </c>
      <c r="H3285" s="196">
        <v>0</v>
      </c>
      <c r="I3285" s="197">
        <v>0</v>
      </c>
      <c r="J3285" s="197">
        <v>0</v>
      </c>
      <c r="K3285" s="197">
        <v>0</v>
      </c>
      <c r="L3285" s="197">
        <v>0</v>
      </c>
      <c r="M3285" s="260" t="s">
        <v>239</v>
      </c>
      <c r="N3285" s="260" t="s">
        <v>514</v>
      </c>
    </row>
    <row r="3286" spans="1:14" ht="14.5" x14ac:dyDescent="0.35">
      <c r="A3286" s="260" t="s">
        <v>566</v>
      </c>
      <c r="B3286" s="190">
        <v>46021</v>
      </c>
      <c r="C3286" s="260" t="s">
        <v>749</v>
      </c>
      <c r="D3286" s="197">
        <v>0</v>
      </c>
      <c r="E3286" s="197">
        <v>0</v>
      </c>
      <c r="F3286" s="197">
        <v>47.52</v>
      </c>
      <c r="G3286" s="190">
        <v>46021</v>
      </c>
      <c r="H3286" s="196">
        <v>0</v>
      </c>
      <c r="I3286" s="197">
        <v>0</v>
      </c>
      <c r="J3286" s="197">
        <v>0</v>
      </c>
      <c r="K3286" s="197">
        <v>0</v>
      </c>
      <c r="L3286" s="197">
        <v>0</v>
      </c>
      <c r="M3286" s="260" t="s">
        <v>239</v>
      </c>
      <c r="N3286" s="260" t="s">
        <v>514</v>
      </c>
    </row>
    <row r="3287" spans="1:14" ht="14.5" x14ac:dyDescent="0.35">
      <c r="A3287" s="260" t="s">
        <v>566</v>
      </c>
      <c r="B3287" s="190">
        <v>46021</v>
      </c>
      <c r="C3287" s="260" t="s">
        <v>752</v>
      </c>
      <c r="D3287" s="197">
        <v>0</v>
      </c>
      <c r="E3287" s="197">
        <v>0</v>
      </c>
      <c r="F3287" s="197">
        <v>169.03</v>
      </c>
      <c r="G3287" s="190">
        <v>46021</v>
      </c>
      <c r="H3287" s="196">
        <v>0</v>
      </c>
      <c r="I3287" s="197">
        <v>0</v>
      </c>
      <c r="J3287" s="197">
        <v>0</v>
      </c>
      <c r="K3287" s="197">
        <v>0</v>
      </c>
      <c r="L3287" s="197">
        <v>0</v>
      </c>
      <c r="M3287" s="260" t="s">
        <v>239</v>
      </c>
      <c r="N3287" s="260" t="s">
        <v>514</v>
      </c>
    </row>
    <row r="3288" spans="1:14" ht="14.5" x14ac:dyDescent="0.35">
      <c r="A3288" s="260" t="s">
        <v>566</v>
      </c>
      <c r="B3288" s="190">
        <v>46021</v>
      </c>
      <c r="C3288" s="260" t="s">
        <v>754</v>
      </c>
      <c r="D3288" s="197">
        <v>0</v>
      </c>
      <c r="E3288" s="197">
        <v>0</v>
      </c>
      <c r="F3288" s="197">
        <v>77.83</v>
      </c>
      <c r="G3288" s="190">
        <v>46021</v>
      </c>
      <c r="H3288" s="196">
        <v>0</v>
      </c>
      <c r="I3288" s="197">
        <v>0</v>
      </c>
      <c r="J3288" s="197">
        <v>0</v>
      </c>
      <c r="K3288" s="197">
        <v>0</v>
      </c>
      <c r="L3288" s="197">
        <v>0</v>
      </c>
      <c r="M3288" s="260" t="s">
        <v>239</v>
      </c>
      <c r="N3288" s="260" t="s">
        <v>514</v>
      </c>
    </row>
    <row r="3289" spans="1:14" ht="14.5" x14ac:dyDescent="0.35">
      <c r="A3289" s="260" t="s">
        <v>566</v>
      </c>
      <c r="B3289" s="190">
        <v>46022</v>
      </c>
      <c r="C3289" s="260" t="s">
        <v>749</v>
      </c>
      <c r="D3289" s="197">
        <v>0</v>
      </c>
      <c r="E3289" s="197">
        <v>0</v>
      </c>
      <c r="F3289" s="197">
        <v>47.5</v>
      </c>
      <c r="G3289" s="190">
        <v>46022</v>
      </c>
      <c r="H3289" s="196">
        <v>0</v>
      </c>
      <c r="I3289" s="197">
        <v>0</v>
      </c>
      <c r="J3289" s="197">
        <v>0</v>
      </c>
      <c r="K3289" s="197">
        <v>0</v>
      </c>
      <c r="L3289" s="197">
        <v>0</v>
      </c>
      <c r="M3289" s="260" t="s">
        <v>239</v>
      </c>
      <c r="N3289" s="260" t="s">
        <v>514</v>
      </c>
    </row>
    <row r="3290" spans="1:14" ht="14.5" x14ac:dyDescent="0.35">
      <c r="A3290" s="260" t="s">
        <v>566</v>
      </c>
      <c r="B3290" s="190">
        <v>46022</v>
      </c>
      <c r="C3290" s="260" t="s">
        <v>752</v>
      </c>
      <c r="D3290" s="197">
        <v>0</v>
      </c>
      <c r="E3290" s="197">
        <v>0</v>
      </c>
      <c r="F3290" s="197">
        <v>169</v>
      </c>
      <c r="G3290" s="190">
        <v>46022</v>
      </c>
      <c r="H3290" s="196">
        <v>0</v>
      </c>
      <c r="I3290" s="197">
        <v>0</v>
      </c>
      <c r="J3290" s="197">
        <v>0</v>
      </c>
      <c r="K3290" s="197">
        <v>0</v>
      </c>
      <c r="L3290" s="197">
        <v>0</v>
      </c>
      <c r="M3290" s="260" t="s">
        <v>239</v>
      </c>
      <c r="N3290" s="260" t="s">
        <v>514</v>
      </c>
    </row>
    <row r="3291" spans="1:14" ht="14.5" x14ac:dyDescent="0.35">
      <c r="A3291" s="260" t="s">
        <v>566</v>
      </c>
      <c r="B3291" s="190">
        <v>46022</v>
      </c>
      <c r="C3291" s="260" t="s">
        <v>754</v>
      </c>
      <c r="D3291" s="197">
        <v>0</v>
      </c>
      <c r="E3291" s="197">
        <v>0</v>
      </c>
      <c r="F3291" s="197">
        <v>77.8</v>
      </c>
      <c r="G3291" s="190">
        <v>46022</v>
      </c>
      <c r="H3291" s="196">
        <v>0</v>
      </c>
      <c r="I3291" s="197">
        <v>0</v>
      </c>
      <c r="J3291" s="197">
        <v>0</v>
      </c>
      <c r="K3291" s="197">
        <v>0</v>
      </c>
      <c r="L3291" s="197">
        <v>0</v>
      </c>
      <c r="M3291" s="260" t="s">
        <v>239</v>
      </c>
      <c r="N3291" s="260" t="s">
        <v>514</v>
      </c>
    </row>
    <row r="3292" spans="1:14" ht="14.5" x14ac:dyDescent="0.35">
      <c r="A3292" s="260" t="s">
        <v>747</v>
      </c>
      <c r="B3292" s="190">
        <v>45658</v>
      </c>
      <c r="C3292" s="260" t="s">
        <v>749</v>
      </c>
      <c r="D3292" s="197">
        <v>0</v>
      </c>
      <c r="E3292" s="197">
        <v>0</v>
      </c>
      <c r="F3292" s="197">
        <v>100</v>
      </c>
      <c r="G3292" s="190">
        <v>45658</v>
      </c>
      <c r="H3292" s="196">
        <v>0</v>
      </c>
      <c r="I3292" s="197">
        <v>0</v>
      </c>
      <c r="J3292" s="197">
        <v>0</v>
      </c>
      <c r="K3292" s="197">
        <v>0</v>
      </c>
      <c r="L3292" s="197">
        <v>0</v>
      </c>
      <c r="M3292" s="260" t="s">
        <v>239</v>
      </c>
      <c r="N3292" s="260" t="s">
        <v>514</v>
      </c>
    </row>
    <row r="3293" spans="1:14" ht="14.5" x14ac:dyDescent="0.35">
      <c r="A3293" s="260" t="s">
        <v>747</v>
      </c>
      <c r="B3293" s="190">
        <v>45658</v>
      </c>
      <c r="C3293" s="260" t="s">
        <v>752</v>
      </c>
      <c r="D3293" s="197">
        <v>0</v>
      </c>
      <c r="E3293" s="197">
        <v>0</v>
      </c>
      <c r="F3293" s="197">
        <v>200</v>
      </c>
      <c r="G3293" s="190">
        <v>45658</v>
      </c>
      <c r="H3293" s="196">
        <v>0</v>
      </c>
      <c r="I3293" s="197">
        <v>0</v>
      </c>
      <c r="J3293" s="197">
        <v>0</v>
      </c>
      <c r="K3293" s="197">
        <v>0</v>
      </c>
      <c r="L3293" s="197">
        <v>0</v>
      </c>
      <c r="M3293" s="260" t="s">
        <v>239</v>
      </c>
      <c r="N3293" s="260" t="s">
        <v>514</v>
      </c>
    </row>
    <row r="3294" spans="1:14" ht="14.5" x14ac:dyDescent="0.35">
      <c r="A3294" s="260" t="s">
        <v>747</v>
      </c>
      <c r="B3294" s="190">
        <v>45658</v>
      </c>
      <c r="C3294" s="260" t="s">
        <v>754</v>
      </c>
      <c r="D3294" s="197">
        <v>0</v>
      </c>
      <c r="E3294" s="197">
        <v>0</v>
      </c>
      <c r="F3294" s="197">
        <v>80</v>
      </c>
      <c r="G3294" s="190">
        <v>45658</v>
      </c>
      <c r="H3294" s="196">
        <v>0</v>
      </c>
      <c r="I3294" s="197">
        <v>0</v>
      </c>
      <c r="J3294" s="197">
        <v>0</v>
      </c>
      <c r="K3294" s="197">
        <v>0</v>
      </c>
      <c r="L3294" s="197">
        <v>0</v>
      </c>
      <c r="M3294" s="260" t="s">
        <v>239</v>
      </c>
      <c r="N3294" s="260" t="s">
        <v>514</v>
      </c>
    </row>
    <row r="3295" spans="1:14" ht="14.5" x14ac:dyDescent="0.35">
      <c r="A3295" s="260" t="s">
        <v>747</v>
      </c>
      <c r="B3295" s="190">
        <v>45659</v>
      </c>
      <c r="C3295" s="260" t="s">
        <v>749</v>
      </c>
      <c r="D3295" s="197">
        <v>40</v>
      </c>
      <c r="E3295" s="197">
        <v>4004</v>
      </c>
      <c r="F3295" s="197">
        <v>100.07</v>
      </c>
      <c r="G3295" s="190">
        <v>45659</v>
      </c>
      <c r="H3295" s="196">
        <v>0</v>
      </c>
      <c r="I3295" s="197">
        <v>4002.7999999999997</v>
      </c>
      <c r="J3295" s="197">
        <v>4002.7999999999997</v>
      </c>
      <c r="K3295" s="197">
        <v>0</v>
      </c>
      <c r="L3295" s="197">
        <v>-1.2000000000002728</v>
      </c>
      <c r="M3295" s="260" t="s">
        <v>239</v>
      </c>
      <c r="N3295" s="260" t="s">
        <v>514</v>
      </c>
    </row>
    <row r="3296" spans="1:14" ht="14.5" x14ac:dyDescent="0.35">
      <c r="A3296" s="260" t="s">
        <v>747</v>
      </c>
      <c r="B3296" s="190">
        <v>45659</v>
      </c>
      <c r="C3296" s="260" t="s">
        <v>752</v>
      </c>
      <c r="D3296" s="197">
        <v>0</v>
      </c>
      <c r="E3296" s="197">
        <v>0</v>
      </c>
      <c r="F3296" s="197">
        <v>199.83</v>
      </c>
      <c r="G3296" s="190">
        <v>45659</v>
      </c>
      <c r="H3296" s="196">
        <v>0</v>
      </c>
      <c r="I3296" s="197">
        <v>0</v>
      </c>
      <c r="J3296" s="197">
        <v>0</v>
      </c>
      <c r="K3296" s="197">
        <v>0</v>
      </c>
      <c r="L3296" s="197">
        <v>0</v>
      </c>
      <c r="M3296" s="260" t="s">
        <v>239</v>
      </c>
      <c r="N3296" s="260" t="s">
        <v>514</v>
      </c>
    </row>
    <row r="3297" spans="1:14" ht="14.5" x14ac:dyDescent="0.35">
      <c r="A3297" s="260" t="s">
        <v>747</v>
      </c>
      <c r="B3297" s="190">
        <v>45659</v>
      </c>
      <c r="C3297" s="260" t="s">
        <v>754</v>
      </c>
      <c r="D3297" s="197">
        <v>100</v>
      </c>
      <c r="E3297" s="197">
        <v>8008</v>
      </c>
      <c r="F3297" s="197">
        <v>80.069999999999993</v>
      </c>
      <c r="G3297" s="190">
        <v>45659</v>
      </c>
      <c r="H3297" s="196">
        <v>0</v>
      </c>
      <c r="I3297" s="197">
        <v>8006.9999999999991</v>
      </c>
      <c r="J3297" s="197">
        <v>8006.9999999999991</v>
      </c>
      <c r="K3297" s="197">
        <v>0</v>
      </c>
      <c r="L3297" s="197">
        <v>-1.0000000000009095</v>
      </c>
      <c r="M3297" s="260" t="s">
        <v>239</v>
      </c>
      <c r="N3297" s="260" t="s">
        <v>514</v>
      </c>
    </row>
    <row r="3298" spans="1:14" ht="14.5" x14ac:dyDescent="0.35">
      <c r="A3298" s="260" t="s">
        <v>747</v>
      </c>
      <c r="B3298" s="190">
        <v>45660</v>
      </c>
      <c r="C3298" s="260" t="s">
        <v>749</v>
      </c>
      <c r="D3298" s="197">
        <v>40</v>
      </c>
      <c r="E3298" s="197">
        <v>4004</v>
      </c>
      <c r="F3298" s="197">
        <v>100.13</v>
      </c>
      <c r="G3298" s="190">
        <v>45660</v>
      </c>
      <c r="H3298" s="196">
        <v>0</v>
      </c>
      <c r="I3298" s="197">
        <v>4005.2</v>
      </c>
      <c r="J3298" s="197">
        <v>4005.2</v>
      </c>
      <c r="K3298" s="197">
        <v>0</v>
      </c>
      <c r="L3298" s="197">
        <v>1.1999999999998181</v>
      </c>
      <c r="M3298" s="260" t="s">
        <v>239</v>
      </c>
      <c r="N3298" s="260" t="s">
        <v>514</v>
      </c>
    </row>
    <row r="3299" spans="1:14" ht="14.5" x14ac:dyDescent="0.35">
      <c r="A3299" s="260" t="s">
        <v>747</v>
      </c>
      <c r="B3299" s="190">
        <v>45660</v>
      </c>
      <c r="C3299" s="260" t="s">
        <v>752</v>
      </c>
      <c r="D3299" s="197">
        <v>0</v>
      </c>
      <c r="E3299" s="197">
        <v>0</v>
      </c>
      <c r="F3299" s="197">
        <v>199.67</v>
      </c>
      <c r="G3299" s="190">
        <v>45660</v>
      </c>
      <c r="H3299" s="196">
        <v>0</v>
      </c>
      <c r="I3299" s="197">
        <v>0</v>
      </c>
      <c r="J3299" s="197">
        <v>0</v>
      </c>
      <c r="K3299" s="197">
        <v>0</v>
      </c>
      <c r="L3299" s="197">
        <v>0</v>
      </c>
      <c r="M3299" s="260" t="s">
        <v>239</v>
      </c>
      <c r="N3299" s="260" t="s">
        <v>514</v>
      </c>
    </row>
    <row r="3300" spans="1:14" ht="14.5" x14ac:dyDescent="0.35">
      <c r="A3300" s="260" t="s">
        <v>747</v>
      </c>
      <c r="B3300" s="190">
        <v>45660</v>
      </c>
      <c r="C3300" s="260" t="s">
        <v>754</v>
      </c>
      <c r="D3300" s="197">
        <v>100</v>
      </c>
      <c r="E3300" s="197">
        <v>8008</v>
      </c>
      <c r="F3300" s="197">
        <v>80.13</v>
      </c>
      <c r="G3300" s="190">
        <v>45660</v>
      </c>
      <c r="H3300" s="196">
        <v>0</v>
      </c>
      <c r="I3300" s="197">
        <v>8013</v>
      </c>
      <c r="J3300" s="197">
        <v>8013</v>
      </c>
      <c r="K3300" s="197">
        <v>0</v>
      </c>
      <c r="L3300" s="197">
        <v>5</v>
      </c>
      <c r="M3300" s="260" t="s">
        <v>239</v>
      </c>
      <c r="N3300" s="260" t="s">
        <v>514</v>
      </c>
    </row>
    <row r="3301" spans="1:14" ht="14.5" x14ac:dyDescent="0.35">
      <c r="A3301" s="260" t="s">
        <v>747</v>
      </c>
      <c r="B3301" s="190">
        <v>45661</v>
      </c>
      <c r="C3301" s="260" t="s">
        <v>749</v>
      </c>
      <c r="D3301" s="197">
        <v>40</v>
      </c>
      <c r="E3301" s="197">
        <v>4004</v>
      </c>
      <c r="F3301" s="197">
        <v>100.13</v>
      </c>
      <c r="G3301" s="190">
        <v>45660</v>
      </c>
      <c r="H3301" s="196">
        <v>1</v>
      </c>
      <c r="I3301" s="197">
        <v>4005.2</v>
      </c>
      <c r="J3301" s="197">
        <v>4005.2</v>
      </c>
      <c r="K3301" s="197">
        <v>0</v>
      </c>
      <c r="L3301" s="197">
        <v>1.1999999999998181</v>
      </c>
      <c r="M3301" s="260" t="s">
        <v>239</v>
      </c>
      <c r="N3301" s="260" t="s">
        <v>514</v>
      </c>
    </row>
    <row r="3302" spans="1:14" ht="14.5" x14ac:dyDescent="0.35">
      <c r="A3302" s="260" t="s">
        <v>747</v>
      </c>
      <c r="B3302" s="190">
        <v>45661</v>
      </c>
      <c r="C3302" s="260" t="s">
        <v>752</v>
      </c>
      <c r="D3302" s="197">
        <v>0</v>
      </c>
      <c r="E3302" s="197">
        <v>0</v>
      </c>
      <c r="F3302" s="197">
        <v>199.67</v>
      </c>
      <c r="G3302" s="190">
        <v>45660</v>
      </c>
      <c r="H3302" s="196">
        <v>1</v>
      </c>
      <c r="I3302" s="197">
        <v>0</v>
      </c>
      <c r="J3302" s="197">
        <v>0</v>
      </c>
      <c r="K3302" s="197">
        <v>0</v>
      </c>
      <c r="L3302" s="197">
        <v>0</v>
      </c>
      <c r="M3302" s="260" t="s">
        <v>239</v>
      </c>
      <c r="N3302" s="260" t="s">
        <v>514</v>
      </c>
    </row>
    <row r="3303" spans="1:14" ht="14.5" x14ac:dyDescent="0.35">
      <c r="A3303" s="260" t="s">
        <v>747</v>
      </c>
      <c r="B3303" s="190">
        <v>45661</v>
      </c>
      <c r="C3303" s="260" t="s">
        <v>754</v>
      </c>
      <c r="D3303" s="197">
        <v>100</v>
      </c>
      <c r="E3303" s="197">
        <v>8008</v>
      </c>
      <c r="F3303" s="197">
        <v>80.13</v>
      </c>
      <c r="G3303" s="190">
        <v>45660</v>
      </c>
      <c r="H3303" s="196">
        <v>1</v>
      </c>
      <c r="I3303" s="197">
        <v>8013</v>
      </c>
      <c r="J3303" s="197">
        <v>8013</v>
      </c>
      <c r="K3303" s="197">
        <v>0</v>
      </c>
      <c r="L3303" s="197">
        <v>5</v>
      </c>
      <c r="M3303" s="260" t="s">
        <v>239</v>
      </c>
      <c r="N3303" s="260" t="s">
        <v>514</v>
      </c>
    </row>
    <row r="3304" spans="1:14" ht="14.5" x14ac:dyDescent="0.35">
      <c r="A3304" s="260" t="s">
        <v>747</v>
      </c>
      <c r="B3304" s="190">
        <v>45662</v>
      </c>
      <c r="C3304" s="260" t="s">
        <v>749</v>
      </c>
      <c r="D3304" s="197">
        <v>40</v>
      </c>
      <c r="E3304" s="197">
        <v>4004</v>
      </c>
      <c r="F3304" s="197">
        <v>100.13</v>
      </c>
      <c r="G3304" s="190">
        <v>45660</v>
      </c>
      <c r="H3304" s="196">
        <v>2</v>
      </c>
      <c r="I3304" s="197">
        <v>4005.2</v>
      </c>
      <c r="J3304" s="197">
        <v>4005.2</v>
      </c>
      <c r="K3304" s="197">
        <v>0</v>
      </c>
      <c r="L3304" s="197">
        <v>1.1999999999998181</v>
      </c>
      <c r="M3304" s="260" t="s">
        <v>239</v>
      </c>
      <c r="N3304" s="260" t="s">
        <v>514</v>
      </c>
    </row>
    <row r="3305" spans="1:14" ht="14.5" x14ac:dyDescent="0.35">
      <c r="A3305" s="260" t="s">
        <v>747</v>
      </c>
      <c r="B3305" s="190">
        <v>45662</v>
      </c>
      <c r="C3305" s="260" t="s">
        <v>752</v>
      </c>
      <c r="D3305" s="197">
        <v>0</v>
      </c>
      <c r="E3305" s="197">
        <v>0</v>
      </c>
      <c r="F3305" s="197">
        <v>199.67</v>
      </c>
      <c r="G3305" s="190">
        <v>45660</v>
      </c>
      <c r="H3305" s="196">
        <v>2</v>
      </c>
      <c r="I3305" s="197">
        <v>0</v>
      </c>
      <c r="J3305" s="197">
        <v>0</v>
      </c>
      <c r="K3305" s="197">
        <v>0</v>
      </c>
      <c r="L3305" s="197">
        <v>0</v>
      </c>
      <c r="M3305" s="260" t="s">
        <v>239</v>
      </c>
      <c r="N3305" s="260" t="s">
        <v>514</v>
      </c>
    </row>
    <row r="3306" spans="1:14" ht="14.5" x14ac:dyDescent="0.35">
      <c r="A3306" s="260" t="s">
        <v>747</v>
      </c>
      <c r="B3306" s="190">
        <v>45662</v>
      </c>
      <c r="C3306" s="260" t="s">
        <v>754</v>
      </c>
      <c r="D3306" s="197">
        <v>100</v>
      </c>
      <c r="E3306" s="197">
        <v>8008</v>
      </c>
      <c r="F3306" s="197">
        <v>80.13</v>
      </c>
      <c r="G3306" s="190">
        <v>45660</v>
      </c>
      <c r="H3306" s="196">
        <v>2</v>
      </c>
      <c r="I3306" s="197">
        <v>8013</v>
      </c>
      <c r="J3306" s="197">
        <v>8013</v>
      </c>
      <c r="K3306" s="197">
        <v>0</v>
      </c>
      <c r="L3306" s="197">
        <v>5</v>
      </c>
      <c r="M3306" s="260" t="s">
        <v>239</v>
      </c>
      <c r="N3306" s="260" t="s">
        <v>514</v>
      </c>
    </row>
    <row r="3307" spans="1:14" ht="14.5" x14ac:dyDescent="0.35">
      <c r="A3307" s="260" t="s">
        <v>747</v>
      </c>
      <c r="B3307" s="190">
        <v>45663</v>
      </c>
      <c r="C3307" s="260" t="s">
        <v>749</v>
      </c>
      <c r="D3307" s="197">
        <v>40</v>
      </c>
      <c r="E3307" s="197">
        <v>4004</v>
      </c>
      <c r="F3307" s="197">
        <v>100.33</v>
      </c>
      <c r="G3307" s="190">
        <v>45663</v>
      </c>
      <c r="H3307" s="196">
        <v>0</v>
      </c>
      <c r="I3307" s="197">
        <v>4013.2</v>
      </c>
      <c r="J3307" s="197">
        <v>4013.2</v>
      </c>
      <c r="K3307" s="197">
        <v>0</v>
      </c>
      <c r="L3307" s="197">
        <v>9.1999999999998181</v>
      </c>
      <c r="M3307" s="260" t="s">
        <v>239</v>
      </c>
      <c r="N3307" s="260" t="s">
        <v>514</v>
      </c>
    </row>
    <row r="3308" spans="1:14" ht="14.5" x14ac:dyDescent="0.35">
      <c r="A3308" s="260" t="s">
        <v>747</v>
      </c>
      <c r="B3308" s="190">
        <v>45663</v>
      </c>
      <c r="C3308" s="260" t="s">
        <v>752</v>
      </c>
      <c r="D3308" s="197">
        <v>0</v>
      </c>
      <c r="E3308" s="197">
        <v>0</v>
      </c>
      <c r="F3308" s="197">
        <v>199.17</v>
      </c>
      <c r="G3308" s="190">
        <v>45663</v>
      </c>
      <c r="H3308" s="196">
        <v>0</v>
      </c>
      <c r="I3308" s="197">
        <v>0</v>
      </c>
      <c r="J3308" s="197">
        <v>0</v>
      </c>
      <c r="K3308" s="197">
        <v>0</v>
      </c>
      <c r="L3308" s="197">
        <v>0</v>
      </c>
      <c r="M3308" s="260" t="s">
        <v>239</v>
      </c>
      <c r="N3308" s="260" t="s">
        <v>514</v>
      </c>
    </row>
    <row r="3309" spans="1:14" ht="14.5" x14ac:dyDescent="0.35">
      <c r="A3309" s="260" t="s">
        <v>747</v>
      </c>
      <c r="B3309" s="190">
        <v>45663</v>
      </c>
      <c r="C3309" s="260" t="s">
        <v>754</v>
      </c>
      <c r="D3309" s="197">
        <v>100</v>
      </c>
      <c r="E3309" s="197">
        <v>8008</v>
      </c>
      <c r="F3309" s="197">
        <v>80.33</v>
      </c>
      <c r="G3309" s="190">
        <v>45663</v>
      </c>
      <c r="H3309" s="196">
        <v>0</v>
      </c>
      <c r="I3309" s="197">
        <v>8033</v>
      </c>
      <c r="J3309" s="197">
        <v>8033</v>
      </c>
      <c r="K3309" s="197">
        <v>0</v>
      </c>
      <c r="L3309" s="197">
        <v>25</v>
      </c>
      <c r="M3309" s="260" t="s">
        <v>239</v>
      </c>
      <c r="N3309" s="260" t="s">
        <v>514</v>
      </c>
    </row>
    <row r="3310" spans="1:14" ht="14.5" x14ac:dyDescent="0.35">
      <c r="A3310" s="260" t="s">
        <v>747</v>
      </c>
      <c r="B3310" s="190">
        <v>45664</v>
      </c>
      <c r="C3310" s="260" t="s">
        <v>749</v>
      </c>
      <c r="D3310" s="197">
        <v>40</v>
      </c>
      <c r="E3310" s="197">
        <v>4004</v>
      </c>
      <c r="F3310" s="197">
        <v>100.4</v>
      </c>
      <c r="G3310" s="190">
        <v>45664</v>
      </c>
      <c r="H3310" s="196">
        <v>0</v>
      </c>
      <c r="I3310" s="197">
        <v>4016</v>
      </c>
      <c r="J3310" s="197">
        <v>4016</v>
      </c>
      <c r="K3310" s="197">
        <v>0</v>
      </c>
      <c r="L3310" s="197">
        <v>12</v>
      </c>
      <c r="M3310" s="260" t="s">
        <v>239</v>
      </c>
      <c r="N3310" s="260" t="s">
        <v>514</v>
      </c>
    </row>
    <row r="3311" spans="1:14" ht="14.5" x14ac:dyDescent="0.35">
      <c r="A3311" s="260" t="s">
        <v>747</v>
      </c>
      <c r="B3311" s="190">
        <v>45664</v>
      </c>
      <c r="C3311" s="260" t="s">
        <v>752</v>
      </c>
      <c r="D3311" s="197">
        <v>0</v>
      </c>
      <c r="E3311" s="197">
        <v>0</v>
      </c>
      <c r="F3311" s="197">
        <v>199</v>
      </c>
      <c r="G3311" s="190">
        <v>45664</v>
      </c>
      <c r="H3311" s="196">
        <v>0</v>
      </c>
      <c r="I3311" s="197">
        <v>0</v>
      </c>
      <c r="J3311" s="197">
        <v>0</v>
      </c>
      <c r="K3311" s="197">
        <v>0</v>
      </c>
      <c r="L3311" s="197">
        <v>0</v>
      </c>
      <c r="M3311" s="260" t="s">
        <v>239</v>
      </c>
      <c r="N3311" s="260" t="s">
        <v>514</v>
      </c>
    </row>
    <row r="3312" spans="1:14" ht="14.5" x14ac:dyDescent="0.35">
      <c r="A3312" s="260" t="s">
        <v>747</v>
      </c>
      <c r="B3312" s="190">
        <v>45664</v>
      </c>
      <c r="C3312" s="260" t="s">
        <v>754</v>
      </c>
      <c r="D3312" s="197">
        <v>100</v>
      </c>
      <c r="E3312" s="197">
        <v>8008</v>
      </c>
      <c r="F3312" s="197">
        <v>80.400000000000006</v>
      </c>
      <c r="G3312" s="190">
        <v>45664</v>
      </c>
      <c r="H3312" s="196">
        <v>0</v>
      </c>
      <c r="I3312" s="197">
        <v>8040.0000000000009</v>
      </c>
      <c r="J3312" s="197">
        <v>8040.0000000000009</v>
      </c>
      <c r="K3312" s="197">
        <v>0</v>
      </c>
      <c r="L3312" s="197">
        <v>32.000000000000909</v>
      </c>
      <c r="M3312" s="260" t="s">
        <v>239</v>
      </c>
      <c r="N3312" s="260" t="s">
        <v>514</v>
      </c>
    </row>
    <row r="3313" spans="1:14" ht="14.5" x14ac:dyDescent="0.35">
      <c r="A3313" s="260" t="s">
        <v>747</v>
      </c>
      <c r="B3313" s="190">
        <v>45665</v>
      </c>
      <c r="C3313" s="260" t="s">
        <v>749</v>
      </c>
      <c r="D3313" s="197">
        <v>40</v>
      </c>
      <c r="E3313" s="197">
        <v>4004</v>
      </c>
      <c r="F3313" s="197">
        <v>100.47</v>
      </c>
      <c r="G3313" s="190">
        <v>45665</v>
      </c>
      <c r="H3313" s="196">
        <v>0</v>
      </c>
      <c r="I3313" s="197">
        <v>4018.8</v>
      </c>
      <c r="J3313" s="197">
        <v>4018.8</v>
      </c>
      <c r="K3313" s="197">
        <v>0</v>
      </c>
      <c r="L3313" s="197">
        <v>14.800000000000182</v>
      </c>
      <c r="M3313" s="260" t="s">
        <v>239</v>
      </c>
      <c r="N3313" s="260" t="s">
        <v>514</v>
      </c>
    </row>
    <row r="3314" spans="1:14" ht="14.5" x14ac:dyDescent="0.35">
      <c r="A3314" s="260" t="s">
        <v>747</v>
      </c>
      <c r="B3314" s="190">
        <v>45665</v>
      </c>
      <c r="C3314" s="260" t="s">
        <v>752</v>
      </c>
      <c r="D3314" s="197">
        <v>0</v>
      </c>
      <c r="E3314" s="197">
        <v>0</v>
      </c>
      <c r="F3314" s="197">
        <v>198.83</v>
      </c>
      <c r="G3314" s="190">
        <v>45665</v>
      </c>
      <c r="H3314" s="196">
        <v>0</v>
      </c>
      <c r="I3314" s="197">
        <v>0</v>
      </c>
      <c r="J3314" s="197">
        <v>0</v>
      </c>
      <c r="K3314" s="197">
        <v>0</v>
      </c>
      <c r="L3314" s="197">
        <v>0</v>
      </c>
      <c r="M3314" s="260" t="s">
        <v>239</v>
      </c>
      <c r="N3314" s="260" t="s">
        <v>514</v>
      </c>
    </row>
    <row r="3315" spans="1:14" ht="14.5" x14ac:dyDescent="0.35">
      <c r="A3315" s="260" t="s">
        <v>747</v>
      </c>
      <c r="B3315" s="190">
        <v>45665</v>
      </c>
      <c r="C3315" s="260" t="s">
        <v>754</v>
      </c>
      <c r="D3315" s="197">
        <v>100</v>
      </c>
      <c r="E3315" s="197">
        <v>8008</v>
      </c>
      <c r="F3315" s="197">
        <v>80.47</v>
      </c>
      <c r="G3315" s="190">
        <v>45665</v>
      </c>
      <c r="H3315" s="196">
        <v>0</v>
      </c>
      <c r="I3315" s="197">
        <v>8047</v>
      </c>
      <c r="J3315" s="197">
        <v>8047</v>
      </c>
      <c r="K3315" s="197">
        <v>0</v>
      </c>
      <c r="L3315" s="197">
        <v>39</v>
      </c>
      <c r="M3315" s="260" t="s">
        <v>239</v>
      </c>
      <c r="N3315" s="260" t="s">
        <v>514</v>
      </c>
    </row>
    <row r="3316" spans="1:14" ht="14.5" x14ac:dyDescent="0.35">
      <c r="A3316" s="260" t="s">
        <v>747</v>
      </c>
      <c r="B3316" s="190">
        <v>45666</v>
      </c>
      <c r="C3316" s="260" t="s">
        <v>749</v>
      </c>
      <c r="D3316" s="197">
        <v>40</v>
      </c>
      <c r="E3316" s="197">
        <v>4004</v>
      </c>
      <c r="F3316" s="197">
        <v>100.53</v>
      </c>
      <c r="G3316" s="190">
        <v>45666</v>
      </c>
      <c r="H3316" s="196">
        <v>0</v>
      </c>
      <c r="I3316" s="197">
        <v>4021.2</v>
      </c>
      <c r="J3316" s="197">
        <v>4021.2</v>
      </c>
      <c r="K3316" s="197">
        <v>0</v>
      </c>
      <c r="L3316" s="197">
        <v>17.199999999999818</v>
      </c>
      <c r="M3316" s="260" t="s">
        <v>239</v>
      </c>
      <c r="N3316" s="260" t="s">
        <v>514</v>
      </c>
    </row>
    <row r="3317" spans="1:14" ht="14.5" x14ac:dyDescent="0.35">
      <c r="A3317" s="260" t="s">
        <v>747</v>
      </c>
      <c r="B3317" s="190">
        <v>45666</v>
      </c>
      <c r="C3317" s="260" t="s">
        <v>752</v>
      </c>
      <c r="D3317" s="197">
        <v>0</v>
      </c>
      <c r="E3317" s="197">
        <v>0</v>
      </c>
      <c r="F3317" s="197">
        <v>198.67</v>
      </c>
      <c r="G3317" s="190">
        <v>45666</v>
      </c>
      <c r="H3317" s="196">
        <v>0</v>
      </c>
      <c r="I3317" s="197">
        <v>0</v>
      </c>
      <c r="J3317" s="197">
        <v>0</v>
      </c>
      <c r="K3317" s="197">
        <v>0</v>
      </c>
      <c r="L3317" s="197">
        <v>0</v>
      </c>
      <c r="M3317" s="260" t="s">
        <v>239</v>
      </c>
      <c r="N3317" s="260" t="s">
        <v>514</v>
      </c>
    </row>
    <row r="3318" spans="1:14" ht="14.5" x14ac:dyDescent="0.35">
      <c r="A3318" s="260" t="s">
        <v>747</v>
      </c>
      <c r="B3318" s="190">
        <v>45666</v>
      </c>
      <c r="C3318" s="260" t="s">
        <v>754</v>
      </c>
      <c r="D3318" s="197">
        <v>100</v>
      </c>
      <c r="E3318" s="197">
        <v>8008</v>
      </c>
      <c r="F3318" s="197">
        <v>80.53</v>
      </c>
      <c r="G3318" s="190">
        <v>45666</v>
      </c>
      <c r="H3318" s="196">
        <v>0</v>
      </c>
      <c r="I3318" s="197">
        <v>8053</v>
      </c>
      <c r="J3318" s="197">
        <v>8053</v>
      </c>
      <c r="K3318" s="197">
        <v>0</v>
      </c>
      <c r="L3318" s="197">
        <v>45</v>
      </c>
      <c r="M3318" s="260" t="s">
        <v>239</v>
      </c>
      <c r="N3318" s="260" t="s">
        <v>514</v>
      </c>
    </row>
    <row r="3319" spans="1:14" ht="14.5" x14ac:dyDescent="0.35">
      <c r="A3319" s="260" t="s">
        <v>747</v>
      </c>
      <c r="B3319" s="190">
        <v>45667</v>
      </c>
      <c r="C3319" s="260" t="s">
        <v>749</v>
      </c>
      <c r="D3319" s="197">
        <v>40</v>
      </c>
      <c r="E3319" s="197">
        <v>4004</v>
      </c>
      <c r="F3319" s="197">
        <v>100.6</v>
      </c>
      <c r="G3319" s="190">
        <v>45667</v>
      </c>
      <c r="H3319" s="196">
        <v>0</v>
      </c>
      <c r="I3319" s="197">
        <v>4024</v>
      </c>
      <c r="J3319" s="197">
        <v>4024</v>
      </c>
      <c r="K3319" s="197">
        <v>0</v>
      </c>
      <c r="L3319" s="197">
        <v>20</v>
      </c>
      <c r="M3319" s="260" t="s">
        <v>239</v>
      </c>
      <c r="N3319" s="260" t="s">
        <v>514</v>
      </c>
    </row>
    <row r="3320" spans="1:14" ht="14.5" x14ac:dyDescent="0.35">
      <c r="A3320" s="260" t="s">
        <v>747</v>
      </c>
      <c r="B3320" s="190">
        <v>45667</v>
      </c>
      <c r="C3320" s="260" t="s">
        <v>752</v>
      </c>
      <c r="D3320" s="197">
        <v>0</v>
      </c>
      <c r="E3320" s="197">
        <v>0</v>
      </c>
      <c r="F3320" s="197">
        <v>198.5</v>
      </c>
      <c r="G3320" s="190">
        <v>45667</v>
      </c>
      <c r="H3320" s="196">
        <v>0</v>
      </c>
      <c r="I3320" s="197">
        <v>0</v>
      </c>
      <c r="J3320" s="197">
        <v>0</v>
      </c>
      <c r="K3320" s="197">
        <v>0</v>
      </c>
      <c r="L3320" s="197">
        <v>0</v>
      </c>
      <c r="M3320" s="260" t="s">
        <v>239</v>
      </c>
      <c r="N3320" s="260" t="s">
        <v>514</v>
      </c>
    </row>
    <row r="3321" spans="1:14" ht="14.5" x14ac:dyDescent="0.35">
      <c r="A3321" s="260" t="s">
        <v>747</v>
      </c>
      <c r="B3321" s="190">
        <v>45667</v>
      </c>
      <c r="C3321" s="260" t="s">
        <v>754</v>
      </c>
      <c r="D3321" s="197">
        <v>100</v>
      </c>
      <c r="E3321" s="197">
        <v>8008</v>
      </c>
      <c r="F3321" s="197">
        <v>80.599999999999994</v>
      </c>
      <c r="G3321" s="190">
        <v>45667</v>
      </c>
      <c r="H3321" s="196">
        <v>0</v>
      </c>
      <c r="I3321" s="197">
        <v>8059.9999999999991</v>
      </c>
      <c r="J3321" s="197">
        <v>8059.9999999999991</v>
      </c>
      <c r="K3321" s="197">
        <v>0</v>
      </c>
      <c r="L3321" s="197">
        <v>51.999999999999091</v>
      </c>
      <c r="M3321" s="260" t="s">
        <v>239</v>
      </c>
      <c r="N3321" s="260" t="s">
        <v>514</v>
      </c>
    </row>
    <row r="3322" spans="1:14" ht="14.5" x14ac:dyDescent="0.35">
      <c r="A3322" s="260" t="s">
        <v>747</v>
      </c>
      <c r="B3322" s="190">
        <v>45668</v>
      </c>
      <c r="C3322" s="260" t="s">
        <v>749</v>
      </c>
      <c r="D3322" s="197">
        <v>40</v>
      </c>
      <c r="E3322" s="197">
        <v>4004</v>
      </c>
      <c r="F3322" s="197">
        <v>100.6</v>
      </c>
      <c r="G3322" s="190">
        <v>45667</v>
      </c>
      <c r="H3322" s="196">
        <v>1</v>
      </c>
      <c r="I3322" s="197">
        <v>4024</v>
      </c>
      <c r="J3322" s="197">
        <v>4024</v>
      </c>
      <c r="K3322" s="197">
        <v>0</v>
      </c>
      <c r="L3322" s="197">
        <v>20</v>
      </c>
      <c r="M3322" s="260" t="s">
        <v>239</v>
      </c>
      <c r="N3322" s="260" t="s">
        <v>514</v>
      </c>
    </row>
    <row r="3323" spans="1:14" ht="14.5" x14ac:dyDescent="0.35">
      <c r="A3323" s="260" t="s">
        <v>747</v>
      </c>
      <c r="B3323" s="190">
        <v>45668</v>
      </c>
      <c r="C3323" s="260" t="s">
        <v>752</v>
      </c>
      <c r="D3323" s="197">
        <v>0</v>
      </c>
      <c r="E3323" s="197">
        <v>0</v>
      </c>
      <c r="F3323" s="197">
        <v>198.5</v>
      </c>
      <c r="G3323" s="190">
        <v>45667</v>
      </c>
      <c r="H3323" s="196">
        <v>1</v>
      </c>
      <c r="I3323" s="197">
        <v>0</v>
      </c>
      <c r="J3323" s="197">
        <v>0</v>
      </c>
      <c r="K3323" s="197">
        <v>0</v>
      </c>
      <c r="L3323" s="197">
        <v>0</v>
      </c>
      <c r="M3323" s="260" t="s">
        <v>239</v>
      </c>
      <c r="N3323" s="260" t="s">
        <v>514</v>
      </c>
    </row>
    <row r="3324" spans="1:14" ht="14.5" x14ac:dyDescent="0.35">
      <c r="A3324" s="260" t="s">
        <v>747</v>
      </c>
      <c r="B3324" s="190">
        <v>45668</v>
      </c>
      <c r="C3324" s="260" t="s">
        <v>754</v>
      </c>
      <c r="D3324" s="197">
        <v>100</v>
      </c>
      <c r="E3324" s="197">
        <v>8008</v>
      </c>
      <c r="F3324" s="197">
        <v>80.599999999999994</v>
      </c>
      <c r="G3324" s="190">
        <v>45667</v>
      </c>
      <c r="H3324" s="196">
        <v>1</v>
      </c>
      <c r="I3324" s="197">
        <v>8059.9999999999991</v>
      </c>
      <c r="J3324" s="197">
        <v>8059.9999999999991</v>
      </c>
      <c r="K3324" s="197">
        <v>0</v>
      </c>
      <c r="L3324" s="197">
        <v>51.999999999999091</v>
      </c>
      <c r="M3324" s="260" t="s">
        <v>239</v>
      </c>
      <c r="N3324" s="260" t="s">
        <v>514</v>
      </c>
    </row>
    <row r="3325" spans="1:14" ht="14.5" x14ac:dyDescent="0.35">
      <c r="A3325" s="260" t="s">
        <v>747</v>
      </c>
      <c r="B3325" s="190">
        <v>45669</v>
      </c>
      <c r="C3325" s="260" t="s">
        <v>749</v>
      </c>
      <c r="D3325" s="197">
        <v>40</v>
      </c>
      <c r="E3325" s="197">
        <v>4004</v>
      </c>
      <c r="F3325" s="197">
        <v>100.6</v>
      </c>
      <c r="G3325" s="190">
        <v>45667</v>
      </c>
      <c r="H3325" s="196">
        <v>2</v>
      </c>
      <c r="I3325" s="197">
        <v>4024</v>
      </c>
      <c r="J3325" s="197">
        <v>4024</v>
      </c>
      <c r="K3325" s="197">
        <v>0</v>
      </c>
      <c r="L3325" s="197">
        <v>20</v>
      </c>
      <c r="M3325" s="260" t="s">
        <v>239</v>
      </c>
      <c r="N3325" s="260" t="s">
        <v>514</v>
      </c>
    </row>
    <row r="3326" spans="1:14" ht="14.5" x14ac:dyDescent="0.35">
      <c r="A3326" s="260" t="s">
        <v>747</v>
      </c>
      <c r="B3326" s="190">
        <v>45669</v>
      </c>
      <c r="C3326" s="260" t="s">
        <v>752</v>
      </c>
      <c r="D3326" s="197">
        <v>0</v>
      </c>
      <c r="E3326" s="197">
        <v>0</v>
      </c>
      <c r="F3326" s="197">
        <v>198.5</v>
      </c>
      <c r="G3326" s="190">
        <v>45667</v>
      </c>
      <c r="H3326" s="196">
        <v>2</v>
      </c>
      <c r="I3326" s="197">
        <v>0</v>
      </c>
      <c r="J3326" s="197">
        <v>0</v>
      </c>
      <c r="K3326" s="197">
        <v>0</v>
      </c>
      <c r="L3326" s="197">
        <v>0</v>
      </c>
      <c r="M3326" s="260" t="s">
        <v>239</v>
      </c>
      <c r="N3326" s="260" t="s">
        <v>514</v>
      </c>
    </row>
    <row r="3327" spans="1:14" ht="14.5" x14ac:dyDescent="0.35">
      <c r="A3327" s="260" t="s">
        <v>747</v>
      </c>
      <c r="B3327" s="190">
        <v>45669</v>
      </c>
      <c r="C3327" s="260" t="s">
        <v>754</v>
      </c>
      <c r="D3327" s="197">
        <v>100</v>
      </c>
      <c r="E3327" s="197">
        <v>8008</v>
      </c>
      <c r="F3327" s="197">
        <v>80.599999999999994</v>
      </c>
      <c r="G3327" s="190">
        <v>45667</v>
      </c>
      <c r="H3327" s="196">
        <v>2</v>
      </c>
      <c r="I3327" s="197">
        <v>8059.9999999999991</v>
      </c>
      <c r="J3327" s="197">
        <v>8059.9999999999991</v>
      </c>
      <c r="K3327" s="197">
        <v>0</v>
      </c>
      <c r="L3327" s="197">
        <v>51.999999999999091</v>
      </c>
      <c r="M3327" s="260" t="s">
        <v>239</v>
      </c>
      <c r="N3327" s="260" t="s">
        <v>514</v>
      </c>
    </row>
    <row r="3328" spans="1:14" ht="14.5" x14ac:dyDescent="0.35">
      <c r="A3328" s="260" t="s">
        <v>747</v>
      </c>
      <c r="B3328" s="190">
        <v>45670</v>
      </c>
      <c r="C3328" s="260" t="s">
        <v>749</v>
      </c>
      <c r="D3328" s="197">
        <v>40</v>
      </c>
      <c r="E3328" s="197">
        <v>4004</v>
      </c>
      <c r="F3328" s="197">
        <v>100.8</v>
      </c>
      <c r="G3328" s="190">
        <v>45670</v>
      </c>
      <c r="H3328" s="196">
        <v>0</v>
      </c>
      <c r="I3328" s="197">
        <v>4032</v>
      </c>
      <c r="J3328" s="197">
        <v>4032</v>
      </c>
      <c r="K3328" s="197">
        <v>0</v>
      </c>
      <c r="L3328" s="197">
        <v>28</v>
      </c>
      <c r="M3328" s="260" t="s">
        <v>239</v>
      </c>
      <c r="N3328" s="260" t="s">
        <v>514</v>
      </c>
    </row>
    <row r="3329" spans="1:14" ht="14.5" x14ac:dyDescent="0.35">
      <c r="A3329" s="260" t="s">
        <v>747</v>
      </c>
      <c r="B3329" s="190">
        <v>45670</v>
      </c>
      <c r="C3329" s="260" t="s">
        <v>752</v>
      </c>
      <c r="D3329" s="197">
        <v>0</v>
      </c>
      <c r="E3329" s="197">
        <v>0</v>
      </c>
      <c r="F3329" s="197">
        <v>198</v>
      </c>
      <c r="G3329" s="190">
        <v>45670</v>
      </c>
      <c r="H3329" s="196">
        <v>0</v>
      </c>
      <c r="I3329" s="197">
        <v>0</v>
      </c>
      <c r="J3329" s="197">
        <v>0</v>
      </c>
      <c r="K3329" s="197">
        <v>0</v>
      </c>
      <c r="L3329" s="197">
        <v>0</v>
      </c>
      <c r="M3329" s="260" t="s">
        <v>239</v>
      </c>
      <c r="N3329" s="260" t="s">
        <v>514</v>
      </c>
    </row>
    <row r="3330" spans="1:14" ht="14.5" x14ac:dyDescent="0.35">
      <c r="A3330" s="260" t="s">
        <v>747</v>
      </c>
      <c r="B3330" s="190">
        <v>45670</v>
      </c>
      <c r="C3330" s="260" t="s">
        <v>754</v>
      </c>
      <c r="D3330" s="197">
        <v>100</v>
      </c>
      <c r="E3330" s="197">
        <v>8008</v>
      </c>
      <c r="F3330" s="197">
        <v>80.8</v>
      </c>
      <c r="G3330" s="190">
        <v>45670</v>
      </c>
      <c r="H3330" s="196">
        <v>0</v>
      </c>
      <c r="I3330" s="197">
        <v>8080</v>
      </c>
      <c r="J3330" s="197">
        <v>8080</v>
      </c>
      <c r="K3330" s="197">
        <v>0</v>
      </c>
      <c r="L3330" s="197">
        <v>72</v>
      </c>
      <c r="M3330" s="260" t="s">
        <v>239</v>
      </c>
      <c r="N3330" s="260" t="s">
        <v>514</v>
      </c>
    </row>
    <row r="3331" spans="1:14" ht="14.5" x14ac:dyDescent="0.35">
      <c r="A3331" s="260" t="s">
        <v>747</v>
      </c>
      <c r="B3331" s="190">
        <v>45671</v>
      </c>
      <c r="C3331" s="260" t="s">
        <v>749</v>
      </c>
      <c r="D3331" s="197">
        <v>40</v>
      </c>
      <c r="E3331" s="197">
        <v>4004</v>
      </c>
      <c r="F3331" s="197">
        <v>100.87</v>
      </c>
      <c r="G3331" s="190">
        <v>45671</v>
      </c>
      <c r="H3331" s="196">
        <v>0</v>
      </c>
      <c r="I3331" s="197">
        <v>4034.8</v>
      </c>
      <c r="J3331" s="197">
        <v>4034.8</v>
      </c>
      <c r="K3331" s="197">
        <v>0</v>
      </c>
      <c r="L3331" s="197">
        <v>30.800000000000182</v>
      </c>
      <c r="M3331" s="260" t="s">
        <v>239</v>
      </c>
      <c r="N3331" s="260" t="s">
        <v>514</v>
      </c>
    </row>
    <row r="3332" spans="1:14" ht="14.5" x14ac:dyDescent="0.35">
      <c r="A3332" s="260" t="s">
        <v>747</v>
      </c>
      <c r="B3332" s="190">
        <v>45671</v>
      </c>
      <c r="C3332" s="260" t="s">
        <v>752</v>
      </c>
      <c r="D3332" s="197">
        <v>0</v>
      </c>
      <c r="E3332" s="197">
        <v>0</v>
      </c>
      <c r="F3332" s="197">
        <v>197.83</v>
      </c>
      <c r="G3332" s="190">
        <v>45671</v>
      </c>
      <c r="H3332" s="196">
        <v>0</v>
      </c>
      <c r="I3332" s="197">
        <v>0</v>
      </c>
      <c r="J3332" s="197">
        <v>0</v>
      </c>
      <c r="K3332" s="197">
        <v>0</v>
      </c>
      <c r="L3332" s="197">
        <v>0</v>
      </c>
      <c r="M3332" s="260" t="s">
        <v>239</v>
      </c>
      <c r="N3332" s="260" t="s">
        <v>514</v>
      </c>
    </row>
    <row r="3333" spans="1:14" ht="14.5" x14ac:dyDescent="0.35">
      <c r="A3333" s="260" t="s">
        <v>747</v>
      </c>
      <c r="B3333" s="190">
        <v>45671</v>
      </c>
      <c r="C3333" s="260" t="s">
        <v>754</v>
      </c>
      <c r="D3333" s="197">
        <v>100</v>
      </c>
      <c r="E3333" s="197">
        <v>8008</v>
      </c>
      <c r="F3333" s="197">
        <v>80.87</v>
      </c>
      <c r="G3333" s="190">
        <v>45671</v>
      </c>
      <c r="H3333" s="196">
        <v>0</v>
      </c>
      <c r="I3333" s="197">
        <v>8087</v>
      </c>
      <c r="J3333" s="197">
        <v>8087</v>
      </c>
      <c r="K3333" s="197">
        <v>0</v>
      </c>
      <c r="L3333" s="197">
        <v>79</v>
      </c>
      <c r="M3333" s="260" t="s">
        <v>239</v>
      </c>
      <c r="N3333" s="260" t="s">
        <v>514</v>
      </c>
    </row>
    <row r="3334" spans="1:14" ht="14.5" x14ac:dyDescent="0.35">
      <c r="A3334" s="260" t="s">
        <v>747</v>
      </c>
      <c r="B3334" s="190">
        <v>45672</v>
      </c>
      <c r="C3334" s="260" t="s">
        <v>749</v>
      </c>
      <c r="D3334" s="197">
        <v>40</v>
      </c>
      <c r="E3334" s="197">
        <v>4004</v>
      </c>
      <c r="F3334" s="197">
        <v>100.93</v>
      </c>
      <c r="G3334" s="190">
        <v>45672</v>
      </c>
      <c r="H3334" s="196">
        <v>0</v>
      </c>
      <c r="I3334" s="197">
        <v>4037.2000000000003</v>
      </c>
      <c r="J3334" s="197">
        <v>4037.2000000000003</v>
      </c>
      <c r="K3334" s="197">
        <v>0</v>
      </c>
      <c r="L3334" s="197">
        <v>33.200000000000273</v>
      </c>
      <c r="M3334" s="260" t="s">
        <v>239</v>
      </c>
      <c r="N3334" s="260" t="s">
        <v>514</v>
      </c>
    </row>
    <row r="3335" spans="1:14" ht="14.5" x14ac:dyDescent="0.35">
      <c r="A3335" s="260" t="s">
        <v>747</v>
      </c>
      <c r="B3335" s="190">
        <v>45672</v>
      </c>
      <c r="C3335" s="260" t="s">
        <v>752</v>
      </c>
      <c r="D3335" s="197">
        <v>0</v>
      </c>
      <c r="E3335" s="197">
        <v>0</v>
      </c>
      <c r="F3335" s="197">
        <v>197.67</v>
      </c>
      <c r="G3335" s="190">
        <v>45672</v>
      </c>
      <c r="H3335" s="196">
        <v>0</v>
      </c>
      <c r="I3335" s="197">
        <v>0</v>
      </c>
      <c r="J3335" s="197">
        <v>0</v>
      </c>
      <c r="K3335" s="197">
        <v>0</v>
      </c>
      <c r="L3335" s="197">
        <v>0</v>
      </c>
      <c r="M3335" s="260" t="s">
        <v>239</v>
      </c>
      <c r="N3335" s="260" t="s">
        <v>514</v>
      </c>
    </row>
    <row r="3336" spans="1:14" ht="14.5" x14ac:dyDescent="0.35">
      <c r="A3336" s="260" t="s">
        <v>747</v>
      </c>
      <c r="B3336" s="190">
        <v>45672</v>
      </c>
      <c r="C3336" s="260" t="s">
        <v>754</v>
      </c>
      <c r="D3336" s="197">
        <v>100</v>
      </c>
      <c r="E3336" s="197">
        <v>8008</v>
      </c>
      <c r="F3336" s="197">
        <v>80.930000000000007</v>
      </c>
      <c r="G3336" s="190">
        <v>45672</v>
      </c>
      <c r="H3336" s="196">
        <v>0</v>
      </c>
      <c r="I3336" s="197">
        <v>8093.0000000000009</v>
      </c>
      <c r="J3336" s="197">
        <v>8093.0000000000009</v>
      </c>
      <c r="K3336" s="197">
        <v>0</v>
      </c>
      <c r="L3336" s="197">
        <v>85.000000000000909</v>
      </c>
      <c r="M3336" s="260" t="s">
        <v>239</v>
      </c>
      <c r="N3336" s="260" t="s">
        <v>514</v>
      </c>
    </row>
    <row r="3337" spans="1:14" ht="14.5" x14ac:dyDescent="0.35">
      <c r="A3337" s="260" t="s">
        <v>747</v>
      </c>
      <c r="B3337" s="190">
        <v>45673</v>
      </c>
      <c r="C3337" s="260" t="s">
        <v>749</v>
      </c>
      <c r="D3337" s="197">
        <v>40</v>
      </c>
      <c r="E3337" s="197">
        <v>4004</v>
      </c>
      <c r="F3337" s="197">
        <v>101</v>
      </c>
      <c r="G3337" s="190">
        <v>45673</v>
      </c>
      <c r="H3337" s="196">
        <v>0</v>
      </c>
      <c r="I3337" s="197">
        <v>4040</v>
      </c>
      <c r="J3337" s="197">
        <v>4040</v>
      </c>
      <c r="K3337" s="197">
        <v>0</v>
      </c>
      <c r="L3337" s="197">
        <v>36</v>
      </c>
      <c r="M3337" s="260" t="s">
        <v>239</v>
      </c>
      <c r="N3337" s="260" t="s">
        <v>514</v>
      </c>
    </row>
    <row r="3338" spans="1:14" ht="14.5" x14ac:dyDescent="0.35">
      <c r="A3338" s="260" t="s">
        <v>747</v>
      </c>
      <c r="B3338" s="190">
        <v>45673</v>
      </c>
      <c r="C3338" s="260" t="s">
        <v>752</v>
      </c>
      <c r="D3338" s="197">
        <v>0</v>
      </c>
      <c r="E3338" s="197">
        <v>0</v>
      </c>
      <c r="F3338" s="197">
        <v>197.5</v>
      </c>
      <c r="G3338" s="190">
        <v>45673</v>
      </c>
      <c r="H3338" s="196">
        <v>0</v>
      </c>
      <c r="I3338" s="197">
        <v>0</v>
      </c>
      <c r="J3338" s="197">
        <v>0</v>
      </c>
      <c r="K3338" s="197">
        <v>0</v>
      </c>
      <c r="L3338" s="197">
        <v>0</v>
      </c>
      <c r="M3338" s="260" t="s">
        <v>239</v>
      </c>
      <c r="N3338" s="260" t="s">
        <v>514</v>
      </c>
    </row>
    <row r="3339" spans="1:14" ht="14.5" x14ac:dyDescent="0.35">
      <c r="A3339" s="260" t="s">
        <v>747</v>
      </c>
      <c r="B3339" s="190">
        <v>45673</v>
      </c>
      <c r="C3339" s="260" t="s">
        <v>754</v>
      </c>
      <c r="D3339" s="197">
        <v>100</v>
      </c>
      <c r="E3339" s="197">
        <v>8008</v>
      </c>
      <c r="F3339" s="197">
        <v>81</v>
      </c>
      <c r="G3339" s="190">
        <v>45673</v>
      </c>
      <c r="H3339" s="196">
        <v>0</v>
      </c>
      <c r="I3339" s="197">
        <v>8100</v>
      </c>
      <c r="J3339" s="197">
        <v>8100</v>
      </c>
      <c r="K3339" s="197">
        <v>0</v>
      </c>
      <c r="L3339" s="197">
        <v>92</v>
      </c>
      <c r="M3339" s="260" t="s">
        <v>239</v>
      </c>
      <c r="N3339" s="260" t="s">
        <v>514</v>
      </c>
    </row>
    <row r="3340" spans="1:14" ht="14.5" x14ac:dyDescent="0.35">
      <c r="A3340" s="260" t="s">
        <v>747</v>
      </c>
      <c r="B3340" s="190">
        <v>45674</v>
      </c>
      <c r="C3340" s="260" t="s">
        <v>749</v>
      </c>
      <c r="D3340" s="197">
        <v>40</v>
      </c>
      <c r="E3340" s="197">
        <v>4004</v>
      </c>
      <c r="F3340" s="197">
        <v>101.07</v>
      </c>
      <c r="G3340" s="190">
        <v>45674</v>
      </c>
      <c r="H3340" s="196">
        <v>0</v>
      </c>
      <c r="I3340" s="197">
        <v>4042.7999999999997</v>
      </c>
      <c r="J3340" s="197">
        <v>4042.7999999999997</v>
      </c>
      <c r="K3340" s="197">
        <v>0</v>
      </c>
      <c r="L3340" s="197">
        <v>38.799999999999727</v>
      </c>
      <c r="M3340" s="260" t="s">
        <v>239</v>
      </c>
      <c r="N3340" s="260" t="s">
        <v>514</v>
      </c>
    </row>
    <row r="3341" spans="1:14" ht="14.5" x14ac:dyDescent="0.35">
      <c r="A3341" s="260" t="s">
        <v>747</v>
      </c>
      <c r="B3341" s="190">
        <v>45674</v>
      </c>
      <c r="C3341" s="260" t="s">
        <v>752</v>
      </c>
      <c r="D3341" s="197">
        <v>0</v>
      </c>
      <c r="E3341" s="197">
        <v>0</v>
      </c>
      <c r="F3341" s="197">
        <v>197.33</v>
      </c>
      <c r="G3341" s="190">
        <v>45674</v>
      </c>
      <c r="H3341" s="196">
        <v>0</v>
      </c>
      <c r="I3341" s="197">
        <v>0</v>
      </c>
      <c r="J3341" s="197">
        <v>0</v>
      </c>
      <c r="K3341" s="197">
        <v>0</v>
      </c>
      <c r="L3341" s="197">
        <v>0</v>
      </c>
      <c r="M3341" s="260" t="s">
        <v>239</v>
      </c>
      <c r="N3341" s="260" t="s">
        <v>514</v>
      </c>
    </row>
    <row r="3342" spans="1:14" ht="14.5" x14ac:dyDescent="0.35">
      <c r="A3342" s="260" t="s">
        <v>747</v>
      </c>
      <c r="B3342" s="190">
        <v>45674</v>
      </c>
      <c r="C3342" s="260" t="s">
        <v>754</v>
      </c>
      <c r="D3342" s="197">
        <v>100</v>
      </c>
      <c r="E3342" s="197">
        <v>8008</v>
      </c>
      <c r="F3342" s="197">
        <v>81.069999999999993</v>
      </c>
      <c r="G3342" s="190">
        <v>45674</v>
      </c>
      <c r="H3342" s="196">
        <v>0</v>
      </c>
      <c r="I3342" s="197">
        <v>8106.9999999999991</v>
      </c>
      <c r="J3342" s="197">
        <v>8106.9999999999991</v>
      </c>
      <c r="K3342" s="197">
        <v>0</v>
      </c>
      <c r="L3342" s="197">
        <v>98.999999999999091</v>
      </c>
      <c r="M3342" s="260" t="s">
        <v>239</v>
      </c>
      <c r="N3342" s="260" t="s">
        <v>514</v>
      </c>
    </row>
    <row r="3343" spans="1:14" ht="14.5" x14ac:dyDescent="0.35">
      <c r="A3343" s="260" t="s">
        <v>747</v>
      </c>
      <c r="B3343" s="190">
        <v>45675</v>
      </c>
      <c r="C3343" s="260" t="s">
        <v>749</v>
      </c>
      <c r="D3343" s="197">
        <v>40</v>
      </c>
      <c r="E3343" s="197">
        <v>4004</v>
      </c>
      <c r="F3343" s="197">
        <v>101.07</v>
      </c>
      <c r="G3343" s="190">
        <v>45674</v>
      </c>
      <c r="H3343" s="196">
        <v>1</v>
      </c>
      <c r="I3343" s="197">
        <v>4042.7999999999997</v>
      </c>
      <c r="J3343" s="197">
        <v>4042.7999999999997</v>
      </c>
      <c r="K3343" s="197">
        <v>0</v>
      </c>
      <c r="L3343" s="197">
        <v>38.799999999999727</v>
      </c>
      <c r="M3343" s="260" t="s">
        <v>239</v>
      </c>
      <c r="N3343" s="260" t="s">
        <v>514</v>
      </c>
    </row>
    <row r="3344" spans="1:14" ht="14.5" x14ac:dyDescent="0.35">
      <c r="A3344" s="260" t="s">
        <v>747</v>
      </c>
      <c r="B3344" s="190">
        <v>45675</v>
      </c>
      <c r="C3344" s="260" t="s">
        <v>752</v>
      </c>
      <c r="D3344" s="197">
        <v>0</v>
      </c>
      <c r="E3344" s="197">
        <v>0</v>
      </c>
      <c r="F3344" s="197">
        <v>197.33</v>
      </c>
      <c r="G3344" s="190">
        <v>45674</v>
      </c>
      <c r="H3344" s="196">
        <v>1</v>
      </c>
      <c r="I3344" s="197">
        <v>0</v>
      </c>
      <c r="J3344" s="197">
        <v>0</v>
      </c>
      <c r="K3344" s="197">
        <v>0</v>
      </c>
      <c r="L3344" s="197">
        <v>0</v>
      </c>
      <c r="M3344" s="260" t="s">
        <v>239</v>
      </c>
      <c r="N3344" s="260" t="s">
        <v>514</v>
      </c>
    </row>
    <row r="3345" spans="1:14" ht="14.5" x14ac:dyDescent="0.35">
      <c r="A3345" s="260" t="s">
        <v>747</v>
      </c>
      <c r="B3345" s="190">
        <v>45675</v>
      </c>
      <c r="C3345" s="260" t="s">
        <v>754</v>
      </c>
      <c r="D3345" s="197">
        <v>100</v>
      </c>
      <c r="E3345" s="197">
        <v>8008</v>
      </c>
      <c r="F3345" s="197">
        <v>81.069999999999993</v>
      </c>
      <c r="G3345" s="190">
        <v>45674</v>
      </c>
      <c r="H3345" s="196">
        <v>1</v>
      </c>
      <c r="I3345" s="197">
        <v>8106.9999999999991</v>
      </c>
      <c r="J3345" s="197">
        <v>8106.9999999999991</v>
      </c>
      <c r="K3345" s="197">
        <v>0</v>
      </c>
      <c r="L3345" s="197">
        <v>98.999999999999091</v>
      </c>
      <c r="M3345" s="260" t="s">
        <v>239</v>
      </c>
      <c r="N3345" s="260" t="s">
        <v>514</v>
      </c>
    </row>
    <row r="3346" spans="1:14" ht="14.5" x14ac:dyDescent="0.35">
      <c r="A3346" s="260" t="s">
        <v>747</v>
      </c>
      <c r="B3346" s="190">
        <v>45676</v>
      </c>
      <c r="C3346" s="260" t="s">
        <v>749</v>
      </c>
      <c r="D3346" s="197">
        <v>40</v>
      </c>
      <c r="E3346" s="197">
        <v>4004</v>
      </c>
      <c r="F3346" s="197">
        <v>101.07</v>
      </c>
      <c r="G3346" s="190">
        <v>45674</v>
      </c>
      <c r="H3346" s="196">
        <v>2</v>
      </c>
      <c r="I3346" s="197">
        <v>4042.7999999999997</v>
      </c>
      <c r="J3346" s="197">
        <v>4042.7999999999997</v>
      </c>
      <c r="K3346" s="197">
        <v>0</v>
      </c>
      <c r="L3346" s="197">
        <v>38.799999999999727</v>
      </c>
      <c r="M3346" s="260" t="s">
        <v>239</v>
      </c>
      <c r="N3346" s="260" t="s">
        <v>514</v>
      </c>
    </row>
    <row r="3347" spans="1:14" ht="14.5" x14ac:dyDescent="0.35">
      <c r="A3347" s="260" t="s">
        <v>747</v>
      </c>
      <c r="B3347" s="190">
        <v>45676</v>
      </c>
      <c r="C3347" s="260" t="s">
        <v>752</v>
      </c>
      <c r="D3347" s="197">
        <v>0</v>
      </c>
      <c r="E3347" s="197">
        <v>0</v>
      </c>
      <c r="F3347" s="197">
        <v>197.33</v>
      </c>
      <c r="G3347" s="190">
        <v>45674</v>
      </c>
      <c r="H3347" s="196">
        <v>2</v>
      </c>
      <c r="I3347" s="197">
        <v>0</v>
      </c>
      <c r="J3347" s="197">
        <v>0</v>
      </c>
      <c r="K3347" s="197">
        <v>0</v>
      </c>
      <c r="L3347" s="197">
        <v>0</v>
      </c>
      <c r="M3347" s="260" t="s">
        <v>239</v>
      </c>
      <c r="N3347" s="260" t="s">
        <v>514</v>
      </c>
    </row>
    <row r="3348" spans="1:14" ht="14.5" x14ac:dyDescent="0.35">
      <c r="A3348" s="260" t="s">
        <v>747</v>
      </c>
      <c r="B3348" s="190">
        <v>45676</v>
      </c>
      <c r="C3348" s="260" t="s">
        <v>754</v>
      </c>
      <c r="D3348" s="197">
        <v>100</v>
      </c>
      <c r="E3348" s="197">
        <v>8008</v>
      </c>
      <c r="F3348" s="197">
        <v>81.069999999999993</v>
      </c>
      <c r="G3348" s="190">
        <v>45674</v>
      </c>
      <c r="H3348" s="196">
        <v>2</v>
      </c>
      <c r="I3348" s="197">
        <v>8106.9999999999991</v>
      </c>
      <c r="J3348" s="197">
        <v>8106.9999999999991</v>
      </c>
      <c r="K3348" s="197">
        <v>0</v>
      </c>
      <c r="L3348" s="197">
        <v>98.999999999999091</v>
      </c>
      <c r="M3348" s="260" t="s">
        <v>239</v>
      </c>
      <c r="N3348" s="260" t="s">
        <v>514</v>
      </c>
    </row>
    <row r="3349" spans="1:14" ht="14.5" x14ac:dyDescent="0.35">
      <c r="A3349" s="260" t="s">
        <v>747</v>
      </c>
      <c r="B3349" s="190">
        <v>45677</v>
      </c>
      <c r="C3349" s="260" t="s">
        <v>749</v>
      </c>
      <c r="D3349" s="197">
        <v>40</v>
      </c>
      <c r="E3349" s="197">
        <v>4004</v>
      </c>
      <c r="F3349" s="197">
        <v>101.27</v>
      </c>
      <c r="G3349" s="190">
        <v>45677</v>
      </c>
      <c r="H3349" s="196">
        <v>0</v>
      </c>
      <c r="I3349" s="197">
        <v>4050.7999999999997</v>
      </c>
      <c r="J3349" s="197">
        <v>4050.7999999999997</v>
      </c>
      <c r="K3349" s="197">
        <v>0</v>
      </c>
      <c r="L3349" s="197">
        <v>46.799999999999727</v>
      </c>
      <c r="M3349" s="260" t="s">
        <v>239</v>
      </c>
      <c r="N3349" s="260" t="s">
        <v>514</v>
      </c>
    </row>
    <row r="3350" spans="1:14" ht="14.5" x14ac:dyDescent="0.35">
      <c r="A3350" s="260" t="s">
        <v>747</v>
      </c>
      <c r="B3350" s="190">
        <v>45677</v>
      </c>
      <c r="C3350" s="260" t="s">
        <v>752</v>
      </c>
      <c r="D3350" s="197">
        <v>0</v>
      </c>
      <c r="E3350" s="197">
        <v>0</v>
      </c>
      <c r="F3350" s="197">
        <v>196.83</v>
      </c>
      <c r="G3350" s="190">
        <v>45677</v>
      </c>
      <c r="H3350" s="196">
        <v>0</v>
      </c>
      <c r="I3350" s="197">
        <v>0</v>
      </c>
      <c r="J3350" s="197">
        <v>0</v>
      </c>
      <c r="K3350" s="197">
        <v>0</v>
      </c>
      <c r="L3350" s="197">
        <v>0</v>
      </c>
      <c r="M3350" s="260" t="s">
        <v>239</v>
      </c>
      <c r="N3350" s="260" t="s">
        <v>514</v>
      </c>
    </row>
    <row r="3351" spans="1:14" ht="14.5" x14ac:dyDescent="0.35">
      <c r="A3351" s="260" t="s">
        <v>747</v>
      </c>
      <c r="B3351" s="190">
        <v>45677</v>
      </c>
      <c r="C3351" s="260" t="s">
        <v>754</v>
      </c>
      <c r="D3351" s="197">
        <v>100</v>
      </c>
      <c r="E3351" s="197">
        <v>8008</v>
      </c>
      <c r="F3351" s="197">
        <v>81.27</v>
      </c>
      <c r="G3351" s="190">
        <v>45677</v>
      </c>
      <c r="H3351" s="196">
        <v>0</v>
      </c>
      <c r="I3351" s="197">
        <v>8127</v>
      </c>
      <c r="J3351" s="197">
        <v>8127</v>
      </c>
      <c r="K3351" s="197">
        <v>0</v>
      </c>
      <c r="L3351" s="197">
        <v>119</v>
      </c>
      <c r="M3351" s="260" t="s">
        <v>239</v>
      </c>
      <c r="N3351" s="260" t="s">
        <v>514</v>
      </c>
    </row>
    <row r="3352" spans="1:14" ht="14.5" x14ac:dyDescent="0.35">
      <c r="A3352" s="260" t="s">
        <v>747</v>
      </c>
      <c r="B3352" s="190">
        <v>45678</v>
      </c>
      <c r="C3352" s="260" t="s">
        <v>749</v>
      </c>
      <c r="D3352" s="197">
        <v>40</v>
      </c>
      <c r="E3352" s="197">
        <v>4004</v>
      </c>
      <c r="F3352" s="197">
        <v>101.33</v>
      </c>
      <c r="G3352" s="190">
        <v>45678</v>
      </c>
      <c r="H3352" s="196">
        <v>0</v>
      </c>
      <c r="I3352" s="197">
        <v>4053.2</v>
      </c>
      <c r="J3352" s="197">
        <v>4053.2</v>
      </c>
      <c r="K3352" s="197">
        <v>0</v>
      </c>
      <c r="L3352" s="197">
        <v>49.199999999999818</v>
      </c>
      <c r="M3352" s="260" t="s">
        <v>239</v>
      </c>
      <c r="N3352" s="260" t="s">
        <v>514</v>
      </c>
    </row>
    <row r="3353" spans="1:14" ht="14.5" x14ac:dyDescent="0.35">
      <c r="A3353" s="260" t="s">
        <v>747</v>
      </c>
      <c r="B3353" s="190">
        <v>45678</v>
      </c>
      <c r="C3353" s="260" t="s">
        <v>752</v>
      </c>
      <c r="D3353" s="197">
        <v>0</v>
      </c>
      <c r="E3353" s="197">
        <v>0</v>
      </c>
      <c r="F3353" s="197">
        <v>196.67</v>
      </c>
      <c r="G3353" s="190">
        <v>45678</v>
      </c>
      <c r="H3353" s="196">
        <v>0</v>
      </c>
      <c r="I3353" s="197">
        <v>0</v>
      </c>
      <c r="J3353" s="197">
        <v>0</v>
      </c>
      <c r="K3353" s="197">
        <v>0</v>
      </c>
      <c r="L3353" s="197">
        <v>0</v>
      </c>
      <c r="M3353" s="260" t="s">
        <v>239</v>
      </c>
      <c r="N3353" s="260" t="s">
        <v>514</v>
      </c>
    </row>
    <row r="3354" spans="1:14" ht="14.5" x14ac:dyDescent="0.35">
      <c r="A3354" s="260" t="s">
        <v>747</v>
      </c>
      <c r="B3354" s="190">
        <v>45678</v>
      </c>
      <c r="C3354" s="260" t="s">
        <v>754</v>
      </c>
      <c r="D3354" s="197">
        <v>100</v>
      </c>
      <c r="E3354" s="197">
        <v>8008</v>
      </c>
      <c r="F3354" s="197">
        <v>81.33</v>
      </c>
      <c r="G3354" s="190">
        <v>45678</v>
      </c>
      <c r="H3354" s="196">
        <v>0</v>
      </c>
      <c r="I3354" s="197">
        <v>8133</v>
      </c>
      <c r="J3354" s="197">
        <v>8133</v>
      </c>
      <c r="K3354" s="197">
        <v>0</v>
      </c>
      <c r="L3354" s="197">
        <v>125</v>
      </c>
      <c r="M3354" s="260" t="s">
        <v>239</v>
      </c>
      <c r="N3354" s="260" t="s">
        <v>514</v>
      </c>
    </row>
    <row r="3355" spans="1:14" ht="14.5" x14ac:dyDescent="0.35">
      <c r="A3355" s="260" t="s">
        <v>747</v>
      </c>
      <c r="B3355" s="190">
        <v>45679</v>
      </c>
      <c r="C3355" s="260" t="s">
        <v>749</v>
      </c>
      <c r="D3355" s="197">
        <v>40</v>
      </c>
      <c r="E3355" s="197">
        <v>4004</v>
      </c>
      <c r="F3355" s="197">
        <v>101.4</v>
      </c>
      <c r="G3355" s="190">
        <v>45679</v>
      </c>
      <c r="H3355" s="196">
        <v>0</v>
      </c>
      <c r="I3355" s="197">
        <v>4056</v>
      </c>
      <c r="J3355" s="197">
        <v>4056</v>
      </c>
      <c r="K3355" s="197">
        <v>0</v>
      </c>
      <c r="L3355" s="197">
        <v>52</v>
      </c>
      <c r="M3355" s="260" t="s">
        <v>239</v>
      </c>
      <c r="N3355" s="260" t="s">
        <v>514</v>
      </c>
    </row>
    <row r="3356" spans="1:14" ht="14.5" x14ac:dyDescent="0.35">
      <c r="A3356" s="260" t="s">
        <v>747</v>
      </c>
      <c r="B3356" s="190">
        <v>45679</v>
      </c>
      <c r="C3356" s="260" t="s">
        <v>752</v>
      </c>
      <c r="D3356" s="197">
        <v>0</v>
      </c>
      <c r="E3356" s="197">
        <v>0</v>
      </c>
      <c r="F3356" s="197">
        <v>196.5</v>
      </c>
      <c r="G3356" s="190">
        <v>45679</v>
      </c>
      <c r="H3356" s="196">
        <v>0</v>
      </c>
      <c r="I3356" s="197">
        <v>0</v>
      </c>
      <c r="J3356" s="197">
        <v>0</v>
      </c>
      <c r="K3356" s="197">
        <v>0</v>
      </c>
      <c r="L3356" s="197">
        <v>0</v>
      </c>
      <c r="M3356" s="260" t="s">
        <v>239</v>
      </c>
      <c r="N3356" s="260" t="s">
        <v>514</v>
      </c>
    </row>
    <row r="3357" spans="1:14" ht="14.5" x14ac:dyDescent="0.35">
      <c r="A3357" s="260" t="s">
        <v>747</v>
      </c>
      <c r="B3357" s="190">
        <v>45679</v>
      </c>
      <c r="C3357" s="260" t="s">
        <v>754</v>
      </c>
      <c r="D3357" s="197">
        <v>100</v>
      </c>
      <c r="E3357" s="197">
        <v>8008</v>
      </c>
      <c r="F3357" s="197">
        <v>81.400000000000006</v>
      </c>
      <c r="G3357" s="190">
        <v>45679</v>
      </c>
      <c r="H3357" s="196">
        <v>0</v>
      </c>
      <c r="I3357" s="197">
        <v>8140.0000000000009</v>
      </c>
      <c r="J3357" s="197">
        <v>8140.0000000000009</v>
      </c>
      <c r="K3357" s="197">
        <v>0</v>
      </c>
      <c r="L3357" s="197">
        <v>132.00000000000091</v>
      </c>
      <c r="M3357" s="260" t="s">
        <v>239</v>
      </c>
      <c r="N3357" s="260" t="s">
        <v>514</v>
      </c>
    </row>
    <row r="3358" spans="1:14" ht="14.5" x14ac:dyDescent="0.35">
      <c r="A3358" s="260" t="s">
        <v>747</v>
      </c>
      <c r="B3358" s="190">
        <v>45680</v>
      </c>
      <c r="C3358" s="260" t="s">
        <v>749</v>
      </c>
      <c r="D3358" s="197">
        <v>40</v>
      </c>
      <c r="E3358" s="197">
        <v>4004</v>
      </c>
      <c r="F3358" s="197">
        <v>101.47</v>
      </c>
      <c r="G3358" s="190">
        <v>45680</v>
      </c>
      <c r="H3358" s="196">
        <v>0</v>
      </c>
      <c r="I3358" s="197">
        <v>4058.8</v>
      </c>
      <c r="J3358" s="197">
        <v>4058.8</v>
      </c>
      <c r="K3358" s="197">
        <v>0</v>
      </c>
      <c r="L3358" s="197">
        <v>54.800000000000182</v>
      </c>
      <c r="M3358" s="260" t="s">
        <v>239</v>
      </c>
      <c r="N3358" s="260" t="s">
        <v>514</v>
      </c>
    </row>
    <row r="3359" spans="1:14" ht="14.5" x14ac:dyDescent="0.35">
      <c r="A3359" s="260" t="s">
        <v>747</v>
      </c>
      <c r="B3359" s="190">
        <v>45680</v>
      </c>
      <c r="C3359" s="260" t="s">
        <v>752</v>
      </c>
      <c r="D3359" s="197">
        <v>0</v>
      </c>
      <c r="E3359" s="197">
        <v>0</v>
      </c>
      <c r="F3359" s="197">
        <v>196.33</v>
      </c>
      <c r="G3359" s="190">
        <v>45680</v>
      </c>
      <c r="H3359" s="196">
        <v>0</v>
      </c>
      <c r="I3359" s="197">
        <v>0</v>
      </c>
      <c r="J3359" s="197">
        <v>0</v>
      </c>
      <c r="K3359" s="197">
        <v>0</v>
      </c>
      <c r="L3359" s="197">
        <v>0</v>
      </c>
      <c r="M3359" s="260" t="s">
        <v>239</v>
      </c>
      <c r="N3359" s="260" t="s">
        <v>514</v>
      </c>
    </row>
    <row r="3360" spans="1:14" ht="14.5" x14ac:dyDescent="0.35">
      <c r="A3360" s="260" t="s">
        <v>747</v>
      </c>
      <c r="B3360" s="190">
        <v>45680</v>
      </c>
      <c r="C3360" s="260" t="s">
        <v>754</v>
      </c>
      <c r="D3360" s="197">
        <v>100</v>
      </c>
      <c r="E3360" s="197">
        <v>8008</v>
      </c>
      <c r="F3360" s="197">
        <v>81.47</v>
      </c>
      <c r="G3360" s="190">
        <v>45680</v>
      </c>
      <c r="H3360" s="196">
        <v>0</v>
      </c>
      <c r="I3360" s="197">
        <v>8147</v>
      </c>
      <c r="J3360" s="197">
        <v>8147</v>
      </c>
      <c r="K3360" s="197">
        <v>0</v>
      </c>
      <c r="L3360" s="197">
        <v>139</v>
      </c>
      <c r="M3360" s="260" t="s">
        <v>239</v>
      </c>
      <c r="N3360" s="260" t="s">
        <v>514</v>
      </c>
    </row>
    <row r="3361" spans="1:14" ht="14.5" x14ac:dyDescent="0.35">
      <c r="A3361" s="260" t="s">
        <v>747</v>
      </c>
      <c r="B3361" s="190">
        <v>45681</v>
      </c>
      <c r="C3361" s="260" t="s">
        <v>749</v>
      </c>
      <c r="D3361" s="197">
        <v>40</v>
      </c>
      <c r="E3361" s="197">
        <v>4004</v>
      </c>
      <c r="F3361" s="197">
        <v>101.53</v>
      </c>
      <c r="G3361" s="190">
        <v>45681</v>
      </c>
      <c r="H3361" s="196">
        <v>0</v>
      </c>
      <c r="I3361" s="197">
        <v>4061.2</v>
      </c>
      <c r="J3361" s="197">
        <v>4061.2</v>
      </c>
      <c r="K3361" s="197">
        <v>0</v>
      </c>
      <c r="L3361" s="197">
        <v>57.199999999999818</v>
      </c>
      <c r="M3361" s="260" t="s">
        <v>239</v>
      </c>
      <c r="N3361" s="260" t="s">
        <v>514</v>
      </c>
    </row>
    <row r="3362" spans="1:14" ht="14.5" x14ac:dyDescent="0.35">
      <c r="A3362" s="260" t="s">
        <v>747</v>
      </c>
      <c r="B3362" s="190">
        <v>45681</v>
      </c>
      <c r="C3362" s="260" t="s">
        <v>752</v>
      </c>
      <c r="D3362" s="197">
        <v>0</v>
      </c>
      <c r="E3362" s="197">
        <v>0</v>
      </c>
      <c r="F3362" s="197">
        <v>196.17</v>
      </c>
      <c r="G3362" s="190">
        <v>45681</v>
      </c>
      <c r="H3362" s="196">
        <v>0</v>
      </c>
      <c r="I3362" s="197">
        <v>0</v>
      </c>
      <c r="J3362" s="197">
        <v>0</v>
      </c>
      <c r="K3362" s="197">
        <v>0</v>
      </c>
      <c r="L3362" s="197">
        <v>0</v>
      </c>
      <c r="M3362" s="260" t="s">
        <v>239</v>
      </c>
      <c r="N3362" s="260" t="s">
        <v>514</v>
      </c>
    </row>
    <row r="3363" spans="1:14" ht="14.5" x14ac:dyDescent="0.35">
      <c r="A3363" s="260" t="s">
        <v>747</v>
      </c>
      <c r="B3363" s="190">
        <v>45681</v>
      </c>
      <c r="C3363" s="260" t="s">
        <v>754</v>
      </c>
      <c r="D3363" s="197">
        <v>100</v>
      </c>
      <c r="E3363" s="197">
        <v>8008</v>
      </c>
      <c r="F3363" s="197">
        <v>81.53</v>
      </c>
      <c r="G3363" s="190">
        <v>45681</v>
      </c>
      <c r="H3363" s="196">
        <v>0</v>
      </c>
      <c r="I3363" s="197">
        <v>8153</v>
      </c>
      <c r="J3363" s="197">
        <v>8153</v>
      </c>
      <c r="K3363" s="197">
        <v>0</v>
      </c>
      <c r="L3363" s="197">
        <v>145</v>
      </c>
      <c r="M3363" s="260" t="s">
        <v>239</v>
      </c>
      <c r="N3363" s="260" t="s">
        <v>514</v>
      </c>
    </row>
    <row r="3364" spans="1:14" ht="14.5" x14ac:dyDescent="0.35">
      <c r="A3364" s="260" t="s">
        <v>747</v>
      </c>
      <c r="B3364" s="190">
        <v>45682</v>
      </c>
      <c r="C3364" s="260" t="s">
        <v>749</v>
      </c>
      <c r="D3364" s="197">
        <v>40</v>
      </c>
      <c r="E3364" s="197">
        <v>4004</v>
      </c>
      <c r="F3364" s="197">
        <v>101.53</v>
      </c>
      <c r="G3364" s="190">
        <v>45681</v>
      </c>
      <c r="H3364" s="196">
        <v>1</v>
      </c>
      <c r="I3364" s="197">
        <v>4061.2</v>
      </c>
      <c r="J3364" s="197">
        <v>4061.2</v>
      </c>
      <c r="K3364" s="197">
        <v>0</v>
      </c>
      <c r="L3364" s="197">
        <v>57.199999999999818</v>
      </c>
      <c r="M3364" s="260" t="s">
        <v>239</v>
      </c>
      <c r="N3364" s="260" t="s">
        <v>514</v>
      </c>
    </row>
    <row r="3365" spans="1:14" ht="14.5" x14ac:dyDescent="0.35">
      <c r="A3365" s="260" t="s">
        <v>747</v>
      </c>
      <c r="B3365" s="190">
        <v>45682</v>
      </c>
      <c r="C3365" s="260" t="s">
        <v>752</v>
      </c>
      <c r="D3365" s="197">
        <v>0</v>
      </c>
      <c r="E3365" s="197">
        <v>0</v>
      </c>
      <c r="F3365" s="197">
        <v>196.17</v>
      </c>
      <c r="G3365" s="190">
        <v>45681</v>
      </c>
      <c r="H3365" s="196">
        <v>1</v>
      </c>
      <c r="I3365" s="197">
        <v>0</v>
      </c>
      <c r="J3365" s="197">
        <v>0</v>
      </c>
      <c r="K3365" s="197">
        <v>0</v>
      </c>
      <c r="L3365" s="197">
        <v>0</v>
      </c>
      <c r="M3365" s="260" t="s">
        <v>239</v>
      </c>
      <c r="N3365" s="260" t="s">
        <v>514</v>
      </c>
    </row>
    <row r="3366" spans="1:14" ht="14.5" x14ac:dyDescent="0.35">
      <c r="A3366" s="260" t="s">
        <v>747</v>
      </c>
      <c r="B3366" s="190">
        <v>45682</v>
      </c>
      <c r="C3366" s="260" t="s">
        <v>754</v>
      </c>
      <c r="D3366" s="197">
        <v>100</v>
      </c>
      <c r="E3366" s="197">
        <v>8008</v>
      </c>
      <c r="F3366" s="197">
        <v>81.53</v>
      </c>
      <c r="G3366" s="190">
        <v>45681</v>
      </c>
      <c r="H3366" s="196">
        <v>1</v>
      </c>
      <c r="I3366" s="197">
        <v>8153</v>
      </c>
      <c r="J3366" s="197">
        <v>8153</v>
      </c>
      <c r="K3366" s="197">
        <v>0</v>
      </c>
      <c r="L3366" s="197">
        <v>145</v>
      </c>
      <c r="M3366" s="260" t="s">
        <v>239</v>
      </c>
      <c r="N3366" s="260" t="s">
        <v>514</v>
      </c>
    </row>
    <row r="3367" spans="1:14" ht="14.5" x14ac:dyDescent="0.35">
      <c r="A3367" s="260" t="s">
        <v>747</v>
      </c>
      <c r="B3367" s="190">
        <v>45683</v>
      </c>
      <c r="C3367" s="260" t="s">
        <v>749</v>
      </c>
      <c r="D3367" s="197">
        <v>40</v>
      </c>
      <c r="E3367" s="197">
        <v>4004</v>
      </c>
      <c r="F3367" s="197">
        <v>101.53</v>
      </c>
      <c r="G3367" s="190">
        <v>45681</v>
      </c>
      <c r="H3367" s="196">
        <v>2</v>
      </c>
      <c r="I3367" s="197">
        <v>4061.2</v>
      </c>
      <c r="J3367" s="197">
        <v>4061.2</v>
      </c>
      <c r="K3367" s="197">
        <v>0</v>
      </c>
      <c r="L3367" s="197">
        <v>57.199999999999818</v>
      </c>
      <c r="M3367" s="260" t="s">
        <v>239</v>
      </c>
      <c r="N3367" s="260" t="s">
        <v>514</v>
      </c>
    </row>
    <row r="3368" spans="1:14" ht="14.5" x14ac:dyDescent="0.35">
      <c r="A3368" s="260" t="s">
        <v>747</v>
      </c>
      <c r="B3368" s="190">
        <v>45683</v>
      </c>
      <c r="C3368" s="260" t="s">
        <v>752</v>
      </c>
      <c r="D3368" s="197">
        <v>0</v>
      </c>
      <c r="E3368" s="197">
        <v>0</v>
      </c>
      <c r="F3368" s="197">
        <v>196.17</v>
      </c>
      <c r="G3368" s="190">
        <v>45681</v>
      </c>
      <c r="H3368" s="196">
        <v>2</v>
      </c>
      <c r="I3368" s="197">
        <v>0</v>
      </c>
      <c r="J3368" s="197">
        <v>0</v>
      </c>
      <c r="K3368" s="197">
        <v>0</v>
      </c>
      <c r="L3368" s="197">
        <v>0</v>
      </c>
      <c r="M3368" s="260" t="s">
        <v>239</v>
      </c>
      <c r="N3368" s="260" t="s">
        <v>514</v>
      </c>
    </row>
    <row r="3369" spans="1:14" ht="14.5" x14ac:dyDescent="0.35">
      <c r="A3369" s="260" t="s">
        <v>747</v>
      </c>
      <c r="B3369" s="190">
        <v>45683</v>
      </c>
      <c r="C3369" s="260" t="s">
        <v>754</v>
      </c>
      <c r="D3369" s="197">
        <v>100</v>
      </c>
      <c r="E3369" s="197">
        <v>8008</v>
      </c>
      <c r="F3369" s="197">
        <v>81.53</v>
      </c>
      <c r="G3369" s="190">
        <v>45681</v>
      </c>
      <c r="H3369" s="196">
        <v>2</v>
      </c>
      <c r="I3369" s="197">
        <v>8153</v>
      </c>
      <c r="J3369" s="197">
        <v>8153</v>
      </c>
      <c r="K3369" s="197">
        <v>0</v>
      </c>
      <c r="L3369" s="197">
        <v>145</v>
      </c>
      <c r="M3369" s="260" t="s">
        <v>239</v>
      </c>
      <c r="N3369" s="260" t="s">
        <v>514</v>
      </c>
    </row>
    <row r="3370" spans="1:14" ht="14.5" x14ac:dyDescent="0.35">
      <c r="A3370" s="260" t="s">
        <v>747</v>
      </c>
      <c r="B3370" s="190">
        <v>45684</v>
      </c>
      <c r="C3370" s="260" t="s">
        <v>749</v>
      </c>
      <c r="D3370" s="197">
        <v>40</v>
      </c>
      <c r="E3370" s="197">
        <v>4004</v>
      </c>
      <c r="F3370" s="197">
        <v>101.73</v>
      </c>
      <c r="G3370" s="190">
        <v>45684</v>
      </c>
      <c r="H3370" s="196">
        <v>0</v>
      </c>
      <c r="I3370" s="197">
        <v>4069.2000000000003</v>
      </c>
      <c r="J3370" s="197">
        <v>4069.2000000000003</v>
      </c>
      <c r="K3370" s="197">
        <v>0</v>
      </c>
      <c r="L3370" s="197">
        <v>65.200000000000273</v>
      </c>
      <c r="M3370" s="260" t="s">
        <v>239</v>
      </c>
      <c r="N3370" s="260" t="s">
        <v>514</v>
      </c>
    </row>
    <row r="3371" spans="1:14" ht="14.5" x14ac:dyDescent="0.35">
      <c r="A3371" s="260" t="s">
        <v>747</v>
      </c>
      <c r="B3371" s="190">
        <v>45684</v>
      </c>
      <c r="C3371" s="260" t="s">
        <v>752</v>
      </c>
      <c r="D3371" s="197">
        <v>0</v>
      </c>
      <c r="E3371" s="197">
        <v>0</v>
      </c>
      <c r="F3371" s="197">
        <v>195.67</v>
      </c>
      <c r="G3371" s="190">
        <v>45684</v>
      </c>
      <c r="H3371" s="196">
        <v>0</v>
      </c>
      <c r="I3371" s="197">
        <v>0</v>
      </c>
      <c r="J3371" s="197">
        <v>0</v>
      </c>
      <c r="K3371" s="197">
        <v>0</v>
      </c>
      <c r="L3371" s="197">
        <v>0</v>
      </c>
      <c r="M3371" s="260" t="s">
        <v>239</v>
      </c>
      <c r="N3371" s="260" t="s">
        <v>514</v>
      </c>
    </row>
    <row r="3372" spans="1:14" ht="14.5" x14ac:dyDescent="0.35">
      <c r="A3372" s="260" t="s">
        <v>747</v>
      </c>
      <c r="B3372" s="190">
        <v>45684</v>
      </c>
      <c r="C3372" s="260" t="s">
        <v>754</v>
      </c>
      <c r="D3372" s="197">
        <v>100</v>
      </c>
      <c r="E3372" s="197">
        <v>8008</v>
      </c>
      <c r="F3372" s="197">
        <v>81.73</v>
      </c>
      <c r="G3372" s="190">
        <v>45684</v>
      </c>
      <c r="H3372" s="196">
        <v>0</v>
      </c>
      <c r="I3372" s="197">
        <v>8173</v>
      </c>
      <c r="J3372" s="197">
        <v>8173</v>
      </c>
      <c r="K3372" s="197">
        <v>0</v>
      </c>
      <c r="L3372" s="197">
        <v>165</v>
      </c>
      <c r="M3372" s="260" t="s">
        <v>239</v>
      </c>
      <c r="N3372" s="260" t="s">
        <v>514</v>
      </c>
    </row>
    <row r="3373" spans="1:14" ht="14.5" x14ac:dyDescent="0.35">
      <c r="A3373" s="260" t="s">
        <v>747</v>
      </c>
      <c r="B3373" s="190">
        <v>45685</v>
      </c>
      <c r="C3373" s="260" t="s">
        <v>749</v>
      </c>
      <c r="D3373" s="197">
        <v>40</v>
      </c>
      <c r="E3373" s="197">
        <v>4004</v>
      </c>
      <c r="F3373" s="197">
        <v>101.8</v>
      </c>
      <c r="G3373" s="190">
        <v>45685</v>
      </c>
      <c r="H3373" s="196">
        <v>0</v>
      </c>
      <c r="I3373" s="197">
        <v>4072</v>
      </c>
      <c r="J3373" s="197">
        <v>4072</v>
      </c>
      <c r="K3373" s="197">
        <v>0</v>
      </c>
      <c r="L3373" s="197">
        <v>68</v>
      </c>
      <c r="M3373" s="260" t="s">
        <v>239</v>
      </c>
      <c r="N3373" s="260" t="s">
        <v>514</v>
      </c>
    </row>
    <row r="3374" spans="1:14" ht="14.5" x14ac:dyDescent="0.35">
      <c r="A3374" s="260" t="s">
        <v>747</v>
      </c>
      <c r="B3374" s="190">
        <v>45685</v>
      </c>
      <c r="C3374" s="260" t="s">
        <v>752</v>
      </c>
      <c r="D3374" s="197">
        <v>0</v>
      </c>
      <c r="E3374" s="197">
        <v>0</v>
      </c>
      <c r="F3374" s="197">
        <v>195.5</v>
      </c>
      <c r="G3374" s="190">
        <v>45685</v>
      </c>
      <c r="H3374" s="196">
        <v>0</v>
      </c>
      <c r="I3374" s="197">
        <v>0</v>
      </c>
      <c r="J3374" s="197">
        <v>0</v>
      </c>
      <c r="K3374" s="197">
        <v>0</v>
      </c>
      <c r="L3374" s="197">
        <v>0</v>
      </c>
      <c r="M3374" s="260" t="s">
        <v>239</v>
      </c>
      <c r="N3374" s="260" t="s">
        <v>514</v>
      </c>
    </row>
    <row r="3375" spans="1:14" ht="14.5" x14ac:dyDescent="0.35">
      <c r="A3375" s="260" t="s">
        <v>747</v>
      </c>
      <c r="B3375" s="190">
        <v>45685</v>
      </c>
      <c r="C3375" s="260" t="s">
        <v>754</v>
      </c>
      <c r="D3375" s="197">
        <v>100</v>
      </c>
      <c r="E3375" s="197">
        <v>8008</v>
      </c>
      <c r="F3375" s="197">
        <v>81.8</v>
      </c>
      <c r="G3375" s="190">
        <v>45685</v>
      </c>
      <c r="H3375" s="196">
        <v>0</v>
      </c>
      <c r="I3375" s="197">
        <v>8180</v>
      </c>
      <c r="J3375" s="197">
        <v>8180</v>
      </c>
      <c r="K3375" s="197">
        <v>0</v>
      </c>
      <c r="L3375" s="197">
        <v>172</v>
      </c>
      <c r="M3375" s="260" t="s">
        <v>239</v>
      </c>
      <c r="N3375" s="260" t="s">
        <v>514</v>
      </c>
    </row>
    <row r="3376" spans="1:14" ht="14.5" x14ac:dyDescent="0.35">
      <c r="A3376" s="260" t="s">
        <v>747</v>
      </c>
      <c r="B3376" s="190">
        <v>45686</v>
      </c>
      <c r="C3376" s="260" t="s">
        <v>749</v>
      </c>
      <c r="D3376" s="197">
        <v>40</v>
      </c>
      <c r="E3376" s="197">
        <v>4004</v>
      </c>
      <c r="F3376" s="197">
        <v>101.87</v>
      </c>
      <c r="G3376" s="190">
        <v>45686</v>
      </c>
      <c r="H3376" s="196">
        <v>0</v>
      </c>
      <c r="I3376" s="197">
        <v>4074.8</v>
      </c>
      <c r="J3376" s="197">
        <v>4074.8</v>
      </c>
      <c r="K3376" s="197">
        <v>0</v>
      </c>
      <c r="L3376" s="197">
        <v>70.800000000000182</v>
      </c>
      <c r="M3376" s="260" t="s">
        <v>239</v>
      </c>
      <c r="N3376" s="260" t="s">
        <v>514</v>
      </c>
    </row>
    <row r="3377" spans="1:14" ht="14.5" x14ac:dyDescent="0.35">
      <c r="A3377" s="260" t="s">
        <v>747</v>
      </c>
      <c r="B3377" s="190">
        <v>45686</v>
      </c>
      <c r="C3377" s="260" t="s">
        <v>752</v>
      </c>
      <c r="D3377" s="197">
        <v>0</v>
      </c>
      <c r="E3377" s="197">
        <v>0</v>
      </c>
      <c r="F3377" s="197">
        <v>195.33</v>
      </c>
      <c r="G3377" s="190">
        <v>45686</v>
      </c>
      <c r="H3377" s="196">
        <v>0</v>
      </c>
      <c r="I3377" s="197">
        <v>0</v>
      </c>
      <c r="J3377" s="197">
        <v>0</v>
      </c>
      <c r="K3377" s="197">
        <v>0</v>
      </c>
      <c r="L3377" s="197">
        <v>0</v>
      </c>
      <c r="M3377" s="260" t="s">
        <v>239</v>
      </c>
      <c r="N3377" s="260" t="s">
        <v>514</v>
      </c>
    </row>
    <row r="3378" spans="1:14" ht="14.5" x14ac:dyDescent="0.35">
      <c r="A3378" s="260" t="s">
        <v>747</v>
      </c>
      <c r="B3378" s="190">
        <v>45686</v>
      </c>
      <c r="C3378" s="260" t="s">
        <v>754</v>
      </c>
      <c r="D3378" s="197">
        <v>100</v>
      </c>
      <c r="E3378" s="197">
        <v>8008</v>
      </c>
      <c r="F3378" s="197">
        <v>81.87</v>
      </c>
      <c r="G3378" s="190">
        <v>45686</v>
      </c>
      <c r="H3378" s="196">
        <v>0</v>
      </c>
      <c r="I3378" s="197">
        <v>8187</v>
      </c>
      <c r="J3378" s="197">
        <v>8187</v>
      </c>
      <c r="K3378" s="197">
        <v>0</v>
      </c>
      <c r="L3378" s="197">
        <v>179</v>
      </c>
      <c r="M3378" s="260" t="s">
        <v>239</v>
      </c>
      <c r="N3378" s="260" t="s">
        <v>514</v>
      </c>
    </row>
    <row r="3379" spans="1:14" ht="14.5" x14ac:dyDescent="0.35">
      <c r="A3379" s="260" t="s">
        <v>747</v>
      </c>
      <c r="B3379" s="190">
        <v>45687</v>
      </c>
      <c r="C3379" s="260" t="s">
        <v>749</v>
      </c>
      <c r="D3379" s="197">
        <v>40</v>
      </c>
      <c r="E3379" s="197">
        <v>4004</v>
      </c>
      <c r="F3379" s="197">
        <v>101.93</v>
      </c>
      <c r="G3379" s="190">
        <v>45687</v>
      </c>
      <c r="H3379" s="196">
        <v>0</v>
      </c>
      <c r="I3379" s="197">
        <v>4077.2000000000003</v>
      </c>
      <c r="J3379" s="197">
        <v>4077.2000000000003</v>
      </c>
      <c r="K3379" s="197">
        <v>0</v>
      </c>
      <c r="L3379" s="197">
        <v>73.200000000000273</v>
      </c>
      <c r="M3379" s="260" t="s">
        <v>239</v>
      </c>
      <c r="N3379" s="260" t="s">
        <v>514</v>
      </c>
    </row>
    <row r="3380" spans="1:14" ht="14.5" x14ac:dyDescent="0.35">
      <c r="A3380" s="260" t="s">
        <v>747</v>
      </c>
      <c r="B3380" s="190">
        <v>45687</v>
      </c>
      <c r="C3380" s="260" t="s">
        <v>752</v>
      </c>
      <c r="D3380" s="197">
        <v>0</v>
      </c>
      <c r="E3380" s="197">
        <v>0</v>
      </c>
      <c r="F3380" s="197">
        <v>195.17</v>
      </c>
      <c r="G3380" s="190">
        <v>45687</v>
      </c>
      <c r="H3380" s="196">
        <v>0</v>
      </c>
      <c r="I3380" s="197">
        <v>0</v>
      </c>
      <c r="J3380" s="197">
        <v>0</v>
      </c>
      <c r="K3380" s="197">
        <v>0</v>
      </c>
      <c r="L3380" s="197">
        <v>0</v>
      </c>
      <c r="M3380" s="260" t="s">
        <v>239</v>
      </c>
      <c r="N3380" s="260" t="s">
        <v>514</v>
      </c>
    </row>
    <row r="3381" spans="1:14" ht="14.5" x14ac:dyDescent="0.35">
      <c r="A3381" s="260" t="s">
        <v>747</v>
      </c>
      <c r="B3381" s="190">
        <v>45687</v>
      </c>
      <c r="C3381" s="260" t="s">
        <v>754</v>
      </c>
      <c r="D3381" s="197">
        <v>100</v>
      </c>
      <c r="E3381" s="197">
        <v>8008</v>
      </c>
      <c r="F3381" s="197">
        <v>81.93</v>
      </c>
      <c r="G3381" s="190">
        <v>45687</v>
      </c>
      <c r="H3381" s="196">
        <v>0</v>
      </c>
      <c r="I3381" s="197">
        <v>8193</v>
      </c>
      <c r="J3381" s="197">
        <v>8193</v>
      </c>
      <c r="K3381" s="197">
        <v>0</v>
      </c>
      <c r="L3381" s="197">
        <v>185</v>
      </c>
      <c r="M3381" s="260" t="s">
        <v>239</v>
      </c>
      <c r="N3381" s="260" t="s">
        <v>514</v>
      </c>
    </row>
    <row r="3382" spans="1:14" ht="14.5" x14ac:dyDescent="0.35">
      <c r="A3382" s="260" t="s">
        <v>747</v>
      </c>
      <c r="B3382" s="190">
        <v>45688</v>
      </c>
      <c r="C3382" s="260" t="s">
        <v>749</v>
      </c>
      <c r="D3382" s="197">
        <v>40</v>
      </c>
      <c r="E3382" s="197">
        <v>4004</v>
      </c>
      <c r="F3382" s="197">
        <v>102</v>
      </c>
      <c r="G3382" s="190">
        <v>45688</v>
      </c>
      <c r="H3382" s="196">
        <v>0</v>
      </c>
      <c r="I3382" s="197">
        <v>4080</v>
      </c>
      <c r="J3382" s="197">
        <v>4080</v>
      </c>
      <c r="K3382" s="197">
        <v>0</v>
      </c>
      <c r="L3382" s="197">
        <v>76</v>
      </c>
      <c r="M3382" s="260" t="s">
        <v>239</v>
      </c>
      <c r="N3382" s="260" t="s">
        <v>514</v>
      </c>
    </row>
    <row r="3383" spans="1:14" ht="14.5" x14ac:dyDescent="0.35">
      <c r="A3383" s="260" t="s">
        <v>747</v>
      </c>
      <c r="B3383" s="190">
        <v>45688</v>
      </c>
      <c r="C3383" s="260" t="s">
        <v>752</v>
      </c>
      <c r="D3383" s="197">
        <v>0</v>
      </c>
      <c r="E3383" s="197">
        <v>0</v>
      </c>
      <c r="F3383" s="197">
        <v>195</v>
      </c>
      <c r="G3383" s="190">
        <v>45688</v>
      </c>
      <c r="H3383" s="196">
        <v>0</v>
      </c>
      <c r="I3383" s="197">
        <v>0</v>
      </c>
      <c r="J3383" s="197">
        <v>0</v>
      </c>
      <c r="K3383" s="197">
        <v>0</v>
      </c>
      <c r="L3383" s="197">
        <v>0</v>
      </c>
      <c r="M3383" s="260" t="s">
        <v>239</v>
      </c>
      <c r="N3383" s="260" t="s">
        <v>514</v>
      </c>
    </row>
    <row r="3384" spans="1:14" ht="14.5" x14ac:dyDescent="0.35">
      <c r="A3384" s="260" t="s">
        <v>747</v>
      </c>
      <c r="B3384" s="190">
        <v>45688</v>
      </c>
      <c r="C3384" s="260" t="s">
        <v>754</v>
      </c>
      <c r="D3384" s="197">
        <v>100</v>
      </c>
      <c r="E3384" s="197">
        <v>8008</v>
      </c>
      <c r="F3384" s="197">
        <v>82</v>
      </c>
      <c r="G3384" s="190">
        <v>45688</v>
      </c>
      <c r="H3384" s="196">
        <v>0</v>
      </c>
      <c r="I3384" s="197">
        <v>8200</v>
      </c>
      <c r="J3384" s="197">
        <v>8200</v>
      </c>
      <c r="K3384" s="197">
        <v>0</v>
      </c>
      <c r="L3384" s="197">
        <v>192</v>
      </c>
      <c r="M3384" s="260" t="s">
        <v>239</v>
      </c>
      <c r="N3384" s="260" t="s">
        <v>514</v>
      </c>
    </row>
    <row r="3385" spans="1:14" ht="14.5" x14ac:dyDescent="0.35">
      <c r="A3385" s="260" t="s">
        <v>747</v>
      </c>
      <c r="B3385" s="190">
        <v>45689</v>
      </c>
      <c r="C3385" s="260" t="s">
        <v>749</v>
      </c>
      <c r="D3385" s="197">
        <v>40</v>
      </c>
      <c r="E3385" s="197">
        <v>4004</v>
      </c>
      <c r="F3385" s="197">
        <v>102</v>
      </c>
      <c r="G3385" s="190">
        <v>45688</v>
      </c>
      <c r="H3385" s="196">
        <v>1</v>
      </c>
      <c r="I3385" s="197">
        <v>4080</v>
      </c>
      <c r="J3385" s="197">
        <v>4080</v>
      </c>
      <c r="K3385" s="197">
        <v>0</v>
      </c>
      <c r="L3385" s="197">
        <v>76</v>
      </c>
      <c r="M3385" s="260" t="s">
        <v>239</v>
      </c>
      <c r="N3385" s="260" t="s">
        <v>514</v>
      </c>
    </row>
    <row r="3386" spans="1:14" ht="14.5" x14ac:dyDescent="0.35">
      <c r="A3386" s="260" t="s">
        <v>747</v>
      </c>
      <c r="B3386" s="190">
        <v>45689</v>
      </c>
      <c r="C3386" s="260" t="s">
        <v>752</v>
      </c>
      <c r="D3386" s="197">
        <v>0</v>
      </c>
      <c r="E3386" s="197">
        <v>0</v>
      </c>
      <c r="F3386" s="197">
        <v>195</v>
      </c>
      <c r="G3386" s="190">
        <v>45688</v>
      </c>
      <c r="H3386" s="196">
        <v>1</v>
      </c>
      <c r="I3386" s="197">
        <v>0</v>
      </c>
      <c r="J3386" s="197">
        <v>0</v>
      </c>
      <c r="K3386" s="197">
        <v>0</v>
      </c>
      <c r="L3386" s="197">
        <v>0</v>
      </c>
      <c r="M3386" s="260" t="s">
        <v>239</v>
      </c>
      <c r="N3386" s="260" t="s">
        <v>514</v>
      </c>
    </row>
    <row r="3387" spans="1:14" ht="14.5" x14ac:dyDescent="0.35">
      <c r="A3387" s="260" t="s">
        <v>747</v>
      </c>
      <c r="B3387" s="190">
        <v>45689</v>
      </c>
      <c r="C3387" s="260" t="s">
        <v>754</v>
      </c>
      <c r="D3387" s="197">
        <v>100</v>
      </c>
      <c r="E3387" s="197">
        <v>8008</v>
      </c>
      <c r="F3387" s="197">
        <v>82</v>
      </c>
      <c r="G3387" s="190">
        <v>45688</v>
      </c>
      <c r="H3387" s="196">
        <v>1</v>
      </c>
      <c r="I3387" s="197">
        <v>8200</v>
      </c>
      <c r="J3387" s="197">
        <v>8200</v>
      </c>
      <c r="K3387" s="197">
        <v>0</v>
      </c>
      <c r="L3387" s="197">
        <v>192</v>
      </c>
      <c r="M3387" s="260" t="s">
        <v>239</v>
      </c>
      <c r="N3387" s="260" t="s">
        <v>514</v>
      </c>
    </row>
    <row r="3388" spans="1:14" ht="14.5" x14ac:dyDescent="0.35">
      <c r="A3388" s="260" t="s">
        <v>747</v>
      </c>
      <c r="B3388" s="190">
        <v>45690</v>
      </c>
      <c r="C3388" s="260" t="s">
        <v>749</v>
      </c>
      <c r="D3388" s="197">
        <v>40</v>
      </c>
      <c r="E3388" s="197">
        <v>4004</v>
      </c>
      <c r="F3388" s="197">
        <v>102</v>
      </c>
      <c r="G3388" s="190">
        <v>45688</v>
      </c>
      <c r="H3388" s="196">
        <v>2</v>
      </c>
      <c r="I3388" s="197">
        <v>4080</v>
      </c>
      <c r="J3388" s="197">
        <v>4080</v>
      </c>
      <c r="K3388" s="197">
        <v>0</v>
      </c>
      <c r="L3388" s="197">
        <v>76</v>
      </c>
      <c r="M3388" s="260" t="s">
        <v>239</v>
      </c>
      <c r="N3388" s="260" t="s">
        <v>514</v>
      </c>
    </row>
    <row r="3389" spans="1:14" ht="14.5" x14ac:dyDescent="0.35">
      <c r="A3389" s="260" t="s">
        <v>747</v>
      </c>
      <c r="B3389" s="190">
        <v>45690</v>
      </c>
      <c r="C3389" s="260" t="s">
        <v>752</v>
      </c>
      <c r="D3389" s="197">
        <v>0</v>
      </c>
      <c r="E3389" s="197">
        <v>0</v>
      </c>
      <c r="F3389" s="197">
        <v>195</v>
      </c>
      <c r="G3389" s="190">
        <v>45688</v>
      </c>
      <c r="H3389" s="196">
        <v>2</v>
      </c>
      <c r="I3389" s="197">
        <v>0</v>
      </c>
      <c r="J3389" s="197">
        <v>0</v>
      </c>
      <c r="K3389" s="197">
        <v>0</v>
      </c>
      <c r="L3389" s="197">
        <v>0</v>
      </c>
      <c r="M3389" s="260" t="s">
        <v>239</v>
      </c>
      <c r="N3389" s="260" t="s">
        <v>514</v>
      </c>
    </row>
    <row r="3390" spans="1:14" ht="14.5" x14ac:dyDescent="0.35">
      <c r="A3390" s="260" t="s">
        <v>747</v>
      </c>
      <c r="B3390" s="190">
        <v>45690</v>
      </c>
      <c r="C3390" s="260" t="s">
        <v>754</v>
      </c>
      <c r="D3390" s="197">
        <v>100</v>
      </c>
      <c r="E3390" s="197">
        <v>8008</v>
      </c>
      <c r="F3390" s="197">
        <v>82</v>
      </c>
      <c r="G3390" s="190">
        <v>45688</v>
      </c>
      <c r="H3390" s="196">
        <v>2</v>
      </c>
      <c r="I3390" s="197">
        <v>8200</v>
      </c>
      <c r="J3390" s="197">
        <v>8200</v>
      </c>
      <c r="K3390" s="197">
        <v>0</v>
      </c>
      <c r="L3390" s="197">
        <v>192</v>
      </c>
      <c r="M3390" s="260" t="s">
        <v>239</v>
      </c>
      <c r="N3390" s="260" t="s">
        <v>514</v>
      </c>
    </row>
    <row r="3391" spans="1:14" ht="14.5" x14ac:dyDescent="0.35">
      <c r="A3391" s="260" t="s">
        <v>747</v>
      </c>
      <c r="B3391" s="190">
        <v>45691</v>
      </c>
      <c r="C3391" s="260" t="s">
        <v>749</v>
      </c>
      <c r="D3391" s="197">
        <v>40</v>
      </c>
      <c r="E3391" s="197">
        <v>4004</v>
      </c>
      <c r="F3391" s="197">
        <v>101.63</v>
      </c>
      <c r="G3391" s="190">
        <v>45691</v>
      </c>
      <c r="H3391" s="196">
        <v>0</v>
      </c>
      <c r="I3391" s="197">
        <v>4065.2</v>
      </c>
      <c r="J3391" s="197">
        <v>4065.2</v>
      </c>
      <c r="K3391" s="197">
        <v>0</v>
      </c>
      <c r="L3391" s="197">
        <v>61.199999999999818</v>
      </c>
      <c r="M3391" s="260" t="s">
        <v>239</v>
      </c>
      <c r="N3391" s="260" t="s">
        <v>514</v>
      </c>
    </row>
    <row r="3392" spans="1:14" ht="14.5" x14ac:dyDescent="0.35">
      <c r="A3392" s="260" t="s">
        <v>747</v>
      </c>
      <c r="B3392" s="190">
        <v>45691</v>
      </c>
      <c r="C3392" s="260" t="s">
        <v>752</v>
      </c>
      <c r="D3392" s="197">
        <v>0</v>
      </c>
      <c r="E3392" s="197">
        <v>0</v>
      </c>
      <c r="F3392" s="197">
        <v>195.44</v>
      </c>
      <c r="G3392" s="190">
        <v>45691</v>
      </c>
      <c r="H3392" s="196">
        <v>0</v>
      </c>
      <c r="I3392" s="197">
        <v>0</v>
      </c>
      <c r="J3392" s="197">
        <v>0</v>
      </c>
      <c r="K3392" s="197">
        <v>0</v>
      </c>
      <c r="L3392" s="197">
        <v>0</v>
      </c>
      <c r="M3392" s="260" t="s">
        <v>239</v>
      </c>
      <c r="N3392" s="260" t="s">
        <v>514</v>
      </c>
    </row>
    <row r="3393" spans="1:14" ht="14.5" x14ac:dyDescent="0.35">
      <c r="A3393" s="260" t="s">
        <v>747</v>
      </c>
      <c r="B3393" s="190">
        <v>45691</v>
      </c>
      <c r="C3393" s="260" t="s">
        <v>754</v>
      </c>
      <c r="D3393" s="197">
        <v>100</v>
      </c>
      <c r="E3393" s="197">
        <v>8008</v>
      </c>
      <c r="F3393" s="197">
        <v>81.7</v>
      </c>
      <c r="G3393" s="190">
        <v>45691</v>
      </c>
      <c r="H3393" s="196">
        <v>0</v>
      </c>
      <c r="I3393" s="197">
        <v>8170</v>
      </c>
      <c r="J3393" s="197">
        <v>8170</v>
      </c>
      <c r="K3393" s="197">
        <v>0</v>
      </c>
      <c r="L3393" s="197">
        <v>162</v>
      </c>
      <c r="M3393" s="260" t="s">
        <v>239</v>
      </c>
      <c r="N3393" s="260" t="s">
        <v>514</v>
      </c>
    </row>
    <row r="3394" spans="1:14" ht="14.5" x14ac:dyDescent="0.35">
      <c r="A3394" s="260" t="s">
        <v>747</v>
      </c>
      <c r="B3394" s="190">
        <v>45692</v>
      </c>
      <c r="C3394" s="260" t="s">
        <v>749</v>
      </c>
      <c r="D3394" s="197">
        <v>40</v>
      </c>
      <c r="E3394" s="197">
        <v>4004</v>
      </c>
      <c r="F3394" s="197">
        <v>101.44</v>
      </c>
      <c r="G3394" s="190">
        <v>45692</v>
      </c>
      <c r="H3394" s="196">
        <v>0</v>
      </c>
      <c r="I3394" s="197">
        <v>4057.6</v>
      </c>
      <c r="J3394" s="197">
        <v>4057.6</v>
      </c>
      <c r="K3394" s="197">
        <v>0</v>
      </c>
      <c r="L3394" s="197">
        <v>53.599999999999909</v>
      </c>
      <c r="M3394" s="260" t="s">
        <v>239</v>
      </c>
      <c r="N3394" s="260" t="s">
        <v>514</v>
      </c>
    </row>
    <row r="3395" spans="1:14" ht="14.5" x14ac:dyDescent="0.35">
      <c r="A3395" s="260" t="s">
        <v>747</v>
      </c>
      <c r="B3395" s="190">
        <v>45692</v>
      </c>
      <c r="C3395" s="260" t="s">
        <v>752</v>
      </c>
      <c r="D3395" s="197">
        <v>0</v>
      </c>
      <c r="E3395" s="197">
        <v>0</v>
      </c>
      <c r="F3395" s="197">
        <v>195.67</v>
      </c>
      <c r="G3395" s="190">
        <v>45692</v>
      </c>
      <c r="H3395" s="196">
        <v>0</v>
      </c>
      <c r="I3395" s="197">
        <v>0</v>
      </c>
      <c r="J3395" s="197">
        <v>0</v>
      </c>
      <c r="K3395" s="197">
        <v>0</v>
      </c>
      <c r="L3395" s="197">
        <v>0</v>
      </c>
      <c r="M3395" s="260" t="s">
        <v>239</v>
      </c>
      <c r="N3395" s="260" t="s">
        <v>514</v>
      </c>
    </row>
    <row r="3396" spans="1:14" ht="14.5" x14ac:dyDescent="0.35">
      <c r="A3396" s="260" t="s">
        <v>747</v>
      </c>
      <c r="B3396" s="190">
        <v>45692</v>
      </c>
      <c r="C3396" s="260" t="s">
        <v>754</v>
      </c>
      <c r="D3396" s="197">
        <v>100</v>
      </c>
      <c r="E3396" s="197">
        <v>8008</v>
      </c>
      <c r="F3396" s="197">
        <v>81.56</v>
      </c>
      <c r="G3396" s="190">
        <v>45692</v>
      </c>
      <c r="H3396" s="196">
        <v>0</v>
      </c>
      <c r="I3396" s="197">
        <v>8156</v>
      </c>
      <c r="J3396" s="197">
        <v>8156</v>
      </c>
      <c r="K3396" s="197">
        <v>0</v>
      </c>
      <c r="L3396" s="197">
        <v>148</v>
      </c>
      <c r="M3396" s="260" t="s">
        <v>239</v>
      </c>
      <c r="N3396" s="260" t="s">
        <v>514</v>
      </c>
    </row>
    <row r="3397" spans="1:14" ht="14.5" x14ac:dyDescent="0.35">
      <c r="A3397" s="260" t="s">
        <v>747</v>
      </c>
      <c r="B3397" s="190">
        <v>45693</v>
      </c>
      <c r="C3397" s="260" t="s">
        <v>749</v>
      </c>
      <c r="D3397" s="197">
        <v>40</v>
      </c>
      <c r="E3397" s="197">
        <v>4004</v>
      </c>
      <c r="F3397" s="197">
        <v>101.26</v>
      </c>
      <c r="G3397" s="190">
        <v>45693</v>
      </c>
      <c r="H3397" s="196">
        <v>0</v>
      </c>
      <c r="I3397" s="197">
        <v>4050.4</v>
      </c>
      <c r="J3397" s="197">
        <v>4050.4</v>
      </c>
      <c r="K3397" s="197">
        <v>0</v>
      </c>
      <c r="L3397" s="197">
        <v>46.400000000000091</v>
      </c>
      <c r="M3397" s="260" t="s">
        <v>239</v>
      </c>
      <c r="N3397" s="260" t="s">
        <v>514</v>
      </c>
    </row>
    <row r="3398" spans="1:14" ht="14.5" x14ac:dyDescent="0.35">
      <c r="A3398" s="260" t="s">
        <v>747</v>
      </c>
      <c r="B3398" s="190">
        <v>45693</v>
      </c>
      <c r="C3398" s="260" t="s">
        <v>752</v>
      </c>
      <c r="D3398" s="197">
        <v>0</v>
      </c>
      <c r="E3398" s="197">
        <v>0</v>
      </c>
      <c r="F3398" s="197">
        <v>195.89</v>
      </c>
      <c r="G3398" s="190">
        <v>45693</v>
      </c>
      <c r="H3398" s="196">
        <v>0</v>
      </c>
      <c r="I3398" s="197">
        <v>0</v>
      </c>
      <c r="J3398" s="197">
        <v>0</v>
      </c>
      <c r="K3398" s="197">
        <v>0</v>
      </c>
      <c r="L3398" s="197">
        <v>0</v>
      </c>
      <c r="M3398" s="260" t="s">
        <v>239</v>
      </c>
      <c r="N3398" s="260" t="s">
        <v>514</v>
      </c>
    </row>
    <row r="3399" spans="1:14" ht="14.5" x14ac:dyDescent="0.35">
      <c r="A3399" s="260" t="s">
        <v>747</v>
      </c>
      <c r="B3399" s="190">
        <v>45693</v>
      </c>
      <c r="C3399" s="260" t="s">
        <v>754</v>
      </c>
      <c r="D3399" s="197">
        <v>100</v>
      </c>
      <c r="E3399" s="197">
        <v>8008</v>
      </c>
      <c r="F3399" s="197">
        <v>81.41</v>
      </c>
      <c r="G3399" s="190">
        <v>45693</v>
      </c>
      <c r="H3399" s="196">
        <v>0</v>
      </c>
      <c r="I3399" s="197">
        <v>8141</v>
      </c>
      <c r="J3399" s="197">
        <v>8141</v>
      </c>
      <c r="K3399" s="197">
        <v>0</v>
      </c>
      <c r="L3399" s="197">
        <v>133</v>
      </c>
      <c r="M3399" s="260" t="s">
        <v>239</v>
      </c>
      <c r="N3399" s="260" t="s">
        <v>514</v>
      </c>
    </row>
    <row r="3400" spans="1:14" ht="14.5" x14ac:dyDescent="0.35">
      <c r="A3400" s="260" t="s">
        <v>747</v>
      </c>
      <c r="B3400" s="190">
        <v>45694</v>
      </c>
      <c r="C3400" s="260" t="s">
        <v>749</v>
      </c>
      <c r="D3400" s="197">
        <v>40</v>
      </c>
      <c r="E3400" s="197">
        <v>4004</v>
      </c>
      <c r="F3400" s="197">
        <v>101.07</v>
      </c>
      <c r="G3400" s="190">
        <v>45694</v>
      </c>
      <c r="H3400" s="196">
        <v>0</v>
      </c>
      <c r="I3400" s="197">
        <v>4042.7999999999997</v>
      </c>
      <c r="J3400" s="197">
        <v>4042.7999999999997</v>
      </c>
      <c r="K3400" s="197">
        <v>0</v>
      </c>
      <c r="L3400" s="197">
        <v>38.799999999999727</v>
      </c>
      <c r="M3400" s="260" t="s">
        <v>239</v>
      </c>
      <c r="N3400" s="260" t="s">
        <v>514</v>
      </c>
    </row>
    <row r="3401" spans="1:14" ht="14.5" x14ac:dyDescent="0.35">
      <c r="A3401" s="260" t="s">
        <v>747</v>
      </c>
      <c r="B3401" s="190">
        <v>45694</v>
      </c>
      <c r="C3401" s="260" t="s">
        <v>752</v>
      </c>
      <c r="D3401" s="197">
        <v>0</v>
      </c>
      <c r="E3401" s="197">
        <v>0</v>
      </c>
      <c r="F3401" s="197">
        <v>196.11</v>
      </c>
      <c r="G3401" s="190">
        <v>45694</v>
      </c>
      <c r="H3401" s="196">
        <v>0</v>
      </c>
      <c r="I3401" s="197">
        <v>0</v>
      </c>
      <c r="J3401" s="197">
        <v>0</v>
      </c>
      <c r="K3401" s="197">
        <v>0</v>
      </c>
      <c r="L3401" s="197">
        <v>0</v>
      </c>
      <c r="M3401" s="260" t="s">
        <v>239</v>
      </c>
      <c r="N3401" s="260" t="s">
        <v>514</v>
      </c>
    </row>
    <row r="3402" spans="1:14" ht="14.5" x14ac:dyDescent="0.35">
      <c r="A3402" s="260" t="s">
        <v>747</v>
      </c>
      <c r="B3402" s="190">
        <v>45694</v>
      </c>
      <c r="C3402" s="260" t="s">
        <v>754</v>
      </c>
      <c r="D3402" s="197">
        <v>100</v>
      </c>
      <c r="E3402" s="197">
        <v>8008</v>
      </c>
      <c r="F3402" s="197">
        <v>81.260000000000005</v>
      </c>
      <c r="G3402" s="190">
        <v>45694</v>
      </c>
      <c r="H3402" s="196">
        <v>0</v>
      </c>
      <c r="I3402" s="197">
        <v>8126.0000000000009</v>
      </c>
      <c r="J3402" s="197">
        <v>8126.0000000000009</v>
      </c>
      <c r="K3402" s="197">
        <v>0</v>
      </c>
      <c r="L3402" s="197">
        <v>118.00000000000091</v>
      </c>
      <c r="M3402" s="260" t="s">
        <v>239</v>
      </c>
      <c r="N3402" s="260" t="s">
        <v>514</v>
      </c>
    </row>
    <row r="3403" spans="1:14" ht="14.5" x14ac:dyDescent="0.35">
      <c r="A3403" s="260" t="s">
        <v>747</v>
      </c>
      <c r="B3403" s="190">
        <v>45695</v>
      </c>
      <c r="C3403" s="260" t="s">
        <v>749</v>
      </c>
      <c r="D3403" s="197">
        <v>40</v>
      </c>
      <c r="E3403" s="197">
        <v>4004</v>
      </c>
      <c r="F3403" s="197">
        <v>100.89</v>
      </c>
      <c r="G3403" s="190">
        <v>45695</v>
      </c>
      <c r="H3403" s="196">
        <v>0</v>
      </c>
      <c r="I3403" s="197">
        <v>4035.6</v>
      </c>
      <c r="J3403" s="197">
        <v>4035.6</v>
      </c>
      <c r="K3403" s="197">
        <v>0</v>
      </c>
      <c r="L3403" s="197">
        <v>31.599999999999909</v>
      </c>
      <c r="M3403" s="260" t="s">
        <v>239</v>
      </c>
      <c r="N3403" s="260" t="s">
        <v>514</v>
      </c>
    </row>
    <row r="3404" spans="1:14" ht="14.5" x14ac:dyDescent="0.35">
      <c r="A3404" s="260" t="s">
        <v>747</v>
      </c>
      <c r="B3404" s="190">
        <v>45695</v>
      </c>
      <c r="C3404" s="260" t="s">
        <v>752</v>
      </c>
      <c r="D3404" s="197">
        <v>0</v>
      </c>
      <c r="E3404" s="197">
        <v>0</v>
      </c>
      <c r="F3404" s="197">
        <v>196.33</v>
      </c>
      <c r="G3404" s="190">
        <v>45695</v>
      </c>
      <c r="H3404" s="196">
        <v>0</v>
      </c>
      <c r="I3404" s="197">
        <v>0</v>
      </c>
      <c r="J3404" s="197">
        <v>0</v>
      </c>
      <c r="K3404" s="197">
        <v>0</v>
      </c>
      <c r="L3404" s="197">
        <v>0</v>
      </c>
      <c r="M3404" s="260" t="s">
        <v>239</v>
      </c>
      <c r="N3404" s="260" t="s">
        <v>514</v>
      </c>
    </row>
    <row r="3405" spans="1:14" ht="14.5" x14ac:dyDescent="0.35">
      <c r="A3405" s="260" t="s">
        <v>747</v>
      </c>
      <c r="B3405" s="190">
        <v>45695</v>
      </c>
      <c r="C3405" s="260" t="s">
        <v>754</v>
      </c>
      <c r="D3405" s="197">
        <v>100</v>
      </c>
      <c r="E3405" s="197">
        <v>8008</v>
      </c>
      <c r="F3405" s="197">
        <v>81.11</v>
      </c>
      <c r="G3405" s="190">
        <v>45695</v>
      </c>
      <c r="H3405" s="196">
        <v>0</v>
      </c>
      <c r="I3405" s="197">
        <v>8111</v>
      </c>
      <c r="J3405" s="197">
        <v>8111</v>
      </c>
      <c r="K3405" s="197">
        <v>0</v>
      </c>
      <c r="L3405" s="197">
        <v>103</v>
      </c>
      <c r="M3405" s="260" t="s">
        <v>239</v>
      </c>
      <c r="N3405" s="260" t="s">
        <v>514</v>
      </c>
    </row>
    <row r="3406" spans="1:14" ht="14.5" x14ac:dyDescent="0.35">
      <c r="A3406" s="260" t="s">
        <v>747</v>
      </c>
      <c r="B3406" s="190">
        <v>45696</v>
      </c>
      <c r="C3406" s="260" t="s">
        <v>749</v>
      </c>
      <c r="D3406" s="197">
        <v>40</v>
      </c>
      <c r="E3406" s="197">
        <v>4004</v>
      </c>
      <c r="F3406" s="197">
        <v>100.89</v>
      </c>
      <c r="G3406" s="190">
        <v>45695</v>
      </c>
      <c r="H3406" s="196">
        <v>1</v>
      </c>
      <c r="I3406" s="197">
        <v>4035.6</v>
      </c>
      <c r="J3406" s="197">
        <v>4035.6</v>
      </c>
      <c r="K3406" s="197">
        <v>0</v>
      </c>
      <c r="L3406" s="197">
        <v>31.599999999999909</v>
      </c>
      <c r="M3406" s="260" t="s">
        <v>239</v>
      </c>
      <c r="N3406" s="260" t="s">
        <v>514</v>
      </c>
    </row>
    <row r="3407" spans="1:14" ht="14.5" x14ac:dyDescent="0.35">
      <c r="A3407" s="260" t="s">
        <v>747</v>
      </c>
      <c r="B3407" s="190">
        <v>45696</v>
      </c>
      <c r="C3407" s="260" t="s">
        <v>752</v>
      </c>
      <c r="D3407" s="197">
        <v>0</v>
      </c>
      <c r="E3407" s="197">
        <v>0</v>
      </c>
      <c r="F3407" s="197">
        <v>196.33</v>
      </c>
      <c r="G3407" s="190">
        <v>45695</v>
      </c>
      <c r="H3407" s="196">
        <v>1</v>
      </c>
      <c r="I3407" s="197">
        <v>0</v>
      </c>
      <c r="J3407" s="197">
        <v>0</v>
      </c>
      <c r="K3407" s="197">
        <v>0</v>
      </c>
      <c r="L3407" s="197">
        <v>0</v>
      </c>
      <c r="M3407" s="260" t="s">
        <v>239</v>
      </c>
      <c r="N3407" s="260" t="s">
        <v>514</v>
      </c>
    </row>
    <row r="3408" spans="1:14" ht="14.5" x14ac:dyDescent="0.35">
      <c r="A3408" s="260" t="s">
        <v>747</v>
      </c>
      <c r="B3408" s="190">
        <v>45696</v>
      </c>
      <c r="C3408" s="260" t="s">
        <v>754</v>
      </c>
      <c r="D3408" s="197">
        <v>100</v>
      </c>
      <c r="E3408" s="197">
        <v>8008</v>
      </c>
      <c r="F3408" s="197">
        <v>81.11</v>
      </c>
      <c r="G3408" s="190">
        <v>45695</v>
      </c>
      <c r="H3408" s="196">
        <v>1</v>
      </c>
      <c r="I3408" s="197">
        <v>8111</v>
      </c>
      <c r="J3408" s="197">
        <v>8111</v>
      </c>
      <c r="K3408" s="197">
        <v>0</v>
      </c>
      <c r="L3408" s="197">
        <v>103</v>
      </c>
      <c r="M3408" s="260" t="s">
        <v>239</v>
      </c>
      <c r="N3408" s="260" t="s">
        <v>514</v>
      </c>
    </row>
    <row r="3409" spans="1:14" ht="14.5" x14ac:dyDescent="0.35">
      <c r="A3409" s="260" t="s">
        <v>747</v>
      </c>
      <c r="B3409" s="190">
        <v>45697</v>
      </c>
      <c r="C3409" s="260" t="s">
        <v>749</v>
      </c>
      <c r="D3409" s="197">
        <v>40</v>
      </c>
      <c r="E3409" s="197">
        <v>4004</v>
      </c>
      <c r="F3409" s="197">
        <v>100.89</v>
      </c>
      <c r="G3409" s="190">
        <v>45695</v>
      </c>
      <c r="H3409" s="196">
        <v>2</v>
      </c>
      <c r="I3409" s="197">
        <v>4035.6</v>
      </c>
      <c r="J3409" s="197">
        <v>4035.6</v>
      </c>
      <c r="K3409" s="197">
        <v>0</v>
      </c>
      <c r="L3409" s="197">
        <v>31.599999999999909</v>
      </c>
      <c r="M3409" s="260" t="s">
        <v>239</v>
      </c>
      <c r="N3409" s="260" t="s">
        <v>514</v>
      </c>
    </row>
    <row r="3410" spans="1:14" ht="14.5" x14ac:dyDescent="0.35">
      <c r="A3410" s="260" t="s">
        <v>747</v>
      </c>
      <c r="B3410" s="190">
        <v>45697</v>
      </c>
      <c r="C3410" s="260" t="s">
        <v>752</v>
      </c>
      <c r="D3410" s="197">
        <v>0</v>
      </c>
      <c r="E3410" s="197">
        <v>0</v>
      </c>
      <c r="F3410" s="197">
        <v>196.33</v>
      </c>
      <c r="G3410" s="190">
        <v>45695</v>
      </c>
      <c r="H3410" s="196">
        <v>2</v>
      </c>
      <c r="I3410" s="197">
        <v>0</v>
      </c>
      <c r="J3410" s="197">
        <v>0</v>
      </c>
      <c r="K3410" s="197">
        <v>0</v>
      </c>
      <c r="L3410" s="197">
        <v>0</v>
      </c>
      <c r="M3410" s="260" t="s">
        <v>239</v>
      </c>
      <c r="N3410" s="260" t="s">
        <v>514</v>
      </c>
    </row>
    <row r="3411" spans="1:14" ht="14.5" x14ac:dyDescent="0.35">
      <c r="A3411" s="260" t="s">
        <v>747</v>
      </c>
      <c r="B3411" s="190">
        <v>45697</v>
      </c>
      <c r="C3411" s="260" t="s">
        <v>754</v>
      </c>
      <c r="D3411" s="197">
        <v>100</v>
      </c>
      <c r="E3411" s="197">
        <v>8008</v>
      </c>
      <c r="F3411" s="197">
        <v>81.11</v>
      </c>
      <c r="G3411" s="190">
        <v>45695</v>
      </c>
      <c r="H3411" s="196">
        <v>2</v>
      </c>
      <c r="I3411" s="197">
        <v>8111</v>
      </c>
      <c r="J3411" s="197">
        <v>8111</v>
      </c>
      <c r="K3411" s="197">
        <v>0</v>
      </c>
      <c r="L3411" s="197">
        <v>103</v>
      </c>
      <c r="M3411" s="260" t="s">
        <v>239</v>
      </c>
      <c r="N3411" s="260" t="s">
        <v>514</v>
      </c>
    </row>
    <row r="3412" spans="1:14" ht="14.5" x14ac:dyDescent="0.35">
      <c r="A3412" s="260" t="s">
        <v>747</v>
      </c>
      <c r="B3412" s="190">
        <v>45698</v>
      </c>
      <c r="C3412" s="260" t="s">
        <v>749</v>
      </c>
      <c r="D3412" s="197">
        <v>40</v>
      </c>
      <c r="E3412" s="197">
        <v>4004</v>
      </c>
      <c r="F3412" s="197">
        <v>100.33</v>
      </c>
      <c r="G3412" s="190">
        <v>45698</v>
      </c>
      <c r="H3412" s="196">
        <v>0</v>
      </c>
      <c r="I3412" s="197">
        <v>4013.2</v>
      </c>
      <c r="J3412" s="197">
        <v>4013.2</v>
      </c>
      <c r="K3412" s="197">
        <v>0</v>
      </c>
      <c r="L3412" s="197">
        <v>9.1999999999998181</v>
      </c>
      <c r="M3412" s="260" t="s">
        <v>239</v>
      </c>
      <c r="N3412" s="260" t="s">
        <v>514</v>
      </c>
    </row>
    <row r="3413" spans="1:14" ht="14.5" x14ac:dyDescent="0.35">
      <c r="A3413" s="260" t="s">
        <v>747</v>
      </c>
      <c r="B3413" s="190">
        <v>45698</v>
      </c>
      <c r="C3413" s="260" t="s">
        <v>752</v>
      </c>
      <c r="D3413" s="197">
        <v>0</v>
      </c>
      <c r="E3413" s="197">
        <v>0</v>
      </c>
      <c r="F3413" s="197">
        <v>197</v>
      </c>
      <c r="G3413" s="190">
        <v>45698</v>
      </c>
      <c r="H3413" s="196">
        <v>0</v>
      </c>
      <c r="I3413" s="197">
        <v>0</v>
      </c>
      <c r="J3413" s="197">
        <v>0</v>
      </c>
      <c r="K3413" s="197">
        <v>0</v>
      </c>
      <c r="L3413" s="197">
        <v>0</v>
      </c>
      <c r="M3413" s="260" t="s">
        <v>239</v>
      </c>
      <c r="N3413" s="260" t="s">
        <v>514</v>
      </c>
    </row>
    <row r="3414" spans="1:14" ht="14.5" x14ac:dyDescent="0.35">
      <c r="A3414" s="260" t="s">
        <v>747</v>
      </c>
      <c r="B3414" s="190">
        <v>45698</v>
      </c>
      <c r="C3414" s="260" t="s">
        <v>754</v>
      </c>
      <c r="D3414" s="197">
        <v>100</v>
      </c>
      <c r="E3414" s="197">
        <v>8008</v>
      </c>
      <c r="F3414" s="197">
        <v>80.67</v>
      </c>
      <c r="G3414" s="190">
        <v>45698</v>
      </c>
      <c r="H3414" s="196">
        <v>0</v>
      </c>
      <c r="I3414" s="197">
        <v>8067</v>
      </c>
      <c r="J3414" s="197">
        <v>8067</v>
      </c>
      <c r="K3414" s="197">
        <v>0</v>
      </c>
      <c r="L3414" s="197">
        <v>59</v>
      </c>
      <c r="M3414" s="260" t="s">
        <v>239</v>
      </c>
      <c r="N3414" s="260" t="s">
        <v>514</v>
      </c>
    </row>
    <row r="3415" spans="1:14" ht="14.5" x14ac:dyDescent="0.35">
      <c r="A3415" s="260" t="s">
        <v>747</v>
      </c>
      <c r="B3415" s="190">
        <v>45699</v>
      </c>
      <c r="C3415" s="260" t="s">
        <v>749</v>
      </c>
      <c r="D3415" s="197">
        <v>40</v>
      </c>
      <c r="E3415" s="197">
        <v>4004</v>
      </c>
      <c r="F3415" s="197">
        <v>100.15</v>
      </c>
      <c r="G3415" s="190">
        <v>45699</v>
      </c>
      <c r="H3415" s="196">
        <v>0</v>
      </c>
      <c r="I3415" s="197">
        <v>4006</v>
      </c>
      <c r="J3415" s="197">
        <v>4006</v>
      </c>
      <c r="K3415" s="197">
        <v>0</v>
      </c>
      <c r="L3415" s="197">
        <v>2</v>
      </c>
      <c r="M3415" s="260" t="s">
        <v>239</v>
      </c>
      <c r="N3415" s="260" t="s">
        <v>514</v>
      </c>
    </row>
    <row r="3416" spans="1:14" ht="14.5" x14ac:dyDescent="0.35">
      <c r="A3416" s="260" t="s">
        <v>747</v>
      </c>
      <c r="B3416" s="190">
        <v>45699</v>
      </c>
      <c r="C3416" s="260" t="s">
        <v>752</v>
      </c>
      <c r="D3416" s="197">
        <v>0</v>
      </c>
      <c r="E3416" s="197">
        <v>0</v>
      </c>
      <c r="F3416" s="197">
        <v>197.22</v>
      </c>
      <c r="G3416" s="190">
        <v>45699</v>
      </c>
      <c r="H3416" s="196">
        <v>0</v>
      </c>
      <c r="I3416" s="197">
        <v>0</v>
      </c>
      <c r="J3416" s="197">
        <v>0</v>
      </c>
      <c r="K3416" s="197">
        <v>0</v>
      </c>
      <c r="L3416" s="197">
        <v>0</v>
      </c>
      <c r="M3416" s="260" t="s">
        <v>239</v>
      </c>
      <c r="N3416" s="260" t="s">
        <v>514</v>
      </c>
    </row>
    <row r="3417" spans="1:14" ht="14.5" x14ac:dyDescent="0.35">
      <c r="A3417" s="260" t="s">
        <v>747</v>
      </c>
      <c r="B3417" s="190">
        <v>45699</v>
      </c>
      <c r="C3417" s="260" t="s">
        <v>754</v>
      </c>
      <c r="D3417" s="197">
        <v>100</v>
      </c>
      <c r="E3417" s="197">
        <v>8008</v>
      </c>
      <c r="F3417" s="197">
        <v>80.52</v>
      </c>
      <c r="G3417" s="190">
        <v>45699</v>
      </c>
      <c r="H3417" s="196">
        <v>0</v>
      </c>
      <c r="I3417" s="197">
        <v>8052</v>
      </c>
      <c r="J3417" s="197">
        <v>8052</v>
      </c>
      <c r="K3417" s="197">
        <v>0</v>
      </c>
      <c r="L3417" s="197">
        <v>44</v>
      </c>
      <c r="M3417" s="260" t="s">
        <v>239</v>
      </c>
      <c r="N3417" s="260" t="s">
        <v>514</v>
      </c>
    </row>
    <row r="3418" spans="1:14" ht="14.5" x14ac:dyDescent="0.35">
      <c r="A3418" s="260" t="s">
        <v>747</v>
      </c>
      <c r="B3418" s="190">
        <v>45700</v>
      </c>
      <c r="C3418" s="260" t="s">
        <v>749</v>
      </c>
      <c r="D3418" s="197">
        <v>40</v>
      </c>
      <c r="E3418" s="197">
        <v>4004</v>
      </c>
      <c r="F3418" s="197">
        <v>99.96</v>
      </c>
      <c r="G3418" s="190">
        <v>45700</v>
      </c>
      <c r="H3418" s="196">
        <v>0</v>
      </c>
      <c r="I3418" s="197">
        <v>3998.3999999999996</v>
      </c>
      <c r="J3418" s="197">
        <v>3998.3999999999996</v>
      </c>
      <c r="K3418" s="197">
        <v>0</v>
      </c>
      <c r="L3418" s="197">
        <v>-5.6000000000003638</v>
      </c>
      <c r="M3418" s="260" t="s">
        <v>239</v>
      </c>
      <c r="N3418" s="260" t="s">
        <v>514</v>
      </c>
    </row>
    <row r="3419" spans="1:14" ht="14.5" x14ac:dyDescent="0.35">
      <c r="A3419" s="260" t="s">
        <v>747</v>
      </c>
      <c r="B3419" s="190">
        <v>45700</v>
      </c>
      <c r="C3419" s="260" t="s">
        <v>752</v>
      </c>
      <c r="D3419" s="197">
        <v>0</v>
      </c>
      <c r="E3419" s="197">
        <v>0</v>
      </c>
      <c r="F3419" s="197">
        <v>197.44</v>
      </c>
      <c r="G3419" s="190">
        <v>45700</v>
      </c>
      <c r="H3419" s="196">
        <v>0</v>
      </c>
      <c r="I3419" s="197">
        <v>0</v>
      </c>
      <c r="J3419" s="197">
        <v>0</v>
      </c>
      <c r="K3419" s="197">
        <v>0</v>
      </c>
      <c r="L3419" s="197">
        <v>0</v>
      </c>
      <c r="M3419" s="260" t="s">
        <v>239</v>
      </c>
      <c r="N3419" s="260" t="s">
        <v>514</v>
      </c>
    </row>
    <row r="3420" spans="1:14" ht="14.5" x14ac:dyDescent="0.35">
      <c r="A3420" s="260" t="s">
        <v>747</v>
      </c>
      <c r="B3420" s="190">
        <v>45700</v>
      </c>
      <c r="C3420" s="260" t="s">
        <v>754</v>
      </c>
      <c r="D3420" s="197">
        <v>100</v>
      </c>
      <c r="E3420" s="197">
        <v>8008</v>
      </c>
      <c r="F3420" s="197">
        <v>80.37</v>
      </c>
      <c r="G3420" s="190">
        <v>45700</v>
      </c>
      <c r="H3420" s="196">
        <v>0</v>
      </c>
      <c r="I3420" s="197">
        <v>8037</v>
      </c>
      <c r="J3420" s="197">
        <v>8037</v>
      </c>
      <c r="K3420" s="197">
        <v>0</v>
      </c>
      <c r="L3420" s="197">
        <v>29</v>
      </c>
      <c r="M3420" s="260" t="s">
        <v>239</v>
      </c>
      <c r="N3420" s="260" t="s">
        <v>514</v>
      </c>
    </row>
    <row r="3421" spans="1:14" ht="14.5" x14ac:dyDescent="0.35">
      <c r="A3421" s="260" t="s">
        <v>747</v>
      </c>
      <c r="B3421" s="190">
        <v>45701</v>
      </c>
      <c r="C3421" s="260" t="s">
        <v>749</v>
      </c>
      <c r="D3421" s="197">
        <v>40</v>
      </c>
      <c r="E3421" s="197">
        <v>4004</v>
      </c>
      <c r="F3421" s="197">
        <v>99.78</v>
      </c>
      <c r="G3421" s="190">
        <v>45701</v>
      </c>
      <c r="H3421" s="196">
        <v>0</v>
      </c>
      <c r="I3421" s="197">
        <v>3991.2</v>
      </c>
      <c r="J3421" s="197">
        <v>3991.2</v>
      </c>
      <c r="K3421" s="197">
        <v>0</v>
      </c>
      <c r="L3421" s="197">
        <v>-12.800000000000182</v>
      </c>
      <c r="M3421" s="260" t="s">
        <v>239</v>
      </c>
      <c r="N3421" s="260" t="s">
        <v>514</v>
      </c>
    </row>
    <row r="3422" spans="1:14" ht="14.5" x14ac:dyDescent="0.35">
      <c r="A3422" s="260" t="s">
        <v>747</v>
      </c>
      <c r="B3422" s="190">
        <v>45701</v>
      </c>
      <c r="C3422" s="260" t="s">
        <v>752</v>
      </c>
      <c r="D3422" s="197">
        <v>0</v>
      </c>
      <c r="E3422" s="197">
        <v>0</v>
      </c>
      <c r="F3422" s="197">
        <v>197.67</v>
      </c>
      <c r="G3422" s="190">
        <v>45701</v>
      </c>
      <c r="H3422" s="196">
        <v>0</v>
      </c>
      <c r="I3422" s="197">
        <v>0</v>
      </c>
      <c r="J3422" s="197">
        <v>0</v>
      </c>
      <c r="K3422" s="197">
        <v>0</v>
      </c>
      <c r="L3422" s="197">
        <v>0</v>
      </c>
      <c r="M3422" s="260" t="s">
        <v>239</v>
      </c>
      <c r="N3422" s="260" t="s">
        <v>514</v>
      </c>
    </row>
    <row r="3423" spans="1:14" ht="14.5" x14ac:dyDescent="0.35">
      <c r="A3423" s="260" t="s">
        <v>747</v>
      </c>
      <c r="B3423" s="190">
        <v>45701</v>
      </c>
      <c r="C3423" s="260" t="s">
        <v>754</v>
      </c>
      <c r="D3423" s="197">
        <v>100</v>
      </c>
      <c r="E3423" s="197">
        <v>8008</v>
      </c>
      <c r="F3423" s="197">
        <v>80.22</v>
      </c>
      <c r="G3423" s="190">
        <v>45701</v>
      </c>
      <c r="H3423" s="196">
        <v>0</v>
      </c>
      <c r="I3423" s="197">
        <v>8022</v>
      </c>
      <c r="J3423" s="197">
        <v>8022</v>
      </c>
      <c r="K3423" s="197">
        <v>0</v>
      </c>
      <c r="L3423" s="197">
        <v>14</v>
      </c>
      <c r="M3423" s="260" t="s">
        <v>239</v>
      </c>
      <c r="N3423" s="260" t="s">
        <v>514</v>
      </c>
    </row>
    <row r="3424" spans="1:14" ht="14.5" x14ac:dyDescent="0.35">
      <c r="A3424" s="260" t="s">
        <v>747</v>
      </c>
      <c r="B3424" s="190">
        <v>45702</v>
      </c>
      <c r="C3424" s="260" t="s">
        <v>749</v>
      </c>
      <c r="D3424" s="197">
        <v>40</v>
      </c>
      <c r="E3424" s="197">
        <v>4004</v>
      </c>
      <c r="F3424" s="197">
        <v>99.59</v>
      </c>
      <c r="G3424" s="190">
        <v>45702</v>
      </c>
      <c r="H3424" s="196">
        <v>0</v>
      </c>
      <c r="I3424" s="197">
        <v>3983.6000000000004</v>
      </c>
      <c r="J3424" s="197">
        <v>3983.6000000000004</v>
      </c>
      <c r="K3424" s="197">
        <v>0</v>
      </c>
      <c r="L3424" s="197">
        <v>-20.399999999999636</v>
      </c>
      <c r="M3424" s="260" t="s">
        <v>239</v>
      </c>
      <c r="N3424" s="260" t="s">
        <v>514</v>
      </c>
    </row>
    <row r="3425" spans="1:14" ht="14.5" x14ac:dyDescent="0.35">
      <c r="A3425" s="260" t="s">
        <v>747</v>
      </c>
      <c r="B3425" s="190">
        <v>45702</v>
      </c>
      <c r="C3425" s="260" t="s">
        <v>752</v>
      </c>
      <c r="D3425" s="197">
        <v>0</v>
      </c>
      <c r="E3425" s="197">
        <v>0</v>
      </c>
      <c r="F3425" s="197">
        <v>197.89</v>
      </c>
      <c r="G3425" s="190">
        <v>45702</v>
      </c>
      <c r="H3425" s="196">
        <v>0</v>
      </c>
      <c r="I3425" s="197">
        <v>0</v>
      </c>
      <c r="J3425" s="197">
        <v>0</v>
      </c>
      <c r="K3425" s="197">
        <v>0</v>
      </c>
      <c r="L3425" s="197">
        <v>0</v>
      </c>
      <c r="M3425" s="260" t="s">
        <v>239</v>
      </c>
      <c r="N3425" s="260" t="s">
        <v>514</v>
      </c>
    </row>
    <row r="3426" spans="1:14" ht="14.5" x14ac:dyDescent="0.35">
      <c r="A3426" s="260" t="s">
        <v>747</v>
      </c>
      <c r="B3426" s="190">
        <v>45702</v>
      </c>
      <c r="C3426" s="260" t="s">
        <v>754</v>
      </c>
      <c r="D3426" s="197">
        <v>100</v>
      </c>
      <c r="E3426" s="197">
        <v>8008</v>
      </c>
      <c r="F3426" s="197">
        <v>80.069999999999993</v>
      </c>
      <c r="G3426" s="190">
        <v>45702</v>
      </c>
      <c r="H3426" s="196">
        <v>0</v>
      </c>
      <c r="I3426" s="197">
        <v>8006.9999999999991</v>
      </c>
      <c r="J3426" s="197">
        <v>8006.9999999999991</v>
      </c>
      <c r="K3426" s="197">
        <v>0</v>
      </c>
      <c r="L3426" s="197">
        <v>-1.0000000000009095</v>
      </c>
      <c r="M3426" s="260" t="s">
        <v>239</v>
      </c>
      <c r="N3426" s="260" t="s">
        <v>514</v>
      </c>
    </row>
    <row r="3427" spans="1:14" ht="14.5" x14ac:dyDescent="0.35">
      <c r="A3427" s="260" t="s">
        <v>747</v>
      </c>
      <c r="B3427" s="190">
        <v>45703</v>
      </c>
      <c r="C3427" s="260" t="s">
        <v>749</v>
      </c>
      <c r="D3427" s="197">
        <v>40</v>
      </c>
      <c r="E3427" s="197">
        <v>4004</v>
      </c>
      <c r="F3427" s="197">
        <v>99.59</v>
      </c>
      <c r="G3427" s="190">
        <v>45702</v>
      </c>
      <c r="H3427" s="196">
        <v>1</v>
      </c>
      <c r="I3427" s="197">
        <v>3983.6000000000004</v>
      </c>
      <c r="J3427" s="197">
        <v>3983.6000000000004</v>
      </c>
      <c r="K3427" s="197">
        <v>0</v>
      </c>
      <c r="L3427" s="197">
        <v>-20.399999999999636</v>
      </c>
      <c r="M3427" s="260" t="s">
        <v>239</v>
      </c>
      <c r="N3427" s="260" t="s">
        <v>514</v>
      </c>
    </row>
    <row r="3428" spans="1:14" ht="14.5" x14ac:dyDescent="0.35">
      <c r="A3428" s="260" t="s">
        <v>747</v>
      </c>
      <c r="B3428" s="190">
        <v>45703</v>
      </c>
      <c r="C3428" s="260" t="s">
        <v>752</v>
      </c>
      <c r="D3428" s="197">
        <v>0</v>
      </c>
      <c r="E3428" s="197">
        <v>0</v>
      </c>
      <c r="F3428" s="197">
        <v>197.89</v>
      </c>
      <c r="G3428" s="190">
        <v>45702</v>
      </c>
      <c r="H3428" s="196">
        <v>1</v>
      </c>
      <c r="I3428" s="197">
        <v>0</v>
      </c>
      <c r="J3428" s="197">
        <v>0</v>
      </c>
      <c r="K3428" s="197">
        <v>0</v>
      </c>
      <c r="L3428" s="197">
        <v>0</v>
      </c>
      <c r="M3428" s="260" t="s">
        <v>239</v>
      </c>
      <c r="N3428" s="260" t="s">
        <v>514</v>
      </c>
    </row>
    <row r="3429" spans="1:14" ht="14.5" x14ac:dyDescent="0.35">
      <c r="A3429" s="260" t="s">
        <v>747</v>
      </c>
      <c r="B3429" s="190">
        <v>45703</v>
      </c>
      <c r="C3429" s="260" t="s">
        <v>754</v>
      </c>
      <c r="D3429" s="197">
        <v>100</v>
      </c>
      <c r="E3429" s="197">
        <v>8008</v>
      </c>
      <c r="F3429" s="197">
        <v>80.069999999999993</v>
      </c>
      <c r="G3429" s="190">
        <v>45702</v>
      </c>
      <c r="H3429" s="196">
        <v>1</v>
      </c>
      <c r="I3429" s="197">
        <v>8006.9999999999991</v>
      </c>
      <c r="J3429" s="197">
        <v>8006.9999999999991</v>
      </c>
      <c r="K3429" s="197">
        <v>0</v>
      </c>
      <c r="L3429" s="197">
        <v>-1.0000000000009095</v>
      </c>
      <c r="M3429" s="260" t="s">
        <v>239</v>
      </c>
      <c r="N3429" s="260" t="s">
        <v>514</v>
      </c>
    </row>
    <row r="3430" spans="1:14" ht="14.5" x14ac:dyDescent="0.35">
      <c r="A3430" s="260" t="s">
        <v>747</v>
      </c>
      <c r="B3430" s="190">
        <v>45704</v>
      </c>
      <c r="C3430" s="260" t="s">
        <v>749</v>
      </c>
      <c r="D3430" s="197">
        <v>40</v>
      </c>
      <c r="E3430" s="197">
        <v>4004</v>
      </c>
      <c r="F3430" s="197">
        <v>99.59</v>
      </c>
      <c r="G3430" s="190">
        <v>45702</v>
      </c>
      <c r="H3430" s="196">
        <v>2</v>
      </c>
      <c r="I3430" s="197">
        <v>3983.6000000000004</v>
      </c>
      <c r="J3430" s="197">
        <v>3983.6000000000004</v>
      </c>
      <c r="K3430" s="197">
        <v>0</v>
      </c>
      <c r="L3430" s="197">
        <v>-20.399999999999636</v>
      </c>
      <c r="M3430" s="260" t="s">
        <v>239</v>
      </c>
      <c r="N3430" s="260" t="s">
        <v>514</v>
      </c>
    </row>
    <row r="3431" spans="1:14" ht="14.5" x14ac:dyDescent="0.35">
      <c r="A3431" s="260" t="s">
        <v>747</v>
      </c>
      <c r="B3431" s="190">
        <v>45704</v>
      </c>
      <c r="C3431" s="260" t="s">
        <v>752</v>
      </c>
      <c r="D3431" s="197">
        <v>0</v>
      </c>
      <c r="E3431" s="197">
        <v>0</v>
      </c>
      <c r="F3431" s="197">
        <v>197.89</v>
      </c>
      <c r="G3431" s="190">
        <v>45702</v>
      </c>
      <c r="H3431" s="196">
        <v>2</v>
      </c>
      <c r="I3431" s="197">
        <v>0</v>
      </c>
      <c r="J3431" s="197">
        <v>0</v>
      </c>
      <c r="K3431" s="197">
        <v>0</v>
      </c>
      <c r="L3431" s="197">
        <v>0</v>
      </c>
      <c r="M3431" s="260" t="s">
        <v>239</v>
      </c>
      <c r="N3431" s="260" t="s">
        <v>514</v>
      </c>
    </row>
    <row r="3432" spans="1:14" ht="14.5" x14ac:dyDescent="0.35">
      <c r="A3432" s="260" t="s">
        <v>747</v>
      </c>
      <c r="B3432" s="190">
        <v>45704</v>
      </c>
      <c r="C3432" s="260" t="s">
        <v>754</v>
      </c>
      <c r="D3432" s="197">
        <v>100</v>
      </c>
      <c r="E3432" s="197">
        <v>8008</v>
      </c>
      <c r="F3432" s="197">
        <v>80.069999999999993</v>
      </c>
      <c r="G3432" s="190">
        <v>45702</v>
      </c>
      <c r="H3432" s="196">
        <v>2</v>
      </c>
      <c r="I3432" s="197">
        <v>8006.9999999999991</v>
      </c>
      <c r="J3432" s="197">
        <v>8006.9999999999991</v>
      </c>
      <c r="K3432" s="197">
        <v>0</v>
      </c>
      <c r="L3432" s="197">
        <v>-1.0000000000009095</v>
      </c>
      <c r="M3432" s="260" t="s">
        <v>239</v>
      </c>
      <c r="N3432" s="260" t="s">
        <v>514</v>
      </c>
    </row>
    <row r="3433" spans="1:14" ht="14.5" x14ac:dyDescent="0.35">
      <c r="A3433" s="260" t="s">
        <v>747</v>
      </c>
      <c r="B3433" s="190">
        <v>45705</v>
      </c>
      <c r="C3433" s="260" t="s">
        <v>749</v>
      </c>
      <c r="D3433" s="197">
        <v>40</v>
      </c>
      <c r="E3433" s="197">
        <v>4004</v>
      </c>
      <c r="F3433" s="197">
        <v>99.04</v>
      </c>
      <c r="G3433" s="190">
        <v>45705</v>
      </c>
      <c r="H3433" s="196">
        <v>0</v>
      </c>
      <c r="I3433" s="197">
        <v>3961.6000000000004</v>
      </c>
      <c r="J3433" s="197">
        <v>3961.6000000000004</v>
      </c>
      <c r="K3433" s="197">
        <v>0</v>
      </c>
      <c r="L3433" s="197">
        <v>-42.399999999999636</v>
      </c>
      <c r="M3433" s="260" t="s">
        <v>239</v>
      </c>
      <c r="N3433" s="260" t="s">
        <v>514</v>
      </c>
    </row>
    <row r="3434" spans="1:14" ht="14.5" x14ac:dyDescent="0.35">
      <c r="A3434" s="260" t="s">
        <v>747</v>
      </c>
      <c r="B3434" s="190">
        <v>45705</v>
      </c>
      <c r="C3434" s="260" t="s">
        <v>752</v>
      </c>
      <c r="D3434" s="197">
        <v>0</v>
      </c>
      <c r="E3434" s="197">
        <v>0</v>
      </c>
      <c r="F3434" s="197">
        <v>198.56</v>
      </c>
      <c r="G3434" s="190">
        <v>45705</v>
      </c>
      <c r="H3434" s="196">
        <v>0</v>
      </c>
      <c r="I3434" s="197">
        <v>0</v>
      </c>
      <c r="J3434" s="197">
        <v>0</v>
      </c>
      <c r="K3434" s="197">
        <v>0</v>
      </c>
      <c r="L3434" s="197">
        <v>0</v>
      </c>
      <c r="M3434" s="260" t="s">
        <v>239</v>
      </c>
      <c r="N3434" s="260" t="s">
        <v>514</v>
      </c>
    </row>
    <row r="3435" spans="1:14" ht="14.5" x14ac:dyDescent="0.35">
      <c r="A3435" s="260" t="s">
        <v>747</v>
      </c>
      <c r="B3435" s="190">
        <v>45705</v>
      </c>
      <c r="C3435" s="260" t="s">
        <v>754</v>
      </c>
      <c r="D3435" s="197">
        <v>100</v>
      </c>
      <c r="E3435" s="197">
        <v>8008</v>
      </c>
      <c r="F3435" s="197">
        <v>79.63</v>
      </c>
      <c r="G3435" s="190">
        <v>45705</v>
      </c>
      <c r="H3435" s="196">
        <v>0</v>
      </c>
      <c r="I3435" s="197">
        <v>7963</v>
      </c>
      <c r="J3435" s="197">
        <v>7963</v>
      </c>
      <c r="K3435" s="197">
        <v>0</v>
      </c>
      <c r="L3435" s="197">
        <v>-45</v>
      </c>
      <c r="M3435" s="260" t="s">
        <v>239</v>
      </c>
      <c r="N3435" s="260" t="s">
        <v>514</v>
      </c>
    </row>
    <row r="3436" spans="1:14" ht="14.5" x14ac:dyDescent="0.35">
      <c r="A3436" s="260" t="s">
        <v>747</v>
      </c>
      <c r="B3436" s="190">
        <v>45706</v>
      </c>
      <c r="C3436" s="260" t="s">
        <v>749</v>
      </c>
      <c r="D3436" s="197">
        <v>40</v>
      </c>
      <c r="E3436" s="197">
        <v>4004</v>
      </c>
      <c r="F3436" s="197">
        <v>98.85</v>
      </c>
      <c r="G3436" s="190">
        <v>45706</v>
      </c>
      <c r="H3436" s="196">
        <v>0</v>
      </c>
      <c r="I3436" s="197">
        <v>3954</v>
      </c>
      <c r="J3436" s="197">
        <v>3954</v>
      </c>
      <c r="K3436" s="197">
        <v>0</v>
      </c>
      <c r="L3436" s="197">
        <v>-50</v>
      </c>
      <c r="M3436" s="260" t="s">
        <v>239</v>
      </c>
      <c r="N3436" s="260" t="s">
        <v>514</v>
      </c>
    </row>
    <row r="3437" spans="1:14" ht="14.5" x14ac:dyDescent="0.35">
      <c r="A3437" s="260" t="s">
        <v>747</v>
      </c>
      <c r="B3437" s="190">
        <v>45706</v>
      </c>
      <c r="C3437" s="260" t="s">
        <v>752</v>
      </c>
      <c r="D3437" s="197">
        <v>0</v>
      </c>
      <c r="E3437" s="197">
        <v>0</v>
      </c>
      <c r="F3437" s="197">
        <v>198.78</v>
      </c>
      <c r="G3437" s="190">
        <v>45706</v>
      </c>
      <c r="H3437" s="196">
        <v>0</v>
      </c>
      <c r="I3437" s="197">
        <v>0</v>
      </c>
      <c r="J3437" s="197">
        <v>0</v>
      </c>
      <c r="K3437" s="197">
        <v>0</v>
      </c>
      <c r="L3437" s="197">
        <v>0</v>
      </c>
      <c r="M3437" s="260" t="s">
        <v>239</v>
      </c>
      <c r="N3437" s="260" t="s">
        <v>514</v>
      </c>
    </row>
    <row r="3438" spans="1:14" ht="14.5" x14ac:dyDescent="0.35">
      <c r="A3438" s="260" t="s">
        <v>747</v>
      </c>
      <c r="B3438" s="190">
        <v>45706</v>
      </c>
      <c r="C3438" s="260" t="s">
        <v>754</v>
      </c>
      <c r="D3438" s="197">
        <v>100</v>
      </c>
      <c r="E3438" s="197">
        <v>8008</v>
      </c>
      <c r="F3438" s="197">
        <v>79.48</v>
      </c>
      <c r="G3438" s="190">
        <v>45706</v>
      </c>
      <c r="H3438" s="196">
        <v>0</v>
      </c>
      <c r="I3438" s="197">
        <v>7948</v>
      </c>
      <c r="J3438" s="197">
        <v>7948</v>
      </c>
      <c r="K3438" s="197">
        <v>0</v>
      </c>
      <c r="L3438" s="197">
        <v>-60</v>
      </c>
      <c r="M3438" s="260" t="s">
        <v>239</v>
      </c>
      <c r="N3438" s="260" t="s">
        <v>514</v>
      </c>
    </row>
    <row r="3439" spans="1:14" ht="14.5" x14ac:dyDescent="0.35">
      <c r="A3439" s="260" t="s">
        <v>747</v>
      </c>
      <c r="B3439" s="190">
        <v>45707</v>
      </c>
      <c r="C3439" s="260" t="s">
        <v>749</v>
      </c>
      <c r="D3439" s="197">
        <v>40</v>
      </c>
      <c r="E3439" s="197">
        <v>4004</v>
      </c>
      <c r="F3439" s="197">
        <v>98.67</v>
      </c>
      <c r="G3439" s="190">
        <v>45707</v>
      </c>
      <c r="H3439" s="196">
        <v>0</v>
      </c>
      <c r="I3439" s="197">
        <v>3946.8</v>
      </c>
      <c r="J3439" s="197">
        <v>3946.8</v>
      </c>
      <c r="K3439" s="197">
        <v>0</v>
      </c>
      <c r="L3439" s="197">
        <v>-57.199999999999818</v>
      </c>
      <c r="M3439" s="260" t="s">
        <v>239</v>
      </c>
      <c r="N3439" s="260" t="s">
        <v>514</v>
      </c>
    </row>
    <row r="3440" spans="1:14" ht="14.5" x14ac:dyDescent="0.35">
      <c r="A3440" s="260" t="s">
        <v>747</v>
      </c>
      <c r="B3440" s="190">
        <v>45707</v>
      </c>
      <c r="C3440" s="260" t="s">
        <v>752</v>
      </c>
      <c r="D3440" s="197">
        <v>0</v>
      </c>
      <c r="E3440" s="197">
        <v>0</v>
      </c>
      <c r="F3440" s="197">
        <v>199</v>
      </c>
      <c r="G3440" s="190">
        <v>45707</v>
      </c>
      <c r="H3440" s="196">
        <v>0</v>
      </c>
      <c r="I3440" s="197">
        <v>0</v>
      </c>
      <c r="J3440" s="197">
        <v>0</v>
      </c>
      <c r="K3440" s="197">
        <v>0</v>
      </c>
      <c r="L3440" s="197">
        <v>0</v>
      </c>
      <c r="M3440" s="260" t="s">
        <v>239</v>
      </c>
      <c r="N3440" s="260" t="s">
        <v>514</v>
      </c>
    </row>
    <row r="3441" spans="1:14" ht="14.5" x14ac:dyDescent="0.35">
      <c r="A3441" s="260" t="s">
        <v>747</v>
      </c>
      <c r="B3441" s="190">
        <v>45707</v>
      </c>
      <c r="C3441" s="260" t="s">
        <v>754</v>
      </c>
      <c r="D3441" s="197">
        <v>100</v>
      </c>
      <c r="E3441" s="197">
        <v>8008</v>
      </c>
      <c r="F3441" s="197">
        <v>79.33</v>
      </c>
      <c r="G3441" s="190">
        <v>45707</v>
      </c>
      <c r="H3441" s="196">
        <v>0</v>
      </c>
      <c r="I3441" s="197">
        <v>7933</v>
      </c>
      <c r="J3441" s="197">
        <v>7933</v>
      </c>
      <c r="K3441" s="197">
        <v>0</v>
      </c>
      <c r="L3441" s="197">
        <v>-75</v>
      </c>
      <c r="M3441" s="260" t="s">
        <v>239</v>
      </c>
      <c r="N3441" s="260" t="s">
        <v>514</v>
      </c>
    </row>
    <row r="3442" spans="1:14" ht="14.5" x14ac:dyDescent="0.35">
      <c r="A3442" s="260" t="s">
        <v>747</v>
      </c>
      <c r="B3442" s="190">
        <v>45708</v>
      </c>
      <c r="C3442" s="260" t="s">
        <v>749</v>
      </c>
      <c r="D3442" s="197">
        <v>40</v>
      </c>
      <c r="E3442" s="197">
        <v>4004</v>
      </c>
      <c r="F3442" s="197">
        <v>98.48</v>
      </c>
      <c r="G3442" s="190">
        <v>45708</v>
      </c>
      <c r="H3442" s="196">
        <v>0</v>
      </c>
      <c r="I3442" s="197">
        <v>3939.2000000000003</v>
      </c>
      <c r="J3442" s="197">
        <v>3939.2000000000003</v>
      </c>
      <c r="K3442" s="197">
        <v>0</v>
      </c>
      <c r="L3442" s="197">
        <v>-64.799999999999727</v>
      </c>
      <c r="M3442" s="260" t="s">
        <v>239</v>
      </c>
      <c r="N3442" s="260" t="s">
        <v>514</v>
      </c>
    </row>
    <row r="3443" spans="1:14" ht="14.5" x14ac:dyDescent="0.35">
      <c r="A3443" s="260" t="s">
        <v>747</v>
      </c>
      <c r="B3443" s="190">
        <v>45708</v>
      </c>
      <c r="C3443" s="260" t="s">
        <v>752</v>
      </c>
      <c r="D3443" s="197">
        <v>0</v>
      </c>
      <c r="E3443" s="197">
        <v>0</v>
      </c>
      <c r="F3443" s="197">
        <v>199.22</v>
      </c>
      <c r="G3443" s="190">
        <v>45708</v>
      </c>
      <c r="H3443" s="196">
        <v>0</v>
      </c>
      <c r="I3443" s="197">
        <v>0</v>
      </c>
      <c r="J3443" s="197">
        <v>0</v>
      </c>
      <c r="K3443" s="197">
        <v>0</v>
      </c>
      <c r="L3443" s="197">
        <v>0</v>
      </c>
      <c r="M3443" s="260" t="s">
        <v>239</v>
      </c>
      <c r="N3443" s="260" t="s">
        <v>514</v>
      </c>
    </row>
    <row r="3444" spans="1:14" ht="14.5" x14ac:dyDescent="0.35">
      <c r="A3444" s="260" t="s">
        <v>747</v>
      </c>
      <c r="B3444" s="190">
        <v>45708</v>
      </c>
      <c r="C3444" s="260" t="s">
        <v>754</v>
      </c>
      <c r="D3444" s="197">
        <v>100</v>
      </c>
      <c r="E3444" s="197">
        <v>8008</v>
      </c>
      <c r="F3444" s="197">
        <v>79.19</v>
      </c>
      <c r="G3444" s="190">
        <v>45708</v>
      </c>
      <c r="H3444" s="196">
        <v>0</v>
      </c>
      <c r="I3444" s="197">
        <v>7919</v>
      </c>
      <c r="J3444" s="197">
        <v>7919</v>
      </c>
      <c r="K3444" s="197">
        <v>0</v>
      </c>
      <c r="L3444" s="197">
        <v>-89</v>
      </c>
      <c r="M3444" s="260" t="s">
        <v>239</v>
      </c>
      <c r="N3444" s="260" t="s">
        <v>514</v>
      </c>
    </row>
    <row r="3445" spans="1:14" ht="14.5" x14ac:dyDescent="0.35">
      <c r="A3445" s="260" t="s">
        <v>747</v>
      </c>
      <c r="B3445" s="190">
        <v>45709</v>
      </c>
      <c r="C3445" s="260" t="s">
        <v>749</v>
      </c>
      <c r="D3445" s="197">
        <v>40</v>
      </c>
      <c r="E3445" s="197">
        <v>4004</v>
      </c>
      <c r="F3445" s="197">
        <v>98.3</v>
      </c>
      <c r="G3445" s="190">
        <v>45709</v>
      </c>
      <c r="H3445" s="196">
        <v>0</v>
      </c>
      <c r="I3445" s="197">
        <v>3932</v>
      </c>
      <c r="J3445" s="197">
        <v>3932</v>
      </c>
      <c r="K3445" s="197">
        <v>0</v>
      </c>
      <c r="L3445" s="197">
        <v>-72</v>
      </c>
      <c r="M3445" s="260" t="s">
        <v>239</v>
      </c>
      <c r="N3445" s="260" t="s">
        <v>514</v>
      </c>
    </row>
    <row r="3446" spans="1:14" ht="14.5" x14ac:dyDescent="0.35">
      <c r="A3446" s="260" t="s">
        <v>747</v>
      </c>
      <c r="B3446" s="190">
        <v>45709</v>
      </c>
      <c r="C3446" s="260" t="s">
        <v>752</v>
      </c>
      <c r="D3446" s="197">
        <v>0</v>
      </c>
      <c r="E3446" s="197">
        <v>0</v>
      </c>
      <c r="F3446" s="197">
        <v>199.44</v>
      </c>
      <c r="G3446" s="190">
        <v>45709</v>
      </c>
      <c r="H3446" s="196">
        <v>0</v>
      </c>
      <c r="I3446" s="197">
        <v>0</v>
      </c>
      <c r="J3446" s="197">
        <v>0</v>
      </c>
      <c r="K3446" s="197">
        <v>0</v>
      </c>
      <c r="L3446" s="197">
        <v>0</v>
      </c>
      <c r="M3446" s="260" t="s">
        <v>239</v>
      </c>
      <c r="N3446" s="260" t="s">
        <v>514</v>
      </c>
    </row>
    <row r="3447" spans="1:14" ht="14.5" x14ac:dyDescent="0.35">
      <c r="A3447" s="260" t="s">
        <v>747</v>
      </c>
      <c r="B3447" s="190">
        <v>45709</v>
      </c>
      <c r="C3447" s="260" t="s">
        <v>754</v>
      </c>
      <c r="D3447" s="197">
        <v>100</v>
      </c>
      <c r="E3447" s="197">
        <v>8008</v>
      </c>
      <c r="F3447" s="197">
        <v>79.040000000000006</v>
      </c>
      <c r="G3447" s="190">
        <v>45709</v>
      </c>
      <c r="H3447" s="196">
        <v>0</v>
      </c>
      <c r="I3447" s="197">
        <v>7904.0000000000009</v>
      </c>
      <c r="J3447" s="197">
        <v>7904.0000000000009</v>
      </c>
      <c r="K3447" s="197">
        <v>0</v>
      </c>
      <c r="L3447" s="197">
        <v>-103.99999999999909</v>
      </c>
      <c r="M3447" s="260" t="s">
        <v>239</v>
      </c>
      <c r="N3447" s="260" t="s">
        <v>514</v>
      </c>
    </row>
    <row r="3448" spans="1:14" ht="14.5" x14ac:dyDescent="0.35">
      <c r="A3448" s="260" t="s">
        <v>747</v>
      </c>
      <c r="B3448" s="190">
        <v>45710</v>
      </c>
      <c r="C3448" s="260" t="s">
        <v>749</v>
      </c>
      <c r="D3448" s="197">
        <v>40</v>
      </c>
      <c r="E3448" s="197">
        <v>4004</v>
      </c>
      <c r="F3448" s="197">
        <v>98.3</v>
      </c>
      <c r="G3448" s="190">
        <v>45709</v>
      </c>
      <c r="H3448" s="196">
        <v>1</v>
      </c>
      <c r="I3448" s="197">
        <v>3932</v>
      </c>
      <c r="J3448" s="197">
        <v>3932</v>
      </c>
      <c r="K3448" s="197">
        <v>0</v>
      </c>
      <c r="L3448" s="197">
        <v>-72</v>
      </c>
      <c r="M3448" s="260" t="s">
        <v>239</v>
      </c>
      <c r="N3448" s="260" t="s">
        <v>514</v>
      </c>
    </row>
    <row r="3449" spans="1:14" ht="14.5" x14ac:dyDescent="0.35">
      <c r="A3449" s="260" t="s">
        <v>747</v>
      </c>
      <c r="B3449" s="190">
        <v>45710</v>
      </c>
      <c r="C3449" s="260" t="s">
        <v>752</v>
      </c>
      <c r="D3449" s="197">
        <v>0</v>
      </c>
      <c r="E3449" s="197">
        <v>0</v>
      </c>
      <c r="F3449" s="197">
        <v>199.44</v>
      </c>
      <c r="G3449" s="190">
        <v>45709</v>
      </c>
      <c r="H3449" s="196">
        <v>1</v>
      </c>
      <c r="I3449" s="197">
        <v>0</v>
      </c>
      <c r="J3449" s="197">
        <v>0</v>
      </c>
      <c r="K3449" s="197">
        <v>0</v>
      </c>
      <c r="L3449" s="197">
        <v>0</v>
      </c>
      <c r="M3449" s="260" t="s">
        <v>239</v>
      </c>
      <c r="N3449" s="260" t="s">
        <v>514</v>
      </c>
    </row>
    <row r="3450" spans="1:14" ht="14.5" x14ac:dyDescent="0.35">
      <c r="A3450" s="260" t="s">
        <v>747</v>
      </c>
      <c r="B3450" s="190">
        <v>45710</v>
      </c>
      <c r="C3450" s="260" t="s">
        <v>754</v>
      </c>
      <c r="D3450" s="197">
        <v>100</v>
      </c>
      <c r="E3450" s="197">
        <v>8008</v>
      </c>
      <c r="F3450" s="197">
        <v>79.040000000000006</v>
      </c>
      <c r="G3450" s="190">
        <v>45709</v>
      </c>
      <c r="H3450" s="196">
        <v>1</v>
      </c>
      <c r="I3450" s="197">
        <v>7904.0000000000009</v>
      </c>
      <c r="J3450" s="197">
        <v>7904.0000000000009</v>
      </c>
      <c r="K3450" s="197">
        <v>0</v>
      </c>
      <c r="L3450" s="197">
        <v>-103.99999999999909</v>
      </c>
      <c r="M3450" s="260" t="s">
        <v>239</v>
      </c>
      <c r="N3450" s="260" t="s">
        <v>514</v>
      </c>
    </row>
    <row r="3451" spans="1:14" ht="14.5" x14ac:dyDescent="0.35">
      <c r="A3451" s="260" t="s">
        <v>747</v>
      </c>
      <c r="B3451" s="190">
        <v>45711</v>
      </c>
      <c r="C3451" s="260" t="s">
        <v>749</v>
      </c>
      <c r="D3451" s="197">
        <v>40</v>
      </c>
      <c r="E3451" s="197">
        <v>4004</v>
      </c>
      <c r="F3451" s="197">
        <v>98.3</v>
      </c>
      <c r="G3451" s="190">
        <v>45709</v>
      </c>
      <c r="H3451" s="196">
        <v>2</v>
      </c>
      <c r="I3451" s="197">
        <v>3932</v>
      </c>
      <c r="J3451" s="197">
        <v>3932</v>
      </c>
      <c r="K3451" s="197">
        <v>0</v>
      </c>
      <c r="L3451" s="197">
        <v>-72</v>
      </c>
      <c r="M3451" s="260" t="s">
        <v>239</v>
      </c>
      <c r="N3451" s="260" t="s">
        <v>514</v>
      </c>
    </row>
    <row r="3452" spans="1:14" ht="14.5" x14ac:dyDescent="0.35">
      <c r="A3452" s="260" t="s">
        <v>747</v>
      </c>
      <c r="B3452" s="190">
        <v>45711</v>
      </c>
      <c r="C3452" s="260" t="s">
        <v>752</v>
      </c>
      <c r="D3452" s="197">
        <v>0</v>
      </c>
      <c r="E3452" s="197">
        <v>0</v>
      </c>
      <c r="F3452" s="197">
        <v>199.44</v>
      </c>
      <c r="G3452" s="190">
        <v>45709</v>
      </c>
      <c r="H3452" s="196">
        <v>2</v>
      </c>
      <c r="I3452" s="197">
        <v>0</v>
      </c>
      <c r="J3452" s="197">
        <v>0</v>
      </c>
      <c r="K3452" s="197">
        <v>0</v>
      </c>
      <c r="L3452" s="197">
        <v>0</v>
      </c>
      <c r="M3452" s="260" t="s">
        <v>239</v>
      </c>
      <c r="N3452" s="260" t="s">
        <v>514</v>
      </c>
    </row>
    <row r="3453" spans="1:14" ht="14.5" x14ac:dyDescent="0.35">
      <c r="A3453" s="260" t="s">
        <v>747</v>
      </c>
      <c r="B3453" s="190">
        <v>45711</v>
      </c>
      <c r="C3453" s="260" t="s">
        <v>754</v>
      </c>
      <c r="D3453" s="197">
        <v>100</v>
      </c>
      <c r="E3453" s="197">
        <v>8008</v>
      </c>
      <c r="F3453" s="197">
        <v>79.040000000000006</v>
      </c>
      <c r="G3453" s="190">
        <v>45709</v>
      </c>
      <c r="H3453" s="196">
        <v>2</v>
      </c>
      <c r="I3453" s="197">
        <v>7904.0000000000009</v>
      </c>
      <c r="J3453" s="197">
        <v>7904.0000000000009</v>
      </c>
      <c r="K3453" s="197">
        <v>0</v>
      </c>
      <c r="L3453" s="197">
        <v>-103.99999999999909</v>
      </c>
      <c r="M3453" s="260" t="s">
        <v>239</v>
      </c>
      <c r="N3453" s="260" t="s">
        <v>514</v>
      </c>
    </row>
    <row r="3454" spans="1:14" ht="14.5" x14ac:dyDescent="0.35">
      <c r="A3454" s="260" t="s">
        <v>747</v>
      </c>
      <c r="B3454" s="190">
        <v>45712</v>
      </c>
      <c r="C3454" s="260" t="s">
        <v>749</v>
      </c>
      <c r="D3454" s="197">
        <v>40</v>
      </c>
      <c r="E3454" s="197">
        <v>4004</v>
      </c>
      <c r="F3454" s="197">
        <v>97.74</v>
      </c>
      <c r="G3454" s="190">
        <v>45712</v>
      </c>
      <c r="H3454" s="196">
        <v>0</v>
      </c>
      <c r="I3454" s="197">
        <v>3909.6</v>
      </c>
      <c r="J3454" s="197">
        <v>3909.6</v>
      </c>
      <c r="K3454" s="197">
        <v>0</v>
      </c>
      <c r="L3454" s="197">
        <v>-94.400000000000091</v>
      </c>
      <c r="M3454" s="260" t="s">
        <v>239</v>
      </c>
      <c r="N3454" s="260" t="s">
        <v>514</v>
      </c>
    </row>
    <row r="3455" spans="1:14" ht="14.5" x14ac:dyDescent="0.35">
      <c r="A3455" s="260" t="s">
        <v>747</v>
      </c>
      <c r="B3455" s="190">
        <v>45712</v>
      </c>
      <c r="C3455" s="260" t="s">
        <v>752</v>
      </c>
      <c r="D3455" s="197">
        <v>0</v>
      </c>
      <c r="E3455" s="197">
        <v>0</v>
      </c>
      <c r="F3455" s="197">
        <v>200.11</v>
      </c>
      <c r="G3455" s="190">
        <v>45712</v>
      </c>
      <c r="H3455" s="196">
        <v>0</v>
      </c>
      <c r="I3455" s="197">
        <v>0</v>
      </c>
      <c r="J3455" s="197">
        <v>0</v>
      </c>
      <c r="K3455" s="197">
        <v>0</v>
      </c>
      <c r="L3455" s="197">
        <v>0</v>
      </c>
      <c r="M3455" s="260" t="s">
        <v>239</v>
      </c>
      <c r="N3455" s="260" t="s">
        <v>514</v>
      </c>
    </row>
    <row r="3456" spans="1:14" ht="14.5" x14ac:dyDescent="0.35">
      <c r="A3456" s="260" t="s">
        <v>747</v>
      </c>
      <c r="B3456" s="190">
        <v>45712</v>
      </c>
      <c r="C3456" s="260" t="s">
        <v>754</v>
      </c>
      <c r="D3456" s="197">
        <v>100</v>
      </c>
      <c r="E3456" s="197">
        <v>8008</v>
      </c>
      <c r="F3456" s="197">
        <v>78.59</v>
      </c>
      <c r="G3456" s="190">
        <v>45712</v>
      </c>
      <c r="H3456" s="196">
        <v>0</v>
      </c>
      <c r="I3456" s="197">
        <v>7859</v>
      </c>
      <c r="J3456" s="197">
        <v>7859</v>
      </c>
      <c r="K3456" s="197">
        <v>0</v>
      </c>
      <c r="L3456" s="197">
        <v>-149</v>
      </c>
      <c r="M3456" s="260" t="s">
        <v>239</v>
      </c>
      <c r="N3456" s="260" t="s">
        <v>514</v>
      </c>
    </row>
    <row r="3457" spans="1:14" ht="14.5" x14ac:dyDescent="0.35">
      <c r="A3457" s="260" t="s">
        <v>747</v>
      </c>
      <c r="B3457" s="190">
        <v>45713</v>
      </c>
      <c r="C3457" s="260" t="s">
        <v>749</v>
      </c>
      <c r="D3457" s="197">
        <v>40</v>
      </c>
      <c r="E3457" s="197">
        <v>4004</v>
      </c>
      <c r="F3457" s="197">
        <v>97.56</v>
      </c>
      <c r="G3457" s="190">
        <v>45713</v>
      </c>
      <c r="H3457" s="196">
        <v>0</v>
      </c>
      <c r="I3457" s="197">
        <v>3902.4</v>
      </c>
      <c r="J3457" s="197">
        <v>3902.4</v>
      </c>
      <c r="K3457" s="197">
        <v>0</v>
      </c>
      <c r="L3457" s="197">
        <v>-101.59999999999991</v>
      </c>
      <c r="M3457" s="260" t="s">
        <v>239</v>
      </c>
      <c r="N3457" s="260" t="s">
        <v>514</v>
      </c>
    </row>
    <row r="3458" spans="1:14" ht="14.5" x14ac:dyDescent="0.35">
      <c r="A3458" s="260" t="s">
        <v>747</v>
      </c>
      <c r="B3458" s="190">
        <v>45713</v>
      </c>
      <c r="C3458" s="260" t="s">
        <v>752</v>
      </c>
      <c r="D3458" s="197">
        <v>0</v>
      </c>
      <c r="E3458" s="197">
        <v>0</v>
      </c>
      <c r="F3458" s="197">
        <v>200.33</v>
      </c>
      <c r="G3458" s="190">
        <v>45713</v>
      </c>
      <c r="H3458" s="196">
        <v>0</v>
      </c>
      <c r="I3458" s="197">
        <v>0</v>
      </c>
      <c r="J3458" s="197">
        <v>0</v>
      </c>
      <c r="K3458" s="197">
        <v>0</v>
      </c>
      <c r="L3458" s="197">
        <v>0</v>
      </c>
      <c r="M3458" s="260" t="s">
        <v>239</v>
      </c>
      <c r="N3458" s="260" t="s">
        <v>514</v>
      </c>
    </row>
    <row r="3459" spans="1:14" ht="14.5" x14ac:dyDescent="0.35">
      <c r="A3459" s="260" t="s">
        <v>747</v>
      </c>
      <c r="B3459" s="190">
        <v>45713</v>
      </c>
      <c r="C3459" s="260" t="s">
        <v>754</v>
      </c>
      <c r="D3459" s="197">
        <v>100</v>
      </c>
      <c r="E3459" s="197">
        <v>8008</v>
      </c>
      <c r="F3459" s="197">
        <v>78.44</v>
      </c>
      <c r="G3459" s="190">
        <v>45713</v>
      </c>
      <c r="H3459" s="196">
        <v>0</v>
      </c>
      <c r="I3459" s="197">
        <v>7844</v>
      </c>
      <c r="J3459" s="197">
        <v>7844</v>
      </c>
      <c r="K3459" s="197">
        <v>0</v>
      </c>
      <c r="L3459" s="197">
        <v>-164</v>
      </c>
      <c r="M3459" s="260" t="s">
        <v>239</v>
      </c>
      <c r="N3459" s="260" t="s">
        <v>514</v>
      </c>
    </row>
    <row r="3460" spans="1:14" ht="14.5" x14ac:dyDescent="0.35">
      <c r="A3460" s="260" t="s">
        <v>747</v>
      </c>
      <c r="B3460" s="190">
        <v>45714</v>
      </c>
      <c r="C3460" s="260" t="s">
        <v>749</v>
      </c>
      <c r="D3460" s="197">
        <v>40</v>
      </c>
      <c r="E3460" s="197">
        <v>4004</v>
      </c>
      <c r="F3460" s="197">
        <v>97.37</v>
      </c>
      <c r="G3460" s="190">
        <v>45714</v>
      </c>
      <c r="H3460" s="196">
        <v>0</v>
      </c>
      <c r="I3460" s="197">
        <v>3894.8</v>
      </c>
      <c r="J3460" s="197">
        <v>3894.8</v>
      </c>
      <c r="K3460" s="197">
        <v>0</v>
      </c>
      <c r="L3460" s="197">
        <v>-109.19999999999982</v>
      </c>
      <c r="M3460" s="260" t="s">
        <v>239</v>
      </c>
      <c r="N3460" s="260" t="s">
        <v>514</v>
      </c>
    </row>
    <row r="3461" spans="1:14" ht="14.5" x14ac:dyDescent="0.35">
      <c r="A3461" s="260" t="s">
        <v>747</v>
      </c>
      <c r="B3461" s="190">
        <v>45714</v>
      </c>
      <c r="C3461" s="260" t="s">
        <v>752</v>
      </c>
      <c r="D3461" s="197">
        <v>0</v>
      </c>
      <c r="E3461" s="197">
        <v>0</v>
      </c>
      <c r="F3461" s="197">
        <v>200.56</v>
      </c>
      <c r="G3461" s="190">
        <v>45714</v>
      </c>
      <c r="H3461" s="196">
        <v>0</v>
      </c>
      <c r="I3461" s="197">
        <v>0</v>
      </c>
      <c r="J3461" s="197">
        <v>0</v>
      </c>
      <c r="K3461" s="197">
        <v>0</v>
      </c>
      <c r="L3461" s="197">
        <v>0</v>
      </c>
      <c r="M3461" s="260" t="s">
        <v>239</v>
      </c>
      <c r="N3461" s="260" t="s">
        <v>514</v>
      </c>
    </row>
    <row r="3462" spans="1:14" ht="14.5" x14ac:dyDescent="0.35">
      <c r="A3462" s="260" t="s">
        <v>747</v>
      </c>
      <c r="B3462" s="190">
        <v>45714</v>
      </c>
      <c r="C3462" s="260" t="s">
        <v>754</v>
      </c>
      <c r="D3462" s="197">
        <v>100</v>
      </c>
      <c r="E3462" s="197">
        <v>8008</v>
      </c>
      <c r="F3462" s="197">
        <v>78.3</v>
      </c>
      <c r="G3462" s="190">
        <v>45714</v>
      </c>
      <c r="H3462" s="196">
        <v>0</v>
      </c>
      <c r="I3462" s="197">
        <v>7830</v>
      </c>
      <c r="J3462" s="197">
        <v>7830</v>
      </c>
      <c r="K3462" s="197">
        <v>0</v>
      </c>
      <c r="L3462" s="197">
        <v>-178</v>
      </c>
      <c r="M3462" s="260" t="s">
        <v>239</v>
      </c>
      <c r="N3462" s="260" t="s">
        <v>514</v>
      </c>
    </row>
    <row r="3463" spans="1:14" ht="14.5" x14ac:dyDescent="0.35">
      <c r="A3463" s="260" t="s">
        <v>747</v>
      </c>
      <c r="B3463" s="190">
        <v>45715</v>
      </c>
      <c r="C3463" s="260" t="s">
        <v>749</v>
      </c>
      <c r="D3463" s="197">
        <v>40</v>
      </c>
      <c r="E3463" s="197">
        <v>4004</v>
      </c>
      <c r="F3463" s="197">
        <v>97.19</v>
      </c>
      <c r="G3463" s="190">
        <v>45715</v>
      </c>
      <c r="H3463" s="196">
        <v>0</v>
      </c>
      <c r="I3463" s="197">
        <v>3887.6</v>
      </c>
      <c r="J3463" s="197">
        <v>3887.6</v>
      </c>
      <c r="K3463" s="197">
        <v>0</v>
      </c>
      <c r="L3463" s="197">
        <v>-116.40000000000009</v>
      </c>
      <c r="M3463" s="260" t="s">
        <v>239</v>
      </c>
      <c r="N3463" s="260" t="s">
        <v>514</v>
      </c>
    </row>
    <row r="3464" spans="1:14" ht="14.5" x14ac:dyDescent="0.35">
      <c r="A3464" s="260" t="s">
        <v>747</v>
      </c>
      <c r="B3464" s="190">
        <v>45715</v>
      </c>
      <c r="C3464" s="260" t="s">
        <v>752</v>
      </c>
      <c r="D3464" s="197">
        <v>0</v>
      </c>
      <c r="E3464" s="197">
        <v>0</v>
      </c>
      <c r="F3464" s="197">
        <v>200.78</v>
      </c>
      <c r="G3464" s="190">
        <v>45715</v>
      </c>
      <c r="H3464" s="196">
        <v>0</v>
      </c>
      <c r="I3464" s="197">
        <v>0</v>
      </c>
      <c r="J3464" s="197">
        <v>0</v>
      </c>
      <c r="K3464" s="197">
        <v>0</v>
      </c>
      <c r="L3464" s="197">
        <v>0</v>
      </c>
      <c r="M3464" s="260" t="s">
        <v>239</v>
      </c>
      <c r="N3464" s="260" t="s">
        <v>514</v>
      </c>
    </row>
    <row r="3465" spans="1:14" ht="14.5" x14ac:dyDescent="0.35">
      <c r="A3465" s="260" t="s">
        <v>747</v>
      </c>
      <c r="B3465" s="190">
        <v>45715</v>
      </c>
      <c r="C3465" s="260" t="s">
        <v>754</v>
      </c>
      <c r="D3465" s="197">
        <v>100</v>
      </c>
      <c r="E3465" s="197">
        <v>8008</v>
      </c>
      <c r="F3465" s="197">
        <v>78.150000000000006</v>
      </c>
      <c r="G3465" s="190">
        <v>45715</v>
      </c>
      <c r="H3465" s="196">
        <v>0</v>
      </c>
      <c r="I3465" s="197">
        <v>7815.0000000000009</v>
      </c>
      <c r="J3465" s="197">
        <v>7815.0000000000009</v>
      </c>
      <c r="K3465" s="197">
        <v>0</v>
      </c>
      <c r="L3465" s="197">
        <v>-192.99999999999909</v>
      </c>
      <c r="M3465" s="260" t="s">
        <v>239</v>
      </c>
      <c r="N3465" s="260" t="s">
        <v>514</v>
      </c>
    </row>
    <row r="3466" spans="1:14" ht="14.5" x14ac:dyDescent="0.35">
      <c r="A3466" s="260" t="s">
        <v>747</v>
      </c>
      <c r="B3466" s="190">
        <v>45716</v>
      </c>
      <c r="C3466" s="260" t="s">
        <v>749</v>
      </c>
      <c r="D3466" s="197">
        <v>40</v>
      </c>
      <c r="E3466" s="197">
        <v>4004</v>
      </c>
      <c r="F3466" s="197">
        <v>97</v>
      </c>
      <c r="G3466" s="190">
        <v>45716</v>
      </c>
      <c r="H3466" s="196">
        <v>0</v>
      </c>
      <c r="I3466" s="197">
        <v>3880</v>
      </c>
      <c r="J3466" s="197">
        <v>3880</v>
      </c>
      <c r="K3466" s="197">
        <v>0</v>
      </c>
      <c r="L3466" s="197">
        <v>-124</v>
      </c>
      <c r="M3466" s="260" t="s">
        <v>239</v>
      </c>
      <c r="N3466" s="260" t="s">
        <v>514</v>
      </c>
    </row>
    <row r="3467" spans="1:14" ht="14.5" x14ac:dyDescent="0.35">
      <c r="A3467" s="260" t="s">
        <v>747</v>
      </c>
      <c r="B3467" s="190">
        <v>45716</v>
      </c>
      <c r="C3467" s="260" t="s">
        <v>752</v>
      </c>
      <c r="D3467" s="197">
        <v>0</v>
      </c>
      <c r="E3467" s="197">
        <v>0</v>
      </c>
      <c r="F3467" s="197">
        <v>201</v>
      </c>
      <c r="G3467" s="190">
        <v>45716</v>
      </c>
      <c r="H3467" s="196">
        <v>0</v>
      </c>
      <c r="I3467" s="197">
        <v>0</v>
      </c>
      <c r="J3467" s="197">
        <v>0</v>
      </c>
      <c r="K3467" s="197">
        <v>0</v>
      </c>
      <c r="L3467" s="197">
        <v>0</v>
      </c>
      <c r="M3467" s="260" t="s">
        <v>239</v>
      </c>
      <c r="N3467" s="260" t="s">
        <v>514</v>
      </c>
    </row>
    <row r="3468" spans="1:14" ht="14.5" x14ac:dyDescent="0.35">
      <c r="A3468" s="260" t="s">
        <v>747</v>
      </c>
      <c r="B3468" s="190">
        <v>45716</v>
      </c>
      <c r="C3468" s="260" t="s">
        <v>754</v>
      </c>
      <c r="D3468" s="197">
        <v>100</v>
      </c>
      <c r="E3468" s="197">
        <v>8008</v>
      </c>
      <c r="F3468" s="197">
        <v>78</v>
      </c>
      <c r="G3468" s="190">
        <v>45716</v>
      </c>
      <c r="H3468" s="196">
        <v>0</v>
      </c>
      <c r="I3468" s="197">
        <v>7800</v>
      </c>
      <c r="J3468" s="197">
        <v>7800</v>
      </c>
      <c r="K3468" s="197">
        <v>0</v>
      </c>
      <c r="L3468" s="197">
        <v>-208</v>
      </c>
      <c r="M3468" s="260" t="s">
        <v>239</v>
      </c>
      <c r="N3468" s="260" t="s">
        <v>514</v>
      </c>
    </row>
    <row r="3469" spans="1:14" ht="14.5" x14ac:dyDescent="0.35">
      <c r="A3469" s="260" t="s">
        <v>747</v>
      </c>
      <c r="B3469" s="190">
        <v>45717</v>
      </c>
      <c r="C3469" s="260" t="s">
        <v>749</v>
      </c>
      <c r="D3469" s="197">
        <v>40</v>
      </c>
      <c r="E3469" s="197">
        <v>4004</v>
      </c>
      <c r="F3469" s="197">
        <v>97</v>
      </c>
      <c r="G3469" s="190">
        <v>45716</v>
      </c>
      <c r="H3469" s="196">
        <v>1</v>
      </c>
      <c r="I3469" s="197">
        <v>3880</v>
      </c>
      <c r="J3469" s="197">
        <v>3880</v>
      </c>
      <c r="K3469" s="197">
        <v>0</v>
      </c>
      <c r="L3469" s="197">
        <v>-124</v>
      </c>
      <c r="M3469" s="260" t="s">
        <v>239</v>
      </c>
      <c r="N3469" s="260" t="s">
        <v>514</v>
      </c>
    </row>
    <row r="3470" spans="1:14" ht="14.5" x14ac:dyDescent="0.35">
      <c r="A3470" s="260" t="s">
        <v>747</v>
      </c>
      <c r="B3470" s="190">
        <v>45717</v>
      </c>
      <c r="C3470" s="260" t="s">
        <v>752</v>
      </c>
      <c r="D3470" s="197">
        <v>0</v>
      </c>
      <c r="E3470" s="197">
        <v>0</v>
      </c>
      <c r="F3470" s="197">
        <v>201</v>
      </c>
      <c r="G3470" s="190">
        <v>45716</v>
      </c>
      <c r="H3470" s="196">
        <v>1</v>
      </c>
      <c r="I3470" s="197">
        <v>0</v>
      </c>
      <c r="J3470" s="197">
        <v>0</v>
      </c>
      <c r="K3470" s="197">
        <v>0</v>
      </c>
      <c r="L3470" s="197">
        <v>0</v>
      </c>
      <c r="M3470" s="260" t="s">
        <v>239</v>
      </c>
      <c r="N3470" s="260" t="s">
        <v>514</v>
      </c>
    </row>
    <row r="3471" spans="1:14" ht="14.5" x14ac:dyDescent="0.35">
      <c r="A3471" s="260" t="s">
        <v>747</v>
      </c>
      <c r="B3471" s="190">
        <v>45717</v>
      </c>
      <c r="C3471" s="260" t="s">
        <v>754</v>
      </c>
      <c r="D3471" s="197">
        <v>100</v>
      </c>
      <c r="E3471" s="197">
        <v>8008</v>
      </c>
      <c r="F3471" s="197">
        <v>78</v>
      </c>
      <c r="G3471" s="190">
        <v>45716</v>
      </c>
      <c r="H3471" s="196">
        <v>1</v>
      </c>
      <c r="I3471" s="197">
        <v>7800</v>
      </c>
      <c r="J3471" s="197">
        <v>7800</v>
      </c>
      <c r="K3471" s="197">
        <v>0</v>
      </c>
      <c r="L3471" s="197">
        <v>-208</v>
      </c>
      <c r="M3471" s="260" t="s">
        <v>239</v>
      </c>
      <c r="N3471" s="260" t="s">
        <v>514</v>
      </c>
    </row>
    <row r="3472" spans="1:14" ht="14.5" x14ac:dyDescent="0.35">
      <c r="A3472" s="260" t="s">
        <v>747</v>
      </c>
      <c r="B3472" s="190">
        <v>45718</v>
      </c>
      <c r="C3472" s="260" t="s">
        <v>749</v>
      </c>
      <c r="D3472" s="197">
        <v>40</v>
      </c>
      <c r="E3472" s="197">
        <v>4004</v>
      </c>
      <c r="F3472" s="197">
        <v>97</v>
      </c>
      <c r="G3472" s="190">
        <v>45716</v>
      </c>
      <c r="H3472" s="196">
        <v>2</v>
      </c>
      <c r="I3472" s="197">
        <v>3880</v>
      </c>
      <c r="J3472" s="197">
        <v>3880</v>
      </c>
      <c r="K3472" s="197">
        <v>0</v>
      </c>
      <c r="L3472" s="197">
        <v>-124</v>
      </c>
      <c r="M3472" s="260" t="s">
        <v>239</v>
      </c>
      <c r="N3472" s="260" t="s">
        <v>514</v>
      </c>
    </row>
    <row r="3473" spans="1:14" ht="14.5" x14ac:dyDescent="0.35">
      <c r="A3473" s="260" t="s">
        <v>747</v>
      </c>
      <c r="B3473" s="190">
        <v>45718</v>
      </c>
      <c r="C3473" s="260" t="s">
        <v>752</v>
      </c>
      <c r="D3473" s="197">
        <v>0</v>
      </c>
      <c r="E3473" s="197">
        <v>0</v>
      </c>
      <c r="F3473" s="197">
        <v>201</v>
      </c>
      <c r="G3473" s="190">
        <v>45716</v>
      </c>
      <c r="H3473" s="196">
        <v>2</v>
      </c>
      <c r="I3473" s="197">
        <v>0</v>
      </c>
      <c r="J3473" s="197">
        <v>0</v>
      </c>
      <c r="K3473" s="197">
        <v>0</v>
      </c>
      <c r="L3473" s="197">
        <v>0</v>
      </c>
      <c r="M3473" s="260" t="s">
        <v>239</v>
      </c>
      <c r="N3473" s="260" t="s">
        <v>514</v>
      </c>
    </row>
    <row r="3474" spans="1:14" ht="14.5" x14ac:dyDescent="0.35">
      <c r="A3474" s="260" t="s">
        <v>747</v>
      </c>
      <c r="B3474" s="190">
        <v>45718</v>
      </c>
      <c r="C3474" s="260" t="s">
        <v>754</v>
      </c>
      <c r="D3474" s="197">
        <v>100</v>
      </c>
      <c r="E3474" s="197">
        <v>8008</v>
      </c>
      <c r="F3474" s="197">
        <v>78</v>
      </c>
      <c r="G3474" s="190">
        <v>45716</v>
      </c>
      <c r="H3474" s="196">
        <v>2</v>
      </c>
      <c r="I3474" s="197">
        <v>7800</v>
      </c>
      <c r="J3474" s="197">
        <v>7800</v>
      </c>
      <c r="K3474" s="197">
        <v>0</v>
      </c>
      <c r="L3474" s="197">
        <v>-208</v>
      </c>
      <c r="M3474" s="260" t="s">
        <v>239</v>
      </c>
      <c r="N3474" s="260" t="s">
        <v>514</v>
      </c>
    </row>
    <row r="3475" spans="1:14" ht="14.5" x14ac:dyDescent="0.35">
      <c r="A3475" s="260" t="s">
        <v>747</v>
      </c>
      <c r="B3475" s="190">
        <v>45719</v>
      </c>
      <c r="C3475" s="260" t="s">
        <v>749</v>
      </c>
      <c r="D3475" s="197">
        <v>40</v>
      </c>
      <c r="E3475" s="197">
        <v>4004</v>
      </c>
      <c r="F3475" s="197">
        <v>97.6</v>
      </c>
      <c r="G3475" s="190">
        <v>45719</v>
      </c>
      <c r="H3475" s="196">
        <v>0</v>
      </c>
      <c r="I3475" s="197">
        <v>3904</v>
      </c>
      <c r="J3475" s="197">
        <v>3904</v>
      </c>
      <c r="K3475" s="197">
        <v>0</v>
      </c>
      <c r="L3475" s="197">
        <v>-100</v>
      </c>
      <c r="M3475" s="260" t="s">
        <v>239</v>
      </c>
      <c r="N3475" s="260" t="s">
        <v>514</v>
      </c>
    </row>
    <row r="3476" spans="1:14" ht="14.5" x14ac:dyDescent="0.35">
      <c r="A3476" s="260" t="s">
        <v>747</v>
      </c>
      <c r="B3476" s="190">
        <v>45719</v>
      </c>
      <c r="C3476" s="260" t="s">
        <v>752</v>
      </c>
      <c r="D3476" s="197">
        <v>0</v>
      </c>
      <c r="E3476" s="197">
        <v>0</v>
      </c>
      <c r="F3476" s="197">
        <v>200.8</v>
      </c>
      <c r="G3476" s="190">
        <v>45719</v>
      </c>
      <c r="H3476" s="196">
        <v>0</v>
      </c>
      <c r="I3476" s="197">
        <v>0</v>
      </c>
      <c r="J3476" s="197">
        <v>0</v>
      </c>
      <c r="K3476" s="197">
        <v>0</v>
      </c>
      <c r="L3476" s="197">
        <v>0</v>
      </c>
      <c r="M3476" s="260" t="s">
        <v>239</v>
      </c>
      <c r="N3476" s="260" t="s">
        <v>514</v>
      </c>
    </row>
    <row r="3477" spans="1:14" ht="14.5" x14ac:dyDescent="0.35">
      <c r="A3477" s="260" t="s">
        <v>747</v>
      </c>
      <c r="B3477" s="190">
        <v>45719</v>
      </c>
      <c r="C3477" s="260" t="s">
        <v>754</v>
      </c>
      <c r="D3477" s="197">
        <v>100</v>
      </c>
      <c r="E3477" s="197">
        <v>8008</v>
      </c>
      <c r="F3477" s="197">
        <v>77.8</v>
      </c>
      <c r="G3477" s="190">
        <v>45719</v>
      </c>
      <c r="H3477" s="196">
        <v>0</v>
      </c>
      <c r="I3477" s="197">
        <v>7780</v>
      </c>
      <c r="J3477" s="197">
        <v>7780</v>
      </c>
      <c r="K3477" s="197">
        <v>0</v>
      </c>
      <c r="L3477" s="197">
        <v>-228</v>
      </c>
      <c r="M3477" s="260" t="s">
        <v>239</v>
      </c>
      <c r="N3477" s="260" t="s">
        <v>514</v>
      </c>
    </row>
    <row r="3478" spans="1:14" ht="14.5" x14ac:dyDescent="0.35">
      <c r="A3478" s="260" t="s">
        <v>747</v>
      </c>
      <c r="B3478" s="190">
        <v>45720</v>
      </c>
      <c r="C3478" s="260" t="s">
        <v>749</v>
      </c>
      <c r="D3478" s="197">
        <v>40</v>
      </c>
      <c r="E3478" s="197">
        <v>4004</v>
      </c>
      <c r="F3478" s="197">
        <v>97.9</v>
      </c>
      <c r="G3478" s="190">
        <v>45720</v>
      </c>
      <c r="H3478" s="196">
        <v>0</v>
      </c>
      <c r="I3478" s="197">
        <v>3916</v>
      </c>
      <c r="J3478" s="197">
        <v>3916</v>
      </c>
      <c r="K3478" s="197">
        <v>0</v>
      </c>
      <c r="L3478" s="197">
        <v>-88</v>
      </c>
      <c r="M3478" s="260" t="s">
        <v>239</v>
      </c>
      <c r="N3478" s="260" t="s">
        <v>514</v>
      </c>
    </row>
    <row r="3479" spans="1:14" ht="14.5" x14ac:dyDescent="0.35">
      <c r="A3479" s="260" t="s">
        <v>747</v>
      </c>
      <c r="B3479" s="190">
        <v>45720</v>
      </c>
      <c r="C3479" s="260" t="s">
        <v>752</v>
      </c>
      <c r="D3479" s="197">
        <v>0</v>
      </c>
      <c r="E3479" s="197">
        <v>0</v>
      </c>
      <c r="F3479" s="197">
        <v>200.7</v>
      </c>
      <c r="G3479" s="190">
        <v>45720</v>
      </c>
      <c r="H3479" s="196">
        <v>0</v>
      </c>
      <c r="I3479" s="197">
        <v>0</v>
      </c>
      <c r="J3479" s="197">
        <v>0</v>
      </c>
      <c r="K3479" s="197">
        <v>0</v>
      </c>
      <c r="L3479" s="197">
        <v>0</v>
      </c>
      <c r="M3479" s="260" t="s">
        <v>239</v>
      </c>
      <c r="N3479" s="260" t="s">
        <v>514</v>
      </c>
    </row>
    <row r="3480" spans="1:14" ht="14.5" x14ac:dyDescent="0.35">
      <c r="A3480" s="260" t="s">
        <v>747</v>
      </c>
      <c r="B3480" s="190">
        <v>45720</v>
      </c>
      <c r="C3480" s="260" t="s">
        <v>754</v>
      </c>
      <c r="D3480" s="197">
        <v>100</v>
      </c>
      <c r="E3480" s="197">
        <v>8008</v>
      </c>
      <c r="F3480" s="197">
        <v>77.7</v>
      </c>
      <c r="G3480" s="190">
        <v>45720</v>
      </c>
      <c r="H3480" s="196">
        <v>0</v>
      </c>
      <c r="I3480" s="197">
        <v>7770</v>
      </c>
      <c r="J3480" s="197">
        <v>7770</v>
      </c>
      <c r="K3480" s="197">
        <v>0</v>
      </c>
      <c r="L3480" s="197">
        <v>-238</v>
      </c>
      <c r="M3480" s="260" t="s">
        <v>239</v>
      </c>
      <c r="N3480" s="260" t="s">
        <v>514</v>
      </c>
    </row>
    <row r="3481" spans="1:14" ht="14.5" x14ac:dyDescent="0.35">
      <c r="A3481" s="260" t="s">
        <v>747</v>
      </c>
      <c r="B3481" s="190">
        <v>45721</v>
      </c>
      <c r="C3481" s="260" t="s">
        <v>749</v>
      </c>
      <c r="D3481" s="197">
        <v>40</v>
      </c>
      <c r="E3481" s="197">
        <v>4004</v>
      </c>
      <c r="F3481" s="197">
        <v>98.2</v>
      </c>
      <c r="G3481" s="190">
        <v>45721</v>
      </c>
      <c r="H3481" s="196">
        <v>0</v>
      </c>
      <c r="I3481" s="197">
        <v>3928</v>
      </c>
      <c r="J3481" s="197">
        <v>3928</v>
      </c>
      <c r="K3481" s="197">
        <v>0</v>
      </c>
      <c r="L3481" s="197">
        <v>-76</v>
      </c>
      <c r="M3481" s="260" t="s">
        <v>239</v>
      </c>
      <c r="N3481" s="260" t="s">
        <v>514</v>
      </c>
    </row>
    <row r="3482" spans="1:14" ht="14.5" x14ac:dyDescent="0.35">
      <c r="A3482" s="260" t="s">
        <v>747</v>
      </c>
      <c r="B3482" s="190">
        <v>45721</v>
      </c>
      <c r="C3482" s="260" t="s">
        <v>752</v>
      </c>
      <c r="D3482" s="197">
        <v>0</v>
      </c>
      <c r="E3482" s="197">
        <v>0</v>
      </c>
      <c r="F3482" s="197">
        <v>200.6</v>
      </c>
      <c r="G3482" s="190">
        <v>45721</v>
      </c>
      <c r="H3482" s="196">
        <v>0</v>
      </c>
      <c r="I3482" s="197">
        <v>0</v>
      </c>
      <c r="J3482" s="197">
        <v>0</v>
      </c>
      <c r="K3482" s="197">
        <v>0</v>
      </c>
      <c r="L3482" s="197">
        <v>0</v>
      </c>
      <c r="M3482" s="260" t="s">
        <v>239</v>
      </c>
      <c r="N3482" s="260" t="s">
        <v>514</v>
      </c>
    </row>
    <row r="3483" spans="1:14" ht="14.5" x14ac:dyDescent="0.35">
      <c r="A3483" s="260" t="s">
        <v>747</v>
      </c>
      <c r="B3483" s="190">
        <v>45721</v>
      </c>
      <c r="C3483" s="260" t="s">
        <v>754</v>
      </c>
      <c r="D3483" s="197">
        <v>100</v>
      </c>
      <c r="E3483" s="197">
        <v>8008</v>
      </c>
      <c r="F3483" s="197">
        <v>77.599999999999994</v>
      </c>
      <c r="G3483" s="190">
        <v>45721</v>
      </c>
      <c r="H3483" s="196">
        <v>0</v>
      </c>
      <c r="I3483" s="197">
        <v>7759.9999999999991</v>
      </c>
      <c r="J3483" s="197">
        <v>7759.9999999999991</v>
      </c>
      <c r="K3483" s="197">
        <v>0</v>
      </c>
      <c r="L3483" s="197">
        <v>-248.00000000000091</v>
      </c>
      <c r="M3483" s="260" t="s">
        <v>239</v>
      </c>
      <c r="N3483" s="260" t="s">
        <v>514</v>
      </c>
    </row>
    <row r="3484" spans="1:14" ht="14.5" x14ac:dyDescent="0.35">
      <c r="A3484" s="260" t="s">
        <v>747</v>
      </c>
      <c r="B3484" s="190">
        <v>45722</v>
      </c>
      <c r="C3484" s="260" t="s">
        <v>749</v>
      </c>
      <c r="D3484" s="197">
        <v>40</v>
      </c>
      <c r="E3484" s="197">
        <v>4004</v>
      </c>
      <c r="F3484" s="197">
        <v>98.5</v>
      </c>
      <c r="G3484" s="190">
        <v>45722</v>
      </c>
      <c r="H3484" s="196">
        <v>0</v>
      </c>
      <c r="I3484" s="197">
        <v>3940</v>
      </c>
      <c r="J3484" s="197">
        <v>3940</v>
      </c>
      <c r="K3484" s="197">
        <v>0</v>
      </c>
      <c r="L3484" s="197">
        <v>-64</v>
      </c>
      <c r="M3484" s="260" t="s">
        <v>239</v>
      </c>
      <c r="N3484" s="260" t="s">
        <v>514</v>
      </c>
    </row>
    <row r="3485" spans="1:14" ht="14.5" x14ac:dyDescent="0.35">
      <c r="A3485" s="260" t="s">
        <v>747</v>
      </c>
      <c r="B3485" s="190">
        <v>45722</v>
      </c>
      <c r="C3485" s="260" t="s">
        <v>752</v>
      </c>
      <c r="D3485" s="197">
        <v>0</v>
      </c>
      <c r="E3485" s="197">
        <v>0</v>
      </c>
      <c r="F3485" s="197">
        <v>200.5</v>
      </c>
      <c r="G3485" s="190">
        <v>45722</v>
      </c>
      <c r="H3485" s="196">
        <v>0</v>
      </c>
      <c r="I3485" s="197">
        <v>0</v>
      </c>
      <c r="J3485" s="197">
        <v>0</v>
      </c>
      <c r="K3485" s="197">
        <v>0</v>
      </c>
      <c r="L3485" s="197">
        <v>0</v>
      </c>
      <c r="M3485" s="260" t="s">
        <v>239</v>
      </c>
      <c r="N3485" s="260" t="s">
        <v>514</v>
      </c>
    </row>
    <row r="3486" spans="1:14" ht="14.5" x14ac:dyDescent="0.35">
      <c r="A3486" s="260" t="s">
        <v>747</v>
      </c>
      <c r="B3486" s="190">
        <v>45722</v>
      </c>
      <c r="C3486" s="260" t="s">
        <v>754</v>
      </c>
      <c r="D3486" s="197">
        <v>100</v>
      </c>
      <c r="E3486" s="197">
        <v>8008</v>
      </c>
      <c r="F3486" s="197">
        <v>77.5</v>
      </c>
      <c r="G3486" s="190">
        <v>45722</v>
      </c>
      <c r="H3486" s="196">
        <v>0</v>
      </c>
      <c r="I3486" s="197">
        <v>7750</v>
      </c>
      <c r="J3486" s="197">
        <v>7750</v>
      </c>
      <c r="K3486" s="197">
        <v>0</v>
      </c>
      <c r="L3486" s="197">
        <v>-258</v>
      </c>
      <c r="M3486" s="260" t="s">
        <v>239</v>
      </c>
      <c r="N3486" s="260" t="s">
        <v>514</v>
      </c>
    </row>
    <row r="3487" spans="1:14" ht="14.5" x14ac:dyDescent="0.35">
      <c r="A3487" s="260" t="s">
        <v>747</v>
      </c>
      <c r="B3487" s="190">
        <v>45723</v>
      </c>
      <c r="C3487" s="260" t="s">
        <v>749</v>
      </c>
      <c r="D3487" s="197">
        <v>40</v>
      </c>
      <c r="E3487" s="197">
        <v>4004</v>
      </c>
      <c r="F3487" s="197">
        <v>98.8</v>
      </c>
      <c r="G3487" s="190">
        <v>45723</v>
      </c>
      <c r="H3487" s="196">
        <v>0</v>
      </c>
      <c r="I3487" s="197">
        <v>3952</v>
      </c>
      <c r="J3487" s="197">
        <v>3952</v>
      </c>
      <c r="K3487" s="197">
        <v>0</v>
      </c>
      <c r="L3487" s="197">
        <v>-52</v>
      </c>
      <c r="M3487" s="260" t="s">
        <v>239</v>
      </c>
      <c r="N3487" s="260" t="s">
        <v>514</v>
      </c>
    </row>
    <row r="3488" spans="1:14" ht="14.5" x14ac:dyDescent="0.35">
      <c r="A3488" s="260" t="s">
        <v>747</v>
      </c>
      <c r="B3488" s="190">
        <v>45723</v>
      </c>
      <c r="C3488" s="260" t="s">
        <v>752</v>
      </c>
      <c r="D3488" s="197">
        <v>0</v>
      </c>
      <c r="E3488" s="197">
        <v>0</v>
      </c>
      <c r="F3488" s="197">
        <v>200.4</v>
      </c>
      <c r="G3488" s="190">
        <v>45723</v>
      </c>
      <c r="H3488" s="196">
        <v>0</v>
      </c>
      <c r="I3488" s="197">
        <v>0</v>
      </c>
      <c r="J3488" s="197">
        <v>0</v>
      </c>
      <c r="K3488" s="197">
        <v>0</v>
      </c>
      <c r="L3488" s="197">
        <v>0</v>
      </c>
      <c r="M3488" s="260" t="s">
        <v>239</v>
      </c>
      <c r="N3488" s="260" t="s">
        <v>514</v>
      </c>
    </row>
    <row r="3489" spans="1:14" ht="14.5" x14ac:dyDescent="0.35">
      <c r="A3489" s="260" t="s">
        <v>747</v>
      </c>
      <c r="B3489" s="190">
        <v>45723</v>
      </c>
      <c r="C3489" s="260" t="s">
        <v>754</v>
      </c>
      <c r="D3489" s="197">
        <v>100</v>
      </c>
      <c r="E3489" s="197">
        <v>8008</v>
      </c>
      <c r="F3489" s="197">
        <v>77.400000000000006</v>
      </c>
      <c r="G3489" s="190">
        <v>45723</v>
      </c>
      <c r="H3489" s="196">
        <v>0</v>
      </c>
      <c r="I3489" s="197">
        <v>7740.0000000000009</v>
      </c>
      <c r="J3489" s="197">
        <v>7740.0000000000009</v>
      </c>
      <c r="K3489" s="197">
        <v>0</v>
      </c>
      <c r="L3489" s="197">
        <v>-267.99999999999909</v>
      </c>
      <c r="M3489" s="260" t="s">
        <v>239</v>
      </c>
      <c r="N3489" s="260" t="s">
        <v>514</v>
      </c>
    </row>
    <row r="3490" spans="1:14" ht="14.5" x14ac:dyDescent="0.35">
      <c r="A3490" s="260" t="s">
        <v>747</v>
      </c>
      <c r="B3490" s="190">
        <v>45724</v>
      </c>
      <c r="C3490" s="260" t="s">
        <v>749</v>
      </c>
      <c r="D3490" s="197">
        <v>40</v>
      </c>
      <c r="E3490" s="197">
        <v>4004</v>
      </c>
      <c r="F3490" s="197">
        <v>98.8</v>
      </c>
      <c r="G3490" s="190">
        <v>45723</v>
      </c>
      <c r="H3490" s="196">
        <v>1</v>
      </c>
      <c r="I3490" s="197">
        <v>3952</v>
      </c>
      <c r="J3490" s="197">
        <v>3952</v>
      </c>
      <c r="K3490" s="197">
        <v>0</v>
      </c>
      <c r="L3490" s="197">
        <v>-52</v>
      </c>
      <c r="M3490" s="260" t="s">
        <v>239</v>
      </c>
      <c r="N3490" s="260" t="s">
        <v>514</v>
      </c>
    </row>
    <row r="3491" spans="1:14" ht="14.5" x14ac:dyDescent="0.35">
      <c r="A3491" s="260" t="s">
        <v>747</v>
      </c>
      <c r="B3491" s="190">
        <v>45724</v>
      </c>
      <c r="C3491" s="260" t="s">
        <v>752</v>
      </c>
      <c r="D3491" s="197">
        <v>0</v>
      </c>
      <c r="E3491" s="197">
        <v>0</v>
      </c>
      <c r="F3491" s="197">
        <v>200.4</v>
      </c>
      <c r="G3491" s="190">
        <v>45723</v>
      </c>
      <c r="H3491" s="196">
        <v>1</v>
      </c>
      <c r="I3491" s="197">
        <v>0</v>
      </c>
      <c r="J3491" s="197">
        <v>0</v>
      </c>
      <c r="K3491" s="197">
        <v>0</v>
      </c>
      <c r="L3491" s="197">
        <v>0</v>
      </c>
      <c r="M3491" s="260" t="s">
        <v>239</v>
      </c>
      <c r="N3491" s="260" t="s">
        <v>514</v>
      </c>
    </row>
    <row r="3492" spans="1:14" ht="14.5" x14ac:dyDescent="0.35">
      <c r="A3492" s="260" t="s">
        <v>747</v>
      </c>
      <c r="B3492" s="190">
        <v>45724</v>
      </c>
      <c r="C3492" s="260" t="s">
        <v>754</v>
      </c>
      <c r="D3492" s="197">
        <v>100</v>
      </c>
      <c r="E3492" s="197">
        <v>8008</v>
      </c>
      <c r="F3492" s="197">
        <v>77.400000000000006</v>
      </c>
      <c r="G3492" s="190">
        <v>45723</v>
      </c>
      <c r="H3492" s="196">
        <v>1</v>
      </c>
      <c r="I3492" s="197">
        <v>7740.0000000000009</v>
      </c>
      <c r="J3492" s="197">
        <v>7740.0000000000009</v>
      </c>
      <c r="K3492" s="197">
        <v>0</v>
      </c>
      <c r="L3492" s="197">
        <v>-267.99999999999909</v>
      </c>
      <c r="M3492" s="260" t="s">
        <v>239</v>
      </c>
      <c r="N3492" s="260" t="s">
        <v>514</v>
      </c>
    </row>
    <row r="3493" spans="1:14" ht="14.5" x14ac:dyDescent="0.35">
      <c r="A3493" s="260" t="s">
        <v>747</v>
      </c>
      <c r="B3493" s="190">
        <v>45725</v>
      </c>
      <c r="C3493" s="260" t="s">
        <v>749</v>
      </c>
      <c r="D3493" s="197">
        <v>40</v>
      </c>
      <c r="E3493" s="197">
        <v>4004</v>
      </c>
      <c r="F3493" s="197">
        <v>98.8</v>
      </c>
      <c r="G3493" s="190">
        <v>45723</v>
      </c>
      <c r="H3493" s="196">
        <v>2</v>
      </c>
      <c r="I3493" s="197">
        <v>3952</v>
      </c>
      <c r="J3493" s="197">
        <v>3952</v>
      </c>
      <c r="K3493" s="197">
        <v>0</v>
      </c>
      <c r="L3493" s="197">
        <v>-52</v>
      </c>
      <c r="M3493" s="260" t="s">
        <v>239</v>
      </c>
      <c r="N3493" s="260" t="s">
        <v>514</v>
      </c>
    </row>
    <row r="3494" spans="1:14" ht="14.5" x14ac:dyDescent="0.35">
      <c r="A3494" s="260" t="s">
        <v>747</v>
      </c>
      <c r="B3494" s="190">
        <v>45725</v>
      </c>
      <c r="C3494" s="260" t="s">
        <v>752</v>
      </c>
      <c r="D3494" s="197">
        <v>0</v>
      </c>
      <c r="E3494" s="197">
        <v>0</v>
      </c>
      <c r="F3494" s="197">
        <v>200.4</v>
      </c>
      <c r="G3494" s="190">
        <v>45723</v>
      </c>
      <c r="H3494" s="196">
        <v>2</v>
      </c>
      <c r="I3494" s="197">
        <v>0</v>
      </c>
      <c r="J3494" s="197">
        <v>0</v>
      </c>
      <c r="K3494" s="197">
        <v>0</v>
      </c>
      <c r="L3494" s="197">
        <v>0</v>
      </c>
      <c r="M3494" s="260" t="s">
        <v>239</v>
      </c>
      <c r="N3494" s="260" t="s">
        <v>514</v>
      </c>
    </row>
    <row r="3495" spans="1:14" ht="14.5" x14ac:dyDescent="0.35">
      <c r="A3495" s="260" t="s">
        <v>747</v>
      </c>
      <c r="B3495" s="190">
        <v>45725</v>
      </c>
      <c r="C3495" s="260" t="s">
        <v>754</v>
      </c>
      <c r="D3495" s="197">
        <v>100</v>
      </c>
      <c r="E3495" s="197">
        <v>8008</v>
      </c>
      <c r="F3495" s="197">
        <v>77.400000000000006</v>
      </c>
      <c r="G3495" s="190">
        <v>45723</v>
      </c>
      <c r="H3495" s="196">
        <v>2</v>
      </c>
      <c r="I3495" s="197">
        <v>7740.0000000000009</v>
      </c>
      <c r="J3495" s="197">
        <v>7740.0000000000009</v>
      </c>
      <c r="K3495" s="197">
        <v>0</v>
      </c>
      <c r="L3495" s="197">
        <v>-267.99999999999909</v>
      </c>
      <c r="M3495" s="260" t="s">
        <v>239</v>
      </c>
      <c r="N3495" s="260" t="s">
        <v>514</v>
      </c>
    </row>
    <row r="3496" spans="1:14" ht="14.5" x14ac:dyDescent="0.35">
      <c r="A3496" s="260" t="s">
        <v>747</v>
      </c>
      <c r="B3496" s="190">
        <v>45726</v>
      </c>
      <c r="C3496" s="260" t="s">
        <v>749</v>
      </c>
      <c r="D3496" s="197">
        <v>40</v>
      </c>
      <c r="E3496" s="197">
        <v>4004</v>
      </c>
      <c r="F3496" s="197">
        <v>99.7</v>
      </c>
      <c r="G3496" s="190">
        <v>45726</v>
      </c>
      <c r="H3496" s="196">
        <v>0</v>
      </c>
      <c r="I3496" s="197">
        <v>3988</v>
      </c>
      <c r="J3496" s="197">
        <v>3988</v>
      </c>
      <c r="K3496" s="197">
        <v>0</v>
      </c>
      <c r="L3496" s="197">
        <v>-16</v>
      </c>
      <c r="M3496" s="260" t="s">
        <v>239</v>
      </c>
      <c r="N3496" s="260" t="s">
        <v>514</v>
      </c>
    </row>
    <row r="3497" spans="1:14" ht="14.5" x14ac:dyDescent="0.35">
      <c r="A3497" s="260" t="s">
        <v>747</v>
      </c>
      <c r="B3497" s="190">
        <v>45726</v>
      </c>
      <c r="C3497" s="260" t="s">
        <v>752</v>
      </c>
      <c r="D3497" s="197">
        <v>0</v>
      </c>
      <c r="E3497" s="197">
        <v>0</v>
      </c>
      <c r="F3497" s="197">
        <v>200.1</v>
      </c>
      <c r="G3497" s="190">
        <v>45726</v>
      </c>
      <c r="H3497" s="196">
        <v>0</v>
      </c>
      <c r="I3497" s="197">
        <v>0</v>
      </c>
      <c r="J3497" s="197">
        <v>0</v>
      </c>
      <c r="K3497" s="197">
        <v>0</v>
      </c>
      <c r="L3497" s="197">
        <v>0</v>
      </c>
      <c r="M3497" s="260" t="s">
        <v>239</v>
      </c>
      <c r="N3497" s="260" t="s">
        <v>514</v>
      </c>
    </row>
    <row r="3498" spans="1:14" ht="14.5" x14ac:dyDescent="0.35">
      <c r="A3498" s="260" t="s">
        <v>747</v>
      </c>
      <c r="B3498" s="190">
        <v>45726</v>
      </c>
      <c r="C3498" s="260" t="s">
        <v>754</v>
      </c>
      <c r="D3498" s="197">
        <v>100</v>
      </c>
      <c r="E3498" s="197">
        <v>8008</v>
      </c>
      <c r="F3498" s="197">
        <v>77.099999999999994</v>
      </c>
      <c r="G3498" s="190">
        <v>45726</v>
      </c>
      <c r="H3498" s="196">
        <v>0</v>
      </c>
      <c r="I3498" s="197">
        <v>7709.9999999999991</v>
      </c>
      <c r="J3498" s="197">
        <v>7709.9999999999991</v>
      </c>
      <c r="K3498" s="197">
        <v>0</v>
      </c>
      <c r="L3498" s="197">
        <v>-298.00000000000091</v>
      </c>
      <c r="M3498" s="260" t="s">
        <v>239</v>
      </c>
      <c r="N3498" s="260" t="s">
        <v>514</v>
      </c>
    </row>
    <row r="3499" spans="1:14" ht="14.5" x14ac:dyDescent="0.35">
      <c r="A3499" s="260" t="s">
        <v>747</v>
      </c>
      <c r="B3499" s="190">
        <v>45727</v>
      </c>
      <c r="C3499" s="260" t="s">
        <v>749</v>
      </c>
      <c r="D3499" s="197">
        <v>40</v>
      </c>
      <c r="E3499" s="197">
        <v>4004</v>
      </c>
      <c r="F3499" s="197">
        <v>100</v>
      </c>
      <c r="G3499" s="190">
        <v>45727</v>
      </c>
      <c r="H3499" s="196">
        <v>0</v>
      </c>
      <c r="I3499" s="197">
        <v>4000</v>
      </c>
      <c r="J3499" s="197">
        <v>4000</v>
      </c>
      <c r="K3499" s="197">
        <v>0</v>
      </c>
      <c r="L3499" s="197">
        <v>-4</v>
      </c>
      <c r="M3499" s="260" t="s">
        <v>239</v>
      </c>
      <c r="N3499" s="260" t="s">
        <v>514</v>
      </c>
    </row>
    <row r="3500" spans="1:14" ht="14.5" x14ac:dyDescent="0.35">
      <c r="A3500" s="260" t="s">
        <v>747</v>
      </c>
      <c r="B3500" s="190">
        <v>45727</v>
      </c>
      <c r="C3500" s="260" t="s">
        <v>752</v>
      </c>
      <c r="D3500" s="197">
        <v>0</v>
      </c>
      <c r="E3500" s="197">
        <v>0</v>
      </c>
      <c r="F3500" s="197">
        <v>200</v>
      </c>
      <c r="G3500" s="190">
        <v>45727</v>
      </c>
      <c r="H3500" s="196">
        <v>0</v>
      </c>
      <c r="I3500" s="197">
        <v>0</v>
      </c>
      <c r="J3500" s="197">
        <v>0</v>
      </c>
      <c r="K3500" s="197">
        <v>0</v>
      </c>
      <c r="L3500" s="197">
        <v>0</v>
      </c>
      <c r="M3500" s="260" t="s">
        <v>239</v>
      </c>
      <c r="N3500" s="260" t="s">
        <v>514</v>
      </c>
    </row>
    <row r="3501" spans="1:14" ht="14.5" x14ac:dyDescent="0.35">
      <c r="A3501" s="260" t="s">
        <v>747</v>
      </c>
      <c r="B3501" s="190">
        <v>45727</v>
      </c>
      <c r="C3501" s="260" t="s">
        <v>754</v>
      </c>
      <c r="D3501" s="197">
        <v>100</v>
      </c>
      <c r="E3501" s="197">
        <v>8008</v>
      </c>
      <c r="F3501" s="197">
        <v>77</v>
      </c>
      <c r="G3501" s="190">
        <v>45727</v>
      </c>
      <c r="H3501" s="196">
        <v>0</v>
      </c>
      <c r="I3501" s="197">
        <v>7700</v>
      </c>
      <c r="J3501" s="197">
        <v>7700</v>
      </c>
      <c r="K3501" s="197">
        <v>0</v>
      </c>
      <c r="L3501" s="197">
        <v>-308</v>
      </c>
      <c r="M3501" s="260" t="s">
        <v>239</v>
      </c>
      <c r="N3501" s="260" t="s">
        <v>514</v>
      </c>
    </row>
    <row r="3502" spans="1:14" ht="14.5" x14ac:dyDescent="0.35">
      <c r="A3502" s="260" t="s">
        <v>747</v>
      </c>
      <c r="B3502" s="190">
        <v>45728</v>
      </c>
      <c r="C3502" s="260" t="s">
        <v>749</v>
      </c>
      <c r="D3502" s="197">
        <v>40</v>
      </c>
      <c r="E3502" s="197">
        <v>4004</v>
      </c>
      <c r="F3502" s="197">
        <v>100.3</v>
      </c>
      <c r="G3502" s="190">
        <v>45728</v>
      </c>
      <c r="H3502" s="196">
        <v>0</v>
      </c>
      <c r="I3502" s="197">
        <v>4012</v>
      </c>
      <c r="J3502" s="197">
        <v>4012</v>
      </c>
      <c r="K3502" s="197">
        <v>0</v>
      </c>
      <c r="L3502" s="197">
        <v>8</v>
      </c>
      <c r="M3502" s="260" t="s">
        <v>239</v>
      </c>
      <c r="N3502" s="260" t="s">
        <v>514</v>
      </c>
    </row>
    <row r="3503" spans="1:14" ht="14.5" x14ac:dyDescent="0.35">
      <c r="A3503" s="260" t="s">
        <v>747</v>
      </c>
      <c r="B3503" s="190">
        <v>45728</v>
      </c>
      <c r="C3503" s="260" t="s">
        <v>752</v>
      </c>
      <c r="D3503" s="197">
        <v>0</v>
      </c>
      <c r="E3503" s="197">
        <v>0</v>
      </c>
      <c r="F3503" s="197">
        <v>199.9</v>
      </c>
      <c r="G3503" s="190">
        <v>45728</v>
      </c>
      <c r="H3503" s="196">
        <v>0</v>
      </c>
      <c r="I3503" s="197">
        <v>0</v>
      </c>
      <c r="J3503" s="197">
        <v>0</v>
      </c>
      <c r="K3503" s="197">
        <v>0</v>
      </c>
      <c r="L3503" s="197">
        <v>0</v>
      </c>
      <c r="M3503" s="260" t="s">
        <v>239</v>
      </c>
      <c r="N3503" s="260" t="s">
        <v>514</v>
      </c>
    </row>
    <row r="3504" spans="1:14" ht="14.5" x14ac:dyDescent="0.35">
      <c r="A3504" s="260" t="s">
        <v>747</v>
      </c>
      <c r="B3504" s="190">
        <v>45728</v>
      </c>
      <c r="C3504" s="260" t="s">
        <v>754</v>
      </c>
      <c r="D3504" s="197">
        <v>100</v>
      </c>
      <c r="E3504" s="197">
        <v>8008</v>
      </c>
      <c r="F3504" s="197">
        <v>76.900000000000006</v>
      </c>
      <c r="G3504" s="190">
        <v>45728</v>
      </c>
      <c r="H3504" s="196">
        <v>0</v>
      </c>
      <c r="I3504" s="197">
        <v>7690.0000000000009</v>
      </c>
      <c r="J3504" s="197">
        <v>7690.0000000000009</v>
      </c>
      <c r="K3504" s="197">
        <v>0</v>
      </c>
      <c r="L3504" s="197">
        <v>-317.99999999999909</v>
      </c>
      <c r="M3504" s="260" t="s">
        <v>239</v>
      </c>
      <c r="N3504" s="260" t="s">
        <v>514</v>
      </c>
    </row>
    <row r="3505" spans="1:14" ht="14.5" x14ac:dyDescent="0.35">
      <c r="A3505" s="260" t="s">
        <v>747</v>
      </c>
      <c r="B3505" s="190">
        <v>45729</v>
      </c>
      <c r="C3505" s="260" t="s">
        <v>749</v>
      </c>
      <c r="D3505" s="197">
        <v>40</v>
      </c>
      <c r="E3505" s="197">
        <v>4004</v>
      </c>
      <c r="F3505" s="197">
        <v>100.6</v>
      </c>
      <c r="G3505" s="190">
        <v>45729</v>
      </c>
      <c r="H3505" s="196">
        <v>0</v>
      </c>
      <c r="I3505" s="197">
        <v>4024</v>
      </c>
      <c r="J3505" s="197">
        <v>4024</v>
      </c>
      <c r="K3505" s="197">
        <v>0</v>
      </c>
      <c r="L3505" s="197">
        <v>20</v>
      </c>
      <c r="M3505" s="260" t="s">
        <v>239</v>
      </c>
      <c r="N3505" s="260" t="s">
        <v>514</v>
      </c>
    </row>
    <row r="3506" spans="1:14" ht="14.5" x14ac:dyDescent="0.35">
      <c r="A3506" s="260" t="s">
        <v>747</v>
      </c>
      <c r="B3506" s="190">
        <v>45729</v>
      </c>
      <c r="C3506" s="260" t="s">
        <v>752</v>
      </c>
      <c r="D3506" s="197">
        <v>0</v>
      </c>
      <c r="E3506" s="197">
        <v>0</v>
      </c>
      <c r="F3506" s="197">
        <v>199.8</v>
      </c>
      <c r="G3506" s="190">
        <v>45729</v>
      </c>
      <c r="H3506" s="196">
        <v>0</v>
      </c>
      <c r="I3506" s="197">
        <v>0</v>
      </c>
      <c r="J3506" s="197">
        <v>0</v>
      </c>
      <c r="K3506" s="197">
        <v>0</v>
      </c>
      <c r="L3506" s="197">
        <v>0</v>
      </c>
      <c r="M3506" s="260" t="s">
        <v>239</v>
      </c>
      <c r="N3506" s="260" t="s">
        <v>514</v>
      </c>
    </row>
    <row r="3507" spans="1:14" ht="14.5" x14ac:dyDescent="0.35">
      <c r="A3507" s="260" t="s">
        <v>747</v>
      </c>
      <c r="B3507" s="190">
        <v>45729</v>
      </c>
      <c r="C3507" s="260" t="s">
        <v>754</v>
      </c>
      <c r="D3507" s="197">
        <v>100</v>
      </c>
      <c r="E3507" s="197">
        <v>8008</v>
      </c>
      <c r="F3507" s="197">
        <v>76.8</v>
      </c>
      <c r="G3507" s="190">
        <v>45729</v>
      </c>
      <c r="H3507" s="196">
        <v>0</v>
      </c>
      <c r="I3507" s="197">
        <v>7680</v>
      </c>
      <c r="J3507" s="197">
        <v>7680</v>
      </c>
      <c r="K3507" s="197">
        <v>0</v>
      </c>
      <c r="L3507" s="197">
        <v>-328</v>
      </c>
      <c r="M3507" s="260" t="s">
        <v>239</v>
      </c>
      <c r="N3507" s="260" t="s">
        <v>514</v>
      </c>
    </row>
    <row r="3508" spans="1:14" ht="14.5" x14ac:dyDescent="0.35">
      <c r="A3508" s="260" t="s">
        <v>747</v>
      </c>
      <c r="B3508" s="190">
        <v>45730</v>
      </c>
      <c r="C3508" s="260" t="s">
        <v>749</v>
      </c>
      <c r="D3508" s="197">
        <v>40</v>
      </c>
      <c r="E3508" s="197">
        <v>4004</v>
      </c>
      <c r="F3508" s="197">
        <v>100.9</v>
      </c>
      <c r="G3508" s="190">
        <v>45730</v>
      </c>
      <c r="H3508" s="196">
        <v>0</v>
      </c>
      <c r="I3508" s="197">
        <v>4036</v>
      </c>
      <c r="J3508" s="197">
        <v>4036</v>
      </c>
      <c r="K3508" s="197">
        <v>0</v>
      </c>
      <c r="L3508" s="197">
        <v>32</v>
      </c>
      <c r="M3508" s="260" t="s">
        <v>239</v>
      </c>
      <c r="N3508" s="260" t="s">
        <v>514</v>
      </c>
    </row>
    <row r="3509" spans="1:14" ht="14.5" x14ac:dyDescent="0.35">
      <c r="A3509" s="260" t="s">
        <v>747</v>
      </c>
      <c r="B3509" s="190">
        <v>45730</v>
      </c>
      <c r="C3509" s="260" t="s">
        <v>752</v>
      </c>
      <c r="D3509" s="197">
        <v>0</v>
      </c>
      <c r="E3509" s="197">
        <v>0</v>
      </c>
      <c r="F3509" s="197">
        <v>199.7</v>
      </c>
      <c r="G3509" s="190">
        <v>45730</v>
      </c>
      <c r="H3509" s="196">
        <v>0</v>
      </c>
      <c r="I3509" s="197">
        <v>0</v>
      </c>
      <c r="J3509" s="197">
        <v>0</v>
      </c>
      <c r="K3509" s="197">
        <v>0</v>
      </c>
      <c r="L3509" s="197">
        <v>0</v>
      </c>
      <c r="M3509" s="260" t="s">
        <v>239</v>
      </c>
      <c r="N3509" s="260" t="s">
        <v>514</v>
      </c>
    </row>
    <row r="3510" spans="1:14" ht="14.5" x14ac:dyDescent="0.35">
      <c r="A3510" s="260" t="s">
        <v>747</v>
      </c>
      <c r="B3510" s="190">
        <v>45730</v>
      </c>
      <c r="C3510" s="260" t="s">
        <v>754</v>
      </c>
      <c r="D3510" s="197">
        <v>100</v>
      </c>
      <c r="E3510" s="197">
        <v>8008</v>
      </c>
      <c r="F3510" s="197">
        <v>76.7</v>
      </c>
      <c r="G3510" s="190">
        <v>45730</v>
      </c>
      <c r="H3510" s="196">
        <v>0</v>
      </c>
      <c r="I3510" s="197">
        <v>7670</v>
      </c>
      <c r="J3510" s="197">
        <v>7670</v>
      </c>
      <c r="K3510" s="197">
        <v>0</v>
      </c>
      <c r="L3510" s="197">
        <v>-338</v>
      </c>
      <c r="M3510" s="260" t="s">
        <v>239</v>
      </c>
      <c r="N3510" s="260" t="s">
        <v>514</v>
      </c>
    </row>
    <row r="3511" spans="1:14" ht="14.5" x14ac:dyDescent="0.35">
      <c r="A3511" s="260" t="s">
        <v>747</v>
      </c>
      <c r="B3511" s="190">
        <v>45731</v>
      </c>
      <c r="C3511" s="260" t="s">
        <v>749</v>
      </c>
      <c r="D3511" s="197">
        <v>40</v>
      </c>
      <c r="E3511" s="197">
        <v>4004</v>
      </c>
      <c r="F3511" s="197">
        <v>100.9</v>
      </c>
      <c r="G3511" s="190">
        <v>45730</v>
      </c>
      <c r="H3511" s="196">
        <v>1</v>
      </c>
      <c r="I3511" s="197">
        <v>4036</v>
      </c>
      <c r="J3511" s="197">
        <v>4036</v>
      </c>
      <c r="K3511" s="197">
        <v>0</v>
      </c>
      <c r="L3511" s="197">
        <v>32</v>
      </c>
      <c r="M3511" s="260" t="s">
        <v>239</v>
      </c>
      <c r="N3511" s="260" t="s">
        <v>514</v>
      </c>
    </row>
    <row r="3512" spans="1:14" ht="14.5" x14ac:dyDescent="0.35">
      <c r="A3512" s="260" t="s">
        <v>747</v>
      </c>
      <c r="B3512" s="190">
        <v>45731</v>
      </c>
      <c r="C3512" s="260" t="s">
        <v>752</v>
      </c>
      <c r="D3512" s="197">
        <v>0</v>
      </c>
      <c r="E3512" s="197">
        <v>0</v>
      </c>
      <c r="F3512" s="197">
        <v>199.7</v>
      </c>
      <c r="G3512" s="190">
        <v>45730</v>
      </c>
      <c r="H3512" s="196">
        <v>1</v>
      </c>
      <c r="I3512" s="197">
        <v>0</v>
      </c>
      <c r="J3512" s="197">
        <v>0</v>
      </c>
      <c r="K3512" s="197">
        <v>0</v>
      </c>
      <c r="L3512" s="197">
        <v>0</v>
      </c>
      <c r="M3512" s="260" t="s">
        <v>239</v>
      </c>
      <c r="N3512" s="260" t="s">
        <v>514</v>
      </c>
    </row>
    <row r="3513" spans="1:14" ht="14.5" x14ac:dyDescent="0.35">
      <c r="A3513" s="260" t="s">
        <v>747</v>
      </c>
      <c r="B3513" s="190">
        <v>45731</v>
      </c>
      <c r="C3513" s="260" t="s">
        <v>754</v>
      </c>
      <c r="D3513" s="197">
        <v>100</v>
      </c>
      <c r="E3513" s="197">
        <v>8008</v>
      </c>
      <c r="F3513" s="197">
        <v>76.7</v>
      </c>
      <c r="G3513" s="190">
        <v>45730</v>
      </c>
      <c r="H3513" s="196">
        <v>1</v>
      </c>
      <c r="I3513" s="197">
        <v>7670</v>
      </c>
      <c r="J3513" s="197">
        <v>7670</v>
      </c>
      <c r="K3513" s="197">
        <v>0</v>
      </c>
      <c r="L3513" s="197">
        <v>-338</v>
      </c>
      <c r="M3513" s="260" t="s">
        <v>239</v>
      </c>
      <c r="N3513" s="260" t="s">
        <v>514</v>
      </c>
    </row>
    <row r="3514" spans="1:14" ht="14.5" x14ac:dyDescent="0.35">
      <c r="A3514" s="260" t="s">
        <v>747</v>
      </c>
      <c r="B3514" s="190">
        <v>45732</v>
      </c>
      <c r="C3514" s="260" t="s">
        <v>749</v>
      </c>
      <c r="D3514" s="197">
        <v>40</v>
      </c>
      <c r="E3514" s="197">
        <v>4004</v>
      </c>
      <c r="F3514" s="197">
        <v>100.9</v>
      </c>
      <c r="G3514" s="190">
        <v>45730</v>
      </c>
      <c r="H3514" s="196">
        <v>2</v>
      </c>
      <c r="I3514" s="197">
        <v>4036</v>
      </c>
      <c r="J3514" s="197">
        <v>4036</v>
      </c>
      <c r="K3514" s="197">
        <v>0</v>
      </c>
      <c r="L3514" s="197">
        <v>32</v>
      </c>
      <c r="M3514" s="260" t="s">
        <v>239</v>
      </c>
      <c r="N3514" s="260" t="s">
        <v>514</v>
      </c>
    </row>
    <row r="3515" spans="1:14" ht="14.5" x14ac:dyDescent="0.35">
      <c r="A3515" s="260" t="s">
        <v>747</v>
      </c>
      <c r="B3515" s="190">
        <v>45732</v>
      </c>
      <c r="C3515" s="260" t="s">
        <v>752</v>
      </c>
      <c r="D3515" s="197">
        <v>0</v>
      </c>
      <c r="E3515" s="197">
        <v>0</v>
      </c>
      <c r="F3515" s="197">
        <v>199.7</v>
      </c>
      <c r="G3515" s="190">
        <v>45730</v>
      </c>
      <c r="H3515" s="196">
        <v>2</v>
      </c>
      <c r="I3515" s="197">
        <v>0</v>
      </c>
      <c r="J3515" s="197">
        <v>0</v>
      </c>
      <c r="K3515" s="197">
        <v>0</v>
      </c>
      <c r="L3515" s="197">
        <v>0</v>
      </c>
      <c r="M3515" s="260" t="s">
        <v>239</v>
      </c>
      <c r="N3515" s="260" t="s">
        <v>514</v>
      </c>
    </row>
    <row r="3516" spans="1:14" ht="14.5" x14ac:dyDescent="0.35">
      <c r="A3516" s="260" t="s">
        <v>747</v>
      </c>
      <c r="B3516" s="190">
        <v>45732</v>
      </c>
      <c r="C3516" s="260" t="s">
        <v>754</v>
      </c>
      <c r="D3516" s="197">
        <v>100</v>
      </c>
      <c r="E3516" s="197">
        <v>8008</v>
      </c>
      <c r="F3516" s="197">
        <v>76.7</v>
      </c>
      <c r="G3516" s="190">
        <v>45730</v>
      </c>
      <c r="H3516" s="196">
        <v>2</v>
      </c>
      <c r="I3516" s="197">
        <v>7670</v>
      </c>
      <c r="J3516" s="197">
        <v>7670</v>
      </c>
      <c r="K3516" s="197">
        <v>0</v>
      </c>
      <c r="L3516" s="197">
        <v>-338</v>
      </c>
      <c r="M3516" s="260" t="s">
        <v>239</v>
      </c>
      <c r="N3516" s="260" t="s">
        <v>514</v>
      </c>
    </row>
    <row r="3517" spans="1:14" ht="14.5" x14ac:dyDescent="0.35">
      <c r="A3517" s="260" t="s">
        <v>747</v>
      </c>
      <c r="B3517" s="190">
        <v>45733</v>
      </c>
      <c r="C3517" s="260" t="s">
        <v>749</v>
      </c>
      <c r="D3517" s="197">
        <v>40</v>
      </c>
      <c r="E3517" s="197">
        <v>4004</v>
      </c>
      <c r="F3517" s="197">
        <v>101.8</v>
      </c>
      <c r="G3517" s="190">
        <v>45733</v>
      </c>
      <c r="H3517" s="196">
        <v>0</v>
      </c>
      <c r="I3517" s="197">
        <v>4072</v>
      </c>
      <c r="J3517" s="197">
        <v>4072</v>
      </c>
      <c r="K3517" s="197">
        <v>0</v>
      </c>
      <c r="L3517" s="197">
        <v>68</v>
      </c>
      <c r="M3517" s="260" t="s">
        <v>239</v>
      </c>
      <c r="N3517" s="260" t="s">
        <v>514</v>
      </c>
    </row>
    <row r="3518" spans="1:14" ht="14.5" x14ac:dyDescent="0.35">
      <c r="A3518" s="260" t="s">
        <v>747</v>
      </c>
      <c r="B3518" s="190">
        <v>45733</v>
      </c>
      <c r="C3518" s="260" t="s">
        <v>752</v>
      </c>
      <c r="D3518" s="197">
        <v>0</v>
      </c>
      <c r="E3518" s="197">
        <v>0</v>
      </c>
      <c r="F3518" s="197">
        <v>199.4</v>
      </c>
      <c r="G3518" s="190">
        <v>45733</v>
      </c>
      <c r="H3518" s="196">
        <v>0</v>
      </c>
      <c r="I3518" s="197">
        <v>0</v>
      </c>
      <c r="J3518" s="197">
        <v>0</v>
      </c>
      <c r="K3518" s="197">
        <v>0</v>
      </c>
      <c r="L3518" s="197">
        <v>0</v>
      </c>
      <c r="M3518" s="260" t="s">
        <v>239</v>
      </c>
      <c r="N3518" s="260" t="s">
        <v>514</v>
      </c>
    </row>
    <row r="3519" spans="1:14" ht="14.5" x14ac:dyDescent="0.35">
      <c r="A3519" s="260" t="s">
        <v>747</v>
      </c>
      <c r="B3519" s="190">
        <v>45733</v>
      </c>
      <c r="C3519" s="260" t="s">
        <v>754</v>
      </c>
      <c r="D3519" s="197">
        <v>100</v>
      </c>
      <c r="E3519" s="197">
        <v>8008</v>
      </c>
      <c r="F3519" s="197">
        <v>76.400000000000006</v>
      </c>
      <c r="G3519" s="190">
        <v>45733</v>
      </c>
      <c r="H3519" s="196">
        <v>0</v>
      </c>
      <c r="I3519" s="197">
        <v>7640.0000000000009</v>
      </c>
      <c r="J3519" s="197">
        <v>7640.0000000000009</v>
      </c>
      <c r="K3519" s="197">
        <v>0</v>
      </c>
      <c r="L3519" s="197">
        <v>-367.99999999999909</v>
      </c>
      <c r="M3519" s="260" t="s">
        <v>239</v>
      </c>
      <c r="N3519" s="260" t="s">
        <v>514</v>
      </c>
    </row>
    <row r="3520" spans="1:14" ht="14.5" x14ac:dyDescent="0.35">
      <c r="A3520" s="260" t="s">
        <v>747</v>
      </c>
      <c r="B3520" s="190">
        <v>45734</v>
      </c>
      <c r="C3520" s="260" t="s">
        <v>749</v>
      </c>
      <c r="D3520" s="197">
        <v>40</v>
      </c>
      <c r="E3520" s="197">
        <v>4004</v>
      </c>
      <c r="F3520" s="197">
        <v>102.1</v>
      </c>
      <c r="G3520" s="190">
        <v>45734</v>
      </c>
      <c r="H3520" s="196">
        <v>0</v>
      </c>
      <c r="I3520" s="197">
        <v>4084</v>
      </c>
      <c r="J3520" s="197">
        <v>4084</v>
      </c>
      <c r="K3520" s="197">
        <v>0</v>
      </c>
      <c r="L3520" s="197">
        <v>80</v>
      </c>
      <c r="M3520" s="260" t="s">
        <v>239</v>
      </c>
      <c r="N3520" s="260" t="s">
        <v>514</v>
      </c>
    </row>
    <row r="3521" spans="1:14" ht="14.5" x14ac:dyDescent="0.35">
      <c r="A3521" s="260" t="s">
        <v>747</v>
      </c>
      <c r="B3521" s="190">
        <v>45734</v>
      </c>
      <c r="C3521" s="260" t="s">
        <v>752</v>
      </c>
      <c r="D3521" s="197">
        <v>0</v>
      </c>
      <c r="E3521" s="197">
        <v>0</v>
      </c>
      <c r="F3521" s="197">
        <v>199.3</v>
      </c>
      <c r="G3521" s="190">
        <v>45734</v>
      </c>
      <c r="H3521" s="196">
        <v>0</v>
      </c>
      <c r="I3521" s="197">
        <v>0</v>
      </c>
      <c r="J3521" s="197">
        <v>0</v>
      </c>
      <c r="K3521" s="197">
        <v>0</v>
      </c>
      <c r="L3521" s="197">
        <v>0</v>
      </c>
      <c r="M3521" s="260" t="s">
        <v>239</v>
      </c>
      <c r="N3521" s="260" t="s">
        <v>514</v>
      </c>
    </row>
    <row r="3522" spans="1:14" ht="14.5" x14ac:dyDescent="0.35">
      <c r="A3522" s="260" t="s">
        <v>747</v>
      </c>
      <c r="B3522" s="190">
        <v>45734</v>
      </c>
      <c r="C3522" s="260" t="s">
        <v>754</v>
      </c>
      <c r="D3522" s="197">
        <v>100</v>
      </c>
      <c r="E3522" s="197">
        <v>8008</v>
      </c>
      <c r="F3522" s="197">
        <v>76.3</v>
      </c>
      <c r="G3522" s="190">
        <v>45734</v>
      </c>
      <c r="H3522" s="196">
        <v>0</v>
      </c>
      <c r="I3522" s="197">
        <v>7630</v>
      </c>
      <c r="J3522" s="197">
        <v>7630</v>
      </c>
      <c r="K3522" s="197">
        <v>0</v>
      </c>
      <c r="L3522" s="197">
        <v>-378</v>
      </c>
      <c r="M3522" s="260" t="s">
        <v>239</v>
      </c>
      <c r="N3522" s="260" t="s">
        <v>514</v>
      </c>
    </row>
    <row r="3523" spans="1:14" ht="14.5" x14ac:dyDescent="0.35">
      <c r="A3523" s="260" t="s">
        <v>747</v>
      </c>
      <c r="B3523" s="190">
        <v>45735</v>
      </c>
      <c r="C3523" s="260" t="s">
        <v>749</v>
      </c>
      <c r="D3523" s="197">
        <v>40</v>
      </c>
      <c r="E3523" s="197">
        <v>4004</v>
      </c>
      <c r="F3523" s="197">
        <v>102.4</v>
      </c>
      <c r="G3523" s="190">
        <v>45735</v>
      </c>
      <c r="H3523" s="196">
        <v>0</v>
      </c>
      <c r="I3523" s="197">
        <v>4096</v>
      </c>
      <c r="J3523" s="197">
        <v>4096</v>
      </c>
      <c r="K3523" s="197">
        <v>0</v>
      </c>
      <c r="L3523" s="197">
        <v>92</v>
      </c>
      <c r="M3523" s="260" t="s">
        <v>239</v>
      </c>
      <c r="N3523" s="260" t="s">
        <v>514</v>
      </c>
    </row>
    <row r="3524" spans="1:14" ht="14.5" x14ac:dyDescent="0.35">
      <c r="A3524" s="260" t="s">
        <v>747</v>
      </c>
      <c r="B3524" s="190">
        <v>45735</v>
      </c>
      <c r="C3524" s="260" t="s">
        <v>752</v>
      </c>
      <c r="D3524" s="197">
        <v>0</v>
      </c>
      <c r="E3524" s="197">
        <v>0</v>
      </c>
      <c r="F3524" s="197">
        <v>199.2</v>
      </c>
      <c r="G3524" s="190">
        <v>45735</v>
      </c>
      <c r="H3524" s="196">
        <v>0</v>
      </c>
      <c r="I3524" s="197">
        <v>0</v>
      </c>
      <c r="J3524" s="197">
        <v>0</v>
      </c>
      <c r="K3524" s="197">
        <v>0</v>
      </c>
      <c r="L3524" s="197">
        <v>0</v>
      </c>
      <c r="M3524" s="260" t="s">
        <v>239</v>
      </c>
      <c r="N3524" s="260" t="s">
        <v>514</v>
      </c>
    </row>
    <row r="3525" spans="1:14" ht="14.5" x14ac:dyDescent="0.35">
      <c r="A3525" s="260" t="s">
        <v>747</v>
      </c>
      <c r="B3525" s="190">
        <v>45735</v>
      </c>
      <c r="C3525" s="260" t="s">
        <v>754</v>
      </c>
      <c r="D3525" s="197">
        <v>100</v>
      </c>
      <c r="E3525" s="197">
        <v>8008</v>
      </c>
      <c r="F3525" s="197">
        <v>76.2</v>
      </c>
      <c r="G3525" s="190">
        <v>45735</v>
      </c>
      <c r="H3525" s="196">
        <v>0</v>
      </c>
      <c r="I3525" s="197">
        <v>7620</v>
      </c>
      <c r="J3525" s="197">
        <v>7620</v>
      </c>
      <c r="K3525" s="197">
        <v>0</v>
      </c>
      <c r="L3525" s="197">
        <v>-388</v>
      </c>
      <c r="M3525" s="260" t="s">
        <v>239</v>
      </c>
      <c r="N3525" s="260" t="s">
        <v>514</v>
      </c>
    </row>
    <row r="3526" spans="1:14" ht="14.5" x14ac:dyDescent="0.35">
      <c r="A3526" s="260" t="s">
        <v>747</v>
      </c>
      <c r="B3526" s="190">
        <v>45736</v>
      </c>
      <c r="C3526" s="260" t="s">
        <v>749</v>
      </c>
      <c r="D3526" s="197">
        <v>40</v>
      </c>
      <c r="E3526" s="197">
        <v>4004</v>
      </c>
      <c r="F3526" s="197">
        <v>102.7</v>
      </c>
      <c r="G3526" s="190">
        <v>45736</v>
      </c>
      <c r="H3526" s="196">
        <v>0</v>
      </c>
      <c r="I3526" s="197">
        <v>4108</v>
      </c>
      <c r="J3526" s="197">
        <v>4108</v>
      </c>
      <c r="K3526" s="197">
        <v>0</v>
      </c>
      <c r="L3526" s="197">
        <v>104</v>
      </c>
      <c r="M3526" s="260" t="s">
        <v>239</v>
      </c>
      <c r="N3526" s="260" t="s">
        <v>514</v>
      </c>
    </row>
    <row r="3527" spans="1:14" ht="14.5" x14ac:dyDescent="0.35">
      <c r="A3527" s="260" t="s">
        <v>747</v>
      </c>
      <c r="B3527" s="190">
        <v>45736</v>
      </c>
      <c r="C3527" s="260" t="s">
        <v>752</v>
      </c>
      <c r="D3527" s="197">
        <v>0</v>
      </c>
      <c r="E3527" s="197">
        <v>0</v>
      </c>
      <c r="F3527" s="197">
        <v>199.1</v>
      </c>
      <c r="G3527" s="190">
        <v>45736</v>
      </c>
      <c r="H3527" s="196">
        <v>0</v>
      </c>
      <c r="I3527" s="197">
        <v>0</v>
      </c>
      <c r="J3527" s="197">
        <v>0</v>
      </c>
      <c r="K3527" s="197">
        <v>0</v>
      </c>
      <c r="L3527" s="197">
        <v>0</v>
      </c>
      <c r="M3527" s="260" t="s">
        <v>239</v>
      </c>
      <c r="N3527" s="260" t="s">
        <v>514</v>
      </c>
    </row>
    <row r="3528" spans="1:14" ht="14.5" x14ac:dyDescent="0.35">
      <c r="A3528" s="260" t="s">
        <v>747</v>
      </c>
      <c r="B3528" s="190">
        <v>45736</v>
      </c>
      <c r="C3528" s="260" t="s">
        <v>754</v>
      </c>
      <c r="D3528" s="197">
        <v>100</v>
      </c>
      <c r="E3528" s="197">
        <v>8008</v>
      </c>
      <c r="F3528" s="197">
        <v>76.099999999999994</v>
      </c>
      <c r="G3528" s="190">
        <v>45736</v>
      </c>
      <c r="H3528" s="196">
        <v>0</v>
      </c>
      <c r="I3528" s="197">
        <v>7609.9999999999991</v>
      </c>
      <c r="J3528" s="197">
        <v>7609.9999999999991</v>
      </c>
      <c r="K3528" s="197">
        <v>0</v>
      </c>
      <c r="L3528" s="197">
        <v>-398.00000000000091</v>
      </c>
      <c r="M3528" s="260" t="s">
        <v>239</v>
      </c>
      <c r="N3528" s="260" t="s">
        <v>514</v>
      </c>
    </row>
    <row r="3529" spans="1:14" ht="14.5" x14ac:dyDescent="0.35">
      <c r="A3529" s="260" t="s">
        <v>747</v>
      </c>
      <c r="B3529" s="190">
        <v>45737</v>
      </c>
      <c r="C3529" s="260" t="s">
        <v>749</v>
      </c>
      <c r="D3529" s="197">
        <v>40</v>
      </c>
      <c r="E3529" s="197">
        <v>4004</v>
      </c>
      <c r="F3529" s="197">
        <v>103</v>
      </c>
      <c r="G3529" s="190">
        <v>45737</v>
      </c>
      <c r="H3529" s="196">
        <v>0</v>
      </c>
      <c r="I3529" s="197">
        <v>4120</v>
      </c>
      <c r="J3529" s="197">
        <v>4120</v>
      </c>
      <c r="K3529" s="197">
        <v>0</v>
      </c>
      <c r="L3529" s="197">
        <v>116</v>
      </c>
      <c r="M3529" s="260" t="s">
        <v>239</v>
      </c>
      <c r="N3529" s="260" t="s">
        <v>514</v>
      </c>
    </row>
    <row r="3530" spans="1:14" ht="14.5" x14ac:dyDescent="0.35">
      <c r="A3530" s="260" t="s">
        <v>747</v>
      </c>
      <c r="B3530" s="190">
        <v>45737</v>
      </c>
      <c r="C3530" s="260" t="s">
        <v>752</v>
      </c>
      <c r="D3530" s="197">
        <v>0</v>
      </c>
      <c r="E3530" s="197">
        <v>0</v>
      </c>
      <c r="F3530" s="197">
        <v>199</v>
      </c>
      <c r="G3530" s="190">
        <v>45737</v>
      </c>
      <c r="H3530" s="196">
        <v>0</v>
      </c>
      <c r="I3530" s="197">
        <v>0</v>
      </c>
      <c r="J3530" s="197">
        <v>0</v>
      </c>
      <c r="K3530" s="197">
        <v>0</v>
      </c>
      <c r="L3530" s="197">
        <v>0</v>
      </c>
      <c r="M3530" s="260" t="s">
        <v>239</v>
      </c>
      <c r="N3530" s="260" t="s">
        <v>514</v>
      </c>
    </row>
    <row r="3531" spans="1:14" ht="14.5" x14ac:dyDescent="0.35">
      <c r="A3531" s="260" t="s">
        <v>747</v>
      </c>
      <c r="B3531" s="190">
        <v>45737</v>
      </c>
      <c r="C3531" s="260" t="s">
        <v>754</v>
      </c>
      <c r="D3531" s="197">
        <v>100</v>
      </c>
      <c r="E3531" s="197">
        <v>8008</v>
      </c>
      <c r="F3531" s="197">
        <v>76</v>
      </c>
      <c r="G3531" s="190">
        <v>45737</v>
      </c>
      <c r="H3531" s="196">
        <v>0</v>
      </c>
      <c r="I3531" s="197">
        <v>7600</v>
      </c>
      <c r="J3531" s="197">
        <v>7600</v>
      </c>
      <c r="K3531" s="197">
        <v>0</v>
      </c>
      <c r="L3531" s="197">
        <v>-408</v>
      </c>
      <c r="M3531" s="260" t="s">
        <v>239</v>
      </c>
      <c r="N3531" s="260" t="s">
        <v>514</v>
      </c>
    </row>
    <row r="3532" spans="1:14" ht="14.5" x14ac:dyDescent="0.35">
      <c r="A3532" s="260" t="s">
        <v>747</v>
      </c>
      <c r="B3532" s="190">
        <v>45738</v>
      </c>
      <c r="C3532" s="260" t="s">
        <v>749</v>
      </c>
      <c r="D3532" s="197">
        <v>40</v>
      </c>
      <c r="E3532" s="197">
        <v>4004</v>
      </c>
      <c r="F3532" s="197">
        <v>103</v>
      </c>
      <c r="G3532" s="190">
        <v>45737</v>
      </c>
      <c r="H3532" s="196">
        <v>1</v>
      </c>
      <c r="I3532" s="197">
        <v>4120</v>
      </c>
      <c r="J3532" s="197">
        <v>4120</v>
      </c>
      <c r="K3532" s="197">
        <v>0</v>
      </c>
      <c r="L3532" s="197">
        <v>116</v>
      </c>
      <c r="M3532" s="260" t="s">
        <v>239</v>
      </c>
      <c r="N3532" s="260" t="s">
        <v>514</v>
      </c>
    </row>
    <row r="3533" spans="1:14" ht="14.5" x14ac:dyDescent="0.35">
      <c r="A3533" s="260" t="s">
        <v>747</v>
      </c>
      <c r="B3533" s="190">
        <v>45738</v>
      </c>
      <c r="C3533" s="260" t="s">
        <v>752</v>
      </c>
      <c r="D3533" s="197">
        <v>0</v>
      </c>
      <c r="E3533" s="197">
        <v>0</v>
      </c>
      <c r="F3533" s="197">
        <v>199</v>
      </c>
      <c r="G3533" s="190">
        <v>45737</v>
      </c>
      <c r="H3533" s="196">
        <v>1</v>
      </c>
      <c r="I3533" s="197">
        <v>0</v>
      </c>
      <c r="J3533" s="197">
        <v>0</v>
      </c>
      <c r="K3533" s="197">
        <v>0</v>
      </c>
      <c r="L3533" s="197">
        <v>0</v>
      </c>
      <c r="M3533" s="260" t="s">
        <v>239</v>
      </c>
      <c r="N3533" s="260" t="s">
        <v>514</v>
      </c>
    </row>
    <row r="3534" spans="1:14" ht="14.5" x14ac:dyDescent="0.35">
      <c r="A3534" s="260" t="s">
        <v>747</v>
      </c>
      <c r="B3534" s="190">
        <v>45738</v>
      </c>
      <c r="C3534" s="260" t="s">
        <v>754</v>
      </c>
      <c r="D3534" s="197">
        <v>100</v>
      </c>
      <c r="E3534" s="197">
        <v>8008</v>
      </c>
      <c r="F3534" s="197">
        <v>76</v>
      </c>
      <c r="G3534" s="190">
        <v>45737</v>
      </c>
      <c r="H3534" s="196">
        <v>1</v>
      </c>
      <c r="I3534" s="197">
        <v>7600</v>
      </c>
      <c r="J3534" s="197">
        <v>7600</v>
      </c>
      <c r="K3534" s="197">
        <v>0</v>
      </c>
      <c r="L3534" s="197">
        <v>-408</v>
      </c>
      <c r="M3534" s="260" t="s">
        <v>239</v>
      </c>
      <c r="N3534" s="260" t="s">
        <v>514</v>
      </c>
    </row>
    <row r="3535" spans="1:14" ht="14.5" x14ac:dyDescent="0.35">
      <c r="A3535" s="260" t="s">
        <v>747</v>
      </c>
      <c r="B3535" s="190">
        <v>45739</v>
      </c>
      <c r="C3535" s="260" t="s">
        <v>749</v>
      </c>
      <c r="D3535" s="197">
        <v>40</v>
      </c>
      <c r="E3535" s="197">
        <v>4004</v>
      </c>
      <c r="F3535" s="197">
        <v>103</v>
      </c>
      <c r="G3535" s="190">
        <v>45737</v>
      </c>
      <c r="H3535" s="196">
        <v>2</v>
      </c>
      <c r="I3535" s="197">
        <v>4120</v>
      </c>
      <c r="J3535" s="197">
        <v>4120</v>
      </c>
      <c r="K3535" s="197">
        <v>0</v>
      </c>
      <c r="L3535" s="197">
        <v>116</v>
      </c>
      <c r="M3535" s="260" t="s">
        <v>239</v>
      </c>
      <c r="N3535" s="260" t="s">
        <v>514</v>
      </c>
    </row>
    <row r="3536" spans="1:14" ht="14.5" x14ac:dyDescent="0.35">
      <c r="A3536" s="260" t="s">
        <v>747</v>
      </c>
      <c r="B3536" s="190">
        <v>45739</v>
      </c>
      <c r="C3536" s="260" t="s">
        <v>752</v>
      </c>
      <c r="D3536" s="197">
        <v>0</v>
      </c>
      <c r="E3536" s="197">
        <v>0</v>
      </c>
      <c r="F3536" s="197">
        <v>199</v>
      </c>
      <c r="G3536" s="190">
        <v>45737</v>
      </c>
      <c r="H3536" s="196">
        <v>2</v>
      </c>
      <c r="I3536" s="197">
        <v>0</v>
      </c>
      <c r="J3536" s="197">
        <v>0</v>
      </c>
      <c r="K3536" s="197">
        <v>0</v>
      </c>
      <c r="L3536" s="197">
        <v>0</v>
      </c>
      <c r="M3536" s="260" t="s">
        <v>239</v>
      </c>
      <c r="N3536" s="260" t="s">
        <v>514</v>
      </c>
    </row>
    <row r="3537" spans="1:14" ht="14.5" x14ac:dyDescent="0.35">
      <c r="A3537" s="260" t="s">
        <v>747</v>
      </c>
      <c r="B3537" s="190">
        <v>45739</v>
      </c>
      <c r="C3537" s="260" t="s">
        <v>754</v>
      </c>
      <c r="D3537" s="197">
        <v>100</v>
      </c>
      <c r="E3537" s="197">
        <v>8008</v>
      </c>
      <c r="F3537" s="197">
        <v>76</v>
      </c>
      <c r="G3537" s="190">
        <v>45737</v>
      </c>
      <c r="H3537" s="196">
        <v>2</v>
      </c>
      <c r="I3537" s="197">
        <v>7600</v>
      </c>
      <c r="J3537" s="197">
        <v>7600</v>
      </c>
      <c r="K3537" s="197">
        <v>0</v>
      </c>
      <c r="L3537" s="197">
        <v>-408</v>
      </c>
      <c r="M3537" s="260" t="s">
        <v>239</v>
      </c>
      <c r="N3537" s="260" t="s">
        <v>514</v>
      </c>
    </row>
    <row r="3538" spans="1:14" ht="14.5" x14ac:dyDescent="0.35">
      <c r="A3538" s="260" t="s">
        <v>747</v>
      </c>
      <c r="B3538" s="190">
        <v>45740</v>
      </c>
      <c r="C3538" s="260" t="s">
        <v>749</v>
      </c>
      <c r="D3538" s="197">
        <v>40</v>
      </c>
      <c r="E3538" s="197">
        <v>4004</v>
      </c>
      <c r="F3538" s="197">
        <v>103.9</v>
      </c>
      <c r="G3538" s="190">
        <v>45740</v>
      </c>
      <c r="H3538" s="196">
        <v>0</v>
      </c>
      <c r="I3538" s="197">
        <v>4156</v>
      </c>
      <c r="J3538" s="197">
        <v>4156</v>
      </c>
      <c r="K3538" s="197">
        <v>0</v>
      </c>
      <c r="L3538" s="197">
        <v>152</v>
      </c>
      <c r="M3538" s="260" t="s">
        <v>239</v>
      </c>
      <c r="N3538" s="260" t="s">
        <v>514</v>
      </c>
    </row>
    <row r="3539" spans="1:14" ht="14.5" x14ac:dyDescent="0.35">
      <c r="A3539" s="260" t="s">
        <v>747</v>
      </c>
      <c r="B3539" s="190">
        <v>45740</v>
      </c>
      <c r="C3539" s="260" t="s">
        <v>752</v>
      </c>
      <c r="D3539" s="197">
        <v>0</v>
      </c>
      <c r="E3539" s="197">
        <v>0</v>
      </c>
      <c r="F3539" s="197">
        <v>198.7</v>
      </c>
      <c r="G3539" s="190">
        <v>45740</v>
      </c>
      <c r="H3539" s="196">
        <v>0</v>
      </c>
      <c r="I3539" s="197">
        <v>0</v>
      </c>
      <c r="J3539" s="197">
        <v>0</v>
      </c>
      <c r="K3539" s="197">
        <v>0</v>
      </c>
      <c r="L3539" s="197">
        <v>0</v>
      </c>
      <c r="M3539" s="260" t="s">
        <v>239</v>
      </c>
      <c r="N3539" s="260" t="s">
        <v>514</v>
      </c>
    </row>
    <row r="3540" spans="1:14" ht="14.5" x14ac:dyDescent="0.35">
      <c r="A3540" s="260" t="s">
        <v>747</v>
      </c>
      <c r="B3540" s="190">
        <v>45740</v>
      </c>
      <c r="C3540" s="260" t="s">
        <v>754</v>
      </c>
      <c r="D3540" s="197">
        <v>100</v>
      </c>
      <c r="E3540" s="197">
        <v>8008</v>
      </c>
      <c r="F3540" s="197">
        <v>75.7</v>
      </c>
      <c r="G3540" s="190">
        <v>45740</v>
      </c>
      <c r="H3540" s="196">
        <v>0</v>
      </c>
      <c r="I3540" s="197">
        <v>7570</v>
      </c>
      <c r="J3540" s="197">
        <v>7570</v>
      </c>
      <c r="K3540" s="197">
        <v>0</v>
      </c>
      <c r="L3540" s="197">
        <v>-438</v>
      </c>
      <c r="M3540" s="260" t="s">
        <v>239</v>
      </c>
      <c r="N3540" s="260" t="s">
        <v>514</v>
      </c>
    </row>
    <row r="3541" spans="1:14" ht="14.5" x14ac:dyDescent="0.35">
      <c r="A3541" s="260" t="s">
        <v>747</v>
      </c>
      <c r="B3541" s="190">
        <v>45741</v>
      </c>
      <c r="C3541" s="260" t="s">
        <v>749</v>
      </c>
      <c r="D3541" s="197">
        <v>40</v>
      </c>
      <c r="E3541" s="197">
        <v>4004</v>
      </c>
      <c r="F3541" s="197">
        <v>104.2</v>
      </c>
      <c r="G3541" s="190">
        <v>45741</v>
      </c>
      <c r="H3541" s="196">
        <v>0</v>
      </c>
      <c r="I3541" s="197">
        <v>4168</v>
      </c>
      <c r="J3541" s="197">
        <v>4168</v>
      </c>
      <c r="K3541" s="197">
        <v>0</v>
      </c>
      <c r="L3541" s="197">
        <v>164</v>
      </c>
      <c r="M3541" s="260" t="s">
        <v>239</v>
      </c>
      <c r="N3541" s="260" t="s">
        <v>514</v>
      </c>
    </row>
    <row r="3542" spans="1:14" ht="14.5" x14ac:dyDescent="0.35">
      <c r="A3542" s="260" t="s">
        <v>747</v>
      </c>
      <c r="B3542" s="190">
        <v>45741</v>
      </c>
      <c r="C3542" s="260" t="s">
        <v>752</v>
      </c>
      <c r="D3542" s="197">
        <v>0</v>
      </c>
      <c r="E3542" s="197">
        <v>0</v>
      </c>
      <c r="F3542" s="197">
        <v>198.6</v>
      </c>
      <c r="G3542" s="190">
        <v>45741</v>
      </c>
      <c r="H3542" s="196">
        <v>0</v>
      </c>
      <c r="I3542" s="197">
        <v>0</v>
      </c>
      <c r="J3542" s="197">
        <v>0</v>
      </c>
      <c r="K3542" s="197">
        <v>0</v>
      </c>
      <c r="L3542" s="197">
        <v>0</v>
      </c>
      <c r="M3542" s="260" t="s">
        <v>239</v>
      </c>
      <c r="N3542" s="260" t="s">
        <v>514</v>
      </c>
    </row>
    <row r="3543" spans="1:14" ht="14.5" x14ac:dyDescent="0.35">
      <c r="A3543" s="260" t="s">
        <v>747</v>
      </c>
      <c r="B3543" s="190">
        <v>45741</v>
      </c>
      <c r="C3543" s="260" t="s">
        <v>754</v>
      </c>
      <c r="D3543" s="197">
        <v>100</v>
      </c>
      <c r="E3543" s="197">
        <v>8008</v>
      </c>
      <c r="F3543" s="197">
        <v>75.599999999999994</v>
      </c>
      <c r="G3543" s="190">
        <v>45741</v>
      </c>
      <c r="H3543" s="196">
        <v>0</v>
      </c>
      <c r="I3543" s="197">
        <v>7559.9999999999991</v>
      </c>
      <c r="J3543" s="197">
        <v>7559.9999999999991</v>
      </c>
      <c r="K3543" s="197">
        <v>0</v>
      </c>
      <c r="L3543" s="197">
        <v>-448.00000000000091</v>
      </c>
      <c r="M3543" s="260" t="s">
        <v>239</v>
      </c>
      <c r="N3543" s="260" t="s">
        <v>514</v>
      </c>
    </row>
    <row r="3544" spans="1:14" ht="14.5" x14ac:dyDescent="0.35">
      <c r="A3544" s="260" t="s">
        <v>747</v>
      </c>
      <c r="B3544" s="190">
        <v>45742</v>
      </c>
      <c r="C3544" s="260" t="s">
        <v>749</v>
      </c>
      <c r="D3544" s="197">
        <v>40</v>
      </c>
      <c r="E3544" s="197">
        <v>4004</v>
      </c>
      <c r="F3544" s="197">
        <v>104.5</v>
      </c>
      <c r="G3544" s="190">
        <v>45742</v>
      </c>
      <c r="H3544" s="196">
        <v>0</v>
      </c>
      <c r="I3544" s="197">
        <v>4180</v>
      </c>
      <c r="J3544" s="197">
        <v>4180</v>
      </c>
      <c r="K3544" s="197">
        <v>0</v>
      </c>
      <c r="L3544" s="197">
        <v>176</v>
      </c>
      <c r="M3544" s="260" t="s">
        <v>239</v>
      </c>
      <c r="N3544" s="260" t="s">
        <v>514</v>
      </c>
    </row>
    <row r="3545" spans="1:14" ht="14.5" x14ac:dyDescent="0.35">
      <c r="A3545" s="260" t="s">
        <v>747</v>
      </c>
      <c r="B3545" s="190">
        <v>45742</v>
      </c>
      <c r="C3545" s="260" t="s">
        <v>752</v>
      </c>
      <c r="D3545" s="197">
        <v>0</v>
      </c>
      <c r="E3545" s="197">
        <v>0</v>
      </c>
      <c r="F3545" s="197">
        <v>198.5</v>
      </c>
      <c r="G3545" s="190">
        <v>45742</v>
      </c>
      <c r="H3545" s="196">
        <v>0</v>
      </c>
      <c r="I3545" s="197">
        <v>0</v>
      </c>
      <c r="J3545" s="197">
        <v>0</v>
      </c>
      <c r="K3545" s="197">
        <v>0</v>
      </c>
      <c r="L3545" s="197">
        <v>0</v>
      </c>
      <c r="M3545" s="260" t="s">
        <v>239</v>
      </c>
      <c r="N3545" s="260" t="s">
        <v>514</v>
      </c>
    </row>
    <row r="3546" spans="1:14" ht="14.5" x14ac:dyDescent="0.35">
      <c r="A3546" s="260" t="s">
        <v>747</v>
      </c>
      <c r="B3546" s="190">
        <v>45742</v>
      </c>
      <c r="C3546" s="260" t="s">
        <v>754</v>
      </c>
      <c r="D3546" s="197">
        <v>100</v>
      </c>
      <c r="E3546" s="197">
        <v>8008</v>
      </c>
      <c r="F3546" s="197">
        <v>75.5</v>
      </c>
      <c r="G3546" s="190">
        <v>45742</v>
      </c>
      <c r="H3546" s="196">
        <v>0</v>
      </c>
      <c r="I3546" s="197">
        <v>7550</v>
      </c>
      <c r="J3546" s="197">
        <v>7550</v>
      </c>
      <c r="K3546" s="197">
        <v>0</v>
      </c>
      <c r="L3546" s="197">
        <v>-458</v>
      </c>
      <c r="M3546" s="260" t="s">
        <v>239</v>
      </c>
      <c r="N3546" s="260" t="s">
        <v>514</v>
      </c>
    </row>
    <row r="3547" spans="1:14" ht="14.5" x14ac:dyDescent="0.35">
      <c r="A3547" s="260" t="s">
        <v>747</v>
      </c>
      <c r="B3547" s="190">
        <v>45743</v>
      </c>
      <c r="C3547" s="260" t="s">
        <v>749</v>
      </c>
      <c r="D3547" s="197">
        <v>40</v>
      </c>
      <c r="E3547" s="197">
        <v>4004</v>
      </c>
      <c r="F3547" s="197">
        <v>104.8</v>
      </c>
      <c r="G3547" s="190">
        <v>45743</v>
      </c>
      <c r="H3547" s="196">
        <v>0</v>
      </c>
      <c r="I3547" s="197">
        <v>4192</v>
      </c>
      <c r="J3547" s="197">
        <v>4192</v>
      </c>
      <c r="K3547" s="197">
        <v>0</v>
      </c>
      <c r="L3547" s="197">
        <v>188</v>
      </c>
      <c r="M3547" s="260" t="s">
        <v>239</v>
      </c>
      <c r="N3547" s="260" t="s">
        <v>514</v>
      </c>
    </row>
    <row r="3548" spans="1:14" ht="14.5" x14ac:dyDescent="0.35">
      <c r="A3548" s="260" t="s">
        <v>747</v>
      </c>
      <c r="B3548" s="190">
        <v>45743</v>
      </c>
      <c r="C3548" s="260" t="s">
        <v>752</v>
      </c>
      <c r="D3548" s="197">
        <v>0</v>
      </c>
      <c r="E3548" s="197">
        <v>0</v>
      </c>
      <c r="F3548" s="197">
        <v>198.4</v>
      </c>
      <c r="G3548" s="190">
        <v>45743</v>
      </c>
      <c r="H3548" s="196">
        <v>0</v>
      </c>
      <c r="I3548" s="197">
        <v>0</v>
      </c>
      <c r="J3548" s="197">
        <v>0</v>
      </c>
      <c r="K3548" s="197">
        <v>0</v>
      </c>
      <c r="L3548" s="197">
        <v>0</v>
      </c>
      <c r="M3548" s="260" t="s">
        <v>239</v>
      </c>
      <c r="N3548" s="260" t="s">
        <v>514</v>
      </c>
    </row>
    <row r="3549" spans="1:14" ht="14.5" x14ac:dyDescent="0.35">
      <c r="A3549" s="260" t="s">
        <v>747</v>
      </c>
      <c r="B3549" s="190">
        <v>45743</v>
      </c>
      <c r="C3549" s="260" t="s">
        <v>754</v>
      </c>
      <c r="D3549" s="197">
        <v>100</v>
      </c>
      <c r="E3549" s="197">
        <v>8008</v>
      </c>
      <c r="F3549" s="197">
        <v>75.400000000000006</v>
      </c>
      <c r="G3549" s="190">
        <v>45743</v>
      </c>
      <c r="H3549" s="196">
        <v>0</v>
      </c>
      <c r="I3549" s="197">
        <v>7540.0000000000009</v>
      </c>
      <c r="J3549" s="197">
        <v>7540.0000000000009</v>
      </c>
      <c r="K3549" s="197">
        <v>0</v>
      </c>
      <c r="L3549" s="197">
        <v>-467.99999999999909</v>
      </c>
      <c r="M3549" s="260" t="s">
        <v>239</v>
      </c>
      <c r="N3549" s="260" t="s">
        <v>514</v>
      </c>
    </row>
    <row r="3550" spans="1:14" ht="14.5" x14ac:dyDescent="0.35">
      <c r="A3550" s="260" t="s">
        <v>747</v>
      </c>
      <c r="B3550" s="190">
        <v>45744</v>
      </c>
      <c r="C3550" s="260" t="s">
        <v>749</v>
      </c>
      <c r="D3550" s="197">
        <v>40</v>
      </c>
      <c r="E3550" s="197">
        <v>4004</v>
      </c>
      <c r="F3550" s="197">
        <v>105.1</v>
      </c>
      <c r="G3550" s="190">
        <v>45744</v>
      </c>
      <c r="H3550" s="196">
        <v>0</v>
      </c>
      <c r="I3550" s="197">
        <v>4204</v>
      </c>
      <c r="J3550" s="197">
        <v>4204</v>
      </c>
      <c r="K3550" s="197">
        <v>0</v>
      </c>
      <c r="L3550" s="197">
        <v>200</v>
      </c>
      <c r="M3550" s="260" t="s">
        <v>239</v>
      </c>
      <c r="N3550" s="260" t="s">
        <v>514</v>
      </c>
    </row>
    <row r="3551" spans="1:14" ht="14.5" x14ac:dyDescent="0.35">
      <c r="A3551" s="260" t="s">
        <v>747</v>
      </c>
      <c r="B3551" s="190">
        <v>45744</v>
      </c>
      <c r="C3551" s="260" t="s">
        <v>752</v>
      </c>
      <c r="D3551" s="197">
        <v>0</v>
      </c>
      <c r="E3551" s="197">
        <v>0</v>
      </c>
      <c r="F3551" s="197">
        <v>198.3</v>
      </c>
      <c r="G3551" s="190">
        <v>45744</v>
      </c>
      <c r="H3551" s="196">
        <v>0</v>
      </c>
      <c r="I3551" s="197">
        <v>0</v>
      </c>
      <c r="J3551" s="197">
        <v>0</v>
      </c>
      <c r="K3551" s="197">
        <v>0</v>
      </c>
      <c r="L3551" s="197">
        <v>0</v>
      </c>
      <c r="M3551" s="260" t="s">
        <v>239</v>
      </c>
      <c r="N3551" s="260" t="s">
        <v>514</v>
      </c>
    </row>
    <row r="3552" spans="1:14" ht="14.5" x14ac:dyDescent="0.35">
      <c r="A3552" s="260" t="s">
        <v>747</v>
      </c>
      <c r="B3552" s="190">
        <v>45744</v>
      </c>
      <c r="C3552" s="260" t="s">
        <v>754</v>
      </c>
      <c r="D3552" s="197">
        <v>100</v>
      </c>
      <c r="E3552" s="197">
        <v>8008</v>
      </c>
      <c r="F3552" s="197">
        <v>75.3</v>
      </c>
      <c r="G3552" s="190">
        <v>45744</v>
      </c>
      <c r="H3552" s="196">
        <v>0</v>
      </c>
      <c r="I3552" s="197">
        <v>7530</v>
      </c>
      <c r="J3552" s="197">
        <v>7530</v>
      </c>
      <c r="K3552" s="197">
        <v>0</v>
      </c>
      <c r="L3552" s="197">
        <v>-478</v>
      </c>
      <c r="M3552" s="260" t="s">
        <v>239</v>
      </c>
      <c r="N3552" s="260" t="s">
        <v>514</v>
      </c>
    </row>
    <row r="3553" spans="1:14" ht="14.5" x14ac:dyDescent="0.35">
      <c r="A3553" s="260" t="s">
        <v>747</v>
      </c>
      <c r="B3553" s="190">
        <v>45745</v>
      </c>
      <c r="C3553" s="260" t="s">
        <v>749</v>
      </c>
      <c r="D3553" s="197">
        <v>40</v>
      </c>
      <c r="E3553" s="197">
        <v>4004</v>
      </c>
      <c r="F3553" s="197">
        <v>105.1</v>
      </c>
      <c r="G3553" s="190">
        <v>45744</v>
      </c>
      <c r="H3553" s="196">
        <v>1</v>
      </c>
      <c r="I3553" s="197">
        <v>4204</v>
      </c>
      <c r="J3553" s="197">
        <v>4204</v>
      </c>
      <c r="K3553" s="197">
        <v>0</v>
      </c>
      <c r="L3553" s="197">
        <v>200</v>
      </c>
      <c r="M3553" s="260" t="s">
        <v>239</v>
      </c>
      <c r="N3553" s="260" t="s">
        <v>514</v>
      </c>
    </row>
    <row r="3554" spans="1:14" ht="14.5" x14ac:dyDescent="0.35">
      <c r="A3554" s="260" t="s">
        <v>747</v>
      </c>
      <c r="B3554" s="190">
        <v>45745</v>
      </c>
      <c r="C3554" s="260" t="s">
        <v>752</v>
      </c>
      <c r="D3554" s="197">
        <v>0</v>
      </c>
      <c r="E3554" s="197">
        <v>0</v>
      </c>
      <c r="F3554" s="197">
        <v>198.3</v>
      </c>
      <c r="G3554" s="190">
        <v>45744</v>
      </c>
      <c r="H3554" s="196">
        <v>1</v>
      </c>
      <c r="I3554" s="197">
        <v>0</v>
      </c>
      <c r="J3554" s="197">
        <v>0</v>
      </c>
      <c r="K3554" s="197">
        <v>0</v>
      </c>
      <c r="L3554" s="197">
        <v>0</v>
      </c>
      <c r="M3554" s="260" t="s">
        <v>239</v>
      </c>
      <c r="N3554" s="260" t="s">
        <v>514</v>
      </c>
    </row>
    <row r="3555" spans="1:14" ht="14.5" x14ac:dyDescent="0.35">
      <c r="A3555" s="260" t="s">
        <v>747</v>
      </c>
      <c r="B3555" s="190">
        <v>45745</v>
      </c>
      <c r="C3555" s="260" t="s">
        <v>754</v>
      </c>
      <c r="D3555" s="197">
        <v>100</v>
      </c>
      <c r="E3555" s="197">
        <v>8008</v>
      </c>
      <c r="F3555" s="197">
        <v>75.3</v>
      </c>
      <c r="G3555" s="190">
        <v>45744</v>
      </c>
      <c r="H3555" s="196">
        <v>1</v>
      </c>
      <c r="I3555" s="197">
        <v>7530</v>
      </c>
      <c r="J3555" s="197">
        <v>7530</v>
      </c>
      <c r="K3555" s="197">
        <v>0</v>
      </c>
      <c r="L3555" s="197">
        <v>-478</v>
      </c>
      <c r="M3555" s="260" t="s">
        <v>239</v>
      </c>
      <c r="N3555" s="260" t="s">
        <v>514</v>
      </c>
    </row>
    <row r="3556" spans="1:14" ht="14.5" x14ac:dyDescent="0.35">
      <c r="A3556" s="260" t="s">
        <v>747</v>
      </c>
      <c r="B3556" s="190">
        <v>45746</v>
      </c>
      <c r="C3556" s="260" t="s">
        <v>749</v>
      </c>
      <c r="D3556" s="197">
        <v>40</v>
      </c>
      <c r="E3556" s="197">
        <v>4004</v>
      </c>
      <c r="F3556" s="197">
        <v>105.1</v>
      </c>
      <c r="G3556" s="190">
        <v>45744</v>
      </c>
      <c r="H3556" s="196">
        <v>2</v>
      </c>
      <c r="I3556" s="197">
        <v>4204</v>
      </c>
      <c r="J3556" s="197">
        <v>4204</v>
      </c>
      <c r="K3556" s="197">
        <v>0</v>
      </c>
      <c r="L3556" s="197">
        <v>200</v>
      </c>
      <c r="M3556" s="260" t="s">
        <v>239</v>
      </c>
      <c r="N3556" s="260" t="s">
        <v>514</v>
      </c>
    </row>
    <row r="3557" spans="1:14" ht="14.5" x14ac:dyDescent="0.35">
      <c r="A3557" s="260" t="s">
        <v>747</v>
      </c>
      <c r="B3557" s="190">
        <v>45746</v>
      </c>
      <c r="C3557" s="260" t="s">
        <v>752</v>
      </c>
      <c r="D3557" s="197">
        <v>0</v>
      </c>
      <c r="E3557" s="197">
        <v>0</v>
      </c>
      <c r="F3557" s="197">
        <v>198.3</v>
      </c>
      <c r="G3557" s="190">
        <v>45744</v>
      </c>
      <c r="H3557" s="196">
        <v>2</v>
      </c>
      <c r="I3557" s="197">
        <v>0</v>
      </c>
      <c r="J3557" s="197">
        <v>0</v>
      </c>
      <c r="K3557" s="197">
        <v>0</v>
      </c>
      <c r="L3557" s="197">
        <v>0</v>
      </c>
      <c r="M3557" s="260" t="s">
        <v>239</v>
      </c>
      <c r="N3557" s="260" t="s">
        <v>514</v>
      </c>
    </row>
    <row r="3558" spans="1:14" ht="14.5" x14ac:dyDescent="0.35">
      <c r="A3558" s="260" t="s">
        <v>747</v>
      </c>
      <c r="B3558" s="190">
        <v>45746</v>
      </c>
      <c r="C3558" s="260" t="s">
        <v>754</v>
      </c>
      <c r="D3558" s="197">
        <v>100</v>
      </c>
      <c r="E3558" s="197">
        <v>8008</v>
      </c>
      <c r="F3558" s="197">
        <v>75.3</v>
      </c>
      <c r="G3558" s="190">
        <v>45744</v>
      </c>
      <c r="H3558" s="196">
        <v>2</v>
      </c>
      <c r="I3558" s="197">
        <v>7530</v>
      </c>
      <c r="J3558" s="197">
        <v>7530</v>
      </c>
      <c r="K3558" s="197">
        <v>0</v>
      </c>
      <c r="L3558" s="197">
        <v>-478</v>
      </c>
      <c r="M3558" s="260" t="s">
        <v>239</v>
      </c>
      <c r="N3558" s="260" t="s">
        <v>514</v>
      </c>
    </row>
    <row r="3559" spans="1:14" ht="14.5" x14ac:dyDescent="0.35">
      <c r="A3559" s="260" t="s">
        <v>747</v>
      </c>
      <c r="B3559" s="190">
        <v>45747</v>
      </c>
      <c r="C3559" s="260" t="s">
        <v>749</v>
      </c>
      <c r="D3559" s="197">
        <v>40</v>
      </c>
      <c r="E3559" s="197">
        <v>4004</v>
      </c>
      <c r="F3559" s="197">
        <v>106</v>
      </c>
      <c r="G3559" s="190">
        <v>45747</v>
      </c>
      <c r="H3559" s="196">
        <v>0</v>
      </c>
      <c r="I3559" s="197">
        <v>4240</v>
      </c>
      <c r="J3559" s="197">
        <v>4240</v>
      </c>
      <c r="K3559" s="197">
        <v>0</v>
      </c>
      <c r="L3559" s="197">
        <v>236</v>
      </c>
      <c r="M3559" s="260" t="s">
        <v>239</v>
      </c>
      <c r="N3559" s="260" t="s">
        <v>514</v>
      </c>
    </row>
    <row r="3560" spans="1:14" ht="14.5" x14ac:dyDescent="0.35">
      <c r="A3560" s="260" t="s">
        <v>747</v>
      </c>
      <c r="B3560" s="190">
        <v>45747</v>
      </c>
      <c r="C3560" s="260" t="s">
        <v>752</v>
      </c>
      <c r="D3560" s="197">
        <v>0</v>
      </c>
      <c r="E3560" s="197">
        <v>0</v>
      </c>
      <c r="F3560" s="197">
        <v>198</v>
      </c>
      <c r="G3560" s="190">
        <v>45747</v>
      </c>
      <c r="H3560" s="196">
        <v>0</v>
      </c>
      <c r="I3560" s="197">
        <v>0</v>
      </c>
      <c r="J3560" s="197">
        <v>0</v>
      </c>
      <c r="K3560" s="197">
        <v>0</v>
      </c>
      <c r="L3560" s="197">
        <v>0</v>
      </c>
      <c r="M3560" s="260" t="s">
        <v>239</v>
      </c>
      <c r="N3560" s="260" t="s">
        <v>514</v>
      </c>
    </row>
    <row r="3561" spans="1:14" ht="14.5" x14ac:dyDescent="0.35">
      <c r="A3561" s="260" t="s">
        <v>747</v>
      </c>
      <c r="B3561" s="190">
        <v>45747</v>
      </c>
      <c r="C3561" s="260" t="s">
        <v>754</v>
      </c>
      <c r="D3561" s="197">
        <v>100</v>
      </c>
      <c r="E3561" s="197">
        <v>8008</v>
      </c>
      <c r="F3561" s="197">
        <v>75</v>
      </c>
      <c r="G3561" s="190">
        <v>45747</v>
      </c>
      <c r="H3561" s="196">
        <v>0</v>
      </c>
      <c r="I3561" s="197">
        <v>7500</v>
      </c>
      <c r="J3561" s="197">
        <v>7500</v>
      </c>
      <c r="K3561" s="197">
        <v>0</v>
      </c>
      <c r="L3561" s="197">
        <v>-508</v>
      </c>
      <c r="M3561" s="260" t="s">
        <v>239</v>
      </c>
      <c r="N3561" s="260" t="s">
        <v>514</v>
      </c>
    </row>
    <row r="3562" spans="1:14" ht="14.5" x14ac:dyDescent="0.35">
      <c r="A3562" s="260" t="s">
        <v>747</v>
      </c>
      <c r="B3562" s="190">
        <v>45748</v>
      </c>
      <c r="C3562" s="260" t="s">
        <v>749</v>
      </c>
      <c r="D3562" s="197">
        <v>40</v>
      </c>
      <c r="E3562" s="197">
        <v>4004</v>
      </c>
      <c r="F3562" s="197">
        <v>106</v>
      </c>
      <c r="G3562" s="190">
        <v>45748</v>
      </c>
      <c r="H3562" s="196">
        <v>0</v>
      </c>
      <c r="I3562" s="197">
        <v>4240</v>
      </c>
      <c r="J3562" s="197">
        <v>4240</v>
      </c>
      <c r="K3562" s="197">
        <v>0</v>
      </c>
      <c r="L3562" s="197">
        <v>236</v>
      </c>
      <c r="M3562" s="260" t="s">
        <v>239</v>
      </c>
      <c r="N3562" s="260" t="s">
        <v>514</v>
      </c>
    </row>
    <row r="3563" spans="1:14" ht="14.5" x14ac:dyDescent="0.35">
      <c r="A3563" s="260" t="s">
        <v>747</v>
      </c>
      <c r="B3563" s="190">
        <v>45748</v>
      </c>
      <c r="C3563" s="260" t="s">
        <v>752</v>
      </c>
      <c r="D3563" s="197">
        <v>0</v>
      </c>
      <c r="E3563" s="197">
        <v>0</v>
      </c>
      <c r="F3563" s="197">
        <v>198</v>
      </c>
      <c r="G3563" s="190">
        <v>45748</v>
      </c>
      <c r="H3563" s="196">
        <v>0</v>
      </c>
      <c r="I3563" s="197">
        <v>0</v>
      </c>
      <c r="J3563" s="197">
        <v>0</v>
      </c>
      <c r="K3563" s="197">
        <v>0</v>
      </c>
      <c r="L3563" s="197">
        <v>0</v>
      </c>
      <c r="M3563" s="260" t="s">
        <v>239</v>
      </c>
      <c r="N3563" s="260" t="s">
        <v>514</v>
      </c>
    </row>
    <row r="3564" spans="1:14" ht="14.5" x14ac:dyDescent="0.35">
      <c r="A3564" s="260" t="s">
        <v>747</v>
      </c>
      <c r="B3564" s="190">
        <v>45748</v>
      </c>
      <c r="C3564" s="260" t="s">
        <v>754</v>
      </c>
      <c r="D3564" s="197">
        <v>100</v>
      </c>
      <c r="E3564" s="197">
        <v>8008</v>
      </c>
      <c r="F3564" s="197">
        <v>75</v>
      </c>
      <c r="G3564" s="190">
        <v>45748</v>
      </c>
      <c r="H3564" s="196">
        <v>0</v>
      </c>
      <c r="I3564" s="197">
        <v>7500</v>
      </c>
      <c r="J3564" s="197">
        <v>7500</v>
      </c>
      <c r="K3564" s="197">
        <v>0</v>
      </c>
      <c r="L3564" s="197">
        <v>-508</v>
      </c>
      <c r="M3564" s="260" t="s">
        <v>239</v>
      </c>
      <c r="N3564" s="260" t="s">
        <v>514</v>
      </c>
    </row>
    <row r="3565" spans="1:14" ht="14.5" x14ac:dyDescent="0.35">
      <c r="A3565" s="260" t="s">
        <v>747</v>
      </c>
      <c r="B3565" s="190">
        <v>45749</v>
      </c>
      <c r="C3565" s="260" t="s">
        <v>749</v>
      </c>
      <c r="D3565" s="197">
        <v>40</v>
      </c>
      <c r="E3565" s="197">
        <v>4004</v>
      </c>
      <c r="F3565" s="197">
        <v>105.83</v>
      </c>
      <c r="G3565" s="190">
        <v>45749</v>
      </c>
      <c r="H3565" s="196">
        <v>0</v>
      </c>
      <c r="I3565" s="197">
        <v>4233.2</v>
      </c>
      <c r="J3565" s="197">
        <v>4233.2</v>
      </c>
      <c r="K3565" s="197">
        <v>0</v>
      </c>
      <c r="L3565" s="197">
        <v>229.19999999999982</v>
      </c>
      <c r="M3565" s="260" t="s">
        <v>239</v>
      </c>
      <c r="N3565" s="260" t="s">
        <v>514</v>
      </c>
    </row>
    <row r="3566" spans="1:14" ht="14.5" x14ac:dyDescent="0.35">
      <c r="A3566" s="260" t="s">
        <v>747</v>
      </c>
      <c r="B3566" s="190">
        <v>45749</v>
      </c>
      <c r="C3566" s="260" t="s">
        <v>752</v>
      </c>
      <c r="D3566" s="197">
        <v>0</v>
      </c>
      <c r="E3566" s="197">
        <v>0</v>
      </c>
      <c r="F3566" s="197">
        <v>197.62</v>
      </c>
      <c r="G3566" s="190">
        <v>45749</v>
      </c>
      <c r="H3566" s="196">
        <v>0</v>
      </c>
      <c r="I3566" s="197">
        <v>0</v>
      </c>
      <c r="J3566" s="197">
        <v>0</v>
      </c>
      <c r="K3566" s="197">
        <v>0</v>
      </c>
      <c r="L3566" s="197">
        <v>0</v>
      </c>
      <c r="M3566" s="260" t="s">
        <v>239</v>
      </c>
      <c r="N3566" s="260" t="s">
        <v>514</v>
      </c>
    </row>
    <row r="3567" spans="1:14" ht="14.5" x14ac:dyDescent="0.35">
      <c r="A3567" s="260" t="s">
        <v>747</v>
      </c>
      <c r="B3567" s="190">
        <v>45749</v>
      </c>
      <c r="C3567" s="260" t="s">
        <v>754</v>
      </c>
      <c r="D3567" s="197">
        <v>100</v>
      </c>
      <c r="E3567" s="197">
        <v>8008</v>
      </c>
      <c r="F3567" s="197">
        <v>75.14</v>
      </c>
      <c r="G3567" s="190">
        <v>45749</v>
      </c>
      <c r="H3567" s="196">
        <v>0</v>
      </c>
      <c r="I3567" s="197">
        <v>7514</v>
      </c>
      <c r="J3567" s="197">
        <v>7514</v>
      </c>
      <c r="K3567" s="197">
        <v>0</v>
      </c>
      <c r="L3567" s="197">
        <v>-494</v>
      </c>
      <c r="M3567" s="260" t="s">
        <v>239</v>
      </c>
      <c r="N3567" s="260" t="s">
        <v>514</v>
      </c>
    </row>
    <row r="3568" spans="1:14" ht="14.5" x14ac:dyDescent="0.35">
      <c r="A3568" s="260" t="s">
        <v>747</v>
      </c>
      <c r="B3568" s="190">
        <v>45750</v>
      </c>
      <c r="C3568" s="260" t="s">
        <v>749</v>
      </c>
      <c r="D3568" s="197">
        <v>40</v>
      </c>
      <c r="E3568" s="197">
        <v>4004</v>
      </c>
      <c r="F3568" s="197">
        <v>105.66</v>
      </c>
      <c r="G3568" s="190">
        <v>45750</v>
      </c>
      <c r="H3568" s="196">
        <v>0</v>
      </c>
      <c r="I3568" s="197">
        <v>4226.3999999999996</v>
      </c>
      <c r="J3568" s="197">
        <v>4226.3999999999996</v>
      </c>
      <c r="K3568" s="197">
        <v>0</v>
      </c>
      <c r="L3568" s="197">
        <v>222.39999999999964</v>
      </c>
      <c r="M3568" s="260" t="s">
        <v>239</v>
      </c>
      <c r="N3568" s="260" t="s">
        <v>514</v>
      </c>
    </row>
    <row r="3569" spans="1:14" ht="14.5" x14ac:dyDescent="0.35">
      <c r="A3569" s="260" t="s">
        <v>747</v>
      </c>
      <c r="B3569" s="190">
        <v>45750</v>
      </c>
      <c r="C3569" s="260" t="s">
        <v>752</v>
      </c>
      <c r="D3569" s="197">
        <v>0</v>
      </c>
      <c r="E3569" s="197">
        <v>0</v>
      </c>
      <c r="F3569" s="197">
        <v>197.24</v>
      </c>
      <c r="G3569" s="190">
        <v>45750</v>
      </c>
      <c r="H3569" s="196">
        <v>0</v>
      </c>
      <c r="I3569" s="197">
        <v>0</v>
      </c>
      <c r="J3569" s="197">
        <v>0</v>
      </c>
      <c r="K3569" s="197">
        <v>0</v>
      </c>
      <c r="L3569" s="197">
        <v>0</v>
      </c>
      <c r="M3569" s="260" t="s">
        <v>239</v>
      </c>
      <c r="N3569" s="260" t="s">
        <v>514</v>
      </c>
    </row>
    <row r="3570" spans="1:14" ht="14.5" x14ac:dyDescent="0.35">
      <c r="A3570" s="260" t="s">
        <v>747</v>
      </c>
      <c r="B3570" s="190">
        <v>45750</v>
      </c>
      <c r="C3570" s="260" t="s">
        <v>754</v>
      </c>
      <c r="D3570" s="197">
        <v>100</v>
      </c>
      <c r="E3570" s="197">
        <v>8008</v>
      </c>
      <c r="F3570" s="197">
        <v>75.28</v>
      </c>
      <c r="G3570" s="190">
        <v>45750</v>
      </c>
      <c r="H3570" s="196">
        <v>0</v>
      </c>
      <c r="I3570" s="197">
        <v>7528</v>
      </c>
      <c r="J3570" s="197">
        <v>7528</v>
      </c>
      <c r="K3570" s="197">
        <v>0</v>
      </c>
      <c r="L3570" s="197">
        <v>-480</v>
      </c>
      <c r="M3570" s="260" t="s">
        <v>239</v>
      </c>
      <c r="N3570" s="260" t="s">
        <v>514</v>
      </c>
    </row>
    <row r="3571" spans="1:14" ht="14.5" x14ac:dyDescent="0.35">
      <c r="A3571" s="260" t="s">
        <v>747</v>
      </c>
      <c r="B3571" s="190">
        <v>45751</v>
      </c>
      <c r="C3571" s="260" t="s">
        <v>749</v>
      </c>
      <c r="D3571" s="197">
        <v>40</v>
      </c>
      <c r="E3571" s="197">
        <v>4004</v>
      </c>
      <c r="F3571" s="197">
        <v>105.48</v>
      </c>
      <c r="G3571" s="190">
        <v>45751</v>
      </c>
      <c r="H3571" s="196">
        <v>0</v>
      </c>
      <c r="I3571" s="197">
        <v>4219.2</v>
      </c>
      <c r="J3571" s="197">
        <v>4219.2</v>
      </c>
      <c r="K3571" s="197">
        <v>0</v>
      </c>
      <c r="L3571" s="197">
        <v>215.19999999999982</v>
      </c>
      <c r="M3571" s="260" t="s">
        <v>239</v>
      </c>
      <c r="N3571" s="260" t="s">
        <v>514</v>
      </c>
    </row>
    <row r="3572" spans="1:14" ht="14.5" x14ac:dyDescent="0.35">
      <c r="A3572" s="260" t="s">
        <v>747</v>
      </c>
      <c r="B3572" s="190">
        <v>45751</v>
      </c>
      <c r="C3572" s="260" t="s">
        <v>752</v>
      </c>
      <c r="D3572" s="197">
        <v>0</v>
      </c>
      <c r="E3572" s="197">
        <v>0</v>
      </c>
      <c r="F3572" s="197">
        <v>196.86</v>
      </c>
      <c r="G3572" s="190">
        <v>45751</v>
      </c>
      <c r="H3572" s="196">
        <v>0</v>
      </c>
      <c r="I3572" s="197">
        <v>0</v>
      </c>
      <c r="J3572" s="197">
        <v>0</v>
      </c>
      <c r="K3572" s="197">
        <v>0</v>
      </c>
      <c r="L3572" s="197">
        <v>0</v>
      </c>
      <c r="M3572" s="260" t="s">
        <v>239</v>
      </c>
      <c r="N3572" s="260" t="s">
        <v>514</v>
      </c>
    </row>
    <row r="3573" spans="1:14" ht="14.5" x14ac:dyDescent="0.35">
      <c r="A3573" s="260" t="s">
        <v>747</v>
      </c>
      <c r="B3573" s="190">
        <v>45751</v>
      </c>
      <c r="C3573" s="260" t="s">
        <v>754</v>
      </c>
      <c r="D3573" s="197">
        <v>100</v>
      </c>
      <c r="E3573" s="197">
        <v>8008</v>
      </c>
      <c r="F3573" s="197">
        <v>75.41</v>
      </c>
      <c r="G3573" s="190">
        <v>45751</v>
      </c>
      <c r="H3573" s="196">
        <v>0</v>
      </c>
      <c r="I3573" s="197">
        <v>7541</v>
      </c>
      <c r="J3573" s="197">
        <v>7541</v>
      </c>
      <c r="K3573" s="197">
        <v>0</v>
      </c>
      <c r="L3573" s="197">
        <v>-467</v>
      </c>
      <c r="M3573" s="260" t="s">
        <v>239</v>
      </c>
      <c r="N3573" s="260" t="s">
        <v>514</v>
      </c>
    </row>
    <row r="3574" spans="1:14" ht="14.5" x14ac:dyDescent="0.35">
      <c r="A3574" s="260" t="s">
        <v>747</v>
      </c>
      <c r="B3574" s="190">
        <v>45752</v>
      </c>
      <c r="C3574" s="260" t="s">
        <v>749</v>
      </c>
      <c r="D3574" s="197">
        <v>40</v>
      </c>
      <c r="E3574" s="197">
        <v>4004</v>
      </c>
      <c r="F3574" s="197">
        <v>105.48</v>
      </c>
      <c r="G3574" s="190">
        <v>45751</v>
      </c>
      <c r="H3574" s="196">
        <v>1</v>
      </c>
      <c r="I3574" s="197">
        <v>4219.2</v>
      </c>
      <c r="J3574" s="197">
        <v>4219.2</v>
      </c>
      <c r="K3574" s="197">
        <v>0</v>
      </c>
      <c r="L3574" s="197">
        <v>215.19999999999982</v>
      </c>
      <c r="M3574" s="260" t="s">
        <v>239</v>
      </c>
      <c r="N3574" s="260" t="s">
        <v>514</v>
      </c>
    </row>
    <row r="3575" spans="1:14" ht="14.5" x14ac:dyDescent="0.35">
      <c r="A3575" s="260" t="s">
        <v>747</v>
      </c>
      <c r="B3575" s="190">
        <v>45752</v>
      </c>
      <c r="C3575" s="260" t="s">
        <v>752</v>
      </c>
      <c r="D3575" s="197">
        <v>0</v>
      </c>
      <c r="E3575" s="197">
        <v>0</v>
      </c>
      <c r="F3575" s="197">
        <v>196.86</v>
      </c>
      <c r="G3575" s="190">
        <v>45751</v>
      </c>
      <c r="H3575" s="196">
        <v>1</v>
      </c>
      <c r="I3575" s="197">
        <v>0</v>
      </c>
      <c r="J3575" s="197">
        <v>0</v>
      </c>
      <c r="K3575" s="197">
        <v>0</v>
      </c>
      <c r="L3575" s="197">
        <v>0</v>
      </c>
      <c r="M3575" s="260" t="s">
        <v>239</v>
      </c>
      <c r="N3575" s="260" t="s">
        <v>514</v>
      </c>
    </row>
    <row r="3576" spans="1:14" ht="14.5" x14ac:dyDescent="0.35">
      <c r="A3576" s="260" t="s">
        <v>747</v>
      </c>
      <c r="B3576" s="190">
        <v>45752</v>
      </c>
      <c r="C3576" s="260" t="s">
        <v>754</v>
      </c>
      <c r="D3576" s="197">
        <v>100</v>
      </c>
      <c r="E3576" s="197">
        <v>8008</v>
      </c>
      <c r="F3576" s="197">
        <v>75.41</v>
      </c>
      <c r="G3576" s="190">
        <v>45751</v>
      </c>
      <c r="H3576" s="196">
        <v>1</v>
      </c>
      <c r="I3576" s="197">
        <v>7541</v>
      </c>
      <c r="J3576" s="197">
        <v>7541</v>
      </c>
      <c r="K3576" s="197">
        <v>0</v>
      </c>
      <c r="L3576" s="197">
        <v>-467</v>
      </c>
      <c r="M3576" s="260" t="s">
        <v>239</v>
      </c>
      <c r="N3576" s="260" t="s">
        <v>514</v>
      </c>
    </row>
    <row r="3577" spans="1:14" ht="14.5" x14ac:dyDescent="0.35">
      <c r="A3577" s="260" t="s">
        <v>747</v>
      </c>
      <c r="B3577" s="190">
        <v>45753</v>
      </c>
      <c r="C3577" s="260" t="s">
        <v>749</v>
      </c>
      <c r="D3577" s="197">
        <v>40</v>
      </c>
      <c r="E3577" s="197">
        <v>4004</v>
      </c>
      <c r="F3577" s="197">
        <v>105.48</v>
      </c>
      <c r="G3577" s="190">
        <v>45751</v>
      </c>
      <c r="H3577" s="196">
        <v>2</v>
      </c>
      <c r="I3577" s="197">
        <v>4219.2</v>
      </c>
      <c r="J3577" s="197">
        <v>4219.2</v>
      </c>
      <c r="K3577" s="197">
        <v>0</v>
      </c>
      <c r="L3577" s="197">
        <v>215.19999999999982</v>
      </c>
      <c r="M3577" s="260" t="s">
        <v>239</v>
      </c>
      <c r="N3577" s="260" t="s">
        <v>514</v>
      </c>
    </row>
    <row r="3578" spans="1:14" ht="14.5" x14ac:dyDescent="0.35">
      <c r="A3578" s="260" t="s">
        <v>747</v>
      </c>
      <c r="B3578" s="190">
        <v>45753</v>
      </c>
      <c r="C3578" s="260" t="s">
        <v>752</v>
      </c>
      <c r="D3578" s="197">
        <v>0</v>
      </c>
      <c r="E3578" s="197">
        <v>0</v>
      </c>
      <c r="F3578" s="197">
        <v>196.86</v>
      </c>
      <c r="G3578" s="190">
        <v>45751</v>
      </c>
      <c r="H3578" s="196">
        <v>2</v>
      </c>
      <c r="I3578" s="197">
        <v>0</v>
      </c>
      <c r="J3578" s="197">
        <v>0</v>
      </c>
      <c r="K3578" s="197">
        <v>0</v>
      </c>
      <c r="L3578" s="197">
        <v>0</v>
      </c>
      <c r="M3578" s="260" t="s">
        <v>239</v>
      </c>
      <c r="N3578" s="260" t="s">
        <v>514</v>
      </c>
    </row>
    <row r="3579" spans="1:14" ht="14.5" x14ac:dyDescent="0.35">
      <c r="A3579" s="260" t="s">
        <v>747</v>
      </c>
      <c r="B3579" s="190">
        <v>45753</v>
      </c>
      <c r="C3579" s="260" t="s">
        <v>754</v>
      </c>
      <c r="D3579" s="197">
        <v>100</v>
      </c>
      <c r="E3579" s="197">
        <v>8008</v>
      </c>
      <c r="F3579" s="197">
        <v>75.41</v>
      </c>
      <c r="G3579" s="190">
        <v>45751</v>
      </c>
      <c r="H3579" s="196">
        <v>2</v>
      </c>
      <c r="I3579" s="197">
        <v>7541</v>
      </c>
      <c r="J3579" s="197">
        <v>7541</v>
      </c>
      <c r="K3579" s="197">
        <v>0</v>
      </c>
      <c r="L3579" s="197">
        <v>-467</v>
      </c>
      <c r="M3579" s="260" t="s">
        <v>239</v>
      </c>
      <c r="N3579" s="260" t="s">
        <v>514</v>
      </c>
    </row>
    <row r="3580" spans="1:14" ht="14.5" x14ac:dyDescent="0.35">
      <c r="A3580" s="260" t="s">
        <v>747</v>
      </c>
      <c r="B3580" s="190">
        <v>45754</v>
      </c>
      <c r="C3580" s="260" t="s">
        <v>749</v>
      </c>
      <c r="D3580" s="197">
        <v>40</v>
      </c>
      <c r="E3580" s="197">
        <v>4004</v>
      </c>
      <c r="F3580" s="197">
        <v>104.97</v>
      </c>
      <c r="G3580" s="190">
        <v>45754</v>
      </c>
      <c r="H3580" s="196">
        <v>0</v>
      </c>
      <c r="I3580" s="197">
        <v>4198.8</v>
      </c>
      <c r="J3580" s="197">
        <v>4198.8</v>
      </c>
      <c r="K3580" s="197">
        <v>0</v>
      </c>
      <c r="L3580" s="197">
        <v>194.80000000000018</v>
      </c>
      <c r="M3580" s="260" t="s">
        <v>239</v>
      </c>
      <c r="N3580" s="260" t="s">
        <v>514</v>
      </c>
    </row>
    <row r="3581" spans="1:14" ht="14.5" x14ac:dyDescent="0.35">
      <c r="A3581" s="260" t="s">
        <v>747</v>
      </c>
      <c r="B3581" s="190">
        <v>45754</v>
      </c>
      <c r="C3581" s="260" t="s">
        <v>752</v>
      </c>
      <c r="D3581" s="197">
        <v>0</v>
      </c>
      <c r="E3581" s="197">
        <v>0</v>
      </c>
      <c r="F3581" s="197">
        <v>195.72</v>
      </c>
      <c r="G3581" s="190">
        <v>45754</v>
      </c>
      <c r="H3581" s="196">
        <v>0</v>
      </c>
      <c r="I3581" s="197">
        <v>0</v>
      </c>
      <c r="J3581" s="197">
        <v>0</v>
      </c>
      <c r="K3581" s="197">
        <v>0</v>
      </c>
      <c r="L3581" s="197">
        <v>0</v>
      </c>
      <c r="M3581" s="260" t="s">
        <v>239</v>
      </c>
      <c r="N3581" s="260" t="s">
        <v>514</v>
      </c>
    </row>
    <row r="3582" spans="1:14" ht="14.5" x14ac:dyDescent="0.35">
      <c r="A3582" s="260" t="s">
        <v>747</v>
      </c>
      <c r="B3582" s="190">
        <v>45754</v>
      </c>
      <c r="C3582" s="260" t="s">
        <v>754</v>
      </c>
      <c r="D3582" s="197">
        <v>100</v>
      </c>
      <c r="E3582" s="197">
        <v>8008</v>
      </c>
      <c r="F3582" s="197">
        <v>75.83</v>
      </c>
      <c r="G3582" s="190">
        <v>45754</v>
      </c>
      <c r="H3582" s="196">
        <v>0</v>
      </c>
      <c r="I3582" s="197">
        <v>7583</v>
      </c>
      <c r="J3582" s="197">
        <v>7583</v>
      </c>
      <c r="K3582" s="197">
        <v>0</v>
      </c>
      <c r="L3582" s="197">
        <v>-425</v>
      </c>
      <c r="M3582" s="260" t="s">
        <v>239</v>
      </c>
      <c r="N3582" s="260" t="s">
        <v>514</v>
      </c>
    </row>
    <row r="3583" spans="1:14" ht="14.5" x14ac:dyDescent="0.35">
      <c r="A3583" s="260" t="s">
        <v>747</v>
      </c>
      <c r="B3583" s="190">
        <v>45755</v>
      </c>
      <c r="C3583" s="260" t="s">
        <v>749</v>
      </c>
      <c r="D3583" s="197">
        <v>40</v>
      </c>
      <c r="E3583" s="197">
        <v>4004</v>
      </c>
      <c r="F3583" s="197">
        <v>104.79</v>
      </c>
      <c r="G3583" s="190">
        <v>45755</v>
      </c>
      <c r="H3583" s="196">
        <v>0</v>
      </c>
      <c r="I3583" s="197">
        <v>4191.6000000000004</v>
      </c>
      <c r="J3583" s="197">
        <v>4191.6000000000004</v>
      </c>
      <c r="K3583" s="197">
        <v>0</v>
      </c>
      <c r="L3583" s="197">
        <v>187.60000000000036</v>
      </c>
      <c r="M3583" s="260" t="s">
        <v>239</v>
      </c>
      <c r="N3583" s="260" t="s">
        <v>514</v>
      </c>
    </row>
    <row r="3584" spans="1:14" ht="14.5" x14ac:dyDescent="0.35">
      <c r="A3584" s="260" t="s">
        <v>747</v>
      </c>
      <c r="B3584" s="190">
        <v>45755</v>
      </c>
      <c r="C3584" s="260" t="s">
        <v>752</v>
      </c>
      <c r="D3584" s="197">
        <v>0</v>
      </c>
      <c r="E3584" s="197">
        <v>0</v>
      </c>
      <c r="F3584" s="197">
        <v>195.34</v>
      </c>
      <c r="G3584" s="190">
        <v>45755</v>
      </c>
      <c r="H3584" s="196">
        <v>0</v>
      </c>
      <c r="I3584" s="197">
        <v>0</v>
      </c>
      <c r="J3584" s="197">
        <v>0</v>
      </c>
      <c r="K3584" s="197">
        <v>0</v>
      </c>
      <c r="L3584" s="197">
        <v>0</v>
      </c>
      <c r="M3584" s="260" t="s">
        <v>239</v>
      </c>
      <c r="N3584" s="260" t="s">
        <v>514</v>
      </c>
    </row>
    <row r="3585" spans="1:14" ht="14.5" x14ac:dyDescent="0.35">
      <c r="A3585" s="260" t="s">
        <v>747</v>
      </c>
      <c r="B3585" s="190">
        <v>45755</v>
      </c>
      <c r="C3585" s="260" t="s">
        <v>754</v>
      </c>
      <c r="D3585" s="197">
        <v>100</v>
      </c>
      <c r="E3585" s="197">
        <v>8008</v>
      </c>
      <c r="F3585" s="197">
        <v>75.97</v>
      </c>
      <c r="G3585" s="190">
        <v>45755</v>
      </c>
      <c r="H3585" s="196">
        <v>0</v>
      </c>
      <c r="I3585" s="197">
        <v>7597</v>
      </c>
      <c r="J3585" s="197">
        <v>7597</v>
      </c>
      <c r="K3585" s="197">
        <v>0</v>
      </c>
      <c r="L3585" s="197">
        <v>-411</v>
      </c>
      <c r="M3585" s="260" t="s">
        <v>239</v>
      </c>
      <c r="N3585" s="260" t="s">
        <v>514</v>
      </c>
    </row>
    <row r="3586" spans="1:14" ht="14.5" x14ac:dyDescent="0.35">
      <c r="A3586" s="260" t="s">
        <v>747</v>
      </c>
      <c r="B3586" s="190">
        <v>45756</v>
      </c>
      <c r="C3586" s="260" t="s">
        <v>749</v>
      </c>
      <c r="D3586" s="197">
        <v>40</v>
      </c>
      <c r="E3586" s="197">
        <v>4004</v>
      </c>
      <c r="F3586" s="197">
        <v>104.62</v>
      </c>
      <c r="G3586" s="190">
        <v>45756</v>
      </c>
      <c r="H3586" s="196">
        <v>0</v>
      </c>
      <c r="I3586" s="197">
        <v>4184.8</v>
      </c>
      <c r="J3586" s="197">
        <v>4184.8</v>
      </c>
      <c r="K3586" s="197">
        <v>0</v>
      </c>
      <c r="L3586" s="197">
        <v>180.80000000000018</v>
      </c>
      <c r="M3586" s="260" t="s">
        <v>239</v>
      </c>
      <c r="N3586" s="260" t="s">
        <v>514</v>
      </c>
    </row>
    <row r="3587" spans="1:14" ht="14.5" x14ac:dyDescent="0.35">
      <c r="A3587" s="260" t="s">
        <v>747</v>
      </c>
      <c r="B3587" s="190">
        <v>45756</v>
      </c>
      <c r="C3587" s="260" t="s">
        <v>752</v>
      </c>
      <c r="D3587" s="197">
        <v>0</v>
      </c>
      <c r="E3587" s="197">
        <v>0</v>
      </c>
      <c r="F3587" s="197">
        <v>194.97</v>
      </c>
      <c r="G3587" s="190">
        <v>45756</v>
      </c>
      <c r="H3587" s="196">
        <v>0</v>
      </c>
      <c r="I3587" s="197">
        <v>0</v>
      </c>
      <c r="J3587" s="197">
        <v>0</v>
      </c>
      <c r="K3587" s="197">
        <v>0</v>
      </c>
      <c r="L3587" s="197">
        <v>0</v>
      </c>
      <c r="M3587" s="260" t="s">
        <v>239</v>
      </c>
      <c r="N3587" s="260" t="s">
        <v>514</v>
      </c>
    </row>
    <row r="3588" spans="1:14" ht="14.5" x14ac:dyDescent="0.35">
      <c r="A3588" s="260" t="s">
        <v>747</v>
      </c>
      <c r="B3588" s="190">
        <v>45756</v>
      </c>
      <c r="C3588" s="260" t="s">
        <v>754</v>
      </c>
      <c r="D3588" s="197">
        <v>100</v>
      </c>
      <c r="E3588" s="197">
        <v>8008</v>
      </c>
      <c r="F3588" s="197">
        <v>76.099999999999994</v>
      </c>
      <c r="G3588" s="190">
        <v>45756</v>
      </c>
      <c r="H3588" s="196">
        <v>0</v>
      </c>
      <c r="I3588" s="197">
        <v>7609.9999999999991</v>
      </c>
      <c r="J3588" s="197">
        <v>7609.9999999999991</v>
      </c>
      <c r="K3588" s="197">
        <v>0</v>
      </c>
      <c r="L3588" s="197">
        <v>-398.00000000000091</v>
      </c>
      <c r="M3588" s="260" t="s">
        <v>239</v>
      </c>
      <c r="N3588" s="260" t="s">
        <v>514</v>
      </c>
    </row>
    <row r="3589" spans="1:14" ht="14.5" x14ac:dyDescent="0.35">
      <c r="A3589" s="260" t="s">
        <v>747</v>
      </c>
      <c r="B3589" s="190">
        <v>45757</v>
      </c>
      <c r="C3589" s="260" t="s">
        <v>749</v>
      </c>
      <c r="D3589" s="197">
        <v>40</v>
      </c>
      <c r="E3589" s="197">
        <v>4004</v>
      </c>
      <c r="F3589" s="197">
        <v>104.45</v>
      </c>
      <c r="G3589" s="190">
        <v>45757</v>
      </c>
      <c r="H3589" s="196">
        <v>0</v>
      </c>
      <c r="I3589" s="197">
        <v>4178</v>
      </c>
      <c r="J3589" s="197">
        <v>4178</v>
      </c>
      <c r="K3589" s="197">
        <v>0</v>
      </c>
      <c r="L3589" s="197">
        <v>174</v>
      </c>
      <c r="M3589" s="260" t="s">
        <v>239</v>
      </c>
      <c r="N3589" s="260" t="s">
        <v>514</v>
      </c>
    </row>
    <row r="3590" spans="1:14" ht="14.5" x14ac:dyDescent="0.35">
      <c r="A3590" s="260" t="s">
        <v>747</v>
      </c>
      <c r="B3590" s="190">
        <v>45757</v>
      </c>
      <c r="C3590" s="260" t="s">
        <v>752</v>
      </c>
      <c r="D3590" s="197">
        <v>0</v>
      </c>
      <c r="E3590" s="197">
        <v>0</v>
      </c>
      <c r="F3590" s="197">
        <v>194.59</v>
      </c>
      <c r="G3590" s="190">
        <v>45757</v>
      </c>
      <c r="H3590" s="196">
        <v>0</v>
      </c>
      <c r="I3590" s="197">
        <v>0</v>
      </c>
      <c r="J3590" s="197">
        <v>0</v>
      </c>
      <c r="K3590" s="197">
        <v>0</v>
      </c>
      <c r="L3590" s="197">
        <v>0</v>
      </c>
      <c r="M3590" s="260" t="s">
        <v>239</v>
      </c>
      <c r="N3590" s="260" t="s">
        <v>514</v>
      </c>
    </row>
    <row r="3591" spans="1:14" ht="14.5" x14ac:dyDescent="0.35">
      <c r="A3591" s="260" t="s">
        <v>747</v>
      </c>
      <c r="B3591" s="190">
        <v>45757</v>
      </c>
      <c r="C3591" s="260" t="s">
        <v>754</v>
      </c>
      <c r="D3591" s="197">
        <v>100</v>
      </c>
      <c r="E3591" s="197">
        <v>8008</v>
      </c>
      <c r="F3591" s="197">
        <v>76.239999999999995</v>
      </c>
      <c r="G3591" s="190">
        <v>45757</v>
      </c>
      <c r="H3591" s="196">
        <v>0</v>
      </c>
      <c r="I3591" s="197">
        <v>7623.9999999999991</v>
      </c>
      <c r="J3591" s="197">
        <v>7623.9999999999991</v>
      </c>
      <c r="K3591" s="197">
        <v>0</v>
      </c>
      <c r="L3591" s="197">
        <v>-384.00000000000091</v>
      </c>
      <c r="M3591" s="260" t="s">
        <v>239</v>
      </c>
      <c r="N3591" s="260" t="s">
        <v>514</v>
      </c>
    </row>
    <row r="3592" spans="1:14" ht="14.5" x14ac:dyDescent="0.35">
      <c r="A3592" s="260" t="s">
        <v>747</v>
      </c>
      <c r="B3592" s="190">
        <v>45758</v>
      </c>
      <c r="C3592" s="260" t="s">
        <v>749</v>
      </c>
      <c r="D3592" s="197">
        <v>40</v>
      </c>
      <c r="E3592" s="197">
        <v>4004</v>
      </c>
      <c r="F3592" s="197">
        <v>104.28</v>
      </c>
      <c r="G3592" s="190">
        <v>45758</v>
      </c>
      <c r="H3592" s="196">
        <v>0</v>
      </c>
      <c r="I3592" s="197">
        <v>4171.2</v>
      </c>
      <c r="J3592" s="197">
        <v>4171.2</v>
      </c>
      <c r="K3592" s="197">
        <v>0</v>
      </c>
      <c r="L3592" s="197">
        <v>167.19999999999982</v>
      </c>
      <c r="M3592" s="260" t="s">
        <v>239</v>
      </c>
      <c r="N3592" s="260" t="s">
        <v>514</v>
      </c>
    </row>
    <row r="3593" spans="1:14" ht="14.5" x14ac:dyDescent="0.35">
      <c r="A3593" s="260" t="s">
        <v>747</v>
      </c>
      <c r="B3593" s="190">
        <v>45758</v>
      </c>
      <c r="C3593" s="260" t="s">
        <v>752</v>
      </c>
      <c r="D3593" s="197">
        <v>0</v>
      </c>
      <c r="E3593" s="197">
        <v>0</v>
      </c>
      <c r="F3593" s="197">
        <v>194.21</v>
      </c>
      <c r="G3593" s="190">
        <v>45758</v>
      </c>
      <c r="H3593" s="196">
        <v>0</v>
      </c>
      <c r="I3593" s="197">
        <v>0</v>
      </c>
      <c r="J3593" s="197">
        <v>0</v>
      </c>
      <c r="K3593" s="197">
        <v>0</v>
      </c>
      <c r="L3593" s="197">
        <v>0</v>
      </c>
      <c r="M3593" s="260" t="s">
        <v>239</v>
      </c>
      <c r="N3593" s="260" t="s">
        <v>514</v>
      </c>
    </row>
    <row r="3594" spans="1:14" ht="14.5" x14ac:dyDescent="0.35">
      <c r="A3594" s="260" t="s">
        <v>747</v>
      </c>
      <c r="B3594" s="190">
        <v>45758</v>
      </c>
      <c r="C3594" s="260" t="s">
        <v>754</v>
      </c>
      <c r="D3594" s="197">
        <v>100</v>
      </c>
      <c r="E3594" s="197">
        <v>8008</v>
      </c>
      <c r="F3594" s="197">
        <v>76.38</v>
      </c>
      <c r="G3594" s="190">
        <v>45758</v>
      </c>
      <c r="H3594" s="196">
        <v>0</v>
      </c>
      <c r="I3594" s="197">
        <v>7638</v>
      </c>
      <c r="J3594" s="197">
        <v>7638</v>
      </c>
      <c r="K3594" s="197">
        <v>0</v>
      </c>
      <c r="L3594" s="197">
        <v>-370</v>
      </c>
      <c r="M3594" s="260" t="s">
        <v>239</v>
      </c>
      <c r="N3594" s="260" t="s">
        <v>514</v>
      </c>
    </row>
    <row r="3595" spans="1:14" ht="14.5" x14ac:dyDescent="0.35">
      <c r="A3595" s="260" t="s">
        <v>747</v>
      </c>
      <c r="B3595" s="190">
        <v>45759</v>
      </c>
      <c r="C3595" s="260" t="s">
        <v>749</v>
      </c>
      <c r="D3595" s="197">
        <v>40</v>
      </c>
      <c r="E3595" s="197">
        <v>4004</v>
      </c>
      <c r="F3595" s="197">
        <v>104.28</v>
      </c>
      <c r="G3595" s="190">
        <v>45758</v>
      </c>
      <c r="H3595" s="196">
        <v>1</v>
      </c>
      <c r="I3595" s="197">
        <v>4171.2</v>
      </c>
      <c r="J3595" s="197">
        <v>4171.2</v>
      </c>
      <c r="K3595" s="197">
        <v>0</v>
      </c>
      <c r="L3595" s="197">
        <v>167.19999999999982</v>
      </c>
      <c r="M3595" s="260" t="s">
        <v>239</v>
      </c>
      <c r="N3595" s="260" t="s">
        <v>514</v>
      </c>
    </row>
    <row r="3596" spans="1:14" ht="14.5" x14ac:dyDescent="0.35">
      <c r="A3596" s="260" t="s">
        <v>747</v>
      </c>
      <c r="B3596" s="190">
        <v>45759</v>
      </c>
      <c r="C3596" s="260" t="s">
        <v>752</v>
      </c>
      <c r="D3596" s="197">
        <v>0</v>
      </c>
      <c r="E3596" s="197">
        <v>0</v>
      </c>
      <c r="F3596" s="197">
        <v>194.21</v>
      </c>
      <c r="G3596" s="190">
        <v>45758</v>
      </c>
      <c r="H3596" s="196">
        <v>1</v>
      </c>
      <c r="I3596" s="197">
        <v>0</v>
      </c>
      <c r="J3596" s="197">
        <v>0</v>
      </c>
      <c r="K3596" s="197">
        <v>0</v>
      </c>
      <c r="L3596" s="197">
        <v>0</v>
      </c>
      <c r="M3596" s="260" t="s">
        <v>239</v>
      </c>
      <c r="N3596" s="260" t="s">
        <v>514</v>
      </c>
    </row>
    <row r="3597" spans="1:14" ht="14.5" x14ac:dyDescent="0.35">
      <c r="A3597" s="260" t="s">
        <v>747</v>
      </c>
      <c r="B3597" s="190">
        <v>45759</v>
      </c>
      <c r="C3597" s="260" t="s">
        <v>754</v>
      </c>
      <c r="D3597" s="197">
        <v>100</v>
      </c>
      <c r="E3597" s="197">
        <v>8008</v>
      </c>
      <c r="F3597" s="197">
        <v>76.38</v>
      </c>
      <c r="G3597" s="190">
        <v>45758</v>
      </c>
      <c r="H3597" s="196">
        <v>1</v>
      </c>
      <c r="I3597" s="197">
        <v>7638</v>
      </c>
      <c r="J3597" s="197">
        <v>7638</v>
      </c>
      <c r="K3597" s="197">
        <v>0</v>
      </c>
      <c r="L3597" s="197">
        <v>-370</v>
      </c>
      <c r="M3597" s="260" t="s">
        <v>239</v>
      </c>
      <c r="N3597" s="260" t="s">
        <v>514</v>
      </c>
    </row>
    <row r="3598" spans="1:14" ht="14.5" x14ac:dyDescent="0.35">
      <c r="A3598" s="260" t="s">
        <v>747</v>
      </c>
      <c r="B3598" s="190">
        <v>45760</v>
      </c>
      <c r="C3598" s="260" t="s">
        <v>749</v>
      </c>
      <c r="D3598" s="197">
        <v>40</v>
      </c>
      <c r="E3598" s="197">
        <v>4004</v>
      </c>
      <c r="F3598" s="197">
        <v>104.28</v>
      </c>
      <c r="G3598" s="190">
        <v>45758</v>
      </c>
      <c r="H3598" s="196">
        <v>2</v>
      </c>
      <c r="I3598" s="197">
        <v>4171.2</v>
      </c>
      <c r="J3598" s="197">
        <v>4171.2</v>
      </c>
      <c r="K3598" s="197">
        <v>0</v>
      </c>
      <c r="L3598" s="197">
        <v>167.19999999999982</v>
      </c>
      <c r="M3598" s="260" t="s">
        <v>239</v>
      </c>
      <c r="N3598" s="260" t="s">
        <v>514</v>
      </c>
    </row>
    <row r="3599" spans="1:14" ht="14.5" x14ac:dyDescent="0.35">
      <c r="A3599" s="260" t="s">
        <v>747</v>
      </c>
      <c r="B3599" s="190">
        <v>45760</v>
      </c>
      <c r="C3599" s="260" t="s">
        <v>752</v>
      </c>
      <c r="D3599" s="197">
        <v>0</v>
      </c>
      <c r="E3599" s="197">
        <v>0</v>
      </c>
      <c r="F3599" s="197">
        <v>194.21</v>
      </c>
      <c r="G3599" s="190">
        <v>45758</v>
      </c>
      <c r="H3599" s="196">
        <v>2</v>
      </c>
      <c r="I3599" s="197">
        <v>0</v>
      </c>
      <c r="J3599" s="197">
        <v>0</v>
      </c>
      <c r="K3599" s="197">
        <v>0</v>
      </c>
      <c r="L3599" s="197">
        <v>0</v>
      </c>
      <c r="M3599" s="260" t="s">
        <v>239</v>
      </c>
      <c r="N3599" s="260" t="s">
        <v>514</v>
      </c>
    </row>
    <row r="3600" spans="1:14" ht="14.5" x14ac:dyDescent="0.35">
      <c r="A3600" s="260" t="s">
        <v>747</v>
      </c>
      <c r="B3600" s="190">
        <v>45760</v>
      </c>
      <c r="C3600" s="260" t="s">
        <v>754</v>
      </c>
      <c r="D3600" s="197">
        <v>100</v>
      </c>
      <c r="E3600" s="197">
        <v>8008</v>
      </c>
      <c r="F3600" s="197">
        <v>76.38</v>
      </c>
      <c r="G3600" s="190">
        <v>45758</v>
      </c>
      <c r="H3600" s="196">
        <v>2</v>
      </c>
      <c r="I3600" s="197">
        <v>7638</v>
      </c>
      <c r="J3600" s="197">
        <v>7638</v>
      </c>
      <c r="K3600" s="197">
        <v>0</v>
      </c>
      <c r="L3600" s="197">
        <v>-370</v>
      </c>
      <c r="M3600" s="260" t="s">
        <v>239</v>
      </c>
      <c r="N3600" s="260" t="s">
        <v>514</v>
      </c>
    </row>
    <row r="3601" spans="1:14" ht="14.5" x14ac:dyDescent="0.35">
      <c r="A3601" s="260" t="s">
        <v>747</v>
      </c>
      <c r="B3601" s="190">
        <v>45761</v>
      </c>
      <c r="C3601" s="260" t="s">
        <v>749</v>
      </c>
      <c r="D3601" s="197">
        <v>40</v>
      </c>
      <c r="E3601" s="197">
        <v>4004</v>
      </c>
      <c r="F3601" s="197">
        <v>103.76</v>
      </c>
      <c r="G3601" s="190">
        <v>45761</v>
      </c>
      <c r="H3601" s="196">
        <v>0</v>
      </c>
      <c r="I3601" s="197">
        <v>4150.4000000000005</v>
      </c>
      <c r="J3601" s="197">
        <v>4150.4000000000005</v>
      </c>
      <c r="K3601" s="197">
        <v>0</v>
      </c>
      <c r="L3601" s="197">
        <v>146.40000000000055</v>
      </c>
      <c r="M3601" s="260" t="s">
        <v>239</v>
      </c>
      <c r="N3601" s="260" t="s">
        <v>514</v>
      </c>
    </row>
    <row r="3602" spans="1:14" ht="14.5" x14ac:dyDescent="0.35">
      <c r="A3602" s="260" t="s">
        <v>747</v>
      </c>
      <c r="B3602" s="190">
        <v>45761</v>
      </c>
      <c r="C3602" s="260" t="s">
        <v>752</v>
      </c>
      <c r="D3602" s="197">
        <v>0</v>
      </c>
      <c r="E3602" s="197">
        <v>0</v>
      </c>
      <c r="F3602" s="197">
        <v>193.07</v>
      </c>
      <c r="G3602" s="190">
        <v>45761</v>
      </c>
      <c r="H3602" s="196">
        <v>0</v>
      </c>
      <c r="I3602" s="197">
        <v>0</v>
      </c>
      <c r="J3602" s="197">
        <v>0</v>
      </c>
      <c r="K3602" s="197">
        <v>0</v>
      </c>
      <c r="L3602" s="197">
        <v>0</v>
      </c>
      <c r="M3602" s="260" t="s">
        <v>239</v>
      </c>
      <c r="N3602" s="260" t="s">
        <v>514</v>
      </c>
    </row>
    <row r="3603" spans="1:14" ht="14.5" x14ac:dyDescent="0.35">
      <c r="A3603" s="260" t="s">
        <v>747</v>
      </c>
      <c r="B3603" s="190">
        <v>45761</v>
      </c>
      <c r="C3603" s="260" t="s">
        <v>754</v>
      </c>
      <c r="D3603" s="197">
        <v>100</v>
      </c>
      <c r="E3603" s="197">
        <v>8008</v>
      </c>
      <c r="F3603" s="197">
        <v>76.790000000000006</v>
      </c>
      <c r="G3603" s="190">
        <v>45761</v>
      </c>
      <c r="H3603" s="196">
        <v>0</v>
      </c>
      <c r="I3603" s="197">
        <v>7679.0000000000009</v>
      </c>
      <c r="J3603" s="197">
        <v>7679.0000000000009</v>
      </c>
      <c r="K3603" s="197">
        <v>0</v>
      </c>
      <c r="L3603" s="197">
        <v>-328.99999999999909</v>
      </c>
      <c r="M3603" s="260" t="s">
        <v>239</v>
      </c>
      <c r="N3603" s="260" t="s">
        <v>514</v>
      </c>
    </row>
    <row r="3604" spans="1:14" ht="14.5" x14ac:dyDescent="0.35">
      <c r="A3604" s="260" t="s">
        <v>747</v>
      </c>
      <c r="B3604" s="190">
        <v>45762</v>
      </c>
      <c r="C3604" s="260" t="s">
        <v>749</v>
      </c>
      <c r="D3604" s="197">
        <v>40</v>
      </c>
      <c r="E3604" s="197">
        <v>4004</v>
      </c>
      <c r="F3604" s="197">
        <v>103.59</v>
      </c>
      <c r="G3604" s="190">
        <v>45762</v>
      </c>
      <c r="H3604" s="196">
        <v>0</v>
      </c>
      <c r="I3604" s="197">
        <v>4143.6000000000004</v>
      </c>
      <c r="J3604" s="197">
        <v>4143.6000000000004</v>
      </c>
      <c r="K3604" s="197">
        <v>0</v>
      </c>
      <c r="L3604" s="197">
        <v>139.60000000000036</v>
      </c>
      <c r="M3604" s="260" t="s">
        <v>239</v>
      </c>
      <c r="N3604" s="260" t="s">
        <v>514</v>
      </c>
    </row>
    <row r="3605" spans="1:14" ht="14.5" x14ac:dyDescent="0.35">
      <c r="A3605" s="260" t="s">
        <v>747</v>
      </c>
      <c r="B3605" s="190">
        <v>45762</v>
      </c>
      <c r="C3605" s="260" t="s">
        <v>752</v>
      </c>
      <c r="D3605" s="197">
        <v>0</v>
      </c>
      <c r="E3605" s="197">
        <v>0</v>
      </c>
      <c r="F3605" s="197">
        <v>192.69</v>
      </c>
      <c r="G3605" s="190">
        <v>45762</v>
      </c>
      <c r="H3605" s="196">
        <v>0</v>
      </c>
      <c r="I3605" s="197">
        <v>0</v>
      </c>
      <c r="J3605" s="197">
        <v>0</v>
      </c>
      <c r="K3605" s="197">
        <v>0</v>
      </c>
      <c r="L3605" s="197">
        <v>0</v>
      </c>
      <c r="M3605" s="260" t="s">
        <v>239</v>
      </c>
      <c r="N3605" s="260" t="s">
        <v>514</v>
      </c>
    </row>
    <row r="3606" spans="1:14" ht="14.5" x14ac:dyDescent="0.35">
      <c r="A3606" s="260" t="s">
        <v>747</v>
      </c>
      <c r="B3606" s="190">
        <v>45762</v>
      </c>
      <c r="C3606" s="260" t="s">
        <v>754</v>
      </c>
      <c r="D3606" s="197">
        <v>100</v>
      </c>
      <c r="E3606" s="197">
        <v>8008</v>
      </c>
      <c r="F3606" s="197">
        <v>76.930000000000007</v>
      </c>
      <c r="G3606" s="190">
        <v>45762</v>
      </c>
      <c r="H3606" s="196">
        <v>0</v>
      </c>
      <c r="I3606" s="197">
        <v>7693.0000000000009</v>
      </c>
      <c r="J3606" s="197">
        <v>7693.0000000000009</v>
      </c>
      <c r="K3606" s="197">
        <v>0</v>
      </c>
      <c r="L3606" s="197">
        <v>-314.99999999999909</v>
      </c>
      <c r="M3606" s="260" t="s">
        <v>239</v>
      </c>
      <c r="N3606" s="260" t="s">
        <v>514</v>
      </c>
    </row>
    <row r="3607" spans="1:14" ht="14.5" x14ac:dyDescent="0.35">
      <c r="A3607" s="260" t="s">
        <v>747</v>
      </c>
      <c r="B3607" s="190">
        <v>45763</v>
      </c>
      <c r="C3607" s="260" t="s">
        <v>749</v>
      </c>
      <c r="D3607" s="197">
        <v>40</v>
      </c>
      <c r="E3607" s="197">
        <v>4004</v>
      </c>
      <c r="F3607" s="197">
        <v>103.41</v>
      </c>
      <c r="G3607" s="190">
        <v>45763</v>
      </c>
      <c r="H3607" s="196">
        <v>0</v>
      </c>
      <c r="I3607" s="197">
        <v>4136.3999999999996</v>
      </c>
      <c r="J3607" s="197">
        <v>4136.3999999999996</v>
      </c>
      <c r="K3607" s="197">
        <v>0</v>
      </c>
      <c r="L3607" s="197">
        <v>132.39999999999964</v>
      </c>
      <c r="M3607" s="260" t="s">
        <v>239</v>
      </c>
      <c r="N3607" s="260" t="s">
        <v>514</v>
      </c>
    </row>
    <row r="3608" spans="1:14" ht="14.5" x14ac:dyDescent="0.35">
      <c r="A3608" s="260" t="s">
        <v>747</v>
      </c>
      <c r="B3608" s="190">
        <v>45763</v>
      </c>
      <c r="C3608" s="260" t="s">
        <v>752</v>
      </c>
      <c r="D3608" s="197">
        <v>0</v>
      </c>
      <c r="E3608" s="197">
        <v>0</v>
      </c>
      <c r="F3608" s="197">
        <v>192.31</v>
      </c>
      <c r="G3608" s="190">
        <v>45763</v>
      </c>
      <c r="H3608" s="196">
        <v>0</v>
      </c>
      <c r="I3608" s="197">
        <v>0</v>
      </c>
      <c r="J3608" s="197">
        <v>0</v>
      </c>
      <c r="K3608" s="197">
        <v>0</v>
      </c>
      <c r="L3608" s="197">
        <v>0</v>
      </c>
      <c r="M3608" s="260" t="s">
        <v>239</v>
      </c>
      <c r="N3608" s="260" t="s">
        <v>514</v>
      </c>
    </row>
    <row r="3609" spans="1:14" ht="14.5" x14ac:dyDescent="0.35">
      <c r="A3609" s="260" t="s">
        <v>747</v>
      </c>
      <c r="B3609" s="190">
        <v>45763</v>
      </c>
      <c r="C3609" s="260" t="s">
        <v>754</v>
      </c>
      <c r="D3609" s="197">
        <v>100</v>
      </c>
      <c r="E3609" s="197">
        <v>8008</v>
      </c>
      <c r="F3609" s="197">
        <v>77.069999999999993</v>
      </c>
      <c r="G3609" s="190">
        <v>45763</v>
      </c>
      <c r="H3609" s="196">
        <v>0</v>
      </c>
      <c r="I3609" s="197">
        <v>7706.9999999999991</v>
      </c>
      <c r="J3609" s="197">
        <v>7706.9999999999991</v>
      </c>
      <c r="K3609" s="197">
        <v>0</v>
      </c>
      <c r="L3609" s="197">
        <v>-301.00000000000091</v>
      </c>
      <c r="M3609" s="260" t="s">
        <v>239</v>
      </c>
      <c r="N3609" s="260" t="s">
        <v>514</v>
      </c>
    </row>
    <row r="3610" spans="1:14" ht="14.5" x14ac:dyDescent="0.35">
      <c r="A3610" s="260" t="s">
        <v>747</v>
      </c>
      <c r="B3610" s="190">
        <v>45764</v>
      </c>
      <c r="C3610" s="260" t="s">
        <v>749</v>
      </c>
      <c r="D3610" s="197">
        <v>40</v>
      </c>
      <c r="E3610" s="197">
        <v>4004</v>
      </c>
      <c r="F3610" s="197">
        <v>103.24</v>
      </c>
      <c r="G3610" s="190">
        <v>45764</v>
      </c>
      <c r="H3610" s="196">
        <v>0</v>
      </c>
      <c r="I3610" s="197">
        <v>4129.5999999999995</v>
      </c>
      <c r="J3610" s="197">
        <v>4129.5999999999995</v>
      </c>
      <c r="K3610" s="197">
        <v>0</v>
      </c>
      <c r="L3610" s="197">
        <v>125.59999999999945</v>
      </c>
      <c r="M3610" s="260" t="s">
        <v>239</v>
      </c>
      <c r="N3610" s="260" t="s">
        <v>514</v>
      </c>
    </row>
    <row r="3611" spans="1:14" ht="14.5" x14ac:dyDescent="0.35">
      <c r="A3611" s="260" t="s">
        <v>747</v>
      </c>
      <c r="B3611" s="190">
        <v>45764</v>
      </c>
      <c r="C3611" s="260" t="s">
        <v>752</v>
      </c>
      <c r="D3611" s="197">
        <v>0</v>
      </c>
      <c r="E3611" s="197">
        <v>0</v>
      </c>
      <c r="F3611" s="197">
        <v>191.93</v>
      </c>
      <c r="G3611" s="190">
        <v>45764</v>
      </c>
      <c r="H3611" s="196">
        <v>0</v>
      </c>
      <c r="I3611" s="197">
        <v>0</v>
      </c>
      <c r="J3611" s="197">
        <v>0</v>
      </c>
      <c r="K3611" s="197">
        <v>0</v>
      </c>
      <c r="L3611" s="197">
        <v>0</v>
      </c>
      <c r="M3611" s="260" t="s">
        <v>239</v>
      </c>
      <c r="N3611" s="260" t="s">
        <v>514</v>
      </c>
    </row>
    <row r="3612" spans="1:14" ht="14.5" x14ac:dyDescent="0.35">
      <c r="A3612" s="260" t="s">
        <v>747</v>
      </c>
      <c r="B3612" s="190">
        <v>45764</v>
      </c>
      <c r="C3612" s="260" t="s">
        <v>754</v>
      </c>
      <c r="D3612" s="197">
        <v>100</v>
      </c>
      <c r="E3612" s="197">
        <v>8008</v>
      </c>
      <c r="F3612" s="197">
        <v>77.209999999999994</v>
      </c>
      <c r="G3612" s="190">
        <v>45764</v>
      </c>
      <c r="H3612" s="196">
        <v>0</v>
      </c>
      <c r="I3612" s="197">
        <v>7720.9999999999991</v>
      </c>
      <c r="J3612" s="197">
        <v>7720.9999999999991</v>
      </c>
      <c r="K3612" s="197">
        <v>0</v>
      </c>
      <c r="L3612" s="197">
        <v>-287.00000000000091</v>
      </c>
      <c r="M3612" s="260" t="s">
        <v>239</v>
      </c>
      <c r="N3612" s="260" t="s">
        <v>514</v>
      </c>
    </row>
    <row r="3613" spans="1:14" ht="14.5" x14ac:dyDescent="0.35">
      <c r="A3613" s="260" t="s">
        <v>747</v>
      </c>
      <c r="B3613" s="190">
        <v>45765</v>
      </c>
      <c r="C3613" s="260" t="s">
        <v>749</v>
      </c>
      <c r="D3613" s="197">
        <v>40</v>
      </c>
      <c r="E3613" s="197">
        <v>4004</v>
      </c>
      <c r="F3613" s="197">
        <v>103.07</v>
      </c>
      <c r="G3613" s="190">
        <v>45765</v>
      </c>
      <c r="H3613" s="196">
        <v>0</v>
      </c>
      <c r="I3613" s="197">
        <v>4122.7999999999993</v>
      </c>
      <c r="J3613" s="197">
        <v>4122.7999999999993</v>
      </c>
      <c r="K3613" s="197">
        <v>0</v>
      </c>
      <c r="L3613" s="197">
        <v>118.79999999999927</v>
      </c>
      <c r="M3613" s="260" t="s">
        <v>239</v>
      </c>
      <c r="N3613" s="260" t="s">
        <v>514</v>
      </c>
    </row>
    <row r="3614" spans="1:14" ht="14.5" x14ac:dyDescent="0.35">
      <c r="A3614" s="260" t="s">
        <v>747</v>
      </c>
      <c r="B3614" s="190">
        <v>45765</v>
      </c>
      <c r="C3614" s="260" t="s">
        <v>752</v>
      </c>
      <c r="D3614" s="197">
        <v>0</v>
      </c>
      <c r="E3614" s="197">
        <v>0</v>
      </c>
      <c r="F3614" s="197">
        <v>191.55</v>
      </c>
      <c r="G3614" s="190">
        <v>45765</v>
      </c>
      <c r="H3614" s="196">
        <v>0</v>
      </c>
      <c r="I3614" s="197">
        <v>0</v>
      </c>
      <c r="J3614" s="197">
        <v>0</v>
      </c>
      <c r="K3614" s="197">
        <v>0</v>
      </c>
      <c r="L3614" s="197">
        <v>0</v>
      </c>
      <c r="M3614" s="260" t="s">
        <v>239</v>
      </c>
      <c r="N3614" s="260" t="s">
        <v>514</v>
      </c>
    </row>
    <row r="3615" spans="1:14" ht="14.5" x14ac:dyDescent="0.35">
      <c r="A3615" s="260" t="s">
        <v>747</v>
      </c>
      <c r="B3615" s="190">
        <v>45765</v>
      </c>
      <c r="C3615" s="260" t="s">
        <v>754</v>
      </c>
      <c r="D3615" s="197">
        <v>100</v>
      </c>
      <c r="E3615" s="197">
        <v>8008</v>
      </c>
      <c r="F3615" s="197">
        <v>77.34</v>
      </c>
      <c r="G3615" s="190">
        <v>45765</v>
      </c>
      <c r="H3615" s="196">
        <v>0</v>
      </c>
      <c r="I3615" s="197">
        <v>7734</v>
      </c>
      <c r="J3615" s="197">
        <v>7734</v>
      </c>
      <c r="K3615" s="197">
        <v>0</v>
      </c>
      <c r="L3615" s="197">
        <v>-274</v>
      </c>
      <c r="M3615" s="260" t="s">
        <v>239</v>
      </c>
      <c r="N3615" s="260" t="s">
        <v>514</v>
      </c>
    </row>
    <row r="3616" spans="1:14" ht="14.5" x14ac:dyDescent="0.35">
      <c r="A3616" s="260" t="s">
        <v>747</v>
      </c>
      <c r="B3616" s="190">
        <v>45766</v>
      </c>
      <c r="C3616" s="260" t="s">
        <v>749</v>
      </c>
      <c r="D3616" s="197">
        <v>40</v>
      </c>
      <c r="E3616" s="197">
        <v>4004</v>
      </c>
      <c r="F3616" s="197">
        <v>103.07</v>
      </c>
      <c r="G3616" s="190">
        <v>45765</v>
      </c>
      <c r="H3616" s="196">
        <v>1</v>
      </c>
      <c r="I3616" s="197">
        <v>4122.7999999999993</v>
      </c>
      <c r="J3616" s="197">
        <v>4122.7999999999993</v>
      </c>
      <c r="K3616" s="197">
        <v>0</v>
      </c>
      <c r="L3616" s="197">
        <v>118.79999999999927</v>
      </c>
      <c r="M3616" s="260" t="s">
        <v>239</v>
      </c>
      <c r="N3616" s="260" t="s">
        <v>514</v>
      </c>
    </row>
    <row r="3617" spans="1:14" ht="14.5" x14ac:dyDescent="0.35">
      <c r="A3617" s="260" t="s">
        <v>747</v>
      </c>
      <c r="B3617" s="190">
        <v>45766</v>
      </c>
      <c r="C3617" s="260" t="s">
        <v>752</v>
      </c>
      <c r="D3617" s="197">
        <v>0</v>
      </c>
      <c r="E3617" s="197">
        <v>0</v>
      </c>
      <c r="F3617" s="197">
        <v>191.55</v>
      </c>
      <c r="G3617" s="190">
        <v>45765</v>
      </c>
      <c r="H3617" s="196">
        <v>1</v>
      </c>
      <c r="I3617" s="197">
        <v>0</v>
      </c>
      <c r="J3617" s="197">
        <v>0</v>
      </c>
      <c r="K3617" s="197">
        <v>0</v>
      </c>
      <c r="L3617" s="197">
        <v>0</v>
      </c>
      <c r="M3617" s="260" t="s">
        <v>239</v>
      </c>
      <c r="N3617" s="260" t="s">
        <v>514</v>
      </c>
    </row>
    <row r="3618" spans="1:14" ht="14.5" x14ac:dyDescent="0.35">
      <c r="A3618" s="260" t="s">
        <v>747</v>
      </c>
      <c r="B3618" s="190">
        <v>45766</v>
      </c>
      <c r="C3618" s="260" t="s">
        <v>754</v>
      </c>
      <c r="D3618" s="197">
        <v>100</v>
      </c>
      <c r="E3618" s="197">
        <v>8008</v>
      </c>
      <c r="F3618" s="197">
        <v>77.34</v>
      </c>
      <c r="G3618" s="190">
        <v>45765</v>
      </c>
      <c r="H3618" s="196">
        <v>1</v>
      </c>
      <c r="I3618" s="197">
        <v>7734</v>
      </c>
      <c r="J3618" s="197">
        <v>7734</v>
      </c>
      <c r="K3618" s="197">
        <v>0</v>
      </c>
      <c r="L3618" s="197">
        <v>-274</v>
      </c>
      <c r="M3618" s="260" t="s">
        <v>239</v>
      </c>
      <c r="N3618" s="260" t="s">
        <v>514</v>
      </c>
    </row>
    <row r="3619" spans="1:14" ht="14.5" x14ac:dyDescent="0.35">
      <c r="A3619" s="260" t="s">
        <v>747</v>
      </c>
      <c r="B3619" s="190">
        <v>45767</v>
      </c>
      <c r="C3619" s="260" t="s">
        <v>749</v>
      </c>
      <c r="D3619" s="197">
        <v>40</v>
      </c>
      <c r="E3619" s="197">
        <v>4004</v>
      </c>
      <c r="F3619" s="197">
        <v>103.07</v>
      </c>
      <c r="G3619" s="190">
        <v>45765</v>
      </c>
      <c r="H3619" s="196">
        <v>2</v>
      </c>
      <c r="I3619" s="197">
        <v>4122.7999999999993</v>
      </c>
      <c r="J3619" s="197">
        <v>4122.7999999999993</v>
      </c>
      <c r="K3619" s="197">
        <v>0</v>
      </c>
      <c r="L3619" s="197">
        <v>118.79999999999927</v>
      </c>
      <c r="M3619" s="260" t="s">
        <v>239</v>
      </c>
      <c r="N3619" s="260" t="s">
        <v>514</v>
      </c>
    </row>
    <row r="3620" spans="1:14" ht="14.5" x14ac:dyDescent="0.35">
      <c r="A3620" s="260" t="s">
        <v>747</v>
      </c>
      <c r="B3620" s="190">
        <v>45767</v>
      </c>
      <c r="C3620" s="260" t="s">
        <v>752</v>
      </c>
      <c r="D3620" s="197">
        <v>0</v>
      </c>
      <c r="E3620" s="197">
        <v>0</v>
      </c>
      <c r="F3620" s="197">
        <v>191.55</v>
      </c>
      <c r="G3620" s="190">
        <v>45765</v>
      </c>
      <c r="H3620" s="196">
        <v>2</v>
      </c>
      <c r="I3620" s="197">
        <v>0</v>
      </c>
      <c r="J3620" s="197">
        <v>0</v>
      </c>
      <c r="K3620" s="197">
        <v>0</v>
      </c>
      <c r="L3620" s="197">
        <v>0</v>
      </c>
      <c r="M3620" s="260" t="s">
        <v>239</v>
      </c>
      <c r="N3620" s="260" t="s">
        <v>514</v>
      </c>
    </row>
    <row r="3621" spans="1:14" ht="14.5" x14ac:dyDescent="0.35">
      <c r="A3621" s="260" t="s">
        <v>747</v>
      </c>
      <c r="B3621" s="190">
        <v>45767</v>
      </c>
      <c r="C3621" s="260" t="s">
        <v>754</v>
      </c>
      <c r="D3621" s="197">
        <v>100</v>
      </c>
      <c r="E3621" s="197">
        <v>8008</v>
      </c>
      <c r="F3621" s="197">
        <v>77.34</v>
      </c>
      <c r="G3621" s="190">
        <v>45765</v>
      </c>
      <c r="H3621" s="196">
        <v>2</v>
      </c>
      <c r="I3621" s="197">
        <v>7734</v>
      </c>
      <c r="J3621" s="197">
        <v>7734</v>
      </c>
      <c r="K3621" s="197">
        <v>0</v>
      </c>
      <c r="L3621" s="197">
        <v>-274</v>
      </c>
      <c r="M3621" s="260" t="s">
        <v>239</v>
      </c>
      <c r="N3621" s="260" t="s">
        <v>514</v>
      </c>
    </row>
    <row r="3622" spans="1:14" ht="14.5" x14ac:dyDescent="0.35">
      <c r="A3622" s="260" t="s">
        <v>747</v>
      </c>
      <c r="B3622" s="190">
        <v>45768</v>
      </c>
      <c r="C3622" s="260" t="s">
        <v>749</v>
      </c>
      <c r="D3622" s="197">
        <v>40</v>
      </c>
      <c r="E3622" s="197">
        <v>4004</v>
      </c>
      <c r="F3622" s="197">
        <v>102.55</v>
      </c>
      <c r="G3622" s="190">
        <v>45768</v>
      </c>
      <c r="H3622" s="196">
        <v>0</v>
      </c>
      <c r="I3622" s="197">
        <v>4102</v>
      </c>
      <c r="J3622" s="197">
        <v>4102</v>
      </c>
      <c r="K3622" s="197">
        <v>0</v>
      </c>
      <c r="L3622" s="197">
        <v>98</v>
      </c>
      <c r="M3622" s="260" t="s">
        <v>239</v>
      </c>
      <c r="N3622" s="260" t="s">
        <v>514</v>
      </c>
    </row>
    <row r="3623" spans="1:14" ht="14.5" x14ac:dyDescent="0.35">
      <c r="A3623" s="260" t="s">
        <v>747</v>
      </c>
      <c r="B3623" s="190">
        <v>45768</v>
      </c>
      <c r="C3623" s="260" t="s">
        <v>752</v>
      </c>
      <c r="D3623" s="197">
        <v>0</v>
      </c>
      <c r="E3623" s="197">
        <v>0</v>
      </c>
      <c r="F3623" s="197">
        <v>190.41</v>
      </c>
      <c r="G3623" s="190">
        <v>45768</v>
      </c>
      <c r="H3623" s="196">
        <v>0</v>
      </c>
      <c r="I3623" s="197">
        <v>0</v>
      </c>
      <c r="J3623" s="197">
        <v>0</v>
      </c>
      <c r="K3623" s="197">
        <v>0</v>
      </c>
      <c r="L3623" s="197">
        <v>0</v>
      </c>
      <c r="M3623" s="260" t="s">
        <v>239</v>
      </c>
      <c r="N3623" s="260" t="s">
        <v>514</v>
      </c>
    </row>
    <row r="3624" spans="1:14" ht="14.5" x14ac:dyDescent="0.35">
      <c r="A3624" s="260" t="s">
        <v>747</v>
      </c>
      <c r="B3624" s="190">
        <v>45768</v>
      </c>
      <c r="C3624" s="260" t="s">
        <v>754</v>
      </c>
      <c r="D3624" s="197">
        <v>100</v>
      </c>
      <c r="E3624" s="197">
        <v>8008</v>
      </c>
      <c r="F3624" s="197">
        <v>77.760000000000005</v>
      </c>
      <c r="G3624" s="190">
        <v>45768</v>
      </c>
      <c r="H3624" s="196">
        <v>0</v>
      </c>
      <c r="I3624" s="197">
        <v>7776.0000000000009</v>
      </c>
      <c r="J3624" s="197">
        <v>7776.0000000000009</v>
      </c>
      <c r="K3624" s="197">
        <v>0</v>
      </c>
      <c r="L3624" s="197">
        <v>-231.99999999999909</v>
      </c>
      <c r="M3624" s="260" t="s">
        <v>239</v>
      </c>
      <c r="N3624" s="260" t="s">
        <v>514</v>
      </c>
    </row>
    <row r="3625" spans="1:14" ht="14.5" x14ac:dyDescent="0.35">
      <c r="A3625" s="260" t="s">
        <v>747</v>
      </c>
      <c r="B3625" s="190">
        <v>45769</v>
      </c>
      <c r="C3625" s="260" t="s">
        <v>749</v>
      </c>
      <c r="D3625" s="197">
        <v>40</v>
      </c>
      <c r="E3625" s="197">
        <v>4004</v>
      </c>
      <c r="F3625" s="197">
        <v>102.38</v>
      </c>
      <c r="G3625" s="190">
        <v>45769</v>
      </c>
      <c r="H3625" s="196">
        <v>0</v>
      </c>
      <c r="I3625" s="197">
        <v>4095.2</v>
      </c>
      <c r="J3625" s="197">
        <v>4095.2</v>
      </c>
      <c r="K3625" s="197">
        <v>0</v>
      </c>
      <c r="L3625" s="197">
        <v>91.199999999999818</v>
      </c>
      <c r="M3625" s="260" t="s">
        <v>239</v>
      </c>
      <c r="N3625" s="260" t="s">
        <v>514</v>
      </c>
    </row>
    <row r="3626" spans="1:14" ht="14.5" x14ac:dyDescent="0.35">
      <c r="A3626" s="260" t="s">
        <v>747</v>
      </c>
      <c r="B3626" s="190">
        <v>45769</v>
      </c>
      <c r="C3626" s="260" t="s">
        <v>752</v>
      </c>
      <c r="D3626" s="197">
        <v>0</v>
      </c>
      <c r="E3626" s="197">
        <v>0</v>
      </c>
      <c r="F3626" s="197">
        <v>190.03</v>
      </c>
      <c r="G3626" s="190">
        <v>45769</v>
      </c>
      <c r="H3626" s="196">
        <v>0</v>
      </c>
      <c r="I3626" s="197">
        <v>0</v>
      </c>
      <c r="J3626" s="197">
        <v>0</v>
      </c>
      <c r="K3626" s="197">
        <v>0</v>
      </c>
      <c r="L3626" s="197">
        <v>0</v>
      </c>
      <c r="M3626" s="260" t="s">
        <v>239</v>
      </c>
      <c r="N3626" s="260" t="s">
        <v>514</v>
      </c>
    </row>
    <row r="3627" spans="1:14" ht="14.5" x14ac:dyDescent="0.35">
      <c r="A3627" s="260" t="s">
        <v>747</v>
      </c>
      <c r="B3627" s="190">
        <v>45769</v>
      </c>
      <c r="C3627" s="260" t="s">
        <v>754</v>
      </c>
      <c r="D3627" s="197">
        <v>100</v>
      </c>
      <c r="E3627" s="197">
        <v>8008</v>
      </c>
      <c r="F3627" s="197">
        <v>77.900000000000006</v>
      </c>
      <c r="G3627" s="190">
        <v>45769</v>
      </c>
      <c r="H3627" s="196">
        <v>0</v>
      </c>
      <c r="I3627" s="197">
        <v>7790.0000000000009</v>
      </c>
      <c r="J3627" s="197">
        <v>7790.0000000000009</v>
      </c>
      <c r="K3627" s="197">
        <v>0</v>
      </c>
      <c r="L3627" s="197">
        <v>-217.99999999999909</v>
      </c>
      <c r="M3627" s="260" t="s">
        <v>239</v>
      </c>
      <c r="N3627" s="260" t="s">
        <v>514</v>
      </c>
    </row>
    <row r="3628" spans="1:14" ht="14.5" x14ac:dyDescent="0.35">
      <c r="A3628" s="260" t="s">
        <v>747</v>
      </c>
      <c r="B3628" s="190">
        <v>45770</v>
      </c>
      <c r="C3628" s="260" t="s">
        <v>749</v>
      </c>
      <c r="D3628" s="197">
        <v>40</v>
      </c>
      <c r="E3628" s="197">
        <v>4004</v>
      </c>
      <c r="F3628" s="197">
        <v>102.21</v>
      </c>
      <c r="G3628" s="190">
        <v>45770</v>
      </c>
      <c r="H3628" s="196">
        <v>0</v>
      </c>
      <c r="I3628" s="197">
        <v>4088.3999999999996</v>
      </c>
      <c r="J3628" s="197">
        <v>4088.3999999999996</v>
      </c>
      <c r="K3628" s="197">
        <v>0</v>
      </c>
      <c r="L3628" s="197">
        <v>84.399999999999636</v>
      </c>
      <c r="M3628" s="260" t="s">
        <v>239</v>
      </c>
      <c r="N3628" s="260" t="s">
        <v>514</v>
      </c>
    </row>
    <row r="3629" spans="1:14" ht="14.5" x14ac:dyDescent="0.35">
      <c r="A3629" s="260" t="s">
        <v>747</v>
      </c>
      <c r="B3629" s="190">
        <v>45770</v>
      </c>
      <c r="C3629" s="260" t="s">
        <v>752</v>
      </c>
      <c r="D3629" s="197">
        <v>0</v>
      </c>
      <c r="E3629" s="197">
        <v>0</v>
      </c>
      <c r="F3629" s="197">
        <v>189.66</v>
      </c>
      <c r="G3629" s="190">
        <v>45770</v>
      </c>
      <c r="H3629" s="196">
        <v>0</v>
      </c>
      <c r="I3629" s="197">
        <v>0</v>
      </c>
      <c r="J3629" s="197">
        <v>0</v>
      </c>
      <c r="K3629" s="197">
        <v>0</v>
      </c>
      <c r="L3629" s="197">
        <v>0</v>
      </c>
      <c r="M3629" s="260" t="s">
        <v>239</v>
      </c>
      <c r="N3629" s="260" t="s">
        <v>514</v>
      </c>
    </row>
    <row r="3630" spans="1:14" ht="14.5" x14ac:dyDescent="0.35">
      <c r="A3630" s="260" t="s">
        <v>747</v>
      </c>
      <c r="B3630" s="190">
        <v>45770</v>
      </c>
      <c r="C3630" s="260" t="s">
        <v>754</v>
      </c>
      <c r="D3630" s="197">
        <v>100</v>
      </c>
      <c r="E3630" s="197">
        <v>8008</v>
      </c>
      <c r="F3630" s="197">
        <v>78.03</v>
      </c>
      <c r="G3630" s="190">
        <v>45770</v>
      </c>
      <c r="H3630" s="196">
        <v>0</v>
      </c>
      <c r="I3630" s="197">
        <v>7803</v>
      </c>
      <c r="J3630" s="197">
        <v>7803</v>
      </c>
      <c r="K3630" s="197">
        <v>0</v>
      </c>
      <c r="L3630" s="197">
        <v>-205</v>
      </c>
      <c r="M3630" s="260" t="s">
        <v>239</v>
      </c>
      <c r="N3630" s="260" t="s">
        <v>514</v>
      </c>
    </row>
    <row r="3631" spans="1:14" ht="14.5" x14ac:dyDescent="0.35">
      <c r="A3631" s="260" t="s">
        <v>747</v>
      </c>
      <c r="B3631" s="190">
        <v>45771</v>
      </c>
      <c r="C3631" s="260" t="s">
        <v>749</v>
      </c>
      <c r="D3631" s="197">
        <v>40</v>
      </c>
      <c r="E3631" s="197">
        <v>4004</v>
      </c>
      <c r="F3631" s="197">
        <v>102.03</v>
      </c>
      <c r="G3631" s="190">
        <v>45771</v>
      </c>
      <c r="H3631" s="196">
        <v>0</v>
      </c>
      <c r="I3631" s="197">
        <v>4081.2</v>
      </c>
      <c r="J3631" s="197">
        <v>4081.2</v>
      </c>
      <c r="K3631" s="197">
        <v>0</v>
      </c>
      <c r="L3631" s="197">
        <v>77.199999999999818</v>
      </c>
      <c r="M3631" s="260" t="s">
        <v>239</v>
      </c>
      <c r="N3631" s="260" t="s">
        <v>514</v>
      </c>
    </row>
    <row r="3632" spans="1:14" ht="14.5" x14ac:dyDescent="0.35">
      <c r="A3632" s="260" t="s">
        <v>747</v>
      </c>
      <c r="B3632" s="190">
        <v>45771</v>
      </c>
      <c r="C3632" s="260" t="s">
        <v>752</v>
      </c>
      <c r="D3632" s="197">
        <v>0</v>
      </c>
      <c r="E3632" s="197">
        <v>0</v>
      </c>
      <c r="F3632" s="197">
        <v>189.28</v>
      </c>
      <c r="G3632" s="190">
        <v>45771</v>
      </c>
      <c r="H3632" s="196">
        <v>0</v>
      </c>
      <c r="I3632" s="197">
        <v>0</v>
      </c>
      <c r="J3632" s="197">
        <v>0</v>
      </c>
      <c r="K3632" s="197">
        <v>0</v>
      </c>
      <c r="L3632" s="197">
        <v>0</v>
      </c>
      <c r="M3632" s="260" t="s">
        <v>239</v>
      </c>
      <c r="N3632" s="260" t="s">
        <v>514</v>
      </c>
    </row>
    <row r="3633" spans="1:14" ht="14.5" x14ac:dyDescent="0.35">
      <c r="A3633" s="260" t="s">
        <v>747</v>
      </c>
      <c r="B3633" s="190">
        <v>45771</v>
      </c>
      <c r="C3633" s="260" t="s">
        <v>754</v>
      </c>
      <c r="D3633" s="197">
        <v>100</v>
      </c>
      <c r="E3633" s="197">
        <v>8008</v>
      </c>
      <c r="F3633" s="197">
        <v>78.17</v>
      </c>
      <c r="G3633" s="190">
        <v>45771</v>
      </c>
      <c r="H3633" s="196">
        <v>0</v>
      </c>
      <c r="I3633" s="197">
        <v>7817</v>
      </c>
      <c r="J3633" s="197">
        <v>7817</v>
      </c>
      <c r="K3633" s="197">
        <v>0</v>
      </c>
      <c r="L3633" s="197">
        <v>-191</v>
      </c>
      <c r="M3633" s="260" t="s">
        <v>239</v>
      </c>
      <c r="N3633" s="260" t="s">
        <v>514</v>
      </c>
    </row>
    <row r="3634" spans="1:14" ht="14.5" x14ac:dyDescent="0.35">
      <c r="A3634" s="260" t="s">
        <v>747</v>
      </c>
      <c r="B3634" s="190">
        <v>45772</v>
      </c>
      <c r="C3634" s="260" t="s">
        <v>749</v>
      </c>
      <c r="D3634" s="197">
        <v>40</v>
      </c>
      <c r="E3634" s="197">
        <v>4004</v>
      </c>
      <c r="F3634" s="197">
        <v>101.86</v>
      </c>
      <c r="G3634" s="190">
        <v>45772</v>
      </c>
      <c r="H3634" s="196">
        <v>0</v>
      </c>
      <c r="I3634" s="197">
        <v>4074.4</v>
      </c>
      <c r="J3634" s="197">
        <v>4074.4</v>
      </c>
      <c r="K3634" s="197">
        <v>0</v>
      </c>
      <c r="L3634" s="197">
        <v>70.400000000000091</v>
      </c>
      <c r="M3634" s="260" t="s">
        <v>239</v>
      </c>
      <c r="N3634" s="260" t="s">
        <v>514</v>
      </c>
    </row>
    <row r="3635" spans="1:14" ht="14.5" x14ac:dyDescent="0.35">
      <c r="A3635" s="260" t="s">
        <v>747</v>
      </c>
      <c r="B3635" s="190">
        <v>45772</v>
      </c>
      <c r="C3635" s="260" t="s">
        <v>752</v>
      </c>
      <c r="D3635" s="197">
        <v>0</v>
      </c>
      <c r="E3635" s="197">
        <v>0</v>
      </c>
      <c r="F3635" s="197">
        <v>188.9</v>
      </c>
      <c r="G3635" s="190">
        <v>45772</v>
      </c>
      <c r="H3635" s="196">
        <v>0</v>
      </c>
      <c r="I3635" s="197">
        <v>0</v>
      </c>
      <c r="J3635" s="197">
        <v>0</v>
      </c>
      <c r="K3635" s="197">
        <v>0</v>
      </c>
      <c r="L3635" s="197">
        <v>0</v>
      </c>
      <c r="M3635" s="260" t="s">
        <v>239</v>
      </c>
      <c r="N3635" s="260" t="s">
        <v>514</v>
      </c>
    </row>
    <row r="3636" spans="1:14" ht="14.5" x14ac:dyDescent="0.35">
      <c r="A3636" s="260" t="s">
        <v>747</v>
      </c>
      <c r="B3636" s="190">
        <v>45772</v>
      </c>
      <c r="C3636" s="260" t="s">
        <v>754</v>
      </c>
      <c r="D3636" s="197">
        <v>100</v>
      </c>
      <c r="E3636" s="197">
        <v>8008</v>
      </c>
      <c r="F3636" s="197">
        <v>78.31</v>
      </c>
      <c r="G3636" s="190">
        <v>45772</v>
      </c>
      <c r="H3636" s="196">
        <v>0</v>
      </c>
      <c r="I3636" s="197">
        <v>7831</v>
      </c>
      <c r="J3636" s="197">
        <v>7831</v>
      </c>
      <c r="K3636" s="197">
        <v>0</v>
      </c>
      <c r="L3636" s="197">
        <v>-177</v>
      </c>
      <c r="M3636" s="260" t="s">
        <v>239</v>
      </c>
      <c r="N3636" s="260" t="s">
        <v>514</v>
      </c>
    </row>
    <row r="3637" spans="1:14" ht="14.5" x14ac:dyDescent="0.35">
      <c r="A3637" s="260" t="s">
        <v>747</v>
      </c>
      <c r="B3637" s="190">
        <v>45773</v>
      </c>
      <c r="C3637" s="260" t="s">
        <v>749</v>
      </c>
      <c r="D3637" s="197">
        <v>40</v>
      </c>
      <c r="E3637" s="197">
        <v>4004</v>
      </c>
      <c r="F3637" s="197">
        <v>101.86</v>
      </c>
      <c r="G3637" s="190">
        <v>45772</v>
      </c>
      <c r="H3637" s="196">
        <v>1</v>
      </c>
      <c r="I3637" s="197">
        <v>4074.4</v>
      </c>
      <c r="J3637" s="197">
        <v>4074.4</v>
      </c>
      <c r="K3637" s="197">
        <v>0</v>
      </c>
      <c r="L3637" s="197">
        <v>70.400000000000091</v>
      </c>
      <c r="M3637" s="260" t="s">
        <v>239</v>
      </c>
      <c r="N3637" s="260" t="s">
        <v>514</v>
      </c>
    </row>
    <row r="3638" spans="1:14" ht="14.5" x14ac:dyDescent="0.35">
      <c r="A3638" s="260" t="s">
        <v>747</v>
      </c>
      <c r="B3638" s="190">
        <v>45773</v>
      </c>
      <c r="C3638" s="260" t="s">
        <v>752</v>
      </c>
      <c r="D3638" s="197">
        <v>0</v>
      </c>
      <c r="E3638" s="197">
        <v>0</v>
      </c>
      <c r="F3638" s="197">
        <v>188.9</v>
      </c>
      <c r="G3638" s="190">
        <v>45772</v>
      </c>
      <c r="H3638" s="196">
        <v>1</v>
      </c>
      <c r="I3638" s="197">
        <v>0</v>
      </c>
      <c r="J3638" s="197">
        <v>0</v>
      </c>
      <c r="K3638" s="197">
        <v>0</v>
      </c>
      <c r="L3638" s="197">
        <v>0</v>
      </c>
      <c r="M3638" s="260" t="s">
        <v>239</v>
      </c>
      <c r="N3638" s="260" t="s">
        <v>514</v>
      </c>
    </row>
    <row r="3639" spans="1:14" ht="14.5" x14ac:dyDescent="0.35">
      <c r="A3639" s="260" t="s">
        <v>747</v>
      </c>
      <c r="B3639" s="190">
        <v>45773</v>
      </c>
      <c r="C3639" s="260" t="s">
        <v>754</v>
      </c>
      <c r="D3639" s="197">
        <v>100</v>
      </c>
      <c r="E3639" s="197">
        <v>8008</v>
      </c>
      <c r="F3639" s="197">
        <v>78.31</v>
      </c>
      <c r="G3639" s="190">
        <v>45772</v>
      </c>
      <c r="H3639" s="196">
        <v>1</v>
      </c>
      <c r="I3639" s="197">
        <v>7831</v>
      </c>
      <c r="J3639" s="197">
        <v>7831</v>
      </c>
      <c r="K3639" s="197">
        <v>0</v>
      </c>
      <c r="L3639" s="197">
        <v>-177</v>
      </c>
      <c r="M3639" s="260" t="s">
        <v>239</v>
      </c>
      <c r="N3639" s="260" t="s">
        <v>514</v>
      </c>
    </row>
    <row r="3640" spans="1:14" ht="14.5" x14ac:dyDescent="0.35">
      <c r="A3640" s="260" t="s">
        <v>747</v>
      </c>
      <c r="B3640" s="190">
        <v>45774</v>
      </c>
      <c r="C3640" s="260" t="s">
        <v>749</v>
      </c>
      <c r="D3640" s="197">
        <v>40</v>
      </c>
      <c r="E3640" s="197">
        <v>4004</v>
      </c>
      <c r="F3640" s="197">
        <v>101.86</v>
      </c>
      <c r="G3640" s="190">
        <v>45772</v>
      </c>
      <c r="H3640" s="196">
        <v>2</v>
      </c>
      <c r="I3640" s="197">
        <v>4074.4</v>
      </c>
      <c r="J3640" s="197">
        <v>4074.4</v>
      </c>
      <c r="K3640" s="197">
        <v>0</v>
      </c>
      <c r="L3640" s="197">
        <v>70.400000000000091</v>
      </c>
      <c r="M3640" s="260" t="s">
        <v>239</v>
      </c>
      <c r="N3640" s="260" t="s">
        <v>514</v>
      </c>
    </row>
    <row r="3641" spans="1:14" ht="14.5" x14ac:dyDescent="0.35">
      <c r="A3641" s="260" t="s">
        <v>747</v>
      </c>
      <c r="B3641" s="190">
        <v>45774</v>
      </c>
      <c r="C3641" s="260" t="s">
        <v>752</v>
      </c>
      <c r="D3641" s="197">
        <v>0</v>
      </c>
      <c r="E3641" s="197">
        <v>0</v>
      </c>
      <c r="F3641" s="197">
        <v>188.9</v>
      </c>
      <c r="G3641" s="190">
        <v>45772</v>
      </c>
      <c r="H3641" s="196">
        <v>2</v>
      </c>
      <c r="I3641" s="197">
        <v>0</v>
      </c>
      <c r="J3641" s="197">
        <v>0</v>
      </c>
      <c r="K3641" s="197">
        <v>0</v>
      </c>
      <c r="L3641" s="197">
        <v>0</v>
      </c>
      <c r="M3641" s="260" t="s">
        <v>239</v>
      </c>
      <c r="N3641" s="260" t="s">
        <v>514</v>
      </c>
    </row>
    <row r="3642" spans="1:14" ht="14.5" x14ac:dyDescent="0.35">
      <c r="A3642" s="260" t="s">
        <v>747</v>
      </c>
      <c r="B3642" s="190">
        <v>45774</v>
      </c>
      <c r="C3642" s="260" t="s">
        <v>754</v>
      </c>
      <c r="D3642" s="197">
        <v>100</v>
      </c>
      <c r="E3642" s="197">
        <v>8008</v>
      </c>
      <c r="F3642" s="197">
        <v>78.31</v>
      </c>
      <c r="G3642" s="190">
        <v>45772</v>
      </c>
      <c r="H3642" s="196">
        <v>2</v>
      </c>
      <c r="I3642" s="197">
        <v>7831</v>
      </c>
      <c r="J3642" s="197">
        <v>7831</v>
      </c>
      <c r="K3642" s="197">
        <v>0</v>
      </c>
      <c r="L3642" s="197">
        <v>-177</v>
      </c>
      <c r="M3642" s="260" t="s">
        <v>239</v>
      </c>
      <c r="N3642" s="260" t="s">
        <v>514</v>
      </c>
    </row>
    <row r="3643" spans="1:14" ht="14.5" x14ac:dyDescent="0.35">
      <c r="A3643" s="260" t="s">
        <v>747</v>
      </c>
      <c r="B3643" s="190">
        <v>45775</v>
      </c>
      <c r="C3643" s="260" t="s">
        <v>749</v>
      </c>
      <c r="D3643" s="197">
        <v>40</v>
      </c>
      <c r="E3643" s="197">
        <v>4004</v>
      </c>
      <c r="F3643" s="197">
        <v>101.34</v>
      </c>
      <c r="G3643" s="190">
        <v>45775</v>
      </c>
      <c r="H3643" s="196">
        <v>0</v>
      </c>
      <c r="I3643" s="197">
        <v>4053.6000000000004</v>
      </c>
      <c r="J3643" s="197">
        <v>4053.6000000000004</v>
      </c>
      <c r="K3643" s="197">
        <v>0</v>
      </c>
      <c r="L3643" s="197">
        <v>49.600000000000364</v>
      </c>
      <c r="M3643" s="260" t="s">
        <v>239</v>
      </c>
      <c r="N3643" s="260" t="s">
        <v>514</v>
      </c>
    </row>
    <row r="3644" spans="1:14" ht="14.5" x14ac:dyDescent="0.35">
      <c r="A3644" s="260" t="s">
        <v>747</v>
      </c>
      <c r="B3644" s="190">
        <v>45775</v>
      </c>
      <c r="C3644" s="260" t="s">
        <v>752</v>
      </c>
      <c r="D3644" s="197">
        <v>0</v>
      </c>
      <c r="E3644" s="197">
        <v>0</v>
      </c>
      <c r="F3644" s="197">
        <v>187.76</v>
      </c>
      <c r="G3644" s="190">
        <v>45775</v>
      </c>
      <c r="H3644" s="196">
        <v>0</v>
      </c>
      <c r="I3644" s="197">
        <v>0</v>
      </c>
      <c r="J3644" s="197">
        <v>0</v>
      </c>
      <c r="K3644" s="197">
        <v>0</v>
      </c>
      <c r="L3644" s="197">
        <v>0</v>
      </c>
      <c r="M3644" s="260" t="s">
        <v>239</v>
      </c>
      <c r="N3644" s="260" t="s">
        <v>514</v>
      </c>
    </row>
    <row r="3645" spans="1:14" ht="14.5" x14ac:dyDescent="0.35">
      <c r="A3645" s="260" t="s">
        <v>747</v>
      </c>
      <c r="B3645" s="190">
        <v>45775</v>
      </c>
      <c r="C3645" s="260" t="s">
        <v>754</v>
      </c>
      <c r="D3645" s="197">
        <v>100</v>
      </c>
      <c r="E3645" s="197">
        <v>8008</v>
      </c>
      <c r="F3645" s="197">
        <v>78.72</v>
      </c>
      <c r="G3645" s="190">
        <v>45775</v>
      </c>
      <c r="H3645" s="196">
        <v>0</v>
      </c>
      <c r="I3645" s="197">
        <v>7872</v>
      </c>
      <c r="J3645" s="197">
        <v>7872</v>
      </c>
      <c r="K3645" s="197">
        <v>0</v>
      </c>
      <c r="L3645" s="197">
        <v>-136</v>
      </c>
      <c r="M3645" s="260" t="s">
        <v>239</v>
      </c>
      <c r="N3645" s="260" t="s">
        <v>514</v>
      </c>
    </row>
    <row r="3646" spans="1:14" ht="14.5" x14ac:dyDescent="0.35">
      <c r="A3646" s="260" t="s">
        <v>747</v>
      </c>
      <c r="B3646" s="190">
        <v>45776</v>
      </c>
      <c r="C3646" s="260" t="s">
        <v>749</v>
      </c>
      <c r="D3646" s="197">
        <v>40</v>
      </c>
      <c r="E3646" s="197">
        <v>4004</v>
      </c>
      <c r="F3646" s="197">
        <v>101.17</v>
      </c>
      <c r="G3646" s="190">
        <v>45776</v>
      </c>
      <c r="H3646" s="196">
        <v>0</v>
      </c>
      <c r="I3646" s="197">
        <v>4046.8</v>
      </c>
      <c r="J3646" s="197">
        <v>4046.8</v>
      </c>
      <c r="K3646" s="197">
        <v>0</v>
      </c>
      <c r="L3646" s="197">
        <v>42.800000000000182</v>
      </c>
      <c r="M3646" s="260" t="s">
        <v>239</v>
      </c>
      <c r="N3646" s="260" t="s">
        <v>514</v>
      </c>
    </row>
    <row r="3647" spans="1:14" ht="14.5" x14ac:dyDescent="0.35">
      <c r="A3647" s="260" t="s">
        <v>747</v>
      </c>
      <c r="B3647" s="190">
        <v>45776</v>
      </c>
      <c r="C3647" s="260" t="s">
        <v>752</v>
      </c>
      <c r="D3647" s="197">
        <v>0</v>
      </c>
      <c r="E3647" s="197">
        <v>0</v>
      </c>
      <c r="F3647" s="197">
        <v>187.38</v>
      </c>
      <c r="G3647" s="190">
        <v>45776</v>
      </c>
      <c r="H3647" s="196">
        <v>0</v>
      </c>
      <c r="I3647" s="197">
        <v>0</v>
      </c>
      <c r="J3647" s="197">
        <v>0</v>
      </c>
      <c r="K3647" s="197">
        <v>0</v>
      </c>
      <c r="L3647" s="197">
        <v>0</v>
      </c>
      <c r="M3647" s="260" t="s">
        <v>239</v>
      </c>
      <c r="N3647" s="260" t="s">
        <v>514</v>
      </c>
    </row>
    <row r="3648" spans="1:14" ht="14.5" x14ac:dyDescent="0.35">
      <c r="A3648" s="260" t="s">
        <v>747</v>
      </c>
      <c r="B3648" s="190">
        <v>45776</v>
      </c>
      <c r="C3648" s="260" t="s">
        <v>754</v>
      </c>
      <c r="D3648" s="197">
        <v>100</v>
      </c>
      <c r="E3648" s="197">
        <v>8008</v>
      </c>
      <c r="F3648" s="197">
        <v>78.86</v>
      </c>
      <c r="G3648" s="190">
        <v>45776</v>
      </c>
      <c r="H3648" s="196">
        <v>0</v>
      </c>
      <c r="I3648" s="197">
        <v>7886</v>
      </c>
      <c r="J3648" s="197">
        <v>7886</v>
      </c>
      <c r="K3648" s="197">
        <v>0</v>
      </c>
      <c r="L3648" s="197">
        <v>-122</v>
      </c>
      <c r="M3648" s="260" t="s">
        <v>239</v>
      </c>
      <c r="N3648" s="260" t="s">
        <v>514</v>
      </c>
    </row>
    <row r="3649" spans="1:14" ht="14.5" x14ac:dyDescent="0.35">
      <c r="A3649" s="260" t="s">
        <v>747</v>
      </c>
      <c r="B3649" s="190">
        <v>45777</v>
      </c>
      <c r="C3649" s="260" t="s">
        <v>749</v>
      </c>
      <c r="D3649" s="197">
        <v>40</v>
      </c>
      <c r="E3649" s="197">
        <v>4004</v>
      </c>
      <c r="F3649" s="197">
        <v>101</v>
      </c>
      <c r="G3649" s="190">
        <v>45777</v>
      </c>
      <c r="H3649" s="196">
        <v>0</v>
      </c>
      <c r="I3649" s="197">
        <v>4040</v>
      </c>
      <c r="J3649" s="197">
        <v>4040</v>
      </c>
      <c r="K3649" s="197">
        <v>0</v>
      </c>
      <c r="L3649" s="197">
        <v>36</v>
      </c>
      <c r="M3649" s="260" t="s">
        <v>239</v>
      </c>
      <c r="N3649" s="260" t="s">
        <v>514</v>
      </c>
    </row>
    <row r="3650" spans="1:14" ht="14.5" x14ac:dyDescent="0.35">
      <c r="A3650" s="260" t="s">
        <v>747</v>
      </c>
      <c r="B3650" s="190">
        <v>45777</v>
      </c>
      <c r="C3650" s="260" t="s">
        <v>752</v>
      </c>
      <c r="D3650" s="197">
        <v>0</v>
      </c>
      <c r="E3650" s="197">
        <v>0</v>
      </c>
      <c r="F3650" s="197">
        <v>187</v>
      </c>
      <c r="G3650" s="190">
        <v>45777</v>
      </c>
      <c r="H3650" s="196">
        <v>0</v>
      </c>
      <c r="I3650" s="197">
        <v>0</v>
      </c>
      <c r="J3650" s="197">
        <v>0</v>
      </c>
      <c r="K3650" s="197">
        <v>0</v>
      </c>
      <c r="L3650" s="197">
        <v>0</v>
      </c>
      <c r="M3650" s="260" t="s">
        <v>239</v>
      </c>
      <c r="N3650" s="260" t="s">
        <v>514</v>
      </c>
    </row>
    <row r="3651" spans="1:14" ht="14.5" x14ac:dyDescent="0.35">
      <c r="A3651" s="260" t="s">
        <v>747</v>
      </c>
      <c r="B3651" s="190">
        <v>45777</v>
      </c>
      <c r="C3651" s="260" t="s">
        <v>754</v>
      </c>
      <c r="D3651" s="197">
        <v>100</v>
      </c>
      <c r="E3651" s="197">
        <v>8008</v>
      </c>
      <c r="F3651" s="197">
        <v>79</v>
      </c>
      <c r="G3651" s="190">
        <v>45777</v>
      </c>
      <c r="H3651" s="196">
        <v>0</v>
      </c>
      <c r="I3651" s="197">
        <v>7900</v>
      </c>
      <c r="J3651" s="197">
        <v>7900</v>
      </c>
      <c r="K3651" s="197">
        <v>0</v>
      </c>
      <c r="L3651" s="197">
        <v>-108</v>
      </c>
      <c r="M3651" s="260" t="s">
        <v>239</v>
      </c>
      <c r="N3651" s="260" t="s">
        <v>514</v>
      </c>
    </row>
    <row r="3652" spans="1:14" ht="14.5" x14ac:dyDescent="0.35">
      <c r="A3652" s="260" t="s">
        <v>747</v>
      </c>
      <c r="B3652" s="190">
        <v>45778</v>
      </c>
      <c r="C3652" s="260" t="s">
        <v>749</v>
      </c>
      <c r="D3652" s="197">
        <v>40</v>
      </c>
      <c r="E3652" s="197">
        <v>4004</v>
      </c>
      <c r="F3652" s="197">
        <v>101</v>
      </c>
      <c r="G3652" s="190">
        <v>45778</v>
      </c>
      <c r="H3652" s="196">
        <v>0</v>
      </c>
      <c r="I3652" s="197">
        <v>4040</v>
      </c>
      <c r="J3652" s="197">
        <v>4040</v>
      </c>
      <c r="K3652" s="197">
        <v>0</v>
      </c>
      <c r="L3652" s="197">
        <v>36</v>
      </c>
      <c r="M3652" s="260" t="s">
        <v>239</v>
      </c>
      <c r="N3652" s="260" t="s">
        <v>514</v>
      </c>
    </row>
    <row r="3653" spans="1:14" ht="14.5" x14ac:dyDescent="0.35">
      <c r="A3653" s="260" t="s">
        <v>747</v>
      </c>
      <c r="B3653" s="190">
        <v>45778</v>
      </c>
      <c r="C3653" s="260" t="s">
        <v>752</v>
      </c>
      <c r="D3653" s="197">
        <v>0</v>
      </c>
      <c r="E3653" s="197">
        <v>0</v>
      </c>
      <c r="F3653" s="197">
        <v>187</v>
      </c>
      <c r="G3653" s="190">
        <v>45778</v>
      </c>
      <c r="H3653" s="196">
        <v>0</v>
      </c>
      <c r="I3653" s="197">
        <v>0</v>
      </c>
      <c r="J3653" s="197">
        <v>0</v>
      </c>
      <c r="K3653" s="197">
        <v>0</v>
      </c>
      <c r="L3653" s="197">
        <v>0</v>
      </c>
      <c r="M3653" s="260" t="s">
        <v>239</v>
      </c>
      <c r="N3653" s="260" t="s">
        <v>514</v>
      </c>
    </row>
    <row r="3654" spans="1:14" ht="14.5" x14ac:dyDescent="0.35">
      <c r="A3654" s="260" t="s">
        <v>747</v>
      </c>
      <c r="B3654" s="190">
        <v>45778</v>
      </c>
      <c r="C3654" s="260" t="s">
        <v>754</v>
      </c>
      <c r="D3654" s="197">
        <v>100</v>
      </c>
      <c r="E3654" s="197">
        <v>8008</v>
      </c>
      <c r="F3654" s="197">
        <v>79</v>
      </c>
      <c r="G3654" s="190">
        <v>45778</v>
      </c>
      <c r="H3654" s="196">
        <v>0</v>
      </c>
      <c r="I3654" s="197">
        <v>7900</v>
      </c>
      <c r="J3654" s="197">
        <v>7900</v>
      </c>
      <c r="K3654" s="197">
        <v>0</v>
      </c>
      <c r="L3654" s="197">
        <v>-108</v>
      </c>
      <c r="M3654" s="260" t="s">
        <v>239</v>
      </c>
      <c r="N3654" s="260" t="s">
        <v>514</v>
      </c>
    </row>
    <row r="3655" spans="1:14" ht="14.5" x14ac:dyDescent="0.35">
      <c r="A3655" s="260" t="s">
        <v>747</v>
      </c>
      <c r="B3655" s="190">
        <v>45779</v>
      </c>
      <c r="C3655" s="260" t="s">
        <v>749</v>
      </c>
      <c r="D3655" s="197">
        <v>40</v>
      </c>
      <c r="E3655" s="197">
        <v>4004</v>
      </c>
      <c r="F3655" s="197">
        <v>100.93</v>
      </c>
      <c r="G3655" s="190">
        <v>45779</v>
      </c>
      <c r="H3655" s="196">
        <v>0</v>
      </c>
      <c r="I3655" s="197">
        <v>4037.2000000000003</v>
      </c>
      <c r="J3655" s="197">
        <v>4037.2000000000003</v>
      </c>
      <c r="K3655" s="197">
        <v>0</v>
      </c>
      <c r="L3655" s="197">
        <v>33.200000000000273</v>
      </c>
      <c r="M3655" s="260" t="s">
        <v>239</v>
      </c>
      <c r="N3655" s="260" t="s">
        <v>514</v>
      </c>
    </row>
    <row r="3656" spans="1:14" ht="14.5" x14ac:dyDescent="0.35">
      <c r="A3656" s="260" t="s">
        <v>747</v>
      </c>
      <c r="B3656" s="190">
        <v>45779</v>
      </c>
      <c r="C3656" s="260" t="s">
        <v>752</v>
      </c>
      <c r="D3656" s="197">
        <v>0</v>
      </c>
      <c r="E3656" s="197">
        <v>0</v>
      </c>
      <c r="F3656" s="197">
        <v>187.2</v>
      </c>
      <c r="G3656" s="190">
        <v>45779</v>
      </c>
      <c r="H3656" s="196">
        <v>0</v>
      </c>
      <c r="I3656" s="197">
        <v>0</v>
      </c>
      <c r="J3656" s="197">
        <v>0</v>
      </c>
      <c r="K3656" s="197">
        <v>0</v>
      </c>
      <c r="L3656" s="197">
        <v>0</v>
      </c>
      <c r="M3656" s="260" t="s">
        <v>239</v>
      </c>
      <c r="N3656" s="260" t="s">
        <v>514</v>
      </c>
    </row>
    <row r="3657" spans="1:14" ht="14.5" x14ac:dyDescent="0.35">
      <c r="A3657" s="260" t="s">
        <v>747</v>
      </c>
      <c r="B3657" s="190">
        <v>45779</v>
      </c>
      <c r="C3657" s="260" t="s">
        <v>754</v>
      </c>
      <c r="D3657" s="197">
        <v>100</v>
      </c>
      <c r="E3657" s="197">
        <v>8008</v>
      </c>
      <c r="F3657" s="197">
        <v>79.2</v>
      </c>
      <c r="G3657" s="190">
        <v>45779</v>
      </c>
      <c r="H3657" s="196">
        <v>0</v>
      </c>
      <c r="I3657" s="197">
        <v>7920</v>
      </c>
      <c r="J3657" s="197">
        <v>7920</v>
      </c>
      <c r="K3657" s="197">
        <v>0</v>
      </c>
      <c r="L3657" s="197">
        <v>-88</v>
      </c>
      <c r="M3657" s="260" t="s">
        <v>239</v>
      </c>
      <c r="N3657" s="260" t="s">
        <v>514</v>
      </c>
    </row>
    <row r="3658" spans="1:14" ht="14.5" x14ac:dyDescent="0.35">
      <c r="A3658" s="260" t="s">
        <v>747</v>
      </c>
      <c r="B3658" s="190">
        <v>45780</v>
      </c>
      <c r="C3658" s="260" t="s">
        <v>749</v>
      </c>
      <c r="D3658" s="197">
        <v>40</v>
      </c>
      <c r="E3658" s="197">
        <v>4004</v>
      </c>
      <c r="F3658" s="197">
        <v>100.93</v>
      </c>
      <c r="G3658" s="190">
        <v>45779</v>
      </c>
      <c r="H3658" s="196">
        <v>1</v>
      </c>
      <c r="I3658" s="197">
        <v>4037.2000000000003</v>
      </c>
      <c r="J3658" s="197">
        <v>4037.2000000000003</v>
      </c>
      <c r="K3658" s="197">
        <v>0</v>
      </c>
      <c r="L3658" s="197">
        <v>33.200000000000273</v>
      </c>
      <c r="M3658" s="260" t="s">
        <v>239</v>
      </c>
      <c r="N3658" s="260" t="s">
        <v>514</v>
      </c>
    </row>
    <row r="3659" spans="1:14" ht="14.5" x14ac:dyDescent="0.35">
      <c r="A3659" s="260" t="s">
        <v>747</v>
      </c>
      <c r="B3659" s="190">
        <v>45780</v>
      </c>
      <c r="C3659" s="260" t="s">
        <v>752</v>
      </c>
      <c r="D3659" s="197">
        <v>0</v>
      </c>
      <c r="E3659" s="197">
        <v>0</v>
      </c>
      <c r="F3659" s="197">
        <v>187.2</v>
      </c>
      <c r="G3659" s="190">
        <v>45779</v>
      </c>
      <c r="H3659" s="196">
        <v>1</v>
      </c>
      <c r="I3659" s="197">
        <v>0</v>
      </c>
      <c r="J3659" s="197">
        <v>0</v>
      </c>
      <c r="K3659" s="197">
        <v>0</v>
      </c>
      <c r="L3659" s="197">
        <v>0</v>
      </c>
      <c r="M3659" s="260" t="s">
        <v>239</v>
      </c>
      <c r="N3659" s="260" t="s">
        <v>514</v>
      </c>
    </row>
    <row r="3660" spans="1:14" ht="14.5" x14ac:dyDescent="0.35">
      <c r="A3660" s="260" t="s">
        <v>747</v>
      </c>
      <c r="B3660" s="190">
        <v>45780</v>
      </c>
      <c r="C3660" s="260" t="s">
        <v>754</v>
      </c>
      <c r="D3660" s="197">
        <v>100</v>
      </c>
      <c r="E3660" s="197">
        <v>8008</v>
      </c>
      <c r="F3660" s="197">
        <v>79.2</v>
      </c>
      <c r="G3660" s="190">
        <v>45779</v>
      </c>
      <c r="H3660" s="196">
        <v>1</v>
      </c>
      <c r="I3660" s="197">
        <v>7920</v>
      </c>
      <c r="J3660" s="197">
        <v>7920</v>
      </c>
      <c r="K3660" s="197">
        <v>0</v>
      </c>
      <c r="L3660" s="197">
        <v>-88</v>
      </c>
      <c r="M3660" s="260" t="s">
        <v>239</v>
      </c>
      <c r="N3660" s="260" t="s">
        <v>514</v>
      </c>
    </row>
    <row r="3661" spans="1:14" ht="14.5" x14ac:dyDescent="0.35">
      <c r="A3661" s="260" t="s">
        <v>747</v>
      </c>
      <c r="B3661" s="190">
        <v>45781</v>
      </c>
      <c r="C3661" s="260" t="s">
        <v>749</v>
      </c>
      <c r="D3661" s="197">
        <v>40</v>
      </c>
      <c r="E3661" s="197">
        <v>4004</v>
      </c>
      <c r="F3661" s="197">
        <v>100.93</v>
      </c>
      <c r="G3661" s="190">
        <v>45779</v>
      </c>
      <c r="H3661" s="196">
        <v>2</v>
      </c>
      <c r="I3661" s="197">
        <v>4037.2000000000003</v>
      </c>
      <c r="J3661" s="197">
        <v>4037.2000000000003</v>
      </c>
      <c r="K3661" s="197">
        <v>0</v>
      </c>
      <c r="L3661" s="197">
        <v>33.200000000000273</v>
      </c>
      <c r="M3661" s="260" t="s">
        <v>239</v>
      </c>
      <c r="N3661" s="260" t="s">
        <v>514</v>
      </c>
    </row>
    <row r="3662" spans="1:14" ht="14.5" x14ac:dyDescent="0.35">
      <c r="A3662" s="260" t="s">
        <v>747</v>
      </c>
      <c r="B3662" s="190">
        <v>45781</v>
      </c>
      <c r="C3662" s="260" t="s">
        <v>752</v>
      </c>
      <c r="D3662" s="197">
        <v>0</v>
      </c>
      <c r="E3662" s="197">
        <v>0</v>
      </c>
      <c r="F3662" s="197">
        <v>187.2</v>
      </c>
      <c r="G3662" s="190">
        <v>45779</v>
      </c>
      <c r="H3662" s="196">
        <v>2</v>
      </c>
      <c r="I3662" s="197">
        <v>0</v>
      </c>
      <c r="J3662" s="197">
        <v>0</v>
      </c>
      <c r="K3662" s="197">
        <v>0</v>
      </c>
      <c r="L3662" s="197">
        <v>0</v>
      </c>
      <c r="M3662" s="260" t="s">
        <v>239</v>
      </c>
      <c r="N3662" s="260" t="s">
        <v>514</v>
      </c>
    </row>
    <row r="3663" spans="1:14" ht="14.5" x14ac:dyDescent="0.35">
      <c r="A3663" s="260" t="s">
        <v>747</v>
      </c>
      <c r="B3663" s="190">
        <v>45781</v>
      </c>
      <c r="C3663" s="260" t="s">
        <v>754</v>
      </c>
      <c r="D3663" s="197">
        <v>100</v>
      </c>
      <c r="E3663" s="197">
        <v>8008</v>
      </c>
      <c r="F3663" s="197">
        <v>79.2</v>
      </c>
      <c r="G3663" s="190">
        <v>45779</v>
      </c>
      <c r="H3663" s="196">
        <v>2</v>
      </c>
      <c r="I3663" s="197">
        <v>7920</v>
      </c>
      <c r="J3663" s="197">
        <v>7920</v>
      </c>
      <c r="K3663" s="197">
        <v>0</v>
      </c>
      <c r="L3663" s="197">
        <v>-88</v>
      </c>
      <c r="M3663" s="260" t="s">
        <v>239</v>
      </c>
      <c r="N3663" s="260" t="s">
        <v>514</v>
      </c>
    </row>
    <row r="3664" spans="1:14" ht="14.5" x14ac:dyDescent="0.35">
      <c r="A3664" s="260" t="s">
        <v>747</v>
      </c>
      <c r="B3664" s="190">
        <v>45782</v>
      </c>
      <c r="C3664" s="260" t="s">
        <v>749</v>
      </c>
      <c r="D3664" s="197">
        <v>40</v>
      </c>
      <c r="E3664" s="197">
        <v>4004</v>
      </c>
      <c r="F3664" s="197">
        <v>100.73</v>
      </c>
      <c r="G3664" s="190">
        <v>45782</v>
      </c>
      <c r="H3664" s="196">
        <v>0</v>
      </c>
      <c r="I3664" s="197">
        <v>4029.2000000000003</v>
      </c>
      <c r="J3664" s="197">
        <v>4029.2000000000003</v>
      </c>
      <c r="K3664" s="197">
        <v>0</v>
      </c>
      <c r="L3664" s="197">
        <v>25.200000000000273</v>
      </c>
      <c r="M3664" s="260" t="s">
        <v>239</v>
      </c>
      <c r="N3664" s="260" t="s">
        <v>514</v>
      </c>
    </row>
    <row r="3665" spans="1:14" ht="14.5" x14ac:dyDescent="0.35">
      <c r="A3665" s="260" t="s">
        <v>747</v>
      </c>
      <c r="B3665" s="190">
        <v>45782</v>
      </c>
      <c r="C3665" s="260" t="s">
        <v>752</v>
      </c>
      <c r="D3665" s="197">
        <v>0</v>
      </c>
      <c r="E3665" s="197">
        <v>0</v>
      </c>
      <c r="F3665" s="197">
        <v>187.8</v>
      </c>
      <c r="G3665" s="190">
        <v>45782</v>
      </c>
      <c r="H3665" s="196">
        <v>0</v>
      </c>
      <c r="I3665" s="197">
        <v>0</v>
      </c>
      <c r="J3665" s="197">
        <v>0</v>
      </c>
      <c r="K3665" s="197">
        <v>0</v>
      </c>
      <c r="L3665" s="197">
        <v>0</v>
      </c>
      <c r="M3665" s="260" t="s">
        <v>239</v>
      </c>
      <c r="N3665" s="260" t="s">
        <v>514</v>
      </c>
    </row>
    <row r="3666" spans="1:14" ht="14.5" x14ac:dyDescent="0.35">
      <c r="A3666" s="260" t="s">
        <v>747</v>
      </c>
      <c r="B3666" s="190">
        <v>45782</v>
      </c>
      <c r="C3666" s="260" t="s">
        <v>754</v>
      </c>
      <c r="D3666" s="197">
        <v>100</v>
      </c>
      <c r="E3666" s="197">
        <v>8008</v>
      </c>
      <c r="F3666" s="197">
        <v>79.8</v>
      </c>
      <c r="G3666" s="190">
        <v>45782</v>
      </c>
      <c r="H3666" s="196">
        <v>0</v>
      </c>
      <c r="I3666" s="197">
        <v>7980</v>
      </c>
      <c r="J3666" s="197">
        <v>7980</v>
      </c>
      <c r="K3666" s="197">
        <v>0</v>
      </c>
      <c r="L3666" s="197">
        <v>-28</v>
      </c>
      <c r="M3666" s="260" t="s">
        <v>239</v>
      </c>
      <c r="N3666" s="260" t="s">
        <v>514</v>
      </c>
    </row>
    <row r="3667" spans="1:14" ht="14.5" x14ac:dyDescent="0.35">
      <c r="A3667" s="260" t="s">
        <v>747</v>
      </c>
      <c r="B3667" s="190">
        <v>45783</v>
      </c>
      <c r="C3667" s="260" t="s">
        <v>749</v>
      </c>
      <c r="D3667" s="197">
        <v>40</v>
      </c>
      <c r="E3667" s="197">
        <v>4004</v>
      </c>
      <c r="F3667" s="197">
        <v>100.67</v>
      </c>
      <c r="G3667" s="190">
        <v>45783</v>
      </c>
      <c r="H3667" s="196">
        <v>0</v>
      </c>
      <c r="I3667" s="197">
        <v>4026.8</v>
      </c>
      <c r="J3667" s="197">
        <v>4026.8</v>
      </c>
      <c r="K3667" s="197">
        <v>0</v>
      </c>
      <c r="L3667" s="197">
        <v>22.800000000000182</v>
      </c>
      <c r="M3667" s="260" t="s">
        <v>239</v>
      </c>
      <c r="N3667" s="260" t="s">
        <v>514</v>
      </c>
    </row>
    <row r="3668" spans="1:14" ht="14.5" x14ac:dyDescent="0.35">
      <c r="A3668" s="260" t="s">
        <v>747</v>
      </c>
      <c r="B3668" s="190">
        <v>45783</v>
      </c>
      <c r="C3668" s="260" t="s">
        <v>752</v>
      </c>
      <c r="D3668" s="197">
        <v>0</v>
      </c>
      <c r="E3668" s="197">
        <v>0</v>
      </c>
      <c r="F3668" s="197">
        <v>188</v>
      </c>
      <c r="G3668" s="190">
        <v>45783</v>
      </c>
      <c r="H3668" s="196">
        <v>0</v>
      </c>
      <c r="I3668" s="197">
        <v>0</v>
      </c>
      <c r="J3668" s="197">
        <v>0</v>
      </c>
      <c r="K3668" s="197">
        <v>0</v>
      </c>
      <c r="L3668" s="197">
        <v>0</v>
      </c>
      <c r="M3668" s="260" t="s">
        <v>239</v>
      </c>
      <c r="N3668" s="260" t="s">
        <v>514</v>
      </c>
    </row>
    <row r="3669" spans="1:14" ht="14.5" x14ac:dyDescent="0.35">
      <c r="A3669" s="260" t="s">
        <v>747</v>
      </c>
      <c r="B3669" s="190">
        <v>45783</v>
      </c>
      <c r="C3669" s="260" t="s">
        <v>754</v>
      </c>
      <c r="D3669" s="197">
        <v>100</v>
      </c>
      <c r="E3669" s="197">
        <v>8008</v>
      </c>
      <c r="F3669" s="197">
        <v>80</v>
      </c>
      <c r="G3669" s="190">
        <v>45783</v>
      </c>
      <c r="H3669" s="196">
        <v>0</v>
      </c>
      <c r="I3669" s="197">
        <v>8000</v>
      </c>
      <c r="J3669" s="197">
        <v>8000</v>
      </c>
      <c r="K3669" s="197">
        <v>0</v>
      </c>
      <c r="L3669" s="197">
        <v>-8</v>
      </c>
      <c r="M3669" s="260" t="s">
        <v>239</v>
      </c>
      <c r="N3669" s="260" t="s">
        <v>514</v>
      </c>
    </row>
    <row r="3670" spans="1:14" ht="14.5" x14ac:dyDescent="0.35">
      <c r="A3670" s="260" t="s">
        <v>747</v>
      </c>
      <c r="B3670" s="190">
        <v>45784</v>
      </c>
      <c r="C3670" s="260" t="s">
        <v>749</v>
      </c>
      <c r="D3670" s="197">
        <v>40</v>
      </c>
      <c r="E3670" s="197">
        <v>4004</v>
      </c>
      <c r="F3670" s="197">
        <v>100.6</v>
      </c>
      <c r="G3670" s="190">
        <v>45784</v>
      </c>
      <c r="H3670" s="196">
        <v>0</v>
      </c>
      <c r="I3670" s="197">
        <v>4024</v>
      </c>
      <c r="J3670" s="197">
        <v>4024</v>
      </c>
      <c r="K3670" s="197">
        <v>0</v>
      </c>
      <c r="L3670" s="197">
        <v>20</v>
      </c>
      <c r="M3670" s="260" t="s">
        <v>239</v>
      </c>
      <c r="N3670" s="260" t="s">
        <v>514</v>
      </c>
    </row>
    <row r="3671" spans="1:14" ht="14.5" x14ac:dyDescent="0.35">
      <c r="A3671" s="260" t="s">
        <v>747</v>
      </c>
      <c r="B3671" s="190">
        <v>45784</v>
      </c>
      <c r="C3671" s="260" t="s">
        <v>752</v>
      </c>
      <c r="D3671" s="197">
        <v>0</v>
      </c>
      <c r="E3671" s="197">
        <v>0</v>
      </c>
      <c r="F3671" s="197">
        <v>188.2</v>
      </c>
      <c r="G3671" s="190">
        <v>45784</v>
      </c>
      <c r="H3671" s="196">
        <v>0</v>
      </c>
      <c r="I3671" s="197">
        <v>0</v>
      </c>
      <c r="J3671" s="197">
        <v>0</v>
      </c>
      <c r="K3671" s="197">
        <v>0</v>
      </c>
      <c r="L3671" s="197">
        <v>0</v>
      </c>
      <c r="M3671" s="260" t="s">
        <v>239</v>
      </c>
      <c r="N3671" s="260" t="s">
        <v>514</v>
      </c>
    </row>
    <row r="3672" spans="1:14" ht="14.5" x14ac:dyDescent="0.35">
      <c r="A3672" s="260" t="s">
        <v>747</v>
      </c>
      <c r="B3672" s="190">
        <v>45784</v>
      </c>
      <c r="C3672" s="260" t="s">
        <v>754</v>
      </c>
      <c r="D3672" s="197">
        <v>100</v>
      </c>
      <c r="E3672" s="197">
        <v>8008</v>
      </c>
      <c r="F3672" s="197">
        <v>80.2</v>
      </c>
      <c r="G3672" s="190">
        <v>45784</v>
      </c>
      <c r="H3672" s="196">
        <v>0</v>
      </c>
      <c r="I3672" s="197">
        <v>8020</v>
      </c>
      <c r="J3672" s="197">
        <v>8020</v>
      </c>
      <c r="K3672" s="197">
        <v>0</v>
      </c>
      <c r="L3672" s="197">
        <v>12</v>
      </c>
      <c r="M3672" s="260" t="s">
        <v>239</v>
      </c>
      <c r="N3672" s="260" t="s">
        <v>514</v>
      </c>
    </row>
    <row r="3673" spans="1:14" ht="14.5" x14ac:dyDescent="0.35">
      <c r="A3673" s="260" t="s">
        <v>747</v>
      </c>
      <c r="B3673" s="190">
        <v>45785</v>
      </c>
      <c r="C3673" s="260" t="s">
        <v>749</v>
      </c>
      <c r="D3673" s="197">
        <v>40</v>
      </c>
      <c r="E3673" s="197">
        <v>4004</v>
      </c>
      <c r="F3673" s="197">
        <v>100.53</v>
      </c>
      <c r="G3673" s="190">
        <v>45785</v>
      </c>
      <c r="H3673" s="196">
        <v>0</v>
      </c>
      <c r="I3673" s="197">
        <v>4021.2</v>
      </c>
      <c r="J3673" s="197">
        <v>4021.2</v>
      </c>
      <c r="K3673" s="197">
        <v>0</v>
      </c>
      <c r="L3673" s="197">
        <v>17.199999999999818</v>
      </c>
      <c r="M3673" s="260" t="s">
        <v>239</v>
      </c>
      <c r="N3673" s="260" t="s">
        <v>514</v>
      </c>
    </row>
    <row r="3674" spans="1:14" ht="14.5" x14ac:dyDescent="0.35">
      <c r="A3674" s="260" t="s">
        <v>747</v>
      </c>
      <c r="B3674" s="190">
        <v>45785</v>
      </c>
      <c r="C3674" s="260" t="s">
        <v>752</v>
      </c>
      <c r="D3674" s="197">
        <v>0</v>
      </c>
      <c r="E3674" s="197">
        <v>0</v>
      </c>
      <c r="F3674" s="197">
        <v>188.4</v>
      </c>
      <c r="G3674" s="190">
        <v>45785</v>
      </c>
      <c r="H3674" s="196">
        <v>0</v>
      </c>
      <c r="I3674" s="197">
        <v>0</v>
      </c>
      <c r="J3674" s="197">
        <v>0</v>
      </c>
      <c r="K3674" s="197">
        <v>0</v>
      </c>
      <c r="L3674" s="197">
        <v>0</v>
      </c>
      <c r="M3674" s="260" t="s">
        <v>239</v>
      </c>
      <c r="N3674" s="260" t="s">
        <v>514</v>
      </c>
    </row>
    <row r="3675" spans="1:14" ht="14.5" x14ac:dyDescent="0.35">
      <c r="A3675" s="260" t="s">
        <v>747</v>
      </c>
      <c r="B3675" s="190">
        <v>45785</v>
      </c>
      <c r="C3675" s="260" t="s">
        <v>754</v>
      </c>
      <c r="D3675" s="197">
        <v>100</v>
      </c>
      <c r="E3675" s="197">
        <v>8008</v>
      </c>
      <c r="F3675" s="197">
        <v>80.400000000000006</v>
      </c>
      <c r="G3675" s="190">
        <v>45785</v>
      </c>
      <c r="H3675" s="196">
        <v>0</v>
      </c>
      <c r="I3675" s="197">
        <v>8040.0000000000009</v>
      </c>
      <c r="J3675" s="197">
        <v>8040.0000000000009</v>
      </c>
      <c r="K3675" s="197">
        <v>0</v>
      </c>
      <c r="L3675" s="197">
        <v>32.000000000000909</v>
      </c>
      <c r="M3675" s="260" t="s">
        <v>239</v>
      </c>
      <c r="N3675" s="260" t="s">
        <v>514</v>
      </c>
    </row>
    <row r="3676" spans="1:14" ht="14.5" x14ac:dyDescent="0.35">
      <c r="A3676" s="260" t="s">
        <v>747</v>
      </c>
      <c r="B3676" s="190">
        <v>45786</v>
      </c>
      <c r="C3676" s="260" t="s">
        <v>749</v>
      </c>
      <c r="D3676" s="197">
        <v>40</v>
      </c>
      <c r="E3676" s="197">
        <v>4004</v>
      </c>
      <c r="F3676" s="197">
        <v>100.47</v>
      </c>
      <c r="G3676" s="190">
        <v>45786</v>
      </c>
      <c r="H3676" s="196">
        <v>0</v>
      </c>
      <c r="I3676" s="197">
        <v>4018.8</v>
      </c>
      <c r="J3676" s="197">
        <v>4018.8</v>
      </c>
      <c r="K3676" s="197">
        <v>0</v>
      </c>
      <c r="L3676" s="197">
        <v>14.800000000000182</v>
      </c>
      <c r="M3676" s="260" t="s">
        <v>239</v>
      </c>
      <c r="N3676" s="260" t="s">
        <v>514</v>
      </c>
    </row>
    <row r="3677" spans="1:14" ht="14.5" x14ac:dyDescent="0.35">
      <c r="A3677" s="260" t="s">
        <v>747</v>
      </c>
      <c r="B3677" s="190">
        <v>45786</v>
      </c>
      <c r="C3677" s="260" t="s">
        <v>752</v>
      </c>
      <c r="D3677" s="197">
        <v>0</v>
      </c>
      <c r="E3677" s="197">
        <v>0</v>
      </c>
      <c r="F3677" s="197">
        <v>188.6</v>
      </c>
      <c r="G3677" s="190">
        <v>45786</v>
      </c>
      <c r="H3677" s="196">
        <v>0</v>
      </c>
      <c r="I3677" s="197">
        <v>0</v>
      </c>
      <c r="J3677" s="197">
        <v>0</v>
      </c>
      <c r="K3677" s="197">
        <v>0</v>
      </c>
      <c r="L3677" s="197">
        <v>0</v>
      </c>
      <c r="M3677" s="260" t="s">
        <v>239</v>
      </c>
      <c r="N3677" s="260" t="s">
        <v>514</v>
      </c>
    </row>
    <row r="3678" spans="1:14" ht="14.5" x14ac:dyDescent="0.35">
      <c r="A3678" s="260" t="s">
        <v>747</v>
      </c>
      <c r="B3678" s="190">
        <v>45786</v>
      </c>
      <c r="C3678" s="260" t="s">
        <v>754</v>
      </c>
      <c r="D3678" s="197">
        <v>100</v>
      </c>
      <c r="E3678" s="197">
        <v>8008</v>
      </c>
      <c r="F3678" s="197">
        <v>80.599999999999994</v>
      </c>
      <c r="G3678" s="190">
        <v>45786</v>
      </c>
      <c r="H3678" s="196">
        <v>0</v>
      </c>
      <c r="I3678" s="197">
        <v>8059.9999999999991</v>
      </c>
      <c r="J3678" s="197">
        <v>8059.9999999999991</v>
      </c>
      <c r="K3678" s="197">
        <v>0</v>
      </c>
      <c r="L3678" s="197">
        <v>51.999999999999091</v>
      </c>
      <c r="M3678" s="260" t="s">
        <v>239</v>
      </c>
      <c r="N3678" s="260" t="s">
        <v>514</v>
      </c>
    </row>
    <row r="3679" spans="1:14" ht="14.5" x14ac:dyDescent="0.35">
      <c r="A3679" s="260" t="s">
        <v>747</v>
      </c>
      <c r="B3679" s="190">
        <v>45787</v>
      </c>
      <c r="C3679" s="260" t="s">
        <v>749</v>
      </c>
      <c r="D3679" s="197">
        <v>40</v>
      </c>
      <c r="E3679" s="197">
        <v>4004</v>
      </c>
      <c r="F3679" s="197">
        <v>100.47</v>
      </c>
      <c r="G3679" s="190">
        <v>45786</v>
      </c>
      <c r="H3679" s="196">
        <v>1</v>
      </c>
      <c r="I3679" s="197">
        <v>4018.8</v>
      </c>
      <c r="J3679" s="197">
        <v>4018.8</v>
      </c>
      <c r="K3679" s="197">
        <v>0</v>
      </c>
      <c r="L3679" s="197">
        <v>14.800000000000182</v>
      </c>
      <c r="M3679" s="260" t="s">
        <v>239</v>
      </c>
      <c r="N3679" s="260" t="s">
        <v>514</v>
      </c>
    </row>
    <row r="3680" spans="1:14" ht="14.5" x14ac:dyDescent="0.35">
      <c r="A3680" s="260" t="s">
        <v>747</v>
      </c>
      <c r="B3680" s="190">
        <v>45787</v>
      </c>
      <c r="C3680" s="260" t="s">
        <v>752</v>
      </c>
      <c r="D3680" s="197">
        <v>0</v>
      </c>
      <c r="E3680" s="197">
        <v>0</v>
      </c>
      <c r="F3680" s="197">
        <v>188.6</v>
      </c>
      <c r="G3680" s="190">
        <v>45786</v>
      </c>
      <c r="H3680" s="196">
        <v>1</v>
      </c>
      <c r="I3680" s="197">
        <v>0</v>
      </c>
      <c r="J3680" s="197">
        <v>0</v>
      </c>
      <c r="K3680" s="197">
        <v>0</v>
      </c>
      <c r="L3680" s="197">
        <v>0</v>
      </c>
      <c r="M3680" s="260" t="s">
        <v>239</v>
      </c>
      <c r="N3680" s="260" t="s">
        <v>514</v>
      </c>
    </row>
    <row r="3681" spans="1:14" ht="14.5" x14ac:dyDescent="0.35">
      <c r="A3681" s="260" t="s">
        <v>747</v>
      </c>
      <c r="B3681" s="190">
        <v>45787</v>
      </c>
      <c r="C3681" s="260" t="s">
        <v>754</v>
      </c>
      <c r="D3681" s="197">
        <v>100</v>
      </c>
      <c r="E3681" s="197">
        <v>8008</v>
      </c>
      <c r="F3681" s="197">
        <v>80.599999999999994</v>
      </c>
      <c r="G3681" s="190">
        <v>45786</v>
      </c>
      <c r="H3681" s="196">
        <v>1</v>
      </c>
      <c r="I3681" s="197">
        <v>8059.9999999999991</v>
      </c>
      <c r="J3681" s="197">
        <v>8059.9999999999991</v>
      </c>
      <c r="K3681" s="197">
        <v>0</v>
      </c>
      <c r="L3681" s="197">
        <v>51.999999999999091</v>
      </c>
      <c r="M3681" s="260" t="s">
        <v>239</v>
      </c>
      <c r="N3681" s="260" t="s">
        <v>514</v>
      </c>
    </row>
    <row r="3682" spans="1:14" ht="14.5" x14ac:dyDescent="0.35">
      <c r="A3682" s="260" t="s">
        <v>747</v>
      </c>
      <c r="B3682" s="190">
        <v>45788</v>
      </c>
      <c r="C3682" s="260" t="s">
        <v>749</v>
      </c>
      <c r="D3682" s="197">
        <v>40</v>
      </c>
      <c r="E3682" s="197">
        <v>4004</v>
      </c>
      <c r="F3682" s="197">
        <v>100.47</v>
      </c>
      <c r="G3682" s="190">
        <v>45786</v>
      </c>
      <c r="H3682" s="196">
        <v>2</v>
      </c>
      <c r="I3682" s="197">
        <v>4018.8</v>
      </c>
      <c r="J3682" s="197">
        <v>4018.8</v>
      </c>
      <c r="K3682" s="197">
        <v>0</v>
      </c>
      <c r="L3682" s="197">
        <v>14.800000000000182</v>
      </c>
      <c r="M3682" s="260" t="s">
        <v>239</v>
      </c>
      <c r="N3682" s="260" t="s">
        <v>514</v>
      </c>
    </row>
    <row r="3683" spans="1:14" ht="14.5" x14ac:dyDescent="0.35">
      <c r="A3683" s="260" t="s">
        <v>747</v>
      </c>
      <c r="B3683" s="190">
        <v>45788</v>
      </c>
      <c r="C3683" s="260" t="s">
        <v>752</v>
      </c>
      <c r="D3683" s="197">
        <v>0</v>
      </c>
      <c r="E3683" s="197">
        <v>0</v>
      </c>
      <c r="F3683" s="197">
        <v>188.6</v>
      </c>
      <c r="G3683" s="190">
        <v>45786</v>
      </c>
      <c r="H3683" s="196">
        <v>2</v>
      </c>
      <c r="I3683" s="197">
        <v>0</v>
      </c>
      <c r="J3683" s="197">
        <v>0</v>
      </c>
      <c r="K3683" s="197">
        <v>0</v>
      </c>
      <c r="L3683" s="197">
        <v>0</v>
      </c>
      <c r="M3683" s="260" t="s">
        <v>239</v>
      </c>
      <c r="N3683" s="260" t="s">
        <v>514</v>
      </c>
    </row>
    <row r="3684" spans="1:14" ht="14.5" x14ac:dyDescent="0.35">
      <c r="A3684" s="260" t="s">
        <v>747</v>
      </c>
      <c r="B3684" s="190">
        <v>45788</v>
      </c>
      <c r="C3684" s="260" t="s">
        <v>754</v>
      </c>
      <c r="D3684" s="197">
        <v>100</v>
      </c>
      <c r="E3684" s="197">
        <v>8008</v>
      </c>
      <c r="F3684" s="197">
        <v>80.599999999999994</v>
      </c>
      <c r="G3684" s="190">
        <v>45786</v>
      </c>
      <c r="H3684" s="196">
        <v>2</v>
      </c>
      <c r="I3684" s="197">
        <v>8059.9999999999991</v>
      </c>
      <c r="J3684" s="197">
        <v>8059.9999999999991</v>
      </c>
      <c r="K3684" s="197">
        <v>0</v>
      </c>
      <c r="L3684" s="197">
        <v>51.999999999999091</v>
      </c>
      <c r="M3684" s="260" t="s">
        <v>239</v>
      </c>
      <c r="N3684" s="260" t="s">
        <v>514</v>
      </c>
    </row>
    <row r="3685" spans="1:14" ht="14.5" x14ac:dyDescent="0.35">
      <c r="A3685" s="260" t="s">
        <v>747</v>
      </c>
      <c r="B3685" s="190">
        <v>45789</v>
      </c>
      <c r="C3685" s="260" t="s">
        <v>749</v>
      </c>
      <c r="D3685" s="197">
        <v>40</v>
      </c>
      <c r="E3685" s="197">
        <v>4004</v>
      </c>
      <c r="F3685" s="197">
        <v>100.27</v>
      </c>
      <c r="G3685" s="190">
        <v>45789</v>
      </c>
      <c r="H3685" s="196">
        <v>0</v>
      </c>
      <c r="I3685" s="197">
        <v>4010.7999999999997</v>
      </c>
      <c r="J3685" s="197">
        <v>4010.7999999999997</v>
      </c>
      <c r="K3685" s="197">
        <v>0</v>
      </c>
      <c r="L3685" s="197">
        <v>6.7999999999997272</v>
      </c>
      <c r="M3685" s="260" t="s">
        <v>239</v>
      </c>
      <c r="N3685" s="260" t="s">
        <v>514</v>
      </c>
    </row>
    <row r="3686" spans="1:14" ht="14.5" x14ac:dyDescent="0.35">
      <c r="A3686" s="260" t="s">
        <v>747</v>
      </c>
      <c r="B3686" s="190">
        <v>45789</v>
      </c>
      <c r="C3686" s="260" t="s">
        <v>752</v>
      </c>
      <c r="D3686" s="197">
        <v>0</v>
      </c>
      <c r="E3686" s="197">
        <v>0</v>
      </c>
      <c r="F3686" s="197">
        <v>189.2</v>
      </c>
      <c r="G3686" s="190">
        <v>45789</v>
      </c>
      <c r="H3686" s="196">
        <v>0</v>
      </c>
      <c r="I3686" s="197">
        <v>0</v>
      </c>
      <c r="J3686" s="197">
        <v>0</v>
      </c>
      <c r="K3686" s="197">
        <v>0</v>
      </c>
      <c r="L3686" s="197">
        <v>0</v>
      </c>
      <c r="M3686" s="260" t="s">
        <v>239</v>
      </c>
      <c r="N3686" s="260" t="s">
        <v>514</v>
      </c>
    </row>
    <row r="3687" spans="1:14" ht="14.5" x14ac:dyDescent="0.35">
      <c r="A3687" s="260" t="s">
        <v>747</v>
      </c>
      <c r="B3687" s="190">
        <v>45789</v>
      </c>
      <c r="C3687" s="260" t="s">
        <v>754</v>
      </c>
      <c r="D3687" s="197">
        <v>100</v>
      </c>
      <c r="E3687" s="197">
        <v>8008</v>
      </c>
      <c r="F3687" s="197">
        <v>81.2</v>
      </c>
      <c r="G3687" s="190">
        <v>45789</v>
      </c>
      <c r="H3687" s="196">
        <v>0</v>
      </c>
      <c r="I3687" s="197">
        <v>8120</v>
      </c>
      <c r="J3687" s="197">
        <v>8120</v>
      </c>
      <c r="K3687" s="197">
        <v>0</v>
      </c>
      <c r="L3687" s="197">
        <v>112</v>
      </c>
      <c r="M3687" s="260" t="s">
        <v>239</v>
      </c>
      <c r="N3687" s="260" t="s">
        <v>514</v>
      </c>
    </row>
    <row r="3688" spans="1:14" ht="14.5" x14ac:dyDescent="0.35">
      <c r="A3688" s="260" t="s">
        <v>747</v>
      </c>
      <c r="B3688" s="190">
        <v>45790</v>
      </c>
      <c r="C3688" s="260" t="s">
        <v>749</v>
      </c>
      <c r="D3688" s="197">
        <v>40</v>
      </c>
      <c r="E3688" s="197">
        <v>4004</v>
      </c>
      <c r="F3688" s="197">
        <v>100.2</v>
      </c>
      <c r="G3688" s="190">
        <v>45790</v>
      </c>
      <c r="H3688" s="196">
        <v>0</v>
      </c>
      <c r="I3688" s="197">
        <v>4008</v>
      </c>
      <c r="J3688" s="197">
        <v>4008</v>
      </c>
      <c r="K3688" s="197">
        <v>0</v>
      </c>
      <c r="L3688" s="197">
        <v>4</v>
      </c>
      <c r="M3688" s="260" t="s">
        <v>239</v>
      </c>
      <c r="N3688" s="260" t="s">
        <v>514</v>
      </c>
    </row>
    <row r="3689" spans="1:14" ht="14.5" x14ac:dyDescent="0.35">
      <c r="A3689" s="260" t="s">
        <v>747</v>
      </c>
      <c r="B3689" s="190">
        <v>45790</v>
      </c>
      <c r="C3689" s="260" t="s">
        <v>752</v>
      </c>
      <c r="D3689" s="197">
        <v>0</v>
      </c>
      <c r="E3689" s="197">
        <v>0</v>
      </c>
      <c r="F3689" s="197">
        <v>189.4</v>
      </c>
      <c r="G3689" s="190">
        <v>45790</v>
      </c>
      <c r="H3689" s="196">
        <v>0</v>
      </c>
      <c r="I3689" s="197">
        <v>0</v>
      </c>
      <c r="J3689" s="197">
        <v>0</v>
      </c>
      <c r="K3689" s="197">
        <v>0</v>
      </c>
      <c r="L3689" s="197">
        <v>0</v>
      </c>
      <c r="M3689" s="260" t="s">
        <v>239</v>
      </c>
      <c r="N3689" s="260" t="s">
        <v>514</v>
      </c>
    </row>
    <row r="3690" spans="1:14" ht="14.5" x14ac:dyDescent="0.35">
      <c r="A3690" s="260" t="s">
        <v>747</v>
      </c>
      <c r="B3690" s="190">
        <v>45790</v>
      </c>
      <c r="C3690" s="260" t="s">
        <v>754</v>
      </c>
      <c r="D3690" s="197">
        <v>100</v>
      </c>
      <c r="E3690" s="197">
        <v>8008</v>
      </c>
      <c r="F3690" s="197">
        <v>81.400000000000006</v>
      </c>
      <c r="G3690" s="190">
        <v>45790</v>
      </c>
      <c r="H3690" s="196">
        <v>0</v>
      </c>
      <c r="I3690" s="197">
        <v>8140.0000000000009</v>
      </c>
      <c r="J3690" s="197">
        <v>8140.0000000000009</v>
      </c>
      <c r="K3690" s="197">
        <v>0</v>
      </c>
      <c r="L3690" s="197">
        <v>132.00000000000091</v>
      </c>
      <c r="M3690" s="260" t="s">
        <v>239</v>
      </c>
      <c r="N3690" s="260" t="s">
        <v>514</v>
      </c>
    </row>
    <row r="3691" spans="1:14" ht="14.5" x14ac:dyDescent="0.35">
      <c r="A3691" s="260" t="s">
        <v>747</v>
      </c>
      <c r="B3691" s="190">
        <v>45791</v>
      </c>
      <c r="C3691" s="260" t="s">
        <v>749</v>
      </c>
      <c r="D3691" s="197">
        <v>40</v>
      </c>
      <c r="E3691" s="197">
        <v>4004</v>
      </c>
      <c r="F3691" s="197">
        <v>100.13</v>
      </c>
      <c r="G3691" s="190">
        <v>45791</v>
      </c>
      <c r="H3691" s="196">
        <v>0</v>
      </c>
      <c r="I3691" s="197">
        <v>4005.2</v>
      </c>
      <c r="J3691" s="197">
        <v>4005.2</v>
      </c>
      <c r="K3691" s="197">
        <v>0</v>
      </c>
      <c r="L3691" s="197">
        <v>1.1999999999998181</v>
      </c>
      <c r="M3691" s="260" t="s">
        <v>239</v>
      </c>
      <c r="N3691" s="260" t="s">
        <v>514</v>
      </c>
    </row>
    <row r="3692" spans="1:14" ht="14.5" x14ac:dyDescent="0.35">
      <c r="A3692" s="260" t="s">
        <v>747</v>
      </c>
      <c r="B3692" s="190">
        <v>45791</v>
      </c>
      <c r="C3692" s="260" t="s">
        <v>752</v>
      </c>
      <c r="D3692" s="197">
        <v>0</v>
      </c>
      <c r="E3692" s="197">
        <v>0</v>
      </c>
      <c r="F3692" s="197">
        <v>189.6</v>
      </c>
      <c r="G3692" s="190">
        <v>45791</v>
      </c>
      <c r="H3692" s="196">
        <v>0</v>
      </c>
      <c r="I3692" s="197">
        <v>0</v>
      </c>
      <c r="J3692" s="197">
        <v>0</v>
      </c>
      <c r="K3692" s="197">
        <v>0</v>
      </c>
      <c r="L3692" s="197">
        <v>0</v>
      </c>
      <c r="M3692" s="260" t="s">
        <v>239</v>
      </c>
      <c r="N3692" s="260" t="s">
        <v>514</v>
      </c>
    </row>
    <row r="3693" spans="1:14" ht="14.5" x14ac:dyDescent="0.35">
      <c r="A3693" s="260" t="s">
        <v>747</v>
      </c>
      <c r="B3693" s="190">
        <v>45791</v>
      </c>
      <c r="C3693" s="260" t="s">
        <v>754</v>
      </c>
      <c r="D3693" s="197">
        <v>100</v>
      </c>
      <c r="E3693" s="197">
        <v>8008</v>
      </c>
      <c r="F3693" s="197">
        <v>81.599999999999994</v>
      </c>
      <c r="G3693" s="190">
        <v>45791</v>
      </c>
      <c r="H3693" s="196">
        <v>0</v>
      </c>
      <c r="I3693" s="197">
        <v>8159.9999999999991</v>
      </c>
      <c r="J3693" s="197">
        <v>8159.9999999999991</v>
      </c>
      <c r="K3693" s="197">
        <v>0</v>
      </c>
      <c r="L3693" s="197">
        <v>151.99999999999909</v>
      </c>
      <c r="M3693" s="260" t="s">
        <v>239</v>
      </c>
      <c r="N3693" s="260" t="s">
        <v>514</v>
      </c>
    </row>
    <row r="3694" spans="1:14" ht="14.5" x14ac:dyDescent="0.35">
      <c r="A3694" s="260" t="s">
        <v>747</v>
      </c>
      <c r="B3694" s="190">
        <v>45792</v>
      </c>
      <c r="C3694" s="260" t="s">
        <v>749</v>
      </c>
      <c r="D3694" s="197">
        <v>40</v>
      </c>
      <c r="E3694" s="197">
        <v>4004</v>
      </c>
      <c r="F3694" s="197">
        <v>100.07</v>
      </c>
      <c r="G3694" s="190">
        <v>45792</v>
      </c>
      <c r="H3694" s="196">
        <v>0</v>
      </c>
      <c r="I3694" s="197">
        <v>4002.7999999999997</v>
      </c>
      <c r="J3694" s="197">
        <v>4002.7999999999997</v>
      </c>
      <c r="K3694" s="197">
        <v>0</v>
      </c>
      <c r="L3694" s="197">
        <v>-1.2000000000002728</v>
      </c>
      <c r="M3694" s="260" t="s">
        <v>239</v>
      </c>
      <c r="N3694" s="260" t="s">
        <v>514</v>
      </c>
    </row>
    <row r="3695" spans="1:14" ht="14.5" x14ac:dyDescent="0.35">
      <c r="A3695" s="260" t="s">
        <v>747</v>
      </c>
      <c r="B3695" s="190">
        <v>45792</v>
      </c>
      <c r="C3695" s="260" t="s">
        <v>752</v>
      </c>
      <c r="D3695" s="197">
        <v>0</v>
      </c>
      <c r="E3695" s="197">
        <v>0</v>
      </c>
      <c r="F3695" s="197">
        <v>189.8</v>
      </c>
      <c r="G3695" s="190">
        <v>45792</v>
      </c>
      <c r="H3695" s="196">
        <v>0</v>
      </c>
      <c r="I3695" s="197">
        <v>0</v>
      </c>
      <c r="J3695" s="197">
        <v>0</v>
      </c>
      <c r="K3695" s="197">
        <v>0</v>
      </c>
      <c r="L3695" s="197">
        <v>0</v>
      </c>
      <c r="M3695" s="260" t="s">
        <v>239</v>
      </c>
      <c r="N3695" s="260" t="s">
        <v>514</v>
      </c>
    </row>
    <row r="3696" spans="1:14" ht="14.5" x14ac:dyDescent="0.35">
      <c r="A3696" s="260" t="s">
        <v>747</v>
      </c>
      <c r="B3696" s="190">
        <v>45792</v>
      </c>
      <c r="C3696" s="260" t="s">
        <v>754</v>
      </c>
      <c r="D3696" s="197">
        <v>100</v>
      </c>
      <c r="E3696" s="197">
        <v>8008</v>
      </c>
      <c r="F3696" s="197">
        <v>81.8</v>
      </c>
      <c r="G3696" s="190">
        <v>45792</v>
      </c>
      <c r="H3696" s="196">
        <v>0</v>
      </c>
      <c r="I3696" s="197">
        <v>8180</v>
      </c>
      <c r="J3696" s="197">
        <v>8180</v>
      </c>
      <c r="K3696" s="197">
        <v>0</v>
      </c>
      <c r="L3696" s="197">
        <v>172</v>
      </c>
      <c r="M3696" s="260" t="s">
        <v>239</v>
      </c>
      <c r="N3696" s="260" t="s">
        <v>514</v>
      </c>
    </row>
    <row r="3697" spans="1:14" ht="14.5" x14ac:dyDescent="0.35">
      <c r="A3697" s="260" t="s">
        <v>747</v>
      </c>
      <c r="B3697" s="190">
        <v>45793</v>
      </c>
      <c r="C3697" s="260" t="s">
        <v>749</v>
      </c>
      <c r="D3697" s="197">
        <v>40</v>
      </c>
      <c r="E3697" s="197">
        <v>4004</v>
      </c>
      <c r="F3697" s="197">
        <v>100</v>
      </c>
      <c r="G3697" s="190">
        <v>45793</v>
      </c>
      <c r="H3697" s="196">
        <v>0</v>
      </c>
      <c r="I3697" s="197">
        <v>4000</v>
      </c>
      <c r="J3697" s="197">
        <v>4000</v>
      </c>
      <c r="K3697" s="197">
        <v>0</v>
      </c>
      <c r="L3697" s="197">
        <v>-4</v>
      </c>
      <c r="M3697" s="260" t="s">
        <v>239</v>
      </c>
      <c r="N3697" s="260" t="s">
        <v>514</v>
      </c>
    </row>
    <row r="3698" spans="1:14" ht="14.5" x14ac:dyDescent="0.35">
      <c r="A3698" s="260" t="s">
        <v>747</v>
      </c>
      <c r="B3698" s="190">
        <v>45793</v>
      </c>
      <c r="C3698" s="260" t="s">
        <v>752</v>
      </c>
      <c r="D3698" s="197">
        <v>0</v>
      </c>
      <c r="E3698" s="197">
        <v>0</v>
      </c>
      <c r="F3698" s="197">
        <v>190</v>
      </c>
      <c r="G3698" s="190">
        <v>45793</v>
      </c>
      <c r="H3698" s="196">
        <v>0</v>
      </c>
      <c r="I3698" s="197">
        <v>0</v>
      </c>
      <c r="J3698" s="197">
        <v>0</v>
      </c>
      <c r="K3698" s="197">
        <v>0</v>
      </c>
      <c r="L3698" s="197">
        <v>0</v>
      </c>
      <c r="M3698" s="260" t="s">
        <v>239</v>
      </c>
      <c r="N3698" s="260" t="s">
        <v>514</v>
      </c>
    </row>
    <row r="3699" spans="1:14" ht="14.5" x14ac:dyDescent="0.35">
      <c r="A3699" s="260" t="s">
        <v>747</v>
      </c>
      <c r="B3699" s="190">
        <v>45793</v>
      </c>
      <c r="C3699" s="260" t="s">
        <v>754</v>
      </c>
      <c r="D3699" s="197">
        <v>100</v>
      </c>
      <c r="E3699" s="197">
        <v>8008</v>
      </c>
      <c r="F3699" s="197">
        <v>82</v>
      </c>
      <c r="G3699" s="190">
        <v>45793</v>
      </c>
      <c r="H3699" s="196">
        <v>0</v>
      </c>
      <c r="I3699" s="197">
        <v>8200</v>
      </c>
      <c r="J3699" s="197">
        <v>8200</v>
      </c>
      <c r="K3699" s="197">
        <v>0</v>
      </c>
      <c r="L3699" s="197">
        <v>192</v>
      </c>
      <c r="M3699" s="260" t="s">
        <v>239</v>
      </c>
      <c r="N3699" s="260" t="s">
        <v>514</v>
      </c>
    </row>
    <row r="3700" spans="1:14" ht="14.5" x14ac:dyDescent="0.35">
      <c r="A3700" s="260" t="s">
        <v>747</v>
      </c>
      <c r="B3700" s="190">
        <v>45794</v>
      </c>
      <c r="C3700" s="260" t="s">
        <v>749</v>
      </c>
      <c r="D3700" s="197">
        <v>40</v>
      </c>
      <c r="E3700" s="197">
        <v>4004</v>
      </c>
      <c r="F3700" s="197">
        <v>100</v>
      </c>
      <c r="G3700" s="190">
        <v>45793</v>
      </c>
      <c r="H3700" s="196">
        <v>1</v>
      </c>
      <c r="I3700" s="197">
        <v>4000</v>
      </c>
      <c r="J3700" s="197">
        <v>4000</v>
      </c>
      <c r="K3700" s="197">
        <v>0</v>
      </c>
      <c r="L3700" s="197">
        <v>-4</v>
      </c>
      <c r="M3700" s="260" t="s">
        <v>239</v>
      </c>
      <c r="N3700" s="260" t="s">
        <v>514</v>
      </c>
    </row>
    <row r="3701" spans="1:14" ht="14.5" x14ac:dyDescent="0.35">
      <c r="A3701" s="260" t="s">
        <v>747</v>
      </c>
      <c r="B3701" s="190">
        <v>45794</v>
      </c>
      <c r="C3701" s="260" t="s">
        <v>752</v>
      </c>
      <c r="D3701" s="197">
        <v>0</v>
      </c>
      <c r="E3701" s="197">
        <v>0</v>
      </c>
      <c r="F3701" s="197">
        <v>190</v>
      </c>
      <c r="G3701" s="190">
        <v>45793</v>
      </c>
      <c r="H3701" s="196">
        <v>1</v>
      </c>
      <c r="I3701" s="197">
        <v>0</v>
      </c>
      <c r="J3701" s="197">
        <v>0</v>
      </c>
      <c r="K3701" s="197">
        <v>0</v>
      </c>
      <c r="L3701" s="197">
        <v>0</v>
      </c>
      <c r="M3701" s="260" t="s">
        <v>239</v>
      </c>
      <c r="N3701" s="260" t="s">
        <v>514</v>
      </c>
    </row>
    <row r="3702" spans="1:14" ht="14.5" x14ac:dyDescent="0.35">
      <c r="A3702" s="260" t="s">
        <v>747</v>
      </c>
      <c r="B3702" s="190">
        <v>45794</v>
      </c>
      <c r="C3702" s="260" t="s">
        <v>754</v>
      </c>
      <c r="D3702" s="197">
        <v>100</v>
      </c>
      <c r="E3702" s="197">
        <v>8008</v>
      </c>
      <c r="F3702" s="197">
        <v>82</v>
      </c>
      <c r="G3702" s="190">
        <v>45793</v>
      </c>
      <c r="H3702" s="196">
        <v>1</v>
      </c>
      <c r="I3702" s="197">
        <v>8200</v>
      </c>
      <c r="J3702" s="197">
        <v>8200</v>
      </c>
      <c r="K3702" s="197">
        <v>0</v>
      </c>
      <c r="L3702" s="197">
        <v>192</v>
      </c>
      <c r="M3702" s="260" t="s">
        <v>239</v>
      </c>
      <c r="N3702" s="260" t="s">
        <v>514</v>
      </c>
    </row>
    <row r="3703" spans="1:14" ht="14.5" x14ac:dyDescent="0.35">
      <c r="A3703" s="260" t="s">
        <v>747</v>
      </c>
      <c r="B3703" s="190">
        <v>45795</v>
      </c>
      <c r="C3703" s="260" t="s">
        <v>749</v>
      </c>
      <c r="D3703" s="197">
        <v>40</v>
      </c>
      <c r="E3703" s="197">
        <v>4004</v>
      </c>
      <c r="F3703" s="197">
        <v>100</v>
      </c>
      <c r="G3703" s="190">
        <v>45793</v>
      </c>
      <c r="H3703" s="196">
        <v>2</v>
      </c>
      <c r="I3703" s="197">
        <v>4000</v>
      </c>
      <c r="J3703" s="197">
        <v>4000</v>
      </c>
      <c r="K3703" s="197">
        <v>0</v>
      </c>
      <c r="L3703" s="197">
        <v>-4</v>
      </c>
      <c r="M3703" s="260" t="s">
        <v>239</v>
      </c>
      <c r="N3703" s="260" t="s">
        <v>514</v>
      </c>
    </row>
    <row r="3704" spans="1:14" ht="14.5" x14ac:dyDescent="0.35">
      <c r="A3704" s="260" t="s">
        <v>747</v>
      </c>
      <c r="B3704" s="190">
        <v>45795</v>
      </c>
      <c r="C3704" s="260" t="s">
        <v>752</v>
      </c>
      <c r="D3704" s="197">
        <v>0</v>
      </c>
      <c r="E3704" s="197">
        <v>0</v>
      </c>
      <c r="F3704" s="197">
        <v>190</v>
      </c>
      <c r="G3704" s="190">
        <v>45793</v>
      </c>
      <c r="H3704" s="196">
        <v>2</v>
      </c>
      <c r="I3704" s="197">
        <v>0</v>
      </c>
      <c r="J3704" s="197">
        <v>0</v>
      </c>
      <c r="K3704" s="197">
        <v>0</v>
      </c>
      <c r="L3704" s="197">
        <v>0</v>
      </c>
      <c r="M3704" s="260" t="s">
        <v>239</v>
      </c>
      <c r="N3704" s="260" t="s">
        <v>514</v>
      </c>
    </row>
    <row r="3705" spans="1:14" ht="14.5" x14ac:dyDescent="0.35">
      <c r="A3705" s="260" t="s">
        <v>747</v>
      </c>
      <c r="B3705" s="190">
        <v>45795</v>
      </c>
      <c r="C3705" s="260" t="s">
        <v>754</v>
      </c>
      <c r="D3705" s="197">
        <v>100</v>
      </c>
      <c r="E3705" s="197">
        <v>8008</v>
      </c>
      <c r="F3705" s="197">
        <v>82</v>
      </c>
      <c r="G3705" s="190">
        <v>45793</v>
      </c>
      <c r="H3705" s="196">
        <v>2</v>
      </c>
      <c r="I3705" s="197">
        <v>8200</v>
      </c>
      <c r="J3705" s="197">
        <v>8200</v>
      </c>
      <c r="K3705" s="197">
        <v>0</v>
      </c>
      <c r="L3705" s="197">
        <v>192</v>
      </c>
      <c r="M3705" s="260" t="s">
        <v>239</v>
      </c>
      <c r="N3705" s="260" t="s">
        <v>514</v>
      </c>
    </row>
    <row r="3706" spans="1:14" ht="14.5" x14ac:dyDescent="0.35">
      <c r="A3706" s="260" t="s">
        <v>747</v>
      </c>
      <c r="B3706" s="190">
        <v>45796</v>
      </c>
      <c r="C3706" s="260" t="s">
        <v>749</v>
      </c>
      <c r="D3706" s="197">
        <v>40</v>
      </c>
      <c r="E3706" s="197">
        <v>4004</v>
      </c>
      <c r="F3706" s="197">
        <v>99.8</v>
      </c>
      <c r="G3706" s="190">
        <v>45796</v>
      </c>
      <c r="H3706" s="196">
        <v>0</v>
      </c>
      <c r="I3706" s="197">
        <v>3992</v>
      </c>
      <c r="J3706" s="197">
        <v>3992</v>
      </c>
      <c r="K3706" s="197">
        <v>0</v>
      </c>
      <c r="L3706" s="197">
        <v>-12</v>
      </c>
      <c r="M3706" s="260" t="s">
        <v>239</v>
      </c>
      <c r="N3706" s="260" t="s">
        <v>514</v>
      </c>
    </row>
    <row r="3707" spans="1:14" ht="14.5" x14ac:dyDescent="0.35">
      <c r="A3707" s="260" t="s">
        <v>747</v>
      </c>
      <c r="B3707" s="190">
        <v>45796</v>
      </c>
      <c r="C3707" s="260" t="s">
        <v>752</v>
      </c>
      <c r="D3707" s="197">
        <v>0</v>
      </c>
      <c r="E3707" s="197">
        <v>0</v>
      </c>
      <c r="F3707" s="197">
        <v>190.6</v>
      </c>
      <c r="G3707" s="190">
        <v>45796</v>
      </c>
      <c r="H3707" s="196">
        <v>0</v>
      </c>
      <c r="I3707" s="197">
        <v>0</v>
      </c>
      <c r="J3707" s="197">
        <v>0</v>
      </c>
      <c r="K3707" s="197">
        <v>0</v>
      </c>
      <c r="L3707" s="197">
        <v>0</v>
      </c>
      <c r="M3707" s="260" t="s">
        <v>239</v>
      </c>
      <c r="N3707" s="260" t="s">
        <v>514</v>
      </c>
    </row>
    <row r="3708" spans="1:14" ht="14.5" x14ac:dyDescent="0.35">
      <c r="A3708" s="260" t="s">
        <v>747</v>
      </c>
      <c r="B3708" s="190">
        <v>45796</v>
      </c>
      <c r="C3708" s="260" t="s">
        <v>754</v>
      </c>
      <c r="D3708" s="197">
        <v>100</v>
      </c>
      <c r="E3708" s="197">
        <v>8008</v>
      </c>
      <c r="F3708" s="197">
        <v>82.6</v>
      </c>
      <c r="G3708" s="190">
        <v>45796</v>
      </c>
      <c r="H3708" s="196">
        <v>0</v>
      </c>
      <c r="I3708" s="197">
        <v>8260</v>
      </c>
      <c r="J3708" s="197">
        <v>8260</v>
      </c>
      <c r="K3708" s="197">
        <v>0</v>
      </c>
      <c r="L3708" s="197">
        <v>252</v>
      </c>
      <c r="M3708" s="260" t="s">
        <v>239</v>
      </c>
      <c r="N3708" s="260" t="s">
        <v>514</v>
      </c>
    </row>
    <row r="3709" spans="1:14" ht="14.5" x14ac:dyDescent="0.35">
      <c r="A3709" s="260" t="s">
        <v>747</v>
      </c>
      <c r="B3709" s="190">
        <v>45797</v>
      </c>
      <c r="C3709" s="260" t="s">
        <v>749</v>
      </c>
      <c r="D3709" s="197">
        <v>40</v>
      </c>
      <c r="E3709" s="197">
        <v>4004</v>
      </c>
      <c r="F3709" s="197">
        <v>99.73</v>
      </c>
      <c r="G3709" s="190">
        <v>45797</v>
      </c>
      <c r="H3709" s="196">
        <v>0</v>
      </c>
      <c r="I3709" s="197">
        <v>3989.2000000000003</v>
      </c>
      <c r="J3709" s="197">
        <v>3989.2000000000003</v>
      </c>
      <c r="K3709" s="197">
        <v>0</v>
      </c>
      <c r="L3709" s="197">
        <v>-14.799999999999727</v>
      </c>
      <c r="M3709" s="260" t="s">
        <v>239</v>
      </c>
      <c r="N3709" s="260" t="s">
        <v>514</v>
      </c>
    </row>
    <row r="3710" spans="1:14" ht="14.5" x14ac:dyDescent="0.35">
      <c r="A3710" s="260" t="s">
        <v>747</v>
      </c>
      <c r="B3710" s="190">
        <v>45797</v>
      </c>
      <c r="C3710" s="260" t="s">
        <v>752</v>
      </c>
      <c r="D3710" s="197">
        <v>0</v>
      </c>
      <c r="E3710" s="197">
        <v>0</v>
      </c>
      <c r="F3710" s="197">
        <v>190.8</v>
      </c>
      <c r="G3710" s="190">
        <v>45797</v>
      </c>
      <c r="H3710" s="196">
        <v>0</v>
      </c>
      <c r="I3710" s="197">
        <v>0</v>
      </c>
      <c r="J3710" s="197">
        <v>0</v>
      </c>
      <c r="K3710" s="197">
        <v>0</v>
      </c>
      <c r="L3710" s="197">
        <v>0</v>
      </c>
      <c r="M3710" s="260" t="s">
        <v>239</v>
      </c>
      <c r="N3710" s="260" t="s">
        <v>514</v>
      </c>
    </row>
    <row r="3711" spans="1:14" ht="14.5" x14ac:dyDescent="0.35">
      <c r="A3711" s="260" t="s">
        <v>747</v>
      </c>
      <c r="B3711" s="190">
        <v>45797</v>
      </c>
      <c r="C3711" s="260" t="s">
        <v>754</v>
      </c>
      <c r="D3711" s="197">
        <v>100</v>
      </c>
      <c r="E3711" s="197">
        <v>8008</v>
      </c>
      <c r="F3711" s="197">
        <v>82.8</v>
      </c>
      <c r="G3711" s="190">
        <v>45797</v>
      </c>
      <c r="H3711" s="196">
        <v>0</v>
      </c>
      <c r="I3711" s="197">
        <v>8280</v>
      </c>
      <c r="J3711" s="197">
        <v>8280</v>
      </c>
      <c r="K3711" s="197">
        <v>0</v>
      </c>
      <c r="L3711" s="197">
        <v>272</v>
      </c>
      <c r="M3711" s="260" t="s">
        <v>239</v>
      </c>
      <c r="N3711" s="260" t="s">
        <v>514</v>
      </c>
    </row>
    <row r="3712" spans="1:14" ht="14.5" x14ac:dyDescent="0.35">
      <c r="A3712" s="260" t="s">
        <v>747</v>
      </c>
      <c r="B3712" s="190">
        <v>45798</v>
      </c>
      <c r="C3712" s="260" t="s">
        <v>749</v>
      </c>
      <c r="D3712" s="197">
        <v>40</v>
      </c>
      <c r="E3712" s="197">
        <v>4004</v>
      </c>
      <c r="F3712" s="197">
        <v>99.67</v>
      </c>
      <c r="G3712" s="190">
        <v>45798</v>
      </c>
      <c r="H3712" s="196">
        <v>0</v>
      </c>
      <c r="I3712" s="197">
        <v>3986.8</v>
      </c>
      <c r="J3712" s="197">
        <v>3986.8</v>
      </c>
      <c r="K3712" s="197">
        <v>0</v>
      </c>
      <c r="L3712" s="197">
        <v>-17.199999999999818</v>
      </c>
      <c r="M3712" s="260" t="s">
        <v>239</v>
      </c>
      <c r="N3712" s="260" t="s">
        <v>514</v>
      </c>
    </row>
    <row r="3713" spans="1:14" ht="14.5" x14ac:dyDescent="0.35">
      <c r="A3713" s="260" t="s">
        <v>747</v>
      </c>
      <c r="B3713" s="190">
        <v>45798</v>
      </c>
      <c r="C3713" s="260" t="s">
        <v>752</v>
      </c>
      <c r="D3713" s="197">
        <v>0</v>
      </c>
      <c r="E3713" s="197">
        <v>0</v>
      </c>
      <c r="F3713" s="197">
        <v>191</v>
      </c>
      <c r="G3713" s="190">
        <v>45798</v>
      </c>
      <c r="H3713" s="196">
        <v>0</v>
      </c>
      <c r="I3713" s="197">
        <v>0</v>
      </c>
      <c r="J3713" s="197">
        <v>0</v>
      </c>
      <c r="K3713" s="197">
        <v>0</v>
      </c>
      <c r="L3713" s="197">
        <v>0</v>
      </c>
      <c r="M3713" s="260" t="s">
        <v>239</v>
      </c>
      <c r="N3713" s="260" t="s">
        <v>514</v>
      </c>
    </row>
    <row r="3714" spans="1:14" ht="14.5" x14ac:dyDescent="0.35">
      <c r="A3714" s="260" t="s">
        <v>747</v>
      </c>
      <c r="B3714" s="190">
        <v>45798</v>
      </c>
      <c r="C3714" s="260" t="s">
        <v>754</v>
      </c>
      <c r="D3714" s="197">
        <v>100</v>
      </c>
      <c r="E3714" s="197">
        <v>8008</v>
      </c>
      <c r="F3714" s="197">
        <v>83</v>
      </c>
      <c r="G3714" s="190">
        <v>45798</v>
      </c>
      <c r="H3714" s="196">
        <v>0</v>
      </c>
      <c r="I3714" s="197">
        <v>8300</v>
      </c>
      <c r="J3714" s="197">
        <v>8300</v>
      </c>
      <c r="K3714" s="197">
        <v>0</v>
      </c>
      <c r="L3714" s="197">
        <v>292</v>
      </c>
      <c r="M3714" s="260" t="s">
        <v>239</v>
      </c>
      <c r="N3714" s="260" t="s">
        <v>514</v>
      </c>
    </row>
    <row r="3715" spans="1:14" ht="14.5" x14ac:dyDescent="0.35">
      <c r="A3715" s="260" t="s">
        <v>747</v>
      </c>
      <c r="B3715" s="190">
        <v>45799</v>
      </c>
      <c r="C3715" s="260" t="s">
        <v>749</v>
      </c>
      <c r="D3715" s="197">
        <v>40</v>
      </c>
      <c r="E3715" s="197">
        <v>4004</v>
      </c>
      <c r="F3715" s="197">
        <v>99.6</v>
      </c>
      <c r="G3715" s="190">
        <v>45799</v>
      </c>
      <c r="H3715" s="196">
        <v>0</v>
      </c>
      <c r="I3715" s="197">
        <v>3984</v>
      </c>
      <c r="J3715" s="197">
        <v>3984</v>
      </c>
      <c r="K3715" s="197">
        <v>0</v>
      </c>
      <c r="L3715" s="197">
        <v>-20</v>
      </c>
      <c r="M3715" s="260" t="s">
        <v>239</v>
      </c>
      <c r="N3715" s="260" t="s">
        <v>514</v>
      </c>
    </row>
    <row r="3716" spans="1:14" ht="14.5" x14ac:dyDescent="0.35">
      <c r="A3716" s="260" t="s">
        <v>747</v>
      </c>
      <c r="B3716" s="190">
        <v>45799</v>
      </c>
      <c r="C3716" s="260" t="s">
        <v>752</v>
      </c>
      <c r="D3716" s="197">
        <v>0</v>
      </c>
      <c r="E3716" s="197">
        <v>0</v>
      </c>
      <c r="F3716" s="197">
        <v>191.2</v>
      </c>
      <c r="G3716" s="190">
        <v>45799</v>
      </c>
      <c r="H3716" s="196">
        <v>0</v>
      </c>
      <c r="I3716" s="197">
        <v>0</v>
      </c>
      <c r="J3716" s="197">
        <v>0</v>
      </c>
      <c r="K3716" s="197">
        <v>0</v>
      </c>
      <c r="L3716" s="197">
        <v>0</v>
      </c>
      <c r="M3716" s="260" t="s">
        <v>239</v>
      </c>
      <c r="N3716" s="260" t="s">
        <v>514</v>
      </c>
    </row>
    <row r="3717" spans="1:14" ht="14.5" x14ac:dyDescent="0.35">
      <c r="A3717" s="260" t="s">
        <v>747</v>
      </c>
      <c r="B3717" s="190">
        <v>45799</v>
      </c>
      <c r="C3717" s="260" t="s">
        <v>754</v>
      </c>
      <c r="D3717" s="197">
        <v>100</v>
      </c>
      <c r="E3717" s="197">
        <v>8008</v>
      </c>
      <c r="F3717" s="197">
        <v>83.2</v>
      </c>
      <c r="G3717" s="190">
        <v>45799</v>
      </c>
      <c r="H3717" s="196">
        <v>0</v>
      </c>
      <c r="I3717" s="197">
        <v>8320</v>
      </c>
      <c r="J3717" s="197">
        <v>8320</v>
      </c>
      <c r="K3717" s="197">
        <v>0</v>
      </c>
      <c r="L3717" s="197">
        <v>312</v>
      </c>
      <c r="M3717" s="260" t="s">
        <v>239</v>
      </c>
      <c r="N3717" s="260" t="s">
        <v>514</v>
      </c>
    </row>
    <row r="3718" spans="1:14" ht="14.5" x14ac:dyDescent="0.35">
      <c r="A3718" s="260" t="s">
        <v>747</v>
      </c>
      <c r="B3718" s="190">
        <v>45800</v>
      </c>
      <c r="C3718" s="260" t="s">
        <v>749</v>
      </c>
      <c r="D3718" s="197">
        <v>40</v>
      </c>
      <c r="E3718" s="197">
        <v>4004</v>
      </c>
      <c r="F3718" s="197">
        <v>99.53</v>
      </c>
      <c r="G3718" s="190">
        <v>45800</v>
      </c>
      <c r="H3718" s="196">
        <v>0</v>
      </c>
      <c r="I3718" s="197">
        <v>3981.2</v>
      </c>
      <c r="J3718" s="197">
        <v>3981.2</v>
      </c>
      <c r="K3718" s="197">
        <v>0</v>
      </c>
      <c r="L3718" s="197">
        <v>-22.800000000000182</v>
      </c>
      <c r="M3718" s="260" t="s">
        <v>239</v>
      </c>
      <c r="N3718" s="260" t="s">
        <v>514</v>
      </c>
    </row>
    <row r="3719" spans="1:14" ht="14.5" x14ac:dyDescent="0.35">
      <c r="A3719" s="260" t="s">
        <v>747</v>
      </c>
      <c r="B3719" s="190">
        <v>45800</v>
      </c>
      <c r="C3719" s="260" t="s">
        <v>752</v>
      </c>
      <c r="D3719" s="197">
        <v>0</v>
      </c>
      <c r="E3719" s="197">
        <v>0</v>
      </c>
      <c r="F3719" s="197">
        <v>191.4</v>
      </c>
      <c r="G3719" s="190">
        <v>45800</v>
      </c>
      <c r="H3719" s="196">
        <v>0</v>
      </c>
      <c r="I3719" s="197">
        <v>0</v>
      </c>
      <c r="J3719" s="197">
        <v>0</v>
      </c>
      <c r="K3719" s="197">
        <v>0</v>
      </c>
      <c r="L3719" s="197">
        <v>0</v>
      </c>
      <c r="M3719" s="260" t="s">
        <v>239</v>
      </c>
      <c r="N3719" s="260" t="s">
        <v>514</v>
      </c>
    </row>
    <row r="3720" spans="1:14" ht="14.5" x14ac:dyDescent="0.35">
      <c r="A3720" s="260" t="s">
        <v>747</v>
      </c>
      <c r="B3720" s="190">
        <v>45800</v>
      </c>
      <c r="C3720" s="260" t="s">
        <v>754</v>
      </c>
      <c r="D3720" s="197">
        <v>100</v>
      </c>
      <c r="E3720" s="197">
        <v>8008</v>
      </c>
      <c r="F3720" s="197">
        <v>83.4</v>
      </c>
      <c r="G3720" s="190">
        <v>45800</v>
      </c>
      <c r="H3720" s="196">
        <v>0</v>
      </c>
      <c r="I3720" s="197">
        <v>8340</v>
      </c>
      <c r="J3720" s="197">
        <v>8340</v>
      </c>
      <c r="K3720" s="197">
        <v>0</v>
      </c>
      <c r="L3720" s="197">
        <v>332</v>
      </c>
      <c r="M3720" s="260" t="s">
        <v>239</v>
      </c>
      <c r="N3720" s="260" t="s">
        <v>514</v>
      </c>
    </row>
    <row r="3721" spans="1:14" ht="14.5" x14ac:dyDescent="0.35">
      <c r="A3721" s="260" t="s">
        <v>747</v>
      </c>
      <c r="B3721" s="190">
        <v>45801</v>
      </c>
      <c r="C3721" s="260" t="s">
        <v>749</v>
      </c>
      <c r="D3721" s="197">
        <v>40</v>
      </c>
      <c r="E3721" s="197">
        <v>4004</v>
      </c>
      <c r="F3721" s="197">
        <v>99.53</v>
      </c>
      <c r="G3721" s="190">
        <v>45800</v>
      </c>
      <c r="H3721" s="196">
        <v>1</v>
      </c>
      <c r="I3721" s="197">
        <v>3981.2</v>
      </c>
      <c r="J3721" s="197">
        <v>3981.2</v>
      </c>
      <c r="K3721" s="197">
        <v>0</v>
      </c>
      <c r="L3721" s="197">
        <v>-22.800000000000182</v>
      </c>
      <c r="M3721" s="260" t="s">
        <v>239</v>
      </c>
      <c r="N3721" s="260" t="s">
        <v>514</v>
      </c>
    </row>
    <row r="3722" spans="1:14" ht="14.5" x14ac:dyDescent="0.35">
      <c r="A3722" s="260" t="s">
        <v>747</v>
      </c>
      <c r="B3722" s="190">
        <v>45801</v>
      </c>
      <c r="C3722" s="260" t="s">
        <v>752</v>
      </c>
      <c r="D3722" s="197">
        <v>0</v>
      </c>
      <c r="E3722" s="197">
        <v>0</v>
      </c>
      <c r="F3722" s="197">
        <v>191.4</v>
      </c>
      <c r="G3722" s="190">
        <v>45800</v>
      </c>
      <c r="H3722" s="196">
        <v>1</v>
      </c>
      <c r="I3722" s="197">
        <v>0</v>
      </c>
      <c r="J3722" s="197">
        <v>0</v>
      </c>
      <c r="K3722" s="197">
        <v>0</v>
      </c>
      <c r="L3722" s="197">
        <v>0</v>
      </c>
      <c r="M3722" s="260" t="s">
        <v>239</v>
      </c>
      <c r="N3722" s="260" t="s">
        <v>514</v>
      </c>
    </row>
    <row r="3723" spans="1:14" ht="14.5" x14ac:dyDescent="0.35">
      <c r="A3723" s="260" t="s">
        <v>747</v>
      </c>
      <c r="B3723" s="190">
        <v>45801</v>
      </c>
      <c r="C3723" s="260" t="s">
        <v>754</v>
      </c>
      <c r="D3723" s="197">
        <v>100</v>
      </c>
      <c r="E3723" s="197">
        <v>8008</v>
      </c>
      <c r="F3723" s="197">
        <v>83.4</v>
      </c>
      <c r="G3723" s="190">
        <v>45800</v>
      </c>
      <c r="H3723" s="196">
        <v>1</v>
      </c>
      <c r="I3723" s="197">
        <v>8340</v>
      </c>
      <c r="J3723" s="197">
        <v>8340</v>
      </c>
      <c r="K3723" s="197">
        <v>0</v>
      </c>
      <c r="L3723" s="197">
        <v>332</v>
      </c>
      <c r="M3723" s="260" t="s">
        <v>239</v>
      </c>
      <c r="N3723" s="260" t="s">
        <v>514</v>
      </c>
    </row>
    <row r="3724" spans="1:14" ht="14.5" x14ac:dyDescent="0.35">
      <c r="A3724" s="260" t="s">
        <v>747</v>
      </c>
      <c r="B3724" s="190">
        <v>45802</v>
      </c>
      <c r="C3724" s="260" t="s">
        <v>749</v>
      </c>
      <c r="D3724" s="197">
        <v>40</v>
      </c>
      <c r="E3724" s="197">
        <v>4004</v>
      </c>
      <c r="F3724" s="197">
        <v>99.53</v>
      </c>
      <c r="G3724" s="190">
        <v>45800</v>
      </c>
      <c r="H3724" s="196">
        <v>2</v>
      </c>
      <c r="I3724" s="197">
        <v>3981.2</v>
      </c>
      <c r="J3724" s="197">
        <v>3981.2</v>
      </c>
      <c r="K3724" s="197">
        <v>0</v>
      </c>
      <c r="L3724" s="197">
        <v>-22.800000000000182</v>
      </c>
      <c r="M3724" s="260" t="s">
        <v>239</v>
      </c>
      <c r="N3724" s="260" t="s">
        <v>514</v>
      </c>
    </row>
    <row r="3725" spans="1:14" ht="14.5" x14ac:dyDescent="0.35">
      <c r="A3725" s="260" t="s">
        <v>747</v>
      </c>
      <c r="B3725" s="190">
        <v>45802</v>
      </c>
      <c r="C3725" s="260" t="s">
        <v>752</v>
      </c>
      <c r="D3725" s="197">
        <v>0</v>
      </c>
      <c r="E3725" s="197">
        <v>0</v>
      </c>
      <c r="F3725" s="197">
        <v>191.4</v>
      </c>
      <c r="G3725" s="190">
        <v>45800</v>
      </c>
      <c r="H3725" s="196">
        <v>2</v>
      </c>
      <c r="I3725" s="197">
        <v>0</v>
      </c>
      <c r="J3725" s="197">
        <v>0</v>
      </c>
      <c r="K3725" s="197">
        <v>0</v>
      </c>
      <c r="L3725" s="197">
        <v>0</v>
      </c>
      <c r="M3725" s="260" t="s">
        <v>239</v>
      </c>
      <c r="N3725" s="260" t="s">
        <v>514</v>
      </c>
    </row>
    <row r="3726" spans="1:14" ht="14.5" x14ac:dyDescent="0.35">
      <c r="A3726" s="260" t="s">
        <v>747</v>
      </c>
      <c r="B3726" s="190">
        <v>45802</v>
      </c>
      <c r="C3726" s="260" t="s">
        <v>754</v>
      </c>
      <c r="D3726" s="197">
        <v>100</v>
      </c>
      <c r="E3726" s="197">
        <v>8008</v>
      </c>
      <c r="F3726" s="197">
        <v>83.4</v>
      </c>
      <c r="G3726" s="190">
        <v>45800</v>
      </c>
      <c r="H3726" s="196">
        <v>2</v>
      </c>
      <c r="I3726" s="197">
        <v>8340</v>
      </c>
      <c r="J3726" s="197">
        <v>8340</v>
      </c>
      <c r="K3726" s="197">
        <v>0</v>
      </c>
      <c r="L3726" s="197">
        <v>332</v>
      </c>
      <c r="M3726" s="260" t="s">
        <v>239</v>
      </c>
      <c r="N3726" s="260" t="s">
        <v>514</v>
      </c>
    </row>
    <row r="3727" spans="1:14" ht="14.5" x14ac:dyDescent="0.35">
      <c r="A3727" s="260" t="s">
        <v>747</v>
      </c>
      <c r="B3727" s="190">
        <v>45803</v>
      </c>
      <c r="C3727" s="260" t="s">
        <v>749</v>
      </c>
      <c r="D3727" s="197">
        <v>40</v>
      </c>
      <c r="E3727" s="197">
        <v>4004</v>
      </c>
      <c r="F3727" s="197">
        <v>99.33</v>
      </c>
      <c r="G3727" s="190">
        <v>45803</v>
      </c>
      <c r="H3727" s="196">
        <v>0</v>
      </c>
      <c r="I3727" s="197">
        <v>3973.2</v>
      </c>
      <c r="J3727" s="197">
        <v>3973.2</v>
      </c>
      <c r="K3727" s="197">
        <v>0</v>
      </c>
      <c r="L3727" s="197">
        <v>-30.800000000000182</v>
      </c>
      <c r="M3727" s="260" t="s">
        <v>239</v>
      </c>
      <c r="N3727" s="260" t="s">
        <v>514</v>
      </c>
    </row>
    <row r="3728" spans="1:14" ht="14.5" x14ac:dyDescent="0.35">
      <c r="A3728" s="260" t="s">
        <v>747</v>
      </c>
      <c r="B3728" s="190">
        <v>45803</v>
      </c>
      <c r="C3728" s="260" t="s">
        <v>752</v>
      </c>
      <c r="D3728" s="197">
        <v>0</v>
      </c>
      <c r="E3728" s="197">
        <v>0</v>
      </c>
      <c r="F3728" s="197">
        <v>192</v>
      </c>
      <c r="G3728" s="190">
        <v>45803</v>
      </c>
      <c r="H3728" s="196">
        <v>0</v>
      </c>
      <c r="I3728" s="197">
        <v>0</v>
      </c>
      <c r="J3728" s="197">
        <v>0</v>
      </c>
      <c r="K3728" s="197">
        <v>0</v>
      </c>
      <c r="L3728" s="197">
        <v>0</v>
      </c>
      <c r="M3728" s="260" t="s">
        <v>239</v>
      </c>
      <c r="N3728" s="260" t="s">
        <v>514</v>
      </c>
    </row>
    <row r="3729" spans="1:14" ht="14.5" x14ac:dyDescent="0.35">
      <c r="A3729" s="260" t="s">
        <v>747</v>
      </c>
      <c r="B3729" s="190">
        <v>45803</v>
      </c>
      <c r="C3729" s="260" t="s">
        <v>754</v>
      </c>
      <c r="D3729" s="197">
        <v>100</v>
      </c>
      <c r="E3729" s="197">
        <v>8008</v>
      </c>
      <c r="F3729" s="197">
        <v>84</v>
      </c>
      <c r="G3729" s="190">
        <v>45803</v>
      </c>
      <c r="H3729" s="196">
        <v>0</v>
      </c>
      <c r="I3729" s="197">
        <v>8400</v>
      </c>
      <c r="J3729" s="197">
        <v>8400</v>
      </c>
      <c r="K3729" s="197">
        <v>0</v>
      </c>
      <c r="L3729" s="197">
        <v>392</v>
      </c>
      <c r="M3729" s="260" t="s">
        <v>239</v>
      </c>
      <c r="N3729" s="260" t="s">
        <v>514</v>
      </c>
    </row>
    <row r="3730" spans="1:14" ht="14.5" x14ac:dyDescent="0.35">
      <c r="A3730" s="260" t="s">
        <v>747</v>
      </c>
      <c r="B3730" s="190">
        <v>45804</v>
      </c>
      <c r="C3730" s="260" t="s">
        <v>749</v>
      </c>
      <c r="D3730" s="197">
        <v>40</v>
      </c>
      <c r="E3730" s="197">
        <v>4004</v>
      </c>
      <c r="F3730" s="197">
        <v>99.27</v>
      </c>
      <c r="G3730" s="190">
        <v>45804</v>
      </c>
      <c r="H3730" s="196">
        <v>0</v>
      </c>
      <c r="I3730" s="197">
        <v>3970.7999999999997</v>
      </c>
      <c r="J3730" s="197">
        <v>3970.7999999999997</v>
      </c>
      <c r="K3730" s="197">
        <v>0</v>
      </c>
      <c r="L3730" s="197">
        <v>-33.200000000000273</v>
      </c>
      <c r="M3730" s="260" t="s">
        <v>239</v>
      </c>
      <c r="N3730" s="260" t="s">
        <v>514</v>
      </c>
    </row>
    <row r="3731" spans="1:14" ht="14.5" x14ac:dyDescent="0.35">
      <c r="A3731" s="260" t="s">
        <v>747</v>
      </c>
      <c r="B3731" s="190">
        <v>45804</v>
      </c>
      <c r="C3731" s="260" t="s">
        <v>752</v>
      </c>
      <c r="D3731" s="197">
        <v>0</v>
      </c>
      <c r="E3731" s="197">
        <v>0</v>
      </c>
      <c r="F3731" s="197">
        <v>192.2</v>
      </c>
      <c r="G3731" s="190">
        <v>45804</v>
      </c>
      <c r="H3731" s="196">
        <v>0</v>
      </c>
      <c r="I3731" s="197">
        <v>0</v>
      </c>
      <c r="J3731" s="197">
        <v>0</v>
      </c>
      <c r="K3731" s="197">
        <v>0</v>
      </c>
      <c r="L3731" s="197">
        <v>0</v>
      </c>
      <c r="M3731" s="260" t="s">
        <v>239</v>
      </c>
      <c r="N3731" s="260" t="s">
        <v>514</v>
      </c>
    </row>
    <row r="3732" spans="1:14" ht="14.5" x14ac:dyDescent="0.35">
      <c r="A3732" s="260" t="s">
        <v>747</v>
      </c>
      <c r="B3732" s="190">
        <v>45804</v>
      </c>
      <c r="C3732" s="260" t="s">
        <v>754</v>
      </c>
      <c r="D3732" s="197">
        <v>100</v>
      </c>
      <c r="E3732" s="197">
        <v>8008</v>
      </c>
      <c r="F3732" s="197">
        <v>84.2</v>
      </c>
      <c r="G3732" s="190">
        <v>45804</v>
      </c>
      <c r="H3732" s="196">
        <v>0</v>
      </c>
      <c r="I3732" s="197">
        <v>8420</v>
      </c>
      <c r="J3732" s="197">
        <v>8420</v>
      </c>
      <c r="K3732" s="197">
        <v>0</v>
      </c>
      <c r="L3732" s="197">
        <v>412</v>
      </c>
      <c r="M3732" s="260" t="s">
        <v>239</v>
      </c>
      <c r="N3732" s="260" t="s">
        <v>514</v>
      </c>
    </row>
    <row r="3733" spans="1:14" ht="14.5" x14ac:dyDescent="0.35">
      <c r="A3733" s="260" t="s">
        <v>747</v>
      </c>
      <c r="B3733" s="190">
        <v>45805</v>
      </c>
      <c r="C3733" s="260" t="s">
        <v>749</v>
      </c>
      <c r="D3733" s="197">
        <v>40</v>
      </c>
      <c r="E3733" s="197">
        <v>4004</v>
      </c>
      <c r="F3733" s="197">
        <v>99.2</v>
      </c>
      <c r="G3733" s="190">
        <v>45805</v>
      </c>
      <c r="H3733" s="196">
        <v>0</v>
      </c>
      <c r="I3733" s="197">
        <v>3968</v>
      </c>
      <c r="J3733" s="197">
        <v>3968</v>
      </c>
      <c r="K3733" s="197">
        <v>0</v>
      </c>
      <c r="L3733" s="197">
        <v>-36</v>
      </c>
      <c r="M3733" s="260" t="s">
        <v>239</v>
      </c>
      <c r="N3733" s="260" t="s">
        <v>514</v>
      </c>
    </row>
    <row r="3734" spans="1:14" ht="14.5" x14ac:dyDescent="0.35">
      <c r="A3734" s="260" t="s">
        <v>747</v>
      </c>
      <c r="B3734" s="190">
        <v>45805</v>
      </c>
      <c r="C3734" s="260" t="s">
        <v>752</v>
      </c>
      <c r="D3734" s="197">
        <v>0</v>
      </c>
      <c r="E3734" s="197">
        <v>0</v>
      </c>
      <c r="F3734" s="197">
        <v>192.4</v>
      </c>
      <c r="G3734" s="190">
        <v>45805</v>
      </c>
      <c r="H3734" s="196">
        <v>0</v>
      </c>
      <c r="I3734" s="197">
        <v>0</v>
      </c>
      <c r="J3734" s="197">
        <v>0</v>
      </c>
      <c r="K3734" s="197">
        <v>0</v>
      </c>
      <c r="L3734" s="197">
        <v>0</v>
      </c>
      <c r="M3734" s="260" t="s">
        <v>239</v>
      </c>
      <c r="N3734" s="260" t="s">
        <v>514</v>
      </c>
    </row>
    <row r="3735" spans="1:14" ht="14.5" x14ac:dyDescent="0.35">
      <c r="A3735" s="260" t="s">
        <v>747</v>
      </c>
      <c r="B3735" s="190">
        <v>45805</v>
      </c>
      <c r="C3735" s="260" t="s">
        <v>754</v>
      </c>
      <c r="D3735" s="197">
        <v>100</v>
      </c>
      <c r="E3735" s="197">
        <v>8008</v>
      </c>
      <c r="F3735" s="197">
        <v>84.4</v>
      </c>
      <c r="G3735" s="190">
        <v>45805</v>
      </c>
      <c r="H3735" s="196">
        <v>0</v>
      </c>
      <c r="I3735" s="197">
        <v>8440</v>
      </c>
      <c r="J3735" s="197">
        <v>8440</v>
      </c>
      <c r="K3735" s="197">
        <v>0</v>
      </c>
      <c r="L3735" s="197">
        <v>432</v>
      </c>
      <c r="M3735" s="260" t="s">
        <v>239</v>
      </c>
      <c r="N3735" s="260" t="s">
        <v>514</v>
      </c>
    </row>
    <row r="3736" spans="1:14" ht="14.5" x14ac:dyDescent="0.35">
      <c r="A3736" s="260" t="s">
        <v>747</v>
      </c>
      <c r="B3736" s="190">
        <v>45806</v>
      </c>
      <c r="C3736" s="260" t="s">
        <v>749</v>
      </c>
      <c r="D3736" s="197">
        <v>40</v>
      </c>
      <c r="E3736" s="197">
        <v>4004</v>
      </c>
      <c r="F3736" s="197">
        <v>99.13</v>
      </c>
      <c r="G3736" s="190">
        <v>45806</v>
      </c>
      <c r="H3736" s="196">
        <v>0</v>
      </c>
      <c r="I3736" s="197">
        <v>3965.2</v>
      </c>
      <c r="J3736" s="197">
        <v>3965.2</v>
      </c>
      <c r="K3736" s="197">
        <v>0</v>
      </c>
      <c r="L3736" s="197">
        <v>-38.800000000000182</v>
      </c>
      <c r="M3736" s="260" t="s">
        <v>239</v>
      </c>
      <c r="N3736" s="260" t="s">
        <v>514</v>
      </c>
    </row>
    <row r="3737" spans="1:14" ht="14.5" x14ac:dyDescent="0.35">
      <c r="A3737" s="260" t="s">
        <v>747</v>
      </c>
      <c r="B3737" s="190">
        <v>45806</v>
      </c>
      <c r="C3737" s="260" t="s">
        <v>752</v>
      </c>
      <c r="D3737" s="197">
        <v>0</v>
      </c>
      <c r="E3737" s="197">
        <v>0</v>
      </c>
      <c r="F3737" s="197">
        <v>192.6</v>
      </c>
      <c r="G3737" s="190">
        <v>45806</v>
      </c>
      <c r="H3737" s="196">
        <v>0</v>
      </c>
      <c r="I3737" s="197">
        <v>0</v>
      </c>
      <c r="J3737" s="197">
        <v>0</v>
      </c>
      <c r="K3737" s="197">
        <v>0</v>
      </c>
      <c r="L3737" s="197">
        <v>0</v>
      </c>
      <c r="M3737" s="260" t="s">
        <v>239</v>
      </c>
      <c r="N3737" s="260" t="s">
        <v>514</v>
      </c>
    </row>
    <row r="3738" spans="1:14" ht="14.5" x14ac:dyDescent="0.35">
      <c r="A3738" s="260" t="s">
        <v>747</v>
      </c>
      <c r="B3738" s="190">
        <v>45806</v>
      </c>
      <c r="C3738" s="260" t="s">
        <v>754</v>
      </c>
      <c r="D3738" s="197">
        <v>100</v>
      </c>
      <c r="E3738" s="197">
        <v>8008</v>
      </c>
      <c r="F3738" s="197">
        <v>84.6</v>
      </c>
      <c r="G3738" s="190">
        <v>45806</v>
      </c>
      <c r="H3738" s="196">
        <v>0</v>
      </c>
      <c r="I3738" s="197">
        <v>8460</v>
      </c>
      <c r="J3738" s="197">
        <v>8460</v>
      </c>
      <c r="K3738" s="197">
        <v>0</v>
      </c>
      <c r="L3738" s="197">
        <v>452</v>
      </c>
      <c r="M3738" s="260" t="s">
        <v>239</v>
      </c>
      <c r="N3738" s="260" t="s">
        <v>514</v>
      </c>
    </row>
    <row r="3739" spans="1:14" ht="14.5" x14ac:dyDescent="0.35">
      <c r="A3739" s="260" t="s">
        <v>747</v>
      </c>
      <c r="B3739" s="190">
        <v>45807</v>
      </c>
      <c r="C3739" s="260" t="s">
        <v>749</v>
      </c>
      <c r="D3739" s="197">
        <v>40</v>
      </c>
      <c r="E3739" s="197">
        <v>4004</v>
      </c>
      <c r="F3739" s="197">
        <v>99.07</v>
      </c>
      <c r="G3739" s="190">
        <v>45807</v>
      </c>
      <c r="H3739" s="196">
        <v>0</v>
      </c>
      <c r="I3739" s="197">
        <v>3962.7999999999997</v>
      </c>
      <c r="J3739" s="197">
        <v>3962.7999999999997</v>
      </c>
      <c r="K3739" s="197">
        <v>0</v>
      </c>
      <c r="L3739" s="197">
        <v>-41.200000000000273</v>
      </c>
      <c r="M3739" s="260" t="s">
        <v>239</v>
      </c>
      <c r="N3739" s="260" t="s">
        <v>514</v>
      </c>
    </row>
    <row r="3740" spans="1:14" ht="14.5" x14ac:dyDescent="0.35">
      <c r="A3740" s="260" t="s">
        <v>747</v>
      </c>
      <c r="B3740" s="190">
        <v>45807</v>
      </c>
      <c r="C3740" s="260" t="s">
        <v>752</v>
      </c>
      <c r="D3740" s="197">
        <v>0</v>
      </c>
      <c r="E3740" s="197">
        <v>0</v>
      </c>
      <c r="F3740" s="197">
        <v>192.8</v>
      </c>
      <c r="G3740" s="190">
        <v>45807</v>
      </c>
      <c r="H3740" s="196">
        <v>0</v>
      </c>
      <c r="I3740" s="197">
        <v>0</v>
      </c>
      <c r="J3740" s="197">
        <v>0</v>
      </c>
      <c r="K3740" s="197">
        <v>0</v>
      </c>
      <c r="L3740" s="197">
        <v>0</v>
      </c>
      <c r="M3740" s="260" t="s">
        <v>239</v>
      </c>
      <c r="N3740" s="260" t="s">
        <v>514</v>
      </c>
    </row>
    <row r="3741" spans="1:14" ht="14.5" x14ac:dyDescent="0.35">
      <c r="A3741" s="260" t="s">
        <v>747</v>
      </c>
      <c r="B3741" s="190">
        <v>45807</v>
      </c>
      <c r="C3741" s="260" t="s">
        <v>754</v>
      </c>
      <c r="D3741" s="197">
        <v>100</v>
      </c>
      <c r="E3741" s="197">
        <v>8008</v>
      </c>
      <c r="F3741" s="197">
        <v>84.8</v>
      </c>
      <c r="G3741" s="190">
        <v>45807</v>
      </c>
      <c r="H3741" s="196">
        <v>0</v>
      </c>
      <c r="I3741" s="197">
        <v>8480</v>
      </c>
      <c r="J3741" s="197">
        <v>8480</v>
      </c>
      <c r="K3741" s="197">
        <v>0</v>
      </c>
      <c r="L3741" s="197">
        <v>472</v>
      </c>
      <c r="M3741" s="260" t="s">
        <v>239</v>
      </c>
      <c r="N3741" s="260" t="s">
        <v>514</v>
      </c>
    </row>
    <row r="3742" spans="1:14" ht="14.5" x14ac:dyDescent="0.35">
      <c r="A3742" s="260" t="s">
        <v>747</v>
      </c>
      <c r="B3742" s="190">
        <v>45808</v>
      </c>
      <c r="C3742" s="260" t="s">
        <v>749</v>
      </c>
      <c r="D3742" s="197">
        <v>40</v>
      </c>
      <c r="E3742" s="197">
        <v>4004</v>
      </c>
      <c r="F3742" s="197">
        <v>99.07</v>
      </c>
      <c r="G3742" s="190">
        <v>45807</v>
      </c>
      <c r="H3742" s="196">
        <v>1</v>
      </c>
      <c r="I3742" s="197">
        <v>3962.7999999999997</v>
      </c>
      <c r="J3742" s="197">
        <v>3962.7999999999997</v>
      </c>
      <c r="K3742" s="197">
        <v>0</v>
      </c>
      <c r="L3742" s="197">
        <v>-41.200000000000273</v>
      </c>
      <c r="M3742" s="260" t="s">
        <v>239</v>
      </c>
      <c r="N3742" s="260" t="s">
        <v>514</v>
      </c>
    </row>
    <row r="3743" spans="1:14" ht="14.5" x14ac:dyDescent="0.35">
      <c r="A3743" s="260" t="s">
        <v>747</v>
      </c>
      <c r="B3743" s="190">
        <v>45808</v>
      </c>
      <c r="C3743" s="260" t="s">
        <v>752</v>
      </c>
      <c r="D3743" s="197">
        <v>0</v>
      </c>
      <c r="E3743" s="197">
        <v>0</v>
      </c>
      <c r="F3743" s="197">
        <v>192.8</v>
      </c>
      <c r="G3743" s="190">
        <v>45807</v>
      </c>
      <c r="H3743" s="196">
        <v>1</v>
      </c>
      <c r="I3743" s="197">
        <v>0</v>
      </c>
      <c r="J3743" s="197">
        <v>0</v>
      </c>
      <c r="K3743" s="197">
        <v>0</v>
      </c>
      <c r="L3743" s="197">
        <v>0</v>
      </c>
      <c r="M3743" s="260" t="s">
        <v>239</v>
      </c>
      <c r="N3743" s="260" t="s">
        <v>514</v>
      </c>
    </row>
    <row r="3744" spans="1:14" ht="14.5" x14ac:dyDescent="0.35">
      <c r="A3744" s="260" t="s">
        <v>747</v>
      </c>
      <c r="B3744" s="190">
        <v>45808</v>
      </c>
      <c r="C3744" s="260" t="s">
        <v>754</v>
      </c>
      <c r="D3744" s="197">
        <v>100</v>
      </c>
      <c r="E3744" s="197">
        <v>8008</v>
      </c>
      <c r="F3744" s="197">
        <v>84.8</v>
      </c>
      <c r="G3744" s="190">
        <v>45807</v>
      </c>
      <c r="H3744" s="196">
        <v>1</v>
      </c>
      <c r="I3744" s="197">
        <v>8480</v>
      </c>
      <c r="J3744" s="197">
        <v>8480</v>
      </c>
      <c r="K3744" s="197">
        <v>0</v>
      </c>
      <c r="L3744" s="197">
        <v>472</v>
      </c>
      <c r="M3744" s="260" t="s">
        <v>239</v>
      </c>
      <c r="N3744" s="260" t="s">
        <v>514</v>
      </c>
    </row>
    <row r="3745" spans="1:14" ht="14.5" x14ac:dyDescent="0.35">
      <c r="A3745" s="260" t="s">
        <v>747</v>
      </c>
      <c r="B3745" s="190">
        <v>45809</v>
      </c>
      <c r="C3745" s="260" t="s">
        <v>749</v>
      </c>
      <c r="D3745" s="197">
        <v>40</v>
      </c>
      <c r="E3745" s="197">
        <v>4004</v>
      </c>
      <c r="F3745" s="197">
        <v>99.07</v>
      </c>
      <c r="G3745" s="190">
        <v>45807</v>
      </c>
      <c r="H3745" s="196">
        <v>2</v>
      </c>
      <c r="I3745" s="197">
        <v>3962.7999999999997</v>
      </c>
      <c r="J3745" s="197">
        <v>3962.7999999999997</v>
      </c>
      <c r="K3745" s="197">
        <v>0</v>
      </c>
      <c r="L3745" s="197">
        <v>-41.200000000000273</v>
      </c>
      <c r="M3745" s="260" t="s">
        <v>239</v>
      </c>
      <c r="N3745" s="260" t="s">
        <v>514</v>
      </c>
    </row>
    <row r="3746" spans="1:14" ht="14.5" x14ac:dyDescent="0.35">
      <c r="A3746" s="260" t="s">
        <v>747</v>
      </c>
      <c r="B3746" s="190">
        <v>45809</v>
      </c>
      <c r="C3746" s="260" t="s">
        <v>752</v>
      </c>
      <c r="D3746" s="197">
        <v>0</v>
      </c>
      <c r="E3746" s="197">
        <v>0</v>
      </c>
      <c r="F3746" s="197">
        <v>192.8</v>
      </c>
      <c r="G3746" s="190">
        <v>45807</v>
      </c>
      <c r="H3746" s="196">
        <v>2</v>
      </c>
      <c r="I3746" s="197">
        <v>0</v>
      </c>
      <c r="J3746" s="197">
        <v>0</v>
      </c>
      <c r="K3746" s="197">
        <v>0</v>
      </c>
      <c r="L3746" s="197">
        <v>0</v>
      </c>
      <c r="M3746" s="260" t="s">
        <v>239</v>
      </c>
      <c r="N3746" s="260" t="s">
        <v>514</v>
      </c>
    </row>
    <row r="3747" spans="1:14" ht="14.5" x14ac:dyDescent="0.35">
      <c r="A3747" s="260" t="s">
        <v>747</v>
      </c>
      <c r="B3747" s="190">
        <v>45809</v>
      </c>
      <c r="C3747" s="260" t="s">
        <v>754</v>
      </c>
      <c r="D3747" s="197">
        <v>100</v>
      </c>
      <c r="E3747" s="197">
        <v>8008</v>
      </c>
      <c r="F3747" s="197">
        <v>84.8</v>
      </c>
      <c r="G3747" s="190">
        <v>45807</v>
      </c>
      <c r="H3747" s="196">
        <v>2</v>
      </c>
      <c r="I3747" s="197">
        <v>8480</v>
      </c>
      <c r="J3747" s="197">
        <v>8480</v>
      </c>
      <c r="K3747" s="197">
        <v>0</v>
      </c>
      <c r="L3747" s="197">
        <v>472</v>
      </c>
      <c r="M3747" s="260" t="s">
        <v>239</v>
      </c>
      <c r="N3747" s="260" t="s">
        <v>514</v>
      </c>
    </row>
    <row r="3748" spans="1:14" ht="14.5" x14ac:dyDescent="0.35">
      <c r="A3748" s="260" t="s">
        <v>747</v>
      </c>
      <c r="B3748" s="190">
        <v>45810</v>
      </c>
      <c r="C3748" s="260" t="s">
        <v>749</v>
      </c>
      <c r="D3748" s="197">
        <v>40</v>
      </c>
      <c r="E3748" s="197">
        <v>4004</v>
      </c>
      <c r="F3748" s="197">
        <v>99.41</v>
      </c>
      <c r="G3748" s="190">
        <v>45810</v>
      </c>
      <c r="H3748" s="196">
        <v>0</v>
      </c>
      <c r="I3748" s="197">
        <v>3976.3999999999996</v>
      </c>
      <c r="J3748" s="197">
        <v>3976.3999999999996</v>
      </c>
      <c r="K3748" s="197">
        <v>0</v>
      </c>
      <c r="L3748" s="197">
        <v>-27.600000000000364</v>
      </c>
      <c r="M3748" s="260" t="s">
        <v>239</v>
      </c>
      <c r="N3748" s="260" t="s">
        <v>514</v>
      </c>
    </row>
    <row r="3749" spans="1:14" ht="14.5" x14ac:dyDescent="0.35">
      <c r="A3749" s="260" t="s">
        <v>747</v>
      </c>
      <c r="B3749" s="190">
        <v>45810</v>
      </c>
      <c r="C3749" s="260" t="s">
        <v>752</v>
      </c>
      <c r="D3749" s="197">
        <v>0</v>
      </c>
      <c r="E3749" s="197">
        <v>0</v>
      </c>
      <c r="F3749" s="197">
        <v>192.62</v>
      </c>
      <c r="G3749" s="190">
        <v>45810</v>
      </c>
      <c r="H3749" s="196">
        <v>0</v>
      </c>
      <c r="I3749" s="197">
        <v>0</v>
      </c>
      <c r="J3749" s="197">
        <v>0</v>
      </c>
      <c r="K3749" s="197">
        <v>0</v>
      </c>
      <c r="L3749" s="197">
        <v>0</v>
      </c>
      <c r="M3749" s="260" t="s">
        <v>239</v>
      </c>
      <c r="N3749" s="260" t="s">
        <v>514</v>
      </c>
    </row>
    <row r="3750" spans="1:14" ht="14.5" x14ac:dyDescent="0.35">
      <c r="A3750" s="260" t="s">
        <v>747</v>
      </c>
      <c r="B3750" s="190">
        <v>45810</v>
      </c>
      <c r="C3750" s="260" t="s">
        <v>754</v>
      </c>
      <c r="D3750" s="197">
        <v>100</v>
      </c>
      <c r="E3750" s="197">
        <v>8008</v>
      </c>
      <c r="F3750" s="197">
        <v>84.86</v>
      </c>
      <c r="G3750" s="190">
        <v>45810</v>
      </c>
      <c r="H3750" s="196">
        <v>0</v>
      </c>
      <c r="I3750" s="197">
        <v>8486</v>
      </c>
      <c r="J3750" s="197">
        <v>8486</v>
      </c>
      <c r="K3750" s="197">
        <v>0</v>
      </c>
      <c r="L3750" s="197">
        <v>478</v>
      </c>
      <c r="M3750" s="260" t="s">
        <v>239</v>
      </c>
      <c r="N3750" s="260" t="s">
        <v>514</v>
      </c>
    </row>
    <row r="3751" spans="1:14" ht="14.5" x14ac:dyDescent="0.35">
      <c r="A3751" s="260" t="s">
        <v>747</v>
      </c>
      <c r="B3751" s="190">
        <v>45811</v>
      </c>
      <c r="C3751" s="260" t="s">
        <v>749</v>
      </c>
      <c r="D3751" s="197">
        <v>40</v>
      </c>
      <c r="E3751" s="197">
        <v>4004</v>
      </c>
      <c r="F3751" s="197">
        <v>99.83</v>
      </c>
      <c r="G3751" s="190">
        <v>45811</v>
      </c>
      <c r="H3751" s="196">
        <v>0</v>
      </c>
      <c r="I3751" s="197">
        <v>3993.2</v>
      </c>
      <c r="J3751" s="197">
        <v>3993.2</v>
      </c>
      <c r="K3751" s="197">
        <v>0</v>
      </c>
      <c r="L3751" s="197">
        <v>-10.800000000000182</v>
      </c>
      <c r="M3751" s="260" t="s">
        <v>239</v>
      </c>
      <c r="N3751" s="260" t="s">
        <v>514</v>
      </c>
    </row>
    <row r="3752" spans="1:14" ht="14.5" x14ac:dyDescent="0.35">
      <c r="A3752" s="260" t="s">
        <v>747</v>
      </c>
      <c r="B3752" s="190">
        <v>45811</v>
      </c>
      <c r="C3752" s="260" t="s">
        <v>752</v>
      </c>
      <c r="D3752" s="197">
        <v>0</v>
      </c>
      <c r="E3752" s="197">
        <v>0</v>
      </c>
      <c r="F3752" s="197">
        <v>192.24</v>
      </c>
      <c r="G3752" s="190">
        <v>45811</v>
      </c>
      <c r="H3752" s="196">
        <v>0</v>
      </c>
      <c r="I3752" s="197">
        <v>0</v>
      </c>
      <c r="J3752" s="197">
        <v>0</v>
      </c>
      <c r="K3752" s="197">
        <v>0</v>
      </c>
      <c r="L3752" s="197">
        <v>0</v>
      </c>
      <c r="M3752" s="260" t="s">
        <v>239</v>
      </c>
      <c r="N3752" s="260" t="s">
        <v>514</v>
      </c>
    </row>
    <row r="3753" spans="1:14" ht="14.5" x14ac:dyDescent="0.35">
      <c r="A3753" s="260" t="s">
        <v>747</v>
      </c>
      <c r="B3753" s="190">
        <v>45811</v>
      </c>
      <c r="C3753" s="260" t="s">
        <v>754</v>
      </c>
      <c r="D3753" s="197">
        <v>100</v>
      </c>
      <c r="E3753" s="197">
        <v>8008</v>
      </c>
      <c r="F3753" s="197">
        <v>84.72</v>
      </c>
      <c r="G3753" s="190">
        <v>45811</v>
      </c>
      <c r="H3753" s="196">
        <v>0</v>
      </c>
      <c r="I3753" s="197">
        <v>8472</v>
      </c>
      <c r="J3753" s="197">
        <v>8472</v>
      </c>
      <c r="K3753" s="197">
        <v>0</v>
      </c>
      <c r="L3753" s="197">
        <v>464</v>
      </c>
      <c r="M3753" s="260" t="s">
        <v>239</v>
      </c>
      <c r="N3753" s="260" t="s">
        <v>514</v>
      </c>
    </row>
    <row r="3754" spans="1:14" ht="14.5" x14ac:dyDescent="0.35">
      <c r="A3754" s="260" t="s">
        <v>747</v>
      </c>
      <c r="B3754" s="190">
        <v>45812</v>
      </c>
      <c r="C3754" s="260" t="s">
        <v>749</v>
      </c>
      <c r="D3754" s="197">
        <v>40</v>
      </c>
      <c r="E3754" s="197">
        <v>4004</v>
      </c>
      <c r="F3754" s="197">
        <v>100.24</v>
      </c>
      <c r="G3754" s="190">
        <v>45812</v>
      </c>
      <c r="H3754" s="196">
        <v>0</v>
      </c>
      <c r="I3754" s="197">
        <v>4009.6</v>
      </c>
      <c r="J3754" s="197">
        <v>4009.6</v>
      </c>
      <c r="K3754" s="197">
        <v>0</v>
      </c>
      <c r="L3754" s="197">
        <v>5.5999999999999091</v>
      </c>
      <c r="M3754" s="260" t="s">
        <v>239</v>
      </c>
      <c r="N3754" s="260" t="s">
        <v>514</v>
      </c>
    </row>
    <row r="3755" spans="1:14" ht="14.5" x14ac:dyDescent="0.35">
      <c r="A3755" s="260" t="s">
        <v>747</v>
      </c>
      <c r="B3755" s="190">
        <v>45812</v>
      </c>
      <c r="C3755" s="260" t="s">
        <v>752</v>
      </c>
      <c r="D3755" s="197">
        <v>0</v>
      </c>
      <c r="E3755" s="197">
        <v>0</v>
      </c>
      <c r="F3755" s="197">
        <v>191.86</v>
      </c>
      <c r="G3755" s="190">
        <v>45812</v>
      </c>
      <c r="H3755" s="196">
        <v>0</v>
      </c>
      <c r="I3755" s="197">
        <v>0</v>
      </c>
      <c r="J3755" s="197">
        <v>0</v>
      </c>
      <c r="K3755" s="197">
        <v>0</v>
      </c>
      <c r="L3755" s="197">
        <v>0</v>
      </c>
      <c r="M3755" s="260" t="s">
        <v>239</v>
      </c>
      <c r="N3755" s="260" t="s">
        <v>514</v>
      </c>
    </row>
    <row r="3756" spans="1:14" ht="14.5" x14ac:dyDescent="0.35">
      <c r="A3756" s="260" t="s">
        <v>747</v>
      </c>
      <c r="B3756" s="190">
        <v>45812</v>
      </c>
      <c r="C3756" s="260" t="s">
        <v>754</v>
      </c>
      <c r="D3756" s="197">
        <v>100</v>
      </c>
      <c r="E3756" s="197">
        <v>8008</v>
      </c>
      <c r="F3756" s="197">
        <v>84.59</v>
      </c>
      <c r="G3756" s="190">
        <v>45812</v>
      </c>
      <c r="H3756" s="196">
        <v>0</v>
      </c>
      <c r="I3756" s="197">
        <v>8459</v>
      </c>
      <c r="J3756" s="197">
        <v>8459</v>
      </c>
      <c r="K3756" s="197">
        <v>0</v>
      </c>
      <c r="L3756" s="197">
        <v>451</v>
      </c>
      <c r="M3756" s="260" t="s">
        <v>239</v>
      </c>
      <c r="N3756" s="260" t="s">
        <v>514</v>
      </c>
    </row>
    <row r="3757" spans="1:14" ht="14.5" x14ac:dyDescent="0.35">
      <c r="A3757" s="260" t="s">
        <v>747</v>
      </c>
      <c r="B3757" s="190">
        <v>45813</v>
      </c>
      <c r="C3757" s="260" t="s">
        <v>749</v>
      </c>
      <c r="D3757" s="197">
        <v>40</v>
      </c>
      <c r="E3757" s="197">
        <v>4004</v>
      </c>
      <c r="F3757" s="197">
        <v>100.66</v>
      </c>
      <c r="G3757" s="190">
        <v>45813</v>
      </c>
      <c r="H3757" s="196">
        <v>0</v>
      </c>
      <c r="I3757" s="197">
        <v>4026.3999999999996</v>
      </c>
      <c r="J3757" s="197">
        <v>4026.3999999999996</v>
      </c>
      <c r="K3757" s="197">
        <v>0</v>
      </c>
      <c r="L3757" s="197">
        <v>22.399999999999636</v>
      </c>
      <c r="M3757" s="260" t="s">
        <v>239</v>
      </c>
      <c r="N3757" s="260" t="s">
        <v>514</v>
      </c>
    </row>
    <row r="3758" spans="1:14" ht="14.5" x14ac:dyDescent="0.35">
      <c r="A3758" s="260" t="s">
        <v>747</v>
      </c>
      <c r="B3758" s="190">
        <v>45813</v>
      </c>
      <c r="C3758" s="260" t="s">
        <v>752</v>
      </c>
      <c r="D3758" s="197">
        <v>0</v>
      </c>
      <c r="E3758" s="197">
        <v>0</v>
      </c>
      <c r="F3758" s="197">
        <v>191.48</v>
      </c>
      <c r="G3758" s="190">
        <v>45813</v>
      </c>
      <c r="H3758" s="196">
        <v>0</v>
      </c>
      <c r="I3758" s="197">
        <v>0</v>
      </c>
      <c r="J3758" s="197">
        <v>0</v>
      </c>
      <c r="K3758" s="197">
        <v>0</v>
      </c>
      <c r="L3758" s="197">
        <v>0</v>
      </c>
      <c r="M3758" s="260" t="s">
        <v>239</v>
      </c>
      <c r="N3758" s="260" t="s">
        <v>514</v>
      </c>
    </row>
    <row r="3759" spans="1:14" ht="14.5" x14ac:dyDescent="0.35">
      <c r="A3759" s="260" t="s">
        <v>747</v>
      </c>
      <c r="B3759" s="190">
        <v>45813</v>
      </c>
      <c r="C3759" s="260" t="s">
        <v>754</v>
      </c>
      <c r="D3759" s="197">
        <v>100</v>
      </c>
      <c r="E3759" s="197">
        <v>8008</v>
      </c>
      <c r="F3759" s="197">
        <v>84.45</v>
      </c>
      <c r="G3759" s="190">
        <v>45813</v>
      </c>
      <c r="H3759" s="196">
        <v>0</v>
      </c>
      <c r="I3759" s="197">
        <v>8445</v>
      </c>
      <c r="J3759" s="197">
        <v>8445</v>
      </c>
      <c r="K3759" s="197">
        <v>0</v>
      </c>
      <c r="L3759" s="197">
        <v>437</v>
      </c>
      <c r="M3759" s="260" t="s">
        <v>239</v>
      </c>
      <c r="N3759" s="260" t="s">
        <v>514</v>
      </c>
    </row>
    <row r="3760" spans="1:14" ht="14.5" x14ac:dyDescent="0.35">
      <c r="A3760" s="260" t="s">
        <v>747</v>
      </c>
      <c r="B3760" s="190">
        <v>45814</v>
      </c>
      <c r="C3760" s="260" t="s">
        <v>749</v>
      </c>
      <c r="D3760" s="197">
        <v>40</v>
      </c>
      <c r="E3760" s="197">
        <v>4004</v>
      </c>
      <c r="F3760" s="197">
        <v>101.07</v>
      </c>
      <c r="G3760" s="190">
        <v>45814</v>
      </c>
      <c r="H3760" s="196">
        <v>0</v>
      </c>
      <c r="I3760" s="197">
        <v>4042.7999999999997</v>
      </c>
      <c r="J3760" s="197">
        <v>4042.7999999999997</v>
      </c>
      <c r="K3760" s="197">
        <v>0</v>
      </c>
      <c r="L3760" s="197">
        <v>38.799999999999727</v>
      </c>
      <c r="M3760" s="260" t="s">
        <v>239</v>
      </c>
      <c r="N3760" s="260" t="s">
        <v>514</v>
      </c>
    </row>
    <row r="3761" spans="1:14" ht="14.5" x14ac:dyDescent="0.35">
      <c r="A3761" s="260" t="s">
        <v>747</v>
      </c>
      <c r="B3761" s="190">
        <v>45814</v>
      </c>
      <c r="C3761" s="260" t="s">
        <v>752</v>
      </c>
      <c r="D3761" s="197">
        <v>0</v>
      </c>
      <c r="E3761" s="197">
        <v>0</v>
      </c>
      <c r="F3761" s="197">
        <v>191.1</v>
      </c>
      <c r="G3761" s="190">
        <v>45814</v>
      </c>
      <c r="H3761" s="196">
        <v>0</v>
      </c>
      <c r="I3761" s="197">
        <v>0</v>
      </c>
      <c r="J3761" s="197">
        <v>0</v>
      </c>
      <c r="K3761" s="197">
        <v>0</v>
      </c>
      <c r="L3761" s="197">
        <v>0</v>
      </c>
      <c r="M3761" s="260" t="s">
        <v>239</v>
      </c>
      <c r="N3761" s="260" t="s">
        <v>514</v>
      </c>
    </row>
    <row r="3762" spans="1:14" ht="14.5" x14ac:dyDescent="0.35">
      <c r="A3762" s="260" t="s">
        <v>747</v>
      </c>
      <c r="B3762" s="190">
        <v>45814</v>
      </c>
      <c r="C3762" s="260" t="s">
        <v>754</v>
      </c>
      <c r="D3762" s="197">
        <v>100</v>
      </c>
      <c r="E3762" s="197">
        <v>8008</v>
      </c>
      <c r="F3762" s="197">
        <v>84.31</v>
      </c>
      <c r="G3762" s="190">
        <v>45814</v>
      </c>
      <c r="H3762" s="196">
        <v>0</v>
      </c>
      <c r="I3762" s="197">
        <v>8431</v>
      </c>
      <c r="J3762" s="197">
        <v>8431</v>
      </c>
      <c r="K3762" s="197">
        <v>0</v>
      </c>
      <c r="L3762" s="197">
        <v>423</v>
      </c>
      <c r="M3762" s="260" t="s">
        <v>239</v>
      </c>
      <c r="N3762" s="260" t="s">
        <v>514</v>
      </c>
    </row>
    <row r="3763" spans="1:14" ht="14.5" x14ac:dyDescent="0.35">
      <c r="A3763" s="260" t="s">
        <v>747</v>
      </c>
      <c r="B3763" s="190">
        <v>45815</v>
      </c>
      <c r="C3763" s="260" t="s">
        <v>749</v>
      </c>
      <c r="D3763" s="197">
        <v>40</v>
      </c>
      <c r="E3763" s="197">
        <v>4004</v>
      </c>
      <c r="F3763" s="197">
        <v>101.07</v>
      </c>
      <c r="G3763" s="190">
        <v>45814</v>
      </c>
      <c r="H3763" s="196">
        <v>1</v>
      </c>
      <c r="I3763" s="197">
        <v>4042.7999999999997</v>
      </c>
      <c r="J3763" s="197">
        <v>4042.7999999999997</v>
      </c>
      <c r="K3763" s="197">
        <v>0</v>
      </c>
      <c r="L3763" s="197">
        <v>38.799999999999727</v>
      </c>
      <c r="M3763" s="260" t="s">
        <v>239</v>
      </c>
      <c r="N3763" s="260" t="s">
        <v>514</v>
      </c>
    </row>
    <row r="3764" spans="1:14" ht="14.5" x14ac:dyDescent="0.35">
      <c r="A3764" s="260" t="s">
        <v>747</v>
      </c>
      <c r="B3764" s="190">
        <v>45815</v>
      </c>
      <c r="C3764" s="260" t="s">
        <v>752</v>
      </c>
      <c r="D3764" s="197">
        <v>0</v>
      </c>
      <c r="E3764" s="197">
        <v>0</v>
      </c>
      <c r="F3764" s="197">
        <v>191.1</v>
      </c>
      <c r="G3764" s="190">
        <v>45814</v>
      </c>
      <c r="H3764" s="196">
        <v>1</v>
      </c>
      <c r="I3764" s="197">
        <v>0</v>
      </c>
      <c r="J3764" s="197">
        <v>0</v>
      </c>
      <c r="K3764" s="197">
        <v>0</v>
      </c>
      <c r="L3764" s="197">
        <v>0</v>
      </c>
      <c r="M3764" s="260" t="s">
        <v>239</v>
      </c>
      <c r="N3764" s="260" t="s">
        <v>514</v>
      </c>
    </row>
    <row r="3765" spans="1:14" ht="14.5" x14ac:dyDescent="0.35">
      <c r="A3765" s="260" t="s">
        <v>747</v>
      </c>
      <c r="B3765" s="190">
        <v>45815</v>
      </c>
      <c r="C3765" s="260" t="s">
        <v>754</v>
      </c>
      <c r="D3765" s="197">
        <v>100</v>
      </c>
      <c r="E3765" s="197">
        <v>8008</v>
      </c>
      <c r="F3765" s="197">
        <v>84.31</v>
      </c>
      <c r="G3765" s="190">
        <v>45814</v>
      </c>
      <c r="H3765" s="196">
        <v>1</v>
      </c>
      <c r="I3765" s="197">
        <v>8431</v>
      </c>
      <c r="J3765" s="197">
        <v>8431</v>
      </c>
      <c r="K3765" s="197">
        <v>0</v>
      </c>
      <c r="L3765" s="197">
        <v>423</v>
      </c>
      <c r="M3765" s="260" t="s">
        <v>239</v>
      </c>
      <c r="N3765" s="260" t="s">
        <v>514</v>
      </c>
    </row>
    <row r="3766" spans="1:14" ht="14.5" x14ac:dyDescent="0.35">
      <c r="A3766" s="260" t="s">
        <v>747</v>
      </c>
      <c r="B3766" s="190">
        <v>45816</v>
      </c>
      <c r="C3766" s="260" t="s">
        <v>749</v>
      </c>
      <c r="D3766" s="197">
        <v>40</v>
      </c>
      <c r="E3766" s="197">
        <v>4004</v>
      </c>
      <c r="F3766" s="197">
        <v>101.07</v>
      </c>
      <c r="G3766" s="190">
        <v>45814</v>
      </c>
      <c r="H3766" s="196">
        <v>2</v>
      </c>
      <c r="I3766" s="197">
        <v>4042.7999999999997</v>
      </c>
      <c r="J3766" s="197">
        <v>4042.7999999999997</v>
      </c>
      <c r="K3766" s="197">
        <v>0</v>
      </c>
      <c r="L3766" s="197">
        <v>38.799999999999727</v>
      </c>
      <c r="M3766" s="260" t="s">
        <v>239</v>
      </c>
      <c r="N3766" s="260" t="s">
        <v>514</v>
      </c>
    </row>
    <row r="3767" spans="1:14" ht="14.5" x14ac:dyDescent="0.35">
      <c r="A3767" s="260" t="s">
        <v>747</v>
      </c>
      <c r="B3767" s="190">
        <v>45816</v>
      </c>
      <c r="C3767" s="260" t="s">
        <v>752</v>
      </c>
      <c r="D3767" s="197">
        <v>0</v>
      </c>
      <c r="E3767" s="197">
        <v>0</v>
      </c>
      <c r="F3767" s="197">
        <v>191.1</v>
      </c>
      <c r="G3767" s="190">
        <v>45814</v>
      </c>
      <c r="H3767" s="196">
        <v>2</v>
      </c>
      <c r="I3767" s="197">
        <v>0</v>
      </c>
      <c r="J3767" s="197">
        <v>0</v>
      </c>
      <c r="K3767" s="197">
        <v>0</v>
      </c>
      <c r="L3767" s="197">
        <v>0</v>
      </c>
      <c r="M3767" s="260" t="s">
        <v>239</v>
      </c>
      <c r="N3767" s="260" t="s">
        <v>514</v>
      </c>
    </row>
    <row r="3768" spans="1:14" ht="14.5" x14ac:dyDescent="0.35">
      <c r="A3768" s="260" t="s">
        <v>747</v>
      </c>
      <c r="B3768" s="190">
        <v>45816</v>
      </c>
      <c r="C3768" s="260" t="s">
        <v>754</v>
      </c>
      <c r="D3768" s="197">
        <v>100</v>
      </c>
      <c r="E3768" s="197">
        <v>8008</v>
      </c>
      <c r="F3768" s="197">
        <v>84.31</v>
      </c>
      <c r="G3768" s="190">
        <v>45814</v>
      </c>
      <c r="H3768" s="196">
        <v>2</v>
      </c>
      <c r="I3768" s="197">
        <v>8431</v>
      </c>
      <c r="J3768" s="197">
        <v>8431</v>
      </c>
      <c r="K3768" s="197">
        <v>0</v>
      </c>
      <c r="L3768" s="197">
        <v>423</v>
      </c>
      <c r="M3768" s="260" t="s">
        <v>239</v>
      </c>
      <c r="N3768" s="260" t="s">
        <v>514</v>
      </c>
    </row>
    <row r="3769" spans="1:14" ht="14.5" x14ac:dyDescent="0.35">
      <c r="A3769" s="260" t="s">
        <v>747</v>
      </c>
      <c r="B3769" s="190">
        <v>45817</v>
      </c>
      <c r="C3769" s="260" t="s">
        <v>749</v>
      </c>
      <c r="D3769" s="197">
        <v>40</v>
      </c>
      <c r="E3769" s="197">
        <v>4004</v>
      </c>
      <c r="F3769" s="197">
        <v>102.31</v>
      </c>
      <c r="G3769" s="190">
        <v>45817</v>
      </c>
      <c r="H3769" s="196">
        <v>0</v>
      </c>
      <c r="I3769" s="197">
        <v>4092.4</v>
      </c>
      <c r="J3769" s="197">
        <v>4092.4</v>
      </c>
      <c r="K3769" s="197">
        <v>0</v>
      </c>
      <c r="L3769" s="197">
        <v>88.400000000000091</v>
      </c>
      <c r="M3769" s="260" t="s">
        <v>239</v>
      </c>
      <c r="N3769" s="260" t="s">
        <v>514</v>
      </c>
    </row>
    <row r="3770" spans="1:14" ht="14.5" x14ac:dyDescent="0.35">
      <c r="A3770" s="260" t="s">
        <v>747</v>
      </c>
      <c r="B3770" s="190">
        <v>45817</v>
      </c>
      <c r="C3770" s="260" t="s">
        <v>752</v>
      </c>
      <c r="D3770" s="197">
        <v>0</v>
      </c>
      <c r="E3770" s="197">
        <v>0</v>
      </c>
      <c r="F3770" s="197">
        <v>189.97</v>
      </c>
      <c r="G3770" s="190">
        <v>45817</v>
      </c>
      <c r="H3770" s="196">
        <v>0</v>
      </c>
      <c r="I3770" s="197">
        <v>0</v>
      </c>
      <c r="J3770" s="197">
        <v>0</v>
      </c>
      <c r="K3770" s="197">
        <v>0</v>
      </c>
      <c r="L3770" s="197">
        <v>0</v>
      </c>
      <c r="M3770" s="260" t="s">
        <v>239</v>
      </c>
      <c r="N3770" s="260" t="s">
        <v>514</v>
      </c>
    </row>
    <row r="3771" spans="1:14" ht="14.5" x14ac:dyDescent="0.35">
      <c r="A3771" s="260" t="s">
        <v>747</v>
      </c>
      <c r="B3771" s="190">
        <v>45817</v>
      </c>
      <c r="C3771" s="260" t="s">
        <v>754</v>
      </c>
      <c r="D3771" s="197">
        <v>100</v>
      </c>
      <c r="E3771" s="197">
        <v>8008</v>
      </c>
      <c r="F3771" s="197">
        <v>83.9</v>
      </c>
      <c r="G3771" s="190">
        <v>45817</v>
      </c>
      <c r="H3771" s="196">
        <v>0</v>
      </c>
      <c r="I3771" s="197">
        <v>8390</v>
      </c>
      <c r="J3771" s="197">
        <v>8390</v>
      </c>
      <c r="K3771" s="197">
        <v>0</v>
      </c>
      <c r="L3771" s="197">
        <v>382</v>
      </c>
      <c r="M3771" s="260" t="s">
        <v>239</v>
      </c>
      <c r="N3771" s="260" t="s">
        <v>514</v>
      </c>
    </row>
    <row r="3772" spans="1:14" ht="14.5" x14ac:dyDescent="0.35">
      <c r="A3772" s="260" t="s">
        <v>747</v>
      </c>
      <c r="B3772" s="190">
        <v>45818</v>
      </c>
      <c r="C3772" s="260" t="s">
        <v>749</v>
      </c>
      <c r="D3772" s="197">
        <v>40</v>
      </c>
      <c r="E3772" s="197">
        <v>4004</v>
      </c>
      <c r="F3772" s="197">
        <v>102.72</v>
      </c>
      <c r="G3772" s="190">
        <v>45818</v>
      </c>
      <c r="H3772" s="196">
        <v>0</v>
      </c>
      <c r="I3772" s="197">
        <v>4108.8</v>
      </c>
      <c r="J3772" s="197">
        <v>4108.8</v>
      </c>
      <c r="K3772" s="197">
        <v>0</v>
      </c>
      <c r="L3772" s="197">
        <v>104.80000000000018</v>
      </c>
      <c r="M3772" s="260" t="s">
        <v>239</v>
      </c>
      <c r="N3772" s="260" t="s">
        <v>514</v>
      </c>
    </row>
    <row r="3773" spans="1:14" ht="14.5" x14ac:dyDescent="0.35">
      <c r="A3773" s="260" t="s">
        <v>747</v>
      </c>
      <c r="B3773" s="190">
        <v>45818</v>
      </c>
      <c r="C3773" s="260" t="s">
        <v>752</v>
      </c>
      <c r="D3773" s="197">
        <v>0</v>
      </c>
      <c r="E3773" s="197">
        <v>0</v>
      </c>
      <c r="F3773" s="197">
        <v>189.59</v>
      </c>
      <c r="G3773" s="190">
        <v>45818</v>
      </c>
      <c r="H3773" s="196">
        <v>0</v>
      </c>
      <c r="I3773" s="197">
        <v>0</v>
      </c>
      <c r="J3773" s="197">
        <v>0</v>
      </c>
      <c r="K3773" s="197">
        <v>0</v>
      </c>
      <c r="L3773" s="197">
        <v>0</v>
      </c>
      <c r="M3773" s="260" t="s">
        <v>239</v>
      </c>
      <c r="N3773" s="260" t="s">
        <v>514</v>
      </c>
    </row>
    <row r="3774" spans="1:14" ht="14.5" x14ac:dyDescent="0.35">
      <c r="A3774" s="260" t="s">
        <v>747</v>
      </c>
      <c r="B3774" s="190">
        <v>45818</v>
      </c>
      <c r="C3774" s="260" t="s">
        <v>754</v>
      </c>
      <c r="D3774" s="197">
        <v>100</v>
      </c>
      <c r="E3774" s="197">
        <v>8008</v>
      </c>
      <c r="F3774" s="197">
        <v>83.76</v>
      </c>
      <c r="G3774" s="190">
        <v>45818</v>
      </c>
      <c r="H3774" s="196">
        <v>0</v>
      </c>
      <c r="I3774" s="197">
        <v>8376</v>
      </c>
      <c r="J3774" s="197">
        <v>8376</v>
      </c>
      <c r="K3774" s="197">
        <v>0</v>
      </c>
      <c r="L3774" s="197">
        <v>368</v>
      </c>
      <c r="M3774" s="260" t="s">
        <v>239</v>
      </c>
      <c r="N3774" s="260" t="s">
        <v>514</v>
      </c>
    </row>
    <row r="3775" spans="1:14" ht="14.5" x14ac:dyDescent="0.35">
      <c r="A3775" s="260" t="s">
        <v>747</v>
      </c>
      <c r="B3775" s="190">
        <v>45819</v>
      </c>
      <c r="C3775" s="260" t="s">
        <v>749</v>
      </c>
      <c r="D3775" s="197">
        <v>40</v>
      </c>
      <c r="E3775" s="197">
        <v>4004</v>
      </c>
      <c r="F3775" s="197">
        <v>103.14</v>
      </c>
      <c r="G3775" s="190">
        <v>45819</v>
      </c>
      <c r="H3775" s="196">
        <v>0</v>
      </c>
      <c r="I3775" s="197">
        <v>4125.6000000000004</v>
      </c>
      <c r="J3775" s="197">
        <v>4125.6000000000004</v>
      </c>
      <c r="K3775" s="197">
        <v>0</v>
      </c>
      <c r="L3775" s="197">
        <v>121.60000000000036</v>
      </c>
      <c r="M3775" s="260" t="s">
        <v>239</v>
      </c>
      <c r="N3775" s="260" t="s">
        <v>514</v>
      </c>
    </row>
    <row r="3776" spans="1:14" ht="14.5" x14ac:dyDescent="0.35">
      <c r="A3776" s="260" t="s">
        <v>747</v>
      </c>
      <c r="B3776" s="190">
        <v>45819</v>
      </c>
      <c r="C3776" s="260" t="s">
        <v>752</v>
      </c>
      <c r="D3776" s="197">
        <v>0</v>
      </c>
      <c r="E3776" s="197">
        <v>0</v>
      </c>
      <c r="F3776" s="197">
        <v>189.21</v>
      </c>
      <c r="G3776" s="190">
        <v>45819</v>
      </c>
      <c r="H3776" s="196">
        <v>0</v>
      </c>
      <c r="I3776" s="197">
        <v>0</v>
      </c>
      <c r="J3776" s="197">
        <v>0</v>
      </c>
      <c r="K3776" s="197">
        <v>0</v>
      </c>
      <c r="L3776" s="197">
        <v>0</v>
      </c>
      <c r="M3776" s="260" t="s">
        <v>239</v>
      </c>
      <c r="N3776" s="260" t="s">
        <v>514</v>
      </c>
    </row>
    <row r="3777" spans="1:14" ht="14.5" x14ac:dyDescent="0.35">
      <c r="A3777" s="260" t="s">
        <v>747</v>
      </c>
      <c r="B3777" s="190">
        <v>45819</v>
      </c>
      <c r="C3777" s="260" t="s">
        <v>754</v>
      </c>
      <c r="D3777" s="197">
        <v>100</v>
      </c>
      <c r="E3777" s="197">
        <v>8008</v>
      </c>
      <c r="F3777" s="197">
        <v>83.62</v>
      </c>
      <c r="G3777" s="190">
        <v>45819</v>
      </c>
      <c r="H3777" s="196">
        <v>0</v>
      </c>
      <c r="I3777" s="197">
        <v>8362</v>
      </c>
      <c r="J3777" s="197">
        <v>8362</v>
      </c>
      <c r="K3777" s="197">
        <v>0</v>
      </c>
      <c r="L3777" s="197">
        <v>354</v>
      </c>
      <c r="M3777" s="260" t="s">
        <v>239</v>
      </c>
      <c r="N3777" s="260" t="s">
        <v>514</v>
      </c>
    </row>
    <row r="3778" spans="1:14" ht="14.5" x14ac:dyDescent="0.35">
      <c r="A3778" s="260" t="s">
        <v>747</v>
      </c>
      <c r="B3778" s="190">
        <v>45820</v>
      </c>
      <c r="C3778" s="260" t="s">
        <v>749</v>
      </c>
      <c r="D3778" s="197">
        <v>40</v>
      </c>
      <c r="E3778" s="197">
        <v>4004</v>
      </c>
      <c r="F3778" s="197">
        <v>103.55</v>
      </c>
      <c r="G3778" s="190">
        <v>45820</v>
      </c>
      <c r="H3778" s="196">
        <v>0</v>
      </c>
      <c r="I3778" s="197">
        <v>4142</v>
      </c>
      <c r="J3778" s="197">
        <v>4142</v>
      </c>
      <c r="K3778" s="197">
        <v>0</v>
      </c>
      <c r="L3778" s="197">
        <v>138</v>
      </c>
      <c r="M3778" s="260" t="s">
        <v>239</v>
      </c>
      <c r="N3778" s="260" t="s">
        <v>514</v>
      </c>
    </row>
    <row r="3779" spans="1:14" ht="14.5" x14ac:dyDescent="0.35">
      <c r="A3779" s="260" t="s">
        <v>747</v>
      </c>
      <c r="B3779" s="190">
        <v>45820</v>
      </c>
      <c r="C3779" s="260" t="s">
        <v>752</v>
      </c>
      <c r="D3779" s="197">
        <v>0</v>
      </c>
      <c r="E3779" s="197">
        <v>0</v>
      </c>
      <c r="F3779" s="197">
        <v>188.83</v>
      </c>
      <c r="G3779" s="190">
        <v>45820</v>
      </c>
      <c r="H3779" s="196">
        <v>0</v>
      </c>
      <c r="I3779" s="197">
        <v>0</v>
      </c>
      <c r="J3779" s="197">
        <v>0</v>
      </c>
      <c r="K3779" s="197">
        <v>0</v>
      </c>
      <c r="L3779" s="197">
        <v>0</v>
      </c>
      <c r="M3779" s="260" t="s">
        <v>239</v>
      </c>
      <c r="N3779" s="260" t="s">
        <v>514</v>
      </c>
    </row>
    <row r="3780" spans="1:14" ht="14.5" x14ac:dyDescent="0.35">
      <c r="A3780" s="260" t="s">
        <v>747</v>
      </c>
      <c r="B3780" s="190">
        <v>45820</v>
      </c>
      <c r="C3780" s="260" t="s">
        <v>754</v>
      </c>
      <c r="D3780" s="197">
        <v>100</v>
      </c>
      <c r="E3780" s="197">
        <v>8008</v>
      </c>
      <c r="F3780" s="197">
        <v>83.48</v>
      </c>
      <c r="G3780" s="190">
        <v>45820</v>
      </c>
      <c r="H3780" s="196">
        <v>0</v>
      </c>
      <c r="I3780" s="197">
        <v>8348</v>
      </c>
      <c r="J3780" s="197">
        <v>8348</v>
      </c>
      <c r="K3780" s="197">
        <v>0</v>
      </c>
      <c r="L3780" s="197">
        <v>340</v>
      </c>
      <c r="M3780" s="260" t="s">
        <v>239</v>
      </c>
      <c r="N3780" s="260" t="s">
        <v>514</v>
      </c>
    </row>
    <row r="3781" spans="1:14" ht="14.5" x14ac:dyDescent="0.35">
      <c r="A3781" s="260" t="s">
        <v>747</v>
      </c>
      <c r="B3781" s="190">
        <v>45821</v>
      </c>
      <c r="C3781" s="260" t="s">
        <v>749</v>
      </c>
      <c r="D3781" s="197">
        <v>40</v>
      </c>
      <c r="E3781" s="197">
        <v>4004</v>
      </c>
      <c r="F3781" s="197">
        <v>103.97</v>
      </c>
      <c r="G3781" s="190">
        <v>45821</v>
      </c>
      <c r="H3781" s="196">
        <v>0</v>
      </c>
      <c r="I3781" s="197">
        <v>4158.8</v>
      </c>
      <c r="J3781" s="197">
        <v>4158.8</v>
      </c>
      <c r="K3781" s="197">
        <v>0</v>
      </c>
      <c r="L3781" s="197">
        <v>154.80000000000018</v>
      </c>
      <c r="M3781" s="260" t="s">
        <v>239</v>
      </c>
      <c r="N3781" s="260" t="s">
        <v>514</v>
      </c>
    </row>
    <row r="3782" spans="1:14" ht="14.5" x14ac:dyDescent="0.35">
      <c r="A3782" s="260" t="s">
        <v>747</v>
      </c>
      <c r="B3782" s="190">
        <v>45821</v>
      </c>
      <c r="C3782" s="260" t="s">
        <v>752</v>
      </c>
      <c r="D3782" s="197">
        <v>0</v>
      </c>
      <c r="E3782" s="197">
        <v>0</v>
      </c>
      <c r="F3782" s="197">
        <v>188.45</v>
      </c>
      <c r="G3782" s="190">
        <v>45821</v>
      </c>
      <c r="H3782" s="196">
        <v>0</v>
      </c>
      <c r="I3782" s="197">
        <v>0</v>
      </c>
      <c r="J3782" s="197">
        <v>0</v>
      </c>
      <c r="K3782" s="197">
        <v>0</v>
      </c>
      <c r="L3782" s="197">
        <v>0</v>
      </c>
      <c r="M3782" s="260" t="s">
        <v>239</v>
      </c>
      <c r="N3782" s="260" t="s">
        <v>514</v>
      </c>
    </row>
    <row r="3783" spans="1:14" ht="14.5" x14ac:dyDescent="0.35">
      <c r="A3783" s="260" t="s">
        <v>747</v>
      </c>
      <c r="B3783" s="190">
        <v>45821</v>
      </c>
      <c r="C3783" s="260" t="s">
        <v>754</v>
      </c>
      <c r="D3783" s="197">
        <v>100</v>
      </c>
      <c r="E3783" s="197">
        <v>8008</v>
      </c>
      <c r="F3783" s="197">
        <v>83.34</v>
      </c>
      <c r="G3783" s="190">
        <v>45821</v>
      </c>
      <c r="H3783" s="196">
        <v>0</v>
      </c>
      <c r="I3783" s="197">
        <v>8334</v>
      </c>
      <c r="J3783" s="197">
        <v>8334</v>
      </c>
      <c r="K3783" s="197">
        <v>0</v>
      </c>
      <c r="L3783" s="197">
        <v>326</v>
      </c>
      <c r="M3783" s="260" t="s">
        <v>239</v>
      </c>
      <c r="N3783" s="260" t="s">
        <v>514</v>
      </c>
    </row>
    <row r="3784" spans="1:14" ht="14.5" x14ac:dyDescent="0.35">
      <c r="A3784" s="260" t="s">
        <v>747</v>
      </c>
      <c r="B3784" s="190">
        <v>45822</v>
      </c>
      <c r="C3784" s="260" t="s">
        <v>749</v>
      </c>
      <c r="D3784" s="197">
        <v>40</v>
      </c>
      <c r="E3784" s="197">
        <v>4004</v>
      </c>
      <c r="F3784" s="197">
        <v>103.97</v>
      </c>
      <c r="G3784" s="190">
        <v>45821</v>
      </c>
      <c r="H3784" s="196">
        <v>1</v>
      </c>
      <c r="I3784" s="197">
        <v>4158.8</v>
      </c>
      <c r="J3784" s="197">
        <v>4158.8</v>
      </c>
      <c r="K3784" s="197">
        <v>0</v>
      </c>
      <c r="L3784" s="197">
        <v>154.80000000000018</v>
      </c>
      <c r="M3784" s="260" t="s">
        <v>239</v>
      </c>
      <c r="N3784" s="260" t="s">
        <v>514</v>
      </c>
    </row>
    <row r="3785" spans="1:14" ht="14.5" x14ac:dyDescent="0.35">
      <c r="A3785" s="260" t="s">
        <v>747</v>
      </c>
      <c r="B3785" s="190">
        <v>45822</v>
      </c>
      <c r="C3785" s="260" t="s">
        <v>752</v>
      </c>
      <c r="D3785" s="197">
        <v>0</v>
      </c>
      <c r="E3785" s="197">
        <v>0</v>
      </c>
      <c r="F3785" s="197">
        <v>188.45</v>
      </c>
      <c r="G3785" s="190">
        <v>45821</v>
      </c>
      <c r="H3785" s="196">
        <v>1</v>
      </c>
      <c r="I3785" s="197">
        <v>0</v>
      </c>
      <c r="J3785" s="197">
        <v>0</v>
      </c>
      <c r="K3785" s="197">
        <v>0</v>
      </c>
      <c r="L3785" s="197">
        <v>0</v>
      </c>
      <c r="M3785" s="260" t="s">
        <v>239</v>
      </c>
      <c r="N3785" s="260" t="s">
        <v>514</v>
      </c>
    </row>
    <row r="3786" spans="1:14" ht="14.5" x14ac:dyDescent="0.35">
      <c r="A3786" s="260" t="s">
        <v>747</v>
      </c>
      <c r="B3786" s="190">
        <v>45822</v>
      </c>
      <c r="C3786" s="260" t="s">
        <v>754</v>
      </c>
      <c r="D3786" s="197">
        <v>100</v>
      </c>
      <c r="E3786" s="197">
        <v>8008</v>
      </c>
      <c r="F3786" s="197">
        <v>83.34</v>
      </c>
      <c r="G3786" s="190">
        <v>45821</v>
      </c>
      <c r="H3786" s="196">
        <v>1</v>
      </c>
      <c r="I3786" s="197">
        <v>8334</v>
      </c>
      <c r="J3786" s="197">
        <v>8334</v>
      </c>
      <c r="K3786" s="197">
        <v>0</v>
      </c>
      <c r="L3786" s="197">
        <v>326</v>
      </c>
      <c r="M3786" s="260" t="s">
        <v>239</v>
      </c>
      <c r="N3786" s="260" t="s">
        <v>514</v>
      </c>
    </row>
    <row r="3787" spans="1:14" ht="14.5" x14ac:dyDescent="0.35">
      <c r="A3787" s="260" t="s">
        <v>747</v>
      </c>
      <c r="B3787" s="190">
        <v>45823</v>
      </c>
      <c r="C3787" s="260" t="s">
        <v>749</v>
      </c>
      <c r="D3787" s="197">
        <v>40</v>
      </c>
      <c r="E3787" s="197">
        <v>4004</v>
      </c>
      <c r="F3787" s="197">
        <v>103.97</v>
      </c>
      <c r="G3787" s="190">
        <v>45821</v>
      </c>
      <c r="H3787" s="196">
        <v>2</v>
      </c>
      <c r="I3787" s="197">
        <v>4158.8</v>
      </c>
      <c r="J3787" s="197">
        <v>4158.8</v>
      </c>
      <c r="K3787" s="197">
        <v>0</v>
      </c>
      <c r="L3787" s="197">
        <v>154.80000000000018</v>
      </c>
      <c r="M3787" s="260" t="s">
        <v>239</v>
      </c>
      <c r="N3787" s="260" t="s">
        <v>514</v>
      </c>
    </row>
    <row r="3788" spans="1:14" ht="14.5" x14ac:dyDescent="0.35">
      <c r="A3788" s="260" t="s">
        <v>747</v>
      </c>
      <c r="B3788" s="190">
        <v>45823</v>
      </c>
      <c r="C3788" s="260" t="s">
        <v>752</v>
      </c>
      <c r="D3788" s="197">
        <v>0</v>
      </c>
      <c r="E3788" s="197">
        <v>0</v>
      </c>
      <c r="F3788" s="197">
        <v>188.45</v>
      </c>
      <c r="G3788" s="190">
        <v>45821</v>
      </c>
      <c r="H3788" s="196">
        <v>2</v>
      </c>
      <c r="I3788" s="197">
        <v>0</v>
      </c>
      <c r="J3788" s="197">
        <v>0</v>
      </c>
      <c r="K3788" s="197">
        <v>0</v>
      </c>
      <c r="L3788" s="197">
        <v>0</v>
      </c>
      <c r="M3788" s="260" t="s">
        <v>239</v>
      </c>
      <c r="N3788" s="260" t="s">
        <v>514</v>
      </c>
    </row>
    <row r="3789" spans="1:14" ht="14.5" x14ac:dyDescent="0.35">
      <c r="A3789" s="260" t="s">
        <v>747</v>
      </c>
      <c r="B3789" s="190">
        <v>45823</v>
      </c>
      <c r="C3789" s="260" t="s">
        <v>754</v>
      </c>
      <c r="D3789" s="197">
        <v>100</v>
      </c>
      <c r="E3789" s="197">
        <v>8008</v>
      </c>
      <c r="F3789" s="197">
        <v>83.34</v>
      </c>
      <c r="G3789" s="190">
        <v>45821</v>
      </c>
      <c r="H3789" s="196">
        <v>2</v>
      </c>
      <c r="I3789" s="197">
        <v>8334</v>
      </c>
      <c r="J3789" s="197">
        <v>8334</v>
      </c>
      <c r="K3789" s="197">
        <v>0</v>
      </c>
      <c r="L3789" s="197">
        <v>326</v>
      </c>
      <c r="M3789" s="260" t="s">
        <v>239</v>
      </c>
      <c r="N3789" s="260" t="s">
        <v>514</v>
      </c>
    </row>
    <row r="3790" spans="1:14" ht="14.5" x14ac:dyDescent="0.35">
      <c r="A3790" s="260" t="s">
        <v>747</v>
      </c>
      <c r="B3790" s="190">
        <v>45824</v>
      </c>
      <c r="C3790" s="260" t="s">
        <v>749</v>
      </c>
      <c r="D3790" s="197">
        <v>80</v>
      </c>
      <c r="E3790" s="197">
        <v>4004</v>
      </c>
      <c r="F3790" s="197">
        <v>52.6</v>
      </c>
      <c r="G3790" s="190">
        <v>45824</v>
      </c>
      <c r="H3790" s="196">
        <v>0</v>
      </c>
      <c r="I3790" s="197">
        <v>4208</v>
      </c>
      <c r="J3790" s="197">
        <v>4208</v>
      </c>
      <c r="K3790" s="197">
        <v>0</v>
      </c>
      <c r="L3790" s="197">
        <v>204</v>
      </c>
      <c r="M3790" s="260" t="s">
        <v>239</v>
      </c>
      <c r="N3790" s="260" t="s">
        <v>514</v>
      </c>
    </row>
    <row r="3791" spans="1:14" ht="14.5" x14ac:dyDescent="0.35">
      <c r="A3791" s="260" t="s">
        <v>747</v>
      </c>
      <c r="B3791" s="190">
        <v>45824</v>
      </c>
      <c r="C3791" s="260" t="s">
        <v>752</v>
      </c>
      <c r="D3791" s="197">
        <v>0</v>
      </c>
      <c r="E3791" s="197">
        <v>0</v>
      </c>
      <c r="F3791" s="197">
        <v>187.31</v>
      </c>
      <c r="G3791" s="190">
        <v>45824</v>
      </c>
      <c r="H3791" s="196">
        <v>0</v>
      </c>
      <c r="I3791" s="197">
        <v>0</v>
      </c>
      <c r="J3791" s="197">
        <v>0</v>
      </c>
      <c r="K3791" s="197">
        <v>0</v>
      </c>
      <c r="L3791" s="197">
        <v>0</v>
      </c>
      <c r="M3791" s="260" t="s">
        <v>239</v>
      </c>
      <c r="N3791" s="260" t="s">
        <v>514</v>
      </c>
    </row>
    <row r="3792" spans="1:14" ht="14.5" x14ac:dyDescent="0.35">
      <c r="A3792" s="260" t="s">
        <v>747</v>
      </c>
      <c r="B3792" s="190">
        <v>45824</v>
      </c>
      <c r="C3792" s="260" t="s">
        <v>754</v>
      </c>
      <c r="D3792" s="197">
        <v>100</v>
      </c>
      <c r="E3792" s="197">
        <v>8008</v>
      </c>
      <c r="F3792" s="197">
        <v>82.93</v>
      </c>
      <c r="G3792" s="190">
        <v>45824</v>
      </c>
      <c r="H3792" s="196">
        <v>0</v>
      </c>
      <c r="I3792" s="197">
        <v>8293</v>
      </c>
      <c r="J3792" s="197">
        <v>8293</v>
      </c>
      <c r="K3792" s="197">
        <v>0</v>
      </c>
      <c r="L3792" s="197">
        <v>285</v>
      </c>
      <c r="M3792" s="260" t="s">
        <v>239</v>
      </c>
      <c r="N3792" s="260" t="s">
        <v>514</v>
      </c>
    </row>
    <row r="3793" spans="1:14" ht="14.5" x14ac:dyDescent="0.35">
      <c r="A3793" s="260" t="s">
        <v>747</v>
      </c>
      <c r="B3793" s="190">
        <v>45825</v>
      </c>
      <c r="C3793" s="260" t="s">
        <v>749</v>
      </c>
      <c r="D3793" s="197">
        <v>80</v>
      </c>
      <c r="E3793" s="197">
        <v>4004</v>
      </c>
      <c r="F3793" s="197">
        <v>52.81</v>
      </c>
      <c r="G3793" s="190">
        <v>45825</v>
      </c>
      <c r="H3793" s="196">
        <v>0</v>
      </c>
      <c r="I3793" s="197">
        <v>4224.8</v>
      </c>
      <c r="J3793" s="197">
        <v>4224.8</v>
      </c>
      <c r="K3793" s="197">
        <v>0</v>
      </c>
      <c r="L3793" s="197">
        <v>220.80000000000018</v>
      </c>
      <c r="M3793" s="260" t="s">
        <v>239</v>
      </c>
      <c r="N3793" s="260" t="s">
        <v>514</v>
      </c>
    </row>
    <row r="3794" spans="1:14" ht="14.5" x14ac:dyDescent="0.35">
      <c r="A3794" s="260" t="s">
        <v>747</v>
      </c>
      <c r="B3794" s="190">
        <v>45825</v>
      </c>
      <c r="C3794" s="260" t="s">
        <v>752</v>
      </c>
      <c r="D3794" s="197">
        <v>0</v>
      </c>
      <c r="E3794" s="197">
        <v>0</v>
      </c>
      <c r="F3794" s="197">
        <v>186.93</v>
      </c>
      <c r="G3794" s="190">
        <v>45825</v>
      </c>
      <c r="H3794" s="196">
        <v>0</v>
      </c>
      <c r="I3794" s="197">
        <v>0</v>
      </c>
      <c r="J3794" s="197">
        <v>0</v>
      </c>
      <c r="K3794" s="197">
        <v>0</v>
      </c>
      <c r="L3794" s="197">
        <v>0</v>
      </c>
      <c r="M3794" s="260" t="s">
        <v>239</v>
      </c>
      <c r="N3794" s="260" t="s">
        <v>514</v>
      </c>
    </row>
    <row r="3795" spans="1:14" ht="14.5" x14ac:dyDescent="0.35">
      <c r="A3795" s="260" t="s">
        <v>747</v>
      </c>
      <c r="B3795" s="190">
        <v>45825</v>
      </c>
      <c r="C3795" s="260" t="s">
        <v>754</v>
      </c>
      <c r="D3795" s="197">
        <v>100</v>
      </c>
      <c r="E3795" s="197">
        <v>8008</v>
      </c>
      <c r="F3795" s="197">
        <v>82.79</v>
      </c>
      <c r="G3795" s="190">
        <v>45825</v>
      </c>
      <c r="H3795" s="196">
        <v>0</v>
      </c>
      <c r="I3795" s="197">
        <v>8279</v>
      </c>
      <c r="J3795" s="197">
        <v>8279</v>
      </c>
      <c r="K3795" s="197">
        <v>0</v>
      </c>
      <c r="L3795" s="197">
        <v>271</v>
      </c>
      <c r="M3795" s="260" t="s">
        <v>239</v>
      </c>
      <c r="N3795" s="260" t="s">
        <v>514</v>
      </c>
    </row>
    <row r="3796" spans="1:14" ht="14.5" x14ac:dyDescent="0.35">
      <c r="A3796" s="260" t="s">
        <v>747</v>
      </c>
      <c r="B3796" s="190">
        <v>45826</v>
      </c>
      <c r="C3796" s="260" t="s">
        <v>749</v>
      </c>
      <c r="D3796" s="197">
        <v>80</v>
      </c>
      <c r="E3796" s="197">
        <v>4004</v>
      </c>
      <c r="F3796" s="197">
        <v>53.02</v>
      </c>
      <c r="G3796" s="190">
        <v>45826</v>
      </c>
      <c r="H3796" s="196">
        <v>0</v>
      </c>
      <c r="I3796" s="197">
        <v>4241.6000000000004</v>
      </c>
      <c r="J3796" s="197">
        <v>4241.6000000000004</v>
      </c>
      <c r="K3796" s="197">
        <v>0</v>
      </c>
      <c r="L3796" s="197">
        <v>237.60000000000036</v>
      </c>
      <c r="M3796" s="260" t="s">
        <v>239</v>
      </c>
      <c r="N3796" s="260" t="s">
        <v>514</v>
      </c>
    </row>
    <row r="3797" spans="1:14" ht="14.5" x14ac:dyDescent="0.35">
      <c r="A3797" s="260" t="s">
        <v>747</v>
      </c>
      <c r="B3797" s="190">
        <v>45826</v>
      </c>
      <c r="C3797" s="260" t="s">
        <v>752</v>
      </c>
      <c r="D3797" s="197">
        <v>0</v>
      </c>
      <c r="E3797" s="197">
        <v>0</v>
      </c>
      <c r="F3797" s="197">
        <v>186.55</v>
      </c>
      <c r="G3797" s="190">
        <v>45826</v>
      </c>
      <c r="H3797" s="196">
        <v>0</v>
      </c>
      <c r="I3797" s="197">
        <v>0</v>
      </c>
      <c r="J3797" s="197">
        <v>0</v>
      </c>
      <c r="K3797" s="197">
        <v>0</v>
      </c>
      <c r="L3797" s="197">
        <v>0</v>
      </c>
      <c r="M3797" s="260" t="s">
        <v>239</v>
      </c>
      <c r="N3797" s="260" t="s">
        <v>514</v>
      </c>
    </row>
    <row r="3798" spans="1:14" ht="14.5" x14ac:dyDescent="0.35">
      <c r="A3798" s="260" t="s">
        <v>747</v>
      </c>
      <c r="B3798" s="190">
        <v>45826</v>
      </c>
      <c r="C3798" s="260" t="s">
        <v>754</v>
      </c>
      <c r="D3798" s="197">
        <v>100</v>
      </c>
      <c r="E3798" s="197">
        <v>8008</v>
      </c>
      <c r="F3798" s="197">
        <v>82.66</v>
      </c>
      <c r="G3798" s="190">
        <v>45826</v>
      </c>
      <c r="H3798" s="196">
        <v>0</v>
      </c>
      <c r="I3798" s="197">
        <v>8266</v>
      </c>
      <c r="J3798" s="197">
        <v>8266</v>
      </c>
      <c r="K3798" s="197">
        <v>0</v>
      </c>
      <c r="L3798" s="197">
        <v>258</v>
      </c>
      <c r="M3798" s="260" t="s">
        <v>239</v>
      </c>
      <c r="N3798" s="260" t="s">
        <v>514</v>
      </c>
    </row>
    <row r="3799" spans="1:14" ht="14.5" x14ac:dyDescent="0.35">
      <c r="A3799" s="260" t="s">
        <v>747</v>
      </c>
      <c r="B3799" s="190">
        <v>45827</v>
      </c>
      <c r="C3799" s="260" t="s">
        <v>749</v>
      </c>
      <c r="D3799" s="197">
        <v>80</v>
      </c>
      <c r="E3799" s="197">
        <v>4004</v>
      </c>
      <c r="F3799" s="197">
        <v>53.22</v>
      </c>
      <c r="G3799" s="190">
        <v>45827</v>
      </c>
      <c r="H3799" s="196">
        <v>0</v>
      </c>
      <c r="I3799" s="197">
        <v>4257.6000000000004</v>
      </c>
      <c r="J3799" s="197">
        <v>4257.6000000000004</v>
      </c>
      <c r="K3799" s="197">
        <v>0</v>
      </c>
      <c r="L3799" s="197">
        <v>253.60000000000036</v>
      </c>
      <c r="M3799" s="260" t="s">
        <v>239</v>
      </c>
      <c r="N3799" s="260" t="s">
        <v>514</v>
      </c>
    </row>
    <row r="3800" spans="1:14" ht="14.5" x14ac:dyDescent="0.35">
      <c r="A3800" s="260" t="s">
        <v>747</v>
      </c>
      <c r="B3800" s="190">
        <v>45827</v>
      </c>
      <c r="C3800" s="260" t="s">
        <v>752</v>
      </c>
      <c r="D3800" s="197">
        <v>0</v>
      </c>
      <c r="E3800" s="197">
        <v>0</v>
      </c>
      <c r="F3800" s="197">
        <v>186.17</v>
      </c>
      <c r="G3800" s="190">
        <v>45827</v>
      </c>
      <c r="H3800" s="196">
        <v>0</v>
      </c>
      <c r="I3800" s="197">
        <v>0</v>
      </c>
      <c r="J3800" s="197">
        <v>0</v>
      </c>
      <c r="K3800" s="197">
        <v>0</v>
      </c>
      <c r="L3800" s="197">
        <v>0</v>
      </c>
      <c r="M3800" s="260" t="s">
        <v>239</v>
      </c>
      <c r="N3800" s="260" t="s">
        <v>514</v>
      </c>
    </row>
    <row r="3801" spans="1:14" ht="14.5" x14ac:dyDescent="0.35">
      <c r="A3801" s="260" t="s">
        <v>747</v>
      </c>
      <c r="B3801" s="190">
        <v>45827</v>
      </c>
      <c r="C3801" s="260" t="s">
        <v>754</v>
      </c>
      <c r="D3801" s="197">
        <v>100</v>
      </c>
      <c r="E3801" s="197">
        <v>8008</v>
      </c>
      <c r="F3801" s="197">
        <v>82.52</v>
      </c>
      <c r="G3801" s="190">
        <v>45827</v>
      </c>
      <c r="H3801" s="196">
        <v>0</v>
      </c>
      <c r="I3801" s="197">
        <v>8252</v>
      </c>
      <c r="J3801" s="197">
        <v>8252</v>
      </c>
      <c r="K3801" s="197">
        <v>0</v>
      </c>
      <c r="L3801" s="197">
        <v>244</v>
      </c>
      <c r="M3801" s="260" t="s">
        <v>239</v>
      </c>
      <c r="N3801" s="260" t="s">
        <v>514</v>
      </c>
    </row>
    <row r="3802" spans="1:14" ht="14.5" x14ac:dyDescent="0.35">
      <c r="A3802" s="260" t="s">
        <v>747</v>
      </c>
      <c r="B3802" s="190">
        <v>45828</v>
      </c>
      <c r="C3802" s="260" t="s">
        <v>749</v>
      </c>
      <c r="D3802" s="197">
        <v>80</v>
      </c>
      <c r="E3802" s="197">
        <v>4004</v>
      </c>
      <c r="F3802" s="197">
        <v>53.43</v>
      </c>
      <c r="G3802" s="190">
        <v>45828</v>
      </c>
      <c r="H3802" s="196">
        <v>0</v>
      </c>
      <c r="I3802" s="197">
        <v>4274.3999999999996</v>
      </c>
      <c r="J3802" s="197">
        <v>4274.3999999999996</v>
      </c>
      <c r="K3802" s="197">
        <v>0</v>
      </c>
      <c r="L3802" s="197">
        <v>270.39999999999964</v>
      </c>
      <c r="M3802" s="260" t="s">
        <v>239</v>
      </c>
      <c r="N3802" s="260" t="s">
        <v>514</v>
      </c>
    </row>
    <row r="3803" spans="1:14" ht="14.5" x14ac:dyDescent="0.35">
      <c r="A3803" s="260" t="s">
        <v>747</v>
      </c>
      <c r="B3803" s="190">
        <v>45828</v>
      </c>
      <c r="C3803" s="260" t="s">
        <v>752</v>
      </c>
      <c r="D3803" s="197">
        <v>0</v>
      </c>
      <c r="E3803" s="197">
        <v>0</v>
      </c>
      <c r="F3803" s="197">
        <v>185.79</v>
      </c>
      <c r="G3803" s="190">
        <v>45828</v>
      </c>
      <c r="H3803" s="196">
        <v>0</v>
      </c>
      <c r="I3803" s="197">
        <v>0</v>
      </c>
      <c r="J3803" s="197">
        <v>0</v>
      </c>
      <c r="K3803" s="197">
        <v>0</v>
      </c>
      <c r="L3803" s="197">
        <v>0</v>
      </c>
      <c r="M3803" s="260" t="s">
        <v>239</v>
      </c>
      <c r="N3803" s="260" t="s">
        <v>514</v>
      </c>
    </row>
    <row r="3804" spans="1:14" ht="14.5" x14ac:dyDescent="0.35">
      <c r="A3804" s="260" t="s">
        <v>747</v>
      </c>
      <c r="B3804" s="190">
        <v>45828</v>
      </c>
      <c r="C3804" s="260" t="s">
        <v>754</v>
      </c>
      <c r="D3804" s="197">
        <v>100</v>
      </c>
      <c r="E3804" s="197">
        <v>8008</v>
      </c>
      <c r="F3804" s="197">
        <v>82.38</v>
      </c>
      <c r="G3804" s="190">
        <v>45828</v>
      </c>
      <c r="H3804" s="196">
        <v>0</v>
      </c>
      <c r="I3804" s="197">
        <v>8238</v>
      </c>
      <c r="J3804" s="197">
        <v>8238</v>
      </c>
      <c r="K3804" s="197">
        <v>0</v>
      </c>
      <c r="L3804" s="197">
        <v>230</v>
      </c>
      <c r="M3804" s="260" t="s">
        <v>239</v>
      </c>
      <c r="N3804" s="260" t="s">
        <v>514</v>
      </c>
    </row>
    <row r="3805" spans="1:14" ht="14.5" x14ac:dyDescent="0.35">
      <c r="A3805" s="260" t="s">
        <v>747</v>
      </c>
      <c r="B3805" s="190">
        <v>45829</v>
      </c>
      <c r="C3805" s="260" t="s">
        <v>749</v>
      </c>
      <c r="D3805" s="197">
        <v>80</v>
      </c>
      <c r="E3805" s="197">
        <v>4004</v>
      </c>
      <c r="F3805" s="197">
        <v>53.43</v>
      </c>
      <c r="G3805" s="190">
        <v>45828</v>
      </c>
      <c r="H3805" s="196">
        <v>1</v>
      </c>
      <c r="I3805" s="197">
        <v>4274.3999999999996</v>
      </c>
      <c r="J3805" s="197">
        <v>4274.3999999999996</v>
      </c>
      <c r="K3805" s="197">
        <v>0</v>
      </c>
      <c r="L3805" s="197">
        <v>270.39999999999964</v>
      </c>
      <c r="M3805" s="260" t="s">
        <v>239</v>
      </c>
      <c r="N3805" s="260" t="s">
        <v>514</v>
      </c>
    </row>
    <row r="3806" spans="1:14" ht="14.5" x14ac:dyDescent="0.35">
      <c r="A3806" s="260" t="s">
        <v>747</v>
      </c>
      <c r="B3806" s="190">
        <v>45829</v>
      </c>
      <c r="C3806" s="260" t="s">
        <v>752</v>
      </c>
      <c r="D3806" s="197">
        <v>0</v>
      </c>
      <c r="E3806" s="197">
        <v>0</v>
      </c>
      <c r="F3806" s="197">
        <v>185.79</v>
      </c>
      <c r="G3806" s="190">
        <v>45828</v>
      </c>
      <c r="H3806" s="196">
        <v>1</v>
      </c>
      <c r="I3806" s="197">
        <v>0</v>
      </c>
      <c r="J3806" s="197">
        <v>0</v>
      </c>
      <c r="K3806" s="197">
        <v>0</v>
      </c>
      <c r="L3806" s="197">
        <v>0</v>
      </c>
      <c r="M3806" s="260" t="s">
        <v>239</v>
      </c>
      <c r="N3806" s="260" t="s">
        <v>514</v>
      </c>
    </row>
    <row r="3807" spans="1:14" ht="14.5" x14ac:dyDescent="0.35">
      <c r="A3807" s="260" t="s">
        <v>747</v>
      </c>
      <c r="B3807" s="190">
        <v>45829</v>
      </c>
      <c r="C3807" s="260" t="s">
        <v>754</v>
      </c>
      <c r="D3807" s="197">
        <v>100</v>
      </c>
      <c r="E3807" s="197">
        <v>8008</v>
      </c>
      <c r="F3807" s="197">
        <v>82.38</v>
      </c>
      <c r="G3807" s="190">
        <v>45828</v>
      </c>
      <c r="H3807" s="196">
        <v>1</v>
      </c>
      <c r="I3807" s="197">
        <v>8238</v>
      </c>
      <c r="J3807" s="197">
        <v>8238</v>
      </c>
      <c r="K3807" s="197">
        <v>0</v>
      </c>
      <c r="L3807" s="197">
        <v>230</v>
      </c>
      <c r="M3807" s="260" t="s">
        <v>239</v>
      </c>
      <c r="N3807" s="260" t="s">
        <v>514</v>
      </c>
    </row>
    <row r="3808" spans="1:14" ht="14.5" x14ac:dyDescent="0.35">
      <c r="A3808" s="260" t="s">
        <v>747</v>
      </c>
      <c r="B3808" s="190">
        <v>45830</v>
      </c>
      <c r="C3808" s="260" t="s">
        <v>749</v>
      </c>
      <c r="D3808" s="197">
        <v>80</v>
      </c>
      <c r="E3808" s="197">
        <v>4004</v>
      </c>
      <c r="F3808" s="197">
        <v>53.43</v>
      </c>
      <c r="G3808" s="190">
        <v>45828</v>
      </c>
      <c r="H3808" s="196">
        <v>2</v>
      </c>
      <c r="I3808" s="197">
        <v>4274.3999999999996</v>
      </c>
      <c r="J3808" s="197">
        <v>4274.3999999999996</v>
      </c>
      <c r="K3808" s="197">
        <v>0</v>
      </c>
      <c r="L3808" s="197">
        <v>270.39999999999964</v>
      </c>
      <c r="M3808" s="260" t="s">
        <v>239</v>
      </c>
      <c r="N3808" s="260" t="s">
        <v>514</v>
      </c>
    </row>
    <row r="3809" spans="1:14" ht="14.5" x14ac:dyDescent="0.35">
      <c r="A3809" s="260" t="s">
        <v>747</v>
      </c>
      <c r="B3809" s="190">
        <v>45830</v>
      </c>
      <c r="C3809" s="260" t="s">
        <v>752</v>
      </c>
      <c r="D3809" s="197">
        <v>0</v>
      </c>
      <c r="E3809" s="197">
        <v>0</v>
      </c>
      <c r="F3809" s="197">
        <v>185.79</v>
      </c>
      <c r="G3809" s="190">
        <v>45828</v>
      </c>
      <c r="H3809" s="196">
        <v>2</v>
      </c>
      <c r="I3809" s="197">
        <v>0</v>
      </c>
      <c r="J3809" s="197">
        <v>0</v>
      </c>
      <c r="K3809" s="197">
        <v>0</v>
      </c>
      <c r="L3809" s="197">
        <v>0</v>
      </c>
      <c r="M3809" s="260" t="s">
        <v>239</v>
      </c>
      <c r="N3809" s="260" t="s">
        <v>514</v>
      </c>
    </row>
    <row r="3810" spans="1:14" ht="14.5" x14ac:dyDescent="0.35">
      <c r="A3810" s="260" t="s">
        <v>747</v>
      </c>
      <c r="B3810" s="190">
        <v>45830</v>
      </c>
      <c r="C3810" s="260" t="s">
        <v>754</v>
      </c>
      <c r="D3810" s="197">
        <v>100</v>
      </c>
      <c r="E3810" s="197">
        <v>8008</v>
      </c>
      <c r="F3810" s="197">
        <v>82.38</v>
      </c>
      <c r="G3810" s="190">
        <v>45828</v>
      </c>
      <c r="H3810" s="196">
        <v>2</v>
      </c>
      <c r="I3810" s="197">
        <v>8238</v>
      </c>
      <c r="J3810" s="197">
        <v>8238</v>
      </c>
      <c r="K3810" s="197">
        <v>0</v>
      </c>
      <c r="L3810" s="197">
        <v>230</v>
      </c>
      <c r="M3810" s="260" t="s">
        <v>239</v>
      </c>
      <c r="N3810" s="260" t="s">
        <v>514</v>
      </c>
    </row>
    <row r="3811" spans="1:14" ht="14.5" x14ac:dyDescent="0.35">
      <c r="A3811" s="260" t="s">
        <v>747</v>
      </c>
      <c r="B3811" s="190">
        <v>45831</v>
      </c>
      <c r="C3811" s="260" t="s">
        <v>749</v>
      </c>
      <c r="D3811" s="197">
        <v>80</v>
      </c>
      <c r="E3811" s="197">
        <v>4004</v>
      </c>
      <c r="F3811" s="197">
        <v>54.05</v>
      </c>
      <c r="G3811" s="190">
        <v>45831</v>
      </c>
      <c r="H3811" s="196">
        <v>0</v>
      </c>
      <c r="I3811" s="197">
        <v>4324</v>
      </c>
      <c r="J3811" s="197">
        <v>4324</v>
      </c>
      <c r="K3811" s="197">
        <v>0</v>
      </c>
      <c r="L3811" s="197">
        <v>320</v>
      </c>
      <c r="M3811" s="260" t="s">
        <v>239</v>
      </c>
      <c r="N3811" s="260" t="s">
        <v>514</v>
      </c>
    </row>
    <row r="3812" spans="1:14" ht="14.5" x14ac:dyDescent="0.35">
      <c r="A3812" s="260" t="s">
        <v>747</v>
      </c>
      <c r="B3812" s="190">
        <v>45831</v>
      </c>
      <c r="C3812" s="260" t="s">
        <v>752</v>
      </c>
      <c r="D3812" s="197">
        <v>0</v>
      </c>
      <c r="E3812" s="197">
        <v>0</v>
      </c>
      <c r="F3812" s="197">
        <v>184.66</v>
      </c>
      <c r="G3812" s="190">
        <v>45831</v>
      </c>
      <c r="H3812" s="196">
        <v>0</v>
      </c>
      <c r="I3812" s="197">
        <v>0</v>
      </c>
      <c r="J3812" s="197">
        <v>0</v>
      </c>
      <c r="K3812" s="197">
        <v>0</v>
      </c>
      <c r="L3812" s="197">
        <v>0</v>
      </c>
      <c r="M3812" s="260" t="s">
        <v>239</v>
      </c>
      <c r="N3812" s="260" t="s">
        <v>514</v>
      </c>
    </row>
    <row r="3813" spans="1:14" ht="14.5" x14ac:dyDescent="0.35">
      <c r="A3813" s="260" t="s">
        <v>747</v>
      </c>
      <c r="B3813" s="190">
        <v>45831</v>
      </c>
      <c r="C3813" s="260" t="s">
        <v>754</v>
      </c>
      <c r="D3813" s="197">
        <v>100</v>
      </c>
      <c r="E3813" s="197">
        <v>8008</v>
      </c>
      <c r="F3813" s="197">
        <v>81.97</v>
      </c>
      <c r="G3813" s="190">
        <v>45831</v>
      </c>
      <c r="H3813" s="196">
        <v>0</v>
      </c>
      <c r="I3813" s="197">
        <v>8197</v>
      </c>
      <c r="J3813" s="197">
        <v>8197</v>
      </c>
      <c r="K3813" s="197">
        <v>0</v>
      </c>
      <c r="L3813" s="197">
        <v>189</v>
      </c>
      <c r="M3813" s="260" t="s">
        <v>239</v>
      </c>
      <c r="N3813" s="260" t="s">
        <v>514</v>
      </c>
    </row>
    <row r="3814" spans="1:14" ht="14.5" x14ac:dyDescent="0.35">
      <c r="A3814" s="260" t="s">
        <v>747</v>
      </c>
      <c r="B3814" s="190">
        <v>45832</v>
      </c>
      <c r="C3814" s="260" t="s">
        <v>749</v>
      </c>
      <c r="D3814" s="197">
        <v>80</v>
      </c>
      <c r="E3814" s="197">
        <v>4004</v>
      </c>
      <c r="F3814" s="197">
        <v>54.26</v>
      </c>
      <c r="G3814" s="190">
        <v>45832</v>
      </c>
      <c r="H3814" s="196">
        <v>0</v>
      </c>
      <c r="I3814" s="197">
        <v>4340.8</v>
      </c>
      <c r="J3814" s="197">
        <v>4340.8</v>
      </c>
      <c r="K3814" s="197">
        <v>0</v>
      </c>
      <c r="L3814" s="197">
        <v>336.80000000000018</v>
      </c>
      <c r="M3814" s="260" t="s">
        <v>239</v>
      </c>
      <c r="N3814" s="260" t="s">
        <v>514</v>
      </c>
    </row>
    <row r="3815" spans="1:14" ht="14.5" x14ac:dyDescent="0.35">
      <c r="A3815" s="260" t="s">
        <v>747</v>
      </c>
      <c r="B3815" s="190">
        <v>45832</v>
      </c>
      <c r="C3815" s="260" t="s">
        <v>752</v>
      </c>
      <c r="D3815" s="197">
        <v>0</v>
      </c>
      <c r="E3815" s="197">
        <v>0</v>
      </c>
      <c r="F3815" s="197">
        <v>184.28</v>
      </c>
      <c r="G3815" s="190">
        <v>45832</v>
      </c>
      <c r="H3815" s="196">
        <v>0</v>
      </c>
      <c r="I3815" s="197">
        <v>0</v>
      </c>
      <c r="J3815" s="197">
        <v>0</v>
      </c>
      <c r="K3815" s="197">
        <v>0</v>
      </c>
      <c r="L3815" s="197">
        <v>0</v>
      </c>
      <c r="M3815" s="260" t="s">
        <v>239</v>
      </c>
      <c r="N3815" s="260" t="s">
        <v>514</v>
      </c>
    </row>
    <row r="3816" spans="1:14" ht="14.5" x14ac:dyDescent="0.35">
      <c r="A3816" s="260" t="s">
        <v>747</v>
      </c>
      <c r="B3816" s="190">
        <v>45832</v>
      </c>
      <c r="C3816" s="260" t="s">
        <v>754</v>
      </c>
      <c r="D3816" s="197">
        <v>100</v>
      </c>
      <c r="E3816" s="197">
        <v>8008</v>
      </c>
      <c r="F3816" s="197">
        <v>81.83</v>
      </c>
      <c r="G3816" s="190">
        <v>45832</v>
      </c>
      <c r="H3816" s="196">
        <v>0</v>
      </c>
      <c r="I3816" s="197">
        <v>8183</v>
      </c>
      <c r="J3816" s="197">
        <v>8183</v>
      </c>
      <c r="K3816" s="197">
        <v>0</v>
      </c>
      <c r="L3816" s="197">
        <v>175</v>
      </c>
      <c r="M3816" s="260" t="s">
        <v>239</v>
      </c>
      <c r="N3816" s="260" t="s">
        <v>514</v>
      </c>
    </row>
    <row r="3817" spans="1:14" ht="14.5" x14ac:dyDescent="0.35">
      <c r="A3817" s="260" t="s">
        <v>747</v>
      </c>
      <c r="B3817" s="190">
        <v>45833</v>
      </c>
      <c r="C3817" s="260" t="s">
        <v>749</v>
      </c>
      <c r="D3817" s="197">
        <v>80</v>
      </c>
      <c r="E3817" s="197">
        <v>4004</v>
      </c>
      <c r="F3817" s="197">
        <v>54.47</v>
      </c>
      <c r="G3817" s="190">
        <v>45833</v>
      </c>
      <c r="H3817" s="196">
        <v>0</v>
      </c>
      <c r="I3817" s="197">
        <v>4357.6000000000004</v>
      </c>
      <c r="J3817" s="197">
        <v>4357.6000000000004</v>
      </c>
      <c r="K3817" s="197">
        <v>0</v>
      </c>
      <c r="L3817" s="197">
        <v>353.60000000000036</v>
      </c>
      <c r="M3817" s="260" t="s">
        <v>239</v>
      </c>
      <c r="N3817" s="260" t="s">
        <v>514</v>
      </c>
    </row>
    <row r="3818" spans="1:14" ht="14.5" x14ac:dyDescent="0.35">
      <c r="A3818" s="260" t="s">
        <v>747</v>
      </c>
      <c r="B3818" s="190">
        <v>45833</v>
      </c>
      <c r="C3818" s="260" t="s">
        <v>752</v>
      </c>
      <c r="D3818" s="197">
        <v>0</v>
      </c>
      <c r="E3818" s="197">
        <v>0</v>
      </c>
      <c r="F3818" s="197">
        <v>183.9</v>
      </c>
      <c r="G3818" s="190">
        <v>45833</v>
      </c>
      <c r="H3818" s="196">
        <v>0</v>
      </c>
      <c r="I3818" s="197">
        <v>0</v>
      </c>
      <c r="J3818" s="197">
        <v>0</v>
      </c>
      <c r="K3818" s="197">
        <v>0</v>
      </c>
      <c r="L3818" s="197">
        <v>0</v>
      </c>
      <c r="M3818" s="260" t="s">
        <v>239</v>
      </c>
      <c r="N3818" s="260" t="s">
        <v>514</v>
      </c>
    </row>
    <row r="3819" spans="1:14" ht="14.5" x14ac:dyDescent="0.35">
      <c r="A3819" s="260" t="s">
        <v>747</v>
      </c>
      <c r="B3819" s="190">
        <v>45833</v>
      </c>
      <c r="C3819" s="260" t="s">
        <v>754</v>
      </c>
      <c r="D3819" s="197">
        <v>100</v>
      </c>
      <c r="E3819" s="197">
        <v>8008</v>
      </c>
      <c r="F3819" s="197">
        <v>81.69</v>
      </c>
      <c r="G3819" s="190">
        <v>45833</v>
      </c>
      <c r="H3819" s="196">
        <v>0</v>
      </c>
      <c r="I3819" s="197">
        <v>8169</v>
      </c>
      <c r="J3819" s="197">
        <v>8169</v>
      </c>
      <c r="K3819" s="197">
        <v>0</v>
      </c>
      <c r="L3819" s="197">
        <v>161</v>
      </c>
      <c r="M3819" s="260" t="s">
        <v>239</v>
      </c>
      <c r="N3819" s="260" t="s">
        <v>514</v>
      </c>
    </row>
    <row r="3820" spans="1:14" ht="14.5" x14ac:dyDescent="0.35">
      <c r="A3820" s="260" t="s">
        <v>747</v>
      </c>
      <c r="B3820" s="190">
        <v>45834</v>
      </c>
      <c r="C3820" s="260" t="s">
        <v>749</v>
      </c>
      <c r="D3820" s="197">
        <v>80</v>
      </c>
      <c r="E3820" s="197">
        <v>4004</v>
      </c>
      <c r="F3820" s="197">
        <v>54.67</v>
      </c>
      <c r="G3820" s="190">
        <v>45834</v>
      </c>
      <c r="H3820" s="196">
        <v>0</v>
      </c>
      <c r="I3820" s="197">
        <v>4373.6000000000004</v>
      </c>
      <c r="J3820" s="197">
        <v>4373.6000000000004</v>
      </c>
      <c r="K3820" s="197">
        <v>0</v>
      </c>
      <c r="L3820" s="197">
        <v>369.60000000000036</v>
      </c>
      <c r="M3820" s="260" t="s">
        <v>239</v>
      </c>
      <c r="N3820" s="260" t="s">
        <v>514</v>
      </c>
    </row>
    <row r="3821" spans="1:14" ht="14.5" x14ac:dyDescent="0.35">
      <c r="A3821" s="260" t="s">
        <v>747</v>
      </c>
      <c r="B3821" s="190">
        <v>45834</v>
      </c>
      <c r="C3821" s="260" t="s">
        <v>752</v>
      </c>
      <c r="D3821" s="197">
        <v>0</v>
      </c>
      <c r="E3821" s="197">
        <v>0</v>
      </c>
      <c r="F3821" s="197">
        <v>183.52</v>
      </c>
      <c r="G3821" s="190">
        <v>45834</v>
      </c>
      <c r="H3821" s="196">
        <v>0</v>
      </c>
      <c r="I3821" s="197">
        <v>0</v>
      </c>
      <c r="J3821" s="197">
        <v>0</v>
      </c>
      <c r="K3821" s="197">
        <v>0</v>
      </c>
      <c r="L3821" s="197">
        <v>0</v>
      </c>
      <c r="M3821" s="260" t="s">
        <v>239</v>
      </c>
      <c r="N3821" s="260" t="s">
        <v>514</v>
      </c>
    </row>
    <row r="3822" spans="1:14" ht="14.5" x14ac:dyDescent="0.35">
      <c r="A3822" s="260" t="s">
        <v>747</v>
      </c>
      <c r="B3822" s="190">
        <v>45834</v>
      </c>
      <c r="C3822" s="260" t="s">
        <v>754</v>
      </c>
      <c r="D3822" s="197">
        <v>100</v>
      </c>
      <c r="E3822" s="197">
        <v>8008</v>
      </c>
      <c r="F3822" s="197">
        <v>81.55</v>
      </c>
      <c r="G3822" s="190">
        <v>45834</v>
      </c>
      <c r="H3822" s="196">
        <v>0</v>
      </c>
      <c r="I3822" s="197">
        <v>8155</v>
      </c>
      <c r="J3822" s="197">
        <v>8155</v>
      </c>
      <c r="K3822" s="197">
        <v>0</v>
      </c>
      <c r="L3822" s="197">
        <v>147</v>
      </c>
      <c r="M3822" s="260" t="s">
        <v>239</v>
      </c>
      <c r="N3822" s="260" t="s">
        <v>514</v>
      </c>
    </row>
    <row r="3823" spans="1:14" ht="14.5" x14ac:dyDescent="0.35">
      <c r="A3823" s="260" t="s">
        <v>747</v>
      </c>
      <c r="B3823" s="190">
        <v>45835</v>
      </c>
      <c r="C3823" s="260" t="s">
        <v>749</v>
      </c>
      <c r="D3823" s="197">
        <v>80</v>
      </c>
      <c r="E3823" s="197">
        <v>4004</v>
      </c>
      <c r="F3823" s="197">
        <v>54.88</v>
      </c>
      <c r="G3823" s="190">
        <v>45835</v>
      </c>
      <c r="H3823" s="196">
        <v>0</v>
      </c>
      <c r="I3823" s="197">
        <v>4390.4000000000005</v>
      </c>
      <c r="J3823" s="197">
        <v>4390.4000000000005</v>
      </c>
      <c r="K3823" s="197">
        <v>0</v>
      </c>
      <c r="L3823" s="197">
        <v>386.40000000000055</v>
      </c>
      <c r="M3823" s="260" t="s">
        <v>239</v>
      </c>
      <c r="N3823" s="260" t="s">
        <v>514</v>
      </c>
    </row>
    <row r="3824" spans="1:14" ht="14.5" x14ac:dyDescent="0.35">
      <c r="A3824" s="260" t="s">
        <v>747</v>
      </c>
      <c r="B3824" s="190">
        <v>45835</v>
      </c>
      <c r="C3824" s="260" t="s">
        <v>752</v>
      </c>
      <c r="D3824" s="197">
        <v>0</v>
      </c>
      <c r="E3824" s="197">
        <v>0</v>
      </c>
      <c r="F3824" s="197">
        <v>183.14</v>
      </c>
      <c r="G3824" s="190">
        <v>45835</v>
      </c>
      <c r="H3824" s="196">
        <v>0</v>
      </c>
      <c r="I3824" s="197">
        <v>0</v>
      </c>
      <c r="J3824" s="197">
        <v>0</v>
      </c>
      <c r="K3824" s="197">
        <v>0</v>
      </c>
      <c r="L3824" s="197">
        <v>0</v>
      </c>
      <c r="M3824" s="260" t="s">
        <v>239</v>
      </c>
      <c r="N3824" s="260" t="s">
        <v>514</v>
      </c>
    </row>
    <row r="3825" spans="1:14" ht="14.5" x14ac:dyDescent="0.35">
      <c r="A3825" s="260" t="s">
        <v>747</v>
      </c>
      <c r="B3825" s="190">
        <v>45835</v>
      </c>
      <c r="C3825" s="260" t="s">
        <v>754</v>
      </c>
      <c r="D3825" s="197">
        <v>100</v>
      </c>
      <c r="E3825" s="197">
        <v>8008</v>
      </c>
      <c r="F3825" s="197">
        <v>81.41</v>
      </c>
      <c r="G3825" s="190">
        <v>45835</v>
      </c>
      <c r="H3825" s="196">
        <v>0</v>
      </c>
      <c r="I3825" s="197">
        <v>8141</v>
      </c>
      <c r="J3825" s="197">
        <v>8141</v>
      </c>
      <c r="K3825" s="197">
        <v>0</v>
      </c>
      <c r="L3825" s="197">
        <v>133</v>
      </c>
      <c r="M3825" s="260" t="s">
        <v>239</v>
      </c>
      <c r="N3825" s="260" t="s">
        <v>514</v>
      </c>
    </row>
    <row r="3826" spans="1:14" ht="14.5" x14ac:dyDescent="0.35">
      <c r="A3826" s="260" t="s">
        <v>747</v>
      </c>
      <c r="B3826" s="190">
        <v>45836</v>
      </c>
      <c r="C3826" s="260" t="s">
        <v>749</v>
      </c>
      <c r="D3826" s="197">
        <v>80</v>
      </c>
      <c r="E3826" s="197">
        <v>4004</v>
      </c>
      <c r="F3826" s="197">
        <v>54.88</v>
      </c>
      <c r="G3826" s="190">
        <v>45835</v>
      </c>
      <c r="H3826" s="196">
        <v>1</v>
      </c>
      <c r="I3826" s="197">
        <v>4390.4000000000005</v>
      </c>
      <c r="J3826" s="197">
        <v>4390.4000000000005</v>
      </c>
      <c r="K3826" s="197">
        <v>0</v>
      </c>
      <c r="L3826" s="197">
        <v>386.40000000000055</v>
      </c>
      <c r="M3826" s="260" t="s">
        <v>239</v>
      </c>
      <c r="N3826" s="260" t="s">
        <v>514</v>
      </c>
    </row>
    <row r="3827" spans="1:14" ht="14.5" x14ac:dyDescent="0.35">
      <c r="A3827" s="260" t="s">
        <v>747</v>
      </c>
      <c r="B3827" s="190">
        <v>45836</v>
      </c>
      <c r="C3827" s="260" t="s">
        <v>752</v>
      </c>
      <c r="D3827" s="197">
        <v>0</v>
      </c>
      <c r="E3827" s="197">
        <v>0</v>
      </c>
      <c r="F3827" s="197">
        <v>183.14</v>
      </c>
      <c r="G3827" s="190">
        <v>45835</v>
      </c>
      <c r="H3827" s="196">
        <v>1</v>
      </c>
      <c r="I3827" s="197">
        <v>0</v>
      </c>
      <c r="J3827" s="197">
        <v>0</v>
      </c>
      <c r="K3827" s="197">
        <v>0</v>
      </c>
      <c r="L3827" s="197">
        <v>0</v>
      </c>
      <c r="M3827" s="260" t="s">
        <v>239</v>
      </c>
      <c r="N3827" s="260" t="s">
        <v>514</v>
      </c>
    </row>
    <row r="3828" spans="1:14" ht="14.5" x14ac:dyDescent="0.35">
      <c r="A3828" s="260" t="s">
        <v>747</v>
      </c>
      <c r="B3828" s="190">
        <v>45836</v>
      </c>
      <c r="C3828" s="260" t="s">
        <v>754</v>
      </c>
      <c r="D3828" s="197">
        <v>100</v>
      </c>
      <c r="E3828" s="197">
        <v>8008</v>
      </c>
      <c r="F3828" s="197">
        <v>81.41</v>
      </c>
      <c r="G3828" s="190">
        <v>45835</v>
      </c>
      <c r="H3828" s="196">
        <v>1</v>
      </c>
      <c r="I3828" s="197">
        <v>8141</v>
      </c>
      <c r="J3828" s="197">
        <v>8141</v>
      </c>
      <c r="K3828" s="197">
        <v>0</v>
      </c>
      <c r="L3828" s="197">
        <v>133</v>
      </c>
      <c r="M3828" s="260" t="s">
        <v>239</v>
      </c>
      <c r="N3828" s="260" t="s">
        <v>514</v>
      </c>
    </row>
    <row r="3829" spans="1:14" ht="14.5" x14ac:dyDescent="0.35">
      <c r="A3829" s="260" t="s">
        <v>747</v>
      </c>
      <c r="B3829" s="190">
        <v>45837</v>
      </c>
      <c r="C3829" s="260" t="s">
        <v>749</v>
      </c>
      <c r="D3829" s="197">
        <v>80</v>
      </c>
      <c r="E3829" s="197">
        <v>4004</v>
      </c>
      <c r="F3829" s="197">
        <v>54.88</v>
      </c>
      <c r="G3829" s="190">
        <v>45835</v>
      </c>
      <c r="H3829" s="196">
        <v>2</v>
      </c>
      <c r="I3829" s="197">
        <v>4390.4000000000005</v>
      </c>
      <c r="J3829" s="197">
        <v>4390.4000000000005</v>
      </c>
      <c r="K3829" s="197">
        <v>0</v>
      </c>
      <c r="L3829" s="197">
        <v>386.40000000000055</v>
      </c>
      <c r="M3829" s="260" t="s">
        <v>239</v>
      </c>
      <c r="N3829" s="260" t="s">
        <v>514</v>
      </c>
    </row>
    <row r="3830" spans="1:14" ht="14.5" x14ac:dyDescent="0.35">
      <c r="A3830" s="260" t="s">
        <v>747</v>
      </c>
      <c r="B3830" s="190">
        <v>45837</v>
      </c>
      <c r="C3830" s="260" t="s">
        <v>752</v>
      </c>
      <c r="D3830" s="197">
        <v>0</v>
      </c>
      <c r="E3830" s="197">
        <v>0</v>
      </c>
      <c r="F3830" s="197">
        <v>183.14</v>
      </c>
      <c r="G3830" s="190">
        <v>45835</v>
      </c>
      <c r="H3830" s="196">
        <v>2</v>
      </c>
      <c r="I3830" s="197">
        <v>0</v>
      </c>
      <c r="J3830" s="197">
        <v>0</v>
      </c>
      <c r="K3830" s="197">
        <v>0</v>
      </c>
      <c r="L3830" s="197">
        <v>0</v>
      </c>
      <c r="M3830" s="260" t="s">
        <v>239</v>
      </c>
      <c r="N3830" s="260" t="s">
        <v>514</v>
      </c>
    </row>
    <row r="3831" spans="1:14" ht="14.5" x14ac:dyDescent="0.35">
      <c r="A3831" s="260" t="s">
        <v>747</v>
      </c>
      <c r="B3831" s="190">
        <v>45837</v>
      </c>
      <c r="C3831" s="260" t="s">
        <v>754</v>
      </c>
      <c r="D3831" s="197">
        <v>100</v>
      </c>
      <c r="E3831" s="197">
        <v>8008</v>
      </c>
      <c r="F3831" s="197">
        <v>81.41</v>
      </c>
      <c r="G3831" s="190">
        <v>45835</v>
      </c>
      <c r="H3831" s="196">
        <v>2</v>
      </c>
      <c r="I3831" s="197">
        <v>8141</v>
      </c>
      <c r="J3831" s="197">
        <v>8141</v>
      </c>
      <c r="K3831" s="197">
        <v>0</v>
      </c>
      <c r="L3831" s="197">
        <v>133</v>
      </c>
      <c r="M3831" s="260" t="s">
        <v>239</v>
      </c>
      <c r="N3831" s="260" t="s">
        <v>514</v>
      </c>
    </row>
    <row r="3832" spans="1:14" ht="14.5" x14ac:dyDescent="0.35">
      <c r="A3832" s="260" t="s">
        <v>747</v>
      </c>
      <c r="B3832" s="190">
        <v>45838</v>
      </c>
      <c r="C3832" s="260" t="s">
        <v>749</v>
      </c>
      <c r="D3832" s="197">
        <v>80</v>
      </c>
      <c r="E3832" s="197">
        <v>4004</v>
      </c>
      <c r="F3832" s="197">
        <v>55.5</v>
      </c>
      <c r="G3832" s="190">
        <v>45838</v>
      </c>
      <c r="H3832" s="196">
        <v>0</v>
      </c>
      <c r="I3832" s="197">
        <v>4440</v>
      </c>
      <c r="J3832" s="197">
        <v>4440</v>
      </c>
      <c r="K3832" s="197">
        <v>0</v>
      </c>
      <c r="L3832" s="197">
        <v>436</v>
      </c>
      <c r="M3832" s="260" t="s">
        <v>239</v>
      </c>
      <c r="N3832" s="260" t="s">
        <v>514</v>
      </c>
    </row>
    <row r="3833" spans="1:14" ht="14.5" x14ac:dyDescent="0.35">
      <c r="A3833" s="260" t="s">
        <v>747</v>
      </c>
      <c r="B3833" s="190">
        <v>45838</v>
      </c>
      <c r="C3833" s="260" t="s">
        <v>752</v>
      </c>
      <c r="D3833" s="197">
        <v>0</v>
      </c>
      <c r="E3833" s="197">
        <v>0</v>
      </c>
      <c r="F3833" s="197">
        <v>182</v>
      </c>
      <c r="G3833" s="190">
        <v>45838</v>
      </c>
      <c r="H3833" s="196">
        <v>0</v>
      </c>
      <c r="I3833" s="197">
        <v>0</v>
      </c>
      <c r="J3833" s="197">
        <v>0</v>
      </c>
      <c r="K3833" s="197">
        <v>0</v>
      </c>
      <c r="L3833" s="197">
        <v>0</v>
      </c>
      <c r="M3833" s="260" t="s">
        <v>239</v>
      </c>
      <c r="N3833" s="260" t="s">
        <v>514</v>
      </c>
    </row>
    <row r="3834" spans="1:14" ht="14.5" x14ac:dyDescent="0.35">
      <c r="A3834" s="260" t="s">
        <v>747</v>
      </c>
      <c r="B3834" s="190">
        <v>45838</v>
      </c>
      <c r="C3834" s="260" t="s">
        <v>754</v>
      </c>
      <c r="D3834" s="197">
        <v>100</v>
      </c>
      <c r="E3834" s="197">
        <v>8008</v>
      </c>
      <c r="F3834" s="197">
        <v>81</v>
      </c>
      <c r="G3834" s="190">
        <v>45838</v>
      </c>
      <c r="H3834" s="196">
        <v>0</v>
      </c>
      <c r="I3834" s="197">
        <v>8100</v>
      </c>
      <c r="J3834" s="197">
        <v>8100</v>
      </c>
      <c r="K3834" s="197">
        <v>0</v>
      </c>
      <c r="L3834" s="197">
        <v>92</v>
      </c>
      <c r="M3834" s="260" t="s">
        <v>239</v>
      </c>
      <c r="N3834" s="260" t="s">
        <v>514</v>
      </c>
    </row>
    <row r="3835" spans="1:14" ht="14.5" x14ac:dyDescent="0.35">
      <c r="A3835" s="260" t="s">
        <v>747</v>
      </c>
      <c r="B3835" s="190">
        <v>45839</v>
      </c>
      <c r="C3835" s="260" t="s">
        <v>749</v>
      </c>
      <c r="D3835" s="197">
        <v>80</v>
      </c>
      <c r="E3835" s="197">
        <v>4004</v>
      </c>
      <c r="F3835" s="197">
        <v>55.5</v>
      </c>
      <c r="G3835" s="190">
        <v>45839</v>
      </c>
      <c r="H3835" s="196">
        <v>0</v>
      </c>
      <c r="I3835" s="197">
        <v>4440</v>
      </c>
      <c r="J3835" s="197">
        <v>4440</v>
      </c>
      <c r="K3835" s="197">
        <v>0</v>
      </c>
      <c r="L3835" s="197">
        <v>436</v>
      </c>
      <c r="M3835" s="260" t="s">
        <v>239</v>
      </c>
      <c r="N3835" s="260" t="s">
        <v>514</v>
      </c>
    </row>
    <row r="3836" spans="1:14" ht="14.5" x14ac:dyDescent="0.35">
      <c r="A3836" s="260" t="s">
        <v>747</v>
      </c>
      <c r="B3836" s="190">
        <v>45839</v>
      </c>
      <c r="C3836" s="260" t="s">
        <v>752</v>
      </c>
      <c r="D3836" s="197">
        <v>0</v>
      </c>
      <c r="E3836" s="197">
        <v>0</v>
      </c>
      <c r="F3836" s="197">
        <v>182</v>
      </c>
      <c r="G3836" s="190">
        <v>45839</v>
      </c>
      <c r="H3836" s="196">
        <v>0</v>
      </c>
      <c r="I3836" s="197">
        <v>0</v>
      </c>
      <c r="J3836" s="197">
        <v>0</v>
      </c>
      <c r="K3836" s="197">
        <v>0</v>
      </c>
      <c r="L3836" s="197">
        <v>0</v>
      </c>
      <c r="M3836" s="260" t="s">
        <v>239</v>
      </c>
      <c r="N3836" s="260" t="s">
        <v>514</v>
      </c>
    </row>
    <row r="3837" spans="1:14" ht="14.5" x14ac:dyDescent="0.35">
      <c r="A3837" s="260" t="s">
        <v>747</v>
      </c>
      <c r="B3837" s="190">
        <v>45839</v>
      </c>
      <c r="C3837" s="260" t="s">
        <v>754</v>
      </c>
      <c r="D3837" s="197">
        <v>100</v>
      </c>
      <c r="E3837" s="197">
        <v>8008</v>
      </c>
      <c r="F3837" s="197">
        <v>81</v>
      </c>
      <c r="G3837" s="190">
        <v>45839</v>
      </c>
      <c r="H3837" s="196">
        <v>0</v>
      </c>
      <c r="I3837" s="197">
        <v>8100</v>
      </c>
      <c r="J3837" s="197">
        <v>8100</v>
      </c>
      <c r="K3837" s="197">
        <v>0</v>
      </c>
      <c r="L3837" s="197">
        <v>92</v>
      </c>
      <c r="M3837" s="260" t="s">
        <v>239</v>
      </c>
      <c r="N3837" s="260" t="s">
        <v>514</v>
      </c>
    </row>
    <row r="3838" spans="1:14" ht="14.5" x14ac:dyDescent="0.35">
      <c r="A3838" s="260" t="s">
        <v>747</v>
      </c>
      <c r="B3838" s="190">
        <v>45840</v>
      </c>
      <c r="C3838" s="260" t="s">
        <v>749</v>
      </c>
      <c r="D3838" s="197">
        <v>80</v>
      </c>
      <c r="E3838" s="197">
        <v>4004</v>
      </c>
      <c r="F3838" s="197">
        <v>55.38</v>
      </c>
      <c r="G3838" s="190">
        <v>45840</v>
      </c>
      <c r="H3838" s="196">
        <v>0</v>
      </c>
      <c r="I3838" s="197">
        <v>4430.4000000000005</v>
      </c>
      <c r="J3838" s="197">
        <v>4430.4000000000005</v>
      </c>
      <c r="K3838" s="197">
        <v>0</v>
      </c>
      <c r="L3838" s="197">
        <v>426.40000000000055</v>
      </c>
      <c r="M3838" s="260" t="s">
        <v>239</v>
      </c>
      <c r="N3838" s="260" t="s">
        <v>514</v>
      </c>
    </row>
    <row r="3839" spans="1:14" ht="14.5" x14ac:dyDescent="0.35">
      <c r="A3839" s="260" t="s">
        <v>747</v>
      </c>
      <c r="B3839" s="190">
        <v>45840</v>
      </c>
      <c r="C3839" s="260" t="s">
        <v>752</v>
      </c>
      <c r="D3839" s="197">
        <v>0</v>
      </c>
      <c r="E3839" s="197">
        <v>0</v>
      </c>
      <c r="F3839" s="197">
        <v>181.87</v>
      </c>
      <c r="G3839" s="190">
        <v>45840</v>
      </c>
      <c r="H3839" s="196">
        <v>0</v>
      </c>
      <c r="I3839" s="197">
        <v>0</v>
      </c>
      <c r="J3839" s="197">
        <v>0</v>
      </c>
      <c r="K3839" s="197">
        <v>0</v>
      </c>
      <c r="L3839" s="197">
        <v>0</v>
      </c>
      <c r="M3839" s="260" t="s">
        <v>239</v>
      </c>
      <c r="N3839" s="260" t="s">
        <v>514</v>
      </c>
    </row>
    <row r="3840" spans="1:14" ht="14.5" x14ac:dyDescent="0.35">
      <c r="A3840" s="260" t="s">
        <v>747</v>
      </c>
      <c r="B3840" s="190">
        <v>45840</v>
      </c>
      <c r="C3840" s="260" t="s">
        <v>754</v>
      </c>
      <c r="D3840" s="197">
        <v>100</v>
      </c>
      <c r="E3840" s="197">
        <v>8008</v>
      </c>
      <c r="F3840" s="197">
        <v>80.87</v>
      </c>
      <c r="G3840" s="190">
        <v>45840</v>
      </c>
      <c r="H3840" s="196">
        <v>0</v>
      </c>
      <c r="I3840" s="197">
        <v>8087</v>
      </c>
      <c r="J3840" s="197">
        <v>8087</v>
      </c>
      <c r="K3840" s="197">
        <v>0</v>
      </c>
      <c r="L3840" s="197">
        <v>79</v>
      </c>
      <c r="M3840" s="260" t="s">
        <v>239</v>
      </c>
      <c r="N3840" s="260" t="s">
        <v>514</v>
      </c>
    </row>
    <row r="3841" spans="1:14" ht="14.5" x14ac:dyDescent="0.35">
      <c r="A3841" s="260" t="s">
        <v>747</v>
      </c>
      <c r="B3841" s="190">
        <v>45841</v>
      </c>
      <c r="C3841" s="260" t="s">
        <v>749</v>
      </c>
      <c r="D3841" s="197">
        <v>80</v>
      </c>
      <c r="E3841" s="197">
        <v>4004</v>
      </c>
      <c r="F3841" s="197">
        <v>55.27</v>
      </c>
      <c r="G3841" s="190">
        <v>45841</v>
      </c>
      <c r="H3841" s="196">
        <v>0</v>
      </c>
      <c r="I3841" s="197">
        <v>4421.6000000000004</v>
      </c>
      <c r="J3841" s="197">
        <v>4421.6000000000004</v>
      </c>
      <c r="K3841" s="197">
        <v>0</v>
      </c>
      <c r="L3841" s="197">
        <v>417.60000000000036</v>
      </c>
      <c r="M3841" s="260" t="s">
        <v>239</v>
      </c>
      <c r="N3841" s="260" t="s">
        <v>514</v>
      </c>
    </row>
    <row r="3842" spans="1:14" ht="14.5" x14ac:dyDescent="0.35">
      <c r="A3842" s="260" t="s">
        <v>747</v>
      </c>
      <c r="B3842" s="190">
        <v>45841</v>
      </c>
      <c r="C3842" s="260" t="s">
        <v>752</v>
      </c>
      <c r="D3842" s="197">
        <v>0</v>
      </c>
      <c r="E3842" s="197">
        <v>0</v>
      </c>
      <c r="F3842" s="197">
        <v>181.73</v>
      </c>
      <c r="G3842" s="190">
        <v>45841</v>
      </c>
      <c r="H3842" s="196">
        <v>0</v>
      </c>
      <c r="I3842" s="197">
        <v>0</v>
      </c>
      <c r="J3842" s="197">
        <v>0</v>
      </c>
      <c r="K3842" s="197">
        <v>0</v>
      </c>
      <c r="L3842" s="197">
        <v>0</v>
      </c>
      <c r="M3842" s="260" t="s">
        <v>239</v>
      </c>
      <c r="N3842" s="260" t="s">
        <v>514</v>
      </c>
    </row>
    <row r="3843" spans="1:14" ht="14.5" x14ac:dyDescent="0.35">
      <c r="A3843" s="260" t="s">
        <v>747</v>
      </c>
      <c r="B3843" s="190">
        <v>45841</v>
      </c>
      <c r="C3843" s="260" t="s">
        <v>754</v>
      </c>
      <c r="D3843" s="197">
        <v>100</v>
      </c>
      <c r="E3843" s="197">
        <v>8008</v>
      </c>
      <c r="F3843" s="197">
        <v>80.73</v>
      </c>
      <c r="G3843" s="190">
        <v>45841</v>
      </c>
      <c r="H3843" s="196">
        <v>0</v>
      </c>
      <c r="I3843" s="197">
        <v>8073</v>
      </c>
      <c r="J3843" s="197">
        <v>8073</v>
      </c>
      <c r="K3843" s="197">
        <v>0</v>
      </c>
      <c r="L3843" s="197">
        <v>65</v>
      </c>
      <c r="M3843" s="260" t="s">
        <v>239</v>
      </c>
      <c r="N3843" s="260" t="s">
        <v>514</v>
      </c>
    </row>
    <row r="3844" spans="1:14" ht="14.5" x14ac:dyDescent="0.35">
      <c r="A3844" s="260" t="s">
        <v>747</v>
      </c>
      <c r="B3844" s="190">
        <v>45842</v>
      </c>
      <c r="C3844" s="260" t="s">
        <v>749</v>
      </c>
      <c r="D3844" s="197">
        <v>80</v>
      </c>
      <c r="E3844" s="197">
        <v>4004</v>
      </c>
      <c r="F3844" s="197">
        <v>55.15</v>
      </c>
      <c r="G3844" s="190">
        <v>45842</v>
      </c>
      <c r="H3844" s="196">
        <v>0</v>
      </c>
      <c r="I3844" s="197">
        <v>4412</v>
      </c>
      <c r="J3844" s="197">
        <v>4412</v>
      </c>
      <c r="K3844" s="197">
        <v>0</v>
      </c>
      <c r="L3844" s="197">
        <v>408</v>
      </c>
      <c r="M3844" s="260" t="s">
        <v>239</v>
      </c>
      <c r="N3844" s="260" t="s">
        <v>514</v>
      </c>
    </row>
    <row r="3845" spans="1:14" ht="14.5" x14ac:dyDescent="0.35">
      <c r="A3845" s="260" t="s">
        <v>747</v>
      </c>
      <c r="B3845" s="190">
        <v>45842</v>
      </c>
      <c r="C3845" s="260" t="s">
        <v>752</v>
      </c>
      <c r="D3845" s="197">
        <v>0</v>
      </c>
      <c r="E3845" s="197">
        <v>0</v>
      </c>
      <c r="F3845" s="197">
        <v>181.6</v>
      </c>
      <c r="G3845" s="190">
        <v>45842</v>
      </c>
      <c r="H3845" s="196">
        <v>0</v>
      </c>
      <c r="I3845" s="197">
        <v>0</v>
      </c>
      <c r="J3845" s="197">
        <v>0</v>
      </c>
      <c r="K3845" s="197">
        <v>0</v>
      </c>
      <c r="L3845" s="197">
        <v>0</v>
      </c>
      <c r="M3845" s="260" t="s">
        <v>239</v>
      </c>
      <c r="N3845" s="260" t="s">
        <v>514</v>
      </c>
    </row>
    <row r="3846" spans="1:14" ht="14.5" x14ac:dyDescent="0.35">
      <c r="A3846" s="260" t="s">
        <v>747</v>
      </c>
      <c r="B3846" s="190">
        <v>45842</v>
      </c>
      <c r="C3846" s="260" t="s">
        <v>754</v>
      </c>
      <c r="D3846" s="197">
        <v>100</v>
      </c>
      <c r="E3846" s="197">
        <v>8008</v>
      </c>
      <c r="F3846" s="197">
        <v>80.599999999999994</v>
      </c>
      <c r="G3846" s="190">
        <v>45842</v>
      </c>
      <c r="H3846" s="196">
        <v>0</v>
      </c>
      <c r="I3846" s="197">
        <v>8059.9999999999991</v>
      </c>
      <c r="J3846" s="197">
        <v>8059.9999999999991</v>
      </c>
      <c r="K3846" s="197">
        <v>0</v>
      </c>
      <c r="L3846" s="197">
        <v>51.999999999999091</v>
      </c>
      <c r="M3846" s="260" t="s">
        <v>239</v>
      </c>
      <c r="N3846" s="260" t="s">
        <v>514</v>
      </c>
    </row>
    <row r="3847" spans="1:14" ht="14.5" x14ac:dyDescent="0.35">
      <c r="A3847" s="260" t="s">
        <v>747</v>
      </c>
      <c r="B3847" s="190">
        <v>45843</v>
      </c>
      <c r="C3847" s="260" t="s">
        <v>749</v>
      </c>
      <c r="D3847" s="197">
        <v>80</v>
      </c>
      <c r="E3847" s="197">
        <v>4004</v>
      </c>
      <c r="F3847" s="197">
        <v>55.15</v>
      </c>
      <c r="G3847" s="190">
        <v>45842</v>
      </c>
      <c r="H3847" s="196">
        <v>1</v>
      </c>
      <c r="I3847" s="197">
        <v>4412</v>
      </c>
      <c r="J3847" s="197">
        <v>4412</v>
      </c>
      <c r="K3847" s="197">
        <v>0</v>
      </c>
      <c r="L3847" s="197">
        <v>408</v>
      </c>
      <c r="M3847" s="260" t="s">
        <v>239</v>
      </c>
      <c r="N3847" s="260" t="s">
        <v>514</v>
      </c>
    </row>
    <row r="3848" spans="1:14" ht="14.5" x14ac:dyDescent="0.35">
      <c r="A3848" s="260" t="s">
        <v>747</v>
      </c>
      <c r="B3848" s="190">
        <v>45843</v>
      </c>
      <c r="C3848" s="260" t="s">
        <v>752</v>
      </c>
      <c r="D3848" s="197">
        <v>0</v>
      </c>
      <c r="E3848" s="197">
        <v>0</v>
      </c>
      <c r="F3848" s="197">
        <v>181.6</v>
      </c>
      <c r="G3848" s="190">
        <v>45842</v>
      </c>
      <c r="H3848" s="196">
        <v>1</v>
      </c>
      <c r="I3848" s="197">
        <v>0</v>
      </c>
      <c r="J3848" s="197">
        <v>0</v>
      </c>
      <c r="K3848" s="197">
        <v>0</v>
      </c>
      <c r="L3848" s="197">
        <v>0</v>
      </c>
      <c r="M3848" s="260" t="s">
        <v>239</v>
      </c>
      <c r="N3848" s="260" t="s">
        <v>514</v>
      </c>
    </row>
    <row r="3849" spans="1:14" ht="14.5" x14ac:dyDescent="0.35">
      <c r="A3849" s="260" t="s">
        <v>747</v>
      </c>
      <c r="B3849" s="190">
        <v>45843</v>
      </c>
      <c r="C3849" s="260" t="s">
        <v>754</v>
      </c>
      <c r="D3849" s="197">
        <v>100</v>
      </c>
      <c r="E3849" s="197">
        <v>8008</v>
      </c>
      <c r="F3849" s="197">
        <v>80.599999999999994</v>
      </c>
      <c r="G3849" s="190">
        <v>45842</v>
      </c>
      <c r="H3849" s="196">
        <v>1</v>
      </c>
      <c r="I3849" s="197">
        <v>8059.9999999999991</v>
      </c>
      <c r="J3849" s="197">
        <v>8059.9999999999991</v>
      </c>
      <c r="K3849" s="197">
        <v>0</v>
      </c>
      <c r="L3849" s="197">
        <v>51.999999999999091</v>
      </c>
      <c r="M3849" s="260" t="s">
        <v>239</v>
      </c>
      <c r="N3849" s="260" t="s">
        <v>514</v>
      </c>
    </row>
    <row r="3850" spans="1:14" ht="14.5" x14ac:dyDescent="0.35">
      <c r="A3850" s="260" t="s">
        <v>747</v>
      </c>
      <c r="B3850" s="190">
        <v>45844</v>
      </c>
      <c r="C3850" s="260" t="s">
        <v>749</v>
      </c>
      <c r="D3850" s="197">
        <v>80</v>
      </c>
      <c r="E3850" s="197">
        <v>4004</v>
      </c>
      <c r="F3850" s="197">
        <v>55.15</v>
      </c>
      <c r="G3850" s="190">
        <v>45842</v>
      </c>
      <c r="H3850" s="196">
        <v>2</v>
      </c>
      <c r="I3850" s="197">
        <v>4412</v>
      </c>
      <c r="J3850" s="197">
        <v>4412</v>
      </c>
      <c r="K3850" s="197">
        <v>0</v>
      </c>
      <c r="L3850" s="197">
        <v>408</v>
      </c>
      <c r="M3850" s="260" t="s">
        <v>239</v>
      </c>
      <c r="N3850" s="260" t="s">
        <v>514</v>
      </c>
    </row>
    <row r="3851" spans="1:14" ht="14.5" x14ac:dyDescent="0.35">
      <c r="A3851" s="260" t="s">
        <v>747</v>
      </c>
      <c r="B3851" s="190">
        <v>45844</v>
      </c>
      <c r="C3851" s="260" t="s">
        <v>752</v>
      </c>
      <c r="D3851" s="197">
        <v>0</v>
      </c>
      <c r="E3851" s="197">
        <v>0</v>
      </c>
      <c r="F3851" s="197">
        <v>181.6</v>
      </c>
      <c r="G3851" s="190">
        <v>45842</v>
      </c>
      <c r="H3851" s="196">
        <v>2</v>
      </c>
      <c r="I3851" s="197">
        <v>0</v>
      </c>
      <c r="J3851" s="197">
        <v>0</v>
      </c>
      <c r="K3851" s="197">
        <v>0</v>
      </c>
      <c r="L3851" s="197">
        <v>0</v>
      </c>
      <c r="M3851" s="260" t="s">
        <v>239</v>
      </c>
      <c r="N3851" s="260" t="s">
        <v>514</v>
      </c>
    </row>
    <row r="3852" spans="1:14" ht="14.5" x14ac:dyDescent="0.35">
      <c r="A3852" s="260" t="s">
        <v>747</v>
      </c>
      <c r="B3852" s="190">
        <v>45844</v>
      </c>
      <c r="C3852" s="260" t="s">
        <v>754</v>
      </c>
      <c r="D3852" s="197">
        <v>100</v>
      </c>
      <c r="E3852" s="197">
        <v>8008</v>
      </c>
      <c r="F3852" s="197">
        <v>80.599999999999994</v>
      </c>
      <c r="G3852" s="190">
        <v>45842</v>
      </c>
      <c r="H3852" s="196">
        <v>2</v>
      </c>
      <c r="I3852" s="197">
        <v>8059.9999999999991</v>
      </c>
      <c r="J3852" s="197">
        <v>8059.9999999999991</v>
      </c>
      <c r="K3852" s="197">
        <v>0</v>
      </c>
      <c r="L3852" s="197">
        <v>51.999999999999091</v>
      </c>
      <c r="M3852" s="260" t="s">
        <v>239</v>
      </c>
      <c r="N3852" s="260" t="s">
        <v>514</v>
      </c>
    </row>
    <row r="3853" spans="1:14" ht="14.5" x14ac:dyDescent="0.35">
      <c r="A3853" s="260" t="s">
        <v>747</v>
      </c>
      <c r="B3853" s="190">
        <v>45845</v>
      </c>
      <c r="C3853" s="260" t="s">
        <v>749</v>
      </c>
      <c r="D3853" s="197">
        <v>80</v>
      </c>
      <c r="E3853" s="197">
        <v>4004</v>
      </c>
      <c r="F3853" s="197">
        <v>54.8</v>
      </c>
      <c r="G3853" s="190">
        <v>45845</v>
      </c>
      <c r="H3853" s="196">
        <v>0</v>
      </c>
      <c r="I3853" s="197">
        <v>4384</v>
      </c>
      <c r="J3853" s="197">
        <v>4384</v>
      </c>
      <c r="K3853" s="197">
        <v>0</v>
      </c>
      <c r="L3853" s="197">
        <v>380</v>
      </c>
      <c r="M3853" s="260" t="s">
        <v>239</v>
      </c>
      <c r="N3853" s="260" t="s">
        <v>514</v>
      </c>
    </row>
    <row r="3854" spans="1:14" ht="14.5" x14ac:dyDescent="0.35">
      <c r="A3854" s="260" t="s">
        <v>747</v>
      </c>
      <c r="B3854" s="190">
        <v>45845</v>
      </c>
      <c r="C3854" s="260" t="s">
        <v>752</v>
      </c>
      <c r="D3854" s="197">
        <v>0</v>
      </c>
      <c r="E3854" s="197">
        <v>0</v>
      </c>
      <c r="F3854" s="197">
        <v>181.2</v>
      </c>
      <c r="G3854" s="190">
        <v>45845</v>
      </c>
      <c r="H3854" s="196">
        <v>0</v>
      </c>
      <c r="I3854" s="197">
        <v>0</v>
      </c>
      <c r="J3854" s="197">
        <v>0</v>
      </c>
      <c r="K3854" s="197">
        <v>0</v>
      </c>
      <c r="L3854" s="197">
        <v>0</v>
      </c>
      <c r="M3854" s="260" t="s">
        <v>239</v>
      </c>
      <c r="N3854" s="260" t="s">
        <v>514</v>
      </c>
    </row>
    <row r="3855" spans="1:14" ht="14.5" x14ac:dyDescent="0.35">
      <c r="A3855" s="260" t="s">
        <v>747</v>
      </c>
      <c r="B3855" s="190">
        <v>45845</v>
      </c>
      <c r="C3855" s="260" t="s">
        <v>754</v>
      </c>
      <c r="D3855" s="197">
        <v>100</v>
      </c>
      <c r="E3855" s="197">
        <v>8008</v>
      </c>
      <c r="F3855" s="197">
        <v>80.2</v>
      </c>
      <c r="G3855" s="190">
        <v>45845</v>
      </c>
      <c r="H3855" s="196">
        <v>0</v>
      </c>
      <c r="I3855" s="197">
        <v>8020</v>
      </c>
      <c r="J3855" s="197">
        <v>8020</v>
      </c>
      <c r="K3855" s="197">
        <v>0</v>
      </c>
      <c r="L3855" s="197">
        <v>12</v>
      </c>
      <c r="M3855" s="260" t="s">
        <v>239</v>
      </c>
      <c r="N3855" s="260" t="s">
        <v>514</v>
      </c>
    </row>
    <row r="3856" spans="1:14" ht="14.5" x14ac:dyDescent="0.35">
      <c r="A3856" s="260" t="s">
        <v>747</v>
      </c>
      <c r="B3856" s="190">
        <v>45846</v>
      </c>
      <c r="C3856" s="260" t="s">
        <v>749</v>
      </c>
      <c r="D3856" s="197">
        <v>80</v>
      </c>
      <c r="E3856" s="197">
        <v>4004</v>
      </c>
      <c r="F3856" s="197">
        <v>54.68</v>
      </c>
      <c r="G3856" s="190">
        <v>45846</v>
      </c>
      <c r="H3856" s="196">
        <v>0</v>
      </c>
      <c r="I3856" s="197">
        <v>4374.3999999999996</v>
      </c>
      <c r="J3856" s="197">
        <v>4374.3999999999996</v>
      </c>
      <c r="K3856" s="197">
        <v>0</v>
      </c>
      <c r="L3856" s="197">
        <v>370.39999999999964</v>
      </c>
      <c r="M3856" s="260" t="s">
        <v>239</v>
      </c>
      <c r="N3856" s="260" t="s">
        <v>514</v>
      </c>
    </row>
    <row r="3857" spans="1:14" ht="14.5" x14ac:dyDescent="0.35">
      <c r="A3857" s="260" t="s">
        <v>747</v>
      </c>
      <c r="B3857" s="190">
        <v>45846</v>
      </c>
      <c r="C3857" s="260" t="s">
        <v>752</v>
      </c>
      <c r="D3857" s="197">
        <v>0</v>
      </c>
      <c r="E3857" s="197">
        <v>0</v>
      </c>
      <c r="F3857" s="197">
        <v>181.07</v>
      </c>
      <c r="G3857" s="190">
        <v>45846</v>
      </c>
      <c r="H3857" s="196">
        <v>0</v>
      </c>
      <c r="I3857" s="197">
        <v>0</v>
      </c>
      <c r="J3857" s="197">
        <v>0</v>
      </c>
      <c r="K3857" s="197">
        <v>0</v>
      </c>
      <c r="L3857" s="197">
        <v>0</v>
      </c>
      <c r="M3857" s="260" t="s">
        <v>239</v>
      </c>
      <c r="N3857" s="260" t="s">
        <v>514</v>
      </c>
    </row>
    <row r="3858" spans="1:14" ht="14.5" x14ac:dyDescent="0.35">
      <c r="A3858" s="260" t="s">
        <v>747</v>
      </c>
      <c r="B3858" s="190">
        <v>45846</v>
      </c>
      <c r="C3858" s="260" t="s">
        <v>754</v>
      </c>
      <c r="D3858" s="197">
        <v>100</v>
      </c>
      <c r="E3858" s="197">
        <v>8008</v>
      </c>
      <c r="F3858" s="197">
        <v>80.069999999999993</v>
      </c>
      <c r="G3858" s="190">
        <v>45846</v>
      </c>
      <c r="H3858" s="196">
        <v>0</v>
      </c>
      <c r="I3858" s="197">
        <v>8006.9999999999991</v>
      </c>
      <c r="J3858" s="197">
        <v>8006.9999999999991</v>
      </c>
      <c r="K3858" s="197">
        <v>0</v>
      </c>
      <c r="L3858" s="197">
        <v>-1.0000000000009095</v>
      </c>
      <c r="M3858" s="260" t="s">
        <v>239</v>
      </c>
      <c r="N3858" s="260" t="s">
        <v>514</v>
      </c>
    </row>
    <row r="3859" spans="1:14" ht="14.5" x14ac:dyDescent="0.35">
      <c r="A3859" s="260" t="s">
        <v>747</v>
      </c>
      <c r="B3859" s="190">
        <v>45847</v>
      </c>
      <c r="C3859" s="260" t="s">
        <v>749</v>
      </c>
      <c r="D3859" s="197">
        <v>80</v>
      </c>
      <c r="E3859" s="197">
        <v>4004</v>
      </c>
      <c r="F3859" s="197">
        <v>54.57</v>
      </c>
      <c r="G3859" s="190">
        <v>45847</v>
      </c>
      <c r="H3859" s="196">
        <v>0</v>
      </c>
      <c r="I3859" s="197">
        <v>4365.6000000000004</v>
      </c>
      <c r="J3859" s="197">
        <v>4365.6000000000004</v>
      </c>
      <c r="K3859" s="197">
        <v>0</v>
      </c>
      <c r="L3859" s="197">
        <v>361.60000000000036</v>
      </c>
      <c r="M3859" s="260" t="s">
        <v>239</v>
      </c>
      <c r="N3859" s="260" t="s">
        <v>514</v>
      </c>
    </row>
    <row r="3860" spans="1:14" ht="14.5" x14ac:dyDescent="0.35">
      <c r="A3860" s="260" t="s">
        <v>747</v>
      </c>
      <c r="B3860" s="190">
        <v>45847</v>
      </c>
      <c r="C3860" s="260" t="s">
        <v>752</v>
      </c>
      <c r="D3860" s="197">
        <v>0</v>
      </c>
      <c r="E3860" s="197">
        <v>0</v>
      </c>
      <c r="F3860" s="197">
        <v>180.93</v>
      </c>
      <c r="G3860" s="190">
        <v>45847</v>
      </c>
      <c r="H3860" s="196">
        <v>0</v>
      </c>
      <c r="I3860" s="197">
        <v>0</v>
      </c>
      <c r="J3860" s="197">
        <v>0</v>
      </c>
      <c r="K3860" s="197">
        <v>0</v>
      </c>
      <c r="L3860" s="197">
        <v>0</v>
      </c>
      <c r="M3860" s="260" t="s">
        <v>239</v>
      </c>
      <c r="N3860" s="260" t="s">
        <v>514</v>
      </c>
    </row>
    <row r="3861" spans="1:14" ht="14.5" x14ac:dyDescent="0.35">
      <c r="A3861" s="260" t="s">
        <v>747</v>
      </c>
      <c r="B3861" s="190">
        <v>45847</v>
      </c>
      <c r="C3861" s="260" t="s">
        <v>754</v>
      </c>
      <c r="D3861" s="197">
        <v>100</v>
      </c>
      <c r="E3861" s="197">
        <v>8008</v>
      </c>
      <c r="F3861" s="197">
        <v>79.930000000000007</v>
      </c>
      <c r="G3861" s="190">
        <v>45847</v>
      </c>
      <c r="H3861" s="196">
        <v>0</v>
      </c>
      <c r="I3861" s="197">
        <v>7993.0000000000009</v>
      </c>
      <c r="J3861" s="197">
        <v>7993.0000000000009</v>
      </c>
      <c r="K3861" s="197">
        <v>0</v>
      </c>
      <c r="L3861" s="197">
        <v>-14.999999999999091</v>
      </c>
      <c r="M3861" s="260" t="s">
        <v>239</v>
      </c>
      <c r="N3861" s="260" t="s">
        <v>514</v>
      </c>
    </row>
    <row r="3862" spans="1:14" ht="14.5" x14ac:dyDescent="0.35">
      <c r="A3862" s="260" t="s">
        <v>747</v>
      </c>
      <c r="B3862" s="190">
        <v>45848</v>
      </c>
      <c r="C3862" s="260" t="s">
        <v>749</v>
      </c>
      <c r="D3862" s="197">
        <v>80</v>
      </c>
      <c r="E3862" s="197">
        <v>4004</v>
      </c>
      <c r="F3862" s="197">
        <v>54.45</v>
      </c>
      <c r="G3862" s="190">
        <v>45848</v>
      </c>
      <c r="H3862" s="196">
        <v>0</v>
      </c>
      <c r="I3862" s="197">
        <v>4356</v>
      </c>
      <c r="J3862" s="197">
        <v>4356</v>
      </c>
      <c r="K3862" s="197">
        <v>0</v>
      </c>
      <c r="L3862" s="197">
        <v>352</v>
      </c>
      <c r="M3862" s="260" t="s">
        <v>239</v>
      </c>
      <c r="N3862" s="260" t="s">
        <v>514</v>
      </c>
    </row>
    <row r="3863" spans="1:14" ht="14.5" x14ac:dyDescent="0.35">
      <c r="A3863" s="260" t="s">
        <v>747</v>
      </c>
      <c r="B3863" s="190">
        <v>45848</v>
      </c>
      <c r="C3863" s="260" t="s">
        <v>752</v>
      </c>
      <c r="D3863" s="197">
        <v>0</v>
      </c>
      <c r="E3863" s="197">
        <v>0</v>
      </c>
      <c r="F3863" s="197">
        <v>180.8</v>
      </c>
      <c r="G3863" s="190">
        <v>45848</v>
      </c>
      <c r="H3863" s="196">
        <v>0</v>
      </c>
      <c r="I3863" s="197">
        <v>0</v>
      </c>
      <c r="J3863" s="197">
        <v>0</v>
      </c>
      <c r="K3863" s="197">
        <v>0</v>
      </c>
      <c r="L3863" s="197">
        <v>0</v>
      </c>
      <c r="M3863" s="260" t="s">
        <v>239</v>
      </c>
      <c r="N3863" s="260" t="s">
        <v>514</v>
      </c>
    </row>
    <row r="3864" spans="1:14" ht="14.5" x14ac:dyDescent="0.35">
      <c r="A3864" s="260" t="s">
        <v>747</v>
      </c>
      <c r="B3864" s="190">
        <v>45848</v>
      </c>
      <c r="C3864" s="260" t="s">
        <v>754</v>
      </c>
      <c r="D3864" s="197">
        <v>100</v>
      </c>
      <c r="E3864" s="197">
        <v>8008</v>
      </c>
      <c r="F3864" s="197">
        <v>79.8</v>
      </c>
      <c r="G3864" s="190">
        <v>45848</v>
      </c>
      <c r="H3864" s="196">
        <v>0</v>
      </c>
      <c r="I3864" s="197">
        <v>7980</v>
      </c>
      <c r="J3864" s="197">
        <v>7980</v>
      </c>
      <c r="K3864" s="197">
        <v>0</v>
      </c>
      <c r="L3864" s="197">
        <v>-28</v>
      </c>
      <c r="M3864" s="260" t="s">
        <v>239</v>
      </c>
      <c r="N3864" s="260" t="s">
        <v>514</v>
      </c>
    </row>
    <row r="3865" spans="1:14" ht="14.5" x14ac:dyDescent="0.35">
      <c r="A3865" s="260" t="s">
        <v>747</v>
      </c>
      <c r="B3865" s="190">
        <v>45849</v>
      </c>
      <c r="C3865" s="260" t="s">
        <v>749</v>
      </c>
      <c r="D3865" s="197">
        <v>80</v>
      </c>
      <c r="E3865" s="197">
        <v>4004</v>
      </c>
      <c r="F3865" s="197">
        <v>54.33</v>
      </c>
      <c r="G3865" s="190">
        <v>45849</v>
      </c>
      <c r="H3865" s="196">
        <v>0</v>
      </c>
      <c r="I3865" s="197">
        <v>4346.3999999999996</v>
      </c>
      <c r="J3865" s="197">
        <v>4346.3999999999996</v>
      </c>
      <c r="K3865" s="197">
        <v>0</v>
      </c>
      <c r="L3865" s="197">
        <v>342.39999999999964</v>
      </c>
      <c r="M3865" s="260" t="s">
        <v>239</v>
      </c>
      <c r="N3865" s="260" t="s">
        <v>514</v>
      </c>
    </row>
    <row r="3866" spans="1:14" ht="14.5" x14ac:dyDescent="0.35">
      <c r="A3866" s="260" t="s">
        <v>747</v>
      </c>
      <c r="B3866" s="190">
        <v>45849</v>
      </c>
      <c r="C3866" s="260" t="s">
        <v>752</v>
      </c>
      <c r="D3866" s="197">
        <v>0</v>
      </c>
      <c r="E3866" s="197">
        <v>0</v>
      </c>
      <c r="F3866" s="197">
        <v>180.67</v>
      </c>
      <c r="G3866" s="190">
        <v>45849</v>
      </c>
      <c r="H3866" s="196">
        <v>0</v>
      </c>
      <c r="I3866" s="197">
        <v>0</v>
      </c>
      <c r="J3866" s="197">
        <v>0</v>
      </c>
      <c r="K3866" s="197">
        <v>0</v>
      </c>
      <c r="L3866" s="197">
        <v>0</v>
      </c>
      <c r="M3866" s="260" t="s">
        <v>239</v>
      </c>
      <c r="N3866" s="260" t="s">
        <v>514</v>
      </c>
    </row>
    <row r="3867" spans="1:14" ht="14.5" x14ac:dyDescent="0.35">
      <c r="A3867" s="260" t="s">
        <v>747</v>
      </c>
      <c r="B3867" s="190">
        <v>45849</v>
      </c>
      <c r="C3867" s="260" t="s">
        <v>754</v>
      </c>
      <c r="D3867" s="197">
        <v>100</v>
      </c>
      <c r="E3867" s="197">
        <v>8008</v>
      </c>
      <c r="F3867" s="197">
        <v>79.67</v>
      </c>
      <c r="G3867" s="190">
        <v>45849</v>
      </c>
      <c r="H3867" s="196">
        <v>0</v>
      </c>
      <c r="I3867" s="197">
        <v>7967</v>
      </c>
      <c r="J3867" s="197">
        <v>7967</v>
      </c>
      <c r="K3867" s="197">
        <v>0</v>
      </c>
      <c r="L3867" s="197">
        <v>-41</v>
      </c>
      <c r="M3867" s="260" t="s">
        <v>239</v>
      </c>
      <c r="N3867" s="260" t="s">
        <v>514</v>
      </c>
    </row>
    <row r="3868" spans="1:14" ht="14.5" x14ac:dyDescent="0.35">
      <c r="A3868" s="260" t="s">
        <v>747</v>
      </c>
      <c r="B3868" s="190">
        <v>45850</v>
      </c>
      <c r="C3868" s="260" t="s">
        <v>749</v>
      </c>
      <c r="D3868" s="197">
        <v>80</v>
      </c>
      <c r="E3868" s="197">
        <v>4004</v>
      </c>
      <c r="F3868" s="197">
        <v>54.33</v>
      </c>
      <c r="G3868" s="190">
        <v>45849</v>
      </c>
      <c r="H3868" s="196">
        <v>1</v>
      </c>
      <c r="I3868" s="197">
        <v>4346.3999999999996</v>
      </c>
      <c r="J3868" s="197">
        <v>4346.3999999999996</v>
      </c>
      <c r="K3868" s="197">
        <v>0</v>
      </c>
      <c r="L3868" s="197">
        <v>342.39999999999964</v>
      </c>
      <c r="M3868" s="260" t="s">
        <v>239</v>
      </c>
      <c r="N3868" s="260" t="s">
        <v>514</v>
      </c>
    </row>
    <row r="3869" spans="1:14" ht="14.5" x14ac:dyDescent="0.35">
      <c r="A3869" s="260" t="s">
        <v>747</v>
      </c>
      <c r="B3869" s="190">
        <v>45850</v>
      </c>
      <c r="C3869" s="260" t="s">
        <v>752</v>
      </c>
      <c r="D3869" s="197">
        <v>0</v>
      </c>
      <c r="E3869" s="197">
        <v>0</v>
      </c>
      <c r="F3869" s="197">
        <v>180.67</v>
      </c>
      <c r="G3869" s="190">
        <v>45849</v>
      </c>
      <c r="H3869" s="196">
        <v>1</v>
      </c>
      <c r="I3869" s="197">
        <v>0</v>
      </c>
      <c r="J3869" s="197">
        <v>0</v>
      </c>
      <c r="K3869" s="197">
        <v>0</v>
      </c>
      <c r="L3869" s="197">
        <v>0</v>
      </c>
      <c r="M3869" s="260" t="s">
        <v>239</v>
      </c>
      <c r="N3869" s="260" t="s">
        <v>514</v>
      </c>
    </row>
    <row r="3870" spans="1:14" ht="14.5" x14ac:dyDescent="0.35">
      <c r="A3870" s="260" t="s">
        <v>747</v>
      </c>
      <c r="B3870" s="190">
        <v>45850</v>
      </c>
      <c r="C3870" s="260" t="s">
        <v>754</v>
      </c>
      <c r="D3870" s="197">
        <v>100</v>
      </c>
      <c r="E3870" s="197">
        <v>8008</v>
      </c>
      <c r="F3870" s="197">
        <v>79.67</v>
      </c>
      <c r="G3870" s="190">
        <v>45849</v>
      </c>
      <c r="H3870" s="196">
        <v>1</v>
      </c>
      <c r="I3870" s="197">
        <v>7967</v>
      </c>
      <c r="J3870" s="197">
        <v>7967</v>
      </c>
      <c r="K3870" s="197">
        <v>0</v>
      </c>
      <c r="L3870" s="197">
        <v>-41</v>
      </c>
      <c r="M3870" s="260" t="s">
        <v>239</v>
      </c>
      <c r="N3870" s="260" t="s">
        <v>514</v>
      </c>
    </row>
    <row r="3871" spans="1:14" ht="14.5" x14ac:dyDescent="0.35">
      <c r="A3871" s="260" t="s">
        <v>747</v>
      </c>
      <c r="B3871" s="190">
        <v>45851</v>
      </c>
      <c r="C3871" s="260" t="s">
        <v>749</v>
      </c>
      <c r="D3871" s="197">
        <v>80</v>
      </c>
      <c r="E3871" s="197">
        <v>4004</v>
      </c>
      <c r="F3871" s="197">
        <v>54.33</v>
      </c>
      <c r="G3871" s="190">
        <v>45849</v>
      </c>
      <c r="H3871" s="196">
        <v>2</v>
      </c>
      <c r="I3871" s="197">
        <v>4346.3999999999996</v>
      </c>
      <c r="J3871" s="197">
        <v>4346.3999999999996</v>
      </c>
      <c r="K3871" s="197">
        <v>0</v>
      </c>
      <c r="L3871" s="197">
        <v>342.39999999999964</v>
      </c>
      <c r="M3871" s="260" t="s">
        <v>239</v>
      </c>
      <c r="N3871" s="260" t="s">
        <v>514</v>
      </c>
    </row>
    <row r="3872" spans="1:14" ht="14.5" x14ac:dyDescent="0.35">
      <c r="A3872" s="260" t="s">
        <v>747</v>
      </c>
      <c r="B3872" s="190">
        <v>45851</v>
      </c>
      <c r="C3872" s="260" t="s">
        <v>752</v>
      </c>
      <c r="D3872" s="197">
        <v>0</v>
      </c>
      <c r="E3872" s="197">
        <v>0</v>
      </c>
      <c r="F3872" s="197">
        <v>180.67</v>
      </c>
      <c r="G3872" s="190">
        <v>45849</v>
      </c>
      <c r="H3872" s="196">
        <v>2</v>
      </c>
      <c r="I3872" s="197">
        <v>0</v>
      </c>
      <c r="J3872" s="197">
        <v>0</v>
      </c>
      <c r="K3872" s="197">
        <v>0</v>
      </c>
      <c r="L3872" s="197">
        <v>0</v>
      </c>
      <c r="M3872" s="260" t="s">
        <v>239</v>
      </c>
      <c r="N3872" s="260" t="s">
        <v>514</v>
      </c>
    </row>
    <row r="3873" spans="1:14" ht="14.5" x14ac:dyDescent="0.35">
      <c r="A3873" s="260" t="s">
        <v>747</v>
      </c>
      <c r="B3873" s="190">
        <v>45851</v>
      </c>
      <c r="C3873" s="260" t="s">
        <v>754</v>
      </c>
      <c r="D3873" s="197">
        <v>100</v>
      </c>
      <c r="E3873" s="197">
        <v>8008</v>
      </c>
      <c r="F3873" s="197">
        <v>79.67</v>
      </c>
      <c r="G3873" s="190">
        <v>45849</v>
      </c>
      <c r="H3873" s="196">
        <v>2</v>
      </c>
      <c r="I3873" s="197">
        <v>7967</v>
      </c>
      <c r="J3873" s="197">
        <v>7967</v>
      </c>
      <c r="K3873" s="197">
        <v>0</v>
      </c>
      <c r="L3873" s="197">
        <v>-41</v>
      </c>
      <c r="M3873" s="260" t="s">
        <v>239</v>
      </c>
      <c r="N3873" s="260" t="s">
        <v>514</v>
      </c>
    </row>
    <row r="3874" spans="1:14" ht="14.5" x14ac:dyDescent="0.35">
      <c r="A3874" s="260" t="s">
        <v>747</v>
      </c>
      <c r="B3874" s="190">
        <v>45852</v>
      </c>
      <c r="C3874" s="260" t="s">
        <v>749</v>
      </c>
      <c r="D3874" s="197">
        <v>80</v>
      </c>
      <c r="E3874" s="197">
        <v>4004</v>
      </c>
      <c r="F3874" s="197">
        <v>53.98</v>
      </c>
      <c r="G3874" s="190">
        <v>45852</v>
      </c>
      <c r="H3874" s="196">
        <v>0</v>
      </c>
      <c r="I3874" s="197">
        <v>4318.3999999999996</v>
      </c>
      <c r="J3874" s="197">
        <v>4318.3999999999996</v>
      </c>
      <c r="K3874" s="197">
        <v>0</v>
      </c>
      <c r="L3874" s="197">
        <v>314.39999999999964</v>
      </c>
      <c r="M3874" s="260" t="s">
        <v>239</v>
      </c>
      <c r="N3874" s="260" t="s">
        <v>514</v>
      </c>
    </row>
    <row r="3875" spans="1:14" ht="14.5" x14ac:dyDescent="0.35">
      <c r="A3875" s="260" t="s">
        <v>747</v>
      </c>
      <c r="B3875" s="190">
        <v>45852</v>
      </c>
      <c r="C3875" s="260" t="s">
        <v>752</v>
      </c>
      <c r="D3875" s="197">
        <v>0</v>
      </c>
      <c r="E3875" s="197">
        <v>0</v>
      </c>
      <c r="F3875" s="197">
        <v>180.27</v>
      </c>
      <c r="G3875" s="190">
        <v>45852</v>
      </c>
      <c r="H3875" s="196">
        <v>0</v>
      </c>
      <c r="I3875" s="197">
        <v>0</v>
      </c>
      <c r="J3875" s="197">
        <v>0</v>
      </c>
      <c r="K3875" s="197">
        <v>0</v>
      </c>
      <c r="L3875" s="197">
        <v>0</v>
      </c>
      <c r="M3875" s="260" t="s">
        <v>239</v>
      </c>
      <c r="N3875" s="260" t="s">
        <v>514</v>
      </c>
    </row>
    <row r="3876" spans="1:14" ht="14.5" x14ac:dyDescent="0.35">
      <c r="A3876" s="260" t="s">
        <v>747</v>
      </c>
      <c r="B3876" s="190">
        <v>45852</v>
      </c>
      <c r="C3876" s="260" t="s">
        <v>754</v>
      </c>
      <c r="D3876" s="197">
        <v>100</v>
      </c>
      <c r="E3876" s="197">
        <v>8008</v>
      </c>
      <c r="F3876" s="197">
        <v>79.27</v>
      </c>
      <c r="G3876" s="190">
        <v>45852</v>
      </c>
      <c r="H3876" s="196">
        <v>0</v>
      </c>
      <c r="I3876" s="197">
        <v>7927</v>
      </c>
      <c r="J3876" s="197">
        <v>7927</v>
      </c>
      <c r="K3876" s="197">
        <v>0</v>
      </c>
      <c r="L3876" s="197">
        <v>-81</v>
      </c>
      <c r="M3876" s="260" t="s">
        <v>239</v>
      </c>
      <c r="N3876" s="260" t="s">
        <v>514</v>
      </c>
    </row>
    <row r="3877" spans="1:14" ht="14.5" x14ac:dyDescent="0.35">
      <c r="A3877" s="260" t="s">
        <v>747</v>
      </c>
      <c r="B3877" s="190">
        <v>45853</v>
      </c>
      <c r="C3877" s="260" t="s">
        <v>749</v>
      </c>
      <c r="D3877" s="197">
        <v>80</v>
      </c>
      <c r="E3877" s="197">
        <v>4004</v>
      </c>
      <c r="F3877" s="197">
        <v>53.87</v>
      </c>
      <c r="G3877" s="190">
        <v>45853</v>
      </c>
      <c r="H3877" s="196">
        <v>0</v>
      </c>
      <c r="I3877" s="197">
        <v>4309.5999999999995</v>
      </c>
      <c r="J3877" s="197">
        <v>4309.5999999999995</v>
      </c>
      <c r="K3877" s="197">
        <v>0</v>
      </c>
      <c r="L3877" s="197">
        <v>305.59999999999945</v>
      </c>
      <c r="M3877" s="260" t="s">
        <v>239</v>
      </c>
      <c r="N3877" s="260" t="s">
        <v>514</v>
      </c>
    </row>
    <row r="3878" spans="1:14" ht="14.5" x14ac:dyDescent="0.35">
      <c r="A3878" s="260" t="s">
        <v>747</v>
      </c>
      <c r="B3878" s="190">
        <v>45853</v>
      </c>
      <c r="C3878" s="260" t="s">
        <v>752</v>
      </c>
      <c r="D3878" s="197">
        <v>0</v>
      </c>
      <c r="E3878" s="197">
        <v>0</v>
      </c>
      <c r="F3878" s="197">
        <v>180.13</v>
      </c>
      <c r="G3878" s="190">
        <v>45853</v>
      </c>
      <c r="H3878" s="196">
        <v>0</v>
      </c>
      <c r="I3878" s="197">
        <v>0</v>
      </c>
      <c r="J3878" s="197">
        <v>0</v>
      </c>
      <c r="K3878" s="197">
        <v>0</v>
      </c>
      <c r="L3878" s="197">
        <v>0</v>
      </c>
      <c r="M3878" s="260" t="s">
        <v>239</v>
      </c>
      <c r="N3878" s="260" t="s">
        <v>514</v>
      </c>
    </row>
    <row r="3879" spans="1:14" ht="14.5" x14ac:dyDescent="0.35">
      <c r="A3879" s="260" t="s">
        <v>747</v>
      </c>
      <c r="B3879" s="190">
        <v>45853</v>
      </c>
      <c r="C3879" s="260" t="s">
        <v>754</v>
      </c>
      <c r="D3879" s="197">
        <v>100</v>
      </c>
      <c r="E3879" s="197">
        <v>8008</v>
      </c>
      <c r="F3879" s="197">
        <v>79.13</v>
      </c>
      <c r="G3879" s="190">
        <v>45853</v>
      </c>
      <c r="H3879" s="196">
        <v>0</v>
      </c>
      <c r="I3879" s="197">
        <v>7913</v>
      </c>
      <c r="J3879" s="197">
        <v>7913</v>
      </c>
      <c r="K3879" s="197">
        <v>0</v>
      </c>
      <c r="L3879" s="197">
        <v>-95</v>
      </c>
      <c r="M3879" s="260" t="s">
        <v>239</v>
      </c>
      <c r="N3879" s="260" t="s">
        <v>514</v>
      </c>
    </row>
    <row r="3880" spans="1:14" ht="14.5" x14ac:dyDescent="0.35">
      <c r="A3880" s="260" t="s">
        <v>747</v>
      </c>
      <c r="B3880" s="190">
        <v>45854</v>
      </c>
      <c r="C3880" s="260" t="s">
        <v>749</v>
      </c>
      <c r="D3880" s="197">
        <v>80</v>
      </c>
      <c r="E3880" s="197">
        <v>4004</v>
      </c>
      <c r="F3880" s="197">
        <v>53.75</v>
      </c>
      <c r="G3880" s="190">
        <v>45854</v>
      </c>
      <c r="H3880" s="196">
        <v>0</v>
      </c>
      <c r="I3880" s="197">
        <v>4300</v>
      </c>
      <c r="J3880" s="197">
        <v>4300</v>
      </c>
      <c r="K3880" s="197">
        <v>0</v>
      </c>
      <c r="L3880" s="197">
        <v>296</v>
      </c>
      <c r="M3880" s="260" t="s">
        <v>239</v>
      </c>
      <c r="N3880" s="260" t="s">
        <v>514</v>
      </c>
    </row>
    <row r="3881" spans="1:14" ht="14.5" x14ac:dyDescent="0.35">
      <c r="A3881" s="260" t="s">
        <v>747</v>
      </c>
      <c r="B3881" s="190">
        <v>45854</v>
      </c>
      <c r="C3881" s="260" t="s">
        <v>752</v>
      </c>
      <c r="D3881" s="197">
        <v>0</v>
      </c>
      <c r="E3881" s="197">
        <v>0</v>
      </c>
      <c r="F3881" s="197">
        <v>180</v>
      </c>
      <c r="G3881" s="190">
        <v>45854</v>
      </c>
      <c r="H3881" s="196">
        <v>0</v>
      </c>
      <c r="I3881" s="197">
        <v>0</v>
      </c>
      <c r="J3881" s="197">
        <v>0</v>
      </c>
      <c r="K3881" s="197">
        <v>0</v>
      </c>
      <c r="L3881" s="197">
        <v>0</v>
      </c>
      <c r="M3881" s="260" t="s">
        <v>239</v>
      </c>
      <c r="N3881" s="260" t="s">
        <v>514</v>
      </c>
    </row>
    <row r="3882" spans="1:14" ht="14.5" x14ac:dyDescent="0.35">
      <c r="A3882" s="260" t="s">
        <v>747</v>
      </c>
      <c r="B3882" s="190">
        <v>45854</v>
      </c>
      <c r="C3882" s="260" t="s">
        <v>754</v>
      </c>
      <c r="D3882" s="197">
        <v>100</v>
      </c>
      <c r="E3882" s="197">
        <v>8008</v>
      </c>
      <c r="F3882" s="197">
        <v>79</v>
      </c>
      <c r="G3882" s="190">
        <v>45854</v>
      </c>
      <c r="H3882" s="196">
        <v>0</v>
      </c>
      <c r="I3882" s="197">
        <v>7900</v>
      </c>
      <c r="J3882" s="197">
        <v>7900</v>
      </c>
      <c r="K3882" s="197">
        <v>0</v>
      </c>
      <c r="L3882" s="197">
        <v>-108</v>
      </c>
      <c r="M3882" s="260" t="s">
        <v>239</v>
      </c>
      <c r="N3882" s="260" t="s">
        <v>514</v>
      </c>
    </row>
    <row r="3883" spans="1:14" ht="14.5" x14ac:dyDescent="0.35">
      <c r="A3883" s="260" t="s">
        <v>747</v>
      </c>
      <c r="B3883" s="190">
        <v>45855</v>
      </c>
      <c r="C3883" s="260" t="s">
        <v>749</v>
      </c>
      <c r="D3883" s="197">
        <v>80</v>
      </c>
      <c r="E3883" s="197">
        <v>4004</v>
      </c>
      <c r="F3883" s="197">
        <v>53.63</v>
      </c>
      <c r="G3883" s="190">
        <v>45855</v>
      </c>
      <c r="H3883" s="196">
        <v>0</v>
      </c>
      <c r="I3883" s="197">
        <v>4290.4000000000005</v>
      </c>
      <c r="J3883" s="197">
        <v>4290.4000000000005</v>
      </c>
      <c r="K3883" s="197">
        <v>0</v>
      </c>
      <c r="L3883" s="197">
        <v>286.40000000000055</v>
      </c>
      <c r="M3883" s="260" t="s">
        <v>239</v>
      </c>
      <c r="N3883" s="260" t="s">
        <v>514</v>
      </c>
    </row>
    <row r="3884" spans="1:14" ht="14.5" x14ac:dyDescent="0.35">
      <c r="A3884" s="260" t="s">
        <v>747</v>
      </c>
      <c r="B3884" s="190">
        <v>45855</v>
      </c>
      <c r="C3884" s="260" t="s">
        <v>752</v>
      </c>
      <c r="D3884" s="197">
        <v>0</v>
      </c>
      <c r="E3884" s="197">
        <v>0</v>
      </c>
      <c r="F3884" s="197">
        <v>179.87</v>
      </c>
      <c r="G3884" s="190">
        <v>45855</v>
      </c>
      <c r="H3884" s="196">
        <v>0</v>
      </c>
      <c r="I3884" s="197">
        <v>0</v>
      </c>
      <c r="J3884" s="197">
        <v>0</v>
      </c>
      <c r="K3884" s="197">
        <v>0</v>
      </c>
      <c r="L3884" s="197">
        <v>0</v>
      </c>
      <c r="M3884" s="260" t="s">
        <v>239</v>
      </c>
      <c r="N3884" s="260" t="s">
        <v>514</v>
      </c>
    </row>
    <row r="3885" spans="1:14" ht="14.5" x14ac:dyDescent="0.35">
      <c r="A3885" s="260" t="s">
        <v>747</v>
      </c>
      <c r="B3885" s="190">
        <v>45855</v>
      </c>
      <c r="C3885" s="260" t="s">
        <v>754</v>
      </c>
      <c r="D3885" s="197">
        <v>100</v>
      </c>
      <c r="E3885" s="197">
        <v>8008</v>
      </c>
      <c r="F3885" s="197">
        <v>78.87</v>
      </c>
      <c r="G3885" s="190">
        <v>45855</v>
      </c>
      <c r="H3885" s="196">
        <v>0</v>
      </c>
      <c r="I3885" s="197">
        <v>7887</v>
      </c>
      <c r="J3885" s="197">
        <v>7887</v>
      </c>
      <c r="K3885" s="197">
        <v>0</v>
      </c>
      <c r="L3885" s="197">
        <v>-121</v>
      </c>
      <c r="M3885" s="260" t="s">
        <v>239</v>
      </c>
      <c r="N3885" s="260" t="s">
        <v>514</v>
      </c>
    </row>
    <row r="3886" spans="1:14" ht="14.5" x14ac:dyDescent="0.35">
      <c r="A3886" s="260" t="s">
        <v>747</v>
      </c>
      <c r="B3886" s="190">
        <v>45856</v>
      </c>
      <c r="C3886" s="260" t="s">
        <v>749</v>
      </c>
      <c r="D3886" s="197">
        <v>80</v>
      </c>
      <c r="E3886" s="197">
        <v>4004</v>
      </c>
      <c r="F3886" s="197">
        <v>53.52</v>
      </c>
      <c r="G3886" s="190">
        <v>45856</v>
      </c>
      <c r="H3886" s="196">
        <v>0</v>
      </c>
      <c r="I3886" s="197">
        <v>4281.6000000000004</v>
      </c>
      <c r="J3886" s="197">
        <v>4281.6000000000004</v>
      </c>
      <c r="K3886" s="197">
        <v>0</v>
      </c>
      <c r="L3886" s="197">
        <v>277.60000000000036</v>
      </c>
      <c r="M3886" s="260" t="s">
        <v>239</v>
      </c>
      <c r="N3886" s="260" t="s">
        <v>514</v>
      </c>
    </row>
    <row r="3887" spans="1:14" ht="14.5" x14ac:dyDescent="0.35">
      <c r="A3887" s="260" t="s">
        <v>747</v>
      </c>
      <c r="B3887" s="190">
        <v>45856</v>
      </c>
      <c r="C3887" s="260" t="s">
        <v>752</v>
      </c>
      <c r="D3887" s="197">
        <v>0</v>
      </c>
      <c r="E3887" s="197">
        <v>0</v>
      </c>
      <c r="F3887" s="197">
        <v>179.73</v>
      </c>
      <c r="G3887" s="190">
        <v>45856</v>
      </c>
      <c r="H3887" s="196">
        <v>0</v>
      </c>
      <c r="I3887" s="197">
        <v>0</v>
      </c>
      <c r="J3887" s="197">
        <v>0</v>
      </c>
      <c r="K3887" s="197">
        <v>0</v>
      </c>
      <c r="L3887" s="197">
        <v>0</v>
      </c>
      <c r="M3887" s="260" t="s">
        <v>239</v>
      </c>
      <c r="N3887" s="260" t="s">
        <v>514</v>
      </c>
    </row>
    <row r="3888" spans="1:14" ht="14.5" x14ac:dyDescent="0.35">
      <c r="A3888" s="260" t="s">
        <v>747</v>
      </c>
      <c r="B3888" s="190">
        <v>45856</v>
      </c>
      <c r="C3888" s="260" t="s">
        <v>754</v>
      </c>
      <c r="D3888" s="197">
        <v>100</v>
      </c>
      <c r="E3888" s="197">
        <v>8008</v>
      </c>
      <c r="F3888" s="197">
        <v>78.73</v>
      </c>
      <c r="G3888" s="190">
        <v>45856</v>
      </c>
      <c r="H3888" s="196">
        <v>0</v>
      </c>
      <c r="I3888" s="197">
        <v>7873</v>
      </c>
      <c r="J3888" s="197">
        <v>7873</v>
      </c>
      <c r="K3888" s="197">
        <v>0</v>
      </c>
      <c r="L3888" s="197">
        <v>-135</v>
      </c>
      <c r="M3888" s="260" t="s">
        <v>239</v>
      </c>
      <c r="N3888" s="260" t="s">
        <v>514</v>
      </c>
    </row>
    <row r="3889" spans="1:14" ht="14.5" x14ac:dyDescent="0.35">
      <c r="A3889" s="260" t="s">
        <v>747</v>
      </c>
      <c r="B3889" s="190">
        <v>45857</v>
      </c>
      <c r="C3889" s="260" t="s">
        <v>749</v>
      </c>
      <c r="D3889" s="197">
        <v>80</v>
      </c>
      <c r="E3889" s="197">
        <v>4004</v>
      </c>
      <c r="F3889" s="197">
        <v>53.52</v>
      </c>
      <c r="G3889" s="190">
        <v>45856</v>
      </c>
      <c r="H3889" s="196">
        <v>1</v>
      </c>
      <c r="I3889" s="197">
        <v>4281.6000000000004</v>
      </c>
      <c r="J3889" s="197">
        <v>4281.6000000000004</v>
      </c>
      <c r="K3889" s="197">
        <v>0</v>
      </c>
      <c r="L3889" s="197">
        <v>277.60000000000036</v>
      </c>
      <c r="M3889" s="260" t="s">
        <v>239</v>
      </c>
      <c r="N3889" s="260" t="s">
        <v>514</v>
      </c>
    </row>
    <row r="3890" spans="1:14" ht="14.5" x14ac:dyDescent="0.35">
      <c r="A3890" s="260" t="s">
        <v>747</v>
      </c>
      <c r="B3890" s="190">
        <v>45857</v>
      </c>
      <c r="C3890" s="260" t="s">
        <v>752</v>
      </c>
      <c r="D3890" s="197">
        <v>0</v>
      </c>
      <c r="E3890" s="197">
        <v>0</v>
      </c>
      <c r="F3890" s="197">
        <v>179.73</v>
      </c>
      <c r="G3890" s="190">
        <v>45856</v>
      </c>
      <c r="H3890" s="196">
        <v>1</v>
      </c>
      <c r="I3890" s="197">
        <v>0</v>
      </c>
      <c r="J3890" s="197">
        <v>0</v>
      </c>
      <c r="K3890" s="197">
        <v>0</v>
      </c>
      <c r="L3890" s="197">
        <v>0</v>
      </c>
      <c r="M3890" s="260" t="s">
        <v>239</v>
      </c>
      <c r="N3890" s="260" t="s">
        <v>514</v>
      </c>
    </row>
    <row r="3891" spans="1:14" ht="14.5" x14ac:dyDescent="0.35">
      <c r="A3891" s="260" t="s">
        <v>747</v>
      </c>
      <c r="B3891" s="190">
        <v>45857</v>
      </c>
      <c r="C3891" s="260" t="s">
        <v>754</v>
      </c>
      <c r="D3891" s="197">
        <v>100</v>
      </c>
      <c r="E3891" s="197">
        <v>8008</v>
      </c>
      <c r="F3891" s="197">
        <v>78.73</v>
      </c>
      <c r="G3891" s="190">
        <v>45856</v>
      </c>
      <c r="H3891" s="196">
        <v>1</v>
      </c>
      <c r="I3891" s="197">
        <v>7873</v>
      </c>
      <c r="J3891" s="197">
        <v>7873</v>
      </c>
      <c r="K3891" s="197">
        <v>0</v>
      </c>
      <c r="L3891" s="197">
        <v>-135</v>
      </c>
      <c r="M3891" s="260" t="s">
        <v>239</v>
      </c>
      <c r="N3891" s="260" t="s">
        <v>514</v>
      </c>
    </row>
    <row r="3892" spans="1:14" ht="14.5" x14ac:dyDescent="0.35">
      <c r="A3892" s="260" t="s">
        <v>747</v>
      </c>
      <c r="B3892" s="190">
        <v>45858</v>
      </c>
      <c r="C3892" s="260" t="s">
        <v>749</v>
      </c>
      <c r="D3892" s="197">
        <v>80</v>
      </c>
      <c r="E3892" s="197">
        <v>4004</v>
      </c>
      <c r="F3892" s="197">
        <v>53.52</v>
      </c>
      <c r="G3892" s="190">
        <v>45856</v>
      </c>
      <c r="H3892" s="196">
        <v>2</v>
      </c>
      <c r="I3892" s="197">
        <v>4281.6000000000004</v>
      </c>
      <c r="J3892" s="197">
        <v>4281.6000000000004</v>
      </c>
      <c r="K3892" s="197">
        <v>0</v>
      </c>
      <c r="L3892" s="197">
        <v>277.60000000000036</v>
      </c>
      <c r="M3892" s="260" t="s">
        <v>239</v>
      </c>
      <c r="N3892" s="260" t="s">
        <v>514</v>
      </c>
    </row>
    <row r="3893" spans="1:14" ht="14.5" x14ac:dyDescent="0.35">
      <c r="A3893" s="260" t="s">
        <v>747</v>
      </c>
      <c r="B3893" s="190">
        <v>45858</v>
      </c>
      <c r="C3893" s="260" t="s">
        <v>752</v>
      </c>
      <c r="D3893" s="197">
        <v>0</v>
      </c>
      <c r="E3893" s="197">
        <v>0</v>
      </c>
      <c r="F3893" s="197">
        <v>179.73</v>
      </c>
      <c r="G3893" s="190">
        <v>45856</v>
      </c>
      <c r="H3893" s="196">
        <v>2</v>
      </c>
      <c r="I3893" s="197">
        <v>0</v>
      </c>
      <c r="J3893" s="197">
        <v>0</v>
      </c>
      <c r="K3893" s="197">
        <v>0</v>
      </c>
      <c r="L3893" s="197">
        <v>0</v>
      </c>
      <c r="M3893" s="260" t="s">
        <v>239</v>
      </c>
      <c r="N3893" s="260" t="s">
        <v>514</v>
      </c>
    </row>
    <row r="3894" spans="1:14" ht="14.5" x14ac:dyDescent="0.35">
      <c r="A3894" s="260" t="s">
        <v>747</v>
      </c>
      <c r="B3894" s="190">
        <v>45858</v>
      </c>
      <c r="C3894" s="260" t="s">
        <v>754</v>
      </c>
      <c r="D3894" s="197">
        <v>100</v>
      </c>
      <c r="E3894" s="197">
        <v>8008</v>
      </c>
      <c r="F3894" s="197">
        <v>78.73</v>
      </c>
      <c r="G3894" s="190">
        <v>45856</v>
      </c>
      <c r="H3894" s="196">
        <v>2</v>
      </c>
      <c r="I3894" s="197">
        <v>7873</v>
      </c>
      <c r="J3894" s="197">
        <v>7873</v>
      </c>
      <c r="K3894" s="197">
        <v>0</v>
      </c>
      <c r="L3894" s="197">
        <v>-135</v>
      </c>
      <c r="M3894" s="260" t="s">
        <v>239</v>
      </c>
      <c r="N3894" s="260" t="s">
        <v>514</v>
      </c>
    </row>
    <row r="3895" spans="1:14" ht="14.5" x14ac:dyDescent="0.35">
      <c r="A3895" s="260" t="s">
        <v>747</v>
      </c>
      <c r="B3895" s="190">
        <v>45859</v>
      </c>
      <c r="C3895" s="260" t="s">
        <v>749</v>
      </c>
      <c r="D3895" s="197">
        <v>80</v>
      </c>
      <c r="E3895" s="197">
        <v>4004</v>
      </c>
      <c r="F3895" s="197">
        <v>53.17</v>
      </c>
      <c r="G3895" s="190">
        <v>45859</v>
      </c>
      <c r="H3895" s="196">
        <v>0</v>
      </c>
      <c r="I3895" s="197">
        <v>4253.6000000000004</v>
      </c>
      <c r="J3895" s="197">
        <v>4253.6000000000004</v>
      </c>
      <c r="K3895" s="197">
        <v>0</v>
      </c>
      <c r="L3895" s="197">
        <v>249.60000000000036</v>
      </c>
      <c r="M3895" s="260" t="s">
        <v>239</v>
      </c>
      <c r="N3895" s="260" t="s">
        <v>514</v>
      </c>
    </row>
    <row r="3896" spans="1:14" ht="14.5" x14ac:dyDescent="0.35">
      <c r="A3896" s="260" t="s">
        <v>747</v>
      </c>
      <c r="B3896" s="190">
        <v>45859</v>
      </c>
      <c r="C3896" s="260" t="s">
        <v>752</v>
      </c>
      <c r="D3896" s="197">
        <v>0</v>
      </c>
      <c r="E3896" s="197">
        <v>0</v>
      </c>
      <c r="F3896" s="197">
        <v>179.33</v>
      </c>
      <c r="G3896" s="190">
        <v>45859</v>
      </c>
      <c r="H3896" s="196">
        <v>0</v>
      </c>
      <c r="I3896" s="197">
        <v>0</v>
      </c>
      <c r="J3896" s="197">
        <v>0</v>
      </c>
      <c r="K3896" s="197">
        <v>0</v>
      </c>
      <c r="L3896" s="197">
        <v>0</v>
      </c>
      <c r="M3896" s="260" t="s">
        <v>239</v>
      </c>
      <c r="N3896" s="260" t="s">
        <v>514</v>
      </c>
    </row>
    <row r="3897" spans="1:14" ht="14.5" x14ac:dyDescent="0.35">
      <c r="A3897" s="260" t="s">
        <v>747</v>
      </c>
      <c r="B3897" s="190">
        <v>45859</v>
      </c>
      <c r="C3897" s="260" t="s">
        <v>754</v>
      </c>
      <c r="D3897" s="197">
        <v>100</v>
      </c>
      <c r="E3897" s="197">
        <v>8008</v>
      </c>
      <c r="F3897" s="197">
        <v>78.33</v>
      </c>
      <c r="G3897" s="190">
        <v>45859</v>
      </c>
      <c r="H3897" s="196">
        <v>0</v>
      </c>
      <c r="I3897" s="197">
        <v>7833</v>
      </c>
      <c r="J3897" s="197">
        <v>7833</v>
      </c>
      <c r="K3897" s="197">
        <v>0</v>
      </c>
      <c r="L3897" s="197">
        <v>-175</v>
      </c>
      <c r="M3897" s="260" t="s">
        <v>239</v>
      </c>
      <c r="N3897" s="260" t="s">
        <v>514</v>
      </c>
    </row>
    <row r="3898" spans="1:14" ht="14.5" x14ac:dyDescent="0.35">
      <c r="A3898" s="260" t="s">
        <v>747</v>
      </c>
      <c r="B3898" s="190">
        <v>45860</v>
      </c>
      <c r="C3898" s="260" t="s">
        <v>749</v>
      </c>
      <c r="D3898" s="197">
        <v>80</v>
      </c>
      <c r="E3898" s="197">
        <v>4004</v>
      </c>
      <c r="F3898" s="197">
        <v>53.05</v>
      </c>
      <c r="G3898" s="190">
        <v>45860</v>
      </c>
      <c r="H3898" s="196">
        <v>0</v>
      </c>
      <c r="I3898" s="197">
        <v>4244</v>
      </c>
      <c r="J3898" s="197">
        <v>4244</v>
      </c>
      <c r="K3898" s="197">
        <v>0</v>
      </c>
      <c r="L3898" s="197">
        <v>240</v>
      </c>
      <c r="M3898" s="260" t="s">
        <v>239</v>
      </c>
      <c r="N3898" s="260" t="s">
        <v>514</v>
      </c>
    </row>
    <row r="3899" spans="1:14" ht="14.5" x14ac:dyDescent="0.35">
      <c r="A3899" s="260" t="s">
        <v>747</v>
      </c>
      <c r="B3899" s="190">
        <v>45860</v>
      </c>
      <c r="C3899" s="260" t="s">
        <v>752</v>
      </c>
      <c r="D3899" s="197">
        <v>0</v>
      </c>
      <c r="E3899" s="197">
        <v>0</v>
      </c>
      <c r="F3899" s="197">
        <v>179.2</v>
      </c>
      <c r="G3899" s="190">
        <v>45860</v>
      </c>
      <c r="H3899" s="196">
        <v>0</v>
      </c>
      <c r="I3899" s="197">
        <v>0</v>
      </c>
      <c r="J3899" s="197">
        <v>0</v>
      </c>
      <c r="K3899" s="197">
        <v>0</v>
      </c>
      <c r="L3899" s="197">
        <v>0</v>
      </c>
      <c r="M3899" s="260" t="s">
        <v>239</v>
      </c>
      <c r="N3899" s="260" t="s">
        <v>514</v>
      </c>
    </row>
    <row r="3900" spans="1:14" ht="14.5" x14ac:dyDescent="0.35">
      <c r="A3900" s="260" t="s">
        <v>747</v>
      </c>
      <c r="B3900" s="190">
        <v>45860</v>
      </c>
      <c r="C3900" s="260" t="s">
        <v>754</v>
      </c>
      <c r="D3900" s="197">
        <v>100</v>
      </c>
      <c r="E3900" s="197">
        <v>8008</v>
      </c>
      <c r="F3900" s="197">
        <v>78.2</v>
      </c>
      <c r="G3900" s="190">
        <v>45860</v>
      </c>
      <c r="H3900" s="196">
        <v>0</v>
      </c>
      <c r="I3900" s="197">
        <v>7820</v>
      </c>
      <c r="J3900" s="197">
        <v>7820</v>
      </c>
      <c r="K3900" s="197">
        <v>0</v>
      </c>
      <c r="L3900" s="197">
        <v>-188</v>
      </c>
      <c r="M3900" s="260" t="s">
        <v>239</v>
      </c>
      <c r="N3900" s="260" t="s">
        <v>514</v>
      </c>
    </row>
    <row r="3901" spans="1:14" ht="14.5" x14ac:dyDescent="0.35">
      <c r="A3901" s="260" t="s">
        <v>747</v>
      </c>
      <c r="B3901" s="190">
        <v>45861</v>
      </c>
      <c r="C3901" s="260" t="s">
        <v>749</v>
      </c>
      <c r="D3901" s="197">
        <v>80</v>
      </c>
      <c r="E3901" s="197">
        <v>4004</v>
      </c>
      <c r="F3901" s="197">
        <v>52.93</v>
      </c>
      <c r="G3901" s="190">
        <v>45861</v>
      </c>
      <c r="H3901" s="196">
        <v>0</v>
      </c>
      <c r="I3901" s="197">
        <v>4234.3999999999996</v>
      </c>
      <c r="J3901" s="197">
        <v>4234.3999999999996</v>
      </c>
      <c r="K3901" s="197">
        <v>0</v>
      </c>
      <c r="L3901" s="197">
        <v>230.39999999999964</v>
      </c>
      <c r="M3901" s="260" t="s">
        <v>239</v>
      </c>
      <c r="N3901" s="260" t="s">
        <v>514</v>
      </c>
    </row>
    <row r="3902" spans="1:14" ht="14.5" x14ac:dyDescent="0.35">
      <c r="A3902" s="260" t="s">
        <v>747</v>
      </c>
      <c r="B3902" s="190">
        <v>45861</v>
      </c>
      <c r="C3902" s="260" t="s">
        <v>752</v>
      </c>
      <c r="D3902" s="197">
        <v>0</v>
      </c>
      <c r="E3902" s="197">
        <v>0</v>
      </c>
      <c r="F3902" s="197">
        <v>179.07</v>
      </c>
      <c r="G3902" s="190">
        <v>45861</v>
      </c>
      <c r="H3902" s="196">
        <v>0</v>
      </c>
      <c r="I3902" s="197">
        <v>0</v>
      </c>
      <c r="J3902" s="197">
        <v>0</v>
      </c>
      <c r="K3902" s="197">
        <v>0</v>
      </c>
      <c r="L3902" s="197">
        <v>0</v>
      </c>
      <c r="M3902" s="260" t="s">
        <v>239</v>
      </c>
      <c r="N3902" s="260" t="s">
        <v>514</v>
      </c>
    </row>
    <row r="3903" spans="1:14" ht="14.5" x14ac:dyDescent="0.35">
      <c r="A3903" s="260" t="s">
        <v>747</v>
      </c>
      <c r="B3903" s="190">
        <v>45861</v>
      </c>
      <c r="C3903" s="260" t="s">
        <v>754</v>
      </c>
      <c r="D3903" s="197">
        <v>100</v>
      </c>
      <c r="E3903" s="197">
        <v>8008</v>
      </c>
      <c r="F3903" s="197">
        <v>78.069999999999993</v>
      </c>
      <c r="G3903" s="190">
        <v>45861</v>
      </c>
      <c r="H3903" s="196">
        <v>0</v>
      </c>
      <c r="I3903" s="197">
        <v>7806.9999999999991</v>
      </c>
      <c r="J3903" s="197">
        <v>7806.9999999999991</v>
      </c>
      <c r="K3903" s="197">
        <v>0</v>
      </c>
      <c r="L3903" s="197">
        <v>-201.00000000000091</v>
      </c>
      <c r="M3903" s="260" t="s">
        <v>239</v>
      </c>
      <c r="N3903" s="260" t="s">
        <v>514</v>
      </c>
    </row>
    <row r="3904" spans="1:14" ht="14.5" x14ac:dyDescent="0.35">
      <c r="A3904" s="260" t="s">
        <v>747</v>
      </c>
      <c r="B3904" s="190">
        <v>45862</v>
      </c>
      <c r="C3904" s="260" t="s">
        <v>749</v>
      </c>
      <c r="D3904" s="197">
        <v>80</v>
      </c>
      <c r="E3904" s="197">
        <v>4004</v>
      </c>
      <c r="F3904" s="197">
        <v>52.82</v>
      </c>
      <c r="G3904" s="190">
        <v>45862</v>
      </c>
      <c r="H3904" s="196">
        <v>0</v>
      </c>
      <c r="I3904" s="197">
        <v>4225.6000000000004</v>
      </c>
      <c r="J3904" s="197">
        <v>4225.6000000000004</v>
      </c>
      <c r="K3904" s="197">
        <v>0</v>
      </c>
      <c r="L3904" s="197">
        <v>221.60000000000036</v>
      </c>
      <c r="M3904" s="260" t="s">
        <v>239</v>
      </c>
      <c r="N3904" s="260" t="s">
        <v>514</v>
      </c>
    </row>
    <row r="3905" spans="1:14" ht="14.5" x14ac:dyDescent="0.35">
      <c r="A3905" s="260" t="s">
        <v>747</v>
      </c>
      <c r="B3905" s="190">
        <v>45862</v>
      </c>
      <c r="C3905" s="260" t="s">
        <v>752</v>
      </c>
      <c r="D3905" s="197">
        <v>0</v>
      </c>
      <c r="E3905" s="197">
        <v>0</v>
      </c>
      <c r="F3905" s="197">
        <v>178.93</v>
      </c>
      <c r="G3905" s="190">
        <v>45862</v>
      </c>
      <c r="H3905" s="196">
        <v>0</v>
      </c>
      <c r="I3905" s="197">
        <v>0</v>
      </c>
      <c r="J3905" s="197">
        <v>0</v>
      </c>
      <c r="K3905" s="197">
        <v>0</v>
      </c>
      <c r="L3905" s="197">
        <v>0</v>
      </c>
      <c r="M3905" s="260" t="s">
        <v>239</v>
      </c>
      <c r="N3905" s="260" t="s">
        <v>514</v>
      </c>
    </row>
    <row r="3906" spans="1:14" ht="14.5" x14ac:dyDescent="0.35">
      <c r="A3906" s="260" t="s">
        <v>747</v>
      </c>
      <c r="B3906" s="190">
        <v>45862</v>
      </c>
      <c r="C3906" s="260" t="s">
        <v>754</v>
      </c>
      <c r="D3906" s="197">
        <v>100</v>
      </c>
      <c r="E3906" s="197">
        <v>8008</v>
      </c>
      <c r="F3906" s="197">
        <v>77.930000000000007</v>
      </c>
      <c r="G3906" s="190">
        <v>45862</v>
      </c>
      <c r="H3906" s="196">
        <v>0</v>
      </c>
      <c r="I3906" s="197">
        <v>7793.0000000000009</v>
      </c>
      <c r="J3906" s="197">
        <v>7793.0000000000009</v>
      </c>
      <c r="K3906" s="197">
        <v>0</v>
      </c>
      <c r="L3906" s="197">
        <v>-214.99999999999909</v>
      </c>
      <c r="M3906" s="260" t="s">
        <v>239</v>
      </c>
      <c r="N3906" s="260" t="s">
        <v>514</v>
      </c>
    </row>
    <row r="3907" spans="1:14" ht="14.5" x14ac:dyDescent="0.35">
      <c r="A3907" s="260" t="s">
        <v>747</v>
      </c>
      <c r="B3907" s="190">
        <v>45863</v>
      </c>
      <c r="C3907" s="260" t="s">
        <v>749</v>
      </c>
      <c r="D3907" s="197">
        <v>80</v>
      </c>
      <c r="E3907" s="197">
        <v>4004</v>
      </c>
      <c r="F3907" s="197">
        <v>52.7</v>
      </c>
      <c r="G3907" s="190">
        <v>45863</v>
      </c>
      <c r="H3907" s="196">
        <v>0</v>
      </c>
      <c r="I3907" s="197">
        <v>4216</v>
      </c>
      <c r="J3907" s="197">
        <v>4216</v>
      </c>
      <c r="K3907" s="197">
        <v>0</v>
      </c>
      <c r="L3907" s="197">
        <v>212</v>
      </c>
      <c r="M3907" s="260" t="s">
        <v>239</v>
      </c>
      <c r="N3907" s="260" t="s">
        <v>514</v>
      </c>
    </row>
    <row r="3908" spans="1:14" ht="14.5" x14ac:dyDescent="0.35">
      <c r="A3908" s="260" t="s">
        <v>747</v>
      </c>
      <c r="B3908" s="190">
        <v>45863</v>
      </c>
      <c r="C3908" s="260" t="s">
        <v>752</v>
      </c>
      <c r="D3908" s="197">
        <v>0</v>
      </c>
      <c r="E3908" s="197">
        <v>0</v>
      </c>
      <c r="F3908" s="197">
        <v>178.8</v>
      </c>
      <c r="G3908" s="190">
        <v>45863</v>
      </c>
      <c r="H3908" s="196">
        <v>0</v>
      </c>
      <c r="I3908" s="197">
        <v>0</v>
      </c>
      <c r="J3908" s="197">
        <v>0</v>
      </c>
      <c r="K3908" s="197">
        <v>0</v>
      </c>
      <c r="L3908" s="197">
        <v>0</v>
      </c>
      <c r="M3908" s="260" t="s">
        <v>239</v>
      </c>
      <c r="N3908" s="260" t="s">
        <v>514</v>
      </c>
    </row>
    <row r="3909" spans="1:14" ht="14.5" x14ac:dyDescent="0.35">
      <c r="A3909" s="260" t="s">
        <v>747</v>
      </c>
      <c r="B3909" s="190">
        <v>45863</v>
      </c>
      <c r="C3909" s="260" t="s">
        <v>754</v>
      </c>
      <c r="D3909" s="197">
        <v>100</v>
      </c>
      <c r="E3909" s="197">
        <v>8008</v>
      </c>
      <c r="F3909" s="197">
        <v>77.8</v>
      </c>
      <c r="G3909" s="190">
        <v>45863</v>
      </c>
      <c r="H3909" s="196">
        <v>0</v>
      </c>
      <c r="I3909" s="197">
        <v>7780</v>
      </c>
      <c r="J3909" s="197">
        <v>7780</v>
      </c>
      <c r="K3909" s="197">
        <v>0</v>
      </c>
      <c r="L3909" s="197">
        <v>-228</v>
      </c>
      <c r="M3909" s="260" t="s">
        <v>239</v>
      </c>
      <c r="N3909" s="260" t="s">
        <v>514</v>
      </c>
    </row>
    <row r="3910" spans="1:14" ht="14.5" x14ac:dyDescent="0.35">
      <c r="A3910" s="260" t="s">
        <v>747</v>
      </c>
      <c r="B3910" s="190">
        <v>45864</v>
      </c>
      <c r="C3910" s="260" t="s">
        <v>749</v>
      </c>
      <c r="D3910" s="197">
        <v>80</v>
      </c>
      <c r="E3910" s="197">
        <v>4004</v>
      </c>
      <c r="F3910" s="197">
        <v>52.7</v>
      </c>
      <c r="G3910" s="190">
        <v>45863</v>
      </c>
      <c r="H3910" s="196">
        <v>1</v>
      </c>
      <c r="I3910" s="197">
        <v>4216</v>
      </c>
      <c r="J3910" s="197">
        <v>4216</v>
      </c>
      <c r="K3910" s="197">
        <v>0</v>
      </c>
      <c r="L3910" s="197">
        <v>212</v>
      </c>
      <c r="M3910" s="260" t="s">
        <v>239</v>
      </c>
      <c r="N3910" s="260" t="s">
        <v>514</v>
      </c>
    </row>
    <row r="3911" spans="1:14" ht="14.5" x14ac:dyDescent="0.35">
      <c r="A3911" s="260" t="s">
        <v>747</v>
      </c>
      <c r="B3911" s="190">
        <v>45864</v>
      </c>
      <c r="C3911" s="260" t="s">
        <v>752</v>
      </c>
      <c r="D3911" s="197">
        <v>0</v>
      </c>
      <c r="E3911" s="197">
        <v>0</v>
      </c>
      <c r="F3911" s="197">
        <v>178.8</v>
      </c>
      <c r="G3911" s="190">
        <v>45863</v>
      </c>
      <c r="H3911" s="196">
        <v>1</v>
      </c>
      <c r="I3911" s="197">
        <v>0</v>
      </c>
      <c r="J3911" s="197">
        <v>0</v>
      </c>
      <c r="K3911" s="197">
        <v>0</v>
      </c>
      <c r="L3911" s="197">
        <v>0</v>
      </c>
      <c r="M3911" s="260" t="s">
        <v>239</v>
      </c>
      <c r="N3911" s="260" t="s">
        <v>514</v>
      </c>
    </row>
    <row r="3912" spans="1:14" ht="14.5" x14ac:dyDescent="0.35">
      <c r="A3912" s="260" t="s">
        <v>747</v>
      </c>
      <c r="B3912" s="190">
        <v>45864</v>
      </c>
      <c r="C3912" s="260" t="s">
        <v>754</v>
      </c>
      <c r="D3912" s="197">
        <v>100</v>
      </c>
      <c r="E3912" s="197">
        <v>8008</v>
      </c>
      <c r="F3912" s="197">
        <v>77.8</v>
      </c>
      <c r="G3912" s="190">
        <v>45863</v>
      </c>
      <c r="H3912" s="196">
        <v>1</v>
      </c>
      <c r="I3912" s="197">
        <v>7780</v>
      </c>
      <c r="J3912" s="197">
        <v>7780</v>
      </c>
      <c r="K3912" s="197">
        <v>0</v>
      </c>
      <c r="L3912" s="197">
        <v>-228</v>
      </c>
      <c r="M3912" s="260" t="s">
        <v>239</v>
      </c>
      <c r="N3912" s="260" t="s">
        <v>514</v>
      </c>
    </row>
    <row r="3913" spans="1:14" ht="14.5" x14ac:dyDescent="0.35">
      <c r="A3913" s="260" t="s">
        <v>747</v>
      </c>
      <c r="B3913" s="190">
        <v>45865</v>
      </c>
      <c r="C3913" s="260" t="s">
        <v>749</v>
      </c>
      <c r="D3913" s="197">
        <v>80</v>
      </c>
      <c r="E3913" s="197">
        <v>4004</v>
      </c>
      <c r="F3913" s="197">
        <v>52.7</v>
      </c>
      <c r="G3913" s="190">
        <v>45863</v>
      </c>
      <c r="H3913" s="196">
        <v>2</v>
      </c>
      <c r="I3913" s="197">
        <v>4216</v>
      </c>
      <c r="J3913" s="197">
        <v>4216</v>
      </c>
      <c r="K3913" s="197">
        <v>0</v>
      </c>
      <c r="L3913" s="197">
        <v>212</v>
      </c>
      <c r="M3913" s="260" t="s">
        <v>239</v>
      </c>
      <c r="N3913" s="260" t="s">
        <v>514</v>
      </c>
    </row>
    <row r="3914" spans="1:14" ht="14.5" x14ac:dyDescent="0.35">
      <c r="A3914" s="260" t="s">
        <v>747</v>
      </c>
      <c r="B3914" s="190">
        <v>45865</v>
      </c>
      <c r="C3914" s="260" t="s">
        <v>752</v>
      </c>
      <c r="D3914" s="197">
        <v>0</v>
      </c>
      <c r="E3914" s="197">
        <v>0</v>
      </c>
      <c r="F3914" s="197">
        <v>178.8</v>
      </c>
      <c r="G3914" s="190">
        <v>45863</v>
      </c>
      <c r="H3914" s="196">
        <v>2</v>
      </c>
      <c r="I3914" s="197">
        <v>0</v>
      </c>
      <c r="J3914" s="197">
        <v>0</v>
      </c>
      <c r="K3914" s="197">
        <v>0</v>
      </c>
      <c r="L3914" s="197">
        <v>0</v>
      </c>
      <c r="M3914" s="260" t="s">
        <v>239</v>
      </c>
      <c r="N3914" s="260" t="s">
        <v>514</v>
      </c>
    </row>
    <row r="3915" spans="1:14" ht="14.5" x14ac:dyDescent="0.35">
      <c r="A3915" s="260" t="s">
        <v>747</v>
      </c>
      <c r="B3915" s="190">
        <v>45865</v>
      </c>
      <c r="C3915" s="260" t="s">
        <v>754</v>
      </c>
      <c r="D3915" s="197">
        <v>100</v>
      </c>
      <c r="E3915" s="197">
        <v>8008</v>
      </c>
      <c r="F3915" s="197">
        <v>77.8</v>
      </c>
      <c r="G3915" s="190">
        <v>45863</v>
      </c>
      <c r="H3915" s="196">
        <v>2</v>
      </c>
      <c r="I3915" s="197">
        <v>7780</v>
      </c>
      <c r="J3915" s="197">
        <v>7780</v>
      </c>
      <c r="K3915" s="197">
        <v>0</v>
      </c>
      <c r="L3915" s="197">
        <v>-228</v>
      </c>
      <c r="M3915" s="260" t="s">
        <v>239</v>
      </c>
      <c r="N3915" s="260" t="s">
        <v>514</v>
      </c>
    </row>
    <row r="3916" spans="1:14" ht="14.5" x14ac:dyDescent="0.35">
      <c r="A3916" s="260" t="s">
        <v>747</v>
      </c>
      <c r="B3916" s="190">
        <v>45866</v>
      </c>
      <c r="C3916" s="260" t="s">
        <v>749</v>
      </c>
      <c r="D3916" s="197">
        <v>80</v>
      </c>
      <c r="E3916" s="197">
        <v>4004</v>
      </c>
      <c r="F3916" s="197">
        <v>52.35</v>
      </c>
      <c r="G3916" s="190">
        <v>45866</v>
      </c>
      <c r="H3916" s="196">
        <v>0</v>
      </c>
      <c r="I3916" s="197">
        <v>4188</v>
      </c>
      <c r="J3916" s="197">
        <v>4188</v>
      </c>
      <c r="K3916" s="197">
        <v>0</v>
      </c>
      <c r="L3916" s="197">
        <v>184</v>
      </c>
      <c r="M3916" s="260" t="s">
        <v>239</v>
      </c>
      <c r="N3916" s="260" t="s">
        <v>514</v>
      </c>
    </row>
    <row r="3917" spans="1:14" ht="14.5" x14ac:dyDescent="0.35">
      <c r="A3917" s="260" t="s">
        <v>747</v>
      </c>
      <c r="B3917" s="190">
        <v>45866</v>
      </c>
      <c r="C3917" s="260" t="s">
        <v>752</v>
      </c>
      <c r="D3917" s="197">
        <v>0</v>
      </c>
      <c r="E3917" s="197">
        <v>0</v>
      </c>
      <c r="F3917" s="197">
        <v>178.4</v>
      </c>
      <c r="G3917" s="190">
        <v>45866</v>
      </c>
      <c r="H3917" s="196">
        <v>0</v>
      </c>
      <c r="I3917" s="197">
        <v>0</v>
      </c>
      <c r="J3917" s="197">
        <v>0</v>
      </c>
      <c r="K3917" s="197">
        <v>0</v>
      </c>
      <c r="L3917" s="197">
        <v>0</v>
      </c>
      <c r="M3917" s="260" t="s">
        <v>239</v>
      </c>
      <c r="N3917" s="260" t="s">
        <v>514</v>
      </c>
    </row>
    <row r="3918" spans="1:14" ht="14.5" x14ac:dyDescent="0.35">
      <c r="A3918" s="260" t="s">
        <v>747</v>
      </c>
      <c r="B3918" s="190">
        <v>45866</v>
      </c>
      <c r="C3918" s="260" t="s">
        <v>754</v>
      </c>
      <c r="D3918" s="197">
        <v>100</v>
      </c>
      <c r="E3918" s="197">
        <v>8008</v>
      </c>
      <c r="F3918" s="197">
        <v>77.400000000000006</v>
      </c>
      <c r="G3918" s="190">
        <v>45866</v>
      </c>
      <c r="H3918" s="196">
        <v>0</v>
      </c>
      <c r="I3918" s="197">
        <v>7740.0000000000009</v>
      </c>
      <c r="J3918" s="197">
        <v>7740.0000000000009</v>
      </c>
      <c r="K3918" s="197">
        <v>0</v>
      </c>
      <c r="L3918" s="197">
        <v>-267.99999999999909</v>
      </c>
      <c r="M3918" s="260" t="s">
        <v>239</v>
      </c>
      <c r="N3918" s="260" t="s">
        <v>514</v>
      </c>
    </row>
    <row r="3919" spans="1:14" ht="14.5" x14ac:dyDescent="0.35">
      <c r="A3919" s="260" t="s">
        <v>747</v>
      </c>
      <c r="B3919" s="190">
        <v>45867</v>
      </c>
      <c r="C3919" s="260" t="s">
        <v>749</v>
      </c>
      <c r="D3919" s="197">
        <v>80</v>
      </c>
      <c r="E3919" s="197">
        <v>4004</v>
      </c>
      <c r="F3919" s="197">
        <v>52.23</v>
      </c>
      <c r="G3919" s="190">
        <v>45867</v>
      </c>
      <c r="H3919" s="196">
        <v>0</v>
      </c>
      <c r="I3919" s="197">
        <v>4178.3999999999996</v>
      </c>
      <c r="J3919" s="197">
        <v>4178.3999999999996</v>
      </c>
      <c r="K3919" s="197">
        <v>0</v>
      </c>
      <c r="L3919" s="197">
        <v>174.39999999999964</v>
      </c>
      <c r="M3919" s="260" t="s">
        <v>239</v>
      </c>
      <c r="N3919" s="260" t="s">
        <v>514</v>
      </c>
    </row>
    <row r="3920" spans="1:14" ht="14.5" x14ac:dyDescent="0.35">
      <c r="A3920" s="260" t="s">
        <v>747</v>
      </c>
      <c r="B3920" s="190">
        <v>45867</v>
      </c>
      <c r="C3920" s="260" t="s">
        <v>752</v>
      </c>
      <c r="D3920" s="197">
        <v>0</v>
      </c>
      <c r="E3920" s="197">
        <v>0</v>
      </c>
      <c r="F3920" s="197">
        <v>178.27</v>
      </c>
      <c r="G3920" s="190">
        <v>45867</v>
      </c>
      <c r="H3920" s="196">
        <v>0</v>
      </c>
      <c r="I3920" s="197">
        <v>0</v>
      </c>
      <c r="J3920" s="197">
        <v>0</v>
      </c>
      <c r="K3920" s="197">
        <v>0</v>
      </c>
      <c r="L3920" s="197">
        <v>0</v>
      </c>
      <c r="M3920" s="260" t="s">
        <v>239</v>
      </c>
      <c r="N3920" s="260" t="s">
        <v>514</v>
      </c>
    </row>
    <row r="3921" spans="1:14" ht="14.5" x14ac:dyDescent="0.35">
      <c r="A3921" s="260" t="s">
        <v>747</v>
      </c>
      <c r="B3921" s="190">
        <v>45867</v>
      </c>
      <c r="C3921" s="260" t="s">
        <v>754</v>
      </c>
      <c r="D3921" s="197">
        <v>100</v>
      </c>
      <c r="E3921" s="197">
        <v>8008</v>
      </c>
      <c r="F3921" s="197">
        <v>77.27</v>
      </c>
      <c r="G3921" s="190">
        <v>45867</v>
      </c>
      <c r="H3921" s="196">
        <v>0</v>
      </c>
      <c r="I3921" s="197">
        <v>7727</v>
      </c>
      <c r="J3921" s="197">
        <v>7727</v>
      </c>
      <c r="K3921" s="197">
        <v>0</v>
      </c>
      <c r="L3921" s="197">
        <v>-281</v>
      </c>
      <c r="M3921" s="260" t="s">
        <v>239</v>
      </c>
      <c r="N3921" s="260" t="s">
        <v>514</v>
      </c>
    </row>
    <row r="3922" spans="1:14" ht="14.5" x14ac:dyDescent="0.35">
      <c r="A3922" s="260" t="s">
        <v>747</v>
      </c>
      <c r="B3922" s="190">
        <v>45868</v>
      </c>
      <c r="C3922" s="260" t="s">
        <v>749</v>
      </c>
      <c r="D3922" s="197">
        <v>80</v>
      </c>
      <c r="E3922" s="197">
        <v>4004</v>
      </c>
      <c r="F3922" s="197">
        <v>52.12</v>
      </c>
      <c r="G3922" s="190">
        <v>45868</v>
      </c>
      <c r="H3922" s="196">
        <v>0</v>
      </c>
      <c r="I3922" s="197">
        <v>4169.5999999999995</v>
      </c>
      <c r="J3922" s="197">
        <v>4169.5999999999995</v>
      </c>
      <c r="K3922" s="197">
        <v>0</v>
      </c>
      <c r="L3922" s="197">
        <v>165.59999999999945</v>
      </c>
      <c r="M3922" s="260" t="s">
        <v>239</v>
      </c>
      <c r="N3922" s="260" t="s">
        <v>514</v>
      </c>
    </row>
    <row r="3923" spans="1:14" ht="14.5" x14ac:dyDescent="0.35">
      <c r="A3923" s="260" t="s">
        <v>747</v>
      </c>
      <c r="B3923" s="190">
        <v>45868</v>
      </c>
      <c r="C3923" s="260" t="s">
        <v>752</v>
      </c>
      <c r="D3923" s="197">
        <v>0</v>
      </c>
      <c r="E3923" s="197">
        <v>0</v>
      </c>
      <c r="F3923" s="197">
        <v>178.13</v>
      </c>
      <c r="G3923" s="190">
        <v>45868</v>
      </c>
      <c r="H3923" s="196">
        <v>0</v>
      </c>
      <c r="I3923" s="197">
        <v>0</v>
      </c>
      <c r="J3923" s="197">
        <v>0</v>
      </c>
      <c r="K3923" s="197">
        <v>0</v>
      </c>
      <c r="L3923" s="197">
        <v>0</v>
      </c>
      <c r="M3923" s="260" t="s">
        <v>239</v>
      </c>
      <c r="N3923" s="260" t="s">
        <v>514</v>
      </c>
    </row>
    <row r="3924" spans="1:14" ht="14.5" x14ac:dyDescent="0.35">
      <c r="A3924" s="260" t="s">
        <v>747</v>
      </c>
      <c r="B3924" s="190">
        <v>45868</v>
      </c>
      <c r="C3924" s="260" t="s">
        <v>754</v>
      </c>
      <c r="D3924" s="197">
        <v>100</v>
      </c>
      <c r="E3924" s="197">
        <v>8008</v>
      </c>
      <c r="F3924" s="197">
        <v>77.13</v>
      </c>
      <c r="G3924" s="190">
        <v>45868</v>
      </c>
      <c r="H3924" s="196">
        <v>0</v>
      </c>
      <c r="I3924" s="197">
        <v>7713</v>
      </c>
      <c r="J3924" s="197">
        <v>7713</v>
      </c>
      <c r="K3924" s="197">
        <v>0</v>
      </c>
      <c r="L3924" s="197">
        <v>-295</v>
      </c>
      <c r="M3924" s="260" t="s">
        <v>239</v>
      </c>
      <c r="N3924" s="260" t="s">
        <v>514</v>
      </c>
    </row>
    <row r="3925" spans="1:14" ht="14.5" x14ac:dyDescent="0.35">
      <c r="A3925" s="260" t="s">
        <v>747</v>
      </c>
      <c r="B3925" s="190">
        <v>45869</v>
      </c>
      <c r="C3925" s="260" t="s">
        <v>749</v>
      </c>
      <c r="D3925" s="197">
        <v>80</v>
      </c>
      <c r="E3925" s="197">
        <v>4004</v>
      </c>
      <c r="F3925" s="197">
        <v>52</v>
      </c>
      <c r="G3925" s="190">
        <v>45869</v>
      </c>
      <c r="H3925" s="196">
        <v>0</v>
      </c>
      <c r="I3925" s="197">
        <v>4160</v>
      </c>
      <c r="J3925" s="197">
        <v>4160</v>
      </c>
      <c r="K3925" s="197">
        <v>0</v>
      </c>
      <c r="L3925" s="197">
        <v>156</v>
      </c>
      <c r="M3925" s="260" t="s">
        <v>239</v>
      </c>
      <c r="N3925" s="260" t="s">
        <v>514</v>
      </c>
    </row>
    <row r="3926" spans="1:14" ht="14.5" x14ac:dyDescent="0.35">
      <c r="A3926" s="260" t="s">
        <v>747</v>
      </c>
      <c r="B3926" s="190">
        <v>45869</v>
      </c>
      <c r="C3926" s="260" t="s">
        <v>752</v>
      </c>
      <c r="D3926" s="197">
        <v>0</v>
      </c>
      <c r="E3926" s="197">
        <v>0</v>
      </c>
      <c r="F3926" s="197">
        <v>178</v>
      </c>
      <c r="G3926" s="190">
        <v>45869</v>
      </c>
      <c r="H3926" s="196">
        <v>0</v>
      </c>
      <c r="I3926" s="197">
        <v>0</v>
      </c>
      <c r="J3926" s="197">
        <v>0</v>
      </c>
      <c r="K3926" s="197">
        <v>0</v>
      </c>
      <c r="L3926" s="197">
        <v>0</v>
      </c>
      <c r="M3926" s="260" t="s">
        <v>239</v>
      </c>
      <c r="N3926" s="260" t="s">
        <v>514</v>
      </c>
    </row>
    <row r="3927" spans="1:14" ht="14.5" x14ac:dyDescent="0.35">
      <c r="A3927" s="260" t="s">
        <v>747</v>
      </c>
      <c r="B3927" s="190">
        <v>45869</v>
      </c>
      <c r="C3927" s="260" t="s">
        <v>754</v>
      </c>
      <c r="D3927" s="197">
        <v>100</v>
      </c>
      <c r="E3927" s="197">
        <v>8008</v>
      </c>
      <c r="F3927" s="197">
        <v>77</v>
      </c>
      <c r="G3927" s="190">
        <v>45869</v>
      </c>
      <c r="H3927" s="196">
        <v>0</v>
      </c>
      <c r="I3927" s="197">
        <v>7700</v>
      </c>
      <c r="J3927" s="197">
        <v>7700</v>
      </c>
      <c r="K3927" s="197">
        <v>0</v>
      </c>
      <c r="L3927" s="197">
        <v>-308</v>
      </c>
      <c r="M3927" s="260" t="s">
        <v>239</v>
      </c>
      <c r="N3927" s="260" t="s">
        <v>514</v>
      </c>
    </row>
    <row r="3928" spans="1:14" ht="14.5" x14ac:dyDescent="0.35">
      <c r="A3928" s="260" t="s">
        <v>747</v>
      </c>
      <c r="B3928" s="190">
        <v>45870</v>
      </c>
      <c r="C3928" s="260" t="s">
        <v>749</v>
      </c>
      <c r="D3928" s="197">
        <v>80</v>
      </c>
      <c r="E3928" s="197">
        <v>4004</v>
      </c>
      <c r="F3928" s="197">
        <v>52</v>
      </c>
      <c r="G3928" s="190">
        <v>45870</v>
      </c>
      <c r="H3928" s="196">
        <v>0</v>
      </c>
      <c r="I3928" s="197">
        <v>4160</v>
      </c>
      <c r="J3928" s="197">
        <v>4160</v>
      </c>
      <c r="K3928" s="197">
        <v>0</v>
      </c>
      <c r="L3928" s="197">
        <v>156</v>
      </c>
      <c r="M3928" s="260" t="s">
        <v>239</v>
      </c>
      <c r="N3928" s="260" t="s">
        <v>514</v>
      </c>
    </row>
    <row r="3929" spans="1:14" ht="14.5" x14ac:dyDescent="0.35">
      <c r="A3929" s="260" t="s">
        <v>747</v>
      </c>
      <c r="B3929" s="190">
        <v>45870</v>
      </c>
      <c r="C3929" s="260" t="s">
        <v>752</v>
      </c>
      <c r="D3929" s="197">
        <v>30</v>
      </c>
      <c r="E3929" s="197">
        <v>5343</v>
      </c>
      <c r="F3929" s="197">
        <v>178</v>
      </c>
      <c r="G3929" s="190">
        <v>45870</v>
      </c>
      <c r="H3929" s="196">
        <v>0</v>
      </c>
      <c r="I3929" s="197">
        <v>5340</v>
      </c>
      <c r="J3929" s="197">
        <v>5340</v>
      </c>
      <c r="K3929" s="197">
        <v>0</v>
      </c>
      <c r="L3929" s="197">
        <v>-3</v>
      </c>
      <c r="M3929" s="260" t="s">
        <v>239</v>
      </c>
      <c r="N3929" s="260" t="s">
        <v>514</v>
      </c>
    </row>
    <row r="3930" spans="1:14" ht="14.5" x14ac:dyDescent="0.35">
      <c r="A3930" s="260" t="s">
        <v>747</v>
      </c>
      <c r="B3930" s="190">
        <v>45870</v>
      </c>
      <c r="C3930" s="260" t="s">
        <v>754</v>
      </c>
      <c r="D3930" s="197">
        <v>100</v>
      </c>
      <c r="E3930" s="197">
        <v>8008</v>
      </c>
      <c r="F3930" s="197">
        <v>77</v>
      </c>
      <c r="G3930" s="190">
        <v>45870</v>
      </c>
      <c r="H3930" s="196">
        <v>0</v>
      </c>
      <c r="I3930" s="197">
        <v>7700</v>
      </c>
      <c r="J3930" s="197">
        <v>7700</v>
      </c>
      <c r="K3930" s="197">
        <v>0</v>
      </c>
      <c r="L3930" s="197">
        <v>-308</v>
      </c>
      <c r="M3930" s="260" t="s">
        <v>239</v>
      </c>
      <c r="N3930" s="260" t="s">
        <v>514</v>
      </c>
    </row>
    <row r="3931" spans="1:14" ht="14.5" x14ac:dyDescent="0.35">
      <c r="A3931" s="260" t="s">
        <v>747</v>
      </c>
      <c r="B3931" s="190">
        <v>45871</v>
      </c>
      <c r="C3931" s="260" t="s">
        <v>749</v>
      </c>
      <c r="D3931" s="197">
        <v>80</v>
      </c>
      <c r="E3931" s="197">
        <v>4004</v>
      </c>
      <c r="F3931" s="197">
        <v>52</v>
      </c>
      <c r="G3931" s="190">
        <v>45870</v>
      </c>
      <c r="H3931" s="196">
        <v>1</v>
      </c>
      <c r="I3931" s="197">
        <v>4160</v>
      </c>
      <c r="J3931" s="197">
        <v>4160</v>
      </c>
      <c r="K3931" s="197">
        <v>0</v>
      </c>
      <c r="L3931" s="197">
        <v>156</v>
      </c>
      <c r="M3931" s="260" t="s">
        <v>239</v>
      </c>
      <c r="N3931" s="260" t="s">
        <v>514</v>
      </c>
    </row>
    <row r="3932" spans="1:14" ht="14.5" x14ac:dyDescent="0.35">
      <c r="A3932" s="260" t="s">
        <v>747</v>
      </c>
      <c r="B3932" s="190">
        <v>45871</v>
      </c>
      <c r="C3932" s="260" t="s">
        <v>752</v>
      </c>
      <c r="D3932" s="197">
        <v>30</v>
      </c>
      <c r="E3932" s="197">
        <v>5343</v>
      </c>
      <c r="F3932" s="197">
        <v>178</v>
      </c>
      <c r="G3932" s="190">
        <v>45870</v>
      </c>
      <c r="H3932" s="196">
        <v>1</v>
      </c>
      <c r="I3932" s="197">
        <v>5340</v>
      </c>
      <c r="J3932" s="197">
        <v>5340</v>
      </c>
      <c r="K3932" s="197">
        <v>0</v>
      </c>
      <c r="L3932" s="197">
        <v>-3</v>
      </c>
      <c r="M3932" s="260" t="s">
        <v>239</v>
      </c>
      <c r="N3932" s="260" t="s">
        <v>514</v>
      </c>
    </row>
    <row r="3933" spans="1:14" ht="14.5" x14ac:dyDescent="0.35">
      <c r="A3933" s="260" t="s">
        <v>747</v>
      </c>
      <c r="B3933" s="190">
        <v>45871</v>
      </c>
      <c r="C3933" s="260" t="s">
        <v>754</v>
      </c>
      <c r="D3933" s="197">
        <v>100</v>
      </c>
      <c r="E3933" s="197">
        <v>8008</v>
      </c>
      <c r="F3933" s="197">
        <v>77</v>
      </c>
      <c r="G3933" s="190">
        <v>45870</v>
      </c>
      <c r="H3933" s="196">
        <v>1</v>
      </c>
      <c r="I3933" s="197">
        <v>7700</v>
      </c>
      <c r="J3933" s="197">
        <v>7700</v>
      </c>
      <c r="K3933" s="197">
        <v>0</v>
      </c>
      <c r="L3933" s="197">
        <v>-308</v>
      </c>
      <c r="M3933" s="260" t="s">
        <v>239</v>
      </c>
      <c r="N3933" s="260" t="s">
        <v>514</v>
      </c>
    </row>
    <row r="3934" spans="1:14" ht="14.5" x14ac:dyDescent="0.35">
      <c r="A3934" s="260" t="s">
        <v>747</v>
      </c>
      <c r="B3934" s="190">
        <v>45872</v>
      </c>
      <c r="C3934" s="260" t="s">
        <v>749</v>
      </c>
      <c r="D3934" s="197">
        <v>80</v>
      </c>
      <c r="E3934" s="197">
        <v>4004</v>
      </c>
      <c r="F3934" s="197">
        <v>52</v>
      </c>
      <c r="G3934" s="190">
        <v>45870</v>
      </c>
      <c r="H3934" s="196">
        <v>2</v>
      </c>
      <c r="I3934" s="197">
        <v>4160</v>
      </c>
      <c r="J3934" s="197">
        <v>4160</v>
      </c>
      <c r="K3934" s="197">
        <v>0</v>
      </c>
      <c r="L3934" s="197">
        <v>156</v>
      </c>
      <c r="M3934" s="260" t="s">
        <v>239</v>
      </c>
      <c r="N3934" s="260" t="s">
        <v>514</v>
      </c>
    </row>
    <row r="3935" spans="1:14" ht="14.5" x14ac:dyDescent="0.35">
      <c r="A3935" s="260" t="s">
        <v>747</v>
      </c>
      <c r="B3935" s="190">
        <v>45872</v>
      </c>
      <c r="C3935" s="260" t="s">
        <v>752</v>
      </c>
      <c r="D3935" s="197">
        <v>30</v>
      </c>
      <c r="E3935" s="197">
        <v>5343</v>
      </c>
      <c r="F3935" s="197">
        <v>178</v>
      </c>
      <c r="G3935" s="190">
        <v>45870</v>
      </c>
      <c r="H3935" s="196">
        <v>2</v>
      </c>
      <c r="I3935" s="197">
        <v>5340</v>
      </c>
      <c r="J3935" s="197">
        <v>5340</v>
      </c>
      <c r="K3935" s="197">
        <v>0</v>
      </c>
      <c r="L3935" s="197">
        <v>-3</v>
      </c>
      <c r="M3935" s="260" t="s">
        <v>239</v>
      </c>
      <c r="N3935" s="260" t="s">
        <v>514</v>
      </c>
    </row>
    <row r="3936" spans="1:14" ht="14.5" x14ac:dyDescent="0.35">
      <c r="A3936" s="260" t="s">
        <v>747</v>
      </c>
      <c r="B3936" s="190">
        <v>45872</v>
      </c>
      <c r="C3936" s="260" t="s">
        <v>754</v>
      </c>
      <c r="D3936" s="197">
        <v>100</v>
      </c>
      <c r="E3936" s="197">
        <v>8008</v>
      </c>
      <c r="F3936" s="197">
        <v>77</v>
      </c>
      <c r="G3936" s="190">
        <v>45870</v>
      </c>
      <c r="H3936" s="196">
        <v>2</v>
      </c>
      <c r="I3936" s="197">
        <v>7700</v>
      </c>
      <c r="J3936" s="197">
        <v>7700</v>
      </c>
      <c r="K3936" s="197">
        <v>0</v>
      </c>
      <c r="L3936" s="197">
        <v>-308</v>
      </c>
      <c r="M3936" s="260" t="s">
        <v>239</v>
      </c>
      <c r="N3936" s="260" t="s">
        <v>514</v>
      </c>
    </row>
    <row r="3937" spans="1:14" ht="14.5" x14ac:dyDescent="0.35">
      <c r="A3937" s="260" t="s">
        <v>747</v>
      </c>
      <c r="B3937" s="190">
        <v>45873</v>
      </c>
      <c r="C3937" s="260" t="s">
        <v>749</v>
      </c>
      <c r="D3937" s="197">
        <v>80</v>
      </c>
      <c r="E3937" s="197">
        <v>4004</v>
      </c>
      <c r="F3937" s="197">
        <v>51.7</v>
      </c>
      <c r="G3937" s="190">
        <v>45873</v>
      </c>
      <c r="H3937" s="196">
        <v>0</v>
      </c>
      <c r="I3937" s="197">
        <v>4136</v>
      </c>
      <c r="J3937" s="197">
        <v>4136</v>
      </c>
      <c r="K3937" s="197">
        <v>0</v>
      </c>
      <c r="L3937" s="197">
        <v>132</v>
      </c>
      <c r="M3937" s="260" t="s">
        <v>239</v>
      </c>
      <c r="N3937" s="260" t="s">
        <v>514</v>
      </c>
    </row>
    <row r="3938" spans="1:14" ht="14.5" x14ac:dyDescent="0.35">
      <c r="A3938" s="260" t="s">
        <v>747</v>
      </c>
      <c r="B3938" s="190">
        <v>45873</v>
      </c>
      <c r="C3938" s="260" t="s">
        <v>752</v>
      </c>
      <c r="D3938" s="197">
        <v>30</v>
      </c>
      <c r="E3938" s="197">
        <v>5343</v>
      </c>
      <c r="F3938" s="197">
        <v>179.1</v>
      </c>
      <c r="G3938" s="190">
        <v>45873</v>
      </c>
      <c r="H3938" s="196">
        <v>0</v>
      </c>
      <c r="I3938" s="197">
        <v>5373</v>
      </c>
      <c r="J3938" s="197">
        <v>5373</v>
      </c>
      <c r="K3938" s="197">
        <v>0</v>
      </c>
      <c r="L3938" s="197">
        <v>30</v>
      </c>
      <c r="M3938" s="260" t="s">
        <v>239</v>
      </c>
      <c r="N3938" s="260" t="s">
        <v>514</v>
      </c>
    </row>
    <row r="3939" spans="1:14" ht="14.5" x14ac:dyDescent="0.35">
      <c r="A3939" s="260" t="s">
        <v>747</v>
      </c>
      <c r="B3939" s="190">
        <v>45873</v>
      </c>
      <c r="C3939" s="260" t="s">
        <v>754</v>
      </c>
      <c r="D3939" s="197">
        <v>100</v>
      </c>
      <c r="E3939" s="197">
        <v>8008</v>
      </c>
      <c r="F3939" s="197">
        <v>77.900000000000006</v>
      </c>
      <c r="G3939" s="190">
        <v>45873</v>
      </c>
      <c r="H3939" s="196">
        <v>0</v>
      </c>
      <c r="I3939" s="197">
        <v>7790.0000000000009</v>
      </c>
      <c r="J3939" s="197">
        <v>7790.0000000000009</v>
      </c>
      <c r="K3939" s="197">
        <v>0</v>
      </c>
      <c r="L3939" s="197">
        <v>-217.99999999999909</v>
      </c>
      <c r="M3939" s="260" t="s">
        <v>239</v>
      </c>
      <c r="N3939" s="260" t="s">
        <v>514</v>
      </c>
    </row>
    <row r="3940" spans="1:14" ht="14.5" x14ac:dyDescent="0.35">
      <c r="A3940" s="260" t="s">
        <v>747</v>
      </c>
      <c r="B3940" s="190">
        <v>45874</v>
      </c>
      <c r="C3940" s="260" t="s">
        <v>749</v>
      </c>
      <c r="D3940" s="197">
        <v>80</v>
      </c>
      <c r="E3940" s="197">
        <v>4004</v>
      </c>
      <c r="F3940" s="197">
        <v>51.6</v>
      </c>
      <c r="G3940" s="190">
        <v>45874</v>
      </c>
      <c r="H3940" s="196">
        <v>0</v>
      </c>
      <c r="I3940" s="197">
        <v>4128</v>
      </c>
      <c r="J3940" s="197">
        <v>4128</v>
      </c>
      <c r="K3940" s="197">
        <v>0</v>
      </c>
      <c r="L3940" s="197">
        <v>124</v>
      </c>
      <c r="M3940" s="260" t="s">
        <v>239</v>
      </c>
      <c r="N3940" s="260" t="s">
        <v>514</v>
      </c>
    </row>
    <row r="3941" spans="1:14" ht="14.5" x14ac:dyDescent="0.35">
      <c r="A3941" s="260" t="s">
        <v>747</v>
      </c>
      <c r="B3941" s="190">
        <v>45874</v>
      </c>
      <c r="C3941" s="260" t="s">
        <v>752</v>
      </c>
      <c r="D3941" s="197">
        <v>30</v>
      </c>
      <c r="E3941" s="197">
        <v>5343</v>
      </c>
      <c r="F3941" s="197">
        <v>179.47</v>
      </c>
      <c r="G3941" s="190">
        <v>45874</v>
      </c>
      <c r="H3941" s="196">
        <v>0</v>
      </c>
      <c r="I3941" s="197">
        <v>5384.1</v>
      </c>
      <c r="J3941" s="197">
        <v>5384.1</v>
      </c>
      <c r="K3941" s="197">
        <v>0</v>
      </c>
      <c r="L3941" s="197">
        <v>41.100000000000364</v>
      </c>
      <c r="M3941" s="260" t="s">
        <v>239</v>
      </c>
      <c r="N3941" s="260" t="s">
        <v>514</v>
      </c>
    </row>
    <row r="3942" spans="1:14" ht="14.5" x14ac:dyDescent="0.35">
      <c r="A3942" s="260" t="s">
        <v>747</v>
      </c>
      <c r="B3942" s="190">
        <v>45874</v>
      </c>
      <c r="C3942" s="260" t="s">
        <v>754</v>
      </c>
      <c r="D3942" s="197">
        <v>100</v>
      </c>
      <c r="E3942" s="197">
        <v>8008</v>
      </c>
      <c r="F3942" s="197">
        <v>78.2</v>
      </c>
      <c r="G3942" s="190">
        <v>45874</v>
      </c>
      <c r="H3942" s="196">
        <v>0</v>
      </c>
      <c r="I3942" s="197">
        <v>7820</v>
      </c>
      <c r="J3942" s="197">
        <v>7820</v>
      </c>
      <c r="K3942" s="197">
        <v>0</v>
      </c>
      <c r="L3942" s="197">
        <v>-188</v>
      </c>
      <c r="M3942" s="260" t="s">
        <v>239</v>
      </c>
      <c r="N3942" s="260" t="s">
        <v>514</v>
      </c>
    </row>
    <row r="3943" spans="1:14" ht="14.5" x14ac:dyDescent="0.35">
      <c r="A3943" s="260" t="s">
        <v>747</v>
      </c>
      <c r="B3943" s="190">
        <v>45875</v>
      </c>
      <c r="C3943" s="260" t="s">
        <v>749</v>
      </c>
      <c r="D3943" s="197">
        <v>80</v>
      </c>
      <c r="E3943" s="197">
        <v>4004</v>
      </c>
      <c r="F3943" s="197">
        <v>51.5</v>
      </c>
      <c r="G3943" s="190">
        <v>45875</v>
      </c>
      <c r="H3943" s="196">
        <v>0</v>
      </c>
      <c r="I3943" s="197">
        <v>4120</v>
      </c>
      <c r="J3943" s="197">
        <v>4120</v>
      </c>
      <c r="K3943" s="197">
        <v>0</v>
      </c>
      <c r="L3943" s="197">
        <v>116</v>
      </c>
      <c r="M3943" s="260" t="s">
        <v>239</v>
      </c>
      <c r="N3943" s="260" t="s">
        <v>514</v>
      </c>
    </row>
    <row r="3944" spans="1:14" ht="14.5" x14ac:dyDescent="0.35">
      <c r="A3944" s="260" t="s">
        <v>747</v>
      </c>
      <c r="B3944" s="190">
        <v>45875</v>
      </c>
      <c r="C3944" s="260" t="s">
        <v>752</v>
      </c>
      <c r="D3944" s="197">
        <v>30</v>
      </c>
      <c r="E3944" s="197">
        <v>5343</v>
      </c>
      <c r="F3944" s="197">
        <v>179.83</v>
      </c>
      <c r="G3944" s="190">
        <v>45875</v>
      </c>
      <c r="H3944" s="196">
        <v>0</v>
      </c>
      <c r="I3944" s="197">
        <v>5394.9000000000005</v>
      </c>
      <c r="J3944" s="197">
        <v>5394.9000000000005</v>
      </c>
      <c r="K3944" s="197">
        <v>0</v>
      </c>
      <c r="L3944" s="197">
        <v>51.900000000000546</v>
      </c>
      <c r="M3944" s="260" t="s">
        <v>239</v>
      </c>
      <c r="N3944" s="260" t="s">
        <v>514</v>
      </c>
    </row>
    <row r="3945" spans="1:14" ht="14.5" x14ac:dyDescent="0.35">
      <c r="A3945" s="260" t="s">
        <v>747</v>
      </c>
      <c r="B3945" s="190">
        <v>45875</v>
      </c>
      <c r="C3945" s="260" t="s">
        <v>754</v>
      </c>
      <c r="D3945" s="197">
        <v>100</v>
      </c>
      <c r="E3945" s="197">
        <v>8008</v>
      </c>
      <c r="F3945" s="197">
        <v>78.5</v>
      </c>
      <c r="G3945" s="190">
        <v>45875</v>
      </c>
      <c r="H3945" s="196">
        <v>0</v>
      </c>
      <c r="I3945" s="197">
        <v>7850</v>
      </c>
      <c r="J3945" s="197">
        <v>7850</v>
      </c>
      <c r="K3945" s="197">
        <v>0</v>
      </c>
      <c r="L3945" s="197">
        <v>-158</v>
      </c>
      <c r="M3945" s="260" t="s">
        <v>239</v>
      </c>
      <c r="N3945" s="260" t="s">
        <v>514</v>
      </c>
    </row>
    <row r="3946" spans="1:14" ht="14.5" x14ac:dyDescent="0.35">
      <c r="A3946" s="260" t="s">
        <v>747</v>
      </c>
      <c r="B3946" s="190">
        <v>45876</v>
      </c>
      <c r="C3946" s="260" t="s">
        <v>749</v>
      </c>
      <c r="D3946" s="197">
        <v>80</v>
      </c>
      <c r="E3946" s="197">
        <v>4004</v>
      </c>
      <c r="F3946" s="197">
        <v>51.4</v>
      </c>
      <c r="G3946" s="190">
        <v>45876</v>
      </c>
      <c r="H3946" s="196">
        <v>0</v>
      </c>
      <c r="I3946" s="197">
        <v>4112</v>
      </c>
      <c r="J3946" s="197">
        <v>4112</v>
      </c>
      <c r="K3946" s="197">
        <v>0</v>
      </c>
      <c r="L3946" s="197">
        <v>108</v>
      </c>
      <c r="M3946" s="260" t="s">
        <v>239</v>
      </c>
      <c r="N3946" s="260" t="s">
        <v>514</v>
      </c>
    </row>
    <row r="3947" spans="1:14" ht="14.5" x14ac:dyDescent="0.35">
      <c r="A3947" s="260" t="s">
        <v>747</v>
      </c>
      <c r="B3947" s="190">
        <v>45876</v>
      </c>
      <c r="C3947" s="260" t="s">
        <v>752</v>
      </c>
      <c r="D3947" s="197">
        <v>30</v>
      </c>
      <c r="E3947" s="197">
        <v>5343</v>
      </c>
      <c r="F3947" s="197">
        <v>180.2</v>
      </c>
      <c r="G3947" s="190">
        <v>45876</v>
      </c>
      <c r="H3947" s="196">
        <v>0</v>
      </c>
      <c r="I3947" s="197">
        <v>5406</v>
      </c>
      <c r="J3947" s="197">
        <v>5406</v>
      </c>
      <c r="K3947" s="197">
        <v>0</v>
      </c>
      <c r="L3947" s="197">
        <v>63</v>
      </c>
      <c r="M3947" s="260" t="s">
        <v>239</v>
      </c>
      <c r="N3947" s="260" t="s">
        <v>514</v>
      </c>
    </row>
    <row r="3948" spans="1:14" ht="14.5" x14ac:dyDescent="0.35">
      <c r="A3948" s="260" t="s">
        <v>747</v>
      </c>
      <c r="B3948" s="190">
        <v>45876</v>
      </c>
      <c r="C3948" s="260" t="s">
        <v>754</v>
      </c>
      <c r="D3948" s="197">
        <v>100</v>
      </c>
      <c r="E3948" s="197">
        <v>8008</v>
      </c>
      <c r="F3948" s="197">
        <v>78.8</v>
      </c>
      <c r="G3948" s="190">
        <v>45876</v>
      </c>
      <c r="H3948" s="196">
        <v>0</v>
      </c>
      <c r="I3948" s="197">
        <v>7880</v>
      </c>
      <c r="J3948" s="197">
        <v>7880</v>
      </c>
      <c r="K3948" s="197">
        <v>0</v>
      </c>
      <c r="L3948" s="197">
        <v>-128</v>
      </c>
      <c r="M3948" s="260" t="s">
        <v>239</v>
      </c>
      <c r="N3948" s="260" t="s">
        <v>514</v>
      </c>
    </row>
    <row r="3949" spans="1:14" ht="14.5" x14ac:dyDescent="0.35">
      <c r="A3949" s="260" t="s">
        <v>747</v>
      </c>
      <c r="B3949" s="190">
        <v>45877</v>
      </c>
      <c r="C3949" s="260" t="s">
        <v>749</v>
      </c>
      <c r="D3949" s="197">
        <v>80</v>
      </c>
      <c r="E3949" s="197">
        <v>4004</v>
      </c>
      <c r="F3949" s="197">
        <v>51.3</v>
      </c>
      <c r="G3949" s="190">
        <v>45877</v>
      </c>
      <c r="H3949" s="196">
        <v>0</v>
      </c>
      <c r="I3949" s="197">
        <v>4104</v>
      </c>
      <c r="J3949" s="197">
        <v>4104</v>
      </c>
      <c r="K3949" s="197">
        <v>0</v>
      </c>
      <c r="L3949" s="197">
        <v>100</v>
      </c>
      <c r="M3949" s="260" t="s">
        <v>239</v>
      </c>
      <c r="N3949" s="260" t="s">
        <v>514</v>
      </c>
    </row>
    <row r="3950" spans="1:14" ht="14.5" x14ac:dyDescent="0.35">
      <c r="A3950" s="260" t="s">
        <v>747</v>
      </c>
      <c r="B3950" s="190">
        <v>45877</v>
      </c>
      <c r="C3950" s="260" t="s">
        <v>752</v>
      </c>
      <c r="D3950" s="197">
        <v>30</v>
      </c>
      <c r="E3950" s="197">
        <v>5343</v>
      </c>
      <c r="F3950" s="197">
        <v>180.57</v>
      </c>
      <c r="G3950" s="190">
        <v>45877</v>
      </c>
      <c r="H3950" s="196">
        <v>0</v>
      </c>
      <c r="I3950" s="197">
        <v>5417.0999999999995</v>
      </c>
      <c r="J3950" s="197">
        <v>5417.0999999999995</v>
      </c>
      <c r="K3950" s="197">
        <v>0</v>
      </c>
      <c r="L3950" s="197">
        <v>74.099999999999454</v>
      </c>
      <c r="M3950" s="260" t="s">
        <v>239</v>
      </c>
      <c r="N3950" s="260" t="s">
        <v>514</v>
      </c>
    </row>
    <row r="3951" spans="1:14" ht="14.5" x14ac:dyDescent="0.35">
      <c r="A3951" s="260" t="s">
        <v>747</v>
      </c>
      <c r="B3951" s="190">
        <v>45877</v>
      </c>
      <c r="C3951" s="260" t="s">
        <v>754</v>
      </c>
      <c r="D3951" s="197">
        <v>100</v>
      </c>
      <c r="E3951" s="197">
        <v>8008</v>
      </c>
      <c r="F3951" s="197">
        <v>79.099999999999994</v>
      </c>
      <c r="G3951" s="190">
        <v>45877</v>
      </c>
      <c r="H3951" s="196">
        <v>0</v>
      </c>
      <c r="I3951" s="197">
        <v>7909.9999999999991</v>
      </c>
      <c r="J3951" s="197">
        <v>7909.9999999999991</v>
      </c>
      <c r="K3951" s="197">
        <v>0</v>
      </c>
      <c r="L3951" s="197">
        <v>-98.000000000000909</v>
      </c>
      <c r="M3951" s="260" t="s">
        <v>239</v>
      </c>
      <c r="N3951" s="260" t="s">
        <v>514</v>
      </c>
    </row>
    <row r="3952" spans="1:14" ht="14.5" x14ac:dyDescent="0.35">
      <c r="A3952" s="260" t="s">
        <v>747</v>
      </c>
      <c r="B3952" s="190">
        <v>45878</v>
      </c>
      <c r="C3952" s="260" t="s">
        <v>749</v>
      </c>
      <c r="D3952" s="197">
        <v>80</v>
      </c>
      <c r="E3952" s="197">
        <v>4004</v>
      </c>
      <c r="F3952" s="197">
        <v>51.3</v>
      </c>
      <c r="G3952" s="190">
        <v>45877</v>
      </c>
      <c r="H3952" s="196">
        <v>1</v>
      </c>
      <c r="I3952" s="197">
        <v>4104</v>
      </c>
      <c r="J3952" s="197">
        <v>4104</v>
      </c>
      <c r="K3952" s="197">
        <v>0</v>
      </c>
      <c r="L3952" s="197">
        <v>100</v>
      </c>
      <c r="M3952" s="260" t="s">
        <v>239</v>
      </c>
      <c r="N3952" s="260" t="s">
        <v>514</v>
      </c>
    </row>
    <row r="3953" spans="1:14" ht="14.5" x14ac:dyDescent="0.35">
      <c r="A3953" s="260" t="s">
        <v>747</v>
      </c>
      <c r="B3953" s="190">
        <v>45878</v>
      </c>
      <c r="C3953" s="260" t="s">
        <v>752</v>
      </c>
      <c r="D3953" s="197">
        <v>30</v>
      </c>
      <c r="E3953" s="197">
        <v>5343</v>
      </c>
      <c r="F3953" s="197">
        <v>180.57</v>
      </c>
      <c r="G3953" s="190">
        <v>45877</v>
      </c>
      <c r="H3953" s="196">
        <v>1</v>
      </c>
      <c r="I3953" s="197">
        <v>5417.0999999999995</v>
      </c>
      <c r="J3953" s="197">
        <v>5417.0999999999995</v>
      </c>
      <c r="K3953" s="197">
        <v>0</v>
      </c>
      <c r="L3953" s="197">
        <v>74.099999999999454</v>
      </c>
      <c r="M3953" s="260" t="s">
        <v>239</v>
      </c>
      <c r="N3953" s="260" t="s">
        <v>514</v>
      </c>
    </row>
    <row r="3954" spans="1:14" ht="14.5" x14ac:dyDescent="0.35">
      <c r="A3954" s="260" t="s">
        <v>747</v>
      </c>
      <c r="B3954" s="190">
        <v>45878</v>
      </c>
      <c r="C3954" s="260" t="s">
        <v>754</v>
      </c>
      <c r="D3954" s="197">
        <v>100</v>
      </c>
      <c r="E3954" s="197">
        <v>8008</v>
      </c>
      <c r="F3954" s="197">
        <v>79.099999999999994</v>
      </c>
      <c r="G3954" s="190">
        <v>45877</v>
      </c>
      <c r="H3954" s="196">
        <v>1</v>
      </c>
      <c r="I3954" s="197">
        <v>7909.9999999999991</v>
      </c>
      <c r="J3954" s="197">
        <v>7909.9999999999991</v>
      </c>
      <c r="K3954" s="197">
        <v>0</v>
      </c>
      <c r="L3954" s="197">
        <v>-98.000000000000909</v>
      </c>
      <c r="M3954" s="260" t="s">
        <v>239</v>
      </c>
      <c r="N3954" s="260" t="s">
        <v>514</v>
      </c>
    </row>
    <row r="3955" spans="1:14" ht="14.5" x14ac:dyDescent="0.35">
      <c r="A3955" s="260" t="s">
        <v>747</v>
      </c>
      <c r="B3955" s="190">
        <v>45879</v>
      </c>
      <c r="C3955" s="260" t="s">
        <v>749</v>
      </c>
      <c r="D3955" s="197">
        <v>80</v>
      </c>
      <c r="E3955" s="197">
        <v>4004</v>
      </c>
      <c r="F3955" s="197">
        <v>51.3</v>
      </c>
      <c r="G3955" s="190">
        <v>45877</v>
      </c>
      <c r="H3955" s="196">
        <v>2</v>
      </c>
      <c r="I3955" s="197">
        <v>4104</v>
      </c>
      <c r="J3955" s="197">
        <v>4104</v>
      </c>
      <c r="K3955" s="197">
        <v>0</v>
      </c>
      <c r="L3955" s="197">
        <v>100</v>
      </c>
      <c r="M3955" s="260" t="s">
        <v>239</v>
      </c>
      <c r="N3955" s="260" t="s">
        <v>514</v>
      </c>
    </row>
    <row r="3956" spans="1:14" ht="14.5" x14ac:dyDescent="0.35">
      <c r="A3956" s="260" t="s">
        <v>747</v>
      </c>
      <c r="B3956" s="190">
        <v>45879</v>
      </c>
      <c r="C3956" s="260" t="s">
        <v>752</v>
      </c>
      <c r="D3956" s="197">
        <v>30</v>
      </c>
      <c r="E3956" s="197">
        <v>5343</v>
      </c>
      <c r="F3956" s="197">
        <v>180.57</v>
      </c>
      <c r="G3956" s="190">
        <v>45877</v>
      </c>
      <c r="H3956" s="196">
        <v>2</v>
      </c>
      <c r="I3956" s="197">
        <v>5417.0999999999995</v>
      </c>
      <c r="J3956" s="197">
        <v>5417.0999999999995</v>
      </c>
      <c r="K3956" s="197">
        <v>0</v>
      </c>
      <c r="L3956" s="197">
        <v>74.099999999999454</v>
      </c>
      <c r="M3956" s="260" t="s">
        <v>239</v>
      </c>
      <c r="N3956" s="260" t="s">
        <v>514</v>
      </c>
    </row>
    <row r="3957" spans="1:14" ht="14.5" x14ac:dyDescent="0.35">
      <c r="A3957" s="260" t="s">
        <v>747</v>
      </c>
      <c r="B3957" s="190">
        <v>45879</v>
      </c>
      <c r="C3957" s="260" t="s">
        <v>754</v>
      </c>
      <c r="D3957" s="197">
        <v>100</v>
      </c>
      <c r="E3957" s="197">
        <v>8008</v>
      </c>
      <c r="F3957" s="197">
        <v>79.099999999999994</v>
      </c>
      <c r="G3957" s="190">
        <v>45877</v>
      </c>
      <c r="H3957" s="196">
        <v>2</v>
      </c>
      <c r="I3957" s="197">
        <v>7909.9999999999991</v>
      </c>
      <c r="J3957" s="197">
        <v>7909.9999999999991</v>
      </c>
      <c r="K3957" s="197">
        <v>0</v>
      </c>
      <c r="L3957" s="197">
        <v>-98.000000000000909</v>
      </c>
      <c r="M3957" s="260" t="s">
        <v>239</v>
      </c>
      <c r="N3957" s="260" t="s">
        <v>514</v>
      </c>
    </row>
    <row r="3958" spans="1:14" ht="14.5" x14ac:dyDescent="0.35">
      <c r="A3958" s="260" t="s">
        <v>747</v>
      </c>
      <c r="B3958" s="190">
        <v>45880</v>
      </c>
      <c r="C3958" s="260" t="s">
        <v>749</v>
      </c>
      <c r="D3958" s="197">
        <v>80</v>
      </c>
      <c r="E3958" s="197">
        <v>4004</v>
      </c>
      <c r="F3958" s="197">
        <v>51</v>
      </c>
      <c r="G3958" s="190">
        <v>45880</v>
      </c>
      <c r="H3958" s="196">
        <v>0</v>
      </c>
      <c r="I3958" s="197">
        <v>4080</v>
      </c>
      <c r="J3958" s="197">
        <v>4080</v>
      </c>
      <c r="K3958" s="197">
        <v>0</v>
      </c>
      <c r="L3958" s="197">
        <v>76</v>
      </c>
      <c r="M3958" s="260" t="s">
        <v>239</v>
      </c>
      <c r="N3958" s="260" t="s">
        <v>514</v>
      </c>
    </row>
    <row r="3959" spans="1:14" ht="14.5" x14ac:dyDescent="0.35">
      <c r="A3959" s="260" t="s">
        <v>747</v>
      </c>
      <c r="B3959" s="190">
        <v>45880</v>
      </c>
      <c r="C3959" s="260" t="s">
        <v>752</v>
      </c>
      <c r="D3959" s="197">
        <v>30</v>
      </c>
      <c r="E3959" s="197">
        <v>5343</v>
      </c>
      <c r="F3959" s="197">
        <v>181.67</v>
      </c>
      <c r="G3959" s="190">
        <v>45880</v>
      </c>
      <c r="H3959" s="196">
        <v>0</v>
      </c>
      <c r="I3959" s="197">
        <v>5450.0999999999995</v>
      </c>
      <c r="J3959" s="197">
        <v>5450.0999999999995</v>
      </c>
      <c r="K3959" s="197">
        <v>0</v>
      </c>
      <c r="L3959" s="197">
        <v>107.09999999999945</v>
      </c>
      <c r="M3959" s="260" t="s">
        <v>239</v>
      </c>
      <c r="N3959" s="260" t="s">
        <v>514</v>
      </c>
    </row>
    <row r="3960" spans="1:14" ht="14.5" x14ac:dyDescent="0.35">
      <c r="A3960" s="260" t="s">
        <v>747</v>
      </c>
      <c r="B3960" s="190">
        <v>45880</v>
      </c>
      <c r="C3960" s="260" t="s">
        <v>754</v>
      </c>
      <c r="D3960" s="197">
        <v>100</v>
      </c>
      <c r="E3960" s="197">
        <v>8008</v>
      </c>
      <c r="F3960" s="197">
        <v>80</v>
      </c>
      <c r="G3960" s="190">
        <v>45880</v>
      </c>
      <c r="H3960" s="196">
        <v>0</v>
      </c>
      <c r="I3960" s="197">
        <v>8000</v>
      </c>
      <c r="J3960" s="197">
        <v>8000</v>
      </c>
      <c r="K3960" s="197">
        <v>0</v>
      </c>
      <c r="L3960" s="197">
        <v>-8</v>
      </c>
      <c r="M3960" s="260" t="s">
        <v>239</v>
      </c>
      <c r="N3960" s="260" t="s">
        <v>514</v>
      </c>
    </row>
    <row r="3961" spans="1:14" ht="14.5" x14ac:dyDescent="0.35">
      <c r="A3961" s="260" t="s">
        <v>747</v>
      </c>
      <c r="B3961" s="190">
        <v>45881</v>
      </c>
      <c r="C3961" s="260" t="s">
        <v>749</v>
      </c>
      <c r="D3961" s="197">
        <v>80</v>
      </c>
      <c r="E3961" s="197">
        <v>4004</v>
      </c>
      <c r="F3961" s="197">
        <v>50.9</v>
      </c>
      <c r="G3961" s="190">
        <v>45881</v>
      </c>
      <c r="H3961" s="196">
        <v>0</v>
      </c>
      <c r="I3961" s="197">
        <v>4072</v>
      </c>
      <c r="J3961" s="197">
        <v>4072</v>
      </c>
      <c r="K3961" s="197">
        <v>0</v>
      </c>
      <c r="L3961" s="197">
        <v>68</v>
      </c>
      <c r="M3961" s="260" t="s">
        <v>239</v>
      </c>
      <c r="N3961" s="260" t="s">
        <v>514</v>
      </c>
    </row>
    <row r="3962" spans="1:14" ht="14.5" x14ac:dyDescent="0.35">
      <c r="A3962" s="260" t="s">
        <v>747</v>
      </c>
      <c r="B3962" s="190">
        <v>45881</v>
      </c>
      <c r="C3962" s="260" t="s">
        <v>752</v>
      </c>
      <c r="D3962" s="197">
        <v>30</v>
      </c>
      <c r="E3962" s="197">
        <v>5343</v>
      </c>
      <c r="F3962" s="197">
        <v>182.03</v>
      </c>
      <c r="G3962" s="190">
        <v>45881</v>
      </c>
      <c r="H3962" s="196">
        <v>0</v>
      </c>
      <c r="I3962" s="197">
        <v>5460.9</v>
      </c>
      <c r="J3962" s="197">
        <v>5460.9</v>
      </c>
      <c r="K3962" s="197">
        <v>0</v>
      </c>
      <c r="L3962" s="197">
        <v>117.89999999999964</v>
      </c>
      <c r="M3962" s="260" t="s">
        <v>239</v>
      </c>
      <c r="N3962" s="260" t="s">
        <v>514</v>
      </c>
    </row>
    <row r="3963" spans="1:14" ht="14.5" x14ac:dyDescent="0.35">
      <c r="A3963" s="260" t="s">
        <v>747</v>
      </c>
      <c r="B3963" s="190">
        <v>45881</v>
      </c>
      <c r="C3963" s="260" t="s">
        <v>754</v>
      </c>
      <c r="D3963" s="197">
        <v>100</v>
      </c>
      <c r="E3963" s="197">
        <v>8008</v>
      </c>
      <c r="F3963" s="197">
        <v>80.3</v>
      </c>
      <c r="G3963" s="190">
        <v>45881</v>
      </c>
      <c r="H3963" s="196">
        <v>0</v>
      </c>
      <c r="I3963" s="197">
        <v>8030</v>
      </c>
      <c r="J3963" s="197">
        <v>8030</v>
      </c>
      <c r="K3963" s="197">
        <v>0</v>
      </c>
      <c r="L3963" s="197">
        <v>22</v>
      </c>
      <c r="M3963" s="260" t="s">
        <v>239</v>
      </c>
      <c r="N3963" s="260" t="s">
        <v>514</v>
      </c>
    </row>
    <row r="3964" spans="1:14" ht="14.5" x14ac:dyDescent="0.35">
      <c r="A3964" s="260" t="s">
        <v>747</v>
      </c>
      <c r="B3964" s="190">
        <v>45882</v>
      </c>
      <c r="C3964" s="260" t="s">
        <v>749</v>
      </c>
      <c r="D3964" s="197">
        <v>80</v>
      </c>
      <c r="E3964" s="197">
        <v>4004</v>
      </c>
      <c r="F3964" s="197">
        <v>50.8</v>
      </c>
      <c r="G3964" s="190">
        <v>45882</v>
      </c>
      <c r="H3964" s="196">
        <v>0</v>
      </c>
      <c r="I3964" s="197">
        <v>4064</v>
      </c>
      <c r="J3964" s="197">
        <v>4064</v>
      </c>
      <c r="K3964" s="197">
        <v>0</v>
      </c>
      <c r="L3964" s="197">
        <v>60</v>
      </c>
      <c r="M3964" s="260" t="s">
        <v>239</v>
      </c>
      <c r="N3964" s="260" t="s">
        <v>514</v>
      </c>
    </row>
    <row r="3965" spans="1:14" ht="14.5" x14ac:dyDescent="0.35">
      <c r="A3965" s="260" t="s">
        <v>747</v>
      </c>
      <c r="B3965" s="190">
        <v>45882</v>
      </c>
      <c r="C3965" s="260" t="s">
        <v>752</v>
      </c>
      <c r="D3965" s="197">
        <v>30</v>
      </c>
      <c r="E3965" s="197">
        <v>5343</v>
      </c>
      <c r="F3965" s="197">
        <v>182.4</v>
      </c>
      <c r="G3965" s="190">
        <v>45882</v>
      </c>
      <c r="H3965" s="196">
        <v>0</v>
      </c>
      <c r="I3965" s="197">
        <v>5472</v>
      </c>
      <c r="J3965" s="197">
        <v>5472</v>
      </c>
      <c r="K3965" s="197">
        <v>0</v>
      </c>
      <c r="L3965" s="197">
        <v>129</v>
      </c>
      <c r="M3965" s="260" t="s">
        <v>239</v>
      </c>
      <c r="N3965" s="260" t="s">
        <v>514</v>
      </c>
    </row>
    <row r="3966" spans="1:14" ht="14.5" x14ac:dyDescent="0.35">
      <c r="A3966" s="260" t="s">
        <v>747</v>
      </c>
      <c r="B3966" s="190">
        <v>45882</v>
      </c>
      <c r="C3966" s="260" t="s">
        <v>754</v>
      </c>
      <c r="D3966" s="197">
        <v>100</v>
      </c>
      <c r="E3966" s="197">
        <v>8008</v>
      </c>
      <c r="F3966" s="197">
        <v>80.599999999999994</v>
      </c>
      <c r="G3966" s="190">
        <v>45882</v>
      </c>
      <c r="H3966" s="196">
        <v>0</v>
      </c>
      <c r="I3966" s="197">
        <v>8059.9999999999991</v>
      </c>
      <c r="J3966" s="197">
        <v>8059.9999999999991</v>
      </c>
      <c r="K3966" s="197">
        <v>0</v>
      </c>
      <c r="L3966" s="197">
        <v>51.999999999999091</v>
      </c>
      <c r="M3966" s="260" t="s">
        <v>239</v>
      </c>
      <c r="N3966" s="260" t="s">
        <v>514</v>
      </c>
    </row>
    <row r="3967" spans="1:14" ht="14.5" x14ac:dyDescent="0.35">
      <c r="A3967" s="260" t="s">
        <v>747</v>
      </c>
      <c r="B3967" s="190">
        <v>45883</v>
      </c>
      <c r="C3967" s="260" t="s">
        <v>749</v>
      </c>
      <c r="D3967" s="197">
        <v>80</v>
      </c>
      <c r="E3967" s="197">
        <v>4004</v>
      </c>
      <c r="F3967" s="197">
        <v>50.7</v>
      </c>
      <c r="G3967" s="190">
        <v>45883</v>
      </c>
      <c r="H3967" s="196">
        <v>0</v>
      </c>
      <c r="I3967" s="197">
        <v>4056</v>
      </c>
      <c r="J3967" s="197">
        <v>4056</v>
      </c>
      <c r="K3967" s="197">
        <v>0</v>
      </c>
      <c r="L3967" s="197">
        <v>52</v>
      </c>
      <c r="M3967" s="260" t="s">
        <v>239</v>
      </c>
      <c r="N3967" s="260" t="s">
        <v>514</v>
      </c>
    </row>
    <row r="3968" spans="1:14" ht="14.5" x14ac:dyDescent="0.35">
      <c r="A3968" s="260" t="s">
        <v>747</v>
      </c>
      <c r="B3968" s="190">
        <v>45883</v>
      </c>
      <c r="C3968" s="260" t="s">
        <v>752</v>
      </c>
      <c r="D3968" s="197">
        <v>30</v>
      </c>
      <c r="E3968" s="197">
        <v>5343</v>
      </c>
      <c r="F3968" s="197">
        <v>182.77</v>
      </c>
      <c r="G3968" s="190">
        <v>45883</v>
      </c>
      <c r="H3968" s="196">
        <v>0</v>
      </c>
      <c r="I3968" s="197">
        <v>5483.1</v>
      </c>
      <c r="J3968" s="197">
        <v>5483.1</v>
      </c>
      <c r="K3968" s="197">
        <v>0</v>
      </c>
      <c r="L3968" s="197">
        <v>140.10000000000036</v>
      </c>
      <c r="M3968" s="260" t="s">
        <v>239</v>
      </c>
      <c r="N3968" s="260" t="s">
        <v>514</v>
      </c>
    </row>
    <row r="3969" spans="1:14" ht="14.5" x14ac:dyDescent="0.35">
      <c r="A3969" s="260" t="s">
        <v>747</v>
      </c>
      <c r="B3969" s="190">
        <v>45883</v>
      </c>
      <c r="C3969" s="260" t="s">
        <v>754</v>
      </c>
      <c r="D3969" s="197">
        <v>100</v>
      </c>
      <c r="E3969" s="197">
        <v>8008</v>
      </c>
      <c r="F3969" s="197">
        <v>80.900000000000006</v>
      </c>
      <c r="G3969" s="190">
        <v>45883</v>
      </c>
      <c r="H3969" s="196">
        <v>0</v>
      </c>
      <c r="I3969" s="197">
        <v>8090.0000000000009</v>
      </c>
      <c r="J3969" s="197">
        <v>8090.0000000000009</v>
      </c>
      <c r="K3969" s="197">
        <v>0</v>
      </c>
      <c r="L3969" s="197">
        <v>82.000000000000909</v>
      </c>
      <c r="M3969" s="260" t="s">
        <v>239</v>
      </c>
      <c r="N3969" s="260" t="s">
        <v>514</v>
      </c>
    </row>
    <row r="3970" spans="1:14" ht="14.5" x14ac:dyDescent="0.35">
      <c r="A3970" s="260" t="s">
        <v>747</v>
      </c>
      <c r="B3970" s="190">
        <v>45884</v>
      </c>
      <c r="C3970" s="260" t="s">
        <v>749</v>
      </c>
      <c r="D3970" s="197">
        <v>80</v>
      </c>
      <c r="E3970" s="197">
        <v>4004</v>
      </c>
      <c r="F3970" s="197">
        <v>50.6</v>
      </c>
      <c r="G3970" s="190">
        <v>45884</v>
      </c>
      <c r="H3970" s="196">
        <v>0</v>
      </c>
      <c r="I3970" s="197">
        <v>4048</v>
      </c>
      <c r="J3970" s="197">
        <v>4048</v>
      </c>
      <c r="K3970" s="197">
        <v>0</v>
      </c>
      <c r="L3970" s="197">
        <v>44</v>
      </c>
      <c r="M3970" s="260" t="s">
        <v>239</v>
      </c>
      <c r="N3970" s="260" t="s">
        <v>514</v>
      </c>
    </row>
    <row r="3971" spans="1:14" ht="14.5" x14ac:dyDescent="0.35">
      <c r="A3971" s="260" t="s">
        <v>747</v>
      </c>
      <c r="B3971" s="190">
        <v>45884</v>
      </c>
      <c r="C3971" s="260" t="s">
        <v>752</v>
      </c>
      <c r="D3971" s="197">
        <v>30</v>
      </c>
      <c r="E3971" s="197">
        <v>5343</v>
      </c>
      <c r="F3971" s="197">
        <v>183.13</v>
      </c>
      <c r="G3971" s="190">
        <v>45884</v>
      </c>
      <c r="H3971" s="196">
        <v>0</v>
      </c>
      <c r="I3971" s="197">
        <v>5493.9</v>
      </c>
      <c r="J3971" s="197">
        <v>5493.9</v>
      </c>
      <c r="K3971" s="197">
        <v>0</v>
      </c>
      <c r="L3971" s="197">
        <v>150.89999999999964</v>
      </c>
      <c r="M3971" s="260" t="s">
        <v>239</v>
      </c>
      <c r="N3971" s="260" t="s">
        <v>514</v>
      </c>
    </row>
    <row r="3972" spans="1:14" ht="14.5" x14ac:dyDescent="0.35">
      <c r="A3972" s="260" t="s">
        <v>747</v>
      </c>
      <c r="B3972" s="190">
        <v>45884</v>
      </c>
      <c r="C3972" s="260" t="s">
        <v>754</v>
      </c>
      <c r="D3972" s="197">
        <v>100</v>
      </c>
      <c r="E3972" s="197">
        <v>8008</v>
      </c>
      <c r="F3972" s="197">
        <v>81.2</v>
      </c>
      <c r="G3972" s="190">
        <v>45884</v>
      </c>
      <c r="H3972" s="196">
        <v>0</v>
      </c>
      <c r="I3972" s="197">
        <v>8120</v>
      </c>
      <c r="J3972" s="197">
        <v>8120</v>
      </c>
      <c r="K3972" s="197">
        <v>0</v>
      </c>
      <c r="L3972" s="197">
        <v>112</v>
      </c>
      <c r="M3972" s="260" t="s">
        <v>239</v>
      </c>
      <c r="N3972" s="260" t="s">
        <v>514</v>
      </c>
    </row>
    <row r="3973" spans="1:14" ht="14.5" x14ac:dyDescent="0.35">
      <c r="A3973" s="260" t="s">
        <v>747</v>
      </c>
      <c r="B3973" s="190">
        <v>45885</v>
      </c>
      <c r="C3973" s="260" t="s">
        <v>749</v>
      </c>
      <c r="D3973" s="197">
        <v>80</v>
      </c>
      <c r="E3973" s="197">
        <v>4004</v>
      </c>
      <c r="F3973" s="197">
        <v>50.6</v>
      </c>
      <c r="G3973" s="190">
        <v>45884</v>
      </c>
      <c r="H3973" s="196">
        <v>1</v>
      </c>
      <c r="I3973" s="197">
        <v>4048</v>
      </c>
      <c r="J3973" s="197">
        <v>4048</v>
      </c>
      <c r="K3973" s="197">
        <v>0</v>
      </c>
      <c r="L3973" s="197">
        <v>44</v>
      </c>
      <c r="M3973" s="260" t="s">
        <v>239</v>
      </c>
      <c r="N3973" s="260" t="s">
        <v>514</v>
      </c>
    </row>
    <row r="3974" spans="1:14" ht="14.5" x14ac:dyDescent="0.35">
      <c r="A3974" s="260" t="s">
        <v>747</v>
      </c>
      <c r="B3974" s="190">
        <v>45885</v>
      </c>
      <c r="C3974" s="260" t="s">
        <v>752</v>
      </c>
      <c r="D3974" s="197">
        <v>30</v>
      </c>
      <c r="E3974" s="197">
        <v>5343</v>
      </c>
      <c r="F3974" s="197">
        <v>183.13</v>
      </c>
      <c r="G3974" s="190">
        <v>45884</v>
      </c>
      <c r="H3974" s="196">
        <v>1</v>
      </c>
      <c r="I3974" s="197">
        <v>5493.9</v>
      </c>
      <c r="J3974" s="197">
        <v>5493.9</v>
      </c>
      <c r="K3974" s="197">
        <v>0</v>
      </c>
      <c r="L3974" s="197">
        <v>150.89999999999964</v>
      </c>
      <c r="M3974" s="260" t="s">
        <v>239</v>
      </c>
      <c r="N3974" s="260" t="s">
        <v>514</v>
      </c>
    </row>
    <row r="3975" spans="1:14" ht="14.5" x14ac:dyDescent="0.35">
      <c r="A3975" s="260" t="s">
        <v>747</v>
      </c>
      <c r="B3975" s="190">
        <v>45885</v>
      </c>
      <c r="C3975" s="260" t="s">
        <v>754</v>
      </c>
      <c r="D3975" s="197">
        <v>100</v>
      </c>
      <c r="E3975" s="197">
        <v>8008</v>
      </c>
      <c r="F3975" s="197">
        <v>81.2</v>
      </c>
      <c r="G3975" s="190">
        <v>45884</v>
      </c>
      <c r="H3975" s="196">
        <v>1</v>
      </c>
      <c r="I3975" s="197">
        <v>8120</v>
      </c>
      <c r="J3975" s="197">
        <v>8120</v>
      </c>
      <c r="K3975" s="197">
        <v>0</v>
      </c>
      <c r="L3975" s="197">
        <v>112</v>
      </c>
      <c r="M3975" s="260" t="s">
        <v>239</v>
      </c>
      <c r="N3975" s="260" t="s">
        <v>514</v>
      </c>
    </row>
    <row r="3976" spans="1:14" ht="14.5" x14ac:dyDescent="0.35">
      <c r="A3976" s="260" t="s">
        <v>747</v>
      </c>
      <c r="B3976" s="190">
        <v>45886</v>
      </c>
      <c r="C3976" s="260" t="s">
        <v>749</v>
      </c>
      <c r="D3976" s="197">
        <v>80</v>
      </c>
      <c r="E3976" s="197">
        <v>4004</v>
      </c>
      <c r="F3976" s="197">
        <v>50.6</v>
      </c>
      <c r="G3976" s="190">
        <v>45884</v>
      </c>
      <c r="H3976" s="196">
        <v>2</v>
      </c>
      <c r="I3976" s="197">
        <v>4048</v>
      </c>
      <c r="J3976" s="197">
        <v>4048</v>
      </c>
      <c r="K3976" s="197">
        <v>0</v>
      </c>
      <c r="L3976" s="197">
        <v>44</v>
      </c>
      <c r="M3976" s="260" t="s">
        <v>239</v>
      </c>
      <c r="N3976" s="260" t="s">
        <v>514</v>
      </c>
    </row>
    <row r="3977" spans="1:14" ht="14.5" x14ac:dyDescent="0.35">
      <c r="A3977" s="260" t="s">
        <v>747</v>
      </c>
      <c r="B3977" s="190">
        <v>45886</v>
      </c>
      <c r="C3977" s="260" t="s">
        <v>752</v>
      </c>
      <c r="D3977" s="197">
        <v>30</v>
      </c>
      <c r="E3977" s="197">
        <v>5343</v>
      </c>
      <c r="F3977" s="197">
        <v>183.13</v>
      </c>
      <c r="G3977" s="190">
        <v>45884</v>
      </c>
      <c r="H3977" s="196">
        <v>2</v>
      </c>
      <c r="I3977" s="197">
        <v>5493.9</v>
      </c>
      <c r="J3977" s="197">
        <v>5493.9</v>
      </c>
      <c r="K3977" s="197">
        <v>0</v>
      </c>
      <c r="L3977" s="197">
        <v>150.89999999999964</v>
      </c>
      <c r="M3977" s="260" t="s">
        <v>239</v>
      </c>
      <c r="N3977" s="260" t="s">
        <v>514</v>
      </c>
    </row>
    <row r="3978" spans="1:14" ht="14.5" x14ac:dyDescent="0.35">
      <c r="A3978" s="260" t="s">
        <v>747</v>
      </c>
      <c r="B3978" s="190">
        <v>45886</v>
      </c>
      <c r="C3978" s="260" t="s">
        <v>754</v>
      </c>
      <c r="D3978" s="197">
        <v>100</v>
      </c>
      <c r="E3978" s="197">
        <v>8008</v>
      </c>
      <c r="F3978" s="197">
        <v>81.2</v>
      </c>
      <c r="G3978" s="190">
        <v>45884</v>
      </c>
      <c r="H3978" s="196">
        <v>2</v>
      </c>
      <c r="I3978" s="197">
        <v>8120</v>
      </c>
      <c r="J3978" s="197">
        <v>8120</v>
      </c>
      <c r="K3978" s="197">
        <v>0</v>
      </c>
      <c r="L3978" s="197">
        <v>112</v>
      </c>
      <c r="M3978" s="260" t="s">
        <v>239</v>
      </c>
      <c r="N3978" s="260" t="s">
        <v>514</v>
      </c>
    </row>
    <row r="3979" spans="1:14" ht="14.5" x14ac:dyDescent="0.35">
      <c r="A3979" s="260" t="s">
        <v>747</v>
      </c>
      <c r="B3979" s="190">
        <v>45887</v>
      </c>
      <c r="C3979" s="260" t="s">
        <v>749</v>
      </c>
      <c r="D3979" s="197">
        <v>80</v>
      </c>
      <c r="E3979" s="197">
        <v>4004</v>
      </c>
      <c r="F3979" s="197">
        <v>50.3</v>
      </c>
      <c r="G3979" s="190">
        <v>45887</v>
      </c>
      <c r="H3979" s="196">
        <v>0</v>
      </c>
      <c r="I3979" s="197">
        <v>4024</v>
      </c>
      <c r="J3979" s="197">
        <v>4024</v>
      </c>
      <c r="K3979" s="197">
        <v>0</v>
      </c>
      <c r="L3979" s="197">
        <v>20</v>
      </c>
      <c r="M3979" s="260" t="s">
        <v>239</v>
      </c>
      <c r="N3979" s="260" t="s">
        <v>514</v>
      </c>
    </row>
    <row r="3980" spans="1:14" ht="14.5" x14ac:dyDescent="0.35">
      <c r="A3980" s="260" t="s">
        <v>747</v>
      </c>
      <c r="B3980" s="190">
        <v>45887</v>
      </c>
      <c r="C3980" s="260" t="s">
        <v>752</v>
      </c>
      <c r="D3980" s="197">
        <v>30</v>
      </c>
      <c r="E3980" s="197">
        <v>5343</v>
      </c>
      <c r="F3980" s="197">
        <v>184.23</v>
      </c>
      <c r="G3980" s="190">
        <v>45887</v>
      </c>
      <c r="H3980" s="196">
        <v>0</v>
      </c>
      <c r="I3980" s="197">
        <v>5526.9</v>
      </c>
      <c r="J3980" s="197">
        <v>5526.9</v>
      </c>
      <c r="K3980" s="197">
        <v>0</v>
      </c>
      <c r="L3980" s="197">
        <v>183.89999999999964</v>
      </c>
      <c r="M3980" s="260" t="s">
        <v>239</v>
      </c>
      <c r="N3980" s="260" t="s">
        <v>514</v>
      </c>
    </row>
    <row r="3981" spans="1:14" ht="14.5" x14ac:dyDescent="0.35">
      <c r="A3981" s="260" t="s">
        <v>747</v>
      </c>
      <c r="B3981" s="190">
        <v>45887</v>
      </c>
      <c r="C3981" s="260" t="s">
        <v>754</v>
      </c>
      <c r="D3981" s="197">
        <v>100</v>
      </c>
      <c r="E3981" s="197">
        <v>8008</v>
      </c>
      <c r="F3981" s="197">
        <v>82.1</v>
      </c>
      <c r="G3981" s="190">
        <v>45887</v>
      </c>
      <c r="H3981" s="196">
        <v>0</v>
      </c>
      <c r="I3981" s="197">
        <v>8210</v>
      </c>
      <c r="J3981" s="197">
        <v>8210</v>
      </c>
      <c r="K3981" s="197">
        <v>0</v>
      </c>
      <c r="L3981" s="197">
        <v>202</v>
      </c>
      <c r="M3981" s="260" t="s">
        <v>239</v>
      </c>
      <c r="N3981" s="260" t="s">
        <v>514</v>
      </c>
    </row>
    <row r="3982" spans="1:14" ht="14.5" x14ac:dyDescent="0.35">
      <c r="A3982" s="260" t="s">
        <v>747</v>
      </c>
      <c r="B3982" s="190">
        <v>45888</v>
      </c>
      <c r="C3982" s="260" t="s">
        <v>749</v>
      </c>
      <c r="D3982" s="197">
        <v>80</v>
      </c>
      <c r="E3982" s="197">
        <v>4004</v>
      </c>
      <c r="F3982" s="197">
        <v>50.2</v>
      </c>
      <c r="G3982" s="190">
        <v>45888</v>
      </c>
      <c r="H3982" s="196">
        <v>0</v>
      </c>
      <c r="I3982" s="197">
        <v>4016</v>
      </c>
      <c r="J3982" s="197">
        <v>4016</v>
      </c>
      <c r="K3982" s="197">
        <v>0</v>
      </c>
      <c r="L3982" s="197">
        <v>12</v>
      </c>
      <c r="M3982" s="260" t="s">
        <v>239</v>
      </c>
      <c r="N3982" s="260" t="s">
        <v>514</v>
      </c>
    </row>
    <row r="3983" spans="1:14" ht="14.5" x14ac:dyDescent="0.35">
      <c r="A3983" s="260" t="s">
        <v>747</v>
      </c>
      <c r="B3983" s="190">
        <v>45888</v>
      </c>
      <c r="C3983" s="260" t="s">
        <v>752</v>
      </c>
      <c r="D3983" s="197">
        <v>30</v>
      </c>
      <c r="E3983" s="197">
        <v>5343</v>
      </c>
      <c r="F3983" s="197">
        <v>184.6</v>
      </c>
      <c r="G3983" s="190">
        <v>45888</v>
      </c>
      <c r="H3983" s="196">
        <v>0</v>
      </c>
      <c r="I3983" s="197">
        <v>5538</v>
      </c>
      <c r="J3983" s="197">
        <v>5538</v>
      </c>
      <c r="K3983" s="197">
        <v>0</v>
      </c>
      <c r="L3983" s="197">
        <v>195</v>
      </c>
      <c r="M3983" s="260" t="s">
        <v>239</v>
      </c>
      <c r="N3983" s="260" t="s">
        <v>514</v>
      </c>
    </row>
    <row r="3984" spans="1:14" ht="14.5" x14ac:dyDescent="0.35">
      <c r="A3984" s="260" t="s">
        <v>747</v>
      </c>
      <c r="B3984" s="190">
        <v>45888</v>
      </c>
      <c r="C3984" s="260" t="s">
        <v>754</v>
      </c>
      <c r="D3984" s="197">
        <v>100</v>
      </c>
      <c r="E3984" s="197">
        <v>8008</v>
      </c>
      <c r="F3984" s="197">
        <v>82.4</v>
      </c>
      <c r="G3984" s="190">
        <v>45888</v>
      </c>
      <c r="H3984" s="196">
        <v>0</v>
      </c>
      <c r="I3984" s="197">
        <v>8240</v>
      </c>
      <c r="J3984" s="197">
        <v>8240</v>
      </c>
      <c r="K3984" s="197">
        <v>0</v>
      </c>
      <c r="L3984" s="197">
        <v>232</v>
      </c>
      <c r="M3984" s="260" t="s">
        <v>239</v>
      </c>
      <c r="N3984" s="260" t="s">
        <v>514</v>
      </c>
    </row>
    <row r="3985" spans="1:14" ht="14.5" x14ac:dyDescent="0.35">
      <c r="A3985" s="260" t="s">
        <v>747</v>
      </c>
      <c r="B3985" s="190">
        <v>45889</v>
      </c>
      <c r="C3985" s="260" t="s">
        <v>749</v>
      </c>
      <c r="D3985" s="197">
        <v>80</v>
      </c>
      <c r="E3985" s="197">
        <v>4004</v>
      </c>
      <c r="F3985" s="197">
        <v>50.1</v>
      </c>
      <c r="G3985" s="190">
        <v>45889</v>
      </c>
      <c r="H3985" s="196">
        <v>0</v>
      </c>
      <c r="I3985" s="197">
        <v>4008</v>
      </c>
      <c r="J3985" s="197">
        <v>4008</v>
      </c>
      <c r="K3985" s="197">
        <v>0</v>
      </c>
      <c r="L3985" s="197">
        <v>4</v>
      </c>
      <c r="M3985" s="260" t="s">
        <v>239</v>
      </c>
      <c r="N3985" s="260" t="s">
        <v>514</v>
      </c>
    </row>
    <row r="3986" spans="1:14" ht="14.5" x14ac:dyDescent="0.35">
      <c r="A3986" s="260" t="s">
        <v>747</v>
      </c>
      <c r="B3986" s="190">
        <v>45889</v>
      </c>
      <c r="C3986" s="260" t="s">
        <v>752</v>
      </c>
      <c r="D3986" s="197">
        <v>30</v>
      </c>
      <c r="E3986" s="197">
        <v>5343</v>
      </c>
      <c r="F3986" s="197">
        <v>184.97</v>
      </c>
      <c r="G3986" s="190">
        <v>45889</v>
      </c>
      <c r="H3986" s="196">
        <v>0</v>
      </c>
      <c r="I3986" s="197">
        <v>5549.1</v>
      </c>
      <c r="J3986" s="197">
        <v>5549.1</v>
      </c>
      <c r="K3986" s="197">
        <v>0</v>
      </c>
      <c r="L3986" s="197">
        <v>206.10000000000036</v>
      </c>
      <c r="M3986" s="260" t="s">
        <v>239</v>
      </c>
      <c r="N3986" s="260" t="s">
        <v>514</v>
      </c>
    </row>
    <row r="3987" spans="1:14" ht="14.5" x14ac:dyDescent="0.35">
      <c r="A3987" s="260" t="s">
        <v>747</v>
      </c>
      <c r="B3987" s="190">
        <v>45889</v>
      </c>
      <c r="C3987" s="260" t="s">
        <v>754</v>
      </c>
      <c r="D3987" s="197">
        <v>100</v>
      </c>
      <c r="E3987" s="197">
        <v>8008</v>
      </c>
      <c r="F3987" s="197">
        <v>82.7</v>
      </c>
      <c r="G3987" s="190">
        <v>45889</v>
      </c>
      <c r="H3987" s="196">
        <v>0</v>
      </c>
      <c r="I3987" s="197">
        <v>8270</v>
      </c>
      <c r="J3987" s="197">
        <v>8270</v>
      </c>
      <c r="K3987" s="197">
        <v>0</v>
      </c>
      <c r="L3987" s="197">
        <v>262</v>
      </c>
      <c r="M3987" s="260" t="s">
        <v>239</v>
      </c>
      <c r="N3987" s="260" t="s">
        <v>514</v>
      </c>
    </row>
    <row r="3988" spans="1:14" ht="14.5" x14ac:dyDescent="0.35">
      <c r="A3988" s="260" t="s">
        <v>747</v>
      </c>
      <c r="B3988" s="190">
        <v>45890</v>
      </c>
      <c r="C3988" s="260" t="s">
        <v>749</v>
      </c>
      <c r="D3988" s="197">
        <v>80</v>
      </c>
      <c r="E3988" s="197">
        <v>4004</v>
      </c>
      <c r="F3988" s="197">
        <v>50</v>
      </c>
      <c r="G3988" s="190">
        <v>45890</v>
      </c>
      <c r="H3988" s="196">
        <v>0</v>
      </c>
      <c r="I3988" s="197">
        <v>4000</v>
      </c>
      <c r="J3988" s="197">
        <v>4000</v>
      </c>
      <c r="K3988" s="197">
        <v>0</v>
      </c>
      <c r="L3988" s="197">
        <v>-4</v>
      </c>
      <c r="M3988" s="260" t="s">
        <v>239</v>
      </c>
      <c r="N3988" s="260" t="s">
        <v>514</v>
      </c>
    </row>
    <row r="3989" spans="1:14" ht="14.5" x14ac:dyDescent="0.35">
      <c r="A3989" s="260" t="s">
        <v>747</v>
      </c>
      <c r="B3989" s="190">
        <v>45890</v>
      </c>
      <c r="C3989" s="260" t="s">
        <v>752</v>
      </c>
      <c r="D3989" s="197">
        <v>30</v>
      </c>
      <c r="E3989" s="197">
        <v>5343</v>
      </c>
      <c r="F3989" s="197">
        <v>185.33</v>
      </c>
      <c r="G3989" s="190">
        <v>45890</v>
      </c>
      <c r="H3989" s="196">
        <v>0</v>
      </c>
      <c r="I3989" s="197">
        <v>5559.9000000000005</v>
      </c>
      <c r="J3989" s="197">
        <v>5559.9000000000005</v>
      </c>
      <c r="K3989" s="197">
        <v>0</v>
      </c>
      <c r="L3989" s="197">
        <v>216.90000000000055</v>
      </c>
      <c r="M3989" s="260" t="s">
        <v>239</v>
      </c>
      <c r="N3989" s="260" t="s">
        <v>514</v>
      </c>
    </row>
    <row r="3990" spans="1:14" ht="14.5" x14ac:dyDescent="0.35">
      <c r="A3990" s="260" t="s">
        <v>747</v>
      </c>
      <c r="B3990" s="190">
        <v>45890</v>
      </c>
      <c r="C3990" s="260" t="s">
        <v>754</v>
      </c>
      <c r="D3990" s="197">
        <v>100</v>
      </c>
      <c r="E3990" s="197">
        <v>8008</v>
      </c>
      <c r="F3990" s="197">
        <v>83</v>
      </c>
      <c r="G3990" s="190">
        <v>45890</v>
      </c>
      <c r="H3990" s="196">
        <v>0</v>
      </c>
      <c r="I3990" s="197">
        <v>8300</v>
      </c>
      <c r="J3990" s="197">
        <v>8300</v>
      </c>
      <c r="K3990" s="197">
        <v>0</v>
      </c>
      <c r="L3990" s="197">
        <v>292</v>
      </c>
      <c r="M3990" s="260" t="s">
        <v>239</v>
      </c>
      <c r="N3990" s="260" t="s">
        <v>514</v>
      </c>
    </row>
    <row r="3991" spans="1:14" ht="14.5" x14ac:dyDescent="0.35">
      <c r="A3991" s="260" t="s">
        <v>747</v>
      </c>
      <c r="B3991" s="190">
        <v>45891</v>
      </c>
      <c r="C3991" s="260" t="s">
        <v>749</v>
      </c>
      <c r="D3991" s="197">
        <v>80</v>
      </c>
      <c r="E3991" s="197">
        <v>4004</v>
      </c>
      <c r="F3991" s="197">
        <v>49.9</v>
      </c>
      <c r="G3991" s="190">
        <v>45891</v>
      </c>
      <c r="H3991" s="196">
        <v>0</v>
      </c>
      <c r="I3991" s="197">
        <v>3992</v>
      </c>
      <c r="J3991" s="197">
        <v>3992</v>
      </c>
      <c r="K3991" s="197">
        <v>0</v>
      </c>
      <c r="L3991" s="197">
        <v>-12</v>
      </c>
      <c r="M3991" s="260" t="s">
        <v>239</v>
      </c>
      <c r="N3991" s="260" t="s">
        <v>514</v>
      </c>
    </row>
    <row r="3992" spans="1:14" ht="14.5" x14ac:dyDescent="0.35">
      <c r="A3992" s="260" t="s">
        <v>747</v>
      </c>
      <c r="B3992" s="190">
        <v>45891</v>
      </c>
      <c r="C3992" s="260" t="s">
        <v>752</v>
      </c>
      <c r="D3992" s="197">
        <v>30</v>
      </c>
      <c r="E3992" s="197">
        <v>5343</v>
      </c>
      <c r="F3992" s="197">
        <v>185.7</v>
      </c>
      <c r="G3992" s="190">
        <v>45891</v>
      </c>
      <c r="H3992" s="196">
        <v>0</v>
      </c>
      <c r="I3992" s="197">
        <v>5571</v>
      </c>
      <c r="J3992" s="197">
        <v>5571</v>
      </c>
      <c r="K3992" s="197">
        <v>0</v>
      </c>
      <c r="L3992" s="197">
        <v>228</v>
      </c>
      <c r="M3992" s="260" t="s">
        <v>239</v>
      </c>
      <c r="N3992" s="260" t="s">
        <v>514</v>
      </c>
    </row>
    <row r="3993" spans="1:14" ht="14.5" x14ac:dyDescent="0.35">
      <c r="A3993" s="260" t="s">
        <v>747</v>
      </c>
      <c r="B3993" s="190">
        <v>45891</v>
      </c>
      <c r="C3993" s="260" t="s">
        <v>754</v>
      </c>
      <c r="D3993" s="197">
        <v>100</v>
      </c>
      <c r="E3993" s="197">
        <v>8008</v>
      </c>
      <c r="F3993" s="197">
        <v>83.3</v>
      </c>
      <c r="G3993" s="190">
        <v>45891</v>
      </c>
      <c r="H3993" s="196">
        <v>0</v>
      </c>
      <c r="I3993" s="197">
        <v>8330</v>
      </c>
      <c r="J3993" s="197">
        <v>8330</v>
      </c>
      <c r="K3993" s="197">
        <v>0</v>
      </c>
      <c r="L3993" s="197">
        <v>322</v>
      </c>
      <c r="M3993" s="260" t="s">
        <v>239</v>
      </c>
      <c r="N3993" s="260" t="s">
        <v>514</v>
      </c>
    </row>
    <row r="3994" spans="1:14" ht="14.5" x14ac:dyDescent="0.35">
      <c r="A3994" s="260" t="s">
        <v>747</v>
      </c>
      <c r="B3994" s="190">
        <v>45892</v>
      </c>
      <c r="C3994" s="260" t="s">
        <v>749</v>
      </c>
      <c r="D3994" s="197">
        <v>80</v>
      </c>
      <c r="E3994" s="197">
        <v>4004</v>
      </c>
      <c r="F3994" s="197">
        <v>49.9</v>
      </c>
      <c r="G3994" s="190">
        <v>45891</v>
      </c>
      <c r="H3994" s="196">
        <v>1</v>
      </c>
      <c r="I3994" s="197">
        <v>3992</v>
      </c>
      <c r="J3994" s="197">
        <v>3992</v>
      </c>
      <c r="K3994" s="197">
        <v>0</v>
      </c>
      <c r="L3994" s="197">
        <v>-12</v>
      </c>
      <c r="M3994" s="260" t="s">
        <v>239</v>
      </c>
      <c r="N3994" s="260" t="s">
        <v>514</v>
      </c>
    </row>
    <row r="3995" spans="1:14" ht="14.5" x14ac:dyDescent="0.35">
      <c r="A3995" s="260" t="s">
        <v>747</v>
      </c>
      <c r="B3995" s="190">
        <v>45892</v>
      </c>
      <c r="C3995" s="260" t="s">
        <v>752</v>
      </c>
      <c r="D3995" s="197">
        <v>30</v>
      </c>
      <c r="E3995" s="197">
        <v>5343</v>
      </c>
      <c r="F3995" s="197">
        <v>185.7</v>
      </c>
      <c r="G3995" s="190">
        <v>45891</v>
      </c>
      <c r="H3995" s="196">
        <v>1</v>
      </c>
      <c r="I3995" s="197">
        <v>5571</v>
      </c>
      <c r="J3995" s="197">
        <v>5571</v>
      </c>
      <c r="K3995" s="197">
        <v>0</v>
      </c>
      <c r="L3995" s="197">
        <v>228</v>
      </c>
      <c r="M3995" s="260" t="s">
        <v>239</v>
      </c>
      <c r="N3995" s="260" t="s">
        <v>514</v>
      </c>
    </row>
    <row r="3996" spans="1:14" ht="14.5" x14ac:dyDescent="0.35">
      <c r="A3996" s="260" t="s">
        <v>747</v>
      </c>
      <c r="B3996" s="190">
        <v>45892</v>
      </c>
      <c r="C3996" s="260" t="s">
        <v>754</v>
      </c>
      <c r="D3996" s="197">
        <v>100</v>
      </c>
      <c r="E3996" s="197">
        <v>8008</v>
      </c>
      <c r="F3996" s="197">
        <v>83.3</v>
      </c>
      <c r="G3996" s="190">
        <v>45891</v>
      </c>
      <c r="H3996" s="196">
        <v>1</v>
      </c>
      <c r="I3996" s="197">
        <v>8330</v>
      </c>
      <c r="J3996" s="197">
        <v>8330</v>
      </c>
      <c r="K3996" s="197">
        <v>0</v>
      </c>
      <c r="L3996" s="197">
        <v>322</v>
      </c>
      <c r="M3996" s="260" t="s">
        <v>239</v>
      </c>
      <c r="N3996" s="260" t="s">
        <v>514</v>
      </c>
    </row>
    <row r="3997" spans="1:14" ht="14.5" x14ac:dyDescent="0.35">
      <c r="A3997" s="260" t="s">
        <v>747</v>
      </c>
      <c r="B3997" s="190">
        <v>45893</v>
      </c>
      <c r="C3997" s="260" t="s">
        <v>749</v>
      </c>
      <c r="D3997" s="197">
        <v>80</v>
      </c>
      <c r="E3997" s="197">
        <v>4004</v>
      </c>
      <c r="F3997" s="197">
        <v>49.9</v>
      </c>
      <c r="G3997" s="190">
        <v>45891</v>
      </c>
      <c r="H3997" s="196">
        <v>2</v>
      </c>
      <c r="I3997" s="197">
        <v>3992</v>
      </c>
      <c r="J3997" s="197">
        <v>3992</v>
      </c>
      <c r="K3997" s="197">
        <v>0</v>
      </c>
      <c r="L3997" s="197">
        <v>-12</v>
      </c>
      <c r="M3997" s="260" t="s">
        <v>239</v>
      </c>
      <c r="N3997" s="260" t="s">
        <v>514</v>
      </c>
    </row>
    <row r="3998" spans="1:14" ht="14.5" x14ac:dyDescent="0.35">
      <c r="A3998" s="260" t="s">
        <v>747</v>
      </c>
      <c r="B3998" s="190">
        <v>45893</v>
      </c>
      <c r="C3998" s="260" t="s">
        <v>752</v>
      </c>
      <c r="D3998" s="197">
        <v>30</v>
      </c>
      <c r="E3998" s="197">
        <v>5343</v>
      </c>
      <c r="F3998" s="197">
        <v>185.7</v>
      </c>
      <c r="G3998" s="190">
        <v>45891</v>
      </c>
      <c r="H3998" s="196">
        <v>2</v>
      </c>
      <c r="I3998" s="197">
        <v>5571</v>
      </c>
      <c r="J3998" s="197">
        <v>5571</v>
      </c>
      <c r="K3998" s="197">
        <v>0</v>
      </c>
      <c r="L3998" s="197">
        <v>228</v>
      </c>
      <c r="M3998" s="260" t="s">
        <v>239</v>
      </c>
      <c r="N3998" s="260" t="s">
        <v>514</v>
      </c>
    </row>
    <row r="3999" spans="1:14" ht="14.5" x14ac:dyDescent="0.35">
      <c r="A3999" s="260" t="s">
        <v>747</v>
      </c>
      <c r="B3999" s="190">
        <v>45893</v>
      </c>
      <c r="C3999" s="260" t="s">
        <v>754</v>
      </c>
      <c r="D3999" s="197">
        <v>100</v>
      </c>
      <c r="E3999" s="197">
        <v>8008</v>
      </c>
      <c r="F3999" s="197">
        <v>83.3</v>
      </c>
      <c r="G3999" s="190">
        <v>45891</v>
      </c>
      <c r="H3999" s="196">
        <v>2</v>
      </c>
      <c r="I3999" s="197">
        <v>8330</v>
      </c>
      <c r="J3999" s="197">
        <v>8330</v>
      </c>
      <c r="K3999" s="197">
        <v>0</v>
      </c>
      <c r="L3999" s="197">
        <v>322</v>
      </c>
      <c r="M3999" s="260" t="s">
        <v>239</v>
      </c>
      <c r="N3999" s="260" t="s">
        <v>514</v>
      </c>
    </row>
    <row r="4000" spans="1:14" ht="14.5" x14ac:dyDescent="0.35">
      <c r="A4000" s="260" t="s">
        <v>747</v>
      </c>
      <c r="B4000" s="190">
        <v>45894</v>
      </c>
      <c r="C4000" s="260" t="s">
        <v>749</v>
      </c>
      <c r="D4000" s="197">
        <v>80</v>
      </c>
      <c r="E4000" s="197">
        <v>4004</v>
      </c>
      <c r="F4000" s="197">
        <v>49.6</v>
      </c>
      <c r="G4000" s="190">
        <v>45894</v>
      </c>
      <c r="H4000" s="196">
        <v>0</v>
      </c>
      <c r="I4000" s="197">
        <v>3968</v>
      </c>
      <c r="J4000" s="197">
        <v>3968</v>
      </c>
      <c r="K4000" s="197">
        <v>0</v>
      </c>
      <c r="L4000" s="197">
        <v>-36</v>
      </c>
      <c r="M4000" s="260" t="s">
        <v>239</v>
      </c>
      <c r="N4000" s="260" t="s">
        <v>514</v>
      </c>
    </row>
    <row r="4001" spans="1:14" ht="14.5" x14ac:dyDescent="0.35">
      <c r="A4001" s="260" t="s">
        <v>747</v>
      </c>
      <c r="B4001" s="190">
        <v>45894</v>
      </c>
      <c r="C4001" s="260" t="s">
        <v>752</v>
      </c>
      <c r="D4001" s="197">
        <v>30</v>
      </c>
      <c r="E4001" s="197">
        <v>5343</v>
      </c>
      <c r="F4001" s="197">
        <v>186.8</v>
      </c>
      <c r="G4001" s="190">
        <v>45894</v>
      </c>
      <c r="H4001" s="196">
        <v>0</v>
      </c>
      <c r="I4001" s="197">
        <v>5604</v>
      </c>
      <c r="J4001" s="197">
        <v>5604</v>
      </c>
      <c r="K4001" s="197">
        <v>0</v>
      </c>
      <c r="L4001" s="197">
        <v>261</v>
      </c>
      <c r="M4001" s="260" t="s">
        <v>239</v>
      </c>
      <c r="N4001" s="260" t="s">
        <v>514</v>
      </c>
    </row>
    <row r="4002" spans="1:14" ht="14.5" x14ac:dyDescent="0.35">
      <c r="A4002" s="260" t="s">
        <v>747</v>
      </c>
      <c r="B4002" s="190">
        <v>45894</v>
      </c>
      <c r="C4002" s="260" t="s">
        <v>754</v>
      </c>
      <c r="D4002" s="197">
        <v>100</v>
      </c>
      <c r="E4002" s="197">
        <v>8008</v>
      </c>
      <c r="F4002" s="197">
        <v>84.2</v>
      </c>
      <c r="G4002" s="190">
        <v>45894</v>
      </c>
      <c r="H4002" s="196">
        <v>0</v>
      </c>
      <c r="I4002" s="197">
        <v>8420</v>
      </c>
      <c r="J4002" s="197">
        <v>8420</v>
      </c>
      <c r="K4002" s="197">
        <v>0</v>
      </c>
      <c r="L4002" s="197">
        <v>412</v>
      </c>
      <c r="M4002" s="260" t="s">
        <v>239</v>
      </c>
      <c r="N4002" s="260" t="s">
        <v>514</v>
      </c>
    </row>
    <row r="4003" spans="1:14" ht="14.5" x14ac:dyDescent="0.35">
      <c r="A4003" s="260" t="s">
        <v>747</v>
      </c>
      <c r="B4003" s="190">
        <v>45895</v>
      </c>
      <c r="C4003" s="260" t="s">
        <v>749</v>
      </c>
      <c r="D4003" s="197">
        <v>80</v>
      </c>
      <c r="E4003" s="197">
        <v>4004</v>
      </c>
      <c r="F4003" s="197">
        <v>49.5</v>
      </c>
      <c r="G4003" s="190">
        <v>45895</v>
      </c>
      <c r="H4003" s="196">
        <v>0</v>
      </c>
      <c r="I4003" s="197">
        <v>3960</v>
      </c>
      <c r="J4003" s="197">
        <v>3960</v>
      </c>
      <c r="K4003" s="197">
        <v>0</v>
      </c>
      <c r="L4003" s="197">
        <v>-44</v>
      </c>
      <c r="M4003" s="260" t="s">
        <v>239</v>
      </c>
      <c r="N4003" s="260" t="s">
        <v>514</v>
      </c>
    </row>
    <row r="4004" spans="1:14" ht="14.5" x14ac:dyDescent="0.35">
      <c r="A4004" s="260" t="s">
        <v>747</v>
      </c>
      <c r="B4004" s="190">
        <v>45895</v>
      </c>
      <c r="C4004" s="260" t="s">
        <v>752</v>
      </c>
      <c r="D4004" s="197">
        <v>30</v>
      </c>
      <c r="E4004" s="197">
        <v>5343</v>
      </c>
      <c r="F4004" s="197">
        <v>187.17</v>
      </c>
      <c r="G4004" s="190">
        <v>45895</v>
      </c>
      <c r="H4004" s="196">
        <v>0</v>
      </c>
      <c r="I4004" s="197">
        <v>5615.0999999999995</v>
      </c>
      <c r="J4004" s="197">
        <v>5615.0999999999995</v>
      </c>
      <c r="K4004" s="197">
        <v>0</v>
      </c>
      <c r="L4004" s="197">
        <v>272.09999999999945</v>
      </c>
      <c r="M4004" s="260" t="s">
        <v>239</v>
      </c>
      <c r="N4004" s="260" t="s">
        <v>514</v>
      </c>
    </row>
    <row r="4005" spans="1:14" ht="14.5" x14ac:dyDescent="0.35">
      <c r="A4005" s="260" t="s">
        <v>747</v>
      </c>
      <c r="B4005" s="190">
        <v>45895</v>
      </c>
      <c r="C4005" s="260" t="s">
        <v>754</v>
      </c>
      <c r="D4005" s="197">
        <v>100</v>
      </c>
      <c r="E4005" s="197">
        <v>8008</v>
      </c>
      <c r="F4005" s="197">
        <v>84.5</v>
      </c>
      <c r="G4005" s="190">
        <v>45895</v>
      </c>
      <c r="H4005" s="196">
        <v>0</v>
      </c>
      <c r="I4005" s="197">
        <v>8450</v>
      </c>
      <c r="J4005" s="197">
        <v>8450</v>
      </c>
      <c r="K4005" s="197">
        <v>0</v>
      </c>
      <c r="L4005" s="197">
        <v>442</v>
      </c>
      <c r="M4005" s="260" t="s">
        <v>239</v>
      </c>
      <c r="N4005" s="260" t="s">
        <v>514</v>
      </c>
    </row>
    <row r="4006" spans="1:14" ht="14.5" x14ac:dyDescent="0.35">
      <c r="A4006" s="260" t="s">
        <v>747</v>
      </c>
      <c r="B4006" s="190">
        <v>45896</v>
      </c>
      <c r="C4006" s="260" t="s">
        <v>749</v>
      </c>
      <c r="D4006" s="197">
        <v>80</v>
      </c>
      <c r="E4006" s="197">
        <v>4004</v>
      </c>
      <c r="F4006" s="197">
        <v>49.4</v>
      </c>
      <c r="G4006" s="190">
        <v>45896</v>
      </c>
      <c r="H4006" s="196">
        <v>0</v>
      </c>
      <c r="I4006" s="197">
        <v>3952</v>
      </c>
      <c r="J4006" s="197">
        <v>3952</v>
      </c>
      <c r="K4006" s="197">
        <v>0</v>
      </c>
      <c r="L4006" s="197">
        <v>-52</v>
      </c>
      <c r="M4006" s="260" t="s">
        <v>239</v>
      </c>
      <c r="N4006" s="260" t="s">
        <v>514</v>
      </c>
    </row>
    <row r="4007" spans="1:14" ht="14.5" x14ac:dyDescent="0.35">
      <c r="A4007" s="260" t="s">
        <v>747</v>
      </c>
      <c r="B4007" s="190">
        <v>45896</v>
      </c>
      <c r="C4007" s="260" t="s">
        <v>752</v>
      </c>
      <c r="D4007" s="197">
        <v>30</v>
      </c>
      <c r="E4007" s="197">
        <v>5343</v>
      </c>
      <c r="F4007" s="197">
        <v>187.53</v>
      </c>
      <c r="G4007" s="190">
        <v>45896</v>
      </c>
      <c r="H4007" s="196">
        <v>0</v>
      </c>
      <c r="I4007" s="197">
        <v>5625.9</v>
      </c>
      <c r="J4007" s="197">
        <v>5625.9</v>
      </c>
      <c r="K4007" s="197">
        <v>0</v>
      </c>
      <c r="L4007" s="197">
        <v>282.89999999999964</v>
      </c>
      <c r="M4007" s="260" t="s">
        <v>239</v>
      </c>
      <c r="N4007" s="260" t="s">
        <v>514</v>
      </c>
    </row>
    <row r="4008" spans="1:14" ht="14.5" x14ac:dyDescent="0.35">
      <c r="A4008" s="260" t="s">
        <v>747</v>
      </c>
      <c r="B4008" s="190">
        <v>45896</v>
      </c>
      <c r="C4008" s="260" t="s">
        <v>754</v>
      </c>
      <c r="D4008" s="197">
        <v>100</v>
      </c>
      <c r="E4008" s="197">
        <v>8008</v>
      </c>
      <c r="F4008" s="197">
        <v>84.8</v>
      </c>
      <c r="G4008" s="190">
        <v>45896</v>
      </c>
      <c r="H4008" s="196">
        <v>0</v>
      </c>
      <c r="I4008" s="197">
        <v>8480</v>
      </c>
      <c r="J4008" s="197">
        <v>8480</v>
      </c>
      <c r="K4008" s="197">
        <v>0</v>
      </c>
      <c r="L4008" s="197">
        <v>472</v>
      </c>
      <c r="M4008" s="260" t="s">
        <v>239</v>
      </c>
      <c r="N4008" s="260" t="s">
        <v>514</v>
      </c>
    </row>
    <row r="4009" spans="1:14" ht="14.5" x14ac:dyDescent="0.35">
      <c r="A4009" s="260" t="s">
        <v>747</v>
      </c>
      <c r="B4009" s="190">
        <v>45897</v>
      </c>
      <c r="C4009" s="260" t="s">
        <v>749</v>
      </c>
      <c r="D4009" s="197">
        <v>80</v>
      </c>
      <c r="E4009" s="197">
        <v>4004</v>
      </c>
      <c r="F4009" s="197">
        <v>49.3</v>
      </c>
      <c r="G4009" s="190">
        <v>45897</v>
      </c>
      <c r="H4009" s="196">
        <v>0</v>
      </c>
      <c r="I4009" s="197">
        <v>3944</v>
      </c>
      <c r="J4009" s="197">
        <v>3944</v>
      </c>
      <c r="K4009" s="197">
        <v>0</v>
      </c>
      <c r="L4009" s="197">
        <v>-60</v>
      </c>
      <c r="M4009" s="260" t="s">
        <v>239</v>
      </c>
      <c r="N4009" s="260" t="s">
        <v>514</v>
      </c>
    </row>
    <row r="4010" spans="1:14" ht="14.5" x14ac:dyDescent="0.35">
      <c r="A4010" s="260" t="s">
        <v>747</v>
      </c>
      <c r="B4010" s="190">
        <v>45897</v>
      </c>
      <c r="C4010" s="260" t="s">
        <v>752</v>
      </c>
      <c r="D4010" s="197">
        <v>30</v>
      </c>
      <c r="E4010" s="197">
        <v>5343</v>
      </c>
      <c r="F4010" s="197">
        <v>187.9</v>
      </c>
      <c r="G4010" s="190">
        <v>45897</v>
      </c>
      <c r="H4010" s="196">
        <v>0</v>
      </c>
      <c r="I4010" s="197">
        <v>5637</v>
      </c>
      <c r="J4010" s="197">
        <v>5637</v>
      </c>
      <c r="K4010" s="197">
        <v>0</v>
      </c>
      <c r="L4010" s="197">
        <v>294</v>
      </c>
      <c r="M4010" s="260" t="s">
        <v>239</v>
      </c>
      <c r="N4010" s="260" t="s">
        <v>514</v>
      </c>
    </row>
    <row r="4011" spans="1:14" ht="14.5" x14ac:dyDescent="0.35">
      <c r="A4011" s="260" t="s">
        <v>747</v>
      </c>
      <c r="B4011" s="190">
        <v>45897</v>
      </c>
      <c r="C4011" s="260" t="s">
        <v>754</v>
      </c>
      <c r="D4011" s="197">
        <v>100</v>
      </c>
      <c r="E4011" s="197">
        <v>8008</v>
      </c>
      <c r="F4011" s="197">
        <v>85.1</v>
      </c>
      <c r="G4011" s="190">
        <v>45897</v>
      </c>
      <c r="H4011" s="196">
        <v>0</v>
      </c>
      <c r="I4011" s="197">
        <v>8510</v>
      </c>
      <c r="J4011" s="197">
        <v>8510</v>
      </c>
      <c r="K4011" s="197">
        <v>0</v>
      </c>
      <c r="L4011" s="197">
        <v>502</v>
      </c>
      <c r="M4011" s="260" t="s">
        <v>239</v>
      </c>
      <c r="N4011" s="260" t="s">
        <v>514</v>
      </c>
    </row>
    <row r="4012" spans="1:14" ht="14.5" x14ac:dyDescent="0.35">
      <c r="A4012" s="260" t="s">
        <v>747</v>
      </c>
      <c r="B4012" s="190">
        <v>45898</v>
      </c>
      <c r="C4012" s="260" t="s">
        <v>749</v>
      </c>
      <c r="D4012" s="197">
        <v>80</v>
      </c>
      <c r="E4012" s="197">
        <v>4004</v>
      </c>
      <c r="F4012" s="197">
        <v>49.2</v>
      </c>
      <c r="G4012" s="190">
        <v>45898</v>
      </c>
      <c r="H4012" s="196">
        <v>0</v>
      </c>
      <c r="I4012" s="197">
        <v>3936</v>
      </c>
      <c r="J4012" s="197">
        <v>3936</v>
      </c>
      <c r="K4012" s="197">
        <v>0</v>
      </c>
      <c r="L4012" s="197">
        <v>-68</v>
      </c>
      <c r="M4012" s="260" t="s">
        <v>239</v>
      </c>
      <c r="N4012" s="260" t="s">
        <v>514</v>
      </c>
    </row>
    <row r="4013" spans="1:14" ht="14.5" x14ac:dyDescent="0.35">
      <c r="A4013" s="260" t="s">
        <v>747</v>
      </c>
      <c r="B4013" s="190">
        <v>45898</v>
      </c>
      <c r="C4013" s="260" t="s">
        <v>752</v>
      </c>
      <c r="D4013" s="197">
        <v>30</v>
      </c>
      <c r="E4013" s="197">
        <v>5343</v>
      </c>
      <c r="F4013" s="197">
        <v>188.27</v>
      </c>
      <c r="G4013" s="190">
        <v>45898</v>
      </c>
      <c r="H4013" s="196">
        <v>0</v>
      </c>
      <c r="I4013" s="197">
        <v>5648.1</v>
      </c>
      <c r="J4013" s="197">
        <v>5648.1</v>
      </c>
      <c r="K4013" s="197">
        <v>0</v>
      </c>
      <c r="L4013" s="197">
        <v>305.10000000000036</v>
      </c>
      <c r="M4013" s="260" t="s">
        <v>239</v>
      </c>
      <c r="N4013" s="260" t="s">
        <v>514</v>
      </c>
    </row>
    <row r="4014" spans="1:14" ht="14.5" x14ac:dyDescent="0.35">
      <c r="A4014" s="260" t="s">
        <v>747</v>
      </c>
      <c r="B4014" s="190">
        <v>45898</v>
      </c>
      <c r="C4014" s="260" t="s">
        <v>754</v>
      </c>
      <c r="D4014" s="197">
        <v>100</v>
      </c>
      <c r="E4014" s="197">
        <v>8008</v>
      </c>
      <c r="F4014" s="197">
        <v>85.4</v>
      </c>
      <c r="G4014" s="190">
        <v>45898</v>
      </c>
      <c r="H4014" s="196">
        <v>0</v>
      </c>
      <c r="I4014" s="197">
        <v>8540</v>
      </c>
      <c r="J4014" s="197">
        <v>8540</v>
      </c>
      <c r="K4014" s="197">
        <v>0</v>
      </c>
      <c r="L4014" s="197">
        <v>532</v>
      </c>
      <c r="M4014" s="260" t="s">
        <v>239</v>
      </c>
      <c r="N4014" s="260" t="s">
        <v>514</v>
      </c>
    </row>
    <row r="4015" spans="1:14" ht="14.5" x14ac:dyDescent="0.35">
      <c r="A4015" s="260" t="s">
        <v>747</v>
      </c>
      <c r="B4015" s="190">
        <v>45899</v>
      </c>
      <c r="C4015" s="260" t="s">
        <v>749</v>
      </c>
      <c r="D4015" s="197">
        <v>80</v>
      </c>
      <c r="E4015" s="197">
        <v>4004</v>
      </c>
      <c r="F4015" s="197">
        <v>49.2</v>
      </c>
      <c r="G4015" s="190">
        <v>45898</v>
      </c>
      <c r="H4015" s="196">
        <v>1</v>
      </c>
      <c r="I4015" s="197">
        <v>3936</v>
      </c>
      <c r="J4015" s="197">
        <v>3936</v>
      </c>
      <c r="K4015" s="197">
        <v>0</v>
      </c>
      <c r="L4015" s="197">
        <v>-68</v>
      </c>
      <c r="M4015" s="260" t="s">
        <v>239</v>
      </c>
      <c r="N4015" s="260" t="s">
        <v>514</v>
      </c>
    </row>
    <row r="4016" spans="1:14" ht="14.5" x14ac:dyDescent="0.35">
      <c r="A4016" s="260" t="s">
        <v>747</v>
      </c>
      <c r="B4016" s="190">
        <v>45899</v>
      </c>
      <c r="C4016" s="260" t="s">
        <v>752</v>
      </c>
      <c r="D4016" s="197">
        <v>30</v>
      </c>
      <c r="E4016" s="197">
        <v>5343</v>
      </c>
      <c r="F4016" s="197">
        <v>188.27</v>
      </c>
      <c r="G4016" s="190">
        <v>45898</v>
      </c>
      <c r="H4016" s="196">
        <v>1</v>
      </c>
      <c r="I4016" s="197">
        <v>5648.1</v>
      </c>
      <c r="J4016" s="197">
        <v>5648.1</v>
      </c>
      <c r="K4016" s="197">
        <v>0</v>
      </c>
      <c r="L4016" s="197">
        <v>305.10000000000036</v>
      </c>
      <c r="M4016" s="260" t="s">
        <v>239</v>
      </c>
      <c r="N4016" s="260" t="s">
        <v>514</v>
      </c>
    </row>
    <row r="4017" spans="1:14" ht="14.5" x14ac:dyDescent="0.35">
      <c r="A4017" s="260" t="s">
        <v>747</v>
      </c>
      <c r="B4017" s="190">
        <v>45899</v>
      </c>
      <c r="C4017" s="260" t="s">
        <v>754</v>
      </c>
      <c r="D4017" s="197">
        <v>100</v>
      </c>
      <c r="E4017" s="197">
        <v>8008</v>
      </c>
      <c r="F4017" s="197">
        <v>85.4</v>
      </c>
      <c r="G4017" s="190">
        <v>45898</v>
      </c>
      <c r="H4017" s="196">
        <v>1</v>
      </c>
      <c r="I4017" s="197">
        <v>8540</v>
      </c>
      <c r="J4017" s="197">
        <v>8540</v>
      </c>
      <c r="K4017" s="197">
        <v>0</v>
      </c>
      <c r="L4017" s="197">
        <v>532</v>
      </c>
      <c r="M4017" s="260" t="s">
        <v>239</v>
      </c>
      <c r="N4017" s="260" t="s">
        <v>514</v>
      </c>
    </row>
    <row r="4018" spans="1:14" ht="14.5" x14ac:dyDescent="0.35">
      <c r="A4018" s="260" t="s">
        <v>747</v>
      </c>
      <c r="B4018" s="190">
        <v>45900</v>
      </c>
      <c r="C4018" s="260" t="s">
        <v>749</v>
      </c>
      <c r="D4018" s="197">
        <v>80</v>
      </c>
      <c r="E4018" s="197">
        <v>4004</v>
      </c>
      <c r="F4018" s="197">
        <v>49.2</v>
      </c>
      <c r="G4018" s="190">
        <v>45898</v>
      </c>
      <c r="H4018" s="196">
        <v>2</v>
      </c>
      <c r="I4018" s="197">
        <v>3936</v>
      </c>
      <c r="J4018" s="197">
        <v>3936</v>
      </c>
      <c r="K4018" s="197">
        <v>0</v>
      </c>
      <c r="L4018" s="197">
        <v>-68</v>
      </c>
      <c r="M4018" s="260" t="s">
        <v>239</v>
      </c>
      <c r="N4018" s="260" t="s">
        <v>514</v>
      </c>
    </row>
    <row r="4019" spans="1:14" ht="14.5" x14ac:dyDescent="0.35">
      <c r="A4019" s="260" t="s">
        <v>747</v>
      </c>
      <c r="B4019" s="190">
        <v>45900</v>
      </c>
      <c r="C4019" s="260" t="s">
        <v>752</v>
      </c>
      <c r="D4019" s="197">
        <v>30</v>
      </c>
      <c r="E4019" s="197">
        <v>5343</v>
      </c>
      <c r="F4019" s="197">
        <v>188.27</v>
      </c>
      <c r="G4019" s="190">
        <v>45898</v>
      </c>
      <c r="H4019" s="196">
        <v>2</v>
      </c>
      <c r="I4019" s="197">
        <v>5648.1</v>
      </c>
      <c r="J4019" s="197">
        <v>5648.1</v>
      </c>
      <c r="K4019" s="197">
        <v>0</v>
      </c>
      <c r="L4019" s="197">
        <v>305.10000000000036</v>
      </c>
      <c r="M4019" s="260" t="s">
        <v>239</v>
      </c>
      <c r="N4019" s="260" t="s">
        <v>514</v>
      </c>
    </row>
    <row r="4020" spans="1:14" ht="14.5" x14ac:dyDescent="0.35">
      <c r="A4020" s="260" t="s">
        <v>747</v>
      </c>
      <c r="B4020" s="190">
        <v>45900</v>
      </c>
      <c r="C4020" s="260" t="s">
        <v>754</v>
      </c>
      <c r="D4020" s="197">
        <v>100</v>
      </c>
      <c r="E4020" s="197">
        <v>8008</v>
      </c>
      <c r="F4020" s="197">
        <v>85.4</v>
      </c>
      <c r="G4020" s="190">
        <v>45898</v>
      </c>
      <c r="H4020" s="196">
        <v>2</v>
      </c>
      <c r="I4020" s="197">
        <v>8540</v>
      </c>
      <c r="J4020" s="197">
        <v>8540</v>
      </c>
      <c r="K4020" s="197">
        <v>0</v>
      </c>
      <c r="L4020" s="197">
        <v>532</v>
      </c>
      <c r="M4020" s="260" t="s">
        <v>239</v>
      </c>
      <c r="N4020" s="260" t="s">
        <v>514</v>
      </c>
    </row>
    <row r="4021" spans="1:14" ht="14.5" x14ac:dyDescent="0.35">
      <c r="A4021" s="260" t="s">
        <v>747</v>
      </c>
      <c r="B4021" s="190">
        <v>45901</v>
      </c>
      <c r="C4021" s="260" t="s">
        <v>749</v>
      </c>
      <c r="D4021" s="197">
        <v>80</v>
      </c>
      <c r="E4021" s="197">
        <v>4004</v>
      </c>
      <c r="F4021" s="197">
        <v>49</v>
      </c>
      <c r="G4021" s="190">
        <v>45901</v>
      </c>
      <c r="H4021" s="196">
        <v>0</v>
      </c>
      <c r="I4021" s="197">
        <v>3920</v>
      </c>
      <c r="J4021" s="197">
        <v>3920</v>
      </c>
      <c r="K4021" s="197">
        <v>0</v>
      </c>
      <c r="L4021" s="197">
        <v>-84</v>
      </c>
      <c r="M4021" s="260" t="s">
        <v>239</v>
      </c>
      <c r="N4021" s="260" t="s">
        <v>514</v>
      </c>
    </row>
    <row r="4022" spans="1:14" ht="14.5" x14ac:dyDescent="0.35">
      <c r="A4022" s="260" t="s">
        <v>747</v>
      </c>
      <c r="B4022" s="190">
        <v>45901</v>
      </c>
      <c r="C4022" s="260" t="s">
        <v>752</v>
      </c>
      <c r="D4022" s="197">
        <v>30</v>
      </c>
      <c r="E4022" s="197">
        <v>5343</v>
      </c>
      <c r="F4022" s="197">
        <v>186</v>
      </c>
      <c r="G4022" s="190">
        <v>45901</v>
      </c>
      <c r="H4022" s="196">
        <v>0</v>
      </c>
      <c r="I4022" s="197">
        <v>5580</v>
      </c>
      <c r="J4022" s="197">
        <v>5580</v>
      </c>
      <c r="K4022" s="197">
        <v>90</v>
      </c>
      <c r="L4022" s="197">
        <v>237</v>
      </c>
      <c r="M4022" s="260" t="s">
        <v>239</v>
      </c>
      <c r="N4022" s="260" t="s">
        <v>514</v>
      </c>
    </row>
    <row r="4023" spans="1:14" ht="14.5" x14ac:dyDescent="0.35">
      <c r="A4023" s="260" t="s">
        <v>747</v>
      </c>
      <c r="B4023" s="190">
        <v>45901</v>
      </c>
      <c r="C4023" s="260" t="s">
        <v>754</v>
      </c>
      <c r="D4023" s="197">
        <v>100</v>
      </c>
      <c r="E4023" s="197">
        <v>8008</v>
      </c>
      <c r="F4023" s="197">
        <v>86</v>
      </c>
      <c r="G4023" s="190">
        <v>45901</v>
      </c>
      <c r="H4023" s="196">
        <v>0</v>
      </c>
      <c r="I4023" s="197">
        <v>8600</v>
      </c>
      <c r="J4023" s="197">
        <v>8600</v>
      </c>
      <c r="K4023" s="197">
        <v>0</v>
      </c>
      <c r="L4023" s="197">
        <v>592</v>
      </c>
      <c r="M4023" s="260" t="s">
        <v>239</v>
      </c>
      <c r="N4023" s="260" t="s">
        <v>514</v>
      </c>
    </row>
    <row r="4024" spans="1:14" ht="14.5" x14ac:dyDescent="0.35">
      <c r="A4024" s="260" t="s">
        <v>747</v>
      </c>
      <c r="B4024" s="190">
        <v>45902</v>
      </c>
      <c r="C4024" s="260" t="s">
        <v>749</v>
      </c>
      <c r="D4024" s="197">
        <v>80</v>
      </c>
      <c r="E4024" s="197">
        <v>4004</v>
      </c>
      <c r="F4024" s="197">
        <v>49.17</v>
      </c>
      <c r="G4024" s="190">
        <v>45902</v>
      </c>
      <c r="H4024" s="196">
        <v>0</v>
      </c>
      <c r="I4024" s="197">
        <v>3933.6000000000004</v>
      </c>
      <c r="J4024" s="197">
        <v>3933.6000000000004</v>
      </c>
      <c r="K4024" s="197">
        <v>0</v>
      </c>
      <c r="L4024" s="197">
        <v>-70.399999999999636</v>
      </c>
      <c r="M4024" s="260" t="s">
        <v>239</v>
      </c>
      <c r="N4024" s="260" t="s">
        <v>514</v>
      </c>
    </row>
    <row r="4025" spans="1:14" ht="14.5" x14ac:dyDescent="0.35">
      <c r="A4025" s="260" t="s">
        <v>747</v>
      </c>
      <c r="B4025" s="190">
        <v>45902</v>
      </c>
      <c r="C4025" s="260" t="s">
        <v>752</v>
      </c>
      <c r="D4025" s="197">
        <v>30</v>
      </c>
      <c r="E4025" s="197">
        <v>5343</v>
      </c>
      <c r="F4025" s="197">
        <v>185.69</v>
      </c>
      <c r="G4025" s="190">
        <v>45902</v>
      </c>
      <c r="H4025" s="196">
        <v>0</v>
      </c>
      <c r="I4025" s="197">
        <v>5570.7</v>
      </c>
      <c r="J4025" s="197">
        <v>5570.7</v>
      </c>
      <c r="K4025" s="197">
        <v>90</v>
      </c>
      <c r="L4025" s="197">
        <v>227.69999999999982</v>
      </c>
      <c r="M4025" s="260" t="s">
        <v>239</v>
      </c>
      <c r="N4025" s="260" t="s">
        <v>514</v>
      </c>
    </row>
    <row r="4026" spans="1:14" ht="14.5" x14ac:dyDescent="0.35">
      <c r="A4026" s="260" t="s">
        <v>747</v>
      </c>
      <c r="B4026" s="190">
        <v>45902</v>
      </c>
      <c r="C4026" s="260" t="s">
        <v>754</v>
      </c>
      <c r="D4026" s="197">
        <v>100</v>
      </c>
      <c r="E4026" s="197">
        <v>8008</v>
      </c>
      <c r="F4026" s="197">
        <v>85.86</v>
      </c>
      <c r="G4026" s="190">
        <v>45902</v>
      </c>
      <c r="H4026" s="196">
        <v>0</v>
      </c>
      <c r="I4026" s="197">
        <v>8586</v>
      </c>
      <c r="J4026" s="197">
        <v>8586</v>
      </c>
      <c r="K4026" s="197">
        <v>0</v>
      </c>
      <c r="L4026" s="197">
        <v>578</v>
      </c>
      <c r="M4026" s="260" t="s">
        <v>239</v>
      </c>
      <c r="N4026" s="260" t="s">
        <v>514</v>
      </c>
    </row>
    <row r="4027" spans="1:14" ht="14.5" x14ac:dyDescent="0.35">
      <c r="A4027" s="260" t="s">
        <v>747</v>
      </c>
      <c r="B4027" s="190">
        <v>45903</v>
      </c>
      <c r="C4027" s="260" t="s">
        <v>749</v>
      </c>
      <c r="D4027" s="197">
        <v>80</v>
      </c>
      <c r="E4027" s="197">
        <v>4004</v>
      </c>
      <c r="F4027" s="197">
        <v>49.34</v>
      </c>
      <c r="G4027" s="190">
        <v>45903</v>
      </c>
      <c r="H4027" s="196">
        <v>0</v>
      </c>
      <c r="I4027" s="197">
        <v>3947.2000000000003</v>
      </c>
      <c r="J4027" s="197">
        <v>3947.2000000000003</v>
      </c>
      <c r="K4027" s="197">
        <v>0</v>
      </c>
      <c r="L4027" s="197">
        <v>-56.799999999999727</v>
      </c>
      <c r="M4027" s="260" t="s">
        <v>239</v>
      </c>
      <c r="N4027" s="260" t="s">
        <v>514</v>
      </c>
    </row>
    <row r="4028" spans="1:14" ht="14.5" x14ac:dyDescent="0.35">
      <c r="A4028" s="260" t="s">
        <v>747</v>
      </c>
      <c r="B4028" s="190">
        <v>45903</v>
      </c>
      <c r="C4028" s="260" t="s">
        <v>752</v>
      </c>
      <c r="D4028" s="197">
        <v>30</v>
      </c>
      <c r="E4028" s="197">
        <v>5343</v>
      </c>
      <c r="F4028" s="197">
        <v>185.38</v>
      </c>
      <c r="G4028" s="190">
        <v>45903</v>
      </c>
      <c r="H4028" s="196">
        <v>0</v>
      </c>
      <c r="I4028" s="197">
        <v>5561.4</v>
      </c>
      <c r="J4028" s="197">
        <v>5561.4</v>
      </c>
      <c r="K4028" s="197">
        <v>90</v>
      </c>
      <c r="L4028" s="197">
        <v>218.39999999999964</v>
      </c>
      <c r="M4028" s="260" t="s">
        <v>239</v>
      </c>
      <c r="N4028" s="260" t="s">
        <v>514</v>
      </c>
    </row>
    <row r="4029" spans="1:14" ht="14.5" x14ac:dyDescent="0.35">
      <c r="A4029" s="260" t="s">
        <v>747</v>
      </c>
      <c r="B4029" s="190">
        <v>45903</v>
      </c>
      <c r="C4029" s="260" t="s">
        <v>754</v>
      </c>
      <c r="D4029" s="197">
        <v>100</v>
      </c>
      <c r="E4029" s="197">
        <v>8008</v>
      </c>
      <c r="F4029" s="197">
        <v>85.72</v>
      </c>
      <c r="G4029" s="190">
        <v>45903</v>
      </c>
      <c r="H4029" s="196">
        <v>0</v>
      </c>
      <c r="I4029" s="197">
        <v>8572</v>
      </c>
      <c r="J4029" s="197">
        <v>8572</v>
      </c>
      <c r="K4029" s="197">
        <v>0</v>
      </c>
      <c r="L4029" s="197">
        <v>564</v>
      </c>
      <c r="M4029" s="260" t="s">
        <v>239</v>
      </c>
      <c r="N4029" s="260" t="s">
        <v>514</v>
      </c>
    </row>
    <row r="4030" spans="1:14" ht="14.5" x14ac:dyDescent="0.35">
      <c r="A4030" s="260" t="s">
        <v>747</v>
      </c>
      <c r="B4030" s="190">
        <v>45904</v>
      </c>
      <c r="C4030" s="260" t="s">
        <v>749</v>
      </c>
      <c r="D4030" s="197">
        <v>80</v>
      </c>
      <c r="E4030" s="197">
        <v>4004</v>
      </c>
      <c r="F4030" s="197">
        <v>49.52</v>
      </c>
      <c r="G4030" s="190">
        <v>45904</v>
      </c>
      <c r="H4030" s="196">
        <v>0</v>
      </c>
      <c r="I4030" s="197">
        <v>3961.6000000000004</v>
      </c>
      <c r="J4030" s="197">
        <v>3961.6000000000004</v>
      </c>
      <c r="K4030" s="197">
        <v>0</v>
      </c>
      <c r="L4030" s="197">
        <v>-42.399999999999636</v>
      </c>
      <c r="M4030" s="260" t="s">
        <v>239</v>
      </c>
      <c r="N4030" s="260" t="s">
        <v>514</v>
      </c>
    </row>
    <row r="4031" spans="1:14" ht="14.5" x14ac:dyDescent="0.35">
      <c r="A4031" s="260" t="s">
        <v>747</v>
      </c>
      <c r="B4031" s="190">
        <v>45904</v>
      </c>
      <c r="C4031" s="260" t="s">
        <v>752</v>
      </c>
      <c r="D4031" s="197">
        <v>30</v>
      </c>
      <c r="E4031" s="197">
        <v>5343</v>
      </c>
      <c r="F4031" s="197">
        <v>185.07</v>
      </c>
      <c r="G4031" s="190">
        <v>45904</v>
      </c>
      <c r="H4031" s="196">
        <v>0</v>
      </c>
      <c r="I4031" s="197">
        <v>5552.0999999999995</v>
      </c>
      <c r="J4031" s="197">
        <v>5552.0999999999995</v>
      </c>
      <c r="K4031" s="197">
        <v>90</v>
      </c>
      <c r="L4031" s="197">
        <v>209.09999999999945</v>
      </c>
      <c r="M4031" s="260" t="s">
        <v>239</v>
      </c>
      <c r="N4031" s="260" t="s">
        <v>514</v>
      </c>
    </row>
    <row r="4032" spans="1:14" ht="14.5" x14ac:dyDescent="0.35">
      <c r="A4032" s="260" t="s">
        <v>747</v>
      </c>
      <c r="B4032" s="190">
        <v>45904</v>
      </c>
      <c r="C4032" s="260" t="s">
        <v>754</v>
      </c>
      <c r="D4032" s="197">
        <v>100</v>
      </c>
      <c r="E4032" s="197">
        <v>8008</v>
      </c>
      <c r="F4032" s="197">
        <v>85.59</v>
      </c>
      <c r="G4032" s="190">
        <v>45904</v>
      </c>
      <c r="H4032" s="196">
        <v>0</v>
      </c>
      <c r="I4032" s="197">
        <v>8559</v>
      </c>
      <c r="J4032" s="197">
        <v>8559</v>
      </c>
      <c r="K4032" s="197">
        <v>0</v>
      </c>
      <c r="L4032" s="197">
        <v>551</v>
      </c>
      <c r="M4032" s="260" t="s">
        <v>239</v>
      </c>
      <c r="N4032" s="260" t="s">
        <v>514</v>
      </c>
    </row>
    <row r="4033" spans="1:14" ht="14.5" x14ac:dyDescent="0.35">
      <c r="A4033" s="260" t="s">
        <v>747</v>
      </c>
      <c r="B4033" s="190">
        <v>45905</v>
      </c>
      <c r="C4033" s="260" t="s">
        <v>749</v>
      </c>
      <c r="D4033" s="197">
        <v>80</v>
      </c>
      <c r="E4033" s="197">
        <v>4004</v>
      </c>
      <c r="F4033" s="197">
        <v>49.69</v>
      </c>
      <c r="G4033" s="190">
        <v>45905</v>
      </c>
      <c r="H4033" s="196">
        <v>0</v>
      </c>
      <c r="I4033" s="197">
        <v>3975.2</v>
      </c>
      <c r="J4033" s="197">
        <v>3975.2</v>
      </c>
      <c r="K4033" s="197">
        <v>0</v>
      </c>
      <c r="L4033" s="197">
        <v>-28.800000000000182</v>
      </c>
      <c r="M4033" s="260" t="s">
        <v>239</v>
      </c>
      <c r="N4033" s="260" t="s">
        <v>514</v>
      </c>
    </row>
    <row r="4034" spans="1:14" ht="14.5" x14ac:dyDescent="0.35">
      <c r="A4034" s="260" t="s">
        <v>747</v>
      </c>
      <c r="B4034" s="190">
        <v>45905</v>
      </c>
      <c r="C4034" s="260" t="s">
        <v>752</v>
      </c>
      <c r="D4034" s="197">
        <v>30</v>
      </c>
      <c r="E4034" s="197">
        <v>5343</v>
      </c>
      <c r="F4034" s="197">
        <v>184.76</v>
      </c>
      <c r="G4034" s="190">
        <v>45905</v>
      </c>
      <c r="H4034" s="196">
        <v>0</v>
      </c>
      <c r="I4034" s="197">
        <v>5542.7999999999993</v>
      </c>
      <c r="J4034" s="197">
        <v>5542.7999999999993</v>
      </c>
      <c r="K4034" s="197">
        <v>90</v>
      </c>
      <c r="L4034" s="197">
        <v>199.79999999999927</v>
      </c>
      <c r="M4034" s="260" t="s">
        <v>239</v>
      </c>
      <c r="N4034" s="260" t="s">
        <v>514</v>
      </c>
    </row>
    <row r="4035" spans="1:14" ht="14.5" x14ac:dyDescent="0.35">
      <c r="A4035" s="260" t="s">
        <v>747</v>
      </c>
      <c r="B4035" s="190">
        <v>45905</v>
      </c>
      <c r="C4035" s="260" t="s">
        <v>754</v>
      </c>
      <c r="D4035" s="197">
        <v>100</v>
      </c>
      <c r="E4035" s="197">
        <v>8008</v>
      </c>
      <c r="F4035" s="197">
        <v>85.45</v>
      </c>
      <c r="G4035" s="190">
        <v>45905</v>
      </c>
      <c r="H4035" s="196">
        <v>0</v>
      </c>
      <c r="I4035" s="197">
        <v>8545</v>
      </c>
      <c r="J4035" s="197">
        <v>8545</v>
      </c>
      <c r="K4035" s="197">
        <v>0</v>
      </c>
      <c r="L4035" s="197">
        <v>537</v>
      </c>
      <c r="M4035" s="260" t="s">
        <v>239</v>
      </c>
      <c r="N4035" s="260" t="s">
        <v>514</v>
      </c>
    </row>
    <row r="4036" spans="1:14" ht="14.5" x14ac:dyDescent="0.35">
      <c r="A4036" s="260" t="s">
        <v>747</v>
      </c>
      <c r="B4036" s="190">
        <v>45906</v>
      </c>
      <c r="C4036" s="260" t="s">
        <v>749</v>
      </c>
      <c r="D4036" s="197">
        <v>80</v>
      </c>
      <c r="E4036" s="197">
        <v>4004</v>
      </c>
      <c r="F4036" s="197">
        <v>49.69</v>
      </c>
      <c r="G4036" s="190">
        <v>45905</v>
      </c>
      <c r="H4036" s="196">
        <v>1</v>
      </c>
      <c r="I4036" s="197">
        <v>3975.2</v>
      </c>
      <c r="J4036" s="197">
        <v>3975.2</v>
      </c>
      <c r="K4036" s="197">
        <v>0</v>
      </c>
      <c r="L4036" s="197">
        <v>-28.800000000000182</v>
      </c>
      <c r="M4036" s="260" t="s">
        <v>239</v>
      </c>
      <c r="N4036" s="260" t="s">
        <v>514</v>
      </c>
    </row>
    <row r="4037" spans="1:14" ht="14.5" x14ac:dyDescent="0.35">
      <c r="A4037" s="260" t="s">
        <v>747</v>
      </c>
      <c r="B4037" s="190">
        <v>45906</v>
      </c>
      <c r="C4037" s="260" t="s">
        <v>752</v>
      </c>
      <c r="D4037" s="197">
        <v>30</v>
      </c>
      <c r="E4037" s="197">
        <v>5343</v>
      </c>
      <c r="F4037" s="197">
        <v>184.76</v>
      </c>
      <c r="G4037" s="190">
        <v>45905</v>
      </c>
      <c r="H4037" s="196">
        <v>1</v>
      </c>
      <c r="I4037" s="197">
        <v>5542.7999999999993</v>
      </c>
      <c r="J4037" s="197">
        <v>5542.7999999999993</v>
      </c>
      <c r="K4037" s="197">
        <v>90</v>
      </c>
      <c r="L4037" s="197">
        <v>199.79999999999927</v>
      </c>
      <c r="M4037" s="260" t="s">
        <v>239</v>
      </c>
      <c r="N4037" s="260" t="s">
        <v>514</v>
      </c>
    </row>
    <row r="4038" spans="1:14" ht="14.5" x14ac:dyDescent="0.35">
      <c r="A4038" s="260" t="s">
        <v>747</v>
      </c>
      <c r="B4038" s="190">
        <v>45906</v>
      </c>
      <c r="C4038" s="260" t="s">
        <v>754</v>
      </c>
      <c r="D4038" s="197">
        <v>100</v>
      </c>
      <c r="E4038" s="197">
        <v>8008</v>
      </c>
      <c r="F4038" s="197">
        <v>85.45</v>
      </c>
      <c r="G4038" s="190">
        <v>45905</v>
      </c>
      <c r="H4038" s="196">
        <v>1</v>
      </c>
      <c r="I4038" s="197">
        <v>8545</v>
      </c>
      <c r="J4038" s="197">
        <v>8545</v>
      </c>
      <c r="K4038" s="197">
        <v>0</v>
      </c>
      <c r="L4038" s="197">
        <v>537</v>
      </c>
      <c r="M4038" s="260" t="s">
        <v>239</v>
      </c>
      <c r="N4038" s="260" t="s">
        <v>514</v>
      </c>
    </row>
    <row r="4039" spans="1:14" ht="14.5" x14ac:dyDescent="0.35">
      <c r="A4039" s="260" t="s">
        <v>747</v>
      </c>
      <c r="B4039" s="190">
        <v>45907</v>
      </c>
      <c r="C4039" s="260" t="s">
        <v>749</v>
      </c>
      <c r="D4039" s="197">
        <v>80</v>
      </c>
      <c r="E4039" s="197">
        <v>4004</v>
      </c>
      <c r="F4039" s="197">
        <v>49.69</v>
      </c>
      <c r="G4039" s="190">
        <v>45905</v>
      </c>
      <c r="H4039" s="196">
        <v>2</v>
      </c>
      <c r="I4039" s="197">
        <v>3975.2</v>
      </c>
      <c r="J4039" s="197">
        <v>3975.2</v>
      </c>
      <c r="K4039" s="197">
        <v>0</v>
      </c>
      <c r="L4039" s="197">
        <v>-28.800000000000182</v>
      </c>
      <c r="M4039" s="260" t="s">
        <v>239</v>
      </c>
      <c r="N4039" s="260" t="s">
        <v>514</v>
      </c>
    </row>
    <row r="4040" spans="1:14" ht="14.5" x14ac:dyDescent="0.35">
      <c r="A4040" s="260" t="s">
        <v>747</v>
      </c>
      <c r="B4040" s="190">
        <v>45907</v>
      </c>
      <c r="C4040" s="260" t="s">
        <v>752</v>
      </c>
      <c r="D4040" s="197">
        <v>30</v>
      </c>
      <c r="E4040" s="197">
        <v>5343</v>
      </c>
      <c r="F4040" s="197">
        <v>184.76</v>
      </c>
      <c r="G4040" s="190">
        <v>45905</v>
      </c>
      <c r="H4040" s="196">
        <v>2</v>
      </c>
      <c r="I4040" s="197">
        <v>5542.7999999999993</v>
      </c>
      <c r="J4040" s="197">
        <v>5542.7999999999993</v>
      </c>
      <c r="K4040" s="197">
        <v>90</v>
      </c>
      <c r="L4040" s="197">
        <v>199.79999999999927</v>
      </c>
      <c r="M4040" s="260" t="s">
        <v>239</v>
      </c>
      <c r="N4040" s="260" t="s">
        <v>514</v>
      </c>
    </row>
    <row r="4041" spans="1:14" ht="14.5" x14ac:dyDescent="0.35">
      <c r="A4041" s="260" t="s">
        <v>747</v>
      </c>
      <c r="B4041" s="190">
        <v>45907</v>
      </c>
      <c r="C4041" s="260" t="s">
        <v>754</v>
      </c>
      <c r="D4041" s="197">
        <v>100</v>
      </c>
      <c r="E4041" s="197">
        <v>8008</v>
      </c>
      <c r="F4041" s="197">
        <v>85.45</v>
      </c>
      <c r="G4041" s="190">
        <v>45905</v>
      </c>
      <c r="H4041" s="196">
        <v>2</v>
      </c>
      <c r="I4041" s="197">
        <v>8545</v>
      </c>
      <c r="J4041" s="197">
        <v>8545</v>
      </c>
      <c r="K4041" s="197">
        <v>0</v>
      </c>
      <c r="L4041" s="197">
        <v>537</v>
      </c>
      <c r="M4041" s="260" t="s">
        <v>239</v>
      </c>
      <c r="N4041" s="260" t="s">
        <v>514</v>
      </c>
    </row>
    <row r="4042" spans="1:14" ht="14.5" x14ac:dyDescent="0.35">
      <c r="A4042" s="260" t="s">
        <v>747</v>
      </c>
      <c r="B4042" s="190">
        <v>45908</v>
      </c>
      <c r="C4042" s="260" t="s">
        <v>749</v>
      </c>
      <c r="D4042" s="197">
        <v>80</v>
      </c>
      <c r="E4042" s="197">
        <v>4004</v>
      </c>
      <c r="F4042" s="197">
        <v>50.21</v>
      </c>
      <c r="G4042" s="190">
        <v>45908</v>
      </c>
      <c r="H4042" s="196">
        <v>0</v>
      </c>
      <c r="I4042" s="197">
        <v>4016.8</v>
      </c>
      <c r="J4042" s="197">
        <v>4016.8</v>
      </c>
      <c r="K4042" s="197">
        <v>0</v>
      </c>
      <c r="L4042" s="197">
        <v>12.800000000000182</v>
      </c>
      <c r="M4042" s="260" t="s">
        <v>239</v>
      </c>
      <c r="N4042" s="260" t="s">
        <v>514</v>
      </c>
    </row>
    <row r="4043" spans="1:14" ht="14.5" x14ac:dyDescent="0.35">
      <c r="A4043" s="260" t="s">
        <v>747</v>
      </c>
      <c r="B4043" s="190">
        <v>45908</v>
      </c>
      <c r="C4043" s="260" t="s">
        <v>752</v>
      </c>
      <c r="D4043" s="197">
        <v>30</v>
      </c>
      <c r="E4043" s="197">
        <v>5343</v>
      </c>
      <c r="F4043" s="197">
        <v>183.83</v>
      </c>
      <c r="G4043" s="190">
        <v>45908</v>
      </c>
      <c r="H4043" s="196">
        <v>0</v>
      </c>
      <c r="I4043" s="197">
        <v>5514.9000000000005</v>
      </c>
      <c r="J4043" s="197">
        <v>5514.9000000000005</v>
      </c>
      <c r="K4043" s="197">
        <v>90</v>
      </c>
      <c r="L4043" s="197">
        <v>171.90000000000055</v>
      </c>
      <c r="M4043" s="260" t="s">
        <v>239</v>
      </c>
      <c r="N4043" s="260" t="s">
        <v>514</v>
      </c>
    </row>
    <row r="4044" spans="1:14" ht="14.5" x14ac:dyDescent="0.35">
      <c r="A4044" s="260" t="s">
        <v>747</v>
      </c>
      <c r="B4044" s="190">
        <v>45908</v>
      </c>
      <c r="C4044" s="260" t="s">
        <v>754</v>
      </c>
      <c r="D4044" s="197">
        <v>100</v>
      </c>
      <c r="E4044" s="197">
        <v>8008</v>
      </c>
      <c r="F4044" s="197">
        <v>85.03</v>
      </c>
      <c r="G4044" s="190">
        <v>45908</v>
      </c>
      <c r="H4044" s="196">
        <v>0</v>
      </c>
      <c r="I4044" s="197">
        <v>8503</v>
      </c>
      <c r="J4044" s="197">
        <v>8503</v>
      </c>
      <c r="K4044" s="197">
        <v>0</v>
      </c>
      <c r="L4044" s="197">
        <v>495</v>
      </c>
      <c r="M4044" s="260" t="s">
        <v>239</v>
      </c>
      <c r="N4044" s="260" t="s">
        <v>514</v>
      </c>
    </row>
    <row r="4045" spans="1:14" ht="14.5" x14ac:dyDescent="0.35">
      <c r="A4045" s="260" t="s">
        <v>747</v>
      </c>
      <c r="B4045" s="190">
        <v>45909</v>
      </c>
      <c r="C4045" s="260" t="s">
        <v>749</v>
      </c>
      <c r="D4045" s="197">
        <v>80</v>
      </c>
      <c r="E4045" s="197">
        <v>4004</v>
      </c>
      <c r="F4045" s="197">
        <v>50.38</v>
      </c>
      <c r="G4045" s="190">
        <v>45909</v>
      </c>
      <c r="H4045" s="196">
        <v>0</v>
      </c>
      <c r="I4045" s="197">
        <v>4030.4</v>
      </c>
      <c r="J4045" s="197">
        <v>4030.4</v>
      </c>
      <c r="K4045" s="197">
        <v>0</v>
      </c>
      <c r="L4045" s="197">
        <v>26.400000000000091</v>
      </c>
      <c r="M4045" s="260" t="s">
        <v>239</v>
      </c>
      <c r="N4045" s="260" t="s">
        <v>514</v>
      </c>
    </row>
    <row r="4046" spans="1:14" ht="14.5" x14ac:dyDescent="0.35">
      <c r="A4046" s="260" t="s">
        <v>747</v>
      </c>
      <c r="B4046" s="190">
        <v>45909</v>
      </c>
      <c r="C4046" s="260" t="s">
        <v>752</v>
      </c>
      <c r="D4046" s="197">
        <v>30</v>
      </c>
      <c r="E4046" s="197">
        <v>5343</v>
      </c>
      <c r="F4046" s="197">
        <v>183.52</v>
      </c>
      <c r="G4046" s="190">
        <v>45909</v>
      </c>
      <c r="H4046" s="196">
        <v>0</v>
      </c>
      <c r="I4046" s="197">
        <v>5505.6</v>
      </c>
      <c r="J4046" s="197">
        <v>5505.6</v>
      </c>
      <c r="K4046" s="197">
        <v>90</v>
      </c>
      <c r="L4046" s="197">
        <v>162.60000000000036</v>
      </c>
      <c r="M4046" s="260" t="s">
        <v>239</v>
      </c>
      <c r="N4046" s="260" t="s">
        <v>514</v>
      </c>
    </row>
    <row r="4047" spans="1:14" ht="14.5" x14ac:dyDescent="0.35">
      <c r="A4047" s="260" t="s">
        <v>747</v>
      </c>
      <c r="B4047" s="190">
        <v>45909</v>
      </c>
      <c r="C4047" s="260" t="s">
        <v>754</v>
      </c>
      <c r="D4047" s="197">
        <v>100</v>
      </c>
      <c r="E4047" s="197">
        <v>8008</v>
      </c>
      <c r="F4047" s="197">
        <v>84.9</v>
      </c>
      <c r="G4047" s="190">
        <v>45909</v>
      </c>
      <c r="H4047" s="196">
        <v>0</v>
      </c>
      <c r="I4047" s="197">
        <v>8490</v>
      </c>
      <c r="J4047" s="197">
        <v>8490</v>
      </c>
      <c r="K4047" s="197">
        <v>0</v>
      </c>
      <c r="L4047" s="197">
        <v>482</v>
      </c>
      <c r="M4047" s="260" t="s">
        <v>239</v>
      </c>
      <c r="N4047" s="260" t="s">
        <v>514</v>
      </c>
    </row>
    <row r="4048" spans="1:14" ht="14.5" x14ac:dyDescent="0.35">
      <c r="A4048" s="260" t="s">
        <v>747</v>
      </c>
      <c r="B4048" s="190">
        <v>45910</v>
      </c>
      <c r="C4048" s="260" t="s">
        <v>749</v>
      </c>
      <c r="D4048" s="197">
        <v>80</v>
      </c>
      <c r="E4048" s="197">
        <v>4004</v>
      </c>
      <c r="F4048" s="197">
        <v>50.55</v>
      </c>
      <c r="G4048" s="190">
        <v>45910</v>
      </c>
      <c r="H4048" s="196">
        <v>0</v>
      </c>
      <c r="I4048" s="197">
        <v>4044</v>
      </c>
      <c r="J4048" s="197">
        <v>4044</v>
      </c>
      <c r="K4048" s="197">
        <v>0</v>
      </c>
      <c r="L4048" s="197">
        <v>40</v>
      </c>
      <c r="M4048" s="260" t="s">
        <v>239</v>
      </c>
      <c r="N4048" s="260" t="s">
        <v>514</v>
      </c>
    </row>
    <row r="4049" spans="1:14" ht="14.5" x14ac:dyDescent="0.35">
      <c r="A4049" s="260" t="s">
        <v>747</v>
      </c>
      <c r="B4049" s="190">
        <v>45910</v>
      </c>
      <c r="C4049" s="260" t="s">
        <v>752</v>
      </c>
      <c r="D4049" s="197">
        <v>30</v>
      </c>
      <c r="E4049" s="197">
        <v>5343</v>
      </c>
      <c r="F4049" s="197">
        <v>183.21</v>
      </c>
      <c r="G4049" s="190">
        <v>45910</v>
      </c>
      <c r="H4049" s="196">
        <v>0</v>
      </c>
      <c r="I4049" s="197">
        <v>5496.3</v>
      </c>
      <c r="J4049" s="197">
        <v>5496.3</v>
      </c>
      <c r="K4049" s="197">
        <v>90</v>
      </c>
      <c r="L4049" s="197">
        <v>153.30000000000018</v>
      </c>
      <c r="M4049" s="260" t="s">
        <v>239</v>
      </c>
      <c r="N4049" s="260" t="s">
        <v>514</v>
      </c>
    </row>
    <row r="4050" spans="1:14" ht="14.5" x14ac:dyDescent="0.35">
      <c r="A4050" s="260" t="s">
        <v>747</v>
      </c>
      <c r="B4050" s="190">
        <v>45910</v>
      </c>
      <c r="C4050" s="260" t="s">
        <v>754</v>
      </c>
      <c r="D4050" s="197">
        <v>100</v>
      </c>
      <c r="E4050" s="197">
        <v>8008</v>
      </c>
      <c r="F4050" s="197">
        <v>84.76</v>
      </c>
      <c r="G4050" s="190">
        <v>45910</v>
      </c>
      <c r="H4050" s="196">
        <v>0</v>
      </c>
      <c r="I4050" s="197">
        <v>8476</v>
      </c>
      <c r="J4050" s="197">
        <v>8476</v>
      </c>
      <c r="K4050" s="197">
        <v>0</v>
      </c>
      <c r="L4050" s="197">
        <v>468</v>
      </c>
      <c r="M4050" s="260" t="s">
        <v>239</v>
      </c>
      <c r="N4050" s="260" t="s">
        <v>514</v>
      </c>
    </row>
    <row r="4051" spans="1:14" ht="14.5" x14ac:dyDescent="0.35">
      <c r="A4051" s="260" t="s">
        <v>747</v>
      </c>
      <c r="B4051" s="190">
        <v>45911</v>
      </c>
      <c r="C4051" s="260" t="s">
        <v>749</v>
      </c>
      <c r="D4051" s="197">
        <v>80</v>
      </c>
      <c r="E4051" s="197">
        <v>4004</v>
      </c>
      <c r="F4051" s="197">
        <v>50.72</v>
      </c>
      <c r="G4051" s="190">
        <v>45911</v>
      </c>
      <c r="H4051" s="196">
        <v>0</v>
      </c>
      <c r="I4051" s="197">
        <v>4057.6</v>
      </c>
      <c r="J4051" s="197">
        <v>4057.6</v>
      </c>
      <c r="K4051" s="197">
        <v>0</v>
      </c>
      <c r="L4051" s="197">
        <v>53.599999999999909</v>
      </c>
      <c r="M4051" s="260" t="s">
        <v>239</v>
      </c>
      <c r="N4051" s="260" t="s">
        <v>514</v>
      </c>
    </row>
    <row r="4052" spans="1:14" ht="14.5" x14ac:dyDescent="0.35">
      <c r="A4052" s="260" t="s">
        <v>747</v>
      </c>
      <c r="B4052" s="190">
        <v>45911</v>
      </c>
      <c r="C4052" s="260" t="s">
        <v>752</v>
      </c>
      <c r="D4052" s="197">
        <v>30</v>
      </c>
      <c r="E4052" s="197">
        <v>5343</v>
      </c>
      <c r="F4052" s="197">
        <v>182.9</v>
      </c>
      <c r="G4052" s="190">
        <v>45911</v>
      </c>
      <c r="H4052" s="196">
        <v>0</v>
      </c>
      <c r="I4052" s="197">
        <v>5487</v>
      </c>
      <c r="J4052" s="197">
        <v>5487</v>
      </c>
      <c r="K4052" s="197">
        <v>90</v>
      </c>
      <c r="L4052" s="197">
        <v>144</v>
      </c>
      <c r="M4052" s="260" t="s">
        <v>239</v>
      </c>
      <c r="N4052" s="260" t="s">
        <v>514</v>
      </c>
    </row>
    <row r="4053" spans="1:14" ht="14.5" x14ac:dyDescent="0.35">
      <c r="A4053" s="260" t="s">
        <v>747</v>
      </c>
      <c r="B4053" s="190">
        <v>45911</v>
      </c>
      <c r="C4053" s="260" t="s">
        <v>754</v>
      </c>
      <c r="D4053" s="197">
        <v>100</v>
      </c>
      <c r="E4053" s="197">
        <v>8008</v>
      </c>
      <c r="F4053" s="197">
        <v>84.62</v>
      </c>
      <c r="G4053" s="190">
        <v>45911</v>
      </c>
      <c r="H4053" s="196">
        <v>0</v>
      </c>
      <c r="I4053" s="197">
        <v>8462</v>
      </c>
      <c r="J4053" s="197">
        <v>8462</v>
      </c>
      <c r="K4053" s="197">
        <v>0</v>
      </c>
      <c r="L4053" s="197">
        <v>454</v>
      </c>
      <c r="M4053" s="260" t="s">
        <v>239</v>
      </c>
      <c r="N4053" s="260" t="s">
        <v>514</v>
      </c>
    </row>
    <row r="4054" spans="1:14" ht="14.5" x14ac:dyDescent="0.35">
      <c r="A4054" s="260" t="s">
        <v>747</v>
      </c>
      <c r="B4054" s="190">
        <v>45912</v>
      </c>
      <c r="C4054" s="260" t="s">
        <v>749</v>
      </c>
      <c r="D4054" s="197">
        <v>80</v>
      </c>
      <c r="E4054" s="197">
        <v>4004</v>
      </c>
      <c r="F4054" s="197">
        <v>50.9</v>
      </c>
      <c r="G4054" s="190">
        <v>45912</v>
      </c>
      <c r="H4054" s="196">
        <v>0</v>
      </c>
      <c r="I4054" s="197">
        <v>4072</v>
      </c>
      <c r="J4054" s="197">
        <v>4072</v>
      </c>
      <c r="K4054" s="197">
        <v>0</v>
      </c>
      <c r="L4054" s="197">
        <v>68</v>
      </c>
      <c r="M4054" s="260" t="s">
        <v>239</v>
      </c>
      <c r="N4054" s="260" t="s">
        <v>514</v>
      </c>
    </row>
    <row r="4055" spans="1:14" ht="14.5" x14ac:dyDescent="0.35">
      <c r="A4055" s="260" t="s">
        <v>747</v>
      </c>
      <c r="B4055" s="190">
        <v>45912</v>
      </c>
      <c r="C4055" s="260" t="s">
        <v>752</v>
      </c>
      <c r="D4055" s="197">
        <v>30</v>
      </c>
      <c r="E4055" s="197">
        <v>5343</v>
      </c>
      <c r="F4055" s="197">
        <v>182.59</v>
      </c>
      <c r="G4055" s="190">
        <v>45912</v>
      </c>
      <c r="H4055" s="196">
        <v>0</v>
      </c>
      <c r="I4055" s="197">
        <v>5477.7</v>
      </c>
      <c r="J4055" s="197">
        <v>5477.7</v>
      </c>
      <c r="K4055" s="197">
        <v>90</v>
      </c>
      <c r="L4055" s="197">
        <v>134.69999999999982</v>
      </c>
      <c r="M4055" s="260" t="s">
        <v>239</v>
      </c>
      <c r="N4055" s="260" t="s">
        <v>514</v>
      </c>
    </row>
    <row r="4056" spans="1:14" ht="14.5" x14ac:dyDescent="0.35">
      <c r="A4056" s="260" t="s">
        <v>747</v>
      </c>
      <c r="B4056" s="190">
        <v>45912</v>
      </c>
      <c r="C4056" s="260" t="s">
        <v>754</v>
      </c>
      <c r="D4056" s="197">
        <v>100</v>
      </c>
      <c r="E4056" s="197">
        <v>8008</v>
      </c>
      <c r="F4056" s="197">
        <v>84.48</v>
      </c>
      <c r="G4056" s="190">
        <v>45912</v>
      </c>
      <c r="H4056" s="196">
        <v>0</v>
      </c>
      <c r="I4056" s="197">
        <v>8448</v>
      </c>
      <c r="J4056" s="197">
        <v>8448</v>
      </c>
      <c r="K4056" s="197">
        <v>0</v>
      </c>
      <c r="L4056" s="197">
        <v>440</v>
      </c>
      <c r="M4056" s="260" t="s">
        <v>239</v>
      </c>
      <c r="N4056" s="260" t="s">
        <v>514</v>
      </c>
    </row>
    <row r="4057" spans="1:14" ht="14.5" x14ac:dyDescent="0.35">
      <c r="A4057" s="260" t="s">
        <v>747</v>
      </c>
      <c r="B4057" s="190">
        <v>45913</v>
      </c>
      <c r="C4057" s="260" t="s">
        <v>749</v>
      </c>
      <c r="D4057" s="197">
        <v>80</v>
      </c>
      <c r="E4057" s="197">
        <v>4004</v>
      </c>
      <c r="F4057" s="197">
        <v>50.9</v>
      </c>
      <c r="G4057" s="190">
        <v>45912</v>
      </c>
      <c r="H4057" s="196">
        <v>1</v>
      </c>
      <c r="I4057" s="197">
        <v>4072</v>
      </c>
      <c r="J4057" s="197">
        <v>4072</v>
      </c>
      <c r="K4057" s="197">
        <v>0</v>
      </c>
      <c r="L4057" s="197">
        <v>68</v>
      </c>
      <c r="M4057" s="260" t="s">
        <v>239</v>
      </c>
      <c r="N4057" s="260" t="s">
        <v>514</v>
      </c>
    </row>
    <row r="4058" spans="1:14" ht="14.5" x14ac:dyDescent="0.35">
      <c r="A4058" s="260" t="s">
        <v>747</v>
      </c>
      <c r="B4058" s="190">
        <v>45913</v>
      </c>
      <c r="C4058" s="260" t="s">
        <v>752</v>
      </c>
      <c r="D4058" s="197">
        <v>30</v>
      </c>
      <c r="E4058" s="197">
        <v>5343</v>
      </c>
      <c r="F4058" s="197">
        <v>182.59</v>
      </c>
      <c r="G4058" s="190">
        <v>45912</v>
      </c>
      <c r="H4058" s="196">
        <v>1</v>
      </c>
      <c r="I4058" s="197">
        <v>5477.7</v>
      </c>
      <c r="J4058" s="197">
        <v>5477.7</v>
      </c>
      <c r="K4058" s="197">
        <v>90</v>
      </c>
      <c r="L4058" s="197">
        <v>134.69999999999982</v>
      </c>
      <c r="M4058" s="260" t="s">
        <v>239</v>
      </c>
      <c r="N4058" s="260" t="s">
        <v>514</v>
      </c>
    </row>
    <row r="4059" spans="1:14" ht="14.5" x14ac:dyDescent="0.35">
      <c r="A4059" s="260" t="s">
        <v>747</v>
      </c>
      <c r="B4059" s="190">
        <v>45913</v>
      </c>
      <c r="C4059" s="260" t="s">
        <v>754</v>
      </c>
      <c r="D4059" s="197">
        <v>100</v>
      </c>
      <c r="E4059" s="197">
        <v>8008</v>
      </c>
      <c r="F4059" s="197">
        <v>84.48</v>
      </c>
      <c r="G4059" s="190">
        <v>45912</v>
      </c>
      <c r="H4059" s="196">
        <v>1</v>
      </c>
      <c r="I4059" s="197">
        <v>8448</v>
      </c>
      <c r="J4059" s="197">
        <v>8448</v>
      </c>
      <c r="K4059" s="197">
        <v>0</v>
      </c>
      <c r="L4059" s="197">
        <v>440</v>
      </c>
      <c r="M4059" s="260" t="s">
        <v>239</v>
      </c>
      <c r="N4059" s="260" t="s">
        <v>514</v>
      </c>
    </row>
    <row r="4060" spans="1:14" ht="14.5" x14ac:dyDescent="0.35">
      <c r="A4060" s="260" t="s">
        <v>747</v>
      </c>
      <c r="B4060" s="190">
        <v>45914</v>
      </c>
      <c r="C4060" s="260" t="s">
        <v>749</v>
      </c>
      <c r="D4060" s="197">
        <v>80</v>
      </c>
      <c r="E4060" s="197">
        <v>4004</v>
      </c>
      <c r="F4060" s="197">
        <v>50.9</v>
      </c>
      <c r="G4060" s="190">
        <v>45912</v>
      </c>
      <c r="H4060" s="196">
        <v>2</v>
      </c>
      <c r="I4060" s="197">
        <v>4072</v>
      </c>
      <c r="J4060" s="197">
        <v>4072</v>
      </c>
      <c r="K4060" s="197">
        <v>0</v>
      </c>
      <c r="L4060" s="197">
        <v>68</v>
      </c>
      <c r="M4060" s="260" t="s">
        <v>239</v>
      </c>
      <c r="N4060" s="260" t="s">
        <v>514</v>
      </c>
    </row>
    <row r="4061" spans="1:14" ht="14.5" x14ac:dyDescent="0.35">
      <c r="A4061" s="260" t="s">
        <v>747</v>
      </c>
      <c r="B4061" s="190">
        <v>45914</v>
      </c>
      <c r="C4061" s="260" t="s">
        <v>752</v>
      </c>
      <c r="D4061" s="197">
        <v>30</v>
      </c>
      <c r="E4061" s="197">
        <v>5343</v>
      </c>
      <c r="F4061" s="197">
        <v>182.59</v>
      </c>
      <c r="G4061" s="190">
        <v>45912</v>
      </c>
      <c r="H4061" s="196">
        <v>2</v>
      </c>
      <c r="I4061" s="197">
        <v>5477.7</v>
      </c>
      <c r="J4061" s="197">
        <v>5477.7</v>
      </c>
      <c r="K4061" s="197">
        <v>90</v>
      </c>
      <c r="L4061" s="197">
        <v>134.69999999999982</v>
      </c>
      <c r="M4061" s="260" t="s">
        <v>239</v>
      </c>
      <c r="N4061" s="260" t="s">
        <v>514</v>
      </c>
    </row>
    <row r="4062" spans="1:14" ht="14.5" x14ac:dyDescent="0.35">
      <c r="A4062" s="260" t="s">
        <v>747</v>
      </c>
      <c r="B4062" s="190">
        <v>45914</v>
      </c>
      <c r="C4062" s="260" t="s">
        <v>754</v>
      </c>
      <c r="D4062" s="197">
        <v>100</v>
      </c>
      <c r="E4062" s="197">
        <v>8008</v>
      </c>
      <c r="F4062" s="197">
        <v>84.48</v>
      </c>
      <c r="G4062" s="190">
        <v>45912</v>
      </c>
      <c r="H4062" s="196">
        <v>2</v>
      </c>
      <c r="I4062" s="197">
        <v>8448</v>
      </c>
      <c r="J4062" s="197">
        <v>8448</v>
      </c>
      <c r="K4062" s="197">
        <v>0</v>
      </c>
      <c r="L4062" s="197">
        <v>440</v>
      </c>
      <c r="M4062" s="260" t="s">
        <v>239</v>
      </c>
      <c r="N4062" s="260" t="s">
        <v>514</v>
      </c>
    </row>
    <row r="4063" spans="1:14" ht="14.5" x14ac:dyDescent="0.35">
      <c r="A4063" s="260" t="s">
        <v>747</v>
      </c>
      <c r="B4063" s="190">
        <v>45915</v>
      </c>
      <c r="C4063" s="260" t="s">
        <v>749</v>
      </c>
      <c r="D4063" s="197">
        <v>80</v>
      </c>
      <c r="E4063" s="197">
        <v>4004</v>
      </c>
      <c r="F4063" s="197">
        <v>51.41</v>
      </c>
      <c r="G4063" s="190">
        <v>45915</v>
      </c>
      <c r="H4063" s="196">
        <v>0</v>
      </c>
      <c r="I4063" s="197">
        <v>4112.7999999999993</v>
      </c>
      <c r="J4063" s="197">
        <v>4112.7999999999993</v>
      </c>
      <c r="K4063" s="197">
        <v>0</v>
      </c>
      <c r="L4063" s="197">
        <v>108.79999999999927</v>
      </c>
      <c r="M4063" s="260" t="s">
        <v>239</v>
      </c>
      <c r="N4063" s="260" t="s">
        <v>514</v>
      </c>
    </row>
    <row r="4064" spans="1:14" ht="14.5" x14ac:dyDescent="0.35">
      <c r="A4064" s="260" t="s">
        <v>747</v>
      </c>
      <c r="B4064" s="190">
        <v>45915</v>
      </c>
      <c r="C4064" s="260" t="s">
        <v>752</v>
      </c>
      <c r="D4064" s="197">
        <v>30</v>
      </c>
      <c r="E4064" s="197">
        <v>5343</v>
      </c>
      <c r="F4064" s="197">
        <v>181.66</v>
      </c>
      <c r="G4064" s="190">
        <v>45915</v>
      </c>
      <c r="H4064" s="196">
        <v>0</v>
      </c>
      <c r="I4064" s="197">
        <v>5449.8</v>
      </c>
      <c r="J4064" s="197">
        <v>5449.8</v>
      </c>
      <c r="K4064" s="197">
        <v>0</v>
      </c>
      <c r="L4064" s="197">
        <v>106.80000000000018</v>
      </c>
      <c r="M4064" s="260" t="s">
        <v>239</v>
      </c>
      <c r="N4064" s="260" t="s">
        <v>514</v>
      </c>
    </row>
    <row r="4065" spans="1:14" ht="14.5" x14ac:dyDescent="0.35">
      <c r="A4065" s="260" t="s">
        <v>747</v>
      </c>
      <c r="B4065" s="190">
        <v>45915</v>
      </c>
      <c r="C4065" s="260" t="s">
        <v>754</v>
      </c>
      <c r="D4065" s="197">
        <v>100</v>
      </c>
      <c r="E4065" s="197">
        <v>8008</v>
      </c>
      <c r="F4065" s="197">
        <v>84.07</v>
      </c>
      <c r="G4065" s="190">
        <v>45915</v>
      </c>
      <c r="H4065" s="196">
        <v>0</v>
      </c>
      <c r="I4065" s="197">
        <v>8407</v>
      </c>
      <c r="J4065" s="197">
        <v>8407</v>
      </c>
      <c r="K4065" s="197">
        <v>0</v>
      </c>
      <c r="L4065" s="197">
        <v>399</v>
      </c>
      <c r="M4065" s="260" t="s">
        <v>239</v>
      </c>
      <c r="N4065" s="260" t="s">
        <v>514</v>
      </c>
    </row>
    <row r="4066" spans="1:14" ht="14.5" x14ac:dyDescent="0.35">
      <c r="A4066" s="260" t="s">
        <v>747</v>
      </c>
      <c r="B4066" s="190">
        <v>45916</v>
      </c>
      <c r="C4066" s="260" t="s">
        <v>749</v>
      </c>
      <c r="D4066" s="197">
        <v>80</v>
      </c>
      <c r="E4066" s="197">
        <v>4004</v>
      </c>
      <c r="F4066" s="197">
        <v>51.59</v>
      </c>
      <c r="G4066" s="190">
        <v>45916</v>
      </c>
      <c r="H4066" s="196">
        <v>0</v>
      </c>
      <c r="I4066" s="197">
        <v>4127.2000000000007</v>
      </c>
      <c r="J4066" s="197">
        <v>4127.2000000000007</v>
      </c>
      <c r="K4066" s="197">
        <v>0</v>
      </c>
      <c r="L4066" s="197">
        <v>123.20000000000073</v>
      </c>
      <c r="M4066" s="260" t="s">
        <v>239</v>
      </c>
      <c r="N4066" s="260" t="s">
        <v>514</v>
      </c>
    </row>
    <row r="4067" spans="1:14" ht="14.5" x14ac:dyDescent="0.35">
      <c r="A4067" s="260" t="s">
        <v>747</v>
      </c>
      <c r="B4067" s="190">
        <v>45916</v>
      </c>
      <c r="C4067" s="260" t="s">
        <v>752</v>
      </c>
      <c r="D4067" s="197">
        <v>30</v>
      </c>
      <c r="E4067" s="197">
        <v>5343</v>
      </c>
      <c r="F4067" s="197">
        <v>181.34</v>
      </c>
      <c r="G4067" s="190">
        <v>45916</v>
      </c>
      <c r="H4067" s="196">
        <v>0</v>
      </c>
      <c r="I4067" s="197">
        <v>5440.2</v>
      </c>
      <c r="J4067" s="197">
        <v>5440.2</v>
      </c>
      <c r="K4067" s="197">
        <v>0</v>
      </c>
      <c r="L4067" s="197">
        <v>97.199999999999818</v>
      </c>
      <c r="M4067" s="260" t="s">
        <v>239</v>
      </c>
      <c r="N4067" s="260" t="s">
        <v>514</v>
      </c>
    </row>
    <row r="4068" spans="1:14" ht="14.5" x14ac:dyDescent="0.35">
      <c r="A4068" s="260" t="s">
        <v>747</v>
      </c>
      <c r="B4068" s="190">
        <v>45916</v>
      </c>
      <c r="C4068" s="260" t="s">
        <v>754</v>
      </c>
      <c r="D4068" s="197">
        <v>100</v>
      </c>
      <c r="E4068" s="197">
        <v>8008</v>
      </c>
      <c r="F4068" s="197">
        <v>83.93</v>
      </c>
      <c r="G4068" s="190">
        <v>45916</v>
      </c>
      <c r="H4068" s="196">
        <v>0</v>
      </c>
      <c r="I4068" s="197">
        <v>8393</v>
      </c>
      <c r="J4068" s="197">
        <v>8393</v>
      </c>
      <c r="K4068" s="197">
        <v>0</v>
      </c>
      <c r="L4068" s="197">
        <v>385</v>
      </c>
      <c r="M4068" s="260" t="s">
        <v>239</v>
      </c>
      <c r="N4068" s="260" t="s">
        <v>514</v>
      </c>
    </row>
    <row r="4069" spans="1:14" ht="14.5" x14ac:dyDescent="0.35">
      <c r="A4069" s="260" t="s">
        <v>747</v>
      </c>
      <c r="B4069" s="190">
        <v>45917</v>
      </c>
      <c r="C4069" s="260" t="s">
        <v>749</v>
      </c>
      <c r="D4069" s="197">
        <v>80</v>
      </c>
      <c r="E4069" s="197">
        <v>4004</v>
      </c>
      <c r="F4069" s="197">
        <v>51.76</v>
      </c>
      <c r="G4069" s="190">
        <v>45917</v>
      </c>
      <c r="H4069" s="196">
        <v>0</v>
      </c>
      <c r="I4069" s="197">
        <v>4140.8</v>
      </c>
      <c r="J4069" s="197">
        <v>4140.8</v>
      </c>
      <c r="K4069" s="197">
        <v>0</v>
      </c>
      <c r="L4069" s="197">
        <v>136.80000000000018</v>
      </c>
      <c r="M4069" s="260" t="s">
        <v>239</v>
      </c>
      <c r="N4069" s="260" t="s">
        <v>514</v>
      </c>
    </row>
    <row r="4070" spans="1:14" ht="14.5" x14ac:dyDescent="0.35">
      <c r="A4070" s="260" t="s">
        <v>747</v>
      </c>
      <c r="B4070" s="190">
        <v>45917</v>
      </c>
      <c r="C4070" s="260" t="s">
        <v>752</v>
      </c>
      <c r="D4070" s="197">
        <v>30</v>
      </c>
      <c r="E4070" s="197">
        <v>5343</v>
      </c>
      <c r="F4070" s="197">
        <v>181.03</v>
      </c>
      <c r="G4070" s="190">
        <v>45917</v>
      </c>
      <c r="H4070" s="196">
        <v>0</v>
      </c>
      <c r="I4070" s="197">
        <v>5430.9</v>
      </c>
      <c r="J4070" s="197">
        <v>5430.9</v>
      </c>
      <c r="K4070" s="197">
        <v>0</v>
      </c>
      <c r="L4070" s="197">
        <v>87.899999999999636</v>
      </c>
      <c r="M4070" s="260" t="s">
        <v>239</v>
      </c>
      <c r="N4070" s="260" t="s">
        <v>514</v>
      </c>
    </row>
    <row r="4071" spans="1:14" ht="14.5" x14ac:dyDescent="0.35">
      <c r="A4071" s="260" t="s">
        <v>747</v>
      </c>
      <c r="B4071" s="190">
        <v>45917</v>
      </c>
      <c r="C4071" s="260" t="s">
        <v>754</v>
      </c>
      <c r="D4071" s="197">
        <v>100</v>
      </c>
      <c r="E4071" s="197">
        <v>8008</v>
      </c>
      <c r="F4071" s="197">
        <v>83.79</v>
      </c>
      <c r="G4071" s="190">
        <v>45917</v>
      </c>
      <c r="H4071" s="196">
        <v>0</v>
      </c>
      <c r="I4071" s="197">
        <v>8379</v>
      </c>
      <c r="J4071" s="197">
        <v>8379</v>
      </c>
      <c r="K4071" s="197">
        <v>0</v>
      </c>
      <c r="L4071" s="197">
        <v>371</v>
      </c>
      <c r="M4071" s="260" t="s">
        <v>239</v>
      </c>
      <c r="N4071" s="260" t="s">
        <v>514</v>
      </c>
    </row>
    <row r="4072" spans="1:14" ht="14.5" x14ac:dyDescent="0.35">
      <c r="A4072" s="260" t="s">
        <v>747</v>
      </c>
      <c r="B4072" s="190">
        <v>45918</v>
      </c>
      <c r="C4072" s="260" t="s">
        <v>749</v>
      </c>
      <c r="D4072" s="197">
        <v>80</v>
      </c>
      <c r="E4072" s="197">
        <v>4004</v>
      </c>
      <c r="F4072" s="197">
        <v>51.93</v>
      </c>
      <c r="G4072" s="190">
        <v>45918</v>
      </c>
      <c r="H4072" s="196">
        <v>0</v>
      </c>
      <c r="I4072" s="197">
        <v>4154.3999999999996</v>
      </c>
      <c r="J4072" s="197">
        <v>4154.3999999999996</v>
      </c>
      <c r="K4072" s="197">
        <v>0</v>
      </c>
      <c r="L4072" s="197">
        <v>150.39999999999964</v>
      </c>
      <c r="M4072" s="260" t="s">
        <v>239</v>
      </c>
      <c r="N4072" s="260" t="s">
        <v>514</v>
      </c>
    </row>
    <row r="4073" spans="1:14" ht="14.5" x14ac:dyDescent="0.35">
      <c r="A4073" s="260" t="s">
        <v>747</v>
      </c>
      <c r="B4073" s="190">
        <v>45918</v>
      </c>
      <c r="C4073" s="260" t="s">
        <v>752</v>
      </c>
      <c r="D4073" s="197">
        <v>30</v>
      </c>
      <c r="E4073" s="197">
        <v>5343</v>
      </c>
      <c r="F4073" s="197">
        <v>180.72</v>
      </c>
      <c r="G4073" s="190">
        <v>45918</v>
      </c>
      <c r="H4073" s="196">
        <v>0</v>
      </c>
      <c r="I4073" s="197">
        <v>5421.6</v>
      </c>
      <c r="J4073" s="197">
        <v>5421.6</v>
      </c>
      <c r="K4073" s="197">
        <v>0</v>
      </c>
      <c r="L4073" s="197">
        <v>78.600000000000364</v>
      </c>
      <c r="M4073" s="260" t="s">
        <v>239</v>
      </c>
      <c r="N4073" s="260" t="s">
        <v>514</v>
      </c>
    </row>
    <row r="4074" spans="1:14" ht="14.5" x14ac:dyDescent="0.35">
      <c r="A4074" s="260" t="s">
        <v>747</v>
      </c>
      <c r="B4074" s="190">
        <v>45918</v>
      </c>
      <c r="C4074" s="260" t="s">
        <v>754</v>
      </c>
      <c r="D4074" s="197">
        <v>100</v>
      </c>
      <c r="E4074" s="197">
        <v>8008</v>
      </c>
      <c r="F4074" s="197">
        <v>83.66</v>
      </c>
      <c r="G4074" s="190">
        <v>45918</v>
      </c>
      <c r="H4074" s="196">
        <v>0</v>
      </c>
      <c r="I4074" s="197">
        <v>8366</v>
      </c>
      <c r="J4074" s="197">
        <v>8366</v>
      </c>
      <c r="K4074" s="197">
        <v>0</v>
      </c>
      <c r="L4074" s="197">
        <v>358</v>
      </c>
      <c r="M4074" s="260" t="s">
        <v>239</v>
      </c>
      <c r="N4074" s="260" t="s">
        <v>514</v>
      </c>
    </row>
    <row r="4075" spans="1:14" ht="14.5" x14ac:dyDescent="0.35">
      <c r="A4075" s="260" t="s">
        <v>747</v>
      </c>
      <c r="B4075" s="190">
        <v>45919</v>
      </c>
      <c r="C4075" s="260" t="s">
        <v>749</v>
      </c>
      <c r="D4075" s="197">
        <v>80</v>
      </c>
      <c r="E4075" s="197">
        <v>4004</v>
      </c>
      <c r="F4075" s="197">
        <v>52.1</v>
      </c>
      <c r="G4075" s="190">
        <v>45919</v>
      </c>
      <c r="H4075" s="196">
        <v>0</v>
      </c>
      <c r="I4075" s="197">
        <v>4168</v>
      </c>
      <c r="J4075" s="197">
        <v>4168</v>
      </c>
      <c r="K4075" s="197">
        <v>0</v>
      </c>
      <c r="L4075" s="197">
        <v>164</v>
      </c>
      <c r="M4075" s="260" t="s">
        <v>239</v>
      </c>
      <c r="N4075" s="260" t="s">
        <v>514</v>
      </c>
    </row>
    <row r="4076" spans="1:14" ht="14.5" x14ac:dyDescent="0.35">
      <c r="A4076" s="260" t="s">
        <v>747</v>
      </c>
      <c r="B4076" s="190">
        <v>45919</v>
      </c>
      <c r="C4076" s="260" t="s">
        <v>752</v>
      </c>
      <c r="D4076" s="197">
        <v>30</v>
      </c>
      <c r="E4076" s="197">
        <v>5343</v>
      </c>
      <c r="F4076" s="197">
        <v>180.41</v>
      </c>
      <c r="G4076" s="190">
        <v>45919</v>
      </c>
      <c r="H4076" s="196">
        <v>0</v>
      </c>
      <c r="I4076" s="197">
        <v>5412.3</v>
      </c>
      <c r="J4076" s="197">
        <v>5412.3</v>
      </c>
      <c r="K4076" s="197">
        <v>0</v>
      </c>
      <c r="L4076" s="197">
        <v>69.300000000000182</v>
      </c>
      <c r="M4076" s="260" t="s">
        <v>239</v>
      </c>
      <c r="N4076" s="260" t="s">
        <v>514</v>
      </c>
    </row>
    <row r="4077" spans="1:14" ht="14.5" x14ac:dyDescent="0.35">
      <c r="A4077" s="260" t="s">
        <v>747</v>
      </c>
      <c r="B4077" s="190">
        <v>45919</v>
      </c>
      <c r="C4077" s="260" t="s">
        <v>754</v>
      </c>
      <c r="D4077" s="197">
        <v>100</v>
      </c>
      <c r="E4077" s="197">
        <v>8008</v>
      </c>
      <c r="F4077" s="197">
        <v>83.52</v>
      </c>
      <c r="G4077" s="190">
        <v>45919</v>
      </c>
      <c r="H4077" s="196">
        <v>0</v>
      </c>
      <c r="I4077" s="197">
        <v>8352</v>
      </c>
      <c r="J4077" s="197">
        <v>8352</v>
      </c>
      <c r="K4077" s="197">
        <v>0</v>
      </c>
      <c r="L4077" s="197">
        <v>344</v>
      </c>
      <c r="M4077" s="260" t="s">
        <v>239</v>
      </c>
      <c r="N4077" s="260" t="s">
        <v>514</v>
      </c>
    </row>
    <row r="4078" spans="1:14" ht="14.5" x14ac:dyDescent="0.35">
      <c r="A4078" s="260" t="s">
        <v>747</v>
      </c>
      <c r="B4078" s="190">
        <v>45920</v>
      </c>
      <c r="C4078" s="260" t="s">
        <v>749</v>
      </c>
      <c r="D4078" s="197">
        <v>80</v>
      </c>
      <c r="E4078" s="197">
        <v>4004</v>
      </c>
      <c r="F4078" s="197">
        <v>52.1</v>
      </c>
      <c r="G4078" s="190">
        <v>45919</v>
      </c>
      <c r="H4078" s="196">
        <v>1</v>
      </c>
      <c r="I4078" s="197">
        <v>4168</v>
      </c>
      <c r="J4078" s="197">
        <v>4168</v>
      </c>
      <c r="K4078" s="197">
        <v>0</v>
      </c>
      <c r="L4078" s="197">
        <v>164</v>
      </c>
      <c r="M4078" s="260" t="s">
        <v>239</v>
      </c>
      <c r="N4078" s="260" t="s">
        <v>514</v>
      </c>
    </row>
    <row r="4079" spans="1:14" ht="14.5" x14ac:dyDescent="0.35">
      <c r="A4079" s="260" t="s">
        <v>747</v>
      </c>
      <c r="B4079" s="190">
        <v>45920</v>
      </c>
      <c r="C4079" s="260" t="s">
        <v>752</v>
      </c>
      <c r="D4079" s="197">
        <v>30</v>
      </c>
      <c r="E4079" s="197">
        <v>5343</v>
      </c>
      <c r="F4079" s="197">
        <v>180.41</v>
      </c>
      <c r="G4079" s="190">
        <v>45919</v>
      </c>
      <c r="H4079" s="196">
        <v>1</v>
      </c>
      <c r="I4079" s="197">
        <v>5412.3</v>
      </c>
      <c r="J4079" s="197">
        <v>5412.3</v>
      </c>
      <c r="K4079" s="197">
        <v>0</v>
      </c>
      <c r="L4079" s="197">
        <v>69.300000000000182</v>
      </c>
      <c r="M4079" s="260" t="s">
        <v>239</v>
      </c>
      <c r="N4079" s="260" t="s">
        <v>514</v>
      </c>
    </row>
    <row r="4080" spans="1:14" ht="14.5" x14ac:dyDescent="0.35">
      <c r="A4080" s="260" t="s">
        <v>747</v>
      </c>
      <c r="B4080" s="190">
        <v>45920</v>
      </c>
      <c r="C4080" s="260" t="s">
        <v>754</v>
      </c>
      <c r="D4080" s="197">
        <v>100</v>
      </c>
      <c r="E4080" s="197">
        <v>8008</v>
      </c>
      <c r="F4080" s="197">
        <v>83.52</v>
      </c>
      <c r="G4080" s="190">
        <v>45919</v>
      </c>
      <c r="H4080" s="196">
        <v>1</v>
      </c>
      <c r="I4080" s="197">
        <v>8352</v>
      </c>
      <c r="J4080" s="197">
        <v>8352</v>
      </c>
      <c r="K4080" s="197">
        <v>0</v>
      </c>
      <c r="L4080" s="197">
        <v>344</v>
      </c>
      <c r="M4080" s="260" t="s">
        <v>239</v>
      </c>
      <c r="N4080" s="260" t="s">
        <v>514</v>
      </c>
    </row>
    <row r="4081" spans="1:14" ht="14.5" x14ac:dyDescent="0.35">
      <c r="A4081" s="260" t="s">
        <v>747</v>
      </c>
      <c r="B4081" s="190">
        <v>45921</v>
      </c>
      <c r="C4081" s="260" t="s">
        <v>749</v>
      </c>
      <c r="D4081" s="197">
        <v>80</v>
      </c>
      <c r="E4081" s="197">
        <v>4004</v>
      </c>
      <c r="F4081" s="197">
        <v>52.1</v>
      </c>
      <c r="G4081" s="190">
        <v>45919</v>
      </c>
      <c r="H4081" s="196">
        <v>2</v>
      </c>
      <c r="I4081" s="197">
        <v>4168</v>
      </c>
      <c r="J4081" s="197">
        <v>4168</v>
      </c>
      <c r="K4081" s="197">
        <v>0</v>
      </c>
      <c r="L4081" s="197">
        <v>164</v>
      </c>
      <c r="M4081" s="260" t="s">
        <v>239</v>
      </c>
      <c r="N4081" s="260" t="s">
        <v>514</v>
      </c>
    </row>
    <row r="4082" spans="1:14" ht="14.5" x14ac:dyDescent="0.35">
      <c r="A4082" s="260" t="s">
        <v>747</v>
      </c>
      <c r="B4082" s="190">
        <v>45921</v>
      </c>
      <c r="C4082" s="260" t="s">
        <v>752</v>
      </c>
      <c r="D4082" s="197">
        <v>30</v>
      </c>
      <c r="E4082" s="197">
        <v>5343</v>
      </c>
      <c r="F4082" s="197">
        <v>180.41</v>
      </c>
      <c r="G4082" s="190">
        <v>45919</v>
      </c>
      <c r="H4082" s="196">
        <v>2</v>
      </c>
      <c r="I4082" s="197">
        <v>5412.3</v>
      </c>
      <c r="J4082" s="197">
        <v>5412.3</v>
      </c>
      <c r="K4082" s="197">
        <v>0</v>
      </c>
      <c r="L4082" s="197">
        <v>69.300000000000182</v>
      </c>
      <c r="M4082" s="260" t="s">
        <v>239</v>
      </c>
      <c r="N4082" s="260" t="s">
        <v>514</v>
      </c>
    </row>
    <row r="4083" spans="1:14" ht="14.5" x14ac:dyDescent="0.35">
      <c r="A4083" s="260" t="s">
        <v>747</v>
      </c>
      <c r="B4083" s="190">
        <v>45921</v>
      </c>
      <c r="C4083" s="260" t="s">
        <v>754</v>
      </c>
      <c r="D4083" s="197">
        <v>100</v>
      </c>
      <c r="E4083" s="197">
        <v>8008</v>
      </c>
      <c r="F4083" s="197">
        <v>83.52</v>
      </c>
      <c r="G4083" s="190">
        <v>45919</v>
      </c>
      <c r="H4083" s="196">
        <v>2</v>
      </c>
      <c r="I4083" s="197">
        <v>8352</v>
      </c>
      <c r="J4083" s="197">
        <v>8352</v>
      </c>
      <c r="K4083" s="197">
        <v>0</v>
      </c>
      <c r="L4083" s="197">
        <v>344</v>
      </c>
      <c r="M4083" s="260" t="s">
        <v>239</v>
      </c>
      <c r="N4083" s="260" t="s">
        <v>514</v>
      </c>
    </row>
    <row r="4084" spans="1:14" ht="14.5" x14ac:dyDescent="0.35">
      <c r="A4084" s="260" t="s">
        <v>747</v>
      </c>
      <c r="B4084" s="190">
        <v>45922</v>
      </c>
      <c r="C4084" s="260" t="s">
        <v>749</v>
      </c>
      <c r="D4084" s="197">
        <v>80</v>
      </c>
      <c r="E4084" s="197">
        <v>4004</v>
      </c>
      <c r="F4084" s="197">
        <v>52.62</v>
      </c>
      <c r="G4084" s="190">
        <v>45922</v>
      </c>
      <c r="H4084" s="196">
        <v>0</v>
      </c>
      <c r="I4084" s="197">
        <v>4209.5999999999995</v>
      </c>
      <c r="J4084" s="197">
        <v>4209.5999999999995</v>
      </c>
      <c r="K4084" s="197">
        <v>0</v>
      </c>
      <c r="L4084" s="197">
        <v>205.59999999999945</v>
      </c>
      <c r="M4084" s="260" t="s">
        <v>239</v>
      </c>
      <c r="N4084" s="260" t="s">
        <v>514</v>
      </c>
    </row>
    <row r="4085" spans="1:14" ht="14.5" x14ac:dyDescent="0.35">
      <c r="A4085" s="260" t="s">
        <v>747</v>
      </c>
      <c r="B4085" s="190">
        <v>45922</v>
      </c>
      <c r="C4085" s="260" t="s">
        <v>752</v>
      </c>
      <c r="D4085" s="197">
        <v>30</v>
      </c>
      <c r="E4085" s="197">
        <v>5343</v>
      </c>
      <c r="F4085" s="197">
        <v>179.48</v>
      </c>
      <c r="G4085" s="190">
        <v>45922</v>
      </c>
      <c r="H4085" s="196">
        <v>0</v>
      </c>
      <c r="I4085" s="197">
        <v>5384.4</v>
      </c>
      <c r="J4085" s="197">
        <v>5384.4</v>
      </c>
      <c r="K4085" s="197">
        <v>0</v>
      </c>
      <c r="L4085" s="197">
        <v>41.399999999999636</v>
      </c>
      <c r="M4085" s="260" t="s">
        <v>239</v>
      </c>
      <c r="N4085" s="260" t="s">
        <v>514</v>
      </c>
    </row>
    <row r="4086" spans="1:14" ht="14.5" x14ac:dyDescent="0.35">
      <c r="A4086" s="260" t="s">
        <v>747</v>
      </c>
      <c r="B4086" s="190">
        <v>45922</v>
      </c>
      <c r="C4086" s="260" t="s">
        <v>754</v>
      </c>
      <c r="D4086" s="197">
        <v>100</v>
      </c>
      <c r="E4086" s="197">
        <v>8008</v>
      </c>
      <c r="F4086" s="197">
        <v>83.1</v>
      </c>
      <c r="G4086" s="190">
        <v>45922</v>
      </c>
      <c r="H4086" s="196">
        <v>0</v>
      </c>
      <c r="I4086" s="197">
        <v>8310</v>
      </c>
      <c r="J4086" s="197">
        <v>8310</v>
      </c>
      <c r="K4086" s="197">
        <v>0</v>
      </c>
      <c r="L4086" s="197">
        <v>302</v>
      </c>
      <c r="M4086" s="260" t="s">
        <v>239</v>
      </c>
      <c r="N4086" s="260" t="s">
        <v>514</v>
      </c>
    </row>
    <row r="4087" spans="1:14" ht="14.5" x14ac:dyDescent="0.35">
      <c r="A4087" s="260" t="s">
        <v>747</v>
      </c>
      <c r="B4087" s="190">
        <v>45923</v>
      </c>
      <c r="C4087" s="260" t="s">
        <v>749</v>
      </c>
      <c r="D4087" s="197">
        <v>80</v>
      </c>
      <c r="E4087" s="197">
        <v>4004</v>
      </c>
      <c r="F4087" s="197">
        <v>52.79</v>
      </c>
      <c r="G4087" s="190">
        <v>45923</v>
      </c>
      <c r="H4087" s="196">
        <v>0</v>
      </c>
      <c r="I4087" s="197">
        <v>4223.2</v>
      </c>
      <c r="J4087" s="197">
        <v>4223.2</v>
      </c>
      <c r="K4087" s="197">
        <v>0</v>
      </c>
      <c r="L4087" s="197">
        <v>219.19999999999982</v>
      </c>
      <c r="M4087" s="260" t="s">
        <v>239</v>
      </c>
      <c r="N4087" s="260" t="s">
        <v>514</v>
      </c>
    </row>
    <row r="4088" spans="1:14" ht="14.5" x14ac:dyDescent="0.35">
      <c r="A4088" s="260" t="s">
        <v>747</v>
      </c>
      <c r="B4088" s="190">
        <v>45923</v>
      </c>
      <c r="C4088" s="260" t="s">
        <v>752</v>
      </c>
      <c r="D4088" s="197">
        <v>30</v>
      </c>
      <c r="E4088" s="197">
        <v>5343</v>
      </c>
      <c r="F4088" s="197">
        <v>179.17</v>
      </c>
      <c r="G4088" s="190">
        <v>45923</v>
      </c>
      <c r="H4088" s="196">
        <v>0</v>
      </c>
      <c r="I4088" s="197">
        <v>5375.0999999999995</v>
      </c>
      <c r="J4088" s="197">
        <v>5375.0999999999995</v>
      </c>
      <c r="K4088" s="197">
        <v>0</v>
      </c>
      <c r="L4088" s="197">
        <v>32.099999999999454</v>
      </c>
      <c r="M4088" s="260" t="s">
        <v>239</v>
      </c>
      <c r="N4088" s="260" t="s">
        <v>514</v>
      </c>
    </row>
    <row r="4089" spans="1:14" ht="14.5" x14ac:dyDescent="0.35">
      <c r="A4089" s="260" t="s">
        <v>747</v>
      </c>
      <c r="B4089" s="190">
        <v>45923</v>
      </c>
      <c r="C4089" s="260" t="s">
        <v>754</v>
      </c>
      <c r="D4089" s="197">
        <v>100</v>
      </c>
      <c r="E4089" s="197">
        <v>8008</v>
      </c>
      <c r="F4089" s="197">
        <v>82.97</v>
      </c>
      <c r="G4089" s="190">
        <v>45923</v>
      </c>
      <c r="H4089" s="196">
        <v>0</v>
      </c>
      <c r="I4089" s="197">
        <v>8297</v>
      </c>
      <c r="J4089" s="197">
        <v>8297</v>
      </c>
      <c r="K4089" s="197">
        <v>0</v>
      </c>
      <c r="L4089" s="197">
        <v>289</v>
      </c>
      <c r="M4089" s="260" t="s">
        <v>239</v>
      </c>
      <c r="N4089" s="260" t="s">
        <v>514</v>
      </c>
    </row>
    <row r="4090" spans="1:14" ht="14.5" x14ac:dyDescent="0.35">
      <c r="A4090" s="260" t="s">
        <v>747</v>
      </c>
      <c r="B4090" s="190">
        <v>45924</v>
      </c>
      <c r="C4090" s="260" t="s">
        <v>749</v>
      </c>
      <c r="D4090" s="197">
        <v>80</v>
      </c>
      <c r="E4090" s="197">
        <v>4004</v>
      </c>
      <c r="F4090" s="197">
        <v>52.97</v>
      </c>
      <c r="G4090" s="190">
        <v>45924</v>
      </c>
      <c r="H4090" s="196">
        <v>0</v>
      </c>
      <c r="I4090" s="197">
        <v>4237.6000000000004</v>
      </c>
      <c r="J4090" s="197">
        <v>4237.6000000000004</v>
      </c>
      <c r="K4090" s="197">
        <v>0</v>
      </c>
      <c r="L4090" s="197">
        <v>233.60000000000036</v>
      </c>
      <c r="M4090" s="260" t="s">
        <v>239</v>
      </c>
      <c r="N4090" s="260" t="s">
        <v>514</v>
      </c>
    </row>
    <row r="4091" spans="1:14" ht="14.5" x14ac:dyDescent="0.35">
      <c r="A4091" s="260" t="s">
        <v>747</v>
      </c>
      <c r="B4091" s="190">
        <v>45924</v>
      </c>
      <c r="C4091" s="260" t="s">
        <v>752</v>
      </c>
      <c r="D4091" s="197">
        <v>30</v>
      </c>
      <c r="E4091" s="197">
        <v>5343</v>
      </c>
      <c r="F4091" s="197">
        <v>178.86</v>
      </c>
      <c r="G4091" s="190">
        <v>45924</v>
      </c>
      <c r="H4091" s="196">
        <v>0</v>
      </c>
      <c r="I4091" s="197">
        <v>5365.8</v>
      </c>
      <c r="J4091" s="197">
        <v>5365.8</v>
      </c>
      <c r="K4091" s="197">
        <v>0</v>
      </c>
      <c r="L4091" s="197">
        <v>22.800000000000182</v>
      </c>
      <c r="M4091" s="260" t="s">
        <v>239</v>
      </c>
      <c r="N4091" s="260" t="s">
        <v>514</v>
      </c>
    </row>
    <row r="4092" spans="1:14" ht="14.5" x14ac:dyDescent="0.35">
      <c r="A4092" s="260" t="s">
        <v>747</v>
      </c>
      <c r="B4092" s="190">
        <v>45924</v>
      </c>
      <c r="C4092" s="260" t="s">
        <v>754</v>
      </c>
      <c r="D4092" s="197">
        <v>100</v>
      </c>
      <c r="E4092" s="197">
        <v>8008</v>
      </c>
      <c r="F4092" s="197">
        <v>82.83</v>
      </c>
      <c r="G4092" s="190">
        <v>45924</v>
      </c>
      <c r="H4092" s="196">
        <v>0</v>
      </c>
      <c r="I4092" s="197">
        <v>8283</v>
      </c>
      <c r="J4092" s="197">
        <v>8283</v>
      </c>
      <c r="K4092" s="197">
        <v>0</v>
      </c>
      <c r="L4092" s="197">
        <v>275</v>
      </c>
      <c r="M4092" s="260" t="s">
        <v>239</v>
      </c>
      <c r="N4092" s="260" t="s">
        <v>514</v>
      </c>
    </row>
    <row r="4093" spans="1:14" ht="14.5" x14ac:dyDescent="0.35">
      <c r="A4093" s="260" t="s">
        <v>747</v>
      </c>
      <c r="B4093" s="190">
        <v>45925</v>
      </c>
      <c r="C4093" s="260" t="s">
        <v>749</v>
      </c>
      <c r="D4093" s="197">
        <v>80</v>
      </c>
      <c r="E4093" s="197">
        <v>4004</v>
      </c>
      <c r="F4093" s="197">
        <v>53.14</v>
      </c>
      <c r="G4093" s="190">
        <v>45925</v>
      </c>
      <c r="H4093" s="196">
        <v>0</v>
      </c>
      <c r="I4093" s="197">
        <v>4251.2</v>
      </c>
      <c r="J4093" s="197">
        <v>4251.2</v>
      </c>
      <c r="K4093" s="197">
        <v>0</v>
      </c>
      <c r="L4093" s="197">
        <v>247.19999999999982</v>
      </c>
      <c r="M4093" s="260" t="s">
        <v>239</v>
      </c>
      <c r="N4093" s="260" t="s">
        <v>514</v>
      </c>
    </row>
    <row r="4094" spans="1:14" ht="14.5" x14ac:dyDescent="0.35">
      <c r="A4094" s="260" t="s">
        <v>747</v>
      </c>
      <c r="B4094" s="190">
        <v>45925</v>
      </c>
      <c r="C4094" s="260" t="s">
        <v>752</v>
      </c>
      <c r="D4094" s="197">
        <v>30</v>
      </c>
      <c r="E4094" s="197">
        <v>5343</v>
      </c>
      <c r="F4094" s="197">
        <v>178.55</v>
      </c>
      <c r="G4094" s="190">
        <v>45925</v>
      </c>
      <c r="H4094" s="196">
        <v>0</v>
      </c>
      <c r="I4094" s="197">
        <v>5356.5</v>
      </c>
      <c r="J4094" s="197">
        <v>5356.5</v>
      </c>
      <c r="K4094" s="197">
        <v>0</v>
      </c>
      <c r="L4094" s="197">
        <v>13.5</v>
      </c>
      <c r="M4094" s="260" t="s">
        <v>239</v>
      </c>
      <c r="N4094" s="260" t="s">
        <v>514</v>
      </c>
    </row>
    <row r="4095" spans="1:14" ht="14.5" x14ac:dyDescent="0.35">
      <c r="A4095" s="260" t="s">
        <v>747</v>
      </c>
      <c r="B4095" s="190">
        <v>45925</v>
      </c>
      <c r="C4095" s="260" t="s">
        <v>754</v>
      </c>
      <c r="D4095" s="197">
        <v>100</v>
      </c>
      <c r="E4095" s="197">
        <v>8008</v>
      </c>
      <c r="F4095" s="197">
        <v>82.69</v>
      </c>
      <c r="G4095" s="190">
        <v>45925</v>
      </c>
      <c r="H4095" s="196">
        <v>0</v>
      </c>
      <c r="I4095" s="197">
        <v>8269</v>
      </c>
      <c r="J4095" s="197">
        <v>8269</v>
      </c>
      <c r="K4095" s="197">
        <v>0</v>
      </c>
      <c r="L4095" s="197">
        <v>261</v>
      </c>
      <c r="M4095" s="260" t="s">
        <v>239</v>
      </c>
      <c r="N4095" s="260" t="s">
        <v>514</v>
      </c>
    </row>
    <row r="4096" spans="1:14" ht="14.5" x14ac:dyDescent="0.35">
      <c r="A4096" s="260" t="s">
        <v>747</v>
      </c>
      <c r="B4096" s="190">
        <v>45926</v>
      </c>
      <c r="C4096" s="260" t="s">
        <v>749</v>
      </c>
      <c r="D4096" s="197">
        <v>80</v>
      </c>
      <c r="E4096" s="197">
        <v>4004</v>
      </c>
      <c r="F4096" s="197">
        <v>53.31</v>
      </c>
      <c r="G4096" s="190">
        <v>45926</v>
      </c>
      <c r="H4096" s="196">
        <v>0</v>
      </c>
      <c r="I4096" s="197">
        <v>4264.8</v>
      </c>
      <c r="J4096" s="197">
        <v>4264.8</v>
      </c>
      <c r="K4096" s="197">
        <v>0</v>
      </c>
      <c r="L4096" s="197">
        <v>260.80000000000018</v>
      </c>
      <c r="M4096" s="260" t="s">
        <v>239</v>
      </c>
      <c r="N4096" s="260" t="s">
        <v>514</v>
      </c>
    </row>
    <row r="4097" spans="1:14" ht="14.5" x14ac:dyDescent="0.35">
      <c r="A4097" s="260" t="s">
        <v>747</v>
      </c>
      <c r="B4097" s="190">
        <v>45926</v>
      </c>
      <c r="C4097" s="260" t="s">
        <v>752</v>
      </c>
      <c r="D4097" s="197">
        <v>30</v>
      </c>
      <c r="E4097" s="197">
        <v>5343</v>
      </c>
      <c r="F4097" s="197">
        <v>178.24</v>
      </c>
      <c r="G4097" s="190">
        <v>45926</v>
      </c>
      <c r="H4097" s="196">
        <v>0</v>
      </c>
      <c r="I4097" s="197">
        <v>5347.2000000000007</v>
      </c>
      <c r="J4097" s="197">
        <v>5347.2000000000007</v>
      </c>
      <c r="K4097" s="197">
        <v>0</v>
      </c>
      <c r="L4097" s="197">
        <v>4.2000000000007276</v>
      </c>
      <c r="M4097" s="260" t="s">
        <v>239</v>
      </c>
      <c r="N4097" s="260" t="s">
        <v>514</v>
      </c>
    </row>
    <row r="4098" spans="1:14" ht="14.5" x14ac:dyDescent="0.35">
      <c r="A4098" s="260" t="s">
        <v>747</v>
      </c>
      <c r="B4098" s="190">
        <v>45926</v>
      </c>
      <c r="C4098" s="260" t="s">
        <v>754</v>
      </c>
      <c r="D4098" s="197">
        <v>100</v>
      </c>
      <c r="E4098" s="197">
        <v>8008</v>
      </c>
      <c r="F4098" s="197">
        <v>82.55</v>
      </c>
      <c r="G4098" s="190">
        <v>45926</v>
      </c>
      <c r="H4098" s="196">
        <v>0</v>
      </c>
      <c r="I4098" s="197">
        <v>8255</v>
      </c>
      <c r="J4098" s="197">
        <v>8255</v>
      </c>
      <c r="K4098" s="197">
        <v>0</v>
      </c>
      <c r="L4098" s="197">
        <v>247</v>
      </c>
      <c r="M4098" s="260" t="s">
        <v>239</v>
      </c>
      <c r="N4098" s="260" t="s">
        <v>514</v>
      </c>
    </row>
    <row r="4099" spans="1:14" ht="14.5" x14ac:dyDescent="0.35">
      <c r="A4099" s="260" t="s">
        <v>747</v>
      </c>
      <c r="B4099" s="190">
        <v>45927</v>
      </c>
      <c r="C4099" s="260" t="s">
        <v>749</v>
      </c>
      <c r="D4099" s="197">
        <v>80</v>
      </c>
      <c r="E4099" s="197">
        <v>4004</v>
      </c>
      <c r="F4099" s="197">
        <v>53.31</v>
      </c>
      <c r="G4099" s="190">
        <v>45926</v>
      </c>
      <c r="H4099" s="196">
        <v>1</v>
      </c>
      <c r="I4099" s="197">
        <v>4264.8</v>
      </c>
      <c r="J4099" s="197">
        <v>4264.8</v>
      </c>
      <c r="K4099" s="197">
        <v>0</v>
      </c>
      <c r="L4099" s="197">
        <v>260.80000000000018</v>
      </c>
      <c r="M4099" s="260" t="s">
        <v>239</v>
      </c>
      <c r="N4099" s="260" t="s">
        <v>514</v>
      </c>
    </row>
    <row r="4100" spans="1:14" ht="14.5" x14ac:dyDescent="0.35">
      <c r="A4100" s="260" t="s">
        <v>747</v>
      </c>
      <c r="B4100" s="190">
        <v>45927</v>
      </c>
      <c r="C4100" s="260" t="s">
        <v>752</v>
      </c>
      <c r="D4100" s="197">
        <v>30</v>
      </c>
      <c r="E4100" s="197">
        <v>5343</v>
      </c>
      <c r="F4100" s="197">
        <v>178.24</v>
      </c>
      <c r="G4100" s="190">
        <v>45926</v>
      </c>
      <c r="H4100" s="196">
        <v>1</v>
      </c>
      <c r="I4100" s="197">
        <v>5347.2000000000007</v>
      </c>
      <c r="J4100" s="197">
        <v>5347.2000000000007</v>
      </c>
      <c r="K4100" s="197">
        <v>0</v>
      </c>
      <c r="L4100" s="197">
        <v>4.2000000000007276</v>
      </c>
      <c r="M4100" s="260" t="s">
        <v>239</v>
      </c>
      <c r="N4100" s="260" t="s">
        <v>514</v>
      </c>
    </row>
    <row r="4101" spans="1:14" ht="14.5" x14ac:dyDescent="0.35">
      <c r="A4101" s="260" t="s">
        <v>747</v>
      </c>
      <c r="B4101" s="190">
        <v>45927</v>
      </c>
      <c r="C4101" s="260" t="s">
        <v>754</v>
      </c>
      <c r="D4101" s="197">
        <v>100</v>
      </c>
      <c r="E4101" s="197">
        <v>8008</v>
      </c>
      <c r="F4101" s="197">
        <v>82.55</v>
      </c>
      <c r="G4101" s="190">
        <v>45926</v>
      </c>
      <c r="H4101" s="196">
        <v>1</v>
      </c>
      <c r="I4101" s="197">
        <v>8255</v>
      </c>
      <c r="J4101" s="197">
        <v>8255</v>
      </c>
      <c r="K4101" s="197">
        <v>0</v>
      </c>
      <c r="L4101" s="197">
        <v>247</v>
      </c>
      <c r="M4101" s="260" t="s">
        <v>239</v>
      </c>
      <c r="N4101" s="260" t="s">
        <v>514</v>
      </c>
    </row>
    <row r="4102" spans="1:14" ht="14.5" x14ac:dyDescent="0.35">
      <c r="A4102" s="260" t="s">
        <v>747</v>
      </c>
      <c r="B4102" s="190">
        <v>45928</v>
      </c>
      <c r="C4102" s="260" t="s">
        <v>749</v>
      </c>
      <c r="D4102" s="197">
        <v>80</v>
      </c>
      <c r="E4102" s="197">
        <v>4004</v>
      </c>
      <c r="F4102" s="197">
        <v>53.31</v>
      </c>
      <c r="G4102" s="190">
        <v>45926</v>
      </c>
      <c r="H4102" s="196">
        <v>2</v>
      </c>
      <c r="I4102" s="197">
        <v>4264.8</v>
      </c>
      <c r="J4102" s="197">
        <v>4264.8</v>
      </c>
      <c r="K4102" s="197">
        <v>0</v>
      </c>
      <c r="L4102" s="197">
        <v>260.80000000000018</v>
      </c>
      <c r="M4102" s="260" t="s">
        <v>239</v>
      </c>
      <c r="N4102" s="260" t="s">
        <v>514</v>
      </c>
    </row>
    <row r="4103" spans="1:14" ht="14.5" x14ac:dyDescent="0.35">
      <c r="A4103" s="260" t="s">
        <v>747</v>
      </c>
      <c r="B4103" s="190">
        <v>45928</v>
      </c>
      <c r="C4103" s="260" t="s">
        <v>752</v>
      </c>
      <c r="D4103" s="197">
        <v>30</v>
      </c>
      <c r="E4103" s="197">
        <v>5343</v>
      </c>
      <c r="F4103" s="197">
        <v>178.24</v>
      </c>
      <c r="G4103" s="190">
        <v>45926</v>
      </c>
      <c r="H4103" s="196">
        <v>2</v>
      </c>
      <c r="I4103" s="197">
        <v>5347.2000000000007</v>
      </c>
      <c r="J4103" s="197">
        <v>5347.2000000000007</v>
      </c>
      <c r="K4103" s="197">
        <v>0</v>
      </c>
      <c r="L4103" s="197">
        <v>4.2000000000007276</v>
      </c>
      <c r="M4103" s="260" t="s">
        <v>239</v>
      </c>
      <c r="N4103" s="260" t="s">
        <v>514</v>
      </c>
    </row>
    <row r="4104" spans="1:14" ht="14.5" x14ac:dyDescent="0.35">
      <c r="A4104" s="260" t="s">
        <v>747</v>
      </c>
      <c r="B4104" s="190">
        <v>45928</v>
      </c>
      <c r="C4104" s="260" t="s">
        <v>754</v>
      </c>
      <c r="D4104" s="197">
        <v>100</v>
      </c>
      <c r="E4104" s="197">
        <v>8008</v>
      </c>
      <c r="F4104" s="197">
        <v>82.55</v>
      </c>
      <c r="G4104" s="190">
        <v>45926</v>
      </c>
      <c r="H4104" s="196">
        <v>2</v>
      </c>
      <c r="I4104" s="197">
        <v>8255</v>
      </c>
      <c r="J4104" s="197">
        <v>8255</v>
      </c>
      <c r="K4104" s="197">
        <v>0</v>
      </c>
      <c r="L4104" s="197">
        <v>247</v>
      </c>
      <c r="M4104" s="260" t="s">
        <v>239</v>
      </c>
      <c r="N4104" s="260" t="s">
        <v>514</v>
      </c>
    </row>
    <row r="4105" spans="1:14" ht="14.5" x14ac:dyDescent="0.35">
      <c r="A4105" s="260" t="s">
        <v>747</v>
      </c>
      <c r="B4105" s="190">
        <v>45929</v>
      </c>
      <c r="C4105" s="260" t="s">
        <v>749</v>
      </c>
      <c r="D4105" s="197">
        <v>80</v>
      </c>
      <c r="E4105" s="197">
        <v>4004</v>
      </c>
      <c r="F4105" s="197">
        <v>53.83</v>
      </c>
      <c r="G4105" s="190">
        <v>45929</v>
      </c>
      <c r="H4105" s="196">
        <v>0</v>
      </c>
      <c r="I4105" s="197">
        <v>4306.3999999999996</v>
      </c>
      <c r="J4105" s="197">
        <v>4306.3999999999996</v>
      </c>
      <c r="K4105" s="197">
        <v>0</v>
      </c>
      <c r="L4105" s="197">
        <v>302.39999999999964</v>
      </c>
      <c r="M4105" s="260" t="s">
        <v>239</v>
      </c>
      <c r="N4105" s="260" t="s">
        <v>514</v>
      </c>
    </row>
    <row r="4106" spans="1:14" ht="14.5" x14ac:dyDescent="0.35">
      <c r="A4106" s="260" t="s">
        <v>747</v>
      </c>
      <c r="B4106" s="190">
        <v>45929</v>
      </c>
      <c r="C4106" s="260" t="s">
        <v>752</v>
      </c>
      <c r="D4106" s="197">
        <v>30</v>
      </c>
      <c r="E4106" s="197">
        <v>5343</v>
      </c>
      <c r="F4106" s="197">
        <v>177.31</v>
      </c>
      <c r="G4106" s="190">
        <v>45929</v>
      </c>
      <c r="H4106" s="196">
        <v>0</v>
      </c>
      <c r="I4106" s="197">
        <v>5319.3</v>
      </c>
      <c r="J4106" s="197">
        <v>5319.3</v>
      </c>
      <c r="K4106" s="197">
        <v>0</v>
      </c>
      <c r="L4106" s="197">
        <v>-23.699999999999818</v>
      </c>
      <c r="M4106" s="260" t="s">
        <v>239</v>
      </c>
      <c r="N4106" s="260" t="s">
        <v>514</v>
      </c>
    </row>
    <row r="4107" spans="1:14" ht="14.5" x14ac:dyDescent="0.35">
      <c r="A4107" s="260" t="s">
        <v>747</v>
      </c>
      <c r="B4107" s="190">
        <v>45929</v>
      </c>
      <c r="C4107" s="260" t="s">
        <v>754</v>
      </c>
      <c r="D4107" s="197">
        <v>100</v>
      </c>
      <c r="E4107" s="197">
        <v>8008</v>
      </c>
      <c r="F4107" s="197">
        <v>82.14</v>
      </c>
      <c r="G4107" s="190">
        <v>45929</v>
      </c>
      <c r="H4107" s="196">
        <v>0</v>
      </c>
      <c r="I4107" s="197">
        <v>8214</v>
      </c>
      <c r="J4107" s="197">
        <v>8214</v>
      </c>
      <c r="K4107" s="197">
        <v>0</v>
      </c>
      <c r="L4107" s="197">
        <v>206</v>
      </c>
      <c r="M4107" s="260" t="s">
        <v>239</v>
      </c>
      <c r="N4107" s="260" t="s">
        <v>514</v>
      </c>
    </row>
    <row r="4108" spans="1:14" ht="14.5" x14ac:dyDescent="0.35">
      <c r="A4108" s="260" t="s">
        <v>747</v>
      </c>
      <c r="B4108" s="190">
        <v>45930</v>
      </c>
      <c r="C4108" s="260" t="s">
        <v>749</v>
      </c>
      <c r="D4108" s="197">
        <v>80</v>
      </c>
      <c r="E4108" s="197">
        <v>4004</v>
      </c>
      <c r="F4108" s="197">
        <v>54</v>
      </c>
      <c r="G4108" s="190">
        <v>45930</v>
      </c>
      <c r="H4108" s="196">
        <v>0</v>
      </c>
      <c r="I4108" s="197">
        <v>4320</v>
      </c>
      <c r="J4108" s="197">
        <v>4320</v>
      </c>
      <c r="K4108" s="197">
        <v>0</v>
      </c>
      <c r="L4108" s="197">
        <v>316</v>
      </c>
      <c r="M4108" s="260" t="s">
        <v>239</v>
      </c>
      <c r="N4108" s="260" t="s">
        <v>514</v>
      </c>
    </row>
    <row r="4109" spans="1:14" ht="14.5" x14ac:dyDescent="0.35">
      <c r="A4109" s="260" t="s">
        <v>747</v>
      </c>
      <c r="B4109" s="190">
        <v>45930</v>
      </c>
      <c r="C4109" s="260" t="s">
        <v>752</v>
      </c>
      <c r="D4109" s="197">
        <v>30</v>
      </c>
      <c r="E4109" s="197">
        <v>5343</v>
      </c>
      <c r="F4109" s="197">
        <v>177</v>
      </c>
      <c r="G4109" s="190">
        <v>45930</v>
      </c>
      <c r="H4109" s="196">
        <v>0</v>
      </c>
      <c r="I4109" s="197">
        <v>5310</v>
      </c>
      <c r="J4109" s="197">
        <v>5310</v>
      </c>
      <c r="K4109" s="197">
        <v>0</v>
      </c>
      <c r="L4109" s="197">
        <v>-33</v>
      </c>
      <c r="M4109" s="260" t="s">
        <v>239</v>
      </c>
      <c r="N4109" s="260" t="s">
        <v>514</v>
      </c>
    </row>
    <row r="4110" spans="1:14" ht="14.5" x14ac:dyDescent="0.35">
      <c r="A4110" s="260" t="s">
        <v>747</v>
      </c>
      <c r="B4110" s="190">
        <v>45930</v>
      </c>
      <c r="C4110" s="260" t="s">
        <v>754</v>
      </c>
      <c r="D4110" s="197">
        <v>100</v>
      </c>
      <c r="E4110" s="197">
        <v>8008</v>
      </c>
      <c r="F4110" s="197">
        <v>82</v>
      </c>
      <c r="G4110" s="190">
        <v>45930</v>
      </c>
      <c r="H4110" s="196">
        <v>0</v>
      </c>
      <c r="I4110" s="197">
        <v>8200</v>
      </c>
      <c r="J4110" s="197">
        <v>8200</v>
      </c>
      <c r="K4110" s="197">
        <v>0</v>
      </c>
      <c r="L4110" s="197">
        <v>192</v>
      </c>
      <c r="M4110" s="260" t="s">
        <v>239</v>
      </c>
      <c r="N4110" s="260" t="s">
        <v>514</v>
      </c>
    </row>
    <row r="4111" spans="1:14" ht="14.5" x14ac:dyDescent="0.35">
      <c r="A4111" s="260" t="s">
        <v>747</v>
      </c>
      <c r="B4111" s="190">
        <v>45931</v>
      </c>
      <c r="C4111" s="260" t="s">
        <v>749</v>
      </c>
      <c r="D4111" s="197">
        <v>80</v>
      </c>
      <c r="E4111" s="197">
        <v>4004</v>
      </c>
      <c r="F4111" s="197">
        <v>54</v>
      </c>
      <c r="G4111" s="190">
        <v>45931</v>
      </c>
      <c r="H4111" s="196">
        <v>0</v>
      </c>
      <c r="I4111" s="197">
        <v>4320</v>
      </c>
      <c r="J4111" s="197">
        <v>4320</v>
      </c>
      <c r="K4111" s="197">
        <v>0</v>
      </c>
      <c r="L4111" s="197">
        <v>316</v>
      </c>
      <c r="M4111" s="260" t="s">
        <v>239</v>
      </c>
      <c r="N4111" s="260" t="s">
        <v>514</v>
      </c>
    </row>
    <row r="4112" spans="1:14" ht="14.5" x14ac:dyDescent="0.35">
      <c r="A4112" s="260" t="s">
        <v>747</v>
      </c>
      <c r="B4112" s="190">
        <v>45931</v>
      </c>
      <c r="C4112" s="260" t="s">
        <v>752</v>
      </c>
      <c r="D4112" s="197">
        <v>30</v>
      </c>
      <c r="E4112" s="197">
        <v>5343</v>
      </c>
      <c r="F4112" s="197">
        <v>177</v>
      </c>
      <c r="G4112" s="190">
        <v>45931</v>
      </c>
      <c r="H4112" s="196">
        <v>0</v>
      </c>
      <c r="I4112" s="197">
        <v>5310</v>
      </c>
      <c r="J4112" s="197">
        <v>5310</v>
      </c>
      <c r="K4112" s="197">
        <v>0</v>
      </c>
      <c r="L4112" s="197">
        <v>-33</v>
      </c>
      <c r="M4112" s="260" t="s">
        <v>239</v>
      </c>
      <c r="N4112" s="260" t="s">
        <v>514</v>
      </c>
    </row>
    <row r="4113" spans="1:14" ht="14.5" x14ac:dyDescent="0.35">
      <c r="A4113" s="260" t="s">
        <v>747</v>
      </c>
      <c r="B4113" s="190">
        <v>45931</v>
      </c>
      <c r="C4113" s="260" t="s">
        <v>754</v>
      </c>
      <c r="D4113" s="197">
        <v>100</v>
      </c>
      <c r="E4113" s="197">
        <v>8008</v>
      </c>
      <c r="F4113" s="197">
        <v>82</v>
      </c>
      <c r="G4113" s="190">
        <v>45931</v>
      </c>
      <c r="H4113" s="196">
        <v>0</v>
      </c>
      <c r="I4113" s="197">
        <v>8200</v>
      </c>
      <c r="J4113" s="197">
        <v>8200</v>
      </c>
      <c r="K4113" s="197">
        <v>0</v>
      </c>
      <c r="L4113" s="197">
        <v>192</v>
      </c>
      <c r="M4113" s="260" t="s">
        <v>239</v>
      </c>
      <c r="N4113" s="260" t="s">
        <v>514</v>
      </c>
    </row>
    <row r="4114" spans="1:14" ht="14.5" x14ac:dyDescent="0.35">
      <c r="A4114" s="260" t="s">
        <v>747</v>
      </c>
      <c r="B4114" s="190">
        <v>45932</v>
      </c>
      <c r="C4114" s="260" t="s">
        <v>749</v>
      </c>
      <c r="D4114" s="197">
        <v>80</v>
      </c>
      <c r="E4114" s="197">
        <v>4004</v>
      </c>
      <c r="F4114" s="197">
        <v>53.9</v>
      </c>
      <c r="G4114" s="190">
        <v>45932</v>
      </c>
      <c r="H4114" s="196">
        <v>0</v>
      </c>
      <c r="I4114" s="197">
        <v>4312</v>
      </c>
      <c r="J4114" s="197">
        <v>4312</v>
      </c>
      <c r="K4114" s="197">
        <v>0</v>
      </c>
      <c r="L4114" s="197">
        <v>308</v>
      </c>
      <c r="M4114" s="260" t="s">
        <v>239</v>
      </c>
      <c r="N4114" s="260" t="s">
        <v>514</v>
      </c>
    </row>
    <row r="4115" spans="1:14" ht="14.5" x14ac:dyDescent="0.35">
      <c r="A4115" s="260" t="s">
        <v>747</v>
      </c>
      <c r="B4115" s="190">
        <v>45932</v>
      </c>
      <c r="C4115" s="260" t="s">
        <v>752</v>
      </c>
      <c r="D4115" s="197">
        <v>30</v>
      </c>
      <c r="E4115" s="197">
        <v>5343</v>
      </c>
      <c r="F4115" s="197">
        <v>177.13</v>
      </c>
      <c r="G4115" s="190">
        <v>45932</v>
      </c>
      <c r="H4115" s="196">
        <v>0</v>
      </c>
      <c r="I4115" s="197">
        <v>5313.9</v>
      </c>
      <c r="J4115" s="197">
        <v>5313.9</v>
      </c>
      <c r="K4115" s="197">
        <v>0</v>
      </c>
      <c r="L4115" s="197">
        <v>-29.100000000000364</v>
      </c>
      <c r="M4115" s="260" t="s">
        <v>239</v>
      </c>
      <c r="N4115" s="260" t="s">
        <v>514</v>
      </c>
    </row>
    <row r="4116" spans="1:14" ht="14.5" x14ac:dyDescent="0.35">
      <c r="A4116" s="260" t="s">
        <v>747</v>
      </c>
      <c r="B4116" s="190">
        <v>45932</v>
      </c>
      <c r="C4116" s="260" t="s">
        <v>754</v>
      </c>
      <c r="D4116" s="197">
        <v>100</v>
      </c>
      <c r="E4116" s="197">
        <v>8008</v>
      </c>
      <c r="F4116" s="197">
        <v>81.83</v>
      </c>
      <c r="G4116" s="190">
        <v>45932</v>
      </c>
      <c r="H4116" s="196">
        <v>0</v>
      </c>
      <c r="I4116" s="197">
        <v>8183</v>
      </c>
      <c r="J4116" s="197">
        <v>8183</v>
      </c>
      <c r="K4116" s="197">
        <v>0</v>
      </c>
      <c r="L4116" s="197">
        <v>175</v>
      </c>
      <c r="M4116" s="260" t="s">
        <v>239</v>
      </c>
      <c r="N4116" s="260" t="s">
        <v>514</v>
      </c>
    </row>
    <row r="4117" spans="1:14" ht="14.5" x14ac:dyDescent="0.35">
      <c r="A4117" s="260" t="s">
        <v>747</v>
      </c>
      <c r="B4117" s="190">
        <v>45933</v>
      </c>
      <c r="C4117" s="260" t="s">
        <v>749</v>
      </c>
      <c r="D4117" s="197">
        <v>80</v>
      </c>
      <c r="E4117" s="197">
        <v>4004</v>
      </c>
      <c r="F4117" s="197">
        <v>53.8</v>
      </c>
      <c r="G4117" s="190">
        <v>45933</v>
      </c>
      <c r="H4117" s="196">
        <v>0</v>
      </c>
      <c r="I4117" s="197">
        <v>4304</v>
      </c>
      <c r="J4117" s="197">
        <v>4304</v>
      </c>
      <c r="K4117" s="197">
        <v>0</v>
      </c>
      <c r="L4117" s="197">
        <v>300</v>
      </c>
      <c r="M4117" s="260" t="s">
        <v>239</v>
      </c>
      <c r="N4117" s="260" t="s">
        <v>514</v>
      </c>
    </row>
    <row r="4118" spans="1:14" ht="14.5" x14ac:dyDescent="0.35">
      <c r="A4118" s="260" t="s">
        <v>747</v>
      </c>
      <c r="B4118" s="190">
        <v>45933</v>
      </c>
      <c r="C4118" s="260" t="s">
        <v>752</v>
      </c>
      <c r="D4118" s="197">
        <v>30</v>
      </c>
      <c r="E4118" s="197">
        <v>5343</v>
      </c>
      <c r="F4118" s="197">
        <v>177.27</v>
      </c>
      <c r="G4118" s="190">
        <v>45933</v>
      </c>
      <c r="H4118" s="196">
        <v>0</v>
      </c>
      <c r="I4118" s="197">
        <v>5318.1</v>
      </c>
      <c r="J4118" s="197">
        <v>5318.1</v>
      </c>
      <c r="K4118" s="197">
        <v>0</v>
      </c>
      <c r="L4118" s="197">
        <v>-24.899999999999636</v>
      </c>
      <c r="M4118" s="260" t="s">
        <v>239</v>
      </c>
      <c r="N4118" s="260" t="s">
        <v>514</v>
      </c>
    </row>
    <row r="4119" spans="1:14" ht="14.5" x14ac:dyDescent="0.35">
      <c r="A4119" s="260" t="s">
        <v>747</v>
      </c>
      <c r="B4119" s="190">
        <v>45933</v>
      </c>
      <c r="C4119" s="260" t="s">
        <v>754</v>
      </c>
      <c r="D4119" s="197">
        <v>100</v>
      </c>
      <c r="E4119" s="197">
        <v>8008</v>
      </c>
      <c r="F4119" s="197">
        <v>81.67</v>
      </c>
      <c r="G4119" s="190">
        <v>45933</v>
      </c>
      <c r="H4119" s="196">
        <v>0</v>
      </c>
      <c r="I4119" s="197">
        <v>8167</v>
      </c>
      <c r="J4119" s="197">
        <v>8167</v>
      </c>
      <c r="K4119" s="197">
        <v>0</v>
      </c>
      <c r="L4119" s="197">
        <v>159</v>
      </c>
      <c r="M4119" s="260" t="s">
        <v>239</v>
      </c>
      <c r="N4119" s="260" t="s">
        <v>514</v>
      </c>
    </row>
    <row r="4120" spans="1:14" ht="14.5" x14ac:dyDescent="0.35">
      <c r="A4120" s="260" t="s">
        <v>747</v>
      </c>
      <c r="B4120" s="190">
        <v>45934</v>
      </c>
      <c r="C4120" s="260" t="s">
        <v>749</v>
      </c>
      <c r="D4120" s="197">
        <v>80</v>
      </c>
      <c r="E4120" s="197">
        <v>4004</v>
      </c>
      <c r="F4120" s="197">
        <v>53.8</v>
      </c>
      <c r="G4120" s="190">
        <v>45933</v>
      </c>
      <c r="H4120" s="196">
        <v>1</v>
      </c>
      <c r="I4120" s="197">
        <v>4304</v>
      </c>
      <c r="J4120" s="197">
        <v>4304</v>
      </c>
      <c r="K4120" s="197">
        <v>0</v>
      </c>
      <c r="L4120" s="197">
        <v>300</v>
      </c>
      <c r="M4120" s="260" t="s">
        <v>239</v>
      </c>
      <c r="N4120" s="260" t="s">
        <v>514</v>
      </c>
    </row>
    <row r="4121" spans="1:14" ht="14.5" x14ac:dyDescent="0.35">
      <c r="A4121" s="260" t="s">
        <v>747</v>
      </c>
      <c r="B4121" s="190">
        <v>45934</v>
      </c>
      <c r="C4121" s="260" t="s">
        <v>752</v>
      </c>
      <c r="D4121" s="197">
        <v>30</v>
      </c>
      <c r="E4121" s="197">
        <v>5343</v>
      </c>
      <c r="F4121" s="197">
        <v>177.27</v>
      </c>
      <c r="G4121" s="190">
        <v>45933</v>
      </c>
      <c r="H4121" s="196">
        <v>1</v>
      </c>
      <c r="I4121" s="197">
        <v>5318.1</v>
      </c>
      <c r="J4121" s="197">
        <v>5318.1</v>
      </c>
      <c r="K4121" s="197">
        <v>0</v>
      </c>
      <c r="L4121" s="197">
        <v>-24.899999999999636</v>
      </c>
      <c r="M4121" s="260" t="s">
        <v>239</v>
      </c>
      <c r="N4121" s="260" t="s">
        <v>514</v>
      </c>
    </row>
    <row r="4122" spans="1:14" ht="14.5" x14ac:dyDescent="0.35">
      <c r="A4122" s="260" t="s">
        <v>747</v>
      </c>
      <c r="B4122" s="190">
        <v>45934</v>
      </c>
      <c r="C4122" s="260" t="s">
        <v>754</v>
      </c>
      <c r="D4122" s="197">
        <v>100</v>
      </c>
      <c r="E4122" s="197">
        <v>8008</v>
      </c>
      <c r="F4122" s="197">
        <v>81.67</v>
      </c>
      <c r="G4122" s="190">
        <v>45933</v>
      </c>
      <c r="H4122" s="196">
        <v>1</v>
      </c>
      <c r="I4122" s="197">
        <v>8167</v>
      </c>
      <c r="J4122" s="197">
        <v>8167</v>
      </c>
      <c r="K4122" s="197">
        <v>0</v>
      </c>
      <c r="L4122" s="197">
        <v>159</v>
      </c>
      <c r="M4122" s="260" t="s">
        <v>239</v>
      </c>
      <c r="N4122" s="260" t="s">
        <v>514</v>
      </c>
    </row>
    <row r="4123" spans="1:14" ht="14.5" x14ac:dyDescent="0.35">
      <c r="A4123" s="260" t="s">
        <v>747</v>
      </c>
      <c r="B4123" s="190">
        <v>45935</v>
      </c>
      <c r="C4123" s="260" t="s">
        <v>749</v>
      </c>
      <c r="D4123" s="197">
        <v>80</v>
      </c>
      <c r="E4123" s="197">
        <v>4004</v>
      </c>
      <c r="F4123" s="197">
        <v>53.8</v>
      </c>
      <c r="G4123" s="190">
        <v>45933</v>
      </c>
      <c r="H4123" s="196">
        <v>2</v>
      </c>
      <c r="I4123" s="197">
        <v>4304</v>
      </c>
      <c r="J4123" s="197">
        <v>4304</v>
      </c>
      <c r="K4123" s="197">
        <v>0</v>
      </c>
      <c r="L4123" s="197">
        <v>300</v>
      </c>
      <c r="M4123" s="260" t="s">
        <v>239</v>
      </c>
      <c r="N4123" s="260" t="s">
        <v>514</v>
      </c>
    </row>
    <row r="4124" spans="1:14" ht="14.5" x14ac:dyDescent="0.35">
      <c r="A4124" s="260" t="s">
        <v>747</v>
      </c>
      <c r="B4124" s="190">
        <v>45935</v>
      </c>
      <c r="C4124" s="260" t="s">
        <v>752</v>
      </c>
      <c r="D4124" s="197">
        <v>30</v>
      </c>
      <c r="E4124" s="197">
        <v>5343</v>
      </c>
      <c r="F4124" s="197">
        <v>177.27</v>
      </c>
      <c r="G4124" s="190">
        <v>45933</v>
      </c>
      <c r="H4124" s="196">
        <v>2</v>
      </c>
      <c r="I4124" s="197">
        <v>5318.1</v>
      </c>
      <c r="J4124" s="197">
        <v>5318.1</v>
      </c>
      <c r="K4124" s="197">
        <v>0</v>
      </c>
      <c r="L4124" s="197">
        <v>-24.899999999999636</v>
      </c>
      <c r="M4124" s="260" t="s">
        <v>239</v>
      </c>
      <c r="N4124" s="260" t="s">
        <v>514</v>
      </c>
    </row>
    <row r="4125" spans="1:14" ht="14.5" x14ac:dyDescent="0.35">
      <c r="A4125" s="260" t="s">
        <v>747</v>
      </c>
      <c r="B4125" s="190">
        <v>45935</v>
      </c>
      <c r="C4125" s="260" t="s">
        <v>754</v>
      </c>
      <c r="D4125" s="197">
        <v>100</v>
      </c>
      <c r="E4125" s="197">
        <v>8008</v>
      </c>
      <c r="F4125" s="197">
        <v>81.67</v>
      </c>
      <c r="G4125" s="190">
        <v>45933</v>
      </c>
      <c r="H4125" s="196">
        <v>2</v>
      </c>
      <c r="I4125" s="197">
        <v>8167</v>
      </c>
      <c r="J4125" s="197">
        <v>8167</v>
      </c>
      <c r="K4125" s="197">
        <v>0</v>
      </c>
      <c r="L4125" s="197">
        <v>159</v>
      </c>
      <c r="M4125" s="260" t="s">
        <v>239</v>
      </c>
      <c r="N4125" s="260" t="s">
        <v>514</v>
      </c>
    </row>
    <row r="4126" spans="1:14" ht="14.5" x14ac:dyDescent="0.35">
      <c r="A4126" s="260" t="s">
        <v>747</v>
      </c>
      <c r="B4126" s="190">
        <v>45936</v>
      </c>
      <c r="C4126" s="260" t="s">
        <v>749</v>
      </c>
      <c r="D4126" s="197">
        <v>80</v>
      </c>
      <c r="E4126" s="197">
        <v>4004</v>
      </c>
      <c r="F4126" s="197">
        <v>53.5</v>
      </c>
      <c r="G4126" s="190">
        <v>45936</v>
      </c>
      <c r="H4126" s="196">
        <v>0</v>
      </c>
      <c r="I4126" s="197">
        <v>4280</v>
      </c>
      <c r="J4126" s="197">
        <v>4280</v>
      </c>
      <c r="K4126" s="197">
        <v>0</v>
      </c>
      <c r="L4126" s="197">
        <v>276</v>
      </c>
      <c r="M4126" s="260" t="s">
        <v>239</v>
      </c>
      <c r="N4126" s="260" t="s">
        <v>514</v>
      </c>
    </row>
    <row r="4127" spans="1:14" ht="14.5" x14ac:dyDescent="0.35">
      <c r="A4127" s="260" t="s">
        <v>747</v>
      </c>
      <c r="B4127" s="190">
        <v>45936</v>
      </c>
      <c r="C4127" s="260" t="s">
        <v>752</v>
      </c>
      <c r="D4127" s="197">
        <v>30</v>
      </c>
      <c r="E4127" s="197">
        <v>5343</v>
      </c>
      <c r="F4127" s="197">
        <v>177.67</v>
      </c>
      <c r="G4127" s="190">
        <v>45936</v>
      </c>
      <c r="H4127" s="196">
        <v>0</v>
      </c>
      <c r="I4127" s="197">
        <v>5330.0999999999995</v>
      </c>
      <c r="J4127" s="197">
        <v>5330.0999999999995</v>
      </c>
      <c r="K4127" s="197">
        <v>0</v>
      </c>
      <c r="L4127" s="197">
        <v>-12.900000000000546</v>
      </c>
      <c r="M4127" s="260" t="s">
        <v>239</v>
      </c>
      <c r="N4127" s="260" t="s">
        <v>514</v>
      </c>
    </row>
    <row r="4128" spans="1:14" ht="14.5" x14ac:dyDescent="0.35">
      <c r="A4128" s="260" t="s">
        <v>747</v>
      </c>
      <c r="B4128" s="190">
        <v>45936</v>
      </c>
      <c r="C4128" s="260" t="s">
        <v>754</v>
      </c>
      <c r="D4128" s="197">
        <v>100</v>
      </c>
      <c r="E4128" s="197">
        <v>8008</v>
      </c>
      <c r="F4128" s="197">
        <v>81.17</v>
      </c>
      <c r="G4128" s="190">
        <v>45936</v>
      </c>
      <c r="H4128" s="196">
        <v>0</v>
      </c>
      <c r="I4128" s="197">
        <v>8117</v>
      </c>
      <c r="J4128" s="197">
        <v>8117</v>
      </c>
      <c r="K4128" s="197">
        <v>0</v>
      </c>
      <c r="L4128" s="197">
        <v>109</v>
      </c>
      <c r="M4128" s="260" t="s">
        <v>239</v>
      </c>
      <c r="N4128" s="260" t="s">
        <v>514</v>
      </c>
    </row>
    <row r="4129" spans="1:14" ht="14.5" x14ac:dyDescent="0.35">
      <c r="A4129" s="260" t="s">
        <v>747</v>
      </c>
      <c r="B4129" s="190">
        <v>45937</v>
      </c>
      <c r="C4129" s="260" t="s">
        <v>749</v>
      </c>
      <c r="D4129" s="197">
        <v>80</v>
      </c>
      <c r="E4129" s="197">
        <v>4004</v>
      </c>
      <c r="F4129" s="197">
        <v>53.4</v>
      </c>
      <c r="G4129" s="190">
        <v>45937</v>
      </c>
      <c r="H4129" s="196">
        <v>0</v>
      </c>
      <c r="I4129" s="197">
        <v>4272</v>
      </c>
      <c r="J4129" s="197">
        <v>4272</v>
      </c>
      <c r="K4129" s="197">
        <v>0</v>
      </c>
      <c r="L4129" s="197">
        <v>268</v>
      </c>
      <c r="M4129" s="260" t="s">
        <v>239</v>
      </c>
      <c r="N4129" s="260" t="s">
        <v>514</v>
      </c>
    </row>
    <row r="4130" spans="1:14" ht="14.5" x14ac:dyDescent="0.35">
      <c r="A4130" s="260" t="s">
        <v>747</v>
      </c>
      <c r="B4130" s="190">
        <v>45937</v>
      </c>
      <c r="C4130" s="260" t="s">
        <v>752</v>
      </c>
      <c r="D4130" s="197">
        <v>30</v>
      </c>
      <c r="E4130" s="197">
        <v>5343</v>
      </c>
      <c r="F4130" s="197">
        <v>177.8</v>
      </c>
      <c r="G4130" s="190">
        <v>45937</v>
      </c>
      <c r="H4130" s="196">
        <v>0</v>
      </c>
      <c r="I4130" s="197">
        <v>5334</v>
      </c>
      <c r="J4130" s="197">
        <v>5334</v>
      </c>
      <c r="K4130" s="197">
        <v>0</v>
      </c>
      <c r="L4130" s="197">
        <v>-9</v>
      </c>
      <c r="M4130" s="260" t="s">
        <v>239</v>
      </c>
      <c r="N4130" s="260" t="s">
        <v>514</v>
      </c>
    </row>
    <row r="4131" spans="1:14" ht="14.5" x14ac:dyDescent="0.35">
      <c r="A4131" s="260" t="s">
        <v>747</v>
      </c>
      <c r="B4131" s="190">
        <v>45937</v>
      </c>
      <c r="C4131" s="260" t="s">
        <v>754</v>
      </c>
      <c r="D4131" s="197">
        <v>100</v>
      </c>
      <c r="E4131" s="197">
        <v>8008</v>
      </c>
      <c r="F4131" s="197">
        <v>81</v>
      </c>
      <c r="G4131" s="190">
        <v>45937</v>
      </c>
      <c r="H4131" s="196">
        <v>0</v>
      </c>
      <c r="I4131" s="197">
        <v>8100</v>
      </c>
      <c r="J4131" s="197">
        <v>8100</v>
      </c>
      <c r="K4131" s="197">
        <v>0</v>
      </c>
      <c r="L4131" s="197">
        <v>92</v>
      </c>
      <c r="M4131" s="260" t="s">
        <v>239</v>
      </c>
      <c r="N4131" s="260" t="s">
        <v>514</v>
      </c>
    </row>
    <row r="4132" spans="1:14" ht="14.5" x14ac:dyDescent="0.35">
      <c r="A4132" s="260" t="s">
        <v>747</v>
      </c>
      <c r="B4132" s="190">
        <v>45938</v>
      </c>
      <c r="C4132" s="260" t="s">
        <v>749</v>
      </c>
      <c r="D4132" s="197">
        <v>80</v>
      </c>
      <c r="E4132" s="197">
        <v>4004</v>
      </c>
      <c r="F4132" s="197">
        <v>53.3</v>
      </c>
      <c r="G4132" s="190">
        <v>45938</v>
      </c>
      <c r="H4132" s="196">
        <v>0</v>
      </c>
      <c r="I4132" s="197">
        <v>4264</v>
      </c>
      <c r="J4132" s="197">
        <v>4264</v>
      </c>
      <c r="K4132" s="197">
        <v>0</v>
      </c>
      <c r="L4132" s="197">
        <v>260</v>
      </c>
      <c r="M4132" s="260" t="s">
        <v>239</v>
      </c>
      <c r="N4132" s="260" t="s">
        <v>514</v>
      </c>
    </row>
    <row r="4133" spans="1:14" ht="14.5" x14ac:dyDescent="0.35">
      <c r="A4133" s="260" t="s">
        <v>747</v>
      </c>
      <c r="B4133" s="190">
        <v>45938</v>
      </c>
      <c r="C4133" s="260" t="s">
        <v>752</v>
      </c>
      <c r="D4133" s="197">
        <v>30</v>
      </c>
      <c r="E4133" s="197">
        <v>5343</v>
      </c>
      <c r="F4133" s="197">
        <v>177.93</v>
      </c>
      <c r="G4133" s="190">
        <v>45938</v>
      </c>
      <c r="H4133" s="196">
        <v>0</v>
      </c>
      <c r="I4133" s="197">
        <v>5337.9000000000005</v>
      </c>
      <c r="J4133" s="197">
        <v>5337.9000000000005</v>
      </c>
      <c r="K4133" s="197">
        <v>0</v>
      </c>
      <c r="L4133" s="197">
        <v>-5.0999999999994543</v>
      </c>
      <c r="M4133" s="260" t="s">
        <v>239</v>
      </c>
      <c r="N4133" s="260" t="s">
        <v>514</v>
      </c>
    </row>
    <row r="4134" spans="1:14" ht="14.5" x14ac:dyDescent="0.35">
      <c r="A4134" s="260" t="s">
        <v>747</v>
      </c>
      <c r="B4134" s="190">
        <v>45938</v>
      </c>
      <c r="C4134" s="260" t="s">
        <v>754</v>
      </c>
      <c r="D4134" s="197">
        <v>100</v>
      </c>
      <c r="E4134" s="197">
        <v>8008</v>
      </c>
      <c r="F4134" s="197">
        <v>80.83</v>
      </c>
      <c r="G4134" s="190">
        <v>45938</v>
      </c>
      <c r="H4134" s="196">
        <v>0</v>
      </c>
      <c r="I4134" s="197">
        <v>8083</v>
      </c>
      <c r="J4134" s="197">
        <v>8083</v>
      </c>
      <c r="K4134" s="197">
        <v>0</v>
      </c>
      <c r="L4134" s="197">
        <v>75</v>
      </c>
      <c r="M4134" s="260" t="s">
        <v>239</v>
      </c>
      <c r="N4134" s="260" t="s">
        <v>514</v>
      </c>
    </row>
    <row r="4135" spans="1:14" ht="14.5" x14ac:dyDescent="0.35">
      <c r="A4135" s="260" t="s">
        <v>747</v>
      </c>
      <c r="B4135" s="190">
        <v>45939</v>
      </c>
      <c r="C4135" s="260" t="s">
        <v>749</v>
      </c>
      <c r="D4135" s="197">
        <v>80</v>
      </c>
      <c r="E4135" s="197">
        <v>4004</v>
      </c>
      <c r="F4135" s="197">
        <v>53.2</v>
      </c>
      <c r="G4135" s="190">
        <v>45939</v>
      </c>
      <c r="H4135" s="196">
        <v>0</v>
      </c>
      <c r="I4135" s="197">
        <v>4256</v>
      </c>
      <c r="J4135" s="197">
        <v>4256</v>
      </c>
      <c r="K4135" s="197">
        <v>0</v>
      </c>
      <c r="L4135" s="197">
        <v>252</v>
      </c>
      <c r="M4135" s="260" t="s">
        <v>239</v>
      </c>
      <c r="N4135" s="260" t="s">
        <v>514</v>
      </c>
    </row>
    <row r="4136" spans="1:14" ht="14.5" x14ac:dyDescent="0.35">
      <c r="A4136" s="260" t="s">
        <v>747</v>
      </c>
      <c r="B4136" s="190">
        <v>45939</v>
      </c>
      <c r="C4136" s="260" t="s">
        <v>752</v>
      </c>
      <c r="D4136" s="197">
        <v>30</v>
      </c>
      <c r="E4136" s="197">
        <v>5343</v>
      </c>
      <c r="F4136" s="197">
        <v>178.07</v>
      </c>
      <c r="G4136" s="190">
        <v>45939</v>
      </c>
      <c r="H4136" s="196">
        <v>0</v>
      </c>
      <c r="I4136" s="197">
        <v>5342.0999999999995</v>
      </c>
      <c r="J4136" s="197">
        <v>5342.0999999999995</v>
      </c>
      <c r="K4136" s="197">
        <v>0</v>
      </c>
      <c r="L4136" s="197">
        <v>-0.9000000000005457</v>
      </c>
      <c r="M4136" s="260" t="s">
        <v>239</v>
      </c>
      <c r="N4136" s="260" t="s">
        <v>514</v>
      </c>
    </row>
    <row r="4137" spans="1:14" ht="14.5" x14ac:dyDescent="0.35">
      <c r="A4137" s="260" t="s">
        <v>747</v>
      </c>
      <c r="B4137" s="190">
        <v>45939</v>
      </c>
      <c r="C4137" s="260" t="s">
        <v>754</v>
      </c>
      <c r="D4137" s="197">
        <v>100</v>
      </c>
      <c r="E4137" s="197">
        <v>8008</v>
      </c>
      <c r="F4137" s="197">
        <v>80.67</v>
      </c>
      <c r="G4137" s="190">
        <v>45939</v>
      </c>
      <c r="H4137" s="196">
        <v>0</v>
      </c>
      <c r="I4137" s="197">
        <v>8067</v>
      </c>
      <c r="J4137" s="197">
        <v>8067</v>
      </c>
      <c r="K4137" s="197">
        <v>0</v>
      </c>
      <c r="L4137" s="197">
        <v>59</v>
      </c>
      <c r="M4137" s="260" t="s">
        <v>239</v>
      </c>
      <c r="N4137" s="260" t="s">
        <v>514</v>
      </c>
    </row>
    <row r="4138" spans="1:14" ht="14.5" x14ac:dyDescent="0.35">
      <c r="A4138" s="260" t="s">
        <v>747</v>
      </c>
      <c r="B4138" s="190">
        <v>45940</v>
      </c>
      <c r="C4138" s="260" t="s">
        <v>749</v>
      </c>
      <c r="D4138" s="197">
        <v>80</v>
      </c>
      <c r="E4138" s="197">
        <v>4004</v>
      </c>
      <c r="F4138" s="197">
        <v>53.1</v>
      </c>
      <c r="G4138" s="190">
        <v>45940</v>
      </c>
      <c r="H4138" s="196">
        <v>0</v>
      </c>
      <c r="I4138" s="197">
        <v>4248</v>
      </c>
      <c r="J4138" s="197">
        <v>4248</v>
      </c>
      <c r="K4138" s="197">
        <v>0</v>
      </c>
      <c r="L4138" s="197">
        <v>244</v>
      </c>
      <c r="M4138" s="260" t="s">
        <v>239</v>
      </c>
      <c r="N4138" s="260" t="s">
        <v>514</v>
      </c>
    </row>
    <row r="4139" spans="1:14" ht="14.5" x14ac:dyDescent="0.35">
      <c r="A4139" s="260" t="s">
        <v>747</v>
      </c>
      <c r="B4139" s="190">
        <v>45940</v>
      </c>
      <c r="C4139" s="260" t="s">
        <v>752</v>
      </c>
      <c r="D4139" s="197">
        <v>30</v>
      </c>
      <c r="E4139" s="197">
        <v>5343</v>
      </c>
      <c r="F4139" s="197">
        <v>178.2</v>
      </c>
      <c r="G4139" s="190">
        <v>45940</v>
      </c>
      <c r="H4139" s="196">
        <v>0</v>
      </c>
      <c r="I4139" s="197">
        <v>5346</v>
      </c>
      <c r="J4139" s="197">
        <v>5346</v>
      </c>
      <c r="K4139" s="197">
        <v>0</v>
      </c>
      <c r="L4139" s="197">
        <v>3</v>
      </c>
      <c r="M4139" s="260" t="s">
        <v>239</v>
      </c>
      <c r="N4139" s="260" t="s">
        <v>514</v>
      </c>
    </row>
    <row r="4140" spans="1:14" ht="14.5" x14ac:dyDescent="0.35">
      <c r="A4140" s="260" t="s">
        <v>747</v>
      </c>
      <c r="B4140" s="190">
        <v>45940</v>
      </c>
      <c r="C4140" s="260" t="s">
        <v>754</v>
      </c>
      <c r="D4140" s="197">
        <v>100</v>
      </c>
      <c r="E4140" s="197">
        <v>8008</v>
      </c>
      <c r="F4140" s="197">
        <v>80.5</v>
      </c>
      <c r="G4140" s="190">
        <v>45940</v>
      </c>
      <c r="H4140" s="196">
        <v>0</v>
      </c>
      <c r="I4140" s="197">
        <v>8050</v>
      </c>
      <c r="J4140" s="197">
        <v>8050</v>
      </c>
      <c r="K4140" s="197">
        <v>0</v>
      </c>
      <c r="L4140" s="197">
        <v>42</v>
      </c>
      <c r="M4140" s="260" t="s">
        <v>239</v>
      </c>
      <c r="N4140" s="260" t="s">
        <v>514</v>
      </c>
    </row>
    <row r="4141" spans="1:14" ht="14.5" x14ac:dyDescent="0.35">
      <c r="A4141" s="260" t="s">
        <v>747</v>
      </c>
      <c r="B4141" s="190">
        <v>45941</v>
      </c>
      <c r="C4141" s="260" t="s">
        <v>749</v>
      </c>
      <c r="D4141" s="197">
        <v>80</v>
      </c>
      <c r="E4141" s="197">
        <v>4004</v>
      </c>
      <c r="F4141" s="197">
        <v>53.1</v>
      </c>
      <c r="G4141" s="190">
        <v>45940</v>
      </c>
      <c r="H4141" s="196">
        <v>1</v>
      </c>
      <c r="I4141" s="197">
        <v>4248</v>
      </c>
      <c r="J4141" s="197">
        <v>4248</v>
      </c>
      <c r="K4141" s="197">
        <v>0</v>
      </c>
      <c r="L4141" s="197">
        <v>244</v>
      </c>
      <c r="M4141" s="260" t="s">
        <v>239</v>
      </c>
      <c r="N4141" s="260" t="s">
        <v>514</v>
      </c>
    </row>
    <row r="4142" spans="1:14" ht="14.5" x14ac:dyDescent="0.35">
      <c r="A4142" s="260" t="s">
        <v>747</v>
      </c>
      <c r="B4142" s="190">
        <v>45941</v>
      </c>
      <c r="C4142" s="260" t="s">
        <v>752</v>
      </c>
      <c r="D4142" s="197">
        <v>30</v>
      </c>
      <c r="E4142" s="197">
        <v>5343</v>
      </c>
      <c r="F4142" s="197">
        <v>178.2</v>
      </c>
      <c r="G4142" s="190">
        <v>45940</v>
      </c>
      <c r="H4142" s="196">
        <v>1</v>
      </c>
      <c r="I4142" s="197">
        <v>5346</v>
      </c>
      <c r="J4142" s="197">
        <v>5346</v>
      </c>
      <c r="K4142" s="197">
        <v>0</v>
      </c>
      <c r="L4142" s="197">
        <v>3</v>
      </c>
      <c r="M4142" s="260" t="s">
        <v>239</v>
      </c>
      <c r="N4142" s="260" t="s">
        <v>514</v>
      </c>
    </row>
    <row r="4143" spans="1:14" ht="14.5" x14ac:dyDescent="0.35">
      <c r="A4143" s="260" t="s">
        <v>747</v>
      </c>
      <c r="B4143" s="190">
        <v>45941</v>
      </c>
      <c r="C4143" s="260" t="s">
        <v>754</v>
      </c>
      <c r="D4143" s="197">
        <v>100</v>
      </c>
      <c r="E4143" s="197">
        <v>8008</v>
      </c>
      <c r="F4143" s="197">
        <v>80.5</v>
      </c>
      <c r="G4143" s="190">
        <v>45940</v>
      </c>
      <c r="H4143" s="196">
        <v>1</v>
      </c>
      <c r="I4143" s="197">
        <v>8050</v>
      </c>
      <c r="J4143" s="197">
        <v>8050</v>
      </c>
      <c r="K4143" s="197">
        <v>0</v>
      </c>
      <c r="L4143" s="197">
        <v>42</v>
      </c>
      <c r="M4143" s="260" t="s">
        <v>239</v>
      </c>
      <c r="N4143" s="260" t="s">
        <v>514</v>
      </c>
    </row>
    <row r="4144" spans="1:14" ht="14.5" x14ac:dyDescent="0.35">
      <c r="A4144" s="260" t="s">
        <v>747</v>
      </c>
      <c r="B4144" s="190">
        <v>45942</v>
      </c>
      <c r="C4144" s="260" t="s">
        <v>749</v>
      </c>
      <c r="D4144" s="197">
        <v>80</v>
      </c>
      <c r="E4144" s="197">
        <v>4004</v>
      </c>
      <c r="F4144" s="197">
        <v>53.1</v>
      </c>
      <c r="G4144" s="190">
        <v>45940</v>
      </c>
      <c r="H4144" s="196">
        <v>2</v>
      </c>
      <c r="I4144" s="197">
        <v>4248</v>
      </c>
      <c r="J4144" s="197">
        <v>4248</v>
      </c>
      <c r="K4144" s="197">
        <v>0</v>
      </c>
      <c r="L4144" s="197">
        <v>244</v>
      </c>
      <c r="M4144" s="260" t="s">
        <v>239</v>
      </c>
      <c r="N4144" s="260" t="s">
        <v>514</v>
      </c>
    </row>
    <row r="4145" spans="1:14" ht="14.5" x14ac:dyDescent="0.35">
      <c r="A4145" s="260" t="s">
        <v>747</v>
      </c>
      <c r="B4145" s="190">
        <v>45942</v>
      </c>
      <c r="C4145" s="260" t="s">
        <v>752</v>
      </c>
      <c r="D4145" s="197">
        <v>30</v>
      </c>
      <c r="E4145" s="197">
        <v>5343</v>
      </c>
      <c r="F4145" s="197">
        <v>178.2</v>
      </c>
      <c r="G4145" s="190">
        <v>45940</v>
      </c>
      <c r="H4145" s="196">
        <v>2</v>
      </c>
      <c r="I4145" s="197">
        <v>5346</v>
      </c>
      <c r="J4145" s="197">
        <v>5346</v>
      </c>
      <c r="K4145" s="197">
        <v>0</v>
      </c>
      <c r="L4145" s="197">
        <v>3</v>
      </c>
      <c r="M4145" s="260" t="s">
        <v>239</v>
      </c>
      <c r="N4145" s="260" t="s">
        <v>514</v>
      </c>
    </row>
    <row r="4146" spans="1:14" ht="14.5" x14ac:dyDescent="0.35">
      <c r="A4146" s="260" t="s">
        <v>747</v>
      </c>
      <c r="B4146" s="190">
        <v>45942</v>
      </c>
      <c r="C4146" s="260" t="s">
        <v>754</v>
      </c>
      <c r="D4146" s="197">
        <v>100</v>
      </c>
      <c r="E4146" s="197">
        <v>8008</v>
      </c>
      <c r="F4146" s="197">
        <v>80.5</v>
      </c>
      <c r="G4146" s="190">
        <v>45940</v>
      </c>
      <c r="H4146" s="196">
        <v>2</v>
      </c>
      <c r="I4146" s="197">
        <v>8050</v>
      </c>
      <c r="J4146" s="197">
        <v>8050</v>
      </c>
      <c r="K4146" s="197">
        <v>0</v>
      </c>
      <c r="L4146" s="197">
        <v>42</v>
      </c>
      <c r="M4146" s="260" t="s">
        <v>239</v>
      </c>
      <c r="N4146" s="260" t="s">
        <v>514</v>
      </c>
    </row>
    <row r="4147" spans="1:14" ht="14.5" x14ac:dyDescent="0.35">
      <c r="A4147" s="260" t="s">
        <v>747</v>
      </c>
      <c r="B4147" s="190">
        <v>45943</v>
      </c>
      <c r="C4147" s="260" t="s">
        <v>749</v>
      </c>
      <c r="D4147" s="197">
        <v>80</v>
      </c>
      <c r="E4147" s="197">
        <v>4004</v>
      </c>
      <c r="F4147" s="197">
        <v>52.8</v>
      </c>
      <c r="G4147" s="190">
        <v>45943</v>
      </c>
      <c r="H4147" s="196">
        <v>0</v>
      </c>
      <c r="I4147" s="197">
        <v>4224</v>
      </c>
      <c r="J4147" s="197">
        <v>4224</v>
      </c>
      <c r="K4147" s="197">
        <v>0</v>
      </c>
      <c r="L4147" s="197">
        <v>220</v>
      </c>
      <c r="M4147" s="260" t="s">
        <v>239</v>
      </c>
      <c r="N4147" s="260" t="s">
        <v>514</v>
      </c>
    </row>
    <row r="4148" spans="1:14" ht="14.5" x14ac:dyDescent="0.35">
      <c r="A4148" s="260" t="s">
        <v>747</v>
      </c>
      <c r="B4148" s="190">
        <v>45943</v>
      </c>
      <c r="C4148" s="260" t="s">
        <v>752</v>
      </c>
      <c r="D4148" s="197">
        <v>30</v>
      </c>
      <c r="E4148" s="197">
        <v>5343</v>
      </c>
      <c r="F4148" s="197">
        <v>178.6</v>
      </c>
      <c r="G4148" s="190">
        <v>45943</v>
      </c>
      <c r="H4148" s="196">
        <v>0</v>
      </c>
      <c r="I4148" s="197">
        <v>5358</v>
      </c>
      <c r="J4148" s="197">
        <v>5358</v>
      </c>
      <c r="K4148" s="197">
        <v>0</v>
      </c>
      <c r="L4148" s="197">
        <v>15</v>
      </c>
      <c r="M4148" s="260" t="s">
        <v>239</v>
      </c>
      <c r="N4148" s="260" t="s">
        <v>514</v>
      </c>
    </row>
    <row r="4149" spans="1:14" ht="14.5" x14ac:dyDescent="0.35">
      <c r="A4149" s="260" t="s">
        <v>747</v>
      </c>
      <c r="B4149" s="190">
        <v>45943</v>
      </c>
      <c r="C4149" s="260" t="s">
        <v>754</v>
      </c>
      <c r="D4149" s="197">
        <v>100</v>
      </c>
      <c r="E4149" s="197">
        <v>8008</v>
      </c>
      <c r="F4149" s="197">
        <v>80</v>
      </c>
      <c r="G4149" s="190">
        <v>45943</v>
      </c>
      <c r="H4149" s="196">
        <v>0</v>
      </c>
      <c r="I4149" s="197">
        <v>8000</v>
      </c>
      <c r="J4149" s="197">
        <v>8000</v>
      </c>
      <c r="K4149" s="197">
        <v>0</v>
      </c>
      <c r="L4149" s="197">
        <v>-8</v>
      </c>
      <c r="M4149" s="260" t="s">
        <v>239</v>
      </c>
      <c r="N4149" s="260" t="s">
        <v>514</v>
      </c>
    </row>
    <row r="4150" spans="1:14" ht="14.5" x14ac:dyDescent="0.35">
      <c r="A4150" s="260" t="s">
        <v>747</v>
      </c>
      <c r="B4150" s="190">
        <v>45944</v>
      </c>
      <c r="C4150" s="260" t="s">
        <v>749</v>
      </c>
      <c r="D4150" s="197">
        <v>80</v>
      </c>
      <c r="E4150" s="197">
        <v>4004</v>
      </c>
      <c r="F4150" s="197">
        <v>52.7</v>
      </c>
      <c r="G4150" s="190">
        <v>45944</v>
      </c>
      <c r="H4150" s="196">
        <v>0</v>
      </c>
      <c r="I4150" s="197">
        <v>4216</v>
      </c>
      <c r="J4150" s="197">
        <v>4216</v>
      </c>
      <c r="K4150" s="197">
        <v>0</v>
      </c>
      <c r="L4150" s="197">
        <v>212</v>
      </c>
      <c r="M4150" s="260" t="s">
        <v>239</v>
      </c>
      <c r="N4150" s="260" t="s">
        <v>514</v>
      </c>
    </row>
    <row r="4151" spans="1:14" ht="14.5" x14ac:dyDescent="0.35">
      <c r="A4151" s="260" t="s">
        <v>747</v>
      </c>
      <c r="B4151" s="190">
        <v>45944</v>
      </c>
      <c r="C4151" s="260" t="s">
        <v>752</v>
      </c>
      <c r="D4151" s="197">
        <v>30</v>
      </c>
      <c r="E4151" s="197">
        <v>5343</v>
      </c>
      <c r="F4151" s="197">
        <v>178.73</v>
      </c>
      <c r="G4151" s="190">
        <v>45944</v>
      </c>
      <c r="H4151" s="196">
        <v>0</v>
      </c>
      <c r="I4151" s="197">
        <v>5361.9</v>
      </c>
      <c r="J4151" s="197">
        <v>5361.9</v>
      </c>
      <c r="K4151" s="197">
        <v>0</v>
      </c>
      <c r="L4151" s="197">
        <v>18.899999999999636</v>
      </c>
      <c r="M4151" s="260" t="s">
        <v>239</v>
      </c>
      <c r="N4151" s="260" t="s">
        <v>514</v>
      </c>
    </row>
    <row r="4152" spans="1:14" ht="14.5" x14ac:dyDescent="0.35">
      <c r="A4152" s="260" t="s">
        <v>747</v>
      </c>
      <c r="B4152" s="190">
        <v>45944</v>
      </c>
      <c r="C4152" s="260" t="s">
        <v>754</v>
      </c>
      <c r="D4152" s="197">
        <v>100</v>
      </c>
      <c r="E4152" s="197">
        <v>8008</v>
      </c>
      <c r="F4152" s="197">
        <v>79.83</v>
      </c>
      <c r="G4152" s="190">
        <v>45944</v>
      </c>
      <c r="H4152" s="196">
        <v>0</v>
      </c>
      <c r="I4152" s="197">
        <v>7983</v>
      </c>
      <c r="J4152" s="197">
        <v>7983</v>
      </c>
      <c r="K4152" s="197">
        <v>0</v>
      </c>
      <c r="L4152" s="197">
        <v>-25</v>
      </c>
      <c r="M4152" s="260" t="s">
        <v>239</v>
      </c>
      <c r="N4152" s="260" t="s">
        <v>514</v>
      </c>
    </row>
    <row r="4153" spans="1:14" ht="14.5" x14ac:dyDescent="0.35">
      <c r="A4153" s="260" t="s">
        <v>747</v>
      </c>
      <c r="B4153" s="190">
        <v>45945</v>
      </c>
      <c r="C4153" s="260" t="s">
        <v>749</v>
      </c>
      <c r="D4153" s="197">
        <v>80</v>
      </c>
      <c r="E4153" s="197">
        <v>4004</v>
      </c>
      <c r="F4153" s="197">
        <v>52.6</v>
      </c>
      <c r="G4153" s="190">
        <v>45945</v>
      </c>
      <c r="H4153" s="196">
        <v>0</v>
      </c>
      <c r="I4153" s="197">
        <v>4208</v>
      </c>
      <c r="J4153" s="197">
        <v>4208</v>
      </c>
      <c r="K4153" s="197">
        <v>0</v>
      </c>
      <c r="L4153" s="197">
        <v>204</v>
      </c>
      <c r="M4153" s="260" t="s">
        <v>239</v>
      </c>
      <c r="N4153" s="260" t="s">
        <v>514</v>
      </c>
    </row>
    <row r="4154" spans="1:14" ht="14.5" x14ac:dyDescent="0.35">
      <c r="A4154" s="260" t="s">
        <v>747</v>
      </c>
      <c r="B4154" s="190">
        <v>45945</v>
      </c>
      <c r="C4154" s="260" t="s">
        <v>752</v>
      </c>
      <c r="D4154" s="197">
        <v>30</v>
      </c>
      <c r="E4154" s="197">
        <v>5343</v>
      </c>
      <c r="F4154" s="197">
        <v>178.87</v>
      </c>
      <c r="G4154" s="190">
        <v>45945</v>
      </c>
      <c r="H4154" s="196">
        <v>0</v>
      </c>
      <c r="I4154" s="197">
        <v>5366.1</v>
      </c>
      <c r="J4154" s="197">
        <v>5366.1</v>
      </c>
      <c r="K4154" s="197">
        <v>0</v>
      </c>
      <c r="L4154" s="197">
        <v>23.100000000000364</v>
      </c>
      <c r="M4154" s="260" t="s">
        <v>239</v>
      </c>
      <c r="N4154" s="260" t="s">
        <v>514</v>
      </c>
    </row>
    <row r="4155" spans="1:14" ht="14.5" x14ac:dyDescent="0.35">
      <c r="A4155" s="260" t="s">
        <v>747</v>
      </c>
      <c r="B4155" s="190">
        <v>45945</v>
      </c>
      <c r="C4155" s="260" t="s">
        <v>754</v>
      </c>
      <c r="D4155" s="197">
        <v>100</v>
      </c>
      <c r="E4155" s="197">
        <v>8008</v>
      </c>
      <c r="F4155" s="197">
        <v>79.67</v>
      </c>
      <c r="G4155" s="190">
        <v>45945</v>
      </c>
      <c r="H4155" s="196">
        <v>0</v>
      </c>
      <c r="I4155" s="197">
        <v>7967</v>
      </c>
      <c r="J4155" s="197">
        <v>7967</v>
      </c>
      <c r="K4155" s="197">
        <v>0</v>
      </c>
      <c r="L4155" s="197">
        <v>-41</v>
      </c>
      <c r="M4155" s="260" t="s">
        <v>239</v>
      </c>
      <c r="N4155" s="260" t="s">
        <v>514</v>
      </c>
    </row>
    <row r="4156" spans="1:14" ht="14.5" x14ac:dyDescent="0.35">
      <c r="A4156" s="260" t="s">
        <v>747</v>
      </c>
      <c r="B4156" s="190">
        <v>45946</v>
      </c>
      <c r="C4156" s="260" t="s">
        <v>749</v>
      </c>
      <c r="D4156" s="197">
        <v>80</v>
      </c>
      <c r="E4156" s="197">
        <v>4004</v>
      </c>
      <c r="F4156" s="197">
        <v>52.5</v>
      </c>
      <c r="G4156" s="190">
        <v>45946</v>
      </c>
      <c r="H4156" s="196">
        <v>0</v>
      </c>
      <c r="I4156" s="197">
        <v>4200</v>
      </c>
      <c r="J4156" s="197">
        <v>4200</v>
      </c>
      <c r="K4156" s="197">
        <v>0</v>
      </c>
      <c r="L4156" s="197">
        <v>196</v>
      </c>
      <c r="M4156" s="260" t="s">
        <v>239</v>
      </c>
      <c r="N4156" s="260" t="s">
        <v>514</v>
      </c>
    </row>
    <row r="4157" spans="1:14" ht="14.5" x14ac:dyDescent="0.35">
      <c r="A4157" s="260" t="s">
        <v>747</v>
      </c>
      <c r="B4157" s="190">
        <v>45946</v>
      </c>
      <c r="C4157" s="260" t="s">
        <v>752</v>
      </c>
      <c r="D4157" s="197">
        <v>30</v>
      </c>
      <c r="E4157" s="197">
        <v>5343</v>
      </c>
      <c r="F4157" s="197">
        <v>179</v>
      </c>
      <c r="G4157" s="190">
        <v>45946</v>
      </c>
      <c r="H4157" s="196">
        <v>0</v>
      </c>
      <c r="I4157" s="197">
        <v>5370</v>
      </c>
      <c r="J4157" s="197">
        <v>5370</v>
      </c>
      <c r="K4157" s="197">
        <v>0</v>
      </c>
      <c r="L4157" s="197">
        <v>27</v>
      </c>
      <c r="M4157" s="260" t="s">
        <v>239</v>
      </c>
      <c r="N4157" s="260" t="s">
        <v>514</v>
      </c>
    </row>
    <row r="4158" spans="1:14" ht="14.5" x14ac:dyDescent="0.35">
      <c r="A4158" s="260" t="s">
        <v>747</v>
      </c>
      <c r="B4158" s="190">
        <v>45946</v>
      </c>
      <c r="C4158" s="260" t="s">
        <v>754</v>
      </c>
      <c r="D4158" s="197">
        <v>100</v>
      </c>
      <c r="E4158" s="197">
        <v>8008</v>
      </c>
      <c r="F4158" s="197">
        <v>79.5</v>
      </c>
      <c r="G4158" s="190">
        <v>45946</v>
      </c>
      <c r="H4158" s="196">
        <v>0</v>
      </c>
      <c r="I4158" s="197">
        <v>7950</v>
      </c>
      <c r="J4158" s="197">
        <v>7950</v>
      </c>
      <c r="K4158" s="197">
        <v>0</v>
      </c>
      <c r="L4158" s="197">
        <v>-58</v>
      </c>
      <c r="M4158" s="260" t="s">
        <v>239</v>
      </c>
      <c r="N4158" s="260" t="s">
        <v>514</v>
      </c>
    </row>
    <row r="4159" spans="1:14" ht="14.5" x14ac:dyDescent="0.35">
      <c r="A4159" s="260" t="s">
        <v>747</v>
      </c>
      <c r="B4159" s="190">
        <v>45947</v>
      </c>
      <c r="C4159" s="260" t="s">
        <v>749</v>
      </c>
      <c r="D4159" s="197">
        <v>80</v>
      </c>
      <c r="E4159" s="197">
        <v>4004</v>
      </c>
      <c r="F4159" s="197">
        <v>52.4</v>
      </c>
      <c r="G4159" s="190">
        <v>45947</v>
      </c>
      <c r="H4159" s="196">
        <v>0</v>
      </c>
      <c r="I4159" s="197">
        <v>4192</v>
      </c>
      <c r="J4159" s="197">
        <v>4192</v>
      </c>
      <c r="K4159" s="197">
        <v>0</v>
      </c>
      <c r="L4159" s="197">
        <v>188</v>
      </c>
      <c r="M4159" s="260" t="s">
        <v>239</v>
      </c>
      <c r="N4159" s="260" t="s">
        <v>514</v>
      </c>
    </row>
    <row r="4160" spans="1:14" ht="14.5" x14ac:dyDescent="0.35">
      <c r="A4160" s="260" t="s">
        <v>747</v>
      </c>
      <c r="B4160" s="190">
        <v>45947</v>
      </c>
      <c r="C4160" s="260" t="s">
        <v>752</v>
      </c>
      <c r="D4160" s="197">
        <v>30</v>
      </c>
      <c r="E4160" s="197">
        <v>5343</v>
      </c>
      <c r="F4160" s="197">
        <v>179.13</v>
      </c>
      <c r="G4160" s="190">
        <v>45947</v>
      </c>
      <c r="H4160" s="196">
        <v>0</v>
      </c>
      <c r="I4160" s="197">
        <v>5373.9</v>
      </c>
      <c r="J4160" s="197">
        <v>5373.9</v>
      </c>
      <c r="K4160" s="197">
        <v>0</v>
      </c>
      <c r="L4160" s="197">
        <v>30.899999999999636</v>
      </c>
      <c r="M4160" s="260" t="s">
        <v>239</v>
      </c>
      <c r="N4160" s="260" t="s">
        <v>514</v>
      </c>
    </row>
    <row r="4161" spans="1:14" ht="14.5" x14ac:dyDescent="0.35">
      <c r="A4161" s="260" t="s">
        <v>747</v>
      </c>
      <c r="B4161" s="190">
        <v>45947</v>
      </c>
      <c r="C4161" s="260" t="s">
        <v>754</v>
      </c>
      <c r="D4161" s="197">
        <v>100</v>
      </c>
      <c r="E4161" s="197">
        <v>8008</v>
      </c>
      <c r="F4161" s="197">
        <v>79.33</v>
      </c>
      <c r="G4161" s="190">
        <v>45947</v>
      </c>
      <c r="H4161" s="196">
        <v>0</v>
      </c>
      <c r="I4161" s="197">
        <v>7933</v>
      </c>
      <c r="J4161" s="197">
        <v>7933</v>
      </c>
      <c r="K4161" s="197">
        <v>0</v>
      </c>
      <c r="L4161" s="197">
        <v>-75</v>
      </c>
      <c r="M4161" s="260" t="s">
        <v>239</v>
      </c>
      <c r="N4161" s="260" t="s">
        <v>514</v>
      </c>
    </row>
    <row r="4162" spans="1:14" ht="14.5" x14ac:dyDescent="0.35">
      <c r="A4162" s="260" t="s">
        <v>747</v>
      </c>
      <c r="B4162" s="190">
        <v>45948</v>
      </c>
      <c r="C4162" s="260" t="s">
        <v>749</v>
      </c>
      <c r="D4162" s="197">
        <v>80</v>
      </c>
      <c r="E4162" s="197">
        <v>4004</v>
      </c>
      <c r="F4162" s="197">
        <v>52.4</v>
      </c>
      <c r="G4162" s="190">
        <v>45947</v>
      </c>
      <c r="H4162" s="196">
        <v>1</v>
      </c>
      <c r="I4162" s="197">
        <v>4192</v>
      </c>
      <c r="J4162" s="197">
        <v>4192</v>
      </c>
      <c r="K4162" s="197">
        <v>0</v>
      </c>
      <c r="L4162" s="197">
        <v>188</v>
      </c>
      <c r="M4162" s="260" t="s">
        <v>239</v>
      </c>
      <c r="N4162" s="260" t="s">
        <v>514</v>
      </c>
    </row>
    <row r="4163" spans="1:14" ht="14.5" x14ac:dyDescent="0.35">
      <c r="A4163" s="260" t="s">
        <v>747</v>
      </c>
      <c r="B4163" s="190">
        <v>45948</v>
      </c>
      <c r="C4163" s="260" t="s">
        <v>752</v>
      </c>
      <c r="D4163" s="197">
        <v>30</v>
      </c>
      <c r="E4163" s="197">
        <v>5343</v>
      </c>
      <c r="F4163" s="197">
        <v>179.13</v>
      </c>
      <c r="G4163" s="190">
        <v>45947</v>
      </c>
      <c r="H4163" s="196">
        <v>1</v>
      </c>
      <c r="I4163" s="197">
        <v>5373.9</v>
      </c>
      <c r="J4163" s="197">
        <v>5373.9</v>
      </c>
      <c r="K4163" s="197">
        <v>0</v>
      </c>
      <c r="L4163" s="197">
        <v>30.899999999999636</v>
      </c>
      <c r="M4163" s="260" t="s">
        <v>239</v>
      </c>
      <c r="N4163" s="260" t="s">
        <v>514</v>
      </c>
    </row>
    <row r="4164" spans="1:14" ht="14.5" x14ac:dyDescent="0.35">
      <c r="A4164" s="260" t="s">
        <v>747</v>
      </c>
      <c r="B4164" s="190">
        <v>45948</v>
      </c>
      <c r="C4164" s="260" t="s">
        <v>754</v>
      </c>
      <c r="D4164" s="197">
        <v>100</v>
      </c>
      <c r="E4164" s="197">
        <v>8008</v>
      </c>
      <c r="F4164" s="197">
        <v>79.33</v>
      </c>
      <c r="G4164" s="190">
        <v>45947</v>
      </c>
      <c r="H4164" s="196">
        <v>1</v>
      </c>
      <c r="I4164" s="197">
        <v>7933</v>
      </c>
      <c r="J4164" s="197">
        <v>7933</v>
      </c>
      <c r="K4164" s="197">
        <v>0</v>
      </c>
      <c r="L4164" s="197">
        <v>-75</v>
      </c>
      <c r="M4164" s="260" t="s">
        <v>239</v>
      </c>
      <c r="N4164" s="260" t="s">
        <v>514</v>
      </c>
    </row>
    <row r="4165" spans="1:14" ht="14.5" x14ac:dyDescent="0.35">
      <c r="A4165" s="260" t="s">
        <v>747</v>
      </c>
      <c r="B4165" s="190">
        <v>45949</v>
      </c>
      <c r="C4165" s="260" t="s">
        <v>749</v>
      </c>
      <c r="D4165" s="197">
        <v>80</v>
      </c>
      <c r="E4165" s="197">
        <v>4004</v>
      </c>
      <c r="F4165" s="197">
        <v>52.4</v>
      </c>
      <c r="G4165" s="190">
        <v>45947</v>
      </c>
      <c r="H4165" s="196">
        <v>2</v>
      </c>
      <c r="I4165" s="197">
        <v>4192</v>
      </c>
      <c r="J4165" s="197">
        <v>4192</v>
      </c>
      <c r="K4165" s="197">
        <v>0</v>
      </c>
      <c r="L4165" s="197">
        <v>188</v>
      </c>
      <c r="M4165" s="260" t="s">
        <v>239</v>
      </c>
      <c r="N4165" s="260" t="s">
        <v>514</v>
      </c>
    </row>
    <row r="4166" spans="1:14" ht="14.5" x14ac:dyDescent="0.35">
      <c r="A4166" s="260" t="s">
        <v>747</v>
      </c>
      <c r="B4166" s="190">
        <v>45949</v>
      </c>
      <c r="C4166" s="260" t="s">
        <v>752</v>
      </c>
      <c r="D4166" s="197">
        <v>30</v>
      </c>
      <c r="E4166" s="197">
        <v>5343</v>
      </c>
      <c r="F4166" s="197">
        <v>179.13</v>
      </c>
      <c r="G4166" s="190">
        <v>45947</v>
      </c>
      <c r="H4166" s="196">
        <v>2</v>
      </c>
      <c r="I4166" s="197">
        <v>5373.9</v>
      </c>
      <c r="J4166" s="197">
        <v>5373.9</v>
      </c>
      <c r="K4166" s="197">
        <v>0</v>
      </c>
      <c r="L4166" s="197">
        <v>30.899999999999636</v>
      </c>
      <c r="M4166" s="260" t="s">
        <v>239</v>
      </c>
      <c r="N4166" s="260" t="s">
        <v>514</v>
      </c>
    </row>
    <row r="4167" spans="1:14" ht="14.5" x14ac:dyDescent="0.35">
      <c r="A4167" s="260" t="s">
        <v>747</v>
      </c>
      <c r="B4167" s="190">
        <v>45949</v>
      </c>
      <c r="C4167" s="260" t="s">
        <v>754</v>
      </c>
      <c r="D4167" s="197">
        <v>100</v>
      </c>
      <c r="E4167" s="197">
        <v>8008</v>
      </c>
      <c r="F4167" s="197">
        <v>79.33</v>
      </c>
      <c r="G4167" s="190">
        <v>45947</v>
      </c>
      <c r="H4167" s="196">
        <v>2</v>
      </c>
      <c r="I4167" s="197">
        <v>7933</v>
      </c>
      <c r="J4167" s="197">
        <v>7933</v>
      </c>
      <c r="K4167" s="197">
        <v>0</v>
      </c>
      <c r="L4167" s="197">
        <v>-75</v>
      </c>
      <c r="M4167" s="260" t="s">
        <v>239</v>
      </c>
      <c r="N4167" s="260" t="s">
        <v>514</v>
      </c>
    </row>
    <row r="4168" spans="1:14" ht="14.5" x14ac:dyDescent="0.35">
      <c r="A4168" s="260" t="s">
        <v>747</v>
      </c>
      <c r="B4168" s="190">
        <v>45950</v>
      </c>
      <c r="C4168" s="260" t="s">
        <v>749</v>
      </c>
      <c r="D4168" s="197">
        <v>80</v>
      </c>
      <c r="E4168" s="197">
        <v>4004</v>
      </c>
      <c r="F4168" s="197">
        <v>52.1</v>
      </c>
      <c r="G4168" s="190">
        <v>45950</v>
      </c>
      <c r="H4168" s="196">
        <v>0</v>
      </c>
      <c r="I4168" s="197">
        <v>4168</v>
      </c>
      <c r="J4168" s="197">
        <v>4168</v>
      </c>
      <c r="K4168" s="197">
        <v>0</v>
      </c>
      <c r="L4168" s="197">
        <v>164</v>
      </c>
      <c r="M4168" s="260" t="s">
        <v>239</v>
      </c>
      <c r="N4168" s="260" t="s">
        <v>514</v>
      </c>
    </row>
    <row r="4169" spans="1:14" ht="14.5" x14ac:dyDescent="0.35">
      <c r="A4169" s="260" t="s">
        <v>747</v>
      </c>
      <c r="B4169" s="190">
        <v>45950</v>
      </c>
      <c r="C4169" s="260" t="s">
        <v>752</v>
      </c>
      <c r="D4169" s="197">
        <v>30</v>
      </c>
      <c r="E4169" s="197">
        <v>5343</v>
      </c>
      <c r="F4169" s="197">
        <v>179.53</v>
      </c>
      <c r="G4169" s="190">
        <v>45950</v>
      </c>
      <c r="H4169" s="196">
        <v>0</v>
      </c>
      <c r="I4169" s="197">
        <v>5385.9</v>
      </c>
      <c r="J4169" s="197">
        <v>5385.9</v>
      </c>
      <c r="K4169" s="197">
        <v>0</v>
      </c>
      <c r="L4169" s="197">
        <v>42.899999999999636</v>
      </c>
      <c r="M4169" s="260" t="s">
        <v>239</v>
      </c>
      <c r="N4169" s="260" t="s">
        <v>514</v>
      </c>
    </row>
    <row r="4170" spans="1:14" ht="14.5" x14ac:dyDescent="0.35">
      <c r="A4170" s="260" t="s">
        <v>747</v>
      </c>
      <c r="B4170" s="190">
        <v>45950</v>
      </c>
      <c r="C4170" s="260" t="s">
        <v>754</v>
      </c>
      <c r="D4170" s="197">
        <v>100</v>
      </c>
      <c r="E4170" s="197">
        <v>8008</v>
      </c>
      <c r="F4170" s="197">
        <v>78.83</v>
      </c>
      <c r="G4170" s="190">
        <v>45950</v>
      </c>
      <c r="H4170" s="196">
        <v>0</v>
      </c>
      <c r="I4170" s="197">
        <v>7883</v>
      </c>
      <c r="J4170" s="197">
        <v>7883</v>
      </c>
      <c r="K4170" s="197">
        <v>0</v>
      </c>
      <c r="L4170" s="197">
        <v>-125</v>
      </c>
      <c r="M4170" s="260" t="s">
        <v>239</v>
      </c>
      <c r="N4170" s="260" t="s">
        <v>514</v>
      </c>
    </row>
    <row r="4171" spans="1:14" ht="14.5" x14ac:dyDescent="0.35">
      <c r="A4171" s="260" t="s">
        <v>747</v>
      </c>
      <c r="B4171" s="190">
        <v>45951</v>
      </c>
      <c r="C4171" s="260" t="s">
        <v>749</v>
      </c>
      <c r="D4171" s="197">
        <v>80</v>
      </c>
      <c r="E4171" s="197">
        <v>4004</v>
      </c>
      <c r="F4171" s="197">
        <v>52</v>
      </c>
      <c r="G4171" s="190">
        <v>45951</v>
      </c>
      <c r="H4171" s="196">
        <v>0</v>
      </c>
      <c r="I4171" s="197">
        <v>4160</v>
      </c>
      <c r="J4171" s="197">
        <v>4160</v>
      </c>
      <c r="K4171" s="197">
        <v>0</v>
      </c>
      <c r="L4171" s="197">
        <v>156</v>
      </c>
      <c r="M4171" s="260" t="s">
        <v>239</v>
      </c>
      <c r="N4171" s="260" t="s">
        <v>514</v>
      </c>
    </row>
    <row r="4172" spans="1:14" ht="14.5" x14ac:dyDescent="0.35">
      <c r="A4172" s="260" t="s">
        <v>747</v>
      </c>
      <c r="B4172" s="190">
        <v>45951</v>
      </c>
      <c r="C4172" s="260" t="s">
        <v>752</v>
      </c>
      <c r="D4172" s="197">
        <v>30</v>
      </c>
      <c r="E4172" s="197">
        <v>5343</v>
      </c>
      <c r="F4172" s="197">
        <v>179.67</v>
      </c>
      <c r="G4172" s="190">
        <v>45951</v>
      </c>
      <c r="H4172" s="196">
        <v>0</v>
      </c>
      <c r="I4172" s="197">
        <v>5390.0999999999995</v>
      </c>
      <c r="J4172" s="197">
        <v>5390.0999999999995</v>
      </c>
      <c r="K4172" s="197">
        <v>0</v>
      </c>
      <c r="L4172" s="197">
        <v>47.099999999999454</v>
      </c>
      <c r="M4172" s="260" t="s">
        <v>239</v>
      </c>
      <c r="N4172" s="260" t="s">
        <v>514</v>
      </c>
    </row>
    <row r="4173" spans="1:14" ht="14.5" x14ac:dyDescent="0.35">
      <c r="A4173" s="260" t="s">
        <v>747</v>
      </c>
      <c r="B4173" s="190">
        <v>45951</v>
      </c>
      <c r="C4173" s="260" t="s">
        <v>754</v>
      </c>
      <c r="D4173" s="197">
        <v>100</v>
      </c>
      <c r="E4173" s="197">
        <v>8008</v>
      </c>
      <c r="F4173" s="197">
        <v>78.67</v>
      </c>
      <c r="G4173" s="190">
        <v>45951</v>
      </c>
      <c r="H4173" s="196">
        <v>0</v>
      </c>
      <c r="I4173" s="197">
        <v>7867</v>
      </c>
      <c r="J4173" s="197">
        <v>7867</v>
      </c>
      <c r="K4173" s="197">
        <v>0</v>
      </c>
      <c r="L4173" s="197">
        <v>-141</v>
      </c>
      <c r="M4173" s="260" t="s">
        <v>239</v>
      </c>
      <c r="N4173" s="260" t="s">
        <v>514</v>
      </c>
    </row>
    <row r="4174" spans="1:14" ht="14.5" x14ac:dyDescent="0.35">
      <c r="A4174" s="260" t="s">
        <v>747</v>
      </c>
      <c r="B4174" s="190">
        <v>45952</v>
      </c>
      <c r="C4174" s="260" t="s">
        <v>749</v>
      </c>
      <c r="D4174" s="197">
        <v>80</v>
      </c>
      <c r="E4174" s="197">
        <v>4004</v>
      </c>
      <c r="F4174" s="197">
        <v>51.9</v>
      </c>
      <c r="G4174" s="190">
        <v>45952</v>
      </c>
      <c r="H4174" s="196">
        <v>0</v>
      </c>
      <c r="I4174" s="197">
        <v>4152</v>
      </c>
      <c r="J4174" s="197">
        <v>4152</v>
      </c>
      <c r="K4174" s="197">
        <v>0</v>
      </c>
      <c r="L4174" s="197">
        <v>148</v>
      </c>
      <c r="M4174" s="260" t="s">
        <v>239</v>
      </c>
      <c r="N4174" s="260" t="s">
        <v>514</v>
      </c>
    </row>
    <row r="4175" spans="1:14" ht="14.5" x14ac:dyDescent="0.35">
      <c r="A4175" s="260" t="s">
        <v>747</v>
      </c>
      <c r="B4175" s="190">
        <v>45952</v>
      </c>
      <c r="C4175" s="260" t="s">
        <v>752</v>
      </c>
      <c r="D4175" s="197">
        <v>30</v>
      </c>
      <c r="E4175" s="197">
        <v>5343</v>
      </c>
      <c r="F4175" s="197">
        <v>179.8</v>
      </c>
      <c r="G4175" s="190">
        <v>45952</v>
      </c>
      <c r="H4175" s="196">
        <v>0</v>
      </c>
      <c r="I4175" s="197">
        <v>5394</v>
      </c>
      <c r="J4175" s="197">
        <v>5394</v>
      </c>
      <c r="K4175" s="197">
        <v>0</v>
      </c>
      <c r="L4175" s="197">
        <v>51</v>
      </c>
      <c r="M4175" s="260" t="s">
        <v>239</v>
      </c>
      <c r="N4175" s="260" t="s">
        <v>514</v>
      </c>
    </row>
    <row r="4176" spans="1:14" ht="14.5" x14ac:dyDescent="0.35">
      <c r="A4176" s="260" t="s">
        <v>747</v>
      </c>
      <c r="B4176" s="190">
        <v>45952</v>
      </c>
      <c r="C4176" s="260" t="s">
        <v>754</v>
      </c>
      <c r="D4176" s="197">
        <v>100</v>
      </c>
      <c r="E4176" s="197">
        <v>8008</v>
      </c>
      <c r="F4176" s="197">
        <v>78.5</v>
      </c>
      <c r="G4176" s="190">
        <v>45952</v>
      </c>
      <c r="H4176" s="196">
        <v>0</v>
      </c>
      <c r="I4176" s="197">
        <v>7850</v>
      </c>
      <c r="J4176" s="197">
        <v>7850</v>
      </c>
      <c r="K4176" s="197">
        <v>0</v>
      </c>
      <c r="L4176" s="197">
        <v>-158</v>
      </c>
      <c r="M4176" s="260" t="s">
        <v>239</v>
      </c>
      <c r="N4176" s="260" t="s">
        <v>514</v>
      </c>
    </row>
    <row r="4177" spans="1:14" ht="14.5" x14ac:dyDescent="0.35">
      <c r="A4177" s="260" t="s">
        <v>747</v>
      </c>
      <c r="B4177" s="190">
        <v>45953</v>
      </c>
      <c r="C4177" s="260" t="s">
        <v>749</v>
      </c>
      <c r="D4177" s="197">
        <v>80</v>
      </c>
      <c r="E4177" s="197">
        <v>4004</v>
      </c>
      <c r="F4177" s="197">
        <v>51.8</v>
      </c>
      <c r="G4177" s="190">
        <v>45953</v>
      </c>
      <c r="H4177" s="196">
        <v>0</v>
      </c>
      <c r="I4177" s="197">
        <v>4144</v>
      </c>
      <c r="J4177" s="197">
        <v>4144</v>
      </c>
      <c r="K4177" s="197">
        <v>0</v>
      </c>
      <c r="L4177" s="197">
        <v>140</v>
      </c>
      <c r="M4177" s="260" t="s">
        <v>239</v>
      </c>
      <c r="N4177" s="260" t="s">
        <v>514</v>
      </c>
    </row>
    <row r="4178" spans="1:14" ht="14.5" x14ac:dyDescent="0.35">
      <c r="A4178" s="260" t="s">
        <v>747</v>
      </c>
      <c r="B4178" s="190">
        <v>45953</v>
      </c>
      <c r="C4178" s="260" t="s">
        <v>752</v>
      </c>
      <c r="D4178" s="197">
        <v>30</v>
      </c>
      <c r="E4178" s="197">
        <v>5343</v>
      </c>
      <c r="F4178" s="197">
        <v>179.93</v>
      </c>
      <c r="G4178" s="190">
        <v>45953</v>
      </c>
      <c r="H4178" s="196">
        <v>0</v>
      </c>
      <c r="I4178" s="197">
        <v>5397.9000000000005</v>
      </c>
      <c r="J4178" s="197">
        <v>5397.9000000000005</v>
      </c>
      <c r="K4178" s="197">
        <v>0</v>
      </c>
      <c r="L4178" s="197">
        <v>54.900000000000546</v>
      </c>
      <c r="M4178" s="260" t="s">
        <v>239</v>
      </c>
      <c r="N4178" s="260" t="s">
        <v>514</v>
      </c>
    </row>
    <row r="4179" spans="1:14" ht="14.5" x14ac:dyDescent="0.35">
      <c r="A4179" s="260" t="s">
        <v>747</v>
      </c>
      <c r="B4179" s="190">
        <v>45953</v>
      </c>
      <c r="C4179" s="260" t="s">
        <v>754</v>
      </c>
      <c r="D4179" s="197">
        <v>100</v>
      </c>
      <c r="E4179" s="197">
        <v>8008</v>
      </c>
      <c r="F4179" s="197">
        <v>78.33</v>
      </c>
      <c r="G4179" s="190">
        <v>45953</v>
      </c>
      <c r="H4179" s="196">
        <v>0</v>
      </c>
      <c r="I4179" s="197">
        <v>7833</v>
      </c>
      <c r="J4179" s="197">
        <v>7833</v>
      </c>
      <c r="K4179" s="197">
        <v>0</v>
      </c>
      <c r="L4179" s="197">
        <v>-175</v>
      </c>
      <c r="M4179" s="260" t="s">
        <v>239</v>
      </c>
      <c r="N4179" s="260" t="s">
        <v>514</v>
      </c>
    </row>
    <row r="4180" spans="1:14" ht="14.5" x14ac:dyDescent="0.35">
      <c r="A4180" s="260" t="s">
        <v>747</v>
      </c>
      <c r="B4180" s="190">
        <v>45954</v>
      </c>
      <c r="C4180" s="260" t="s">
        <v>749</v>
      </c>
      <c r="D4180" s="197">
        <v>80</v>
      </c>
      <c r="E4180" s="197">
        <v>4004</v>
      </c>
      <c r="F4180" s="197">
        <v>51.7</v>
      </c>
      <c r="G4180" s="190">
        <v>45954</v>
      </c>
      <c r="H4180" s="196">
        <v>0</v>
      </c>
      <c r="I4180" s="197">
        <v>4136</v>
      </c>
      <c r="J4180" s="197">
        <v>4136</v>
      </c>
      <c r="K4180" s="197">
        <v>0</v>
      </c>
      <c r="L4180" s="197">
        <v>132</v>
      </c>
      <c r="M4180" s="260" t="s">
        <v>239</v>
      </c>
      <c r="N4180" s="260" t="s">
        <v>514</v>
      </c>
    </row>
    <row r="4181" spans="1:14" ht="14.5" x14ac:dyDescent="0.35">
      <c r="A4181" s="260" t="s">
        <v>747</v>
      </c>
      <c r="B4181" s="190">
        <v>45954</v>
      </c>
      <c r="C4181" s="260" t="s">
        <v>752</v>
      </c>
      <c r="D4181" s="197">
        <v>30</v>
      </c>
      <c r="E4181" s="197">
        <v>5343</v>
      </c>
      <c r="F4181" s="197">
        <v>180.07</v>
      </c>
      <c r="G4181" s="190">
        <v>45954</v>
      </c>
      <c r="H4181" s="196">
        <v>0</v>
      </c>
      <c r="I4181" s="197">
        <v>5402.0999999999995</v>
      </c>
      <c r="J4181" s="197">
        <v>5402.0999999999995</v>
      </c>
      <c r="K4181" s="197">
        <v>0</v>
      </c>
      <c r="L4181" s="197">
        <v>59.099999999999454</v>
      </c>
      <c r="M4181" s="260" t="s">
        <v>239</v>
      </c>
      <c r="N4181" s="260" t="s">
        <v>514</v>
      </c>
    </row>
    <row r="4182" spans="1:14" ht="14.5" x14ac:dyDescent="0.35">
      <c r="A4182" s="260" t="s">
        <v>747</v>
      </c>
      <c r="B4182" s="190">
        <v>45954</v>
      </c>
      <c r="C4182" s="260" t="s">
        <v>754</v>
      </c>
      <c r="D4182" s="197">
        <v>100</v>
      </c>
      <c r="E4182" s="197">
        <v>8008</v>
      </c>
      <c r="F4182" s="197">
        <v>78.17</v>
      </c>
      <c r="G4182" s="190">
        <v>45954</v>
      </c>
      <c r="H4182" s="196">
        <v>0</v>
      </c>
      <c r="I4182" s="197">
        <v>7817</v>
      </c>
      <c r="J4182" s="197">
        <v>7817</v>
      </c>
      <c r="K4182" s="197">
        <v>0</v>
      </c>
      <c r="L4182" s="197">
        <v>-191</v>
      </c>
      <c r="M4182" s="260" t="s">
        <v>239</v>
      </c>
      <c r="N4182" s="260" t="s">
        <v>514</v>
      </c>
    </row>
    <row r="4183" spans="1:14" ht="14.5" x14ac:dyDescent="0.35">
      <c r="A4183" s="260" t="s">
        <v>747</v>
      </c>
      <c r="B4183" s="190">
        <v>45955</v>
      </c>
      <c r="C4183" s="260" t="s">
        <v>749</v>
      </c>
      <c r="D4183" s="197">
        <v>80</v>
      </c>
      <c r="E4183" s="197">
        <v>4004</v>
      </c>
      <c r="F4183" s="197">
        <v>51.7</v>
      </c>
      <c r="G4183" s="190">
        <v>45954</v>
      </c>
      <c r="H4183" s="196">
        <v>1</v>
      </c>
      <c r="I4183" s="197">
        <v>4136</v>
      </c>
      <c r="J4183" s="197">
        <v>4136</v>
      </c>
      <c r="K4183" s="197">
        <v>0</v>
      </c>
      <c r="L4183" s="197">
        <v>132</v>
      </c>
      <c r="M4183" s="260" t="s">
        <v>239</v>
      </c>
      <c r="N4183" s="260" t="s">
        <v>514</v>
      </c>
    </row>
    <row r="4184" spans="1:14" ht="14.5" x14ac:dyDescent="0.35">
      <c r="A4184" s="260" t="s">
        <v>747</v>
      </c>
      <c r="B4184" s="190">
        <v>45955</v>
      </c>
      <c r="C4184" s="260" t="s">
        <v>752</v>
      </c>
      <c r="D4184" s="197">
        <v>30</v>
      </c>
      <c r="E4184" s="197">
        <v>5343</v>
      </c>
      <c r="F4184" s="197">
        <v>180.07</v>
      </c>
      <c r="G4184" s="190">
        <v>45954</v>
      </c>
      <c r="H4184" s="196">
        <v>1</v>
      </c>
      <c r="I4184" s="197">
        <v>5402.0999999999995</v>
      </c>
      <c r="J4184" s="197">
        <v>5402.0999999999995</v>
      </c>
      <c r="K4184" s="197">
        <v>0</v>
      </c>
      <c r="L4184" s="197">
        <v>59.099999999999454</v>
      </c>
      <c r="M4184" s="260" t="s">
        <v>239</v>
      </c>
      <c r="N4184" s="260" t="s">
        <v>514</v>
      </c>
    </row>
    <row r="4185" spans="1:14" ht="14.5" x14ac:dyDescent="0.35">
      <c r="A4185" s="260" t="s">
        <v>747</v>
      </c>
      <c r="B4185" s="190">
        <v>45955</v>
      </c>
      <c r="C4185" s="260" t="s">
        <v>754</v>
      </c>
      <c r="D4185" s="197">
        <v>100</v>
      </c>
      <c r="E4185" s="197">
        <v>8008</v>
      </c>
      <c r="F4185" s="197">
        <v>78.17</v>
      </c>
      <c r="G4185" s="190">
        <v>45954</v>
      </c>
      <c r="H4185" s="196">
        <v>1</v>
      </c>
      <c r="I4185" s="197">
        <v>7817</v>
      </c>
      <c r="J4185" s="197">
        <v>7817</v>
      </c>
      <c r="K4185" s="197">
        <v>0</v>
      </c>
      <c r="L4185" s="197">
        <v>-191</v>
      </c>
      <c r="M4185" s="260" t="s">
        <v>239</v>
      </c>
      <c r="N4185" s="260" t="s">
        <v>514</v>
      </c>
    </row>
    <row r="4186" spans="1:14" ht="14.5" x14ac:dyDescent="0.35">
      <c r="A4186" s="260" t="s">
        <v>747</v>
      </c>
      <c r="B4186" s="190">
        <v>45956</v>
      </c>
      <c r="C4186" s="260" t="s">
        <v>749</v>
      </c>
      <c r="D4186" s="197">
        <v>80</v>
      </c>
      <c r="E4186" s="197">
        <v>4004</v>
      </c>
      <c r="F4186" s="197">
        <v>51.7</v>
      </c>
      <c r="G4186" s="190">
        <v>45954</v>
      </c>
      <c r="H4186" s="196">
        <v>2</v>
      </c>
      <c r="I4186" s="197">
        <v>4136</v>
      </c>
      <c r="J4186" s="197">
        <v>4136</v>
      </c>
      <c r="K4186" s="197">
        <v>0</v>
      </c>
      <c r="L4186" s="197">
        <v>132</v>
      </c>
      <c r="M4186" s="260" t="s">
        <v>239</v>
      </c>
      <c r="N4186" s="260" t="s">
        <v>514</v>
      </c>
    </row>
    <row r="4187" spans="1:14" ht="14.5" x14ac:dyDescent="0.35">
      <c r="A4187" s="260" t="s">
        <v>747</v>
      </c>
      <c r="B4187" s="190">
        <v>45956</v>
      </c>
      <c r="C4187" s="260" t="s">
        <v>752</v>
      </c>
      <c r="D4187" s="197">
        <v>30</v>
      </c>
      <c r="E4187" s="197">
        <v>5343</v>
      </c>
      <c r="F4187" s="197">
        <v>180.07</v>
      </c>
      <c r="G4187" s="190">
        <v>45954</v>
      </c>
      <c r="H4187" s="196">
        <v>2</v>
      </c>
      <c r="I4187" s="197">
        <v>5402.0999999999995</v>
      </c>
      <c r="J4187" s="197">
        <v>5402.0999999999995</v>
      </c>
      <c r="K4187" s="197">
        <v>0</v>
      </c>
      <c r="L4187" s="197">
        <v>59.099999999999454</v>
      </c>
      <c r="M4187" s="260" t="s">
        <v>239</v>
      </c>
      <c r="N4187" s="260" t="s">
        <v>514</v>
      </c>
    </row>
    <row r="4188" spans="1:14" ht="14.5" x14ac:dyDescent="0.35">
      <c r="A4188" s="260" t="s">
        <v>747</v>
      </c>
      <c r="B4188" s="190">
        <v>45956</v>
      </c>
      <c r="C4188" s="260" t="s">
        <v>754</v>
      </c>
      <c r="D4188" s="197">
        <v>100</v>
      </c>
      <c r="E4188" s="197">
        <v>8008</v>
      </c>
      <c r="F4188" s="197">
        <v>78.17</v>
      </c>
      <c r="G4188" s="190">
        <v>45954</v>
      </c>
      <c r="H4188" s="196">
        <v>2</v>
      </c>
      <c r="I4188" s="197">
        <v>7817</v>
      </c>
      <c r="J4188" s="197">
        <v>7817</v>
      </c>
      <c r="K4188" s="197">
        <v>0</v>
      </c>
      <c r="L4188" s="197">
        <v>-191</v>
      </c>
      <c r="M4188" s="260" t="s">
        <v>239</v>
      </c>
      <c r="N4188" s="260" t="s">
        <v>514</v>
      </c>
    </row>
    <row r="4189" spans="1:14" ht="14.5" x14ac:dyDescent="0.35">
      <c r="A4189" s="260" t="s">
        <v>747</v>
      </c>
      <c r="B4189" s="190">
        <v>45957</v>
      </c>
      <c r="C4189" s="260" t="s">
        <v>749</v>
      </c>
      <c r="D4189" s="197">
        <v>80</v>
      </c>
      <c r="E4189" s="197">
        <v>4004</v>
      </c>
      <c r="F4189" s="197">
        <v>51.4</v>
      </c>
      <c r="G4189" s="190">
        <v>45957</v>
      </c>
      <c r="H4189" s="196">
        <v>0</v>
      </c>
      <c r="I4189" s="197">
        <v>4112</v>
      </c>
      <c r="J4189" s="197">
        <v>4112</v>
      </c>
      <c r="K4189" s="197">
        <v>0</v>
      </c>
      <c r="L4189" s="197">
        <v>108</v>
      </c>
      <c r="M4189" s="260" t="s">
        <v>239</v>
      </c>
      <c r="N4189" s="260" t="s">
        <v>514</v>
      </c>
    </row>
    <row r="4190" spans="1:14" ht="14.5" x14ac:dyDescent="0.35">
      <c r="A4190" s="260" t="s">
        <v>747</v>
      </c>
      <c r="B4190" s="190">
        <v>45957</v>
      </c>
      <c r="C4190" s="260" t="s">
        <v>752</v>
      </c>
      <c r="D4190" s="197">
        <v>30</v>
      </c>
      <c r="E4190" s="197">
        <v>5343</v>
      </c>
      <c r="F4190" s="197">
        <v>180.47</v>
      </c>
      <c r="G4190" s="190">
        <v>45957</v>
      </c>
      <c r="H4190" s="196">
        <v>0</v>
      </c>
      <c r="I4190" s="197">
        <v>5414.1</v>
      </c>
      <c r="J4190" s="197">
        <v>5414.1</v>
      </c>
      <c r="K4190" s="197">
        <v>0</v>
      </c>
      <c r="L4190" s="197">
        <v>71.100000000000364</v>
      </c>
      <c r="M4190" s="260" t="s">
        <v>239</v>
      </c>
      <c r="N4190" s="260" t="s">
        <v>514</v>
      </c>
    </row>
    <row r="4191" spans="1:14" ht="14.5" x14ac:dyDescent="0.35">
      <c r="A4191" s="260" t="s">
        <v>747</v>
      </c>
      <c r="B4191" s="190">
        <v>45957</v>
      </c>
      <c r="C4191" s="260" t="s">
        <v>754</v>
      </c>
      <c r="D4191" s="197">
        <v>100</v>
      </c>
      <c r="E4191" s="197">
        <v>8008</v>
      </c>
      <c r="F4191" s="197">
        <v>77.67</v>
      </c>
      <c r="G4191" s="190">
        <v>45957</v>
      </c>
      <c r="H4191" s="196">
        <v>0</v>
      </c>
      <c r="I4191" s="197">
        <v>7767</v>
      </c>
      <c r="J4191" s="197">
        <v>7767</v>
      </c>
      <c r="K4191" s="197">
        <v>0</v>
      </c>
      <c r="L4191" s="197">
        <v>-241</v>
      </c>
      <c r="M4191" s="260" t="s">
        <v>239</v>
      </c>
      <c r="N4191" s="260" t="s">
        <v>514</v>
      </c>
    </row>
    <row r="4192" spans="1:14" ht="14.5" x14ac:dyDescent="0.35">
      <c r="A4192" s="260" t="s">
        <v>747</v>
      </c>
      <c r="B4192" s="190">
        <v>45958</v>
      </c>
      <c r="C4192" s="260" t="s">
        <v>749</v>
      </c>
      <c r="D4192" s="197">
        <v>80</v>
      </c>
      <c r="E4192" s="197">
        <v>4004</v>
      </c>
      <c r="F4192" s="197">
        <v>51.3</v>
      </c>
      <c r="G4192" s="190">
        <v>45958</v>
      </c>
      <c r="H4192" s="196">
        <v>0</v>
      </c>
      <c r="I4192" s="197">
        <v>4104</v>
      </c>
      <c r="J4192" s="197">
        <v>4104</v>
      </c>
      <c r="K4192" s="197">
        <v>0</v>
      </c>
      <c r="L4192" s="197">
        <v>100</v>
      </c>
      <c r="M4192" s="260" t="s">
        <v>239</v>
      </c>
      <c r="N4192" s="260" t="s">
        <v>514</v>
      </c>
    </row>
    <row r="4193" spans="1:14" ht="14.5" x14ac:dyDescent="0.35">
      <c r="A4193" s="260" t="s">
        <v>747</v>
      </c>
      <c r="B4193" s="190">
        <v>45958</v>
      </c>
      <c r="C4193" s="260" t="s">
        <v>752</v>
      </c>
      <c r="D4193" s="197">
        <v>30</v>
      </c>
      <c r="E4193" s="197">
        <v>5343</v>
      </c>
      <c r="F4193" s="197">
        <v>180.6</v>
      </c>
      <c r="G4193" s="190">
        <v>45958</v>
      </c>
      <c r="H4193" s="196">
        <v>0</v>
      </c>
      <c r="I4193" s="197">
        <v>5418</v>
      </c>
      <c r="J4193" s="197">
        <v>5418</v>
      </c>
      <c r="K4193" s="197">
        <v>0</v>
      </c>
      <c r="L4193" s="197">
        <v>75</v>
      </c>
      <c r="M4193" s="260" t="s">
        <v>239</v>
      </c>
      <c r="N4193" s="260" t="s">
        <v>514</v>
      </c>
    </row>
    <row r="4194" spans="1:14" ht="14.5" x14ac:dyDescent="0.35">
      <c r="A4194" s="260" t="s">
        <v>747</v>
      </c>
      <c r="B4194" s="190">
        <v>45958</v>
      </c>
      <c r="C4194" s="260" t="s">
        <v>754</v>
      </c>
      <c r="D4194" s="197">
        <v>100</v>
      </c>
      <c r="E4194" s="197">
        <v>8008</v>
      </c>
      <c r="F4194" s="197">
        <v>77.5</v>
      </c>
      <c r="G4194" s="190">
        <v>45958</v>
      </c>
      <c r="H4194" s="196">
        <v>0</v>
      </c>
      <c r="I4194" s="197">
        <v>7750</v>
      </c>
      <c r="J4194" s="197">
        <v>7750</v>
      </c>
      <c r="K4194" s="197">
        <v>0</v>
      </c>
      <c r="L4194" s="197">
        <v>-258</v>
      </c>
      <c r="M4194" s="260" t="s">
        <v>239</v>
      </c>
      <c r="N4194" s="260" t="s">
        <v>514</v>
      </c>
    </row>
    <row r="4195" spans="1:14" ht="14.5" x14ac:dyDescent="0.35">
      <c r="A4195" s="260" t="s">
        <v>747</v>
      </c>
      <c r="B4195" s="190">
        <v>45959</v>
      </c>
      <c r="C4195" s="260" t="s">
        <v>749</v>
      </c>
      <c r="D4195" s="197">
        <v>80</v>
      </c>
      <c r="E4195" s="197">
        <v>4004</v>
      </c>
      <c r="F4195" s="197">
        <v>51.2</v>
      </c>
      <c r="G4195" s="190">
        <v>45959</v>
      </c>
      <c r="H4195" s="196">
        <v>0</v>
      </c>
      <c r="I4195" s="197">
        <v>4096</v>
      </c>
      <c r="J4195" s="197">
        <v>4096</v>
      </c>
      <c r="K4195" s="197">
        <v>0</v>
      </c>
      <c r="L4195" s="197">
        <v>92</v>
      </c>
      <c r="M4195" s="260" t="s">
        <v>239</v>
      </c>
      <c r="N4195" s="260" t="s">
        <v>514</v>
      </c>
    </row>
    <row r="4196" spans="1:14" ht="14.5" x14ac:dyDescent="0.35">
      <c r="A4196" s="260" t="s">
        <v>747</v>
      </c>
      <c r="B4196" s="190">
        <v>45959</v>
      </c>
      <c r="C4196" s="260" t="s">
        <v>752</v>
      </c>
      <c r="D4196" s="197">
        <v>30</v>
      </c>
      <c r="E4196" s="197">
        <v>5343</v>
      </c>
      <c r="F4196" s="197">
        <v>180.73</v>
      </c>
      <c r="G4196" s="190">
        <v>45959</v>
      </c>
      <c r="H4196" s="196">
        <v>0</v>
      </c>
      <c r="I4196" s="197">
        <v>5421.9</v>
      </c>
      <c r="J4196" s="197">
        <v>5421.9</v>
      </c>
      <c r="K4196" s="197">
        <v>0</v>
      </c>
      <c r="L4196" s="197">
        <v>78.899999999999636</v>
      </c>
      <c r="M4196" s="260" t="s">
        <v>239</v>
      </c>
      <c r="N4196" s="260" t="s">
        <v>514</v>
      </c>
    </row>
    <row r="4197" spans="1:14" ht="14.5" x14ac:dyDescent="0.35">
      <c r="A4197" s="260" t="s">
        <v>747</v>
      </c>
      <c r="B4197" s="190">
        <v>45959</v>
      </c>
      <c r="C4197" s="260" t="s">
        <v>754</v>
      </c>
      <c r="D4197" s="197">
        <v>100</v>
      </c>
      <c r="E4197" s="197">
        <v>8008</v>
      </c>
      <c r="F4197" s="197">
        <v>77.33</v>
      </c>
      <c r="G4197" s="190">
        <v>45959</v>
      </c>
      <c r="H4197" s="196">
        <v>0</v>
      </c>
      <c r="I4197" s="197">
        <v>7733</v>
      </c>
      <c r="J4197" s="197">
        <v>7733</v>
      </c>
      <c r="K4197" s="197">
        <v>0</v>
      </c>
      <c r="L4197" s="197">
        <v>-275</v>
      </c>
      <c r="M4197" s="260" t="s">
        <v>239</v>
      </c>
      <c r="N4197" s="260" t="s">
        <v>514</v>
      </c>
    </row>
    <row r="4198" spans="1:14" ht="14.5" x14ac:dyDescent="0.35">
      <c r="A4198" s="260" t="s">
        <v>747</v>
      </c>
      <c r="B4198" s="190">
        <v>45960</v>
      </c>
      <c r="C4198" s="260" t="s">
        <v>749</v>
      </c>
      <c r="D4198" s="197">
        <v>80</v>
      </c>
      <c r="E4198" s="197">
        <v>4004</v>
      </c>
      <c r="F4198" s="197">
        <v>51.1</v>
      </c>
      <c r="G4198" s="190">
        <v>45960</v>
      </c>
      <c r="H4198" s="196">
        <v>0</v>
      </c>
      <c r="I4198" s="197">
        <v>4088</v>
      </c>
      <c r="J4198" s="197">
        <v>4088</v>
      </c>
      <c r="K4198" s="197">
        <v>0</v>
      </c>
      <c r="L4198" s="197">
        <v>84</v>
      </c>
      <c r="M4198" s="260" t="s">
        <v>239</v>
      </c>
      <c r="N4198" s="260" t="s">
        <v>514</v>
      </c>
    </row>
    <row r="4199" spans="1:14" ht="14.5" x14ac:dyDescent="0.35">
      <c r="A4199" s="260" t="s">
        <v>747</v>
      </c>
      <c r="B4199" s="190">
        <v>45960</v>
      </c>
      <c r="C4199" s="260" t="s">
        <v>752</v>
      </c>
      <c r="D4199" s="197">
        <v>30</v>
      </c>
      <c r="E4199" s="197">
        <v>5343</v>
      </c>
      <c r="F4199" s="197">
        <v>180.87</v>
      </c>
      <c r="G4199" s="190">
        <v>45960</v>
      </c>
      <c r="H4199" s="196">
        <v>0</v>
      </c>
      <c r="I4199" s="197">
        <v>5426.1</v>
      </c>
      <c r="J4199" s="197">
        <v>5426.1</v>
      </c>
      <c r="K4199" s="197">
        <v>0</v>
      </c>
      <c r="L4199" s="197">
        <v>83.100000000000364</v>
      </c>
      <c r="M4199" s="260" t="s">
        <v>239</v>
      </c>
      <c r="N4199" s="260" t="s">
        <v>514</v>
      </c>
    </row>
    <row r="4200" spans="1:14" ht="14.5" x14ac:dyDescent="0.35">
      <c r="A4200" s="260" t="s">
        <v>747</v>
      </c>
      <c r="B4200" s="190">
        <v>45960</v>
      </c>
      <c r="C4200" s="260" t="s">
        <v>754</v>
      </c>
      <c r="D4200" s="197">
        <v>100</v>
      </c>
      <c r="E4200" s="197">
        <v>8008</v>
      </c>
      <c r="F4200" s="197">
        <v>77.17</v>
      </c>
      <c r="G4200" s="190">
        <v>45960</v>
      </c>
      <c r="H4200" s="196">
        <v>0</v>
      </c>
      <c r="I4200" s="197">
        <v>7717</v>
      </c>
      <c r="J4200" s="197">
        <v>7717</v>
      </c>
      <c r="K4200" s="197">
        <v>0</v>
      </c>
      <c r="L4200" s="197">
        <v>-291</v>
      </c>
      <c r="M4200" s="260" t="s">
        <v>239</v>
      </c>
      <c r="N4200" s="260" t="s">
        <v>514</v>
      </c>
    </row>
    <row r="4201" spans="1:14" ht="14.5" x14ac:dyDescent="0.35">
      <c r="A4201" s="260" t="s">
        <v>747</v>
      </c>
      <c r="B4201" s="190">
        <v>45961</v>
      </c>
      <c r="C4201" s="260" t="s">
        <v>749</v>
      </c>
      <c r="D4201" s="197">
        <v>80</v>
      </c>
      <c r="E4201" s="197">
        <v>4004</v>
      </c>
      <c r="F4201" s="197">
        <v>51</v>
      </c>
      <c r="G4201" s="190">
        <v>45961</v>
      </c>
      <c r="H4201" s="196">
        <v>0</v>
      </c>
      <c r="I4201" s="197">
        <v>4080</v>
      </c>
      <c r="J4201" s="197">
        <v>4080</v>
      </c>
      <c r="K4201" s="197">
        <v>0</v>
      </c>
      <c r="L4201" s="197">
        <v>76</v>
      </c>
      <c r="M4201" s="260" t="s">
        <v>239</v>
      </c>
      <c r="N4201" s="260" t="s">
        <v>514</v>
      </c>
    </row>
    <row r="4202" spans="1:14" ht="14.5" x14ac:dyDescent="0.35">
      <c r="A4202" s="260" t="s">
        <v>747</v>
      </c>
      <c r="B4202" s="190">
        <v>45961</v>
      </c>
      <c r="C4202" s="260" t="s">
        <v>752</v>
      </c>
      <c r="D4202" s="197">
        <v>30</v>
      </c>
      <c r="E4202" s="197">
        <v>5343</v>
      </c>
      <c r="F4202" s="197">
        <v>181</v>
      </c>
      <c r="G4202" s="190">
        <v>45961</v>
      </c>
      <c r="H4202" s="196">
        <v>0</v>
      </c>
      <c r="I4202" s="197">
        <v>5430</v>
      </c>
      <c r="J4202" s="197">
        <v>5430</v>
      </c>
      <c r="K4202" s="197">
        <v>0</v>
      </c>
      <c r="L4202" s="197">
        <v>87</v>
      </c>
      <c r="M4202" s="260" t="s">
        <v>239</v>
      </c>
      <c r="N4202" s="260" t="s">
        <v>514</v>
      </c>
    </row>
    <row r="4203" spans="1:14" ht="14.5" x14ac:dyDescent="0.35">
      <c r="A4203" s="260" t="s">
        <v>747</v>
      </c>
      <c r="B4203" s="190">
        <v>45961</v>
      </c>
      <c r="C4203" s="260" t="s">
        <v>754</v>
      </c>
      <c r="D4203" s="197">
        <v>100</v>
      </c>
      <c r="E4203" s="197">
        <v>8008</v>
      </c>
      <c r="F4203" s="197">
        <v>77</v>
      </c>
      <c r="G4203" s="190">
        <v>45961</v>
      </c>
      <c r="H4203" s="196">
        <v>0</v>
      </c>
      <c r="I4203" s="197">
        <v>7700</v>
      </c>
      <c r="J4203" s="197">
        <v>7700</v>
      </c>
      <c r="K4203" s="197">
        <v>0</v>
      </c>
      <c r="L4203" s="197">
        <v>-308</v>
      </c>
      <c r="M4203" s="260" t="s">
        <v>239</v>
      </c>
      <c r="N4203" s="260" t="s">
        <v>514</v>
      </c>
    </row>
    <row r="4204" spans="1:14" ht="14.5" x14ac:dyDescent="0.35">
      <c r="A4204" s="260" t="s">
        <v>747</v>
      </c>
      <c r="B4204" s="190">
        <v>45962</v>
      </c>
      <c r="C4204" s="260" t="s">
        <v>749</v>
      </c>
      <c r="D4204" s="197">
        <v>80</v>
      </c>
      <c r="E4204" s="197">
        <v>4004</v>
      </c>
      <c r="F4204" s="197">
        <v>51</v>
      </c>
      <c r="G4204" s="190">
        <v>45961</v>
      </c>
      <c r="H4204" s="196">
        <v>1</v>
      </c>
      <c r="I4204" s="197">
        <v>4080</v>
      </c>
      <c r="J4204" s="197">
        <v>4080</v>
      </c>
      <c r="K4204" s="197">
        <v>0</v>
      </c>
      <c r="L4204" s="197">
        <v>76</v>
      </c>
      <c r="M4204" s="260" t="s">
        <v>239</v>
      </c>
      <c r="N4204" s="260" t="s">
        <v>514</v>
      </c>
    </row>
    <row r="4205" spans="1:14" ht="14.5" x14ac:dyDescent="0.35">
      <c r="A4205" s="260" t="s">
        <v>747</v>
      </c>
      <c r="B4205" s="190">
        <v>45962</v>
      </c>
      <c r="C4205" s="260" t="s">
        <v>752</v>
      </c>
      <c r="D4205" s="197">
        <v>30</v>
      </c>
      <c r="E4205" s="197">
        <v>5343</v>
      </c>
      <c r="F4205" s="197">
        <v>181</v>
      </c>
      <c r="G4205" s="190">
        <v>45961</v>
      </c>
      <c r="H4205" s="196">
        <v>1</v>
      </c>
      <c r="I4205" s="197">
        <v>5430</v>
      </c>
      <c r="J4205" s="197">
        <v>5430</v>
      </c>
      <c r="K4205" s="197">
        <v>0</v>
      </c>
      <c r="L4205" s="197">
        <v>87</v>
      </c>
      <c r="M4205" s="260" t="s">
        <v>239</v>
      </c>
      <c r="N4205" s="260" t="s">
        <v>514</v>
      </c>
    </row>
    <row r="4206" spans="1:14" ht="14.5" x14ac:dyDescent="0.35">
      <c r="A4206" s="260" t="s">
        <v>747</v>
      </c>
      <c r="B4206" s="190">
        <v>45962</v>
      </c>
      <c r="C4206" s="260" t="s">
        <v>754</v>
      </c>
      <c r="D4206" s="197">
        <v>100</v>
      </c>
      <c r="E4206" s="197">
        <v>8008</v>
      </c>
      <c r="F4206" s="197">
        <v>77</v>
      </c>
      <c r="G4206" s="190">
        <v>45961</v>
      </c>
      <c r="H4206" s="196">
        <v>1</v>
      </c>
      <c r="I4206" s="197">
        <v>7700</v>
      </c>
      <c r="J4206" s="197">
        <v>7700</v>
      </c>
      <c r="K4206" s="197">
        <v>0</v>
      </c>
      <c r="L4206" s="197">
        <v>-308</v>
      </c>
      <c r="M4206" s="260" t="s">
        <v>239</v>
      </c>
      <c r="N4206" s="260" t="s">
        <v>514</v>
      </c>
    </row>
    <row r="4207" spans="1:14" ht="14.5" x14ac:dyDescent="0.35">
      <c r="A4207" s="260" t="s">
        <v>747</v>
      </c>
      <c r="B4207" s="190">
        <v>45963</v>
      </c>
      <c r="C4207" s="260" t="s">
        <v>749</v>
      </c>
      <c r="D4207" s="197">
        <v>80</v>
      </c>
      <c r="E4207" s="197">
        <v>4004</v>
      </c>
      <c r="F4207" s="197">
        <v>51</v>
      </c>
      <c r="G4207" s="190">
        <v>45961</v>
      </c>
      <c r="H4207" s="196">
        <v>2</v>
      </c>
      <c r="I4207" s="197">
        <v>4080</v>
      </c>
      <c r="J4207" s="197">
        <v>4080</v>
      </c>
      <c r="K4207" s="197">
        <v>0</v>
      </c>
      <c r="L4207" s="197">
        <v>76</v>
      </c>
      <c r="M4207" s="260" t="s">
        <v>239</v>
      </c>
      <c r="N4207" s="260" t="s">
        <v>514</v>
      </c>
    </row>
    <row r="4208" spans="1:14" ht="14.5" x14ac:dyDescent="0.35">
      <c r="A4208" s="260" t="s">
        <v>747</v>
      </c>
      <c r="B4208" s="190">
        <v>45963</v>
      </c>
      <c r="C4208" s="260" t="s">
        <v>752</v>
      </c>
      <c r="D4208" s="197">
        <v>30</v>
      </c>
      <c r="E4208" s="197">
        <v>5343</v>
      </c>
      <c r="F4208" s="197">
        <v>181</v>
      </c>
      <c r="G4208" s="190">
        <v>45961</v>
      </c>
      <c r="H4208" s="196">
        <v>2</v>
      </c>
      <c r="I4208" s="197">
        <v>5430</v>
      </c>
      <c r="J4208" s="197">
        <v>5430</v>
      </c>
      <c r="K4208" s="197">
        <v>0</v>
      </c>
      <c r="L4208" s="197">
        <v>87</v>
      </c>
      <c r="M4208" s="260" t="s">
        <v>239</v>
      </c>
      <c r="N4208" s="260" t="s">
        <v>514</v>
      </c>
    </row>
    <row r="4209" spans="1:14" ht="14.5" x14ac:dyDescent="0.35">
      <c r="A4209" s="260" t="s">
        <v>747</v>
      </c>
      <c r="B4209" s="190">
        <v>45963</v>
      </c>
      <c r="C4209" s="260" t="s">
        <v>754</v>
      </c>
      <c r="D4209" s="197">
        <v>100</v>
      </c>
      <c r="E4209" s="197">
        <v>8008</v>
      </c>
      <c r="F4209" s="197">
        <v>77</v>
      </c>
      <c r="G4209" s="190">
        <v>45961</v>
      </c>
      <c r="H4209" s="196">
        <v>2</v>
      </c>
      <c r="I4209" s="197">
        <v>7700</v>
      </c>
      <c r="J4209" s="197">
        <v>7700</v>
      </c>
      <c r="K4209" s="197">
        <v>0</v>
      </c>
      <c r="L4209" s="197">
        <v>-308</v>
      </c>
      <c r="M4209" s="260" t="s">
        <v>239</v>
      </c>
      <c r="N4209" s="260" t="s">
        <v>514</v>
      </c>
    </row>
    <row r="4210" spans="1:14" ht="14.5" x14ac:dyDescent="0.35">
      <c r="A4210" s="260" t="s">
        <v>747</v>
      </c>
      <c r="B4210" s="190">
        <v>45964</v>
      </c>
      <c r="C4210" s="260" t="s">
        <v>749</v>
      </c>
      <c r="D4210" s="197">
        <v>80</v>
      </c>
      <c r="E4210" s="197">
        <v>4004</v>
      </c>
      <c r="F4210" s="197">
        <v>50.79</v>
      </c>
      <c r="G4210" s="190">
        <v>45964</v>
      </c>
      <c r="H4210" s="196">
        <v>0</v>
      </c>
      <c r="I4210" s="197">
        <v>4063.2</v>
      </c>
      <c r="J4210" s="197">
        <v>4063.2</v>
      </c>
      <c r="K4210" s="197">
        <v>0</v>
      </c>
      <c r="L4210" s="197">
        <v>59.199999999999818</v>
      </c>
      <c r="M4210" s="260" t="s">
        <v>239</v>
      </c>
      <c r="N4210" s="260" t="s">
        <v>514</v>
      </c>
    </row>
    <row r="4211" spans="1:14" ht="14.5" x14ac:dyDescent="0.35">
      <c r="A4211" s="260" t="s">
        <v>747</v>
      </c>
      <c r="B4211" s="190">
        <v>45964</v>
      </c>
      <c r="C4211" s="260" t="s">
        <v>752</v>
      </c>
      <c r="D4211" s="197">
        <v>30</v>
      </c>
      <c r="E4211" s="197">
        <v>5343</v>
      </c>
      <c r="F4211" s="197">
        <v>180.24</v>
      </c>
      <c r="G4211" s="190">
        <v>45964</v>
      </c>
      <c r="H4211" s="196">
        <v>0</v>
      </c>
      <c r="I4211" s="197">
        <v>5407.2000000000007</v>
      </c>
      <c r="J4211" s="197">
        <v>5407.2000000000007</v>
      </c>
      <c r="K4211" s="197">
        <v>0</v>
      </c>
      <c r="L4211" s="197">
        <v>64.200000000000728</v>
      </c>
      <c r="M4211" s="260" t="s">
        <v>239</v>
      </c>
      <c r="N4211" s="260" t="s">
        <v>514</v>
      </c>
    </row>
    <row r="4212" spans="1:14" ht="14.5" x14ac:dyDescent="0.35">
      <c r="A4212" s="260" t="s">
        <v>747</v>
      </c>
      <c r="B4212" s="190">
        <v>45964</v>
      </c>
      <c r="C4212" s="260" t="s">
        <v>754</v>
      </c>
      <c r="D4212" s="197">
        <v>100</v>
      </c>
      <c r="E4212" s="197">
        <v>8008</v>
      </c>
      <c r="F4212" s="197">
        <v>76.010000000000005</v>
      </c>
      <c r="G4212" s="190">
        <v>45964</v>
      </c>
      <c r="H4212" s="196">
        <v>0</v>
      </c>
      <c r="I4212" s="197">
        <v>7601.0000000000009</v>
      </c>
      <c r="J4212" s="197">
        <v>7601.0000000000009</v>
      </c>
      <c r="K4212" s="197">
        <v>120</v>
      </c>
      <c r="L4212" s="197">
        <v>-406.99999999999909</v>
      </c>
      <c r="M4212" s="260" t="s">
        <v>239</v>
      </c>
      <c r="N4212" s="260" t="s">
        <v>514</v>
      </c>
    </row>
    <row r="4213" spans="1:14" ht="14.5" x14ac:dyDescent="0.35">
      <c r="A4213" s="260" t="s">
        <v>747</v>
      </c>
      <c r="B4213" s="190">
        <v>45965</v>
      </c>
      <c r="C4213" s="260" t="s">
        <v>749</v>
      </c>
      <c r="D4213" s="197">
        <v>80</v>
      </c>
      <c r="E4213" s="197">
        <v>4004</v>
      </c>
      <c r="F4213" s="197">
        <v>50.69</v>
      </c>
      <c r="G4213" s="190">
        <v>45965</v>
      </c>
      <c r="H4213" s="196">
        <v>0</v>
      </c>
      <c r="I4213" s="197">
        <v>4055.2</v>
      </c>
      <c r="J4213" s="197">
        <v>4055.2</v>
      </c>
      <c r="K4213" s="197">
        <v>0</v>
      </c>
      <c r="L4213" s="197">
        <v>51.199999999999818</v>
      </c>
      <c r="M4213" s="260" t="s">
        <v>239</v>
      </c>
      <c r="N4213" s="260" t="s">
        <v>514</v>
      </c>
    </row>
    <row r="4214" spans="1:14" ht="14.5" x14ac:dyDescent="0.35">
      <c r="A4214" s="260" t="s">
        <v>747</v>
      </c>
      <c r="B4214" s="190">
        <v>45965</v>
      </c>
      <c r="C4214" s="260" t="s">
        <v>752</v>
      </c>
      <c r="D4214" s="197">
        <v>30</v>
      </c>
      <c r="E4214" s="197">
        <v>5343</v>
      </c>
      <c r="F4214" s="197">
        <v>179.86</v>
      </c>
      <c r="G4214" s="190">
        <v>45965</v>
      </c>
      <c r="H4214" s="196">
        <v>0</v>
      </c>
      <c r="I4214" s="197">
        <v>5395.8</v>
      </c>
      <c r="J4214" s="197">
        <v>5395.8</v>
      </c>
      <c r="K4214" s="197">
        <v>0</v>
      </c>
      <c r="L4214" s="197">
        <v>52.800000000000182</v>
      </c>
      <c r="M4214" s="260" t="s">
        <v>239</v>
      </c>
      <c r="N4214" s="260" t="s">
        <v>514</v>
      </c>
    </row>
    <row r="4215" spans="1:14" ht="14.5" x14ac:dyDescent="0.35">
      <c r="A4215" s="260" t="s">
        <v>747</v>
      </c>
      <c r="B4215" s="190">
        <v>45965</v>
      </c>
      <c r="C4215" s="260" t="s">
        <v>754</v>
      </c>
      <c r="D4215" s="197">
        <v>100</v>
      </c>
      <c r="E4215" s="197">
        <v>8008</v>
      </c>
      <c r="F4215" s="197">
        <v>76.11</v>
      </c>
      <c r="G4215" s="190">
        <v>45965</v>
      </c>
      <c r="H4215" s="196">
        <v>0</v>
      </c>
      <c r="I4215" s="197">
        <v>7611</v>
      </c>
      <c r="J4215" s="197">
        <v>7611</v>
      </c>
      <c r="K4215" s="197">
        <v>120</v>
      </c>
      <c r="L4215" s="197">
        <v>-397</v>
      </c>
      <c r="M4215" s="260" t="s">
        <v>239</v>
      </c>
      <c r="N4215" s="260" t="s">
        <v>514</v>
      </c>
    </row>
    <row r="4216" spans="1:14" ht="14.5" x14ac:dyDescent="0.35">
      <c r="A4216" s="260" t="s">
        <v>747</v>
      </c>
      <c r="B4216" s="190">
        <v>45966</v>
      </c>
      <c r="C4216" s="260" t="s">
        <v>749</v>
      </c>
      <c r="D4216" s="197">
        <v>80</v>
      </c>
      <c r="E4216" s="197">
        <v>4004</v>
      </c>
      <c r="F4216" s="197">
        <v>50.59</v>
      </c>
      <c r="G4216" s="190">
        <v>45966</v>
      </c>
      <c r="H4216" s="196">
        <v>0</v>
      </c>
      <c r="I4216" s="197">
        <v>4047.2000000000003</v>
      </c>
      <c r="J4216" s="197">
        <v>4047.2000000000003</v>
      </c>
      <c r="K4216" s="197">
        <v>0</v>
      </c>
      <c r="L4216" s="197">
        <v>43.200000000000273</v>
      </c>
      <c r="M4216" s="260" t="s">
        <v>239</v>
      </c>
      <c r="N4216" s="260" t="s">
        <v>514</v>
      </c>
    </row>
    <row r="4217" spans="1:14" ht="14.5" x14ac:dyDescent="0.35">
      <c r="A4217" s="260" t="s">
        <v>747</v>
      </c>
      <c r="B4217" s="190">
        <v>45966</v>
      </c>
      <c r="C4217" s="260" t="s">
        <v>752</v>
      </c>
      <c r="D4217" s="197">
        <v>30</v>
      </c>
      <c r="E4217" s="197">
        <v>5343</v>
      </c>
      <c r="F4217" s="197">
        <v>179.48</v>
      </c>
      <c r="G4217" s="190">
        <v>45966</v>
      </c>
      <c r="H4217" s="196">
        <v>0</v>
      </c>
      <c r="I4217" s="197">
        <v>5384.4</v>
      </c>
      <c r="J4217" s="197">
        <v>5384.4</v>
      </c>
      <c r="K4217" s="197">
        <v>0</v>
      </c>
      <c r="L4217" s="197">
        <v>41.399999999999636</v>
      </c>
      <c r="M4217" s="260" t="s">
        <v>239</v>
      </c>
      <c r="N4217" s="260" t="s">
        <v>514</v>
      </c>
    </row>
    <row r="4218" spans="1:14" ht="14.5" x14ac:dyDescent="0.35">
      <c r="A4218" s="260" t="s">
        <v>747</v>
      </c>
      <c r="B4218" s="190">
        <v>45966</v>
      </c>
      <c r="C4218" s="260" t="s">
        <v>754</v>
      </c>
      <c r="D4218" s="197">
        <v>100</v>
      </c>
      <c r="E4218" s="197">
        <v>8008</v>
      </c>
      <c r="F4218" s="197">
        <v>76.209999999999994</v>
      </c>
      <c r="G4218" s="190">
        <v>45966</v>
      </c>
      <c r="H4218" s="196">
        <v>0</v>
      </c>
      <c r="I4218" s="197">
        <v>7620.9999999999991</v>
      </c>
      <c r="J4218" s="197">
        <v>7620.9999999999991</v>
      </c>
      <c r="K4218" s="197">
        <v>120</v>
      </c>
      <c r="L4218" s="197">
        <v>-387.00000000000091</v>
      </c>
      <c r="M4218" s="260" t="s">
        <v>239</v>
      </c>
      <c r="N4218" s="260" t="s">
        <v>514</v>
      </c>
    </row>
    <row r="4219" spans="1:14" ht="14.5" x14ac:dyDescent="0.35">
      <c r="A4219" s="260" t="s">
        <v>747</v>
      </c>
      <c r="B4219" s="190">
        <v>45967</v>
      </c>
      <c r="C4219" s="260" t="s">
        <v>749</v>
      </c>
      <c r="D4219" s="197">
        <v>80</v>
      </c>
      <c r="E4219" s="197">
        <v>4004</v>
      </c>
      <c r="F4219" s="197">
        <v>50.48</v>
      </c>
      <c r="G4219" s="190">
        <v>45967</v>
      </c>
      <c r="H4219" s="196">
        <v>0</v>
      </c>
      <c r="I4219" s="197">
        <v>4038.3999999999996</v>
      </c>
      <c r="J4219" s="197">
        <v>4038.3999999999996</v>
      </c>
      <c r="K4219" s="197">
        <v>0</v>
      </c>
      <c r="L4219" s="197">
        <v>34.399999999999636</v>
      </c>
      <c r="M4219" s="260" t="s">
        <v>239</v>
      </c>
      <c r="N4219" s="260" t="s">
        <v>514</v>
      </c>
    </row>
    <row r="4220" spans="1:14" ht="14.5" x14ac:dyDescent="0.35">
      <c r="A4220" s="260" t="s">
        <v>747</v>
      </c>
      <c r="B4220" s="190">
        <v>45967</v>
      </c>
      <c r="C4220" s="260" t="s">
        <v>752</v>
      </c>
      <c r="D4220" s="197">
        <v>30</v>
      </c>
      <c r="E4220" s="197">
        <v>5343</v>
      </c>
      <c r="F4220" s="197">
        <v>179.1</v>
      </c>
      <c r="G4220" s="190">
        <v>45967</v>
      </c>
      <c r="H4220" s="196">
        <v>0</v>
      </c>
      <c r="I4220" s="197">
        <v>5373</v>
      </c>
      <c r="J4220" s="197">
        <v>5373</v>
      </c>
      <c r="K4220" s="197">
        <v>0</v>
      </c>
      <c r="L4220" s="197">
        <v>30</v>
      </c>
      <c r="M4220" s="260" t="s">
        <v>239</v>
      </c>
      <c r="N4220" s="260" t="s">
        <v>514</v>
      </c>
    </row>
    <row r="4221" spans="1:14" ht="14.5" x14ac:dyDescent="0.35">
      <c r="A4221" s="260" t="s">
        <v>747</v>
      </c>
      <c r="B4221" s="190">
        <v>45967</v>
      </c>
      <c r="C4221" s="260" t="s">
        <v>754</v>
      </c>
      <c r="D4221" s="197">
        <v>100</v>
      </c>
      <c r="E4221" s="197">
        <v>8008</v>
      </c>
      <c r="F4221" s="197">
        <v>76.319999999999993</v>
      </c>
      <c r="G4221" s="190">
        <v>45967</v>
      </c>
      <c r="H4221" s="196">
        <v>0</v>
      </c>
      <c r="I4221" s="197">
        <v>7631.9999999999991</v>
      </c>
      <c r="J4221" s="197">
        <v>7631.9999999999991</v>
      </c>
      <c r="K4221" s="197">
        <v>120</v>
      </c>
      <c r="L4221" s="197">
        <v>-376.00000000000091</v>
      </c>
      <c r="M4221" s="260" t="s">
        <v>239</v>
      </c>
      <c r="N4221" s="260" t="s">
        <v>514</v>
      </c>
    </row>
    <row r="4222" spans="1:14" ht="14.5" x14ac:dyDescent="0.35">
      <c r="A4222" s="260" t="s">
        <v>747</v>
      </c>
      <c r="B4222" s="190">
        <v>45968</v>
      </c>
      <c r="C4222" s="260" t="s">
        <v>749</v>
      </c>
      <c r="D4222" s="197">
        <v>80</v>
      </c>
      <c r="E4222" s="197">
        <v>4004</v>
      </c>
      <c r="F4222" s="197">
        <v>50.38</v>
      </c>
      <c r="G4222" s="190">
        <v>45968</v>
      </c>
      <c r="H4222" s="196">
        <v>0</v>
      </c>
      <c r="I4222" s="197">
        <v>4030.4</v>
      </c>
      <c r="J4222" s="197">
        <v>4030.4</v>
      </c>
      <c r="K4222" s="197">
        <v>0</v>
      </c>
      <c r="L4222" s="197">
        <v>26.400000000000091</v>
      </c>
      <c r="M4222" s="260" t="s">
        <v>239</v>
      </c>
      <c r="N4222" s="260" t="s">
        <v>514</v>
      </c>
    </row>
    <row r="4223" spans="1:14" ht="14.5" x14ac:dyDescent="0.35">
      <c r="A4223" s="260" t="s">
        <v>747</v>
      </c>
      <c r="B4223" s="190">
        <v>45968</v>
      </c>
      <c r="C4223" s="260" t="s">
        <v>752</v>
      </c>
      <c r="D4223" s="197">
        <v>30</v>
      </c>
      <c r="E4223" s="197">
        <v>5343</v>
      </c>
      <c r="F4223" s="197">
        <v>178.72</v>
      </c>
      <c r="G4223" s="190">
        <v>45968</v>
      </c>
      <c r="H4223" s="196">
        <v>0</v>
      </c>
      <c r="I4223" s="197">
        <v>5361.6</v>
      </c>
      <c r="J4223" s="197">
        <v>5361.6</v>
      </c>
      <c r="K4223" s="197">
        <v>0</v>
      </c>
      <c r="L4223" s="197">
        <v>18.600000000000364</v>
      </c>
      <c r="M4223" s="260" t="s">
        <v>239</v>
      </c>
      <c r="N4223" s="260" t="s">
        <v>514</v>
      </c>
    </row>
    <row r="4224" spans="1:14" ht="14.5" x14ac:dyDescent="0.35">
      <c r="A4224" s="260" t="s">
        <v>747</v>
      </c>
      <c r="B4224" s="190">
        <v>45968</v>
      </c>
      <c r="C4224" s="260" t="s">
        <v>754</v>
      </c>
      <c r="D4224" s="197">
        <v>100</v>
      </c>
      <c r="E4224" s="197">
        <v>8008</v>
      </c>
      <c r="F4224" s="197">
        <v>76.42</v>
      </c>
      <c r="G4224" s="190">
        <v>45968</v>
      </c>
      <c r="H4224" s="196">
        <v>0</v>
      </c>
      <c r="I4224" s="197">
        <v>7642</v>
      </c>
      <c r="J4224" s="197">
        <v>7642</v>
      </c>
      <c r="K4224" s="197">
        <v>120</v>
      </c>
      <c r="L4224" s="197">
        <v>-366</v>
      </c>
      <c r="M4224" s="260" t="s">
        <v>239</v>
      </c>
      <c r="N4224" s="260" t="s">
        <v>514</v>
      </c>
    </row>
    <row r="4225" spans="1:14" ht="14.5" x14ac:dyDescent="0.35">
      <c r="A4225" s="260" t="s">
        <v>747</v>
      </c>
      <c r="B4225" s="190">
        <v>45969</v>
      </c>
      <c r="C4225" s="260" t="s">
        <v>749</v>
      </c>
      <c r="D4225" s="197">
        <v>80</v>
      </c>
      <c r="E4225" s="197">
        <v>4004</v>
      </c>
      <c r="F4225" s="197">
        <v>50.38</v>
      </c>
      <c r="G4225" s="190">
        <v>45968</v>
      </c>
      <c r="H4225" s="196">
        <v>1</v>
      </c>
      <c r="I4225" s="197">
        <v>4030.4</v>
      </c>
      <c r="J4225" s="197">
        <v>4030.4</v>
      </c>
      <c r="K4225" s="197">
        <v>0</v>
      </c>
      <c r="L4225" s="197">
        <v>26.400000000000091</v>
      </c>
      <c r="M4225" s="260" t="s">
        <v>239</v>
      </c>
      <c r="N4225" s="260" t="s">
        <v>514</v>
      </c>
    </row>
    <row r="4226" spans="1:14" ht="14.5" x14ac:dyDescent="0.35">
      <c r="A4226" s="260" t="s">
        <v>747</v>
      </c>
      <c r="B4226" s="190">
        <v>45969</v>
      </c>
      <c r="C4226" s="260" t="s">
        <v>752</v>
      </c>
      <c r="D4226" s="197">
        <v>30</v>
      </c>
      <c r="E4226" s="197">
        <v>5343</v>
      </c>
      <c r="F4226" s="197">
        <v>178.72</v>
      </c>
      <c r="G4226" s="190">
        <v>45968</v>
      </c>
      <c r="H4226" s="196">
        <v>1</v>
      </c>
      <c r="I4226" s="197">
        <v>5361.6</v>
      </c>
      <c r="J4226" s="197">
        <v>5361.6</v>
      </c>
      <c r="K4226" s="197">
        <v>0</v>
      </c>
      <c r="L4226" s="197">
        <v>18.600000000000364</v>
      </c>
      <c r="M4226" s="260" t="s">
        <v>239</v>
      </c>
      <c r="N4226" s="260" t="s">
        <v>514</v>
      </c>
    </row>
    <row r="4227" spans="1:14" ht="14.5" x14ac:dyDescent="0.35">
      <c r="A4227" s="260" t="s">
        <v>747</v>
      </c>
      <c r="B4227" s="190">
        <v>45969</v>
      </c>
      <c r="C4227" s="260" t="s">
        <v>754</v>
      </c>
      <c r="D4227" s="197">
        <v>100</v>
      </c>
      <c r="E4227" s="197">
        <v>8008</v>
      </c>
      <c r="F4227" s="197">
        <v>76.42</v>
      </c>
      <c r="G4227" s="190">
        <v>45968</v>
      </c>
      <c r="H4227" s="196">
        <v>1</v>
      </c>
      <c r="I4227" s="197">
        <v>7642</v>
      </c>
      <c r="J4227" s="197">
        <v>7642</v>
      </c>
      <c r="K4227" s="197">
        <v>120</v>
      </c>
      <c r="L4227" s="197">
        <v>-366</v>
      </c>
      <c r="M4227" s="260" t="s">
        <v>239</v>
      </c>
      <c r="N4227" s="260" t="s">
        <v>514</v>
      </c>
    </row>
    <row r="4228" spans="1:14" ht="14.5" x14ac:dyDescent="0.35">
      <c r="A4228" s="260" t="s">
        <v>747</v>
      </c>
      <c r="B4228" s="190">
        <v>45970</v>
      </c>
      <c r="C4228" s="260" t="s">
        <v>749</v>
      </c>
      <c r="D4228" s="197">
        <v>80</v>
      </c>
      <c r="E4228" s="197">
        <v>4004</v>
      </c>
      <c r="F4228" s="197">
        <v>50.38</v>
      </c>
      <c r="G4228" s="190">
        <v>45968</v>
      </c>
      <c r="H4228" s="196">
        <v>2</v>
      </c>
      <c r="I4228" s="197">
        <v>4030.4</v>
      </c>
      <c r="J4228" s="197">
        <v>4030.4</v>
      </c>
      <c r="K4228" s="197">
        <v>0</v>
      </c>
      <c r="L4228" s="197">
        <v>26.400000000000091</v>
      </c>
      <c r="M4228" s="260" t="s">
        <v>239</v>
      </c>
      <c r="N4228" s="260" t="s">
        <v>514</v>
      </c>
    </row>
    <row r="4229" spans="1:14" ht="14.5" x14ac:dyDescent="0.35">
      <c r="A4229" s="260" t="s">
        <v>747</v>
      </c>
      <c r="B4229" s="190">
        <v>45970</v>
      </c>
      <c r="C4229" s="260" t="s">
        <v>752</v>
      </c>
      <c r="D4229" s="197">
        <v>30</v>
      </c>
      <c r="E4229" s="197">
        <v>5343</v>
      </c>
      <c r="F4229" s="197">
        <v>178.72</v>
      </c>
      <c r="G4229" s="190">
        <v>45968</v>
      </c>
      <c r="H4229" s="196">
        <v>2</v>
      </c>
      <c r="I4229" s="197">
        <v>5361.6</v>
      </c>
      <c r="J4229" s="197">
        <v>5361.6</v>
      </c>
      <c r="K4229" s="197">
        <v>0</v>
      </c>
      <c r="L4229" s="197">
        <v>18.600000000000364</v>
      </c>
      <c r="M4229" s="260" t="s">
        <v>239</v>
      </c>
      <c r="N4229" s="260" t="s">
        <v>514</v>
      </c>
    </row>
    <row r="4230" spans="1:14" ht="14.5" x14ac:dyDescent="0.35">
      <c r="A4230" s="260" t="s">
        <v>747</v>
      </c>
      <c r="B4230" s="190">
        <v>45970</v>
      </c>
      <c r="C4230" s="260" t="s">
        <v>754</v>
      </c>
      <c r="D4230" s="197">
        <v>100</v>
      </c>
      <c r="E4230" s="197">
        <v>8008</v>
      </c>
      <c r="F4230" s="197">
        <v>76.42</v>
      </c>
      <c r="G4230" s="190">
        <v>45968</v>
      </c>
      <c r="H4230" s="196">
        <v>2</v>
      </c>
      <c r="I4230" s="197">
        <v>7642</v>
      </c>
      <c r="J4230" s="197">
        <v>7642</v>
      </c>
      <c r="K4230" s="197">
        <v>120</v>
      </c>
      <c r="L4230" s="197">
        <v>-366</v>
      </c>
      <c r="M4230" s="260" t="s">
        <v>239</v>
      </c>
      <c r="N4230" s="260" t="s">
        <v>514</v>
      </c>
    </row>
    <row r="4231" spans="1:14" ht="14.5" x14ac:dyDescent="0.35">
      <c r="A4231" s="260" t="s">
        <v>747</v>
      </c>
      <c r="B4231" s="190">
        <v>45971</v>
      </c>
      <c r="C4231" s="260" t="s">
        <v>749</v>
      </c>
      <c r="D4231" s="197">
        <v>80</v>
      </c>
      <c r="E4231" s="197">
        <v>4004</v>
      </c>
      <c r="F4231" s="197">
        <v>50.07</v>
      </c>
      <c r="G4231" s="190">
        <v>45971</v>
      </c>
      <c r="H4231" s="196">
        <v>0</v>
      </c>
      <c r="I4231" s="197">
        <v>4005.6</v>
      </c>
      <c r="J4231" s="197">
        <v>4005.6</v>
      </c>
      <c r="K4231" s="197">
        <v>0</v>
      </c>
      <c r="L4231" s="197">
        <v>1.5999999999999091</v>
      </c>
      <c r="M4231" s="260" t="s">
        <v>239</v>
      </c>
      <c r="N4231" s="260" t="s">
        <v>514</v>
      </c>
    </row>
    <row r="4232" spans="1:14" ht="14.5" x14ac:dyDescent="0.35">
      <c r="A4232" s="260" t="s">
        <v>747</v>
      </c>
      <c r="B4232" s="190">
        <v>45971</v>
      </c>
      <c r="C4232" s="260" t="s">
        <v>752</v>
      </c>
      <c r="D4232" s="197">
        <v>30</v>
      </c>
      <c r="E4232" s="197">
        <v>5343</v>
      </c>
      <c r="F4232" s="197">
        <v>177.59</v>
      </c>
      <c r="G4232" s="190">
        <v>45971</v>
      </c>
      <c r="H4232" s="196">
        <v>0</v>
      </c>
      <c r="I4232" s="197">
        <v>5327.7</v>
      </c>
      <c r="J4232" s="197">
        <v>5327.7</v>
      </c>
      <c r="K4232" s="197">
        <v>0</v>
      </c>
      <c r="L4232" s="197">
        <v>-15.300000000000182</v>
      </c>
      <c r="M4232" s="260" t="s">
        <v>239</v>
      </c>
      <c r="N4232" s="260" t="s">
        <v>514</v>
      </c>
    </row>
    <row r="4233" spans="1:14" ht="14.5" x14ac:dyDescent="0.35">
      <c r="A4233" s="260" t="s">
        <v>747</v>
      </c>
      <c r="B4233" s="190">
        <v>45971</v>
      </c>
      <c r="C4233" s="260" t="s">
        <v>754</v>
      </c>
      <c r="D4233" s="197">
        <v>100</v>
      </c>
      <c r="E4233" s="197">
        <v>8008</v>
      </c>
      <c r="F4233" s="197">
        <v>76.73</v>
      </c>
      <c r="G4233" s="190">
        <v>45971</v>
      </c>
      <c r="H4233" s="196">
        <v>0</v>
      </c>
      <c r="I4233" s="197">
        <v>7673</v>
      </c>
      <c r="J4233" s="197">
        <v>7673</v>
      </c>
      <c r="K4233" s="197">
        <v>120</v>
      </c>
      <c r="L4233" s="197">
        <v>-335</v>
      </c>
      <c r="M4233" s="260" t="s">
        <v>239</v>
      </c>
      <c r="N4233" s="260" t="s">
        <v>514</v>
      </c>
    </row>
    <row r="4234" spans="1:14" ht="14.5" x14ac:dyDescent="0.35">
      <c r="A4234" s="260" t="s">
        <v>747</v>
      </c>
      <c r="B4234" s="190">
        <v>45972</v>
      </c>
      <c r="C4234" s="260" t="s">
        <v>749</v>
      </c>
      <c r="D4234" s="197">
        <v>80</v>
      </c>
      <c r="E4234" s="197">
        <v>4004</v>
      </c>
      <c r="F4234" s="197">
        <v>49.97</v>
      </c>
      <c r="G4234" s="190">
        <v>45972</v>
      </c>
      <c r="H4234" s="196">
        <v>0</v>
      </c>
      <c r="I4234" s="197">
        <v>3997.6</v>
      </c>
      <c r="J4234" s="197">
        <v>3997.6</v>
      </c>
      <c r="K4234" s="197">
        <v>0</v>
      </c>
      <c r="L4234" s="197">
        <v>-6.4000000000000909</v>
      </c>
      <c r="M4234" s="260" t="s">
        <v>239</v>
      </c>
      <c r="N4234" s="260" t="s">
        <v>514</v>
      </c>
    </row>
    <row r="4235" spans="1:14" ht="14.5" x14ac:dyDescent="0.35">
      <c r="A4235" s="260" t="s">
        <v>747</v>
      </c>
      <c r="B4235" s="190">
        <v>45972</v>
      </c>
      <c r="C4235" s="260" t="s">
        <v>752</v>
      </c>
      <c r="D4235" s="197">
        <v>30</v>
      </c>
      <c r="E4235" s="197">
        <v>5343</v>
      </c>
      <c r="F4235" s="197">
        <v>177.21</v>
      </c>
      <c r="G4235" s="190">
        <v>45972</v>
      </c>
      <c r="H4235" s="196">
        <v>0</v>
      </c>
      <c r="I4235" s="197">
        <v>5316.3</v>
      </c>
      <c r="J4235" s="197">
        <v>5316.3</v>
      </c>
      <c r="K4235" s="197">
        <v>0</v>
      </c>
      <c r="L4235" s="197">
        <v>-26.699999999999818</v>
      </c>
      <c r="M4235" s="260" t="s">
        <v>239</v>
      </c>
      <c r="N4235" s="260" t="s">
        <v>514</v>
      </c>
    </row>
    <row r="4236" spans="1:14" ht="14.5" x14ac:dyDescent="0.35">
      <c r="A4236" s="260" t="s">
        <v>747</v>
      </c>
      <c r="B4236" s="190">
        <v>45972</v>
      </c>
      <c r="C4236" s="260" t="s">
        <v>754</v>
      </c>
      <c r="D4236" s="197">
        <v>100</v>
      </c>
      <c r="E4236" s="197">
        <v>8008</v>
      </c>
      <c r="F4236" s="197">
        <v>76.83</v>
      </c>
      <c r="G4236" s="190">
        <v>45972</v>
      </c>
      <c r="H4236" s="196">
        <v>0</v>
      </c>
      <c r="I4236" s="197">
        <v>7683</v>
      </c>
      <c r="J4236" s="197">
        <v>7683</v>
      </c>
      <c r="K4236" s="197">
        <v>120</v>
      </c>
      <c r="L4236" s="197">
        <v>-325</v>
      </c>
      <c r="M4236" s="260" t="s">
        <v>239</v>
      </c>
      <c r="N4236" s="260" t="s">
        <v>514</v>
      </c>
    </row>
    <row r="4237" spans="1:14" ht="14.5" x14ac:dyDescent="0.35">
      <c r="A4237" s="260" t="s">
        <v>747</v>
      </c>
      <c r="B4237" s="190">
        <v>45973</v>
      </c>
      <c r="C4237" s="260" t="s">
        <v>749</v>
      </c>
      <c r="D4237" s="197">
        <v>80</v>
      </c>
      <c r="E4237" s="197">
        <v>4004</v>
      </c>
      <c r="F4237" s="197">
        <v>49.86</v>
      </c>
      <c r="G4237" s="190">
        <v>45973</v>
      </c>
      <c r="H4237" s="196">
        <v>0</v>
      </c>
      <c r="I4237" s="197">
        <v>3988.8</v>
      </c>
      <c r="J4237" s="197">
        <v>3988.8</v>
      </c>
      <c r="K4237" s="197">
        <v>0</v>
      </c>
      <c r="L4237" s="197">
        <v>-15.199999999999818</v>
      </c>
      <c r="M4237" s="260" t="s">
        <v>239</v>
      </c>
      <c r="N4237" s="260" t="s">
        <v>514</v>
      </c>
    </row>
    <row r="4238" spans="1:14" ht="14.5" x14ac:dyDescent="0.35">
      <c r="A4238" s="260" t="s">
        <v>747</v>
      </c>
      <c r="B4238" s="190">
        <v>45973</v>
      </c>
      <c r="C4238" s="260" t="s">
        <v>752</v>
      </c>
      <c r="D4238" s="197">
        <v>30</v>
      </c>
      <c r="E4238" s="197">
        <v>5343</v>
      </c>
      <c r="F4238" s="197">
        <v>176.83</v>
      </c>
      <c r="G4238" s="190">
        <v>45973</v>
      </c>
      <c r="H4238" s="196">
        <v>0</v>
      </c>
      <c r="I4238" s="197">
        <v>5304.9000000000005</v>
      </c>
      <c r="J4238" s="197">
        <v>5304.9000000000005</v>
      </c>
      <c r="K4238" s="197">
        <v>0</v>
      </c>
      <c r="L4238" s="197">
        <v>-38.099999999999454</v>
      </c>
      <c r="M4238" s="260" t="s">
        <v>239</v>
      </c>
      <c r="N4238" s="260" t="s">
        <v>514</v>
      </c>
    </row>
    <row r="4239" spans="1:14" ht="14.5" x14ac:dyDescent="0.35">
      <c r="A4239" s="260" t="s">
        <v>747</v>
      </c>
      <c r="B4239" s="190">
        <v>45973</v>
      </c>
      <c r="C4239" s="260" t="s">
        <v>754</v>
      </c>
      <c r="D4239" s="197">
        <v>100</v>
      </c>
      <c r="E4239" s="197">
        <v>8008</v>
      </c>
      <c r="F4239" s="197">
        <v>76.94</v>
      </c>
      <c r="G4239" s="190">
        <v>45973</v>
      </c>
      <c r="H4239" s="196">
        <v>0</v>
      </c>
      <c r="I4239" s="197">
        <v>7694</v>
      </c>
      <c r="J4239" s="197">
        <v>7694</v>
      </c>
      <c r="K4239" s="197">
        <v>120</v>
      </c>
      <c r="L4239" s="197">
        <v>-314</v>
      </c>
      <c r="M4239" s="260" t="s">
        <v>239</v>
      </c>
      <c r="N4239" s="260" t="s">
        <v>514</v>
      </c>
    </row>
    <row r="4240" spans="1:14" ht="14.5" x14ac:dyDescent="0.35">
      <c r="A4240" s="260" t="s">
        <v>747</v>
      </c>
      <c r="B4240" s="190">
        <v>45974</v>
      </c>
      <c r="C4240" s="260" t="s">
        <v>749</v>
      </c>
      <c r="D4240" s="197">
        <v>80</v>
      </c>
      <c r="E4240" s="197">
        <v>4004</v>
      </c>
      <c r="F4240" s="197">
        <v>49.76</v>
      </c>
      <c r="G4240" s="190">
        <v>45974</v>
      </c>
      <c r="H4240" s="196">
        <v>0</v>
      </c>
      <c r="I4240" s="197">
        <v>3980.7999999999997</v>
      </c>
      <c r="J4240" s="197">
        <v>3980.7999999999997</v>
      </c>
      <c r="K4240" s="197">
        <v>0</v>
      </c>
      <c r="L4240" s="197">
        <v>-23.200000000000273</v>
      </c>
      <c r="M4240" s="260" t="s">
        <v>239</v>
      </c>
      <c r="N4240" s="260" t="s">
        <v>514</v>
      </c>
    </row>
    <row r="4241" spans="1:14" ht="14.5" x14ac:dyDescent="0.35">
      <c r="A4241" s="260" t="s">
        <v>747</v>
      </c>
      <c r="B4241" s="190">
        <v>45974</v>
      </c>
      <c r="C4241" s="260" t="s">
        <v>752</v>
      </c>
      <c r="D4241" s="197">
        <v>30</v>
      </c>
      <c r="E4241" s="197">
        <v>5343</v>
      </c>
      <c r="F4241" s="197">
        <v>176.45</v>
      </c>
      <c r="G4241" s="190">
        <v>45974</v>
      </c>
      <c r="H4241" s="196">
        <v>0</v>
      </c>
      <c r="I4241" s="197">
        <v>5293.5</v>
      </c>
      <c r="J4241" s="197">
        <v>5293.5</v>
      </c>
      <c r="K4241" s="197">
        <v>0</v>
      </c>
      <c r="L4241" s="197">
        <v>-49.5</v>
      </c>
      <c r="M4241" s="260" t="s">
        <v>239</v>
      </c>
      <c r="N4241" s="260" t="s">
        <v>514</v>
      </c>
    </row>
    <row r="4242" spans="1:14" ht="14.5" x14ac:dyDescent="0.35">
      <c r="A4242" s="260" t="s">
        <v>747</v>
      </c>
      <c r="B4242" s="190">
        <v>45974</v>
      </c>
      <c r="C4242" s="260" t="s">
        <v>754</v>
      </c>
      <c r="D4242" s="197">
        <v>100</v>
      </c>
      <c r="E4242" s="197">
        <v>8008</v>
      </c>
      <c r="F4242" s="197">
        <v>77.040000000000006</v>
      </c>
      <c r="G4242" s="190">
        <v>45974</v>
      </c>
      <c r="H4242" s="196">
        <v>0</v>
      </c>
      <c r="I4242" s="197">
        <v>7704.0000000000009</v>
      </c>
      <c r="J4242" s="197">
        <v>7704.0000000000009</v>
      </c>
      <c r="K4242" s="197">
        <v>120</v>
      </c>
      <c r="L4242" s="197">
        <v>-303.99999999999909</v>
      </c>
      <c r="M4242" s="260" t="s">
        <v>239</v>
      </c>
      <c r="N4242" s="260" t="s">
        <v>514</v>
      </c>
    </row>
    <row r="4243" spans="1:14" ht="14.5" x14ac:dyDescent="0.35">
      <c r="A4243" s="260" t="s">
        <v>747</v>
      </c>
      <c r="B4243" s="190">
        <v>45975</v>
      </c>
      <c r="C4243" s="260" t="s">
        <v>749</v>
      </c>
      <c r="D4243" s="197">
        <v>80</v>
      </c>
      <c r="E4243" s="197">
        <v>4004</v>
      </c>
      <c r="F4243" s="197">
        <v>49.66</v>
      </c>
      <c r="G4243" s="190">
        <v>45975</v>
      </c>
      <c r="H4243" s="196">
        <v>0</v>
      </c>
      <c r="I4243" s="197">
        <v>3972.7999999999997</v>
      </c>
      <c r="J4243" s="197">
        <v>3972.7999999999997</v>
      </c>
      <c r="K4243" s="197">
        <v>0</v>
      </c>
      <c r="L4243" s="197">
        <v>-31.200000000000273</v>
      </c>
      <c r="M4243" s="260" t="s">
        <v>239</v>
      </c>
      <c r="N4243" s="260" t="s">
        <v>514</v>
      </c>
    </row>
    <row r="4244" spans="1:14" ht="14.5" x14ac:dyDescent="0.35">
      <c r="A4244" s="260" t="s">
        <v>747</v>
      </c>
      <c r="B4244" s="190">
        <v>45975</v>
      </c>
      <c r="C4244" s="260" t="s">
        <v>752</v>
      </c>
      <c r="D4244" s="197">
        <v>30</v>
      </c>
      <c r="E4244" s="197">
        <v>5343</v>
      </c>
      <c r="F4244" s="197">
        <v>176.07</v>
      </c>
      <c r="G4244" s="190">
        <v>45975</v>
      </c>
      <c r="H4244" s="196">
        <v>0</v>
      </c>
      <c r="I4244" s="197">
        <v>5282.0999999999995</v>
      </c>
      <c r="J4244" s="197">
        <v>5282.0999999999995</v>
      </c>
      <c r="K4244" s="197">
        <v>0</v>
      </c>
      <c r="L4244" s="197">
        <v>-60.900000000000546</v>
      </c>
      <c r="M4244" s="260" t="s">
        <v>239</v>
      </c>
      <c r="N4244" s="260" t="s">
        <v>514</v>
      </c>
    </row>
    <row r="4245" spans="1:14" ht="14.5" x14ac:dyDescent="0.35">
      <c r="A4245" s="260" t="s">
        <v>747</v>
      </c>
      <c r="B4245" s="190">
        <v>45975</v>
      </c>
      <c r="C4245" s="260" t="s">
        <v>754</v>
      </c>
      <c r="D4245" s="197">
        <v>100</v>
      </c>
      <c r="E4245" s="197">
        <v>8008</v>
      </c>
      <c r="F4245" s="197">
        <v>77.14</v>
      </c>
      <c r="G4245" s="190">
        <v>45975</v>
      </c>
      <c r="H4245" s="196">
        <v>0</v>
      </c>
      <c r="I4245" s="197">
        <v>7714</v>
      </c>
      <c r="J4245" s="197">
        <v>7714</v>
      </c>
      <c r="K4245" s="197">
        <v>120</v>
      </c>
      <c r="L4245" s="197">
        <v>-294</v>
      </c>
      <c r="M4245" s="260" t="s">
        <v>239</v>
      </c>
      <c r="N4245" s="260" t="s">
        <v>514</v>
      </c>
    </row>
    <row r="4246" spans="1:14" ht="14.5" x14ac:dyDescent="0.35">
      <c r="A4246" s="260" t="s">
        <v>747</v>
      </c>
      <c r="B4246" s="190">
        <v>45976</v>
      </c>
      <c r="C4246" s="260" t="s">
        <v>749</v>
      </c>
      <c r="D4246" s="197">
        <v>80</v>
      </c>
      <c r="E4246" s="197">
        <v>4004</v>
      </c>
      <c r="F4246" s="197">
        <v>49.66</v>
      </c>
      <c r="G4246" s="190">
        <v>45975</v>
      </c>
      <c r="H4246" s="196">
        <v>1</v>
      </c>
      <c r="I4246" s="197">
        <v>3972.7999999999997</v>
      </c>
      <c r="J4246" s="197">
        <v>3972.7999999999997</v>
      </c>
      <c r="K4246" s="197">
        <v>0</v>
      </c>
      <c r="L4246" s="197">
        <v>-31.200000000000273</v>
      </c>
      <c r="M4246" s="260" t="s">
        <v>239</v>
      </c>
      <c r="N4246" s="260" t="s">
        <v>514</v>
      </c>
    </row>
    <row r="4247" spans="1:14" ht="14.5" x14ac:dyDescent="0.35">
      <c r="A4247" s="260" t="s">
        <v>747</v>
      </c>
      <c r="B4247" s="190">
        <v>45976</v>
      </c>
      <c r="C4247" s="260" t="s">
        <v>752</v>
      </c>
      <c r="D4247" s="197">
        <v>30</v>
      </c>
      <c r="E4247" s="197">
        <v>5343</v>
      </c>
      <c r="F4247" s="197">
        <v>176.07</v>
      </c>
      <c r="G4247" s="190">
        <v>45975</v>
      </c>
      <c r="H4247" s="196">
        <v>1</v>
      </c>
      <c r="I4247" s="197">
        <v>5282.0999999999995</v>
      </c>
      <c r="J4247" s="197">
        <v>5282.0999999999995</v>
      </c>
      <c r="K4247" s="197">
        <v>0</v>
      </c>
      <c r="L4247" s="197">
        <v>-60.900000000000546</v>
      </c>
      <c r="M4247" s="260" t="s">
        <v>239</v>
      </c>
      <c r="N4247" s="260" t="s">
        <v>514</v>
      </c>
    </row>
    <row r="4248" spans="1:14" ht="14.5" x14ac:dyDescent="0.35">
      <c r="A4248" s="260" t="s">
        <v>747</v>
      </c>
      <c r="B4248" s="190">
        <v>45976</v>
      </c>
      <c r="C4248" s="260" t="s">
        <v>754</v>
      </c>
      <c r="D4248" s="197">
        <v>100</v>
      </c>
      <c r="E4248" s="197">
        <v>8008</v>
      </c>
      <c r="F4248" s="197">
        <v>77.14</v>
      </c>
      <c r="G4248" s="190">
        <v>45975</v>
      </c>
      <c r="H4248" s="196">
        <v>1</v>
      </c>
      <c r="I4248" s="197">
        <v>7714</v>
      </c>
      <c r="J4248" s="197">
        <v>7714</v>
      </c>
      <c r="K4248" s="197">
        <v>120</v>
      </c>
      <c r="L4248" s="197">
        <v>-294</v>
      </c>
      <c r="M4248" s="260" t="s">
        <v>239</v>
      </c>
      <c r="N4248" s="260" t="s">
        <v>514</v>
      </c>
    </row>
    <row r="4249" spans="1:14" ht="14.5" x14ac:dyDescent="0.35">
      <c r="A4249" s="260" t="s">
        <v>747</v>
      </c>
      <c r="B4249" s="190">
        <v>45977</v>
      </c>
      <c r="C4249" s="260" t="s">
        <v>749</v>
      </c>
      <c r="D4249" s="197">
        <v>80</v>
      </c>
      <c r="E4249" s="197">
        <v>4004</v>
      </c>
      <c r="F4249" s="197">
        <v>49.66</v>
      </c>
      <c r="G4249" s="190">
        <v>45975</v>
      </c>
      <c r="H4249" s="196">
        <v>2</v>
      </c>
      <c r="I4249" s="197">
        <v>3972.7999999999997</v>
      </c>
      <c r="J4249" s="197">
        <v>3972.7999999999997</v>
      </c>
      <c r="K4249" s="197">
        <v>0</v>
      </c>
      <c r="L4249" s="197">
        <v>-31.200000000000273</v>
      </c>
      <c r="M4249" s="260" t="s">
        <v>239</v>
      </c>
      <c r="N4249" s="260" t="s">
        <v>514</v>
      </c>
    </row>
    <row r="4250" spans="1:14" ht="14.5" x14ac:dyDescent="0.35">
      <c r="A4250" s="260" t="s">
        <v>747</v>
      </c>
      <c r="B4250" s="190">
        <v>45977</v>
      </c>
      <c r="C4250" s="260" t="s">
        <v>752</v>
      </c>
      <c r="D4250" s="197">
        <v>30</v>
      </c>
      <c r="E4250" s="197">
        <v>5343</v>
      </c>
      <c r="F4250" s="197">
        <v>176.07</v>
      </c>
      <c r="G4250" s="190">
        <v>45975</v>
      </c>
      <c r="H4250" s="196">
        <v>2</v>
      </c>
      <c r="I4250" s="197">
        <v>5282.0999999999995</v>
      </c>
      <c r="J4250" s="197">
        <v>5282.0999999999995</v>
      </c>
      <c r="K4250" s="197">
        <v>0</v>
      </c>
      <c r="L4250" s="197">
        <v>-60.900000000000546</v>
      </c>
      <c r="M4250" s="260" t="s">
        <v>239</v>
      </c>
      <c r="N4250" s="260" t="s">
        <v>514</v>
      </c>
    </row>
    <row r="4251" spans="1:14" ht="14.5" x14ac:dyDescent="0.35">
      <c r="A4251" s="260" t="s">
        <v>747</v>
      </c>
      <c r="B4251" s="190">
        <v>45977</v>
      </c>
      <c r="C4251" s="260" t="s">
        <v>754</v>
      </c>
      <c r="D4251" s="197">
        <v>100</v>
      </c>
      <c r="E4251" s="197">
        <v>8008</v>
      </c>
      <c r="F4251" s="197">
        <v>77.14</v>
      </c>
      <c r="G4251" s="190">
        <v>45975</v>
      </c>
      <c r="H4251" s="196">
        <v>2</v>
      </c>
      <c r="I4251" s="197">
        <v>7714</v>
      </c>
      <c r="J4251" s="197">
        <v>7714</v>
      </c>
      <c r="K4251" s="197">
        <v>120</v>
      </c>
      <c r="L4251" s="197">
        <v>-294</v>
      </c>
      <c r="M4251" s="260" t="s">
        <v>239</v>
      </c>
      <c r="N4251" s="260" t="s">
        <v>514</v>
      </c>
    </row>
    <row r="4252" spans="1:14" ht="14.5" x14ac:dyDescent="0.35">
      <c r="A4252" s="260" t="s">
        <v>747</v>
      </c>
      <c r="B4252" s="190">
        <v>45978</v>
      </c>
      <c r="C4252" s="260" t="s">
        <v>749</v>
      </c>
      <c r="D4252" s="197">
        <v>80</v>
      </c>
      <c r="E4252" s="197">
        <v>4004</v>
      </c>
      <c r="F4252" s="197">
        <v>49.34</v>
      </c>
      <c r="G4252" s="190">
        <v>45978</v>
      </c>
      <c r="H4252" s="196">
        <v>0</v>
      </c>
      <c r="I4252" s="197">
        <v>3947.2000000000003</v>
      </c>
      <c r="J4252" s="197">
        <v>3947.2000000000003</v>
      </c>
      <c r="K4252" s="197">
        <v>0</v>
      </c>
      <c r="L4252" s="197">
        <v>-56.799999999999727</v>
      </c>
      <c r="M4252" s="260" t="s">
        <v>239</v>
      </c>
      <c r="N4252" s="260" t="s">
        <v>514</v>
      </c>
    </row>
    <row r="4253" spans="1:14" ht="14.5" x14ac:dyDescent="0.35">
      <c r="A4253" s="260" t="s">
        <v>747</v>
      </c>
      <c r="B4253" s="190">
        <v>45978</v>
      </c>
      <c r="C4253" s="260" t="s">
        <v>752</v>
      </c>
      <c r="D4253" s="197">
        <v>30</v>
      </c>
      <c r="E4253" s="197">
        <v>5343</v>
      </c>
      <c r="F4253" s="197">
        <v>174.93</v>
      </c>
      <c r="G4253" s="190">
        <v>45978</v>
      </c>
      <c r="H4253" s="196">
        <v>0</v>
      </c>
      <c r="I4253" s="197">
        <v>5247.9000000000005</v>
      </c>
      <c r="J4253" s="197">
        <v>5247.9000000000005</v>
      </c>
      <c r="K4253" s="197">
        <v>0</v>
      </c>
      <c r="L4253" s="197">
        <v>-95.099999999999454</v>
      </c>
      <c r="M4253" s="260" t="s">
        <v>239</v>
      </c>
      <c r="N4253" s="260" t="s">
        <v>514</v>
      </c>
    </row>
    <row r="4254" spans="1:14" ht="14.5" x14ac:dyDescent="0.35">
      <c r="A4254" s="260" t="s">
        <v>747</v>
      </c>
      <c r="B4254" s="190">
        <v>45978</v>
      </c>
      <c r="C4254" s="260" t="s">
        <v>754</v>
      </c>
      <c r="D4254" s="197">
        <v>100</v>
      </c>
      <c r="E4254" s="197">
        <v>8008</v>
      </c>
      <c r="F4254" s="197">
        <v>77.459999999999994</v>
      </c>
      <c r="G4254" s="190">
        <v>45978</v>
      </c>
      <c r="H4254" s="196">
        <v>0</v>
      </c>
      <c r="I4254" s="197">
        <v>7745.9999999999991</v>
      </c>
      <c r="J4254" s="197">
        <v>7745.9999999999991</v>
      </c>
      <c r="K4254" s="197">
        <v>120</v>
      </c>
      <c r="L4254" s="197">
        <v>-262.00000000000091</v>
      </c>
      <c r="M4254" s="260" t="s">
        <v>239</v>
      </c>
      <c r="N4254" s="260" t="s">
        <v>514</v>
      </c>
    </row>
    <row r="4255" spans="1:14" ht="14.5" x14ac:dyDescent="0.35">
      <c r="A4255" s="260" t="s">
        <v>747</v>
      </c>
      <c r="B4255" s="190">
        <v>45979</v>
      </c>
      <c r="C4255" s="260" t="s">
        <v>749</v>
      </c>
      <c r="D4255" s="197">
        <v>80</v>
      </c>
      <c r="E4255" s="197">
        <v>4004</v>
      </c>
      <c r="F4255" s="197">
        <v>49.24</v>
      </c>
      <c r="G4255" s="190">
        <v>45979</v>
      </c>
      <c r="H4255" s="196">
        <v>0</v>
      </c>
      <c r="I4255" s="197">
        <v>3939.2000000000003</v>
      </c>
      <c r="J4255" s="197">
        <v>3939.2000000000003</v>
      </c>
      <c r="K4255" s="197">
        <v>0</v>
      </c>
      <c r="L4255" s="197">
        <v>-64.799999999999727</v>
      </c>
      <c r="M4255" s="260" t="s">
        <v>239</v>
      </c>
      <c r="N4255" s="260" t="s">
        <v>514</v>
      </c>
    </row>
    <row r="4256" spans="1:14" ht="14.5" x14ac:dyDescent="0.35">
      <c r="A4256" s="260" t="s">
        <v>747</v>
      </c>
      <c r="B4256" s="190">
        <v>45979</v>
      </c>
      <c r="C4256" s="260" t="s">
        <v>752</v>
      </c>
      <c r="D4256" s="197">
        <v>30</v>
      </c>
      <c r="E4256" s="197">
        <v>5343</v>
      </c>
      <c r="F4256" s="197">
        <v>174.55</v>
      </c>
      <c r="G4256" s="190">
        <v>45979</v>
      </c>
      <c r="H4256" s="196">
        <v>0</v>
      </c>
      <c r="I4256" s="197">
        <v>5236.5</v>
      </c>
      <c r="J4256" s="197">
        <v>5236.5</v>
      </c>
      <c r="K4256" s="197">
        <v>0</v>
      </c>
      <c r="L4256" s="197">
        <v>-106.5</v>
      </c>
      <c r="M4256" s="260" t="s">
        <v>239</v>
      </c>
      <c r="N4256" s="260" t="s">
        <v>514</v>
      </c>
    </row>
    <row r="4257" spans="1:14" ht="14.5" x14ac:dyDescent="0.35">
      <c r="A4257" s="260" t="s">
        <v>747</v>
      </c>
      <c r="B4257" s="190">
        <v>45979</v>
      </c>
      <c r="C4257" s="260" t="s">
        <v>754</v>
      </c>
      <c r="D4257" s="197">
        <v>100</v>
      </c>
      <c r="E4257" s="197">
        <v>8008</v>
      </c>
      <c r="F4257" s="197">
        <v>77.56</v>
      </c>
      <c r="G4257" s="190">
        <v>45979</v>
      </c>
      <c r="H4257" s="196">
        <v>0</v>
      </c>
      <c r="I4257" s="197">
        <v>7756</v>
      </c>
      <c r="J4257" s="197">
        <v>7756</v>
      </c>
      <c r="K4257" s="197">
        <v>120</v>
      </c>
      <c r="L4257" s="197">
        <v>-252</v>
      </c>
      <c r="M4257" s="260" t="s">
        <v>239</v>
      </c>
      <c r="N4257" s="260" t="s">
        <v>514</v>
      </c>
    </row>
    <row r="4258" spans="1:14" ht="14.5" x14ac:dyDescent="0.35">
      <c r="A4258" s="260" t="s">
        <v>747</v>
      </c>
      <c r="B4258" s="190">
        <v>45980</v>
      </c>
      <c r="C4258" s="260" t="s">
        <v>749</v>
      </c>
      <c r="D4258" s="197">
        <v>80</v>
      </c>
      <c r="E4258" s="197">
        <v>4004</v>
      </c>
      <c r="F4258" s="197">
        <v>49.14</v>
      </c>
      <c r="G4258" s="190">
        <v>45980</v>
      </c>
      <c r="H4258" s="196">
        <v>0</v>
      </c>
      <c r="I4258" s="197">
        <v>3931.2</v>
      </c>
      <c r="J4258" s="197">
        <v>3931.2</v>
      </c>
      <c r="K4258" s="197">
        <v>0</v>
      </c>
      <c r="L4258" s="197">
        <v>-72.800000000000182</v>
      </c>
      <c r="M4258" s="260" t="s">
        <v>239</v>
      </c>
      <c r="N4258" s="260" t="s">
        <v>514</v>
      </c>
    </row>
    <row r="4259" spans="1:14" ht="14.5" x14ac:dyDescent="0.35">
      <c r="A4259" s="260" t="s">
        <v>747</v>
      </c>
      <c r="B4259" s="190">
        <v>45980</v>
      </c>
      <c r="C4259" s="260" t="s">
        <v>752</v>
      </c>
      <c r="D4259" s="197">
        <v>30</v>
      </c>
      <c r="E4259" s="197">
        <v>5343</v>
      </c>
      <c r="F4259" s="197">
        <v>174.17</v>
      </c>
      <c r="G4259" s="190">
        <v>45980</v>
      </c>
      <c r="H4259" s="196">
        <v>0</v>
      </c>
      <c r="I4259" s="197">
        <v>5225.0999999999995</v>
      </c>
      <c r="J4259" s="197">
        <v>5225.0999999999995</v>
      </c>
      <c r="K4259" s="197">
        <v>0</v>
      </c>
      <c r="L4259" s="197">
        <v>-117.90000000000055</v>
      </c>
      <c r="M4259" s="260" t="s">
        <v>239</v>
      </c>
      <c r="N4259" s="260" t="s">
        <v>514</v>
      </c>
    </row>
    <row r="4260" spans="1:14" ht="14.5" x14ac:dyDescent="0.35">
      <c r="A4260" s="260" t="s">
        <v>747</v>
      </c>
      <c r="B4260" s="190">
        <v>45980</v>
      </c>
      <c r="C4260" s="260" t="s">
        <v>754</v>
      </c>
      <c r="D4260" s="197">
        <v>100</v>
      </c>
      <c r="E4260" s="197">
        <v>8008</v>
      </c>
      <c r="F4260" s="197">
        <v>77.66</v>
      </c>
      <c r="G4260" s="190">
        <v>45980</v>
      </c>
      <c r="H4260" s="196">
        <v>0</v>
      </c>
      <c r="I4260" s="197">
        <v>7766</v>
      </c>
      <c r="J4260" s="197">
        <v>7766</v>
      </c>
      <c r="K4260" s="197">
        <v>120</v>
      </c>
      <c r="L4260" s="197">
        <v>-242</v>
      </c>
      <c r="M4260" s="260" t="s">
        <v>239</v>
      </c>
      <c r="N4260" s="260" t="s">
        <v>514</v>
      </c>
    </row>
    <row r="4261" spans="1:14" ht="14.5" x14ac:dyDescent="0.35">
      <c r="A4261" s="260" t="s">
        <v>747</v>
      </c>
      <c r="B4261" s="190">
        <v>45981</v>
      </c>
      <c r="C4261" s="260" t="s">
        <v>749</v>
      </c>
      <c r="D4261" s="197">
        <v>80</v>
      </c>
      <c r="E4261" s="197">
        <v>4004</v>
      </c>
      <c r="F4261" s="197">
        <v>49.03</v>
      </c>
      <c r="G4261" s="190">
        <v>45981</v>
      </c>
      <c r="H4261" s="196">
        <v>0</v>
      </c>
      <c r="I4261" s="197">
        <v>3922.4</v>
      </c>
      <c r="J4261" s="197">
        <v>3922.4</v>
      </c>
      <c r="K4261" s="197">
        <v>0</v>
      </c>
      <c r="L4261" s="197">
        <v>-81.599999999999909</v>
      </c>
      <c r="M4261" s="260" t="s">
        <v>239</v>
      </c>
      <c r="N4261" s="260" t="s">
        <v>514</v>
      </c>
    </row>
    <row r="4262" spans="1:14" ht="14.5" x14ac:dyDescent="0.35">
      <c r="A4262" s="260" t="s">
        <v>747</v>
      </c>
      <c r="B4262" s="190">
        <v>45981</v>
      </c>
      <c r="C4262" s="260" t="s">
        <v>752</v>
      </c>
      <c r="D4262" s="197">
        <v>30</v>
      </c>
      <c r="E4262" s="197">
        <v>5343</v>
      </c>
      <c r="F4262" s="197">
        <v>173.79</v>
      </c>
      <c r="G4262" s="190">
        <v>45981</v>
      </c>
      <c r="H4262" s="196">
        <v>0</v>
      </c>
      <c r="I4262" s="197">
        <v>5213.7</v>
      </c>
      <c r="J4262" s="197">
        <v>5213.7</v>
      </c>
      <c r="K4262" s="197">
        <v>0</v>
      </c>
      <c r="L4262" s="197">
        <v>-129.30000000000018</v>
      </c>
      <c r="M4262" s="260" t="s">
        <v>239</v>
      </c>
      <c r="N4262" s="260" t="s">
        <v>514</v>
      </c>
    </row>
    <row r="4263" spans="1:14" ht="14.5" x14ac:dyDescent="0.35">
      <c r="A4263" s="260" t="s">
        <v>747</v>
      </c>
      <c r="B4263" s="190">
        <v>45981</v>
      </c>
      <c r="C4263" s="260" t="s">
        <v>754</v>
      </c>
      <c r="D4263" s="197">
        <v>100</v>
      </c>
      <c r="E4263" s="197">
        <v>8008</v>
      </c>
      <c r="F4263" s="197">
        <v>77.77</v>
      </c>
      <c r="G4263" s="190">
        <v>45981</v>
      </c>
      <c r="H4263" s="196">
        <v>0</v>
      </c>
      <c r="I4263" s="197">
        <v>7777</v>
      </c>
      <c r="J4263" s="197">
        <v>7777</v>
      </c>
      <c r="K4263" s="197">
        <v>120</v>
      </c>
      <c r="L4263" s="197">
        <v>-231</v>
      </c>
      <c r="M4263" s="260" t="s">
        <v>239</v>
      </c>
      <c r="N4263" s="260" t="s">
        <v>514</v>
      </c>
    </row>
    <row r="4264" spans="1:14" ht="14.5" x14ac:dyDescent="0.35">
      <c r="A4264" s="260" t="s">
        <v>747</v>
      </c>
      <c r="B4264" s="190">
        <v>45982</v>
      </c>
      <c r="C4264" s="260" t="s">
        <v>749</v>
      </c>
      <c r="D4264" s="197">
        <v>80</v>
      </c>
      <c r="E4264" s="197">
        <v>4004</v>
      </c>
      <c r="F4264" s="197">
        <v>48.93</v>
      </c>
      <c r="G4264" s="190">
        <v>45982</v>
      </c>
      <c r="H4264" s="196">
        <v>0</v>
      </c>
      <c r="I4264" s="197">
        <v>3914.4</v>
      </c>
      <c r="J4264" s="197">
        <v>3914.4</v>
      </c>
      <c r="K4264" s="197">
        <v>0</v>
      </c>
      <c r="L4264" s="197">
        <v>-89.599999999999909</v>
      </c>
      <c r="M4264" s="260" t="s">
        <v>239</v>
      </c>
      <c r="N4264" s="260" t="s">
        <v>514</v>
      </c>
    </row>
    <row r="4265" spans="1:14" ht="14.5" x14ac:dyDescent="0.35">
      <c r="A4265" s="260" t="s">
        <v>747</v>
      </c>
      <c r="B4265" s="190">
        <v>45982</v>
      </c>
      <c r="C4265" s="260" t="s">
        <v>752</v>
      </c>
      <c r="D4265" s="197">
        <v>30</v>
      </c>
      <c r="E4265" s="197">
        <v>5343</v>
      </c>
      <c r="F4265" s="197">
        <v>173.41</v>
      </c>
      <c r="G4265" s="190">
        <v>45982</v>
      </c>
      <c r="H4265" s="196">
        <v>0</v>
      </c>
      <c r="I4265" s="197">
        <v>5202.3</v>
      </c>
      <c r="J4265" s="197">
        <v>5202.3</v>
      </c>
      <c r="K4265" s="197">
        <v>0</v>
      </c>
      <c r="L4265" s="197">
        <v>-140.69999999999982</v>
      </c>
      <c r="M4265" s="260" t="s">
        <v>239</v>
      </c>
      <c r="N4265" s="260" t="s">
        <v>514</v>
      </c>
    </row>
    <row r="4266" spans="1:14" ht="14.5" x14ac:dyDescent="0.35">
      <c r="A4266" s="260" t="s">
        <v>747</v>
      </c>
      <c r="B4266" s="190">
        <v>45982</v>
      </c>
      <c r="C4266" s="260" t="s">
        <v>754</v>
      </c>
      <c r="D4266" s="197">
        <v>100</v>
      </c>
      <c r="E4266" s="197">
        <v>8008</v>
      </c>
      <c r="F4266" s="197">
        <v>77.87</v>
      </c>
      <c r="G4266" s="190">
        <v>45982</v>
      </c>
      <c r="H4266" s="196">
        <v>0</v>
      </c>
      <c r="I4266" s="197">
        <v>7787</v>
      </c>
      <c r="J4266" s="197">
        <v>7787</v>
      </c>
      <c r="K4266" s="197">
        <v>120</v>
      </c>
      <c r="L4266" s="197">
        <v>-221</v>
      </c>
      <c r="M4266" s="260" t="s">
        <v>239</v>
      </c>
      <c r="N4266" s="260" t="s">
        <v>514</v>
      </c>
    </row>
    <row r="4267" spans="1:14" ht="14.5" x14ac:dyDescent="0.35">
      <c r="A4267" s="260" t="s">
        <v>747</v>
      </c>
      <c r="B4267" s="190">
        <v>45983</v>
      </c>
      <c r="C4267" s="260" t="s">
        <v>749</v>
      </c>
      <c r="D4267" s="197">
        <v>80</v>
      </c>
      <c r="E4267" s="197">
        <v>4004</v>
      </c>
      <c r="F4267" s="197">
        <v>48.93</v>
      </c>
      <c r="G4267" s="190">
        <v>45982</v>
      </c>
      <c r="H4267" s="196">
        <v>1</v>
      </c>
      <c r="I4267" s="197">
        <v>3914.4</v>
      </c>
      <c r="J4267" s="197">
        <v>3914.4</v>
      </c>
      <c r="K4267" s="197">
        <v>0</v>
      </c>
      <c r="L4267" s="197">
        <v>-89.599999999999909</v>
      </c>
      <c r="M4267" s="260" t="s">
        <v>239</v>
      </c>
      <c r="N4267" s="260" t="s">
        <v>514</v>
      </c>
    </row>
    <row r="4268" spans="1:14" ht="14.5" x14ac:dyDescent="0.35">
      <c r="A4268" s="260" t="s">
        <v>747</v>
      </c>
      <c r="B4268" s="190">
        <v>45983</v>
      </c>
      <c r="C4268" s="260" t="s">
        <v>752</v>
      </c>
      <c r="D4268" s="197">
        <v>30</v>
      </c>
      <c r="E4268" s="197">
        <v>5343</v>
      </c>
      <c r="F4268" s="197">
        <v>173.41</v>
      </c>
      <c r="G4268" s="190">
        <v>45982</v>
      </c>
      <c r="H4268" s="196">
        <v>1</v>
      </c>
      <c r="I4268" s="197">
        <v>5202.3</v>
      </c>
      <c r="J4268" s="197">
        <v>5202.3</v>
      </c>
      <c r="K4268" s="197">
        <v>0</v>
      </c>
      <c r="L4268" s="197">
        <v>-140.69999999999982</v>
      </c>
      <c r="M4268" s="260" t="s">
        <v>239</v>
      </c>
      <c r="N4268" s="260" t="s">
        <v>514</v>
      </c>
    </row>
    <row r="4269" spans="1:14" ht="14.5" x14ac:dyDescent="0.35">
      <c r="A4269" s="260" t="s">
        <v>747</v>
      </c>
      <c r="B4269" s="190">
        <v>45983</v>
      </c>
      <c r="C4269" s="260" t="s">
        <v>754</v>
      </c>
      <c r="D4269" s="197">
        <v>100</v>
      </c>
      <c r="E4269" s="197">
        <v>8008</v>
      </c>
      <c r="F4269" s="197">
        <v>77.87</v>
      </c>
      <c r="G4269" s="190">
        <v>45982</v>
      </c>
      <c r="H4269" s="196">
        <v>1</v>
      </c>
      <c r="I4269" s="197">
        <v>7787</v>
      </c>
      <c r="J4269" s="197">
        <v>7787</v>
      </c>
      <c r="K4269" s="197">
        <v>120</v>
      </c>
      <c r="L4269" s="197">
        <v>-221</v>
      </c>
      <c r="M4269" s="260" t="s">
        <v>239</v>
      </c>
      <c r="N4269" s="260" t="s">
        <v>514</v>
      </c>
    </row>
    <row r="4270" spans="1:14" ht="14.5" x14ac:dyDescent="0.35">
      <c r="A4270" s="260" t="s">
        <v>747</v>
      </c>
      <c r="B4270" s="190">
        <v>45984</v>
      </c>
      <c r="C4270" s="260" t="s">
        <v>749</v>
      </c>
      <c r="D4270" s="197">
        <v>80</v>
      </c>
      <c r="E4270" s="197">
        <v>4004</v>
      </c>
      <c r="F4270" s="197">
        <v>48.93</v>
      </c>
      <c r="G4270" s="190">
        <v>45982</v>
      </c>
      <c r="H4270" s="196">
        <v>2</v>
      </c>
      <c r="I4270" s="197">
        <v>3914.4</v>
      </c>
      <c r="J4270" s="197">
        <v>3914.4</v>
      </c>
      <c r="K4270" s="197">
        <v>0</v>
      </c>
      <c r="L4270" s="197">
        <v>-89.599999999999909</v>
      </c>
      <c r="M4270" s="260" t="s">
        <v>239</v>
      </c>
      <c r="N4270" s="260" t="s">
        <v>514</v>
      </c>
    </row>
    <row r="4271" spans="1:14" ht="14.5" x14ac:dyDescent="0.35">
      <c r="A4271" s="260" t="s">
        <v>747</v>
      </c>
      <c r="B4271" s="190">
        <v>45984</v>
      </c>
      <c r="C4271" s="260" t="s">
        <v>752</v>
      </c>
      <c r="D4271" s="197">
        <v>30</v>
      </c>
      <c r="E4271" s="197">
        <v>5343</v>
      </c>
      <c r="F4271" s="197">
        <v>173.41</v>
      </c>
      <c r="G4271" s="190">
        <v>45982</v>
      </c>
      <c r="H4271" s="196">
        <v>2</v>
      </c>
      <c r="I4271" s="197">
        <v>5202.3</v>
      </c>
      <c r="J4271" s="197">
        <v>5202.3</v>
      </c>
      <c r="K4271" s="197">
        <v>0</v>
      </c>
      <c r="L4271" s="197">
        <v>-140.69999999999982</v>
      </c>
      <c r="M4271" s="260" t="s">
        <v>239</v>
      </c>
      <c r="N4271" s="260" t="s">
        <v>514</v>
      </c>
    </row>
    <row r="4272" spans="1:14" ht="14.5" x14ac:dyDescent="0.35">
      <c r="A4272" s="260" t="s">
        <v>747</v>
      </c>
      <c r="B4272" s="190">
        <v>45984</v>
      </c>
      <c r="C4272" s="260" t="s">
        <v>754</v>
      </c>
      <c r="D4272" s="197">
        <v>100</v>
      </c>
      <c r="E4272" s="197">
        <v>8008</v>
      </c>
      <c r="F4272" s="197">
        <v>77.87</v>
      </c>
      <c r="G4272" s="190">
        <v>45982</v>
      </c>
      <c r="H4272" s="196">
        <v>2</v>
      </c>
      <c r="I4272" s="197">
        <v>7787</v>
      </c>
      <c r="J4272" s="197">
        <v>7787</v>
      </c>
      <c r="K4272" s="197">
        <v>120</v>
      </c>
      <c r="L4272" s="197">
        <v>-221</v>
      </c>
      <c r="M4272" s="260" t="s">
        <v>239</v>
      </c>
      <c r="N4272" s="260" t="s">
        <v>514</v>
      </c>
    </row>
    <row r="4273" spans="1:14" ht="14.5" x14ac:dyDescent="0.35">
      <c r="A4273" s="260" t="s">
        <v>747</v>
      </c>
      <c r="B4273" s="190">
        <v>45985</v>
      </c>
      <c r="C4273" s="260" t="s">
        <v>749</v>
      </c>
      <c r="D4273" s="197">
        <v>80</v>
      </c>
      <c r="E4273" s="197">
        <v>4004</v>
      </c>
      <c r="F4273" s="197">
        <v>48.62</v>
      </c>
      <c r="G4273" s="190">
        <v>45985</v>
      </c>
      <c r="H4273" s="196">
        <v>0</v>
      </c>
      <c r="I4273" s="197">
        <v>3889.6</v>
      </c>
      <c r="J4273" s="197">
        <v>3889.6</v>
      </c>
      <c r="K4273" s="197">
        <v>0</v>
      </c>
      <c r="L4273" s="197">
        <v>-114.40000000000009</v>
      </c>
      <c r="M4273" s="260" t="s">
        <v>239</v>
      </c>
      <c r="N4273" s="260" t="s">
        <v>514</v>
      </c>
    </row>
    <row r="4274" spans="1:14" ht="14.5" x14ac:dyDescent="0.35">
      <c r="A4274" s="260" t="s">
        <v>747</v>
      </c>
      <c r="B4274" s="190">
        <v>45985</v>
      </c>
      <c r="C4274" s="260" t="s">
        <v>752</v>
      </c>
      <c r="D4274" s="197">
        <v>30</v>
      </c>
      <c r="E4274" s="197">
        <v>5343</v>
      </c>
      <c r="F4274" s="197">
        <v>172.28</v>
      </c>
      <c r="G4274" s="190">
        <v>45985</v>
      </c>
      <c r="H4274" s="196">
        <v>0</v>
      </c>
      <c r="I4274" s="197">
        <v>5168.3999999999996</v>
      </c>
      <c r="J4274" s="197">
        <v>5168.3999999999996</v>
      </c>
      <c r="K4274" s="197">
        <v>0</v>
      </c>
      <c r="L4274" s="197">
        <v>-174.60000000000036</v>
      </c>
      <c r="M4274" s="260" t="s">
        <v>239</v>
      </c>
      <c r="N4274" s="260" t="s">
        <v>514</v>
      </c>
    </row>
    <row r="4275" spans="1:14" ht="14.5" x14ac:dyDescent="0.35">
      <c r="A4275" s="260" t="s">
        <v>747</v>
      </c>
      <c r="B4275" s="190">
        <v>45985</v>
      </c>
      <c r="C4275" s="260" t="s">
        <v>754</v>
      </c>
      <c r="D4275" s="197">
        <v>100</v>
      </c>
      <c r="E4275" s="197">
        <v>8008</v>
      </c>
      <c r="F4275" s="197">
        <v>78.180000000000007</v>
      </c>
      <c r="G4275" s="190">
        <v>45985</v>
      </c>
      <c r="H4275" s="196">
        <v>0</v>
      </c>
      <c r="I4275" s="197">
        <v>7818.0000000000009</v>
      </c>
      <c r="J4275" s="197">
        <v>7818.0000000000009</v>
      </c>
      <c r="K4275" s="197">
        <v>120</v>
      </c>
      <c r="L4275" s="197">
        <v>-189.99999999999909</v>
      </c>
      <c r="M4275" s="260" t="s">
        <v>239</v>
      </c>
      <c r="N4275" s="260" t="s">
        <v>514</v>
      </c>
    </row>
    <row r="4276" spans="1:14" ht="14.5" x14ac:dyDescent="0.35">
      <c r="A4276" s="260" t="s">
        <v>747</v>
      </c>
      <c r="B4276" s="190">
        <v>45986</v>
      </c>
      <c r="C4276" s="260" t="s">
        <v>749</v>
      </c>
      <c r="D4276" s="197">
        <v>80</v>
      </c>
      <c r="E4276" s="197">
        <v>4004</v>
      </c>
      <c r="F4276" s="197">
        <v>48.52</v>
      </c>
      <c r="G4276" s="190">
        <v>45986</v>
      </c>
      <c r="H4276" s="196">
        <v>0</v>
      </c>
      <c r="I4276" s="197">
        <v>3881.6000000000004</v>
      </c>
      <c r="J4276" s="197">
        <v>3881.6000000000004</v>
      </c>
      <c r="K4276" s="197">
        <v>0</v>
      </c>
      <c r="L4276" s="197">
        <v>-122.39999999999964</v>
      </c>
      <c r="M4276" s="260" t="s">
        <v>239</v>
      </c>
      <c r="N4276" s="260" t="s">
        <v>514</v>
      </c>
    </row>
    <row r="4277" spans="1:14" ht="14.5" x14ac:dyDescent="0.35">
      <c r="A4277" s="260" t="s">
        <v>747</v>
      </c>
      <c r="B4277" s="190">
        <v>45986</v>
      </c>
      <c r="C4277" s="260" t="s">
        <v>752</v>
      </c>
      <c r="D4277" s="197">
        <v>30</v>
      </c>
      <c r="E4277" s="197">
        <v>5343</v>
      </c>
      <c r="F4277" s="197">
        <v>171.9</v>
      </c>
      <c r="G4277" s="190">
        <v>45986</v>
      </c>
      <c r="H4277" s="196">
        <v>0</v>
      </c>
      <c r="I4277" s="197">
        <v>5157</v>
      </c>
      <c r="J4277" s="197">
        <v>5157</v>
      </c>
      <c r="K4277" s="197">
        <v>0</v>
      </c>
      <c r="L4277" s="197">
        <v>-186</v>
      </c>
      <c r="M4277" s="260" t="s">
        <v>239</v>
      </c>
      <c r="N4277" s="260" t="s">
        <v>514</v>
      </c>
    </row>
    <row r="4278" spans="1:14" ht="14.5" x14ac:dyDescent="0.35">
      <c r="A4278" s="260" t="s">
        <v>747</v>
      </c>
      <c r="B4278" s="190">
        <v>45986</v>
      </c>
      <c r="C4278" s="260" t="s">
        <v>754</v>
      </c>
      <c r="D4278" s="197">
        <v>100</v>
      </c>
      <c r="E4278" s="197">
        <v>8008</v>
      </c>
      <c r="F4278" s="197">
        <v>78.28</v>
      </c>
      <c r="G4278" s="190">
        <v>45986</v>
      </c>
      <c r="H4278" s="196">
        <v>0</v>
      </c>
      <c r="I4278" s="197">
        <v>7828</v>
      </c>
      <c r="J4278" s="197">
        <v>7828</v>
      </c>
      <c r="K4278" s="197">
        <v>120</v>
      </c>
      <c r="L4278" s="197">
        <v>-180</v>
      </c>
      <c r="M4278" s="260" t="s">
        <v>239</v>
      </c>
      <c r="N4278" s="260" t="s">
        <v>514</v>
      </c>
    </row>
    <row r="4279" spans="1:14" ht="14.5" x14ac:dyDescent="0.35">
      <c r="A4279" s="260" t="s">
        <v>747</v>
      </c>
      <c r="B4279" s="190">
        <v>45987</v>
      </c>
      <c r="C4279" s="260" t="s">
        <v>749</v>
      </c>
      <c r="D4279" s="197">
        <v>80</v>
      </c>
      <c r="E4279" s="197">
        <v>4004</v>
      </c>
      <c r="F4279" s="197">
        <v>48.41</v>
      </c>
      <c r="G4279" s="190">
        <v>45987</v>
      </c>
      <c r="H4279" s="196">
        <v>0</v>
      </c>
      <c r="I4279" s="197">
        <v>3872.7999999999997</v>
      </c>
      <c r="J4279" s="197">
        <v>3872.7999999999997</v>
      </c>
      <c r="K4279" s="197">
        <v>0</v>
      </c>
      <c r="L4279" s="197">
        <v>-131.20000000000027</v>
      </c>
      <c r="M4279" s="260" t="s">
        <v>239</v>
      </c>
      <c r="N4279" s="260" t="s">
        <v>514</v>
      </c>
    </row>
    <row r="4280" spans="1:14" ht="14.5" x14ac:dyDescent="0.35">
      <c r="A4280" s="260" t="s">
        <v>747</v>
      </c>
      <c r="B4280" s="190">
        <v>45987</v>
      </c>
      <c r="C4280" s="260" t="s">
        <v>752</v>
      </c>
      <c r="D4280" s="197">
        <v>30</v>
      </c>
      <c r="E4280" s="197">
        <v>5343</v>
      </c>
      <c r="F4280" s="197">
        <v>171.52</v>
      </c>
      <c r="G4280" s="190">
        <v>45987</v>
      </c>
      <c r="H4280" s="196">
        <v>0</v>
      </c>
      <c r="I4280" s="197">
        <v>5145.6000000000004</v>
      </c>
      <c r="J4280" s="197">
        <v>5145.6000000000004</v>
      </c>
      <c r="K4280" s="197">
        <v>0</v>
      </c>
      <c r="L4280" s="197">
        <v>-197.39999999999964</v>
      </c>
      <c r="M4280" s="260" t="s">
        <v>239</v>
      </c>
      <c r="N4280" s="260" t="s">
        <v>514</v>
      </c>
    </row>
    <row r="4281" spans="1:14" ht="14.5" x14ac:dyDescent="0.35">
      <c r="A4281" s="260" t="s">
        <v>747</v>
      </c>
      <c r="B4281" s="190">
        <v>45987</v>
      </c>
      <c r="C4281" s="260" t="s">
        <v>754</v>
      </c>
      <c r="D4281" s="197">
        <v>100</v>
      </c>
      <c r="E4281" s="197">
        <v>8008</v>
      </c>
      <c r="F4281" s="197">
        <v>78.39</v>
      </c>
      <c r="G4281" s="190">
        <v>45987</v>
      </c>
      <c r="H4281" s="196">
        <v>0</v>
      </c>
      <c r="I4281" s="197">
        <v>7839</v>
      </c>
      <c r="J4281" s="197">
        <v>7839</v>
      </c>
      <c r="K4281" s="197">
        <v>120</v>
      </c>
      <c r="L4281" s="197">
        <v>-169</v>
      </c>
      <c r="M4281" s="260" t="s">
        <v>239</v>
      </c>
      <c r="N4281" s="260" t="s">
        <v>514</v>
      </c>
    </row>
    <row r="4282" spans="1:14" ht="14.5" x14ac:dyDescent="0.35">
      <c r="A4282" s="260" t="s">
        <v>747</v>
      </c>
      <c r="B4282" s="190">
        <v>45988</v>
      </c>
      <c r="C4282" s="260" t="s">
        <v>749</v>
      </c>
      <c r="D4282" s="197">
        <v>80</v>
      </c>
      <c r="E4282" s="197">
        <v>4004</v>
      </c>
      <c r="F4282" s="197">
        <v>48.31</v>
      </c>
      <c r="G4282" s="190">
        <v>45988</v>
      </c>
      <c r="H4282" s="196">
        <v>0</v>
      </c>
      <c r="I4282" s="197">
        <v>3864.8</v>
      </c>
      <c r="J4282" s="197">
        <v>3864.8</v>
      </c>
      <c r="K4282" s="197">
        <v>0</v>
      </c>
      <c r="L4282" s="197">
        <v>-139.19999999999982</v>
      </c>
      <c r="M4282" s="260" t="s">
        <v>239</v>
      </c>
      <c r="N4282" s="260" t="s">
        <v>514</v>
      </c>
    </row>
    <row r="4283" spans="1:14" ht="14.5" x14ac:dyDescent="0.35">
      <c r="A4283" s="260" t="s">
        <v>747</v>
      </c>
      <c r="B4283" s="190">
        <v>45988</v>
      </c>
      <c r="C4283" s="260" t="s">
        <v>752</v>
      </c>
      <c r="D4283" s="197">
        <v>30</v>
      </c>
      <c r="E4283" s="197">
        <v>5343</v>
      </c>
      <c r="F4283" s="197">
        <v>171.14</v>
      </c>
      <c r="G4283" s="190">
        <v>45988</v>
      </c>
      <c r="H4283" s="196">
        <v>0</v>
      </c>
      <c r="I4283" s="197">
        <v>5134.2</v>
      </c>
      <c r="J4283" s="197">
        <v>5134.2</v>
      </c>
      <c r="K4283" s="197">
        <v>0</v>
      </c>
      <c r="L4283" s="197">
        <v>-208.80000000000018</v>
      </c>
      <c r="M4283" s="260" t="s">
        <v>239</v>
      </c>
      <c r="N4283" s="260" t="s">
        <v>514</v>
      </c>
    </row>
    <row r="4284" spans="1:14" ht="14.5" x14ac:dyDescent="0.35">
      <c r="A4284" s="260" t="s">
        <v>747</v>
      </c>
      <c r="B4284" s="190">
        <v>45988</v>
      </c>
      <c r="C4284" s="260" t="s">
        <v>754</v>
      </c>
      <c r="D4284" s="197">
        <v>100</v>
      </c>
      <c r="E4284" s="197">
        <v>8008</v>
      </c>
      <c r="F4284" s="197">
        <v>78.489999999999995</v>
      </c>
      <c r="G4284" s="190">
        <v>45988</v>
      </c>
      <c r="H4284" s="196">
        <v>0</v>
      </c>
      <c r="I4284" s="197">
        <v>7848.9999999999991</v>
      </c>
      <c r="J4284" s="197">
        <v>7848.9999999999991</v>
      </c>
      <c r="K4284" s="197">
        <v>120</v>
      </c>
      <c r="L4284" s="197">
        <v>-159.00000000000091</v>
      </c>
      <c r="M4284" s="260" t="s">
        <v>239</v>
      </c>
      <c r="N4284" s="260" t="s">
        <v>514</v>
      </c>
    </row>
    <row r="4285" spans="1:14" ht="14.5" x14ac:dyDescent="0.35">
      <c r="A4285" s="260" t="s">
        <v>747</v>
      </c>
      <c r="B4285" s="190">
        <v>45989</v>
      </c>
      <c r="C4285" s="260" t="s">
        <v>749</v>
      </c>
      <c r="D4285" s="197">
        <v>80</v>
      </c>
      <c r="E4285" s="197">
        <v>4004</v>
      </c>
      <c r="F4285" s="197">
        <v>48.21</v>
      </c>
      <c r="G4285" s="190">
        <v>45989</v>
      </c>
      <c r="H4285" s="196">
        <v>0</v>
      </c>
      <c r="I4285" s="197">
        <v>3856.8</v>
      </c>
      <c r="J4285" s="197">
        <v>3856.8</v>
      </c>
      <c r="K4285" s="197">
        <v>0</v>
      </c>
      <c r="L4285" s="197">
        <v>-147.19999999999982</v>
      </c>
      <c r="M4285" s="260" t="s">
        <v>239</v>
      </c>
      <c r="N4285" s="260" t="s">
        <v>514</v>
      </c>
    </row>
    <row r="4286" spans="1:14" ht="14.5" x14ac:dyDescent="0.35">
      <c r="A4286" s="260" t="s">
        <v>747</v>
      </c>
      <c r="B4286" s="190">
        <v>45989</v>
      </c>
      <c r="C4286" s="260" t="s">
        <v>752</v>
      </c>
      <c r="D4286" s="197">
        <v>30</v>
      </c>
      <c r="E4286" s="197">
        <v>5343</v>
      </c>
      <c r="F4286" s="197">
        <v>170.76</v>
      </c>
      <c r="G4286" s="190">
        <v>45989</v>
      </c>
      <c r="H4286" s="196">
        <v>0</v>
      </c>
      <c r="I4286" s="197">
        <v>5122.7999999999993</v>
      </c>
      <c r="J4286" s="197">
        <v>5122.7999999999993</v>
      </c>
      <c r="K4286" s="197">
        <v>0</v>
      </c>
      <c r="L4286" s="197">
        <v>-220.20000000000073</v>
      </c>
      <c r="M4286" s="260" t="s">
        <v>239</v>
      </c>
      <c r="N4286" s="260" t="s">
        <v>514</v>
      </c>
    </row>
    <row r="4287" spans="1:14" ht="14.5" x14ac:dyDescent="0.35">
      <c r="A4287" s="260" t="s">
        <v>747</v>
      </c>
      <c r="B4287" s="190">
        <v>45989</v>
      </c>
      <c r="C4287" s="260" t="s">
        <v>754</v>
      </c>
      <c r="D4287" s="197">
        <v>100</v>
      </c>
      <c r="E4287" s="197">
        <v>8008</v>
      </c>
      <c r="F4287" s="197">
        <v>78.59</v>
      </c>
      <c r="G4287" s="190">
        <v>45989</v>
      </c>
      <c r="H4287" s="196">
        <v>0</v>
      </c>
      <c r="I4287" s="197">
        <v>7859</v>
      </c>
      <c r="J4287" s="197">
        <v>7859</v>
      </c>
      <c r="K4287" s="197">
        <v>120</v>
      </c>
      <c r="L4287" s="197">
        <v>-149</v>
      </c>
      <c r="M4287" s="260" t="s">
        <v>239</v>
      </c>
      <c r="N4287" s="260" t="s">
        <v>514</v>
      </c>
    </row>
    <row r="4288" spans="1:14" ht="14.5" x14ac:dyDescent="0.35">
      <c r="A4288" s="260" t="s">
        <v>747</v>
      </c>
      <c r="B4288" s="190">
        <v>45990</v>
      </c>
      <c r="C4288" s="260" t="s">
        <v>749</v>
      </c>
      <c r="D4288" s="197">
        <v>80</v>
      </c>
      <c r="E4288" s="197">
        <v>4004</v>
      </c>
      <c r="F4288" s="197">
        <v>48.21</v>
      </c>
      <c r="G4288" s="190">
        <v>45989</v>
      </c>
      <c r="H4288" s="196">
        <v>1</v>
      </c>
      <c r="I4288" s="197">
        <v>3856.8</v>
      </c>
      <c r="J4288" s="197">
        <v>3856.8</v>
      </c>
      <c r="K4288" s="197">
        <v>0</v>
      </c>
      <c r="L4288" s="197">
        <v>-147.19999999999982</v>
      </c>
      <c r="M4288" s="260" t="s">
        <v>239</v>
      </c>
      <c r="N4288" s="260" t="s">
        <v>514</v>
      </c>
    </row>
    <row r="4289" spans="1:14" ht="14.5" x14ac:dyDescent="0.35">
      <c r="A4289" s="260" t="s">
        <v>747</v>
      </c>
      <c r="B4289" s="190">
        <v>45990</v>
      </c>
      <c r="C4289" s="260" t="s">
        <v>752</v>
      </c>
      <c r="D4289" s="197">
        <v>30</v>
      </c>
      <c r="E4289" s="197">
        <v>5343</v>
      </c>
      <c r="F4289" s="197">
        <v>170.76</v>
      </c>
      <c r="G4289" s="190">
        <v>45989</v>
      </c>
      <c r="H4289" s="196">
        <v>1</v>
      </c>
      <c r="I4289" s="197">
        <v>5122.7999999999993</v>
      </c>
      <c r="J4289" s="197">
        <v>5122.7999999999993</v>
      </c>
      <c r="K4289" s="197">
        <v>0</v>
      </c>
      <c r="L4289" s="197">
        <v>-220.20000000000073</v>
      </c>
      <c r="M4289" s="260" t="s">
        <v>239</v>
      </c>
      <c r="N4289" s="260" t="s">
        <v>514</v>
      </c>
    </row>
    <row r="4290" spans="1:14" ht="14.5" x14ac:dyDescent="0.35">
      <c r="A4290" s="260" t="s">
        <v>747</v>
      </c>
      <c r="B4290" s="190">
        <v>45990</v>
      </c>
      <c r="C4290" s="260" t="s">
        <v>754</v>
      </c>
      <c r="D4290" s="197">
        <v>100</v>
      </c>
      <c r="E4290" s="197">
        <v>8008</v>
      </c>
      <c r="F4290" s="197">
        <v>78.59</v>
      </c>
      <c r="G4290" s="190">
        <v>45989</v>
      </c>
      <c r="H4290" s="196">
        <v>1</v>
      </c>
      <c r="I4290" s="197">
        <v>7859</v>
      </c>
      <c r="J4290" s="197">
        <v>7859</v>
      </c>
      <c r="K4290" s="197">
        <v>120</v>
      </c>
      <c r="L4290" s="197">
        <v>-149</v>
      </c>
      <c r="M4290" s="260" t="s">
        <v>239</v>
      </c>
      <c r="N4290" s="260" t="s">
        <v>514</v>
      </c>
    </row>
    <row r="4291" spans="1:14" ht="14.5" x14ac:dyDescent="0.35">
      <c r="A4291" s="260" t="s">
        <v>747</v>
      </c>
      <c r="B4291" s="190">
        <v>45991</v>
      </c>
      <c r="C4291" s="260" t="s">
        <v>749</v>
      </c>
      <c r="D4291" s="197">
        <v>80</v>
      </c>
      <c r="E4291" s="197">
        <v>4004</v>
      </c>
      <c r="F4291" s="197">
        <v>48.21</v>
      </c>
      <c r="G4291" s="190">
        <v>45989</v>
      </c>
      <c r="H4291" s="196">
        <v>2</v>
      </c>
      <c r="I4291" s="197">
        <v>3856.8</v>
      </c>
      <c r="J4291" s="197">
        <v>3856.8</v>
      </c>
      <c r="K4291" s="197">
        <v>0</v>
      </c>
      <c r="L4291" s="197">
        <v>-147.19999999999982</v>
      </c>
      <c r="M4291" s="260" t="s">
        <v>239</v>
      </c>
      <c r="N4291" s="260" t="s">
        <v>514</v>
      </c>
    </row>
    <row r="4292" spans="1:14" ht="14.5" x14ac:dyDescent="0.35">
      <c r="A4292" s="260" t="s">
        <v>747</v>
      </c>
      <c r="B4292" s="190">
        <v>45991</v>
      </c>
      <c r="C4292" s="260" t="s">
        <v>752</v>
      </c>
      <c r="D4292" s="197">
        <v>30</v>
      </c>
      <c r="E4292" s="197">
        <v>5343</v>
      </c>
      <c r="F4292" s="197">
        <v>170.76</v>
      </c>
      <c r="G4292" s="190">
        <v>45989</v>
      </c>
      <c r="H4292" s="196">
        <v>2</v>
      </c>
      <c r="I4292" s="197">
        <v>5122.7999999999993</v>
      </c>
      <c r="J4292" s="197">
        <v>5122.7999999999993</v>
      </c>
      <c r="K4292" s="197">
        <v>0</v>
      </c>
      <c r="L4292" s="197">
        <v>-220.20000000000073</v>
      </c>
      <c r="M4292" s="260" t="s">
        <v>239</v>
      </c>
      <c r="N4292" s="260" t="s">
        <v>514</v>
      </c>
    </row>
    <row r="4293" spans="1:14" ht="14.5" x14ac:dyDescent="0.35">
      <c r="A4293" s="260" t="s">
        <v>747</v>
      </c>
      <c r="B4293" s="190">
        <v>45991</v>
      </c>
      <c r="C4293" s="260" t="s">
        <v>754</v>
      </c>
      <c r="D4293" s="197">
        <v>100</v>
      </c>
      <c r="E4293" s="197">
        <v>8008</v>
      </c>
      <c r="F4293" s="197">
        <v>78.59</v>
      </c>
      <c r="G4293" s="190">
        <v>45989</v>
      </c>
      <c r="H4293" s="196">
        <v>2</v>
      </c>
      <c r="I4293" s="197">
        <v>7859</v>
      </c>
      <c r="J4293" s="197">
        <v>7859</v>
      </c>
      <c r="K4293" s="197">
        <v>120</v>
      </c>
      <c r="L4293" s="197">
        <v>-149</v>
      </c>
      <c r="M4293" s="260" t="s">
        <v>239</v>
      </c>
      <c r="N4293" s="260" t="s">
        <v>514</v>
      </c>
    </row>
    <row r="4294" spans="1:14" ht="14.5" x14ac:dyDescent="0.35">
      <c r="A4294" s="260" t="s">
        <v>747</v>
      </c>
      <c r="B4294" s="190">
        <v>45992</v>
      </c>
      <c r="C4294" s="260" t="s">
        <v>749</v>
      </c>
      <c r="D4294" s="197">
        <v>80</v>
      </c>
      <c r="E4294" s="197">
        <v>4004</v>
      </c>
      <c r="F4294" s="197">
        <v>48</v>
      </c>
      <c r="G4294" s="190">
        <v>45992</v>
      </c>
      <c r="H4294" s="196">
        <v>0</v>
      </c>
      <c r="I4294" s="197">
        <v>3840</v>
      </c>
      <c r="J4294" s="197">
        <v>3840</v>
      </c>
      <c r="K4294" s="197">
        <v>0</v>
      </c>
      <c r="L4294" s="197">
        <v>-164</v>
      </c>
      <c r="M4294" s="260" t="s">
        <v>239</v>
      </c>
      <c r="N4294" s="260" t="s">
        <v>514</v>
      </c>
    </row>
    <row r="4295" spans="1:14" ht="14.5" x14ac:dyDescent="0.35">
      <c r="A4295" s="260" t="s">
        <v>747</v>
      </c>
      <c r="B4295" s="190">
        <v>45992</v>
      </c>
      <c r="C4295" s="260" t="s">
        <v>752</v>
      </c>
      <c r="D4295" s="197">
        <v>30</v>
      </c>
      <c r="E4295" s="197">
        <v>5343</v>
      </c>
      <c r="F4295" s="197">
        <v>170</v>
      </c>
      <c r="G4295" s="190">
        <v>45992</v>
      </c>
      <c r="H4295" s="196">
        <v>0</v>
      </c>
      <c r="I4295" s="197">
        <v>5100</v>
      </c>
      <c r="J4295" s="197">
        <v>5100</v>
      </c>
      <c r="K4295" s="197">
        <v>0</v>
      </c>
      <c r="L4295" s="197">
        <v>-243</v>
      </c>
      <c r="M4295" s="260" t="s">
        <v>239</v>
      </c>
      <c r="N4295" s="260" t="s">
        <v>514</v>
      </c>
    </row>
    <row r="4296" spans="1:14" ht="14.5" x14ac:dyDescent="0.35">
      <c r="A4296" s="260" t="s">
        <v>747</v>
      </c>
      <c r="B4296" s="190">
        <v>45992</v>
      </c>
      <c r="C4296" s="260" t="s">
        <v>754</v>
      </c>
      <c r="D4296" s="197">
        <v>100</v>
      </c>
      <c r="E4296" s="197">
        <v>8008</v>
      </c>
      <c r="F4296" s="197">
        <v>78.8</v>
      </c>
      <c r="G4296" s="190">
        <v>45992</v>
      </c>
      <c r="H4296" s="196">
        <v>0</v>
      </c>
      <c r="I4296" s="197">
        <v>7880</v>
      </c>
      <c r="J4296" s="197">
        <v>7880</v>
      </c>
      <c r="K4296" s="197">
        <v>120</v>
      </c>
      <c r="L4296" s="197">
        <v>-128</v>
      </c>
      <c r="M4296" s="260" t="s">
        <v>239</v>
      </c>
      <c r="N4296" s="260" t="s">
        <v>514</v>
      </c>
    </row>
    <row r="4297" spans="1:14" ht="14.5" x14ac:dyDescent="0.35">
      <c r="A4297" s="260" t="s">
        <v>747</v>
      </c>
      <c r="B4297" s="190">
        <v>45993</v>
      </c>
      <c r="C4297" s="260" t="s">
        <v>749</v>
      </c>
      <c r="D4297" s="197">
        <v>80</v>
      </c>
      <c r="E4297" s="197">
        <v>4004</v>
      </c>
      <c r="F4297" s="197">
        <v>47.98</v>
      </c>
      <c r="G4297" s="190">
        <v>45993</v>
      </c>
      <c r="H4297" s="196">
        <v>0</v>
      </c>
      <c r="I4297" s="197">
        <v>3838.3999999999996</v>
      </c>
      <c r="J4297" s="197">
        <v>3838.3999999999996</v>
      </c>
      <c r="K4297" s="197">
        <v>0</v>
      </c>
      <c r="L4297" s="197">
        <v>-165.60000000000036</v>
      </c>
      <c r="M4297" s="260" t="s">
        <v>239</v>
      </c>
      <c r="N4297" s="260" t="s">
        <v>514</v>
      </c>
    </row>
    <row r="4298" spans="1:14" ht="14.5" x14ac:dyDescent="0.35">
      <c r="A4298" s="260" t="s">
        <v>747</v>
      </c>
      <c r="B4298" s="190">
        <v>45993</v>
      </c>
      <c r="C4298" s="260" t="s">
        <v>752</v>
      </c>
      <c r="D4298" s="197">
        <v>30</v>
      </c>
      <c r="E4298" s="197">
        <v>5343</v>
      </c>
      <c r="F4298" s="197">
        <v>169.97</v>
      </c>
      <c r="G4298" s="190">
        <v>45993</v>
      </c>
      <c r="H4298" s="196">
        <v>0</v>
      </c>
      <c r="I4298" s="197">
        <v>5099.1000000000004</v>
      </c>
      <c r="J4298" s="197">
        <v>5099.1000000000004</v>
      </c>
      <c r="K4298" s="197">
        <v>0</v>
      </c>
      <c r="L4298" s="197">
        <v>-243.89999999999964</v>
      </c>
      <c r="M4298" s="260" t="s">
        <v>239</v>
      </c>
      <c r="N4298" s="260" t="s">
        <v>514</v>
      </c>
    </row>
    <row r="4299" spans="1:14" ht="14.5" x14ac:dyDescent="0.35">
      <c r="A4299" s="260" t="s">
        <v>747</v>
      </c>
      <c r="B4299" s="190">
        <v>45993</v>
      </c>
      <c r="C4299" s="260" t="s">
        <v>754</v>
      </c>
      <c r="D4299" s="197">
        <v>100</v>
      </c>
      <c r="E4299" s="197">
        <v>8008</v>
      </c>
      <c r="F4299" s="197">
        <v>78.77</v>
      </c>
      <c r="G4299" s="190">
        <v>45993</v>
      </c>
      <c r="H4299" s="196">
        <v>0</v>
      </c>
      <c r="I4299" s="197">
        <v>7877</v>
      </c>
      <c r="J4299" s="197">
        <v>7877</v>
      </c>
      <c r="K4299" s="197">
        <v>120</v>
      </c>
      <c r="L4299" s="197">
        <v>-131</v>
      </c>
      <c r="M4299" s="260" t="s">
        <v>239</v>
      </c>
      <c r="N4299" s="260" t="s">
        <v>514</v>
      </c>
    </row>
    <row r="4300" spans="1:14" ht="14.5" x14ac:dyDescent="0.35">
      <c r="A4300" s="260" t="s">
        <v>747</v>
      </c>
      <c r="B4300" s="190">
        <v>45994</v>
      </c>
      <c r="C4300" s="260" t="s">
        <v>749</v>
      </c>
      <c r="D4300" s="197">
        <v>80</v>
      </c>
      <c r="E4300" s="197">
        <v>4004</v>
      </c>
      <c r="F4300" s="197">
        <v>47.97</v>
      </c>
      <c r="G4300" s="190">
        <v>45994</v>
      </c>
      <c r="H4300" s="196">
        <v>0</v>
      </c>
      <c r="I4300" s="197">
        <v>3837.6</v>
      </c>
      <c r="J4300" s="197">
        <v>3837.6</v>
      </c>
      <c r="K4300" s="197">
        <v>0</v>
      </c>
      <c r="L4300" s="197">
        <v>-166.40000000000009</v>
      </c>
      <c r="M4300" s="260" t="s">
        <v>239</v>
      </c>
      <c r="N4300" s="260" t="s">
        <v>514</v>
      </c>
    </row>
    <row r="4301" spans="1:14" ht="14.5" x14ac:dyDescent="0.35">
      <c r="A4301" s="260" t="s">
        <v>747</v>
      </c>
      <c r="B4301" s="190">
        <v>45994</v>
      </c>
      <c r="C4301" s="260" t="s">
        <v>752</v>
      </c>
      <c r="D4301" s="197">
        <v>30</v>
      </c>
      <c r="E4301" s="197">
        <v>5343</v>
      </c>
      <c r="F4301" s="197">
        <v>169.93</v>
      </c>
      <c r="G4301" s="190">
        <v>45994</v>
      </c>
      <c r="H4301" s="196">
        <v>0</v>
      </c>
      <c r="I4301" s="197">
        <v>5097.9000000000005</v>
      </c>
      <c r="J4301" s="197">
        <v>5097.9000000000005</v>
      </c>
      <c r="K4301" s="197">
        <v>0</v>
      </c>
      <c r="L4301" s="197">
        <v>-245.09999999999945</v>
      </c>
      <c r="M4301" s="260" t="s">
        <v>239</v>
      </c>
      <c r="N4301" s="260" t="s">
        <v>514</v>
      </c>
    </row>
    <row r="4302" spans="1:14" ht="14.5" x14ac:dyDescent="0.35">
      <c r="A4302" s="260" t="s">
        <v>747</v>
      </c>
      <c r="B4302" s="190">
        <v>45994</v>
      </c>
      <c r="C4302" s="260" t="s">
        <v>754</v>
      </c>
      <c r="D4302" s="197">
        <v>100</v>
      </c>
      <c r="E4302" s="197">
        <v>8008</v>
      </c>
      <c r="F4302" s="197">
        <v>78.73</v>
      </c>
      <c r="G4302" s="190">
        <v>45994</v>
      </c>
      <c r="H4302" s="196">
        <v>0</v>
      </c>
      <c r="I4302" s="197">
        <v>7873</v>
      </c>
      <c r="J4302" s="197">
        <v>7873</v>
      </c>
      <c r="K4302" s="197">
        <v>120</v>
      </c>
      <c r="L4302" s="197">
        <v>-135</v>
      </c>
      <c r="M4302" s="260" t="s">
        <v>239</v>
      </c>
      <c r="N4302" s="260" t="s">
        <v>514</v>
      </c>
    </row>
    <row r="4303" spans="1:14" ht="14.5" x14ac:dyDescent="0.35">
      <c r="A4303" s="260" t="s">
        <v>747</v>
      </c>
      <c r="B4303" s="190">
        <v>45995</v>
      </c>
      <c r="C4303" s="260" t="s">
        <v>749</v>
      </c>
      <c r="D4303" s="197">
        <v>80</v>
      </c>
      <c r="E4303" s="197">
        <v>4004</v>
      </c>
      <c r="F4303" s="197">
        <v>47.95</v>
      </c>
      <c r="G4303" s="190">
        <v>45995</v>
      </c>
      <c r="H4303" s="196">
        <v>0</v>
      </c>
      <c r="I4303" s="197">
        <v>3836</v>
      </c>
      <c r="J4303" s="197">
        <v>3836</v>
      </c>
      <c r="K4303" s="197">
        <v>0</v>
      </c>
      <c r="L4303" s="197">
        <v>-168</v>
      </c>
      <c r="M4303" s="260" t="s">
        <v>239</v>
      </c>
      <c r="N4303" s="260" t="s">
        <v>514</v>
      </c>
    </row>
    <row r="4304" spans="1:14" ht="14.5" x14ac:dyDescent="0.35">
      <c r="A4304" s="260" t="s">
        <v>747</v>
      </c>
      <c r="B4304" s="190">
        <v>45995</v>
      </c>
      <c r="C4304" s="260" t="s">
        <v>752</v>
      </c>
      <c r="D4304" s="197">
        <v>30</v>
      </c>
      <c r="E4304" s="197">
        <v>5343</v>
      </c>
      <c r="F4304" s="197">
        <v>169.9</v>
      </c>
      <c r="G4304" s="190">
        <v>45995</v>
      </c>
      <c r="H4304" s="196">
        <v>0</v>
      </c>
      <c r="I4304" s="197">
        <v>5097</v>
      </c>
      <c r="J4304" s="197">
        <v>5097</v>
      </c>
      <c r="K4304" s="197">
        <v>0</v>
      </c>
      <c r="L4304" s="197">
        <v>-246</v>
      </c>
      <c r="M4304" s="260" t="s">
        <v>239</v>
      </c>
      <c r="N4304" s="260" t="s">
        <v>514</v>
      </c>
    </row>
    <row r="4305" spans="1:14" ht="14.5" x14ac:dyDescent="0.35">
      <c r="A4305" s="260" t="s">
        <v>747</v>
      </c>
      <c r="B4305" s="190">
        <v>45995</v>
      </c>
      <c r="C4305" s="260" t="s">
        <v>754</v>
      </c>
      <c r="D4305" s="197">
        <v>100</v>
      </c>
      <c r="E4305" s="197">
        <v>8008</v>
      </c>
      <c r="F4305" s="197">
        <v>78.7</v>
      </c>
      <c r="G4305" s="190">
        <v>45995</v>
      </c>
      <c r="H4305" s="196">
        <v>0</v>
      </c>
      <c r="I4305" s="197">
        <v>7870</v>
      </c>
      <c r="J4305" s="197">
        <v>7870</v>
      </c>
      <c r="K4305" s="197">
        <v>120</v>
      </c>
      <c r="L4305" s="197">
        <v>-138</v>
      </c>
      <c r="M4305" s="260" t="s">
        <v>239</v>
      </c>
      <c r="N4305" s="260" t="s">
        <v>514</v>
      </c>
    </row>
    <row r="4306" spans="1:14" ht="14.5" x14ac:dyDescent="0.35">
      <c r="A4306" s="260" t="s">
        <v>747</v>
      </c>
      <c r="B4306" s="190">
        <v>45996</v>
      </c>
      <c r="C4306" s="260" t="s">
        <v>749</v>
      </c>
      <c r="D4306" s="197">
        <v>80</v>
      </c>
      <c r="E4306" s="197">
        <v>4004</v>
      </c>
      <c r="F4306" s="197">
        <v>47.93</v>
      </c>
      <c r="G4306" s="190">
        <v>45996</v>
      </c>
      <c r="H4306" s="196">
        <v>0</v>
      </c>
      <c r="I4306" s="197">
        <v>3834.4</v>
      </c>
      <c r="J4306" s="197">
        <v>3834.4</v>
      </c>
      <c r="K4306" s="197">
        <v>0</v>
      </c>
      <c r="L4306" s="197">
        <v>-169.59999999999991</v>
      </c>
      <c r="M4306" s="260" t="s">
        <v>239</v>
      </c>
      <c r="N4306" s="260" t="s">
        <v>514</v>
      </c>
    </row>
    <row r="4307" spans="1:14" ht="14.5" x14ac:dyDescent="0.35">
      <c r="A4307" s="260" t="s">
        <v>747</v>
      </c>
      <c r="B4307" s="190">
        <v>45996</v>
      </c>
      <c r="C4307" s="260" t="s">
        <v>752</v>
      </c>
      <c r="D4307" s="197">
        <v>30</v>
      </c>
      <c r="E4307" s="197">
        <v>5343</v>
      </c>
      <c r="F4307" s="197">
        <v>169.87</v>
      </c>
      <c r="G4307" s="190">
        <v>45996</v>
      </c>
      <c r="H4307" s="196">
        <v>0</v>
      </c>
      <c r="I4307" s="197">
        <v>5096.1000000000004</v>
      </c>
      <c r="J4307" s="197">
        <v>5096.1000000000004</v>
      </c>
      <c r="K4307" s="197">
        <v>0</v>
      </c>
      <c r="L4307" s="197">
        <v>-246.89999999999964</v>
      </c>
      <c r="M4307" s="260" t="s">
        <v>239</v>
      </c>
      <c r="N4307" s="260" t="s">
        <v>514</v>
      </c>
    </row>
    <row r="4308" spans="1:14" ht="14.5" x14ac:dyDescent="0.35">
      <c r="A4308" s="260" t="s">
        <v>747</v>
      </c>
      <c r="B4308" s="190">
        <v>45996</v>
      </c>
      <c r="C4308" s="260" t="s">
        <v>754</v>
      </c>
      <c r="D4308" s="197">
        <v>100</v>
      </c>
      <c r="E4308" s="197">
        <v>8008</v>
      </c>
      <c r="F4308" s="197">
        <v>78.67</v>
      </c>
      <c r="G4308" s="190">
        <v>45996</v>
      </c>
      <c r="H4308" s="196">
        <v>0</v>
      </c>
      <c r="I4308" s="197">
        <v>7867</v>
      </c>
      <c r="J4308" s="197">
        <v>7867</v>
      </c>
      <c r="K4308" s="197">
        <v>120</v>
      </c>
      <c r="L4308" s="197">
        <v>-141</v>
      </c>
      <c r="M4308" s="260" t="s">
        <v>239</v>
      </c>
      <c r="N4308" s="260" t="s">
        <v>514</v>
      </c>
    </row>
    <row r="4309" spans="1:14" ht="14.5" x14ac:dyDescent="0.35">
      <c r="A4309" s="260" t="s">
        <v>747</v>
      </c>
      <c r="B4309" s="190">
        <v>45997</v>
      </c>
      <c r="C4309" s="260" t="s">
        <v>749</v>
      </c>
      <c r="D4309" s="197">
        <v>80</v>
      </c>
      <c r="E4309" s="197">
        <v>4004</v>
      </c>
      <c r="F4309" s="197">
        <v>47.93</v>
      </c>
      <c r="G4309" s="190">
        <v>45996</v>
      </c>
      <c r="H4309" s="196">
        <v>1</v>
      </c>
      <c r="I4309" s="197">
        <v>3834.4</v>
      </c>
      <c r="J4309" s="197">
        <v>3834.4</v>
      </c>
      <c r="K4309" s="197">
        <v>0</v>
      </c>
      <c r="L4309" s="197">
        <v>-169.59999999999991</v>
      </c>
      <c r="M4309" s="260" t="s">
        <v>239</v>
      </c>
      <c r="N4309" s="260" t="s">
        <v>514</v>
      </c>
    </row>
    <row r="4310" spans="1:14" ht="14.5" x14ac:dyDescent="0.35">
      <c r="A4310" s="260" t="s">
        <v>747</v>
      </c>
      <c r="B4310" s="190">
        <v>45997</v>
      </c>
      <c r="C4310" s="260" t="s">
        <v>752</v>
      </c>
      <c r="D4310" s="197">
        <v>30</v>
      </c>
      <c r="E4310" s="197">
        <v>5343</v>
      </c>
      <c r="F4310" s="197">
        <v>169.87</v>
      </c>
      <c r="G4310" s="190">
        <v>45996</v>
      </c>
      <c r="H4310" s="196">
        <v>1</v>
      </c>
      <c r="I4310" s="197">
        <v>5096.1000000000004</v>
      </c>
      <c r="J4310" s="197">
        <v>5096.1000000000004</v>
      </c>
      <c r="K4310" s="197">
        <v>0</v>
      </c>
      <c r="L4310" s="197">
        <v>-246.89999999999964</v>
      </c>
      <c r="M4310" s="260" t="s">
        <v>239</v>
      </c>
      <c r="N4310" s="260" t="s">
        <v>514</v>
      </c>
    </row>
    <row r="4311" spans="1:14" ht="14.5" x14ac:dyDescent="0.35">
      <c r="A4311" s="260" t="s">
        <v>747</v>
      </c>
      <c r="B4311" s="190">
        <v>45997</v>
      </c>
      <c r="C4311" s="260" t="s">
        <v>754</v>
      </c>
      <c r="D4311" s="197">
        <v>100</v>
      </c>
      <c r="E4311" s="197">
        <v>8008</v>
      </c>
      <c r="F4311" s="197">
        <v>78.67</v>
      </c>
      <c r="G4311" s="190">
        <v>45996</v>
      </c>
      <c r="H4311" s="196">
        <v>1</v>
      </c>
      <c r="I4311" s="197">
        <v>7867</v>
      </c>
      <c r="J4311" s="197">
        <v>7867</v>
      </c>
      <c r="K4311" s="197">
        <v>120</v>
      </c>
      <c r="L4311" s="197">
        <v>-141</v>
      </c>
      <c r="M4311" s="260" t="s">
        <v>239</v>
      </c>
      <c r="N4311" s="260" t="s">
        <v>514</v>
      </c>
    </row>
    <row r="4312" spans="1:14" ht="14.5" x14ac:dyDescent="0.35">
      <c r="A4312" s="260" t="s">
        <v>747</v>
      </c>
      <c r="B4312" s="190">
        <v>45998</v>
      </c>
      <c r="C4312" s="260" t="s">
        <v>749</v>
      </c>
      <c r="D4312" s="197">
        <v>80</v>
      </c>
      <c r="E4312" s="197">
        <v>4004</v>
      </c>
      <c r="F4312" s="197">
        <v>47.93</v>
      </c>
      <c r="G4312" s="190">
        <v>45996</v>
      </c>
      <c r="H4312" s="196">
        <v>2</v>
      </c>
      <c r="I4312" s="197">
        <v>3834.4</v>
      </c>
      <c r="J4312" s="197">
        <v>3834.4</v>
      </c>
      <c r="K4312" s="197">
        <v>0</v>
      </c>
      <c r="L4312" s="197">
        <v>-169.59999999999991</v>
      </c>
      <c r="M4312" s="260" t="s">
        <v>239</v>
      </c>
      <c r="N4312" s="260" t="s">
        <v>514</v>
      </c>
    </row>
    <row r="4313" spans="1:14" ht="14.5" x14ac:dyDescent="0.35">
      <c r="A4313" s="260" t="s">
        <v>747</v>
      </c>
      <c r="B4313" s="190">
        <v>45998</v>
      </c>
      <c r="C4313" s="260" t="s">
        <v>752</v>
      </c>
      <c r="D4313" s="197">
        <v>30</v>
      </c>
      <c r="E4313" s="197">
        <v>5343</v>
      </c>
      <c r="F4313" s="197">
        <v>169.87</v>
      </c>
      <c r="G4313" s="190">
        <v>45996</v>
      </c>
      <c r="H4313" s="196">
        <v>2</v>
      </c>
      <c r="I4313" s="197">
        <v>5096.1000000000004</v>
      </c>
      <c r="J4313" s="197">
        <v>5096.1000000000004</v>
      </c>
      <c r="K4313" s="197">
        <v>0</v>
      </c>
      <c r="L4313" s="197">
        <v>-246.89999999999964</v>
      </c>
      <c r="M4313" s="260" t="s">
        <v>239</v>
      </c>
      <c r="N4313" s="260" t="s">
        <v>514</v>
      </c>
    </row>
    <row r="4314" spans="1:14" ht="14.5" x14ac:dyDescent="0.35">
      <c r="A4314" s="260" t="s">
        <v>747</v>
      </c>
      <c r="B4314" s="190">
        <v>45998</v>
      </c>
      <c r="C4314" s="260" t="s">
        <v>754</v>
      </c>
      <c r="D4314" s="197">
        <v>100</v>
      </c>
      <c r="E4314" s="197">
        <v>8008</v>
      </c>
      <c r="F4314" s="197">
        <v>78.67</v>
      </c>
      <c r="G4314" s="190">
        <v>45996</v>
      </c>
      <c r="H4314" s="196">
        <v>2</v>
      </c>
      <c r="I4314" s="197">
        <v>7867</v>
      </c>
      <c r="J4314" s="197">
        <v>7867</v>
      </c>
      <c r="K4314" s="197">
        <v>120</v>
      </c>
      <c r="L4314" s="197">
        <v>-141</v>
      </c>
      <c r="M4314" s="260" t="s">
        <v>239</v>
      </c>
      <c r="N4314" s="260" t="s">
        <v>514</v>
      </c>
    </row>
    <row r="4315" spans="1:14" ht="14.5" x14ac:dyDescent="0.35">
      <c r="A4315" s="260" t="s">
        <v>747</v>
      </c>
      <c r="B4315" s="190">
        <v>45999</v>
      </c>
      <c r="C4315" s="260" t="s">
        <v>749</v>
      </c>
      <c r="D4315" s="197">
        <v>80</v>
      </c>
      <c r="E4315" s="197">
        <v>4004</v>
      </c>
      <c r="F4315" s="197">
        <v>47.88</v>
      </c>
      <c r="G4315" s="190">
        <v>45999</v>
      </c>
      <c r="H4315" s="196">
        <v>0</v>
      </c>
      <c r="I4315" s="197">
        <v>3830.4</v>
      </c>
      <c r="J4315" s="197">
        <v>3830.4</v>
      </c>
      <c r="K4315" s="197">
        <v>0</v>
      </c>
      <c r="L4315" s="197">
        <v>-173.59999999999991</v>
      </c>
      <c r="M4315" s="260" t="s">
        <v>239</v>
      </c>
      <c r="N4315" s="260" t="s">
        <v>514</v>
      </c>
    </row>
    <row r="4316" spans="1:14" ht="14.5" x14ac:dyDescent="0.35">
      <c r="A4316" s="260" t="s">
        <v>747</v>
      </c>
      <c r="B4316" s="190">
        <v>45999</v>
      </c>
      <c r="C4316" s="260" t="s">
        <v>752</v>
      </c>
      <c r="D4316" s="197">
        <v>30</v>
      </c>
      <c r="E4316" s="197">
        <v>5343</v>
      </c>
      <c r="F4316" s="197">
        <v>169.77</v>
      </c>
      <c r="G4316" s="190">
        <v>45999</v>
      </c>
      <c r="H4316" s="196">
        <v>0</v>
      </c>
      <c r="I4316" s="197">
        <v>5093.1000000000004</v>
      </c>
      <c r="J4316" s="197">
        <v>5093.1000000000004</v>
      </c>
      <c r="K4316" s="197">
        <v>0</v>
      </c>
      <c r="L4316" s="197">
        <v>-249.89999999999964</v>
      </c>
      <c r="M4316" s="260" t="s">
        <v>239</v>
      </c>
      <c r="N4316" s="260" t="s">
        <v>514</v>
      </c>
    </row>
    <row r="4317" spans="1:14" ht="14.5" x14ac:dyDescent="0.35">
      <c r="A4317" s="260" t="s">
        <v>747</v>
      </c>
      <c r="B4317" s="190">
        <v>45999</v>
      </c>
      <c r="C4317" s="260" t="s">
        <v>754</v>
      </c>
      <c r="D4317" s="197">
        <v>100</v>
      </c>
      <c r="E4317" s="197">
        <v>8008</v>
      </c>
      <c r="F4317" s="197">
        <v>78.569999999999993</v>
      </c>
      <c r="G4317" s="190">
        <v>45999</v>
      </c>
      <c r="H4317" s="196">
        <v>0</v>
      </c>
      <c r="I4317" s="197">
        <v>7856.9999999999991</v>
      </c>
      <c r="J4317" s="197">
        <v>7856.9999999999991</v>
      </c>
      <c r="K4317" s="197">
        <v>120</v>
      </c>
      <c r="L4317" s="197">
        <v>-151.00000000000091</v>
      </c>
      <c r="M4317" s="260" t="s">
        <v>239</v>
      </c>
      <c r="N4317" s="260" t="s">
        <v>514</v>
      </c>
    </row>
    <row r="4318" spans="1:14" ht="14.5" x14ac:dyDescent="0.35">
      <c r="A4318" s="260" t="s">
        <v>747</v>
      </c>
      <c r="B4318" s="190">
        <v>46000</v>
      </c>
      <c r="C4318" s="260" t="s">
        <v>749</v>
      </c>
      <c r="D4318" s="197">
        <v>80</v>
      </c>
      <c r="E4318" s="197">
        <v>4004</v>
      </c>
      <c r="F4318" s="197">
        <v>47.87</v>
      </c>
      <c r="G4318" s="190">
        <v>46000</v>
      </c>
      <c r="H4318" s="196">
        <v>0</v>
      </c>
      <c r="I4318" s="197">
        <v>3829.6</v>
      </c>
      <c r="J4318" s="197">
        <v>3829.6</v>
      </c>
      <c r="K4318" s="197">
        <v>0</v>
      </c>
      <c r="L4318" s="197">
        <v>-174.40000000000009</v>
      </c>
      <c r="M4318" s="260" t="s">
        <v>239</v>
      </c>
      <c r="N4318" s="260" t="s">
        <v>514</v>
      </c>
    </row>
    <row r="4319" spans="1:14" ht="14.5" x14ac:dyDescent="0.35">
      <c r="A4319" s="260" t="s">
        <v>747</v>
      </c>
      <c r="B4319" s="190">
        <v>46000</v>
      </c>
      <c r="C4319" s="260" t="s">
        <v>752</v>
      </c>
      <c r="D4319" s="197">
        <v>30</v>
      </c>
      <c r="E4319" s="197">
        <v>5343</v>
      </c>
      <c r="F4319" s="197">
        <v>169.73</v>
      </c>
      <c r="G4319" s="190">
        <v>46000</v>
      </c>
      <c r="H4319" s="196">
        <v>0</v>
      </c>
      <c r="I4319" s="197">
        <v>5091.8999999999996</v>
      </c>
      <c r="J4319" s="197">
        <v>5091.8999999999996</v>
      </c>
      <c r="K4319" s="197">
        <v>0</v>
      </c>
      <c r="L4319" s="197">
        <v>-251.10000000000036</v>
      </c>
      <c r="M4319" s="260" t="s">
        <v>239</v>
      </c>
      <c r="N4319" s="260" t="s">
        <v>514</v>
      </c>
    </row>
    <row r="4320" spans="1:14" ht="14.5" x14ac:dyDescent="0.35">
      <c r="A4320" s="260" t="s">
        <v>747</v>
      </c>
      <c r="B4320" s="190">
        <v>46000</v>
      </c>
      <c r="C4320" s="260" t="s">
        <v>754</v>
      </c>
      <c r="D4320" s="197">
        <v>100</v>
      </c>
      <c r="E4320" s="197">
        <v>8008</v>
      </c>
      <c r="F4320" s="197">
        <v>78.53</v>
      </c>
      <c r="G4320" s="190">
        <v>46000</v>
      </c>
      <c r="H4320" s="196">
        <v>0</v>
      </c>
      <c r="I4320" s="197">
        <v>7853</v>
      </c>
      <c r="J4320" s="197">
        <v>7853</v>
      </c>
      <c r="K4320" s="197">
        <v>120</v>
      </c>
      <c r="L4320" s="197">
        <v>-155</v>
      </c>
      <c r="M4320" s="260" t="s">
        <v>239</v>
      </c>
      <c r="N4320" s="260" t="s">
        <v>514</v>
      </c>
    </row>
    <row r="4321" spans="1:14" ht="14.5" x14ac:dyDescent="0.35">
      <c r="A4321" s="260" t="s">
        <v>747</v>
      </c>
      <c r="B4321" s="190">
        <v>46001</v>
      </c>
      <c r="C4321" s="260" t="s">
        <v>749</v>
      </c>
      <c r="D4321" s="197">
        <v>80</v>
      </c>
      <c r="E4321" s="197">
        <v>4004</v>
      </c>
      <c r="F4321" s="197">
        <v>47.85</v>
      </c>
      <c r="G4321" s="190">
        <v>46001</v>
      </c>
      <c r="H4321" s="196">
        <v>0</v>
      </c>
      <c r="I4321" s="197">
        <v>3828</v>
      </c>
      <c r="J4321" s="197">
        <v>3828</v>
      </c>
      <c r="K4321" s="197">
        <v>0</v>
      </c>
      <c r="L4321" s="197">
        <v>-176</v>
      </c>
      <c r="M4321" s="260" t="s">
        <v>239</v>
      </c>
      <c r="N4321" s="260" t="s">
        <v>514</v>
      </c>
    </row>
    <row r="4322" spans="1:14" ht="14.5" x14ac:dyDescent="0.35">
      <c r="A4322" s="260" t="s">
        <v>747</v>
      </c>
      <c r="B4322" s="190">
        <v>46001</v>
      </c>
      <c r="C4322" s="260" t="s">
        <v>752</v>
      </c>
      <c r="D4322" s="197">
        <v>30</v>
      </c>
      <c r="E4322" s="197">
        <v>5343</v>
      </c>
      <c r="F4322" s="197">
        <v>169.7</v>
      </c>
      <c r="G4322" s="190">
        <v>46001</v>
      </c>
      <c r="H4322" s="196">
        <v>0</v>
      </c>
      <c r="I4322" s="197">
        <v>5091</v>
      </c>
      <c r="J4322" s="197">
        <v>5091</v>
      </c>
      <c r="K4322" s="197">
        <v>0</v>
      </c>
      <c r="L4322" s="197">
        <v>-252</v>
      </c>
      <c r="M4322" s="260" t="s">
        <v>239</v>
      </c>
      <c r="N4322" s="260" t="s">
        <v>514</v>
      </c>
    </row>
    <row r="4323" spans="1:14" ht="14.5" x14ac:dyDescent="0.35">
      <c r="A4323" s="260" t="s">
        <v>747</v>
      </c>
      <c r="B4323" s="190">
        <v>46001</v>
      </c>
      <c r="C4323" s="260" t="s">
        <v>754</v>
      </c>
      <c r="D4323" s="197">
        <v>100</v>
      </c>
      <c r="E4323" s="197">
        <v>8008</v>
      </c>
      <c r="F4323" s="197">
        <v>78.5</v>
      </c>
      <c r="G4323" s="190">
        <v>46001</v>
      </c>
      <c r="H4323" s="196">
        <v>0</v>
      </c>
      <c r="I4323" s="197">
        <v>7850</v>
      </c>
      <c r="J4323" s="197">
        <v>7850</v>
      </c>
      <c r="K4323" s="197">
        <v>120</v>
      </c>
      <c r="L4323" s="197">
        <v>-158</v>
      </c>
      <c r="M4323" s="260" t="s">
        <v>239</v>
      </c>
      <c r="N4323" s="260" t="s">
        <v>514</v>
      </c>
    </row>
    <row r="4324" spans="1:14" ht="14.5" x14ac:dyDescent="0.35">
      <c r="A4324" s="260" t="s">
        <v>747</v>
      </c>
      <c r="B4324" s="190">
        <v>46002</v>
      </c>
      <c r="C4324" s="260" t="s">
        <v>749</v>
      </c>
      <c r="D4324" s="197">
        <v>80</v>
      </c>
      <c r="E4324" s="197">
        <v>4004</v>
      </c>
      <c r="F4324" s="197">
        <v>47.83</v>
      </c>
      <c r="G4324" s="190">
        <v>46002</v>
      </c>
      <c r="H4324" s="196">
        <v>0</v>
      </c>
      <c r="I4324" s="197">
        <v>3826.3999999999996</v>
      </c>
      <c r="J4324" s="197">
        <v>3826.3999999999996</v>
      </c>
      <c r="K4324" s="197">
        <v>0</v>
      </c>
      <c r="L4324" s="197">
        <v>-177.60000000000036</v>
      </c>
      <c r="M4324" s="260" t="s">
        <v>239</v>
      </c>
      <c r="N4324" s="260" t="s">
        <v>514</v>
      </c>
    </row>
    <row r="4325" spans="1:14" ht="14.5" x14ac:dyDescent="0.35">
      <c r="A4325" s="260" t="s">
        <v>747</v>
      </c>
      <c r="B4325" s="190">
        <v>46002</v>
      </c>
      <c r="C4325" s="260" t="s">
        <v>752</v>
      </c>
      <c r="D4325" s="197">
        <v>30</v>
      </c>
      <c r="E4325" s="197">
        <v>5343</v>
      </c>
      <c r="F4325" s="197">
        <v>169.67</v>
      </c>
      <c r="G4325" s="190">
        <v>46002</v>
      </c>
      <c r="H4325" s="196">
        <v>0</v>
      </c>
      <c r="I4325" s="197">
        <v>5090.0999999999995</v>
      </c>
      <c r="J4325" s="197">
        <v>5090.0999999999995</v>
      </c>
      <c r="K4325" s="197">
        <v>0</v>
      </c>
      <c r="L4325" s="197">
        <v>-252.90000000000055</v>
      </c>
      <c r="M4325" s="260" t="s">
        <v>239</v>
      </c>
      <c r="N4325" s="260" t="s">
        <v>514</v>
      </c>
    </row>
    <row r="4326" spans="1:14" ht="14.5" x14ac:dyDescent="0.35">
      <c r="A4326" s="260" t="s">
        <v>747</v>
      </c>
      <c r="B4326" s="190">
        <v>46002</v>
      </c>
      <c r="C4326" s="260" t="s">
        <v>754</v>
      </c>
      <c r="D4326" s="197">
        <v>100</v>
      </c>
      <c r="E4326" s="197">
        <v>8008</v>
      </c>
      <c r="F4326" s="197">
        <v>78.47</v>
      </c>
      <c r="G4326" s="190">
        <v>46002</v>
      </c>
      <c r="H4326" s="196">
        <v>0</v>
      </c>
      <c r="I4326" s="197">
        <v>7847</v>
      </c>
      <c r="J4326" s="197">
        <v>7847</v>
      </c>
      <c r="K4326" s="197">
        <v>120</v>
      </c>
      <c r="L4326" s="197">
        <v>-161</v>
      </c>
      <c r="M4326" s="260" t="s">
        <v>239</v>
      </c>
      <c r="N4326" s="260" t="s">
        <v>514</v>
      </c>
    </row>
    <row r="4327" spans="1:14" ht="14.5" x14ac:dyDescent="0.35">
      <c r="A4327" s="260" t="s">
        <v>747</v>
      </c>
      <c r="B4327" s="190">
        <v>46003</v>
      </c>
      <c r="C4327" s="260" t="s">
        <v>749</v>
      </c>
      <c r="D4327" s="197">
        <v>80</v>
      </c>
      <c r="E4327" s="197">
        <v>4004</v>
      </c>
      <c r="F4327" s="197">
        <v>47.82</v>
      </c>
      <c r="G4327" s="190">
        <v>46003</v>
      </c>
      <c r="H4327" s="196">
        <v>0</v>
      </c>
      <c r="I4327" s="197">
        <v>3825.6</v>
      </c>
      <c r="J4327" s="197">
        <v>3825.6</v>
      </c>
      <c r="K4327" s="197">
        <v>0</v>
      </c>
      <c r="L4327" s="197">
        <v>-178.40000000000009</v>
      </c>
      <c r="M4327" s="260" t="s">
        <v>239</v>
      </c>
      <c r="N4327" s="260" t="s">
        <v>514</v>
      </c>
    </row>
    <row r="4328" spans="1:14" ht="14.5" x14ac:dyDescent="0.35">
      <c r="A4328" s="260" t="s">
        <v>747</v>
      </c>
      <c r="B4328" s="190">
        <v>46003</v>
      </c>
      <c r="C4328" s="260" t="s">
        <v>752</v>
      </c>
      <c r="D4328" s="197">
        <v>30</v>
      </c>
      <c r="E4328" s="197">
        <v>5343</v>
      </c>
      <c r="F4328" s="197">
        <v>169.63</v>
      </c>
      <c r="G4328" s="190">
        <v>46003</v>
      </c>
      <c r="H4328" s="196">
        <v>0</v>
      </c>
      <c r="I4328" s="197">
        <v>5088.8999999999996</v>
      </c>
      <c r="J4328" s="197">
        <v>5088.8999999999996</v>
      </c>
      <c r="K4328" s="197">
        <v>0</v>
      </c>
      <c r="L4328" s="197">
        <v>-254.10000000000036</v>
      </c>
      <c r="M4328" s="260" t="s">
        <v>239</v>
      </c>
      <c r="N4328" s="260" t="s">
        <v>514</v>
      </c>
    </row>
    <row r="4329" spans="1:14" ht="14.5" x14ac:dyDescent="0.35">
      <c r="A4329" s="260" t="s">
        <v>747</v>
      </c>
      <c r="B4329" s="190">
        <v>46003</v>
      </c>
      <c r="C4329" s="260" t="s">
        <v>754</v>
      </c>
      <c r="D4329" s="197">
        <v>100</v>
      </c>
      <c r="E4329" s="197">
        <v>8008</v>
      </c>
      <c r="F4329" s="197">
        <v>78.430000000000007</v>
      </c>
      <c r="G4329" s="190">
        <v>46003</v>
      </c>
      <c r="H4329" s="196">
        <v>0</v>
      </c>
      <c r="I4329" s="197">
        <v>7843.0000000000009</v>
      </c>
      <c r="J4329" s="197">
        <v>7843.0000000000009</v>
      </c>
      <c r="K4329" s="197">
        <v>120</v>
      </c>
      <c r="L4329" s="197">
        <v>-164.99999999999909</v>
      </c>
      <c r="M4329" s="260" t="s">
        <v>239</v>
      </c>
      <c r="N4329" s="260" t="s">
        <v>514</v>
      </c>
    </row>
    <row r="4330" spans="1:14" ht="14.5" x14ac:dyDescent="0.35">
      <c r="A4330" s="260" t="s">
        <v>747</v>
      </c>
      <c r="B4330" s="190">
        <v>46004</v>
      </c>
      <c r="C4330" s="260" t="s">
        <v>749</v>
      </c>
      <c r="D4330" s="197">
        <v>80</v>
      </c>
      <c r="E4330" s="197">
        <v>4004</v>
      </c>
      <c r="F4330" s="197">
        <v>47.82</v>
      </c>
      <c r="G4330" s="190">
        <v>46003</v>
      </c>
      <c r="H4330" s="196">
        <v>1</v>
      </c>
      <c r="I4330" s="197">
        <v>3825.6</v>
      </c>
      <c r="J4330" s="197">
        <v>3825.6</v>
      </c>
      <c r="K4330" s="197">
        <v>0</v>
      </c>
      <c r="L4330" s="197">
        <v>-178.40000000000009</v>
      </c>
      <c r="M4330" s="260" t="s">
        <v>239</v>
      </c>
      <c r="N4330" s="260" t="s">
        <v>514</v>
      </c>
    </row>
    <row r="4331" spans="1:14" ht="14.5" x14ac:dyDescent="0.35">
      <c r="A4331" s="260" t="s">
        <v>747</v>
      </c>
      <c r="B4331" s="190">
        <v>46004</v>
      </c>
      <c r="C4331" s="260" t="s">
        <v>752</v>
      </c>
      <c r="D4331" s="197">
        <v>30</v>
      </c>
      <c r="E4331" s="197">
        <v>5343</v>
      </c>
      <c r="F4331" s="197">
        <v>169.63</v>
      </c>
      <c r="G4331" s="190">
        <v>46003</v>
      </c>
      <c r="H4331" s="196">
        <v>1</v>
      </c>
      <c r="I4331" s="197">
        <v>5088.8999999999996</v>
      </c>
      <c r="J4331" s="197">
        <v>5088.8999999999996</v>
      </c>
      <c r="K4331" s="197">
        <v>0</v>
      </c>
      <c r="L4331" s="197">
        <v>-254.10000000000036</v>
      </c>
      <c r="M4331" s="260" t="s">
        <v>239</v>
      </c>
      <c r="N4331" s="260" t="s">
        <v>514</v>
      </c>
    </row>
    <row r="4332" spans="1:14" ht="14.5" x14ac:dyDescent="0.35">
      <c r="A4332" s="260" t="s">
        <v>747</v>
      </c>
      <c r="B4332" s="190">
        <v>46004</v>
      </c>
      <c r="C4332" s="260" t="s">
        <v>754</v>
      </c>
      <c r="D4332" s="197">
        <v>100</v>
      </c>
      <c r="E4332" s="197">
        <v>8008</v>
      </c>
      <c r="F4332" s="197">
        <v>78.430000000000007</v>
      </c>
      <c r="G4332" s="190">
        <v>46003</v>
      </c>
      <c r="H4332" s="196">
        <v>1</v>
      </c>
      <c r="I4332" s="197">
        <v>7843.0000000000009</v>
      </c>
      <c r="J4332" s="197">
        <v>7843.0000000000009</v>
      </c>
      <c r="K4332" s="197">
        <v>120</v>
      </c>
      <c r="L4332" s="197">
        <v>-164.99999999999909</v>
      </c>
      <c r="M4332" s="260" t="s">
        <v>239</v>
      </c>
      <c r="N4332" s="260" t="s">
        <v>514</v>
      </c>
    </row>
    <row r="4333" spans="1:14" ht="14.5" x14ac:dyDescent="0.35">
      <c r="A4333" s="260" t="s">
        <v>747</v>
      </c>
      <c r="B4333" s="190">
        <v>46005</v>
      </c>
      <c r="C4333" s="260" t="s">
        <v>749</v>
      </c>
      <c r="D4333" s="197">
        <v>80</v>
      </c>
      <c r="E4333" s="197">
        <v>4004</v>
      </c>
      <c r="F4333" s="197">
        <v>47.82</v>
      </c>
      <c r="G4333" s="190">
        <v>46003</v>
      </c>
      <c r="H4333" s="196">
        <v>2</v>
      </c>
      <c r="I4333" s="197">
        <v>3825.6</v>
      </c>
      <c r="J4333" s="197">
        <v>3825.6</v>
      </c>
      <c r="K4333" s="197">
        <v>0</v>
      </c>
      <c r="L4333" s="197">
        <v>-178.40000000000009</v>
      </c>
      <c r="M4333" s="260" t="s">
        <v>239</v>
      </c>
      <c r="N4333" s="260" t="s">
        <v>514</v>
      </c>
    </row>
    <row r="4334" spans="1:14" ht="14.5" x14ac:dyDescent="0.35">
      <c r="A4334" s="260" t="s">
        <v>747</v>
      </c>
      <c r="B4334" s="190">
        <v>46005</v>
      </c>
      <c r="C4334" s="260" t="s">
        <v>752</v>
      </c>
      <c r="D4334" s="197">
        <v>30</v>
      </c>
      <c r="E4334" s="197">
        <v>5343</v>
      </c>
      <c r="F4334" s="197">
        <v>169.63</v>
      </c>
      <c r="G4334" s="190">
        <v>46003</v>
      </c>
      <c r="H4334" s="196">
        <v>2</v>
      </c>
      <c r="I4334" s="197">
        <v>5088.8999999999996</v>
      </c>
      <c r="J4334" s="197">
        <v>5088.8999999999996</v>
      </c>
      <c r="K4334" s="197">
        <v>0</v>
      </c>
      <c r="L4334" s="197">
        <v>-254.10000000000036</v>
      </c>
      <c r="M4334" s="260" t="s">
        <v>239</v>
      </c>
      <c r="N4334" s="260" t="s">
        <v>514</v>
      </c>
    </row>
    <row r="4335" spans="1:14" ht="14.5" x14ac:dyDescent="0.35">
      <c r="A4335" s="260" t="s">
        <v>747</v>
      </c>
      <c r="B4335" s="190">
        <v>46005</v>
      </c>
      <c r="C4335" s="260" t="s">
        <v>754</v>
      </c>
      <c r="D4335" s="197">
        <v>100</v>
      </c>
      <c r="E4335" s="197">
        <v>8008</v>
      </c>
      <c r="F4335" s="197">
        <v>78.430000000000007</v>
      </c>
      <c r="G4335" s="190">
        <v>46003</v>
      </c>
      <c r="H4335" s="196">
        <v>2</v>
      </c>
      <c r="I4335" s="197">
        <v>7843.0000000000009</v>
      </c>
      <c r="J4335" s="197">
        <v>7843.0000000000009</v>
      </c>
      <c r="K4335" s="197">
        <v>120</v>
      </c>
      <c r="L4335" s="197">
        <v>-164.99999999999909</v>
      </c>
      <c r="M4335" s="260" t="s">
        <v>239</v>
      </c>
      <c r="N4335" s="260" t="s">
        <v>514</v>
      </c>
    </row>
    <row r="4336" spans="1:14" ht="14.5" x14ac:dyDescent="0.35">
      <c r="A4336" s="260" t="s">
        <v>747</v>
      </c>
      <c r="B4336" s="190">
        <v>46006</v>
      </c>
      <c r="C4336" s="260" t="s">
        <v>749</v>
      </c>
      <c r="D4336" s="197">
        <v>80</v>
      </c>
      <c r="E4336" s="197">
        <v>4004</v>
      </c>
      <c r="F4336" s="197">
        <v>47.77</v>
      </c>
      <c r="G4336" s="190">
        <v>46006</v>
      </c>
      <c r="H4336" s="196">
        <v>0</v>
      </c>
      <c r="I4336" s="197">
        <v>3821.6000000000004</v>
      </c>
      <c r="J4336" s="197">
        <v>3821.6000000000004</v>
      </c>
      <c r="K4336" s="197">
        <v>0</v>
      </c>
      <c r="L4336" s="197">
        <v>-182.39999999999964</v>
      </c>
      <c r="M4336" s="260" t="s">
        <v>239</v>
      </c>
      <c r="N4336" s="260" t="s">
        <v>514</v>
      </c>
    </row>
    <row r="4337" spans="1:14" ht="14.5" x14ac:dyDescent="0.35">
      <c r="A4337" s="260" t="s">
        <v>747</v>
      </c>
      <c r="B4337" s="190">
        <v>46006</v>
      </c>
      <c r="C4337" s="260" t="s">
        <v>752</v>
      </c>
      <c r="D4337" s="197">
        <v>30</v>
      </c>
      <c r="E4337" s="197">
        <v>5343</v>
      </c>
      <c r="F4337" s="197">
        <v>169.53</v>
      </c>
      <c r="G4337" s="190">
        <v>46006</v>
      </c>
      <c r="H4337" s="196">
        <v>0</v>
      </c>
      <c r="I4337" s="197">
        <v>5085.8999999999996</v>
      </c>
      <c r="J4337" s="197">
        <v>5085.8999999999996</v>
      </c>
      <c r="K4337" s="197">
        <v>0</v>
      </c>
      <c r="L4337" s="197">
        <v>-257.10000000000036</v>
      </c>
      <c r="M4337" s="260" t="s">
        <v>239</v>
      </c>
      <c r="N4337" s="260" t="s">
        <v>514</v>
      </c>
    </row>
    <row r="4338" spans="1:14" ht="14.5" x14ac:dyDescent="0.35">
      <c r="A4338" s="260" t="s">
        <v>747</v>
      </c>
      <c r="B4338" s="190">
        <v>46006</v>
      </c>
      <c r="C4338" s="260" t="s">
        <v>754</v>
      </c>
      <c r="D4338" s="197">
        <v>100</v>
      </c>
      <c r="E4338" s="197">
        <v>8008</v>
      </c>
      <c r="F4338" s="197">
        <v>78.33</v>
      </c>
      <c r="G4338" s="190">
        <v>46006</v>
      </c>
      <c r="H4338" s="196">
        <v>0</v>
      </c>
      <c r="I4338" s="197">
        <v>7833</v>
      </c>
      <c r="J4338" s="197">
        <v>7833</v>
      </c>
      <c r="K4338" s="197">
        <v>0</v>
      </c>
      <c r="L4338" s="197">
        <v>-175</v>
      </c>
      <c r="M4338" s="260" t="s">
        <v>239</v>
      </c>
      <c r="N4338" s="260" t="s">
        <v>514</v>
      </c>
    </row>
    <row r="4339" spans="1:14" ht="14.5" x14ac:dyDescent="0.35">
      <c r="A4339" s="260" t="s">
        <v>747</v>
      </c>
      <c r="B4339" s="190">
        <v>46007</v>
      </c>
      <c r="C4339" s="260" t="s">
        <v>749</v>
      </c>
      <c r="D4339" s="197">
        <v>80</v>
      </c>
      <c r="E4339" s="197">
        <v>4004</v>
      </c>
      <c r="F4339" s="197">
        <v>47.75</v>
      </c>
      <c r="G4339" s="190">
        <v>46007</v>
      </c>
      <c r="H4339" s="196">
        <v>0</v>
      </c>
      <c r="I4339" s="197">
        <v>3820</v>
      </c>
      <c r="J4339" s="197">
        <v>3820</v>
      </c>
      <c r="K4339" s="197">
        <v>0</v>
      </c>
      <c r="L4339" s="197">
        <v>-184</v>
      </c>
      <c r="M4339" s="260" t="s">
        <v>239</v>
      </c>
      <c r="N4339" s="260" t="s">
        <v>514</v>
      </c>
    </row>
    <row r="4340" spans="1:14" ht="14.5" x14ac:dyDescent="0.35">
      <c r="A4340" s="260" t="s">
        <v>747</v>
      </c>
      <c r="B4340" s="190">
        <v>46007</v>
      </c>
      <c r="C4340" s="260" t="s">
        <v>752</v>
      </c>
      <c r="D4340" s="197">
        <v>30</v>
      </c>
      <c r="E4340" s="197">
        <v>5343</v>
      </c>
      <c r="F4340" s="197">
        <v>169.5</v>
      </c>
      <c r="G4340" s="190">
        <v>46007</v>
      </c>
      <c r="H4340" s="196">
        <v>0</v>
      </c>
      <c r="I4340" s="197">
        <v>5085</v>
      </c>
      <c r="J4340" s="197">
        <v>5085</v>
      </c>
      <c r="K4340" s="197">
        <v>0</v>
      </c>
      <c r="L4340" s="197">
        <v>-258</v>
      </c>
      <c r="M4340" s="260" t="s">
        <v>239</v>
      </c>
      <c r="N4340" s="260" t="s">
        <v>514</v>
      </c>
    </row>
    <row r="4341" spans="1:14" ht="14.5" x14ac:dyDescent="0.35">
      <c r="A4341" s="260" t="s">
        <v>747</v>
      </c>
      <c r="B4341" s="190">
        <v>46007</v>
      </c>
      <c r="C4341" s="260" t="s">
        <v>754</v>
      </c>
      <c r="D4341" s="197">
        <v>100</v>
      </c>
      <c r="E4341" s="197">
        <v>8008</v>
      </c>
      <c r="F4341" s="197">
        <v>78.3</v>
      </c>
      <c r="G4341" s="190">
        <v>46007</v>
      </c>
      <c r="H4341" s="196">
        <v>0</v>
      </c>
      <c r="I4341" s="197">
        <v>7830</v>
      </c>
      <c r="J4341" s="197">
        <v>7830</v>
      </c>
      <c r="K4341" s="197">
        <v>0</v>
      </c>
      <c r="L4341" s="197">
        <v>-178</v>
      </c>
      <c r="M4341" s="260" t="s">
        <v>239</v>
      </c>
      <c r="N4341" s="260" t="s">
        <v>514</v>
      </c>
    </row>
    <row r="4342" spans="1:14" ht="14.5" x14ac:dyDescent="0.35">
      <c r="A4342" s="260" t="s">
        <v>747</v>
      </c>
      <c r="B4342" s="190">
        <v>46008</v>
      </c>
      <c r="C4342" s="260" t="s">
        <v>749</v>
      </c>
      <c r="D4342" s="197">
        <v>80</v>
      </c>
      <c r="E4342" s="197">
        <v>4004</v>
      </c>
      <c r="F4342" s="197">
        <v>47.73</v>
      </c>
      <c r="G4342" s="190">
        <v>46008</v>
      </c>
      <c r="H4342" s="196">
        <v>0</v>
      </c>
      <c r="I4342" s="197">
        <v>3818.3999999999996</v>
      </c>
      <c r="J4342" s="197">
        <v>3818.3999999999996</v>
      </c>
      <c r="K4342" s="197">
        <v>0</v>
      </c>
      <c r="L4342" s="197">
        <v>-185.60000000000036</v>
      </c>
      <c r="M4342" s="260" t="s">
        <v>239</v>
      </c>
      <c r="N4342" s="260" t="s">
        <v>514</v>
      </c>
    </row>
    <row r="4343" spans="1:14" ht="14.5" x14ac:dyDescent="0.35">
      <c r="A4343" s="260" t="s">
        <v>747</v>
      </c>
      <c r="B4343" s="190">
        <v>46008</v>
      </c>
      <c r="C4343" s="260" t="s">
        <v>752</v>
      </c>
      <c r="D4343" s="197">
        <v>30</v>
      </c>
      <c r="E4343" s="197">
        <v>5343</v>
      </c>
      <c r="F4343" s="197">
        <v>169.47</v>
      </c>
      <c r="G4343" s="190">
        <v>46008</v>
      </c>
      <c r="H4343" s="196">
        <v>0</v>
      </c>
      <c r="I4343" s="197">
        <v>5084.1000000000004</v>
      </c>
      <c r="J4343" s="197">
        <v>5084.1000000000004</v>
      </c>
      <c r="K4343" s="197">
        <v>0</v>
      </c>
      <c r="L4343" s="197">
        <v>-258.89999999999964</v>
      </c>
      <c r="M4343" s="260" t="s">
        <v>239</v>
      </c>
      <c r="N4343" s="260" t="s">
        <v>514</v>
      </c>
    </row>
    <row r="4344" spans="1:14" ht="14.5" x14ac:dyDescent="0.35">
      <c r="A4344" s="260" t="s">
        <v>747</v>
      </c>
      <c r="B4344" s="190">
        <v>46008</v>
      </c>
      <c r="C4344" s="260" t="s">
        <v>754</v>
      </c>
      <c r="D4344" s="197">
        <v>100</v>
      </c>
      <c r="E4344" s="197">
        <v>8008</v>
      </c>
      <c r="F4344" s="197">
        <v>78.27</v>
      </c>
      <c r="G4344" s="190">
        <v>46008</v>
      </c>
      <c r="H4344" s="196">
        <v>0</v>
      </c>
      <c r="I4344" s="197">
        <v>7827</v>
      </c>
      <c r="J4344" s="197">
        <v>7827</v>
      </c>
      <c r="K4344" s="197">
        <v>0</v>
      </c>
      <c r="L4344" s="197">
        <v>-181</v>
      </c>
      <c r="M4344" s="260" t="s">
        <v>239</v>
      </c>
      <c r="N4344" s="260" t="s">
        <v>514</v>
      </c>
    </row>
    <row r="4345" spans="1:14" ht="14.5" x14ac:dyDescent="0.35">
      <c r="A4345" s="260" t="s">
        <v>747</v>
      </c>
      <c r="B4345" s="190">
        <v>46009</v>
      </c>
      <c r="C4345" s="260" t="s">
        <v>749</v>
      </c>
      <c r="D4345" s="197">
        <v>80</v>
      </c>
      <c r="E4345" s="197">
        <v>4004</v>
      </c>
      <c r="F4345" s="197">
        <v>47.72</v>
      </c>
      <c r="G4345" s="190">
        <v>46009</v>
      </c>
      <c r="H4345" s="196">
        <v>0</v>
      </c>
      <c r="I4345" s="197">
        <v>3817.6</v>
      </c>
      <c r="J4345" s="197">
        <v>3817.6</v>
      </c>
      <c r="K4345" s="197">
        <v>0</v>
      </c>
      <c r="L4345" s="197">
        <v>-186.40000000000009</v>
      </c>
      <c r="M4345" s="260" t="s">
        <v>239</v>
      </c>
      <c r="N4345" s="260" t="s">
        <v>514</v>
      </c>
    </row>
    <row r="4346" spans="1:14" ht="14.5" x14ac:dyDescent="0.35">
      <c r="A4346" s="260" t="s">
        <v>747</v>
      </c>
      <c r="B4346" s="190">
        <v>46009</v>
      </c>
      <c r="C4346" s="260" t="s">
        <v>752</v>
      </c>
      <c r="D4346" s="197">
        <v>30</v>
      </c>
      <c r="E4346" s="197">
        <v>5343</v>
      </c>
      <c r="F4346" s="197">
        <v>169.43</v>
      </c>
      <c r="G4346" s="190">
        <v>46009</v>
      </c>
      <c r="H4346" s="196">
        <v>0</v>
      </c>
      <c r="I4346" s="197">
        <v>5082.9000000000005</v>
      </c>
      <c r="J4346" s="197">
        <v>5082.9000000000005</v>
      </c>
      <c r="K4346" s="197">
        <v>0</v>
      </c>
      <c r="L4346" s="197">
        <v>-260.09999999999945</v>
      </c>
      <c r="M4346" s="260" t="s">
        <v>239</v>
      </c>
      <c r="N4346" s="260" t="s">
        <v>514</v>
      </c>
    </row>
    <row r="4347" spans="1:14" ht="14.5" x14ac:dyDescent="0.35">
      <c r="A4347" s="260" t="s">
        <v>747</v>
      </c>
      <c r="B4347" s="190">
        <v>46009</v>
      </c>
      <c r="C4347" s="260" t="s">
        <v>754</v>
      </c>
      <c r="D4347" s="197">
        <v>100</v>
      </c>
      <c r="E4347" s="197">
        <v>8008</v>
      </c>
      <c r="F4347" s="197">
        <v>78.23</v>
      </c>
      <c r="G4347" s="190">
        <v>46009</v>
      </c>
      <c r="H4347" s="196">
        <v>0</v>
      </c>
      <c r="I4347" s="197">
        <v>7823</v>
      </c>
      <c r="J4347" s="197">
        <v>7823</v>
      </c>
      <c r="K4347" s="197">
        <v>0</v>
      </c>
      <c r="L4347" s="197">
        <v>-185</v>
      </c>
      <c r="M4347" s="260" t="s">
        <v>239</v>
      </c>
      <c r="N4347" s="260" t="s">
        <v>514</v>
      </c>
    </row>
    <row r="4348" spans="1:14" ht="14.5" x14ac:dyDescent="0.35">
      <c r="A4348" s="260" t="s">
        <v>747</v>
      </c>
      <c r="B4348" s="190">
        <v>46010</v>
      </c>
      <c r="C4348" s="260" t="s">
        <v>749</v>
      </c>
      <c r="D4348" s="197">
        <v>80</v>
      </c>
      <c r="E4348" s="197">
        <v>4004</v>
      </c>
      <c r="F4348" s="197">
        <v>47.7</v>
      </c>
      <c r="G4348" s="190">
        <v>46010</v>
      </c>
      <c r="H4348" s="196">
        <v>0</v>
      </c>
      <c r="I4348" s="197">
        <v>3816</v>
      </c>
      <c r="J4348" s="197">
        <v>3816</v>
      </c>
      <c r="K4348" s="197">
        <v>0</v>
      </c>
      <c r="L4348" s="197">
        <v>-188</v>
      </c>
      <c r="M4348" s="260" t="s">
        <v>239</v>
      </c>
      <c r="N4348" s="260" t="s">
        <v>514</v>
      </c>
    </row>
    <row r="4349" spans="1:14" ht="14.5" x14ac:dyDescent="0.35">
      <c r="A4349" s="260" t="s">
        <v>747</v>
      </c>
      <c r="B4349" s="190">
        <v>46010</v>
      </c>
      <c r="C4349" s="260" t="s">
        <v>752</v>
      </c>
      <c r="D4349" s="197">
        <v>30</v>
      </c>
      <c r="E4349" s="197">
        <v>5343</v>
      </c>
      <c r="F4349" s="197">
        <v>169.4</v>
      </c>
      <c r="G4349" s="190">
        <v>46010</v>
      </c>
      <c r="H4349" s="196">
        <v>0</v>
      </c>
      <c r="I4349" s="197">
        <v>5082</v>
      </c>
      <c r="J4349" s="197">
        <v>5082</v>
      </c>
      <c r="K4349" s="197">
        <v>0</v>
      </c>
      <c r="L4349" s="197">
        <v>-261</v>
      </c>
      <c r="M4349" s="260" t="s">
        <v>239</v>
      </c>
      <c r="N4349" s="260" t="s">
        <v>514</v>
      </c>
    </row>
    <row r="4350" spans="1:14" ht="14.5" x14ac:dyDescent="0.35">
      <c r="A4350" s="260" t="s">
        <v>747</v>
      </c>
      <c r="B4350" s="190">
        <v>46010</v>
      </c>
      <c r="C4350" s="260" t="s">
        <v>754</v>
      </c>
      <c r="D4350" s="197">
        <v>100</v>
      </c>
      <c r="E4350" s="197">
        <v>8008</v>
      </c>
      <c r="F4350" s="197">
        <v>78.2</v>
      </c>
      <c r="G4350" s="190">
        <v>46010</v>
      </c>
      <c r="H4350" s="196">
        <v>0</v>
      </c>
      <c r="I4350" s="197">
        <v>7820</v>
      </c>
      <c r="J4350" s="197">
        <v>7820</v>
      </c>
      <c r="K4350" s="197">
        <v>0</v>
      </c>
      <c r="L4350" s="197">
        <v>-188</v>
      </c>
      <c r="M4350" s="260" t="s">
        <v>239</v>
      </c>
      <c r="N4350" s="260" t="s">
        <v>514</v>
      </c>
    </row>
    <row r="4351" spans="1:14" ht="14.5" x14ac:dyDescent="0.35">
      <c r="A4351" s="260" t="s">
        <v>747</v>
      </c>
      <c r="B4351" s="190">
        <v>46011</v>
      </c>
      <c r="C4351" s="260" t="s">
        <v>749</v>
      </c>
      <c r="D4351" s="197">
        <v>80</v>
      </c>
      <c r="E4351" s="197">
        <v>4004</v>
      </c>
      <c r="F4351" s="197">
        <v>47.7</v>
      </c>
      <c r="G4351" s="190">
        <v>46010</v>
      </c>
      <c r="H4351" s="196">
        <v>1</v>
      </c>
      <c r="I4351" s="197">
        <v>3816</v>
      </c>
      <c r="J4351" s="197">
        <v>3816</v>
      </c>
      <c r="K4351" s="197">
        <v>0</v>
      </c>
      <c r="L4351" s="197">
        <v>-188</v>
      </c>
      <c r="M4351" s="260" t="s">
        <v>239</v>
      </c>
      <c r="N4351" s="260" t="s">
        <v>514</v>
      </c>
    </row>
    <row r="4352" spans="1:14" ht="14.5" x14ac:dyDescent="0.35">
      <c r="A4352" s="260" t="s">
        <v>747</v>
      </c>
      <c r="B4352" s="190">
        <v>46011</v>
      </c>
      <c r="C4352" s="260" t="s">
        <v>752</v>
      </c>
      <c r="D4352" s="197">
        <v>30</v>
      </c>
      <c r="E4352" s="197">
        <v>5343</v>
      </c>
      <c r="F4352" s="197">
        <v>169.4</v>
      </c>
      <c r="G4352" s="190">
        <v>46010</v>
      </c>
      <c r="H4352" s="196">
        <v>1</v>
      </c>
      <c r="I4352" s="197">
        <v>5082</v>
      </c>
      <c r="J4352" s="197">
        <v>5082</v>
      </c>
      <c r="K4352" s="197">
        <v>0</v>
      </c>
      <c r="L4352" s="197">
        <v>-261</v>
      </c>
      <c r="M4352" s="260" t="s">
        <v>239</v>
      </c>
      <c r="N4352" s="260" t="s">
        <v>514</v>
      </c>
    </row>
    <row r="4353" spans="1:14" ht="14.5" x14ac:dyDescent="0.35">
      <c r="A4353" s="260" t="s">
        <v>747</v>
      </c>
      <c r="B4353" s="190">
        <v>46011</v>
      </c>
      <c r="C4353" s="260" t="s">
        <v>754</v>
      </c>
      <c r="D4353" s="197">
        <v>100</v>
      </c>
      <c r="E4353" s="197">
        <v>8008</v>
      </c>
      <c r="F4353" s="197">
        <v>78.2</v>
      </c>
      <c r="G4353" s="190">
        <v>46010</v>
      </c>
      <c r="H4353" s="196">
        <v>1</v>
      </c>
      <c r="I4353" s="197">
        <v>7820</v>
      </c>
      <c r="J4353" s="197">
        <v>7820</v>
      </c>
      <c r="K4353" s="197">
        <v>0</v>
      </c>
      <c r="L4353" s="197">
        <v>-188</v>
      </c>
      <c r="M4353" s="260" t="s">
        <v>239</v>
      </c>
      <c r="N4353" s="260" t="s">
        <v>514</v>
      </c>
    </row>
    <row r="4354" spans="1:14" ht="14.5" x14ac:dyDescent="0.35">
      <c r="A4354" s="260" t="s">
        <v>747</v>
      </c>
      <c r="B4354" s="190">
        <v>46012</v>
      </c>
      <c r="C4354" s="260" t="s">
        <v>749</v>
      </c>
      <c r="D4354" s="197">
        <v>80</v>
      </c>
      <c r="E4354" s="197">
        <v>4004</v>
      </c>
      <c r="F4354" s="197">
        <v>47.7</v>
      </c>
      <c r="G4354" s="190">
        <v>46010</v>
      </c>
      <c r="H4354" s="196">
        <v>2</v>
      </c>
      <c r="I4354" s="197">
        <v>3816</v>
      </c>
      <c r="J4354" s="197">
        <v>3816</v>
      </c>
      <c r="K4354" s="197">
        <v>0</v>
      </c>
      <c r="L4354" s="197">
        <v>-188</v>
      </c>
      <c r="M4354" s="260" t="s">
        <v>239</v>
      </c>
      <c r="N4354" s="260" t="s">
        <v>514</v>
      </c>
    </row>
    <row r="4355" spans="1:14" ht="14.5" x14ac:dyDescent="0.35">
      <c r="A4355" s="260" t="s">
        <v>747</v>
      </c>
      <c r="B4355" s="190">
        <v>46012</v>
      </c>
      <c r="C4355" s="260" t="s">
        <v>752</v>
      </c>
      <c r="D4355" s="197">
        <v>30</v>
      </c>
      <c r="E4355" s="197">
        <v>5343</v>
      </c>
      <c r="F4355" s="197">
        <v>169.4</v>
      </c>
      <c r="G4355" s="190">
        <v>46010</v>
      </c>
      <c r="H4355" s="196">
        <v>2</v>
      </c>
      <c r="I4355" s="197">
        <v>5082</v>
      </c>
      <c r="J4355" s="197">
        <v>5082</v>
      </c>
      <c r="K4355" s="197">
        <v>0</v>
      </c>
      <c r="L4355" s="197">
        <v>-261</v>
      </c>
      <c r="M4355" s="260" t="s">
        <v>239</v>
      </c>
      <c r="N4355" s="260" t="s">
        <v>514</v>
      </c>
    </row>
    <row r="4356" spans="1:14" ht="14.5" x14ac:dyDescent="0.35">
      <c r="A4356" s="260" t="s">
        <v>747</v>
      </c>
      <c r="B4356" s="190">
        <v>46012</v>
      </c>
      <c r="C4356" s="260" t="s">
        <v>754</v>
      </c>
      <c r="D4356" s="197">
        <v>100</v>
      </c>
      <c r="E4356" s="197">
        <v>8008</v>
      </c>
      <c r="F4356" s="197">
        <v>78.2</v>
      </c>
      <c r="G4356" s="190">
        <v>46010</v>
      </c>
      <c r="H4356" s="196">
        <v>2</v>
      </c>
      <c r="I4356" s="197">
        <v>7820</v>
      </c>
      <c r="J4356" s="197">
        <v>7820</v>
      </c>
      <c r="K4356" s="197">
        <v>0</v>
      </c>
      <c r="L4356" s="197">
        <v>-188</v>
      </c>
      <c r="M4356" s="260" t="s">
        <v>239</v>
      </c>
      <c r="N4356" s="260" t="s">
        <v>514</v>
      </c>
    </row>
    <row r="4357" spans="1:14" ht="14.5" x14ac:dyDescent="0.35">
      <c r="A4357" s="260" t="s">
        <v>747</v>
      </c>
      <c r="B4357" s="190">
        <v>46013</v>
      </c>
      <c r="C4357" s="260" t="s">
        <v>749</v>
      </c>
      <c r="D4357" s="197">
        <v>80</v>
      </c>
      <c r="E4357" s="197">
        <v>4004</v>
      </c>
      <c r="F4357" s="197">
        <v>47.65</v>
      </c>
      <c r="G4357" s="190">
        <v>46013</v>
      </c>
      <c r="H4357" s="196">
        <v>0</v>
      </c>
      <c r="I4357" s="197">
        <v>3812</v>
      </c>
      <c r="J4357" s="197">
        <v>3812</v>
      </c>
      <c r="K4357" s="197">
        <v>0</v>
      </c>
      <c r="L4357" s="197">
        <v>-192</v>
      </c>
      <c r="M4357" s="260" t="s">
        <v>239</v>
      </c>
      <c r="N4357" s="260" t="s">
        <v>514</v>
      </c>
    </row>
    <row r="4358" spans="1:14" ht="14.5" x14ac:dyDescent="0.35">
      <c r="A4358" s="260" t="s">
        <v>747</v>
      </c>
      <c r="B4358" s="190">
        <v>46013</v>
      </c>
      <c r="C4358" s="260" t="s">
        <v>752</v>
      </c>
      <c r="D4358" s="197">
        <v>30</v>
      </c>
      <c r="E4358" s="197">
        <v>5343</v>
      </c>
      <c r="F4358" s="197">
        <v>169.3</v>
      </c>
      <c r="G4358" s="190">
        <v>46013</v>
      </c>
      <c r="H4358" s="196">
        <v>0</v>
      </c>
      <c r="I4358" s="197">
        <v>5079</v>
      </c>
      <c r="J4358" s="197">
        <v>5079</v>
      </c>
      <c r="K4358" s="197">
        <v>0</v>
      </c>
      <c r="L4358" s="197">
        <v>-264</v>
      </c>
      <c r="M4358" s="260" t="s">
        <v>239</v>
      </c>
      <c r="N4358" s="260" t="s">
        <v>514</v>
      </c>
    </row>
    <row r="4359" spans="1:14" ht="14.5" x14ac:dyDescent="0.35">
      <c r="A4359" s="260" t="s">
        <v>747</v>
      </c>
      <c r="B4359" s="190">
        <v>46013</v>
      </c>
      <c r="C4359" s="260" t="s">
        <v>754</v>
      </c>
      <c r="D4359" s="197">
        <v>100</v>
      </c>
      <c r="E4359" s="197">
        <v>8008</v>
      </c>
      <c r="F4359" s="197">
        <v>78.099999999999994</v>
      </c>
      <c r="G4359" s="190">
        <v>46013</v>
      </c>
      <c r="H4359" s="196">
        <v>0</v>
      </c>
      <c r="I4359" s="197">
        <v>7809.9999999999991</v>
      </c>
      <c r="J4359" s="197">
        <v>7809.9999999999991</v>
      </c>
      <c r="K4359" s="197">
        <v>0</v>
      </c>
      <c r="L4359" s="197">
        <v>-198.00000000000091</v>
      </c>
      <c r="M4359" s="260" t="s">
        <v>239</v>
      </c>
      <c r="N4359" s="260" t="s">
        <v>514</v>
      </c>
    </row>
    <row r="4360" spans="1:14" ht="14.5" x14ac:dyDescent="0.35">
      <c r="A4360" s="260" t="s">
        <v>747</v>
      </c>
      <c r="B4360" s="190">
        <v>46014</v>
      </c>
      <c r="C4360" s="260" t="s">
        <v>749</v>
      </c>
      <c r="D4360" s="197">
        <v>80</v>
      </c>
      <c r="E4360" s="197">
        <v>4004</v>
      </c>
      <c r="F4360" s="197">
        <v>47.63</v>
      </c>
      <c r="G4360" s="190">
        <v>46014</v>
      </c>
      <c r="H4360" s="196">
        <v>0</v>
      </c>
      <c r="I4360" s="197">
        <v>3810.4</v>
      </c>
      <c r="J4360" s="197">
        <v>3810.4</v>
      </c>
      <c r="K4360" s="197">
        <v>0</v>
      </c>
      <c r="L4360" s="197">
        <v>-193.59999999999991</v>
      </c>
      <c r="M4360" s="260" t="s">
        <v>239</v>
      </c>
      <c r="N4360" s="260" t="s">
        <v>514</v>
      </c>
    </row>
    <row r="4361" spans="1:14" ht="14.5" x14ac:dyDescent="0.35">
      <c r="A4361" s="260" t="s">
        <v>747</v>
      </c>
      <c r="B4361" s="190">
        <v>46014</v>
      </c>
      <c r="C4361" s="260" t="s">
        <v>752</v>
      </c>
      <c r="D4361" s="197">
        <v>30</v>
      </c>
      <c r="E4361" s="197">
        <v>5343</v>
      </c>
      <c r="F4361" s="197">
        <v>169.27</v>
      </c>
      <c r="G4361" s="190">
        <v>46014</v>
      </c>
      <c r="H4361" s="196">
        <v>0</v>
      </c>
      <c r="I4361" s="197">
        <v>5078.1000000000004</v>
      </c>
      <c r="J4361" s="197">
        <v>5078.1000000000004</v>
      </c>
      <c r="K4361" s="197">
        <v>0</v>
      </c>
      <c r="L4361" s="197">
        <v>-264.89999999999964</v>
      </c>
      <c r="M4361" s="260" t="s">
        <v>239</v>
      </c>
      <c r="N4361" s="260" t="s">
        <v>514</v>
      </c>
    </row>
    <row r="4362" spans="1:14" ht="14.5" x14ac:dyDescent="0.35">
      <c r="A4362" s="260" t="s">
        <v>747</v>
      </c>
      <c r="B4362" s="190">
        <v>46014</v>
      </c>
      <c r="C4362" s="260" t="s">
        <v>754</v>
      </c>
      <c r="D4362" s="197">
        <v>100</v>
      </c>
      <c r="E4362" s="197">
        <v>8008</v>
      </c>
      <c r="F4362" s="197">
        <v>78.069999999999993</v>
      </c>
      <c r="G4362" s="190">
        <v>46014</v>
      </c>
      <c r="H4362" s="196">
        <v>0</v>
      </c>
      <c r="I4362" s="197">
        <v>7806.9999999999991</v>
      </c>
      <c r="J4362" s="197">
        <v>7806.9999999999991</v>
      </c>
      <c r="K4362" s="197">
        <v>0</v>
      </c>
      <c r="L4362" s="197">
        <v>-201.00000000000091</v>
      </c>
      <c r="M4362" s="260" t="s">
        <v>239</v>
      </c>
      <c r="N4362" s="260" t="s">
        <v>514</v>
      </c>
    </row>
    <row r="4363" spans="1:14" ht="14.5" x14ac:dyDescent="0.35">
      <c r="A4363" s="260" t="s">
        <v>747</v>
      </c>
      <c r="B4363" s="190">
        <v>46015</v>
      </c>
      <c r="C4363" s="260" t="s">
        <v>749</v>
      </c>
      <c r="D4363" s="197">
        <v>80</v>
      </c>
      <c r="E4363" s="197">
        <v>4004</v>
      </c>
      <c r="F4363" s="197">
        <v>47.62</v>
      </c>
      <c r="G4363" s="190">
        <v>46015</v>
      </c>
      <c r="H4363" s="196">
        <v>0</v>
      </c>
      <c r="I4363" s="197">
        <v>3809.6</v>
      </c>
      <c r="J4363" s="197">
        <v>3809.6</v>
      </c>
      <c r="K4363" s="197">
        <v>0</v>
      </c>
      <c r="L4363" s="197">
        <v>-194.40000000000009</v>
      </c>
      <c r="M4363" s="260" t="s">
        <v>239</v>
      </c>
      <c r="N4363" s="260" t="s">
        <v>514</v>
      </c>
    </row>
    <row r="4364" spans="1:14" ht="14.5" x14ac:dyDescent="0.35">
      <c r="A4364" s="260" t="s">
        <v>747</v>
      </c>
      <c r="B4364" s="190">
        <v>46015</v>
      </c>
      <c r="C4364" s="260" t="s">
        <v>752</v>
      </c>
      <c r="D4364" s="197">
        <v>30</v>
      </c>
      <c r="E4364" s="197">
        <v>5343</v>
      </c>
      <c r="F4364" s="197">
        <v>169.23</v>
      </c>
      <c r="G4364" s="190">
        <v>46015</v>
      </c>
      <c r="H4364" s="196">
        <v>0</v>
      </c>
      <c r="I4364" s="197">
        <v>5076.8999999999996</v>
      </c>
      <c r="J4364" s="197">
        <v>5076.8999999999996</v>
      </c>
      <c r="K4364" s="197">
        <v>0</v>
      </c>
      <c r="L4364" s="197">
        <v>-266.10000000000036</v>
      </c>
      <c r="M4364" s="260" t="s">
        <v>239</v>
      </c>
      <c r="N4364" s="260" t="s">
        <v>514</v>
      </c>
    </row>
    <row r="4365" spans="1:14" ht="14.5" x14ac:dyDescent="0.35">
      <c r="A4365" s="260" t="s">
        <v>747</v>
      </c>
      <c r="B4365" s="190">
        <v>46015</v>
      </c>
      <c r="C4365" s="260" t="s">
        <v>754</v>
      </c>
      <c r="D4365" s="197">
        <v>100</v>
      </c>
      <c r="E4365" s="197">
        <v>8008</v>
      </c>
      <c r="F4365" s="197">
        <v>78.03</v>
      </c>
      <c r="G4365" s="190">
        <v>46015</v>
      </c>
      <c r="H4365" s="196">
        <v>0</v>
      </c>
      <c r="I4365" s="197">
        <v>7803</v>
      </c>
      <c r="J4365" s="197">
        <v>7803</v>
      </c>
      <c r="K4365" s="197">
        <v>0</v>
      </c>
      <c r="L4365" s="197">
        <v>-205</v>
      </c>
      <c r="M4365" s="260" t="s">
        <v>239</v>
      </c>
      <c r="N4365" s="260" t="s">
        <v>514</v>
      </c>
    </row>
    <row r="4366" spans="1:14" ht="14.5" x14ac:dyDescent="0.35">
      <c r="A4366" s="260" t="s">
        <v>747</v>
      </c>
      <c r="B4366" s="190">
        <v>46016</v>
      </c>
      <c r="C4366" s="260" t="s">
        <v>749</v>
      </c>
      <c r="D4366" s="197">
        <v>80</v>
      </c>
      <c r="E4366" s="197">
        <v>4004</v>
      </c>
      <c r="F4366" s="197">
        <v>47.6</v>
      </c>
      <c r="G4366" s="190">
        <v>46016</v>
      </c>
      <c r="H4366" s="196">
        <v>0</v>
      </c>
      <c r="I4366" s="197">
        <v>3808</v>
      </c>
      <c r="J4366" s="197">
        <v>3808</v>
      </c>
      <c r="K4366" s="197">
        <v>0</v>
      </c>
      <c r="L4366" s="197">
        <v>-196</v>
      </c>
      <c r="M4366" s="260" t="s">
        <v>239</v>
      </c>
      <c r="N4366" s="260" t="s">
        <v>514</v>
      </c>
    </row>
    <row r="4367" spans="1:14" ht="14.5" x14ac:dyDescent="0.35">
      <c r="A4367" s="260" t="s">
        <v>747</v>
      </c>
      <c r="B4367" s="190">
        <v>46016</v>
      </c>
      <c r="C4367" s="260" t="s">
        <v>752</v>
      </c>
      <c r="D4367" s="197">
        <v>30</v>
      </c>
      <c r="E4367" s="197">
        <v>5343</v>
      </c>
      <c r="F4367" s="197">
        <v>169.2</v>
      </c>
      <c r="G4367" s="190">
        <v>46016</v>
      </c>
      <c r="H4367" s="196">
        <v>0</v>
      </c>
      <c r="I4367" s="197">
        <v>5076</v>
      </c>
      <c r="J4367" s="197">
        <v>5076</v>
      </c>
      <c r="K4367" s="197">
        <v>0</v>
      </c>
      <c r="L4367" s="197">
        <v>-267</v>
      </c>
      <c r="M4367" s="260" t="s">
        <v>239</v>
      </c>
      <c r="N4367" s="260" t="s">
        <v>514</v>
      </c>
    </row>
    <row r="4368" spans="1:14" ht="14.5" x14ac:dyDescent="0.35">
      <c r="A4368" s="260" t="s">
        <v>747</v>
      </c>
      <c r="B4368" s="190">
        <v>46016</v>
      </c>
      <c r="C4368" s="260" t="s">
        <v>754</v>
      </c>
      <c r="D4368" s="197">
        <v>100</v>
      </c>
      <c r="E4368" s="197">
        <v>8008</v>
      </c>
      <c r="F4368" s="197">
        <v>78</v>
      </c>
      <c r="G4368" s="190">
        <v>46016</v>
      </c>
      <c r="H4368" s="196">
        <v>0</v>
      </c>
      <c r="I4368" s="197">
        <v>7800</v>
      </c>
      <c r="J4368" s="197">
        <v>7800</v>
      </c>
      <c r="K4368" s="197">
        <v>0</v>
      </c>
      <c r="L4368" s="197">
        <v>-208</v>
      </c>
      <c r="M4368" s="260" t="s">
        <v>239</v>
      </c>
      <c r="N4368" s="260" t="s">
        <v>514</v>
      </c>
    </row>
    <row r="4369" spans="1:14" ht="14.5" x14ac:dyDescent="0.35">
      <c r="A4369" s="260" t="s">
        <v>747</v>
      </c>
      <c r="B4369" s="190">
        <v>46017</v>
      </c>
      <c r="C4369" s="260" t="s">
        <v>749</v>
      </c>
      <c r="D4369" s="197">
        <v>80</v>
      </c>
      <c r="E4369" s="197">
        <v>4004</v>
      </c>
      <c r="F4369" s="197">
        <v>47.58</v>
      </c>
      <c r="G4369" s="190">
        <v>46017</v>
      </c>
      <c r="H4369" s="196">
        <v>0</v>
      </c>
      <c r="I4369" s="197">
        <v>3806.3999999999996</v>
      </c>
      <c r="J4369" s="197">
        <v>3806.3999999999996</v>
      </c>
      <c r="K4369" s="197">
        <v>0</v>
      </c>
      <c r="L4369" s="197">
        <v>-197.60000000000036</v>
      </c>
      <c r="M4369" s="260" t="s">
        <v>239</v>
      </c>
      <c r="N4369" s="260" t="s">
        <v>514</v>
      </c>
    </row>
    <row r="4370" spans="1:14" ht="14.5" x14ac:dyDescent="0.35">
      <c r="A4370" s="260" t="s">
        <v>747</v>
      </c>
      <c r="B4370" s="190">
        <v>46017</v>
      </c>
      <c r="C4370" s="260" t="s">
        <v>752</v>
      </c>
      <c r="D4370" s="197">
        <v>30</v>
      </c>
      <c r="E4370" s="197">
        <v>5343</v>
      </c>
      <c r="F4370" s="197">
        <v>169.17</v>
      </c>
      <c r="G4370" s="190">
        <v>46017</v>
      </c>
      <c r="H4370" s="196">
        <v>0</v>
      </c>
      <c r="I4370" s="197">
        <v>5075.0999999999995</v>
      </c>
      <c r="J4370" s="197">
        <v>5075.0999999999995</v>
      </c>
      <c r="K4370" s="197">
        <v>0</v>
      </c>
      <c r="L4370" s="197">
        <v>-267.90000000000055</v>
      </c>
      <c r="M4370" s="260" t="s">
        <v>239</v>
      </c>
      <c r="N4370" s="260" t="s">
        <v>514</v>
      </c>
    </row>
    <row r="4371" spans="1:14" ht="14.5" x14ac:dyDescent="0.35">
      <c r="A4371" s="260" t="s">
        <v>747</v>
      </c>
      <c r="B4371" s="190">
        <v>46017</v>
      </c>
      <c r="C4371" s="260" t="s">
        <v>754</v>
      </c>
      <c r="D4371" s="197">
        <v>100</v>
      </c>
      <c r="E4371" s="197">
        <v>8008</v>
      </c>
      <c r="F4371" s="197">
        <v>77.97</v>
      </c>
      <c r="G4371" s="190">
        <v>46017</v>
      </c>
      <c r="H4371" s="196">
        <v>0</v>
      </c>
      <c r="I4371" s="197">
        <v>7797</v>
      </c>
      <c r="J4371" s="197">
        <v>7797</v>
      </c>
      <c r="K4371" s="197">
        <v>0</v>
      </c>
      <c r="L4371" s="197">
        <v>-211</v>
      </c>
      <c r="M4371" s="260" t="s">
        <v>239</v>
      </c>
      <c r="N4371" s="260" t="s">
        <v>514</v>
      </c>
    </row>
    <row r="4372" spans="1:14" ht="14.5" x14ac:dyDescent="0.35">
      <c r="A4372" s="260" t="s">
        <v>747</v>
      </c>
      <c r="B4372" s="190">
        <v>46018</v>
      </c>
      <c r="C4372" s="260" t="s">
        <v>749</v>
      </c>
      <c r="D4372" s="197">
        <v>80</v>
      </c>
      <c r="E4372" s="197">
        <v>4004</v>
      </c>
      <c r="F4372" s="197">
        <v>47.58</v>
      </c>
      <c r="G4372" s="190">
        <v>46017</v>
      </c>
      <c r="H4372" s="196">
        <v>1</v>
      </c>
      <c r="I4372" s="197">
        <v>3806.3999999999996</v>
      </c>
      <c r="J4372" s="197">
        <v>3806.3999999999996</v>
      </c>
      <c r="K4372" s="197">
        <v>0</v>
      </c>
      <c r="L4372" s="197">
        <v>-197.60000000000036</v>
      </c>
      <c r="M4372" s="260" t="s">
        <v>239</v>
      </c>
      <c r="N4372" s="260" t="s">
        <v>514</v>
      </c>
    </row>
    <row r="4373" spans="1:14" ht="14.5" x14ac:dyDescent="0.35">
      <c r="A4373" s="260" t="s">
        <v>747</v>
      </c>
      <c r="B4373" s="190">
        <v>46018</v>
      </c>
      <c r="C4373" s="260" t="s">
        <v>752</v>
      </c>
      <c r="D4373" s="197">
        <v>30</v>
      </c>
      <c r="E4373" s="197">
        <v>5343</v>
      </c>
      <c r="F4373" s="197">
        <v>169.17</v>
      </c>
      <c r="G4373" s="190">
        <v>46017</v>
      </c>
      <c r="H4373" s="196">
        <v>1</v>
      </c>
      <c r="I4373" s="197">
        <v>5075.0999999999995</v>
      </c>
      <c r="J4373" s="197">
        <v>5075.0999999999995</v>
      </c>
      <c r="K4373" s="197">
        <v>0</v>
      </c>
      <c r="L4373" s="197">
        <v>-267.90000000000055</v>
      </c>
      <c r="M4373" s="260" t="s">
        <v>239</v>
      </c>
      <c r="N4373" s="260" t="s">
        <v>514</v>
      </c>
    </row>
    <row r="4374" spans="1:14" ht="14.5" x14ac:dyDescent="0.35">
      <c r="A4374" s="260" t="s">
        <v>747</v>
      </c>
      <c r="B4374" s="190">
        <v>46018</v>
      </c>
      <c r="C4374" s="260" t="s">
        <v>754</v>
      </c>
      <c r="D4374" s="197">
        <v>100</v>
      </c>
      <c r="E4374" s="197">
        <v>8008</v>
      </c>
      <c r="F4374" s="197">
        <v>77.97</v>
      </c>
      <c r="G4374" s="190">
        <v>46017</v>
      </c>
      <c r="H4374" s="196">
        <v>1</v>
      </c>
      <c r="I4374" s="197">
        <v>7797</v>
      </c>
      <c r="J4374" s="197">
        <v>7797</v>
      </c>
      <c r="K4374" s="197">
        <v>0</v>
      </c>
      <c r="L4374" s="197">
        <v>-211</v>
      </c>
      <c r="M4374" s="260" t="s">
        <v>239</v>
      </c>
      <c r="N4374" s="260" t="s">
        <v>514</v>
      </c>
    </row>
    <row r="4375" spans="1:14" ht="14.5" x14ac:dyDescent="0.35">
      <c r="A4375" s="260" t="s">
        <v>747</v>
      </c>
      <c r="B4375" s="190">
        <v>46019</v>
      </c>
      <c r="C4375" s="260" t="s">
        <v>749</v>
      </c>
      <c r="D4375" s="197">
        <v>80</v>
      </c>
      <c r="E4375" s="197">
        <v>4004</v>
      </c>
      <c r="F4375" s="197">
        <v>47.58</v>
      </c>
      <c r="G4375" s="190">
        <v>46017</v>
      </c>
      <c r="H4375" s="196">
        <v>2</v>
      </c>
      <c r="I4375" s="197">
        <v>3806.3999999999996</v>
      </c>
      <c r="J4375" s="197">
        <v>3806.3999999999996</v>
      </c>
      <c r="K4375" s="197">
        <v>0</v>
      </c>
      <c r="L4375" s="197">
        <v>-197.60000000000036</v>
      </c>
      <c r="M4375" s="260" t="s">
        <v>239</v>
      </c>
      <c r="N4375" s="260" t="s">
        <v>514</v>
      </c>
    </row>
    <row r="4376" spans="1:14" ht="14.5" x14ac:dyDescent="0.35">
      <c r="A4376" s="260" t="s">
        <v>747</v>
      </c>
      <c r="B4376" s="190">
        <v>46019</v>
      </c>
      <c r="C4376" s="260" t="s">
        <v>752</v>
      </c>
      <c r="D4376" s="197">
        <v>30</v>
      </c>
      <c r="E4376" s="197">
        <v>5343</v>
      </c>
      <c r="F4376" s="197">
        <v>169.17</v>
      </c>
      <c r="G4376" s="190">
        <v>46017</v>
      </c>
      <c r="H4376" s="196">
        <v>2</v>
      </c>
      <c r="I4376" s="197">
        <v>5075.0999999999995</v>
      </c>
      <c r="J4376" s="197">
        <v>5075.0999999999995</v>
      </c>
      <c r="K4376" s="197">
        <v>0</v>
      </c>
      <c r="L4376" s="197">
        <v>-267.90000000000055</v>
      </c>
      <c r="M4376" s="260" t="s">
        <v>239</v>
      </c>
      <c r="N4376" s="260" t="s">
        <v>514</v>
      </c>
    </row>
    <row r="4377" spans="1:14" ht="14.5" x14ac:dyDescent="0.35">
      <c r="A4377" s="260" t="s">
        <v>747</v>
      </c>
      <c r="B4377" s="190">
        <v>46019</v>
      </c>
      <c r="C4377" s="260" t="s">
        <v>754</v>
      </c>
      <c r="D4377" s="197">
        <v>100</v>
      </c>
      <c r="E4377" s="197">
        <v>8008</v>
      </c>
      <c r="F4377" s="197">
        <v>77.97</v>
      </c>
      <c r="G4377" s="190">
        <v>46017</v>
      </c>
      <c r="H4377" s="196">
        <v>2</v>
      </c>
      <c r="I4377" s="197">
        <v>7797</v>
      </c>
      <c r="J4377" s="197">
        <v>7797</v>
      </c>
      <c r="K4377" s="197">
        <v>0</v>
      </c>
      <c r="L4377" s="197">
        <v>-211</v>
      </c>
      <c r="M4377" s="260" t="s">
        <v>239</v>
      </c>
      <c r="N4377" s="260" t="s">
        <v>514</v>
      </c>
    </row>
    <row r="4378" spans="1:14" ht="14.5" x14ac:dyDescent="0.35">
      <c r="A4378" s="260" t="s">
        <v>747</v>
      </c>
      <c r="B4378" s="190">
        <v>46020</v>
      </c>
      <c r="C4378" s="260" t="s">
        <v>749</v>
      </c>
      <c r="D4378" s="197">
        <v>80</v>
      </c>
      <c r="E4378" s="197">
        <v>4004</v>
      </c>
      <c r="F4378" s="197">
        <v>47.53</v>
      </c>
      <c r="G4378" s="190">
        <v>46020</v>
      </c>
      <c r="H4378" s="196">
        <v>0</v>
      </c>
      <c r="I4378" s="197">
        <v>3802.4</v>
      </c>
      <c r="J4378" s="197">
        <v>3802.4</v>
      </c>
      <c r="K4378" s="197">
        <v>0</v>
      </c>
      <c r="L4378" s="197">
        <v>-201.59999999999991</v>
      </c>
      <c r="M4378" s="260" t="s">
        <v>239</v>
      </c>
      <c r="N4378" s="260" t="s">
        <v>514</v>
      </c>
    </row>
    <row r="4379" spans="1:14" ht="14.5" x14ac:dyDescent="0.35">
      <c r="A4379" s="260" t="s">
        <v>747</v>
      </c>
      <c r="B4379" s="190">
        <v>46020</v>
      </c>
      <c r="C4379" s="260" t="s">
        <v>752</v>
      </c>
      <c r="D4379" s="197">
        <v>30</v>
      </c>
      <c r="E4379" s="197">
        <v>5343</v>
      </c>
      <c r="F4379" s="197">
        <v>169.07</v>
      </c>
      <c r="G4379" s="190">
        <v>46020</v>
      </c>
      <c r="H4379" s="196">
        <v>0</v>
      </c>
      <c r="I4379" s="197">
        <v>5072.0999999999995</v>
      </c>
      <c r="J4379" s="197">
        <v>5072.0999999999995</v>
      </c>
      <c r="K4379" s="197">
        <v>0</v>
      </c>
      <c r="L4379" s="197">
        <v>-270.90000000000055</v>
      </c>
      <c r="M4379" s="260" t="s">
        <v>239</v>
      </c>
      <c r="N4379" s="260" t="s">
        <v>514</v>
      </c>
    </row>
    <row r="4380" spans="1:14" ht="14.5" x14ac:dyDescent="0.35">
      <c r="A4380" s="260" t="s">
        <v>747</v>
      </c>
      <c r="B4380" s="190">
        <v>46020</v>
      </c>
      <c r="C4380" s="260" t="s">
        <v>754</v>
      </c>
      <c r="D4380" s="197">
        <v>100</v>
      </c>
      <c r="E4380" s="197">
        <v>8008</v>
      </c>
      <c r="F4380" s="197">
        <v>77.87</v>
      </c>
      <c r="G4380" s="190">
        <v>46020</v>
      </c>
      <c r="H4380" s="196">
        <v>0</v>
      </c>
      <c r="I4380" s="197">
        <v>7787</v>
      </c>
      <c r="J4380" s="197">
        <v>7787</v>
      </c>
      <c r="K4380" s="197">
        <v>0</v>
      </c>
      <c r="L4380" s="197">
        <v>-221</v>
      </c>
      <c r="M4380" s="260" t="s">
        <v>239</v>
      </c>
      <c r="N4380" s="260" t="s">
        <v>514</v>
      </c>
    </row>
    <row r="4381" spans="1:14" ht="14.5" x14ac:dyDescent="0.35">
      <c r="A4381" s="260" t="s">
        <v>747</v>
      </c>
      <c r="B4381" s="190">
        <v>46021</v>
      </c>
      <c r="C4381" s="260" t="s">
        <v>749</v>
      </c>
      <c r="D4381" s="197">
        <v>80</v>
      </c>
      <c r="E4381" s="197">
        <v>4004</v>
      </c>
      <c r="F4381" s="197">
        <v>47.52</v>
      </c>
      <c r="G4381" s="190">
        <v>46021</v>
      </c>
      <c r="H4381" s="196">
        <v>0</v>
      </c>
      <c r="I4381" s="197">
        <v>3801.6000000000004</v>
      </c>
      <c r="J4381" s="197">
        <v>3801.6000000000004</v>
      </c>
      <c r="K4381" s="197">
        <v>0</v>
      </c>
      <c r="L4381" s="197">
        <v>-202.39999999999964</v>
      </c>
      <c r="M4381" s="260" t="s">
        <v>239</v>
      </c>
      <c r="N4381" s="260" t="s">
        <v>514</v>
      </c>
    </row>
    <row r="4382" spans="1:14" ht="14.5" x14ac:dyDescent="0.35">
      <c r="A4382" s="260" t="s">
        <v>747</v>
      </c>
      <c r="B4382" s="190">
        <v>46021</v>
      </c>
      <c r="C4382" s="260" t="s">
        <v>752</v>
      </c>
      <c r="D4382" s="197">
        <v>30</v>
      </c>
      <c r="E4382" s="197">
        <v>5343</v>
      </c>
      <c r="F4382" s="197">
        <v>169.03</v>
      </c>
      <c r="G4382" s="190">
        <v>46021</v>
      </c>
      <c r="H4382" s="196">
        <v>0</v>
      </c>
      <c r="I4382" s="197">
        <v>5070.8999999999996</v>
      </c>
      <c r="J4382" s="197">
        <v>5070.8999999999996</v>
      </c>
      <c r="K4382" s="197">
        <v>0</v>
      </c>
      <c r="L4382" s="197">
        <v>-272.10000000000036</v>
      </c>
      <c r="M4382" s="260" t="s">
        <v>239</v>
      </c>
      <c r="N4382" s="260" t="s">
        <v>514</v>
      </c>
    </row>
    <row r="4383" spans="1:14" ht="14.5" x14ac:dyDescent="0.35">
      <c r="A4383" s="260" t="s">
        <v>747</v>
      </c>
      <c r="B4383" s="190">
        <v>46021</v>
      </c>
      <c r="C4383" s="260" t="s">
        <v>754</v>
      </c>
      <c r="D4383" s="197">
        <v>100</v>
      </c>
      <c r="E4383" s="197">
        <v>8008</v>
      </c>
      <c r="F4383" s="197">
        <v>77.83</v>
      </c>
      <c r="G4383" s="190">
        <v>46021</v>
      </c>
      <c r="H4383" s="196">
        <v>0</v>
      </c>
      <c r="I4383" s="197">
        <v>7783</v>
      </c>
      <c r="J4383" s="197">
        <v>7783</v>
      </c>
      <c r="K4383" s="197">
        <v>0</v>
      </c>
      <c r="L4383" s="197">
        <v>-225</v>
      </c>
      <c r="M4383" s="260" t="s">
        <v>239</v>
      </c>
      <c r="N4383" s="260" t="s">
        <v>514</v>
      </c>
    </row>
    <row r="4384" spans="1:14" ht="14.5" x14ac:dyDescent="0.35">
      <c r="A4384" s="260" t="s">
        <v>747</v>
      </c>
      <c r="B4384" s="190">
        <v>46022</v>
      </c>
      <c r="C4384" s="260" t="s">
        <v>749</v>
      </c>
      <c r="D4384" s="197">
        <v>80</v>
      </c>
      <c r="E4384" s="197">
        <v>4004</v>
      </c>
      <c r="F4384" s="197">
        <v>47.5</v>
      </c>
      <c r="G4384" s="190">
        <v>46022</v>
      </c>
      <c r="H4384" s="196">
        <v>0</v>
      </c>
      <c r="I4384" s="197">
        <v>3800</v>
      </c>
      <c r="J4384" s="197">
        <v>3800</v>
      </c>
      <c r="K4384" s="197">
        <v>0</v>
      </c>
      <c r="L4384" s="197">
        <v>-204</v>
      </c>
      <c r="M4384" s="260" t="s">
        <v>239</v>
      </c>
      <c r="N4384" s="260" t="s">
        <v>514</v>
      </c>
    </row>
    <row r="4385" spans="1:14" ht="14.5" x14ac:dyDescent="0.35">
      <c r="A4385" s="260" t="s">
        <v>747</v>
      </c>
      <c r="B4385" s="190">
        <v>46022</v>
      </c>
      <c r="C4385" s="260" t="s">
        <v>752</v>
      </c>
      <c r="D4385" s="197">
        <v>30</v>
      </c>
      <c r="E4385" s="197">
        <v>5343</v>
      </c>
      <c r="F4385" s="197">
        <v>169</v>
      </c>
      <c r="G4385" s="190">
        <v>46022</v>
      </c>
      <c r="H4385" s="196">
        <v>0</v>
      </c>
      <c r="I4385" s="197">
        <v>5070</v>
      </c>
      <c r="J4385" s="197">
        <v>5070</v>
      </c>
      <c r="K4385" s="197">
        <v>0</v>
      </c>
      <c r="L4385" s="197">
        <v>-273</v>
      </c>
      <c r="M4385" s="260" t="s">
        <v>239</v>
      </c>
      <c r="N4385" s="260" t="s">
        <v>514</v>
      </c>
    </row>
    <row r="4386" spans="1:14" ht="14.5" x14ac:dyDescent="0.35">
      <c r="A4386" s="260" t="s">
        <v>747</v>
      </c>
      <c r="B4386" s="190">
        <v>46022</v>
      </c>
      <c r="C4386" s="260" t="s">
        <v>754</v>
      </c>
      <c r="D4386" s="197">
        <v>100</v>
      </c>
      <c r="E4386" s="197">
        <v>8008</v>
      </c>
      <c r="F4386" s="197">
        <v>77.8</v>
      </c>
      <c r="G4386" s="190">
        <v>46022</v>
      </c>
      <c r="H4386" s="196">
        <v>0</v>
      </c>
      <c r="I4386" s="197">
        <v>7780</v>
      </c>
      <c r="J4386" s="197">
        <v>7780</v>
      </c>
      <c r="K4386" s="197">
        <v>0</v>
      </c>
      <c r="L4386" s="197">
        <v>-228</v>
      </c>
      <c r="M4386" s="260" t="s">
        <v>239</v>
      </c>
      <c r="N4386" s="260" t="s">
        <v>514</v>
      </c>
    </row>
  </sheetData>
  <mergeCells count="2">
    <mergeCell ref="A1:P2"/>
    <mergeCell ref="A3:P4"/>
  </mergeCells>
  <phoneticPr fontId="136" type="noConversion"/>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85507-44A0-430F-9E7B-99292013AB1C}">
  <dimension ref="A1:X39"/>
  <sheetViews>
    <sheetView showGridLines="0" workbookViewId="0">
      <pane ySplit="6" topLeftCell="A7" activePane="bottomLeft" state="frozenSplit"/>
      <selection pane="bottomLeft" sqref="A1:P2"/>
    </sheetView>
  </sheetViews>
  <sheetFormatPr defaultColWidth="18.6328125" defaultRowHeight="20" customHeight="1" x14ac:dyDescent="0.35"/>
  <cols>
    <col min="1" max="1" width="26.36328125" style="184" bestFit="1" customWidth="1"/>
    <col min="2" max="2" width="11.90625" style="184" bestFit="1" customWidth="1"/>
    <col min="3" max="3" width="10.08984375" style="187" bestFit="1" customWidth="1"/>
    <col min="4" max="4" width="11.453125" style="184" bestFit="1" customWidth="1"/>
    <col min="5" max="5" width="13.6328125" style="184" bestFit="1" customWidth="1"/>
    <col min="6" max="6" width="14.1796875" style="184" bestFit="1" customWidth="1"/>
    <col min="7" max="7" width="10.26953125" style="193" bestFit="1" customWidth="1"/>
    <col min="8" max="8" width="7.26953125" style="193" bestFit="1" customWidth="1"/>
    <col min="9" max="9" width="10.453125" style="193" bestFit="1" customWidth="1"/>
    <col min="10" max="10" width="7" style="193" bestFit="1" customWidth="1"/>
    <col min="11" max="11" width="22.36328125" style="184" bestFit="1" customWidth="1"/>
    <col min="12" max="12" width="8.54296875" style="184" bestFit="1" customWidth="1"/>
    <col min="13" max="13" width="24" style="184" bestFit="1" customWidth="1"/>
    <col min="14" max="14" width="16.36328125" style="184" bestFit="1" customWidth="1"/>
    <col min="15" max="15" width="8.453125" style="184" bestFit="1" customWidth="1"/>
    <col min="16" max="16" width="9.26953125" style="184" bestFit="1" customWidth="1"/>
    <col min="17" max="17" width="11.90625" style="193" bestFit="1" customWidth="1"/>
    <col min="18" max="18" width="11.81640625" style="193" bestFit="1" customWidth="1"/>
    <col min="19" max="19" width="13.81640625" style="193" bestFit="1" customWidth="1"/>
    <col min="20" max="21" width="13.26953125" style="193" bestFit="1" customWidth="1"/>
    <col min="22" max="22" width="11.36328125" style="193" bestFit="1" customWidth="1"/>
    <col min="23" max="24" width="11.453125" style="193" bestFit="1" customWidth="1"/>
    <col min="25" max="16384" width="18.6328125" style="184"/>
  </cols>
  <sheetData>
    <row r="1" spans="1:24" ht="20" customHeight="1" x14ac:dyDescent="0.35">
      <c r="A1" s="224" t="s">
        <v>621</v>
      </c>
      <c r="B1" s="224"/>
      <c r="C1" s="224"/>
      <c r="D1" s="224"/>
      <c r="E1" s="224"/>
      <c r="F1" s="224"/>
      <c r="G1" s="224"/>
      <c r="H1" s="224"/>
      <c r="I1" s="224"/>
      <c r="J1" s="224"/>
      <c r="K1" s="224"/>
      <c r="L1" s="224"/>
      <c r="M1" s="224"/>
      <c r="N1" s="224"/>
      <c r="O1" s="224"/>
      <c r="P1" s="224"/>
    </row>
    <row r="2" spans="1:24" ht="20" customHeight="1" x14ac:dyDescent="0.35">
      <c r="A2" s="224"/>
      <c r="B2" s="224"/>
      <c r="C2" s="224"/>
      <c r="D2" s="224"/>
      <c r="E2" s="224"/>
      <c r="F2" s="224"/>
      <c r="G2" s="224"/>
      <c r="H2" s="224"/>
      <c r="I2" s="224"/>
      <c r="J2" s="224"/>
      <c r="K2" s="224"/>
      <c r="L2" s="224"/>
      <c r="M2" s="224"/>
      <c r="N2" s="224"/>
      <c r="O2" s="224"/>
      <c r="P2" s="224"/>
    </row>
    <row r="3" spans="1:24" ht="20" customHeight="1" x14ac:dyDescent="0.35">
      <c r="A3" s="225" t="s">
        <v>622</v>
      </c>
      <c r="B3" s="225"/>
      <c r="C3" s="225"/>
      <c r="D3" s="225"/>
      <c r="E3" s="225"/>
      <c r="F3" s="225"/>
      <c r="G3" s="225"/>
      <c r="H3" s="225"/>
      <c r="I3" s="225"/>
      <c r="J3" s="225"/>
      <c r="K3" s="225"/>
      <c r="L3" s="225"/>
      <c r="M3" s="225"/>
      <c r="N3" s="225"/>
      <c r="O3" s="225"/>
      <c r="P3" s="225"/>
    </row>
    <row r="4" spans="1:24" ht="20" customHeight="1" x14ac:dyDescent="0.35">
      <c r="A4" s="225"/>
      <c r="B4" s="225"/>
      <c r="C4" s="225"/>
      <c r="D4" s="225"/>
      <c r="E4" s="225"/>
      <c r="F4" s="225"/>
      <c r="G4" s="225"/>
      <c r="H4" s="225"/>
      <c r="I4" s="225"/>
      <c r="J4" s="225"/>
      <c r="K4" s="225"/>
      <c r="L4" s="225"/>
      <c r="M4" s="225"/>
      <c r="N4" s="225"/>
      <c r="O4" s="225"/>
      <c r="P4" s="225"/>
    </row>
    <row r="6" spans="1:24" ht="14.5" x14ac:dyDescent="0.35">
      <c r="A6" s="194" t="s">
        <v>71</v>
      </c>
      <c r="B6" s="194" t="s">
        <v>557</v>
      </c>
      <c r="C6" s="189" t="s">
        <v>72</v>
      </c>
      <c r="D6" s="194" t="s">
        <v>576</v>
      </c>
      <c r="E6" s="194" t="s">
        <v>73</v>
      </c>
      <c r="F6" s="194" t="s">
        <v>568</v>
      </c>
      <c r="G6" s="195" t="s">
        <v>74</v>
      </c>
      <c r="H6" s="195" t="s">
        <v>75</v>
      </c>
      <c r="I6" s="195" t="s">
        <v>76</v>
      </c>
      <c r="J6" s="195" t="s">
        <v>67</v>
      </c>
      <c r="K6" s="194" t="s">
        <v>577</v>
      </c>
      <c r="L6" s="194" t="s">
        <v>578</v>
      </c>
      <c r="M6" s="194" t="s">
        <v>579</v>
      </c>
      <c r="N6" s="194" t="s">
        <v>623</v>
      </c>
      <c r="O6" s="194" t="s">
        <v>236</v>
      </c>
      <c r="P6" s="194" t="s">
        <v>624</v>
      </c>
      <c r="Q6" s="195" t="s">
        <v>77</v>
      </c>
      <c r="R6" s="195" t="s">
        <v>78</v>
      </c>
      <c r="S6" s="195" t="s">
        <v>79</v>
      </c>
      <c r="T6" s="195" t="s">
        <v>82</v>
      </c>
      <c r="U6" s="195" t="s">
        <v>83</v>
      </c>
      <c r="V6" s="195" t="s">
        <v>625</v>
      </c>
      <c r="W6" s="195" t="s">
        <v>626</v>
      </c>
      <c r="X6" s="195" t="s">
        <v>627</v>
      </c>
    </row>
    <row r="7" spans="1:24" ht="14.5" x14ac:dyDescent="0.35">
      <c r="A7" s="260" t="s">
        <v>756</v>
      </c>
      <c r="B7" s="260" t="s">
        <v>563</v>
      </c>
      <c r="C7" s="190">
        <v>45658</v>
      </c>
      <c r="D7" s="196">
        <v>1</v>
      </c>
      <c r="E7" s="260" t="s">
        <v>90</v>
      </c>
      <c r="F7" s="260"/>
      <c r="G7" s="197">
        <v>0</v>
      </c>
      <c r="H7" s="197">
        <v>0</v>
      </c>
      <c r="I7" s="197">
        <v>100000</v>
      </c>
      <c r="J7" s="197">
        <v>0</v>
      </c>
      <c r="K7" s="260"/>
      <c r="L7" s="260" t="s">
        <v>628</v>
      </c>
      <c r="M7" s="260"/>
      <c r="N7" s="196">
        <v>1</v>
      </c>
      <c r="O7" s="260" t="s">
        <v>239</v>
      </c>
      <c r="P7" s="260" t="s">
        <v>514</v>
      </c>
      <c r="Q7" s="197">
        <v>0</v>
      </c>
      <c r="R7" s="197">
        <v>100000</v>
      </c>
      <c r="S7" s="197">
        <v>100000</v>
      </c>
      <c r="T7" s="197">
        <v>0</v>
      </c>
      <c r="U7" s="197">
        <v>0</v>
      </c>
      <c r="V7" s="197">
        <v>100000</v>
      </c>
      <c r="W7" s="197">
        <v>0</v>
      </c>
      <c r="X7" s="197">
        <v>0</v>
      </c>
    </row>
    <row r="8" spans="1:24" ht="14.5" x14ac:dyDescent="0.35">
      <c r="A8" s="260" t="s">
        <v>760</v>
      </c>
      <c r="B8" s="260" t="s">
        <v>563</v>
      </c>
      <c r="C8" s="190">
        <v>45659</v>
      </c>
      <c r="D8" s="196">
        <v>1</v>
      </c>
      <c r="E8" s="260" t="s">
        <v>93</v>
      </c>
      <c r="F8" s="260" t="s">
        <v>749</v>
      </c>
      <c r="G8" s="197">
        <v>100</v>
      </c>
      <c r="H8" s="197">
        <v>100</v>
      </c>
      <c r="I8" s="197">
        <v>0</v>
      </c>
      <c r="J8" s="197">
        <v>10</v>
      </c>
      <c r="K8" s="260"/>
      <c r="L8" s="260" t="s">
        <v>629</v>
      </c>
      <c r="M8" s="260"/>
      <c r="N8" s="196">
        <v>1</v>
      </c>
      <c r="O8" s="260" t="s">
        <v>239</v>
      </c>
      <c r="P8" s="260" t="s">
        <v>514</v>
      </c>
      <c r="Q8" s="197">
        <v>100</v>
      </c>
      <c r="R8" s="197">
        <v>-10010</v>
      </c>
      <c r="S8" s="197">
        <v>0</v>
      </c>
      <c r="T8" s="197">
        <v>10010</v>
      </c>
      <c r="U8" s="197">
        <v>0</v>
      </c>
      <c r="V8" s="197">
        <v>89990</v>
      </c>
      <c r="W8" s="197">
        <v>100</v>
      </c>
      <c r="X8" s="197">
        <v>10010</v>
      </c>
    </row>
    <row r="9" spans="1:24" ht="14.5" x14ac:dyDescent="0.35">
      <c r="A9" s="260" t="s">
        <v>761</v>
      </c>
      <c r="B9" s="260" t="s">
        <v>563</v>
      </c>
      <c r="C9" s="190">
        <v>45659</v>
      </c>
      <c r="D9" s="196">
        <v>2</v>
      </c>
      <c r="E9" s="260" t="s">
        <v>93</v>
      </c>
      <c r="F9" s="260" t="s">
        <v>752</v>
      </c>
      <c r="G9" s="197">
        <v>50</v>
      </c>
      <c r="H9" s="197">
        <v>200</v>
      </c>
      <c r="I9" s="197">
        <v>0</v>
      </c>
      <c r="J9" s="197">
        <v>10</v>
      </c>
      <c r="K9" s="260"/>
      <c r="L9" s="260" t="s">
        <v>629</v>
      </c>
      <c r="M9" s="260"/>
      <c r="N9" s="196">
        <v>1</v>
      </c>
      <c r="O9" s="260" t="s">
        <v>239</v>
      </c>
      <c r="P9" s="260" t="s">
        <v>514</v>
      </c>
      <c r="Q9" s="197">
        <v>50</v>
      </c>
      <c r="R9" s="197">
        <v>-10010</v>
      </c>
      <c r="S9" s="197">
        <v>0</v>
      </c>
      <c r="T9" s="197">
        <v>10010</v>
      </c>
      <c r="U9" s="197">
        <v>0</v>
      </c>
      <c r="V9" s="197">
        <v>79980</v>
      </c>
      <c r="W9" s="197">
        <v>50</v>
      </c>
      <c r="X9" s="197">
        <v>10010</v>
      </c>
    </row>
    <row r="10" spans="1:24" ht="14.5" x14ac:dyDescent="0.35">
      <c r="A10" s="260" t="s">
        <v>762</v>
      </c>
      <c r="B10" s="260" t="s">
        <v>563</v>
      </c>
      <c r="C10" s="190">
        <v>45659</v>
      </c>
      <c r="D10" s="196">
        <v>3</v>
      </c>
      <c r="E10" s="260" t="s">
        <v>93</v>
      </c>
      <c r="F10" s="260" t="s">
        <v>754</v>
      </c>
      <c r="G10" s="197">
        <v>100</v>
      </c>
      <c r="H10" s="197">
        <v>80</v>
      </c>
      <c r="I10" s="197">
        <v>0</v>
      </c>
      <c r="J10" s="197">
        <v>8</v>
      </c>
      <c r="K10" s="260"/>
      <c r="L10" s="260" t="s">
        <v>629</v>
      </c>
      <c r="M10" s="260"/>
      <c r="N10" s="196">
        <v>1</v>
      </c>
      <c r="O10" s="260" t="s">
        <v>239</v>
      </c>
      <c r="P10" s="260" t="s">
        <v>514</v>
      </c>
      <c r="Q10" s="197">
        <v>100</v>
      </c>
      <c r="R10" s="197">
        <v>-8008</v>
      </c>
      <c r="S10" s="197">
        <v>0</v>
      </c>
      <c r="T10" s="197">
        <v>8008</v>
      </c>
      <c r="U10" s="197">
        <v>0</v>
      </c>
      <c r="V10" s="197">
        <v>71972</v>
      </c>
      <c r="W10" s="197">
        <v>100</v>
      </c>
      <c r="X10" s="197">
        <v>8008</v>
      </c>
    </row>
    <row r="11" spans="1:24" ht="14.5" x14ac:dyDescent="0.35">
      <c r="A11" s="260" t="s">
        <v>768</v>
      </c>
      <c r="B11" s="260" t="s">
        <v>563</v>
      </c>
      <c r="C11" s="190">
        <v>45719</v>
      </c>
      <c r="D11" s="196">
        <v>1</v>
      </c>
      <c r="E11" s="260" t="s">
        <v>93</v>
      </c>
      <c r="F11" s="260" t="s">
        <v>749</v>
      </c>
      <c r="G11" s="197">
        <v>50</v>
      </c>
      <c r="H11" s="197">
        <v>98</v>
      </c>
      <c r="I11" s="197">
        <v>0</v>
      </c>
      <c r="J11" s="197">
        <v>5</v>
      </c>
      <c r="K11" s="260"/>
      <c r="L11" s="260" t="s">
        <v>629</v>
      </c>
      <c r="M11" s="260"/>
      <c r="N11" s="196">
        <v>1</v>
      </c>
      <c r="O11" s="260" t="s">
        <v>239</v>
      </c>
      <c r="P11" s="260" t="s">
        <v>514</v>
      </c>
      <c r="Q11" s="197">
        <v>50</v>
      </c>
      <c r="R11" s="197">
        <v>-4905</v>
      </c>
      <c r="S11" s="197">
        <v>0</v>
      </c>
      <c r="T11" s="197">
        <v>4905</v>
      </c>
      <c r="U11" s="197">
        <v>0</v>
      </c>
      <c r="V11" s="197">
        <v>67067</v>
      </c>
      <c r="W11" s="197">
        <v>150</v>
      </c>
      <c r="X11" s="197">
        <v>14915</v>
      </c>
    </row>
    <row r="12" spans="1:24" ht="14.5" x14ac:dyDescent="0.35">
      <c r="A12" s="260" t="s">
        <v>771</v>
      </c>
      <c r="B12" s="260" t="s">
        <v>563</v>
      </c>
      <c r="C12" s="190">
        <v>45778</v>
      </c>
      <c r="D12" s="196">
        <v>1</v>
      </c>
      <c r="E12" s="260" t="s">
        <v>90</v>
      </c>
      <c r="F12" s="260"/>
      <c r="G12" s="197">
        <v>0</v>
      </c>
      <c r="H12" s="197">
        <v>0</v>
      </c>
      <c r="I12" s="197">
        <v>10000</v>
      </c>
      <c r="J12" s="197">
        <v>0</v>
      </c>
      <c r="K12" s="260"/>
      <c r="L12" s="260" t="s">
        <v>629</v>
      </c>
      <c r="M12" s="260"/>
      <c r="N12" s="196">
        <v>1</v>
      </c>
      <c r="O12" s="260" t="s">
        <v>239</v>
      </c>
      <c r="P12" s="260" t="s">
        <v>514</v>
      </c>
      <c r="Q12" s="197">
        <v>0</v>
      </c>
      <c r="R12" s="197">
        <v>10000</v>
      </c>
      <c r="S12" s="197">
        <v>10000</v>
      </c>
      <c r="T12" s="197">
        <v>0</v>
      </c>
      <c r="U12" s="197">
        <v>0</v>
      </c>
      <c r="V12" s="197">
        <v>77067</v>
      </c>
      <c r="W12" s="197">
        <v>0</v>
      </c>
      <c r="X12" s="197">
        <v>0</v>
      </c>
    </row>
    <row r="13" spans="1:24" ht="14.5" x14ac:dyDescent="0.35">
      <c r="A13" s="260" t="s">
        <v>773</v>
      </c>
      <c r="B13" s="260" t="s">
        <v>563</v>
      </c>
      <c r="C13" s="190">
        <v>45839</v>
      </c>
      <c r="D13" s="196">
        <v>1</v>
      </c>
      <c r="E13" s="260" t="s">
        <v>114</v>
      </c>
      <c r="F13" s="260" t="s">
        <v>749</v>
      </c>
      <c r="G13" s="197">
        <v>80</v>
      </c>
      <c r="H13" s="197">
        <v>55</v>
      </c>
      <c r="I13" s="197">
        <v>0</v>
      </c>
      <c r="J13" s="197">
        <v>8</v>
      </c>
      <c r="K13" s="260"/>
      <c r="L13" s="260" t="s">
        <v>629</v>
      </c>
      <c r="M13" s="260"/>
      <c r="N13" s="196">
        <v>1</v>
      </c>
      <c r="O13" s="260" t="s">
        <v>239</v>
      </c>
      <c r="P13" s="260" t="s">
        <v>514</v>
      </c>
      <c r="Q13" s="197">
        <v>-80</v>
      </c>
      <c r="R13" s="197">
        <v>4392</v>
      </c>
      <c r="S13" s="197">
        <v>0</v>
      </c>
      <c r="T13" s="197">
        <v>-3977.3333333333335</v>
      </c>
      <c r="U13" s="197">
        <v>414.66666666666652</v>
      </c>
      <c r="V13" s="197">
        <v>81459</v>
      </c>
      <c r="W13" s="197">
        <v>220</v>
      </c>
      <c r="X13" s="197">
        <v>10937.666666666666</v>
      </c>
    </row>
    <row r="14" spans="1:24" ht="14.5" x14ac:dyDescent="0.35">
      <c r="A14" s="260" t="s">
        <v>775</v>
      </c>
      <c r="B14" s="260" t="s">
        <v>563</v>
      </c>
      <c r="C14" s="190">
        <v>45887</v>
      </c>
      <c r="D14" s="196">
        <v>1</v>
      </c>
      <c r="E14" s="260" t="s">
        <v>581</v>
      </c>
      <c r="F14" s="260"/>
      <c r="G14" s="197">
        <v>0</v>
      </c>
      <c r="H14" s="197">
        <v>0</v>
      </c>
      <c r="I14" s="197">
        <v>5000</v>
      </c>
      <c r="J14" s="197">
        <v>0</v>
      </c>
      <c r="K14" s="260" t="s">
        <v>776</v>
      </c>
      <c r="L14" s="260" t="s">
        <v>629</v>
      </c>
      <c r="M14" s="260"/>
      <c r="N14" s="196">
        <v>1</v>
      </c>
      <c r="O14" s="260" t="s">
        <v>239</v>
      </c>
      <c r="P14" s="260" t="s">
        <v>514</v>
      </c>
      <c r="Q14" s="197">
        <v>0</v>
      </c>
      <c r="R14" s="197">
        <v>5000</v>
      </c>
      <c r="S14" s="197">
        <v>5000</v>
      </c>
      <c r="T14" s="197">
        <v>0</v>
      </c>
      <c r="U14" s="197">
        <v>0</v>
      </c>
      <c r="V14" s="197">
        <v>86459</v>
      </c>
      <c r="W14" s="197">
        <v>0</v>
      </c>
      <c r="X14" s="197">
        <v>0</v>
      </c>
    </row>
    <row r="15" spans="1:24" ht="14.5" x14ac:dyDescent="0.35">
      <c r="A15" s="260" t="s">
        <v>779</v>
      </c>
      <c r="B15" s="260" t="s">
        <v>563</v>
      </c>
      <c r="C15" s="190">
        <v>45910</v>
      </c>
      <c r="D15" s="196">
        <v>1</v>
      </c>
      <c r="E15" s="260" t="s">
        <v>114</v>
      </c>
      <c r="F15" s="260" t="s">
        <v>752</v>
      </c>
      <c r="G15" s="197">
        <v>20</v>
      </c>
      <c r="H15" s="197">
        <v>185</v>
      </c>
      <c r="I15" s="197">
        <v>0</v>
      </c>
      <c r="J15" s="197">
        <v>5</v>
      </c>
      <c r="K15" s="260"/>
      <c r="L15" s="260" t="s">
        <v>629</v>
      </c>
      <c r="M15" s="260"/>
      <c r="N15" s="196">
        <v>1</v>
      </c>
      <c r="O15" s="260" t="s">
        <v>239</v>
      </c>
      <c r="P15" s="260" t="s">
        <v>514</v>
      </c>
      <c r="Q15" s="197">
        <v>-20</v>
      </c>
      <c r="R15" s="197">
        <v>3695</v>
      </c>
      <c r="S15" s="197">
        <v>0</v>
      </c>
      <c r="T15" s="197">
        <v>-4004</v>
      </c>
      <c r="U15" s="197">
        <v>-309</v>
      </c>
      <c r="V15" s="197">
        <v>90154</v>
      </c>
      <c r="W15" s="197">
        <v>30</v>
      </c>
      <c r="X15" s="197">
        <v>6006</v>
      </c>
    </row>
    <row r="16" spans="1:24" ht="14.5" x14ac:dyDescent="0.35">
      <c r="A16" s="260" t="s">
        <v>780</v>
      </c>
      <c r="B16" s="260" t="s">
        <v>563</v>
      </c>
      <c r="C16" s="190">
        <v>45915</v>
      </c>
      <c r="D16" s="196">
        <v>1</v>
      </c>
      <c r="E16" s="260" t="s">
        <v>122</v>
      </c>
      <c r="F16" s="260" t="s">
        <v>752</v>
      </c>
      <c r="G16" s="197">
        <v>0</v>
      </c>
      <c r="H16" s="197">
        <v>0</v>
      </c>
      <c r="I16" s="197">
        <v>150</v>
      </c>
      <c r="J16" s="197">
        <v>0</v>
      </c>
      <c r="K16" s="260"/>
      <c r="L16" s="260" t="s">
        <v>629</v>
      </c>
      <c r="M16" s="260" t="s">
        <v>781</v>
      </c>
      <c r="N16" s="196">
        <v>1</v>
      </c>
      <c r="O16" s="260" t="s">
        <v>239</v>
      </c>
      <c r="P16" s="260" t="s">
        <v>514</v>
      </c>
      <c r="Q16" s="197">
        <v>0</v>
      </c>
      <c r="R16" s="197">
        <v>0</v>
      </c>
      <c r="S16" s="197">
        <v>0</v>
      </c>
      <c r="T16" s="197">
        <v>0</v>
      </c>
      <c r="U16" s="197">
        <v>0</v>
      </c>
      <c r="V16" s="197">
        <v>90304</v>
      </c>
      <c r="W16" s="197">
        <v>30</v>
      </c>
      <c r="X16" s="197">
        <v>6006</v>
      </c>
    </row>
    <row r="17" spans="1:24" ht="14.5" x14ac:dyDescent="0.35">
      <c r="A17" s="260" t="s">
        <v>782</v>
      </c>
      <c r="B17" s="260" t="s">
        <v>563</v>
      </c>
      <c r="C17" s="190">
        <v>45971</v>
      </c>
      <c r="D17" s="196">
        <v>1</v>
      </c>
      <c r="E17" s="260" t="s">
        <v>114</v>
      </c>
      <c r="F17" s="260" t="s">
        <v>754</v>
      </c>
      <c r="G17" s="197">
        <v>100</v>
      </c>
      <c r="H17" s="197">
        <v>77</v>
      </c>
      <c r="I17" s="197">
        <v>0</v>
      </c>
      <c r="J17" s="197">
        <v>8</v>
      </c>
      <c r="K17" s="260"/>
      <c r="L17" s="260" t="s">
        <v>629</v>
      </c>
      <c r="M17" s="260"/>
      <c r="N17" s="196">
        <v>1</v>
      </c>
      <c r="O17" s="260" t="s">
        <v>239</v>
      </c>
      <c r="P17" s="260" t="s">
        <v>514</v>
      </c>
      <c r="Q17" s="197">
        <v>-100</v>
      </c>
      <c r="R17" s="197">
        <v>7692</v>
      </c>
      <c r="S17" s="197">
        <v>0</v>
      </c>
      <c r="T17" s="197">
        <v>-8008</v>
      </c>
      <c r="U17" s="197">
        <v>-316</v>
      </c>
      <c r="V17" s="197">
        <v>97996</v>
      </c>
      <c r="W17" s="197">
        <v>0</v>
      </c>
      <c r="X17" s="197">
        <v>0</v>
      </c>
    </row>
    <row r="18" spans="1:24" ht="14.5" x14ac:dyDescent="0.35">
      <c r="A18" s="260" t="s">
        <v>783</v>
      </c>
      <c r="B18" s="260" t="s">
        <v>563</v>
      </c>
      <c r="C18" s="190">
        <v>46006</v>
      </c>
      <c r="D18" s="196">
        <v>1</v>
      </c>
      <c r="E18" s="260" t="s">
        <v>122</v>
      </c>
      <c r="F18" s="260" t="s">
        <v>754</v>
      </c>
      <c r="G18" s="197">
        <v>0</v>
      </c>
      <c r="H18" s="197">
        <v>0</v>
      </c>
      <c r="I18" s="197">
        <v>120</v>
      </c>
      <c r="J18" s="197">
        <v>0</v>
      </c>
      <c r="K18" s="260"/>
      <c r="L18" s="260" t="s">
        <v>629</v>
      </c>
      <c r="M18" s="260" t="s">
        <v>784</v>
      </c>
      <c r="N18" s="196">
        <v>1</v>
      </c>
      <c r="O18" s="260" t="s">
        <v>239</v>
      </c>
      <c r="P18" s="260" t="s">
        <v>514</v>
      </c>
      <c r="Q18" s="197">
        <v>0</v>
      </c>
      <c r="R18" s="197">
        <v>0</v>
      </c>
      <c r="S18" s="197">
        <v>0</v>
      </c>
      <c r="T18" s="197">
        <v>0</v>
      </c>
      <c r="U18" s="197">
        <v>0</v>
      </c>
      <c r="V18" s="197">
        <v>98116</v>
      </c>
      <c r="W18" s="197">
        <v>0</v>
      </c>
      <c r="X18" s="197">
        <v>0</v>
      </c>
    </row>
    <row r="19" spans="1:24" ht="14.5" x14ac:dyDescent="0.35">
      <c r="A19" s="260" t="s">
        <v>785</v>
      </c>
      <c r="B19" s="260" t="s">
        <v>563</v>
      </c>
      <c r="C19" s="190">
        <v>46009</v>
      </c>
      <c r="D19" s="196">
        <v>1</v>
      </c>
      <c r="E19" s="260" t="s">
        <v>128</v>
      </c>
      <c r="F19" s="260"/>
      <c r="G19" s="197">
        <v>0</v>
      </c>
      <c r="H19" s="197">
        <v>0</v>
      </c>
      <c r="I19" s="197">
        <v>5000</v>
      </c>
      <c r="J19" s="197">
        <v>0</v>
      </c>
      <c r="K19" s="260"/>
      <c r="L19" s="260" t="s">
        <v>629</v>
      </c>
      <c r="M19" s="260"/>
      <c r="N19" s="196">
        <v>1</v>
      </c>
      <c r="O19" s="260" t="s">
        <v>239</v>
      </c>
      <c r="P19" s="260" t="s">
        <v>514</v>
      </c>
      <c r="Q19" s="197">
        <v>0</v>
      </c>
      <c r="R19" s="197">
        <v>-5000</v>
      </c>
      <c r="S19" s="197">
        <v>-5000</v>
      </c>
      <c r="T19" s="197">
        <v>0</v>
      </c>
      <c r="U19" s="197">
        <v>0</v>
      </c>
      <c r="V19" s="197">
        <v>93116</v>
      </c>
      <c r="W19" s="197">
        <v>0</v>
      </c>
      <c r="X19" s="197">
        <v>0</v>
      </c>
    </row>
    <row r="20" spans="1:24" ht="14.5" x14ac:dyDescent="0.35">
      <c r="A20" s="260" t="s">
        <v>788</v>
      </c>
      <c r="B20" s="260" t="s">
        <v>563</v>
      </c>
      <c r="C20" s="190">
        <v>46022</v>
      </c>
      <c r="D20" s="196">
        <v>1</v>
      </c>
      <c r="E20" s="260" t="s">
        <v>125</v>
      </c>
      <c r="F20" s="260"/>
      <c r="G20" s="197">
        <v>0</v>
      </c>
      <c r="H20" s="197">
        <v>0</v>
      </c>
      <c r="I20" s="197">
        <v>25</v>
      </c>
      <c r="J20" s="197">
        <v>0</v>
      </c>
      <c r="K20" s="260"/>
      <c r="L20" s="260" t="s">
        <v>629</v>
      </c>
      <c r="M20" s="260"/>
      <c r="N20" s="196">
        <v>1</v>
      </c>
      <c r="O20" s="260" t="s">
        <v>239</v>
      </c>
      <c r="P20" s="260" t="s">
        <v>514</v>
      </c>
      <c r="Q20" s="197">
        <v>0</v>
      </c>
      <c r="R20" s="197">
        <v>-25</v>
      </c>
      <c r="S20" s="197">
        <v>0</v>
      </c>
      <c r="T20" s="197">
        <v>0</v>
      </c>
      <c r="U20" s="197">
        <v>0</v>
      </c>
      <c r="V20" s="197">
        <v>93091</v>
      </c>
      <c r="W20" s="197">
        <v>0</v>
      </c>
      <c r="X20" s="197">
        <v>0</v>
      </c>
    </row>
    <row r="21" spans="1:24" ht="14.5" x14ac:dyDescent="0.35">
      <c r="A21" s="260" t="s">
        <v>757</v>
      </c>
      <c r="B21" s="260" t="s">
        <v>565</v>
      </c>
      <c r="C21" s="190">
        <v>45658</v>
      </c>
      <c r="D21" s="196">
        <v>1</v>
      </c>
      <c r="E21" s="260" t="s">
        <v>90</v>
      </c>
      <c r="F21" s="260"/>
      <c r="G21" s="197">
        <v>0</v>
      </c>
      <c r="H21" s="197">
        <v>0</v>
      </c>
      <c r="I21" s="197">
        <v>80000</v>
      </c>
      <c r="J21" s="197">
        <v>0</v>
      </c>
      <c r="K21" s="260"/>
      <c r="L21" s="260" t="s">
        <v>628</v>
      </c>
      <c r="M21" s="260"/>
      <c r="N21" s="196">
        <v>1</v>
      </c>
      <c r="O21" s="260" t="s">
        <v>239</v>
      </c>
      <c r="P21" s="260" t="s">
        <v>514</v>
      </c>
      <c r="Q21" s="197">
        <v>0</v>
      </c>
      <c r="R21" s="197">
        <v>80000</v>
      </c>
      <c r="S21" s="197">
        <v>80000</v>
      </c>
      <c r="T21" s="197">
        <v>0</v>
      </c>
      <c r="U21" s="197">
        <v>0</v>
      </c>
      <c r="V21" s="197">
        <v>80000</v>
      </c>
      <c r="W21" s="197">
        <v>0</v>
      </c>
      <c r="X21" s="197">
        <v>0</v>
      </c>
    </row>
    <row r="22" spans="1:24" ht="14.5" x14ac:dyDescent="0.35">
      <c r="A22" s="260" t="s">
        <v>763</v>
      </c>
      <c r="B22" s="260" t="s">
        <v>565</v>
      </c>
      <c r="C22" s="190">
        <v>45659</v>
      </c>
      <c r="D22" s="196">
        <v>1</v>
      </c>
      <c r="E22" s="260" t="s">
        <v>93</v>
      </c>
      <c r="F22" s="260" t="s">
        <v>749</v>
      </c>
      <c r="G22" s="197">
        <v>80</v>
      </c>
      <c r="H22" s="197">
        <v>100</v>
      </c>
      <c r="I22" s="197">
        <v>0</v>
      </c>
      <c r="J22" s="197">
        <v>8</v>
      </c>
      <c r="K22" s="260"/>
      <c r="L22" s="260" t="s">
        <v>629</v>
      </c>
      <c r="M22" s="260"/>
      <c r="N22" s="196">
        <v>1</v>
      </c>
      <c r="O22" s="260" t="s">
        <v>239</v>
      </c>
      <c r="P22" s="260" t="s">
        <v>514</v>
      </c>
      <c r="Q22" s="197">
        <v>80</v>
      </c>
      <c r="R22" s="197">
        <v>-8008</v>
      </c>
      <c r="S22" s="197">
        <v>0</v>
      </c>
      <c r="T22" s="197">
        <v>8008</v>
      </c>
      <c r="U22" s="197">
        <v>0</v>
      </c>
      <c r="V22" s="197">
        <v>71992</v>
      </c>
      <c r="W22" s="197">
        <v>80</v>
      </c>
      <c r="X22" s="197">
        <v>8008</v>
      </c>
    </row>
    <row r="23" spans="1:24" ht="14.5" x14ac:dyDescent="0.35">
      <c r="A23" s="260" t="s">
        <v>764</v>
      </c>
      <c r="B23" s="260" t="s">
        <v>565</v>
      </c>
      <c r="C23" s="190">
        <v>45659</v>
      </c>
      <c r="D23" s="196">
        <v>2</v>
      </c>
      <c r="E23" s="260" t="s">
        <v>93</v>
      </c>
      <c r="F23" s="260" t="s">
        <v>752</v>
      </c>
      <c r="G23" s="197">
        <v>100</v>
      </c>
      <c r="H23" s="197">
        <v>200</v>
      </c>
      <c r="I23" s="197">
        <v>0</v>
      </c>
      <c r="J23" s="197">
        <v>20</v>
      </c>
      <c r="K23" s="260"/>
      <c r="L23" s="260" t="s">
        <v>629</v>
      </c>
      <c r="M23" s="260"/>
      <c r="N23" s="196">
        <v>1</v>
      </c>
      <c r="O23" s="260" t="s">
        <v>239</v>
      </c>
      <c r="P23" s="260" t="s">
        <v>514</v>
      </c>
      <c r="Q23" s="197">
        <v>100</v>
      </c>
      <c r="R23" s="197">
        <v>-20020</v>
      </c>
      <c r="S23" s="197">
        <v>0</v>
      </c>
      <c r="T23" s="197">
        <v>20020</v>
      </c>
      <c r="U23" s="197">
        <v>0</v>
      </c>
      <c r="V23" s="197">
        <v>51972</v>
      </c>
      <c r="W23" s="197">
        <v>100</v>
      </c>
      <c r="X23" s="197">
        <v>20020</v>
      </c>
    </row>
    <row r="24" spans="1:24" ht="14.5" x14ac:dyDescent="0.35">
      <c r="A24" s="260" t="s">
        <v>767</v>
      </c>
      <c r="B24" s="260" t="s">
        <v>565</v>
      </c>
      <c r="C24" s="190">
        <v>45691</v>
      </c>
      <c r="D24" s="196">
        <v>1</v>
      </c>
      <c r="E24" s="260" t="s">
        <v>93</v>
      </c>
      <c r="F24" s="260" t="s">
        <v>754</v>
      </c>
      <c r="G24" s="197">
        <v>50</v>
      </c>
      <c r="H24" s="197">
        <v>82</v>
      </c>
      <c r="I24" s="197">
        <v>0</v>
      </c>
      <c r="J24" s="197">
        <v>4</v>
      </c>
      <c r="K24" s="260"/>
      <c r="L24" s="260" t="s">
        <v>629</v>
      </c>
      <c r="M24" s="260"/>
      <c r="N24" s="196">
        <v>1</v>
      </c>
      <c r="O24" s="260" t="s">
        <v>239</v>
      </c>
      <c r="P24" s="260" t="s">
        <v>514</v>
      </c>
      <c r="Q24" s="197">
        <v>50</v>
      </c>
      <c r="R24" s="197">
        <v>-4104</v>
      </c>
      <c r="S24" s="197">
        <v>0</v>
      </c>
      <c r="T24" s="197">
        <v>4104</v>
      </c>
      <c r="U24" s="197">
        <v>0</v>
      </c>
      <c r="V24" s="197">
        <v>47868</v>
      </c>
      <c r="W24" s="197">
        <v>50</v>
      </c>
      <c r="X24" s="197">
        <v>4104</v>
      </c>
    </row>
    <row r="25" spans="1:24" ht="14.5" x14ac:dyDescent="0.35">
      <c r="A25" s="260" t="s">
        <v>769</v>
      </c>
      <c r="B25" s="260" t="s">
        <v>565</v>
      </c>
      <c r="C25" s="190">
        <v>45719</v>
      </c>
      <c r="D25" s="196">
        <v>1</v>
      </c>
      <c r="E25" s="260" t="s">
        <v>90</v>
      </c>
      <c r="F25" s="260"/>
      <c r="G25" s="197">
        <v>0</v>
      </c>
      <c r="H25" s="197">
        <v>0</v>
      </c>
      <c r="I25" s="197">
        <v>5000</v>
      </c>
      <c r="J25" s="197">
        <v>0</v>
      </c>
      <c r="K25" s="260"/>
      <c r="L25" s="260" t="s">
        <v>629</v>
      </c>
      <c r="M25" s="260"/>
      <c r="N25" s="196">
        <v>1</v>
      </c>
      <c r="O25" s="260" t="s">
        <v>239</v>
      </c>
      <c r="P25" s="260" t="s">
        <v>514</v>
      </c>
      <c r="Q25" s="197">
        <v>0</v>
      </c>
      <c r="R25" s="197">
        <v>5000</v>
      </c>
      <c r="S25" s="197">
        <v>5000</v>
      </c>
      <c r="T25" s="197">
        <v>0</v>
      </c>
      <c r="U25" s="197">
        <v>0</v>
      </c>
      <c r="V25" s="197">
        <v>52868</v>
      </c>
      <c r="W25" s="197">
        <v>0</v>
      </c>
      <c r="X25" s="197">
        <v>0</v>
      </c>
    </row>
    <row r="26" spans="1:24" ht="14.5" x14ac:dyDescent="0.35">
      <c r="A26" s="260" t="s">
        <v>777</v>
      </c>
      <c r="B26" s="260" t="s">
        <v>565</v>
      </c>
      <c r="C26" s="190">
        <v>45887</v>
      </c>
      <c r="D26" s="196">
        <v>1</v>
      </c>
      <c r="E26" s="260" t="s">
        <v>580</v>
      </c>
      <c r="F26" s="260"/>
      <c r="G26" s="197">
        <v>0</v>
      </c>
      <c r="H26" s="197">
        <v>0</v>
      </c>
      <c r="I26" s="197">
        <v>5000</v>
      </c>
      <c r="J26" s="197">
        <v>0</v>
      </c>
      <c r="K26" s="260" t="s">
        <v>776</v>
      </c>
      <c r="L26" s="260" t="s">
        <v>629</v>
      </c>
      <c r="M26" s="260"/>
      <c r="N26" s="196">
        <v>1</v>
      </c>
      <c r="O26" s="260" t="s">
        <v>239</v>
      </c>
      <c r="P26" s="260" t="s">
        <v>514</v>
      </c>
      <c r="Q26" s="197">
        <v>0</v>
      </c>
      <c r="R26" s="197">
        <v>-5000</v>
      </c>
      <c r="S26" s="197">
        <v>-5000</v>
      </c>
      <c r="T26" s="197">
        <v>0</v>
      </c>
      <c r="U26" s="197">
        <v>0</v>
      </c>
      <c r="V26" s="197">
        <v>47868</v>
      </c>
      <c r="W26" s="197">
        <v>0</v>
      </c>
      <c r="X26" s="197">
        <v>0</v>
      </c>
    </row>
    <row r="27" spans="1:24" ht="14.5" x14ac:dyDescent="0.35">
      <c r="A27" s="260" t="s">
        <v>778</v>
      </c>
      <c r="B27" s="260" t="s">
        <v>565</v>
      </c>
      <c r="C27" s="190">
        <v>45901</v>
      </c>
      <c r="D27" s="196">
        <v>1</v>
      </c>
      <c r="E27" s="260" t="s">
        <v>114</v>
      </c>
      <c r="F27" s="260" t="s">
        <v>749</v>
      </c>
      <c r="G27" s="197">
        <v>60</v>
      </c>
      <c r="H27" s="197">
        <v>49</v>
      </c>
      <c r="I27" s="197">
        <v>0</v>
      </c>
      <c r="J27" s="197">
        <v>6</v>
      </c>
      <c r="K27" s="260"/>
      <c r="L27" s="260" t="s">
        <v>629</v>
      </c>
      <c r="M27" s="260"/>
      <c r="N27" s="196">
        <v>1</v>
      </c>
      <c r="O27" s="260" t="s">
        <v>239</v>
      </c>
      <c r="P27" s="260" t="s">
        <v>514</v>
      </c>
      <c r="Q27" s="197">
        <v>-60</v>
      </c>
      <c r="R27" s="197">
        <v>2934</v>
      </c>
      <c r="S27" s="197">
        <v>0</v>
      </c>
      <c r="T27" s="197">
        <v>-3003</v>
      </c>
      <c r="U27" s="197">
        <v>-69</v>
      </c>
      <c r="V27" s="197">
        <v>50802</v>
      </c>
      <c r="W27" s="197">
        <v>100</v>
      </c>
      <c r="X27" s="197">
        <v>5005</v>
      </c>
    </row>
    <row r="28" spans="1:24" ht="14.5" x14ac:dyDescent="0.35">
      <c r="A28" s="260" t="s">
        <v>786</v>
      </c>
      <c r="B28" s="260" t="s">
        <v>565</v>
      </c>
      <c r="C28" s="190">
        <v>46009</v>
      </c>
      <c r="D28" s="196">
        <v>1</v>
      </c>
      <c r="E28" s="260" t="s">
        <v>128</v>
      </c>
      <c r="F28" s="260"/>
      <c r="G28" s="197">
        <v>0</v>
      </c>
      <c r="H28" s="197">
        <v>0</v>
      </c>
      <c r="I28" s="197">
        <v>3000</v>
      </c>
      <c r="J28" s="197">
        <v>0</v>
      </c>
      <c r="K28" s="260"/>
      <c r="L28" s="260" t="s">
        <v>629</v>
      </c>
      <c r="M28" s="260"/>
      <c r="N28" s="196">
        <v>1</v>
      </c>
      <c r="O28" s="260" t="s">
        <v>239</v>
      </c>
      <c r="P28" s="260" t="s">
        <v>514</v>
      </c>
      <c r="Q28" s="197">
        <v>0</v>
      </c>
      <c r="R28" s="197">
        <v>-3000</v>
      </c>
      <c r="S28" s="197">
        <v>-3000</v>
      </c>
      <c r="T28" s="197">
        <v>0</v>
      </c>
      <c r="U28" s="197">
        <v>0</v>
      </c>
      <c r="V28" s="197">
        <v>48162</v>
      </c>
      <c r="W28" s="197">
        <v>0</v>
      </c>
      <c r="X28" s="197">
        <v>0</v>
      </c>
    </row>
    <row r="29" spans="1:24" ht="14.5" x14ac:dyDescent="0.35">
      <c r="A29" s="260" t="s">
        <v>789</v>
      </c>
      <c r="B29" s="260" t="s">
        <v>565</v>
      </c>
      <c r="C29" s="190">
        <v>46022</v>
      </c>
      <c r="D29" s="196">
        <v>1</v>
      </c>
      <c r="E29" s="260" t="s">
        <v>125</v>
      </c>
      <c r="F29" s="260"/>
      <c r="G29" s="197">
        <v>0</v>
      </c>
      <c r="H29" s="197">
        <v>0</v>
      </c>
      <c r="I29" s="197">
        <v>20</v>
      </c>
      <c r="J29" s="197">
        <v>0</v>
      </c>
      <c r="K29" s="260"/>
      <c r="L29" s="260" t="s">
        <v>629</v>
      </c>
      <c r="M29" s="260"/>
      <c r="N29" s="196">
        <v>1</v>
      </c>
      <c r="O29" s="260" t="s">
        <v>239</v>
      </c>
      <c r="P29" s="260" t="s">
        <v>514</v>
      </c>
      <c r="Q29" s="197">
        <v>0</v>
      </c>
      <c r="R29" s="197">
        <v>-20</v>
      </c>
      <c r="S29" s="197">
        <v>0</v>
      </c>
      <c r="T29" s="197">
        <v>0</v>
      </c>
      <c r="U29" s="197">
        <v>0</v>
      </c>
      <c r="V29" s="197">
        <v>48142</v>
      </c>
      <c r="W29" s="197">
        <v>0</v>
      </c>
      <c r="X29" s="197">
        <v>0</v>
      </c>
    </row>
    <row r="30" spans="1:24" ht="14.5" x14ac:dyDescent="0.35">
      <c r="A30" s="260" t="s">
        <v>758</v>
      </c>
      <c r="B30" s="260" t="s">
        <v>566</v>
      </c>
      <c r="C30" s="190">
        <v>45658</v>
      </c>
      <c r="D30" s="196">
        <v>1</v>
      </c>
      <c r="E30" s="260" t="s">
        <v>90</v>
      </c>
      <c r="F30" s="260"/>
      <c r="G30" s="197">
        <v>0</v>
      </c>
      <c r="H30" s="197">
        <v>0</v>
      </c>
      <c r="I30" s="197">
        <v>40000</v>
      </c>
      <c r="J30" s="197">
        <v>0</v>
      </c>
      <c r="K30" s="260"/>
      <c r="L30" s="260" t="s">
        <v>628</v>
      </c>
      <c r="M30" s="260"/>
      <c r="N30" s="196">
        <v>1</v>
      </c>
      <c r="O30" s="260" t="s">
        <v>239</v>
      </c>
      <c r="P30" s="260" t="s">
        <v>514</v>
      </c>
      <c r="Q30" s="197">
        <v>0</v>
      </c>
      <c r="R30" s="197">
        <v>40000</v>
      </c>
      <c r="S30" s="197">
        <v>40000</v>
      </c>
      <c r="T30" s="197">
        <v>0</v>
      </c>
      <c r="U30" s="197">
        <v>0</v>
      </c>
      <c r="V30" s="197">
        <v>40000</v>
      </c>
      <c r="W30" s="197">
        <v>0</v>
      </c>
      <c r="X30" s="197">
        <v>0</v>
      </c>
    </row>
    <row r="31" spans="1:24" ht="14.5" x14ac:dyDescent="0.35">
      <c r="A31" s="260" t="s">
        <v>770</v>
      </c>
      <c r="B31" s="260" t="s">
        <v>566</v>
      </c>
      <c r="C31" s="190">
        <v>45748</v>
      </c>
      <c r="D31" s="196">
        <v>1</v>
      </c>
      <c r="E31" s="260" t="s">
        <v>90</v>
      </c>
      <c r="F31" s="260"/>
      <c r="G31" s="197">
        <v>0</v>
      </c>
      <c r="H31" s="197">
        <v>0</v>
      </c>
      <c r="I31" s="197">
        <v>2000</v>
      </c>
      <c r="J31" s="197">
        <v>0</v>
      </c>
      <c r="K31" s="260"/>
      <c r="L31" s="260" t="s">
        <v>629</v>
      </c>
      <c r="M31" s="260"/>
      <c r="N31" s="196">
        <v>1</v>
      </c>
      <c r="O31" s="260" t="s">
        <v>239</v>
      </c>
      <c r="P31" s="260" t="s">
        <v>514</v>
      </c>
      <c r="Q31" s="197">
        <v>0</v>
      </c>
      <c r="R31" s="197">
        <v>2000</v>
      </c>
      <c r="S31" s="197">
        <v>2000</v>
      </c>
      <c r="T31" s="197">
        <v>0</v>
      </c>
      <c r="U31" s="197">
        <v>0</v>
      </c>
      <c r="V31" s="197">
        <v>42000</v>
      </c>
      <c r="W31" s="197">
        <v>0</v>
      </c>
      <c r="X31" s="197">
        <v>0</v>
      </c>
    </row>
    <row r="32" spans="1:24" ht="14.5" x14ac:dyDescent="0.35">
      <c r="A32" s="260" t="s">
        <v>787</v>
      </c>
      <c r="B32" s="260" t="s">
        <v>566</v>
      </c>
      <c r="C32" s="190">
        <v>46009</v>
      </c>
      <c r="D32" s="196">
        <v>1</v>
      </c>
      <c r="E32" s="260" t="s">
        <v>128</v>
      </c>
      <c r="F32" s="260"/>
      <c r="G32" s="197">
        <v>0</v>
      </c>
      <c r="H32" s="197">
        <v>0</v>
      </c>
      <c r="I32" s="197">
        <v>1000</v>
      </c>
      <c r="J32" s="197">
        <v>0</v>
      </c>
      <c r="K32" s="260"/>
      <c r="L32" s="260" t="s">
        <v>629</v>
      </c>
      <c r="M32" s="260"/>
      <c r="N32" s="196">
        <v>1</v>
      </c>
      <c r="O32" s="260" t="s">
        <v>239</v>
      </c>
      <c r="P32" s="260" t="s">
        <v>514</v>
      </c>
      <c r="Q32" s="197">
        <v>0</v>
      </c>
      <c r="R32" s="197">
        <v>-1000</v>
      </c>
      <c r="S32" s="197">
        <v>-1000</v>
      </c>
      <c r="T32" s="197">
        <v>0</v>
      </c>
      <c r="U32" s="197">
        <v>0</v>
      </c>
      <c r="V32" s="197">
        <v>41000</v>
      </c>
      <c r="W32" s="197">
        <v>0</v>
      </c>
      <c r="X32" s="197">
        <v>0</v>
      </c>
    </row>
    <row r="33" spans="1:24" ht="14.5" x14ac:dyDescent="0.35">
      <c r="A33" s="260" t="s">
        <v>790</v>
      </c>
      <c r="B33" s="260" t="s">
        <v>566</v>
      </c>
      <c r="C33" s="190">
        <v>46022</v>
      </c>
      <c r="D33" s="196">
        <v>1</v>
      </c>
      <c r="E33" s="260" t="s">
        <v>125</v>
      </c>
      <c r="F33" s="260"/>
      <c r="G33" s="197">
        <v>0</v>
      </c>
      <c r="H33" s="197">
        <v>0</v>
      </c>
      <c r="I33" s="197">
        <v>10</v>
      </c>
      <c r="J33" s="197">
        <v>0</v>
      </c>
      <c r="K33" s="260"/>
      <c r="L33" s="260" t="s">
        <v>629</v>
      </c>
      <c r="M33" s="260"/>
      <c r="N33" s="196">
        <v>1</v>
      </c>
      <c r="O33" s="260" t="s">
        <v>239</v>
      </c>
      <c r="P33" s="260" t="s">
        <v>514</v>
      </c>
      <c r="Q33" s="197">
        <v>0</v>
      </c>
      <c r="R33" s="197">
        <v>-10</v>
      </c>
      <c r="S33" s="197">
        <v>0</v>
      </c>
      <c r="T33" s="197">
        <v>0</v>
      </c>
      <c r="U33" s="197">
        <v>0</v>
      </c>
      <c r="V33" s="197">
        <v>40990</v>
      </c>
      <c r="W33" s="197">
        <v>0</v>
      </c>
      <c r="X33" s="197">
        <v>0</v>
      </c>
    </row>
    <row r="34" spans="1:24" ht="14.5" x14ac:dyDescent="0.35">
      <c r="A34" s="260" t="s">
        <v>759</v>
      </c>
      <c r="B34" s="260" t="s">
        <v>747</v>
      </c>
      <c r="C34" s="190">
        <v>45658</v>
      </c>
      <c r="D34" s="196">
        <v>1</v>
      </c>
      <c r="E34" s="260" t="s">
        <v>90</v>
      </c>
      <c r="F34" s="260"/>
      <c r="G34" s="197">
        <v>0</v>
      </c>
      <c r="H34" s="197">
        <v>0</v>
      </c>
      <c r="I34" s="197">
        <v>60000</v>
      </c>
      <c r="J34" s="197">
        <v>0</v>
      </c>
      <c r="K34" s="260"/>
      <c r="L34" s="260" t="s">
        <v>628</v>
      </c>
      <c r="M34" s="260"/>
      <c r="N34" s="196">
        <v>1</v>
      </c>
      <c r="O34" s="260" t="s">
        <v>239</v>
      </c>
      <c r="P34" s="260" t="s">
        <v>514</v>
      </c>
      <c r="Q34" s="197">
        <v>0</v>
      </c>
      <c r="R34" s="197">
        <v>60000</v>
      </c>
      <c r="S34" s="197">
        <v>60000</v>
      </c>
      <c r="T34" s="197">
        <v>0</v>
      </c>
      <c r="U34" s="197">
        <v>0</v>
      </c>
      <c r="V34" s="197">
        <v>60000</v>
      </c>
      <c r="W34" s="197">
        <v>0</v>
      </c>
      <c r="X34" s="197">
        <v>0</v>
      </c>
    </row>
    <row r="35" spans="1:24" ht="14.5" x14ac:dyDescent="0.35">
      <c r="A35" s="260" t="s">
        <v>765</v>
      </c>
      <c r="B35" s="260" t="s">
        <v>747</v>
      </c>
      <c r="C35" s="190">
        <v>45659</v>
      </c>
      <c r="D35" s="196">
        <v>1</v>
      </c>
      <c r="E35" s="260" t="s">
        <v>93</v>
      </c>
      <c r="F35" s="260" t="s">
        <v>749</v>
      </c>
      <c r="G35" s="197">
        <v>40</v>
      </c>
      <c r="H35" s="197">
        <v>100</v>
      </c>
      <c r="I35" s="197">
        <v>0</v>
      </c>
      <c r="J35" s="197">
        <v>4</v>
      </c>
      <c r="K35" s="260"/>
      <c r="L35" s="260" t="s">
        <v>629</v>
      </c>
      <c r="M35" s="260"/>
      <c r="N35" s="196">
        <v>1</v>
      </c>
      <c r="O35" s="260" t="s">
        <v>239</v>
      </c>
      <c r="P35" s="260" t="s">
        <v>514</v>
      </c>
      <c r="Q35" s="197">
        <v>40</v>
      </c>
      <c r="R35" s="197">
        <v>-4004</v>
      </c>
      <c r="S35" s="197">
        <v>0</v>
      </c>
      <c r="T35" s="197">
        <v>4004</v>
      </c>
      <c r="U35" s="197">
        <v>0</v>
      </c>
      <c r="V35" s="197">
        <v>55996</v>
      </c>
      <c r="W35" s="197">
        <v>40</v>
      </c>
      <c r="X35" s="197">
        <v>4004</v>
      </c>
    </row>
    <row r="36" spans="1:24" ht="14.5" x14ac:dyDescent="0.35">
      <c r="A36" s="260" t="s">
        <v>766</v>
      </c>
      <c r="B36" s="260" t="s">
        <v>747</v>
      </c>
      <c r="C36" s="190">
        <v>45659</v>
      </c>
      <c r="D36" s="196">
        <v>2</v>
      </c>
      <c r="E36" s="260" t="s">
        <v>93</v>
      </c>
      <c r="F36" s="260" t="s">
        <v>754</v>
      </c>
      <c r="G36" s="197">
        <v>100</v>
      </c>
      <c r="H36" s="197">
        <v>80</v>
      </c>
      <c r="I36" s="197">
        <v>0</v>
      </c>
      <c r="J36" s="197">
        <v>8</v>
      </c>
      <c r="K36" s="260"/>
      <c r="L36" s="260" t="s">
        <v>629</v>
      </c>
      <c r="M36" s="260"/>
      <c r="N36" s="196">
        <v>1</v>
      </c>
      <c r="O36" s="260" t="s">
        <v>239</v>
      </c>
      <c r="P36" s="260" t="s">
        <v>514</v>
      </c>
      <c r="Q36" s="197">
        <v>100</v>
      </c>
      <c r="R36" s="197">
        <v>-8008</v>
      </c>
      <c r="S36" s="197">
        <v>0</v>
      </c>
      <c r="T36" s="197">
        <v>8008</v>
      </c>
      <c r="U36" s="197">
        <v>0</v>
      </c>
      <c r="V36" s="197">
        <v>47988</v>
      </c>
      <c r="W36" s="197">
        <v>100</v>
      </c>
      <c r="X36" s="197">
        <v>8008</v>
      </c>
    </row>
    <row r="37" spans="1:24" ht="14.5" x14ac:dyDescent="0.35">
      <c r="A37" s="260" t="s">
        <v>772</v>
      </c>
      <c r="B37" s="260" t="s">
        <v>747</v>
      </c>
      <c r="C37" s="190">
        <v>45810</v>
      </c>
      <c r="D37" s="196">
        <v>1</v>
      </c>
      <c r="E37" s="260" t="s">
        <v>90</v>
      </c>
      <c r="F37" s="260"/>
      <c r="G37" s="197">
        <v>0</v>
      </c>
      <c r="H37" s="197">
        <v>0</v>
      </c>
      <c r="I37" s="197">
        <v>3000</v>
      </c>
      <c r="J37" s="197">
        <v>0</v>
      </c>
      <c r="K37" s="260"/>
      <c r="L37" s="260" t="s">
        <v>629</v>
      </c>
      <c r="M37" s="260"/>
      <c r="N37" s="196">
        <v>1</v>
      </c>
      <c r="O37" s="260" t="s">
        <v>239</v>
      </c>
      <c r="P37" s="260" t="s">
        <v>514</v>
      </c>
      <c r="Q37" s="197">
        <v>0</v>
      </c>
      <c r="R37" s="197">
        <v>3000</v>
      </c>
      <c r="S37" s="197">
        <v>3000</v>
      </c>
      <c r="T37" s="197">
        <v>0</v>
      </c>
      <c r="U37" s="197">
        <v>0</v>
      </c>
      <c r="V37" s="197">
        <v>50988</v>
      </c>
      <c r="W37" s="197">
        <v>0</v>
      </c>
      <c r="X37" s="197">
        <v>0</v>
      </c>
    </row>
    <row r="38" spans="1:24" ht="14.5" x14ac:dyDescent="0.35">
      <c r="A38" s="260" t="s">
        <v>774</v>
      </c>
      <c r="B38" s="260" t="s">
        <v>747</v>
      </c>
      <c r="C38" s="190">
        <v>45870</v>
      </c>
      <c r="D38" s="196">
        <v>1</v>
      </c>
      <c r="E38" s="260" t="s">
        <v>93</v>
      </c>
      <c r="F38" s="260" t="s">
        <v>752</v>
      </c>
      <c r="G38" s="197">
        <v>30</v>
      </c>
      <c r="H38" s="197">
        <v>178</v>
      </c>
      <c r="I38" s="197">
        <v>0</v>
      </c>
      <c r="J38" s="197">
        <v>3</v>
      </c>
      <c r="K38" s="260"/>
      <c r="L38" s="260" t="s">
        <v>629</v>
      </c>
      <c r="M38" s="260"/>
      <c r="N38" s="196">
        <v>1</v>
      </c>
      <c r="O38" s="260" t="s">
        <v>239</v>
      </c>
      <c r="P38" s="260" t="s">
        <v>514</v>
      </c>
      <c r="Q38" s="197">
        <v>30</v>
      </c>
      <c r="R38" s="197">
        <v>-5343</v>
      </c>
      <c r="S38" s="197">
        <v>0</v>
      </c>
      <c r="T38" s="197">
        <v>5343</v>
      </c>
      <c r="U38" s="197">
        <v>0</v>
      </c>
      <c r="V38" s="197">
        <v>45645</v>
      </c>
      <c r="W38" s="197">
        <v>30</v>
      </c>
      <c r="X38" s="197">
        <v>5343</v>
      </c>
    </row>
    <row r="39" spans="1:24" ht="14.5" x14ac:dyDescent="0.35">
      <c r="A39" s="260" t="s">
        <v>791</v>
      </c>
      <c r="B39" s="260" t="s">
        <v>747</v>
      </c>
      <c r="C39" s="190">
        <v>46022</v>
      </c>
      <c r="D39" s="196">
        <v>1</v>
      </c>
      <c r="E39" s="260" t="s">
        <v>125</v>
      </c>
      <c r="F39" s="260"/>
      <c r="G39" s="197">
        <v>0</v>
      </c>
      <c r="H39" s="197">
        <v>0</v>
      </c>
      <c r="I39" s="197">
        <v>15</v>
      </c>
      <c r="J39" s="197">
        <v>0</v>
      </c>
      <c r="K39" s="260"/>
      <c r="L39" s="260" t="s">
        <v>629</v>
      </c>
      <c r="M39" s="260"/>
      <c r="N39" s="196">
        <v>1</v>
      </c>
      <c r="O39" s="260" t="s">
        <v>239</v>
      </c>
      <c r="P39" s="260" t="s">
        <v>514</v>
      </c>
      <c r="Q39" s="197">
        <v>0</v>
      </c>
      <c r="R39" s="197">
        <v>-15</v>
      </c>
      <c r="S39" s="197">
        <v>0</v>
      </c>
      <c r="T39" s="197">
        <v>0</v>
      </c>
      <c r="U39" s="197">
        <v>0</v>
      </c>
      <c r="V39" s="197">
        <v>45840</v>
      </c>
      <c r="W39" s="197">
        <v>0</v>
      </c>
      <c r="X39" s="197">
        <v>0</v>
      </c>
    </row>
  </sheetData>
  <mergeCells count="2">
    <mergeCell ref="A1:P2"/>
    <mergeCell ref="A3:P4"/>
  </mergeCells>
  <phoneticPr fontId="136" type="noConversion"/>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E1DE2-7236-4677-931A-43EBCF56A67B}">
  <dimension ref="A1:P8"/>
  <sheetViews>
    <sheetView showGridLines="0" workbookViewId="0">
      <pane ySplit="6" topLeftCell="A7" activePane="bottomLeft" state="frozenSplit"/>
      <selection pane="bottomLeft" sqref="A1:P2"/>
    </sheetView>
  </sheetViews>
  <sheetFormatPr defaultColWidth="14.6328125" defaultRowHeight="20" customHeight="1" x14ac:dyDescent="0.35"/>
  <cols>
    <col min="1" max="3" width="19.6328125" style="186" customWidth="1"/>
    <col min="4" max="4" width="19.6328125" style="187" customWidth="1"/>
    <col min="5" max="6" width="19.6328125" style="186" customWidth="1"/>
    <col min="7" max="16384" width="14.6328125" style="184"/>
  </cols>
  <sheetData>
    <row r="1" spans="1:16" ht="20" customHeight="1" x14ac:dyDescent="0.35">
      <c r="A1" s="224" t="s">
        <v>611</v>
      </c>
      <c r="B1" s="224"/>
      <c r="C1" s="224"/>
      <c r="D1" s="224"/>
      <c r="E1" s="224"/>
      <c r="F1" s="224"/>
      <c r="G1" s="224"/>
      <c r="H1" s="224"/>
      <c r="I1" s="224"/>
      <c r="J1" s="224"/>
      <c r="K1" s="224"/>
      <c r="L1" s="224"/>
      <c r="M1" s="224"/>
      <c r="N1" s="224"/>
      <c r="O1" s="224"/>
      <c r="P1" s="224"/>
    </row>
    <row r="2" spans="1:16" ht="20" customHeight="1" x14ac:dyDescent="0.35">
      <c r="A2" s="224"/>
      <c r="B2" s="224"/>
      <c r="C2" s="224"/>
      <c r="D2" s="224"/>
      <c r="E2" s="224"/>
      <c r="F2" s="224"/>
      <c r="G2" s="224"/>
      <c r="H2" s="224"/>
      <c r="I2" s="224"/>
      <c r="J2" s="224"/>
      <c r="K2" s="224"/>
      <c r="L2" s="224"/>
      <c r="M2" s="224"/>
      <c r="N2" s="224"/>
      <c r="O2" s="224"/>
      <c r="P2" s="224"/>
    </row>
    <row r="3" spans="1:16" ht="20" customHeight="1" x14ac:dyDescent="0.35">
      <c r="A3" s="225" t="s">
        <v>612</v>
      </c>
      <c r="B3" s="225"/>
      <c r="C3" s="225"/>
      <c r="D3" s="225"/>
      <c r="E3" s="225"/>
      <c r="F3" s="225"/>
      <c r="G3" s="225"/>
      <c r="H3" s="225"/>
      <c r="I3" s="225"/>
      <c r="J3" s="225"/>
      <c r="K3" s="225"/>
      <c r="L3" s="225"/>
      <c r="M3" s="225"/>
      <c r="N3" s="225"/>
      <c r="O3" s="225"/>
      <c r="P3" s="225"/>
    </row>
    <row r="4" spans="1:16" ht="20" customHeight="1" x14ac:dyDescent="0.35">
      <c r="A4" s="225"/>
      <c r="B4" s="225"/>
      <c r="C4" s="225"/>
      <c r="D4" s="225"/>
      <c r="E4" s="225"/>
      <c r="F4" s="225"/>
      <c r="G4" s="225"/>
      <c r="H4" s="225"/>
      <c r="I4" s="225"/>
      <c r="J4" s="225"/>
      <c r="K4" s="225"/>
      <c r="L4" s="225"/>
      <c r="M4" s="225"/>
      <c r="N4" s="225"/>
      <c r="O4" s="225"/>
      <c r="P4" s="225"/>
    </row>
    <row r="6" spans="1:16" ht="20" customHeight="1" x14ac:dyDescent="0.35">
      <c r="A6" s="188" t="s">
        <v>557</v>
      </c>
      <c r="B6" s="188" t="s">
        <v>568</v>
      </c>
      <c r="C6" s="188" t="s">
        <v>613</v>
      </c>
      <c r="D6" s="189" t="s">
        <v>614</v>
      </c>
      <c r="E6" s="188" t="s">
        <v>615</v>
      </c>
      <c r="F6" s="188" t="s">
        <v>616</v>
      </c>
    </row>
    <row r="7" spans="1:16" ht="20" customHeight="1" x14ac:dyDescent="0.35">
      <c r="A7" s="191" t="s">
        <v>563</v>
      </c>
      <c r="B7" s="191" t="s">
        <v>749</v>
      </c>
      <c r="C7" s="191" t="s">
        <v>617</v>
      </c>
      <c r="D7" s="192">
        <v>46022</v>
      </c>
      <c r="E7" s="191" t="s">
        <v>618</v>
      </c>
      <c r="F7" s="258" t="str">
        <f>AP_Notes[[#This Row],[PortfolioID]]&amp;"|"&amp;AP_Notes[[#This Row],[InstrumentID]]</f>
        <v>P1|S_ALPHA</v>
      </c>
    </row>
    <row r="8" spans="1:16" ht="20" customHeight="1" x14ac:dyDescent="0.35">
      <c r="A8" s="191" t="s">
        <v>565</v>
      </c>
      <c r="B8" s="191" t="s">
        <v>749</v>
      </c>
      <c r="C8" s="191" t="s">
        <v>619</v>
      </c>
      <c r="D8" s="192">
        <v>46022</v>
      </c>
      <c r="E8" s="191" t="s">
        <v>620</v>
      </c>
      <c r="F8" s="258" t="str">
        <f>AP_Notes[[#This Row],[PortfolioID]]&amp;"|"&amp;AP_Notes[[#This Row],[InstrumentID]]</f>
        <v>P2|S_ALPHA</v>
      </c>
    </row>
  </sheetData>
  <mergeCells count="2">
    <mergeCell ref="A1:P2"/>
    <mergeCell ref="A3:P4"/>
  </mergeCells>
  <dataValidations count="2">
    <dataValidation type="list" showInputMessage="1" showErrorMessage="1" sqref="A7:A8" xr:uid="{481874BD-3131-4CFB-8ECA-66E05460DD8A}">
      <formula1>AP_IndividualList</formula1>
    </dataValidation>
    <dataValidation type="list" showInputMessage="1" showErrorMessage="1" sqref="B7:B8" xr:uid="{388D6B86-1CC7-4A03-8BF1-93518A022EAC}">
      <formula1>AP_InstrumentList</formula1>
    </dataValidation>
  </dataValidation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1ABF2-F2CE-489B-9823-7FAFEA629860}">
  <dimension ref="A1:P16"/>
  <sheetViews>
    <sheetView showGridLines="0" workbookViewId="0">
      <pane ySplit="6" topLeftCell="A7" activePane="bottomLeft" state="frozenSplit"/>
      <selection pane="bottomLeft"/>
    </sheetView>
  </sheetViews>
  <sheetFormatPr defaultColWidth="14.6328125" defaultRowHeight="20" customHeight="1" x14ac:dyDescent="0.35"/>
  <cols>
    <col min="1" max="2" width="19.6328125" style="186" customWidth="1"/>
    <col min="3" max="16384" width="14.6328125" style="184"/>
  </cols>
  <sheetData>
    <row r="1" spans="1:16" ht="20" customHeight="1" x14ac:dyDescent="0.35">
      <c r="A1" s="224" t="s">
        <v>598</v>
      </c>
      <c r="B1" s="224"/>
      <c r="C1" s="224"/>
      <c r="D1" s="224"/>
      <c r="E1" s="224"/>
      <c r="F1" s="224"/>
      <c r="G1" s="224"/>
      <c r="H1" s="224"/>
      <c r="I1" s="224"/>
      <c r="J1" s="224"/>
      <c r="K1" s="224"/>
      <c r="L1" s="224"/>
      <c r="M1" s="224"/>
      <c r="N1" s="224"/>
      <c r="O1" s="224"/>
      <c r="P1" s="224"/>
    </row>
    <row r="2" spans="1:16" ht="20" customHeight="1" x14ac:dyDescent="0.35">
      <c r="A2" s="224"/>
      <c r="B2" s="224"/>
      <c r="C2" s="224"/>
      <c r="D2" s="224"/>
      <c r="E2" s="224"/>
      <c r="F2" s="224"/>
      <c r="G2" s="224"/>
      <c r="H2" s="224"/>
      <c r="I2" s="224"/>
      <c r="J2" s="224"/>
      <c r="K2" s="224"/>
      <c r="L2" s="224"/>
      <c r="M2" s="224"/>
      <c r="N2" s="224"/>
      <c r="O2" s="224"/>
      <c r="P2" s="224"/>
    </row>
    <row r="3" spans="1:16" ht="20" customHeight="1" x14ac:dyDescent="0.35">
      <c r="A3" s="225" t="s">
        <v>556</v>
      </c>
      <c r="B3" s="225"/>
      <c r="C3" s="225"/>
      <c r="D3" s="225"/>
      <c r="E3" s="225"/>
      <c r="F3" s="225"/>
      <c r="G3" s="225"/>
      <c r="H3" s="225"/>
      <c r="I3" s="225"/>
      <c r="J3" s="225"/>
      <c r="K3" s="225"/>
      <c r="L3" s="225"/>
      <c r="M3" s="225"/>
      <c r="N3" s="225"/>
      <c r="O3" s="225"/>
      <c r="P3" s="225"/>
    </row>
    <row r="4" spans="1:16" ht="20" customHeight="1" x14ac:dyDescent="0.35">
      <c r="A4" s="225"/>
      <c r="B4" s="225"/>
      <c r="C4" s="225"/>
      <c r="D4" s="225"/>
      <c r="E4" s="225"/>
      <c r="F4" s="225"/>
      <c r="G4" s="225"/>
      <c r="H4" s="225"/>
      <c r="I4" s="225"/>
      <c r="J4" s="225"/>
      <c r="K4" s="225"/>
      <c r="L4" s="225"/>
      <c r="M4" s="225"/>
      <c r="N4" s="225"/>
      <c r="O4" s="225"/>
      <c r="P4" s="225"/>
    </row>
    <row r="6" spans="1:16" ht="20" customHeight="1" x14ac:dyDescent="0.35">
      <c r="A6" s="188" t="s">
        <v>599</v>
      </c>
      <c r="B6" s="188" t="s">
        <v>142</v>
      </c>
    </row>
    <row r="7" spans="1:16" ht="20" customHeight="1" x14ac:dyDescent="0.35">
      <c r="A7" s="191" t="s">
        <v>600</v>
      </c>
      <c r="B7" s="191" t="s">
        <v>793</v>
      </c>
    </row>
    <row r="8" spans="1:16" ht="20" customHeight="1" x14ac:dyDescent="0.35">
      <c r="A8" s="191" t="s">
        <v>607</v>
      </c>
      <c r="B8" s="191" t="s">
        <v>608</v>
      </c>
    </row>
    <row r="9" spans="1:16" ht="20" customHeight="1" x14ac:dyDescent="0.35">
      <c r="A9" s="191" t="s">
        <v>609</v>
      </c>
      <c r="B9" s="191" t="s">
        <v>610</v>
      </c>
    </row>
    <row r="10" spans="1:16" ht="20" customHeight="1" x14ac:dyDescent="0.35">
      <c r="A10" s="191" t="s">
        <v>601</v>
      </c>
      <c r="B10" s="191" t="s">
        <v>602</v>
      </c>
    </row>
    <row r="11" spans="1:16" ht="20" customHeight="1" x14ac:dyDescent="0.35">
      <c r="A11" s="191" t="s">
        <v>603</v>
      </c>
      <c r="B11" s="191"/>
    </row>
    <row r="12" spans="1:16" ht="20" customHeight="1" x14ac:dyDescent="0.35">
      <c r="A12" s="191" t="s">
        <v>604</v>
      </c>
      <c r="B12" s="191" t="s">
        <v>1580</v>
      </c>
    </row>
    <row r="13" spans="1:16" ht="20" customHeight="1" x14ac:dyDescent="0.35">
      <c r="A13" s="191" t="s">
        <v>605</v>
      </c>
      <c r="B13" s="191" t="s">
        <v>1581</v>
      </c>
    </row>
    <row r="14" spans="1:16" ht="20" customHeight="1" x14ac:dyDescent="0.35">
      <c r="A14" s="191" t="s">
        <v>606</v>
      </c>
      <c r="B14" s="191" t="s">
        <v>1582</v>
      </c>
    </row>
    <row r="15" spans="1:16" ht="20" customHeight="1" x14ac:dyDescent="0.35">
      <c r="A15" s="191" t="s">
        <v>1583</v>
      </c>
      <c r="B15" s="191" t="s">
        <v>1584</v>
      </c>
    </row>
    <row r="16" spans="1:16" ht="20" customHeight="1" x14ac:dyDescent="0.35">
      <c r="A16" s="191" t="s">
        <v>1585</v>
      </c>
      <c r="B16" s="191" t="s">
        <v>1586</v>
      </c>
    </row>
  </sheetData>
  <mergeCells count="2">
    <mergeCell ref="A1:P2"/>
    <mergeCell ref="A3:P4"/>
  </mergeCell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600C3-2F0A-4C06-BA63-D05F6A4E1E12}">
  <dimension ref="A1:P372"/>
  <sheetViews>
    <sheetView showGridLines="0" workbookViewId="0">
      <pane ySplit="6" topLeftCell="A7" activePane="bottomLeft" state="frozenSplit"/>
      <selection pane="bottomLeft"/>
    </sheetView>
  </sheetViews>
  <sheetFormatPr defaultColWidth="14.6328125" defaultRowHeight="20" customHeight="1" x14ac:dyDescent="0.35"/>
  <cols>
    <col min="1" max="1" width="19.6328125" style="187" customWidth="1"/>
    <col min="2" max="2" width="19.6328125" style="186" customWidth="1"/>
    <col min="3" max="16384" width="14.6328125" style="184"/>
  </cols>
  <sheetData>
    <row r="1" spans="1:16" ht="20" customHeight="1" x14ac:dyDescent="0.35">
      <c r="A1" s="224" t="s">
        <v>596</v>
      </c>
      <c r="B1" s="224"/>
      <c r="C1" s="224"/>
      <c r="D1" s="224"/>
      <c r="E1" s="224"/>
      <c r="F1" s="224"/>
      <c r="G1" s="224"/>
      <c r="H1" s="224"/>
      <c r="I1" s="224"/>
      <c r="J1" s="224"/>
      <c r="K1" s="224"/>
      <c r="L1" s="224"/>
      <c r="M1" s="224"/>
      <c r="N1" s="224"/>
      <c r="O1" s="224"/>
      <c r="P1" s="224"/>
    </row>
    <row r="2" spans="1:16" ht="20" customHeight="1" x14ac:dyDescent="0.35">
      <c r="A2" s="224"/>
      <c r="B2" s="224"/>
      <c r="C2" s="224"/>
      <c r="D2" s="224"/>
      <c r="E2" s="224"/>
      <c r="F2" s="224"/>
      <c r="G2" s="224"/>
      <c r="H2" s="224"/>
      <c r="I2" s="224"/>
      <c r="J2" s="224"/>
      <c r="K2" s="224"/>
      <c r="L2" s="224"/>
      <c r="M2" s="224"/>
      <c r="N2" s="224"/>
      <c r="O2" s="224"/>
      <c r="P2" s="224"/>
    </row>
    <row r="3" spans="1:16" ht="20" customHeight="1" x14ac:dyDescent="0.35">
      <c r="A3" s="225" t="s">
        <v>556</v>
      </c>
      <c r="B3" s="225"/>
      <c r="C3" s="225"/>
      <c r="D3" s="225"/>
      <c r="E3" s="225"/>
      <c r="F3" s="225"/>
      <c r="G3" s="225"/>
      <c r="H3" s="225"/>
      <c r="I3" s="225"/>
      <c r="J3" s="225"/>
      <c r="K3" s="225"/>
      <c r="L3" s="225"/>
      <c r="M3" s="225"/>
      <c r="N3" s="225"/>
      <c r="O3" s="225"/>
      <c r="P3" s="225"/>
    </row>
    <row r="4" spans="1:16" ht="20" customHeight="1" x14ac:dyDescent="0.35">
      <c r="A4" s="225"/>
      <c r="B4" s="225"/>
      <c r="C4" s="225"/>
      <c r="D4" s="225"/>
      <c r="E4" s="225"/>
      <c r="F4" s="225"/>
      <c r="G4" s="225"/>
      <c r="H4" s="225"/>
      <c r="I4" s="225"/>
      <c r="J4" s="225"/>
      <c r="K4" s="225"/>
      <c r="L4" s="225"/>
      <c r="M4" s="225"/>
      <c r="N4" s="225"/>
      <c r="O4" s="225"/>
      <c r="P4" s="225"/>
    </row>
    <row r="6" spans="1:16" ht="20" customHeight="1" x14ac:dyDescent="0.35">
      <c r="A6" s="189" t="s">
        <v>72</v>
      </c>
      <c r="B6" s="188" t="s">
        <v>597</v>
      </c>
    </row>
    <row r="7" spans="1:16" ht="20" customHeight="1" x14ac:dyDescent="0.35">
      <c r="A7" s="192">
        <v>45657</v>
      </c>
      <c r="B7" s="191" t="s">
        <v>230</v>
      </c>
    </row>
    <row r="8" spans="1:16" ht="20" customHeight="1" x14ac:dyDescent="0.35">
      <c r="A8" s="192">
        <v>45658</v>
      </c>
      <c r="B8" s="191" t="s">
        <v>230</v>
      </c>
    </row>
    <row r="9" spans="1:16" ht="20" customHeight="1" x14ac:dyDescent="0.35">
      <c r="A9" s="192">
        <v>45659</v>
      </c>
      <c r="B9" s="191" t="s">
        <v>230</v>
      </c>
    </row>
    <row r="10" spans="1:16" ht="20" customHeight="1" x14ac:dyDescent="0.35">
      <c r="A10" s="192">
        <v>45660</v>
      </c>
      <c r="B10" s="191" t="s">
        <v>230</v>
      </c>
    </row>
    <row r="11" spans="1:16" ht="20" customHeight="1" x14ac:dyDescent="0.35">
      <c r="A11" s="192">
        <v>45661</v>
      </c>
      <c r="B11" s="191" t="s">
        <v>232</v>
      </c>
    </row>
    <row r="12" spans="1:16" ht="20" customHeight="1" x14ac:dyDescent="0.35">
      <c r="A12" s="192">
        <v>45662</v>
      </c>
      <c r="B12" s="191" t="s">
        <v>232</v>
      </c>
    </row>
    <row r="13" spans="1:16" ht="20" customHeight="1" x14ac:dyDescent="0.35">
      <c r="A13" s="192">
        <v>45663</v>
      </c>
      <c r="B13" s="191" t="s">
        <v>230</v>
      </c>
    </row>
    <row r="14" spans="1:16" ht="20" customHeight="1" x14ac:dyDescent="0.35">
      <c r="A14" s="192">
        <v>45664</v>
      </c>
      <c r="B14" s="191" t="s">
        <v>230</v>
      </c>
    </row>
    <row r="15" spans="1:16" ht="20" customHeight="1" x14ac:dyDescent="0.35">
      <c r="A15" s="192">
        <v>45665</v>
      </c>
      <c r="B15" s="191" t="s">
        <v>230</v>
      </c>
    </row>
    <row r="16" spans="1:16" ht="20" customHeight="1" x14ac:dyDescent="0.35">
      <c r="A16" s="192">
        <v>45666</v>
      </c>
      <c r="B16" s="191" t="s">
        <v>230</v>
      </c>
    </row>
    <row r="17" spans="1:2" ht="20" customHeight="1" x14ac:dyDescent="0.35">
      <c r="A17" s="192">
        <v>45667</v>
      </c>
      <c r="B17" s="191" t="s">
        <v>230</v>
      </c>
    </row>
    <row r="18" spans="1:2" ht="20" customHeight="1" x14ac:dyDescent="0.35">
      <c r="A18" s="192">
        <v>45668</v>
      </c>
      <c r="B18" s="191" t="s">
        <v>232</v>
      </c>
    </row>
    <row r="19" spans="1:2" ht="20" customHeight="1" x14ac:dyDescent="0.35">
      <c r="A19" s="192">
        <v>45669</v>
      </c>
      <c r="B19" s="191" t="s">
        <v>232</v>
      </c>
    </row>
    <row r="20" spans="1:2" ht="20" customHeight="1" x14ac:dyDescent="0.35">
      <c r="A20" s="192">
        <v>45670</v>
      </c>
      <c r="B20" s="191" t="s">
        <v>230</v>
      </c>
    </row>
    <row r="21" spans="1:2" ht="20" customHeight="1" x14ac:dyDescent="0.35">
      <c r="A21" s="192">
        <v>45671</v>
      </c>
      <c r="B21" s="191" t="s">
        <v>230</v>
      </c>
    </row>
    <row r="22" spans="1:2" ht="20" customHeight="1" x14ac:dyDescent="0.35">
      <c r="A22" s="192">
        <v>45672</v>
      </c>
      <c r="B22" s="191" t="s">
        <v>230</v>
      </c>
    </row>
    <row r="23" spans="1:2" ht="20" customHeight="1" x14ac:dyDescent="0.35">
      <c r="A23" s="192">
        <v>45673</v>
      </c>
      <c r="B23" s="191" t="s">
        <v>230</v>
      </c>
    </row>
    <row r="24" spans="1:2" ht="20" customHeight="1" x14ac:dyDescent="0.35">
      <c r="A24" s="192">
        <v>45674</v>
      </c>
      <c r="B24" s="191" t="s">
        <v>230</v>
      </c>
    </row>
    <row r="25" spans="1:2" ht="20" customHeight="1" x14ac:dyDescent="0.35">
      <c r="A25" s="192">
        <v>45675</v>
      </c>
      <c r="B25" s="191" t="s">
        <v>232</v>
      </c>
    </row>
    <row r="26" spans="1:2" ht="20" customHeight="1" x14ac:dyDescent="0.35">
      <c r="A26" s="192">
        <v>45676</v>
      </c>
      <c r="B26" s="191" t="s">
        <v>232</v>
      </c>
    </row>
    <row r="27" spans="1:2" ht="20" customHeight="1" x14ac:dyDescent="0.35">
      <c r="A27" s="192">
        <v>45677</v>
      </c>
      <c r="B27" s="191" t="s">
        <v>230</v>
      </c>
    </row>
    <row r="28" spans="1:2" ht="20" customHeight="1" x14ac:dyDescent="0.35">
      <c r="A28" s="192">
        <v>45678</v>
      </c>
      <c r="B28" s="191" t="s">
        <v>230</v>
      </c>
    </row>
    <row r="29" spans="1:2" ht="20" customHeight="1" x14ac:dyDescent="0.35">
      <c r="A29" s="192">
        <v>45679</v>
      </c>
      <c r="B29" s="191" t="s">
        <v>230</v>
      </c>
    </row>
    <row r="30" spans="1:2" ht="20" customHeight="1" x14ac:dyDescent="0.35">
      <c r="A30" s="192">
        <v>45680</v>
      </c>
      <c r="B30" s="191" t="s">
        <v>230</v>
      </c>
    </row>
    <row r="31" spans="1:2" ht="20" customHeight="1" x14ac:dyDescent="0.35">
      <c r="A31" s="192">
        <v>45681</v>
      </c>
      <c r="B31" s="191" t="s">
        <v>230</v>
      </c>
    </row>
    <row r="32" spans="1:2" ht="20" customHeight="1" x14ac:dyDescent="0.35">
      <c r="A32" s="192">
        <v>45682</v>
      </c>
      <c r="B32" s="191" t="s">
        <v>232</v>
      </c>
    </row>
    <row r="33" spans="1:2" ht="20" customHeight="1" x14ac:dyDescent="0.35">
      <c r="A33" s="192">
        <v>45683</v>
      </c>
      <c r="B33" s="191" t="s">
        <v>232</v>
      </c>
    </row>
    <row r="34" spans="1:2" ht="20" customHeight="1" x14ac:dyDescent="0.35">
      <c r="A34" s="192">
        <v>45684</v>
      </c>
      <c r="B34" s="191" t="s">
        <v>230</v>
      </c>
    </row>
    <row r="35" spans="1:2" ht="20" customHeight="1" x14ac:dyDescent="0.35">
      <c r="A35" s="192">
        <v>45685</v>
      </c>
      <c r="B35" s="191" t="s">
        <v>230</v>
      </c>
    </row>
    <row r="36" spans="1:2" ht="20" customHeight="1" x14ac:dyDescent="0.35">
      <c r="A36" s="192">
        <v>45686</v>
      </c>
      <c r="B36" s="191" t="s">
        <v>230</v>
      </c>
    </row>
    <row r="37" spans="1:2" ht="20" customHeight="1" x14ac:dyDescent="0.35">
      <c r="A37" s="192">
        <v>45687</v>
      </c>
      <c r="B37" s="191" t="s">
        <v>230</v>
      </c>
    </row>
    <row r="38" spans="1:2" ht="20" customHeight="1" x14ac:dyDescent="0.35">
      <c r="A38" s="192">
        <v>45688</v>
      </c>
      <c r="B38" s="191" t="s">
        <v>230</v>
      </c>
    </row>
    <row r="39" spans="1:2" ht="20" customHeight="1" x14ac:dyDescent="0.35">
      <c r="A39" s="192">
        <v>45689</v>
      </c>
      <c r="B39" s="191" t="s">
        <v>232</v>
      </c>
    </row>
    <row r="40" spans="1:2" ht="20" customHeight="1" x14ac:dyDescent="0.35">
      <c r="A40" s="192">
        <v>45690</v>
      </c>
      <c r="B40" s="191" t="s">
        <v>232</v>
      </c>
    </row>
    <row r="41" spans="1:2" ht="20" customHeight="1" x14ac:dyDescent="0.35">
      <c r="A41" s="192">
        <v>45691</v>
      </c>
      <c r="B41" s="191" t="s">
        <v>230</v>
      </c>
    </row>
    <row r="42" spans="1:2" ht="20" customHeight="1" x14ac:dyDescent="0.35">
      <c r="A42" s="192">
        <v>45692</v>
      </c>
      <c r="B42" s="191" t="s">
        <v>230</v>
      </c>
    </row>
    <row r="43" spans="1:2" ht="20" customHeight="1" x14ac:dyDescent="0.35">
      <c r="A43" s="192">
        <v>45693</v>
      </c>
      <c r="B43" s="191" t="s">
        <v>230</v>
      </c>
    </row>
    <row r="44" spans="1:2" ht="20" customHeight="1" x14ac:dyDescent="0.35">
      <c r="A44" s="192">
        <v>45694</v>
      </c>
      <c r="B44" s="191" t="s">
        <v>230</v>
      </c>
    </row>
    <row r="45" spans="1:2" ht="20" customHeight="1" x14ac:dyDescent="0.35">
      <c r="A45" s="192">
        <v>45695</v>
      </c>
      <c r="B45" s="191" t="s">
        <v>230</v>
      </c>
    </row>
    <row r="46" spans="1:2" ht="20" customHeight="1" x14ac:dyDescent="0.35">
      <c r="A46" s="192">
        <v>45696</v>
      </c>
      <c r="B46" s="191" t="s">
        <v>232</v>
      </c>
    </row>
    <row r="47" spans="1:2" ht="20" customHeight="1" x14ac:dyDescent="0.35">
      <c r="A47" s="192">
        <v>45697</v>
      </c>
      <c r="B47" s="191" t="s">
        <v>232</v>
      </c>
    </row>
    <row r="48" spans="1:2" ht="20" customHeight="1" x14ac:dyDescent="0.35">
      <c r="A48" s="192">
        <v>45698</v>
      </c>
      <c r="B48" s="191" t="s">
        <v>230</v>
      </c>
    </row>
    <row r="49" spans="1:2" ht="20" customHeight="1" x14ac:dyDescent="0.35">
      <c r="A49" s="192">
        <v>45699</v>
      </c>
      <c r="B49" s="191" t="s">
        <v>230</v>
      </c>
    </row>
    <row r="50" spans="1:2" ht="20" customHeight="1" x14ac:dyDescent="0.35">
      <c r="A50" s="192">
        <v>45700</v>
      </c>
      <c r="B50" s="191" t="s">
        <v>230</v>
      </c>
    </row>
    <row r="51" spans="1:2" ht="20" customHeight="1" x14ac:dyDescent="0.35">
      <c r="A51" s="192">
        <v>45701</v>
      </c>
      <c r="B51" s="191" t="s">
        <v>230</v>
      </c>
    </row>
    <row r="52" spans="1:2" ht="20" customHeight="1" x14ac:dyDescent="0.35">
      <c r="A52" s="192">
        <v>45702</v>
      </c>
      <c r="B52" s="191" t="s">
        <v>230</v>
      </c>
    </row>
    <row r="53" spans="1:2" ht="20" customHeight="1" x14ac:dyDescent="0.35">
      <c r="A53" s="192">
        <v>45703</v>
      </c>
      <c r="B53" s="191" t="s">
        <v>232</v>
      </c>
    </row>
    <row r="54" spans="1:2" ht="20" customHeight="1" x14ac:dyDescent="0.35">
      <c r="A54" s="192">
        <v>45704</v>
      </c>
      <c r="B54" s="191" t="s">
        <v>232</v>
      </c>
    </row>
    <row r="55" spans="1:2" ht="20" customHeight="1" x14ac:dyDescent="0.35">
      <c r="A55" s="192">
        <v>45705</v>
      </c>
      <c r="B55" s="191" t="s">
        <v>230</v>
      </c>
    </row>
    <row r="56" spans="1:2" ht="20" customHeight="1" x14ac:dyDescent="0.35">
      <c r="A56" s="192">
        <v>45706</v>
      </c>
      <c r="B56" s="191" t="s">
        <v>230</v>
      </c>
    </row>
    <row r="57" spans="1:2" ht="20" customHeight="1" x14ac:dyDescent="0.35">
      <c r="A57" s="192">
        <v>45707</v>
      </c>
      <c r="B57" s="191" t="s">
        <v>230</v>
      </c>
    </row>
    <row r="58" spans="1:2" ht="20" customHeight="1" x14ac:dyDescent="0.35">
      <c r="A58" s="192">
        <v>45708</v>
      </c>
      <c r="B58" s="191" t="s">
        <v>230</v>
      </c>
    </row>
    <row r="59" spans="1:2" ht="20" customHeight="1" x14ac:dyDescent="0.35">
      <c r="A59" s="192">
        <v>45709</v>
      </c>
      <c r="B59" s="191" t="s">
        <v>230</v>
      </c>
    </row>
    <row r="60" spans="1:2" ht="20" customHeight="1" x14ac:dyDescent="0.35">
      <c r="A60" s="192">
        <v>45710</v>
      </c>
      <c r="B60" s="191" t="s">
        <v>232</v>
      </c>
    </row>
    <row r="61" spans="1:2" ht="20" customHeight="1" x14ac:dyDescent="0.35">
      <c r="A61" s="192">
        <v>45711</v>
      </c>
      <c r="B61" s="191" t="s">
        <v>232</v>
      </c>
    </row>
    <row r="62" spans="1:2" ht="20" customHeight="1" x14ac:dyDescent="0.35">
      <c r="A62" s="192">
        <v>45712</v>
      </c>
      <c r="B62" s="191" t="s">
        <v>230</v>
      </c>
    </row>
    <row r="63" spans="1:2" ht="20" customHeight="1" x14ac:dyDescent="0.35">
      <c r="A63" s="192">
        <v>45713</v>
      </c>
      <c r="B63" s="191" t="s">
        <v>230</v>
      </c>
    </row>
    <row r="64" spans="1:2" ht="20" customHeight="1" x14ac:dyDescent="0.35">
      <c r="A64" s="192">
        <v>45714</v>
      </c>
      <c r="B64" s="191" t="s">
        <v>230</v>
      </c>
    </row>
    <row r="65" spans="1:2" ht="20" customHeight="1" x14ac:dyDescent="0.35">
      <c r="A65" s="192">
        <v>45715</v>
      </c>
      <c r="B65" s="191" t="s">
        <v>230</v>
      </c>
    </row>
    <row r="66" spans="1:2" ht="20" customHeight="1" x14ac:dyDescent="0.35">
      <c r="A66" s="192">
        <v>45716</v>
      </c>
      <c r="B66" s="191" t="s">
        <v>230</v>
      </c>
    </row>
    <row r="67" spans="1:2" ht="20" customHeight="1" x14ac:dyDescent="0.35">
      <c r="A67" s="192">
        <v>45717</v>
      </c>
      <c r="B67" s="191" t="s">
        <v>232</v>
      </c>
    </row>
    <row r="68" spans="1:2" ht="20" customHeight="1" x14ac:dyDescent="0.35">
      <c r="A68" s="192">
        <v>45718</v>
      </c>
      <c r="B68" s="191" t="s">
        <v>232</v>
      </c>
    </row>
    <row r="69" spans="1:2" ht="20" customHeight="1" x14ac:dyDescent="0.35">
      <c r="A69" s="192">
        <v>45719</v>
      </c>
      <c r="B69" s="191" t="s">
        <v>230</v>
      </c>
    </row>
    <row r="70" spans="1:2" ht="20" customHeight="1" x14ac:dyDescent="0.35">
      <c r="A70" s="192">
        <v>45720</v>
      </c>
      <c r="B70" s="191" t="s">
        <v>230</v>
      </c>
    </row>
    <row r="71" spans="1:2" ht="20" customHeight="1" x14ac:dyDescent="0.35">
      <c r="A71" s="192">
        <v>45721</v>
      </c>
      <c r="B71" s="191" t="s">
        <v>230</v>
      </c>
    </row>
    <row r="72" spans="1:2" ht="20" customHeight="1" x14ac:dyDescent="0.35">
      <c r="A72" s="192">
        <v>45722</v>
      </c>
      <c r="B72" s="191" t="s">
        <v>230</v>
      </c>
    </row>
    <row r="73" spans="1:2" ht="20" customHeight="1" x14ac:dyDescent="0.35">
      <c r="A73" s="192">
        <v>45723</v>
      </c>
      <c r="B73" s="191" t="s">
        <v>230</v>
      </c>
    </row>
    <row r="74" spans="1:2" ht="20" customHeight="1" x14ac:dyDescent="0.35">
      <c r="A74" s="192">
        <v>45724</v>
      </c>
      <c r="B74" s="191" t="s">
        <v>232</v>
      </c>
    </row>
    <row r="75" spans="1:2" ht="20" customHeight="1" x14ac:dyDescent="0.35">
      <c r="A75" s="192">
        <v>45725</v>
      </c>
      <c r="B75" s="191" t="s">
        <v>232</v>
      </c>
    </row>
    <row r="76" spans="1:2" ht="20" customHeight="1" x14ac:dyDescent="0.35">
      <c r="A76" s="192">
        <v>45726</v>
      </c>
      <c r="B76" s="191" t="s">
        <v>230</v>
      </c>
    </row>
    <row r="77" spans="1:2" ht="20" customHeight="1" x14ac:dyDescent="0.35">
      <c r="A77" s="192">
        <v>45727</v>
      </c>
      <c r="B77" s="191" t="s">
        <v>230</v>
      </c>
    </row>
    <row r="78" spans="1:2" ht="20" customHeight="1" x14ac:dyDescent="0.35">
      <c r="A78" s="192">
        <v>45728</v>
      </c>
      <c r="B78" s="191" t="s">
        <v>230</v>
      </c>
    </row>
    <row r="79" spans="1:2" ht="20" customHeight="1" x14ac:dyDescent="0.35">
      <c r="A79" s="192">
        <v>45729</v>
      </c>
      <c r="B79" s="191" t="s">
        <v>230</v>
      </c>
    </row>
    <row r="80" spans="1:2" ht="20" customHeight="1" x14ac:dyDescent="0.35">
      <c r="A80" s="192">
        <v>45730</v>
      </c>
      <c r="B80" s="191" t="s">
        <v>230</v>
      </c>
    </row>
    <row r="81" spans="1:2" ht="20" customHeight="1" x14ac:dyDescent="0.35">
      <c r="A81" s="192">
        <v>45731</v>
      </c>
      <c r="B81" s="191" t="s">
        <v>232</v>
      </c>
    </row>
    <row r="82" spans="1:2" ht="20" customHeight="1" x14ac:dyDescent="0.35">
      <c r="A82" s="192">
        <v>45732</v>
      </c>
      <c r="B82" s="191" t="s">
        <v>232</v>
      </c>
    </row>
    <row r="83" spans="1:2" ht="20" customHeight="1" x14ac:dyDescent="0.35">
      <c r="A83" s="192">
        <v>45733</v>
      </c>
      <c r="B83" s="191" t="s">
        <v>230</v>
      </c>
    </row>
    <row r="84" spans="1:2" ht="20" customHeight="1" x14ac:dyDescent="0.35">
      <c r="A84" s="192">
        <v>45734</v>
      </c>
      <c r="B84" s="191" t="s">
        <v>230</v>
      </c>
    </row>
    <row r="85" spans="1:2" ht="20" customHeight="1" x14ac:dyDescent="0.35">
      <c r="A85" s="192">
        <v>45735</v>
      </c>
      <c r="B85" s="191" t="s">
        <v>230</v>
      </c>
    </row>
    <row r="86" spans="1:2" ht="20" customHeight="1" x14ac:dyDescent="0.35">
      <c r="A86" s="192">
        <v>45736</v>
      </c>
      <c r="B86" s="191" t="s">
        <v>230</v>
      </c>
    </row>
    <row r="87" spans="1:2" ht="20" customHeight="1" x14ac:dyDescent="0.35">
      <c r="A87" s="192">
        <v>45737</v>
      </c>
      <c r="B87" s="191" t="s">
        <v>230</v>
      </c>
    </row>
    <row r="88" spans="1:2" ht="20" customHeight="1" x14ac:dyDescent="0.35">
      <c r="A88" s="192">
        <v>45738</v>
      </c>
      <c r="B88" s="191" t="s">
        <v>232</v>
      </c>
    </row>
    <row r="89" spans="1:2" ht="20" customHeight="1" x14ac:dyDescent="0.35">
      <c r="A89" s="192">
        <v>45739</v>
      </c>
      <c r="B89" s="191" t="s">
        <v>232</v>
      </c>
    </row>
    <row r="90" spans="1:2" ht="20" customHeight="1" x14ac:dyDescent="0.35">
      <c r="A90" s="192">
        <v>45740</v>
      </c>
      <c r="B90" s="191" t="s">
        <v>230</v>
      </c>
    </row>
    <row r="91" spans="1:2" ht="20" customHeight="1" x14ac:dyDescent="0.35">
      <c r="A91" s="192">
        <v>45741</v>
      </c>
      <c r="B91" s="191" t="s">
        <v>230</v>
      </c>
    </row>
    <row r="92" spans="1:2" ht="20" customHeight="1" x14ac:dyDescent="0.35">
      <c r="A92" s="192">
        <v>45742</v>
      </c>
      <c r="B92" s="191" t="s">
        <v>230</v>
      </c>
    </row>
    <row r="93" spans="1:2" ht="20" customHeight="1" x14ac:dyDescent="0.35">
      <c r="A93" s="192">
        <v>45743</v>
      </c>
      <c r="B93" s="191" t="s">
        <v>230</v>
      </c>
    </row>
    <row r="94" spans="1:2" ht="20" customHeight="1" x14ac:dyDescent="0.35">
      <c r="A94" s="192">
        <v>45744</v>
      </c>
      <c r="B94" s="191" t="s">
        <v>230</v>
      </c>
    </row>
    <row r="95" spans="1:2" ht="20" customHeight="1" x14ac:dyDescent="0.35">
      <c r="A95" s="192">
        <v>45745</v>
      </c>
      <c r="B95" s="191" t="s">
        <v>232</v>
      </c>
    </row>
    <row r="96" spans="1:2" ht="20" customHeight="1" x14ac:dyDescent="0.35">
      <c r="A96" s="192">
        <v>45746</v>
      </c>
      <c r="B96" s="191" t="s">
        <v>232</v>
      </c>
    </row>
    <row r="97" spans="1:2" ht="20" customHeight="1" x14ac:dyDescent="0.35">
      <c r="A97" s="192">
        <v>45747</v>
      </c>
      <c r="B97" s="191" t="s">
        <v>230</v>
      </c>
    </row>
    <row r="98" spans="1:2" ht="20" customHeight="1" x14ac:dyDescent="0.35">
      <c r="A98" s="192">
        <v>45748</v>
      </c>
      <c r="B98" s="191" t="s">
        <v>230</v>
      </c>
    </row>
    <row r="99" spans="1:2" ht="20" customHeight="1" x14ac:dyDescent="0.35">
      <c r="A99" s="192">
        <v>45749</v>
      </c>
      <c r="B99" s="191" t="s">
        <v>230</v>
      </c>
    </row>
    <row r="100" spans="1:2" ht="20" customHeight="1" x14ac:dyDescent="0.35">
      <c r="A100" s="192">
        <v>45750</v>
      </c>
      <c r="B100" s="191" t="s">
        <v>230</v>
      </c>
    </row>
    <row r="101" spans="1:2" ht="20" customHeight="1" x14ac:dyDescent="0.35">
      <c r="A101" s="192">
        <v>45751</v>
      </c>
      <c r="B101" s="191" t="s">
        <v>230</v>
      </c>
    </row>
    <row r="102" spans="1:2" ht="20" customHeight="1" x14ac:dyDescent="0.35">
      <c r="A102" s="192">
        <v>45752</v>
      </c>
      <c r="B102" s="191" t="s">
        <v>232</v>
      </c>
    </row>
    <row r="103" spans="1:2" ht="20" customHeight="1" x14ac:dyDescent="0.35">
      <c r="A103" s="192">
        <v>45753</v>
      </c>
      <c r="B103" s="191" t="s">
        <v>232</v>
      </c>
    </row>
    <row r="104" spans="1:2" ht="20" customHeight="1" x14ac:dyDescent="0.35">
      <c r="A104" s="192">
        <v>45754</v>
      </c>
      <c r="B104" s="191" t="s">
        <v>230</v>
      </c>
    </row>
    <row r="105" spans="1:2" ht="20" customHeight="1" x14ac:dyDescent="0.35">
      <c r="A105" s="192">
        <v>45755</v>
      </c>
      <c r="B105" s="191" t="s">
        <v>230</v>
      </c>
    </row>
    <row r="106" spans="1:2" ht="20" customHeight="1" x14ac:dyDescent="0.35">
      <c r="A106" s="192">
        <v>45756</v>
      </c>
      <c r="B106" s="191" t="s">
        <v>230</v>
      </c>
    </row>
    <row r="107" spans="1:2" ht="20" customHeight="1" x14ac:dyDescent="0.35">
      <c r="A107" s="192">
        <v>45757</v>
      </c>
      <c r="B107" s="191" t="s">
        <v>230</v>
      </c>
    </row>
    <row r="108" spans="1:2" ht="20" customHeight="1" x14ac:dyDescent="0.35">
      <c r="A108" s="192">
        <v>45758</v>
      </c>
      <c r="B108" s="191" t="s">
        <v>230</v>
      </c>
    </row>
    <row r="109" spans="1:2" ht="20" customHeight="1" x14ac:dyDescent="0.35">
      <c r="A109" s="192">
        <v>45759</v>
      </c>
      <c r="B109" s="191" t="s">
        <v>232</v>
      </c>
    </row>
    <row r="110" spans="1:2" ht="20" customHeight="1" x14ac:dyDescent="0.35">
      <c r="A110" s="192">
        <v>45760</v>
      </c>
      <c r="B110" s="191" t="s">
        <v>232</v>
      </c>
    </row>
    <row r="111" spans="1:2" ht="20" customHeight="1" x14ac:dyDescent="0.35">
      <c r="A111" s="192">
        <v>45761</v>
      </c>
      <c r="B111" s="191" t="s">
        <v>230</v>
      </c>
    </row>
    <row r="112" spans="1:2" ht="20" customHeight="1" x14ac:dyDescent="0.35">
      <c r="A112" s="192">
        <v>45762</v>
      </c>
      <c r="B112" s="191" t="s">
        <v>230</v>
      </c>
    </row>
    <row r="113" spans="1:2" ht="20" customHeight="1" x14ac:dyDescent="0.35">
      <c r="A113" s="192">
        <v>45763</v>
      </c>
      <c r="B113" s="191" t="s">
        <v>230</v>
      </c>
    </row>
    <row r="114" spans="1:2" ht="20" customHeight="1" x14ac:dyDescent="0.35">
      <c r="A114" s="192">
        <v>45764</v>
      </c>
      <c r="B114" s="191" t="s">
        <v>230</v>
      </c>
    </row>
    <row r="115" spans="1:2" ht="20" customHeight="1" x14ac:dyDescent="0.35">
      <c r="A115" s="192">
        <v>45765</v>
      </c>
      <c r="B115" s="191" t="s">
        <v>230</v>
      </c>
    </row>
    <row r="116" spans="1:2" ht="20" customHeight="1" x14ac:dyDescent="0.35">
      <c r="A116" s="192">
        <v>45766</v>
      </c>
      <c r="B116" s="191" t="s">
        <v>232</v>
      </c>
    </row>
    <row r="117" spans="1:2" ht="20" customHeight="1" x14ac:dyDescent="0.35">
      <c r="A117" s="192">
        <v>45767</v>
      </c>
      <c r="B117" s="191" t="s">
        <v>232</v>
      </c>
    </row>
    <row r="118" spans="1:2" ht="20" customHeight="1" x14ac:dyDescent="0.35">
      <c r="A118" s="192">
        <v>45768</v>
      </c>
      <c r="B118" s="191" t="s">
        <v>230</v>
      </c>
    </row>
    <row r="119" spans="1:2" ht="20" customHeight="1" x14ac:dyDescent="0.35">
      <c r="A119" s="192">
        <v>45769</v>
      </c>
      <c r="B119" s="191" t="s">
        <v>230</v>
      </c>
    </row>
    <row r="120" spans="1:2" ht="20" customHeight="1" x14ac:dyDescent="0.35">
      <c r="A120" s="192">
        <v>45770</v>
      </c>
      <c r="B120" s="191" t="s">
        <v>230</v>
      </c>
    </row>
    <row r="121" spans="1:2" ht="20" customHeight="1" x14ac:dyDescent="0.35">
      <c r="A121" s="192">
        <v>45771</v>
      </c>
      <c r="B121" s="191" t="s">
        <v>230</v>
      </c>
    </row>
    <row r="122" spans="1:2" ht="20" customHeight="1" x14ac:dyDescent="0.35">
      <c r="A122" s="192">
        <v>45772</v>
      </c>
      <c r="B122" s="191" t="s">
        <v>230</v>
      </c>
    </row>
    <row r="123" spans="1:2" ht="20" customHeight="1" x14ac:dyDescent="0.35">
      <c r="A123" s="192">
        <v>45773</v>
      </c>
      <c r="B123" s="191" t="s">
        <v>232</v>
      </c>
    </row>
    <row r="124" spans="1:2" ht="20" customHeight="1" x14ac:dyDescent="0.35">
      <c r="A124" s="192">
        <v>45774</v>
      </c>
      <c r="B124" s="191" t="s">
        <v>232</v>
      </c>
    </row>
    <row r="125" spans="1:2" ht="20" customHeight="1" x14ac:dyDescent="0.35">
      <c r="A125" s="192">
        <v>45775</v>
      </c>
      <c r="B125" s="191" t="s">
        <v>230</v>
      </c>
    </row>
    <row r="126" spans="1:2" ht="20" customHeight="1" x14ac:dyDescent="0.35">
      <c r="A126" s="192">
        <v>45776</v>
      </c>
      <c r="B126" s="191" t="s">
        <v>230</v>
      </c>
    </row>
    <row r="127" spans="1:2" ht="20" customHeight="1" x14ac:dyDescent="0.35">
      <c r="A127" s="192">
        <v>45777</v>
      </c>
      <c r="B127" s="191" t="s">
        <v>230</v>
      </c>
    </row>
    <row r="128" spans="1:2" ht="20" customHeight="1" x14ac:dyDescent="0.35">
      <c r="A128" s="192">
        <v>45778</v>
      </c>
      <c r="B128" s="191" t="s">
        <v>230</v>
      </c>
    </row>
    <row r="129" spans="1:2" ht="20" customHeight="1" x14ac:dyDescent="0.35">
      <c r="A129" s="192">
        <v>45779</v>
      </c>
      <c r="B129" s="191" t="s">
        <v>230</v>
      </c>
    </row>
    <row r="130" spans="1:2" ht="20" customHeight="1" x14ac:dyDescent="0.35">
      <c r="A130" s="192">
        <v>45780</v>
      </c>
      <c r="B130" s="191" t="s">
        <v>232</v>
      </c>
    </row>
    <row r="131" spans="1:2" ht="20" customHeight="1" x14ac:dyDescent="0.35">
      <c r="A131" s="192">
        <v>45781</v>
      </c>
      <c r="B131" s="191" t="s">
        <v>232</v>
      </c>
    </row>
    <row r="132" spans="1:2" ht="20" customHeight="1" x14ac:dyDescent="0.35">
      <c r="A132" s="192">
        <v>45782</v>
      </c>
      <c r="B132" s="191" t="s">
        <v>230</v>
      </c>
    </row>
    <row r="133" spans="1:2" ht="20" customHeight="1" x14ac:dyDescent="0.35">
      <c r="A133" s="192">
        <v>45783</v>
      </c>
      <c r="B133" s="191" t="s">
        <v>230</v>
      </c>
    </row>
    <row r="134" spans="1:2" ht="20" customHeight="1" x14ac:dyDescent="0.35">
      <c r="A134" s="192">
        <v>45784</v>
      </c>
      <c r="B134" s="191" t="s">
        <v>230</v>
      </c>
    </row>
    <row r="135" spans="1:2" ht="20" customHeight="1" x14ac:dyDescent="0.35">
      <c r="A135" s="192">
        <v>45785</v>
      </c>
      <c r="B135" s="191" t="s">
        <v>230</v>
      </c>
    </row>
    <row r="136" spans="1:2" ht="20" customHeight="1" x14ac:dyDescent="0.35">
      <c r="A136" s="192">
        <v>45786</v>
      </c>
      <c r="B136" s="191" t="s">
        <v>230</v>
      </c>
    </row>
    <row r="137" spans="1:2" ht="20" customHeight="1" x14ac:dyDescent="0.35">
      <c r="A137" s="192">
        <v>45787</v>
      </c>
      <c r="B137" s="191" t="s">
        <v>232</v>
      </c>
    </row>
    <row r="138" spans="1:2" ht="20" customHeight="1" x14ac:dyDescent="0.35">
      <c r="A138" s="192">
        <v>45788</v>
      </c>
      <c r="B138" s="191" t="s">
        <v>232</v>
      </c>
    </row>
    <row r="139" spans="1:2" ht="20" customHeight="1" x14ac:dyDescent="0.35">
      <c r="A139" s="192">
        <v>45789</v>
      </c>
      <c r="B139" s="191" t="s">
        <v>230</v>
      </c>
    </row>
    <row r="140" spans="1:2" ht="20" customHeight="1" x14ac:dyDescent="0.35">
      <c r="A140" s="192">
        <v>45790</v>
      </c>
      <c r="B140" s="191" t="s">
        <v>230</v>
      </c>
    </row>
    <row r="141" spans="1:2" ht="20" customHeight="1" x14ac:dyDescent="0.35">
      <c r="A141" s="192">
        <v>45791</v>
      </c>
      <c r="B141" s="191" t="s">
        <v>230</v>
      </c>
    </row>
    <row r="142" spans="1:2" ht="20" customHeight="1" x14ac:dyDescent="0.35">
      <c r="A142" s="192">
        <v>45792</v>
      </c>
      <c r="B142" s="191" t="s">
        <v>230</v>
      </c>
    </row>
    <row r="143" spans="1:2" ht="20" customHeight="1" x14ac:dyDescent="0.35">
      <c r="A143" s="192">
        <v>45793</v>
      </c>
      <c r="B143" s="191" t="s">
        <v>230</v>
      </c>
    </row>
    <row r="144" spans="1:2" ht="20" customHeight="1" x14ac:dyDescent="0.35">
      <c r="A144" s="192">
        <v>45794</v>
      </c>
      <c r="B144" s="191" t="s">
        <v>232</v>
      </c>
    </row>
    <row r="145" spans="1:2" ht="20" customHeight="1" x14ac:dyDescent="0.35">
      <c r="A145" s="192">
        <v>45795</v>
      </c>
      <c r="B145" s="191" t="s">
        <v>232</v>
      </c>
    </row>
    <row r="146" spans="1:2" ht="20" customHeight="1" x14ac:dyDescent="0.35">
      <c r="A146" s="192">
        <v>45796</v>
      </c>
      <c r="B146" s="191" t="s">
        <v>230</v>
      </c>
    </row>
    <row r="147" spans="1:2" ht="20" customHeight="1" x14ac:dyDescent="0.35">
      <c r="A147" s="192">
        <v>45797</v>
      </c>
      <c r="B147" s="191" t="s">
        <v>230</v>
      </c>
    </row>
    <row r="148" spans="1:2" ht="20" customHeight="1" x14ac:dyDescent="0.35">
      <c r="A148" s="192">
        <v>45798</v>
      </c>
      <c r="B148" s="191" t="s">
        <v>230</v>
      </c>
    </row>
    <row r="149" spans="1:2" ht="20" customHeight="1" x14ac:dyDescent="0.35">
      <c r="A149" s="192">
        <v>45799</v>
      </c>
      <c r="B149" s="191" t="s">
        <v>230</v>
      </c>
    </row>
    <row r="150" spans="1:2" ht="20" customHeight="1" x14ac:dyDescent="0.35">
      <c r="A150" s="192">
        <v>45800</v>
      </c>
      <c r="B150" s="191" t="s">
        <v>230</v>
      </c>
    </row>
    <row r="151" spans="1:2" ht="20" customHeight="1" x14ac:dyDescent="0.35">
      <c r="A151" s="192">
        <v>45801</v>
      </c>
      <c r="B151" s="191" t="s">
        <v>232</v>
      </c>
    </row>
    <row r="152" spans="1:2" ht="20" customHeight="1" x14ac:dyDescent="0.35">
      <c r="A152" s="192">
        <v>45802</v>
      </c>
      <c r="B152" s="191" t="s">
        <v>232</v>
      </c>
    </row>
    <row r="153" spans="1:2" ht="20" customHeight="1" x14ac:dyDescent="0.35">
      <c r="A153" s="192">
        <v>45803</v>
      </c>
      <c r="B153" s="191" t="s">
        <v>230</v>
      </c>
    </row>
    <row r="154" spans="1:2" ht="20" customHeight="1" x14ac:dyDescent="0.35">
      <c r="A154" s="192">
        <v>45804</v>
      </c>
      <c r="B154" s="191" t="s">
        <v>230</v>
      </c>
    </row>
    <row r="155" spans="1:2" ht="20" customHeight="1" x14ac:dyDescent="0.35">
      <c r="A155" s="192">
        <v>45805</v>
      </c>
      <c r="B155" s="191" t="s">
        <v>230</v>
      </c>
    </row>
    <row r="156" spans="1:2" ht="20" customHeight="1" x14ac:dyDescent="0.35">
      <c r="A156" s="192">
        <v>45806</v>
      </c>
      <c r="B156" s="191" t="s">
        <v>230</v>
      </c>
    </row>
    <row r="157" spans="1:2" ht="20" customHeight="1" x14ac:dyDescent="0.35">
      <c r="A157" s="192">
        <v>45807</v>
      </c>
      <c r="B157" s="191" t="s">
        <v>230</v>
      </c>
    </row>
    <row r="158" spans="1:2" ht="20" customHeight="1" x14ac:dyDescent="0.35">
      <c r="A158" s="192">
        <v>45808</v>
      </c>
      <c r="B158" s="191" t="s">
        <v>232</v>
      </c>
    </row>
    <row r="159" spans="1:2" ht="20" customHeight="1" x14ac:dyDescent="0.35">
      <c r="A159" s="192">
        <v>45809</v>
      </c>
      <c r="B159" s="191" t="s">
        <v>232</v>
      </c>
    </row>
    <row r="160" spans="1:2" ht="20" customHeight="1" x14ac:dyDescent="0.35">
      <c r="A160" s="192">
        <v>45810</v>
      </c>
      <c r="B160" s="191" t="s">
        <v>230</v>
      </c>
    </row>
    <row r="161" spans="1:2" ht="20" customHeight="1" x14ac:dyDescent="0.35">
      <c r="A161" s="192">
        <v>45811</v>
      </c>
      <c r="B161" s="191" t="s">
        <v>230</v>
      </c>
    </row>
    <row r="162" spans="1:2" ht="20" customHeight="1" x14ac:dyDescent="0.35">
      <c r="A162" s="192">
        <v>45812</v>
      </c>
      <c r="B162" s="191" t="s">
        <v>230</v>
      </c>
    </row>
    <row r="163" spans="1:2" ht="20" customHeight="1" x14ac:dyDescent="0.35">
      <c r="A163" s="192">
        <v>45813</v>
      </c>
      <c r="B163" s="191" t="s">
        <v>230</v>
      </c>
    </row>
    <row r="164" spans="1:2" ht="20" customHeight="1" x14ac:dyDescent="0.35">
      <c r="A164" s="192">
        <v>45814</v>
      </c>
      <c r="B164" s="191" t="s">
        <v>230</v>
      </c>
    </row>
    <row r="165" spans="1:2" ht="20" customHeight="1" x14ac:dyDescent="0.35">
      <c r="A165" s="192">
        <v>45815</v>
      </c>
      <c r="B165" s="191" t="s">
        <v>232</v>
      </c>
    </row>
    <row r="166" spans="1:2" ht="20" customHeight="1" x14ac:dyDescent="0.35">
      <c r="A166" s="192">
        <v>45816</v>
      </c>
      <c r="B166" s="191" t="s">
        <v>232</v>
      </c>
    </row>
    <row r="167" spans="1:2" ht="20" customHeight="1" x14ac:dyDescent="0.35">
      <c r="A167" s="192">
        <v>45817</v>
      </c>
      <c r="B167" s="191" t="s">
        <v>230</v>
      </c>
    </row>
    <row r="168" spans="1:2" ht="20" customHeight="1" x14ac:dyDescent="0.35">
      <c r="A168" s="192">
        <v>45818</v>
      </c>
      <c r="B168" s="191" t="s">
        <v>230</v>
      </c>
    </row>
    <row r="169" spans="1:2" ht="20" customHeight="1" x14ac:dyDescent="0.35">
      <c r="A169" s="192">
        <v>45819</v>
      </c>
      <c r="B169" s="191" t="s">
        <v>230</v>
      </c>
    </row>
    <row r="170" spans="1:2" ht="20" customHeight="1" x14ac:dyDescent="0.35">
      <c r="A170" s="192">
        <v>45820</v>
      </c>
      <c r="B170" s="191" t="s">
        <v>230</v>
      </c>
    </row>
    <row r="171" spans="1:2" ht="20" customHeight="1" x14ac:dyDescent="0.35">
      <c r="A171" s="192">
        <v>45821</v>
      </c>
      <c r="B171" s="191" t="s">
        <v>230</v>
      </c>
    </row>
    <row r="172" spans="1:2" ht="20" customHeight="1" x14ac:dyDescent="0.35">
      <c r="A172" s="192">
        <v>45822</v>
      </c>
      <c r="B172" s="191" t="s">
        <v>232</v>
      </c>
    </row>
    <row r="173" spans="1:2" ht="20" customHeight="1" x14ac:dyDescent="0.35">
      <c r="A173" s="192">
        <v>45823</v>
      </c>
      <c r="B173" s="191" t="s">
        <v>232</v>
      </c>
    </row>
    <row r="174" spans="1:2" ht="20" customHeight="1" x14ac:dyDescent="0.35">
      <c r="A174" s="192">
        <v>45824</v>
      </c>
      <c r="B174" s="191" t="s">
        <v>230</v>
      </c>
    </row>
    <row r="175" spans="1:2" ht="20" customHeight="1" x14ac:dyDescent="0.35">
      <c r="A175" s="192">
        <v>45825</v>
      </c>
      <c r="B175" s="191" t="s">
        <v>230</v>
      </c>
    </row>
    <row r="176" spans="1:2" ht="20" customHeight="1" x14ac:dyDescent="0.35">
      <c r="A176" s="192">
        <v>45826</v>
      </c>
      <c r="B176" s="191" t="s">
        <v>230</v>
      </c>
    </row>
    <row r="177" spans="1:2" ht="20" customHeight="1" x14ac:dyDescent="0.35">
      <c r="A177" s="192">
        <v>45827</v>
      </c>
      <c r="B177" s="191" t="s">
        <v>230</v>
      </c>
    </row>
    <row r="178" spans="1:2" ht="20" customHeight="1" x14ac:dyDescent="0.35">
      <c r="A178" s="192">
        <v>45828</v>
      </c>
      <c r="B178" s="191" t="s">
        <v>230</v>
      </c>
    </row>
    <row r="179" spans="1:2" ht="20" customHeight="1" x14ac:dyDescent="0.35">
      <c r="A179" s="192">
        <v>45829</v>
      </c>
      <c r="B179" s="191" t="s">
        <v>232</v>
      </c>
    </row>
    <row r="180" spans="1:2" ht="20" customHeight="1" x14ac:dyDescent="0.35">
      <c r="A180" s="192">
        <v>45830</v>
      </c>
      <c r="B180" s="191" t="s">
        <v>232</v>
      </c>
    </row>
    <row r="181" spans="1:2" ht="20" customHeight="1" x14ac:dyDescent="0.35">
      <c r="A181" s="192">
        <v>45831</v>
      </c>
      <c r="B181" s="191" t="s">
        <v>230</v>
      </c>
    </row>
    <row r="182" spans="1:2" ht="20" customHeight="1" x14ac:dyDescent="0.35">
      <c r="A182" s="192">
        <v>45832</v>
      </c>
      <c r="B182" s="191" t="s">
        <v>230</v>
      </c>
    </row>
    <row r="183" spans="1:2" ht="20" customHeight="1" x14ac:dyDescent="0.35">
      <c r="A183" s="192">
        <v>45833</v>
      </c>
      <c r="B183" s="191" t="s">
        <v>230</v>
      </c>
    </row>
    <row r="184" spans="1:2" ht="20" customHeight="1" x14ac:dyDescent="0.35">
      <c r="A184" s="192">
        <v>45834</v>
      </c>
      <c r="B184" s="191" t="s">
        <v>230</v>
      </c>
    </row>
    <row r="185" spans="1:2" ht="20" customHeight="1" x14ac:dyDescent="0.35">
      <c r="A185" s="192">
        <v>45835</v>
      </c>
      <c r="B185" s="191" t="s">
        <v>230</v>
      </c>
    </row>
    <row r="186" spans="1:2" ht="20" customHeight="1" x14ac:dyDescent="0.35">
      <c r="A186" s="192">
        <v>45836</v>
      </c>
      <c r="B186" s="191" t="s">
        <v>232</v>
      </c>
    </row>
    <row r="187" spans="1:2" ht="20" customHeight="1" x14ac:dyDescent="0.35">
      <c r="A187" s="192">
        <v>45837</v>
      </c>
      <c r="B187" s="191" t="s">
        <v>232</v>
      </c>
    </row>
    <row r="188" spans="1:2" ht="20" customHeight="1" x14ac:dyDescent="0.35">
      <c r="A188" s="192">
        <v>45838</v>
      </c>
      <c r="B188" s="191" t="s">
        <v>230</v>
      </c>
    </row>
    <row r="189" spans="1:2" ht="20" customHeight="1" x14ac:dyDescent="0.35">
      <c r="A189" s="192">
        <v>45839</v>
      </c>
      <c r="B189" s="191" t="s">
        <v>230</v>
      </c>
    </row>
    <row r="190" spans="1:2" ht="20" customHeight="1" x14ac:dyDescent="0.35">
      <c r="A190" s="192">
        <v>45840</v>
      </c>
      <c r="B190" s="191" t="s">
        <v>230</v>
      </c>
    </row>
    <row r="191" spans="1:2" ht="20" customHeight="1" x14ac:dyDescent="0.35">
      <c r="A191" s="192">
        <v>45841</v>
      </c>
      <c r="B191" s="191" t="s">
        <v>230</v>
      </c>
    </row>
    <row r="192" spans="1:2" ht="20" customHeight="1" x14ac:dyDescent="0.35">
      <c r="A192" s="192">
        <v>45842</v>
      </c>
      <c r="B192" s="191" t="s">
        <v>230</v>
      </c>
    </row>
    <row r="193" spans="1:2" ht="20" customHeight="1" x14ac:dyDescent="0.35">
      <c r="A193" s="192">
        <v>45843</v>
      </c>
      <c r="B193" s="191" t="s">
        <v>232</v>
      </c>
    </row>
    <row r="194" spans="1:2" ht="20" customHeight="1" x14ac:dyDescent="0.35">
      <c r="A194" s="192">
        <v>45844</v>
      </c>
      <c r="B194" s="191" t="s">
        <v>232</v>
      </c>
    </row>
    <row r="195" spans="1:2" ht="20" customHeight="1" x14ac:dyDescent="0.35">
      <c r="A195" s="192">
        <v>45845</v>
      </c>
      <c r="B195" s="191" t="s">
        <v>230</v>
      </c>
    </row>
    <row r="196" spans="1:2" ht="20" customHeight="1" x14ac:dyDescent="0.35">
      <c r="A196" s="192">
        <v>45846</v>
      </c>
      <c r="B196" s="191" t="s">
        <v>230</v>
      </c>
    </row>
    <row r="197" spans="1:2" ht="20" customHeight="1" x14ac:dyDescent="0.35">
      <c r="A197" s="192">
        <v>45847</v>
      </c>
      <c r="B197" s="191" t="s">
        <v>230</v>
      </c>
    </row>
    <row r="198" spans="1:2" ht="20" customHeight="1" x14ac:dyDescent="0.35">
      <c r="A198" s="192">
        <v>45848</v>
      </c>
      <c r="B198" s="191" t="s">
        <v>230</v>
      </c>
    </row>
    <row r="199" spans="1:2" ht="20" customHeight="1" x14ac:dyDescent="0.35">
      <c r="A199" s="192">
        <v>45849</v>
      </c>
      <c r="B199" s="191" t="s">
        <v>230</v>
      </c>
    </row>
    <row r="200" spans="1:2" ht="20" customHeight="1" x14ac:dyDescent="0.35">
      <c r="A200" s="192">
        <v>45850</v>
      </c>
      <c r="B200" s="191" t="s">
        <v>232</v>
      </c>
    </row>
    <row r="201" spans="1:2" ht="20" customHeight="1" x14ac:dyDescent="0.35">
      <c r="A201" s="192">
        <v>45851</v>
      </c>
      <c r="B201" s="191" t="s">
        <v>232</v>
      </c>
    </row>
    <row r="202" spans="1:2" ht="20" customHeight="1" x14ac:dyDescent="0.35">
      <c r="A202" s="192">
        <v>45852</v>
      </c>
      <c r="B202" s="191" t="s">
        <v>230</v>
      </c>
    </row>
    <row r="203" spans="1:2" ht="20" customHeight="1" x14ac:dyDescent="0.35">
      <c r="A203" s="192">
        <v>45853</v>
      </c>
      <c r="B203" s="191" t="s">
        <v>230</v>
      </c>
    </row>
    <row r="204" spans="1:2" ht="20" customHeight="1" x14ac:dyDescent="0.35">
      <c r="A204" s="192">
        <v>45854</v>
      </c>
      <c r="B204" s="191" t="s">
        <v>230</v>
      </c>
    </row>
    <row r="205" spans="1:2" ht="20" customHeight="1" x14ac:dyDescent="0.35">
      <c r="A205" s="192">
        <v>45855</v>
      </c>
      <c r="B205" s="191" t="s">
        <v>230</v>
      </c>
    </row>
    <row r="206" spans="1:2" ht="20" customHeight="1" x14ac:dyDescent="0.35">
      <c r="A206" s="192">
        <v>45856</v>
      </c>
      <c r="B206" s="191" t="s">
        <v>230</v>
      </c>
    </row>
    <row r="207" spans="1:2" ht="20" customHeight="1" x14ac:dyDescent="0.35">
      <c r="A207" s="192">
        <v>45857</v>
      </c>
      <c r="B207" s="191" t="s">
        <v>232</v>
      </c>
    </row>
    <row r="208" spans="1:2" ht="20" customHeight="1" x14ac:dyDescent="0.35">
      <c r="A208" s="192">
        <v>45858</v>
      </c>
      <c r="B208" s="191" t="s">
        <v>232</v>
      </c>
    </row>
    <row r="209" spans="1:2" ht="20" customHeight="1" x14ac:dyDescent="0.35">
      <c r="A209" s="192">
        <v>45859</v>
      </c>
      <c r="B209" s="191" t="s">
        <v>230</v>
      </c>
    </row>
    <row r="210" spans="1:2" ht="20" customHeight="1" x14ac:dyDescent="0.35">
      <c r="A210" s="192">
        <v>45860</v>
      </c>
      <c r="B210" s="191" t="s">
        <v>230</v>
      </c>
    </row>
    <row r="211" spans="1:2" ht="20" customHeight="1" x14ac:dyDescent="0.35">
      <c r="A211" s="192">
        <v>45861</v>
      </c>
      <c r="B211" s="191" t="s">
        <v>230</v>
      </c>
    </row>
    <row r="212" spans="1:2" ht="20" customHeight="1" x14ac:dyDescent="0.35">
      <c r="A212" s="192">
        <v>45862</v>
      </c>
      <c r="B212" s="191" t="s">
        <v>230</v>
      </c>
    </row>
    <row r="213" spans="1:2" ht="20" customHeight="1" x14ac:dyDescent="0.35">
      <c r="A213" s="192">
        <v>45863</v>
      </c>
      <c r="B213" s="191" t="s">
        <v>230</v>
      </c>
    </row>
    <row r="214" spans="1:2" ht="20" customHeight="1" x14ac:dyDescent="0.35">
      <c r="A214" s="192">
        <v>45864</v>
      </c>
      <c r="B214" s="191" t="s">
        <v>232</v>
      </c>
    </row>
    <row r="215" spans="1:2" ht="20" customHeight="1" x14ac:dyDescent="0.35">
      <c r="A215" s="192">
        <v>45865</v>
      </c>
      <c r="B215" s="191" t="s">
        <v>232</v>
      </c>
    </row>
    <row r="216" spans="1:2" ht="20" customHeight="1" x14ac:dyDescent="0.35">
      <c r="A216" s="192">
        <v>45866</v>
      </c>
      <c r="B216" s="191" t="s">
        <v>230</v>
      </c>
    </row>
    <row r="217" spans="1:2" ht="20" customHeight="1" x14ac:dyDescent="0.35">
      <c r="A217" s="192">
        <v>45867</v>
      </c>
      <c r="B217" s="191" t="s">
        <v>230</v>
      </c>
    </row>
    <row r="218" spans="1:2" ht="20" customHeight="1" x14ac:dyDescent="0.35">
      <c r="A218" s="192">
        <v>45868</v>
      </c>
      <c r="B218" s="191" t="s">
        <v>230</v>
      </c>
    </row>
    <row r="219" spans="1:2" ht="20" customHeight="1" x14ac:dyDescent="0.35">
      <c r="A219" s="192">
        <v>45869</v>
      </c>
      <c r="B219" s="191" t="s">
        <v>230</v>
      </c>
    </row>
    <row r="220" spans="1:2" ht="20" customHeight="1" x14ac:dyDescent="0.35">
      <c r="A220" s="192">
        <v>45870</v>
      </c>
      <c r="B220" s="191" t="s">
        <v>230</v>
      </c>
    </row>
    <row r="221" spans="1:2" ht="20" customHeight="1" x14ac:dyDescent="0.35">
      <c r="A221" s="192">
        <v>45871</v>
      </c>
      <c r="B221" s="191" t="s">
        <v>232</v>
      </c>
    </row>
    <row r="222" spans="1:2" ht="20" customHeight="1" x14ac:dyDescent="0.35">
      <c r="A222" s="192">
        <v>45872</v>
      </c>
      <c r="B222" s="191" t="s">
        <v>232</v>
      </c>
    </row>
    <row r="223" spans="1:2" ht="20" customHeight="1" x14ac:dyDescent="0.35">
      <c r="A223" s="192">
        <v>45873</v>
      </c>
      <c r="B223" s="191" t="s">
        <v>230</v>
      </c>
    </row>
    <row r="224" spans="1:2" ht="20" customHeight="1" x14ac:dyDescent="0.35">
      <c r="A224" s="192">
        <v>45874</v>
      </c>
      <c r="B224" s="191" t="s">
        <v>230</v>
      </c>
    </row>
    <row r="225" spans="1:2" ht="20" customHeight="1" x14ac:dyDescent="0.35">
      <c r="A225" s="192">
        <v>45875</v>
      </c>
      <c r="B225" s="191" t="s">
        <v>230</v>
      </c>
    </row>
    <row r="226" spans="1:2" ht="20" customHeight="1" x14ac:dyDescent="0.35">
      <c r="A226" s="192">
        <v>45876</v>
      </c>
      <c r="B226" s="191" t="s">
        <v>230</v>
      </c>
    </row>
    <row r="227" spans="1:2" ht="20" customHeight="1" x14ac:dyDescent="0.35">
      <c r="A227" s="192">
        <v>45877</v>
      </c>
      <c r="B227" s="191" t="s">
        <v>230</v>
      </c>
    </row>
    <row r="228" spans="1:2" ht="20" customHeight="1" x14ac:dyDescent="0.35">
      <c r="A228" s="192">
        <v>45878</v>
      </c>
      <c r="B228" s="191" t="s">
        <v>232</v>
      </c>
    </row>
    <row r="229" spans="1:2" ht="20" customHeight="1" x14ac:dyDescent="0.35">
      <c r="A229" s="192">
        <v>45879</v>
      </c>
      <c r="B229" s="191" t="s">
        <v>232</v>
      </c>
    </row>
    <row r="230" spans="1:2" ht="20" customHeight="1" x14ac:dyDescent="0.35">
      <c r="A230" s="192">
        <v>45880</v>
      </c>
      <c r="B230" s="191" t="s">
        <v>230</v>
      </c>
    </row>
    <row r="231" spans="1:2" ht="20" customHeight="1" x14ac:dyDescent="0.35">
      <c r="A231" s="192">
        <v>45881</v>
      </c>
      <c r="B231" s="191" t="s">
        <v>230</v>
      </c>
    </row>
    <row r="232" spans="1:2" ht="20" customHeight="1" x14ac:dyDescent="0.35">
      <c r="A232" s="192">
        <v>45882</v>
      </c>
      <c r="B232" s="191" t="s">
        <v>230</v>
      </c>
    </row>
    <row r="233" spans="1:2" ht="20" customHeight="1" x14ac:dyDescent="0.35">
      <c r="A233" s="192">
        <v>45883</v>
      </c>
      <c r="B233" s="191" t="s">
        <v>230</v>
      </c>
    </row>
    <row r="234" spans="1:2" ht="20" customHeight="1" x14ac:dyDescent="0.35">
      <c r="A234" s="192">
        <v>45884</v>
      </c>
      <c r="B234" s="191" t="s">
        <v>230</v>
      </c>
    </row>
    <row r="235" spans="1:2" ht="20" customHeight="1" x14ac:dyDescent="0.35">
      <c r="A235" s="192">
        <v>45885</v>
      </c>
      <c r="B235" s="191" t="s">
        <v>232</v>
      </c>
    </row>
    <row r="236" spans="1:2" ht="20" customHeight="1" x14ac:dyDescent="0.35">
      <c r="A236" s="192">
        <v>45886</v>
      </c>
      <c r="B236" s="191" t="s">
        <v>232</v>
      </c>
    </row>
    <row r="237" spans="1:2" ht="20" customHeight="1" x14ac:dyDescent="0.35">
      <c r="A237" s="192">
        <v>45887</v>
      </c>
      <c r="B237" s="191" t="s">
        <v>230</v>
      </c>
    </row>
    <row r="238" spans="1:2" ht="20" customHeight="1" x14ac:dyDescent="0.35">
      <c r="A238" s="192">
        <v>45888</v>
      </c>
      <c r="B238" s="191" t="s">
        <v>230</v>
      </c>
    </row>
    <row r="239" spans="1:2" ht="20" customHeight="1" x14ac:dyDescent="0.35">
      <c r="A239" s="192">
        <v>45889</v>
      </c>
      <c r="B239" s="191" t="s">
        <v>230</v>
      </c>
    </row>
    <row r="240" spans="1:2" ht="20" customHeight="1" x14ac:dyDescent="0.35">
      <c r="A240" s="192">
        <v>45890</v>
      </c>
      <c r="B240" s="191" t="s">
        <v>230</v>
      </c>
    </row>
    <row r="241" spans="1:2" ht="20" customHeight="1" x14ac:dyDescent="0.35">
      <c r="A241" s="192">
        <v>45891</v>
      </c>
      <c r="B241" s="191" t="s">
        <v>230</v>
      </c>
    </row>
    <row r="242" spans="1:2" ht="20" customHeight="1" x14ac:dyDescent="0.35">
      <c r="A242" s="192">
        <v>45892</v>
      </c>
      <c r="B242" s="191" t="s">
        <v>232</v>
      </c>
    </row>
    <row r="243" spans="1:2" ht="20" customHeight="1" x14ac:dyDescent="0.35">
      <c r="A243" s="192">
        <v>45893</v>
      </c>
      <c r="B243" s="191" t="s">
        <v>232</v>
      </c>
    </row>
    <row r="244" spans="1:2" ht="20" customHeight="1" x14ac:dyDescent="0.35">
      <c r="A244" s="192">
        <v>45894</v>
      </c>
      <c r="B244" s="191" t="s">
        <v>230</v>
      </c>
    </row>
    <row r="245" spans="1:2" ht="20" customHeight="1" x14ac:dyDescent="0.35">
      <c r="A245" s="192">
        <v>45895</v>
      </c>
      <c r="B245" s="191" t="s">
        <v>230</v>
      </c>
    </row>
    <row r="246" spans="1:2" ht="20" customHeight="1" x14ac:dyDescent="0.35">
      <c r="A246" s="192">
        <v>45896</v>
      </c>
      <c r="B246" s="191" t="s">
        <v>230</v>
      </c>
    </row>
    <row r="247" spans="1:2" ht="20" customHeight="1" x14ac:dyDescent="0.35">
      <c r="A247" s="192">
        <v>45897</v>
      </c>
      <c r="B247" s="191" t="s">
        <v>230</v>
      </c>
    </row>
    <row r="248" spans="1:2" ht="20" customHeight="1" x14ac:dyDescent="0.35">
      <c r="A248" s="192">
        <v>45898</v>
      </c>
      <c r="B248" s="191" t="s">
        <v>230</v>
      </c>
    </row>
    <row r="249" spans="1:2" ht="20" customHeight="1" x14ac:dyDescent="0.35">
      <c r="A249" s="192">
        <v>45899</v>
      </c>
      <c r="B249" s="191" t="s">
        <v>232</v>
      </c>
    </row>
    <row r="250" spans="1:2" ht="20" customHeight="1" x14ac:dyDescent="0.35">
      <c r="A250" s="192">
        <v>45900</v>
      </c>
      <c r="B250" s="191" t="s">
        <v>232</v>
      </c>
    </row>
    <row r="251" spans="1:2" ht="20" customHeight="1" x14ac:dyDescent="0.35">
      <c r="A251" s="192">
        <v>45901</v>
      </c>
      <c r="B251" s="191" t="s">
        <v>230</v>
      </c>
    </row>
    <row r="252" spans="1:2" ht="20" customHeight="1" x14ac:dyDescent="0.35">
      <c r="A252" s="192">
        <v>45902</v>
      </c>
      <c r="B252" s="191" t="s">
        <v>230</v>
      </c>
    </row>
    <row r="253" spans="1:2" ht="20" customHeight="1" x14ac:dyDescent="0.35">
      <c r="A253" s="192">
        <v>45903</v>
      </c>
      <c r="B253" s="191" t="s">
        <v>230</v>
      </c>
    </row>
    <row r="254" spans="1:2" ht="20" customHeight="1" x14ac:dyDescent="0.35">
      <c r="A254" s="192">
        <v>45904</v>
      </c>
      <c r="B254" s="191" t="s">
        <v>230</v>
      </c>
    </row>
    <row r="255" spans="1:2" ht="20" customHeight="1" x14ac:dyDescent="0.35">
      <c r="A255" s="192">
        <v>45905</v>
      </c>
      <c r="B255" s="191" t="s">
        <v>230</v>
      </c>
    </row>
    <row r="256" spans="1:2" ht="20" customHeight="1" x14ac:dyDescent="0.35">
      <c r="A256" s="192">
        <v>45906</v>
      </c>
      <c r="B256" s="191" t="s">
        <v>232</v>
      </c>
    </row>
    <row r="257" spans="1:2" ht="20" customHeight="1" x14ac:dyDescent="0.35">
      <c r="A257" s="192">
        <v>45907</v>
      </c>
      <c r="B257" s="191" t="s">
        <v>232</v>
      </c>
    </row>
    <row r="258" spans="1:2" ht="20" customHeight="1" x14ac:dyDescent="0.35">
      <c r="A258" s="192">
        <v>45908</v>
      </c>
      <c r="B258" s="191" t="s">
        <v>230</v>
      </c>
    </row>
    <row r="259" spans="1:2" ht="20" customHeight="1" x14ac:dyDescent="0.35">
      <c r="A259" s="192">
        <v>45909</v>
      </c>
      <c r="B259" s="191" t="s">
        <v>230</v>
      </c>
    </row>
    <row r="260" spans="1:2" ht="20" customHeight="1" x14ac:dyDescent="0.35">
      <c r="A260" s="192">
        <v>45910</v>
      </c>
      <c r="B260" s="191" t="s">
        <v>230</v>
      </c>
    </row>
    <row r="261" spans="1:2" ht="20" customHeight="1" x14ac:dyDescent="0.35">
      <c r="A261" s="192">
        <v>45911</v>
      </c>
      <c r="B261" s="191" t="s">
        <v>230</v>
      </c>
    </row>
    <row r="262" spans="1:2" ht="20" customHeight="1" x14ac:dyDescent="0.35">
      <c r="A262" s="192">
        <v>45912</v>
      </c>
      <c r="B262" s="191" t="s">
        <v>230</v>
      </c>
    </row>
    <row r="263" spans="1:2" ht="20" customHeight="1" x14ac:dyDescent="0.35">
      <c r="A263" s="192">
        <v>45913</v>
      </c>
      <c r="B263" s="191" t="s">
        <v>232</v>
      </c>
    </row>
    <row r="264" spans="1:2" ht="20" customHeight="1" x14ac:dyDescent="0.35">
      <c r="A264" s="192">
        <v>45914</v>
      </c>
      <c r="B264" s="191" t="s">
        <v>232</v>
      </c>
    </row>
    <row r="265" spans="1:2" ht="20" customHeight="1" x14ac:dyDescent="0.35">
      <c r="A265" s="192">
        <v>45915</v>
      </c>
      <c r="B265" s="191" t="s">
        <v>230</v>
      </c>
    </row>
    <row r="266" spans="1:2" ht="20" customHeight="1" x14ac:dyDescent="0.35">
      <c r="A266" s="192">
        <v>45916</v>
      </c>
      <c r="B266" s="191" t="s">
        <v>230</v>
      </c>
    </row>
    <row r="267" spans="1:2" ht="20" customHeight="1" x14ac:dyDescent="0.35">
      <c r="A267" s="192">
        <v>45917</v>
      </c>
      <c r="B267" s="191" t="s">
        <v>230</v>
      </c>
    </row>
    <row r="268" spans="1:2" ht="20" customHeight="1" x14ac:dyDescent="0.35">
      <c r="A268" s="192">
        <v>45918</v>
      </c>
      <c r="B268" s="191" t="s">
        <v>230</v>
      </c>
    </row>
    <row r="269" spans="1:2" ht="20" customHeight="1" x14ac:dyDescent="0.35">
      <c r="A269" s="192">
        <v>45919</v>
      </c>
      <c r="B269" s="191" t="s">
        <v>230</v>
      </c>
    </row>
    <row r="270" spans="1:2" ht="20" customHeight="1" x14ac:dyDescent="0.35">
      <c r="A270" s="192">
        <v>45920</v>
      </c>
      <c r="B270" s="191" t="s">
        <v>232</v>
      </c>
    </row>
    <row r="271" spans="1:2" ht="20" customHeight="1" x14ac:dyDescent="0.35">
      <c r="A271" s="192">
        <v>45921</v>
      </c>
      <c r="B271" s="191" t="s">
        <v>232</v>
      </c>
    </row>
    <row r="272" spans="1:2" ht="20" customHeight="1" x14ac:dyDescent="0.35">
      <c r="A272" s="192">
        <v>45922</v>
      </c>
      <c r="B272" s="191" t="s">
        <v>230</v>
      </c>
    </row>
    <row r="273" spans="1:2" ht="20" customHeight="1" x14ac:dyDescent="0.35">
      <c r="A273" s="192">
        <v>45923</v>
      </c>
      <c r="B273" s="191" t="s">
        <v>230</v>
      </c>
    </row>
    <row r="274" spans="1:2" ht="20" customHeight="1" x14ac:dyDescent="0.35">
      <c r="A274" s="192">
        <v>45924</v>
      </c>
      <c r="B274" s="191" t="s">
        <v>230</v>
      </c>
    </row>
    <row r="275" spans="1:2" ht="20" customHeight="1" x14ac:dyDescent="0.35">
      <c r="A275" s="192">
        <v>45925</v>
      </c>
      <c r="B275" s="191" t="s">
        <v>230</v>
      </c>
    </row>
    <row r="276" spans="1:2" ht="20" customHeight="1" x14ac:dyDescent="0.35">
      <c r="A276" s="192">
        <v>45926</v>
      </c>
      <c r="B276" s="191" t="s">
        <v>230</v>
      </c>
    </row>
    <row r="277" spans="1:2" ht="20" customHeight="1" x14ac:dyDescent="0.35">
      <c r="A277" s="192">
        <v>45927</v>
      </c>
      <c r="B277" s="191" t="s">
        <v>232</v>
      </c>
    </row>
    <row r="278" spans="1:2" ht="20" customHeight="1" x14ac:dyDescent="0.35">
      <c r="A278" s="192">
        <v>45928</v>
      </c>
      <c r="B278" s="191" t="s">
        <v>232</v>
      </c>
    </row>
    <row r="279" spans="1:2" ht="20" customHeight="1" x14ac:dyDescent="0.35">
      <c r="A279" s="192">
        <v>45929</v>
      </c>
      <c r="B279" s="191" t="s">
        <v>230</v>
      </c>
    </row>
    <row r="280" spans="1:2" ht="20" customHeight="1" x14ac:dyDescent="0.35">
      <c r="A280" s="192">
        <v>45930</v>
      </c>
      <c r="B280" s="191" t="s">
        <v>230</v>
      </c>
    </row>
    <row r="281" spans="1:2" ht="20" customHeight="1" x14ac:dyDescent="0.35">
      <c r="A281" s="192">
        <v>45931</v>
      </c>
      <c r="B281" s="191" t="s">
        <v>230</v>
      </c>
    </row>
    <row r="282" spans="1:2" ht="20" customHeight="1" x14ac:dyDescent="0.35">
      <c r="A282" s="192">
        <v>45932</v>
      </c>
      <c r="B282" s="191" t="s">
        <v>230</v>
      </c>
    </row>
    <row r="283" spans="1:2" ht="20" customHeight="1" x14ac:dyDescent="0.35">
      <c r="A283" s="192">
        <v>45933</v>
      </c>
      <c r="B283" s="191" t="s">
        <v>230</v>
      </c>
    </row>
    <row r="284" spans="1:2" ht="20" customHeight="1" x14ac:dyDescent="0.35">
      <c r="A284" s="192">
        <v>45934</v>
      </c>
      <c r="B284" s="191" t="s">
        <v>232</v>
      </c>
    </row>
    <row r="285" spans="1:2" ht="20" customHeight="1" x14ac:dyDescent="0.35">
      <c r="A285" s="192">
        <v>45935</v>
      </c>
      <c r="B285" s="191" t="s">
        <v>232</v>
      </c>
    </row>
    <row r="286" spans="1:2" ht="20" customHeight="1" x14ac:dyDescent="0.35">
      <c r="A286" s="192">
        <v>45936</v>
      </c>
      <c r="B286" s="191" t="s">
        <v>230</v>
      </c>
    </row>
    <row r="287" spans="1:2" ht="20" customHeight="1" x14ac:dyDescent="0.35">
      <c r="A287" s="192">
        <v>45937</v>
      </c>
      <c r="B287" s="191" t="s">
        <v>230</v>
      </c>
    </row>
    <row r="288" spans="1:2" ht="20" customHeight="1" x14ac:dyDescent="0.35">
      <c r="A288" s="192">
        <v>45938</v>
      </c>
      <c r="B288" s="191" t="s">
        <v>230</v>
      </c>
    </row>
    <row r="289" spans="1:2" ht="20" customHeight="1" x14ac:dyDescent="0.35">
      <c r="A289" s="192">
        <v>45939</v>
      </c>
      <c r="B289" s="191" t="s">
        <v>230</v>
      </c>
    </row>
    <row r="290" spans="1:2" ht="20" customHeight="1" x14ac:dyDescent="0.35">
      <c r="A290" s="192">
        <v>45940</v>
      </c>
      <c r="B290" s="191" t="s">
        <v>230</v>
      </c>
    </row>
    <row r="291" spans="1:2" ht="20" customHeight="1" x14ac:dyDescent="0.35">
      <c r="A291" s="192">
        <v>45941</v>
      </c>
      <c r="B291" s="191" t="s">
        <v>232</v>
      </c>
    </row>
    <row r="292" spans="1:2" ht="20" customHeight="1" x14ac:dyDescent="0.35">
      <c r="A292" s="192">
        <v>45942</v>
      </c>
      <c r="B292" s="191" t="s">
        <v>232</v>
      </c>
    </row>
    <row r="293" spans="1:2" ht="20" customHeight="1" x14ac:dyDescent="0.35">
      <c r="A293" s="192">
        <v>45943</v>
      </c>
      <c r="B293" s="191" t="s">
        <v>230</v>
      </c>
    </row>
    <row r="294" spans="1:2" ht="20" customHeight="1" x14ac:dyDescent="0.35">
      <c r="A294" s="192">
        <v>45944</v>
      </c>
      <c r="B294" s="191" t="s">
        <v>230</v>
      </c>
    </row>
    <row r="295" spans="1:2" ht="20" customHeight="1" x14ac:dyDescent="0.35">
      <c r="A295" s="192">
        <v>45945</v>
      </c>
      <c r="B295" s="191" t="s">
        <v>230</v>
      </c>
    </row>
    <row r="296" spans="1:2" ht="20" customHeight="1" x14ac:dyDescent="0.35">
      <c r="A296" s="192">
        <v>45946</v>
      </c>
      <c r="B296" s="191" t="s">
        <v>230</v>
      </c>
    </row>
    <row r="297" spans="1:2" ht="20" customHeight="1" x14ac:dyDescent="0.35">
      <c r="A297" s="192">
        <v>45947</v>
      </c>
      <c r="B297" s="191" t="s">
        <v>230</v>
      </c>
    </row>
    <row r="298" spans="1:2" ht="20" customHeight="1" x14ac:dyDescent="0.35">
      <c r="A298" s="192">
        <v>45948</v>
      </c>
      <c r="B298" s="191" t="s">
        <v>232</v>
      </c>
    </row>
    <row r="299" spans="1:2" ht="20" customHeight="1" x14ac:dyDescent="0.35">
      <c r="A299" s="192">
        <v>45949</v>
      </c>
      <c r="B299" s="191" t="s">
        <v>232</v>
      </c>
    </row>
    <row r="300" spans="1:2" ht="20" customHeight="1" x14ac:dyDescent="0.35">
      <c r="A300" s="192">
        <v>45950</v>
      </c>
      <c r="B300" s="191" t="s">
        <v>230</v>
      </c>
    </row>
    <row r="301" spans="1:2" ht="20" customHeight="1" x14ac:dyDescent="0.35">
      <c r="A301" s="192">
        <v>45951</v>
      </c>
      <c r="B301" s="191" t="s">
        <v>230</v>
      </c>
    </row>
    <row r="302" spans="1:2" ht="20" customHeight="1" x14ac:dyDescent="0.35">
      <c r="A302" s="192">
        <v>45952</v>
      </c>
      <c r="B302" s="191" t="s">
        <v>230</v>
      </c>
    </row>
    <row r="303" spans="1:2" ht="20" customHeight="1" x14ac:dyDescent="0.35">
      <c r="A303" s="192">
        <v>45953</v>
      </c>
      <c r="B303" s="191" t="s">
        <v>230</v>
      </c>
    </row>
    <row r="304" spans="1:2" ht="20" customHeight="1" x14ac:dyDescent="0.35">
      <c r="A304" s="192">
        <v>45954</v>
      </c>
      <c r="B304" s="191" t="s">
        <v>230</v>
      </c>
    </row>
    <row r="305" spans="1:2" ht="20" customHeight="1" x14ac:dyDescent="0.35">
      <c r="A305" s="192">
        <v>45955</v>
      </c>
      <c r="B305" s="191" t="s">
        <v>232</v>
      </c>
    </row>
    <row r="306" spans="1:2" ht="20" customHeight="1" x14ac:dyDescent="0.35">
      <c r="A306" s="192">
        <v>45956</v>
      </c>
      <c r="B306" s="191" t="s">
        <v>232</v>
      </c>
    </row>
    <row r="307" spans="1:2" ht="20" customHeight="1" x14ac:dyDescent="0.35">
      <c r="A307" s="192">
        <v>45957</v>
      </c>
      <c r="B307" s="191" t="s">
        <v>230</v>
      </c>
    </row>
    <row r="308" spans="1:2" ht="20" customHeight="1" x14ac:dyDescent="0.35">
      <c r="A308" s="192">
        <v>45958</v>
      </c>
      <c r="B308" s="191" t="s">
        <v>230</v>
      </c>
    </row>
    <row r="309" spans="1:2" ht="20" customHeight="1" x14ac:dyDescent="0.35">
      <c r="A309" s="192">
        <v>45959</v>
      </c>
      <c r="B309" s="191" t="s">
        <v>230</v>
      </c>
    </row>
    <row r="310" spans="1:2" ht="20" customHeight="1" x14ac:dyDescent="0.35">
      <c r="A310" s="192">
        <v>45960</v>
      </c>
      <c r="B310" s="191" t="s">
        <v>230</v>
      </c>
    </row>
    <row r="311" spans="1:2" ht="20" customHeight="1" x14ac:dyDescent="0.35">
      <c r="A311" s="192">
        <v>45961</v>
      </c>
      <c r="B311" s="191" t="s">
        <v>230</v>
      </c>
    </row>
    <row r="312" spans="1:2" ht="20" customHeight="1" x14ac:dyDescent="0.35">
      <c r="A312" s="192">
        <v>45962</v>
      </c>
      <c r="B312" s="191" t="s">
        <v>232</v>
      </c>
    </row>
    <row r="313" spans="1:2" ht="20" customHeight="1" x14ac:dyDescent="0.35">
      <c r="A313" s="192">
        <v>45963</v>
      </c>
      <c r="B313" s="191" t="s">
        <v>232</v>
      </c>
    </row>
    <row r="314" spans="1:2" ht="20" customHeight="1" x14ac:dyDescent="0.35">
      <c r="A314" s="192">
        <v>45964</v>
      </c>
      <c r="B314" s="191" t="s">
        <v>230</v>
      </c>
    </row>
    <row r="315" spans="1:2" ht="20" customHeight="1" x14ac:dyDescent="0.35">
      <c r="A315" s="192">
        <v>45965</v>
      </c>
      <c r="B315" s="191" t="s">
        <v>230</v>
      </c>
    </row>
    <row r="316" spans="1:2" ht="20" customHeight="1" x14ac:dyDescent="0.35">
      <c r="A316" s="192">
        <v>45966</v>
      </c>
      <c r="B316" s="191" t="s">
        <v>230</v>
      </c>
    </row>
    <row r="317" spans="1:2" ht="20" customHeight="1" x14ac:dyDescent="0.35">
      <c r="A317" s="192">
        <v>45967</v>
      </c>
      <c r="B317" s="191" t="s">
        <v>230</v>
      </c>
    </row>
    <row r="318" spans="1:2" ht="20" customHeight="1" x14ac:dyDescent="0.35">
      <c r="A318" s="192">
        <v>45968</v>
      </c>
      <c r="B318" s="191" t="s">
        <v>230</v>
      </c>
    </row>
    <row r="319" spans="1:2" ht="20" customHeight="1" x14ac:dyDescent="0.35">
      <c r="A319" s="192">
        <v>45969</v>
      </c>
      <c r="B319" s="191" t="s">
        <v>232</v>
      </c>
    </row>
    <row r="320" spans="1:2" ht="20" customHeight="1" x14ac:dyDescent="0.35">
      <c r="A320" s="192">
        <v>45970</v>
      </c>
      <c r="B320" s="191" t="s">
        <v>232</v>
      </c>
    </row>
    <row r="321" spans="1:2" ht="20" customHeight="1" x14ac:dyDescent="0.35">
      <c r="A321" s="192">
        <v>45971</v>
      </c>
      <c r="B321" s="191" t="s">
        <v>230</v>
      </c>
    </row>
    <row r="322" spans="1:2" ht="20" customHeight="1" x14ac:dyDescent="0.35">
      <c r="A322" s="192">
        <v>45972</v>
      </c>
      <c r="B322" s="191" t="s">
        <v>230</v>
      </c>
    </row>
    <row r="323" spans="1:2" ht="20" customHeight="1" x14ac:dyDescent="0.35">
      <c r="A323" s="192">
        <v>45973</v>
      </c>
      <c r="B323" s="191" t="s">
        <v>230</v>
      </c>
    </row>
    <row r="324" spans="1:2" ht="20" customHeight="1" x14ac:dyDescent="0.35">
      <c r="A324" s="192">
        <v>45974</v>
      </c>
      <c r="B324" s="191" t="s">
        <v>230</v>
      </c>
    </row>
    <row r="325" spans="1:2" ht="20" customHeight="1" x14ac:dyDescent="0.35">
      <c r="A325" s="192">
        <v>45975</v>
      </c>
      <c r="B325" s="191" t="s">
        <v>230</v>
      </c>
    </row>
    <row r="326" spans="1:2" ht="20" customHeight="1" x14ac:dyDescent="0.35">
      <c r="A326" s="192">
        <v>45976</v>
      </c>
      <c r="B326" s="191" t="s">
        <v>232</v>
      </c>
    </row>
    <row r="327" spans="1:2" ht="20" customHeight="1" x14ac:dyDescent="0.35">
      <c r="A327" s="192">
        <v>45977</v>
      </c>
      <c r="B327" s="191" t="s">
        <v>232</v>
      </c>
    </row>
    <row r="328" spans="1:2" ht="20" customHeight="1" x14ac:dyDescent="0.35">
      <c r="A328" s="192">
        <v>45978</v>
      </c>
      <c r="B328" s="191" t="s">
        <v>230</v>
      </c>
    </row>
    <row r="329" spans="1:2" ht="20" customHeight="1" x14ac:dyDescent="0.35">
      <c r="A329" s="192">
        <v>45979</v>
      </c>
      <c r="B329" s="191" t="s">
        <v>230</v>
      </c>
    </row>
    <row r="330" spans="1:2" ht="20" customHeight="1" x14ac:dyDescent="0.35">
      <c r="A330" s="192">
        <v>45980</v>
      </c>
      <c r="B330" s="191" t="s">
        <v>230</v>
      </c>
    </row>
    <row r="331" spans="1:2" ht="20" customHeight="1" x14ac:dyDescent="0.35">
      <c r="A331" s="192">
        <v>45981</v>
      </c>
      <c r="B331" s="191" t="s">
        <v>230</v>
      </c>
    </row>
    <row r="332" spans="1:2" ht="20" customHeight="1" x14ac:dyDescent="0.35">
      <c r="A332" s="192">
        <v>45982</v>
      </c>
      <c r="B332" s="191" t="s">
        <v>230</v>
      </c>
    </row>
    <row r="333" spans="1:2" ht="20" customHeight="1" x14ac:dyDescent="0.35">
      <c r="A333" s="192">
        <v>45983</v>
      </c>
      <c r="B333" s="191" t="s">
        <v>232</v>
      </c>
    </row>
    <row r="334" spans="1:2" ht="20" customHeight="1" x14ac:dyDescent="0.35">
      <c r="A334" s="192">
        <v>45984</v>
      </c>
      <c r="B334" s="191" t="s">
        <v>232</v>
      </c>
    </row>
    <row r="335" spans="1:2" ht="20" customHeight="1" x14ac:dyDescent="0.35">
      <c r="A335" s="192">
        <v>45985</v>
      </c>
      <c r="B335" s="191" t="s">
        <v>230</v>
      </c>
    </row>
    <row r="336" spans="1:2" ht="20" customHeight="1" x14ac:dyDescent="0.35">
      <c r="A336" s="192">
        <v>45986</v>
      </c>
      <c r="B336" s="191" t="s">
        <v>230</v>
      </c>
    </row>
    <row r="337" spans="1:2" ht="20" customHeight="1" x14ac:dyDescent="0.35">
      <c r="A337" s="192">
        <v>45987</v>
      </c>
      <c r="B337" s="191" t="s">
        <v>230</v>
      </c>
    </row>
    <row r="338" spans="1:2" ht="20" customHeight="1" x14ac:dyDescent="0.35">
      <c r="A338" s="192">
        <v>45988</v>
      </c>
      <c r="B338" s="191" t="s">
        <v>230</v>
      </c>
    </row>
    <row r="339" spans="1:2" ht="20" customHeight="1" x14ac:dyDescent="0.35">
      <c r="A339" s="192">
        <v>45989</v>
      </c>
      <c r="B339" s="191" t="s">
        <v>230</v>
      </c>
    </row>
    <row r="340" spans="1:2" ht="20" customHeight="1" x14ac:dyDescent="0.35">
      <c r="A340" s="192">
        <v>45990</v>
      </c>
      <c r="B340" s="191" t="s">
        <v>232</v>
      </c>
    </row>
    <row r="341" spans="1:2" ht="20" customHeight="1" x14ac:dyDescent="0.35">
      <c r="A341" s="192">
        <v>45991</v>
      </c>
      <c r="B341" s="191" t="s">
        <v>232</v>
      </c>
    </row>
    <row r="342" spans="1:2" ht="20" customHeight="1" x14ac:dyDescent="0.35">
      <c r="A342" s="192">
        <v>45992</v>
      </c>
      <c r="B342" s="191" t="s">
        <v>230</v>
      </c>
    </row>
    <row r="343" spans="1:2" ht="20" customHeight="1" x14ac:dyDescent="0.35">
      <c r="A343" s="192">
        <v>45993</v>
      </c>
      <c r="B343" s="191" t="s">
        <v>230</v>
      </c>
    </row>
    <row r="344" spans="1:2" ht="20" customHeight="1" x14ac:dyDescent="0.35">
      <c r="A344" s="192">
        <v>45994</v>
      </c>
      <c r="B344" s="191" t="s">
        <v>230</v>
      </c>
    </row>
    <row r="345" spans="1:2" ht="20" customHeight="1" x14ac:dyDescent="0.35">
      <c r="A345" s="192">
        <v>45995</v>
      </c>
      <c r="B345" s="191" t="s">
        <v>230</v>
      </c>
    </row>
    <row r="346" spans="1:2" ht="20" customHeight="1" x14ac:dyDescent="0.35">
      <c r="A346" s="192">
        <v>45996</v>
      </c>
      <c r="B346" s="191" t="s">
        <v>230</v>
      </c>
    </row>
    <row r="347" spans="1:2" ht="20" customHeight="1" x14ac:dyDescent="0.35">
      <c r="A347" s="192">
        <v>45997</v>
      </c>
      <c r="B347" s="191" t="s">
        <v>232</v>
      </c>
    </row>
    <row r="348" spans="1:2" ht="20" customHeight="1" x14ac:dyDescent="0.35">
      <c r="A348" s="192">
        <v>45998</v>
      </c>
      <c r="B348" s="191" t="s">
        <v>232</v>
      </c>
    </row>
    <row r="349" spans="1:2" ht="20" customHeight="1" x14ac:dyDescent="0.35">
      <c r="A349" s="192">
        <v>45999</v>
      </c>
      <c r="B349" s="191" t="s">
        <v>230</v>
      </c>
    </row>
    <row r="350" spans="1:2" ht="20" customHeight="1" x14ac:dyDescent="0.35">
      <c r="A350" s="192">
        <v>46000</v>
      </c>
      <c r="B350" s="191" t="s">
        <v>230</v>
      </c>
    </row>
    <row r="351" spans="1:2" ht="20" customHeight="1" x14ac:dyDescent="0.35">
      <c r="A351" s="192">
        <v>46001</v>
      </c>
      <c r="B351" s="191" t="s">
        <v>230</v>
      </c>
    </row>
    <row r="352" spans="1:2" ht="20" customHeight="1" x14ac:dyDescent="0.35">
      <c r="A352" s="192">
        <v>46002</v>
      </c>
      <c r="B352" s="191" t="s">
        <v>230</v>
      </c>
    </row>
    <row r="353" spans="1:2" ht="20" customHeight="1" x14ac:dyDescent="0.35">
      <c r="A353" s="192">
        <v>46003</v>
      </c>
      <c r="B353" s="191" t="s">
        <v>230</v>
      </c>
    </row>
    <row r="354" spans="1:2" ht="20" customHeight="1" x14ac:dyDescent="0.35">
      <c r="A354" s="192">
        <v>46004</v>
      </c>
      <c r="B354" s="191" t="s">
        <v>232</v>
      </c>
    </row>
    <row r="355" spans="1:2" ht="20" customHeight="1" x14ac:dyDescent="0.35">
      <c r="A355" s="192">
        <v>46005</v>
      </c>
      <c r="B355" s="191" t="s">
        <v>232</v>
      </c>
    </row>
    <row r="356" spans="1:2" ht="20" customHeight="1" x14ac:dyDescent="0.35">
      <c r="A356" s="192">
        <v>46006</v>
      </c>
      <c r="B356" s="191" t="s">
        <v>230</v>
      </c>
    </row>
    <row r="357" spans="1:2" ht="20" customHeight="1" x14ac:dyDescent="0.35">
      <c r="A357" s="192">
        <v>46007</v>
      </c>
      <c r="B357" s="191" t="s">
        <v>230</v>
      </c>
    </row>
    <row r="358" spans="1:2" ht="20" customHeight="1" x14ac:dyDescent="0.35">
      <c r="A358" s="192">
        <v>46008</v>
      </c>
      <c r="B358" s="191" t="s">
        <v>230</v>
      </c>
    </row>
    <row r="359" spans="1:2" ht="20" customHeight="1" x14ac:dyDescent="0.35">
      <c r="A359" s="192">
        <v>46009</v>
      </c>
      <c r="B359" s="191" t="s">
        <v>230</v>
      </c>
    </row>
    <row r="360" spans="1:2" ht="20" customHeight="1" x14ac:dyDescent="0.35">
      <c r="A360" s="192">
        <v>46010</v>
      </c>
      <c r="B360" s="191" t="s">
        <v>230</v>
      </c>
    </row>
    <row r="361" spans="1:2" ht="20" customHeight="1" x14ac:dyDescent="0.35">
      <c r="A361" s="192">
        <v>46011</v>
      </c>
      <c r="B361" s="191" t="s">
        <v>232</v>
      </c>
    </row>
    <row r="362" spans="1:2" ht="20" customHeight="1" x14ac:dyDescent="0.35">
      <c r="A362" s="192">
        <v>46012</v>
      </c>
      <c r="B362" s="191" t="s">
        <v>232</v>
      </c>
    </row>
    <row r="363" spans="1:2" ht="20" customHeight="1" x14ac:dyDescent="0.35">
      <c r="A363" s="192">
        <v>46013</v>
      </c>
      <c r="B363" s="191" t="s">
        <v>230</v>
      </c>
    </row>
    <row r="364" spans="1:2" ht="20" customHeight="1" x14ac:dyDescent="0.35">
      <c r="A364" s="192">
        <v>46014</v>
      </c>
      <c r="B364" s="191" t="s">
        <v>230</v>
      </c>
    </row>
    <row r="365" spans="1:2" ht="20" customHeight="1" x14ac:dyDescent="0.35">
      <c r="A365" s="192">
        <v>46015</v>
      </c>
      <c r="B365" s="191" t="s">
        <v>230</v>
      </c>
    </row>
    <row r="366" spans="1:2" ht="20" customHeight="1" x14ac:dyDescent="0.35">
      <c r="A366" s="192">
        <v>46016</v>
      </c>
      <c r="B366" s="191" t="s">
        <v>230</v>
      </c>
    </row>
    <row r="367" spans="1:2" ht="20" customHeight="1" x14ac:dyDescent="0.35">
      <c r="A367" s="192">
        <v>46017</v>
      </c>
      <c r="B367" s="191" t="s">
        <v>230</v>
      </c>
    </row>
    <row r="368" spans="1:2" ht="20" customHeight="1" x14ac:dyDescent="0.35">
      <c r="A368" s="192">
        <v>46018</v>
      </c>
      <c r="B368" s="191" t="s">
        <v>232</v>
      </c>
    </row>
    <row r="369" spans="1:2" ht="20" customHeight="1" x14ac:dyDescent="0.35">
      <c r="A369" s="192">
        <v>46019</v>
      </c>
      <c r="B369" s="191" t="s">
        <v>232</v>
      </c>
    </row>
    <row r="370" spans="1:2" ht="20" customHeight="1" x14ac:dyDescent="0.35">
      <c r="A370" s="192">
        <v>46020</v>
      </c>
      <c r="B370" s="191" t="s">
        <v>230</v>
      </c>
    </row>
    <row r="371" spans="1:2" ht="20" customHeight="1" x14ac:dyDescent="0.35">
      <c r="A371" s="192">
        <v>46021</v>
      </c>
      <c r="B371" s="191" t="s">
        <v>230</v>
      </c>
    </row>
    <row r="372" spans="1:2" ht="20" customHeight="1" x14ac:dyDescent="0.35">
      <c r="A372" s="192">
        <v>46022</v>
      </c>
      <c r="B372" s="191" t="s">
        <v>230</v>
      </c>
    </row>
  </sheetData>
  <mergeCells count="2">
    <mergeCell ref="A1:P2"/>
    <mergeCell ref="A3:P4"/>
  </mergeCell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B6B4C-5D40-4498-859B-3BDD6216275E}">
  <dimension ref="A1:P9"/>
  <sheetViews>
    <sheetView showGridLines="0" workbookViewId="0">
      <pane ySplit="6" topLeftCell="A7" activePane="bottomLeft" state="frozenSplit"/>
      <selection pane="bottomLeft"/>
    </sheetView>
  </sheetViews>
  <sheetFormatPr defaultColWidth="14.6328125" defaultRowHeight="20" customHeight="1" x14ac:dyDescent="0.35"/>
  <cols>
    <col min="1" max="3" width="19.6328125" style="186" customWidth="1"/>
    <col min="4" max="5" width="19.6328125" style="187" customWidth="1"/>
    <col min="6" max="6" width="19.6328125" style="184" customWidth="1"/>
    <col min="7" max="7" width="19.6328125" style="193" customWidth="1"/>
    <col min="8" max="8" width="19.81640625" style="193" customWidth="1"/>
    <col min="9" max="9" width="19.6328125" style="193" customWidth="1"/>
    <col min="10" max="10" width="19.6328125" style="186" customWidth="1"/>
    <col min="11" max="16384" width="14.6328125" style="184"/>
  </cols>
  <sheetData>
    <row r="1" spans="1:16" ht="20" customHeight="1" x14ac:dyDescent="0.35">
      <c r="A1" s="224" t="s">
        <v>589</v>
      </c>
      <c r="B1" s="224"/>
      <c r="C1" s="224"/>
      <c r="D1" s="224"/>
      <c r="E1" s="224"/>
      <c r="F1" s="224"/>
      <c r="G1" s="224"/>
      <c r="H1" s="224"/>
      <c r="I1" s="224"/>
      <c r="J1" s="224"/>
      <c r="K1" s="224"/>
      <c r="L1" s="224"/>
      <c r="M1" s="224"/>
      <c r="N1" s="224"/>
      <c r="O1" s="224"/>
      <c r="P1" s="224"/>
    </row>
    <row r="2" spans="1:16" ht="20" customHeight="1" x14ac:dyDescent="0.35">
      <c r="A2" s="224"/>
      <c r="B2" s="224"/>
      <c r="C2" s="224"/>
      <c r="D2" s="224"/>
      <c r="E2" s="224"/>
      <c r="F2" s="224"/>
      <c r="G2" s="224"/>
      <c r="H2" s="224"/>
      <c r="I2" s="224"/>
      <c r="J2" s="224"/>
      <c r="K2" s="224"/>
      <c r="L2" s="224"/>
      <c r="M2" s="224"/>
      <c r="N2" s="224"/>
      <c r="O2" s="224"/>
      <c r="P2" s="224"/>
    </row>
    <row r="3" spans="1:16" ht="20" customHeight="1" x14ac:dyDescent="0.35">
      <c r="A3" s="225" t="s">
        <v>556</v>
      </c>
      <c r="B3" s="225"/>
      <c r="C3" s="225"/>
      <c r="D3" s="225"/>
      <c r="E3" s="225"/>
      <c r="F3" s="225"/>
      <c r="G3" s="225"/>
      <c r="H3" s="225"/>
      <c r="I3" s="225"/>
      <c r="J3" s="225"/>
      <c r="K3" s="225"/>
      <c r="L3" s="225"/>
      <c r="M3" s="225"/>
      <c r="N3" s="225"/>
      <c r="O3" s="225"/>
      <c r="P3" s="225"/>
    </row>
    <row r="4" spans="1:16" ht="20" customHeight="1" x14ac:dyDescent="0.35">
      <c r="A4" s="225"/>
      <c r="B4" s="225"/>
      <c r="C4" s="225"/>
      <c r="D4" s="225"/>
      <c r="E4" s="225"/>
      <c r="F4" s="225"/>
      <c r="G4" s="225"/>
      <c r="H4" s="225"/>
      <c r="I4" s="225"/>
      <c r="J4" s="225"/>
      <c r="K4" s="225"/>
      <c r="L4" s="225"/>
      <c r="M4" s="225"/>
      <c r="N4" s="225"/>
      <c r="O4" s="225"/>
      <c r="P4" s="225"/>
    </row>
    <row r="6" spans="1:16" ht="20" customHeight="1" x14ac:dyDescent="0.35">
      <c r="A6" s="188" t="s">
        <v>579</v>
      </c>
      <c r="B6" s="188" t="s">
        <v>568</v>
      </c>
      <c r="C6" s="188" t="s">
        <v>73</v>
      </c>
      <c r="D6" s="189" t="s">
        <v>590</v>
      </c>
      <c r="E6" s="189" t="s">
        <v>591</v>
      </c>
      <c r="F6" s="194" t="s">
        <v>576</v>
      </c>
      <c r="G6" s="195" t="s">
        <v>592</v>
      </c>
      <c r="H6" s="195" t="s">
        <v>593</v>
      </c>
      <c r="I6" s="195" t="s">
        <v>594</v>
      </c>
      <c r="J6" s="188" t="s">
        <v>595</v>
      </c>
    </row>
    <row r="7" spans="1:16" ht="20" customHeight="1" x14ac:dyDescent="0.35">
      <c r="A7" s="191" t="s">
        <v>1579</v>
      </c>
      <c r="B7" s="191" t="s">
        <v>749</v>
      </c>
      <c r="C7" s="191" t="s">
        <v>117</v>
      </c>
      <c r="D7" s="192">
        <v>45824</v>
      </c>
      <c r="E7" s="192"/>
      <c r="F7" s="198">
        <v>1</v>
      </c>
      <c r="G7" s="199">
        <v>2</v>
      </c>
      <c r="H7" s="199">
        <v>1</v>
      </c>
      <c r="I7" s="199"/>
      <c r="J7" s="191" t="s">
        <v>230</v>
      </c>
    </row>
    <row r="8" spans="1:16" ht="20" customHeight="1" x14ac:dyDescent="0.35">
      <c r="A8" s="191" t="s">
        <v>781</v>
      </c>
      <c r="B8" s="191" t="s">
        <v>752</v>
      </c>
      <c r="C8" s="191" t="s">
        <v>122</v>
      </c>
      <c r="D8" s="192">
        <v>45901</v>
      </c>
      <c r="E8" s="192">
        <v>45915</v>
      </c>
      <c r="F8" s="198">
        <v>1</v>
      </c>
      <c r="G8" s="199"/>
      <c r="H8" s="199"/>
      <c r="I8" s="199">
        <v>3</v>
      </c>
      <c r="J8" s="191" t="s">
        <v>230</v>
      </c>
    </row>
    <row r="9" spans="1:16" ht="20" customHeight="1" x14ac:dyDescent="0.35">
      <c r="A9" s="191" t="s">
        <v>784</v>
      </c>
      <c r="B9" s="191" t="s">
        <v>754</v>
      </c>
      <c r="C9" s="191" t="s">
        <v>122</v>
      </c>
      <c r="D9" s="192">
        <v>45964</v>
      </c>
      <c r="E9" s="192">
        <v>46006</v>
      </c>
      <c r="F9" s="198">
        <v>1</v>
      </c>
      <c r="G9" s="199"/>
      <c r="H9" s="199"/>
      <c r="I9" s="199">
        <v>1.2</v>
      </c>
      <c r="J9" s="191" t="s">
        <v>230</v>
      </c>
    </row>
  </sheetData>
  <mergeCells count="2">
    <mergeCell ref="A1:P2"/>
    <mergeCell ref="A3:P4"/>
  </mergeCells>
  <dataValidations count="1">
    <dataValidation type="list" showInputMessage="1" showErrorMessage="1" sqref="B7:B9" xr:uid="{9B85EB6C-04B0-4CCF-9A69-7C94739240F8}">
      <formula1>AP_InstrumentList</formula1>
    </dataValidation>
  </dataValidation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E84AE-BDE8-41EA-AC40-127911AE034B}">
  <dimension ref="A1:P792"/>
  <sheetViews>
    <sheetView showGridLines="0" workbookViewId="0">
      <pane ySplit="6" topLeftCell="A7" activePane="bottomLeft" state="frozenSplit"/>
      <selection pane="bottomLeft"/>
    </sheetView>
  </sheetViews>
  <sheetFormatPr defaultColWidth="14.6328125" defaultRowHeight="20" customHeight="1" x14ac:dyDescent="0.35"/>
  <cols>
    <col min="1" max="2" width="19.6328125" style="186" customWidth="1"/>
    <col min="3" max="3" width="19.6328125" style="187" customWidth="1"/>
    <col min="4" max="4" width="19.6328125" style="193" customWidth="1"/>
    <col min="5" max="6" width="19.6328125" style="186" customWidth="1"/>
    <col min="7" max="7" width="19.6328125" style="184" customWidth="1"/>
    <col min="8" max="8" width="19.6328125" style="200" customWidth="1"/>
    <col min="9" max="9" width="19.6328125" style="186" customWidth="1"/>
    <col min="10" max="16384" width="14.6328125" style="184"/>
  </cols>
  <sheetData>
    <row r="1" spans="1:16" ht="20" customHeight="1" x14ac:dyDescent="0.35">
      <c r="A1" s="224" t="s">
        <v>582</v>
      </c>
      <c r="B1" s="224"/>
      <c r="C1" s="224"/>
      <c r="D1" s="224"/>
      <c r="E1" s="224"/>
      <c r="F1" s="224"/>
      <c r="G1" s="224"/>
      <c r="H1" s="224"/>
      <c r="I1" s="224"/>
      <c r="J1" s="224"/>
      <c r="K1" s="224"/>
      <c r="L1" s="224"/>
      <c r="M1" s="224"/>
      <c r="N1" s="224"/>
      <c r="O1" s="224"/>
      <c r="P1" s="224"/>
    </row>
    <row r="2" spans="1:16" ht="20" customHeight="1" x14ac:dyDescent="0.35">
      <c r="A2" s="224"/>
      <c r="B2" s="224"/>
      <c r="C2" s="224"/>
      <c r="D2" s="224"/>
      <c r="E2" s="224"/>
      <c r="F2" s="224"/>
      <c r="G2" s="224"/>
      <c r="H2" s="224"/>
      <c r="I2" s="224"/>
      <c r="J2" s="224"/>
      <c r="K2" s="224"/>
      <c r="L2" s="224"/>
      <c r="M2" s="224"/>
      <c r="N2" s="224"/>
      <c r="O2" s="224"/>
      <c r="P2" s="224"/>
    </row>
    <row r="3" spans="1:16" ht="20" customHeight="1" x14ac:dyDescent="0.35">
      <c r="A3" s="225" t="s">
        <v>556</v>
      </c>
      <c r="B3" s="225"/>
      <c r="C3" s="225"/>
      <c r="D3" s="225"/>
      <c r="E3" s="225"/>
      <c r="F3" s="225"/>
      <c r="G3" s="225"/>
      <c r="H3" s="225"/>
      <c r="I3" s="225"/>
      <c r="J3" s="225"/>
      <c r="K3" s="225"/>
      <c r="L3" s="225"/>
      <c r="M3" s="225"/>
      <c r="N3" s="225"/>
      <c r="O3" s="225"/>
      <c r="P3" s="225"/>
    </row>
    <row r="4" spans="1:16" ht="20" customHeight="1" x14ac:dyDescent="0.35">
      <c r="A4" s="225"/>
      <c r="B4" s="225"/>
      <c r="C4" s="225"/>
      <c r="D4" s="225"/>
      <c r="E4" s="225"/>
      <c r="F4" s="225"/>
      <c r="G4" s="225"/>
      <c r="H4" s="225"/>
      <c r="I4" s="225"/>
      <c r="J4" s="225"/>
      <c r="K4" s="225"/>
      <c r="L4" s="225"/>
      <c r="M4" s="225"/>
      <c r="N4" s="225"/>
      <c r="O4" s="225"/>
      <c r="P4" s="225"/>
    </row>
    <row r="6" spans="1:16" ht="20" customHeight="1" x14ac:dyDescent="0.35">
      <c r="A6" s="188" t="s">
        <v>583</v>
      </c>
      <c r="B6" s="188" t="s">
        <v>568</v>
      </c>
      <c r="C6" s="189" t="s">
        <v>72</v>
      </c>
      <c r="D6" s="195" t="s">
        <v>584</v>
      </c>
      <c r="E6" s="188" t="s">
        <v>559</v>
      </c>
      <c r="F6" s="188" t="s">
        <v>416</v>
      </c>
      <c r="G6" s="194" t="s">
        <v>585</v>
      </c>
      <c r="H6" s="201" t="s">
        <v>586</v>
      </c>
      <c r="I6" s="188" t="s">
        <v>587</v>
      </c>
    </row>
    <row r="7" spans="1:16" ht="20" customHeight="1" x14ac:dyDescent="0.35">
      <c r="A7" s="191" t="s">
        <v>792</v>
      </c>
      <c r="B7" s="191" t="s">
        <v>749</v>
      </c>
      <c r="C7" s="192">
        <v>45657</v>
      </c>
      <c r="D7" s="199">
        <v>100</v>
      </c>
      <c r="E7" s="191" t="s">
        <v>564</v>
      </c>
      <c r="F7" s="191" t="s">
        <v>793</v>
      </c>
      <c r="G7" s="198">
        <v>0</v>
      </c>
      <c r="H7" s="203">
        <v>46302</v>
      </c>
      <c r="I7" s="191" t="s">
        <v>588</v>
      </c>
    </row>
    <row r="8" spans="1:16" ht="20" customHeight="1" x14ac:dyDescent="0.35">
      <c r="A8" s="191" t="s">
        <v>794</v>
      </c>
      <c r="B8" s="191" t="s">
        <v>749</v>
      </c>
      <c r="C8" s="192">
        <v>45658</v>
      </c>
      <c r="D8" s="199">
        <v>100</v>
      </c>
      <c r="E8" s="191" t="s">
        <v>564</v>
      </c>
      <c r="F8" s="191" t="s">
        <v>793</v>
      </c>
      <c r="G8" s="198">
        <v>0</v>
      </c>
      <c r="H8" s="203">
        <v>46302</v>
      </c>
      <c r="I8" s="191" t="s">
        <v>588</v>
      </c>
    </row>
    <row r="9" spans="1:16" ht="20" customHeight="1" x14ac:dyDescent="0.35">
      <c r="A9" s="191" t="s">
        <v>795</v>
      </c>
      <c r="B9" s="191" t="s">
        <v>749</v>
      </c>
      <c r="C9" s="192">
        <v>45659</v>
      </c>
      <c r="D9" s="199">
        <v>100.07</v>
      </c>
      <c r="E9" s="191" t="s">
        <v>564</v>
      </c>
      <c r="F9" s="191" t="s">
        <v>793</v>
      </c>
      <c r="G9" s="198">
        <v>0</v>
      </c>
      <c r="H9" s="203">
        <v>46302</v>
      </c>
      <c r="I9" s="191" t="s">
        <v>588</v>
      </c>
    </row>
    <row r="10" spans="1:16" ht="20" customHeight="1" x14ac:dyDescent="0.35">
      <c r="A10" s="191" t="s">
        <v>796</v>
      </c>
      <c r="B10" s="191" t="s">
        <v>749</v>
      </c>
      <c r="C10" s="192">
        <v>45660</v>
      </c>
      <c r="D10" s="199">
        <v>100.13</v>
      </c>
      <c r="E10" s="191" t="s">
        <v>564</v>
      </c>
      <c r="F10" s="191" t="s">
        <v>793</v>
      </c>
      <c r="G10" s="198">
        <v>0</v>
      </c>
      <c r="H10" s="203">
        <v>46302</v>
      </c>
      <c r="I10" s="191" t="s">
        <v>588</v>
      </c>
    </row>
    <row r="11" spans="1:16" ht="20" customHeight="1" x14ac:dyDescent="0.35">
      <c r="A11" s="191" t="s">
        <v>797</v>
      </c>
      <c r="B11" s="191" t="s">
        <v>749</v>
      </c>
      <c r="C11" s="192">
        <v>45663</v>
      </c>
      <c r="D11" s="199">
        <v>100.33</v>
      </c>
      <c r="E11" s="191" t="s">
        <v>564</v>
      </c>
      <c r="F11" s="191" t="s">
        <v>793</v>
      </c>
      <c r="G11" s="198">
        <v>0</v>
      </c>
      <c r="H11" s="203">
        <v>46302</v>
      </c>
      <c r="I11" s="191" t="s">
        <v>588</v>
      </c>
    </row>
    <row r="12" spans="1:16" ht="20" customHeight="1" x14ac:dyDescent="0.35">
      <c r="A12" s="191" t="s">
        <v>798</v>
      </c>
      <c r="B12" s="191" t="s">
        <v>749</v>
      </c>
      <c r="C12" s="192">
        <v>45664</v>
      </c>
      <c r="D12" s="199">
        <v>100.4</v>
      </c>
      <c r="E12" s="191" t="s">
        <v>564</v>
      </c>
      <c r="F12" s="191" t="s">
        <v>793</v>
      </c>
      <c r="G12" s="198">
        <v>0</v>
      </c>
      <c r="H12" s="203">
        <v>46302</v>
      </c>
      <c r="I12" s="191" t="s">
        <v>588</v>
      </c>
    </row>
    <row r="13" spans="1:16" ht="20" customHeight="1" x14ac:dyDescent="0.35">
      <c r="A13" s="191" t="s">
        <v>799</v>
      </c>
      <c r="B13" s="191" t="s">
        <v>749</v>
      </c>
      <c r="C13" s="192">
        <v>45665</v>
      </c>
      <c r="D13" s="199">
        <v>100.47</v>
      </c>
      <c r="E13" s="191" t="s">
        <v>564</v>
      </c>
      <c r="F13" s="191" t="s">
        <v>793</v>
      </c>
      <c r="G13" s="198">
        <v>0</v>
      </c>
      <c r="H13" s="203">
        <v>46302</v>
      </c>
      <c r="I13" s="191" t="s">
        <v>588</v>
      </c>
    </row>
    <row r="14" spans="1:16" ht="20" customHeight="1" x14ac:dyDescent="0.35">
      <c r="A14" s="191" t="s">
        <v>800</v>
      </c>
      <c r="B14" s="191" t="s">
        <v>749</v>
      </c>
      <c r="C14" s="192">
        <v>45666</v>
      </c>
      <c r="D14" s="199">
        <v>100.53</v>
      </c>
      <c r="E14" s="191" t="s">
        <v>564</v>
      </c>
      <c r="F14" s="191" t="s">
        <v>793</v>
      </c>
      <c r="G14" s="198">
        <v>0</v>
      </c>
      <c r="H14" s="203">
        <v>46302</v>
      </c>
      <c r="I14" s="191" t="s">
        <v>588</v>
      </c>
    </row>
    <row r="15" spans="1:16" ht="20" customHeight="1" x14ac:dyDescent="0.35">
      <c r="A15" s="191" t="s">
        <v>801</v>
      </c>
      <c r="B15" s="191" t="s">
        <v>749</v>
      </c>
      <c r="C15" s="192">
        <v>45667</v>
      </c>
      <c r="D15" s="199">
        <v>100.6</v>
      </c>
      <c r="E15" s="191" t="s">
        <v>564</v>
      </c>
      <c r="F15" s="191" t="s">
        <v>793</v>
      </c>
      <c r="G15" s="198">
        <v>0</v>
      </c>
      <c r="H15" s="203">
        <v>46302</v>
      </c>
      <c r="I15" s="191" t="s">
        <v>588</v>
      </c>
    </row>
    <row r="16" spans="1:16" ht="20" customHeight="1" x14ac:dyDescent="0.35">
      <c r="A16" s="191" t="s">
        <v>802</v>
      </c>
      <c r="B16" s="191" t="s">
        <v>749</v>
      </c>
      <c r="C16" s="192">
        <v>45670</v>
      </c>
      <c r="D16" s="199">
        <v>100.8</v>
      </c>
      <c r="E16" s="191" t="s">
        <v>564</v>
      </c>
      <c r="F16" s="191" t="s">
        <v>793</v>
      </c>
      <c r="G16" s="198">
        <v>0</v>
      </c>
      <c r="H16" s="203">
        <v>46302</v>
      </c>
      <c r="I16" s="191" t="s">
        <v>588</v>
      </c>
    </row>
    <row r="17" spans="1:9" ht="20" customHeight="1" x14ac:dyDescent="0.35">
      <c r="A17" s="191" t="s">
        <v>803</v>
      </c>
      <c r="B17" s="191" t="s">
        <v>749</v>
      </c>
      <c r="C17" s="192">
        <v>45671</v>
      </c>
      <c r="D17" s="199">
        <v>100.87</v>
      </c>
      <c r="E17" s="191" t="s">
        <v>564</v>
      </c>
      <c r="F17" s="191" t="s">
        <v>793</v>
      </c>
      <c r="G17" s="198">
        <v>0</v>
      </c>
      <c r="H17" s="203">
        <v>46302</v>
      </c>
      <c r="I17" s="191" t="s">
        <v>588</v>
      </c>
    </row>
    <row r="18" spans="1:9" ht="20" customHeight="1" x14ac:dyDescent="0.35">
      <c r="A18" s="191" t="s">
        <v>804</v>
      </c>
      <c r="B18" s="191" t="s">
        <v>749</v>
      </c>
      <c r="C18" s="192">
        <v>45672</v>
      </c>
      <c r="D18" s="199">
        <v>100.93</v>
      </c>
      <c r="E18" s="191" t="s">
        <v>564</v>
      </c>
      <c r="F18" s="191" t="s">
        <v>793</v>
      </c>
      <c r="G18" s="198">
        <v>0</v>
      </c>
      <c r="H18" s="203">
        <v>46302</v>
      </c>
      <c r="I18" s="191" t="s">
        <v>588</v>
      </c>
    </row>
    <row r="19" spans="1:9" ht="20" customHeight="1" x14ac:dyDescent="0.35">
      <c r="A19" s="191" t="s">
        <v>805</v>
      </c>
      <c r="B19" s="191" t="s">
        <v>749</v>
      </c>
      <c r="C19" s="192">
        <v>45673</v>
      </c>
      <c r="D19" s="199">
        <v>101</v>
      </c>
      <c r="E19" s="191" t="s">
        <v>564</v>
      </c>
      <c r="F19" s="191" t="s">
        <v>793</v>
      </c>
      <c r="G19" s="198">
        <v>0</v>
      </c>
      <c r="H19" s="203">
        <v>46302</v>
      </c>
      <c r="I19" s="191" t="s">
        <v>588</v>
      </c>
    </row>
    <row r="20" spans="1:9" ht="20" customHeight="1" x14ac:dyDescent="0.35">
      <c r="A20" s="191" t="s">
        <v>806</v>
      </c>
      <c r="B20" s="191" t="s">
        <v>749</v>
      </c>
      <c r="C20" s="192">
        <v>45674</v>
      </c>
      <c r="D20" s="199">
        <v>101.07</v>
      </c>
      <c r="E20" s="191" t="s">
        <v>564</v>
      </c>
      <c r="F20" s="191" t="s">
        <v>793</v>
      </c>
      <c r="G20" s="198">
        <v>0</v>
      </c>
      <c r="H20" s="203">
        <v>46302</v>
      </c>
      <c r="I20" s="191" t="s">
        <v>588</v>
      </c>
    </row>
    <row r="21" spans="1:9" ht="20" customHeight="1" x14ac:dyDescent="0.35">
      <c r="A21" s="191" t="s">
        <v>807</v>
      </c>
      <c r="B21" s="191" t="s">
        <v>749</v>
      </c>
      <c r="C21" s="192">
        <v>45677</v>
      </c>
      <c r="D21" s="199">
        <v>101.27</v>
      </c>
      <c r="E21" s="191" t="s">
        <v>564</v>
      </c>
      <c r="F21" s="191" t="s">
        <v>793</v>
      </c>
      <c r="G21" s="198">
        <v>0</v>
      </c>
      <c r="H21" s="203">
        <v>46302</v>
      </c>
      <c r="I21" s="191" t="s">
        <v>588</v>
      </c>
    </row>
    <row r="22" spans="1:9" ht="20" customHeight="1" x14ac:dyDescent="0.35">
      <c r="A22" s="191" t="s">
        <v>808</v>
      </c>
      <c r="B22" s="191" t="s">
        <v>749</v>
      </c>
      <c r="C22" s="192">
        <v>45678</v>
      </c>
      <c r="D22" s="199">
        <v>101.33</v>
      </c>
      <c r="E22" s="191" t="s">
        <v>564</v>
      </c>
      <c r="F22" s="191" t="s">
        <v>793</v>
      </c>
      <c r="G22" s="198">
        <v>0</v>
      </c>
      <c r="H22" s="203">
        <v>46302</v>
      </c>
      <c r="I22" s="191" t="s">
        <v>588</v>
      </c>
    </row>
    <row r="23" spans="1:9" ht="20" customHeight="1" x14ac:dyDescent="0.35">
      <c r="A23" s="191" t="s">
        <v>809</v>
      </c>
      <c r="B23" s="191" t="s">
        <v>749</v>
      </c>
      <c r="C23" s="192">
        <v>45679</v>
      </c>
      <c r="D23" s="199">
        <v>101.4</v>
      </c>
      <c r="E23" s="191" t="s">
        <v>564</v>
      </c>
      <c r="F23" s="191" t="s">
        <v>793</v>
      </c>
      <c r="G23" s="198">
        <v>0</v>
      </c>
      <c r="H23" s="203">
        <v>46302</v>
      </c>
      <c r="I23" s="191" t="s">
        <v>588</v>
      </c>
    </row>
    <row r="24" spans="1:9" ht="20" customHeight="1" x14ac:dyDescent="0.35">
      <c r="A24" s="191" t="s">
        <v>810</v>
      </c>
      <c r="B24" s="191" t="s">
        <v>749</v>
      </c>
      <c r="C24" s="192">
        <v>45680</v>
      </c>
      <c r="D24" s="199">
        <v>101.47</v>
      </c>
      <c r="E24" s="191" t="s">
        <v>564</v>
      </c>
      <c r="F24" s="191" t="s">
        <v>793</v>
      </c>
      <c r="G24" s="198">
        <v>0</v>
      </c>
      <c r="H24" s="203">
        <v>46302</v>
      </c>
      <c r="I24" s="191" t="s">
        <v>588</v>
      </c>
    </row>
    <row r="25" spans="1:9" ht="20" customHeight="1" x14ac:dyDescent="0.35">
      <c r="A25" s="191" t="s">
        <v>811</v>
      </c>
      <c r="B25" s="191" t="s">
        <v>749</v>
      </c>
      <c r="C25" s="192">
        <v>45681</v>
      </c>
      <c r="D25" s="199">
        <v>101.53</v>
      </c>
      <c r="E25" s="191" t="s">
        <v>564</v>
      </c>
      <c r="F25" s="191" t="s">
        <v>793</v>
      </c>
      <c r="G25" s="198">
        <v>0</v>
      </c>
      <c r="H25" s="203">
        <v>46302</v>
      </c>
      <c r="I25" s="191" t="s">
        <v>588</v>
      </c>
    </row>
    <row r="26" spans="1:9" ht="20" customHeight="1" x14ac:dyDescent="0.35">
      <c r="A26" s="191" t="s">
        <v>812</v>
      </c>
      <c r="B26" s="191" t="s">
        <v>749</v>
      </c>
      <c r="C26" s="192">
        <v>45684</v>
      </c>
      <c r="D26" s="199">
        <v>101.73</v>
      </c>
      <c r="E26" s="191" t="s">
        <v>564</v>
      </c>
      <c r="F26" s="191" t="s">
        <v>793</v>
      </c>
      <c r="G26" s="198">
        <v>0</v>
      </c>
      <c r="H26" s="203">
        <v>46302</v>
      </c>
      <c r="I26" s="191" t="s">
        <v>588</v>
      </c>
    </row>
    <row r="27" spans="1:9" ht="20" customHeight="1" x14ac:dyDescent="0.35">
      <c r="A27" s="191" t="s">
        <v>813</v>
      </c>
      <c r="B27" s="191" t="s">
        <v>749</v>
      </c>
      <c r="C27" s="192">
        <v>45685</v>
      </c>
      <c r="D27" s="199">
        <v>101.8</v>
      </c>
      <c r="E27" s="191" t="s">
        <v>564</v>
      </c>
      <c r="F27" s="191" t="s">
        <v>793</v>
      </c>
      <c r="G27" s="198">
        <v>0</v>
      </c>
      <c r="H27" s="203">
        <v>46302</v>
      </c>
      <c r="I27" s="191" t="s">
        <v>588</v>
      </c>
    </row>
    <row r="28" spans="1:9" ht="20" customHeight="1" x14ac:dyDescent="0.35">
      <c r="A28" s="191" t="s">
        <v>814</v>
      </c>
      <c r="B28" s="191" t="s">
        <v>749</v>
      </c>
      <c r="C28" s="192">
        <v>45686</v>
      </c>
      <c r="D28" s="199">
        <v>101.87</v>
      </c>
      <c r="E28" s="191" t="s">
        <v>564</v>
      </c>
      <c r="F28" s="191" t="s">
        <v>793</v>
      </c>
      <c r="G28" s="198">
        <v>0</v>
      </c>
      <c r="H28" s="203">
        <v>46302</v>
      </c>
      <c r="I28" s="191" t="s">
        <v>588</v>
      </c>
    </row>
    <row r="29" spans="1:9" ht="20" customHeight="1" x14ac:dyDescent="0.35">
      <c r="A29" s="191" t="s">
        <v>815</v>
      </c>
      <c r="B29" s="191" t="s">
        <v>749</v>
      </c>
      <c r="C29" s="192">
        <v>45687</v>
      </c>
      <c r="D29" s="199">
        <v>101.93</v>
      </c>
      <c r="E29" s="191" t="s">
        <v>564</v>
      </c>
      <c r="F29" s="191" t="s">
        <v>793</v>
      </c>
      <c r="G29" s="198">
        <v>0</v>
      </c>
      <c r="H29" s="203">
        <v>46302</v>
      </c>
      <c r="I29" s="191" t="s">
        <v>588</v>
      </c>
    </row>
    <row r="30" spans="1:9" ht="20" customHeight="1" x14ac:dyDescent="0.35">
      <c r="A30" s="191" t="s">
        <v>816</v>
      </c>
      <c r="B30" s="191" t="s">
        <v>749</v>
      </c>
      <c r="C30" s="192">
        <v>45688</v>
      </c>
      <c r="D30" s="199">
        <v>102</v>
      </c>
      <c r="E30" s="191" t="s">
        <v>564</v>
      </c>
      <c r="F30" s="191" t="s">
        <v>793</v>
      </c>
      <c r="G30" s="198">
        <v>0</v>
      </c>
      <c r="H30" s="203">
        <v>46302</v>
      </c>
      <c r="I30" s="191" t="s">
        <v>588</v>
      </c>
    </row>
    <row r="31" spans="1:9" ht="20" customHeight="1" x14ac:dyDescent="0.35">
      <c r="A31" s="191" t="s">
        <v>817</v>
      </c>
      <c r="B31" s="191" t="s">
        <v>749</v>
      </c>
      <c r="C31" s="192">
        <v>45691</v>
      </c>
      <c r="D31" s="199">
        <v>101.63</v>
      </c>
      <c r="E31" s="191" t="s">
        <v>564</v>
      </c>
      <c r="F31" s="191" t="s">
        <v>793</v>
      </c>
      <c r="G31" s="198">
        <v>0</v>
      </c>
      <c r="H31" s="203">
        <v>46302</v>
      </c>
      <c r="I31" s="191" t="s">
        <v>588</v>
      </c>
    </row>
    <row r="32" spans="1:9" ht="20" customHeight="1" x14ac:dyDescent="0.35">
      <c r="A32" s="191" t="s">
        <v>818</v>
      </c>
      <c r="B32" s="191" t="s">
        <v>749</v>
      </c>
      <c r="C32" s="192">
        <v>45692</v>
      </c>
      <c r="D32" s="199">
        <v>101.44</v>
      </c>
      <c r="E32" s="191" t="s">
        <v>564</v>
      </c>
      <c r="F32" s="191" t="s">
        <v>793</v>
      </c>
      <c r="G32" s="198">
        <v>0</v>
      </c>
      <c r="H32" s="203">
        <v>46302</v>
      </c>
      <c r="I32" s="191" t="s">
        <v>588</v>
      </c>
    </row>
    <row r="33" spans="1:9" ht="20" customHeight="1" x14ac:dyDescent="0.35">
      <c r="A33" s="191" t="s">
        <v>819</v>
      </c>
      <c r="B33" s="191" t="s">
        <v>749</v>
      </c>
      <c r="C33" s="192">
        <v>45693</v>
      </c>
      <c r="D33" s="199">
        <v>101.26</v>
      </c>
      <c r="E33" s="191" t="s">
        <v>564</v>
      </c>
      <c r="F33" s="191" t="s">
        <v>793</v>
      </c>
      <c r="G33" s="198">
        <v>0</v>
      </c>
      <c r="H33" s="203">
        <v>46302</v>
      </c>
      <c r="I33" s="191" t="s">
        <v>588</v>
      </c>
    </row>
    <row r="34" spans="1:9" ht="20" customHeight="1" x14ac:dyDescent="0.35">
      <c r="A34" s="191" t="s">
        <v>820</v>
      </c>
      <c r="B34" s="191" t="s">
        <v>749</v>
      </c>
      <c r="C34" s="192">
        <v>45694</v>
      </c>
      <c r="D34" s="199">
        <v>101.07</v>
      </c>
      <c r="E34" s="191" t="s">
        <v>564</v>
      </c>
      <c r="F34" s="191" t="s">
        <v>793</v>
      </c>
      <c r="G34" s="198">
        <v>0</v>
      </c>
      <c r="H34" s="203">
        <v>46302</v>
      </c>
      <c r="I34" s="191" t="s">
        <v>588</v>
      </c>
    </row>
    <row r="35" spans="1:9" ht="20" customHeight="1" x14ac:dyDescent="0.35">
      <c r="A35" s="191" t="s">
        <v>821</v>
      </c>
      <c r="B35" s="191" t="s">
        <v>749</v>
      </c>
      <c r="C35" s="192">
        <v>45695</v>
      </c>
      <c r="D35" s="199">
        <v>100.89</v>
      </c>
      <c r="E35" s="191" t="s">
        <v>564</v>
      </c>
      <c r="F35" s="191" t="s">
        <v>793</v>
      </c>
      <c r="G35" s="198">
        <v>0</v>
      </c>
      <c r="H35" s="203">
        <v>46302</v>
      </c>
      <c r="I35" s="191" t="s">
        <v>588</v>
      </c>
    </row>
    <row r="36" spans="1:9" ht="20" customHeight="1" x14ac:dyDescent="0.35">
      <c r="A36" s="191" t="s">
        <v>822</v>
      </c>
      <c r="B36" s="191" t="s">
        <v>749</v>
      </c>
      <c r="C36" s="192">
        <v>45698</v>
      </c>
      <c r="D36" s="199">
        <v>100.33</v>
      </c>
      <c r="E36" s="191" t="s">
        <v>564</v>
      </c>
      <c r="F36" s="191" t="s">
        <v>793</v>
      </c>
      <c r="G36" s="198">
        <v>0</v>
      </c>
      <c r="H36" s="203">
        <v>46302</v>
      </c>
      <c r="I36" s="191" t="s">
        <v>588</v>
      </c>
    </row>
    <row r="37" spans="1:9" ht="20" customHeight="1" x14ac:dyDescent="0.35">
      <c r="A37" s="191" t="s">
        <v>823</v>
      </c>
      <c r="B37" s="191" t="s">
        <v>749</v>
      </c>
      <c r="C37" s="192">
        <v>45699</v>
      </c>
      <c r="D37" s="199">
        <v>100.15</v>
      </c>
      <c r="E37" s="191" t="s">
        <v>564</v>
      </c>
      <c r="F37" s="191" t="s">
        <v>793</v>
      </c>
      <c r="G37" s="198">
        <v>0</v>
      </c>
      <c r="H37" s="203">
        <v>46302</v>
      </c>
      <c r="I37" s="191" t="s">
        <v>588</v>
      </c>
    </row>
    <row r="38" spans="1:9" ht="20" customHeight="1" x14ac:dyDescent="0.35">
      <c r="A38" s="191" t="s">
        <v>824</v>
      </c>
      <c r="B38" s="191" t="s">
        <v>749</v>
      </c>
      <c r="C38" s="192">
        <v>45700</v>
      </c>
      <c r="D38" s="199">
        <v>99.96</v>
      </c>
      <c r="E38" s="191" t="s">
        <v>564</v>
      </c>
      <c r="F38" s="191" t="s">
        <v>793</v>
      </c>
      <c r="G38" s="198">
        <v>0</v>
      </c>
      <c r="H38" s="203">
        <v>46302</v>
      </c>
      <c r="I38" s="191" t="s">
        <v>588</v>
      </c>
    </row>
    <row r="39" spans="1:9" ht="20" customHeight="1" x14ac:dyDescent="0.35">
      <c r="A39" s="191" t="s">
        <v>825</v>
      </c>
      <c r="B39" s="191" t="s">
        <v>749</v>
      </c>
      <c r="C39" s="192">
        <v>45701</v>
      </c>
      <c r="D39" s="199">
        <v>99.78</v>
      </c>
      <c r="E39" s="191" t="s">
        <v>564</v>
      </c>
      <c r="F39" s="191" t="s">
        <v>793</v>
      </c>
      <c r="G39" s="198">
        <v>0</v>
      </c>
      <c r="H39" s="203">
        <v>46302</v>
      </c>
      <c r="I39" s="191" t="s">
        <v>588</v>
      </c>
    </row>
    <row r="40" spans="1:9" ht="20" customHeight="1" x14ac:dyDescent="0.35">
      <c r="A40" s="191" t="s">
        <v>826</v>
      </c>
      <c r="B40" s="191" t="s">
        <v>749</v>
      </c>
      <c r="C40" s="192">
        <v>45702</v>
      </c>
      <c r="D40" s="199">
        <v>99.59</v>
      </c>
      <c r="E40" s="191" t="s">
        <v>564</v>
      </c>
      <c r="F40" s="191" t="s">
        <v>793</v>
      </c>
      <c r="G40" s="198">
        <v>0</v>
      </c>
      <c r="H40" s="203">
        <v>46302</v>
      </c>
      <c r="I40" s="191" t="s">
        <v>588</v>
      </c>
    </row>
    <row r="41" spans="1:9" ht="20" customHeight="1" x14ac:dyDescent="0.35">
      <c r="A41" s="191" t="s">
        <v>827</v>
      </c>
      <c r="B41" s="191" t="s">
        <v>749</v>
      </c>
      <c r="C41" s="192">
        <v>45705</v>
      </c>
      <c r="D41" s="199">
        <v>99.04</v>
      </c>
      <c r="E41" s="191" t="s">
        <v>564</v>
      </c>
      <c r="F41" s="191" t="s">
        <v>793</v>
      </c>
      <c r="G41" s="198">
        <v>0</v>
      </c>
      <c r="H41" s="203">
        <v>46302</v>
      </c>
      <c r="I41" s="191" t="s">
        <v>588</v>
      </c>
    </row>
    <row r="42" spans="1:9" ht="20" customHeight="1" x14ac:dyDescent="0.35">
      <c r="A42" s="191" t="s">
        <v>828</v>
      </c>
      <c r="B42" s="191" t="s">
        <v>749</v>
      </c>
      <c r="C42" s="192">
        <v>45706</v>
      </c>
      <c r="D42" s="199">
        <v>98.85</v>
      </c>
      <c r="E42" s="191" t="s">
        <v>564</v>
      </c>
      <c r="F42" s="191" t="s">
        <v>793</v>
      </c>
      <c r="G42" s="198">
        <v>0</v>
      </c>
      <c r="H42" s="203">
        <v>46302</v>
      </c>
      <c r="I42" s="191" t="s">
        <v>588</v>
      </c>
    </row>
    <row r="43" spans="1:9" ht="20" customHeight="1" x14ac:dyDescent="0.35">
      <c r="A43" s="191" t="s">
        <v>829</v>
      </c>
      <c r="B43" s="191" t="s">
        <v>749</v>
      </c>
      <c r="C43" s="192">
        <v>45707</v>
      </c>
      <c r="D43" s="199">
        <v>98.67</v>
      </c>
      <c r="E43" s="191" t="s">
        <v>564</v>
      </c>
      <c r="F43" s="191" t="s">
        <v>793</v>
      </c>
      <c r="G43" s="198">
        <v>0</v>
      </c>
      <c r="H43" s="203">
        <v>46302</v>
      </c>
      <c r="I43" s="191" t="s">
        <v>588</v>
      </c>
    </row>
    <row r="44" spans="1:9" ht="20" customHeight="1" x14ac:dyDescent="0.35">
      <c r="A44" s="191" t="s">
        <v>830</v>
      </c>
      <c r="B44" s="191" t="s">
        <v>749</v>
      </c>
      <c r="C44" s="192">
        <v>45708</v>
      </c>
      <c r="D44" s="199">
        <v>98.48</v>
      </c>
      <c r="E44" s="191" t="s">
        <v>564</v>
      </c>
      <c r="F44" s="191" t="s">
        <v>793</v>
      </c>
      <c r="G44" s="198">
        <v>0</v>
      </c>
      <c r="H44" s="203">
        <v>46302</v>
      </c>
      <c r="I44" s="191" t="s">
        <v>588</v>
      </c>
    </row>
    <row r="45" spans="1:9" ht="20" customHeight="1" x14ac:dyDescent="0.35">
      <c r="A45" s="191" t="s">
        <v>831</v>
      </c>
      <c r="B45" s="191" t="s">
        <v>749</v>
      </c>
      <c r="C45" s="192">
        <v>45709</v>
      </c>
      <c r="D45" s="199">
        <v>98.3</v>
      </c>
      <c r="E45" s="191" t="s">
        <v>564</v>
      </c>
      <c r="F45" s="191" t="s">
        <v>793</v>
      </c>
      <c r="G45" s="198">
        <v>0</v>
      </c>
      <c r="H45" s="203">
        <v>46302</v>
      </c>
      <c r="I45" s="191" t="s">
        <v>588</v>
      </c>
    </row>
    <row r="46" spans="1:9" ht="20" customHeight="1" x14ac:dyDescent="0.35">
      <c r="A46" s="191" t="s">
        <v>832</v>
      </c>
      <c r="B46" s="191" t="s">
        <v>749</v>
      </c>
      <c r="C46" s="192">
        <v>45712</v>
      </c>
      <c r="D46" s="199">
        <v>97.74</v>
      </c>
      <c r="E46" s="191" t="s">
        <v>564</v>
      </c>
      <c r="F46" s="191" t="s">
        <v>793</v>
      </c>
      <c r="G46" s="198">
        <v>0</v>
      </c>
      <c r="H46" s="203">
        <v>46302</v>
      </c>
      <c r="I46" s="191" t="s">
        <v>588</v>
      </c>
    </row>
    <row r="47" spans="1:9" ht="20" customHeight="1" x14ac:dyDescent="0.35">
      <c r="A47" s="191" t="s">
        <v>833</v>
      </c>
      <c r="B47" s="191" t="s">
        <v>749</v>
      </c>
      <c r="C47" s="192">
        <v>45713</v>
      </c>
      <c r="D47" s="199">
        <v>97.56</v>
      </c>
      <c r="E47" s="191" t="s">
        <v>564</v>
      </c>
      <c r="F47" s="191" t="s">
        <v>793</v>
      </c>
      <c r="G47" s="198">
        <v>0</v>
      </c>
      <c r="H47" s="203">
        <v>46302</v>
      </c>
      <c r="I47" s="191" t="s">
        <v>588</v>
      </c>
    </row>
    <row r="48" spans="1:9" ht="20" customHeight="1" x14ac:dyDescent="0.35">
      <c r="A48" s="191" t="s">
        <v>834</v>
      </c>
      <c r="B48" s="191" t="s">
        <v>749</v>
      </c>
      <c r="C48" s="192">
        <v>45714</v>
      </c>
      <c r="D48" s="199">
        <v>97.37</v>
      </c>
      <c r="E48" s="191" t="s">
        <v>564</v>
      </c>
      <c r="F48" s="191" t="s">
        <v>793</v>
      </c>
      <c r="G48" s="198">
        <v>0</v>
      </c>
      <c r="H48" s="203">
        <v>46302</v>
      </c>
      <c r="I48" s="191" t="s">
        <v>588</v>
      </c>
    </row>
    <row r="49" spans="1:9" ht="20" customHeight="1" x14ac:dyDescent="0.35">
      <c r="A49" s="191" t="s">
        <v>835</v>
      </c>
      <c r="B49" s="191" t="s">
        <v>749</v>
      </c>
      <c r="C49" s="192">
        <v>45715</v>
      </c>
      <c r="D49" s="199">
        <v>97.19</v>
      </c>
      <c r="E49" s="191" t="s">
        <v>564</v>
      </c>
      <c r="F49" s="191" t="s">
        <v>793</v>
      </c>
      <c r="G49" s="198">
        <v>0</v>
      </c>
      <c r="H49" s="203">
        <v>46302</v>
      </c>
      <c r="I49" s="191" t="s">
        <v>588</v>
      </c>
    </row>
    <row r="50" spans="1:9" ht="20" customHeight="1" x14ac:dyDescent="0.35">
      <c r="A50" s="191" t="s">
        <v>836</v>
      </c>
      <c r="B50" s="191" t="s">
        <v>749</v>
      </c>
      <c r="C50" s="192">
        <v>45716</v>
      </c>
      <c r="D50" s="199">
        <v>97</v>
      </c>
      <c r="E50" s="191" t="s">
        <v>564</v>
      </c>
      <c r="F50" s="191" t="s">
        <v>793</v>
      </c>
      <c r="G50" s="198">
        <v>0</v>
      </c>
      <c r="H50" s="203">
        <v>46302</v>
      </c>
      <c r="I50" s="191" t="s">
        <v>588</v>
      </c>
    </row>
    <row r="51" spans="1:9" ht="20" customHeight="1" x14ac:dyDescent="0.35">
      <c r="A51" s="191" t="s">
        <v>837</v>
      </c>
      <c r="B51" s="191" t="s">
        <v>749</v>
      </c>
      <c r="C51" s="192">
        <v>45719</v>
      </c>
      <c r="D51" s="199">
        <v>97.6</v>
      </c>
      <c r="E51" s="191" t="s">
        <v>564</v>
      </c>
      <c r="F51" s="191" t="s">
        <v>793</v>
      </c>
      <c r="G51" s="198">
        <v>0</v>
      </c>
      <c r="H51" s="203">
        <v>46302</v>
      </c>
      <c r="I51" s="191" t="s">
        <v>588</v>
      </c>
    </row>
    <row r="52" spans="1:9" ht="20" customHeight="1" x14ac:dyDescent="0.35">
      <c r="A52" s="191" t="s">
        <v>838</v>
      </c>
      <c r="B52" s="191" t="s">
        <v>749</v>
      </c>
      <c r="C52" s="192">
        <v>45720</v>
      </c>
      <c r="D52" s="199">
        <v>97.9</v>
      </c>
      <c r="E52" s="191" t="s">
        <v>564</v>
      </c>
      <c r="F52" s="191" t="s">
        <v>793</v>
      </c>
      <c r="G52" s="198">
        <v>0</v>
      </c>
      <c r="H52" s="203">
        <v>46302</v>
      </c>
      <c r="I52" s="191" t="s">
        <v>588</v>
      </c>
    </row>
    <row r="53" spans="1:9" ht="20" customHeight="1" x14ac:dyDescent="0.35">
      <c r="A53" s="191" t="s">
        <v>839</v>
      </c>
      <c r="B53" s="191" t="s">
        <v>749</v>
      </c>
      <c r="C53" s="192">
        <v>45721</v>
      </c>
      <c r="D53" s="199">
        <v>98.2</v>
      </c>
      <c r="E53" s="191" t="s">
        <v>564</v>
      </c>
      <c r="F53" s="191" t="s">
        <v>793</v>
      </c>
      <c r="G53" s="198">
        <v>0</v>
      </c>
      <c r="H53" s="203">
        <v>46302</v>
      </c>
      <c r="I53" s="191" t="s">
        <v>588</v>
      </c>
    </row>
    <row r="54" spans="1:9" ht="20" customHeight="1" x14ac:dyDescent="0.35">
      <c r="A54" s="191" t="s">
        <v>840</v>
      </c>
      <c r="B54" s="191" t="s">
        <v>749</v>
      </c>
      <c r="C54" s="192">
        <v>45722</v>
      </c>
      <c r="D54" s="199">
        <v>98.5</v>
      </c>
      <c r="E54" s="191" t="s">
        <v>564</v>
      </c>
      <c r="F54" s="191" t="s">
        <v>793</v>
      </c>
      <c r="G54" s="198">
        <v>0</v>
      </c>
      <c r="H54" s="203">
        <v>46302</v>
      </c>
      <c r="I54" s="191" t="s">
        <v>588</v>
      </c>
    </row>
    <row r="55" spans="1:9" ht="20" customHeight="1" x14ac:dyDescent="0.35">
      <c r="A55" s="191" t="s">
        <v>841</v>
      </c>
      <c r="B55" s="191" t="s">
        <v>749</v>
      </c>
      <c r="C55" s="192">
        <v>45723</v>
      </c>
      <c r="D55" s="199">
        <v>98.8</v>
      </c>
      <c r="E55" s="191" t="s">
        <v>564</v>
      </c>
      <c r="F55" s="191" t="s">
        <v>793</v>
      </c>
      <c r="G55" s="198">
        <v>0</v>
      </c>
      <c r="H55" s="203">
        <v>46302</v>
      </c>
      <c r="I55" s="191" t="s">
        <v>588</v>
      </c>
    </row>
    <row r="56" spans="1:9" ht="20" customHeight="1" x14ac:dyDescent="0.35">
      <c r="A56" s="191" t="s">
        <v>842</v>
      </c>
      <c r="B56" s="191" t="s">
        <v>749</v>
      </c>
      <c r="C56" s="192">
        <v>45726</v>
      </c>
      <c r="D56" s="199">
        <v>99.7</v>
      </c>
      <c r="E56" s="191" t="s">
        <v>564</v>
      </c>
      <c r="F56" s="191" t="s">
        <v>793</v>
      </c>
      <c r="G56" s="198">
        <v>0</v>
      </c>
      <c r="H56" s="203">
        <v>46302</v>
      </c>
      <c r="I56" s="191" t="s">
        <v>588</v>
      </c>
    </row>
    <row r="57" spans="1:9" ht="20" customHeight="1" x14ac:dyDescent="0.35">
      <c r="A57" s="191" t="s">
        <v>843</v>
      </c>
      <c r="B57" s="191" t="s">
        <v>749</v>
      </c>
      <c r="C57" s="192">
        <v>45727</v>
      </c>
      <c r="D57" s="199">
        <v>100</v>
      </c>
      <c r="E57" s="191" t="s">
        <v>564</v>
      </c>
      <c r="F57" s="191" t="s">
        <v>793</v>
      </c>
      <c r="G57" s="198">
        <v>0</v>
      </c>
      <c r="H57" s="203">
        <v>46302</v>
      </c>
      <c r="I57" s="191" t="s">
        <v>588</v>
      </c>
    </row>
    <row r="58" spans="1:9" ht="20" customHeight="1" x14ac:dyDescent="0.35">
      <c r="A58" s="191" t="s">
        <v>844</v>
      </c>
      <c r="B58" s="191" t="s">
        <v>749</v>
      </c>
      <c r="C58" s="192">
        <v>45728</v>
      </c>
      <c r="D58" s="199">
        <v>100.3</v>
      </c>
      <c r="E58" s="191" t="s">
        <v>564</v>
      </c>
      <c r="F58" s="191" t="s">
        <v>793</v>
      </c>
      <c r="G58" s="198">
        <v>0</v>
      </c>
      <c r="H58" s="203">
        <v>46302</v>
      </c>
      <c r="I58" s="191" t="s">
        <v>588</v>
      </c>
    </row>
    <row r="59" spans="1:9" ht="20" customHeight="1" x14ac:dyDescent="0.35">
      <c r="A59" s="191" t="s">
        <v>845</v>
      </c>
      <c r="B59" s="191" t="s">
        <v>749</v>
      </c>
      <c r="C59" s="192">
        <v>45729</v>
      </c>
      <c r="D59" s="199">
        <v>100.6</v>
      </c>
      <c r="E59" s="191" t="s">
        <v>564</v>
      </c>
      <c r="F59" s="191" t="s">
        <v>793</v>
      </c>
      <c r="G59" s="198">
        <v>0</v>
      </c>
      <c r="H59" s="203">
        <v>46302</v>
      </c>
      <c r="I59" s="191" t="s">
        <v>588</v>
      </c>
    </row>
    <row r="60" spans="1:9" ht="20" customHeight="1" x14ac:dyDescent="0.35">
      <c r="A60" s="191" t="s">
        <v>846</v>
      </c>
      <c r="B60" s="191" t="s">
        <v>749</v>
      </c>
      <c r="C60" s="192">
        <v>45730</v>
      </c>
      <c r="D60" s="199">
        <v>100.9</v>
      </c>
      <c r="E60" s="191" t="s">
        <v>564</v>
      </c>
      <c r="F60" s="191" t="s">
        <v>793</v>
      </c>
      <c r="G60" s="198">
        <v>0</v>
      </c>
      <c r="H60" s="203">
        <v>46302</v>
      </c>
      <c r="I60" s="191" t="s">
        <v>588</v>
      </c>
    </row>
    <row r="61" spans="1:9" ht="20" customHeight="1" x14ac:dyDescent="0.35">
      <c r="A61" s="191" t="s">
        <v>847</v>
      </c>
      <c r="B61" s="191" t="s">
        <v>749</v>
      </c>
      <c r="C61" s="192">
        <v>45733</v>
      </c>
      <c r="D61" s="199">
        <v>101.8</v>
      </c>
      <c r="E61" s="191" t="s">
        <v>564</v>
      </c>
      <c r="F61" s="191" t="s">
        <v>793</v>
      </c>
      <c r="G61" s="198">
        <v>0</v>
      </c>
      <c r="H61" s="203">
        <v>46302</v>
      </c>
      <c r="I61" s="191" t="s">
        <v>588</v>
      </c>
    </row>
    <row r="62" spans="1:9" ht="20" customHeight="1" x14ac:dyDescent="0.35">
      <c r="A62" s="191" t="s">
        <v>848</v>
      </c>
      <c r="B62" s="191" t="s">
        <v>749</v>
      </c>
      <c r="C62" s="192">
        <v>45734</v>
      </c>
      <c r="D62" s="199">
        <v>102.1</v>
      </c>
      <c r="E62" s="191" t="s">
        <v>564</v>
      </c>
      <c r="F62" s="191" t="s">
        <v>793</v>
      </c>
      <c r="G62" s="198">
        <v>0</v>
      </c>
      <c r="H62" s="203">
        <v>46302</v>
      </c>
      <c r="I62" s="191" t="s">
        <v>588</v>
      </c>
    </row>
    <row r="63" spans="1:9" ht="20" customHeight="1" x14ac:dyDescent="0.35">
      <c r="A63" s="191" t="s">
        <v>849</v>
      </c>
      <c r="B63" s="191" t="s">
        <v>749</v>
      </c>
      <c r="C63" s="192">
        <v>45735</v>
      </c>
      <c r="D63" s="199">
        <v>102.4</v>
      </c>
      <c r="E63" s="191" t="s">
        <v>564</v>
      </c>
      <c r="F63" s="191" t="s">
        <v>793</v>
      </c>
      <c r="G63" s="198">
        <v>0</v>
      </c>
      <c r="H63" s="203">
        <v>46302</v>
      </c>
      <c r="I63" s="191" t="s">
        <v>588</v>
      </c>
    </row>
    <row r="64" spans="1:9" ht="20" customHeight="1" x14ac:dyDescent="0.35">
      <c r="A64" s="191" t="s">
        <v>850</v>
      </c>
      <c r="B64" s="191" t="s">
        <v>749</v>
      </c>
      <c r="C64" s="192">
        <v>45736</v>
      </c>
      <c r="D64" s="199">
        <v>102.7</v>
      </c>
      <c r="E64" s="191" t="s">
        <v>564</v>
      </c>
      <c r="F64" s="191" t="s">
        <v>793</v>
      </c>
      <c r="G64" s="198">
        <v>0</v>
      </c>
      <c r="H64" s="203">
        <v>46302</v>
      </c>
      <c r="I64" s="191" t="s">
        <v>588</v>
      </c>
    </row>
    <row r="65" spans="1:9" ht="20" customHeight="1" x14ac:dyDescent="0.35">
      <c r="A65" s="191" t="s">
        <v>851</v>
      </c>
      <c r="B65" s="191" t="s">
        <v>749</v>
      </c>
      <c r="C65" s="192">
        <v>45737</v>
      </c>
      <c r="D65" s="199">
        <v>103</v>
      </c>
      <c r="E65" s="191" t="s">
        <v>564</v>
      </c>
      <c r="F65" s="191" t="s">
        <v>793</v>
      </c>
      <c r="G65" s="198">
        <v>0</v>
      </c>
      <c r="H65" s="203">
        <v>46302</v>
      </c>
      <c r="I65" s="191" t="s">
        <v>588</v>
      </c>
    </row>
    <row r="66" spans="1:9" ht="20" customHeight="1" x14ac:dyDescent="0.35">
      <c r="A66" s="191" t="s">
        <v>852</v>
      </c>
      <c r="B66" s="191" t="s">
        <v>749</v>
      </c>
      <c r="C66" s="192">
        <v>45740</v>
      </c>
      <c r="D66" s="199">
        <v>103.9</v>
      </c>
      <c r="E66" s="191" t="s">
        <v>564</v>
      </c>
      <c r="F66" s="191" t="s">
        <v>793</v>
      </c>
      <c r="G66" s="198">
        <v>0</v>
      </c>
      <c r="H66" s="203">
        <v>46302</v>
      </c>
      <c r="I66" s="191" t="s">
        <v>588</v>
      </c>
    </row>
    <row r="67" spans="1:9" ht="20" customHeight="1" x14ac:dyDescent="0.35">
      <c r="A67" s="191" t="s">
        <v>853</v>
      </c>
      <c r="B67" s="191" t="s">
        <v>749</v>
      </c>
      <c r="C67" s="192">
        <v>45741</v>
      </c>
      <c r="D67" s="199">
        <v>104.2</v>
      </c>
      <c r="E67" s="191" t="s">
        <v>564</v>
      </c>
      <c r="F67" s="191" t="s">
        <v>793</v>
      </c>
      <c r="G67" s="198">
        <v>0</v>
      </c>
      <c r="H67" s="203">
        <v>46302</v>
      </c>
      <c r="I67" s="191" t="s">
        <v>588</v>
      </c>
    </row>
    <row r="68" spans="1:9" ht="20" customHeight="1" x14ac:dyDescent="0.35">
      <c r="A68" s="191" t="s">
        <v>854</v>
      </c>
      <c r="B68" s="191" t="s">
        <v>749</v>
      </c>
      <c r="C68" s="192">
        <v>45742</v>
      </c>
      <c r="D68" s="199">
        <v>104.5</v>
      </c>
      <c r="E68" s="191" t="s">
        <v>564</v>
      </c>
      <c r="F68" s="191" t="s">
        <v>793</v>
      </c>
      <c r="G68" s="198">
        <v>0</v>
      </c>
      <c r="H68" s="203">
        <v>46302</v>
      </c>
      <c r="I68" s="191" t="s">
        <v>588</v>
      </c>
    </row>
    <row r="69" spans="1:9" ht="20" customHeight="1" x14ac:dyDescent="0.35">
      <c r="A69" s="191" t="s">
        <v>855</v>
      </c>
      <c r="B69" s="191" t="s">
        <v>749</v>
      </c>
      <c r="C69" s="192">
        <v>45743</v>
      </c>
      <c r="D69" s="199">
        <v>104.8</v>
      </c>
      <c r="E69" s="191" t="s">
        <v>564</v>
      </c>
      <c r="F69" s="191" t="s">
        <v>793</v>
      </c>
      <c r="G69" s="198">
        <v>0</v>
      </c>
      <c r="H69" s="203">
        <v>46302</v>
      </c>
      <c r="I69" s="191" t="s">
        <v>588</v>
      </c>
    </row>
    <row r="70" spans="1:9" ht="20" customHeight="1" x14ac:dyDescent="0.35">
      <c r="A70" s="191" t="s">
        <v>856</v>
      </c>
      <c r="B70" s="191" t="s">
        <v>749</v>
      </c>
      <c r="C70" s="192">
        <v>45744</v>
      </c>
      <c r="D70" s="199">
        <v>105.1</v>
      </c>
      <c r="E70" s="191" t="s">
        <v>564</v>
      </c>
      <c r="F70" s="191" t="s">
        <v>793</v>
      </c>
      <c r="G70" s="198">
        <v>0</v>
      </c>
      <c r="H70" s="203">
        <v>46302</v>
      </c>
      <c r="I70" s="191" t="s">
        <v>588</v>
      </c>
    </row>
    <row r="71" spans="1:9" ht="20" customHeight="1" x14ac:dyDescent="0.35">
      <c r="A71" s="191" t="s">
        <v>857</v>
      </c>
      <c r="B71" s="191" t="s">
        <v>749</v>
      </c>
      <c r="C71" s="192">
        <v>45747</v>
      </c>
      <c r="D71" s="199">
        <v>106</v>
      </c>
      <c r="E71" s="191" t="s">
        <v>564</v>
      </c>
      <c r="F71" s="191" t="s">
        <v>793</v>
      </c>
      <c r="G71" s="198">
        <v>0</v>
      </c>
      <c r="H71" s="203">
        <v>46302</v>
      </c>
      <c r="I71" s="191" t="s">
        <v>588</v>
      </c>
    </row>
    <row r="72" spans="1:9" ht="20" customHeight="1" x14ac:dyDescent="0.35">
      <c r="A72" s="191" t="s">
        <v>858</v>
      </c>
      <c r="B72" s="191" t="s">
        <v>749</v>
      </c>
      <c r="C72" s="192">
        <v>45748</v>
      </c>
      <c r="D72" s="199">
        <v>106</v>
      </c>
      <c r="E72" s="191" t="s">
        <v>564</v>
      </c>
      <c r="F72" s="191" t="s">
        <v>793</v>
      </c>
      <c r="G72" s="198">
        <v>0</v>
      </c>
      <c r="H72" s="203">
        <v>46302</v>
      </c>
      <c r="I72" s="191" t="s">
        <v>588</v>
      </c>
    </row>
    <row r="73" spans="1:9" ht="20" customHeight="1" x14ac:dyDescent="0.35">
      <c r="A73" s="191" t="s">
        <v>859</v>
      </c>
      <c r="B73" s="191" t="s">
        <v>749</v>
      </c>
      <c r="C73" s="192">
        <v>45749</v>
      </c>
      <c r="D73" s="199">
        <v>105.83</v>
      </c>
      <c r="E73" s="191" t="s">
        <v>564</v>
      </c>
      <c r="F73" s="191" t="s">
        <v>793</v>
      </c>
      <c r="G73" s="198">
        <v>0</v>
      </c>
      <c r="H73" s="203">
        <v>46302</v>
      </c>
      <c r="I73" s="191" t="s">
        <v>588</v>
      </c>
    </row>
    <row r="74" spans="1:9" ht="20" customHeight="1" x14ac:dyDescent="0.35">
      <c r="A74" s="191" t="s">
        <v>860</v>
      </c>
      <c r="B74" s="191" t="s">
        <v>749</v>
      </c>
      <c r="C74" s="192">
        <v>45750</v>
      </c>
      <c r="D74" s="199">
        <v>105.66</v>
      </c>
      <c r="E74" s="191" t="s">
        <v>564</v>
      </c>
      <c r="F74" s="191" t="s">
        <v>793</v>
      </c>
      <c r="G74" s="198">
        <v>0</v>
      </c>
      <c r="H74" s="203">
        <v>46302</v>
      </c>
      <c r="I74" s="191" t="s">
        <v>588</v>
      </c>
    </row>
    <row r="75" spans="1:9" ht="20" customHeight="1" x14ac:dyDescent="0.35">
      <c r="A75" s="191" t="s">
        <v>861</v>
      </c>
      <c r="B75" s="191" t="s">
        <v>749</v>
      </c>
      <c r="C75" s="192">
        <v>45751</v>
      </c>
      <c r="D75" s="199">
        <v>105.48</v>
      </c>
      <c r="E75" s="191" t="s">
        <v>564</v>
      </c>
      <c r="F75" s="191" t="s">
        <v>793</v>
      </c>
      <c r="G75" s="198">
        <v>0</v>
      </c>
      <c r="H75" s="203">
        <v>46302</v>
      </c>
      <c r="I75" s="191" t="s">
        <v>588</v>
      </c>
    </row>
    <row r="76" spans="1:9" ht="20" customHeight="1" x14ac:dyDescent="0.35">
      <c r="A76" s="191" t="s">
        <v>862</v>
      </c>
      <c r="B76" s="191" t="s">
        <v>749</v>
      </c>
      <c r="C76" s="192">
        <v>45754</v>
      </c>
      <c r="D76" s="199">
        <v>104.97</v>
      </c>
      <c r="E76" s="191" t="s">
        <v>564</v>
      </c>
      <c r="F76" s="191" t="s">
        <v>793</v>
      </c>
      <c r="G76" s="198">
        <v>0</v>
      </c>
      <c r="H76" s="203">
        <v>46302</v>
      </c>
      <c r="I76" s="191" t="s">
        <v>588</v>
      </c>
    </row>
    <row r="77" spans="1:9" ht="20" customHeight="1" x14ac:dyDescent="0.35">
      <c r="A77" s="191" t="s">
        <v>863</v>
      </c>
      <c r="B77" s="191" t="s">
        <v>749</v>
      </c>
      <c r="C77" s="192">
        <v>45755</v>
      </c>
      <c r="D77" s="199">
        <v>104.79</v>
      </c>
      <c r="E77" s="191" t="s">
        <v>564</v>
      </c>
      <c r="F77" s="191" t="s">
        <v>793</v>
      </c>
      <c r="G77" s="198">
        <v>0</v>
      </c>
      <c r="H77" s="203">
        <v>46302</v>
      </c>
      <c r="I77" s="191" t="s">
        <v>588</v>
      </c>
    </row>
    <row r="78" spans="1:9" ht="20" customHeight="1" x14ac:dyDescent="0.35">
      <c r="A78" s="191" t="s">
        <v>864</v>
      </c>
      <c r="B78" s="191" t="s">
        <v>749</v>
      </c>
      <c r="C78" s="192">
        <v>45756</v>
      </c>
      <c r="D78" s="199">
        <v>104.62</v>
      </c>
      <c r="E78" s="191" t="s">
        <v>564</v>
      </c>
      <c r="F78" s="191" t="s">
        <v>793</v>
      </c>
      <c r="G78" s="198">
        <v>0</v>
      </c>
      <c r="H78" s="203">
        <v>46302</v>
      </c>
      <c r="I78" s="191" t="s">
        <v>588</v>
      </c>
    </row>
    <row r="79" spans="1:9" ht="20" customHeight="1" x14ac:dyDescent="0.35">
      <c r="A79" s="191" t="s">
        <v>865</v>
      </c>
      <c r="B79" s="191" t="s">
        <v>749</v>
      </c>
      <c r="C79" s="192">
        <v>45757</v>
      </c>
      <c r="D79" s="199">
        <v>104.45</v>
      </c>
      <c r="E79" s="191" t="s">
        <v>564</v>
      </c>
      <c r="F79" s="191" t="s">
        <v>793</v>
      </c>
      <c r="G79" s="198">
        <v>0</v>
      </c>
      <c r="H79" s="203">
        <v>46302</v>
      </c>
      <c r="I79" s="191" t="s">
        <v>588</v>
      </c>
    </row>
    <row r="80" spans="1:9" ht="20" customHeight="1" x14ac:dyDescent="0.35">
      <c r="A80" s="191" t="s">
        <v>866</v>
      </c>
      <c r="B80" s="191" t="s">
        <v>749</v>
      </c>
      <c r="C80" s="192">
        <v>45758</v>
      </c>
      <c r="D80" s="199">
        <v>104.28</v>
      </c>
      <c r="E80" s="191" t="s">
        <v>564</v>
      </c>
      <c r="F80" s="191" t="s">
        <v>793</v>
      </c>
      <c r="G80" s="198">
        <v>0</v>
      </c>
      <c r="H80" s="203">
        <v>46302</v>
      </c>
      <c r="I80" s="191" t="s">
        <v>588</v>
      </c>
    </row>
    <row r="81" spans="1:9" ht="20" customHeight="1" x14ac:dyDescent="0.35">
      <c r="A81" s="191" t="s">
        <v>867</v>
      </c>
      <c r="B81" s="191" t="s">
        <v>749</v>
      </c>
      <c r="C81" s="192">
        <v>45761</v>
      </c>
      <c r="D81" s="199">
        <v>103.76</v>
      </c>
      <c r="E81" s="191" t="s">
        <v>564</v>
      </c>
      <c r="F81" s="191" t="s">
        <v>793</v>
      </c>
      <c r="G81" s="198">
        <v>0</v>
      </c>
      <c r="H81" s="203">
        <v>46302</v>
      </c>
      <c r="I81" s="191" t="s">
        <v>588</v>
      </c>
    </row>
    <row r="82" spans="1:9" ht="20" customHeight="1" x14ac:dyDescent="0.35">
      <c r="A82" s="191" t="s">
        <v>868</v>
      </c>
      <c r="B82" s="191" t="s">
        <v>749</v>
      </c>
      <c r="C82" s="192">
        <v>45762</v>
      </c>
      <c r="D82" s="199">
        <v>103.59</v>
      </c>
      <c r="E82" s="191" t="s">
        <v>564</v>
      </c>
      <c r="F82" s="191" t="s">
        <v>793</v>
      </c>
      <c r="G82" s="198">
        <v>0</v>
      </c>
      <c r="H82" s="203">
        <v>46302</v>
      </c>
      <c r="I82" s="191" t="s">
        <v>588</v>
      </c>
    </row>
    <row r="83" spans="1:9" ht="20" customHeight="1" x14ac:dyDescent="0.35">
      <c r="A83" s="191" t="s">
        <v>869</v>
      </c>
      <c r="B83" s="191" t="s">
        <v>749</v>
      </c>
      <c r="C83" s="192">
        <v>45763</v>
      </c>
      <c r="D83" s="199">
        <v>103.41</v>
      </c>
      <c r="E83" s="191" t="s">
        <v>564</v>
      </c>
      <c r="F83" s="191" t="s">
        <v>793</v>
      </c>
      <c r="G83" s="198">
        <v>0</v>
      </c>
      <c r="H83" s="203">
        <v>46302</v>
      </c>
      <c r="I83" s="191" t="s">
        <v>588</v>
      </c>
    </row>
    <row r="84" spans="1:9" ht="20" customHeight="1" x14ac:dyDescent="0.35">
      <c r="A84" s="191" t="s">
        <v>870</v>
      </c>
      <c r="B84" s="191" t="s">
        <v>749</v>
      </c>
      <c r="C84" s="192">
        <v>45764</v>
      </c>
      <c r="D84" s="199">
        <v>103.24</v>
      </c>
      <c r="E84" s="191" t="s">
        <v>564</v>
      </c>
      <c r="F84" s="191" t="s">
        <v>793</v>
      </c>
      <c r="G84" s="198">
        <v>0</v>
      </c>
      <c r="H84" s="203">
        <v>46302</v>
      </c>
      <c r="I84" s="191" t="s">
        <v>588</v>
      </c>
    </row>
    <row r="85" spans="1:9" ht="20" customHeight="1" x14ac:dyDescent="0.35">
      <c r="A85" s="191" t="s">
        <v>871</v>
      </c>
      <c r="B85" s="191" t="s">
        <v>749</v>
      </c>
      <c r="C85" s="192">
        <v>45765</v>
      </c>
      <c r="D85" s="199">
        <v>103.07</v>
      </c>
      <c r="E85" s="191" t="s">
        <v>564</v>
      </c>
      <c r="F85" s="191" t="s">
        <v>793</v>
      </c>
      <c r="G85" s="198">
        <v>0</v>
      </c>
      <c r="H85" s="203">
        <v>46302</v>
      </c>
      <c r="I85" s="191" t="s">
        <v>588</v>
      </c>
    </row>
    <row r="86" spans="1:9" ht="20" customHeight="1" x14ac:dyDescent="0.35">
      <c r="A86" s="191" t="s">
        <v>872</v>
      </c>
      <c r="B86" s="191" t="s">
        <v>749</v>
      </c>
      <c r="C86" s="192">
        <v>45768</v>
      </c>
      <c r="D86" s="199">
        <v>102.55</v>
      </c>
      <c r="E86" s="191" t="s">
        <v>564</v>
      </c>
      <c r="F86" s="191" t="s">
        <v>793</v>
      </c>
      <c r="G86" s="198">
        <v>0</v>
      </c>
      <c r="H86" s="203">
        <v>46302</v>
      </c>
      <c r="I86" s="191" t="s">
        <v>588</v>
      </c>
    </row>
    <row r="87" spans="1:9" ht="20" customHeight="1" x14ac:dyDescent="0.35">
      <c r="A87" s="191" t="s">
        <v>873</v>
      </c>
      <c r="B87" s="191" t="s">
        <v>749</v>
      </c>
      <c r="C87" s="192">
        <v>45769</v>
      </c>
      <c r="D87" s="199">
        <v>102.38</v>
      </c>
      <c r="E87" s="191" t="s">
        <v>564</v>
      </c>
      <c r="F87" s="191" t="s">
        <v>793</v>
      </c>
      <c r="G87" s="198">
        <v>0</v>
      </c>
      <c r="H87" s="203">
        <v>46302</v>
      </c>
      <c r="I87" s="191" t="s">
        <v>588</v>
      </c>
    </row>
    <row r="88" spans="1:9" ht="20" customHeight="1" x14ac:dyDescent="0.35">
      <c r="A88" s="191" t="s">
        <v>874</v>
      </c>
      <c r="B88" s="191" t="s">
        <v>749</v>
      </c>
      <c r="C88" s="192">
        <v>45770</v>
      </c>
      <c r="D88" s="199">
        <v>102.21</v>
      </c>
      <c r="E88" s="191" t="s">
        <v>564</v>
      </c>
      <c r="F88" s="191" t="s">
        <v>793</v>
      </c>
      <c r="G88" s="198">
        <v>0</v>
      </c>
      <c r="H88" s="203">
        <v>46302</v>
      </c>
      <c r="I88" s="191" t="s">
        <v>588</v>
      </c>
    </row>
    <row r="89" spans="1:9" ht="20" customHeight="1" x14ac:dyDescent="0.35">
      <c r="A89" s="191" t="s">
        <v>875</v>
      </c>
      <c r="B89" s="191" t="s">
        <v>749</v>
      </c>
      <c r="C89" s="192">
        <v>45771</v>
      </c>
      <c r="D89" s="199">
        <v>102.03</v>
      </c>
      <c r="E89" s="191" t="s">
        <v>564</v>
      </c>
      <c r="F89" s="191" t="s">
        <v>793</v>
      </c>
      <c r="G89" s="198">
        <v>0</v>
      </c>
      <c r="H89" s="203">
        <v>46302</v>
      </c>
      <c r="I89" s="191" t="s">
        <v>588</v>
      </c>
    </row>
    <row r="90" spans="1:9" ht="20" customHeight="1" x14ac:dyDescent="0.35">
      <c r="A90" s="191" t="s">
        <v>876</v>
      </c>
      <c r="B90" s="191" t="s">
        <v>749</v>
      </c>
      <c r="C90" s="192">
        <v>45772</v>
      </c>
      <c r="D90" s="199">
        <v>101.86</v>
      </c>
      <c r="E90" s="191" t="s">
        <v>564</v>
      </c>
      <c r="F90" s="191" t="s">
        <v>793</v>
      </c>
      <c r="G90" s="198">
        <v>0</v>
      </c>
      <c r="H90" s="203">
        <v>46302</v>
      </c>
      <c r="I90" s="191" t="s">
        <v>588</v>
      </c>
    </row>
    <row r="91" spans="1:9" ht="20" customHeight="1" x14ac:dyDescent="0.35">
      <c r="A91" s="191" t="s">
        <v>877</v>
      </c>
      <c r="B91" s="191" t="s">
        <v>749</v>
      </c>
      <c r="C91" s="192">
        <v>45775</v>
      </c>
      <c r="D91" s="199">
        <v>101.34</v>
      </c>
      <c r="E91" s="191" t="s">
        <v>564</v>
      </c>
      <c r="F91" s="191" t="s">
        <v>793</v>
      </c>
      <c r="G91" s="198">
        <v>0</v>
      </c>
      <c r="H91" s="203">
        <v>46302</v>
      </c>
      <c r="I91" s="191" t="s">
        <v>588</v>
      </c>
    </row>
    <row r="92" spans="1:9" ht="20" customHeight="1" x14ac:dyDescent="0.35">
      <c r="A92" s="191" t="s">
        <v>878</v>
      </c>
      <c r="B92" s="191" t="s">
        <v>749</v>
      </c>
      <c r="C92" s="192">
        <v>45776</v>
      </c>
      <c r="D92" s="199">
        <v>101.17</v>
      </c>
      <c r="E92" s="191" t="s">
        <v>564</v>
      </c>
      <c r="F92" s="191" t="s">
        <v>793</v>
      </c>
      <c r="G92" s="198">
        <v>0</v>
      </c>
      <c r="H92" s="203">
        <v>46302</v>
      </c>
      <c r="I92" s="191" t="s">
        <v>588</v>
      </c>
    </row>
    <row r="93" spans="1:9" ht="20" customHeight="1" x14ac:dyDescent="0.35">
      <c r="A93" s="191" t="s">
        <v>879</v>
      </c>
      <c r="B93" s="191" t="s">
        <v>749</v>
      </c>
      <c r="C93" s="192">
        <v>45777</v>
      </c>
      <c r="D93" s="199">
        <v>101</v>
      </c>
      <c r="E93" s="191" t="s">
        <v>564</v>
      </c>
      <c r="F93" s="191" t="s">
        <v>793</v>
      </c>
      <c r="G93" s="198">
        <v>0</v>
      </c>
      <c r="H93" s="203">
        <v>46302</v>
      </c>
      <c r="I93" s="191" t="s">
        <v>588</v>
      </c>
    </row>
    <row r="94" spans="1:9" ht="20" customHeight="1" x14ac:dyDescent="0.35">
      <c r="A94" s="191" t="s">
        <v>880</v>
      </c>
      <c r="B94" s="191" t="s">
        <v>749</v>
      </c>
      <c r="C94" s="192">
        <v>45778</v>
      </c>
      <c r="D94" s="199">
        <v>101</v>
      </c>
      <c r="E94" s="191" t="s">
        <v>564</v>
      </c>
      <c r="F94" s="191" t="s">
        <v>793</v>
      </c>
      <c r="G94" s="198">
        <v>0</v>
      </c>
      <c r="H94" s="203">
        <v>46302</v>
      </c>
      <c r="I94" s="191" t="s">
        <v>588</v>
      </c>
    </row>
    <row r="95" spans="1:9" ht="20" customHeight="1" x14ac:dyDescent="0.35">
      <c r="A95" s="191" t="s">
        <v>881</v>
      </c>
      <c r="B95" s="191" t="s">
        <v>749</v>
      </c>
      <c r="C95" s="192">
        <v>45779</v>
      </c>
      <c r="D95" s="199">
        <v>100.93</v>
      </c>
      <c r="E95" s="191" t="s">
        <v>564</v>
      </c>
      <c r="F95" s="191" t="s">
        <v>793</v>
      </c>
      <c r="G95" s="198">
        <v>0</v>
      </c>
      <c r="H95" s="203">
        <v>46302</v>
      </c>
      <c r="I95" s="191" t="s">
        <v>588</v>
      </c>
    </row>
    <row r="96" spans="1:9" ht="20" customHeight="1" x14ac:dyDescent="0.35">
      <c r="A96" s="191" t="s">
        <v>882</v>
      </c>
      <c r="B96" s="191" t="s">
        <v>749</v>
      </c>
      <c r="C96" s="192">
        <v>45782</v>
      </c>
      <c r="D96" s="199">
        <v>100.73</v>
      </c>
      <c r="E96" s="191" t="s">
        <v>564</v>
      </c>
      <c r="F96" s="191" t="s">
        <v>793</v>
      </c>
      <c r="G96" s="198">
        <v>0</v>
      </c>
      <c r="H96" s="203">
        <v>46302</v>
      </c>
      <c r="I96" s="191" t="s">
        <v>588</v>
      </c>
    </row>
    <row r="97" spans="1:9" ht="20" customHeight="1" x14ac:dyDescent="0.35">
      <c r="A97" s="191" t="s">
        <v>883</v>
      </c>
      <c r="B97" s="191" t="s">
        <v>749</v>
      </c>
      <c r="C97" s="192">
        <v>45783</v>
      </c>
      <c r="D97" s="199">
        <v>100.67</v>
      </c>
      <c r="E97" s="191" t="s">
        <v>564</v>
      </c>
      <c r="F97" s="191" t="s">
        <v>793</v>
      </c>
      <c r="G97" s="198">
        <v>0</v>
      </c>
      <c r="H97" s="203">
        <v>46302</v>
      </c>
      <c r="I97" s="191" t="s">
        <v>588</v>
      </c>
    </row>
    <row r="98" spans="1:9" ht="20" customHeight="1" x14ac:dyDescent="0.35">
      <c r="A98" s="191" t="s">
        <v>884</v>
      </c>
      <c r="B98" s="191" t="s">
        <v>749</v>
      </c>
      <c r="C98" s="192">
        <v>45784</v>
      </c>
      <c r="D98" s="199">
        <v>100.6</v>
      </c>
      <c r="E98" s="191" t="s">
        <v>564</v>
      </c>
      <c r="F98" s="191" t="s">
        <v>793</v>
      </c>
      <c r="G98" s="198">
        <v>0</v>
      </c>
      <c r="H98" s="203">
        <v>46302</v>
      </c>
      <c r="I98" s="191" t="s">
        <v>588</v>
      </c>
    </row>
    <row r="99" spans="1:9" ht="20" customHeight="1" x14ac:dyDescent="0.35">
      <c r="A99" s="191" t="s">
        <v>885</v>
      </c>
      <c r="B99" s="191" t="s">
        <v>749</v>
      </c>
      <c r="C99" s="192">
        <v>45785</v>
      </c>
      <c r="D99" s="199">
        <v>100.53</v>
      </c>
      <c r="E99" s="191" t="s">
        <v>564</v>
      </c>
      <c r="F99" s="191" t="s">
        <v>793</v>
      </c>
      <c r="G99" s="198">
        <v>0</v>
      </c>
      <c r="H99" s="203">
        <v>46302</v>
      </c>
      <c r="I99" s="191" t="s">
        <v>588</v>
      </c>
    </row>
    <row r="100" spans="1:9" ht="20" customHeight="1" x14ac:dyDescent="0.35">
      <c r="A100" s="191" t="s">
        <v>886</v>
      </c>
      <c r="B100" s="191" t="s">
        <v>749</v>
      </c>
      <c r="C100" s="192">
        <v>45786</v>
      </c>
      <c r="D100" s="199">
        <v>100.47</v>
      </c>
      <c r="E100" s="191" t="s">
        <v>564</v>
      </c>
      <c r="F100" s="191" t="s">
        <v>793</v>
      </c>
      <c r="G100" s="198">
        <v>0</v>
      </c>
      <c r="H100" s="203">
        <v>46302</v>
      </c>
      <c r="I100" s="191" t="s">
        <v>588</v>
      </c>
    </row>
    <row r="101" spans="1:9" ht="20" customHeight="1" x14ac:dyDescent="0.35">
      <c r="A101" s="191" t="s">
        <v>887</v>
      </c>
      <c r="B101" s="191" t="s">
        <v>749</v>
      </c>
      <c r="C101" s="192">
        <v>45789</v>
      </c>
      <c r="D101" s="199">
        <v>100.27</v>
      </c>
      <c r="E101" s="191" t="s">
        <v>564</v>
      </c>
      <c r="F101" s="191" t="s">
        <v>793</v>
      </c>
      <c r="G101" s="198">
        <v>0</v>
      </c>
      <c r="H101" s="203">
        <v>46302</v>
      </c>
      <c r="I101" s="191" t="s">
        <v>588</v>
      </c>
    </row>
    <row r="102" spans="1:9" ht="20" customHeight="1" x14ac:dyDescent="0.35">
      <c r="A102" s="191" t="s">
        <v>888</v>
      </c>
      <c r="B102" s="191" t="s">
        <v>749</v>
      </c>
      <c r="C102" s="192">
        <v>45790</v>
      </c>
      <c r="D102" s="199">
        <v>100.2</v>
      </c>
      <c r="E102" s="191" t="s">
        <v>564</v>
      </c>
      <c r="F102" s="191" t="s">
        <v>793</v>
      </c>
      <c r="G102" s="198">
        <v>0</v>
      </c>
      <c r="H102" s="203">
        <v>46302</v>
      </c>
      <c r="I102" s="191" t="s">
        <v>588</v>
      </c>
    </row>
    <row r="103" spans="1:9" ht="20" customHeight="1" x14ac:dyDescent="0.35">
      <c r="A103" s="191" t="s">
        <v>889</v>
      </c>
      <c r="B103" s="191" t="s">
        <v>749</v>
      </c>
      <c r="C103" s="192">
        <v>45791</v>
      </c>
      <c r="D103" s="199">
        <v>100.13</v>
      </c>
      <c r="E103" s="191" t="s">
        <v>564</v>
      </c>
      <c r="F103" s="191" t="s">
        <v>793</v>
      </c>
      <c r="G103" s="198">
        <v>0</v>
      </c>
      <c r="H103" s="203">
        <v>46302</v>
      </c>
      <c r="I103" s="191" t="s">
        <v>588</v>
      </c>
    </row>
    <row r="104" spans="1:9" ht="20" customHeight="1" x14ac:dyDescent="0.35">
      <c r="A104" s="191" t="s">
        <v>890</v>
      </c>
      <c r="B104" s="191" t="s">
        <v>749</v>
      </c>
      <c r="C104" s="192">
        <v>45792</v>
      </c>
      <c r="D104" s="199">
        <v>100.07</v>
      </c>
      <c r="E104" s="191" t="s">
        <v>564</v>
      </c>
      <c r="F104" s="191" t="s">
        <v>793</v>
      </c>
      <c r="G104" s="198">
        <v>0</v>
      </c>
      <c r="H104" s="203">
        <v>46302</v>
      </c>
      <c r="I104" s="191" t="s">
        <v>588</v>
      </c>
    </row>
    <row r="105" spans="1:9" ht="20" customHeight="1" x14ac:dyDescent="0.35">
      <c r="A105" s="191" t="s">
        <v>891</v>
      </c>
      <c r="B105" s="191" t="s">
        <v>749</v>
      </c>
      <c r="C105" s="192">
        <v>45793</v>
      </c>
      <c r="D105" s="199">
        <v>100</v>
      </c>
      <c r="E105" s="191" t="s">
        <v>564</v>
      </c>
      <c r="F105" s="191" t="s">
        <v>793</v>
      </c>
      <c r="G105" s="198">
        <v>0</v>
      </c>
      <c r="H105" s="203">
        <v>46302</v>
      </c>
      <c r="I105" s="191" t="s">
        <v>588</v>
      </c>
    </row>
    <row r="106" spans="1:9" ht="20" customHeight="1" x14ac:dyDescent="0.35">
      <c r="A106" s="191" t="s">
        <v>892</v>
      </c>
      <c r="B106" s="191" t="s">
        <v>749</v>
      </c>
      <c r="C106" s="192">
        <v>45796</v>
      </c>
      <c r="D106" s="199">
        <v>99.8</v>
      </c>
      <c r="E106" s="191" t="s">
        <v>564</v>
      </c>
      <c r="F106" s="191" t="s">
        <v>793</v>
      </c>
      <c r="G106" s="198">
        <v>0</v>
      </c>
      <c r="H106" s="203">
        <v>46302</v>
      </c>
      <c r="I106" s="191" t="s">
        <v>588</v>
      </c>
    </row>
    <row r="107" spans="1:9" ht="20" customHeight="1" x14ac:dyDescent="0.35">
      <c r="A107" s="191" t="s">
        <v>893</v>
      </c>
      <c r="B107" s="191" t="s">
        <v>749</v>
      </c>
      <c r="C107" s="192">
        <v>45797</v>
      </c>
      <c r="D107" s="199">
        <v>99.73</v>
      </c>
      <c r="E107" s="191" t="s">
        <v>564</v>
      </c>
      <c r="F107" s="191" t="s">
        <v>793</v>
      </c>
      <c r="G107" s="198">
        <v>0</v>
      </c>
      <c r="H107" s="203">
        <v>46302</v>
      </c>
      <c r="I107" s="191" t="s">
        <v>588</v>
      </c>
    </row>
    <row r="108" spans="1:9" ht="20" customHeight="1" x14ac:dyDescent="0.35">
      <c r="A108" s="191" t="s">
        <v>894</v>
      </c>
      <c r="B108" s="191" t="s">
        <v>749</v>
      </c>
      <c r="C108" s="192">
        <v>45798</v>
      </c>
      <c r="D108" s="199">
        <v>99.67</v>
      </c>
      <c r="E108" s="191" t="s">
        <v>564</v>
      </c>
      <c r="F108" s="191" t="s">
        <v>793</v>
      </c>
      <c r="G108" s="198">
        <v>0</v>
      </c>
      <c r="H108" s="203">
        <v>46302</v>
      </c>
      <c r="I108" s="191" t="s">
        <v>588</v>
      </c>
    </row>
    <row r="109" spans="1:9" ht="20" customHeight="1" x14ac:dyDescent="0.35">
      <c r="A109" s="191" t="s">
        <v>895</v>
      </c>
      <c r="B109" s="191" t="s">
        <v>749</v>
      </c>
      <c r="C109" s="192">
        <v>45799</v>
      </c>
      <c r="D109" s="199">
        <v>99.6</v>
      </c>
      <c r="E109" s="191" t="s">
        <v>564</v>
      </c>
      <c r="F109" s="191" t="s">
        <v>793</v>
      </c>
      <c r="G109" s="198">
        <v>0</v>
      </c>
      <c r="H109" s="203">
        <v>46302</v>
      </c>
      <c r="I109" s="191" t="s">
        <v>588</v>
      </c>
    </row>
    <row r="110" spans="1:9" ht="20" customHeight="1" x14ac:dyDescent="0.35">
      <c r="A110" s="191" t="s">
        <v>896</v>
      </c>
      <c r="B110" s="191" t="s">
        <v>749</v>
      </c>
      <c r="C110" s="192">
        <v>45800</v>
      </c>
      <c r="D110" s="199">
        <v>99.53</v>
      </c>
      <c r="E110" s="191" t="s">
        <v>564</v>
      </c>
      <c r="F110" s="191" t="s">
        <v>793</v>
      </c>
      <c r="G110" s="198">
        <v>0</v>
      </c>
      <c r="H110" s="203">
        <v>46302</v>
      </c>
      <c r="I110" s="191" t="s">
        <v>588</v>
      </c>
    </row>
    <row r="111" spans="1:9" ht="20" customHeight="1" x14ac:dyDescent="0.35">
      <c r="A111" s="191" t="s">
        <v>897</v>
      </c>
      <c r="B111" s="191" t="s">
        <v>749</v>
      </c>
      <c r="C111" s="192">
        <v>45803</v>
      </c>
      <c r="D111" s="199">
        <v>99.33</v>
      </c>
      <c r="E111" s="191" t="s">
        <v>564</v>
      </c>
      <c r="F111" s="191" t="s">
        <v>793</v>
      </c>
      <c r="G111" s="198">
        <v>0</v>
      </c>
      <c r="H111" s="203">
        <v>46302</v>
      </c>
      <c r="I111" s="191" t="s">
        <v>588</v>
      </c>
    </row>
    <row r="112" spans="1:9" ht="20" customHeight="1" x14ac:dyDescent="0.35">
      <c r="A112" s="191" t="s">
        <v>898</v>
      </c>
      <c r="B112" s="191" t="s">
        <v>749</v>
      </c>
      <c r="C112" s="192">
        <v>45804</v>
      </c>
      <c r="D112" s="199">
        <v>99.27</v>
      </c>
      <c r="E112" s="191" t="s">
        <v>564</v>
      </c>
      <c r="F112" s="191" t="s">
        <v>793</v>
      </c>
      <c r="G112" s="198">
        <v>0</v>
      </c>
      <c r="H112" s="203">
        <v>46302</v>
      </c>
      <c r="I112" s="191" t="s">
        <v>588</v>
      </c>
    </row>
    <row r="113" spans="1:9" ht="20" customHeight="1" x14ac:dyDescent="0.35">
      <c r="A113" s="191" t="s">
        <v>899</v>
      </c>
      <c r="B113" s="191" t="s">
        <v>749</v>
      </c>
      <c r="C113" s="192">
        <v>45805</v>
      </c>
      <c r="D113" s="199">
        <v>99.2</v>
      </c>
      <c r="E113" s="191" t="s">
        <v>564</v>
      </c>
      <c r="F113" s="191" t="s">
        <v>793</v>
      </c>
      <c r="G113" s="198">
        <v>0</v>
      </c>
      <c r="H113" s="203">
        <v>46302</v>
      </c>
      <c r="I113" s="191" t="s">
        <v>588</v>
      </c>
    </row>
    <row r="114" spans="1:9" ht="20" customHeight="1" x14ac:dyDescent="0.35">
      <c r="A114" s="191" t="s">
        <v>900</v>
      </c>
      <c r="B114" s="191" t="s">
        <v>749</v>
      </c>
      <c r="C114" s="192">
        <v>45806</v>
      </c>
      <c r="D114" s="199">
        <v>99.13</v>
      </c>
      <c r="E114" s="191" t="s">
        <v>564</v>
      </c>
      <c r="F114" s="191" t="s">
        <v>793</v>
      </c>
      <c r="G114" s="198">
        <v>0</v>
      </c>
      <c r="H114" s="203">
        <v>46302</v>
      </c>
      <c r="I114" s="191" t="s">
        <v>588</v>
      </c>
    </row>
    <row r="115" spans="1:9" ht="20" customHeight="1" x14ac:dyDescent="0.35">
      <c r="A115" s="191" t="s">
        <v>901</v>
      </c>
      <c r="B115" s="191" t="s">
        <v>749</v>
      </c>
      <c r="C115" s="192">
        <v>45807</v>
      </c>
      <c r="D115" s="199">
        <v>99.07</v>
      </c>
      <c r="E115" s="191" t="s">
        <v>564</v>
      </c>
      <c r="F115" s="191" t="s">
        <v>793</v>
      </c>
      <c r="G115" s="198">
        <v>0</v>
      </c>
      <c r="H115" s="203">
        <v>46302</v>
      </c>
      <c r="I115" s="191" t="s">
        <v>588</v>
      </c>
    </row>
    <row r="116" spans="1:9" ht="20" customHeight="1" x14ac:dyDescent="0.35">
      <c r="A116" s="191" t="s">
        <v>902</v>
      </c>
      <c r="B116" s="191" t="s">
        <v>749</v>
      </c>
      <c r="C116" s="192">
        <v>45810</v>
      </c>
      <c r="D116" s="199">
        <v>99.41</v>
      </c>
      <c r="E116" s="191" t="s">
        <v>564</v>
      </c>
      <c r="F116" s="191" t="s">
        <v>793</v>
      </c>
      <c r="G116" s="198">
        <v>0</v>
      </c>
      <c r="H116" s="203">
        <v>46302</v>
      </c>
      <c r="I116" s="191" t="s">
        <v>588</v>
      </c>
    </row>
    <row r="117" spans="1:9" ht="20" customHeight="1" x14ac:dyDescent="0.35">
      <c r="A117" s="191" t="s">
        <v>903</v>
      </c>
      <c r="B117" s="191" t="s">
        <v>749</v>
      </c>
      <c r="C117" s="192">
        <v>45811</v>
      </c>
      <c r="D117" s="199">
        <v>99.83</v>
      </c>
      <c r="E117" s="191" t="s">
        <v>564</v>
      </c>
      <c r="F117" s="191" t="s">
        <v>793</v>
      </c>
      <c r="G117" s="198">
        <v>0</v>
      </c>
      <c r="H117" s="203">
        <v>46302</v>
      </c>
      <c r="I117" s="191" t="s">
        <v>588</v>
      </c>
    </row>
    <row r="118" spans="1:9" ht="20" customHeight="1" x14ac:dyDescent="0.35">
      <c r="A118" s="191" t="s">
        <v>904</v>
      </c>
      <c r="B118" s="191" t="s">
        <v>749</v>
      </c>
      <c r="C118" s="192">
        <v>45812</v>
      </c>
      <c r="D118" s="199">
        <v>100.24</v>
      </c>
      <c r="E118" s="191" t="s">
        <v>564</v>
      </c>
      <c r="F118" s="191" t="s">
        <v>793</v>
      </c>
      <c r="G118" s="198">
        <v>0</v>
      </c>
      <c r="H118" s="203">
        <v>46302</v>
      </c>
      <c r="I118" s="191" t="s">
        <v>588</v>
      </c>
    </row>
    <row r="119" spans="1:9" ht="20" customHeight="1" x14ac:dyDescent="0.35">
      <c r="A119" s="191" t="s">
        <v>905</v>
      </c>
      <c r="B119" s="191" t="s">
        <v>749</v>
      </c>
      <c r="C119" s="192">
        <v>45813</v>
      </c>
      <c r="D119" s="199">
        <v>100.66</v>
      </c>
      <c r="E119" s="191" t="s">
        <v>564</v>
      </c>
      <c r="F119" s="191" t="s">
        <v>793</v>
      </c>
      <c r="G119" s="198">
        <v>0</v>
      </c>
      <c r="H119" s="203">
        <v>46302</v>
      </c>
      <c r="I119" s="191" t="s">
        <v>588</v>
      </c>
    </row>
    <row r="120" spans="1:9" ht="20" customHeight="1" x14ac:dyDescent="0.35">
      <c r="A120" s="191" t="s">
        <v>906</v>
      </c>
      <c r="B120" s="191" t="s">
        <v>749</v>
      </c>
      <c r="C120" s="192">
        <v>45814</v>
      </c>
      <c r="D120" s="199">
        <v>101.07</v>
      </c>
      <c r="E120" s="191" t="s">
        <v>564</v>
      </c>
      <c r="F120" s="191" t="s">
        <v>793</v>
      </c>
      <c r="G120" s="198">
        <v>0</v>
      </c>
      <c r="H120" s="203">
        <v>46302</v>
      </c>
      <c r="I120" s="191" t="s">
        <v>588</v>
      </c>
    </row>
    <row r="121" spans="1:9" ht="20" customHeight="1" x14ac:dyDescent="0.35">
      <c r="A121" s="191" t="s">
        <v>907</v>
      </c>
      <c r="B121" s="191" t="s">
        <v>749</v>
      </c>
      <c r="C121" s="192">
        <v>45817</v>
      </c>
      <c r="D121" s="199">
        <v>102.31</v>
      </c>
      <c r="E121" s="191" t="s">
        <v>564</v>
      </c>
      <c r="F121" s="191" t="s">
        <v>793</v>
      </c>
      <c r="G121" s="198">
        <v>0</v>
      </c>
      <c r="H121" s="203">
        <v>46302</v>
      </c>
      <c r="I121" s="191" t="s">
        <v>588</v>
      </c>
    </row>
    <row r="122" spans="1:9" ht="20" customHeight="1" x14ac:dyDescent="0.35">
      <c r="A122" s="191" t="s">
        <v>908</v>
      </c>
      <c r="B122" s="191" t="s">
        <v>749</v>
      </c>
      <c r="C122" s="192">
        <v>45818</v>
      </c>
      <c r="D122" s="199">
        <v>102.72</v>
      </c>
      <c r="E122" s="191" t="s">
        <v>564</v>
      </c>
      <c r="F122" s="191" t="s">
        <v>793</v>
      </c>
      <c r="G122" s="198">
        <v>0</v>
      </c>
      <c r="H122" s="203">
        <v>46302</v>
      </c>
      <c r="I122" s="191" t="s">
        <v>588</v>
      </c>
    </row>
    <row r="123" spans="1:9" ht="20" customHeight="1" x14ac:dyDescent="0.35">
      <c r="A123" s="191" t="s">
        <v>909</v>
      </c>
      <c r="B123" s="191" t="s">
        <v>749</v>
      </c>
      <c r="C123" s="192">
        <v>45819</v>
      </c>
      <c r="D123" s="199">
        <v>103.14</v>
      </c>
      <c r="E123" s="191" t="s">
        <v>564</v>
      </c>
      <c r="F123" s="191" t="s">
        <v>793</v>
      </c>
      <c r="G123" s="198">
        <v>0</v>
      </c>
      <c r="H123" s="203">
        <v>46302</v>
      </c>
      <c r="I123" s="191" t="s">
        <v>588</v>
      </c>
    </row>
    <row r="124" spans="1:9" ht="20" customHeight="1" x14ac:dyDescent="0.35">
      <c r="A124" s="191" t="s">
        <v>910</v>
      </c>
      <c r="B124" s="191" t="s">
        <v>749</v>
      </c>
      <c r="C124" s="192">
        <v>45820</v>
      </c>
      <c r="D124" s="199">
        <v>103.55</v>
      </c>
      <c r="E124" s="191" t="s">
        <v>564</v>
      </c>
      <c r="F124" s="191" t="s">
        <v>793</v>
      </c>
      <c r="G124" s="198">
        <v>0</v>
      </c>
      <c r="H124" s="203">
        <v>46302</v>
      </c>
      <c r="I124" s="191" t="s">
        <v>588</v>
      </c>
    </row>
    <row r="125" spans="1:9" ht="20" customHeight="1" x14ac:dyDescent="0.35">
      <c r="A125" s="191" t="s">
        <v>911</v>
      </c>
      <c r="B125" s="191" t="s">
        <v>749</v>
      </c>
      <c r="C125" s="192">
        <v>45821</v>
      </c>
      <c r="D125" s="199">
        <v>103.97</v>
      </c>
      <c r="E125" s="191" t="s">
        <v>564</v>
      </c>
      <c r="F125" s="191" t="s">
        <v>793</v>
      </c>
      <c r="G125" s="198">
        <v>0</v>
      </c>
      <c r="H125" s="203">
        <v>46302</v>
      </c>
      <c r="I125" s="191" t="s">
        <v>588</v>
      </c>
    </row>
    <row r="126" spans="1:9" ht="20" customHeight="1" x14ac:dyDescent="0.35">
      <c r="A126" s="191" t="s">
        <v>912</v>
      </c>
      <c r="B126" s="191" t="s">
        <v>749</v>
      </c>
      <c r="C126" s="192">
        <v>45824</v>
      </c>
      <c r="D126" s="199">
        <v>52.6</v>
      </c>
      <c r="E126" s="191" t="s">
        <v>564</v>
      </c>
      <c r="F126" s="191" t="s">
        <v>793</v>
      </c>
      <c r="G126" s="198">
        <v>0</v>
      </c>
      <c r="H126" s="203">
        <v>46302</v>
      </c>
      <c r="I126" s="191" t="s">
        <v>588</v>
      </c>
    </row>
    <row r="127" spans="1:9" ht="20" customHeight="1" x14ac:dyDescent="0.35">
      <c r="A127" s="191" t="s">
        <v>913</v>
      </c>
      <c r="B127" s="191" t="s">
        <v>749</v>
      </c>
      <c r="C127" s="192">
        <v>45825</v>
      </c>
      <c r="D127" s="199">
        <v>52.81</v>
      </c>
      <c r="E127" s="191" t="s">
        <v>564</v>
      </c>
      <c r="F127" s="191" t="s">
        <v>793</v>
      </c>
      <c r="G127" s="198">
        <v>0</v>
      </c>
      <c r="H127" s="203">
        <v>46302</v>
      </c>
      <c r="I127" s="191" t="s">
        <v>588</v>
      </c>
    </row>
    <row r="128" spans="1:9" ht="20" customHeight="1" x14ac:dyDescent="0.35">
      <c r="A128" s="191" t="s">
        <v>914</v>
      </c>
      <c r="B128" s="191" t="s">
        <v>749</v>
      </c>
      <c r="C128" s="192">
        <v>45826</v>
      </c>
      <c r="D128" s="199">
        <v>53.02</v>
      </c>
      <c r="E128" s="191" t="s">
        <v>564</v>
      </c>
      <c r="F128" s="191" t="s">
        <v>793</v>
      </c>
      <c r="G128" s="198">
        <v>0</v>
      </c>
      <c r="H128" s="203">
        <v>46302</v>
      </c>
      <c r="I128" s="191" t="s">
        <v>588</v>
      </c>
    </row>
    <row r="129" spans="1:9" ht="20" customHeight="1" x14ac:dyDescent="0.35">
      <c r="A129" s="191" t="s">
        <v>915</v>
      </c>
      <c r="B129" s="191" t="s">
        <v>749</v>
      </c>
      <c r="C129" s="192">
        <v>45827</v>
      </c>
      <c r="D129" s="199">
        <v>53.22</v>
      </c>
      <c r="E129" s="191" t="s">
        <v>564</v>
      </c>
      <c r="F129" s="191" t="s">
        <v>793</v>
      </c>
      <c r="G129" s="198">
        <v>0</v>
      </c>
      <c r="H129" s="203">
        <v>46302</v>
      </c>
      <c r="I129" s="191" t="s">
        <v>588</v>
      </c>
    </row>
    <row r="130" spans="1:9" ht="20" customHeight="1" x14ac:dyDescent="0.35">
      <c r="A130" s="191" t="s">
        <v>916</v>
      </c>
      <c r="B130" s="191" t="s">
        <v>749</v>
      </c>
      <c r="C130" s="192">
        <v>45828</v>
      </c>
      <c r="D130" s="199">
        <v>53.43</v>
      </c>
      <c r="E130" s="191" t="s">
        <v>564</v>
      </c>
      <c r="F130" s="191" t="s">
        <v>793</v>
      </c>
      <c r="G130" s="198">
        <v>0</v>
      </c>
      <c r="H130" s="203">
        <v>46302</v>
      </c>
      <c r="I130" s="191" t="s">
        <v>588</v>
      </c>
    </row>
    <row r="131" spans="1:9" ht="20" customHeight="1" x14ac:dyDescent="0.35">
      <c r="A131" s="191" t="s">
        <v>917</v>
      </c>
      <c r="B131" s="191" t="s">
        <v>749</v>
      </c>
      <c r="C131" s="192">
        <v>45831</v>
      </c>
      <c r="D131" s="199">
        <v>54.05</v>
      </c>
      <c r="E131" s="191" t="s">
        <v>564</v>
      </c>
      <c r="F131" s="191" t="s">
        <v>793</v>
      </c>
      <c r="G131" s="198">
        <v>0</v>
      </c>
      <c r="H131" s="203">
        <v>46302</v>
      </c>
      <c r="I131" s="191" t="s">
        <v>588</v>
      </c>
    </row>
    <row r="132" spans="1:9" ht="20" customHeight="1" x14ac:dyDescent="0.35">
      <c r="A132" s="191" t="s">
        <v>918</v>
      </c>
      <c r="B132" s="191" t="s">
        <v>749</v>
      </c>
      <c r="C132" s="192">
        <v>45832</v>
      </c>
      <c r="D132" s="199">
        <v>54.26</v>
      </c>
      <c r="E132" s="191" t="s">
        <v>564</v>
      </c>
      <c r="F132" s="191" t="s">
        <v>793</v>
      </c>
      <c r="G132" s="198">
        <v>0</v>
      </c>
      <c r="H132" s="203">
        <v>46302</v>
      </c>
      <c r="I132" s="191" t="s">
        <v>588</v>
      </c>
    </row>
    <row r="133" spans="1:9" ht="20" customHeight="1" x14ac:dyDescent="0.35">
      <c r="A133" s="191" t="s">
        <v>919</v>
      </c>
      <c r="B133" s="191" t="s">
        <v>749</v>
      </c>
      <c r="C133" s="192">
        <v>45833</v>
      </c>
      <c r="D133" s="199">
        <v>54.47</v>
      </c>
      <c r="E133" s="191" t="s">
        <v>564</v>
      </c>
      <c r="F133" s="191" t="s">
        <v>793</v>
      </c>
      <c r="G133" s="198">
        <v>0</v>
      </c>
      <c r="H133" s="203">
        <v>46302</v>
      </c>
      <c r="I133" s="191" t="s">
        <v>588</v>
      </c>
    </row>
    <row r="134" spans="1:9" ht="20" customHeight="1" x14ac:dyDescent="0.35">
      <c r="A134" s="191" t="s">
        <v>920</v>
      </c>
      <c r="B134" s="191" t="s">
        <v>749</v>
      </c>
      <c r="C134" s="192">
        <v>45834</v>
      </c>
      <c r="D134" s="199">
        <v>54.67</v>
      </c>
      <c r="E134" s="191" t="s">
        <v>564</v>
      </c>
      <c r="F134" s="191" t="s">
        <v>793</v>
      </c>
      <c r="G134" s="198">
        <v>0</v>
      </c>
      <c r="H134" s="203">
        <v>46302</v>
      </c>
      <c r="I134" s="191" t="s">
        <v>588</v>
      </c>
    </row>
    <row r="135" spans="1:9" ht="20" customHeight="1" x14ac:dyDescent="0.35">
      <c r="A135" s="191" t="s">
        <v>921</v>
      </c>
      <c r="B135" s="191" t="s">
        <v>749</v>
      </c>
      <c r="C135" s="192">
        <v>45835</v>
      </c>
      <c r="D135" s="199">
        <v>54.88</v>
      </c>
      <c r="E135" s="191" t="s">
        <v>564</v>
      </c>
      <c r="F135" s="191" t="s">
        <v>793</v>
      </c>
      <c r="G135" s="198">
        <v>0</v>
      </c>
      <c r="H135" s="203">
        <v>46302</v>
      </c>
      <c r="I135" s="191" t="s">
        <v>588</v>
      </c>
    </row>
    <row r="136" spans="1:9" ht="20" customHeight="1" x14ac:dyDescent="0.35">
      <c r="A136" s="191" t="s">
        <v>922</v>
      </c>
      <c r="B136" s="191" t="s">
        <v>749</v>
      </c>
      <c r="C136" s="192">
        <v>45838</v>
      </c>
      <c r="D136" s="199">
        <v>55.5</v>
      </c>
      <c r="E136" s="191" t="s">
        <v>564</v>
      </c>
      <c r="F136" s="191" t="s">
        <v>793</v>
      </c>
      <c r="G136" s="198">
        <v>0</v>
      </c>
      <c r="H136" s="203">
        <v>46302</v>
      </c>
      <c r="I136" s="191" t="s">
        <v>588</v>
      </c>
    </row>
    <row r="137" spans="1:9" ht="20" customHeight="1" x14ac:dyDescent="0.35">
      <c r="A137" s="191" t="s">
        <v>923</v>
      </c>
      <c r="B137" s="191" t="s">
        <v>749</v>
      </c>
      <c r="C137" s="192">
        <v>45839</v>
      </c>
      <c r="D137" s="199">
        <v>55.5</v>
      </c>
      <c r="E137" s="191" t="s">
        <v>564</v>
      </c>
      <c r="F137" s="191" t="s">
        <v>793</v>
      </c>
      <c r="G137" s="198">
        <v>0</v>
      </c>
      <c r="H137" s="203">
        <v>46302</v>
      </c>
      <c r="I137" s="191" t="s">
        <v>588</v>
      </c>
    </row>
    <row r="138" spans="1:9" ht="20" customHeight="1" x14ac:dyDescent="0.35">
      <c r="A138" s="191" t="s">
        <v>924</v>
      </c>
      <c r="B138" s="191" t="s">
        <v>749</v>
      </c>
      <c r="C138" s="192">
        <v>45840</v>
      </c>
      <c r="D138" s="199">
        <v>55.38</v>
      </c>
      <c r="E138" s="191" t="s">
        <v>564</v>
      </c>
      <c r="F138" s="191" t="s">
        <v>793</v>
      </c>
      <c r="G138" s="198">
        <v>0</v>
      </c>
      <c r="H138" s="203">
        <v>46302</v>
      </c>
      <c r="I138" s="191" t="s">
        <v>588</v>
      </c>
    </row>
    <row r="139" spans="1:9" ht="20" customHeight="1" x14ac:dyDescent="0.35">
      <c r="A139" s="191" t="s">
        <v>925</v>
      </c>
      <c r="B139" s="191" t="s">
        <v>749</v>
      </c>
      <c r="C139" s="192">
        <v>45841</v>
      </c>
      <c r="D139" s="199">
        <v>55.27</v>
      </c>
      <c r="E139" s="191" t="s">
        <v>564</v>
      </c>
      <c r="F139" s="191" t="s">
        <v>793</v>
      </c>
      <c r="G139" s="198">
        <v>0</v>
      </c>
      <c r="H139" s="203">
        <v>46302</v>
      </c>
      <c r="I139" s="191" t="s">
        <v>588</v>
      </c>
    </row>
    <row r="140" spans="1:9" ht="20" customHeight="1" x14ac:dyDescent="0.35">
      <c r="A140" s="191" t="s">
        <v>926</v>
      </c>
      <c r="B140" s="191" t="s">
        <v>749</v>
      </c>
      <c r="C140" s="192">
        <v>45842</v>
      </c>
      <c r="D140" s="199">
        <v>55.15</v>
      </c>
      <c r="E140" s="191" t="s">
        <v>564</v>
      </c>
      <c r="F140" s="191" t="s">
        <v>793</v>
      </c>
      <c r="G140" s="198">
        <v>0</v>
      </c>
      <c r="H140" s="203">
        <v>46302</v>
      </c>
      <c r="I140" s="191" t="s">
        <v>588</v>
      </c>
    </row>
    <row r="141" spans="1:9" ht="20" customHeight="1" x14ac:dyDescent="0.35">
      <c r="A141" s="191" t="s">
        <v>927</v>
      </c>
      <c r="B141" s="191" t="s">
        <v>749</v>
      </c>
      <c r="C141" s="192">
        <v>45845</v>
      </c>
      <c r="D141" s="199">
        <v>54.8</v>
      </c>
      <c r="E141" s="191" t="s">
        <v>564</v>
      </c>
      <c r="F141" s="191" t="s">
        <v>793</v>
      </c>
      <c r="G141" s="198">
        <v>0</v>
      </c>
      <c r="H141" s="203">
        <v>46302</v>
      </c>
      <c r="I141" s="191" t="s">
        <v>588</v>
      </c>
    </row>
    <row r="142" spans="1:9" ht="20" customHeight="1" x14ac:dyDescent="0.35">
      <c r="A142" s="191" t="s">
        <v>928</v>
      </c>
      <c r="B142" s="191" t="s">
        <v>749</v>
      </c>
      <c r="C142" s="192">
        <v>45846</v>
      </c>
      <c r="D142" s="199">
        <v>54.68</v>
      </c>
      <c r="E142" s="191" t="s">
        <v>564</v>
      </c>
      <c r="F142" s="191" t="s">
        <v>793</v>
      </c>
      <c r="G142" s="198">
        <v>0</v>
      </c>
      <c r="H142" s="203">
        <v>46302</v>
      </c>
      <c r="I142" s="191" t="s">
        <v>588</v>
      </c>
    </row>
    <row r="143" spans="1:9" ht="20" customHeight="1" x14ac:dyDescent="0.35">
      <c r="A143" s="191" t="s">
        <v>929</v>
      </c>
      <c r="B143" s="191" t="s">
        <v>749</v>
      </c>
      <c r="C143" s="192">
        <v>45847</v>
      </c>
      <c r="D143" s="199">
        <v>54.57</v>
      </c>
      <c r="E143" s="191" t="s">
        <v>564</v>
      </c>
      <c r="F143" s="191" t="s">
        <v>793</v>
      </c>
      <c r="G143" s="198">
        <v>0</v>
      </c>
      <c r="H143" s="203">
        <v>46302</v>
      </c>
      <c r="I143" s="191" t="s">
        <v>588</v>
      </c>
    </row>
    <row r="144" spans="1:9" ht="20" customHeight="1" x14ac:dyDescent="0.35">
      <c r="A144" s="191" t="s">
        <v>930</v>
      </c>
      <c r="B144" s="191" t="s">
        <v>749</v>
      </c>
      <c r="C144" s="192">
        <v>45848</v>
      </c>
      <c r="D144" s="199">
        <v>54.45</v>
      </c>
      <c r="E144" s="191" t="s">
        <v>564</v>
      </c>
      <c r="F144" s="191" t="s">
        <v>793</v>
      </c>
      <c r="G144" s="198">
        <v>0</v>
      </c>
      <c r="H144" s="203">
        <v>46302</v>
      </c>
      <c r="I144" s="191" t="s">
        <v>588</v>
      </c>
    </row>
    <row r="145" spans="1:9" ht="20" customHeight="1" x14ac:dyDescent="0.35">
      <c r="A145" s="191" t="s">
        <v>931</v>
      </c>
      <c r="B145" s="191" t="s">
        <v>749</v>
      </c>
      <c r="C145" s="192">
        <v>45849</v>
      </c>
      <c r="D145" s="199">
        <v>54.33</v>
      </c>
      <c r="E145" s="191" t="s">
        <v>564</v>
      </c>
      <c r="F145" s="191" t="s">
        <v>793</v>
      </c>
      <c r="G145" s="198">
        <v>0</v>
      </c>
      <c r="H145" s="203">
        <v>46302</v>
      </c>
      <c r="I145" s="191" t="s">
        <v>588</v>
      </c>
    </row>
    <row r="146" spans="1:9" ht="20" customHeight="1" x14ac:dyDescent="0.35">
      <c r="A146" s="191" t="s">
        <v>932</v>
      </c>
      <c r="B146" s="191" t="s">
        <v>749</v>
      </c>
      <c r="C146" s="192">
        <v>45852</v>
      </c>
      <c r="D146" s="199">
        <v>53.98</v>
      </c>
      <c r="E146" s="191" t="s">
        <v>564</v>
      </c>
      <c r="F146" s="191" t="s">
        <v>793</v>
      </c>
      <c r="G146" s="198">
        <v>0</v>
      </c>
      <c r="H146" s="203">
        <v>46302</v>
      </c>
      <c r="I146" s="191" t="s">
        <v>588</v>
      </c>
    </row>
    <row r="147" spans="1:9" ht="20" customHeight="1" x14ac:dyDescent="0.35">
      <c r="A147" s="191" t="s">
        <v>933</v>
      </c>
      <c r="B147" s="191" t="s">
        <v>749</v>
      </c>
      <c r="C147" s="192">
        <v>45853</v>
      </c>
      <c r="D147" s="199">
        <v>53.87</v>
      </c>
      <c r="E147" s="191" t="s">
        <v>564</v>
      </c>
      <c r="F147" s="191" t="s">
        <v>793</v>
      </c>
      <c r="G147" s="198">
        <v>0</v>
      </c>
      <c r="H147" s="203">
        <v>46302</v>
      </c>
      <c r="I147" s="191" t="s">
        <v>588</v>
      </c>
    </row>
    <row r="148" spans="1:9" ht="20" customHeight="1" x14ac:dyDescent="0.35">
      <c r="A148" s="191" t="s">
        <v>934</v>
      </c>
      <c r="B148" s="191" t="s">
        <v>749</v>
      </c>
      <c r="C148" s="192">
        <v>45854</v>
      </c>
      <c r="D148" s="199">
        <v>53.75</v>
      </c>
      <c r="E148" s="191" t="s">
        <v>564</v>
      </c>
      <c r="F148" s="191" t="s">
        <v>793</v>
      </c>
      <c r="G148" s="198">
        <v>0</v>
      </c>
      <c r="H148" s="203">
        <v>46302</v>
      </c>
      <c r="I148" s="191" t="s">
        <v>588</v>
      </c>
    </row>
    <row r="149" spans="1:9" ht="20" customHeight="1" x14ac:dyDescent="0.35">
      <c r="A149" s="191" t="s">
        <v>935</v>
      </c>
      <c r="B149" s="191" t="s">
        <v>749</v>
      </c>
      <c r="C149" s="192">
        <v>45855</v>
      </c>
      <c r="D149" s="199">
        <v>53.63</v>
      </c>
      <c r="E149" s="191" t="s">
        <v>564</v>
      </c>
      <c r="F149" s="191" t="s">
        <v>793</v>
      </c>
      <c r="G149" s="198">
        <v>0</v>
      </c>
      <c r="H149" s="203">
        <v>46302</v>
      </c>
      <c r="I149" s="191" t="s">
        <v>588</v>
      </c>
    </row>
    <row r="150" spans="1:9" ht="20" customHeight="1" x14ac:dyDescent="0.35">
      <c r="A150" s="191" t="s">
        <v>936</v>
      </c>
      <c r="B150" s="191" t="s">
        <v>749</v>
      </c>
      <c r="C150" s="192">
        <v>45856</v>
      </c>
      <c r="D150" s="199">
        <v>53.52</v>
      </c>
      <c r="E150" s="191" t="s">
        <v>564</v>
      </c>
      <c r="F150" s="191" t="s">
        <v>793</v>
      </c>
      <c r="G150" s="198">
        <v>0</v>
      </c>
      <c r="H150" s="203">
        <v>46302</v>
      </c>
      <c r="I150" s="191" t="s">
        <v>588</v>
      </c>
    </row>
    <row r="151" spans="1:9" ht="20" customHeight="1" x14ac:dyDescent="0.35">
      <c r="A151" s="191" t="s">
        <v>937</v>
      </c>
      <c r="B151" s="191" t="s">
        <v>749</v>
      </c>
      <c r="C151" s="192">
        <v>45859</v>
      </c>
      <c r="D151" s="199">
        <v>53.17</v>
      </c>
      <c r="E151" s="191" t="s">
        <v>564</v>
      </c>
      <c r="F151" s="191" t="s">
        <v>793</v>
      </c>
      <c r="G151" s="198">
        <v>0</v>
      </c>
      <c r="H151" s="203">
        <v>46302</v>
      </c>
      <c r="I151" s="191" t="s">
        <v>588</v>
      </c>
    </row>
    <row r="152" spans="1:9" ht="20" customHeight="1" x14ac:dyDescent="0.35">
      <c r="A152" s="191" t="s">
        <v>938</v>
      </c>
      <c r="B152" s="191" t="s">
        <v>749</v>
      </c>
      <c r="C152" s="192">
        <v>45860</v>
      </c>
      <c r="D152" s="199">
        <v>53.05</v>
      </c>
      <c r="E152" s="191" t="s">
        <v>564</v>
      </c>
      <c r="F152" s="191" t="s">
        <v>793</v>
      </c>
      <c r="G152" s="198">
        <v>0</v>
      </c>
      <c r="H152" s="203">
        <v>46302</v>
      </c>
      <c r="I152" s="191" t="s">
        <v>588</v>
      </c>
    </row>
    <row r="153" spans="1:9" ht="20" customHeight="1" x14ac:dyDescent="0.35">
      <c r="A153" s="191" t="s">
        <v>939</v>
      </c>
      <c r="B153" s="191" t="s">
        <v>749</v>
      </c>
      <c r="C153" s="192">
        <v>45861</v>
      </c>
      <c r="D153" s="199">
        <v>52.93</v>
      </c>
      <c r="E153" s="191" t="s">
        <v>564</v>
      </c>
      <c r="F153" s="191" t="s">
        <v>793</v>
      </c>
      <c r="G153" s="198">
        <v>0</v>
      </c>
      <c r="H153" s="203">
        <v>46302</v>
      </c>
      <c r="I153" s="191" t="s">
        <v>588</v>
      </c>
    </row>
    <row r="154" spans="1:9" ht="20" customHeight="1" x14ac:dyDescent="0.35">
      <c r="A154" s="191" t="s">
        <v>940</v>
      </c>
      <c r="B154" s="191" t="s">
        <v>749</v>
      </c>
      <c r="C154" s="192">
        <v>45862</v>
      </c>
      <c r="D154" s="199">
        <v>52.82</v>
      </c>
      <c r="E154" s="191" t="s">
        <v>564</v>
      </c>
      <c r="F154" s="191" t="s">
        <v>793</v>
      </c>
      <c r="G154" s="198">
        <v>0</v>
      </c>
      <c r="H154" s="203">
        <v>46302</v>
      </c>
      <c r="I154" s="191" t="s">
        <v>588</v>
      </c>
    </row>
    <row r="155" spans="1:9" ht="20" customHeight="1" x14ac:dyDescent="0.35">
      <c r="A155" s="191" t="s">
        <v>941</v>
      </c>
      <c r="B155" s="191" t="s">
        <v>749</v>
      </c>
      <c r="C155" s="192">
        <v>45863</v>
      </c>
      <c r="D155" s="199">
        <v>52.7</v>
      </c>
      <c r="E155" s="191" t="s">
        <v>564</v>
      </c>
      <c r="F155" s="191" t="s">
        <v>793</v>
      </c>
      <c r="G155" s="198">
        <v>0</v>
      </c>
      <c r="H155" s="203">
        <v>46302</v>
      </c>
      <c r="I155" s="191" t="s">
        <v>588</v>
      </c>
    </row>
    <row r="156" spans="1:9" ht="20" customHeight="1" x14ac:dyDescent="0.35">
      <c r="A156" s="191" t="s">
        <v>942</v>
      </c>
      <c r="B156" s="191" t="s">
        <v>749</v>
      </c>
      <c r="C156" s="192">
        <v>45866</v>
      </c>
      <c r="D156" s="199">
        <v>52.35</v>
      </c>
      <c r="E156" s="191" t="s">
        <v>564</v>
      </c>
      <c r="F156" s="191" t="s">
        <v>793</v>
      </c>
      <c r="G156" s="198">
        <v>0</v>
      </c>
      <c r="H156" s="203">
        <v>46302</v>
      </c>
      <c r="I156" s="191" t="s">
        <v>588</v>
      </c>
    </row>
    <row r="157" spans="1:9" ht="20" customHeight="1" x14ac:dyDescent="0.35">
      <c r="A157" s="191" t="s">
        <v>943</v>
      </c>
      <c r="B157" s="191" t="s">
        <v>749</v>
      </c>
      <c r="C157" s="192">
        <v>45867</v>
      </c>
      <c r="D157" s="199">
        <v>52.23</v>
      </c>
      <c r="E157" s="191" t="s">
        <v>564</v>
      </c>
      <c r="F157" s="191" t="s">
        <v>793</v>
      </c>
      <c r="G157" s="198">
        <v>0</v>
      </c>
      <c r="H157" s="203">
        <v>46302</v>
      </c>
      <c r="I157" s="191" t="s">
        <v>588</v>
      </c>
    </row>
    <row r="158" spans="1:9" ht="20" customHeight="1" x14ac:dyDescent="0.35">
      <c r="A158" s="191" t="s">
        <v>944</v>
      </c>
      <c r="B158" s="191" t="s">
        <v>749</v>
      </c>
      <c r="C158" s="192">
        <v>45868</v>
      </c>
      <c r="D158" s="199">
        <v>52.12</v>
      </c>
      <c r="E158" s="191" t="s">
        <v>564</v>
      </c>
      <c r="F158" s="191" t="s">
        <v>793</v>
      </c>
      <c r="G158" s="198">
        <v>0</v>
      </c>
      <c r="H158" s="203">
        <v>46302</v>
      </c>
      <c r="I158" s="191" t="s">
        <v>588</v>
      </c>
    </row>
    <row r="159" spans="1:9" ht="20" customHeight="1" x14ac:dyDescent="0.35">
      <c r="A159" s="191" t="s">
        <v>945</v>
      </c>
      <c r="B159" s="191" t="s">
        <v>749</v>
      </c>
      <c r="C159" s="192">
        <v>45869</v>
      </c>
      <c r="D159" s="199">
        <v>52</v>
      </c>
      <c r="E159" s="191" t="s">
        <v>564</v>
      </c>
      <c r="F159" s="191" t="s">
        <v>793</v>
      </c>
      <c r="G159" s="198">
        <v>0</v>
      </c>
      <c r="H159" s="203">
        <v>46302</v>
      </c>
      <c r="I159" s="191" t="s">
        <v>588</v>
      </c>
    </row>
    <row r="160" spans="1:9" ht="20" customHeight="1" x14ac:dyDescent="0.35">
      <c r="A160" s="191" t="s">
        <v>946</v>
      </c>
      <c r="B160" s="191" t="s">
        <v>749</v>
      </c>
      <c r="C160" s="192">
        <v>45870</v>
      </c>
      <c r="D160" s="199">
        <v>52</v>
      </c>
      <c r="E160" s="191" t="s">
        <v>564</v>
      </c>
      <c r="F160" s="191" t="s">
        <v>793</v>
      </c>
      <c r="G160" s="198">
        <v>0</v>
      </c>
      <c r="H160" s="203">
        <v>46302</v>
      </c>
      <c r="I160" s="191" t="s">
        <v>588</v>
      </c>
    </row>
    <row r="161" spans="1:9" ht="20" customHeight="1" x14ac:dyDescent="0.35">
      <c r="A161" s="191" t="s">
        <v>947</v>
      </c>
      <c r="B161" s="191" t="s">
        <v>749</v>
      </c>
      <c r="C161" s="192">
        <v>45873</v>
      </c>
      <c r="D161" s="199">
        <v>51.7</v>
      </c>
      <c r="E161" s="191" t="s">
        <v>564</v>
      </c>
      <c r="F161" s="191" t="s">
        <v>793</v>
      </c>
      <c r="G161" s="198">
        <v>0</v>
      </c>
      <c r="H161" s="203">
        <v>46302</v>
      </c>
      <c r="I161" s="191" t="s">
        <v>588</v>
      </c>
    </row>
    <row r="162" spans="1:9" ht="20" customHeight="1" x14ac:dyDescent="0.35">
      <c r="A162" s="191" t="s">
        <v>948</v>
      </c>
      <c r="B162" s="191" t="s">
        <v>749</v>
      </c>
      <c r="C162" s="192">
        <v>45874</v>
      </c>
      <c r="D162" s="199">
        <v>51.6</v>
      </c>
      <c r="E162" s="191" t="s">
        <v>564</v>
      </c>
      <c r="F162" s="191" t="s">
        <v>793</v>
      </c>
      <c r="G162" s="198">
        <v>0</v>
      </c>
      <c r="H162" s="203">
        <v>46302</v>
      </c>
      <c r="I162" s="191" t="s">
        <v>588</v>
      </c>
    </row>
    <row r="163" spans="1:9" ht="20" customHeight="1" x14ac:dyDescent="0.35">
      <c r="A163" s="191" t="s">
        <v>949</v>
      </c>
      <c r="B163" s="191" t="s">
        <v>749</v>
      </c>
      <c r="C163" s="192">
        <v>45875</v>
      </c>
      <c r="D163" s="199">
        <v>51.5</v>
      </c>
      <c r="E163" s="191" t="s">
        <v>564</v>
      </c>
      <c r="F163" s="191" t="s">
        <v>793</v>
      </c>
      <c r="G163" s="198">
        <v>0</v>
      </c>
      <c r="H163" s="203">
        <v>46302</v>
      </c>
      <c r="I163" s="191" t="s">
        <v>588</v>
      </c>
    </row>
    <row r="164" spans="1:9" ht="20" customHeight="1" x14ac:dyDescent="0.35">
      <c r="A164" s="191" t="s">
        <v>950</v>
      </c>
      <c r="B164" s="191" t="s">
        <v>749</v>
      </c>
      <c r="C164" s="192">
        <v>45876</v>
      </c>
      <c r="D164" s="199">
        <v>51.4</v>
      </c>
      <c r="E164" s="191" t="s">
        <v>564</v>
      </c>
      <c r="F164" s="191" t="s">
        <v>793</v>
      </c>
      <c r="G164" s="198">
        <v>0</v>
      </c>
      <c r="H164" s="203">
        <v>46302</v>
      </c>
      <c r="I164" s="191" t="s">
        <v>588</v>
      </c>
    </row>
    <row r="165" spans="1:9" ht="20" customHeight="1" x14ac:dyDescent="0.35">
      <c r="A165" s="191" t="s">
        <v>951</v>
      </c>
      <c r="B165" s="191" t="s">
        <v>749</v>
      </c>
      <c r="C165" s="192">
        <v>45877</v>
      </c>
      <c r="D165" s="199">
        <v>51.3</v>
      </c>
      <c r="E165" s="191" t="s">
        <v>564</v>
      </c>
      <c r="F165" s="191" t="s">
        <v>793</v>
      </c>
      <c r="G165" s="198">
        <v>0</v>
      </c>
      <c r="H165" s="203">
        <v>46302</v>
      </c>
      <c r="I165" s="191" t="s">
        <v>588</v>
      </c>
    </row>
    <row r="166" spans="1:9" ht="20" customHeight="1" x14ac:dyDescent="0.35">
      <c r="A166" s="191" t="s">
        <v>952</v>
      </c>
      <c r="B166" s="191" t="s">
        <v>749</v>
      </c>
      <c r="C166" s="192">
        <v>45880</v>
      </c>
      <c r="D166" s="199">
        <v>51</v>
      </c>
      <c r="E166" s="191" t="s">
        <v>564</v>
      </c>
      <c r="F166" s="191" t="s">
        <v>793</v>
      </c>
      <c r="G166" s="198">
        <v>0</v>
      </c>
      <c r="H166" s="203">
        <v>46302</v>
      </c>
      <c r="I166" s="191" t="s">
        <v>588</v>
      </c>
    </row>
    <row r="167" spans="1:9" ht="20" customHeight="1" x14ac:dyDescent="0.35">
      <c r="A167" s="191" t="s">
        <v>953</v>
      </c>
      <c r="B167" s="191" t="s">
        <v>749</v>
      </c>
      <c r="C167" s="192">
        <v>45881</v>
      </c>
      <c r="D167" s="199">
        <v>50.9</v>
      </c>
      <c r="E167" s="191" t="s">
        <v>564</v>
      </c>
      <c r="F167" s="191" t="s">
        <v>793</v>
      </c>
      <c r="G167" s="198">
        <v>0</v>
      </c>
      <c r="H167" s="203">
        <v>46302</v>
      </c>
      <c r="I167" s="191" t="s">
        <v>588</v>
      </c>
    </row>
    <row r="168" spans="1:9" ht="20" customHeight="1" x14ac:dyDescent="0.35">
      <c r="A168" s="191" t="s">
        <v>954</v>
      </c>
      <c r="B168" s="191" t="s">
        <v>749</v>
      </c>
      <c r="C168" s="192">
        <v>45882</v>
      </c>
      <c r="D168" s="199">
        <v>50.8</v>
      </c>
      <c r="E168" s="191" t="s">
        <v>564</v>
      </c>
      <c r="F168" s="191" t="s">
        <v>793</v>
      </c>
      <c r="G168" s="198">
        <v>0</v>
      </c>
      <c r="H168" s="203">
        <v>46302</v>
      </c>
      <c r="I168" s="191" t="s">
        <v>588</v>
      </c>
    </row>
    <row r="169" spans="1:9" ht="20" customHeight="1" x14ac:dyDescent="0.35">
      <c r="A169" s="191" t="s">
        <v>955</v>
      </c>
      <c r="B169" s="191" t="s">
        <v>749</v>
      </c>
      <c r="C169" s="192">
        <v>45883</v>
      </c>
      <c r="D169" s="199">
        <v>50.7</v>
      </c>
      <c r="E169" s="191" t="s">
        <v>564</v>
      </c>
      <c r="F169" s="191" t="s">
        <v>793</v>
      </c>
      <c r="G169" s="198">
        <v>0</v>
      </c>
      <c r="H169" s="203">
        <v>46302</v>
      </c>
      <c r="I169" s="191" t="s">
        <v>588</v>
      </c>
    </row>
    <row r="170" spans="1:9" ht="20" customHeight="1" x14ac:dyDescent="0.35">
      <c r="A170" s="191" t="s">
        <v>956</v>
      </c>
      <c r="B170" s="191" t="s">
        <v>749</v>
      </c>
      <c r="C170" s="192">
        <v>45884</v>
      </c>
      <c r="D170" s="199">
        <v>50.6</v>
      </c>
      <c r="E170" s="191" t="s">
        <v>564</v>
      </c>
      <c r="F170" s="191" t="s">
        <v>793</v>
      </c>
      <c r="G170" s="198">
        <v>0</v>
      </c>
      <c r="H170" s="203">
        <v>46302</v>
      </c>
      <c r="I170" s="191" t="s">
        <v>588</v>
      </c>
    </row>
    <row r="171" spans="1:9" ht="20" customHeight="1" x14ac:dyDescent="0.35">
      <c r="A171" s="191" t="s">
        <v>957</v>
      </c>
      <c r="B171" s="191" t="s">
        <v>749</v>
      </c>
      <c r="C171" s="192">
        <v>45887</v>
      </c>
      <c r="D171" s="199">
        <v>50.3</v>
      </c>
      <c r="E171" s="191" t="s">
        <v>564</v>
      </c>
      <c r="F171" s="191" t="s">
        <v>793</v>
      </c>
      <c r="G171" s="198">
        <v>0</v>
      </c>
      <c r="H171" s="203">
        <v>46302</v>
      </c>
      <c r="I171" s="191" t="s">
        <v>588</v>
      </c>
    </row>
    <row r="172" spans="1:9" ht="20" customHeight="1" x14ac:dyDescent="0.35">
      <c r="A172" s="191" t="s">
        <v>958</v>
      </c>
      <c r="B172" s="191" t="s">
        <v>749</v>
      </c>
      <c r="C172" s="192">
        <v>45888</v>
      </c>
      <c r="D172" s="199">
        <v>50.2</v>
      </c>
      <c r="E172" s="191" t="s">
        <v>564</v>
      </c>
      <c r="F172" s="191" t="s">
        <v>793</v>
      </c>
      <c r="G172" s="198">
        <v>0</v>
      </c>
      <c r="H172" s="203">
        <v>46302</v>
      </c>
      <c r="I172" s="191" t="s">
        <v>588</v>
      </c>
    </row>
    <row r="173" spans="1:9" ht="20" customHeight="1" x14ac:dyDescent="0.35">
      <c r="A173" s="191" t="s">
        <v>959</v>
      </c>
      <c r="B173" s="191" t="s">
        <v>749</v>
      </c>
      <c r="C173" s="192">
        <v>45889</v>
      </c>
      <c r="D173" s="199">
        <v>50.1</v>
      </c>
      <c r="E173" s="191" t="s">
        <v>564</v>
      </c>
      <c r="F173" s="191" t="s">
        <v>793</v>
      </c>
      <c r="G173" s="198">
        <v>0</v>
      </c>
      <c r="H173" s="203">
        <v>46302</v>
      </c>
      <c r="I173" s="191" t="s">
        <v>588</v>
      </c>
    </row>
    <row r="174" spans="1:9" ht="20" customHeight="1" x14ac:dyDescent="0.35">
      <c r="A174" s="191" t="s">
        <v>960</v>
      </c>
      <c r="B174" s="191" t="s">
        <v>749</v>
      </c>
      <c r="C174" s="192">
        <v>45890</v>
      </c>
      <c r="D174" s="199">
        <v>50</v>
      </c>
      <c r="E174" s="191" t="s">
        <v>564</v>
      </c>
      <c r="F174" s="191" t="s">
        <v>793</v>
      </c>
      <c r="G174" s="198">
        <v>0</v>
      </c>
      <c r="H174" s="203">
        <v>46302</v>
      </c>
      <c r="I174" s="191" t="s">
        <v>588</v>
      </c>
    </row>
    <row r="175" spans="1:9" ht="20" customHeight="1" x14ac:dyDescent="0.35">
      <c r="A175" s="191" t="s">
        <v>961</v>
      </c>
      <c r="B175" s="191" t="s">
        <v>749</v>
      </c>
      <c r="C175" s="192">
        <v>45891</v>
      </c>
      <c r="D175" s="199">
        <v>49.9</v>
      </c>
      <c r="E175" s="191" t="s">
        <v>564</v>
      </c>
      <c r="F175" s="191" t="s">
        <v>793</v>
      </c>
      <c r="G175" s="198">
        <v>0</v>
      </c>
      <c r="H175" s="203">
        <v>46302</v>
      </c>
      <c r="I175" s="191" t="s">
        <v>588</v>
      </c>
    </row>
    <row r="176" spans="1:9" ht="20" customHeight="1" x14ac:dyDescent="0.35">
      <c r="A176" s="191" t="s">
        <v>962</v>
      </c>
      <c r="B176" s="191" t="s">
        <v>749</v>
      </c>
      <c r="C176" s="192">
        <v>45894</v>
      </c>
      <c r="D176" s="199">
        <v>49.6</v>
      </c>
      <c r="E176" s="191" t="s">
        <v>564</v>
      </c>
      <c r="F176" s="191" t="s">
        <v>793</v>
      </c>
      <c r="G176" s="198">
        <v>0</v>
      </c>
      <c r="H176" s="203">
        <v>46302</v>
      </c>
      <c r="I176" s="191" t="s">
        <v>588</v>
      </c>
    </row>
    <row r="177" spans="1:9" ht="20" customHeight="1" x14ac:dyDescent="0.35">
      <c r="A177" s="191" t="s">
        <v>963</v>
      </c>
      <c r="B177" s="191" t="s">
        <v>749</v>
      </c>
      <c r="C177" s="192">
        <v>45895</v>
      </c>
      <c r="D177" s="199">
        <v>49.5</v>
      </c>
      <c r="E177" s="191" t="s">
        <v>564</v>
      </c>
      <c r="F177" s="191" t="s">
        <v>793</v>
      </c>
      <c r="G177" s="198">
        <v>0</v>
      </c>
      <c r="H177" s="203">
        <v>46302</v>
      </c>
      <c r="I177" s="191" t="s">
        <v>588</v>
      </c>
    </row>
    <row r="178" spans="1:9" ht="20" customHeight="1" x14ac:dyDescent="0.35">
      <c r="A178" s="191" t="s">
        <v>964</v>
      </c>
      <c r="B178" s="191" t="s">
        <v>749</v>
      </c>
      <c r="C178" s="192">
        <v>45896</v>
      </c>
      <c r="D178" s="199">
        <v>49.4</v>
      </c>
      <c r="E178" s="191" t="s">
        <v>564</v>
      </c>
      <c r="F178" s="191" t="s">
        <v>793</v>
      </c>
      <c r="G178" s="198">
        <v>0</v>
      </c>
      <c r="H178" s="203">
        <v>46302</v>
      </c>
      <c r="I178" s="191" t="s">
        <v>588</v>
      </c>
    </row>
    <row r="179" spans="1:9" ht="20" customHeight="1" x14ac:dyDescent="0.35">
      <c r="A179" s="191" t="s">
        <v>965</v>
      </c>
      <c r="B179" s="191" t="s">
        <v>749</v>
      </c>
      <c r="C179" s="192">
        <v>45897</v>
      </c>
      <c r="D179" s="199">
        <v>49.3</v>
      </c>
      <c r="E179" s="191" t="s">
        <v>564</v>
      </c>
      <c r="F179" s="191" t="s">
        <v>793</v>
      </c>
      <c r="G179" s="198">
        <v>0</v>
      </c>
      <c r="H179" s="203">
        <v>46302</v>
      </c>
      <c r="I179" s="191" t="s">
        <v>588</v>
      </c>
    </row>
    <row r="180" spans="1:9" ht="20" customHeight="1" x14ac:dyDescent="0.35">
      <c r="A180" s="191" t="s">
        <v>966</v>
      </c>
      <c r="B180" s="191" t="s">
        <v>749</v>
      </c>
      <c r="C180" s="192">
        <v>45898</v>
      </c>
      <c r="D180" s="199">
        <v>49.2</v>
      </c>
      <c r="E180" s="191" t="s">
        <v>564</v>
      </c>
      <c r="F180" s="191" t="s">
        <v>793</v>
      </c>
      <c r="G180" s="198">
        <v>0</v>
      </c>
      <c r="H180" s="203">
        <v>46302</v>
      </c>
      <c r="I180" s="191" t="s">
        <v>588</v>
      </c>
    </row>
    <row r="181" spans="1:9" ht="20" customHeight="1" x14ac:dyDescent="0.35">
      <c r="A181" s="191" t="s">
        <v>967</v>
      </c>
      <c r="B181" s="191" t="s">
        <v>749</v>
      </c>
      <c r="C181" s="192">
        <v>45901</v>
      </c>
      <c r="D181" s="199">
        <v>49</v>
      </c>
      <c r="E181" s="191" t="s">
        <v>564</v>
      </c>
      <c r="F181" s="191" t="s">
        <v>793</v>
      </c>
      <c r="G181" s="198">
        <v>0</v>
      </c>
      <c r="H181" s="203">
        <v>46302</v>
      </c>
      <c r="I181" s="191" t="s">
        <v>588</v>
      </c>
    </row>
    <row r="182" spans="1:9" ht="20" customHeight="1" x14ac:dyDescent="0.35">
      <c r="A182" s="191" t="s">
        <v>968</v>
      </c>
      <c r="B182" s="191" t="s">
        <v>749</v>
      </c>
      <c r="C182" s="192">
        <v>45902</v>
      </c>
      <c r="D182" s="199">
        <v>49.17</v>
      </c>
      <c r="E182" s="191" t="s">
        <v>564</v>
      </c>
      <c r="F182" s="191" t="s">
        <v>793</v>
      </c>
      <c r="G182" s="198">
        <v>0</v>
      </c>
      <c r="H182" s="203">
        <v>46302</v>
      </c>
      <c r="I182" s="191" t="s">
        <v>588</v>
      </c>
    </row>
    <row r="183" spans="1:9" ht="20" customHeight="1" x14ac:dyDescent="0.35">
      <c r="A183" s="191" t="s">
        <v>969</v>
      </c>
      <c r="B183" s="191" t="s">
        <v>749</v>
      </c>
      <c r="C183" s="192">
        <v>45903</v>
      </c>
      <c r="D183" s="199">
        <v>49.34</v>
      </c>
      <c r="E183" s="191" t="s">
        <v>564</v>
      </c>
      <c r="F183" s="191" t="s">
        <v>793</v>
      </c>
      <c r="G183" s="198">
        <v>0</v>
      </c>
      <c r="H183" s="203">
        <v>46302</v>
      </c>
      <c r="I183" s="191" t="s">
        <v>588</v>
      </c>
    </row>
    <row r="184" spans="1:9" ht="20" customHeight="1" x14ac:dyDescent="0.35">
      <c r="A184" s="191" t="s">
        <v>970</v>
      </c>
      <c r="B184" s="191" t="s">
        <v>749</v>
      </c>
      <c r="C184" s="192">
        <v>45904</v>
      </c>
      <c r="D184" s="199">
        <v>49.52</v>
      </c>
      <c r="E184" s="191" t="s">
        <v>564</v>
      </c>
      <c r="F184" s="191" t="s">
        <v>793</v>
      </c>
      <c r="G184" s="198">
        <v>0</v>
      </c>
      <c r="H184" s="203">
        <v>46302</v>
      </c>
      <c r="I184" s="191" t="s">
        <v>588</v>
      </c>
    </row>
    <row r="185" spans="1:9" ht="20" customHeight="1" x14ac:dyDescent="0.35">
      <c r="A185" s="191" t="s">
        <v>971</v>
      </c>
      <c r="B185" s="191" t="s">
        <v>749</v>
      </c>
      <c r="C185" s="192">
        <v>45905</v>
      </c>
      <c r="D185" s="199">
        <v>49.69</v>
      </c>
      <c r="E185" s="191" t="s">
        <v>564</v>
      </c>
      <c r="F185" s="191" t="s">
        <v>793</v>
      </c>
      <c r="G185" s="198">
        <v>0</v>
      </c>
      <c r="H185" s="203">
        <v>46302</v>
      </c>
      <c r="I185" s="191" t="s">
        <v>588</v>
      </c>
    </row>
    <row r="186" spans="1:9" ht="20" customHeight="1" x14ac:dyDescent="0.35">
      <c r="A186" s="191" t="s">
        <v>972</v>
      </c>
      <c r="B186" s="191" t="s">
        <v>749</v>
      </c>
      <c r="C186" s="192">
        <v>45908</v>
      </c>
      <c r="D186" s="199">
        <v>50.21</v>
      </c>
      <c r="E186" s="191" t="s">
        <v>564</v>
      </c>
      <c r="F186" s="191" t="s">
        <v>793</v>
      </c>
      <c r="G186" s="198">
        <v>0</v>
      </c>
      <c r="H186" s="203">
        <v>46302</v>
      </c>
      <c r="I186" s="191" t="s">
        <v>588</v>
      </c>
    </row>
    <row r="187" spans="1:9" ht="20" customHeight="1" x14ac:dyDescent="0.35">
      <c r="A187" s="191" t="s">
        <v>973</v>
      </c>
      <c r="B187" s="191" t="s">
        <v>749</v>
      </c>
      <c r="C187" s="192">
        <v>45909</v>
      </c>
      <c r="D187" s="199">
        <v>50.38</v>
      </c>
      <c r="E187" s="191" t="s">
        <v>564</v>
      </c>
      <c r="F187" s="191" t="s">
        <v>793</v>
      </c>
      <c r="G187" s="198">
        <v>0</v>
      </c>
      <c r="H187" s="203">
        <v>46302</v>
      </c>
      <c r="I187" s="191" t="s">
        <v>588</v>
      </c>
    </row>
    <row r="188" spans="1:9" ht="20" customHeight="1" x14ac:dyDescent="0.35">
      <c r="A188" s="191" t="s">
        <v>974</v>
      </c>
      <c r="B188" s="191" t="s">
        <v>749</v>
      </c>
      <c r="C188" s="192">
        <v>45910</v>
      </c>
      <c r="D188" s="199">
        <v>50.55</v>
      </c>
      <c r="E188" s="191" t="s">
        <v>564</v>
      </c>
      <c r="F188" s="191" t="s">
        <v>793</v>
      </c>
      <c r="G188" s="198">
        <v>0</v>
      </c>
      <c r="H188" s="203">
        <v>46302</v>
      </c>
      <c r="I188" s="191" t="s">
        <v>588</v>
      </c>
    </row>
    <row r="189" spans="1:9" ht="20" customHeight="1" x14ac:dyDescent="0.35">
      <c r="A189" s="191" t="s">
        <v>975</v>
      </c>
      <c r="B189" s="191" t="s">
        <v>749</v>
      </c>
      <c r="C189" s="192">
        <v>45911</v>
      </c>
      <c r="D189" s="199">
        <v>50.72</v>
      </c>
      <c r="E189" s="191" t="s">
        <v>564</v>
      </c>
      <c r="F189" s="191" t="s">
        <v>793</v>
      </c>
      <c r="G189" s="198">
        <v>0</v>
      </c>
      <c r="H189" s="203">
        <v>46302</v>
      </c>
      <c r="I189" s="191" t="s">
        <v>588</v>
      </c>
    </row>
    <row r="190" spans="1:9" ht="20" customHeight="1" x14ac:dyDescent="0.35">
      <c r="A190" s="191" t="s">
        <v>976</v>
      </c>
      <c r="B190" s="191" t="s">
        <v>749</v>
      </c>
      <c r="C190" s="192">
        <v>45912</v>
      </c>
      <c r="D190" s="199">
        <v>50.9</v>
      </c>
      <c r="E190" s="191" t="s">
        <v>564</v>
      </c>
      <c r="F190" s="191" t="s">
        <v>793</v>
      </c>
      <c r="G190" s="198">
        <v>0</v>
      </c>
      <c r="H190" s="203">
        <v>46302</v>
      </c>
      <c r="I190" s="191" t="s">
        <v>588</v>
      </c>
    </row>
    <row r="191" spans="1:9" ht="20" customHeight="1" x14ac:dyDescent="0.35">
      <c r="A191" s="191" t="s">
        <v>977</v>
      </c>
      <c r="B191" s="191" t="s">
        <v>749</v>
      </c>
      <c r="C191" s="192">
        <v>45915</v>
      </c>
      <c r="D191" s="199">
        <v>51.41</v>
      </c>
      <c r="E191" s="191" t="s">
        <v>564</v>
      </c>
      <c r="F191" s="191" t="s">
        <v>793</v>
      </c>
      <c r="G191" s="198">
        <v>0</v>
      </c>
      <c r="H191" s="203">
        <v>46302</v>
      </c>
      <c r="I191" s="191" t="s">
        <v>588</v>
      </c>
    </row>
    <row r="192" spans="1:9" ht="20" customHeight="1" x14ac:dyDescent="0.35">
      <c r="A192" s="191" t="s">
        <v>978</v>
      </c>
      <c r="B192" s="191" t="s">
        <v>749</v>
      </c>
      <c r="C192" s="192">
        <v>45916</v>
      </c>
      <c r="D192" s="199">
        <v>51.59</v>
      </c>
      <c r="E192" s="191" t="s">
        <v>564</v>
      </c>
      <c r="F192" s="191" t="s">
        <v>793</v>
      </c>
      <c r="G192" s="198">
        <v>0</v>
      </c>
      <c r="H192" s="203">
        <v>46302</v>
      </c>
      <c r="I192" s="191" t="s">
        <v>588</v>
      </c>
    </row>
    <row r="193" spans="1:9" ht="20" customHeight="1" x14ac:dyDescent="0.35">
      <c r="A193" s="191" t="s">
        <v>979</v>
      </c>
      <c r="B193" s="191" t="s">
        <v>749</v>
      </c>
      <c r="C193" s="192">
        <v>45917</v>
      </c>
      <c r="D193" s="199">
        <v>51.76</v>
      </c>
      <c r="E193" s="191" t="s">
        <v>564</v>
      </c>
      <c r="F193" s="191" t="s">
        <v>793</v>
      </c>
      <c r="G193" s="198">
        <v>0</v>
      </c>
      <c r="H193" s="203">
        <v>46302</v>
      </c>
      <c r="I193" s="191" t="s">
        <v>588</v>
      </c>
    </row>
    <row r="194" spans="1:9" ht="20" customHeight="1" x14ac:dyDescent="0.35">
      <c r="A194" s="191" t="s">
        <v>980</v>
      </c>
      <c r="B194" s="191" t="s">
        <v>749</v>
      </c>
      <c r="C194" s="192">
        <v>45918</v>
      </c>
      <c r="D194" s="199">
        <v>51.93</v>
      </c>
      <c r="E194" s="191" t="s">
        <v>564</v>
      </c>
      <c r="F194" s="191" t="s">
        <v>793</v>
      </c>
      <c r="G194" s="198">
        <v>0</v>
      </c>
      <c r="H194" s="203">
        <v>46302</v>
      </c>
      <c r="I194" s="191" t="s">
        <v>588</v>
      </c>
    </row>
    <row r="195" spans="1:9" ht="20" customHeight="1" x14ac:dyDescent="0.35">
      <c r="A195" s="191" t="s">
        <v>981</v>
      </c>
      <c r="B195" s="191" t="s">
        <v>749</v>
      </c>
      <c r="C195" s="192">
        <v>45919</v>
      </c>
      <c r="D195" s="199">
        <v>52.1</v>
      </c>
      <c r="E195" s="191" t="s">
        <v>564</v>
      </c>
      <c r="F195" s="191" t="s">
        <v>793</v>
      </c>
      <c r="G195" s="198">
        <v>0</v>
      </c>
      <c r="H195" s="203">
        <v>46302</v>
      </c>
      <c r="I195" s="191" t="s">
        <v>588</v>
      </c>
    </row>
    <row r="196" spans="1:9" ht="20" customHeight="1" x14ac:dyDescent="0.35">
      <c r="A196" s="191" t="s">
        <v>982</v>
      </c>
      <c r="B196" s="191" t="s">
        <v>749</v>
      </c>
      <c r="C196" s="192">
        <v>45922</v>
      </c>
      <c r="D196" s="199">
        <v>52.62</v>
      </c>
      <c r="E196" s="191" t="s">
        <v>564</v>
      </c>
      <c r="F196" s="191" t="s">
        <v>793</v>
      </c>
      <c r="G196" s="198">
        <v>0</v>
      </c>
      <c r="H196" s="203">
        <v>46302</v>
      </c>
      <c r="I196" s="191" t="s">
        <v>588</v>
      </c>
    </row>
    <row r="197" spans="1:9" ht="20" customHeight="1" x14ac:dyDescent="0.35">
      <c r="A197" s="191" t="s">
        <v>983</v>
      </c>
      <c r="B197" s="191" t="s">
        <v>749</v>
      </c>
      <c r="C197" s="192">
        <v>45923</v>
      </c>
      <c r="D197" s="199">
        <v>52.79</v>
      </c>
      <c r="E197" s="191" t="s">
        <v>564</v>
      </c>
      <c r="F197" s="191" t="s">
        <v>793</v>
      </c>
      <c r="G197" s="198">
        <v>0</v>
      </c>
      <c r="H197" s="203">
        <v>46302</v>
      </c>
      <c r="I197" s="191" t="s">
        <v>588</v>
      </c>
    </row>
    <row r="198" spans="1:9" ht="20" customHeight="1" x14ac:dyDescent="0.35">
      <c r="A198" s="191" t="s">
        <v>984</v>
      </c>
      <c r="B198" s="191" t="s">
        <v>749</v>
      </c>
      <c r="C198" s="192">
        <v>45924</v>
      </c>
      <c r="D198" s="199">
        <v>52.97</v>
      </c>
      <c r="E198" s="191" t="s">
        <v>564</v>
      </c>
      <c r="F198" s="191" t="s">
        <v>793</v>
      </c>
      <c r="G198" s="198">
        <v>0</v>
      </c>
      <c r="H198" s="203">
        <v>46302</v>
      </c>
      <c r="I198" s="191" t="s">
        <v>588</v>
      </c>
    </row>
    <row r="199" spans="1:9" ht="20" customHeight="1" x14ac:dyDescent="0.35">
      <c r="A199" s="191" t="s">
        <v>985</v>
      </c>
      <c r="B199" s="191" t="s">
        <v>749</v>
      </c>
      <c r="C199" s="192">
        <v>45925</v>
      </c>
      <c r="D199" s="199">
        <v>53.14</v>
      </c>
      <c r="E199" s="191" t="s">
        <v>564</v>
      </c>
      <c r="F199" s="191" t="s">
        <v>793</v>
      </c>
      <c r="G199" s="198">
        <v>0</v>
      </c>
      <c r="H199" s="203">
        <v>46302</v>
      </c>
      <c r="I199" s="191" t="s">
        <v>588</v>
      </c>
    </row>
    <row r="200" spans="1:9" ht="20" customHeight="1" x14ac:dyDescent="0.35">
      <c r="A200" s="191" t="s">
        <v>986</v>
      </c>
      <c r="B200" s="191" t="s">
        <v>749</v>
      </c>
      <c r="C200" s="192">
        <v>45926</v>
      </c>
      <c r="D200" s="199">
        <v>53.31</v>
      </c>
      <c r="E200" s="191" t="s">
        <v>564</v>
      </c>
      <c r="F200" s="191" t="s">
        <v>793</v>
      </c>
      <c r="G200" s="198">
        <v>0</v>
      </c>
      <c r="H200" s="203">
        <v>46302</v>
      </c>
      <c r="I200" s="191" t="s">
        <v>588</v>
      </c>
    </row>
    <row r="201" spans="1:9" ht="20" customHeight="1" x14ac:dyDescent="0.35">
      <c r="A201" s="191" t="s">
        <v>987</v>
      </c>
      <c r="B201" s="191" t="s">
        <v>749</v>
      </c>
      <c r="C201" s="192">
        <v>45929</v>
      </c>
      <c r="D201" s="199">
        <v>53.83</v>
      </c>
      <c r="E201" s="191" t="s">
        <v>564</v>
      </c>
      <c r="F201" s="191" t="s">
        <v>793</v>
      </c>
      <c r="G201" s="198">
        <v>0</v>
      </c>
      <c r="H201" s="203">
        <v>46302</v>
      </c>
      <c r="I201" s="191" t="s">
        <v>588</v>
      </c>
    </row>
    <row r="202" spans="1:9" ht="20" customHeight="1" x14ac:dyDescent="0.35">
      <c r="A202" s="191" t="s">
        <v>988</v>
      </c>
      <c r="B202" s="191" t="s">
        <v>749</v>
      </c>
      <c r="C202" s="192">
        <v>45930</v>
      </c>
      <c r="D202" s="199">
        <v>54</v>
      </c>
      <c r="E202" s="191" t="s">
        <v>564</v>
      </c>
      <c r="F202" s="191" t="s">
        <v>793</v>
      </c>
      <c r="G202" s="198">
        <v>0</v>
      </c>
      <c r="H202" s="203">
        <v>46302</v>
      </c>
      <c r="I202" s="191" t="s">
        <v>588</v>
      </c>
    </row>
    <row r="203" spans="1:9" ht="20" customHeight="1" x14ac:dyDescent="0.35">
      <c r="A203" s="191" t="s">
        <v>989</v>
      </c>
      <c r="B203" s="191" t="s">
        <v>749</v>
      </c>
      <c r="C203" s="192">
        <v>45931</v>
      </c>
      <c r="D203" s="199">
        <v>54</v>
      </c>
      <c r="E203" s="191" t="s">
        <v>564</v>
      </c>
      <c r="F203" s="191" t="s">
        <v>793</v>
      </c>
      <c r="G203" s="198">
        <v>0</v>
      </c>
      <c r="H203" s="203">
        <v>46302</v>
      </c>
      <c r="I203" s="191" t="s">
        <v>588</v>
      </c>
    </row>
    <row r="204" spans="1:9" ht="20" customHeight="1" x14ac:dyDescent="0.35">
      <c r="A204" s="191" t="s">
        <v>990</v>
      </c>
      <c r="B204" s="191" t="s">
        <v>749</v>
      </c>
      <c r="C204" s="192">
        <v>45932</v>
      </c>
      <c r="D204" s="199">
        <v>53.9</v>
      </c>
      <c r="E204" s="191" t="s">
        <v>564</v>
      </c>
      <c r="F204" s="191" t="s">
        <v>793</v>
      </c>
      <c r="G204" s="198">
        <v>0</v>
      </c>
      <c r="H204" s="203">
        <v>46302</v>
      </c>
      <c r="I204" s="191" t="s">
        <v>588</v>
      </c>
    </row>
    <row r="205" spans="1:9" ht="20" customHeight="1" x14ac:dyDescent="0.35">
      <c r="A205" s="191" t="s">
        <v>991</v>
      </c>
      <c r="B205" s="191" t="s">
        <v>749</v>
      </c>
      <c r="C205" s="192">
        <v>45933</v>
      </c>
      <c r="D205" s="199">
        <v>53.8</v>
      </c>
      <c r="E205" s="191" t="s">
        <v>564</v>
      </c>
      <c r="F205" s="191" t="s">
        <v>793</v>
      </c>
      <c r="G205" s="198">
        <v>0</v>
      </c>
      <c r="H205" s="203">
        <v>46302</v>
      </c>
      <c r="I205" s="191" t="s">
        <v>588</v>
      </c>
    </row>
    <row r="206" spans="1:9" ht="20" customHeight="1" x14ac:dyDescent="0.35">
      <c r="A206" s="191" t="s">
        <v>992</v>
      </c>
      <c r="B206" s="191" t="s">
        <v>749</v>
      </c>
      <c r="C206" s="192">
        <v>45936</v>
      </c>
      <c r="D206" s="199">
        <v>53.5</v>
      </c>
      <c r="E206" s="191" t="s">
        <v>564</v>
      </c>
      <c r="F206" s="191" t="s">
        <v>793</v>
      </c>
      <c r="G206" s="198">
        <v>0</v>
      </c>
      <c r="H206" s="203">
        <v>46302</v>
      </c>
      <c r="I206" s="191" t="s">
        <v>588</v>
      </c>
    </row>
    <row r="207" spans="1:9" ht="20" customHeight="1" x14ac:dyDescent="0.35">
      <c r="A207" s="191" t="s">
        <v>993</v>
      </c>
      <c r="B207" s="191" t="s">
        <v>749</v>
      </c>
      <c r="C207" s="192">
        <v>45937</v>
      </c>
      <c r="D207" s="199">
        <v>53.4</v>
      </c>
      <c r="E207" s="191" t="s">
        <v>564</v>
      </c>
      <c r="F207" s="191" t="s">
        <v>793</v>
      </c>
      <c r="G207" s="198">
        <v>0</v>
      </c>
      <c r="H207" s="203">
        <v>46302</v>
      </c>
      <c r="I207" s="191" t="s">
        <v>588</v>
      </c>
    </row>
    <row r="208" spans="1:9" ht="20" customHeight="1" x14ac:dyDescent="0.35">
      <c r="A208" s="191" t="s">
        <v>994</v>
      </c>
      <c r="B208" s="191" t="s">
        <v>749</v>
      </c>
      <c r="C208" s="192">
        <v>45938</v>
      </c>
      <c r="D208" s="199">
        <v>53.3</v>
      </c>
      <c r="E208" s="191" t="s">
        <v>564</v>
      </c>
      <c r="F208" s="191" t="s">
        <v>793</v>
      </c>
      <c r="G208" s="198">
        <v>0</v>
      </c>
      <c r="H208" s="203">
        <v>46302</v>
      </c>
      <c r="I208" s="191" t="s">
        <v>588</v>
      </c>
    </row>
    <row r="209" spans="1:9" ht="20" customHeight="1" x14ac:dyDescent="0.35">
      <c r="A209" s="191" t="s">
        <v>995</v>
      </c>
      <c r="B209" s="191" t="s">
        <v>749</v>
      </c>
      <c r="C209" s="192">
        <v>45939</v>
      </c>
      <c r="D209" s="199">
        <v>53.2</v>
      </c>
      <c r="E209" s="191" t="s">
        <v>564</v>
      </c>
      <c r="F209" s="191" t="s">
        <v>793</v>
      </c>
      <c r="G209" s="198">
        <v>0</v>
      </c>
      <c r="H209" s="203">
        <v>46302</v>
      </c>
      <c r="I209" s="191" t="s">
        <v>588</v>
      </c>
    </row>
    <row r="210" spans="1:9" ht="20" customHeight="1" x14ac:dyDescent="0.35">
      <c r="A210" s="191" t="s">
        <v>996</v>
      </c>
      <c r="B210" s="191" t="s">
        <v>749</v>
      </c>
      <c r="C210" s="192">
        <v>45940</v>
      </c>
      <c r="D210" s="199">
        <v>53.1</v>
      </c>
      <c r="E210" s="191" t="s">
        <v>564</v>
      </c>
      <c r="F210" s="191" t="s">
        <v>793</v>
      </c>
      <c r="G210" s="198">
        <v>0</v>
      </c>
      <c r="H210" s="203">
        <v>46302</v>
      </c>
      <c r="I210" s="191" t="s">
        <v>588</v>
      </c>
    </row>
    <row r="211" spans="1:9" ht="20" customHeight="1" x14ac:dyDescent="0.35">
      <c r="A211" s="191" t="s">
        <v>997</v>
      </c>
      <c r="B211" s="191" t="s">
        <v>749</v>
      </c>
      <c r="C211" s="192">
        <v>45943</v>
      </c>
      <c r="D211" s="199">
        <v>52.8</v>
      </c>
      <c r="E211" s="191" t="s">
        <v>564</v>
      </c>
      <c r="F211" s="191" t="s">
        <v>793</v>
      </c>
      <c r="G211" s="198">
        <v>0</v>
      </c>
      <c r="H211" s="203">
        <v>46302</v>
      </c>
      <c r="I211" s="191" t="s">
        <v>588</v>
      </c>
    </row>
    <row r="212" spans="1:9" ht="20" customHeight="1" x14ac:dyDescent="0.35">
      <c r="A212" s="191" t="s">
        <v>998</v>
      </c>
      <c r="B212" s="191" t="s">
        <v>749</v>
      </c>
      <c r="C212" s="192">
        <v>45944</v>
      </c>
      <c r="D212" s="199">
        <v>52.7</v>
      </c>
      <c r="E212" s="191" t="s">
        <v>564</v>
      </c>
      <c r="F212" s="191" t="s">
        <v>793</v>
      </c>
      <c r="G212" s="198">
        <v>0</v>
      </c>
      <c r="H212" s="203">
        <v>46302</v>
      </c>
      <c r="I212" s="191" t="s">
        <v>588</v>
      </c>
    </row>
    <row r="213" spans="1:9" ht="20" customHeight="1" x14ac:dyDescent="0.35">
      <c r="A213" s="191" t="s">
        <v>999</v>
      </c>
      <c r="B213" s="191" t="s">
        <v>749</v>
      </c>
      <c r="C213" s="192">
        <v>45945</v>
      </c>
      <c r="D213" s="199">
        <v>52.6</v>
      </c>
      <c r="E213" s="191" t="s">
        <v>564</v>
      </c>
      <c r="F213" s="191" t="s">
        <v>793</v>
      </c>
      <c r="G213" s="198">
        <v>0</v>
      </c>
      <c r="H213" s="203">
        <v>46302</v>
      </c>
      <c r="I213" s="191" t="s">
        <v>588</v>
      </c>
    </row>
    <row r="214" spans="1:9" ht="20" customHeight="1" x14ac:dyDescent="0.35">
      <c r="A214" s="191" t="s">
        <v>1000</v>
      </c>
      <c r="B214" s="191" t="s">
        <v>749</v>
      </c>
      <c r="C214" s="192">
        <v>45946</v>
      </c>
      <c r="D214" s="199">
        <v>52.5</v>
      </c>
      <c r="E214" s="191" t="s">
        <v>564</v>
      </c>
      <c r="F214" s="191" t="s">
        <v>793</v>
      </c>
      <c r="G214" s="198">
        <v>0</v>
      </c>
      <c r="H214" s="203">
        <v>46302</v>
      </c>
      <c r="I214" s="191" t="s">
        <v>588</v>
      </c>
    </row>
    <row r="215" spans="1:9" ht="20" customHeight="1" x14ac:dyDescent="0.35">
      <c r="A215" s="191" t="s">
        <v>1001</v>
      </c>
      <c r="B215" s="191" t="s">
        <v>749</v>
      </c>
      <c r="C215" s="192">
        <v>45947</v>
      </c>
      <c r="D215" s="199">
        <v>52.4</v>
      </c>
      <c r="E215" s="191" t="s">
        <v>564</v>
      </c>
      <c r="F215" s="191" t="s">
        <v>793</v>
      </c>
      <c r="G215" s="198">
        <v>0</v>
      </c>
      <c r="H215" s="203">
        <v>46302</v>
      </c>
      <c r="I215" s="191" t="s">
        <v>588</v>
      </c>
    </row>
    <row r="216" spans="1:9" ht="20" customHeight="1" x14ac:dyDescent="0.35">
      <c r="A216" s="191" t="s">
        <v>1002</v>
      </c>
      <c r="B216" s="191" t="s">
        <v>749</v>
      </c>
      <c r="C216" s="192">
        <v>45950</v>
      </c>
      <c r="D216" s="199">
        <v>52.1</v>
      </c>
      <c r="E216" s="191" t="s">
        <v>564</v>
      </c>
      <c r="F216" s="191" t="s">
        <v>793</v>
      </c>
      <c r="G216" s="198">
        <v>0</v>
      </c>
      <c r="H216" s="203">
        <v>46302</v>
      </c>
      <c r="I216" s="191" t="s">
        <v>588</v>
      </c>
    </row>
    <row r="217" spans="1:9" ht="20" customHeight="1" x14ac:dyDescent="0.35">
      <c r="A217" s="191" t="s">
        <v>1003</v>
      </c>
      <c r="B217" s="191" t="s">
        <v>749</v>
      </c>
      <c r="C217" s="192">
        <v>45951</v>
      </c>
      <c r="D217" s="199">
        <v>52</v>
      </c>
      <c r="E217" s="191" t="s">
        <v>564</v>
      </c>
      <c r="F217" s="191" t="s">
        <v>793</v>
      </c>
      <c r="G217" s="198">
        <v>0</v>
      </c>
      <c r="H217" s="203">
        <v>46302</v>
      </c>
      <c r="I217" s="191" t="s">
        <v>588</v>
      </c>
    </row>
    <row r="218" spans="1:9" ht="20" customHeight="1" x14ac:dyDescent="0.35">
      <c r="A218" s="191" t="s">
        <v>1004</v>
      </c>
      <c r="B218" s="191" t="s">
        <v>749</v>
      </c>
      <c r="C218" s="192">
        <v>45952</v>
      </c>
      <c r="D218" s="199">
        <v>51.9</v>
      </c>
      <c r="E218" s="191" t="s">
        <v>564</v>
      </c>
      <c r="F218" s="191" t="s">
        <v>793</v>
      </c>
      <c r="G218" s="198">
        <v>0</v>
      </c>
      <c r="H218" s="203">
        <v>46302</v>
      </c>
      <c r="I218" s="191" t="s">
        <v>588</v>
      </c>
    </row>
    <row r="219" spans="1:9" ht="20" customHeight="1" x14ac:dyDescent="0.35">
      <c r="A219" s="191" t="s">
        <v>1005</v>
      </c>
      <c r="B219" s="191" t="s">
        <v>749</v>
      </c>
      <c r="C219" s="192">
        <v>45953</v>
      </c>
      <c r="D219" s="199">
        <v>51.8</v>
      </c>
      <c r="E219" s="191" t="s">
        <v>564</v>
      </c>
      <c r="F219" s="191" t="s">
        <v>793</v>
      </c>
      <c r="G219" s="198">
        <v>0</v>
      </c>
      <c r="H219" s="203">
        <v>46302</v>
      </c>
      <c r="I219" s="191" t="s">
        <v>588</v>
      </c>
    </row>
    <row r="220" spans="1:9" ht="20" customHeight="1" x14ac:dyDescent="0.35">
      <c r="A220" s="191" t="s">
        <v>1006</v>
      </c>
      <c r="B220" s="191" t="s">
        <v>749</v>
      </c>
      <c r="C220" s="192">
        <v>45954</v>
      </c>
      <c r="D220" s="199">
        <v>51.7</v>
      </c>
      <c r="E220" s="191" t="s">
        <v>564</v>
      </c>
      <c r="F220" s="191" t="s">
        <v>793</v>
      </c>
      <c r="G220" s="198">
        <v>0</v>
      </c>
      <c r="H220" s="203">
        <v>46302</v>
      </c>
      <c r="I220" s="191" t="s">
        <v>588</v>
      </c>
    </row>
    <row r="221" spans="1:9" ht="20" customHeight="1" x14ac:dyDescent="0.35">
      <c r="A221" s="191" t="s">
        <v>1007</v>
      </c>
      <c r="B221" s="191" t="s">
        <v>749</v>
      </c>
      <c r="C221" s="192">
        <v>45957</v>
      </c>
      <c r="D221" s="199">
        <v>51.4</v>
      </c>
      <c r="E221" s="191" t="s">
        <v>564</v>
      </c>
      <c r="F221" s="191" t="s">
        <v>793</v>
      </c>
      <c r="G221" s="198">
        <v>0</v>
      </c>
      <c r="H221" s="203">
        <v>46302</v>
      </c>
      <c r="I221" s="191" t="s">
        <v>588</v>
      </c>
    </row>
    <row r="222" spans="1:9" ht="20" customHeight="1" x14ac:dyDescent="0.35">
      <c r="A222" s="191" t="s">
        <v>1008</v>
      </c>
      <c r="B222" s="191" t="s">
        <v>749</v>
      </c>
      <c r="C222" s="192">
        <v>45958</v>
      </c>
      <c r="D222" s="199">
        <v>51.3</v>
      </c>
      <c r="E222" s="191" t="s">
        <v>564</v>
      </c>
      <c r="F222" s="191" t="s">
        <v>793</v>
      </c>
      <c r="G222" s="198">
        <v>0</v>
      </c>
      <c r="H222" s="203">
        <v>46302</v>
      </c>
      <c r="I222" s="191" t="s">
        <v>588</v>
      </c>
    </row>
    <row r="223" spans="1:9" ht="20" customHeight="1" x14ac:dyDescent="0.35">
      <c r="A223" s="191" t="s">
        <v>1009</v>
      </c>
      <c r="B223" s="191" t="s">
        <v>749</v>
      </c>
      <c r="C223" s="192">
        <v>45959</v>
      </c>
      <c r="D223" s="199">
        <v>51.2</v>
      </c>
      <c r="E223" s="191" t="s">
        <v>564</v>
      </c>
      <c r="F223" s="191" t="s">
        <v>793</v>
      </c>
      <c r="G223" s="198">
        <v>0</v>
      </c>
      <c r="H223" s="203">
        <v>46302</v>
      </c>
      <c r="I223" s="191" t="s">
        <v>588</v>
      </c>
    </row>
    <row r="224" spans="1:9" ht="20" customHeight="1" x14ac:dyDescent="0.35">
      <c r="A224" s="191" t="s">
        <v>1010</v>
      </c>
      <c r="B224" s="191" t="s">
        <v>749</v>
      </c>
      <c r="C224" s="192">
        <v>45960</v>
      </c>
      <c r="D224" s="199">
        <v>51.1</v>
      </c>
      <c r="E224" s="191" t="s">
        <v>564</v>
      </c>
      <c r="F224" s="191" t="s">
        <v>793</v>
      </c>
      <c r="G224" s="198">
        <v>0</v>
      </c>
      <c r="H224" s="203">
        <v>46302</v>
      </c>
      <c r="I224" s="191" t="s">
        <v>588</v>
      </c>
    </row>
    <row r="225" spans="1:9" ht="20" customHeight="1" x14ac:dyDescent="0.35">
      <c r="A225" s="191" t="s">
        <v>1011</v>
      </c>
      <c r="B225" s="191" t="s">
        <v>749</v>
      </c>
      <c r="C225" s="192">
        <v>45961</v>
      </c>
      <c r="D225" s="199">
        <v>51</v>
      </c>
      <c r="E225" s="191" t="s">
        <v>564</v>
      </c>
      <c r="F225" s="191" t="s">
        <v>793</v>
      </c>
      <c r="G225" s="198">
        <v>0</v>
      </c>
      <c r="H225" s="203">
        <v>46302</v>
      </c>
      <c r="I225" s="191" t="s">
        <v>588</v>
      </c>
    </row>
    <row r="226" spans="1:9" ht="20" customHeight="1" x14ac:dyDescent="0.35">
      <c r="A226" s="191" t="s">
        <v>1012</v>
      </c>
      <c r="B226" s="191" t="s">
        <v>749</v>
      </c>
      <c r="C226" s="192">
        <v>45964</v>
      </c>
      <c r="D226" s="199">
        <v>50.79</v>
      </c>
      <c r="E226" s="191" t="s">
        <v>564</v>
      </c>
      <c r="F226" s="191" t="s">
        <v>793</v>
      </c>
      <c r="G226" s="198">
        <v>0</v>
      </c>
      <c r="H226" s="203">
        <v>46302</v>
      </c>
      <c r="I226" s="191" t="s">
        <v>588</v>
      </c>
    </row>
    <row r="227" spans="1:9" ht="20" customHeight="1" x14ac:dyDescent="0.35">
      <c r="A227" s="191" t="s">
        <v>1013</v>
      </c>
      <c r="B227" s="191" t="s">
        <v>749</v>
      </c>
      <c r="C227" s="192">
        <v>45965</v>
      </c>
      <c r="D227" s="199">
        <v>50.69</v>
      </c>
      <c r="E227" s="191" t="s">
        <v>564</v>
      </c>
      <c r="F227" s="191" t="s">
        <v>793</v>
      </c>
      <c r="G227" s="198">
        <v>0</v>
      </c>
      <c r="H227" s="203">
        <v>46302</v>
      </c>
      <c r="I227" s="191" t="s">
        <v>588</v>
      </c>
    </row>
    <row r="228" spans="1:9" ht="20" customHeight="1" x14ac:dyDescent="0.35">
      <c r="A228" s="191" t="s">
        <v>1014</v>
      </c>
      <c r="B228" s="191" t="s">
        <v>749</v>
      </c>
      <c r="C228" s="192">
        <v>45966</v>
      </c>
      <c r="D228" s="199">
        <v>50.59</v>
      </c>
      <c r="E228" s="191" t="s">
        <v>564</v>
      </c>
      <c r="F228" s="191" t="s">
        <v>793</v>
      </c>
      <c r="G228" s="198">
        <v>0</v>
      </c>
      <c r="H228" s="203">
        <v>46302</v>
      </c>
      <c r="I228" s="191" t="s">
        <v>588</v>
      </c>
    </row>
    <row r="229" spans="1:9" ht="20" customHeight="1" x14ac:dyDescent="0.35">
      <c r="A229" s="191" t="s">
        <v>1015</v>
      </c>
      <c r="B229" s="191" t="s">
        <v>749</v>
      </c>
      <c r="C229" s="192">
        <v>45967</v>
      </c>
      <c r="D229" s="199">
        <v>50.48</v>
      </c>
      <c r="E229" s="191" t="s">
        <v>564</v>
      </c>
      <c r="F229" s="191" t="s">
        <v>793</v>
      </c>
      <c r="G229" s="198">
        <v>0</v>
      </c>
      <c r="H229" s="203">
        <v>46302</v>
      </c>
      <c r="I229" s="191" t="s">
        <v>588</v>
      </c>
    </row>
    <row r="230" spans="1:9" ht="20" customHeight="1" x14ac:dyDescent="0.35">
      <c r="A230" s="191" t="s">
        <v>1016</v>
      </c>
      <c r="B230" s="191" t="s">
        <v>749</v>
      </c>
      <c r="C230" s="192">
        <v>45968</v>
      </c>
      <c r="D230" s="199">
        <v>50.38</v>
      </c>
      <c r="E230" s="191" t="s">
        <v>564</v>
      </c>
      <c r="F230" s="191" t="s">
        <v>793</v>
      </c>
      <c r="G230" s="198">
        <v>0</v>
      </c>
      <c r="H230" s="203">
        <v>46302</v>
      </c>
      <c r="I230" s="191" t="s">
        <v>588</v>
      </c>
    </row>
    <row r="231" spans="1:9" ht="20" customHeight="1" x14ac:dyDescent="0.35">
      <c r="A231" s="191" t="s">
        <v>1017</v>
      </c>
      <c r="B231" s="191" t="s">
        <v>749</v>
      </c>
      <c r="C231" s="192">
        <v>45971</v>
      </c>
      <c r="D231" s="199">
        <v>50.07</v>
      </c>
      <c r="E231" s="191" t="s">
        <v>564</v>
      </c>
      <c r="F231" s="191" t="s">
        <v>793</v>
      </c>
      <c r="G231" s="198">
        <v>0</v>
      </c>
      <c r="H231" s="203">
        <v>46302</v>
      </c>
      <c r="I231" s="191" t="s">
        <v>588</v>
      </c>
    </row>
    <row r="232" spans="1:9" ht="20" customHeight="1" x14ac:dyDescent="0.35">
      <c r="A232" s="191" t="s">
        <v>1018</v>
      </c>
      <c r="B232" s="191" t="s">
        <v>749</v>
      </c>
      <c r="C232" s="192">
        <v>45972</v>
      </c>
      <c r="D232" s="199">
        <v>49.97</v>
      </c>
      <c r="E232" s="191" t="s">
        <v>564</v>
      </c>
      <c r="F232" s="191" t="s">
        <v>793</v>
      </c>
      <c r="G232" s="198">
        <v>0</v>
      </c>
      <c r="H232" s="203">
        <v>46302</v>
      </c>
      <c r="I232" s="191" t="s">
        <v>588</v>
      </c>
    </row>
    <row r="233" spans="1:9" ht="20" customHeight="1" x14ac:dyDescent="0.35">
      <c r="A233" s="191" t="s">
        <v>1019</v>
      </c>
      <c r="B233" s="191" t="s">
        <v>749</v>
      </c>
      <c r="C233" s="192">
        <v>45973</v>
      </c>
      <c r="D233" s="199">
        <v>49.86</v>
      </c>
      <c r="E233" s="191" t="s">
        <v>564</v>
      </c>
      <c r="F233" s="191" t="s">
        <v>793</v>
      </c>
      <c r="G233" s="198">
        <v>0</v>
      </c>
      <c r="H233" s="203">
        <v>46302</v>
      </c>
      <c r="I233" s="191" t="s">
        <v>588</v>
      </c>
    </row>
    <row r="234" spans="1:9" ht="20" customHeight="1" x14ac:dyDescent="0.35">
      <c r="A234" s="191" t="s">
        <v>1020</v>
      </c>
      <c r="B234" s="191" t="s">
        <v>749</v>
      </c>
      <c r="C234" s="192">
        <v>45974</v>
      </c>
      <c r="D234" s="199">
        <v>49.76</v>
      </c>
      <c r="E234" s="191" t="s">
        <v>564</v>
      </c>
      <c r="F234" s="191" t="s">
        <v>793</v>
      </c>
      <c r="G234" s="198">
        <v>0</v>
      </c>
      <c r="H234" s="203">
        <v>46302</v>
      </c>
      <c r="I234" s="191" t="s">
        <v>588</v>
      </c>
    </row>
    <row r="235" spans="1:9" ht="20" customHeight="1" x14ac:dyDescent="0.35">
      <c r="A235" s="191" t="s">
        <v>1021</v>
      </c>
      <c r="B235" s="191" t="s">
        <v>749</v>
      </c>
      <c r="C235" s="192">
        <v>45975</v>
      </c>
      <c r="D235" s="199">
        <v>49.66</v>
      </c>
      <c r="E235" s="191" t="s">
        <v>564</v>
      </c>
      <c r="F235" s="191" t="s">
        <v>793</v>
      </c>
      <c r="G235" s="198">
        <v>0</v>
      </c>
      <c r="H235" s="203">
        <v>46302</v>
      </c>
      <c r="I235" s="191" t="s">
        <v>588</v>
      </c>
    </row>
    <row r="236" spans="1:9" ht="20" customHeight="1" x14ac:dyDescent="0.35">
      <c r="A236" s="191" t="s">
        <v>1022</v>
      </c>
      <c r="B236" s="191" t="s">
        <v>749</v>
      </c>
      <c r="C236" s="192">
        <v>45978</v>
      </c>
      <c r="D236" s="199">
        <v>49.34</v>
      </c>
      <c r="E236" s="191" t="s">
        <v>564</v>
      </c>
      <c r="F236" s="191" t="s">
        <v>793</v>
      </c>
      <c r="G236" s="198">
        <v>0</v>
      </c>
      <c r="H236" s="203">
        <v>46302</v>
      </c>
      <c r="I236" s="191" t="s">
        <v>588</v>
      </c>
    </row>
    <row r="237" spans="1:9" ht="20" customHeight="1" x14ac:dyDescent="0.35">
      <c r="A237" s="191" t="s">
        <v>1023</v>
      </c>
      <c r="B237" s="191" t="s">
        <v>749</v>
      </c>
      <c r="C237" s="192">
        <v>45979</v>
      </c>
      <c r="D237" s="199">
        <v>49.24</v>
      </c>
      <c r="E237" s="191" t="s">
        <v>564</v>
      </c>
      <c r="F237" s="191" t="s">
        <v>793</v>
      </c>
      <c r="G237" s="198">
        <v>0</v>
      </c>
      <c r="H237" s="203">
        <v>46302</v>
      </c>
      <c r="I237" s="191" t="s">
        <v>588</v>
      </c>
    </row>
    <row r="238" spans="1:9" ht="20" customHeight="1" x14ac:dyDescent="0.35">
      <c r="A238" s="191" t="s">
        <v>1024</v>
      </c>
      <c r="B238" s="191" t="s">
        <v>749</v>
      </c>
      <c r="C238" s="192">
        <v>45980</v>
      </c>
      <c r="D238" s="199">
        <v>49.14</v>
      </c>
      <c r="E238" s="191" t="s">
        <v>564</v>
      </c>
      <c r="F238" s="191" t="s">
        <v>793</v>
      </c>
      <c r="G238" s="198">
        <v>0</v>
      </c>
      <c r="H238" s="203">
        <v>46302</v>
      </c>
      <c r="I238" s="191" t="s">
        <v>588</v>
      </c>
    </row>
    <row r="239" spans="1:9" ht="20" customHeight="1" x14ac:dyDescent="0.35">
      <c r="A239" s="191" t="s">
        <v>1025</v>
      </c>
      <c r="B239" s="191" t="s">
        <v>749</v>
      </c>
      <c r="C239" s="192">
        <v>45981</v>
      </c>
      <c r="D239" s="199">
        <v>49.03</v>
      </c>
      <c r="E239" s="191" t="s">
        <v>564</v>
      </c>
      <c r="F239" s="191" t="s">
        <v>793</v>
      </c>
      <c r="G239" s="198">
        <v>0</v>
      </c>
      <c r="H239" s="203">
        <v>46302</v>
      </c>
      <c r="I239" s="191" t="s">
        <v>588</v>
      </c>
    </row>
    <row r="240" spans="1:9" ht="20" customHeight="1" x14ac:dyDescent="0.35">
      <c r="A240" s="191" t="s">
        <v>1026</v>
      </c>
      <c r="B240" s="191" t="s">
        <v>749</v>
      </c>
      <c r="C240" s="192">
        <v>45982</v>
      </c>
      <c r="D240" s="199">
        <v>48.93</v>
      </c>
      <c r="E240" s="191" t="s">
        <v>564</v>
      </c>
      <c r="F240" s="191" t="s">
        <v>793</v>
      </c>
      <c r="G240" s="198">
        <v>0</v>
      </c>
      <c r="H240" s="203">
        <v>46302</v>
      </c>
      <c r="I240" s="191" t="s">
        <v>588</v>
      </c>
    </row>
    <row r="241" spans="1:9" ht="20" customHeight="1" x14ac:dyDescent="0.35">
      <c r="A241" s="191" t="s">
        <v>1027</v>
      </c>
      <c r="B241" s="191" t="s">
        <v>749</v>
      </c>
      <c r="C241" s="192">
        <v>45985</v>
      </c>
      <c r="D241" s="199">
        <v>48.62</v>
      </c>
      <c r="E241" s="191" t="s">
        <v>564</v>
      </c>
      <c r="F241" s="191" t="s">
        <v>793</v>
      </c>
      <c r="G241" s="198">
        <v>0</v>
      </c>
      <c r="H241" s="203">
        <v>46302</v>
      </c>
      <c r="I241" s="191" t="s">
        <v>588</v>
      </c>
    </row>
    <row r="242" spans="1:9" ht="20" customHeight="1" x14ac:dyDescent="0.35">
      <c r="A242" s="191" t="s">
        <v>1028</v>
      </c>
      <c r="B242" s="191" t="s">
        <v>749</v>
      </c>
      <c r="C242" s="192">
        <v>45986</v>
      </c>
      <c r="D242" s="199">
        <v>48.52</v>
      </c>
      <c r="E242" s="191" t="s">
        <v>564</v>
      </c>
      <c r="F242" s="191" t="s">
        <v>793</v>
      </c>
      <c r="G242" s="198">
        <v>0</v>
      </c>
      <c r="H242" s="203">
        <v>46302</v>
      </c>
      <c r="I242" s="191" t="s">
        <v>588</v>
      </c>
    </row>
    <row r="243" spans="1:9" ht="20" customHeight="1" x14ac:dyDescent="0.35">
      <c r="A243" s="191" t="s">
        <v>1029</v>
      </c>
      <c r="B243" s="191" t="s">
        <v>749</v>
      </c>
      <c r="C243" s="192">
        <v>45987</v>
      </c>
      <c r="D243" s="199">
        <v>48.41</v>
      </c>
      <c r="E243" s="191" t="s">
        <v>564</v>
      </c>
      <c r="F243" s="191" t="s">
        <v>793</v>
      </c>
      <c r="G243" s="198">
        <v>0</v>
      </c>
      <c r="H243" s="203">
        <v>46302</v>
      </c>
      <c r="I243" s="191" t="s">
        <v>588</v>
      </c>
    </row>
    <row r="244" spans="1:9" ht="20" customHeight="1" x14ac:dyDescent="0.35">
      <c r="A244" s="191" t="s">
        <v>1030</v>
      </c>
      <c r="B244" s="191" t="s">
        <v>749</v>
      </c>
      <c r="C244" s="192">
        <v>45988</v>
      </c>
      <c r="D244" s="199">
        <v>48.31</v>
      </c>
      <c r="E244" s="191" t="s">
        <v>564</v>
      </c>
      <c r="F244" s="191" t="s">
        <v>793</v>
      </c>
      <c r="G244" s="198">
        <v>0</v>
      </c>
      <c r="H244" s="203">
        <v>46302</v>
      </c>
      <c r="I244" s="191" t="s">
        <v>588</v>
      </c>
    </row>
    <row r="245" spans="1:9" ht="20" customHeight="1" x14ac:dyDescent="0.35">
      <c r="A245" s="191" t="s">
        <v>1031</v>
      </c>
      <c r="B245" s="191" t="s">
        <v>749</v>
      </c>
      <c r="C245" s="192">
        <v>45989</v>
      </c>
      <c r="D245" s="199">
        <v>48.21</v>
      </c>
      <c r="E245" s="191" t="s">
        <v>564</v>
      </c>
      <c r="F245" s="191" t="s">
        <v>793</v>
      </c>
      <c r="G245" s="198">
        <v>0</v>
      </c>
      <c r="H245" s="203">
        <v>46302</v>
      </c>
      <c r="I245" s="191" t="s">
        <v>588</v>
      </c>
    </row>
    <row r="246" spans="1:9" ht="20" customHeight="1" x14ac:dyDescent="0.35">
      <c r="A246" s="191" t="s">
        <v>1032</v>
      </c>
      <c r="B246" s="191" t="s">
        <v>749</v>
      </c>
      <c r="C246" s="192">
        <v>45992</v>
      </c>
      <c r="D246" s="199">
        <v>48</v>
      </c>
      <c r="E246" s="191" t="s">
        <v>564</v>
      </c>
      <c r="F246" s="191" t="s">
        <v>793</v>
      </c>
      <c r="G246" s="198">
        <v>0</v>
      </c>
      <c r="H246" s="203">
        <v>46302</v>
      </c>
      <c r="I246" s="191" t="s">
        <v>588</v>
      </c>
    </row>
    <row r="247" spans="1:9" ht="20" customHeight="1" x14ac:dyDescent="0.35">
      <c r="A247" s="191" t="s">
        <v>1033</v>
      </c>
      <c r="B247" s="191" t="s">
        <v>749</v>
      </c>
      <c r="C247" s="192">
        <v>45993</v>
      </c>
      <c r="D247" s="199">
        <v>47.98</v>
      </c>
      <c r="E247" s="191" t="s">
        <v>564</v>
      </c>
      <c r="F247" s="191" t="s">
        <v>793</v>
      </c>
      <c r="G247" s="198">
        <v>0</v>
      </c>
      <c r="H247" s="203">
        <v>46302</v>
      </c>
      <c r="I247" s="191" t="s">
        <v>588</v>
      </c>
    </row>
    <row r="248" spans="1:9" ht="20" customHeight="1" x14ac:dyDescent="0.35">
      <c r="A248" s="191" t="s">
        <v>1034</v>
      </c>
      <c r="B248" s="191" t="s">
        <v>749</v>
      </c>
      <c r="C248" s="192">
        <v>45994</v>
      </c>
      <c r="D248" s="199">
        <v>47.97</v>
      </c>
      <c r="E248" s="191" t="s">
        <v>564</v>
      </c>
      <c r="F248" s="191" t="s">
        <v>793</v>
      </c>
      <c r="G248" s="198">
        <v>0</v>
      </c>
      <c r="H248" s="203">
        <v>46302</v>
      </c>
      <c r="I248" s="191" t="s">
        <v>588</v>
      </c>
    </row>
    <row r="249" spans="1:9" ht="20" customHeight="1" x14ac:dyDescent="0.35">
      <c r="A249" s="191" t="s">
        <v>1035</v>
      </c>
      <c r="B249" s="191" t="s">
        <v>749</v>
      </c>
      <c r="C249" s="192">
        <v>45995</v>
      </c>
      <c r="D249" s="199">
        <v>47.95</v>
      </c>
      <c r="E249" s="191" t="s">
        <v>564</v>
      </c>
      <c r="F249" s="191" t="s">
        <v>793</v>
      </c>
      <c r="G249" s="198">
        <v>0</v>
      </c>
      <c r="H249" s="203">
        <v>46302</v>
      </c>
      <c r="I249" s="191" t="s">
        <v>588</v>
      </c>
    </row>
    <row r="250" spans="1:9" ht="20" customHeight="1" x14ac:dyDescent="0.35">
      <c r="A250" s="191" t="s">
        <v>1036</v>
      </c>
      <c r="B250" s="191" t="s">
        <v>749</v>
      </c>
      <c r="C250" s="192">
        <v>45996</v>
      </c>
      <c r="D250" s="199">
        <v>47.93</v>
      </c>
      <c r="E250" s="191" t="s">
        <v>564</v>
      </c>
      <c r="F250" s="191" t="s">
        <v>793</v>
      </c>
      <c r="G250" s="198">
        <v>0</v>
      </c>
      <c r="H250" s="203">
        <v>46302</v>
      </c>
      <c r="I250" s="191" t="s">
        <v>588</v>
      </c>
    </row>
    <row r="251" spans="1:9" ht="20" customHeight="1" x14ac:dyDescent="0.35">
      <c r="A251" s="191" t="s">
        <v>1037</v>
      </c>
      <c r="B251" s="191" t="s">
        <v>749</v>
      </c>
      <c r="C251" s="192">
        <v>45999</v>
      </c>
      <c r="D251" s="199">
        <v>47.88</v>
      </c>
      <c r="E251" s="191" t="s">
        <v>564</v>
      </c>
      <c r="F251" s="191" t="s">
        <v>793</v>
      </c>
      <c r="G251" s="198">
        <v>0</v>
      </c>
      <c r="H251" s="203">
        <v>46302</v>
      </c>
      <c r="I251" s="191" t="s">
        <v>588</v>
      </c>
    </row>
    <row r="252" spans="1:9" ht="20" customHeight="1" x14ac:dyDescent="0.35">
      <c r="A252" s="191" t="s">
        <v>1038</v>
      </c>
      <c r="B252" s="191" t="s">
        <v>749</v>
      </c>
      <c r="C252" s="192">
        <v>46000</v>
      </c>
      <c r="D252" s="199">
        <v>47.87</v>
      </c>
      <c r="E252" s="191" t="s">
        <v>564</v>
      </c>
      <c r="F252" s="191" t="s">
        <v>793</v>
      </c>
      <c r="G252" s="198">
        <v>0</v>
      </c>
      <c r="H252" s="203">
        <v>46302</v>
      </c>
      <c r="I252" s="191" t="s">
        <v>588</v>
      </c>
    </row>
    <row r="253" spans="1:9" ht="20" customHeight="1" x14ac:dyDescent="0.35">
      <c r="A253" s="191" t="s">
        <v>1039</v>
      </c>
      <c r="B253" s="191" t="s">
        <v>749</v>
      </c>
      <c r="C253" s="192">
        <v>46001</v>
      </c>
      <c r="D253" s="199">
        <v>47.85</v>
      </c>
      <c r="E253" s="191" t="s">
        <v>564</v>
      </c>
      <c r="F253" s="191" t="s">
        <v>793</v>
      </c>
      <c r="G253" s="198">
        <v>0</v>
      </c>
      <c r="H253" s="203">
        <v>46302</v>
      </c>
      <c r="I253" s="191" t="s">
        <v>588</v>
      </c>
    </row>
    <row r="254" spans="1:9" ht="20" customHeight="1" x14ac:dyDescent="0.35">
      <c r="A254" s="191" t="s">
        <v>1040</v>
      </c>
      <c r="B254" s="191" t="s">
        <v>749</v>
      </c>
      <c r="C254" s="192">
        <v>46002</v>
      </c>
      <c r="D254" s="199">
        <v>47.83</v>
      </c>
      <c r="E254" s="191" t="s">
        <v>564</v>
      </c>
      <c r="F254" s="191" t="s">
        <v>793</v>
      </c>
      <c r="G254" s="198">
        <v>0</v>
      </c>
      <c r="H254" s="203">
        <v>46302</v>
      </c>
      <c r="I254" s="191" t="s">
        <v>588</v>
      </c>
    </row>
    <row r="255" spans="1:9" ht="20" customHeight="1" x14ac:dyDescent="0.35">
      <c r="A255" s="191" t="s">
        <v>1041</v>
      </c>
      <c r="B255" s="191" t="s">
        <v>749</v>
      </c>
      <c r="C255" s="192">
        <v>46003</v>
      </c>
      <c r="D255" s="199">
        <v>47.82</v>
      </c>
      <c r="E255" s="191" t="s">
        <v>564</v>
      </c>
      <c r="F255" s="191" t="s">
        <v>793</v>
      </c>
      <c r="G255" s="198">
        <v>0</v>
      </c>
      <c r="H255" s="203">
        <v>46302</v>
      </c>
      <c r="I255" s="191" t="s">
        <v>588</v>
      </c>
    </row>
    <row r="256" spans="1:9" ht="20" customHeight="1" x14ac:dyDescent="0.35">
      <c r="A256" s="191" t="s">
        <v>1042</v>
      </c>
      <c r="B256" s="191" t="s">
        <v>749</v>
      </c>
      <c r="C256" s="192">
        <v>46006</v>
      </c>
      <c r="D256" s="199">
        <v>47.77</v>
      </c>
      <c r="E256" s="191" t="s">
        <v>564</v>
      </c>
      <c r="F256" s="191" t="s">
        <v>793</v>
      </c>
      <c r="G256" s="198">
        <v>0</v>
      </c>
      <c r="H256" s="203">
        <v>46302</v>
      </c>
      <c r="I256" s="191" t="s">
        <v>588</v>
      </c>
    </row>
    <row r="257" spans="1:9" ht="20" customHeight="1" x14ac:dyDescent="0.35">
      <c r="A257" s="191" t="s">
        <v>1043</v>
      </c>
      <c r="B257" s="191" t="s">
        <v>749</v>
      </c>
      <c r="C257" s="192">
        <v>46007</v>
      </c>
      <c r="D257" s="199">
        <v>47.75</v>
      </c>
      <c r="E257" s="191" t="s">
        <v>564</v>
      </c>
      <c r="F257" s="191" t="s">
        <v>793</v>
      </c>
      <c r="G257" s="198">
        <v>0</v>
      </c>
      <c r="H257" s="203">
        <v>46302</v>
      </c>
      <c r="I257" s="191" t="s">
        <v>588</v>
      </c>
    </row>
    <row r="258" spans="1:9" ht="20" customHeight="1" x14ac:dyDescent="0.35">
      <c r="A258" s="191" t="s">
        <v>1044</v>
      </c>
      <c r="B258" s="191" t="s">
        <v>749</v>
      </c>
      <c r="C258" s="192">
        <v>46008</v>
      </c>
      <c r="D258" s="199">
        <v>47.73</v>
      </c>
      <c r="E258" s="191" t="s">
        <v>564</v>
      </c>
      <c r="F258" s="191" t="s">
        <v>793</v>
      </c>
      <c r="G258" s="198">
        <v>0</v>
      </c>
      <c r="H258" s="203">
        <v>46302</v>
      </c>
      <c r="I258" s="191" t="s">
        <v>588</v>
      </c>
    </row>
    <row r="259" spans="1:9" ht="20" customHeight="1" x14ac:dyDescent="0.35">
      <c r="A259" s="191" t="s">
        <v>1045</v>
      </c>
      <c r="B259" s="191" t="s">
        <v>749</v>
      </c>
      <c r="C259" s="192">
        <v>46009</v>
      </c>
      <c r="D259" s="199">
        <v>47.72</v>
      </c>
      <c r="E259" s="191" t="s">
        <v>564</v>
      </c>
      <c r="F259" s="191" t="s">
        <v>793</v>
      </c>
      <c r="G259" s="198">
        <v>0</v>
      </c>
      <c r="H259" s="203">
        <v>46302</v>
      </c>
      <c r="I259" s="191" t="s">
        <v>588</v>
      </c>
    </row>
    <row r="260" spans="1:9" ht="20" customHeight="1" x14ac:dyDescent="0.35">
      <c r="A260" s="191" t="s">
        <v>1046</v>
      </c>
      <c r="B260" s="191" t="s">
        <v>749</v>
      </c>
      <c r="C260" s="192">
        <v>46010</v>
      </c>
      <c r="D260" s="199">
        <v>47.7</v>
      </c>
      <c r="E260" s="191" t="s">
        <v>564</v>
      </c>
      <c r="F260" s="191" t="s">
        <v>793</v>
      </c>
      <c r="G260" s="198">
        <v>0</v>
      </c>
      <c r="H260" s="203">
        <v>46302</v>
      </c>
      <c r="I260" s="191" t="s">
        <v>588</v>
      </c>
    </row>
    <row r="261" spans="1:9" ht="20" customHeight="1" x14ac:dyDescent="0.35">
      <c r="A261" s="191" t="s">
        <v>1047</v>
      </c>
      <c r="B261" s="191" t="s">
        <v>749</v>
      </c>
      <c r="C261" s="192">
        <v>46013</v>
      </c>
      <c r="D261" s="199">
        <v>47.65</v>
      </c>
      <c r="E261" s="191" t="s">
        <v>564</v>
      </c>
      <c r="F261" s="191" t="s">
        <v>793</v>
      </c>
      <c r="G261" s="198">
        <v>0</v>
      </c>
      <c r="H261" s="203">
        <v>46302</v>
      </c>
      <c r="I261" s="191" t="s">
        <v>588</v>
      </c>
    </row>
    <row r="262" spans="1:9" ht="20" customHeight="1" x14ac:dyDescent="0.35">
      <c r="A262" s="191" t="s">
        <v>1048</v>
      </c>
      <c r="B262" s="191" t="s">
        <v>749</v>
      </c>
      <c r="C262" s="192">
        <v>46014</v>
      </c>
      <c r="D262" s="199">
        <v>47.63</v>
      </c>
      <c r="E262" s="191" t="s">
        <v>564</v>
      </c>
      <c r="F262" s="191" t="s">
        <v>793</v>
      </c>
      <c r="G262" s="198">
        <v>0</v>
      </c>
      <c r="H262" s="203">
        <v>46302</v>
      </c>
      <c r="I262" s="191" t="s">
        <v>588</v>
      </c>
    </row>
    <row r="263" spans="1:9" ht="20" customHeight="1" x14ac:dyDescent="0.35">
      <c r="A263" s="191" t="s">
        <v>1049</v>
      </c>
      <c r="B263" s="191" t="s">
        <v>749</v>
      </c>
      <c r="C263" s="192">
        <v>46015</v>
      </c>
      <c r="D263" s="199">
        <v>47.62</v>
      </c>
      <c r="E263" s="191" t="s">
        <v>564</v>
      </c>
      <c r="F263" s="191" t="s">
        <v>793</v>
      </c>
      <c r="G263" s="198">
        <v>0</v>
      </c>
      <c r="H263" s="203">
        <v>46302</v>
      </c>
      <c r="I263" s="191" t="s">
        <v>588</v>
      </c>
    </row>
    <row r="264" spans="1:9" ht="20" customHeight="1" x14ac:dyDescent="0.35">
      <c r="A264" s="191" t="s">
        <v>1050</v>
      </c>
      <c r="B264" s="191" t="s">
        <v>749</v>
      </c>
      <c r="C264" s="192">
        <v>46016</v>
      </c>
      <c r="D264" s="199">
        <v>47.6</v>
      </c>
      <c r="E264" s="191" t="s">
        <v>564</v>
      </c>
      <c r="F264" s="191" t="s">
        <v>793</v>
      </c>
      <c r="G264" s="198">
        <v>0</v>
      </c>
      <c r="H264" s="203">
        <v>46302</v>
      </c>
      <c r="I264" s="191" t="s">
        <v>588</v>
      </c>
    </row>
    <row r="265" spans="1:9" ht="20" customHeight="1" x14ac:dyDescent="0.35">
      <c r="A265" s="191" t="s">
        <v>1051</v>
      </c>
      <c r="B265" s="191" t="s">
        <v>749</v>
      </c>
      <c r="C265" s="192">
        <v>46017</v>
      </c>
      <c r="D265" s="199">
        <v>47.58</v>
      </c>
      <c r="E265" s="191" t="s">
        <v>564</v>
      </c>
      <c r="F265" s="191" t="s">
        <v>793</v>
      </c>
      <c r="G265" s="198">
        <v>0</v>
      </c>
      <c r="H265" s="203">
        <v>46302</v>
      </c>
      <c r="I265" s="191" t="s">
        <v>588</v>
      </c>
    </row>
    <row r="266" spans="1:9" ht="20" customHeight="1" x14ac:dyDescent="0.35">
      <c r="A266" s="191" t="s">
        <v>1052</v>
      </c>
      <c r="B266" s="191" t="s">
        <v>749</v>
      </c>
      <c r="C266" s="192">
        <v>46020</v>
      </c>
      <c r="D266" s="199">
        <v>47.53</v>
      </c>
      <c r="E266" s="191" t="s">
        <v>564</v>
      </c>
      <c r="F266" s="191" t="s">
        <v>793</v>
      </c>
      <c r="G266" s="198">
        <v>0</v>
      </c>
      <c r="H266" s="203">
        <v>46302</v>
      </c>
      <c r="I266" s="191" t="s">
        <v>588</v>
      </c>
    </row>
    <row r="267" spans="1:9" ht="20" customHeight="1" x14ac:dyDescent="0.35">
      <c r="A267" s="191" t="s">
        <v>1053</v>
      </c>
      <c r="B267" s="191" t="s">
        <v>749</v>
      </c>
      <c r="C267" s="192">
        <v>46021</v>
      </c>
      <c r="D267" s="199">
        <v>47.52</v>
      </c>
      <c r="E267" s="191" t="s">
        <v>564</v>
      </c>
      <c r="F267" s="191" t="s">
        <v>793</v>
      </c>
      <c r="G267" s="198">
        <v>0</v>
      </c>
      <c r="H267" s="203">
        <v>46302</v>
      </c>
      <c r="I267" s="191" t="s">
        <v>588</v>
      </c>
    </row>
    <row r="268" spans="1:9" ht="20" customHeight="1" x14ac:dyDescent="0.35">
      <c r="A268" s="191" t="s">
        <v>1054</v>
      </c>
      <c r="B268" s="191" t="s">
        <v>749</v>
      </c>
      <c r="C268" s="192">
        <v>46022</v>
      </c>
      <c r="D268" s="199">
        <v>47.5</v>
      </c>
      <c r="E268" s="191" t="s">
        <v>564</v>
      </c>
      <c r="F268" s="191" t="s">
        <v>793</v>
      </c>
      <c r="G268" s="198">
        <v>0</v>
      </c>
      <c r="H268" s="203">
        <v>46302</v>
      </c>
      <c r="I268" s="191" t="s">
        <v>588</v>
      </c>
    </row>
    <row r="269" spans="1:9" ht="20" customHeight="1" x14ac:dyDescent="0.35">
      <c r="A269" s="191" t="s">
        <v>1055</v>
      </c>
      <c r="B269" s="191" t="s">
        <v>752</v>
      </c>
      <c r="C269" s="192">
        <v>45657</v>
      </c>
      <c r="D269" s="199">
        <v>200</v>
      </c>
      <c r="E269" s="191" t="s">
        <v>564</v>
      </c>
      <c r="F269" s="191" t="s">
        <v>793</v>
      </c>
      <c r="G269" s="198">
        <v>0</v>
      </c>
      <c r="H269" s="203">
        <v>46302</v>
      </c>
      <c r="I269" s="191" t="s">
        <v>588</v>
      </c>
    </row>
    <row r="270" spans="1:9" ht="20" customHeight="1" x14ac:dyDescent="0.35">
      <c r="A270" s="191" t="s">
        <v>1056</v>
      </c>
      <c r="B270" s="191" t="s">
        <v>752</v>
      </c>
      <c r="C270" s="192">
        <v>45658</v>
      </c>
      <c r="D270" s="199">
        <v>200</v>
      </c>
      <c r="E270" s="191" t="s">
        <v>564</v>
      </c>
      <c r="F270" s="191" t="s">
        <v>793</v>
      </c>
      <c r="G270" s="198">
        <v>0</v>
      </c>
      <c r="H270" s="203">
        <v>46302</v>
      </c>
      <c r="I270" s="191" t="s">
        <v>588</v>
      </c>
    </row>
    <row r="271" spans="1:9" ht="20" customHeight="1" x14ac:dyDescent="0.35">
      <c r="A271" s="191" t="s">
        <v>1057</v>
      </c>
      <c r="B271" s="191" t="s">
        <v>752</v>
      </c>
      <c r="C271" s="192">
        <v>45659</v>
      </c>
      <c r="D271" s="199">
        <v>199.83</v>
      </c>
      <c r="E271" s="191" t="s">
        <v>564</v>
      </c>
      <c r="F271" s="191" t="s">
        <v>793</v>
      </c>
      <c r="G271" s="198">
        <v>0</v>
      </c>
      <c r="H271" s="203">
        <v>46302</v>
      </c>
      <c r="I271" s="191" t="s">
        <v>588</v>
      </c>
    </row>
    <row r="272" spans="1:9" ht="20" customHeight="1" x14ac:dyDescent="0.35">
      <c r="A272" s="191" t="s">
        <v>1058</v>
      </c>
      <c r="B272" s="191" t="s">
        <v>752</v>
      </c>
      <c r="C272" s="192">
        <v>45660</v>
      </c>
      <c r="D272" s="199">
        <v>199.67</v>
      </c>
      <c r="E272" s="191" t="s">
        <v>564</v>
      </c>
      <c r="F272" s="191" t="s">
        <v>793</v>
      </c>
      <c r="G272" s="198">
        <v>0</v>
      </c>
      <c r="H272" s="203">
        <v>46302</v>
      </c>
      <c r="I272" s="191" t="s">
        <v>588</v>
      </c>
    </row>
    <row r="273" spans="1:9" ht="20" customHeight="1" x14ac:dyDescent="0.35">
      <c r="A273" s="191" t="s">
        <v>1059</v>
      </c>
      <c r="B273" s="191" t="s">
        <v>752</v>
      </c>
      <c r="C273" s="192">
        <v>45663</v>
      </c>
      <c r="D273" s="199">
        <v>199.17</v>
      </c>
      <c r="E273" s="191" t="s">
        <v>564</v>
      </c>
      <c r="F273" s="191" t="s">
        <v>793</v>
      </c>
      <c r="G273" s="198">
        <v>0</v>
      </c>
      <c r="H273" s="203">
        <v>46302</v>
      </c>
      <c r="I273" s="191" t="s">
        <v>588</v>
      </c>
    </row>
    <row r="274" spans="1:9" ht="20" customHeight="1" x14ac:dyDescent="0.35">
      <c r="A274" s="191" t="s">
        <v>1060</v>
      </c>
      <c r="B274" s="191" t="s">
        <v>752</v>
      </c>
      <c r="C274" s="192">
        <v>45664</v>
      </c>
      <c r="D274" s="199">
        <v>199</v>
      </c>
      <c r="E274" s="191" t="s">
        <v>564</v>
      </c>
      <c r="F274" s="191" t="s">
        <v>793</v>
      </c>
      <c r="G274" s="198">
        <v>0</v>
      </c>
      <c r="H274" s="203">
        <v>46302</v>
      </c>
      <c r="I274" s="191" t="s">
        <v>588</v>
      </c>
    </row>
    <row r="275" spans="1:9" ht="20" customHeight="1" x14ac:dyDescent="0.35">
      <c r="A275" s="191" t="s">
        <v>1061</v>
      </c>
      <c r="B275" s="191" t="s">
        <v>752</v>
      </c>
      <c r="C275" s="192">
        <v>45665</v>
      </c>
      <c r="D275" s="199">
        <v>198.83</v>
      </c>
      <c r="E275" s="191" t="s">
        <v>564</v>
      </c>
      <c r="F275" s="191" t="s">
        <v>793</v>
      </c>
      <c r="G275" s="198">
        <v>0</v>
      </c>
      <c r="H275" s="203">
        <v>46302</v>
      </c>
      <c r="I275" s="191" t="s">
        <v>588</v>
      </c>
    </row>
    <row r="276" spans="1:9" ht="20" customHeight="1" x14ac:dyDescent="0.35">
      <c r="A276" s="191" t="s">
        <v>1062</v>
      </c>
      <c r="B276" s="191" t="s">
        <v>752</v>
      </c>
      <c r="C276" s="192">
        <v>45666</v>
      </c>
      <c r="D276" s="199">
        <v>198.67</v>
      </c>
      <c r="E276" s="191" t="s">
        <v>564</v>
      </c>
      <c r="F276" s="191" t="s">
        <v>793</v>
      </c>
      <c r="G276" s="198">
        <v>0</v>
      </c>
      <c r="H276" s="203">
        <v>46302</v>
      </c>
      <c r="I276" s="191" t="s">
        <v>588</v>
      </c>
    </row>
    <row r="277" spans="1:9" ht="20" customHeight="1" x14ac:dyDescent="0.35">
      <c r="A277" s="191" t="s">
        <v>1063</v>
      </c>
      <c r="B277" s="191" t="s">
        <v>752</v>
      </c>
      <c r="C277" s="192">
        <v>45667</v>
      </c>
      <c r="D277" s="199">
        <v>198.5</v>
      </c>
      <c r="E277" s="191" t="s">
        <v>564</v>
      </c>
      <c r="F277" s="191" t="s">
        <v>793</v>
      </c>
      <c r="G277" s="198">
        <v>0</v>
      </c>
      <c r="H277" s="203">
        <v>46302</v>
      </c>
      <c r="I277" s="191" t="s">
        <v>588</v>
      </c>
    </row>
    <row r="278" spans="1:9" ht="20" customHeight="1" x14ac:dyDescent="0.35">
      <c r="A278" s="191" t="s">
        <v>1064</v>
      </c>
      <c r="B278" s="191" t="s">
        <v>752</v>
      </c>
      <c r="C278" s="192">
        <v>45670</v>
      </c>
      <c r="D278" s="199">
        <v>198</v>
      </c>
      <c r="E278" s="191" t="s">
        <v>564</v>
      </c>
      <c r="F278" s="191" t="s">
        <v>793</v>
      </c>
      <c r="G278" s="198">
        <v>0</v>
      </c>
      <c r="H278" s="203">
        <v>46302</v>
      </c>
      <c r="I278" s="191" t="s">
        <v>588</v>
      </c>
    </row>
    <row r="279" spans="1:9" ht="20" customHeight="1" x14ac:dyDescent="0.35">
      <c r="A279" s="191" t="s">
        <v>1065</v>
      </c>
      <c r="B279" s="191" t="s">
        <v>752</v>
      </c>
      <c r="C279" s="192">
        <v>45671</v>
      </c>
      <c r="D279" s="199">
        <v>197.83</v>
      </c>
      <c r="E279" s="191" t="s">
        <v>564</v>
      </c>
      <c r="F279" s="191" t="s">
        <v>793</v>
      </c>
      <c r="G279" s="198">
        <v>0</v>
      </c>
      <c r="H279" s="203">
        <v>46302</v>
      </c>
      <c r="I279" s="191" t="s">
        <v>588</v>
      </c>
    </row>
    <row r="280" spans="1:9" ht="20" customHeight="1" x14ac:dyDescent="0.35">
      <c r="A280" s="191" t="s">
        <v>1066</v>
      </c>
      <c r="B280" s="191" t="s">
        <v>752</v>
      </c>
      <c r="C280" s="192">
        <v>45672</v>
      </c>
      <c r="D280" s="199">
        <v>197.67</v>
      </c>
      <c r="E280" s="191" t="s">
        <v>564</v>
      </c>
      <c r="F280" s="191" t="s">
        <v>793</v>
      </c>
      <c r="G280" s="198">
        <v>0</v>
      </c>
      <c r="H280" s="203">
        <v>46302</v>
      </c>
      <c r="I280" s="191" t="s">
        <v>588</v>
      </c>
    </row>
    <row r="281" spans="1:9" ht="20" customHeight="1" x14ac:dyDescent="0.35">
      <c r="A281" s="191" t="s">
        <v>1067</v>
      </c>
      <c r="B281" s="191" t="s">
        <v>752</v>
      </c>
      <c r="C281" s="192">
        <v>45673</v>
      </c>
      <c r="D281" s="199">
        <v>197.5</v>
      </c>
      <c r="E281" s="191" t="s">
        <v>564</v>
      </c>
      <c r="F281" s="191" t="s">
        <v>793</v>
      </c>
      <c r="G281" s="198">
        <v>0</v>
      </c>
      <c r="H281" s="203">
        <v>46302</v>
      </c>
      <c r="I281" s="191" t="s">
        <v>588</v>
      </c>
    </row>
    <row r="282" spans="1:9" ht="20" customHeight="1" x14ac:dyDescent="0.35">
      <c r="A282" s="191" t="s">
        <v>1068</v>
      </c>
      <c r="B282" s="191" t="s">
        <v>752</v>
      </c>
      <c r="C282" s="192">
        <v>45674</v>
      </c>
      <c r="D282" s="199">
        <v>197.33</v>
      </c>
      <c r="E282" s="191" t="s">
        <v>564</v>
      </c>
      <c r="F282" s="191" t="s">
        <v>793</v>
      </c>
      <c r="G282" s="198">
        <v>0</v>
      </c>
      <c r="H282" s="203">
        <v>46302</v>
      </c>
      <c r="I282" s="191" t="s">
        <v>588</v>
      </c>
    </row>
    <row r="283" spans="1:9" ht="20" customHeight="1" x14ac:dyDescent="0.35">
      <c r="A283" s="191" t="s">
        <v>1069</v>
      </c>
      <c r="B283" s="191" t="s">
        <v>752</v>
      </c>
      <c r="C283" s="192">
        <v>45677</v>
      </c>
      <c r="D283" s="199">
        <v>196.83</v>
      </c>
      <c r="E283" s="191" t="s">
        <v>564</v>
      </c>
      <c r="F283" s="191" t="s">
        <v>793</v>
      </c>
      <c r="G283" s="198">
        <v>0</v>
      </c>
      <c r="H283" s="203">
        <v>46302</v>
      </c>
      <c r="I283" s="191" t="s">
        <v>588</v>
      </c>
    </row>
    <row r="284" spans="1:9" ht="20" customHeight="1" x14ac:dyDescent="0.35">
      <c r="A284" s="191" t="s">
        <v>1070</v>
      </c>
      <c r="B284" s="191" t="s">
        <v>752</v>
      </c>
      <c r="C284" s="192">
        <v>45678</v>
      </c>
      <c r="D284" s="199">
        <v>196.67</v>
      </c>
      <c r="E284" s="191" t="s">
        <v>564</v>
      </c>
      <c r="F284" s="191" t="s">
        <v>793</v>
      </c>
      <c r="G284" s="198">
        <v>0</v>
      </c>
      <c r="H284" s="203">
        <v>46302</v>
      </c>
      <c r="I284" s="191" t="s">
        <v>588</v>
      </c>
    </row>
    <row r="285" spans="1:9" ht="20" customHeight="1" x14ac:dyDescent="0.35">
      <c r="A285" s="191" t="s">
        <v>1071</v>
      </c>
      <c r="B285" s="191" t="s">
        <v>752</v>
      </c>
      <c r="C285" s="192">
        <v>45679</v>
      </c>
      <c r="D285" s="199">
        <v>196.5</v>
      </c>
      <c r="E285" s="191" t="s">
        <v>564</v>
      </c>
      <c r="F285" s="191" t="s">
        <v>793</v>
      </c>
      <c r="G285" s="198">
        <v>0</v>
      </c>
      <c r="H285" s="203">
        <v>46302</v>
      </c>
      <c r="I285" s="191" t="s">
        <v>588</v>
      </c>
    </row>
    <row r="286" spans="1:9" ht="20" customHeight="1" x14ac:dyDescent="0.35">
      <c r="A286" s="191" t="s">
        <v>1072</v>
      </c>
      <c r="B286" s="191" t="s">
        <v>752</v>
      </c>
      <c r="C286" s="192">
        <v>45680</v>
      </c>
      <c r="D286" s="199">
        <v>196.33</v>
      </c>
      <c r="E286" s="191" t="s">
        <v>564</v>
      </c>
      <c r="F286" s="191" t="s">
        <v>793</v>
      </c>
      <c r="G286" s="198">
        <v>0</v>
      </c>
      <c r="H286" s="203">
        <v>46302</v>
      </c>
      <c r="I286" s="191" t="s">
        <v>588</v>
      </c>
    </row>
    <row r="287" spans="1:9" ht="20" customHeight="1" x14ac:dyDescent="0.35">
      <c r="A287" s="191" t="s">
        <v>1073</v>
      </c>
      <c r="B287" s="191" t="s">
        <v>752</v>
      </c>
      <c r="C287" s="192">
        <v>45681</v>
      </c>
      <c r="D287" s="199">
        <v>196.17</v>
      </c>
      <c r="E287" s="191" t="s">
        <v>564</v>
      </c>
      <c r="F287" s="191" t="s">
        <v>793</v>
      </c>
      <c r="G287" s="198">
        <v>0</v>
      </c>
      <c r="H287" s="203">
        <v>46302</v>
      </c>
      <c r="I287" s="191" t="s">
        <v>588</v>
      </c>
    </row>
    <row r="288" spans="1:9" ht="20" customHeight="1" x14ac:dyDescent="0.35">
      <c r="A288" s="191" t="s">
        <v>1074</v>
      </c>
      <c r="B288" s="191" t="s">
        <v>752</v>
      </c>
      <c r="C288" s="192">
        <v>45684</v>
      </c>
      <c r="D288" s="199">
        <v>195.67</v>
      </c>
      <c r="E288" s="191" t="s">
        <v>564</v>
      </c>
      <c r="F288" s="191" t="s">
        <v>793</v>
      </c>
      <c r="G288" s="198">
        <v>0</v>
      </c>
      <c r="H288" s="203">
        <v>46302</v>
      </c>
      <c r="I288" s="191" t="s">
        <v>588</v>
      </c>
    </row>
    <row r="289" spans="1:9" ht="20" customHeight="1" x14ac:dyDescent="0.35">
      <c r="A289" s="191" t="s">
        <v>1075</v>
      </c>
      <c r="B289" s="191" t="s">
        <v>752</v>
      </c>
      <c r="C289" s="192">
        <v>45685</v>
      </c>
      <c r="D289" s="199">
        <v>195.5</v>
      </c>
      <c r="E289" s="191" t="s">
        <v>564</v>
      </c>
      <c r="F289" s="191" t="s">
        <v>793</v>
      </c>
      <c r="G289" s="198">
        <v>0</v>
      </c>
      <c r="H289" s="203">
        <v>46302</v>
      </c>
      <c r="I289" s="191" t="s">
        <v>588</v>
      </c>
    </row>
    <row r="290" spans="1:9" ht="20" customHeight="1" x14ac:dyDescent="0.35">
      <c r="A290" s="191" t="s">
        <v>1076</v>
      </c>
      <c r="B290" s="191" t="s">
        <v>752</v>
      </c>
      <c r="C290" s="192">
        <v>45686</v>
      </c>
      <c r="D290" s="199">
        <v>195.33</v>
      </c>
      <c r="E290" s="191" t="s">
        <v>564</v>
      </c>
      <c r="F290" s="191" t="s">
        <v>793</v>
      </c>
      <c r="G290" s="198">
        <v>0</v>
      </c>
      <c r="H290" s="203">
        <v>46302</v>
      </c>
      <c r="I290" s="191" t="s">
        <v>588</v>
      </c>
    </row>
    <row r="291" spans="1:9" ht="20" customHeight="1" x14ac:dyDescent="0.35">
      <c r="A291" s="191" t="s">
        <v>1077</v>
      </c>
      <c r="B291" s="191" t="s">
        <v>752</v>
      </c>
      <c r="C291" s="192">
        <v>45687</v>
      </c>
      <c r="D291" s="199">
        <v>195.17</v>
      </c>
      <c r="E291" s="191" t="s">
        <v>564</v>
      </c>
      <c r="F291" s="191" t="s">
        <v>793</v>
      </c>
      <c r="G291" s="198">
        <v>0</v>
      </c>
      <c r="H291" s="203">
        <v>46302</v>
      </c>
      <c r="I291" s="191" t="s">
        <v>588</v>
      </c>
    </row>
    <row r="292" spans="1:9" ht="20" customHeight="1" x14ac:dyDescent="0.35">
      <c r="A292" s="191" t="s">
        <v>1078</v>
      </c>
      <c r="B292" s="191" t="s">
        <v>752</v>
      </c>
      <c r="C292" s="192">
        <v>45688</v>
      </c>
      <c r="D292" s="199">
        <v>195</v>
      </c>
      <c r="E292" s="191" t="s">
        <v>564</v>
      </c>
      <c r="F292" s="191" t="s">
        <v>793</v>
      </c>
      <c r="G292" s="198">
        <v>0</v>
      </c>
      <c r="H292" s="203">
        <v>46302</v>
      </c>
      <c r="I292" s="191" t="s">
        <v>588</v>
      </c>
    </row>
    <row r="293" spans="1:9" ht="20" customHeight="1" x14ac:dyDescent="0.35">
      <c r="A293" s="191" t="s">
        <v>1079</v>
      </c>
      <c r="B293" s="191" t="s">
        <v>752</v>
      </c>
      <c r="C293" s="192">
        <v>45691</v>
      </c>
      <c r="D293" s="199">
        <v>195.44</v>
      </c>
      <c r="E293" s="191" t="s">
        <v>564</v>
      </c>
      <c r="F293" s="191" t="s">
        <v>793</v>
      </c>
      <c r="G293" s="198">
        <v>0</v>
      </c>
      <c r="H293" s="203">
        <v>46302</v>
      </c>
      <c r="I293" s="191" t="s">
        <v>588</v>
      </c>
    </row>
    <row r="294" spans="1:9" ht="20" customHeight="1" x14ac:dyDescent="0.35">
      <c r="A294" s="191" t="s">
        <v>1080</v>
      </c>
      <c r="B294" s="191" t="s">
        <v>752</v>
      </c>
      <c r="C294" s="192">
        <v>45692</v>
      </c>
      <c r="D294" s="199">
        <v>195.67</v>
      </c>
      <c r="E294" s="191" t="s">
        <v>564</v>
      </c>
      <c r="F294" s="191" t="s">
        <v>793</v>
      </c>
      <c r="G294" s="198">
        <v>0</v>
      </c>
      <c r="H294" s="203">
        <v>46302</v>
      </c>
      <c r="I294" s="191" t="s">
        <v>588</v>
      </c>
    </row>
    <row r="295" spans="1:9" ht="20" customHeight="1" x14ac:dyDescent="0.35">
      <c r="A295" s="191" t="s">
        <v>1081</v>
      </c>
      <c r="B295" s="191" t="s">
        <v>752</v>
      </c>
      <c r="C295" s="192">
        <v>45693</v>
      </c>
      <c r="D295" s="199">
        <v>195.89</v>
      </c>
      <c r="E295" s="191" t="s">
        <v>564</v>
      </c>
      <c r="F295" s="191" t="s">
        <v>793</v>
      </c>
      <c r="G295" s="198">
        <v>0</v>
      </c>
      <c r="H295" s="203">
        <v>46302</v>
      </c>
      <c r="I295" s="191" t="s">
        <v>588</v>
      </c>
    </row>
    <row r="296" spans="1:9" ht="20" customHeight="1" x14ac:dyDescent="0.35">
      <c r="A296" s="191" t="s">
        <v>1082</v>
      </c>
      <c r="B296" s="191" t="s">
        <v>752</v>
      </c>
      <c r="C296" s="192">
        <v>45694</v>
      </c>
      <c r="D296" s="199">
        <v>196.11</v>
      </c>
      <c r="E296" s="191" t="s">
        <v>564</v>
      </c>
      <c r="F296" s="191" t="s">
        <v>793</v>
      </c>
      <c r="G296" s="198">
        <v>0</v>
      </c>
      <c r="H296" s="203">
        <v>46302</v>
      </c>
      <c r="I296" s="191" t="s">
        <v>588</v>
      </c>
    </row>
    <row r="297" spans="1:9" ht="20" customHeight="1" x14ac:dyDescent="0.35">
      <c r="A297" s="191" t="s">
        <v>1083</v>
      </c>
      <c r="B297" s="191" t="s">
        <v>752</v>
      </c>
      <c r="C297" s="192">
        <v>45695</v>
      </c>
      <c r="D297" s="199">
        <v>196.33</v>
      </c>
      <c r="E297" s="191" t="s">
        <v>564</v>
      </c>
      <c r="F297" s="191" t="s">
        <v>793</v>
      </c>
      <c r="G297" s="198">
        <v>0</v>
      </c>
      <c r="H297" s="203">
        <v>46302</v>
      </c>
      <c r="I297" s="191" t="s">
        <v>588</v>
      </c>
    </row>
    <row r="298" spans="1:9" ht="20" customHeight="1" x14ac:dyDescent="0.35">
      <c r="A298" s="191" t="s">
        <v>1084</v>
      </c>
      <c r="B298" s="191" t="s">
        <v>752</v>
      </c>
      <c r="C298" s="192">
        <v>45698</v>
      </c>
      <c r="D298" s="199">
        <v>197</v>
      </c>
      <c r="E298" s="191" t="s">
        <v>564</v>
      </c>
      <c r="F298" s="191" t="s">
        <v>793</v>
      </c>
      <c r="G298" s="198">
        <v>0</v>
      </c>
      <c r="H298" s="203">
        <v>46302</v>
      </c>
      <c r="I298" s="191" t="s">
        <v>588</v>
      </c>
    </row>
    <row r="299" spans="1:9" ht="20" customHeight="1" x14ac:dyDescent="0.35">
      <c r="A299" s="191" t="s">
        <v>1085</v>
      </c>
      <c r="B299" s="191" t="s">
        <v>752</v>
      </c>
      <c r="C299" s="192">
        <v>45699</v>
      </c>
      <c r="D299" s="199">
        <v>197.22</v>
      </c>
      <c r="E299" s="191" t="s">
        <v>564</v>
      </c>
      <c r="F299" s="191" t="s">
        <v>793</v>
      </c>
      <c r="G299" s="198">
        <v>0</v>
      </c>
      <c r="H299" s="203">
        <v>46302</v>
      </c>
      <c r="I299" s="191" t="s">
        <v>588</v>
      </c>
    </row>
    <row r="300" spans="1:9" ht="20" customHeight="1" x14ac:dyDescent="0.35">
      <c r="A300" s="191" t="s">
        <v>1086</v>
      </c>
      <c r="B300" s="191" t="s">
        <v>752</v>
      </c>
      <c r="C300" s="192">
        <v>45700</v>
      </c>
      <c r="D300" s="199">
        <v>197.44</v>
      </c>
      <c r="E300" s="191" t="s">
        <v>564</v>
      </c>
      <c r="F300" s="191" t="s">
        <v>793</v>
      </c>
      <c r="G300" s="198">
        <v>0</v>
      </c>
      <c r="H300" s="203">
        <v>46302</v>
      </c>
      <c r="I300" s="191" t="s">
        <v>588</v>
      </c>
    </row>
    <row r="301" spans="1:9" ht="20" customHeight="1" x14ac:dyDescent="0.35">
      <c r="A301" s="191" t="s">
        <v>1087</v>
      </c>
      <c r="B301" s="191" t="s">
        <v>752</v>
      </c>
      <c r="C301" s="192">
        <v>45701</v>
      </c>
      <c r="D301" s="199">
        <v>197.67</v>
      </c>
      <c r="E301" s="191" t="s">
        <v>564</v>
      </c>
      <c r="F301" s="191" t="s">
        <v>793</v>
      </c>
      <c r="G301" s="198">
        <v>0</v>
      </c>
      <c r="H301" s="203">
        <v>46302</v>
      </c>
      <c r="I301" s="191" t="s">
        <v>588</v>
      </c>
    </row>
    <row r="302" spans="1:9" ht="20" customHeight="1" x14ac:dyDescent="0.35">
      <c r="A302" s="191" t="s">
        <v>1088</v>
      </c>
      <c r="B302" s="191" t="s">
        <v>752</v>
      </c>
      <c r="C302" s="192">
        <v>45702</v>
      </c>
      <c r="D302" s="199">
        <v>197.89</v>
      </c>
      <c r="E302" s="191" t="s">
        <v>564</v>
      </c>
      <c r="F302" s="191" t="s">
        <v>793</v>
      </c>
      <c r="G302" s="198">
        <v>0</v>
      </c>
      <c r="H302" s="203">
        <v>46302</v>
      </c>
      <c r="I302" s="191" t="s">
        <v>588</v>
      </c>
    </row>
    <row r="303" spans="1:9" ht="20" customHeight="1" x14ac:dyDescent="0.35">
      <c r="A303" s="191" t="s">
        <v>1089</v>
      </c>
      <c r="B303" s="191" t="s">
        <v>752</v>
      </c>
      <c r="C303" s="192">
        <v>45705</v>
      </c>
      <c r="D303" s="199">
        <v>198.56</v>
      </c>
      <c r="E303" s="191" t="s">
        <v>564</v>
      </c>
      <c r="F303" s="191" t="s">
        <v>793</v>
      </c>
      <c r="G303" s="198">
        <v>0</v>
      </c>
      <c r="H303" s="203">
        <v>46302</v>
      </c>
      <c r="I303" s="191" t="s">
        <v>588</v>
      </c>
    </row>
    <row r="304" spans="1:9" ht="20" customHeight="1" x14ac:dyDescent="0.35">
      <c r="A304" s="191" t="s">
        <v>1090</v>
      </c>
      <c r="B304" s="191" t="s">
        <v>752</v>
      </c>
      <c r="C304" s="192">
        <v>45706</v>
      </c>
      <c r="D304" s="199">
        <v>198.78</v>
      </c>
      <c r="E304" s="191" t="s">
        <v>564</v>
      </c>
      <c r="F304" s="191" t="s">
        <v>793</v>
      </c>
      <c r="G304" s="198">
        <v>0</v>
      </c>
      <c r="H304" s="203">
        <v>46302</v>
      </c>
      <c r="I304" s="191" t="s">
        <v>588</v>
      </c>
    </row>
    <row r="305" spans="1:9" ht="20" customHeight="1" x14ac:dyDescent="0.35">
      <c r="A305" s="191" t="s">
        <v>1091</v>
      </c>
      <c r="B305" s="191" t="s">
        <v>752</v>
      </c>
      <c r="C305" s="192">
        <v>45707</v>
      </c>
      <c r="D305" s="199">
        <v>199</v>
      </c>
      <c r="E305" s="191" t="s">
        <v>564</v>
      </c>
      <c r="F305" s="191" t="s">
        <v>793</v>
      </c>
      <c r="G305" s="198">
        <v>0</v>
      </c>
      <c r="H305" s="203">
        <v>46302</v>
      </c>
      <c r="I305" s="191" t="s">
        <v>588</v>
      </c>
    </row>
    <row r="306" spans="1:9" ht="20" customHeight="1" x14ac:dyDescent="0.35">
      <c r="A306" s="191" t="s">
        <v>1092</v>
      </c>
      <c r="B306" s="191" t="s">
        <v>752</v>
      </c>
      <c r="C306" s="192">
        <v>45708</v>
      </c>
      <c r="D306" s="199">
        <v>199.22</v>
      </c>
      <c r="E306" s="191" t="s">
        <v>564</v>
      </c>
      <c r="F306" s="191" t="s">
        <v>793</v>
      </c>
      <c r="G306" s="198">
        <v>0</v>
      </c>
      <c r="H306" s="203">
        <v>46302</v>
      </c>
      <c r="I306" s="191" t="s">
        <v>588</v>
      </c>
    </row>
    <row r="307" spans="1:9" ht="20" customHeight="1" x14ac:dyDescent="0.35">
      <c r="A307" s="191" t="s">
        <v>1093</v>
      </c>
      <c r="B307" s="191" t="s">
        <v>752</v>
      </c>
      <c r="C307" s="192">
        <v>45709</v>
      </c>
      <c r="D307" s="199">
        <v>199.44</v>
      </c>
      <c r="E307" s="191" t="s">
        <v>564</v>
      </c>
      <c r="F307" s="191" t="s">
        <v>793</v>
      </c>
      <c r="G307" s="198">
        <v>0</v>
      </c>
      <c r="H307" s="203">
        <v>46302</v>
      </c>
      <c r="I307" s="191" t="s">
        <v>588</v>
      </c>
    </row>
    <row r="308" spans="1:9" ht="20" customHeight="1" x14ac:dyDescent="0.35">
      <c r="A308" s="191" t="s">
        <v>1094</v>
      </c>
      <c r="B308" s="191" t="s">
        <v>752</v>
      </c>
      <c r="C308" s="192">
        <v>45712</v>
      </c>
      <c r="D308" s="199">
        <v>200.11</v>
      </c>
      <c r="E308" s="191" t="s">
        <v>564</v>
      </c>
      <c r="F308" s="191" t="s">
        <v>793</v>
      </c>
      <c r="G308" s="198">
        <v>0</v>
      </c>
      <c r="H308" s="203">
        <v>46302</v>
      </c>
      <c r="I308" s="191" t="s">
        <v>588</v>
      </c>
    </row>
    <row r="309" spans="1:9" ht="20" customHeight="1" x14ac:dyDescent="0.35">
      <c r="A309" s="191" t="s">
        <v>1095</v>
      </c>
      <c r="B309" s="191" t="s">
        <v>752</v>
      </c>
      <c r="C309" s="192">
        <v>45713</v>
      </c>
      <c r="D309" s="199">
        <v>200.33</v>
      </c>
      <c r="E309" s="191" t="s">
        <v>564</v>
      </c>
      <c r="F309" s="191" t="s">
        <v>793</v>
      </c>
      <c r="G309" s="198">
        <v>0</v>
      </c>
      <c r="H309" s="203">
        <v>46302</v>
      </c>
      <c r="I309" s="191" t="s">
        <v>588</v>
      </c>
    </row>
    <row r="310" spans="1:9" ht="20" customHeight="1" x14ac:dyDescent="0.35">
      <c r="A310" s="191" t="s">
        <v>1096</v>
      </c>
      <c r="B310" s="191" t="s">
        <v>752</v>
      </c>
      <c r="C310" s="192">
        <v>45714</v>
      </c>
      <c r="D310" s="199">
        <v>200.56</v>
      </c>
      <c r="E310" s="191" t="s">
        <v>564</v>
      </c>
      <c r="F310" s="191" t="s">
        <v>793</v>
      </c>
      <c r="G310" s="198">
        <v>0</v>
      </c>
      <c r="H310" s="203">
        <v>46302</v>
      </c>
      <c r="I310" s="191" t="s">
        <v>588</v>
      </c>
    </row>
    <row r="311" spans="1:9" ht="20" customHeight="1" x14ac:dyDescent="0.35">
      <c r="A311" s="191" t="s">
        <v>1097</v>
      </c>
      <c r="B311" s="191" t="s">
        <v>752</v>
      </c>
      <c r="C311" s="192">
        <v>45715</v>
      </c>
      <c r="D311" s="199">
        <v>200.78</v>
      </c>
      <c r="E311" s="191" t="s">
        <v>564</v>
      </c>
      <c r="F311" s="191" t="s">
        <v>793</v>
      </c>
      <c r="G311" s="198">
        <v>0</v>
      </c>
      <c r="H311" s="203">
        <v>46302</v>
      </c>
      <c r="I311" s="191" t="s">
        <v>588</v>
      </c>
    </row>
    <row r="312" spans="1:9" ht="20" customHeight="1" x14ac:dyDescent="0.35">
      <c r="A312" s="191" t="s">
        <v>1098</v>
      </c>
      <c r="B312" s="191" t="s">
        <v>752</v>
      </c>
      <c r="C312" s="192">
        <v>45716</v>
      </c>
      <c r="D312" s="199">
        <v>201</v>
      </c>
      <c r="E312" s="191" t="s">
        <v>564</v>
      </c>
      <c r="F312" s="191" t="s">
        <v>793</v>
      </c>
      <c r="G312" s="198">
        <v>0</v>
      </c>
      <c r="H312" s="203">
        <v>46302</v>
      </c>
      <c r="I312" s="191" t="s">
        <v>588</v>
      </c>
    </row>
    <row r="313" spans="1:9" ht="20" customHeight="1" x14ac:dyDescent="0.35">
      <c r="A313" s="191" t="s">
        <v>1099</v>
      </c>
      <c r="B313" s="191" t="s">
        <v>752</v>
      </c>
      <c r="C313" s="192">
        <v>45719</v>
      </c>
      <c r="D313" s="199">
        <v>200.8</v>
      </c>
      <c r="E313" s="191" t="s">
        <v>564</v>
      </c>
      <c r="F313" s="191" t="s">
        <v>793</v>
      </c>
      <c r="G313" s="198">
        <v>0</v>
      </c>
      <c r="H313" s="203">
        <v>46302</v>
      </c>
      <c r="I313" s="191" t="s">
        <v>588</v>
      </c>
    </row>
    <row r="314" spans="1:9" ht="20" customHeight="1" x14ac:dyDescent="0.35">
      <c r="A314" s="191" t="s">
        <v>1100</v>
      </c>
      <c r="B314" s="191" t="s">
        <v>752</v>
      </c>
      <c r="C314" s="192">
        <v>45720</v>
      </c>
      <c r="D314" s="199">
        <v>200.7</v>
      </c>
      <c r="E314" s="191" t="s">
        <v>564</v>
      </c>
      <c r="F314" s="191" t="s">
        <v>793</v>
      </c>
      <c r="G314" s="198">
        <v>0</v>
      </c>
      <c r="H314" s="203">
        <v>46302</v>
      </c>
      <c r="I314" s="191" t="s">
        <v>588</v>
      </c>
    </row>
    <row r="315" spans="1:9" ht="20" customHeight="1" x14ac:dyDescent="0.35">
      <c r="A315" s="191" t="s">
        <v>1101</v>
      </c>
      <c r="B315" s="191" t="s">
        <v>752</v>
      </c>
      <c r="C315" s="192">
        <v>45721</v>
      </c>
      <c r="D315" s="199">
        <v>200.6</v>
      </c>
      <c r="E315" s="191" t="s">
        <v>564</v>
      </c>
      <c r="F315" s="191" t="s">
        <v>793</v>
      </c>
      <c r="G315" s="198">
        <v>0</v>
      </c>
      <c r="H315" s="203">
        <v>46302</v>
      </c>
      <c r="I315" s="191" t="s">
        <v>588</v>
      </c>
    </row>
    <row r="316" spans="1:9" ht="20" customHeight="1" x14ac:dyDescent="0.35">
      <c r="A316" s="191" t="s">
        <v>1102</v>
      </c>
      <c r="B316" s="191" t="s">
        <v>752</v>
      </c>
      <c r="C316" s="192">
        <v>45722</v>
      </c>
      <c r="D316" s="199">
        <v>200.5</v>
      </c>
      <c r="E316" s="191" t="s">
        <v>564</v>
      </c>
      <c r="F316" s="191" t="s">
        <v>793</v>
      </c>
      <c r="G316" s="198">
        <v>0</v>
      </c>
      <c r="H316" s="203">
        <v>46302</v>
      </c>
      <c r="I316" s="191" t="s">
        <v>588</v>
      </c>
    </row>
    <row r="317" spans="1:9" ht="20" customHeight="1" x14ac:dyDescent="0.35">
      <c r="A317" s="191" t="s">
        <v>1103</v>
      </c>
      <c r="B317" s="191" t="s">
        <v>752</v>
      </c>
      <c r="C317" s="192">
        <v>45723</v>
      </c>
      <c r="D317" s="199">
        <v>200.4</v>
      </c>
      <c r="E317" s="191" t="s">
        <v>564</v>
      </c>
      <c r="F317" s="191" t="s">
        <v>793</v>
      </c>
      <c r="G317" s="198">
        <v>0</v>
      </c>
      <c r="H317" s="203">
        <v>46302</v>
      </c>
      <c r="I317" s="191" t="s">
        <v>588</v>
      </c>
    </row>
    <row r="318" spans="1:9" ht="20" customHeight="1" x14ac:dyDescent="0.35">
      <c r="A318" s="191" t="s">
        <v>1104</v>
      </c>
      <c r="B318" s="191" t="s">
        <v>752</v>
      </c>
      <c r="C318" s="192">
        <v>45726</v>
      </c>
      <c r="D318" s="199">
        <v>200.1</v>
      </c>
      <c r="E318" s="191" t="s">
        <v>564</v>
      </c>
      <c r="F318" s="191" t="s">
        <v>793</v>
      </c>
      <c r="G318" s="198">
        <v>0</v>
      </c>
      <c r="H318" s="203">
        <v>46302</v>
      </c>
      <c r="I318" s="191" t="s">
        <v>588</v>
      </c>
    </row>
    <row r="319" spans="1:9" ht="20" customHeight="1" x14ac:dyDescent="0.35">
      <c r="A319" s="191" t="s">
        <v>1105</v>
      </c>
      <c r="B319" s="191" t="s">
        <v>752</v>
      </c>
      <c r="C319" s="192">
        <v>45727</v>
      </c>
      <c r="D319" s="199">
        <v>200</v>
      </c>
      <c r="E319" s="191" t="s">
        <v>564</v>
      </c>
      <c r="F319" s="191" t="s">
        <v>793</v>
      </c>
      <c r="G319" s="198">
        <v>0</v>
      </c>
      <c r="H319" s="203">
        <v>46302</v>
      </c>
      <c r="I319" s="191" t="s">
        <v>588</v>
      </c>
    </row>
    <row r="320" spans="1:9" ht="20" customHeight="1" x14ac:dyDescent="0.35">
      <c r="A320" s="191" t="s">
        <v>1106</v>
      </c>
      <c r="B320" s="191" t="s">
        <v>752</v>
      </c>
      <c r="C320" s="192">
        <v>45728</v>
      </c>
      <c r="D320" s="199">
        <v>199.9</v>
      </c>
      <c r="E320" s="191" t="s">
        <v>564</v>
      </c>
      <c r="F320" s="191" t="s">
        <v>793</v>
      </c>
      <c r="G320" s="198">
        <v>0</v>
      </c>
      <c r="H320" s="203">
        <v>46302</v>
      </c>
      <c r="I320" s="191" t="s">
        <v>588</v>
      </c>
    </row>
    <row r="321" spans="1:9" ht="20" customHeight="1" x14ac:dyDescent="0.35">
      <c r="A321" s="191" t="s">
        <v>1107</v>
      </c>
      <c r="B321" s="191" t="s">
        <v>752</v>
      </c>
      <c r="C321" s="192">
        <v>45729</v>
      </c>
      <c r="D321" s="199">
        <v>199.8</v>
      </c>
      <c r="E321" s="191" t="s">
        <v>564</v>
      </c>
      <c r="F321" s="191" t="s">
        <v>793</v>
      </c>
      <c r="G321" s="198">
        <v>0</v>
      </c>
      <c r="H321" s="203">
        <v>46302</v>
      </c>
      <c r="I321" s="191" t="s">
        <v>588</v>
      </c>
    </row>
    <row r="322" spans="1:9" ht="20" customHeight="1" x14ac:dyDescent="0.35">
      <c r="A322" s="191" t="s">
        <v>1108</v>
      </c>
      <c r="B322" s="191" t="s">
        <v>752</v>
      </c>
      <c r="C322" s="192">
        <v>45730</v>
      </c>
      <c r="D322" s="199">
        <v>199.7</v>
      </c>
      <c r="E322" s="191" t="s">
        <v>564</v>
      </c>
      <c r="F322" s="191" t="s">
        <v>793</v>
      </c>
      <c r="G322" s="198">
        <v>0</v>
      </c>
      <c r="H322" s="203">
        <v>46302</v>
      </c>
      <c r="I322" s="191" t="s">
        <v>588</v>
      </c>
    </row>
    <row r="323" spans="1:9" ht="20" customHeight="1" x14ac:dyDescent="0.35">
      <c r="A323" s="191" t="s">
        <v>1109</v>
      </c>
      <c r="B323" s="191" t="s">
        <v>752</v>
      </c>
      <c r="C323" s="192">
        <v>45733</v>
      </c>
      <c r="D323" s="199">
        <v>199.4</v>
      </c>
      <c r="E323" s="191" t="s">
        <v>564</v>
      </c>
      <c r="F323" s="191" t="s">
        <v>793</v>
      </c>
      <c r="G323" s="198">
        <v>0</v>
      </c>
      <c r="H323" s="203">
        <v>46302</v>
      </c>
      <c r="I323" s="191" t="s">
        <v>588</v>
      </c>
    </row>
    <row r="324" spans="1:9" ht="20" customHeight="1" x14ac:dyDescent="0.35">
      <c r="A324" s="191" t="s">
        <v>1110</v>
      </c>
      <c r="B324" s="191" t="s">
        <v>752</v>
      </c>
      <c r="C324" s="192">
        <v>45734</v>
      </c>
      <c r="D324" s="199">
        <v>199.3</v>
      </c>
      <c r="E324" s="191" t="s">
        <v>564</v>
      </c>
      <c r="F324" s="191" t="s">
        <v>793</v>
      </c>
      <c r="G324" s="198">
        <v>0</v>
      </c>
      <c r="H324" s="203">
        <v>46302</v>
      </c>
      <c r="I324" s="191" t="s">
        <v>588</v>
      </c>
    </row>
    <row r="325" spans="1:9" ht="20" customHeight="1" x14ac:dyDescent="0.35">
      <c r="A325" s="191" t="s">
        <v>1111</v>
      </c>
      <c r="B325" s="191" t="s">
        <v>752</v>
      </c>
      <c r="C325" s="192">
        <v>45735</v>
      </c>
      <c r="D325" s="199">
        <v>199.2</v>
      </c>
      <c r="E325" s="191" t="s">
        <v>564</v>
      </c>
      <c r="F325" s="191" t="s">
        <v>793</v>
      </c>
      <c r="G325" s="198">
        <v>0</v>
      </c>
      <c r="H325" s="203">
        <v>46302</v>
      </c>
      <c r="I325" s="191" t="s">
        <v>588</v>
      </c>
    </row>
    <row r="326" spans="1:9" ht="20" customHeight="1" x14ac:dyDescent="0.35">
      <c r="A326" s="191" t="s">
        <v>1112</v>
      </c>
      <c r="B326" s="191" t="s">
        <v>752</v>
      </c>
      <c r="C326" s="192">
        <v>45736</v>
      </c>
      <c r="D326" s="199">
        <v>199.1</v>
      </c>
      <c r="E326" s="191" t="s">
        <v>564</v>
      </c>
      <c r="F326" s="191" t="s">
        <v>793</v>
      </c>
      <c r="G326" s="198">
        <v>0</v>
      </c>
      <c r="H326" s="203">
        <v>46302</v>
      </c>
      <c r="I326" s="191" t="s">
        <v>588</v>
      </c>
    </row>
    <row r="327" spans="1:9" ht="20" customHeight="1" x14ac:dyDescent="0.35">
      <c r="A327" s="191" t="s">
        <v>1113</v>
      </c>
      <c r="B327" s="191" t="s">
        <v>752</v>
      </c>
      <c r="C327" s="192">
        <v>45737</v>
      </c>
      <c r="D327" s="199">
        <v>199</v>
      </c>
      <c r="E327" s="191" t="s">
        <v>564</v>
      </c>
      <c r="F327" s="191" t="s">
        <v>793</v>
      </c>
      <c r="G327" s="198">
        <v>0</v>
      </c>
      <c r="H327" s="203">
        <v>46302</v>
      </c>
      <c r="I327" s="191" t="s">
        <v>588</v>
      </c>
    </row>
    <row r="328" spans="1:9" ht="20" customHeight="1" x14ac:dyDescent="0.35">
      <c r="A328" s="191" t="s">
        <v>1114</v>
      </c>
      <c r="B328" s="191" t="s">
        <v>752</v>
      </c>
      <c r="C328" s="192">
        <v>45740</v>
      </c>
      <c r="D328" s="199">
        <v>198.7</v>
      </c>
      <c r="E328" s="191" t="s">
        <v>564</v>
      </c>
      <c r="F328" s="191" t="s">
        <v>793</v>
      </c>
      <c r="G328" s="198">
        <v>0</v>
      </c>
      <c r="H328" s="203">
        <v>46302</v>
      </c>
      <c r="I328" s="191" t="s">
        <v>588</v>
      </c>
    </row>
    <row r="329" spans="1:9" ht="20" customHeight="1" x14ac:dyDescent="0.35">
      <c r="A329" s="191" t="s">
        <v>1115</v>
      </c>
      <c r="B329" s="191" t="s">
        <v>752</v>
      </c>
      <c r="C329" s="192">
        <v>45741</v>
      </c>
      <c r="D329" s="199">
        <v>198.6</v>
      </c>
      <c r="E329" s="191" t="s">
        <v>564</v>
      </c>
      <c r="F329" s="191" t="s">
        <v>793</v>
      </c>
      <c r="G329" s="198">
        <v>0</v>
      </c>
      <c r="H329" s="203">
        <v>46302</v>
      </c>
      <c r="I329" s="191" t="s">
        <v>588</v>
      </c>
    </row>
    <row r="330" spans="1:9" ht="20" customHeight="1" x14ac:dyDescent="0.35">
      <c r="A330" s="191" t="s">
        <v>1116</v>
      </c>
      <c r="B330" s="191" t="s">
        <v>752</v>
      </c>
      <c r="C330" s="192">
        <v>45742</v>
      </c>
      <c r="D330" s="199">
        <v>198.5</v>
      </c>
      <c r="E330" s="191" t="s">
        <v>564</v>
      </c>
      <c r="F330" s="191" t="s">
        <v>793</v>
      </c>
      <c r="G330" s="198">
        <v>0</v>
      </c>
      <c r="H330" s="203">
        <v>46302</v>
      </c>
      <c r="I330" s="191" t="s">
        <v>588</v>
      </c>
    </row>
    <row r="331" spans="1:9" ht="20" customHeight="1" x14ac:dyDescent="0.35">
      <c r="A331" s="191" t="s">
        <v>1117</v>
      </c>
      <c r="B331" s="191" t="s">
        <v>752</v>
      </c>
      <c r="C331" s="192">
        <v>45743</v>
      </c>
      <c r="D331" s="199">
        <v>198.4</v>
      </c>
      <c r="E331" s="191" t="s">
        <v>564</v>
      </c>
      <c r="F331" s="191" t="s">
        <v>793</v>
      </c>
      <c r="G331" s="198">
        <v>0</v>
      </c>
      <c r="H331" s="203">
        <v>46302</v>
      </c>
      <c r="I331" s="191" t="s">
        <v>588</v>
      </c>
    </row>
    <row r="332" spans="1:9" ht="20" customHeight="1" x14ac:dyDescent="0.35">
      <c r="A332" s="191" t="s">
        <v>1118</v>
      </c>
      <c r="B332" s="191" t="s">
        <v>752</v>
      </c>
      <c r="C332" s="192">
        <v>45744</v>
      </c>
      <c r="D332" s="199">
        <v>198.3</v>
      </c>
      <c r="E332" s="191" t="s">
        <v>564</v>
      </c>
      <c r="F332" s="191" t="s">
        <v>793</v>
      </c>
      <c r="G332" s="198">
        <v>0</v>
      </c>
      <c r="H332" s="203">
        <v>46302</v>
      </c>
      <c r="I332" s="191" t="s">
        <v>588</v>
      </c>
    </row>
    <row r="333" spans="1:9" ht="20" customHeight="1" x14ac:dyDescent="0.35">
      <c r="A333" s="191" t="s">
        <v>1119</v>
      </c>
      <c r="B333" s="191" t="s">
        <v>752</v>
      </c>
      <c r="C333" s="192">
        <v>45747</v>
      </c>
      <c r="D333" s="199">
        <v>198</v>
      </c>
      <c r="E333" s="191" t="s">
        <v>564</v>
      </c>
      <c r="F333" s="191" t="s">
        <v>793</v>
      </c>
      <c r="G333" s="198">
        <v>0</v>
      </c>
      <c r="H333" s="203">
        <v>46302</v>
      </c>
      <c r="I333" s="191" t="s">
        <v>588</v>
      </c>
    </row>
    <row r="334" spans="1:9" ht="20" customHeight="1" x14ac:dyDescent="0.35">
      <c r="A334" s="191" t="s">
        <v>1120</v>
      </c>
      <c r="B334" s="191" t="s">
        <v>752</v>
      </c>
      <c r="C334" s="192">
        <v>45748</v>
      </c>
      <c r="D334" s="199">
        <v>198</v>
      </c>
      <c r="E334" s="191" t="s">
        <v>564</v>
      </c>
      <c r="F334" s="191" t="s">
        <v>793</v>
      </c>
      <c r="G334" s="198">
        <v>0</v>
      </c>
      <c r="H334" s="203">
        <v>46302</v>
      </c>
      <c r="I334" s="191" t="s">
        <v>588</v>
      </c>
    </row>
    <row r="335" spans="1:9" ht="20" customHeight="1" x14ac:dyDescent="0.35">
      <c r="A335" s="191" t="s">
        <v>1121</v>
      </c>
      <c r="B335" s="191" t="s">
        <v>752</v>
      </c>
      <c r="C335" s="192">
        <v>45749</v>
      </c>
      <c r="D335" s="199">
        <v>197.62</v>
      </c>
      <c r="E335" s="191" t="s">
        <v>564</v>
      </c>
      <c r="F335" s="191" t="s">
        <v>793</v>
      </c>
      <c r="G335" s="198">
        <v>0</v>
      </c>
      <c r="H335" s="203">
        <v>46302</v>
      </c>
      <c r="I335" s="191" t="s">
        <v>588</v>
      </c>
    </row>
    <row r="336" spans="1:9" ht="20" customHeight="1" x14ac:dyDescent="0.35">
      <c r="A336" s="191" t="s">
        <v>1122</v>
      </c>
      <c r="B336" s="191" t="s">
        <v>752</v>
      </c>
      <c r="C336" s="192">
        <v>45750</v>
      </c>
      <c r="D336" s="199">
        <v>197.24</v>
      </c>
      <c r="E336" s="191" t="s">
        <v>564</v>
      </c>
      <c r="F336" s="191" t="s">
        <v>793</v>
      </c>
      <c r="G336" s="198">
        <v>0</v>
      </c>
      <c r="H336" s="203">
        <v>46302</v>
      </c>
      <c r="I336" s="191" t="s">
        <v>588</v>
      </c>
    </row>
    <row r="337" spans="1:9" ht="20" customHeight="1" x14ac:dyDescent="0.35">
      <c r="A337" s="191" t="s">
        <v>1123</v>
      </c>
      <c r="B337" s="191" t="s">
        <v>752</v>
      </c>
      <c r="C337" s="192">
        <v>45751</v>
      </c>
      <c r="D337" s="199">
        <v>196.86</v>
      </c>
      <c r="E337" s="191" t="s">
        <v>564</v>
      </c>
      <c r="F337" s="191" t="s">
        <v>793</v>
      </c>
      <c r="G337" s="198">
        <v>0</v>
      </c>
      <c r="H337" s="203">
        <v>46302</v>
      </c>
      <c r="I337" s="191" t="s">
        <v>588</v>
      </c>
    </row>
    <row r="338" spans="1:9" ht="20" customHeight="1" x14ac:dyDescent="0.35">
      <c r="A338" s="191" t="s">
        <v>1124</v>
      </c>
      <c r="B338" s="191" t="s">
        <v>752</v>
      </c>
      <c r="C338" s="192">
        <v>45754</v>
      </c>
      <c r="D338" s="199">
        <v>195.72</v>
      </c>
      <c r="E338" s="191" t="s">
        <v>564</v>
      </c>
      <c r="F338" s="191" t="s">
        <v>793</v>
      </c>
      <c r="G338" s="198">
        <v>0</v>
      </c>
      <c r="H338" s="203">
        <v>46302</v>
      </c>
      <c r="I338" s="191" t="s">
        <v>588</v>
      </c>
    </row>
    <row r="339" spans="1:9" ht="20" customHeight="1" x14ac:dyDescent="0.35">
      <c r="A339" s="191" t="s">
        <v>1125</v>
      </c>
      <c r="B339" s="191" t="s">
        <v>752</v>
      </c>
      <c r="C339" s="192">
        <v>45755</v>
      </c>
      <c r="D339" s="199">
        <v>195.34</v>
      </c>
      <c r="E339" s="191" t="s">
        <v>564</v>
      </c>
      <c r="F339" s="191" t="s">
        <v>793</v>
      </c>
      <c r="G339" s="198">
        <v>0</v>
      </c>
      <c r="H339" s="203">
        <v>46302</v>
      </c>
      <c r="I339" s="191" t="s">
        <v>588</v>
      </c>
    </row>
    <row r="340" spans="1:9" ht="20" customHeight="1" x14ac:dyDescent="0.35">
      <c r="A340" s="191" t="s">
        <v>1126</v>
      </c>
      <c r="B340" s="191" t="s">
        <v>752</v>
      </c>
      <c r="C340" s="192">
        <v>45756</v>
      </c>
      <c r="D340" s="199">
        <v>194.97</v>
      </c>
      <c r="E340" s="191" t="s">
        <v>564</v>
      </c>
      <c r="F340" s="191" t="s">
        <v>793</v>
      </c>
      <c r="G340" s="198">
        <v>0</v>
      </c>
      <c r="H340" s="203">
        <v>46302</v>
      </c>
      <c r="I340" s="191" t="s">
        <v>588</v>
      </c>
    </row>
    <row r="341" spans="1:9" ht="20" customHeight="1" x14ac:dyDescent="0.35">
      <c r="A341" s="191" t="s">
        <v>1127</v>
      </c>
      <c r="B341" s="191" t="s">
        <v>752</v>
      </c>
      <c r="C341" s="192">
        <v>45757</v>
      </c>
      <c r="D341" s="199">
        <v>194.59</v>
      </c>
      <c r="E341" s="191" t="s">
        <v>564</v>
      </c>
      <c r="F341" s="191" t="s">
        <v>793</v>
      </c>
      <c r="G341" s="198">
        <v>0</v>
      </c>
      <c r="H341" s="203">
        <v>46302</v>
      </c>
      <c r="I341" s="191" t="s">
        <v>588</v>
      </c>
    </row>
    <row r="342" spans="1:9" ht="20" customHeight="1" x14ac:dyDescent="0.35">
      <c r="A342" s="191" t="s">
        <v>1128</v>
      </c>
      <c r="B342" s="191" t="s">
        <v>752</v>
      </c>
      <c r="C342" s="192">
        <v>45758</v>
      </c>
      <c r="D342" s="199">
        <v>194.21</v>
      </c>
      <c r="E342" s="191" t="s">
        <v>564</v>
      </c>
      <c r="F342" s="191" t="s">
        <v>793</v>
      </c>
      <c r="G342" s="198">
        <v>0</v>
      </c>
      <c r="H342" s="203">
        <v>46302</v>
      </c>
      <c r="I342" s="191" t="s">
        <v>588</v>
      </c>
    </row>
    <row r="343" spans="1:9" ht="20" customHeight="1" x14ac:dyDescent="0.35">
      <c r="A343" s="191" t="s">
        <v>1129</v>
      </c>
      <c r="B343" s="191" t="s">
        <v>752</v>
      </c>
      <c r="C343" s="192">
        <v>45761</v>
      </c>
      <c r="D343" s="199">
        <v>193.07</v>
      </c>
      <c r="E343" s="191" t="s">
        <v>564</v>
      </c>
      <c r="F343" s="191" t="s">
        <v>793</v>
      </c>
      <c r="G343" s="198">
        <v>0</v>
      </c>
      <c r="H343" s="203">
        <v>46302</v>
      </c>
      <c r="I343" s="191" t="s">
        <v>588</v>
      </c>
    </row>
    <row r="344" spans="1:9" ht="20" customHeight="1" x14ac:dyDescent="0.35">
      <c r="A344" s="191" t="s">
        <v>1130</v>
      </c>
      <c r="B344" s="191" t="s">
        <v>752</v>
      </c>
      <c r="C344" s="192">
        <v>45762</v>
      </c>
      <c r="D344" s="199">
        <v>192.69</v>
      </c>
      <c r="E344" s="191" t="s">
        <v>564</v>
      </c>
      <c r="F344" s="191" t="s">
        <v>793</v>
      </c>
      <c r="G344" s="198">
        <v>0</v>
      </c>
      <c r="H344" s="203">
        <v>46302</v>
      </c>
      <c r="I344" s="191" t="s">
        <v>588</v>
      </c>
    </row>
    <row r="345" spans="1:9" ht="20" customHeight="1" x14ac:dyDescent="0.35">
      <c r="A345" s="191" t="s">
        <v>1131</v>
      </c>
      <c r="B345" s="191" t="s">
        <v>752</v>
      </c>
      <c r="C345" s="192">
        <v>45763</v>
      </c>
      <c r="D345" s="199">
        <v>192.31</v>
      </c>
      <c r="E345" s="191" t="s">
        <v>564</v>
      </c>
      <c r="F345" s="191" t="s">
        <v>793</v>
      </c>
      <c r="G345" s="198">
        <v>0</v>
      </c>
      <c r="H345" s="203">
        <v>46302</v>
      </c>
      <c r="I345" s="191" t="s">
        <v>588</v>
      </c>
    </row>
    <row r="346" spans="1:9" ht="20" customHeight="1" x14ac:dyDescent="0.35">
      <c r="A346" s="191" t="s">
        <v>1132</v>
      </c>
      <c r="B346" s="191" t="s">
        <v>752</v>
      </c>
      <c r="C346" s="192">
        <v>45764</v>
      </c>
      <c r="D346" s="199">
        <v>191.93</v>
      </c>
      <c r="E346" s="191" t="s">
        <v>564</v>
      </c>
      <c r="F346" s="191" t="s">
        <v>793</v>
      </c>
      <c r="G346" s="198">
        <v>0</v>
      </c>
      <c r="H346" s="203">
        <v>46302</v>
      </c>
      <c r="I346" s="191" t="s">
        <v>588</v>
      </c>
    </row>
    <row r="347" spans="1:9" ht="20" customHeight="1" x14ac:dyDescent="0.35">
      <c r="A347" s="191" t="s">
        <v>1133</v>
      </c>
      <c r="B347" s="191" t="s">
        <v>752</v>
      </c>
      <c r="C347" s="192">
        <v>45765</v>
      </c>
      <c r="D347" s="199">
        <v>191.55</v>
      </c>
      <c r="E347" s="191" t="s">
        <v>564</v>
      </c>
      <c r="F347" s="191" t="s">
        <v>793</v>
      </c>
      <c r="G347" s="198">
        <v>0</v>
      </c>
      <c r="H347" s="203">
        <v>46302</v>
      </c>
      <c r="I347" s="191" t="s">
        <v>588</v>
      </c>
    </row>
    <row r="348" spans="1:9" ht="20" customHeight="1" x14ac:dyDescent="0.35">
      <c r="A348" s="191" t="s">
        <v>1134</v>
      </c>
      <c r="B348" s="191" t="s">
        <v>752</v>
      </c>
      <c r="C348" s="192">
        <v>45768</v>
      </c>
      <c r="D348" s="199">
        <v>190.41</v>
      </c>
      <c r="E348" s="191" t="s">
        <v>564</v>
      </c>
      <c r="F348" s="191" t="s">
        <v>793</v>
      </c>
      <c r="G348" s="198">
        <v>0</v>
      </c>
      <c r="H348" s="203">
        <v>46302</v>
      </c>
      <c r="I348" s="191" t="s">
        <v>588</v>
      </c>
    </row>
    <row r="349" spans="1:9" ht="20" customHeight="1" x14ac:dyDescent="0.35">
      <c r="A349" s="191" t="s">
        <v>1135</v>
      </c>
      <c r="B349" s="191" t="s">
        <v>752</v>
      </c>
      <c r="C349" s="192">
        <v>45769</v>
      </c>
      <c r="D349" s="199">
        <v>190.03</v>
      </c>
      <c r="E349" s="191" t="s">
        <v>564</v>
      </c>
      <c r="F349" s="191" t="s">
        <v>793</v>
      </c>
      <c r="G349" s="198">
        <v>0</v>
      </c>
      <c r="H349" s="203">
        <v>46302</v>
      </c>
      <c r="I349" s="191" t="s">
        <v>588</v>
      </c>
    </row>
    <row r="350" spans="1:9" ht="20" customHeight="1" x14ac:dyDescent="0.35">
      <c r="A350" s="191" t="s">
        <v>1136</v>
      </c>
      <c r="B350" s="191" t="s">
        <v>752</v>
      </c>
      <c r="C350" s="192">
        <v>45770</v>
      </c>
      <c r="D350" s="199">
        <v>189.66</v>
      </c>
      <c r="E350" s="191" t="s">
        <v>564</v>
      </c>
      <c r="F350" s="191" t="s">
        <v>793</v>
      </c>
      <c r="G350" s="198">
        <v>0</v>
      </c>
      <c r="H350" s="203">
        <v>46302</v>
      </c>
      <c r="I350" s="191" t="s">
        <v>588</v>
      </c>
    </row>
    <row r="351" spans="1:9" ht="20" customHeight="1" x14ac:dyDescent="0.35">
      <c r="A351" s="191" t="s">
        <v>1137</v>
      </c>
      <c r="B351" s="191" t="s">
        <v>752</v>
      </c>
      <c r="C351" s="192">
        <v>45771</v>
      </c>
      <c r="D351" s="199">
        <v>189.28</v>
      </c>
      <c r="E351" s="191" t="s">
        <v>564</v>
      </c>
      <c r="F351" s="191" t="s">
        <v>793</v>
      </c>
      <c r="G351" s="198">
        <v>0</v>
      </c>
      <c r="H351" s="203">
        <v>46302</v>
      </c>
      <c r="I351" s="191" t="s">
        <v>588</v>
      </c>
    </row>
    <row r="352" spans="1:9" ht="20" customHeight="1" x14ac:dyDescent="0.35">
      <c r="A352" s="191" t="s">
        <v>1138</v>
      </c>
      <c r="B352" s="191" t="s">
        <v>752</v>
      </c>
      <c r="C352" s="192">
        <v>45772</v>
      </c>
      <c r="D352" s="199">
        <v>188.9</v>
      </c>
      <c r="E352" s="191" t="s">
        <v>564</v>
      </c>
      <c r="F352" s="191" t="s">
        <v>793</v>
      </c>
      <c r="G352" s="198">
        <v>0</v>
      </c>
      <c r="H352" s="203">
        <v>46302</v>
      </c>
      <c r="I352" s="191" t="s">
        <v>588</v>
      </c>
    </row>
    <row r="353" spans="1:9" ht="20" customHeight="1" x14ac:dyDescent="0.35">
      <c r="A353" s="191" t="s">
        <v>1139</v>
      </c>
      <c r="B353" s="191" t="s">
        <v>752</v>
      </c>
      <c r="C353" s="192">
        <v>45775</v>
      </c>
      <c r="D353" s="199">
        <v>187.76</v>
      </c>
      <c r="E353" s="191" t="s">
        <v>564</v>
      </c>
      <c r="F353" s="191" t="s">
        <v>793</v>
      </c>
      <c r="G353" s="198">
        <v>0</v>
      </c>
      <c r="H353" s="203">
        <v>46302</v>
      </c>
      <c r="I353" s="191" t="s">
        <v>588</v>
      </c>
    </row>
    <row r="354" spans="1:9" ht="20" customHeight="1" x14ac:dyDescent="0.35">
      <c r="A354" s="191" t="s">
        <v>1140</v>
      </c>
      <c r="B354" s="191" t="s">
        <v>752</v>
      </c>
      <c r="C354" s="192">
        <v>45776</v>
      </c>
      <c r="D354" s="199">
        <v>187.38</v>
      </c>
      <c r="E354" s="191" t="s">
        <v>564</v>
      </c>
      <c r="F354" s="191" t="s">
        <v>793</v>
      </c>
      <c r="G354" s="198">
        <v>0</v>
      </c>
      <c r="H354" s="203">
        <v>46302</v>
      </c>
      <c r="I354" s="191" t="s">
        <v>588</v>
      </c>
    </row>
    <row r="355" spans="1:9" ht="20" customHeight="1" x14ac:dyDescent="0.35">
      <c r="A355" s="191" t="s">
        <v>1141</v>
      </c>
      <c r="B355" s="191" t="s">
        <v>752</v>
      </c>
      <c r="C355" s="192">
        <v>45777</v>
      </c>
      <c r="D355" s="199">
        <v>187</v>
      </c>
      <c r="E355" s="191" t="s">
        <v>564</v>
      </c>
      <c r="F355" s="191" t="s">
        <v>793</v>
      </c>
      <c r="G355" s="198">
        <v>0</v>
      </c>
      <c r="H355" s="203">
        <v>46302</v>
      </c>
      <c r="I355" s="191" t="s">
        <v>588</v>
      </c>
    </row>
    <row r="356" spans="1:9" ht="20" customHeight="1" x14ac:dyDescent="0.35">
      <c r="A356" s="191" t="s">
        <v>1142</v>
      </c>
      <c r="B356" s="191" t="s">
        <v>752</v>
      </c>
      <c r="C356" s="192">
        <v>45778</v>
      </c>
      <c r="D356" s="199">
        <v>187</v>
      </c>
      <c r="E356" s="191" t="s">
        <v>564</v>
      </c>
      <c r="F356" s="191" t="s">
        <v>793</v>
      </c>
      <c r="G356" s="198">
        <v>0</v>
      </c>
      <c r="H356" s="203">
        <v>46302</v>
      </c>
      <c r="I356" s="191" t="s">
        <v>588</v>
      </c>
    </row>
    <row r="357" spans="1:9" ht="20" customHeight="1" x14ac:dyDescent="0.35">
      <c r="A357" s="191" t="s">
        <v>1143</v>
      </c>
      <c r="B357" s="191" t="s">
        <v>752</v>
      </c>
      <c r="C357" s="192">
        <v>45779</v>
      </c>
      <c r="D357" s="199">
        <v>187.2</v>
      </c>
      <c r="E357" s="191" t="s">
        <v>564</v>
      </c>
      <c r="F357" s="191" t="s">
        <v>793</v>
      </c>
      <c r="G357" s="198">
        <v>0</v>
      </c>
      <c r="H357" s="203">
        <v>46302</v>
      </c>
      <c r="I357" s="191" t="s">
        <v>588</v>
      </c>
    </row>
    <row r="358" spans="1:9" ht="20" customHeight="1" x14ac:dyDescent="0.35">
      <c r="A358" s="191" t="s">
        <v>1144</v>
      </c>
      <c r="B358" s="191" t="s">
        <v>752</v>
      </c>
      <c r="C358" s="192">
        <v>45782</v>
      </c>
      <c r="D358" s="199">
        <v>187.8</v>
      </c>
      <c r="E358" s="191" t="s">
        <v>564</v>
      </c>
      <c r="F358" s="191" t="s">
        <v>793</v>
      </c>
      <c r="G358" s="198">
        <v>0</v>
      </c>
      <c r="H358" s="203">
        <v>46302</v>
      </c>
      <c r="I358" s="191" t="s">
        <v>588</v>
      </c>
    </row>
    <row r="359" spans="1:9" ht="20" customHeight="1" x14ac:dyDescent="0.35">
      <c r="A359" s="191" t="s">
        <v>1145</v>
      </c>
      <c r="B359" s="191" t="s">
        <v>752</v>
      </c>
      <c r="C359" s="192">
        <v>45783</v>
      </c>
      <c r="D359" s="199">
        <v>188</v>
      </c>
      <c r="E359" s="191" t="s">
        <v>564</v>
      </c>
      <c r="F359" s="191" t="s">
        <v>793</v>
      </c>
      <c r="G359" s="198">
        <v>0</v>
      </c>
      <c r="H359" s="203">
        <v>46302</v>
      </c>
      <c r="I359" s="191" t="s">
        <v>588</v>
      </c>
    </row>
    <row r="360" spans="1:9" ht="20" customHeight="1" x14ac:dyDescent="0.35">
      <c r="A360" s="191" t="s">
        <v>1146</v>
      </c>
      <c r="B360" s="191" t="s">
        <v>752</v>
      </c>
      <c r="C360" s="192">
        <v>45784</v>
      </c>
      <c r="D360" s="199">
        <v>188.2</v>
      </c>
      <c r="E360" s="191" t="s">
        <v>564</v>
      </c>
      <c r="F360" s="191" t="s">
        <v>793</v>
      </c>
      <c r="G360" s="198">
        <v>0</v>
      </c>
      <c r="H360" s="203">
        <v>46302</v>
      </c>
      <c r="I360" s="191" t="s">
        <v>588</v>
      </c>
    </row>
    <row r="361" spans="1:9" ht="20" customHeight="1" x14ac:dyDescent="0.35">
      <c r="A361" s="191" t="s">
        <v>1147</v>
      </c>
      <c r="B361" s="191" t="s">
        <v>752</v>
      </c>
      <c r="C361" s="192">
        <v>45785</v>
      </c>
      <c r="D361" s="199">
        <v>188.4</v>
      </c>
      <c r="E361" s="191" t="s">
        <v>564</v>
      </c>
      <c r="F361" s="191" t="s">
        <v>793</v>
      </c>
      <c r="G361" s="198">
        <v>0</v>
      </c>
      <c r="H361" s="203">
        <v>46302</v>
      </c>
      <c r="I361" s="191" t="s">
        <v>588</v>
      </c>
    </row>
    <row r="362" spans="1:9" ht="20" customHeight="1" x14ac:dyDescent="0.35">
      <c r="A362" s="191" t="s">
        <v>1148</v>
      </c>
      <c r="B362" s="191" t="s">
        <v>752</v>
      </c>
      <c r="C362" s="192">
        <v>45786</v>
      </c>
      <c r="D362" s="199">
        <v>188.6</v>
      </c>
      <c r="E362" s="191" t="s">
        <v>564</v>
      </c>
      <c r="F362" s="191" t="s">
        <v>793</v>
      </c>
      <c r="G362" s="198">
        <v>0</v>
      </c>
      <c r="H362" s="203">
        <v>46302</v>
      </c>
      <c r="I362" s="191" t="s">
        <v>588</v>
      </c>
    </row>
    <row r="363" spans="1:9" ht="20" customHeight="1" x14ac:dyDescent="0.35">
      <c r="A363" s="191" t="s">
        <v>1149</v>
      </c>
      <c r="B363" s="191" t="s">
        <v>752</v>
      </c>
      <c r="C363" s="192">
        <v>45789</v>
      </c>
      <c r="D363" s="199">
        <v>189.2</v>
      </c>
      <c r="E363" s="191" t="s">
        <v>564</v>
      </c>
      <c r="F363" s="191" t="s">
        <v>793</v>
      </c>
      <c r="G363" s="198">
        <v>0</v>
      </c>
      <c r="H363" s="203">
        <v>46302</v>
      </c>
      <c r="I363" s="191" t="s">
        <v>588</v>
      </c>
    </row>
    <row r="364" spans="1:9" ht="20" customHeight="1" x14ac:dyDescent="0.35">
      <c r="A364" s="191" t="s">
        <v>1150</v>
      </c>
      <c r="B364" s="191" t="s">
        <v>752</v>
      </c>
      <c r="C364" s="192">
        <v>45790</v>
      </c>
      <c r="D364" s="199">
        <v>189.4</v>
      </c>
      <c r="E364" s="191" t="s">
        <v>564</v>
      </c>
      <c r="F364" s="191" t="s">
        <v>793</v>
      </c>
      <c r="G364" s="198">
        <v>0</v>
      </c>
      <c r="H364" s="203">
        <v>46302</v>
      </c>
      <c r="I364" s="191" t="s">
        <v>588</v>
      </c>
    </row>
    <row r="365" spans="1:9" ht="20" customHeight="1" x14ac:dyDescent="0.35">
      <c r="A365" s="191" t="s">
        <v>1151</v>
      </c>
      <c r="B365" s="191" t="s">
        <v>752</v>
      </c>
      <c r="C365" s="192">
        <v>45791</v>
      </c>
      <c r="D365" s="199">
        <v>189.6</v>
      </c>
      <c r="E365" s="191" t="s">
        <v>564</v>
      </c>
      <c r="F365" s="191" t="s">
        <v>793</v>
      </c>
      <c r="G365" s="198">
        <v>0</v>
      </c>
      <c r="H365" s="203">
        <v>46302</v>
      </c>
      <c r="I365" s="191" t="s">
        <v>588</v>
      </c>
    </row>
    <row r="366" spans="1:9" ht="20" customHeight="1" x14ac:dyDescent="0.35">
      <c r="A366" s="191" t="s">
        <v>1152</v>
      </c>
      <c r="B366" s="191" t="s">
        <v>752</v>
      </c>
      <c r="C366" s="192">
        <v>45792</v>
      </c>
      <c r="D366" s="199">
        <v>189.8</v>
      </c>
      <c r="E366" s="191" t="s">
        <v>564</v>
      </c>
      <c r="F366" s="191" t="s">
        <v>793</v>
      </c>
      <c r="G366" s="198">
        <v>0</v>
      </c>
      <c r="H366" s="203">
        <v>46302</v>
      </c>
      <c r="I366" s="191" t="s">
        <v>588</v>
      </c>
    </row>
    <row r="367" spans="1:9" ht="20" customHeight="1" x14ac:dyDescent="0.35">
      <c r="A367" s="191" t="s">
        <v>1153</v>
      </c>
      <c r="B367" s="191" t="s">
        <v>752</v>
      </c>
      <c r="C367" s="192">
        <v>45793</v>
      </c>
      <c r="D367" s="199">
        <v>190</v>
      </c>
      <c r="E367" s="191" t="s">
        <v>564</v>
      </c>
      <c r="F367" s="191" t="s">
        <v>793</v>
      </c>
      <c r="G367" s="198">
        <v>0</v>
      </c>
      <c r="H367" s="203">
        <v>46302</v>
      </c>
      <c r="I367" s="191" t="s">
        <v>588</v>
      </c>
    </row>
    <row r="368" spans="1:9" ht="20" customHeight="1" x14ac:dyDescent="0.35">
      <c r="A368" s="191" t="s">
        <v>1154</v>
      </c>
      <c r="B368" s="191" t="s">
        <v>752</v>
      </c>
      <c r="C368" s="192">
        <v>45796</v>
      </c>
      <c r="D368" s="199">
        <v>190.6</v>
      </c>
      <c r="E368" s="191" t="s">
        <v>564</v>
      </c>
      <c r="F368" s="191" t="s">
        <v>793</v>
      </c>
      <c r="G368" s="198">
        <v>0</v>
      </c>
      <c r="H368" s="203">
        <v>46302</v>
      </c>
      <c r="I368" s="191" t="s">
        <v>588</v>
      </c>
    </row>
    <row r="369" spans="1:9" ht="20" customHeight="1" x14ac:dyDescent="0.35">
      <c r="A369" s="191" t="s">
        <v>1155</v>
      </c>
      <c r="B369" s="191" t="s">
        <v>752</v>
      </c>
      <c r="C369" s="192">
        <v>45797</v>
      </c>
      <c r="D369" s="199">
        <v>190.8</v>
      </c>
      <c r="E369" s="191" t="s">
        <v>564</v>
      </c>
      <c r="F369" s="191" t="s">
        <v>793</v>
      </c>
      <c r="G369" s="198">
        <v>0</v>
      </c>
      <c r="H369" s="203">
        <v>46302</v>
      </c>
      <c r="I369" s="191" t="s">
        <v>588</v>
      </c>
    </row>
    <row r="370" spans="1:9" ht="20" customHeight="1" x14ac:dyDescent="0.35">
      <c r="A370" s="191" t="s">
        <v>1156</v>
      </c>
      <c r="B370" s="191" t="s">
        <v>752</v>
      </c>
      <c r="C370" s="192">
        <v>45798</v>
      </c>
      <c r="D370" s="199">
        <v>191</v>
      </c>
      <c r="E370" s="191" t="s">
        <v>564</v>
      </c>
      <c r="F370" s="191" t="s">
        <v>793</v>
      </c>
      <c r="G370" s="198">
        <v>0</v>
      </c>
      <c r="H370" s="203">
        <v>46302</v>
      </c>
      <c r="I370" s="191" t="s">
        <v>588</v>
      </c>
    </row>
    <row r="371" spans="1:9" ht="20" customHeight="1" x14ac:dyDescent="0.35">
      <c r="A371" s="191" t="s">
        <v>1157</v>
      </c>
      <c r="B371" s="191" t="s">
        <v>752</v>
      </c>
      <c r="C371" s="192">
        <v>45799</v>
      </c>
      <c r="D371" s="199">
        <v>191.2</v>
      </c>
      <c r="E371" s="191" t="s">
        <v>564</v>
      </c>
      <c r="F371" s="191" t="s">
        <v>793</v>
      </c>
      <c r="G371" s="198">
        <v>0</v>
      </c>
      <c r="H371" s="203">
        <v>46302</v>
      </c>
      <c r="I371" s="191" t="s">
        <v>588</v>
      </c>
    </row>
    <row r="372" spans="1:9" ht="20" customHeight="1" x14ac:dyDescent="0.35">
      <c r="A372" s="191" t="s">
        <v>1158</v>
      </c>
      <c r="B372" s="191" t="s">
        <v>752</v>
      </c>
      <c r="C372" s="192">
        <v>45800</v>
      </c>
      <c r="D372" s="199">
        <v>191.4</v>
      </c>
      <c r="E372" s="191" t="s">
        <v>564</v>
      </c>
      <c r="F372" s="191" t="s">
        <v>793</v>
      </c>
      <c r="G372" s="198">
        <v>0</v>
      </c>
      <c r="H372" s="203">
        <v>46302</v>
      </c>
      <c r="I372" s="191" t="s">
        <v>588</v>
      </c>
    </row>
    <row r="373" spans="1:9" ht="20" customHeight="1" x14ac:dyDescent="0.35">
      <c r="A373" s="191" t="s">
        <v>1159</v>
      </c>
      <c r="B373" s="191" t="s">
        <v>752</v>
      </c>
      <c r="C373" s="192">
        <v>45803</v>
      </c>
      <c r="D373" s="199">
        <v>192</v>
      </c>
      <c r="E373" s="191" t="s">
        <v>564</v>
      </c>
      <c r="F373" s="191" t="s">
        <v>793</v>
      </c>
      <c r="G373" s="198">
        <v>0</v>
      </c>
      <c r="H373" s="203">
        <v>46302</v>
      </c>
      <c r="I373" s="191" t="s">
        <v>588</v>
      </c>
    </row>
    <row r="374" spans="1:9" ht="20" customHeight="1" x14ac:dyDescent="0.35">
      <c r="A374" s="191" t="s">
        <v>1160</v>
      </c>
      <c r="B374" s="191" t="s">
        <v>752</v>
      </c>
      <c r="C374" s="192">
        <v>45804</v>
      </c>
      <c r="D374" s="199">
        <v>192.2</v>
      </c>
      <c r="E374" s="191" t="s">
        <v>564</v>
      </c>
      <c r="F374" s="191" t="s">
        <v>793</v>
      </c>
      <c r="G374" s="198">
        <v>0</v>
      </c>
      <c r="H374" s="203">
        <v>46302</v>
      </c>
      <c r="I374" s="191" t="s">
        <v>588</v>
      </c>
    </row>
    <row r="375" spans="1:9" ht="20" customHeight="1" x14ac:dyDescent="0.35">
      <c r="A375" s="191" t="s">
        <v>1161</v>
      </c>
      <c r="B375" s="191" t="s">
        <v>752</v>
      </c>
      <c r="C375" s="192">
        <v>45805</v>
      </c>
      <c r="D375" s="199">
        <v>192.4</v>
      </c>
      <c r="E375" s="191" t="s">
        <v>564</v>
      </c>
      <c r="F375" s="191" t="s">
        <v>793</v>
      </c>
      <c r="G375" s="198">
        <v>0</v>
      </c>
      <c r="H375" s="203">
        <v>46302</v>
      </c>
      <c r="I375" s="191" t="s">
        <v>588</v>
      </c>
    </row>
    <row r="376" spans="1:9" ht="20" customHeight="1" x14ac:dyDescent="0.35">
      <c r="A376" s="191" t="s">
        <v>1162</v>
      </c>
      <c r="B376" s="191" t="s">
        <v>752</v>
      </c>
      <c r="C376" s="192">
        <v>45806</v>
      </c>
      <c r="D376" s="199">
        <v>192.6</v>
      </c>
      <c r="E376" s="191" t="s">
        <v>564</v>
      </c>
      <c r="F376" s="191" t="s">
        <v>793</v>
      </c>
      <c r="G376" s="198">
        <v>0</v>
      </c>
      <c r="H376" s="203">
        <v>46302</v>
      </c>
      <c r="I376" s="191" t="s">
        <v>588</v>
      </c>
    </row>
    <row r="377" spans="1:9" ht="20" customHeight="1" x14ac:dyDescent="0.35">
      <c r="A377" s="191" t="s">
        <v>1163</v>
      </c>
      <c r="B377" s="191" t="s">
        <v>752</v>
      </c>
      <c r="C377" s="192">
        <v>45807</v>
      </c>
      <c r="D377" s="199">
        <v>192.8</v>
      </c>
      <c r="E377" s="191" t="s">
        <v>564</v>
      </c>
      <c r="F377" s="191" t="s">
        <v>793</v>
      </c>
      <c r="G377" s="198">
        <v>0</v>
      </c>
      <c r="H377" s="203">
        <v>46302</v>
      </c>
      <c r="I377" s="191" t="s">
        <v>588</v>
      </c>
    </row>
    <row r="378" spans="1:9" ht="20" customHeight="1" x14ac:dyDescent="0.35">
      <c r="A378" s="191" t="s">
        <v>1164</v>
      </c>
      <c r="B378" s="191" t="s">
        <v>752</v>
      </c>
      <c r="C378" s="192">
        <v>45810</v>
      </c>
      <c r="D378" s="199">
        <v>192.62</v>
      </c>
      <c r="E378" s="191" t="s">
        <v>564</v>
      </c>
      <c r="F378" s="191" t="s">
        <v>793</v>
      </c>
      <c r="G378" s="198">
        <v>0</v>
      </c>
      <c r="H378" s="203">
        <v>46302</v>
      </c>
      <c r="I378" s="191" t="s">
        <v>588</v>
      </c>
    </row>
    <row r="379" spans="1:9" ht="20" customHeight="1" x14ac:dyDescent="0.35">
      <c r="A379" s="191" t="s">
        <v>1165</v>
      </c>
      <c r="B379" s="191" t="s">
        <v>752</v>
      </c>
      <c r="C379" s="192">
        <v>45811</v>
      </c>
      <c r="D379" s="199">
        <v>192.24</v>
      </c>
      <c r="E379" s="191" t="s">
        <v>564</v>
      </c>
      <c r="F379" s="191" t="s">
        <v>793</v>
      </c>
      <c r="G379" s="198">
        <v>0</v>
      </c>
      <c r="H379" s="203">
        <v>46302</v>
      </c>
      <c r="I379" s="191" t="s">
        <v>588</v>
      </c>
    </row>
    <row r="380" spans="1:9" ht="20" customHeight="1" x14ac:dyDescent="0.35">
      <c r="A380" s="191" t="s">
        <v>1166</v>
      </c>
      <c r="B380" s="191" t="s">
        <v>752</v>
      </c>
      <c r="C380" s="192">
        <v>45812</v>
      </c>
      <c r="D380" s="199">
        <v>191.86</v>
      </c>
      <c r="E380" s="191" t="s">
        <v>564</v>
      </c>
      <c r="F380" s="191" t="s">
        <v>793</v>
      </c>
      <c r="G380" s="198">
        <v>0</v>
      </c>
      <c r="H380" s="203">
        <v>46302</v>
      </c>
      <c r="I380" s="191" t="s">
        <v>588</v>
      </c>
    </row>
    <row r="381" spans="1:9" ht="20" customHeight="1" x14ac:dyDescent="0.35">
      <c r="A381" s="191" t="s">
        <v>1167</v>
      </c>
      <c r="B381" s="191" t="s">
        <v>752</v>
      </c>
      <c r="C381" s="192">
        <v>45813</v>
      </c>
      <c r="D381" s="199">
        <v>191.48</v>
      </c>
      <c r="E381" s="191" t="s">
        <v>564</v>
      </c>
      <c r="F381" s="191" t="s">
        <v>793</v>
      </c>
      <c r="G381" s="198">
        <v>0</v>
      </c>
      <c r="H381" s="203">
        <v>46302</v>
      </c>
      <c r="I381" s="191" t="s">
        <v>588</v>
      </c>
    </row>
    <row r="382" spans="1:9" ht="20" customHeight="1" x14ac:dyDescent="0.35">
      <c r="A382" s="191" t="s">
        <v>1168</v>
      </c>
      <c r="B382" s="191" t="s">
        <v>752</v>
      </c>
      <c r="C382" s="192">
        <v>45814</v>
      </c>
      <c r="D382" s="199">
        <v>191.1</v>
      </c>
      <c r="E382" s="191" t="s">
        <v>564</v>
      </c>
      <c r="F382" s="191" t="s">
        <v>793</v>
      </c>
      <c r="G382" s="198">
        <v>0</v>
      </c>
      <c r="H382" s="203">
        <v>46302</v>
      </c>
      <c r="I382" s="191" t="s">
        <v>588</v>
      </c>
    </row>
    <row r="383" spans="1:9" ht="20" customHeight="1" x14ac:dyDescent="0.35">
      <c r="A383" s="191" t="s">
        <v>1169</v>
      </c>
      <c r="B383" s="191" t="s">
        <v>752</v>
      </c>
      <c r="C383" s="192">
        <v>45817</v>
      </c>
      <c r="D383" s="199">
        <v>189.97</v>
      </c>
      <c r="E383" s="191" t="s">
        <v>564</v>
      </c>
      <c r="F383" s="191" t="s">
        <v>793</v>
      </c>
      <c r="G383" s="198">
        <v>0</v>
      </c>
      <c r="H383" s="203">
        <v>46302</v>
      </c>
      <c r="I383" s="191" t="s">
        <v>588</v>
      </c>
    </row>
    <row r="384" spans="1:9" ht="20" customHeight="1" x14ac:dyDescent="0.35">
      <c r="A384" s="191" t="s">
        <v>1170</v>
      </c>
      <c r="B384" s="191" t="s">
        <v>752</v>
      </c>
      <c r="C384" s="192">
        <v>45818</v>
      </c>
      <c r="D384" s="199">
        <v>189.59</v>
      </c>
      <c r="E384" s="191" t="s">
        <v>564</v>
      </c>
      <c r="F384" s="191" t="s">
        <v>793</v>
      </c>
      <c r="G384" s="198">
        <v>0</v>
      </c>
      <c r="H384" s="203">
        <v>46302</v>
      </c>
      <c r="I384" s="191" t="s">
        <v>588</v>
      </c>
    </row>
    <row r="385" spans="1:9" ht="20" customHeight="1" x14ac:dyDescent="0.35">
      <c r="A385" s="191" t="s">
        <v>1171</v>
      </c>
      <c r="B385" s="191" t="s">
        <v>752</v>
      </c>
      <c r="C385" s="192">
        <v>45819</v>
      </c>
      <c r="D385" s="199">
        <v>189.21</v>
      </c>
      <c r="E385" s="191" t="s">
        <v>564</v>
      </c>
      <c r="F385" s="191" t="s">
        <v>793</v>
      </c>
      <c r="G385" s="198">
        <v>0</v>
      </c>
      <c r="H385" s="203">
        <v>46302</v>
      </c>
      <c r="I385" s="191" t="s">
        <v>588</v>
      </c>
    </row>
    <row r="386" spans="1:9" ht="20" customHeight="1" x14ac:dyDescent="0.35">
      <c r="A386" s="191" t="s">
        <v>1172</v>
      </c>
      <c r="B386" s="191" t="s">
        <v>752</v>
      </c>
      <c r="C386" s="192">
        <v>45820</v>
      </c>
      <c r="D386" s="199">
        <v>188.83</v>
      </c>
      <c r="E386" s="191" t="s">
        <v>564</v>
      </c>
      <c r="F386" s="191" t="s">
        <v>793</v>
      </c>
      <c r="G386" s="198">
        <v>0</v>
      </c>
      <c r="H386" s="203">
        <v>46302</v>
      </c>
      <c r="I386" s="191" t="s">
        <v>588</v>
      </c>
    </row>
    <row r="387" spans="1:9" ht="20" customHeight="1" x14ac:dyDescent="0.35">
      <c r="A387" s="191" t="s">
        <v>1173</v>
      </c>
      <c r="B387" s="191" t="s">
        <v>752</v>
      </c>
      <c r="C387" s="192">
        <v>45821</v>
      </c>
      <c r="D387" s="199">
        <v>188.45</v>
      </c>
      <c r="E387" s="191" t="s">
        <v>564</v>
      </c>
      <c r="F387" s="191" t="s">
        <v>793</v>
      </c>
      <c r="G387" s="198">
        <v>0</v>
      </c>
      <c r="H387" s="203">
        <v>46302</v>
      </c>
      <c r="I387" s="191" t="s">
        <v>588</v>
      </c>
    </row>
    <row r="388" spans="1:9" ht="20" customHeight="1" x14ac:dyDescent="0.35">
      <c r="A388" s="191" t="s">
        <v>1174</v>
      </c>
      <c r="B388" s="191" t="s">
        <v>752</v>
      </c>
      <c r="C388" s="192">
        <v>45824</v>
      </c>
      <c r="D388" s="199">
        <v>187.31</v>
      </c>
      <c r="E388" s="191" t="s">
        <v>564</v>
      </c>
      <c r="F388" s="191" t="s">
        <v>793</v>
      </c>
      <c r="G388" s="198">
        <v>0</v>
      </c>
      <c r="H388" s="203">
        <v>46302</v>
      </c>
      <c r="I388" s="191" t="s">
        <v>588</v>
      </c>
    </row>
    <row r="389" spans="1:9" ht="20" customHeight="1" x14ac:dyDescent="0.35">
      <c r="A389" s="191" t="s">
        <v>1175</v>
      </c>
      <c r="B389" s="191" t="s">
        <v>752</v>
      </c>
      <c r="C389" s="192">
        <v>45825</v>
      </c>
      <c r="D389" s="199">
        <v>186.93</v>
      </c>
      <c r="E389" s="191" t="s">
        <v>564</v>
      </c>
      <c r="F389" s="191" t="s">
        <v>793</v>
      </c>
      <c r="G389" s="198">
        <v>0</v>
      </c>
      <c r="H389" s="203">
        <v>46302</v>
      </c>
      <c r="I389" s="191" t="s">
        <v>588</v>
      </c>
    </row>
    <row r="390" spans="1:9" ht="20" customHeight="1" x14ac:dyDescent="0.35">
      <c r="A390" s="191" t="s">
        <v>1176</v>
      </c>
      <c r="B390" s="191" t="s">
        <v>752</v>
      </c>
      <c r="C390" s="192">
        <v>45826</v>
      </c>
      <c r="D390" s="199">
        <v>186.55</v>
      </c>
      <c r="E390" s="191" t="s">
        <v>564</v>
      </c>
      <c r="F390" s="191" t="s">
        <v>793</v>
      </c>
      <c r="G390" s="198">
        <v>0</v>
      </c>
      <c r="H390" s="203">
        <v>46302</v>
      </c>
      <c r="I390" s="191" t="s">
        <v>588</v>
      </c>
    </row>
    <row r="391" spans="1:9" ht="20" customHeight="1" x14ac:dyDescent="0.35">
      <c r="A391" s="191" t="s">
        <v>1177</v>
      </c>
      <c r="B391" s="191" t="s">
        <v>752</v>
      </c>
      <c r="C391" s="192">
        <v>45827</v>
      </c>
      <c r="D391" s="199">
        <v>186.17</v>
      </c>
      <c r="E391" s="191" t="s">
        <v>564</v>
      </c>
      <c r="F391" s="191" t="s">
        <v>793</v>
      </c>
      <c r="G391" s="198">
        <v>0</v>
      </c>
      <c r="H391" s="203">
        <v>46302</v>
      </c>
      <c r="I391" s="191" t="s">
        <v>588</v>
      </c>
    </row>
    <row r="392" spans="1:9" ht="20" customHeight="1" x14ac:dyDescent="0.35">
      <c r="A392" s="191" t="s">
        <v>1178</v>
      </c>
      <c r="B392" s="191" t="s">
        <v>752</v>
      </c>
      <c r="C392" s="192">
        <v>45828</v>
      </c>
      <c r="D392" s="199">
        <v>185.79</v>
      </c>
      <c r="E392" s="191" t="s">
        <v>564</v>
      </c>
      <c r="F392" s="191" t="s">
        <v>793</v>
      </c>
      <c r="G392" s="198">
        <v>0</v>
      </c>
      <c r="H392" s="203">
        <v>46302</v>
      </c>
      <c r="I392" s="191" t="s">
        <v>588</v>
      </c>
    </row>
    <row r="393" spans="1:9" ht="20" customHeight="1" x14ac:dyDescent="0.35">
      <c r="A393" s="191" t="s">
        <v>1179</v>
      </c>
      <c r="B393" s="191" t="s">
        <v>752</v>
      </c>
      <c r="C393" s="192">
        <v>45831</v>
      </c>
      <c r="D393" s="199">
        <v>184.66</v>
      </c>
      <c r="E393" s="191" t="s">
        <v>564</v>
      </c>
      <c r="F393" s="191" t="s">
        <v>793</v>
      </c>
      <c r="G393" s="198">
        <v>0</v>
      </c>
      <c r="H393" s="203">
        <v>46302</v>
      </c>
      <c r="I393" s="191" t="s">
        <v>588</v>
      </c>
    </row>
    <row r="394" spans="1:9" ht="20" customHeight="1" x14ac:dyDescent="0.35">
      <c r="A394" s="191" t="s">
        <v>1180</v>
      </c>
      <c r="B394" s="191" t="s">
        <v>752</v>
      </c>
      <c r="C394" s="192">
        <v>45832</v>
      </c>
      <c r="D394" s="199">
        <v>184.28</v>
      </c>
      <c r="E394" s="191" t="s">
        <v>564</v>
      </c>
      <c r="F394" s="191" t="s">
        <v>793</v>
      </c>
      <c r="G394" s="198">
        <v>0</v>
      </c>
      <c r="H394" s="203">
        <v>46302</v>
      </c>
      <c r="I394" s="191" t="s">
        <v>588</v>
      </c>
    </row>
    <row r="395" spans="1:9" ht="20" customHeight="1" x14ac:dyDescent="0.35">
      <c r="A395" s="191" t="s">
        <v>1181</v>
      </c>
      <c r="B395" s="191" t="s">
        <v>752</v>
      </c>
      <c r="C395" s="192">
        <v>45833</v>
      </c>
      <c r="D395" s="199">
        <v>183.9</v>
      </c>
      <c r="E395" s="191" t="s">
        <v>564</v>
      </c>
      <c r="F395" s="191" t="s">
        <v>793</v>
      </c>
      <c r="G395" s="198">
        <v>0</v>
      </c>
      <c r="H395" s="203">
        <v>46302</v>
      </c>
      <c r="I395" s="191" t="s">
        <v>588</v>
      </c>
    </row>
    <row r="396" spans="1:9" ht="20" customHeight="1" x14ac:dyDescent="0.35">
      <c r="A396" s="191" t="s">
        <v>1182</v>
      </c>
      <c r="B396" s="191" t="s">
        <v>752</v>
      </c>
      <c r="C396" s="192">
        <v>45834</v>
      </c>
      <c r="D396" s="199">
        <v>183.52</v>
      </c>
      <c r="E396" s="191" t="s">
        <v>564</v>
      </c>
      <c r="F396" s="191" t="s">
        <v>793</v>
      </c>
      <c r="G396" s="198">
        <v>0</v>
      </c>
      <c r="H396" s="203">
        <v>46302</v>
      </c>
      <c r="I396" s="191" t="s">
        <v>588</v>
      </c>
    </row>
    <row r="397" spans="1:9" ht="20" customHeight="1" x14ac:dyDescent="0.35">
      <c r="A397" s="191" t="s">
        <v>1183</v>
      </c>
      <c r="B397" s="191" t="s">
        <v>752</v>
      </c>
      <c r="C397" s="192">
        <v>45835</v>
      </c>
      <c r="D397" s="199">
        <v>183.14</v>
      </c>
      <c r="E397" s="191" t="s">
        <v>564</v>
      </c>
      <c r="F397" s="191" t="s">
        <v>793</v>
      </c>
      <c r="G397" s="198">
        <v>0</v>
      </c>
      <c r="H397" s="203">
        <v>46302</v>
      </c>
      <c r="I397" s="191" t="s">
        <v>588</v>
      </c>
    </row>
    <row r="398" spans="1:9" ht="20" customHeight="1" x14ac:dyDescent="0.35">
      <c r="A398" s="191" t="s">
        <v>1184</v>
      </c>
      <c r="B398" s="191" t="s">
        <v>752</v>
      </c>
      <c r="C398" s="192">
        <v>45838</v>
      </c>
      <c r="D398" s="199">
        <v>182</v>
      </c>
      <c r="E398" s="191" t="s">
        <v>564</v>
      </c>
      <c r="F398" s="191" t="s">
        <v>793</v>
      </c>
      <c r="G398" s="198">
        <v>0</v>
      </c>
      <c r="H398" s="203">
        <v>46302</v>
      </c>
      <c r="I398" s="191" t="s">
        <v>588</v>
      </c>
    </row>
    <row r="399" spans="1:9" ht="20" customHeight="1" x14ac:dyDescent="0.35">
      <c r="A399" s="191" t="s">
        <v>1185</v>
      </c>
      <c r="B399" s="191" t="s">
        <v>752</v>
      </c>
      <c r="C399" s="192">
        <v>45839</v>
      </c>
      <c r="D399" s="199">
        <v>182</v>
      </c>
      <c r="E399" s="191" t="s">
        <v>564</v>
      </c>
      <c r="F399" s="191" t="s">
        <v>793</v>
      </c>
      <c r="G399" s="198">
        <v>0</v>
      </c>
      <c r="H399" s="203">
        <v>46302</v>
      </c>
      <c r="I399" s="191" t="s">
        <v>588</v>
      </c>
    </row>
    <row r="400" spans="1:9" ht="20" customHeight="1" x14ac:dyDescent="0.35">
      <c r="A400" s="191" t="s">
        <v>1186</v>
      </c>
      <c r="B400" s="191" t="s">
        <v>752</v>
      </c>
      <c r="C400" s="192">
        <v>45840</v>
      </c>
      <c r="D400" s="199">
        <v>181.87</v>
      </c>
      <c r="E400" s="191" t="s">
        <v>564</v>
      </c>
      <c r="F400" s="191" t="s">
        <v>793</v>
      </c>
      <c r="G400" s="198">
        <v>0</v>
      </c>
      <c r="H400" s="203">
        <v>46302</v>
      </c>
      <c r="I400" s="191" t="s">
        <v>588</v>
      </c>
    </row>
    <row r="401" spans="1:9" ht="20" customHeight="1" x14ac:dyDescent="0.35">
      <c r="A401" s="191" t="s">
        <v>1187</v>
      </c>
      <c r="B401" s="191" t="s">
        <v>752</v>
      </c>
      <c r="C401" s="192">
        <v>45841</v>
      </c>
      <c r="D401" s="199">
        <v>181.73</v>
      </c>
      <c r="E401" s="191" t="s">
        <v>564</v>
      </c>
      <c r="F401" s="191" t="s">
        <v>793</v>
      </c>
      <c r="G401" s="198">
        <v>0</v>
      </c>
      <c r="H401" s="203">
        <v>46302</v>
      </c>
      <c r="I401" s="191" t="s">
        <v>588</v>
      </c>
    </row>
    <row r="402" spans="1:9" ht="20" customHeight="1" x14ac:dyDescent="0.35">
      <c r="A402" s="191" t="s">
        <v>1188</v>
      </c>
      <c r="B402" s="191" t="s">
        <v>752</v>
      </c>
      <c r="C402" s="192">
        <v>45842</v>
      </c>
      <c r="D402" s="199">
        <v>181.6</v>
      </c>
      <c r="E402" s="191" t="s">
        <v>564</v>
      </c>
      <c r="F402" s="191" t="s">
        <v>793</v>
      </c>
      <c r="G402" s="198">
        <v>0</v>
      </c>
      <c r="H402" s="203">
        <v>46302</v>
      </c>
      <c r="I402" s="191" t="s">
        <v>588</v>
      </c>
    </row>
    <row r="403" spans="1:9" ht="20" customHeight="1" x14ac:dyDescent="0.35">
      <c r="A403" s="191" t="s">
        <v>1189</v>
      </c>
      <c r="B403" s="191" t="s">
        <v>752</v>
      </c>
      <c r="C403" s="192">
        <v>45845</v>
      </c>
      <c r="D403" s="199">
        <v>181.2</v>
      </c>
      <c r="E403" s="191" t="s">
        <v>564</v>
      </c>
      <c r="F403" s="191" t="s">
        <v>793</v>
      </c>
      <c r="G403" s="198">
        <v>0</v>
      </c>
      <c r="H403" s="203">
        <v>46302</v>
      </c>
      <c r="I403" s="191" t="s">
        <v>588</v>
      </c>
    </row>
    <row r="404" spans="1:9" ht="20" customHeight="1" x14ac:dyDescent="0.35">
      <c r="A404" s="191" t="s">
        <v>1190</v>
      </c>
      <c r="B404" s="191" t="s">
        <v>752</v>
      </c>
      <c r="C404" s="192">
        <v>45846</v>
      </c>
      <c r="D404" s="199">
        <v>181.07</v>
      </c>
      <c r="E404" s="191" t="s">
        <v>564</v>
      </c>
      <c r="F404" s="191" t="s">
        <v>793</v>
      </c>
      <c r="G404" s="198">
        <v>0</v>
      </c>
      <c r="H404" s="203">
        <v>46302</v>
      </c>
      <c r="I404" s="191" t="s">
        <v>588</v>
      </c>
    </row>
    <row r="405" spans="1:9" ht="20" customHeight="1" x14ac:dyDescent="0.35">
      <c r="A405" s="191" t="s">
        <v>1191</v>
      </c>
      <c r="B405" s="191" t="s">
        <v>752</v>
      </c>
      <c r="C405" s="192">
        <v>45847</v>
      </c>
      <c r="D405" s="199">
        <v>180.93</v>
      </c>
      <c r="E405" s="191" t="s">
        <v>564</v>
      </c>
      <c r="F405" s="191" t="s">
        <v>793</v>
      </c>
      <c r="G405" s="198">
        <v>0</v>
      </c>
      <c r="H405" s="203">
        <v>46302</v>
      </c>
      <c r="I405" s="191" t="s">
        <v>588</v>
      </c>
    </row>
    <row r="406" spans="1:9" ht="20" customHeight="1" x14ac:dyDescent="0.35">
      <c r="A406" s="191" t="s">
        <v>1192</v>
      </c>
      <c r="B406" s="191" t="s">
        <v>752</v>
      </c>
      <c r="C406" s="192">
        <v>45848</v>
      </c>
      <c r="D406" s="199">
        <v>180.8</v>
      </c>
      <c r="E406" s="191" t="s">
        <v>564</v>
      </c>
      <c r="F406" s="191" t="s">
        <v>793</v>
      </c>
      <c r="G406" s="198">
        <v>0</v>
      </c>
      <c r="H406" s="203">
        <v>46302</v>
      </c>
      <c r="I406" s="191" t="s">
        <v>588</v>
      </c>
    </row>
    <row r="407" spans="1:9" ht="20" customHeight="1" x14ac:dyDescent="0.35">
      <c r="A407" s="191" t="s">
        <v>1193</v>
      </c>
      <c r="B407" s="191" t="s">
        <v>752</v>
      </c>
      <c r="C407" s="192">
        <v>45849</v>
      </c>
      <c r="D407" s="199">
        <v>180.67</v>
      </c>
      <c r="E407" s="191" t="s">
        <v>564</v>
      </c>
      <c r="F407" s="191" t="s">
        <v>793</v>
      </c>
      <c r="G407" s="198">
        <v>0</v>
      </c>
      <c r="H407" s="203">
        <v>46302</v>
      </c>
      <c r="I407" s="191" t="s">
        <v>588</v>
      </c>
    </row>
    <row r="408" spans="1:9" ht="20" customHeight="1" x14ac:dyDescent="0.35">
      <c r="A408" s="191" t="s">
        <v>1194</v>
      </c>
      <c r="B408" s="191" t="s">
        <v>752</v>
      </c>
      <c r="C408" s="192">
        <v>45852</v>
      </c>
      <c r="D408" s="199">
        <v>180.27</v>
      </c>
      <c r="E408" s="191" t="s">
        <v>564</v>
      </c>
      <c r="F408" s="191" t="s">
        <v>793</v>
      </c>
      <c r="G408" s="198">
        <v>0</v>
      </c>
      <c r="H408" s="203">
        <v>46302</v>
      </c>
      <c r="I408" s="191" t="s">
        <v>588</v>
      </c>
    </row>
    <row r="409" spans="1:9" ht="20" customHeight="1" x14ac:dyDescent="0.35">
      <c r="A409" s="191" t="s">
        <v>1195</v>
      </c>
      <c r="B409" s="191" t="s">
        <v>752</v>
      </c>
      <c r="C409" s="192">
        <v>45853</v>
      </c>
      <c r="D409" s="199">
        <v>180.13</v>
      </c>
      <c r="E409" s="191" t="s">
        <v>564</v>
      </c>
      <c r="F409" s="191" t="s">
        <v>793</v>
      </c>
      <c r="G409" s="198">
        <v>0</v>
      </c>
      <c r="H409" s="203">
        <v>46302</v>
      </c>
      <c r="I409" s="191" t="s">
        <v>588</v>
      </c>
    </row>
    <row r="410" spans="1:9" ht="20" customHeight="1" x14ac:dyDescent="0.35">
      <c r="A410" s="191" t="s">
        <v>1196</v>
      </c>
      <c r="B410" s="191" t="s">
        <v>752</v>
      </c>
      <c r="C410" s="192">
        <v>45854</v>
      </c>
      <c r="D410" s="199">
        <v>180</v>
      </c>
      <c r="E410" s="191" t="s">
        <v>564</v>
      </c>
      <c r="F410" s="191" t="s">
        <v>793</v>
      </c>
      <c r="G410" s="198">
        <v>0</v>
      </c>
      <c r="H410" s="203">
        <v>46302</v>
      </c>
      <c r="I410" s="191" t="s">
        <v>588</v>
      </c>
    </row>
    <row r="411" spans="1:9" ht="20" customHeight="1" x14ac:dyDescent="0.35">
      <c r="A411" s="191" t="s">
        <v>1197</v>
      </c>
      <c r="B411" s="191" t="s">
        <v>752</v>
      </c>
      <c r="C411" s="192">
        <v>45855</v>
      </c>
      <c r="D411" s="199">
        <v>179.87</v>
      </c>
      <c r="E411" s="191" t="s">
        <v>564</v>
      </c>
      <c r="F411" s="191" t="s">
        <v>793</v>
      </c>
      <c r="G411" s="198">
        <v>0</v>
      </c>
      <c r="H411" s="203">
        <v>46302</v>
      </c>
      <c r="I411" s="191" t="s">
        <v>588</v>
      </c>
    </row>
    <row r="412" spans="1:9" ht="20" customHeight="1" x14ac:dyDescent="0.35">
      <c r="A412" s="191" t="s">
        <v>1198</v>
      </c>
      <c r="B412" s="191" t="s">
        <v>752</v>
      </c>
      <c r="C412" s="192">
        <v>45856</v>
      </c>
      <c r="D412" s="199">
        <v>179.73</v>
      </c>
      <c r="E412" s="191" t="s">
        <v>564</v>
      </c>
      <c r="F412" s="191" t="s">
        <v>793</v>
      </c>
      <c r="G412" s="198">
        <v>0</v>
      </c>
      <c r="H412" s="203">
        <v>46302</v>
      </c>
      <c r="I412" s="191" t="s">
        <v>588</v>
      </c>
    </row>
    <row r="413" spans="1:9" ht="20" customHeight="1" x14ac:dyDescent="0.35">
      <c r="A413" s="191" t="s">
        <v>1199</v>
      </c>
      <c r="B413" s="191" t="s">
        <v>752</v>
      </c>
      <c r="C413" s="192">
        <v>45859</v>
      </c>
      <c r="D413" s="199">
        <v>179.33</v>
      </c>
      <c r="E413" s="191" t="s">
        <v>564</v>
      </c>
      <c r="F413" s="191" t="s">
        <v>793</v>
      </c>
      <c r="G413" s="198">
        <v>0</v>
      </c>
      <c r="H413" s="203">
        <v>46302</v>
      </c>
      <c r="I413" s="191" t="s">
        <v>588</v>
      </c>
    </row>
    <row r="414" spans="1:9" ht="20" customHeight="1" x14ac:dyDescent="0.35">
      <c r="A414" s="191" t="s">
        <v>1200</v>
      </c>
      <c r="B414" s="191" t="s">
        <v>752</v>
      </c>
      <c r="C414" s="192">
        <v>45860</v>
      </c>
      <c r="D414" s="199">
        <v>179.2</v>
      </c>
      <c r="E414" s="191" t="s">
        <v>564</v>
      </c>
      <c r="F414" s="191" t="s">
        <v>793</v>
      </c>
      <c r="G414" s="198">
        <v>0</v>
      </c>
      <c r="H414" s="203">
        <v>46302</v>
      </c>
      <c r="I414" s="191" t="s">
        <v>588</v>
      </c>
    </row>
    <row r="415" spans="1:9" ht="20" customHeight="1" x14ac:dyDescent="0.35">
      <c r="A415" s="191" t="s">
        <v>1201</v>
      </c>
      <c r="B415" s="191" t="s">
        <v>752</v>
      </c>
      <c r="C415" s="192">
        <v>45861</v>
      </c>
      <c r="D415" s="199">
        <v>179.07</v>
      </c>
      <c r="E415" s="191" t="s">
        <v>564</v>
      </c>
      <c r="F415" s="191" t="s">
        <v>793</v>
      </c>
      <c r="G415" s="198">
        <v>0</v>
      </c>
      <c r="H415" s="203">
        <v>46302</v>
      </c>
      <c r="I415" s="191" t="s">
        <v>588</v>
      </c>
    </row>
    <row r="416" spans="1:9" ht="20" customHeight="1" x14ac:dyDescent="0.35">
      <c r="A416" s="191" t="s">
        <v>1202</v>
      </c>
      <c r="B416" s="191" t="s">
        <v>752</v>
      </c>
      <c r="C416" s="192">
        <v>45862</v>
      </c>
      <c r="D416" s="199">
        <v>178.93</v>
      </c>
      <c r="E416" s="191" t="s">
        <v>564</v>
      </c>
      <c r="F416" s="191" t="s">
        <v>793</v>
      </c>
      <c r="G416" s="198">
        <v>0</v>
      </c>
      <c r="H416" s="203">
        <v>46302</v>
      </c>
      <c r="I416" s="191" t="s">
        <v>588</v>
      </c>
    </row>
    <row r="417" spans="1:9" ht="20" customHeight="1" x14ac:dyDescent="0.35">
      <c r="A417" s="191" t="s">
        <v>1203</v>
      </c>
      <c r="B417" s="191" t="s">
        <v>752</v>
      </c>
      <c r="C417" s="192">
        <v>45863</v>
      </c>
      <c r="D417" s="199">
        <v>178.8</v>
      </c>
      <c r="E417" s="191" t="s">
        <v>564</v>
      </c>
      <c r="F417" s="191" t="s">
        <v>793</v>
      </c>
      <c r="G417" s="198">
        <v>0</v>
      </c>
      <c r="H417" s="203">
        <v>46302</v>
      </c>
      <c r="I417" s="191" t="s">
        <v>588</v>
      </c>
    </row>
    <row r="418" spans="1:9" ht="20" customHeight="1" x14ac:dyDescent="0.35">
      <c r="A418" s="191" t="s">
        <v>1204</v>
      </c>
      <c r="B418" s="191" t="s">
        <v>752</v>
      </c>
      <c r="C418" s="192">
        <v>45866</v>
      </c>
      <c r="D418" s="199">
        <v>178.4</v>
      </c>
      <c r="E418" s="191" t="s">
        <v>564</v>
      </c>
      <c r="F418" s="191" t="s">
        <v>793</v>
      </c>
      <c r="G418" s="198">
        <v>0</v>
      </c>
      <c r="H418" s="203">
        <v>46302</v>
      </c>
      <c r="I418" s="191" t="s">
        <v>588</v>
      </c>
    </row>
    <row r="419" spans="1:9" ht="20" customHeight="1" x14ac:dyDescent="0.35">
      <c r="A419" s="191" t="s">
        <v>1205</v>
      </c>
      <c r="B419" s="191" t="s">
        <v>752</v>
      </c>
      <c r="C419" s="192">
        <v>45867</v>
      </c>
      <c r="D419" s="199">
        <v>178.27</v>
      </c>
      <c r="E419" s="191" t="s">
        <v>564</v>
      </c>
      <c r="F419" s="191" t="s">
        <v>793</v>
      </c>
      <c r="G419" s="198">
        <v>0</v>
      </c>
      <c r="H419" s="203">
        <v>46302</v>
      </c>
      <c r="I419" s="191" t="s">
        <v>588</v>
      </c>
    </row>
    <row r="420" spans="1:9" ht="20" customHeight="1" x14ac:dyDescent="0.35">
      <c r="A420" s="191" t="s">
        <v>1206</v>
      </c>
      <c r="B420" s="191" t="s">
        <v>752</v>
      </c>
      <c r="C420" s="192">
        <v>45868</v>
      </c>
      <c r="D420" s="199">
        <v>178.13</v>
      </c>
      <c r="E420" s="191" t="s">
        <v>564</v>
      </c>
      <c r="F420" s="191" t="s">
        <v>793</v>
      </c>
      <c r="G420" s="198">
        <v>0</v>
      </c>
      <c r="H420" s="203">
        <v>46302</v>
      </c>
      <c r="I420" s="191" t="s">
        <v>588</v>
      </c>
    </row>
    <row r="421" spans="1:9" ht="20" customHeight="1" x14ac:dyDescent="0.35">
      <c r="A421" s="191" t="s">
        <v>1207</v>
      </c>
      <c r="B421" s="191" t="s">
        <v>752</v>
      </c>
      <c r="C421" s="192">
        <v>45869</v>
      </c>
      <c r="D421" s="199">
        <v>178</v>
      </c>
      <c r="E421" s="191" t="s">
        <v>564</v>
      </c>
      <c r="F421" s="191" t="s">
        <v>793</v>
      </c>
      <c r="G421" s="198">
        <v>0</v>
      </c>
      <c r="H421" s="203">
        <v>46302</v>
      </c>
      <c r="I421" s="191" t="s">
        <v>588</v>
      </c>
    </row>
    <row r="422" spans="1:9" ht="20" customHeight="1" x14ac:dyDescent="0.35">
      <c r="A422" s="191" t="s">
        <v>1208</v>
      </c>
      <c r="B422" s="191" t="s">
        <v>752</v>
      </c>
      <c r="C422" s="192">
        <v>45870</v>
      </c>
      <c r="D422" s="199">
        <v>178</v>
      </c>
      <c r="E422" s="191" t="s">
        <v>564</v>
      </c>
      <c r="F422" s="191" t="s">
        <v>793</v>
      </c>
      <c r="G422" s="198">
        <v>0</v>
      </c>
      <c r="H422" s="203">
        <v>46302</v>
      </c>
      <c r="I422" s="191" t="s">
        <v>588</v>
      </c>
    </row>
    <row r="423" spans="1:9" ht="20" customHeight="1" x14ac:dyDescent="0.35">
      <c r="A423" s="191" t="s">
        <v>1209</v>
      </c>
      <c r="B423" s="191" t="s">
        <v>752</v>
      </c>
      <c r="C423" s="192">
        <v>45873</v>
      </c>
      <c r="D423" s="199">
        <v>179.1</v>
      </c>
      <c r="E423" s="191" t="s">
        <v>564</v>
      </c>
      <c r="F423" s="191" t="s">
        <v>793</v>
      </c>
      <c r="G423" s="198">
        <v>0</v>
      </c>
      <c r="H423" s="203">
        <v>46302</v>
      </c>
      <c r="I423" s="191" t="s">
        <v>588</v>
      </c>
    </row>
    <row r="424" spans="1:9" ht="20" customHeight="1" x14ac:dyDescent="0.35">
      <c r="A424" s="191" t="s">
        <v>1210</v>
      </c>
      <c r="B424" s="191" t="s">
        <v>752</v>
      </c>
      <c r="C424" s="192">
        <v>45874</v>
      </c>
      <c r="D424" s="199">
        <v>179.47</v>
      </c>
      <c r="E424" s="191" t="s">
        <v>564</v>
      </c>
      <c r="F424" s="191" t="s">
        <v>793</v>
      </c>
      <c r="G424" s="198">
        <v>0</v>
      </c>
      <c r="H424" s="203">
        <v>46302</v>
      </c>
      <c r="I424" s="191" t="s">
        <v>588</v>
      </c>
    </row>
    <row r="425" spans="1:9" ht="20" customHeight="1" x14ac:dyDescent="0.35">
      <c r="A425" s="191" t="s">
        <v>1211</v>
      </c>
      <c r="B425" s="191" t="s">
        <v>752</v>
      </c>
      <c r="C425" s="192">
        <v>45875</v>
      </c>
      <c r="D425" s="199">
        <v>179.83</v>
      </c>
      <c r="E425" s="191" t="s">
        <v>564</v>
      </c>
      <c r="F425" s="191" t="s">
        <v>793</v>
      </c>
      <c r="G425" s="198">
        <v>0</v>
      </c>
      <c r="H425" s="203">
        <v>46302</v>
      </c>
      <c r="I425" s="191" t="s">
        <v>588</v>
      </c>
    </row>
    <row r="426" spans="1:9" ht="20" customHeight="1" x14ac:dyDescent="0.35">
      <c r="A426" s="191" t="s">
        <v>1212</v>
      </c>
      <c r="B426" s="191" t="s">
        <v>752</v>
      </c>
      <c r="C426" s="192">
        <v>45876</v>
      </c>
      <c r="D426" s="199">
        <v>180.2</v>
      </c>
      <c r="E426" s="191" t="s">
        <v>564</v>
      </c>
      <c r="F426" s="191" t="s">
        <v>793</v>
      </c>
      <c r="G426" s="198">
        <v>0</v>
      </c>
      <c r="H426" s="203">
        <v>46302</v>
      </c>
      <c r="I426" s="191" t="s">
        <v>588</v>
      </c>
    </row>
    <row r="427" spans="1:9" ht="20" customHeight="1" x14ac:dyDescent="0.35">
      <c r="A427" s="191" t="s">
        <v>1213</v>
      </c>
      <c r="B427" s="191" t="s">
        <v>752</v>
      </c>
      <c r="C427" s="192">
        <v>45877</v>
      </c>
      <c r="D427" s="199">
        <v>180.57</v>
      </c>
      <c r="E427" s="191" t="s">
        <v>564</v>
      </c>
      <c r="F427" s="191" t="s">
        <v>793</v>
      </c>
      <c r="G427" s="198">
        <v>0</v>
      </c>
      <c r="H427" s="203">
        <v>46302</v>
      </c>
      <c r="I427" s="191" t="s">
        <v>588</v>
      </c>
    </row>
    <row r="428" spans="1:9" ht="20" customHeight="1" x14ac:dyDescent="0.35">
      <c r="A428" s="191" t="s">
        <v>1214</v>
      </c>
      <c r="B428" s="191" t="s">
        <v>752</v>
      </c>
      <c r="C428" s="192">
        <v>45880</v>
      </c>
      <c r="D428" s="199">
        <v>181.67</v>
      </c>
      <c r="E428" s="191" t="s">
        <v>564</v>
      </c>
      <c r="F428" s="191" t="s">
        <v>793</v>
      </c>
      <c r="G428" s="198">
        <v>0</v>
      </c>
      <c r="H428" s="203">
        <v>46302</v>
      </c>
      <c r="I428" s="191" t="s">
        <v>588</v>
      </c>
    </row>
    <row r="429" spans="1:9" ht="20" customHeight="1" x14ac:dyDescent="0.35">
      <c r="A429" s="191" t="s">
        <v>1215</v>
      </c>
      <c r="B429" s="191" t="s">
        <v>752</v>
      </c>
      <c r="C429" s="192">
        <v>45881</v>
      </c>
      <c r="D429" s="199">
        <v>182.03</v>
      </c>
      <c r="E429" s="191" t="s">
        <v>564</v>
      </c>
      <c r="F429" s="191" t="s">
        <v>793</v>
      </c>
      <c r="G429" s="198">
        <v>0</v>
      </c>
      <c r="H429" s="203">
        <v>46302</v>
      </c>
      <c r="I429" s="191" t="s">
        <v>588</v>
      </c>
    </row>
    <row r="430" spans="1:9" ht="20" customHeight="1" x14ac:dyDescent="0.35">
      <c r="A430" s="191" t="s">
        <v>1216</v>
      </c>
      <c r="B430" s="191" t="s">
        <v>752</v>
      </c>
      <c r="C430" s="192">
        <v>45882</v>
      </c>
      <c r="D430" s="199">
        <v>182.4</v>
      </c>
      <c r="E430" s="191" t="s">
        <v>564</v>
      </c>
      <c r="F430" s="191" t="s">
        <v>793</v>
      </c>
      <c r="G430" s="198">
        <v>0</v>
      </c>
      <c r="H430" s="203">
        <v>46302</v>
      </c>
      <c r="I430" s="191" t="s">
        <v>588</v>
      </c>
    </row>
    <row r="431" spans="1:9" ht="20" customHeight="1" x14ac:dyDescent="0.35">
      <c r="A431" s="191" t="s">
        <v>1217</v>
      </c>
      <c r="B431" s="191" t="s">
        <v>752</v>
      </c>
      <c r="C431" s="192">
        <v>45883</v>
      </c>
      <c r="D431" s="199">
        <v>182.77</v>
      </c>
      <c r="E431" s="191" t="s">
        <v>564</v>
      </c>
      <c r="F431" s="191" t="s">
        <v>793</v>
      </c>
      <c r="G431" s="198">
        <v>0</v>
      </c>
      <c r="H431" s="203">
        <v>46302</v>
      </c>
      <c r="I431" s="191" t="s">
        <v>588</v>
      </c>
    </row>
    <row r="432" spans="1:9" ht="20" customHeight="1" x14ac:dyDescent="0.35">
      <c r="A432" s="191" t="s">
        <v>1218</v>
      </c>
      <c r="B432" s="191" t="s">
        <v>752</v>
      </c>
      <c r="C432" s="192">
        <v>45884</v>
      </c>
      <c r="D432" s="199">
        <v>183.13</v>
      </c>
      <c r="E432" s="191" t="s">
        <v>564</v>
      </c>
      <c r="F432" s="191" t="s">
        <v>793</v>
      </c>
      <c r="G432" s="198">
        <v>0</v>
      </c>
      <c r="H432" s="203">
        <v>46302</v>
      </c>
      <c r="I432" s="191" t="s">
        <v>588</v>
      </c>
    </row>
    <row r="433" spans="1:9" ht="20" customHeight="1" x14ac:dyDescent="0.35">
      <c r="A433" s="191" t="s">
        <v>1219</v>
      </c>
      <c r="B433" s="191" t="s">
        <v>752</v>
      </c>
      <c r="C433" s="192">
        <v>45887</v>
      </c>
      <c r="D433" s="199">
        <v>184.23</v>
      </c>
      <c r="E433" s="191" t="s">
        <v>564</v>
      </c>
      <c r="F433" s="191" t="s">
        <v>793</v>
      </c>
      <c r="G433" s="198">
        <v>0</v>
      </c>
      <c r="H433" s="203">
        <v>46302</v>
      </c>
      <c r="I433" s="191" t="s">
        <v>588</v>
      </c>
    </row>
    <row r="434" spans="1:9" ht="20" customHeight="1" x14ac:dyDescent="0.35">
      <c r="A434" s="191" t="s">
        <v>1220</v>
      </c>
      <c r="B434" s="191" t="s">
        <v>752</v>
      </c>
      <c r="C434" s="192">
        <v>45888</v>
      </c>
      <c r="D434" s="199">
        <v>184.6</v>
      </c>
      <c r="E434" s="191" t="s">
        <v>564</v>
      </c>
      <c r="F434" s="191" t="s">
        <v>793</v>
      </c>
      <c r="G434" s="198">
        <v>0</v>
      </c>
      <c r="H434" s="203">
        <v>46302</v>
      </c>
      <c r="I434" s="191" t="s">
        <v>588</v>
      </c>
    </row>
    <row r="435" spans="1:9" ht="20" customHeight="1" x14ac:dyDescent="0.35">
      <c r="A435" s="191" t="s">
        <v>1221</v>
      </c>
      <c r="B435" s="191" t="s">
        <v>752</v>
      </c>
      <c r="C435" s="192">
        <v>45889</v>
      </c>
      <c r="D435" s="199">
        <v>184.97</v>
      </c>
      <c r="E435" s="191" t="s">
        <v>564</v>
      </c>
      <c r="F435" s="191" t="s">
        <v>793</v>
      </c>
      <c r="G435" s="198">
        <v>0</v>
      </c>
      <c r="H435" s="203">
        <v>46302</v>
      </c>
      <c r="I435" s="191" t="s">
        <v>588</v>
      </c>
    </row>
    <row r="436" spans="1:9" ht="20" customHeight="1" x14ac:dyDescent="0.35">
      <c r="A436" s="191" t="s">
        <v>1222</v>
      </c>
      <c r="B436" s="191" t="s">
        <v>752</v>
      </c>
      <c r="C436" s="192">
        <v>45890</v>
      </c>
      <c r="D436" s="199">
        <v>185.33</v>
      </c>
      <c r="E436" s="191" t="s">
        <v>564</v>
      </c>
      <c r="F436" s="191" t="s">
        <v>793</v>
      </c>
      <c r="G436" s="198">
        <v>0</v>
      </c>
      <c r="H436" s="203">
        <v>46302</v>
      </c>
      <c r="I436" s="191" t="s">
        <v>588</v>
      </c>
    </row>
    <row r="437" spans="1:9" ht="20" customHeight="1" x14ac:dyDescent="0.35">
      <c r="A437" s="191" t="s">
        <v>1223</v>
      </c>
      <c r="B437" s="191" t="s">
        <v>752</v>
      </c>
      <c r="C437" s="192">
        <v>45891</v>
      </c>
      <c r="D437" s="199">
        <v>185.7</v>
      </c>
      <c r="E437" s="191" t="s">
        <v>564</v>
      </c>
      <c r="F437" s="191" t="s">
        <v>793</v>
      </c>
      <c r="G437" s="198">
        <v>0</v>
      </c>
      <c r="H437" s="203">
        <v>46302</v>
      </c>
      <c r="I437" s="191" t="s">
        <v>588</v>
      </c>
    </row>
    <row r="438" spans="1:9" ht="20" customHeight="1" x14ac:dyDescent="0.35">
      <c r="A438" s="191" t="s">
        <v>1224</v>
      </c>
      <c r="B438" s="191" t="s">
        <v>752</v>
      </c>
      <c r="C438" s="192">
        <v>45894</v>
      </c>
      <c r="D438" s="199">
        <v>186.8</v>
      </c>
      <c r="E438" s="191" t="s">
        <v>564</v>
      </c>
      <c r="F438" s="191" t="s">
        <v>793</v>
      </c>
      <c r="G438" s="198">
        <v>0</v>
      </c>
      <c r="H438" s="203">
        <v>46302</v>
      </c>
      <c r="I438" s="191" t="s">
        <v>588</v>
      </c>
    </row>
    <row r="439" spans="1:9" ht="20" customHeight="1" x14ac:dyDescent="0.35">
      <c r="A439" s="191" t="s">
        <v>1225</v>
      </c>
      <c r="B439" s="191" t="s">
        <v>752</v>
      </c>
      <c r="C439" s="192">
        <v>45895</v>
      </c>
      <c r="D439" s="199">
        <v>187.17</v>
      </c>
      <c r="E439" s="191" t="s">
        <v>564</v>
      </c>
      <c r="F439" s="191" t="s">
        <v>793</v>
      </c>
      <c r="G439" s="198">
        <v>0</v>
      </c>
      <c r="H439" s="203">
        <v>46302</v>
      </c>
      <c r="I439" s="191" t="s">
        <v>588</v>
      </c>
    </row>
    <row r="440" spans="1:9" ht="20" customHeight="1" x14ac:dyDescent="0.35">
      <c r="A440" s="191" t="s">
        <v>1226</v>
      </c>
      <c r="B440" s="191" t="s">
        <v>752</v>
      </c>
      <c r="C440" s="192">
        <v>45896</v>
      </c>
      <c r="D440" s="199">
        <v>187.53</v>
      </c>
      <c r="E440" s="191" t="s">
        <v>564</v>
      </c>
      <c r="F440" s="191" t="s">
        <v>793</v>
      </c>
      <c r="G440" s="198">
        <v>0</v>
      </c>
      <c r="H440" s="203">
        <v>46302</v>
      </c>
      <c r="I440" s="191" t="s">
        <v>588</v>
      </c>
    </row>
    <row r="441" spans="1:9" ht="20" customHeight="1" x14ac:dyDescent="0.35">
      <c r="A441" s="191" t="s">
        <v>1227</v>
      </c>
      <c r="B441" s="191" t="s">
        <v>752</v>
      </c>
      <c r="C441" s="192">
        <v>45897</v>
      </c>
      <c r="D441" s="199">
        <v>187.9</v>
      </c>
      <c r="E441" s="191" t="s">
        <v>564</v>
      </c>
      <c r="F441" s="191" t="s">
        <v>793</v>
      </c>
      <c r="G441" s="198">
        <v>0</v>
      </c>
      <c r="H441" s="203">
        <v>46302</v>
      </c>
      <c r="I441" s="191" t="s">
        <v>588</v>
      </c>
    </row>
    <row r="442" spans="1:9" ht="20" customHeight="1" x14ac:dyDescent="0.35">
      <c r="A442" s="191" t="s">
        <v>1228</v>
      </c>
      <c r="B442" s="191" t="s">
        <v>752</v>
      </c>
      <c r="C442" s="192">
        <v>45898</v>
      </c>
      <c r="D442" s="199">
        <v>188.27</v>
      </c>
      <c r="E442" s="191" t="s">
        <v>564</v>
      </c>
      <c r="F442" s="191" t="s">
        <v>793</v>
      </c>
      <c r="G442" s="198">
        <v>0</v>
      </c>
      <c r="H442" s="203">
        <v>46302</v>
      </c>
      <c r="I442" s="191" t="s">
        <v>588</v>
      </c>
    </row>
    <row r="443" spans="1:9" ht="20" customHeight="1" x14ac:dyDescent="0.35">
      <c r="A443" s="191" t="s">
        <v>1229</v>
      </c>
      <c r="B443" s="191" t="s">
        <v>752</v>
      </c>
      <c r="C443" s="192">
        <v>45901</v>
      </c>
      <c r="D443" s="199">
        <v>186</v>
      </c>
      <c r="E443" s="191" t="s">
        <v>564</v>
      </c>
      <c r="F443" s="191" t="s">
        <v>793</v>
      </c>
      <c r="G443" s="198">
        <v>0</v>
      </c>
      <c r="H443" s="203">
        <v>46302</v>
      </c>
      <c r="I443" s="191" t="s">
        <v>588</v>
      </c>
    </row>
    <row r="444" spans="1:9" ht="20" customHeight="1" x14ac:dyDescent="0.35">
      <c r="A444" s="191" t="s">
        <v>1230</v>
      </c>
      <c r="B444" s="191" t="s">
        <v>752</v>
      </c>
      <c r="C444" s="192">
        <v>45902</v>
      </c>
      <c r="D444" s="199">
        <v>185.69</v>
      </c>
      <c r="E444" s="191" t="s">
        <v>564</v>
      </c>
      <c r="F444" s="191" t="s">
        <v>793</v>
      </c>
      <c r="G444" s="198">
        <v>0</v>
      </c>
      <c r="H444" s="203">
        <v>46302</v>
      </c>
      <c r="I444" s="191" t="s">
        <v>588</v>
      </c>
    </row>
    <row r="445" spans="1:9" ht="20" customHeight="1" x14ac:dyDescent="0.35">
      <c r="A445" s="191" t="s">
        <v>1231</v>
      </c>
      <c r="B445" s="191" t="s">
        <v>752</v>
      </c>
      <c r="C445" s="192">
        <v>45903</v>
      </c>
      <c r="D445" s="199">
        <v>185.38</v>
      </c>
      <c r="E445" s="191" t="s">
        <v>564</v>
      </c>
      <c r="F445" s="191" t="s">
        <v>793</v>
      </c>
      <c r="G445" s="198">
        <v>0</v>
      </c>
      <c r="H445" s="203">
        <v>46302</v>
      </c>
      <c r="I445" s="191" t="s">
        <v>588</v>
      </c>
    </row>
    <row r="446" spans="1:9" ht="20" customHeight="1" x14ac:dyDescent="0.35">
      <c r="A446" s="191" t="s">
        <v>1232</v>
      </c>
      <c r="B446" s="191" t="s">
        <v>752</v>
      </c>
      <c r="C446" s="192">
        <v>45904</v>
      </c>
      <c r="D446" s="199">
        <v>185.07</v>
      </c>
      <c r="E446" s="191" t="s">
        <v>564</v>
      </c>
      <c r="F446" s="191" t="s">
        <v>793</v>
      </c>
      <c r="G446" s="198">
        <v>0</v>
      </c>
      <c r="H446" s="203">
        <v>46302</v>
      </c>
      <c r="I446" s="191" t="s">
        <v>588</v>
      </c>
    </row>
    <row r="447" spans="1:9" ht="20" customHeight="1" x14ac:dyDescent="0.35">
      <c r="A447" s="191" t="s">
        <v>1233</v>
      </c>
      <c r="B447" s="191" t="s">
        <v>752</v>
      </c>
      <c r="C447" s="192">
        <v>45905</v>
      </c>
      <c r="D447" s="199">
        <v>184.76</v>
      </c>
      <c r="E447" s="191" t="s">
        <v>564</v>
      </c>
      <c r="F447" s="191" t="s">
        <v>793</v>
      </c>
      <c r="G447" s="198">
        <v>0</v>
      </c>
      <c r="H447" s="203">
        <v>46302</v>
      </c>
      <c r="I447" s="191" t="s">
        <v>588</v>
      </c>
    </row>
    <row r="448" spans="1:9" ht="20" customHeight="1" x14ac:dyDescent="0.35">
      <c r="A448" s="191" t="s">
        <v>1234</v>
      </c>
      <c r="B448" s="191" t="s">
        <v>752</v>
      </c>
      <c r="C448" s="192">
        <v>45908</v>
      </c>
      <c r="D448" s="199">
        <v>183.83</v>
      </c>
      <c r="E448" s="191" t="s">
        <v>564</v>
      </c>
      <c r="F448" s="191" t="s">
        <v>793</v>
      </c>
      <c r="G448" s="198">
        <v>0</v>
      </c>
      <c r="H448" s="203">
        <v>46302</v>
      </c>
      <c r="I448" s="191" t="s">
        <v>588</v>
      </c>
    </row>
    <row r="449" spans="1:9" ht="20" customHeight="1" x14ac:dyDescent="0.35">
      <c r="A449" s="191" t="s">
        <v>1235</v>
      </c>
      <c r="B449" s="191" t="s">
        <v>752</v>
      </c>
      <c r="C449" s="192">
        <v>45909</v>
      </c>
      <c r="D449" s="199">
        <v>183.52</v>
      </c>
      <c r="E449" s="191" t="s">
        <v>564</v>
      </c>
      <c r="F449" s="191" t="s">
        <v>793</v>
      </c>
      <c r="G449" s="198">
        <v>0</v>
      </c>
      <c r="H449" s="203">
        <v>46302</v>
      </c>
      <c r="I449" s="191" t="s">
        <v>588</v>
      </c>
    </row>
    <row r="450" spans="1:9" ht="20" customHeight="1" x14ac:dyDescent="0.35">
      <c r="A450" s="191" t="s">
        <v>1236</v>
      </c>
      <c r="B450" s="191" t="s">
        <v>752</v>
      </c>
      <c r="C450" s="192">
        <v>45910</v>
      </c>
      <c r="D450" s="199">
        <v>183.21</v>
      </c>
      <c r="E450" s="191" t="s">
        <v>564</v>
      </c>
      <c r="F450" s="191" t="s">
        <v>793</v>
      </c>
      <c r="G450" s="198">
        <v>0</v>
      </c>
      <c r="H450" s="203">
        <v>46302</v>
      </c>
      <c r="I450" s="191" t="s">
        <v>588</v>
      </c>
    </row>
    <row r="451" spans="1:9" ht="20" customHeight="1" x14ac:dyDescent="0.35">
      <c r="A451" s="191" t="s">
        <v>1237</v>
      </c>
      <c r="B451" s="191" t="s">
        <v>752</v>
      </c>
      <c r="C451" s="192">
        <v>45911</v>
      </c>
      <c r="D451" s="199">
        <v>182.9</v>
      </c>
      <c r="E451" s="191" t="s">
        <v>564</v>
      </c>
      <c r="F451" s="191" t="s">
        <v>793</v>
      </c>
      <c r="G451" s="198">
        <v>0</v>
      </c>
      <c r="H451" s="203">
        <v>46302</v>
      </c>
      <c r="I451" s="191" t="s">
        <v>588</v>
      </c>
    </row>
    <row r="452" spans="1:9" ht="20" customHeight="1" x14ac:dyDescent="0.35">
      <c r="A452" s="191" t="s">
        <v>1238</v>
      </c>
      <c r="B452" s="191" t="s">
        <v>752</v>
      </c>
      <c r="C452" s="192">
        <v>45912</v>
      </c>
      <c r="D452" s="199">
        <v>182.59</v>
      </c>
      <c r="E452" s="191" t="s">
        <v>564</v>
      </c>
      <c r="F452" s="191" t="s">
        <v>793</v>
      </c>
      <c r="G452" s="198">
        <v>0</v>
      </c>
      <c r="H452" s="203">
        <v>46302</v>
      </c>
      <c r="I452" s="191" t="s">
        <v>588</v>
      </c>
    </row>
    <row r="453" spans="1:9" ht="20" customHeight="1" x14ac:dyDescent="0.35">
      <c r="A453" s="191" t="s">
        <v>1239</v>
      </c>
      <c r="B453" s="191" t="s">
        <v>752</v>
      </c>
      <c r="C453" s="192">
        <v>45915</v>
      </c>
      <c r="D453" s="199">
        <v>181.66</v>
      </c>
      <c r="E453" s="191" t="s">
        <v>564</v>
      </c>
      <c r="F453" s="191" t="s">
        <v>793</v>
      </c>
      <c r="G453" s="198">
        <v>0</v>
      </c>
      <c r="H453" s="203">
        <v>46302</v>
      </c>
      <c r="I453" s="191" t="s">
        <v>588</v>
      </c>
    </row>
    <row r="454" spans="1:9" ht="20" customHeight="1" x14ac:dyDescent="0.35">
      <c r="A454" s="191" t="s">
        <v>1240</v>
      </c>
      <c r="B454" s="191" t="s">
        <v>752</v>
      </c>
      <c r="C454" s="192">
        <v>45916</v>
      </c>
      <c r="D454" s="199">
        <v>181.34</v>
      </c>
      <c r="E454" s="191" t="s">
        <v>564</v>
      </c>
      <c r="F454" s="191" t="s">
        <v>793</v>
      </c>
      <c r="G454" s="198">
        <v>0</v>
      </c>
      <c r="H454" s="203">
        <v>46302</v>
      </c>
      <c r="I454" s="191" t="s">
        <v>588</v>
      </c>
    </row>
    <row r="455" spans="1:9" ht="20" customHeight="1" x14ac:dyDescent="0.35">
      <c r="A455" s="191" t="s">
        <v>1241</v>
      </c>
      <c r="B455" s="191" t="s">
        <v>752</v>
      </c>
      <c r="C455" s="192">
        <v>45917</v>
      </c>
      <c r="D455" s="199">
        <v>181.03</v>
      </c>
      <c r="E455" s="191" t="s">
        <v>564</v>
      </c>
      <c r="F455" s="191" t="s">
        <v>793</v>
      </c>
      <c r="G455" s="198">
        <v>0</v>
      </c>
      <c r="H455" s="203">
        <v>46302</v>
      </c>
      <c r="I455" s="191" t="s">
        <v>588</v>
      </c>
    </row>
    <row r="456" spans="1:9" ht="20" customHeight="1" x14ac:dyDescent="0.35">
      <c r="A456" s="191" t="s">
        <v>1242</v>
      </c>
      <c r="B456" s="191" t="s">
        <v>752</v>
      </c>
      <c r="C456" s="192">
        <v>45918</v>
      </c>
      <c r="D456" s="199">
        <v>180.72</v>
      </c>
      <c r="E456" s="191" t="s">
        <v>564</v>
      </c>
      <c r="F456" s="191" t="s">
        <v>793</v>
      </c>
      <c r="G456" s="198">
        <v>0</v>
      </c>
      <c r="H456" s="203">
        <v>46302</v>
      </c>
      <c r="I456" s="191" t="s">
        <v>588</v>
      </c>
    </row>
    <row r="457" spans="1:9" ht="20" customHeight="1" x14ac:dyDescent="0.35">
      <c r="A457" s="191" t="s">
        <v>1243</v>
      </c>
      <c r="B457" s="191" t="s">
        <v>752</v>
      </c>
      <c r="C457" s="192">
        <v>45919</v>
      </c>
      <c r="D457" s="199">
        <v>180.41</v>
      </c>
      <c r="E457" s="191" t="s">
        <v>564</v>
      </c>
      <c r="F457" s="191" t="s">
        <v>793</v>
      </c>
      <c r="G457" s="198">
        <v>0</v>
      </c>
      <c r="H457" s="203">
        <v>46302</v>
      </c>
      <c r="I457" s="191" t="s">
        <v>588</v>
      </c>
    </row>
    <row r="458" spans="1:9" ht="20" customHeight="1" x14ac:dyDescent="0.35">
      <c r="A458" s="191" t="s">
        <v>1244</v>
      </c>
      <c r="B458" s="191" t="s">
        <v>752</v>
      </c>
      <c r="C458" s="192">
        <v>45922</v>
      </c>
      <c r="D458" s="199">
        <v>179.48</v>
      </c>
      <c r="E458" s="191" t="s">
        <v>564</v>
      </c>
      <c r="F458" s="191" t="s">
        <v>793</v>
      </c>
      <c r="G458" s="198">
        <v>0</v>
      </c>
      <c r="H458" s="203">
        <v>46302</v>
      </c>
      <c r="I458" s="191" t="s">
        <v>588</v>
      </c>
    </row>
    <row r="459" spans="1:9" ht="20" customHeight="1" x14ac:dyDescent="0.35">
      <c r="A459" s="191" t="s">
        <v>1245</v>
      </c>
      <c r="B459" s="191" t="s">
        <v>752</v>
      </c>
      <c r="C459" s="192">
        <v>45923</v>
      </c>
      <c r="D459" s="199">
        <v>179.17</v>
      </c>
      <c r="E459" s="191" t="s">
        <v>564</v>
      </c>
      <c r="F459" s="191" t="s">
        <v>793</v>
      </c>
      <c r="G459" s="198">
        <v>0</v>
      </c>
      <c r="H459" s="203">
        <v>46302</v>
      </c>
      <c r="I459" s="191" t="s">
        <v>588</v>
      </c>
    </row>
    <row r="460" spans="1:9" ht="20" customHeight="1" x14ac:dyDescent="0.35">
      <c r="A460" s="191" t="s">
        <v>1246</v>
      </c>
      <c r="B460" s="191" t="s">
        <v>752</v>
      </c>
      <c r="C460" s="192">
        <v>45924</v>
      </c>
      <c r="D460" s="199">
        <v>178.86</v>
      </c>
      <c r="E460" s="191" t="s">
        <v>564</v>
      </c>
      <c r="F460" s="191" t="s">
        <v>793</v>
      </c>
      <c r="G460" s="198">
        <v>0</v>
      </c>
      <c r="H460" s="203">
        <v>46302</v>
      </c>
      <c r="I460" s="191" t="s">
        <v>588</v>
      </c>
    </row>
    <row r="461" spans="1:9" ht="20" customHeight="1" x14ac:dyDescent="0.35">
      <c r="A461" s="191" t="s">
        <v>1247</v>
      </c>
      <c r="B461" s="191" t="s">
        <v>752</v>
      </c>
      <c r="C461" s="192">
        <v>45925</v>
      </c>
      <c r="D461" s="199">
        <v>178.55</v>
      </c>
      <c r="E461" s="191" t="s">
        <v>564</v>
      </c>
      <c r="F461" s="191" t="s">
        <v>793</v>
      </c>
      <c r="G461" s="198">
        <v>0</v>
      </c>
      <c r="H461" s="203">
        <v>46302</v>
      </c>
      <c r="I461" s="191" t="s">
        <v>588</v>
      </c>
    </row>
    <row r="462" spans="1:9" ht="20" customHeight="1" x14ac:dyDescent="0.35">
      <c r="A462" s="191" t="s">
        <v>1248</v>
      </c>
      <c r="B462" s="191" t="s">
        <v>752</v>
      </c>
      <c r="C462" s="192">
        <v>45926</v>
      </c>
      <c r="D462" s="199">
        <v>178.24</v>
      </c>
      <c r="E462" s="191" t="s">
        <v>564</v>
      </c>
      <c r="F462" s="191" t="s">
        <v>793</v>
      </c>
      <c r="G462" s="198">
        <v>0</v>
      </c>
      <c r="H462" s="203">
        <v>46302</v>
      </c>
      <c r="I462" s="191" t="s">
        <v>588</v>
      </c>
    </row>
    <row r="463" spans="1:9" ht="20" customHeight="1" x14ac:dyDescent="0.35">
      <c r="A463" s="191" t="s">
        <v>1249</v>
      </c>
      <c r="B463" s="191" t="s">
        <v>752</v>
      </c>
      <c r="C463" s="192">
        <v>45929</v>
      </c>
      <c r="D463" s="199">
        <v>177.31</v>
      </c>
      <c r="E463" s="191" t="s">
        <v>564</v>
      </c>
      <c r="F463" s="191" t="s">
        <v>793</v>
      </c>
      <c r="G463" s="198">
        <v>0</v>
      </c>
      <c r="H463" s="203">
        <v>46302</v>
      </c>
      <c r="I463" s="191" t="s">
        <v>588</v>
      </c>
    </row>
    <row r="464" spans="1:9" ht="20" customHeight="1" x14ac:dyDescent="0.35">
      <c r="A464" s="191" t="s">
        <v>1250</v>
      </c>
      <c r="B464" s="191" t="s">
        <v>752</v>
      </c>
      <c r="C464" s="192">
        <v>45930</v>
      </c>
      <c r="D464" s="199">
        <v>177</v>
      </c>
      <c r="E464" s="191" t="s">
        <v>564</v>
      </c>
      <c r="F464" s="191" t="s">
        <v>793</v>
      </c>
      <c r="G464" s="198">
        <v>0</v>
      </c>
      <c r="H464" s="203">
        <v>46302</v>
      </c>
      <c r="I464" s="191" t="s">
        <v>588</v>
      </c>
    </row>
    <row r="465" spans="1:9" ht="20" customHeight="1" x14ac:dyDescent="0.35">
      <c r="A465" s="191" t="s">
        <v>1251</v>
      </c>
      <c r="B465" s="191" t="s">
        <v>752</v>
      </c>
      <c r="C465" s="192">
        <v>45931</v>
      </c>
      <c r="D465" s="199">
        <v>177</v>
      </c>
      <c r="E465" s="191" t="s">
        <v>564</v>
      </c>
      <c r="F465" s="191" t="s">
        <v>793</v>
      </c>
      <c r="G465" s="198">
        <v>0</v>
      </c>
      <c r="H465" s="203">
        <v>46302</v>
      </c>
      <c r="I465" s="191" t="s">
        <v>588</v>
      </c>
    </row>
    <row r="466" spans="1:9" ht="20" customHeight="1" x14ac:dyDescent="0.35">
      <c r="A466" s="191" t="s">
        <v>1252</v>
      </c>
      <c r="B466" s="191" t="s">
        <v>752</v>
      </c>
      <c r="C466" s="192">
        <v>45932</v>
      </c>
      <c r="D466" s="199">
        <v>177.13</v>
      </c>
      <c r="E466" s="191" t="s">
        <v>564</v>
      </c>
      <c r="F466" s="191" t="s">
        <v>793</v>
      </c>
      <c r="G466" s="198">
        <v>0</v>
      </c>
      <c r="H466" s="203">
        <v>46302</v>
      </c>
      <c r="I466" s="191" t="s">
        <v>588</v>
      </c>
    </row>
    <row r="467" spans="1:9" ht="20" customHeight="1" x14ac:dyDescent="0.35">
      <c r="A467" s="191" t="s">
        <v>1253</v>
      </c>
      <c r="B467" s="191" t="s">
        <v>752</v>
      </c>
      <c r="C467" s="192">
        <v>45933</v>
      </c>
      <c r="D467" s="199">
        <v>177.27</v>
      </c>
      <c r="E467" s="191" t="s">
        <v>564</v>
      </c>
      <c r="F467" s="191" t="s">
        <v>793</v>
      </c>
      <c r="G467" s="198">
        <v>0</v>
      </c>
      <c r="H467" s="203">
        <v>46302</v>
      </c>
      <c r="I467" s="191" t="s">
        <v>588</v>
      </c>
    </row>
    <row r="468" spans="1:9" ht="20" customHeight="1" x14ac:dyDescent="0.35">
      <c r="A468" s="191" t="s">
        <v>1254</v>
      </c>
      <c r="B468" s="191" t="s">
        <v>752</v>
      </c>
      <c r="C468" s="192">
        <v>45936</v>
      </c>
      <c r="D468" s="199">
        <v>177.67</v>
      </c>
      <c r="E468" s="191" t="s">
        <v>564</v>
      </c>
      <c r="F468" s="191" t="s">
        <v>793</v>
      </c>
      <c r="G468" s="198">
        <v>0</v>
      </c>
      <c r="H468" s="203">
        <v>46302</v>
      </c>
      <c r="I468" s="191" t="s">
        <v>588</v>
      </c>
    </row>
    <row r="469" spans="1:9" ht="20" customHeight="1" x14ac:dyDescent="0.35">
      <c r="A469" s="191" t="s">
        <v>1255</v>
      </c>
      <c r="B469" s="191" t="s">
        <v>752</v>
      </c>
      <c r="C469" s="192">
        <v>45937</v>
      </c>
      <c r="D469" s="199">
        <v>177.8</v>
      </c>
      <c r="E469" s="191" t="s">
        <v>564</v>
      </c>
      <c r="F469" s="191" t="s">
        <v>793</v>
      </c>
      <c r="G469" s="198">
        <v>0</v>
      </c>
      <c r="H469" s="203">
        <v>46302</v>
      </c>
      <c r="I469" s="191" t="s">
        <v>588</v>
      </c>
    </row>
    <row r="470" spans="1:9" ht="20" customHeight="1" x14ac:dyDescent="0.35">
      <c r="A470" s="191" t="s">
        <v>1256</v>
      </c>
      <c r="B470" s="191" t="s">
        <v>752</v>
      </c>
      <c r="C470" s="192">
        <v>45938</v>
      </c>
      <c r="D470" s="199">
        <v>177.93</v>
      </c>
      <c r="E470" s="191" t="s">
        <v>564</v>
      </c>
      <c r="F470" s="191" t="s">
        <v>793</v>
      </c>
      <c r="G470" s="198">
        <v>0</v>
      </c>
      <c r="H470" s="203">
        <v>46302</v>
      </c>
      <c r="I470" s="191" t="s">
        <v>588</v>
      </c>
    </row>
    <row r="471" spans="1:9" ht="20" customHeight="1" x14ac:dyDescent="0.35">
      <c r="A471" s="191" t="s">
        <v>1257</v>
      </c>
      <c r="B471" s="191" t="s">
        <v>752</v>
      </c>
      <c r="C471" s="192">
        <v>45939</v>
      </c>
      <c r="D471" s="199">
        <v>178.07</v>
      </c>
      <c r="E471" s="191" t="s">
        <v>564</v>
      </c>
      <c r="F471" s="191" t="s">
        <v>793</v>
      </c>
      <c r="G471" s="198">
        <v>0</v>
      </c>
      <c r="H471" s="203">
        <v>46302</v>
      </c>
      <c r="I471" s="191" t="s">
        <v>588</v>
      </c>
    </row>
    <row r="472" spans="1:9" ht="20" customHeight="1" x14ac:dyDescent="0.35">
      <c r="A472" s="191" t="s">
        <v>1258</v>
      </c>
      <c r="B472" s="191" t="s">
        <v>752</v>
      </c>
      <c r="C472" s="192">
        <v>45940</v>
      </c>
      <c r="D472" s="199">
        <v>178.2</v>
      </c>
      <c r="E472" s="191" t="s">
        <v>564</v>
      </c>
      <c r="F472" s="191" t="s">
        <v>793</v>
      </c>
      <c r="G472" s="198">
        <v>0</v>
      </c>
      <c r="H472" s="203">
        <v>46302</v>
      </c>
      <c r="I472" s="191" t="s">
        <v>588</v>
      </c>
    </row>
    <row r="473" spans="1:9" ht="20" customHeight="1" x14ac:dyDescent="0.35">
      <c r="A473" s="191" t="s">
        <v>1259</v>
      </c>
      <c r="B473" s="191" t="s">
        <v>752</v>
      </c>
      <c r="C473" s="192">
        <v>45943</v>
      </c>
      <c r="D473" s="199">
        <v>178.6</v>
      </c>
      <c r="E473" s="191" t="s">
        <v>564</v>
      </c>
      <c r="F473" s="191" t="s">
        <v>793</v>
      </c>
      <c r="G473" s="198">
        <v>0</v>
      </c>
      <c r="H473" s="203">
        <v>46302</v>
      </c>
      <c r="I473" s="191" t="s">
        <v>588</v>
      </c>
    </row>
    <row r="474" spans="1:9" ht="20" customHeight="1" x14ac:dyDescent="0.35">
      <c r="A474" s="191" t="s">
        <v>1260</v>
      </c>
      <c r="B474" s="191" t="s">
        <v>752</v>
      </c>
      <c r="C474" s="192">
        <v>45944</v>
      </c>
      <c r="D474" s="199">
        <v>178.73</v>
      </c>
      <c r="E474" s="191" t="s">
        <v>564</v>
      </c>
      <c r="F474" s="191" t="s">
        <v>793</v>
      </c>
      <c r="G474" s="198">
        <v>0</v>
      </c>
      <c r="H474" s="203">
        <v>46302</v>
      </c>
      <c r="I474" s="191" t="s">
        <v>588</v>
      </c>
    </row>
    <row r="475" spans="1:9" ht="20" customHeight="1" x14ac:dyDescent="0.35">
      <c r="A475" s="191" t="s">
        <v>1261</v>
      </c>
      <c r="B475" s="191" t="s">
        <v>752</v>
      </c>
      <c r="C475" s="192">
        <v>45945</v>
      </c>
      <c r="D475" s="199">
        <v>178.87</v>
      </c>
      <c r="E475" s="191" t="s">
        <v>564</v>
      </c>
      <c r="F475" s="191" t="s">
        <v>793</v>
      </c>
      <c r="G475" s="198">
        <v>0</v>
      </c>
      <c r="H475" s="203">
        <v>46302</v>
      </c>
      <c r="I475" s="191" t="s">
        <v>588</v>
      </c>
    </row>
    <row r="476" spans="1:9" ht="20" customHeight="1" x14ac:dyDescent="0.35">
      <c r="A476" s="191" t="s">
        <v>1262</v>
      </c>
      <c r="B476" s="191" t="s">
        <v>752</v>
      </c>
      <c r="C476" s="192">
        <v>45946</v>
      </c>
      <c r="D476" s="199">
        <v>179</v>
      </c>
      <c r="E476" s="191" t="s">
        <v>564</v>
      </c>
      <c r="F476" s="191" t="s">
        <v>793</v>
      </c>
      <c r="G476" s="198">
        <v>0</v>
      </c>
      <c r="H476" s="203">
        <v>46302</v>
      </c>
      <c r="I476" s="191" t="s">
        <v>588</v>
      </c>
    </row>
    <row r="477" spans="1:9" ht="20" customHeight="1" x14ac:dyDescent="0.35">
      <c r="A477" s="191" t="s">
        <v>1263</v>
      </c>
      <c r="B477" s="191" t="s">
        <v>752</v>
      </c>
      <c r="C477" s="192">
        <v>45947</v>
      </c>
      <c r="D477" s="199">
        <v>179.13</v>
      </c>
      <c r="E477" s="191" t="s">
        <v>564</v>
      </c>
      <c r="F477" s="191" t="s">
        <v>793</v>
      </c>
      <c r="G477" s="198">
        <v>0</v>
      </c>
      <c r="H477" s="203">
        <v>46302</v>
      </c>
      <c r="I477" s="191" t="s">
        <v>588</v>
      </c>
    </row>
    <row r="478" spans="1:9" ht="20" customHeight="1" x14ac:dyDescent="0.35">
      <c r="A478" s="191" t="s">
        <v>1264</v>
      </c>
      <c r="B478" s="191" t="s">
        <v>752</v>
      </c>
      <c r="C478" s="192">
        <v>45950</v>
      </c>
      <c r="D478" s="199">
        <v>179.53</v>
      </c>
      <c r="E478" s="191" t="s">
        <v>564</v>
      </c>
      <c r="F478" s="191" t="s">
        <v>793</v>
      </c>
      <c r="G478" s="198">
        <v>0</v>
      </c>
      <c r="H478" s="203">
        <v>46302</v>
      </c>
      <c r="I478" s="191" t="s">
        <v>588</v>
      </c>
    </row>
    <row r="479" spans="1:9" ht="20" customHeight="1" x14ac:dyDescent="0.35">
      <c r="A479" s="191" t="s">
        <v>1265</v>
      </c>
      <c r="B479" s="191" t="s">
        <v>752</v>
      </c>
      <c r="C479" s="192">
        <v>45951</v>
      </c>
      <c r="D479" s="199">
        <v>179.67</v>
      </c>
      <c r="E479" s="191" t="s">
        <v>564</v>
      </c>
      <c r="F479" s="191" t="s">
        <v>793</v>
      </c>
      <c r="G479" s="198">
        <v>0</v>
      </c>
      <c r="H479" s="203">
        <v>46302</v>
      </c>
      <c r="I479" s="191" t="s">
        <v>588</v>
      </c>
    </row>
    <row r="480" spans="1:9" ht="20" customHeight="1" x14ac:dyDescent="0.35">
      <c r="A480" s="191" t="s">
        <v>1266</v>
      </c>
      <c r="B480" s="191" t="s">
        <v>752</v>
      </c>
      <c r="C480" s="192">
        <v>45952</v>
      </c>
      <c r="D480" s="199">
        <v>179.8</v>
      </c>
      <c r="E480" s="191" t="s">
        <v>564</v>
      </c>
      <c r="F480" s="191" t="s">
        <v>793</v>
      </c>
      <c r="G480" s="198">
        <v>0</v>
      </c>
      <c r="H480" s="203">
        <v>46302</v>
      </c>
      <c r="I480" s="191" t="s">
        <v>588</v>
      </c>
    </row>
    <row r="481" spans="1:9" ht="20" customHeight="1" x14ac:dyDescent="0.35">
      <c r="A481" s="191" t="s">
        <v>1267</v>
      </c>
      <c r="B481" s="191" t="s">
        <v>752</v>
      </c>
      <c r="C481" s="192">
        <v>45953</v>
      </c>
      <c r="D481" s="199">
        <v>179.93</v>
      </c>
      <c r="E481" s="191" t="s">
        <v>564</v>
      </c>
      <c r="F481" s="191" t="s">
        <v>793</v>
      </c>
      <c r="G481" s="198">
        <v>0</v>
      </c>
      <c r="H481" s="203">
        <v>46302</v>
      </c>
      <c r="I481" s="191" t="s">
        <v>588</v>
      </c>
    </row>
    <row r="482" spans="1:9" ht="20" customHeight="1" x14ac:dyDescent="0.35">
      <c r="A482" s="191" t="s">
        <v>1268</v>
      </c>
      <c r="B482" s="191" t="s">
        <v>752</v>
      </c>
      <c r="C482" s="192">
        <v>45954</v>
      </c>
      <c r="D482" s="199">
        <v>180.07</v>
      </c>
      <c r="E482" s="191" t="s">
        <v>564</v>
      </c>
      <c r="F482" s="191" t="s">
        <v>793</v>
      </c>
      <c r="G482" s="198">
        <v>0</v>
      </c>
      <c r="H482" s="203">
        <v>46302</v>
      </c>
      <c r="I482" s="191" t="s">
        <v>588</v>
      </c>
    </row>
    <row r="483" spans="1:9" ht="20" customHeight="1" x14ac:dyDescent="0.35">
      <c r="A483" s="191" t="s">
        <v>1269</v>
      </c>
      <c r="B483" s="191" t="s">
        <v>752</v>
      </c>
      <c r="C483" s="192">
        <v>45957</v>
      </c>
      <c r="D483" s="199">
        <v>180.47</v>
      </c>
      <c r="E483" s="191" t="s">
        <v>564</v>
      </c>
      <c r="F483" s="191" t="s">
        <v>793</v>
      </c>
      <c r="G483" s="198">
        <v>0</v>
      </c>
      <c r="H483" s="203">
        <v>46302</v>
      </c>
      <c r="I483" s="191" t="s">
        <v>588</v>
      </c>
    </row>
    <row r="484" spans="1:9" ht="20" customHeight="1" x14ac:dyDescent="0.35">
      <c r="A484" s="191" t="s">
        <v>1270</v>
      </c>
      <c r="B484" s="191" t="s">
        <v>752</v>
      </c>
      <c r="C484" s="192">
        <v>45958</v>
      </c>
      <c r="D484" s="199">
        <v>180.6</v>
      </c>
      <c r="E484" s="191" t="s">
        <v>564</v>
      </c>
      <c r="F484" s="191" t="s">
        <v>793</v>
      </c>
      <c r="G484" s="198">
        <v>0</v>
      </c>
      <c r="H484" s="203">
        <v>46302</v>
      </c>
      <c r="I484" s="191" t="s">
        <v>588</v>
      </c>
    </row>
    <row r="485" spans="1:9" ht="20" customHeight="1" x14ac:dyDescent="0.35">
      <c r="A485" s="191" t="s">
        <v>1271</v>
      </c>
      <c r="B485" s="191" t="s">
        <v>752</v>
      </c>
      <c r="C485" s="192">
        <v>45959</v>
      </c>
      <c r="D485" s="199">
        <v>180.73</v>
      </c>
      <c r="E485" s="191" t="s">
        <v>564</v>
      </c>
      <c r="F485" s="191" t="s">
        <v>793</v>
      </c>
      <c r="G485" s="198">
        <v>0</v>
      </c>
      <c r="H485" s="203">
        <v>46302</v>
      </c>
      <c r="I485" s="191" t="s">
        <v>588</v>
      </c>
    </row>
    <row r="486" spans="1:9" ht="20" customHeight="1" x14ac:dyDescent="0.35">
      <c r="A486" s="191" t="s">
        <v>1272</v>
      </c>
      <c r="B486" s="191" t="s">
        <v>752</v>
      </c>
      <c r="C486" s="192">
        <v>45960</v>
      </c>
      <c r="D486" s="199">
        <v>180.87</v>
      </c>
      <c r="E486" s="191" t="s">
        <v>564</v>
      </c>
      <c r="F486" s="191" t="s">
        <v>793</v>
      </c>
      <c r="G486" s="198">
        <v>0</v>
      </c>
      <c r="H486" s="203">
        <v>46302</v>
      </c>
      <c r="I486" s="191" t="s">
        <v>588</v>
      </c>
    </row>
    <row r="487" spans="1:9" ht="20" customHeight="1" x14ac:dyDescent="0.35">
      <c r="A487" s="191" t="s">
        <v>1273</v>
      </c>
      <c r="B487" s="191" t="s">
        <v>752</v>
      </c>
      <c r="C487" s="192">
        <v>45961</v>
      </c>
      <c r="D487" s="199">
        <v>181</v>
      </c>
      <c r="E487" s="191" t="s">
        <v>564</v>
      </c>
      <c r="F487" s="191" t="s">
        <v>793</v>
      </c>
      <c r="G487" s="198">
        <v>0</v>
      </c>
      <c r="H487" s="203">
        <v>46302</v>
      </c>
      <c r="I487" s="191" t="s">
        <v>588</v>
      </c>
    </row>
    <row r="488" spans="1:9" ht="20" customHeight="1" x14ac:dyDescent="0.35">
      <c r="A488" s="191" t="s">
        <v>1274</v>
      </c>
      <c r="B488" s="191" t="s">
        <v>752</v>
      </c>
      <c r="C488" s="192">
        <v>45964</v>
      </c>
      <c r="D488" s="199">
        <v>180.24</v>
      </c>
      <c r="E488" s="191" t="s">
        <v>564</v>
      </c>
      <c r="F488" s="191" t="s">
        <v>793</v>
      </c>
      <c r="G488" s="198">
        <v>0</v>
      </c>
      <c r="H488" s="203">
        <v>46302</v>
      </c>
      <c r="I488" s="191" t="s">
        <v>588</v>
      </c>
    </row>
    <row r="489" spans="1:9" ht="20" customHeight="1" x14ac:dyDescent="0.35">
      <c r="A489" s="191" t="s">
        <v>1275</v>
      </c>
      <c r="B489" s="191" t="s">
        <v>752</v>
      </c>
      <c r="C489" s="192">
        <v>45965</v>
      </c>
      <c r="D489" s="199">
        <v>179.86</v>
      </c>
      <c r="E489" s="191" t="s">
        <v>564</v>
      </c>
      <c r="F489" s="191" t="s">
        <v>793</v>
      </c>
      <c r="G489" s="198">
        <v>0</v>
      </c>
      <c r="H489" s="203">
        <v>46302</v>
      </c>
      <c r="I489" s="191" t="s">
        <v>588</v>
      </c>
    </row>
    <row r="490" spans="1:9" ht="20" customHeight="1" x14ac:dyDescent="0.35">
      <c r="A490" s="191" t="s">
        <v>1276</v>
      </c>
      <c r="B490" s="191" t="s">
        <v>752</v>
      </c>
      <c r="C490" s="192">
        <v>45966</v>
      </c>
      <c r="D490" s="199">
        <v>179.48</v>
      </c>
      <c r="E490" s="191" t="s">
        <v>564</v>
      </c>
      <c r="F490" s="191" t="s">
        <v>793</v>
      </c>
      <c r="G490" s="198">
        <v>0</v>
      </c>
      <c r="H490" s="203">
        <v>46302</v>
      </c>
      <c r="I490" s="191" t="s">
        <v>588</v>
      </c>
    </row>
    <row r="491" spans="1:9" ht="20" customHeight="1" x14ac:dyDescent="0.35">
      <c r="A491" s="191" t="s">
        <v>1277</v>
      </c>
      <c r="B491" s="191" t="s">
        <v>752</v>
      </c>
      <c r="C491" s="192">
        <v>45967</v>
      </c>
      <c r="D491" s="199">
        <v>179.1</v>
      </c>
      <c r="E491" s="191" t="s">
        <v>564</v>
      </c>
      <c r="F491" s="191" t="s">
        <v>793</v>
      </c>
      <c r="G491" s="198">
        <v>0</v>
      </c>
      <c r="H491" s="203">
        <v>46302</v>
      </c>
      <c r="I491" s="191" t="s">
        <v>588</v>
      </c>
    </row>
    <row r="492" spans="1:9" ht="20" customHeight="1" x14ac:dyDescent="0.35">
      <c r="A492" s="191" t="s">
        <v>1278</v>
      </c>
      <c r="B492" s="191" t="s">
        <v>752</v>
      </c>
      <c r="C492" s="192">
        <v>45968</v>
      </c>
      <c r="D492" s="199">
        <v>178.72</v>
      </c>
      <c r="E492" s="191" t="s">
        <v>564</v>
      </c>
      <c r="F492" s="191" t="s">
        <v>793</v>
      </c>
      <c r="G492" s="198">
        <v>0</v>
      </c>
      <c r="H492" s="203">
        <v>46302</v>
      </c>
      <c r="I492" s="191" t="s">
        <v>588</v>
      </c>
    </row>
    <row r="493" spans="1:9" ht="20" customHeight="1" x14ac:dyDescent="0.35">
      <c r="A493" s="191" t="s">
        <v>1279</v>
      </c>
      <c r="B493" s="191" t="s">
        <v>752</v>
      </c>
      <c r="C493" s="192">
        <v>45971</v>
      </c>
      <c r="D493" s="199">
        <v>177.59</v>
      </c>
      <c r="E493" s="191" t="s">
        <v>564</v>
      </c>
      <c r="F493" s="191" t="s">
        <v>793</v>
      </c>
      <c r="G493" s="198">
        <v>0</v>
      </c>
      <c r="H493" s="203">
        <v>46302</v>
      </c>
      <c r="I493" s="191" t="s">
        <v>588</v>
      </c>
    </row>
    <row r="494" spans="1:9" ht="20" customHeight="1" x14ac:dyDescent="0.35">
      <c r="A494" s="191" t="s">
        <v>1280</v>
      </c>
      <c r="B494" s="191" t="s">
        <v>752</v>
      </c>
      <c r="C494" s="192">
        <v>45972</v>
      </c>
      <c r="D494" s="199">
        <v>177.21</v>
      </c>
      <c r="E494" s="191" t="s">
        <v>564</v>
      </c>
      <c r="F494" s="191" t="s">
        <v>793</v>
      </c>
      <c r="G494" s="198">
        <v>0</v>
      </c>
      <c r="H494" s="203">
        <v>46302</v>
      </c>
      <c r="I494" s="191" t="s">
        <v>588</v>
      </c>
    </row>
    <row r="495" spans="1:9" ht="20" customHeight="1" x14ac:dyDescent="0.35">
      <c r="A495" s="191" t="s">
        <v>1281</v>
      </c>
      <c r="B495" s="191" t="s">
        <v>752</v>
      </c>
      <c r="C495" s="192">
        <v>45973</v>
      </c>
      <c r="D495" s="199">
        <v>176.83</v>
      </c>
      <c r="E495" s="191" t="s">
        <v>564</v>
      </c>
      <c r="F495" s="191" t="s">
        <v>793</v>
      </c>
      <c r="G495" s="198">
        <v>0</v>
      </c>
      <c r="H495" s="203">
        <v>46302</v>
      </c>
      <c r="I495" s="191" t="s">
        <v>588</v>
      </c>
    </row>
    <row r="496" spans="1:9" ht="20" customHeight="1" x14ac:dyDescent="0.35">
      <c r="A496" s="191" t="s">
        <v>1282</v>
      </c>
      <c r="B496" s="191" t="s">
        <v>752</v>
      </c>
      <c r="C496" s="192">
        <v>45974</v>
      </c>
      <c r="D496" s="199">
        <v>176.45</v>
      </c>
      <c r="E496" s="191" t="s">
        <v>564</v>
      </c>
      <c r="F496" s="191" t="s">
        <v>793</v>
      </c>
      <c r="G496" s="198">
        <v>0</v>
      </c>
      <c r="H496" s="203">
        <v>46302</v>
      </c>
      <c r="I496" s="191" t="s">
        <v>588</v>
      </c>
    </row>
    <row r="497" spans="1:9" ht="20" customHeight="1" x14ac:dyDescent="0.35">
      <c r="A497" s="191" t="s">
        <v>1283</v>
      </c>
      <c r="B497" s="191" t="s">
        <v>752</v>
      </c>
      <c r="C497" s="192">
        <v>45975</v>
      </c>
      <c r="D497" s="199">
        <v>176.07</v>
      </c>
      <c r="E497" s="191" t="s">
        <v>564</v>
      </c>
      <c r="F497" s="191" t="s">
        <v>793</v>
      </c>
      <c r="G497" s="198">
        <v>0</v>
      </c>
      <c r="H497" s="203">
        <v>46302</v>
      </c>
      <c r="I497" s="191" t="s">
        <v>588</v>
      </c>
    </row>
    <row r="498" spans="1:9" ht="20" customHeight="1" x14ac:dyDescent="0.35">
      <c r="A498" s="191" t="s">
        <v>1284</v>
      </c>
      <c r="B498" s="191" t="s">
        <v>752</v>
      </c>
      <c r="C498" s="192">
        <v>45978</v>
      </c>
      <c r="D498" s="199">
        <v>174.93</v>
      </c>
      <c r="E498" s="191" t="s">
        <v>564</v>
      </c>
      <c r="F498" s="191" t="s">
        <v>793</v>
      </c>
      <c r="G498" s="198">
        <v>0</v>
      </c>
      <c r="H498" s="203">
        <v>46302</v>
      </c>
      <c r="I498" s="191" t="s">
        <v>588</v>
      </c>
    </row>
    <row r="499" spans="1:9" ht="20" customHeight="1" x14ac:dyDescent="0.35">
      <c r="A499" s="191" t="s">
        <v>1285</v>
      </c>
      <c r="B499" s="191" t="s">
        <v>752</v>
      </c>
      <c r="C499" s="192">
        <v>45979</v>
      </c>
      <c r="D499" s="199">
        <v>174.55</v>
      </c>
      <c r="E499" s="191" t="s">
        <v>564</v>
      </c>
      <c r="F499" s="191" t="s">
        <v>793</v>
      </c>
      <c r="G499" s="198">
        <v>0</v>
      </c>
      <c r="H499" s="203">
        <v>46302</v>
      </c>
      <c r="I499" s="191" t="s">
        <v>588</v>
      </c>
    </row>
    <row r="500" spans="1:9" ht="20" customHeight="1" x14ac:dyDescent="0.35">
      <c r="A500" s="191" t="s">
        <v>1286</v>
      </c>
      <c r="B500" s="191" t="s">
        <v>752</v>
      </c>
      <c r="C500" s="192">
        <v>45980</v>
      </c>
      <c r="D500" s="199">
        <v>174.17</v>
      </c>
      <c r="E500" s="191" t="s">
        <v>564</v>
      </c>
      <c r="F500" s="191" t="s">
        <v>793</v>
      </c>
      <c r="G500" s="198">
        <v>0</v>
      </c>
      <c r="H500" s="203">
        <v>46302</v>
      </c>
      <c r="I500" s="191" t="s">
        <v>588</v>
      </c>
    </row>
    <row r="501" spans="1:9" ht="20" customHeight="1" x14ac:dyDescent="0.35">
      <c r="A501" s="191" t="s">
        <v>1287</v>
      </c>
      <c r="B501" s="191" t="s">
        <v>752</v>
      </c>
      <c r="C501" s="192">
        <v>45981</v>
      </c>
      <c r="D501" s="199">
        <v>173.79</v>
      </c>
      <c r="E501" s="191" t="s">
        <v>564</v>
      </c>
      <c r="F501" s="191" t="s">
        <v>793</v>
      </c>
      <c r="G501" s="198">
        <v>0</v>
      </c>
      <c r="H501" s="203">
        <v>46302</v>
      </c>
      <c r="I501" s="191" t="s">
        <v>588</v>
      </c>
    </row>
    <row r="502" spans="1:9" ht="20" customHeight="1" x14ac:dyDescent="0.35">
      <c r="A502" s="191" t="s">
        <v>1288</v>
      </c>
      <c r="B502" s="191" t="s">
        <v>752</v>
      </c>
      <c r="C502" s="192">
        <v>45982</v>
      </c>
      <c r="D502" s="199">
        <v>173.41</v>
      </c>
      <c r="E502" s="191" t="s">
        <v>564</v>
      </c>
      <c r="F502" s="191" t="s">
        <v>793</v>
      </c>
      <c r="G502" s="198">
        <v>0</v>
      </c>
      <c r="H502" s="203">
        <v>46302</v>
      </c>
      <c r="I502" s="191" t="s">
        <v>588</v>
      </c>
    </row>
    <row r="503" spans="1:9" ht="20" customHeight="1" x14ac:dyDescent="0.35">
      <c r="A503" s="191" t="s">
        <v>1289</v>
      </c>
      <c r="B503" s="191" t="s">
        <v>752</v>
      </c>
      <c r="C503" s="192">
        <v>45985</v>
      </c>
      <c r="D503" s="199">
        <v>172.28</v>
      </c>
      <c r="E503" s="191" t="s">
        <v>564</v>
      </c>
      <c r="F503" s="191" t="s">
        <v>793</v>
      </c>
      <c r="G503" s="198">
        <v>0</v>
      </c>
      <c r="H503" s="203">
        <v>46302</v>
      </c>
      <c r="I503" s="191" t="s">
        <v>588</v>
      </c>
    </row>
    <row r="504" spans="1:9" ht="20" customHeight="1" x14ac:dyDescent="0.35">
      <c r="A504" s="191" t="s">
        <v>1290</v>
      </c>
      <c r="B504" s="191" t="s">
        <v>752</v>
      </c>
      <c r="C504" s="192">
        <v>45986</v>
      </c>
      <c r="D504" s="199">
        <v>171.9</v>
      </c>
      <c r="E504" s="191" t="s">
        <v>564</v>
      </c>
      <c r="F504" s="191" t="s">
        <v>793</v>
      </c>
      <c r="G504" s="198">
        <v>0</v>
      </c>
      <c r="H504" s="203">
        <v>46302</v>
      </c>
      <c r="I504" s="191" t="s">
        <v>588</v>
      </c>
    </row>
    <row r="505" spans="1:9" ht="20" customHeight="1" x14ac:dyDescent="0.35">
      <c r="A505" s="191" t="s">
        <v>1291</v>
      </c>
      <c r="B505" s="191" t="s">
        <v>752</v>
      </c>
      <c r="C505" s="192">
        <v>45987</v>
      </c>
      <c r="D505" s="199">
        <v>171.52</v>
      </c>
      <c r="E505" s="191" t="s">
        <v>564</v>
      </c>
      <c r="F505" s="191" t="s">
        <v>793</v>
      </c>
      <c r="G505" s="198">
        <v>0</v>
      </c>
      <c r="H505" s="203">
        <v>46302</v>
      </c>
      <c r="I505" s="191" t="s">
        <v>588</v>
      </c>
    </row>
    <row r="506" spans="1:9" ht="20" customHeight="1" x14ac:dyDescent="0.35">
      <c r="A506" s="191" t="s">
        <v>1292</v>
      </c>
      <c r="B506" s="191" t="s">
        <v>752</v>
      </c>
      <c r="C506" s="192">
        <v>45988</v>
      </c>
      <c r="D506" s="199">
        <v>171.14</v>
      </c>
      <c r="E506" s="191" t="s">
        <v>564</v>
      </c>
      <c r="F506" s="191" t="s">
        <v>793</v>
      </c>
      <c r="G506" s="198">
        <v>0</v>
      </c>
      <c r="H506" s="203">
        <v>46302</v>
      </c>
      <c r="I506" s="191" t="s">
        <v>588</v>
      </c>
    </row>
    <row r="507" spans="1:9" ht="20" customHeight="1" x14ac:dyDescent="0.35">
      <c r="A507" s="191" t="s">
        <v>1293</v>
      </c>
      <c r="B507" s="191" t="s">
        <v>752</v>
      </c>
      <c r="C507" s="192">
        <v>45989</v>
      </c>
      <c r="D507" s="199">
        <v>170.76</v>
      </c>
      <c r="E507" s="191" t="s">
        <v>564</v>
      </c>
      <c r="F507" s="191" t="s">
        <v>793</v>
      </c>
      <c r="G507" s="198">
        <v>0</v>
      </c>
      <c r="H507" s="203">
        <v>46302</v>
      </c>
      <c r="I507" s="191" t="s">
        <v>588</v>
      </c>
    </row>
    <row r="508" spans="1:9" ht="20" customHeight="1" x14ac:dyDescent="0.35">
      <c r="A508" s="191" t="s">
        <v>1294</v>
      </c>
      <c r="B508" s="191" t="s">
        <v>752</v>
      </c>
      <c r="C508" s="192">
        <v>45992</v>
      </c>
      <c r="D508" s="199">
        <v>170</v>
      </c>
      <c r="E508" s="191" t="s">
        <v>564</v>
      </c>
      <c r="F508" s="191" t="s">
        <v>793</v>
      </c>
      <c r="G508" s="198">
        <v>0</v>
      </c>
      <c r="H508" s="203">
        <v>46302</v>
      </c>
      <c r="I508" s="191" t="s">
        <v>588</v>
      </c>
    </row>
    <row r="509" spans="1:9" ht="20" customHeight="1" x14ac:dyDescent="0.35">
      <c r="A509" s="191" t="s">
        <v>1295</v>
      </c>
      <c r="B509" s="191" t="s">
        <v>752</v>
      </c>
      <c r="C509" s="192">
        <v>45993</v>
      </c>
      <c r="D509" s="199">
        <v>169.97</v>
      </c>
      <c r="E509" s="191" t="s">
        <v>564</v>
      </c>
      <c r="F509" s="191" t="s">
        <v>793</v>
      </c>
      <c r="G509" s="198">
        <v>0</v>
      </c>
      <c r="H509" s="203">
        <v>46302</v>
      </c>
      <c r="I509" s="191" t="s">
        <v>588</v>
      </c>
    </row>
    <row r="510" spans="1:9" ht="20" customHeight="1" x14ac:dyDescent="0.35">
      <c r="A510" s="191" t="s">
        <v>1296</v>
      </c>
      <c r="B510" s="191" t="s">
        <v>752</v>
      </c>
      <c r="C510" s="192">
        <v>45994</v>
      </c>
      <c r="D510" s="199">
        <v>169.93</v>
      </c>
      <c r="E510" s="191" t="s">
        <v>564</v>
      </c>
      <c r="F510" s="191" t="s">
        <v>793</v>
      </c>
      <c r="G510" s="198">
        <v>0</v>
      </c>
      <c r="H510" s="203">
        <v>46302</v>
      </c>
      <c r="I510" s="191" t="s">
        <v>588</v>
      </c>
    </row>
    <row r="511" spans="1:9" ht="20" customHeight="1" x14ac:dyDescent="0.35">
      <c r="A511" s="191" t="s">
        <v>1297</v>
      </c>
      <c r="B511" s="191" t="s">
        <v>752</v>
      </c>
      <c r="C511" s="192">
        <v>45995</v>
      </c>
      <c r="D511" s="199">
        <v>169.9</v>
      </c>
      <c r="E511" s="191" t="s">
        <v>564</v>
      </c>
      <c r="F511" s="191" t="s">
        <v>793</v>
      </c>
      <c r="G511" s="198">
        <v>0</v>
      </c>
      <c r="H511" s="203">
        <v>46302</v>
      </c>
      <c r="I511" s="191" t="s">
        <v>588</v>
      </c>
    </row>
    <row r="512" spans="1:9" ht="20" customHeight="1" x14ac:dyDescent="0.35">
      <c r="A512" s="191" t="s">
        <v>1298</v>
      </c>
      <c r="B512" s="191" t="s">
        <v>752</v>
      </c>
      <c r="C512" s="192">
        <v>45996</v>
      </c>
      <c r="D512" s="199">
        <v>169.87</v>
      </c>
      <c r="E512" s="191" t="s">
        <v>564</v>
      </c>
      <c r="F512" s="191" t="s">
        <v>793</v>
      </c>
      <c r="G512" s="198">
        <v>0</v>
      </c>
      <c r="H512" s="203">
        <v>46302</v>
      </c>
      <c r="I512" s="191" t="s">
        <v>588</v>
      </c>
    </row>
    <row r="513" spans="1:9" ht="20" customHeight="1" x14ac:dyDescent="0.35">
      <c r="A513" s="191" t="s">
        <v>1299</v>
      </c>
      <c r="B513" s="191" t="s">
        <v>752</v>
      </c>
      <c r="C513" s="192">
        <v>45999</v>
      </c>
      <c r="D513" s="199">
        <v>169.77</v>
      </c>
      <c r="E513" s="191" t="s">
        <v>564</v>
      </c>
      <c r="F513" s="191" t="s">
        <v>793</v>
      </c>
      <c r="G513" s="198">
        <v>0</v>
      </c>
      <c r="H513" s="203">
        <v>46302</v>
      </c>
      <c r="I513" s="191" t="s">
        <v>588</v>
      </c>
    </row>
    <row r="514" spans="1:9" ht="20" customHeight="1" x14ac:dyDescent="0.35">
      <c r="A514" s="191" t="s">
        <v>1300</v>
      </c>
      <c r="B514" s="191" t="s">
        <v>752</v>
      </c>
      <c r="C514" s="192">
        <v>46000</v>
      </c>
      <c r="D514" s="199">
        <v>169.73</v>
      </c>
      <c r="E514" s="191" t="s">
        <v>564</v>
      </c>
      <c r="F514" s="191" t="s">
        <v>793</v>
      </c>
      <c r="G514" s="198">
        <v>0</v>
      </c>
      <c r="H514" s="203">
        <v>46302</v>
      </c>
      <c r="I514" s="191" t="s">
        <v>588</v>
      </c>
    </row>
    <row r="515" spans="1:9" ht="20" customHeight="1" x14ac:dyDescent="0.35">
      <c r="A515" s="191" t="s">
        <v>1301</v>
      </c>
      <c r="B515" s="191" t="s">
        <v>752</v>
      </c>
      <c r="C515" s="192">
        <v>46001</v>
      </c>
      <c r="D515" s="199">
        <v>169.7</v>
      </c>
      <c r="E515" s="191" t="s">
        <v>564</v>
      </c>
      <c r="F515" s="191" t="s">
        <v>793</v>
      </c>
      <c r="G515" s="198">
        <v>0</v>
      </c>
      <c r="H515" s="203">
        <v>46302</v>
      </c>
      <c r="I515" s="191" t="s">
        <v>588</v>
      </c>
    </row>
    <row r="516" spans="1:9" ht="20" customHeight="1" x14ac:dyDescent="0.35">
      <c r="A516" s="191" t="s">
        <v>1302</v>
      </c>
      <c r="B516" s="191" t="s">
        <v>752</v>
      </c>
      <c r="C516" s="192">
        <v>46002</v>
      </c>
      <c r="D516" s="199">
        <v>169.67</v>
      </c>
      <c r="E516" s="191" t="s">
        <v>564</v>
      </c>
      <c r="F516" s="191" t="s">
        <v>793</v>
      </c>
      <c r="G516" s="198">
        <v>0</v>
      </c>
      <c r="H516" s="203">
        <v>46302</v>
      </c>
      <c r="I516" s="191" t="s">
        <v>588</v>
      </c>
    </row>
    <row r="517" spans="1:9" ht="20" customHeight="1" x14ac:dyDescent="0.35">
      <c r="A517" s="191" t="s">
        <v>1303</v>
      </c>
      <c r="B517" s="191" t="s">
        <v>752</v>
      </c>
      <c r="C517" s="192">
        <v>46003</v>
      </c>
      <c r="D517" s="199">
        <v>169.63</v>
      </c>
      <c r="E517" s="191" t="s">
        <v>564</v>
      </c>
      <c r="F517" s="191" t="s">
        <v>793</v>
      </c>
      <c r="G517" s="198">
        <v>0</v>
      </c>
      <c r="H517" s="203">
        <v>46302</v>
      </c>
      <c r="I517" s="191" t="s">
        <v>588</v>
      </c>
    </row>
    <row r="518" spans="1:9" ht="20" customHeight="1" x14ac:dyDescent="0.35">
      <c r="A518" s="191" t="s">
        <v>1304</v>
      </c>
      <c r="B518" s="191" t="s">
        <v>752</v>
      </c>
      <c r="C518" s="192">
        <v>46006</v>
      </c>
      <c r="D518" s="199">
        <v>169.53</v>
      </c>
      <c r="E518" s="191" t="s">
        <v>564</v>
      </c>
      <c r="F518" s="191" t="s">
        <v>793</v>
      </c>
      <c r="G518" s="198">
        <v>0</v>
      </c>
      <c r="H518" s="203">
        <v>46302</v>
      </c>
      <c r="I518" s="191" t="s">
        <v>588</v>
      </c>
    </row>
    <row r="519" spans="1:9" ht="20" customHeight="1" x14ac:dyDescent="0.35">
      <c r="A519" s="191" t="s">
        <v>1305</v>
      </c>
      <c r="B519" s="191" t="s">
        <v>752</v>
      </c>
      <c r="C519" s="192">
        <v>46007</v>
      </c>
      <c r="D519" s="199">
        <v>169.5</v>
      </c>
      <c r="E519" s="191" t="s">
        <v>564</v>
      </c>
      <c r="F519" s="191" t="s">
        <v>793</v>
      </c>
      <c r="G519" s="198">
        <v>0</v>
      </c>
      <c r="H519" s="203">
        <v>46302</v>
      </c>
      <c r="I519" s="191" t="s">
        <v>588</v>
      </c>
    </row>
    <row r="520" spans="1:9" ht="20" customHeight="1" x14ac:dyDescent="0.35">
      <c r="A520" s="191" t="s">
        <v>1306</v>
      </c>
      <c r="B520" s="191" t="s">
        <v>752</v>
      </c>
      <c r="C520" s="192">
        <v>46008</v>
      </c>
      <c r="D520" s="199">
        <v>169.47</v>
      </c>
      <c r="E520" s="191" t="s">
        <v>564</v>
      </c>
      <c r="F520" s="191" t="s">
        <v>793</v>
      </c>
      <c r="G520" s="198">
        <v>0</v>
      </c>
      <c r="H520" s="203">
        <v>46302</v>
      </c>
      <c r="I520" s="191" t="s">
        <v>588</v>
      </c>
    </row>
    <row r="521" spans="1:9" ht="20" customHeight="1" x14ac:dyDescent="0.35">
      <c r="A521" s="191" t="s">
        <v>1307</v>
      </c>
      <c r="B521" s="191" t="s">
        <v>752</v>
      </c>
      <c r="C521" s="192">
        <v>46009</v>
      </c>
      <c r="D521" s="199">
        <v>169.43</v>
      </c>
      <c r="E521" s="191" t="s">
        <v>564</v>
      </c>
      <c r="F521" s="191" t="s">
        <v>793</v>
      </c>
      <c r="G521" s="198">
        <v>0</v>
      </c>
      <c r="H521" s="203">
        <v>46302</v>
      </c>
      <c r="I521" s="191" t="s">
        <v>588</v>
      </c>
    </row>
    <row r="522" spans="1:9" ht="20" customHeight="1" x14ac:dyDescent="0.35">
      <c r="A522" s="191" t="s">
        <v>1308</v>
      </c>
      <c r="B522" s="191" t="s">
        <v>752</v>
      </c>
      <c r="C522" s="192">
        <v>46010</v>
      </c>
      <c r="D522" s="199">
        <v>169.4</v>
      </c>
      <c r="E522" s="191" t="s">
        <v>564</v>
      </c>
      <c r="F522" s="191" t="s">
        <v>793</v>
      </c>
      <c r="G522" s="198">
        <v>0</v>
      </c>
      <c r="H522" s="203">
        <v>46302</v>
      </c>
      <c r="I522" s="191" t="s">
        <v>588</v>
      </c>
    </row>
    <row r="523" spans="1:9" ht="20" customHeight="1" x14ac:dyDescent="0.35">
      <c r="A523" s="191" t="s">
        <v>1309</v>
      </c>
      <c r="B523" s="191" t="s">
        <v>752</v>
      </c>
      <c r="C523" s="192">
        <v>46013</v>
      </c>
      <c r="D523" s="199">
        <v>169.3</v>
      </c>
      <c r="E523" s="191" t="s">
        <v>564</v>
      </c>
      <c r="F523" s="191" t="s">
        <v>793</v>
      </c>
      <c r="G523" s="198">
        <v>0</v>
      </c>
      <c r="H523" s="203">
        <v>46302</v>
      </c>
      <c r="I523" s="191" t="s">
        <v>588</v>
      </c>
    </row>
    <row r="524" spans="1:9" ht="20" customHeight="1" x14ac:dyDescent="0.35">
      <c r="A524" s="191" t="s">
        <v>1310</v>
      </c>
      <c r="B524" s="191" t="s">
        <v>752</v>
      </c>
      <c r="C524" s="192">
        <v>46014</v>
      </c>
      <c r="D524" s="199">
        <v>169.27</v>
      </c>
      <c r="E524" s="191" t="s">
        <v>564</v>
      </c>
      <c r="F524" s="191" t="s">
        <v>793</v>
      </c>
      <c r="G524" s="198">
        <v>0</v>
      </c>
      <c r="H524" s="203">
        <v>46302</v>
      </c>
      <c r="I524" s="191" t="s">
        <v>588</v>
      </c>
    </row>
    <row r="525" spans="1:9" ht="20" customHeight="1" x14ac:dyDescent="0.35">
      <c r="A525" s="191" t="s">
        <v>1311</v>
      </c>
      <c r="B525" s="191" t="s">
        <v>752</v>
      </c>
      <c r="C525" s="192">
        <v>46015</v>
      </c>
      <c r="D525" s="199">
        <v>169.23</v>
      </c>
      <c r="E525" s="191" t="s">
        <v>564</v>
      </c>
      <c r="F525" s="191" t="s">
        <v>793</v>
      </c>
      <c r="G525" s="198">
        <v>0</v>
      </c>
      <c r="H525" s="203">
        <v>46302</v>
      </c>
      <c r="I525" s="191" t="s">
        <v>588</v>
      </c>
    </row>
    <row r="526" spans="1:9" ht="20" customHeight="1" x14ac:dyDescent="0.35">
      <c r="A526" s="191" t="s">
        <v>1312</v>
      </c>
      <c r="B526" s="191" t="s">
        <v>752</v>
      </c>
      <c r="C526" s="192">
        <v>46016</v>
      </c>
      <c r="D526" s="199">
        <v>169.2</v>
      </c>
      <c r="E526" s="191" t="s">
        <v>564</v>
      </c>
      <c r="F526" s="191" t="s">
        <v>793</v>
      </c>
      <c r="G526" s="198">
        <v>0</v>
      </c>
      <c r="H526" s="203">
        <v>46302</v>
      </c>
      <c r="I526" s="191" t="s">
        <v>588</v>
      </c>
    </row>
    <row r="527" spans="1:9" ht="20" customHeight="1" x14ac:dyDescent="0.35">
      <c r="A527" s="191" t="s">
        <v>1313</v>
      </c>
      <c r="B527" s="191" t="s">
        <v>752</v>
      </c>
      <c r="C527" s="192">
        <v>46017</v>
      </c>
      <c r="D527" s="199">
        <v>169.17</v>
      </c>
      <c r="E527" s="191" t="s">
        <v>564</v>
      </c>
      <c r="F527" s="191" t="s">
        <v>793</v>
      </c>
      <c r="G527" s="198">
        <v>0</v>
      </c>
      <c r="H527" s="203">
        <v>46302</v>
      </c>
      <c r="I527" s="191" t="s">
        <v>588</v>
      </c>
    </row>
    <row r="528" spans="1:9" ht="20" customHeight="1" x14ac:dyDescent="0.35">
      <c r="A528" s="191" t="s">
        <v>1314</v>
      </c>
      <c r="B528" s="191" t="s">
        <v>752</v>
      </c>
      <c r="C528" s="192">
        <v>46020</v>
      </c>
      <c r="D528" s="199">
        <v>169.07</v>
      </c>
      <c r="E528" s="191" t="s">
        <v>564</v>
      </c>
      <c r="F528" s="191" t="s">
        <v>793</v>
      </c>
      <c r="G528" s="198">
        <v>0</v>
      </c>
      <c r="H528" s="203">
        <v>46302</v>
      </c>
      <c r="I528" s="191" t="s">
        <v>588</v>
      </c>
    </row>
    <row r="529" spans="1:9" ht="20" customHeight="1" x14ac:dyDescent="0.35">
      <c r="A529" s="191" t="s">
        <v>1315</v>
      </c>
      <c r="B529" s="191" t="s">
        <v>752</v>
      </c>
      <c r="C529" s="192">
        <v>46021</v>
      </c>
      <c r="D529" s="199">
        <v>169.03</v>
      </c>
      <c r="E529" s="191" t="s">
        <v>564</v>
      </c>
      <c r="F529" s="191" t="s">
        <v>793</v>
      </c>
      <c r="G529" s="198">
        <v>0</v>
      </c>
      <c r="H529" s="203">
        <v>46302</v>
      </c>
      <c r="I529" s="191" t="s">
        <v>588</v>
      </c>
    </row>
    <row r="530" spans="1:9" ht="20" customHeight="1" x14ac:dyDescent="0.35">
      <c r="A530" s="191" t="s">
        <v>1316</v>
      </c>
      <c r="B530" s="191" t="s">
        <v>752</v>
      </c>
      <c r="C530" s="192">
        <v>46022</v>
      </c>
      <c r="D530" s="199">
        <v>169</v>
      </c>
      <c r="E530" s="191" t="s">
        <v>564</v>
      </c>
      <c r="F530" s="191" t="s">
        <v>793</v>
      </c>
      <c r="G530" s="198">
        <v>0</v>
      </c>
      <c r="H530" s="203">
        <v>46302</v>
      </c>
      <c r="I530" s="191" t="s">
        <v>588</v>
      </c>
    </row>
    <row r="531" spans="1:9" ht="20" customHeight="1" x14ac:dyDescent="0.35">
      <c r="A531" s="191" t="s">
        <v>1317</v>
      </c>
      <c r="B531" s="191" t="s">
        <v>754</v>
      </c>
      <c r="C531" s="192">
        <v>45657</v>
      </c>
      <c r="D531" s="199">
        <v>80</v>
      </c>
      <c r="E531" s="191" t="s">
        <v>564</v>
      </c>
      <c r="F531" s="191" t="s">
        <v>793</v>
      </c>
      <c r="G531" s="198">
        <v>0</v>
      </c>
      <c r="H531" s="203">
        <v>46302</v>
      </c>
      <c r="I531" s="191" t="s">
        <v>588</v>
      </c>
    </row>
    <row r="532" spans="1:9" ht="20" customHeight="1" x14ac:dyDescent="0.35">
      <c r="A532" s="191" t="s">
        <v>1318</v>
      </c>
      <c r="B532" s="191" t="s">
        <v>754</v>
      </c>
      <c r="C532" s="192">
        <v>45658</v>
      </c>
      <c r="D532" s="199">
        <v>80</v>
      </c>
      <c r="E532" s="191" t="s">
        <v>564</v>
      </c>
      <c r="F532" s="191" t="s">
        <v>793</v>
      </c>
      <c r="G532" s="198">
        <v>0</v>
      </c>
      <c r="H532" s="203">
        <v>46302</v>
      </c>
      <c r="I532" s="191" t="s">
        <v>588</v>
      </c>
    </row>
    <row r="533" spans="1:9" ht="20" customHeight="1" x14ac:dyDescent="0.35">
      <c r="A533" s="191" t="s">
        <v>1319</v>
      </c>
      <c r="B533" s="191" t="s">
        <v>754</v>
      </c>
      <c r="C533" s="192">
        <v>45659</v>
      </c>
      <c r="D533" s="199">
        <v>80.069999999999993</v>
      </c>
      <c r="E533" s="191" t="s">
        <v>564</v>
      </c>
      <c r="F533" s="191" t="s">
        <v>793</v>
      </c>
      <c r="G533" s="198">
        <v>0</v>
      </c>
      <c r="H533" s="203">
        <v>46302</v>
      </c>
      <c r="I533" s="191" t="s">
        <v>588</v>
      </c>
    </row>
    <row r="534" spans="1:9" ht="20" customHeight="1" x14ac:dyDescent="0.35">
      <c r="A534" s="191" t="s">
        <v>1320</v>
      </c>
      <c r="B534" s="191" t="s">
        <v>754</v>
      </c>
      <c r="C534" s="192">
        <v>45660</v>
      </c>
      <c r="D534" s="199">
        <v>80.13</v>
      </c>
      <c r="E534" s="191" t="s">
        <v>564</v>
      </c>
      <c r="F534" s="191" t="s">
        <v>793</v>
      </c>
      <c r="G534" s="198">
        <v>0</v>
      </c>
      <c r="H534" s="203">
        <v>46302</v>
      </c>
      <c r="I534" s="191" t="s">
        <v>588</v>
      </c>
    </row>
    <row r="535" spans="1:9" ht="20" customHeight="1" x14ac:dyDescent="0.35">
      <c r="A535" s="191" t="s">
        <v>1321</v>
      </c>
      <c r="B535" s="191" t="s">
        <v>754</v>
      </c>
      <c r="C535" s="192">
        <v>45663</v>
      </c>
      <c r="D535" s="199">
        <v>80.33</v>
      </c>
      <c r="E535" s="191" t="s">
        <v>564</v>
      </c>
      <c r="F535" s="191" t="s">
        <v>793</v>
      </c>
      <c r="G535" s="198">
        <v>0</v>
      </c>
      <c r="H535" s="203">
        <v>46302</v>
      </c>
      <c r="I535" s="191" t="s">
        <v>588</v>
      </c>
    </row>
    <row r="536" spans="1:9" ht="20" customHeight="1" x14ac:dyDescent="0.35">
      <c r="A536" s="191" t="s">
        <v>1322</v>
      </c>
      <c r="B536" s="191" t="s">
        <v>754</v>
      </c>
      <c r="C536" s="192">
        <v>45664</v>
      </c>
      <c r="D536" s="199">
        <v>80.400000000000006</v>
      </c>
      <c r="E536" s="191" t="s">
        <v>564</v>
      </c>
      <c r="F536" s="191" t="s">
        <v>793</v>
      </c>
      <c r="G536" s="198">
        <v>0</v>
      </c>
      <c r="H536" s="203">
        <v>46302</v>
      </c>
      <c r="I536" s="191" t="s">
        <v>588</v>
      </c>
    </row>
    <row r="537" spans="1:9" ht="20" customHeight="1" x14ac:dyDescent="0.35">
      <c r="A537" s="191" t="s">
        <v>1323</v>
      </c>
      <c r="B537" s="191" t="s">
        <v>754</v>
      </c>
      <c r="C537" s="192">
        <v>45665</v>
      </c>
      <c r="D537" s="199">
        <v>80.47</v>
      </c>
      <c r="E537" s="191" t="s">
        <v>564</v>
      </c>
      <c r="F537" s="191" t="s">
        <v>793</v>
      </c>
      <c r="G537" s="198">
        <v>0</v>
      </c>
      <c r="H537" s="203">
        <v>46302</v>
      </c>
      <c r="I537" s="191" t="s">
        <v>588</v>
      </c>
    </row>
    <row r="538" spans="1:9" ht="20" customHeight="1" x14ac:dyDescent="0.35">
      <c r="A538" s="191" t="s">
        <v>1324</v>
      </c>
      <c r="B538" s="191" t="s">
        <v>754</v>
      </c>
      <c r="C538" s="192">
        <v>45666</v>
      </c>
      <c r="D538" s="199">
        <v>80.53</v>
      </c>
      <c r="E538" s="191" t="s">
        <v>564</v>
      </c>
      <c r="F538" s="191" t="s">
        <v>793</v>
      </c>
      <c r="G538" s="198">
        <v>0</v>
      </c>
      <c r="H538" s="203">
        <v>46302</v>
      </c>
      <c r="I538" s="191" t="s">
        <v>588</v>
      </c>
    </row>
    <row r="539" spans="1:9" ht="20" customHeight="1" x14ac:dyDescent="0.35">
      <c r="A539" s="191" t="s">
        <v>1325</v>
      </c>
      <c r="B539" s="191" t="s">
        <v>754</v>
      </c>
      <c r="C539" s="192">
        <v>45667</v>
      </c>
      <c r="D539" s="199">
        <v>80.599999999999994</v>
      </c>
      <c r="E539" s="191" t="s">
        <v>564</v>
      </c>
      <c r="F539" s="191" t="s">
        <v>793</v>
      </c>
      <c r="G539" s="198">
        <v>0</v>
      </c>
      <c r="H539" s="203">
        <v>46302</v>
      </c>
      <c r="I539" s="191" t="s">
        <v>588</v>
      </c>
    </row>
    <row r="540" spans="1:9" ht="20" customHeight="1" x14ac:dyDescent="0.35">
      <c r="A540" s="191" t="s">
        <v>1326</v>
      </c>
      <c r="B540" s="191" t="s">
        <v>754</v>
      </c>
      <c r="C540" s="192">
        <v>45670</v>
      </c>
      <c r="D540" s="199">
        <v>80.8</v>
      </c>
      <c r="E540" s="191" t="s">
        <v>564</v>
      </c>
      <c r="F540" s="191" t="s">
        <v>793</v>
      </c>
      <c r="G540" s="198">
        <v>0</v>
      </c>
      <c r="H540" s="203">
        <v>46302</v>
      </c>
      <c r="I540" s="191" t="s">
        <v>588</v>
      </c>
    </row>
    <row r="541" spans="1:9" ht="20" customHeight="1" x14ac:dyDescent="0.35">
      <c r="A541" s="191" t="s">
        <v>1327</v>
      </c>
      <c r="B541" s="191" t="s">
        <v>754</v>
      </c>
      <c r="C541" s="192">
        <v>45671</v>
      </c>
      <c r="D541" s="199">
        <v>80.87</v>
      </c>
      <c r="E541" s="191" t="s">
        <v>564</v>
      </c>
      <c r="F541" s="191" t="s">
        <v>793</v>
      </c>
      <c r="G541" s="198">
        <v>0</v>
      </c>
      <c r="H541" s="203">
        <v>46302</v>
      </c>
      <c r="I541" s="191" t="s">
        <v>588</v>
      </c>
    </row>
    <row r="542" spans="1:9" ht="20" customHeight="1" x14ac:dyDescent="0.35">
      <c r="A542" s="191" t="s">
        <v>1328</v>
      </c>
      <c r="B542" s="191" t="s">
        <v>754</v>
      </c>
      <c r="C542" s="192">
        <v>45672</v>
      </c>
      <c r="D542" s="199">
        <v>80.930000000000007</v>
      </c>
      <c r="E542" s="191" t="s">
        <v>564</v>
      </c>
      <c r="F542" s="191" t="s">
        <v>793</v>
      </c>
      <c r="G542" s="198">
        <v>0</v>
      </c>
      <c r="H542" s="203">
        <v>46302</v>
      </c>
      <c r="I542" s="191" t="s">
        <v>588</v>
      </c>
    </row>
    <row r="543" spans="1:9" ht="20" customHeight="1" x14ac:dyDescent="0.35">
      <c r="A543" s="191" t="s">
        <v>1329</v>
      </c>
      <c r="B543" s="191" t="s">
        <v>754</v>
      </c>
      <c r="C543" s="192">
        <v>45673</v>
      </c>
      <c r="D543" s="199">
        <v>81</v>
      </c>
      <c r="E543" s="191" t="s">
        <v>564</v>
      </c>
      <c r="F543" s="191" t="s">
        <v>793</v>
      </c>
      <c r="G543" s="198">
        <v>0</v>
      </c>
      <c r="H543" s="203">
        <v>46302</v>
      </c>
      <c r="I543" s="191" t="s">
        <v>588</v>
      </c>
    </row>
    <row r="544" spans="1:9" ht="20" customHeight="1" x14ac:dyDescent="0.35">
      <c r="A544" s="191" t="s">
        <v>1330</v>
      </c>
      <c r="B544" s="191" t="s">
        <v>754</v>
      </c>
      <c r="C544" s="192">
        <v>45674</v>
      </c>
      <c r="D544" s="199">
        <v>81.069999999999993</v>
      </c>
      <c r="E544" s="191" t="s">
        <v>564</v>
      </c>
      <c r="F544" s="191" t="s">
        <v>793</v>
      </c>
      <c r="G544" s="198">
        <v>0</v>
      </c>
      <c r="H544" s="203">
        <v>46302</v>
      </c>
      <c r="I544" s="191" t="s">
        <v>588</v>
      </c>
    </row>
    <row r="545" spans="1:9" ht="20" customHeight="1" x14ac:dyDescent="0.35">
      <c r="A545" s="191" t="s">
        <v>1331</v>
      </c>
      <c r="B545" s="191" t="s">
        <v>754</v>
      </c>
      <c r="C545" s="192">
        <v>45677</v>
      </c>
      <c r="D545" s="199">
        <v>81.27</v>
      </c>
      <c r="E545" s="191" t="s">
        <v>564</v>
      </c>
      <c r="F545" s="191" t="s">
        <v>793</v>
      </c>
      <c r="G545" s="198">
        <v>0</v>
      </c>
      <c r="H545" s="203">
        <v>46302</v>
      </c>
      <c r="I545" s="191" t="s">
        <v>588</v>
      </c>
    </row>
    <row r="546" spans="1:9" ht="20" customHeight="1" x14ac:dyDescent="0.35">
      <c r="A546" s="191" t="s">
        <v>1332</v>
      </c>
      <c r="B546" s="191" t="s">
        <v>754</v>
      </c>
      <c r="C546" s="192">
        <v>45678</v>
      </c>
      <c r="D546" s="199">
        <v>81.33</v>
      </c>
      <c r="E546" s="191" t="s">
        <v>564</v>
      </c>
      <c r="F546" s="191" t="s">
        <v>793</v>
      </c>
      <c r="G546" s="198">
        <v>0</v>
      </c>
      <c r="H546" s="203">
        <v>46302</v>
      </c>
      <c r="I546" s="191" t="s">
        <v>588</v>
      </c>
    </row>
    <row r="547" spans="1:9" ht="20" customHeight="1" x14ac:dyDescent="0.35">
      <c r="A547" s="191" t="s">
        <v>1333</v>
      </c>
      <c r="B547" s="191" t="s">
        <v>754</v>
      </c>
      <c r="C547" s="192">
        <v>45679</v>
      </c>
      <c r="D547" s="199">
        <v>81.400000000000006</v>
      </c>
      <c r="E547" s="191" t="s">
        <v>564</v>
      </c>
      <c r="F547" s="191" t="s">
        <v>793</v>
      </c>
      <c r="G547" s="198">
        <v>0</v>
      </c>
      <c r="H547" s="203">
        <v>46302</v>
      </c>
      <c r="I547" s="191" t="s">
        <v>588</v>
      </c>
    </row>
    <row r="548" spans="1:9" ht="20" customHeight="1" x14ac:dyDescent="0.35">
      <c r="A548" s="191" t="s">
        <v>1334</v>
      </c>
      <c r="B548" s="191" t="s">
        <v>754</v>
      </c>
      <c r="C548" s="192">
        <v>45680</v>
      </c>
      <c r="D548" s="199">
        <v>81.47</v>
      </c>
      <c r="E548" s="191" t="s">
        <v>564</v>
      </c>
      <c r="F548" s="191" t="s">
        <v>793</v>
      </c>
      <c r="G548" s="198">
        <v>0</v>
      </c>
      <c r="H548" s="203">
        <v>46302</v>
      </c>
      <c r="I548" s="191" t="s">
        <v>588</v>
      </c>
    </row>
    <row r="549" spans="1:9" ht="20" customHeight="1" x14ac:dyDescent="0.35">
      <c r="A549" s="191" t="s">
        <v>1335</v>
      </c>
      <c r="B549" s="191" t="s">
        <v>754</v>
      </c>
      <c r="C549" s="192">
        <v>45681</v>
      </c>
      <c r="D549" s="199">
        <v>81.53</v>
      </c>
      <c r="E549" s="191" t="s">
        <v>564</v>
      </c>
      <c r="F549" s="191" t="s">
        <v>793</v>
      </c>
      <c r="G549" s="198">
        <v>0</v>
      </c>
      <c r="H549" s="203">
        <v>46302</v>
      </c>
      <c r="I549" s="191" t="s">
        <v>588</v>
      </c>
    </row>
    <row r="550" spans="1:9" ht="20" customHeight="1" x14ac:dyDescent="0.35">
      <c r="A550" s="191" t="s">
        <v>1336</v>
      </c>
      <c r="B550" s="191" t="s">
        <v>754</v>
      </c>
      <c r="C550" s="192">
        <v>45684</v>
      </c>
      <c r="D550" s="199">
        <v>81.73</v>
      </c>
      <c r="E550" s="191" t="s">
        <v>564</v>
      </c>
      <c r="F550" s="191" t="s">
        <v>793</v>
      </c>
      <c r="G550" s="198">
        <v>0</v>
      </c>
      <c r="H550" s="203">
        <v>46302</v>
      </c>
      <c r="I550" s="191" t="s">
        <v>588</v>
      </c>
    </row>
    <row r="551" spans="1:9" ht="20" customHeight="1" x14ac:dyDescent="0.35">
      <c r="A551" s="191" t="s">
        <v>1337</v>
      </c>
      <c r="B551" s="191" t="s">
        <v>754</v>
      </c>
      <c r="C551" s="192">
        <v>45685</v>
      </c>
      <c r="D551" s="199">
        <v>81.8</v>
      </c>
      <c r="E551" s="191" t="s">
        <v>564</v>
      </c>
      <c r="F551" s="191" t="s">
        <v>793</v>
      </c>
      <c r="G551" s="198">
        <v>0</v>
      </c>
      <c r="H551" s="203">
        <v>46302</v>
      </c>
      <c r="I551" s="191" t="s">
        <v>588</v>
      </c>
    </row>
    <row r="552" spans="1:9" ht="20" customHeight="1" x14ac:dyDescent="0.35">
      <c r="A552" s="191" t="s">
        <v>1338</v>
      </c>
      <c r="B552" s="191" t="s">
        <v>754</v>
      </c>
      <c r="C552" s="192">
        <v>45686</v>
      </c>
      <c r="D552" s="199">
        <v>81.87</v>
      </c>
      <c r="E552" s="191" t="s">
        <v>564</v>
      </c>
      <c r="F552" s="191" t="s">
        <v>793</v>
      </c>
      <c r="G552" s="198">
        <v>0</v>
      </c>
      <c r="H552" s="203">
        <v>46302</v>
      </c>
      <c r="I552" s="191" t="s">
        <v>588</v>
      </c>
    </row>
    <row r="553" spans="1:9" ht="20" customHeight="1" x14ac:dyDescent="0.35">
      <c r="A553" s="191" t="s">
        <v>1339</v>
      </c>
      <c r="B553" s="191" t="s">
        <v>754</v>
      </c>
      <c r="C553" s="192">
        <v>45687</v>
      </c>
      <c r="D553" s="199">
        <v>81.93</v>
      </c>
      <c r="E553" s="191" t="s">
        <v>564</v>
      </c>
      <c r="F553" s="191" t="s">
        <v>793</v>
      </c>
      <c r="G553" s="198">
        <v>0</v>
      </c>
      <c r="H553" s="203">
        <v>46302</v>
      </c>
      <c r="I553" s="191" t="s">
        <v>588</v>
      </c>
    </row>
    <row r="554" spans="1:9" ht="20" customHeight="1" x14ac:dyDescent="0.35">
      <c r="A554" s="191" t="s">
        <v>1340</v>
      </c>
      <c r="B554" s="191" t="s">
        <v>754</v>
      </c>
      <c r="C554" s="192">
        <v>45688</v>
      </c>
      <c r="D554" s="199">
        <v>82</v>
      </c>
      <c r="E554" s="191" t="s">
        <v>564</v>
      </c>
      <c r="F554" s="191" t="s">
        <v>793</v>
      </c>
      <c r="G554" s="198">
        <v>0</v>
      </c>
      <c r="H554" s="203">
        <v>46302</v>
      </c>
      <c r="I554" s="191" t="s">
        <v>588</v>
      </c>
    </row>
    <row r="555" spans="1:9" ht="20" customHeight="1" x14ac:dyDescent="0.35">
      <c r="A555" s="191" t="s">
        <v>1341</v>
      </c>
      <c r="B555" s="191" t="s">
        <v>754</v>
      </c>
      <c r="C555" s="192">
        <v>45691</v>
      </c>
      <c r="D555" s="199">
        <v>81.7</v>
      </c>
      <c r="E555" s="191" t="s">
        <v>564</v>
      </c>
      <c r="F555" s="191" t="s">
        <v>793</v>
      </c>
      <c r="G555" s="198">
        <v>0</v>
      </c>
      <c r="H555" s="203">
        <v>46302</v>
      </c>
      <c r="I555" s="191" t="s">
        <v>588</v>
      </c>
    </row>
    <row r="556" spans="1:9" ht="20" customHeight="1" x14ac:dyDescent="0.35">
      <c r="A556" s="191" t="s">
        <v>1342</v>
      </c>
      <c r="B556" s="191" t="s">
        <v>754</v>
      </c>
      <c r="C556" s="192">
        <v>45692</v>
      </c>
      <c r="D556" s="199">
        <v>81.56</v>
      </c>
      <c r="E556" s="191" t="s">
        <v>564</v>
      </c>
      <c r="F556" s="191" t="s">
        <v>793</v>
      </c>
      <c r="G556" s="198">
        <v>0</v>
      </c>
      <c r="H556" s="203">
        <v>46302</v>
      </c>
      <c r="I556" s="191" t="s">
        <v>588</v>
      </c>
    </row>
    <row r="557" spans="1:9" ht="20" customHeight="1" x14ac:dyDescent="0.35">
      <c r="A557" s="191" t="s">
        <v>1343</v>
      </c>
      <c r="B557" s="191" t="s">
        <v>754</v>
      </c>
      <c r="C557" s="192">
        <v>45693</v>
      </c>
      <c r="D557" s="199">
        <v>81.41</v>
      </c>
      <c r="E557" s="191" t="s">
        <v>564</v>
      </c>
      <c r="F557" s="191" t="s">
        <v>793</v>
      </c>
      <c r="G557" s="198">
        <v>0</v>
      </c>
      <c r="H557" s="203">
        <v>46302</v>
      </c>
      <c r="I557" s="191" t="s">
        <v>588</v>
      </c>
    </row>
    <row r="558" spans="1:9" ht="20" customHeight="1" x14ac:dyDescent="0.35">
      <c r="A558" s="191" t="s">
        <v>1344</v>
      </c>
      <c r="B558" s="191" t="s">
        <v>754</v>
      </c>
      <c r="C558" s="192">
        <v>45694</v>
      </c>
      <c r="D558" s="199">
        <v>81.260000000000005</v>
      </c>
      <c r="E558" s="191" t="s">
        <v>564</v>
      </c>
      <c r="F558" s="191" t="s">
        <v>793</v>
      </c>
      <c r="G558" s="198">
        <v>0</v>
      </c>
      <c r="H558" s="203">
        <v>46302</v>
      </c>
      <c r="I558" s="191" t="s">
        <v>588</v>
      </c>
    </row>
    <row r="559" spans="1:9" ht="20" customHeight="1" x14ac:dyDescent="0.35">
      <c r="A559" s="191" t="s">
        <v>1345</v>
      </c>
      <c r="B559" s="191" t="s">
        <v>754</v>
      </c>
      <c r="C559" s="192">
        <v>45695</v>
      </c>
      <c r="D559" s="199">
        <v>81.11</v>
      </c>
      <c r="E559" s="191" t="s">
        <v>564</v>
      </c>
      <c r="F559" s="191" t="s">
        <v>793</v>
      </c>
      <c r="G559" s="198">
        <v>0</v>
      </c>
      <c r="H559" s="203">
        <v>46302</v>
      </c>
      <c r="I559" s="191" t="s">
        <v>588</v>
      </c>
    </row>
    <row r="560" spans="1:9" ht="20" customHeight="1" x14ac:dyDescent="0.35">
      <c r="A560" s="191" t="s">
        <v>1346</v>
      </c>
      <c r="B560" s="191" t="s">
        <v>754</v>
      </c>
      <c r="C560" s="192">
        <v>45698</v>
      </c>
      <c r="D560" s="199">
        <v>80.67</v>
      </c>
      <c r="E560" s="191" t="s">
        <v>564</v>
      </c>
      <c r="F560" s="191" t="s">
        <v>793</v>
      </c>
      <c r="G560" s="198">
        <v>0</v>
      </c>
      <c r="H560" s="203">
        <v>46302</v>
      </c>
      <c r="I560" s="191" t="s">
        <v>588</v>
      </c>
    </row>
    <row r="561" spans="1:9" ht="20" customHeight="1" x14ac:dyDescent="0.35">
      <c r="A561" s="191" t="s">
        <v>1347</v>
      </c>
      <c r="B561" s="191" t="s">
        <v>754</v>
      </c>
      <c r="C561" s="192">
        <v>45699</v>
      </c>
      <c r="D561" s="199">
        <v>80.52</v>
      </c>
      <c r="E561" s="191" t="s">
        <v>564</v>
      </c>
      <c r="F561" s="191" t="s">
        <v>793</v>
      </c>
      <c r="G561" s="198">
        <v>0</v>
      </c>
      <c r="H561" s="203">
        <v>46302</v>
      </c>
      <c r="I561" s="191" t="s">
        <v>588</v>
      </c>
    </row>
    <row r="562" spans="1:9" ht="20" customHeight="1" x14ac:dyDescent="0.35">
      <c r="A562" s="191" t="s">
        <v>1348</v>
      </c>
      <c r="B562" s="191" t="s">
        <v>754</v>
      </c>
      <c r="C562" s="192">
        <v>45700</v>
      </c>
      <c r="D562" s="199">
        <v>80.37</v>
      </c>
      <c r="E562" s="191" t="s">
        <v>564</v>
      </c>
      <c r="F562" s="191" t="s">
        <v>793</v>
      </c>
      <c r="G562" s="198">
        <v>0</v>
      </c>
      <c r="H562" s="203">
        <v>46302</v>
      </c>
      <c r="I562" s="191" t="s">
        <v>588</v>
      </c>
    </row>
    <row r="563" spans="1:9" ht="20" customHeight="1" x14ac:dyDescent="0.35">
      <c r="A563" s="191" t="s">
        <v>1349</v>
      </c>
      <c r="B563" s="191" t="s">
        <v>754</v>
      </c>
      <c r="C563" s="192">
        <v>45701</v>
      </c>
      <c r="D563" s="199">
        <v>80.22</v>
      </c>
      <c r="E563" s="191" t="s">
        <v>564</v>
      </c>
      <c r="F563" s="191" t="s">
        <v>793</v>
      </c>
      <c r="G563" s="198">
        <v>0</v>
      </c>
      <c r="H563" s="203">
        <v>46302</v>
      </c>
      <c r="I563" s="191" t="s">
        <v>588</v>
      </c>
    </row>
    <row r="564" spans="1:9" ht="20" customHeight="1" x14ac:dyDescent="0.35">
      <c r="A564" s="191" t="s">
        <v>1350</v>
      </c>
      <c r="B564" s="191" t="s">
        <v>754</v>
      </c>
      <c r="C564" s="192">
        <v>45702</v>
      </c>
      <c r="D564" s="199">
        <v>80.069999999999993</v>
      </c>
      <c r="E564" s="191" t="s">
        <v>564</v>
      </c>
      <c r="F564" s="191" t="s">
        <v>793</v>
      </c>
      <c r="G564" s="198">
        <v>0</v>
      </c>
      <c r="H564" s="203">
        <v>46302</v>
      </c>
      <c r="I564" s="191" t="s">
        <v>588</v>
      </c>
    </row>
    <row r="565" spans="1:9" ht="20" customHeight="1" x14ac:dyDescent="0.35">
      <c r="A565" s="191" t="s">
        <v>1351</v>
      </c>
      <c r="B565" s="191" t="s">
        <v>754</v>
      </c>
      <c r="C565" s="192">
        <v>45705</v>
      </c>
      <c r="D565" s="199">
        <v>79.63</v>
      </c>
      <c r="E565" s="191" t="s">
        <v>564</v>
      </c>
      <c r="F565" s="191" t="s">
        <v>793</v>
      </c>
      <c r="G565" s="198">
        <v>0</v>
      </c>
      <c r="H565" s="203">
        <v>46302</v>
      </c>
      <c r="I565" s="191" t="s">
        <v>588</v>
      </c>
    </row>
    <row r="566" spans="1:9" ht="20" customHeight="1" x14ac:dyDescent="0.35">
      <c r="A566" s="191" t="s">
        <v>1352</v>
      </c>
      <c r="B566" s="191" t="s">
        <v>754</v>
      </c>
      <c r="C566" s="192">
        <v>45706</v>
      </c>
      <c r="D566" s="199">
        <v>79.48</v>
      </c>
      <c r="E566" s="191" t="s">
        <v>564</v>
      </c>
      <c r="F566" s="191" t="s">
        <v>793</v>
      </c>
      <c r="G566" s="198">
        <v>0</v>
      </c>
      <c r="H566" s="203">
        <v>46302</v>
      </c>
      <c r="I566" s="191" t="s">
        <v>588</v>
      </c>
    </row>
    <row r="567" spans="1:9" ht="20" customHeight="1" x14ac:dyDescent="0.35">
      <c r="A567" s="191" t="s">
        <v>1353</v>
      </c>
      <c r="B567" s="191" t="s">
        <v>754</v>
      </c>
      <c r="C567" s="192">
        <v>45707</v>
      </c>
      <c r="D567" s="199">
        <v>79.33</v>
      </c>
      <c r="E567" s="191" t="s">
        <v>564</v>
      </c>
      <c r="F567" s="191" t="s">
        <v>793</v>
      </c>
      <c r="G567" s="198">
        <v>0</v>
      </c>
      <c r="H567" s="203">
        <v>46302</v>
      </c>
      <c r="I567" s="191" t="s">
        <v>588</v>
      </c>
    </row>
    <row r="568" spans="1:9" ht="20" customHeight="1" x14ac:dyDescent="0.35">
      <c r="A568" s="191" t="s">
        <v>1354</v>
      </c>
      <c r="B568" s="191" t="s">
        <v>754</v>
      </c>
      <c r="C568" s="192">
        <v>45708</v>
      </c>
      <c r="D568" s="199">
        <v>79.19</v>
      </c>
      <c r="E568" s="191" t="s">
        <v>564</v>
      </c>
      <c r="F568" s="191" t="s">
        <v>793</v>
      </c>
      <c r="G568" s="198">
        <v>0</v>
      </c>
      <c r="H568" s="203">
        <v>46302</v>
      </c>
      <c r="I568" s="191" t="s">
        <v>588</v>
      </c>
    </row>
    <row r="569" spans="1:9" ht="20" customHeight="1" x14ac:dyDescent="0.35">
      <c r="A569" s="191" t="s">
        <v>1355</v>
      </c>
      <c r="B569" s="191" t="s">
        <v>754</v>
      </c>
      <c r="C569" s="192">
        <v>45709</v>
      </c>
      <c r="D569" s="199">
        <v>79.040000000000006</v>
      </c>
      <c r="E569" s="191" t="s">
        <v>564</v>
      </c>
      <c r="F569" s="191" t="s">
        <v>793</v>
      </c>
      <c r="G569" s="198">
        <v>0</v>
      </c>
      <c r="H569" s="203">
        <v>46302</v>
      </c>
      <c r="I569" s="191" t="s">
        <v>588</v>
      </c>
    </row>
    <row r="570" spans="1:9" ht="20" customHeight="1" x14ac:dyDescent="0.35">
      <c r="A570" s="191" t="s">
        <v>1356</v>
      </c>
      <c r="B570" s="191" t="s">
        <v>754</v>
      </c>
      <c r="C570" s="192">
        <v>45712</v>
      </c>
      <c r="D570" s="199">
        <v>78.59</v>
      </c>
      <c r="E570" s="191" t="s">
        <v>564</v>
      </c>
      <c r="F570" s="191" t="s">
        <v>793</v>
      </c>
      <c r="G570" s="198">
        <v>0</v>
      </c>
      <c r="H570" s="203">
        <v>46302</v>
      </c>
      <c r="I570" s="191" t="s">
        <v>588</v>
      </c>
    </row>
    <row r="571" spans="1:9" ht="20" customHeight="1" x14ac:dyDescent="0.35">
      <c r="A571" s="191" t="s">
        <v>1357</v>
      </c>
      <c r="B571" s="191" t="s">
        <v>754</v>
      </c>
      <c r="C571" s="192">
        <v>45713</v>
      </c>
      <c r="D571" s="199">
        <v>78.44</v>
      </c>
      <c r="E571" s="191" t="s">
        <v>564</v>
      </c>
      <c r="F571" s="191" t="s">
        <v>793</v>
      </c>
      <c r="G571" s="198">
        <v>0</v>
      </c>
      <c r="H571" s="203">
        <v>46302</v>
      </c>
      <c r="I571" s="191" t="s">
        <v>588</v>
      </c>
    </row>
    <row r="572" spans="1:9" ht="20" customHeight="1" x14ac:dyDescent="0.35">
      <c r="A572" s="191" t="s">
        <v>1358</v>
      </c>
      <c r="B572" s="191" t="s">
        <v>754</v>
      </c>
      <c r="C572" s="192">
        <v>45714</v>
      </c>
      <c r="D572" s="199">
        <v>78.3</v>
      </c>
      <c r="E572" s="191" t="s">
        <v>564</v>
      </c>
      <c r="F572" s="191" t="s">
        <v>793</v>
      </c>
      <c r="G572" s="198">
        <v>0</v>
      </c>
      <c r="H572" s="203">
        <v>46302</v>
      </c>
      <c r="I572" s="191" t="s">
        <v>588</v>
      </c>
    </row>
    <row r="573" spans="1:9" ht="20" customHeight="1" x14ac:dyDescent="0.35">
      <c r="A573" s="191" t="s">
        <v>1359</v>
      </c>
      <c r="B573" s="191" t="s">
        <v>754</v>
      </c>
      <c r="C573" s="192">
        <v>45715</v>
      </c>
      <c r="D573" s="199">
        <v>78.150000000000006</v>
      </c>
      <c r="E573" s="191" t="s">
        <v>564</v>
      </c>
      <c r="F573" s="191" t="s">
        <v>793</v>
      </c>
      <c r="G573" s="198">
        <v>0</v>
      </c>
      <c r="H573" s="203">
        <v>46302</v>
      </c>
      <c r="I573" s="191" t="s">
        <v>588</v>
      </c>
    </row>
    <row r="574" spans="1:9" ht="20" customHeight="1" x14ac:dyDescent="0.35">
      <c r="A574" s="191" t="s">
        <v>1360</v>
      </c>
      <c r="B574" s="191" t="s">
        <v>754</v>
      </c>
      <c r="C574" s="192">
        <v>45716</v>
      </c>
      <c r="D574" s="199">
        <v>78</v>
      </c>
      <c r="E574" s="191" t="s">
        <v>564</v>
      </c>
      <c r="F574" s="191" t="s">
        <v>793</v>
      </c>
      <c r="G574" s="198">
        <v>0</v>
      </c>
      <c r="H574" s="203">
        <v>46302</v>
      </c>
      <c r="I574" s="191" t="s">
        <v>588</v>
      </c>
    </row>
    <row r="575" spans="1:9" ht="20" customHeight="1" x14ac:dyDescent="0.35">
      <c r="A575" s="191" t="s">
        <v>1361</v>
      </c>
      <c r="B575" s="191" t="s">
        <v>754</v>
      </c>
      <c r="C575" s="192">
        <v>45719</v>
      </c>
      <c r="D575" s="199">
        <v>77.8</v>
      </c>
      <c r="E575" s="191" t="s">
        <v>564</v>
      </c>
      <c r="F575" s="191" t="s">
        <v>793</v>
      </c>
      <c r="G575" s="198">
        <v>0</v>
      </c>
      <c r="H575" s="203">
        <v>46302</v>
      </c>
      <c r="I575" s="191" t="s">
        <v>588</v>
      </c>
    </row>
    <row r="576" spans="1:9" ht="20" customHeight="1" x14ac:dyDescent="0.35">
      <c r="A576" s="191" t="s">
        <v>1362</v>
      </c>
      <c r="B576" s="191" t="s">
        <v>754</v>
      </c>
      <c r="C576" s="192">
        <v>45720</v>
      </c>
      <c r="D576" s="199">
        <v>77.7</v>
      </c>
      <c r="E576" s="191" t="s">
        <v>564</v>
      </c>
      <c r="F576" s="191" t="s">
        <v>793</v>
      </c>
      <c r="G576" s="198">
        <v>0</v>
      </c>
      <c r="H576" s="203">
        <v>46302</v>
      </c>
      <c r="I576" s="191" t="s">
        <v>588</v>
      </c>
    </row>
    <row r="577" spans="1:9" ht="20" customHeight="1" x14ac:dyDescent="0.35">
      <c r="A577" s="191" t="s">
        <v>1363</v>
      </c>
      <c r="B577" s="191" t="s">
        <v>754</v>
      </c>
      <c r="C577" s="192">
        <v>45721</v>
      </c>
      <c r="D577" s="199">
        <v>77.599999999999994</v>
      </c>
      <c r="E577" s="191" t="s">
        <v>564</v>
      </c>
      <c r="F577" s="191" t="s">
        <v>793</v>
      </c>
      <c r="G577" s="198">
        <v>0</v>
      </c>
      <c r="H577" s="203">
        <v>46302</v>
      </c>
      <c r="I577" s="191" t="s">
        <v>588</v>
      </c>
    </row>
    <row r="578" spans="1:9" ht="20" customHeight="1" x14ac:dyDescent="0.35">
      <c r="A578" s="191" t="s">
        <v>1364</v>
      </c>
      <c r="B578" s="191" t="s">
        <v>754</v>
      </c>
      <c r="C578" s="192">
        <v>45722</v>
      </c>
      <c r="D578" s="199">
        <v>77.5</v>
      </c>
      <c r="E578" s="191" t="s">
        <v>564</v>
      </c>
      <c r="F578" s="191" t="s">
        <v>793</v>
      </c>
      <c r="G578" s="198">
        <v>0</v>
      </c>
      <c r="H578" s="203">
        <v>46302</v>
      </c>
      <c r="I578" s="191" t="s">
        <v>588</v>
      </c>
    </row>
    <row r="579" spans="1:9" ht="20" customHeight="1" x14ac:dyDescent="0.35">
      <c r="A579" s="191" t="s">
        <v>1365</v>
      </c>
      <c r="B579" s="191" t="s">
        <v>754</v>
      </c>
      <c r="C579" s="192">
        <v>45723</v>
      </c>
      <c r="D579" s="199">
        <v>77.400000000000006</v>
      </c>
      <c r="E579" s="191" t="s">
        <v>564</v>
      </c>
      <c r="F579" s="191" t="s">
        <v>793</v>
      </c>
      <c r="G579" s="198">
        <v>0</v>
      </c>
      <c r="H579" s="203">
        <v>46302</v>
      </c>
      <c r="I579" s="191" t="s">
        <v>588</v>
      </c>
    </row>
    <row r="580" spans="1:9" ht="20" customHeight="1" x14ac:dyDescent="0.35">
      <c r="A580" s="191" t="s">
        <v>1366</v>
      </c>
      <c r="B580" s="191" t="s">
        <v>754</v>
      </c>
      <c r="C580" s="192">
        <v>45726</v>
      </c>
      <c r="D580" s="199">
        <v>77.099999999999994</v>
      </c>
      <c r="E580" s="191" t="s">
        <v>564</v>
      </c>
      <c r="F580" s="191" t="s">
        <v>793</v>
      </c>
      <c r="G580" s="198">
        <v>0</v>
      </c>
      <c r="H580" s="203">
        <v>46302</v>
      </c>
      <c r="I580" s="191" t="s">
        <v>588</v>
      </c>
    </row>
    <row r="581" spans="1:9" ht="20" customHeight="1" x14ac:dyDescent="0.35">
      <c r="A581" s="191" t="s">
        <v>1367</v>
      </c>
      <c r="B581" s="191" t="s">
        <v>754</v>
      </c>
      <c r="C581" s="192">
        <v>45727</v>
      </c>
      <c r="D581" s="199">
        <v>77</v>
      </c>
      <c r="E581" s="191" t="s">
        <v>564</v>
      </c>
      <c r="F581" s="191" t="s">
        <v>793</v>
      </c>
      <c r="G581" s="198">
        <v>0</v>
      </c>
      <c r="H581" s="203">
        <v>46302</v>
      </c>
      <c r="I581" s="191" t="s">
        <v>588</v>
      </c>
    </row>
    <row r="582" spans="1:9" ht="20" customHeight="1" x14ac:dyDescent="0.35">
      <c r="A582" s="191" t="s">
        <v>1368</v>
      </c>
      <c r="B582" s="191" t="s">
        <v>754</v>
      </c>
      <c r="C582" s="192">
        <v>45728</v>
      </c>
      <c r="D582" s="199">
        <v>76.900000000000006</v>
      </c>
      <c r="E582" s="191" t="s">
        <v>564</v>
      </c>
      <c r="F582" s="191" t="s">
        <v>793</v>
      </c>
      <c r="G582" s="198">
        <v>0</v>
      </c>
      <c r="H582" s="203">
        <v>46302</v>
      </c>
      <c r="I582" s="191" t="s">
        <v>588</v>
      </c>
    </row>
    <row r="583" spans="1:9" ht="20" customHeight="1" x14ac:dyDescent="0.35">
      <c r="A583" s="191" t="s">
        <v>1369</v>
      </c>
      <c r="B583" s="191" t="s">
        <v>754</v>
      </c>
      <c r="C583" s="192">
        <v>45729</v>
      </c>
      <c r="D583" s="199">
        <v>76.8</v>
      </c>
      <c r="E583" s="191" t="s">
        <v>564</v>
      </c>
      <c r="F583" s="191" t="s">
        <v>793</v>
      </c>
      <c r="G583" s="198">
        <v>0</v>
      </c>
      <c r="H583" s="203">
        <v>46302</v>
      </c>
      <c r="I583" s="191" t="s">
        <v>588</v>
      </c>
    </row>
    <row r="584" spans="1:9" ht="20" customHeight="1" x14ac:dyDescent="0.35">
      <c r="A584" s="191" t="s">
        <v>1370</v>
      </c>
      <c r="B584" s="191" t="s">
        <v>754</v>
      </c>
      <c r="C584" s="192">
        <v>45730</v>
      </c>
      <c r="D584" s="199">
        <v>76.7</v>
      </c>
      <c r="E584" s="191" t="s">
        <v>564</v>
      </c>
      <c r="F584" s="191" t="s">
        <v>793</v>
      </c>
      <c r="G584" s="198">
        <v>0</v>
      </c>
      <c r="H584" s="203">
        <v>46302</v>
      </c>
      <c r="I584" s="191" t="s">
        <v>588</v>
      </c>
    </row>
    <row r="585" spans="1:9" ht="20" customHeight="1" x14ac:dyDescent="0.35">
      <c r="A585" s="191" t="s">
        <v>1371</v>
      </c>
      <c r="B585" s="191" t="s">
        <v>754</v>
      </c>
      <c r="C585" s="192">
        <v>45733</v>
      </c>
      <c r="D585" s="199">
        <v>76.400000000000006</v>
      </c>
      <c r="E585" s="191" t="s">
        <v>564</v>
      </c>
      <c r="F585" s="191" t="s">
        <v>793</v>
      </c>
      <c r="G585" s="198">
        <v>0</v>
      </c>
      <c r="H585" s="203">
        <v>46302</v>
      </c>
      <c r="I585" s="191" t="s">
        <v>588</v>
      </c>
    </row>
    <row r="586" spans="1:9" ht="20" customHeight="1" x14ac:dyDescent="0.35">
      <c r="A586" s="191" t="s">
        <v>1372</v>
      </c>
      <c r="B586" s="191" t="s">
        <v>754</v>
      </c>
      <c r="C586" s="192">
        <v>45734</v>
      </c>
      <c r="D586" s="199">
        <v>76.3</v>
      </c>
      <c r="E586" s="191" t="s">
        <v>564</v>
      </c>
      <c r="F586" s="191" t="s">
        <v>793</v>
      </c>
      <c r="G586" s="198">
        <v>0</v>
      </c>
      <c r="H586" s="203">
        <v>46302</v>
      </c>
      <c r="I586" s="191" t="s">
        <v>588</v>
      </c>
    </row>
    <row r="587" spans="1:9" ht="20" customHeight="1" x14ac:dyDescent="0.35">
      <c r="A587" s="191" t="s">
        <v>1373</v>
      </c>
      <c r="B587" s="191" t="s">
        <v>754</v>
      </c>
      <c r="C587" s="192">
        <v>45735</v>
      </c>
      <c r="D587" s="199">
        <v>76.2</v>
      </c>
      <c r="E587" s="191" t="s">
        <v>564</v>
      </c>
      <c r="F587" s="191" t="s">
        <v>793</v>
      </c>
      <c r="G587" s="198">
        <v>0</v>
      </c>
      <c r="H587" s="203">
        <v>46302</v>
      </c>
      <c r="I587" s="191" t="s">
        <v>588</v>
      </c>
    </row>
    <row r="588" spans="1:9" ht="20" customHeight="1" x14ac:dyDescent="0.35">
      <c r="A588" s="191" t="s">
        <v>1374</v>
      </c>
      <c r="B588" s="191" t="s">
        <v>754</v>
      </c>
      <c r="C588" s="192">
        <v>45736</v>
      </c>
      <c r="D588" s="199">
        <v>76.099999999999994</v>
      </c>
      <c r="E588" s="191" t="s">
        <v>564</v>
      </c>
      <c r="F588" s="191" t="s">
        <v>793</v>
      </c>
      <c r="G588" s="198">
        <v>0</v>
      </c>
      <c r="H588" s="203">
        <v>46302</v>
      </c>
      <c r="I588" s="191" t="s">
        <v>588</v>
      </c>
    </row>
    <row r="589" spans="1:9" ht="20" customHeight="1" x14ac:dyDescent="0.35">
      <c r="A589" s="191" t="s">
        <v>1375</v>
      </c>
      <c r="B589" s="191" t="s">
        <v>754</v>
      </c>
      <c r="C589" s="192">
        <v>45737</v>
      </c>
      <c r="D589" s="199">
        <v>76</v>
      </c>
      <c r="E589" s="191" t="s">
        <v>564</v>
      </c>
      <c r="F589" s="191" t="s">
        <v>793</v>
      </c>
      <c r="G589" s="198">
        <v>0</v>
      </c>
      <c r="H589" s="203">
        <v>46302</v>
      </c>
      <c r="I589" s="191" t="s">
        <v>588</v>
      </c>
    </row>
    <row r="590" spans="1:9" ht="20" customHeight="1" x14ac:dyDescent="0.35">
      <c r="A590" s="191" t="s">
        <v>1376</v>
      </c>
      <c r="B590" s="191" t="s">
        <v>754</v>
      </c>
      <c r="C590" s="192">
        <v>45740</v>
      </c>
      <c r="D590" s="199">
        <v>75.7</v>
      </c>
      <c r="E590" s="191" t="s">
        <v>564</v>
      </c>
      <c r="F590" s="191" t="s">
        <v>793</v>
      </c>
      <c r="G590" s="198">
        <v>0</v>
      </c>
      <c r="H590" s="203">
        <v>46302</v>
      </c>
      <c r="I590" s="191" t="s">
        <v>588</v>
      </c>
    </row>
    <row r="591" spans="1:9" ht="20" customHeight="1" x14ac:dyDescent="0.35">
      <c r="A591" s="191" t="s">
        <v>1377</v>
      </c>
      <c r="B591" s="191" t="s">
        <v>754</v>
      </c>
      <c r="C591" s="192">
        <v>45741</v>
      </c>
      <c r="D591" s="199">
        <v>75.599999999999994</v>
      </c>
      <c r="E591" s="191" t="s">
        <v>564</v>
      </c>
      <c r="F591" s="191" t="s">
        <v>793</v>
      </c>
      <c r="G591" s="198">
        <v>0</v>
      </c>
      <c r="H591" s="203">
        <v>46302</v>
      </c>
      <c r="I591" s="191" t="s">
        <v>588</v>
      </c>
    </row>
    <row r="592" spans="1:9" ht="20" customHeight="1" x14ac:dyDescent="0.35">
      <c r="A592" s="191" t="s">
        <v>1378</v>
      </c>
      <c r="B592" s="191" t="s">
        <v>754</v>
      </c>
      <c r="C592" s="192">
        <v>45742</v>
      </c>
      <c r="D592" s="199">
        <v>75.5</v>
      </c>
      <c r="E592" s="191" t="s">
        <v>564</v>
      </c>
      <c r="F592" s="191" t="s">
        <v>793</v>
      </c>
      <c r="G592" s="198">
        <v>0</v>
      </c>
      <c r="H592" s="203">
        <v>46302</v>
      </c>
      <c r="I592" s="191" t="s">
        <v>588</v>
      </c>
    </row>
    <row r="593" spans="1:9" ht="20" customHeight="1" x14ac:dyDescent="0.35">
      <c r="A593" s="191" t="s">
        <v>1379</v>
      </c>
      <c r="B593" s="191" t="s">
        <v>754</v>
      </c>
      <c r="C593" s="192">
        <v>45743</v>
      </c>
      <c r="D593" s="199">
        <v>75.400000000000006</v>
      </c>
      <c r="E593" s="191" t="s">
        <v>564</v>
      </c>
      <c r="F593" s="191" t="s">
        <v>793</v>
      </c>
      <c r="G593" s="198">
        <v>0</v>
      </c>
      <c r="H593" s="203">
        <v>46302</v>
      </c>
      <c r="I593" s="191" t="s">
        <v>588</v>
      </c>
    </row>
    <row r="594" spans="1:9" ht="20" customHeight="1" x14ac:dyDescent="0.35">
      <c r="A594" s="191" t="s">
        <v>1380</v>
      </c>
      <c r="B594" s="191" t="s">
        <v>754</v>
      </c>
      <c r="C594" s="192">
        <v>45744</v>
      </c>
      <c r="D594" s="199">
        <v>75.3</v>
      </c>
      <c r="E594" s="191" t="s">
        <v>564</v>
      </c>
      <c r="F594" s="191" t="s">
        <v>793</v>
      </c>
      <c r="G594" s="198">
        <v>0</v>
      </c>
      <c r="H594" s="203">
        <v>46302</v>
      </c>
      <c r="I594" s="191" t="s">
        <v>588</v>
      </c>
    </row>
    <row r="595" spans="1:9" ht="20" customHeight="1" x14ac:dyDescent="0.35">
      <c r="A595" s="191" t="s">
        <v>1381</v>
      </c>
      <c r="B595" s="191" t="s">
        <v>754</v>
      </c>
      <c r="C595" s="192">
        <v>45747</v>
      </c>
      <c r="D595" s="199">
        <v>75</v>
      </c>
      <c r="E595" s="191" t="s">
        <v>564</v>
      </c>
      <c r="F595" s="191" t="s">
        <v>793</v>
      </c>
      <c r="G595" s="198">
        <v>0</v>
      </c>
      <c r="H595" s="203">
        <v>46302</v>
      </c>
      <c r="I595" s="191" t="s">
        <v>588</v>
      </c>
    </row>
    <row r="596" spans="1:9" ht="20" customHeight="1" x14ac:dyDescent="0.35">
      <c r="A596" s="191" t="s">
        <v>1382</v>
      </c>
      <c r="B596" s="191" t="s">
        <v>754</v>
      </c>
      <c r="C596" s="192">
        <v>45748</v>
      </c>
      <c r="D596" s="199">
        <v>75</v>
      </c>
      <c r="E596" s="191" t="s">
        <v>564</v>
      </c>
      <c r="F596" s="191" t="s">
        <v>793</v>
      </c>
      <c r="G596" s="198">
        <v>0</v>
      </c>
      <c r="H596" s="203">
        <v>46302</v>
      </c>
      <c r="I596" s="191" t="s">
        <v>588</v>
      </c>
    </row>
    <row r="597" spans="1:9" ht="20" customHeight="1" x14ac:dyDescent="0.35">
      <c r="A597" s="191" t="s">
        <v>1383</v>
      </c>
      <c r="B597" s="191" t="s">
        <v>754</v>
      </c>
      <c r="C597" s="192">
        <v>45749</v>
      </c>
      <c r="D597" s="199">
        <v>75.14</v>
      </c>
      <c r="E597" s="191" t="s">
        <v>564</v>
      </c>
      <c r="F597" s="191" t="s">
        <v>793</v>
      </c>
      <c r="G597" s="198">
        <v>0</v>
      </c>
      <c r="H597" s="203">
        <v>46302</v>
      </c>
      <c r="I597" s="191" t="s">
        <v>588</v>
      </c>
    </row>
    <row r="598" spans="1:9" ht="20" customHeight="1" x14ac:dyDescent="0.35">
      <c r="A598" s="191" t="s">
        <v>1384</v>
      </c>
      <c r="B598" s="191" t="s">
        <v>754</v>
      </c>
      <c r="C598" s="192">
        <v>45750</v>
      </c>
      <c r="D598" s="199">
        <v>75.28</v>
      </c>
      <c r="E598" s="191" t="s">
        <v>564</v>
      </c>
      <c r="F598" s="191" t="s">
        <v>793</v>
      </c>
      <c r="G598" s="198">
        <v>0</v>
      </c>
      <c r="H598" s="203">
        <v>46302</v>
      </c>
      <c r="I598" s="191" t="s">
        <v>588</v>
      </c>
    </row>
    <row r="599" spans="1:9" ht="20" customHeight="1" x14ac:dyDescent="0.35">
      <c r="A599" s="191" t="s">
        <v>1385</v>
      </c>
      <c r="B599" s="191" t="s">
        <v>754</v>
      </c>
      <c r="C599" s="192">
        <v>45751</v>
      </c>
      <c r="D599" s="199">
        <v>75.41</v>
      </c>
      <c r="E599" s="191" t="s">
        <v>564</v>
      </c>
      <c r="F599" s="191" t="s">
        <v>793</v>
      </c>
      <c r="G599" s="198">
        <v>0</v>
      </c>
      <c r="H599" s="203">
        <v>46302</v>
      </c>
      <c r="I599" s="191" t="s">
        <v>588</v>
      </c>
    </row>
    <row r="600" spans="1:9" ht="20" customHeight="1" x14ac:dyDescent="0.35">
      <c r="A600" s="191" t="s">
        <v>1386</v>
      </c>
      <c r="B600" s="191" t="s">
        <v>754</v>
      </c>
      <c r="C600" s="192">
        <v>45754</v>
      </c>
      <c r="D600" s="199">
        <v>75.83</v>
      </c>
      <c r="E600" s="191" t="s">
        <v>564</v>
      </c>
      <c r="F600" s="191" t="s">
        <v>793</v>
      </c>
      <c r="G600" s="198">
        <v>0</v>
      </c>
      <c r="H600" s="203">
        <v>46302</v>
      </c>
      <c r="I600" s="191" t="s">
        <v>588</v>
      </c>
    </row>
    <row r="601" spans="1:9" ht="20" customHeight="1" x14ac:dyDescent="0.35">
      <c r="A601" s="191" t="s">
        <v>1387</v>
      </c>
      <c r="B601" s="191" t="s">
        <v>754</v>
      </c>
      <c r="C601" s="192">
        <v>45755</v>
      </c>
      <c r="D601" s="199">
        <v>75.97</v>
      </c>
      <c r="E601" s="191" t="s">
        <v>564</v>
      </c>
      <c r="F601" s="191" t="s">
        <v>793</v>
      </c>
      <c r="G601" s="198">
        <v>0</v>
      </c>
      <c r="H601" s="203">
        <v>46302</v>
      </c>
      <c r="I601" s="191" t="s">
        <v>588</v>
      </c>
    </row>
    <row r="602" spans="1:9" ht="20" customHeight="1" x14ac:dyDescent="0.35">
      <c r="A602" s="191" t="s">
        <v>1388</v>
      </c>
      <c r="B602" s="191" t="s">
        <v>754</v>
      </c>
      <c r="C602" s="192">
        <v>45756</v>
      </c>
      <c r="D602" s="199">
        <v>76.099999999999994</v>
      </c>
      <c r="E602" s="191" t="s">
        <v>564</v>
      </c>
      <c r="F602" s="191" t="s">
        <v>793</v>
      </c>
      <c r="G602" s="198">
        <v>0</v>
      </c>
      <c r="H602" s="203">
        <v>46302</v>
      </c>
      <c r="I602" s="191" t="s">
        <v>588</v>
      </c>
    </row>
    <row r="603" spans="1:9" ht="20" customHeight="1" x14ac:dyDescent="0.35">
      <c r="A603" s="191" t="s">
        <v>1389</v>
      </c>
      <c r="B603" s="191" t="s">
        <v>754</v>
      </c>
      <c r="C603" s="192">
        <v>45757</v>
      </c>
      <c r="D603" s="199">
        <v>76.239999999999995</v>
      </c>
      <c r="E603" s="191" t="s">
        <v>564</v>
      </c>
      <c r="F603" s="191" t="s">
        <v>793</v>
      </c>
      <c r="G603" s="198">
        <v>0</v>
      </c>
      <c r="H603" s="203">
        <v>46302</v>
      </c>
      <c r="I603" s="191" t="s">
        <v>588</v>
      </c>
    </row>
    <row r="604" spans="1:9" ht="20" customHeight="1" x14ac:dyDescent="0.35">
      <c r="A604" s="191" t="s">
        <v>1390</v>
      </c>
      <c r="B604" s="191" t="s">
        <v>754</v>
      </c>
      <c r="C604" s="192">
        <v>45758</v>
      </c>
      <c r="D604" s="199">
        <v>76.38</v>
      </c>
      <c r="E604" s="191" t="s">
        <v>564</v>
      </c>
      <c r="F604" s="191" t="s">
        <v>793</v>
      </c>
      <c r="G604" s="198">
        <v>0</v>
      </c>
      <c r="H604" s="203">
        <v>46302</v>
      </c>
      <c r="I604" s="191" t="s">
        <v>588</v>
      </c>
    </row>
    <row r="605" spans="1:9" ht="20" customHeight="1" x14ac:dyDescent="0.35">
      <c r="A605" s="191" t="s">
        <v>1391</v>
      </c>
      <c r="B605" s="191" t="s">
        <v>754</v>
      </c>
      <c r="C605" s="192">
        <v>45761</v>
      </c>
      <c r="D605" s="199">
        <v>76.790000000000006</v>
      </c>
      <c r="E605" s="191" t="s">
        <v>564</v>
      </c>
      <c r="F605" s="191" t="s">
        <v>793</v>
      </c>
      <c r="G605" s="198">
        <v>0</v>
      </c>
      <c r="H605" s="203">
        <v>46302</v>
      </c>
      <c r="I605" s="191" t="s">
        <v>588</v>
      </c>
    </row>
    <row r="606" spans="1:9" ht="20" customHeight="1" x14ac:dyDescent="0.35">
      <c r="A606" s="191" t="s">
        <v>1392</v>
      </c>
      <c r="B606" s="191" t="s">
        <v>754</v>
      </c>
      <c r="C606" s="192">
        <v>45762</v>
      </c>
      <c r="D606" s="199">
        <v>76.930000000000007</v>
      </c>
      <c r="E606" s="191" t="s">
        <v>564</v>
      </c>
      <c r="F606" s="191" t="s">
        <v>793</v>
      </c>
      <c r="G606" s="198">
        <v>0</v>
      </c>
      <c r="H606" s="203">
        <v>46302</v>
      </c>
      <c r="I606" s="191" t="s">
        <v>588</v>
      </c>
    </row>
    <row r="607" spans="1:9" ht="20" customHeight="1" x14ac:dyDescent="0.35">
      <c r="A607" s="191" t="s">
        <v>1393</v>
      </c>
      <c r="B607" s="191" t="s">
        <v>754</v>
      </c>
      <c r="C607" s="192">
        <v>45763</v>
      </c>
      <c r="D607" s="199">
        <v>77.069999999999993</v>
      </c>
      <c r="E607" s="191" t="s">
        <v>564</v>
      </c>
      <c r="F607" s="191" t="s">
        <v>793</v>
      </c>
      <c r="G607" s="198">
        <v>0</v>
      </c>
      <c r="H607" s="203">
        <v>46302</v>
      </c>
      <c r="I607" s="191" t="s">
        <v>588</v>
      </c>
    </row>
    <row r="608" spans="1:9" ht="20" customHeight="1" x14ac:dyDescent="0.35">
      <c r="A608" s="191" t="s">
        <v>1394</v>
      </c>
      <c r="B608" s="191" t="s">
        <v>754</v>
      </c>
      <c r="C608" s="192">
        <v>45764</v>
      </c>
      <c r="D608" s="199">
        <v>77.209999999999994</v>
      </c>
      <c r="E608" s="191" t="s">
        <v>564</v>
      </c>
      <c r="F608" s="191" t="s">
        <v>793</v>
      </c>
      <c r="G608" s="198">
        <v>0</v>
      </c>
      <c r="H608" s="203">
        <v>46302</v>
      </c>
      <c r="I608" s="191" t="s">
        <v>588</v>
      </c>
    </row>
    <row r="609" spans="1:9" ht="20" customHeight="1" x14ac:dyDescent="0.35">
      <c r="A609" s="191" t="s">
        <v>1395</v>
      </c>
      <c r="B609" s="191" t="s">
        <v>754</v>
      </c>
      <c r="C609" s="192">
        <v>45765</v>
      </c>
      <c r="D609" s="199">
        <v>77.34</v>
      </c>
      <c r="E609" s="191" t="s">
        <v>564</v>
      </c>
      <c r="F609" s="191" t="s">
        <v>793</v>
      </c>
      <c r="G609" s="198">
        <v>0</v>
      </c>
      <c r="H609" s="203">
        <v>46302</v>
      </c>
      <c r="I609" s="191" t="s">
        <v>588</v>
      </c>
    </row>
    <row r="610" spans="1:9" ht="20" customHeight="1" x14ac:dyDescent="0.35">
      <c r="A610" s="191" t="s">
        <v>1396</v>
      </c>
      <c r="B610" s="191" t="s">
        <v>754</v>
      </c>
      <c r="C610" s="192">
        <v>45768</v>
      </c>
      <c r="D610" s="199">
        <v>77.760000000000005</v>
      </c>
      <c r="E610" s="191" t="s">
        <v>564</v>
      </c>
      <c r="F610" s="191" t="s">
        <v>793</v>
      </c>
      <c r="G610" s="198">
        <v>0</v>
      </c>
      <c r="H610" s="203">
        <v>46302</v>
      </c>
      <c r="I610" s="191" t="s">
        <v>588</v>
      </c>
    </row>
    <row r="611" spans="1:9" ht="20" customHeight="1" x14ac:dyDescent="0.35">
      <c r="A611" s="191" t="s">
        <v>1397</v>
      </c>
      <c r="B611" s="191" t="s">
        <v>754</v>
      </c>
      <c r="C611" s="192">
        <v>45769</v>
      </c>
      <c r="D611" s="199">
        <v>77.900000000000006</v>
      </c>
      <c r="E611" s="191" t="s">
        <v>564</v>
      </c>
      <c r="F611" s="191" t="s">
        <v>793</v>
      </c>
      <c r="G611" s="198">
        <v>0</v>
      </c>
      <c r="H611" s="203">
        <v>46302</v>
      </c>
      <c r="I611" s="191" t="s">
        <v>588</v>
      </c>
    </row>
    <row r="612" spans="1:9" ht="20" customHeight="1" x14ac:dyDescent="0.35">
      <c r="A612" s="191" t="s">
        <v>1398</v>
      </c>
      <c r="B612" s="191" t="s">
        <v>754</v>
      </c>
      <c r="C612" s="192">
        <v>45770</v>
      </c>
      <c r="D612" s="199">
        <v>78.03</v>
      </c>
      <c r="E612" s="191" t="s">
        <v>564</v>
      </c>
      <c r="F612" s="191" t="s">
        <v>793</v>
      </c>
      <c r="G612" s="198">
        <v>0</v>
      </c>
      <c r="H612" s="203">
        <v>46302</v>
      </c>
      <c r="I612" s="191" t="s">
        <v>588</v>
      </c>
    </row>
    <row r="613" spans="1:9" ht="20" customHeight="1" x14ac:dyDescent="0.35">
      <c r="A613" s="191" t="s">
        <v>1399</v>
      </c>
      <c r="B613" s="191" t="s">
        <v>754</v>
      </c>
      <c r="C613" s="192">
        <v>45771</v>
      </c>
      <c r="D613" s="199">
        <v>78.17</v>
      </c>
      <c r="E613" s="191" t="s">
        <v>564</v>
      </c>
      <c r="F613" s="191" t="s">
        <v>793</v>
      </c>
      <c r="G613" s="198">
        <v>0</v>
      </c>
      <c r="H613" s="203">
        <v>46302</v>
      </c>
      <c r="I613" s="191" t="s">
        <v>588</v>
      </c>
    </row>
    <row r="614" spans="1:9" ht="20" customHeight="1" x14ac:dyDescent="0.35">
      <c r="A614" s="191" t="s">
        <v>1400</v>
      </c>
      <c r="B614" s="191" t="s">
        <v>754</v>
      </c>
      <c r="C614" s="192">
        <v>45772</v>
      </c>
      <c r="D614" s="199">
        <v>78.31</v>
      </c>
      <c r="E614" s="191" t="s">
        <v>564</v>
      </c>
      <c r="F614" s="191" t="s">
        <v>793</v>
      </c>
      <c r="G614" s="198">
        <v>0</v>
      </c>
      <c r="H614" s="203">
        <v>46302</v>
      </c>
      <c r="I614" s="191" t="s">
        <v>588</v>
      </c>
    </row>
    <row r="615" spans="1:9" ht="20" customHeight="1" x14ac:dyDescent="0.35">
      <c r="A615" s="191" t="s">
        <v>1401</v>
      </c>
      <c r="B615" s="191" t="s">
        <v>754</v>
      </c>
      <c r="C615" s="192">
        <v>45775</v>
      </c>
      <c r="D615" s="199">
        <v>78.72</v>
      </c>
      <c r="E615" s="191" t="s">
        <v>564</v>
      </c>
      <c r="F615" s="191" t="s">
        <v>793</v>
      </c>
      <c r="G615" s="198">
        <v>0</v>
      </c>
      <c r="H615" s="203">
        <v>46302</v>
      </c>
      <c r="I615" s="191" t="s">
        <v>588</v>
      </c>
    </row>
    <row r="616" spans="1:9" ht="20" customHeight="1" x14ac:dyDescent="0.35">
      <c r="A616" s="191" t="s">
        <v>1402</v>
      </c>
      <c r="B616" s="191" t="s">
        <v>754</v>
      </c>
      <c r="C616" s="192">
        <v>45776</v>
      </c>
      <c r="D616" s="199">
        <v>78.86</v>
      </c>
      <c r="E616" s="191" t="s">
        <v>564</v>
      </c>
      <c r="F616" s="191" t="s">
        <v>793</v>
      </c>
      <c r="G616" s="198">
        <v>0</v>
      </c>
      <c r="H616" s="203">
        <v>46302</v>
      </c>
      <c r="I616" s="191" t="s">
        <v>588</v>
      </c>
    </row>
    <row r="617" spans="1:9" ht="20" customHeight="1" x14ac:dyDescent="0.35">
      <c r="A617" s="191" t="s">
        <v>1403</v>
      </c>
      <c r="B617" s="191" t="s">
        <v>754</v>
      </c>
      <c r="C617" s="192">
        <v>45777</v>
      </c>
      <c r="D617" s="199">
        <v>79</v>
      </c>
      <c r="E617" s="191" t="s">
        <v>564</v>
      </c>
      <c r="F617" s="191" t="s">
        <v>793</v>
      </c>
      <c r="G617" s="198">
        <v>0</v>
      </c>
      <c r="H617" s="203">
        <v>46302</v>
      </c>
      <c r="I617" s="191" t="s">
        <v>588</v>
      </c>
    </row>
    <row r="618" spans="1:9" ht="20" customHeight="1" x14ac:dyDescent="0.35">
      <c r="A618" s="191" t="s">
        <v>1404</v>
      </c>
      <c r="B618" s="191" t="s">
        <v>754</v>
      </c>
      <c r="C618" s="192">
        <v>45778</v>
      </c>
      <c r="D618" s="199">
        <v>79</v>
      </c>
      <c r="E618" s="191" t="s">
        <v>564</v>
      </c>
      <c r="F618" s="191" t="s">
        <v>793</v>
      </c>
      <c r="G618" s="198">
        <v>0</v>
      </c>
      <c r="H618" s="203">
        <v>46302</v>
      </c>
      <c r="I618" s="191" t="s">
        <v>588</v>
      </c>
    </row>
    <row r="619" spans="1:9" ht="20" customHeight="1" x14ac:dyDescent="0.35">
      <c r="A619" s="191" t="s">
        <v>1405</v>
      </c>
      <c r="B619" s="191" t="s">
        <v>754</v>
      </c>
      <c r="C619" s="192">
        <v>45779</v>
      </c>
      <c r="D619" s="199">
        <v>79.2</v>
      </c>
      <c r="E619" s="191" t="s">
        <v>564</v>
      </c>
      <c r="F619" s="191" t="s">
        <v>793</v>
      </c>
      <c r="G619" s="198">
        <v>0</v>
      </c>
      <c r="H619" s="203">
        <v>46302</v>
      </c>
      <c r="I619" s="191" t="s">
        <v>588</v>
      </c>
    </row>
    <row r="620" spans="1:9" ht="20" customHeight="1" x14ac:dyDescent="0.35">
      <c r="A620" s="191" t="s">
        <v>1406</v>
      </c>
      <c r="B620" s="191" t="s">
        <v>754</v>
      </c>
      <c r="C620" s="192">
        <v>45782</v>
      </c>
      <c r="D620" s="199">
        <v>79.8</v>
      </c>
      <c r="E620" s="191" t="s">
        <v>564</v>
      </c>
      <c r="F620" s="191" t="s">
        <v>793</v>
      </c>
      <c r="G620" s="198">
        <v>0</v>
      </c>
      <c r="H620" s="203">
        <v>46302</v>
      </c>
      <c r="I620" s="191" t="s">
        <v>588</v>
      </c>
    </row>
    <row r="621" spans="1:9" ht="20" customHeight="1" x14ac:dyDescent="0.35">
      <c r="A621" s="191" t="s">
        <v>1407</v>
      </c>
      <c r="B621" s="191" t="s">
        <v>754</v>
      </c>
      <c r="C621" s="192">
        <v>45783</v>
      </c>
      <c r="D621" s="199">
        <v>80</v>
      </c>
      <c r="E621" s="191" t="s">
        <v>564</v>
      </c>
      <c r="F621" s="191" t="s">
        <v>793</v>
      </c>
      <c r="G621" s="198">
        <v>0</v>
      </c>
      <c r="H621" s="203">
        <v>46302</v>
      </c>
      <c r="I621" s="191" t="s">
        <v>588</v>
      </c>
    </row>
    <row r="622" spans="1:9" ht="20" customHeight="1" x14ac:dyDescent="0.35">
      <c r="A622" s="191" t="s">
        <v>1408</v>
      </c>
      <c r="B622" s="191" t="s">
        <v>754</v>
      </c>
      <c r="C622" s="192">
        <v>45784</v>
      </c>
      <c r="D622" s="199">
        <v>80.2</v>
      </c>
      <c r="E622" s="191" t="s">
        <v>564</v>
      </c>
      <c r="F622" s="191" t="s">
        <v>793</v>
      </c>
      <c r="G622" s="198">
        <v>0</v>
      </c>
      <c r="H622" s="203">
        <v>46302</v>
      </c>
      <c r="I622" s="191" t="s">
        <v>588</v>
      </c>
    </row>
    <row r="623" spans="1:9" ht="20" customHeight="1" x14ac:dyDescent="0.35">
      <c r="A623" s="191" t="s">
        <v>1409</v>
      </c>
      <c r="B623" s="191" t="s">
        <v>754</v>
      </c>
      <c r="C623" s="192">
        <v>45785</v>
      </c>
      <c r="D623" s="199">
        <v>80.400000000000006</v>
      </c>
      <c r="E623" s="191" t="s">
        <v>564</v>
      </c>
      <c r="F623" s="191" t="s">
        <v>793</v>
      </c>
      <c r="G623" s="198">
        <v>0</v>
      </c>
      <c r="H623" s="203">
        <v>46302</v>
      </c>
      <c r="I623" s="191" t="s">
        <v>588</v>
      </c>
    </row>
    <row r="624" spans="1:9" ht="20" customHeight="1" x14ac:dyDescent="0.35">
      <c r="A624" s="191" t="s">
        <v>1410</v>
      </c>
      <c r="B624" s="191" t="s">
        <v>754</v>
      </c>
      <c r="C624" s="192">
        <v>45786</v>
      </c>
      <c r="D624" s="199">
        <v>80.599999999999994</v>
      </c>
      <c r="E624" s="191" t="s">
        <v>564</v>
      </c>
      <c r="F624" s="191" t="s">
        <v>793</v>
      </c>
      <c r="G624" s="198">
        <v>0</v>
      </c>
      <c r="H624" s="203">
        <v>46302</v>
      </c>
      <c r="I624" s="191" t="s">
        <v>588</v>
      </c>
    </row>
    <row r="625" spans="1:9" ht="20" customHeight="1" x14ac:dyDescent="0.35">
      <c r="A625" s="191" t="s">
        <v>1411</v>
      </c>
      <c r="B625" s="191" t="s">
        <v>754</v>
      </c>
      <c r="C625" s="192">
        <v>45789</v>
      </c>
      <c r="D625" s="199">
        <v>81.2</v>
      </c>
      <c r="E625" s="191" t="s">
        <v>564</v>
      </c>
      <c r="F625" s="191" t="s">
        <v>793</v>
      </c>
      <c r="G625" s="198">
        <v>0</v>
      </c>
      <c r="H625" s="203">
        <v>46302</v>
      </c>
      <c r="I625" s="191" t="s">
        <v>588</v>
      </c>
    </row>
    <row r="626" spans="1:9" ht="20" customHeight="1" x14ac:dyDescent="0.35">
      <c r="A626" s="191" t="s">
        <v>1412</v>
      </c>
      <c r="B626" s="191" t="s">
        <v>754</v>
      </c>
      <c r="C626" s="192">
        <v>45790</v>
      </c>
      <c r="D626" s="199">
        <v>81.400000000000006</v>
      </c>
      <c r="E626" s="191" t="s">
        <v>564</v>
      </c>
      <c r="F626" s="191" t="s">
        <v>793</v>
      </c>
      <c r="G626" s="198">
        <v>0</v>
      </c>
      <c r="H626" s="203">
        <v>46302</v>
      </c>
      <c r="I626" s="191" t="s">
        <v>588</v>
      </c>
    </row>
    <row r="627" spans="1:9" ht="20" customHeight="1" x14ac:dyDescent="0.35">
      <c r="A627" s="191" t="s">
        <v>1413</v>
      </c>
      <c r="B627" s="191" t="s">
        <v>754</v>
      </c>
      <c r="C627" s="192">
        <v>45791</v>
      </c>
      <c r="D627" s="199">
        <v>81.599999999999994</v>
      </c>
      <c r="E627" s="191" t="s">
        <v>564</v>
      </c>
      <c r="F627" s="191" t="s">
        <v>793</v>
      </c>
      <c r="G627" s="198">
        <v>0</v>
      </c>
      <c r="H627" s="203">
        <v>46302</v>
      </c>
      <c r="I627" s="191" t="s">
        <v>588</v>
      </c>
    </row>
    <row r="628" spans="1:9" ht="20" customHeight="1" x14ac:dyDescent="0.35">
      <c r="A628" s="191" t="s">
        <v>1414</v>
      </c>
      <c r="B628" s="191" t="s">
        <v>754</v>
      </c>
      <c r="C628" s="192">
        <v>45792</v>
      </c>
      <c r="D628" s="199">
        <v>81.8</v>
      </c>
      <c r="E628" s="191" t="s">
        <v>564</v>
      </c>
      <c r="F628" s="191" t="s">
        <v>793</v>
      </c>
      <c r="G628" s="198">
        <v>0</v>
      </c>
      <c r="H628" s="203">
        <v>46302</v>
      </c>
      <c r="I628" s="191" t="s">
        <v>588</v>
      </c>
    </row>
    <row r="629" spans="1:9" ht="20" customHeight="1" x14ac:dyDescent="0.35">
      <c r="A629" s="191" t="s">
        <v>1415</v>
      </c>
      <c r="B629" s="191" t="s">
        <v>754</v>
      </c>
      <c r="C629" s="192">
        <v>45793</v>
      </c>
      <c r="D629" s="199">
        <v>82</v>
      </c>
      <c r="E629" s="191" t="s">
        <v>564</v>
      </c>
      <c r="F629" s="191" t="s">
        <v>793</v>
      </c>
      <c r="G629" s="198">
        <v>0</v>
      </c>
      <c r="H629" s="203">
        <v>46302</v>
      </c>
      <c r="I629" s="191" t="s">
        <v>588</v>
      </c>
    </row>
    <row r="630" spans="1:9" ht="20" customHeight="1" x14ac:dyDescent="0.35">
      <c r="A630" s="191" t="s">
        <v>1416</v>
      </c>
      <c r="B630" s="191" t="s">
        <v>754</v>
      </c>
      <c r="C630" s="192">
        <v>45796</v>
      </c>
      <c r="D630" s="199">
        <v>82.6</v>
      </c>
      <c r="E630" s="191" t="s">
        <v>564</v>
      </c>
      <c r="F630" s="191" t="s">
        <v>793</v>
      </c>
      <c r="G630" s="198">
        <v>0</v>
      </c>
      <c r="H630" s="203">
        <v>46302</v>
      </c>
      <c r="I630" s="191" t="s">
        <v>588</v>
      </c>
    </row>
    <row r="631" spans="1:9" ht="20" customHeight="1" x14ac:dyDescent="0.35">
      <c r="A631" s="191" t="s">
        <v>1417</v>
      </c>
      <c r="B631" s="191" t="s">
        <v>754</v>
      </c>
      <c r="C631" s="192">
        <v>45797</v>
      </c>
      <c r="D631" s="199">
        <v>82.8</v>
      </c>
      <c r="E631" s="191" t="s">
        <v>564</v>
      </c>
      <c r="F631" s="191" t="s">
        <v>793</v>
      </c>
      <c r="G631" s="198">
        <v>0</v>
      </c>
      <c r="H631" s="203">
        <v>46302</v>
      </c>
      <c r="I631" s="191" t="s">
        <v>588</v>
      </c>
    </row>
    <row r="632" spans="1:9" ht="20" customHeight="1" x14ac:dyDescent="0.35">
      <c r="A632" s="191" t="s">
        <v>1418</v>
      </c>
      <c r="B632" s="191" t="s">
        <v>754</v>
      </c>
      <c r="C632" s="192">
        <v>45798</v>
      </c>
      <c r="D632" s="199">
        <v>83</v>
      </c>
      <c r="E632" s="191" t="s">
        <v>564</v>
      </c>
      <c r="F632" s="191" t="s">
        <v>793</v>
      </c>
      <c r="G632" s="198">
        <v>0</v>
      </c>
      <c r="H632" s="203">
        <v>46302</v>
      </c>
      <c r="I632" s="191" t="s">
        <v>588</v>
      </c>
    </row>
    <row r="633" spans="1:9" ht="20" customHeight="1" x14ac:dyDescent="0.35">
      <c r="A633" s="191" t="s">
        <v>1419</v>
      </c>
      <c r="B633" s="191" t="s">
        <v>754</v>
      </c>
      <c r="C633" s="192">
        <v>45799</v>
      </c>
      <c r="D633" s="199">
        <v>83.2</v>
      </c>
      <c r="E633" s="191" t="s">
        <v>564</v>
      </c>
      <c r="F633" s="191" t="s">
        <v>793</v>
      </c>
      <c r="G633" s="198">
        <v>0</v>
      </c>
      <c r="H633" s="203">
        <v>46302</v>
      </c>
      <c r="I633" s="191" t="s">
        <v>588</v>
      </c>
    </row>
    <row r="634" spans="1:9" ht="20" customHeight="1" x14ac:dyDescent="0.35">
      <c r="A634" s="191" t="s">
        <v>1420</v>
      </c>
      <c r="B634" s="191" t="s">
        <v>754</v>
      </c>
      <c r="C634" s="192">
        <v>45800</v>
      </c>
      <c r="D634" s="199">
        <v>83.4</v>
      </c>
      <c r="E634" s="191" t="s">
        <v>564</v>
      </c>
      <c r="F634" s="191" t="s">
        <v>793</v>
      </c>
      <c r="G634" s="198">
        <v>0</v>
      </c>
      <c r="H634" s="203">
        <v>46302</v>
      </c>
      <c r="I634" s="191" t="s">
        <v>588</v>
      </c>
    </row>
    <row r="635" spans="1:9" ht="20" customHeight="1" x14ac:dyDescent="0.35">
      <c r="A635" s="191" t="s">
        <v>1421</v>
      </c>
      <c r="B635" s="191" t="s">
        <v>754</v>
      </c>
      <c r="C635" s="192">
        <v>45803</v>
      </c>
      <c r="D635" s="199">
        <v>84</v>
      </c>
      <c r="E635" s="191" t="s">
        <v>564</v>
      </c>
      <c r="F635" s="191" t="s">
        <v>793</v>
      </c>
      <c r="G635" s="198">
        <v>0</v>
      </c>
      <c r="H635" s="203">
        <v>46302</v>
      </c>
      <c r="I635" s="191" t="s">
        <v>588</v>
      </c>
    </row>
    <row r="636" spans="1:9" ht="20" customHeight="1" x14ac:dyDescent="0.35">
      <c r="A636" s="191" t="s">
        <v>1422</v>
      </c>
      <c r="B636" s="191" t="s">
        <v>754</v>
      </c>
      <c r="C636" s="192">
        <v>45804</v>
      </c>
      <c r="D636" s="199">
        <v>84.2</v>
      </c>
      <c r="E636" s="191" t="s">
        <v>564</v>
      </c>
      <c r="F636" s="191" t="s">
        <v>793</v>
      </c>
      <c r="G636" s="198">
        <v>0</v>
      </c>
      <c r="H636" s="203">
        <v>46302</v>
      </c>
      <c r="I636" s="191" t="s">
        <v>588</v>
      </c>
    </row>
    <row r="637" spans="1:9" ht="20" customHeight="1" x14ac:dyDescent="0.35">
      <c r="A637" s="191" t="s">
        <v>1423</v>
      </c>
      <c r="B637" s="191" t="s">
        <v>754</v>
      </c>
      <c r="C637" s="192">
        <v>45805</v>
      </c>
      <c r="D637" s="199">
        <v>84.4</v>
      </c>
      <c r="E637" s="191" t="s">
        <v>564</v>
      </c>
      <c r="F637" s="191" t="s">
        <v>793</v>
      </c>
      <c r="G637" s="198">
        <v>0</v>
      </c>
      <c r="H637" s="203">
        <v>46302</v>
      </c>
      <c r="I637" s="191" t="s">
        <v>588</v>
      </c>
    </row>
    <row r="638" spans="1:9" ht="20" customHeight="1" x14ac:dyDescent="0.35">
      <c r="A638" s="191" t="s">
        <v>1424</v>
      </c>
      <c r="B638" s="191" t="s">
        <v>754</v>
      </c>
      <c r="C638" s="192">
        <v>45806</v>
      </c>
      <c r="D638" s="199">
        <v>84.6</v>
      </c>
      <c r="E638" s="191" t="s">
        <v>564</v>
      </c>
      <c r="F638" s="191" t="s">
        <v>793</v>
      </c>
      <c r="G638" s="198">
        <v>0</v>
      </c>
      <c r="H638" s="203">
        <v>46302</v>
      </c>
      <c r="I638" s="191" t="s">
        <v>588</v>
      </c>
    </row>
    <row r="639" spans="1:9" ht="20" customHeight="1" x14ac:dyDescent="0.35">
      <c r="A639" s="191" t="s">
        <v>1425</v>
      </c>
      <c r="B639" s="191" t="s">
        <v>754</v>
      </c>
      <c r="C639" s="192">
        <v>45807</v>
      </c>
      <c r="D639" s="199">
        <v>84.8</v>
      </c>
      <c r="E639" s="191" t="s">
        <v>564</v>
      </c>
      <c r="F639" s="191" t="s">
        <v>793</v>
      </c>
      <c r="G639" s="198">
        <v>0</v>
      </c>
      <c r="H639" s="203">
        <v>46302</v>
      </c>
      <c r="I639" s="191" t="s">
        <v>588</v>
      </c>
    </row>
    <row r="640" spans="1:9" ht="20" customHeight="1" x14ac:dyDescent="0.35">
      <c r="A640" s="191" t="s">
        <v>1426</v>
      </c>
      <c r="B640" s="191" t="s">
        <v>754</v>
      </c>
      <c r="C640" s="192">
        <v>45810</v>
      </c>
      <c r="D640" s="199">
        <v>84.86</v>
      </c>
      <c r="E640" s="191" t="s">
        <v>564</v>
      </c>
      <c r="F640" s="191" t="s">
        <v>793</v>
      </c>
      <c r="G640" s="198">
        <v>0</v>
      </c>
      <c r="H640" s="203">
        <v>46302</v>
      </c>
      <c r="I640" s="191" t="s">
        <v>588</v>
      </c>
    </row>
    <row r="641" spans="1:9" ht="20" customHeight="1" x14ac:dyDescent="0.35">
      <c r="A641" s="191" t="s">
        <v>1427</v>
      </c>
      <c r="B641" s="191" t="s">
        <v>754</v>
      </c>
      <c r="C641" s="192">
        <v>45811</v>
      </c>
      <c r="D641" s="199">
        <v>84.72</v>
      </c>
      <c r="E641" s="191" t="s">
        <v>564</v>
      </c>
      <c r="F641" s="191" t="s">
        <v>793</v>
      </c>
      <c r="G641" s="198">
        <v>0</v>
      </c>
      <c r="H641" s="203">
        <v>46302</v>
      </c>
      <c r="I641" s="191" t="s">
        <v>588</v>
      </c>
    </row>
    <row r="642" spans="1:9" ht="20" customHeight="1" x14ac:dyDescent="0.35">
      <c r="A642" s="191" t="s">
        <v>1428</v>
      </c>
      <c r="B642" s="191" t="s">
        <v>754</v>
      </c>
      <c r="C642" s="192">
        <v>45812</v>
      </c>
      <c r="D642" s="199">
        <v>84.59</v>
      </c>
      <c r="E642" s="191" t="s">
        <v>564</v>
      </c>
      <c r="F642" s="191" t="s">
        <v>793</v>
      </c>
      <c r="G642" s="198">
        <v>0</v>
      </c>
      <c r="H642" s="203">
        <v>46302</v>
      </c>
      <c r="I642" s="191" t="s">
        <v>588</v>
      </c>
    </row>
    <row r="643" spans="1:9" ht="20" customHeight="1" x14ac:dyDescent="0.35">
      <c r="A643" s="191" t="s">
        <v>1429</v>
      </c>
      <c r="B643" s="191" t="s">
        <v>754</v>
      </c>
      <c r="C643" s="192">
        <v>45813</v>
      </c>
      <c r="D643" s="199">
        <v>84.45</v>
      </c>
      <c r="E643" s="191" t="s">
        <v>564</v>
      </c>
      <c r="F643" s="191" t="s">
        <v>793</v>
      </c>
      <c r="G643" s="198">
        <v>0</v>
      </c>
      <c r="H643" s="203">
        <v>46302</v>
      </c>
      <c r="I643" s="191" t="s">
        <v>588</v>
      </c>
    </row>
    <row r="644" spans="1:9" ht="20" customHeight="1" x14ac:dyDescent="0.35">
      <c r="A644" s="191" t="s">
        <v>1430</v>
      </c>
      <c r="B644" s="191" t="s">
        <v>754</v>
      </c>
      <c r="C644" s="192">
        <v>45814</v>
      </c>
      <c r="D644" s="199">
        <v>84.31</v>
      </c>
      <c r="E644" s="191" t="s">
        <v>564</v>
      </c>
      <c r="F644" s="191" t="s">
        <v>793</v>
      </c>
      <c r="G644" s="198">
        <v>0</v>
      </c>
      <c r="H644" s="203">
        <v>46302</v>
      </c>
      <c r="I644" s="191" t="s">
        <v>588</v>
      </c>
    </row>
    <row r="645" spans="1:9" ht="20" customHeight="1" x14ac:dyDescent="0.35">
      <c r="A645" s="191" t="s">
        <v>1431</v>
      </c>
      <c r="B645" s="191" t="s">
        <v>754</v>
      </c>
      <c r="C645" s="192">
        <v>45817</v>
      </c>
      <c r="D645" s="199">
        <v>83.9</v>
      </c>
      <c r="E645" s="191" t="s">
        <v>564</v>
      </c>
      <c r="F645" s="191" t="s">
        <v>793</v>
      </c>
      <c r="G645" s="198">
        <v>0</v>
      </c>
      <c r="H645" s="203">
        <v>46302</v>
      </c>
      <c r="I645" s="191" t="s">
        <v>588</v>
      </c>
    </row>
    <row r="646" spans="1:9" ht="20" customHeight="1" x14ac:dyDescent="0.35">
      <c r="A646" s="191" t="s">
        <v>1432</v>
      </c>
      <c r="B646" s="191" t="s">
        <v>754</v>
      </c>
      <c r="C646" s="192">
        <v>45818</v>
      </c>
      <c r="D646" s="199">
        <v>83.76</v>
      </c>
      <c r="E646" s="191" t="s">
        <v>564</v>
      </c>
      <c r="F646" s="191" t="s">
        <v>793</v>
      </c>
      <c r="G646" s="198">
        <v>0</v>
      </c>
      <c r="H646" s="203">
        <v>46302</v>
      </c>
      <c r="I646" s="191" t="s">
        <v>588</v>
      </c>
    </row>
    <row r="647" spans="1:9" ht="20" customHeight="1" x14ac:dyDescent="0.35">
      <c r="A647" s="191" t="s">
        <v>1433</v>
      </c>
      <c r="B647" s="191" t="s">
        <v>754</v>
      </c>
      <c r="C647" s="192">
        <v>45819</v>
      </c>
      <c r="D647" s="199">
        <v>83.62</v>
      </c>
      <c r="E647" s="191" t="s">
        <v>564</v>
      </c>
      <c r="F647" s="191" t="s">
        <v>793</v>
      </c>
      <c r="G647" s="198">
        <v>0</v>
      </c>
      <c r="H647" s="203">
        <v>46302</v>
      </c>
      <c r="I647" s="191" t="s">
        <v>588</v>
      </c>
    </row>
    <row r="648" spans="1:9" ht="20" customHeight="1" x14ac:dyDescent="0.35">
      <c r="A648" s="191" t="s">
        <v>1434</v>
      </c>
      <c r="B648" s="191" t="s">
        <v>754</v>
      </c>
      <c r="C648" s="192">
        <v>45820</v>
      </c>
      <c r="D648" s="199">
        <v>83.48</v>
      </c>
      <c r="E648" s="191" t="s">
        <v>564</v>
      </c>
      <c r="F648" s="191" t="s">
        <v>793</v>
      </c>
      <c r="G648" s="198">
        <v>0</v>
      </c>
      <c r="H648" s="203">
        <v>46302</v>
      </c>
      <c r="I648" s="191" t="s">
        <v>588</v>
      </c>
    </row>
    <row r="649" spans="1:9" ht="20" customHeight="1" x14ac:dyDescent="0.35">
      <c r="A649" s="191" t="s">
        <v>1435</v>
      </c>
      <c r="B649" s="191" t="s">
        <v>754</v>
      </c>
      <c r="C649" s="192">
        <v>45821</v>
      </c>
      <c r="D649" s="199">
        <v>83.34</v>
      </c>
      <c r="E649" s="191" t="s">
        <v>564</v>
      </c>
      <c r="F649" s="191" t="s">
        <v>793</v>
      </c>
      <c r="G649" s="198">
        <v>0</v>
      </c>
      <c r="H649" s="203">
        <v>46302</v>
      </c>
      <c r="I649" s="191" t="s">
        <v>588</v>
      </c>
    </row>
    <row r="650" spans="1:9" ht="20" customHeight="1" x14ac:dyDescent="0.35">
      <c r="A650" s="191" t="s">
        <v>1436</v>
      </c>
      <c r="B650" s="191" t="s">
        <v>754</v>
      </c>
      <c r="C650" s="192">
        <v>45824</v>
      </c>
      <c r="D650" s="199">
        <v>82.93</v>
      </c>
      <c r="E650" s="191" t="s">
        <v>564</v>
      </c>
      <c r="F650" s="191" t="s">
        <v>793</v>
      </c>
      <c r="G650" s="198">
        <v>0</v>
      </c>
      <c r="H650" s="203">
        <v>46302</v>
      </c>
      <c r="I650" s="191" t="s">
        <v>588</v>
      </c>
    </row>
    <row r="651" spans="1:9" ht="20" customHeight="1" x14ac:dyDescent="0.35">
      <c r="A651" s="191" t="s">
        <v>1437</v>
      </c>
      <c r="B651" s="191" t="s">
        <v>754</v>
      </c>
      <c r="C651" s="192">
        <v>45825</v>
      </c>
      <c r="D651" s="199">
        <v>82.79</v>
      </c>
      <c r="E651" s="191" t="s">
        <v>564</v>
      </c>
      <c r="F651" s="191" t="s">
        <v>793</v>
      </c>
      <c r="G651" s="198">
        <v>0</v>
      </c>
      <c r="H651" s="203">
        <v>46302</v>
      </c>
      <c r="I651" s="191" t="s">
        <v>588</v>
      </c>
    </row>
    <row r="652" spans="1:9" ht="20" customHeight="1" x14ac:dyDescent="0.35">
      <c r="A652" s="191" t="s">
        <v>1438</v>
      </c>
      <c r="B652" s="191" t="s">
        <v>754</v>
      </c>
      <c r="C652" s="192">
        <v>45826</v>
      </c>
      <c r="D652" s="199">
        <v>82.66</v>
      </c>
      <c r="E652" s="191" t="s">
        <v>564</v>
      </c>
      <c r="F652" s="191" t="s">
        <v>793</v>
      </c>
      <c r="G652" s="198">
        <v>0</v>
      </c>
      <c r="H652" s="203">
        <v>46302</v>
      </c>
      <c r="I652" s="191" t="s">
        <v>588</v>
      </c>
    </row>
    <row r="653" spans="1:9" ht="20" customHeight="1" x14ac:dyDescent="0.35">
      <c r="A653" s="191" t="s">
        <v>1439</v>
      </c>
      <c r="B653" s="191" t="s">
        <v>754</v>
      </c>
      <c r="C653" s="192">
        <v>45827</v>
      </c>
      <c r="D653" s="199">
        <v>82.52</v>
      </c>
      <c r="E653" s="191" t="s">
        <v>564</v>
      </c>
      <c r="F653" s="191" t="s">
        <v>793</v>
      </c>
      <c r="G653" s="198">
        <v>0</v>
      </c>
      <c r="H653" s="203">
        <v>46302</v>
      </c>
      <c r="I653" s="191" t="s">
        <v>588</v>
      </c>
    </row>
    <row r="654" spans="1:9" ht="20" customHeight="1" x14ac:dyDescent="0.35">
      <c r="A654" s="191" t="s">
        <v>1440</v>
      </c>
      <c r="B654" s="191" t="s">
        <v>754</v>
      </c>
      <c r="C654" s="192">
        <v>45828</v>
      </c>
      <c r="D654" s="199">
        <v>82.38</v>
      </c>
      <c r="E654" s="191" t="s">
        <v>564</v>
      </c>
      <c r="F654" s="191" t="s">
        <v>793</v>
      </c>
      <c r="G654" s="198">
        <v>0</v>
      </c>
      <c r="H654" s="203">
        <v>46302</v>
      </c>
      <c r="I654" s="191" t="s">
        <v>588</v>
      </c>
    </row>
    <row r="655" spans="1:9" ht="20" customHeight="1" x14ac:dyDescent="0.35">
      <c r="A655" s="191" t="s">
        <v>1441</v>
      </c>
      <c r="B655" s="191" t="s">
        <v>754</v>
      </c>
      <c r="C655" s="192">
        <v>45831</v>
      </c>
      <c r="D655" s="199">
        <v>81.97</v>
      </c>
      <c r="E655" s="191" t="s">
        <v>564</v>
      </c>
      <c r="F655" s="191" t="s">
        <v>793</v>
      </c>
      <c r="G655" s="198">
        <v>0</v>
      </c>
      <c r="H655" s="203">
        <v>46302</v>
      </c>
      <c r="I655" s="191" t="s">
        <v>588</v>
      </c>
    </row>
    <row r="656" spans="1:9" ht="20" customHeight="1" x14ac:dyDescent="0.35">
      <c r="A656" s="191" t="s">
        <v>1442</v>
      </c>
      <c r="B656" s="191" t="s">
        <v>754</v>
      </c>
      <c r="C656" s="192">
        <v>45832</v>
      </c>
      <c r="D656" s="199">
        <v>81.83</v>
      </c>
      <c r="E656" s="191" t="s">
        <v>564</v>
      </c>
      <c r="F656" s="191" t="s">
        <v>793</v>
      </c>
      <c r="G656" s="198">
        <v>0</v>
      </c>
      <c r="H656" s="203">
        <v>46302</v>
      </c>
      <c r="I656" s="191" t="s">
        <v>588</v>
      </c>
    </row>
    <row r="657" spans="1:9" ht="20" customHeight="1" x14ac:dyDescent="0.35">
      <c r="A657" s="191" t="s">
        <v>1443</v>
      </c>
      <c r="B657" s="191" t="s">
        <v>754</v>
      </c>
      <c r="C657" s="192">
        <v>45833</v>
      </c>
      <c r="D657" s="199">
        <v>81.69</v>
      </c>
      <c r="E657" s="191" t="s">
        <v>564</v>
      </c>
      <c r="F657" s="191" t="s">
        <v>793</v>
      </c>
      <c r="G657" s="198">
        <v>0</v>
      </c>
      <c r="H657" s="203">
        <v>46302</v>
      </c>
      <c r="I657" s="191" t="s">
        <v>588</v>
      </c>
    </row>
    <row r="658" spans="1:9" ht="20" customHeight="1" x14ac:dyDescent="0.35">
      <c r="A658" s="191" t="s">
        <v>1444</v>
      </c>
      <c r="B658" s="191" t="s">
        <v>754</v>
      </c>
      <c r="C658" s="192">
        <v>45834</v>
      </c>
      <c r="D658" s="199">
        <v>81.55</v>
      </c>
      <c r="E658" s="191" t="s">
        <v>564</v>
      </c>
      <c r="F658" s="191" t="s">
        <v>793</v>
      </c>
      <c r="G658" s="198">
        <v>0</v>
      </c>
      <c r="H658" s="203">
        <v>46302</v>
      </c>
      <c r="I658" s="191" t="s">
        <v>588</v>
      </c>
    </row>
    <row r="659" spans="1:9" ht="20" customHeight="1" x14ac:dyDescent="0.35">
      <c r="A659" s="191" t="s">
        <v>1445</v>
      </c>
      <c r="B659" s="191" t="s">
        <v>754</v>
      </c>
      <c r="C659" s="192">
        <v>45835</v>
      </c>
      <c r="D659" s="199">
        <v>81.41</v>
      </c>
      <c r="E659" s="191" t="s">
        <v>564</v>
      </c>
      <c r="F659" s="191" t="s">
        <v>793</v>
      </c>
      <c r="G659" s="198">
        <v>0</v>
      </c>
      <c r="H659" s="203">
        <v>46302</v>
      </c>
      <c r="I659" s="191" t="s">
        <v>588</v>
      </c>
    </row>
    <row r="660" spans="1:9" ht="20" customHeight="1" x14ac:dyDescent="0.35">
      <c r="A660" s="191" t="s">
        <v>1446</v>
      </c>
      <c r="B660" s="191" t="s">
        <v>754</v>
      </c>
      <c r="C660" s="192">
        <v>45838</v>
      </c>
      <c r="D660" s="199">
        <v>81</v>
      </c>
      <c r="E660" s="191" t="s">
        <v>564</v>
      </c>
      <c r="F660" s="191" t="s">
        <v>793</v>
      </c>
      <c r="G660" s="198">
        <v>0</v>
      </c>
      <c r="H660" s="203">
        <v>46302</v>
      </c>
      <c r="I660" s="191" t="s">
        <v>588</v>
      </c>
    </row>
    <row r="661" spans="1:9" ht="20" customHeight="1" x14ac:dyDescent="0.35">
      <c r="A661" s="191" t="s">
        <v>1447</v>
      </c>
      <c r="B661" s="191" t="s">
        <v>754</v>
      </c>
      <c r="C661" s="192">
        <v>45839</v>
      </c>
      <c r="D661" s="199">
        <v>81</v>
      </c>
      <c r="E661" s="191" t="s">
        <v>564</v>
      </c>
      <c r="F661" s="191" t="s">
        <v>793</v>
      </c>
      <c r="G661" s="198">
        <v>0</v>
      </c>
      <c r="H661" s="203">
        <v>46302</v>
      </c>
      <c r="I661" s="191" t="s">
        <v>588</v>
      </c>
    </row>
    <row r="662" spans="1:9" ht="20" customHeight="1" x14ac:dyDescent="0.35">
      <c r="A662" s="191" t="s">
        <v>1448</v>
      </c>
      <c r="B662" s="191" t="s">
        <v>754</v>
      </c>
      <c r="C662" s="192">
        <v>45840</v>
      </c>
      <c r="D662" s="199">
        <v>80.87</v>
      </c>
      <c r="E662" s="191" t="s">
        <v>564</v>
      </c>
      <c r="F662" s="191" t="s">
        <v>793</v>
      </c>
      <c r="G662" s="198">
        <v>0</v>
      </c>
      <c r="H662" s="203">
        <v>46302</v>
      </c>
      <c r="I662" s="191" t="s">
        <v>588</v>
      </c>
    </row>
    <row r="663" spans="1:9" ht="20" customHeight="1" x14ac:dyDescent="0.35">
      <c r="A663" s="191" t="s">
        <v>1449</v>
      </c>
      <c r="B663" s="191" t="s">
        <v>754</v>
      </c>
      <c r="C663" s="192">
        <v>45841</v>
      </c>
      <c r="D663" s="199">
        <v>80.73</v>
      </c>
      <c r="E663" s="191" t="s">
        <v>564</v>
      </c>
      <c r="F663" s="191" t="s">
        <v>793</v>
      </c>
      <c r="G663" s="198">
        <v>0</v>
      </c>
      <c r="H663" s="203">
        <v>46302</v>
      </c>
      <c r="I663" s="191" t="s">
        <v>588</v>
      </c>
    </row>
    <row r="664" spans="1:9" ht="20" customHeight="1" x14ac:dyDescent="0.35">
      <c r="A664" s="191" t="s">
        <v>1450</v>
      </c>
      <c r="B664" s="191" t="s">
        <v>754</v>
      </c>
      <c r="C664" s="192">
        <v>45842</v>
      </c>
      <c r="D664" s="199">
        <v>80.599999999999994</v>
      </c>
      <c r="E664" s="191" t="s">
        <v>564</v>
      </c>
      <c r="F664" s="191" t="s">
        <v>793</v>
      </c>
      <c r="G664" s="198">
        <v>0</v>
      </c>
      <c r="H664" s="203">
        <v>46302</v>
      </c>
      <c r="I664" s="191" t="s">
        <v>588</v>
      </c>
    </row>
    <row r="665" spans="1:9" ht="20" customHeight="1" x14ac:dyDescent="0.35">
      <c r="A665" s="191" t="s">
        <v>1451</v>
      </c>
      <c r="B665" s="191" t="s">
        <v>754</v>
      </c>
      <c r="C665" s="192">
        <v>45845</v>
      </c>
      <c r="D665" s="199">
        <v>80.2</v>
      </c>
      <c r="E665" s="191" t="s">
        <v>564</v>
      </c>
      <c r="F665" s="191" t="s">
        <v>793</v>
      </c>
      <c r="G665" s="198">
        <v>0</v>
      </c>
      <c r="H665" s="203">
        <v>46302</v>
      </c>
      <c r="I665" s="191" t="s">
        <v>588</v>
      </c>
    </row>
    <row r="666" spans="1:9" ht="20" customHeight="1" x14ac:dyDescent="0.35">
      <c r="A666" s="191" t="s">
        <v>1452</v>
      </c>
      <c r="B666" s="191" t="s">
        <v>754</v>
      </c>
      <c r="C666" s="192">
        <v>45846</v>
      </c>
      <c r="D666" s="199">
        <v>80.069999999999993</v>
      </c>
      <c r="E666" s="191" t="s">
        <v>564</v>
      </c>
      <c r="F666" s="191" t="s">
        <v>793</v>
      </c>
      <c r="G666" s="198">
        <v>0</v>
      </c>
      <c r="H666" s="203">
        <v>46302</v>
      </c>
      <c r="I666" s="191" t="s">
        <v>588</v>
      </c>
    </row>
    <row r="667" spans="1:9" ht="20" customHeight="1" x14ac:dyDescent="0.35">
      <c r="A667" s="191" t="s">
        <v>1453</v>
      </c>
      <c r="B667" s="191" t="s">
        <v>754</v>
      </c>
      <c r="C667" s="192">
        <v>45847</v>
      </c>
      <c r="D667" s="199">
        <v>79.930000000000007</v>
      </c>
      <c r="E667" s="191" t="s">
        <v>564</v>
      </c>
      <c r="F667" s="191" t="s">
        <v>793</v>
      </c>
      <c r="G667" s="198">
        <v>0</v>
      </c>
      <c r="H667" s="203">
        <v>46302</v>
      </c>
      <c r="I667" s="191" t="s">
        <v>588</v>
      </c>
    </row>
    <row r="668" spans="1:9" ht="20" customHeight="1" x14ac:dyDescent="0.35">
      <c r="A668" s="191" t="s">
        <v>1454</v>
      </c>
      <c r="B668" s="191" t="s">
        <v>754</v>
      </c>
      <c r="C668" s="192">
        <v>45848</v>
      </c>
      <c r="D668" s="199">
        <v>79.8</v>
      </c>
      <c r="E668" s="191" t="s">
        <v>564</v>
      </c>
      <c r="F668" s="191" t="s">
        <v>793</v>
      </c>
      <c r="G668" s="198">
        <v>0</v>
      </c>
      <c r="H668" s="203">
        <v>46302</v>
      </c>
      <c r="I668" s="191" t="s">
        <v>588</v>
      </c>
    </row>
    <row r="669" spans="1:9" ht="20" customHeight="1" x14ac:dyDescent="0.35">
      <c r="A669" s="191" t="s">
        <v>1455</v>
      </c>
      <c r="B669" s="191" t="s">
        <v>754</v>
      </c>
      <c r="C669" s="192">
        <v>45849</v>
      </c>
      <c r="D669" s="199">
        <v>79.67</v>
      </c>
      <c r="E669" s="191" t="s">
        <v>564</v>
      </c>
      <c r="F669" s="191" t="s">
        <v>793</v>
      </c>
      <c r="G669" s="198">
        <v>0</v>
      </c>
      <c r="H669" s="203">
        <v>46302</v>
      </c>
      <c r="I669" s="191" t="s">
        <v>588</v>
      </c>
    </row>
    <row r="670" spans="1:9" ht="20" customHeight="1" x14ac:dyDescent="0.35">
      <c r="A670" s="191" t="s">
        <v>1456</v>
      </c>
      <c r="B670" s="191" t="s">
        <v>754</v>
      </c>
      <c r="C670" s="192">
        <v>45852</v>
      </c>
      <c r="D670" s="199">
        <v>79.27</v>
      </c>
      <c r="E670" s="191" t="s">
        <v>564</v>
      </c>
      <c r="F670" s="191" t="s">
        <v>793</v>
      </c>
      <c r="G670" s="198">
        <v>0</v>
      </c>
      <c r="H670" s="203">
        <v>46302</v>
      </c>
      <c r="I670" s="191" t="s">
        <v>588</v>
      </c>
    </row>
    <row r="671" spans="1:9" ht="20" customHeight="1" x14ac:dyDescent="0.35">
      <c r="A671" s="191" t="s">
        <v>1457</v>
      </c>
      <c r="B671" s="191" t="s">
        <v>754</v>
      </c>
      <c r="C671" s="192">
        <v>45853</v>
      </c>
      <c r="D671" s="199">
        <v>79.13</v>
      </c>
      <c r="E671" s="191" t="s">
        <v>564</v>
      </c>
      <c r="F671" s="191" t="s">
        <v>793</v>
      </c>
      <c r="G671" s="198">
        <v>0</v>
      </c>
      <c r="H671" s="203">
        <v>46302</v>
      </c>
      <c r="I671" s="191" t="s">
        <v>588</v>
      </c>
    </row>
    <row r="672" spans="1:9" ht="20" customHeight="1" x14ac:dyDescent="0.35">
      <c r="A672" s="191" t="s">
        <v>1458</v>
      </c>
      <c r="B672" s="191" t="s">
        <v>754</v>
      </c>
      <c r="C672" s="192">
        <v>45854</v>
      </c>
      <c r="D672" s="199">
        <v>79</v>
      </c>
      <c r="E672" s="191" t="s">
        <v>564</v>
      </c>
      <c r="F672" s="191" t="s">
        <v>793</v>
      </c>
      <c r="G672" s="198">
        <v>0</v>
      </c>
      <c r="H672" s="203">
        <v>46302</v>
      </c>
      <c r="I672" s="191" t="s">
        <v>588</v>
      </c>
    </row>
    <row r="673" spans="1:9" ht="20" customHeight="1" x14ac:dyDescent="0.35">
      <c r="A673" s="191" t="s">
        <v>1459</v>
      </c>
      <c r="B673" s="191" t="s">
        <v>754</v>
      </c>
      <c r="C673" s="192">
        <v>45855</v>
      </c>
      <c r="D673" s="199">
        <v>78.87</v>
      </c>
      <c r="E673" s="191" t="s">
        <v>564</v>
      </c>
      <c r="F673" s="191" t="s">
        <v>793</v>
      </c>
      <c r="G673" s="198">
        <v>0</v>
      </c>
      <c r="H673" s="203">
        <v>46302</v>
      </c>
      <c r="I673" s="191" t="s">
        <v>588</v>
      </c>
    </row>
    <row r="674" spans="1:9" ht="20" customHeight="1" x14ac:dyDescent="0.35">
      <c r="A674" s="191" t="s">
        <v>1460</v>
      </c>
      <c r="B674" s="191" t="s">
        <v>754</v>
      </c>
      <c r="C674" s="192">
        <v>45856</v>
      </c>
      <c r="D674" s="199">
        <v>78.73</v>
      </c>
      <c r="E674" s="191" t="s">
        <v>564</v>
      </c>
      <c r="F674" s="191" t="s">
        <v>793</v>
      </c>
      <c r="G674" s="198">
        <v>0</v>
      </c>
      <c r="H674" s="203">
        <v>46302</v>
      </c>
      <c r="I674" s="191" t="s">
        <v>588</v>
      </c>
    </row>
    <row r="675" spans="1:9" ht="20" customHeight="1" x14ac:dyDescent="0.35">
      <c r="A675" s="191" t="s">
        <v>1461</v>
      </c>
      <c r="B675" s="191" t="s">
        <v>754</v>
      </c>
      <c r="C675" s="192">
        <v>45859</v>
      </c>
      <c r="D675" s="199">
        <v>78.33</v>
      </c>
      <c r="E675" s="191" t="s">
        <v>564</v>
      </c>
      <c r="F675" s="191" t="s">
        <v>793</v>
      </c>
      <c r="G675" s="198">
        <v>0</v>
      </c>
      <c r="H675" s="203">
        <v>46302</v>
      </c>
      <c r="I675" s="191" t="s">
        <v>588</v>
      </c>
    </row>
    <row r="676" spans="1:9" ht="20" customHeight="1" x14ac:dyDescent="0.35">
      <c r="A676" s="191" t="s">
        <v>1462</v>
      </c>
      <c r="B676" s="191" t="s">
        <v>754</v>
      </c>
      <c r="C676" s="192">
        <v>45860</v>
      </c>
      <c r="D676" s="199">
        <v>78.2</v>
      </c>
      <c r="E676" s="191" t="s">
        <v>564</v>
      </c>
      <c r="F676" s="191" t="s">
        <v>793</v>
      </c>
      <c r="G676" s="198">
        <v>0</v>
      </c>
      <c r="H676" s="203">
        <v>46302</v>
      </c>
      <c r="I676" s="191" t="s">
        <v>588</v>
      </c>
    </row>
    <row r="677" spans="1:9" ht="20" customHeight="1" x14ac:dyDescent="0.35">
      <c r="A677" s="191" t="s">
        <v>1463</v>
      </c>
      <c r="B677" s="191" t="s">
        <v>754</v>
      </c>
      <c r="C677" s="192">
        <v>45861</v>
      </c>
      <c r="D677" s="199">
        <v>78.069999999999993</v>
      </c>
      <c r="E677" s="191" t="s">
        <v>564</v>
      </c>
      <c r="F677" s="191" t="s">
        <v>793</v>
      </c>
      <c r="G677" s="198">
        <v>0</v>
      </c>
      <c r="H677" s="203">
        <v>46302</v>
      </c>
      <c r="I677" s="191" t="s">
        <v>588</v>
      </c>
    </row>
    <row r="678" spans="1:9" ht="20" customHeight="1" x14ac:dyDescent="0.35">
      <c r="A678" s="191" t="s">
        <v>1464</v>
      </c>
      <c r="B678" s="191" t="s">
        <v>754</v>
      </c>
      <c r="C678" s="192">
        <v>45862</v>
      </c>
      <c r="D678" s="199">
        <v>77.930000000000007</v>
      </c>
      <c r="E678" s="191" t="s">
        <v>564</v>
      </c>
      <c r="F678" s="191" t="s">
        <v>793</v>
      </c>
      <c r="G678" s="198">
        <v>0</v>
      </c>
      <c r="H678" s="203">
        <v>46302</v>
      </c>
      <c r="I678" s="191" t="s">
        <v>588</v>
      </c>
    </row>
    <row r="679" spans="1:9" ht="20" customHeight="1" x14ac:dyDescent="0.35">
      <c r="A679" s="191" t="s">
        <v>1465</v>
      </c>
      <c r="B679" s="191" t="s">
        <v>754</v>
      </c>
      <c r="C679" s="192">
        <v>45863</v>
      </c>
      <c r="D679" s="199">
        <v>77.8</v>
      </c>
      <c r="E679" s="191" t="s">
        <v>564</v>
      </c>
      <c r="F679" s="191" t="s">
        <v>793</v>
      </c>
      <c r="G679" s="198">
        <v>0</v>
      </c>
      <c r="H679" s="203">
        <v>46302</v>
      </c>
      <c r="I679" s="191" t="s">
        <v>588</v>
      </c>
    </row>
    <row r="680" spans="1:9" ht="20" customHeight="1" x14ac:dyDescent="0.35">
      <c r="A680" s="191" t="s">
        <v>1466</v>
      </c>
      <c r="B680" s="191" t="s">
        <v>754</v>
      </c>
      <c r="C680" s="192">
        <v>45866</v>
      </c>
      <c r="D680" s="199">
        <v>77.400000000000006</v>
      </c>
      <c r="E680" s="191" t="s">
        <v>564</v>
      </c>
      <c r="F680" s="191" t="s">
        <v>793</v>
      </c>
      <c r="G680" s="198">
        <v>0</v>
      </c>
      <c r="H680" s="203">
        <v>46302</v>
      </c>
      <c r="I680" s="191" t="s">
        <v>588</v>
      </c>
    </row>
    <row r="681" spans="1:9" ht="20" customHeight="1" x14ac:dyDescent="0.35">
      <c r="A681" s="191" t="s">
        <v>1467</v>
      </c>
      <c r="B681" s="191" t="s">
        <v>754</v>
      </c>
      <c r="C681" s="192">
        <v>45867</v>
      </c>
      <c r="D681" s="199">
        <v>77.27</v>
      </c>
      <c r="E681" s="191" t="s">
        <v>564</v>
      </c>
      <c r="F681" s="191" t="s">
        <v>793</v>
      </c>
      <c r="G681" s="198">
        <v>0</v>
      </c>
      <c r="H681" s="203">
        <v>46302</v>
      </c>
      <c r="I681" s="191" t="s">
        <v>588</v>
      </c>
    </row>
    <row r="682" spans="1:9" ht="20" customHeight="1" x14ac:dyDescent="0.35">
      <c r="A682" s="191" t="s">
        <v>1468</v>
      </c>
      <c r="B682" s="191" t="s">
        <v>754</v>
      </c>
      <c r="C682" s="192">
        <v>45868</v>
      </c>
      <c r="D682" s="199">
        <v>77.13</v>
      </c>
      <c r="E682" s="191" t="s">
        <v>564</v>
      </c>
      <c r="F682" s="191" t="s">
        <v>793</v>
      </c>
      <c r="G682" s="198">
        <v>0</v>
      </c>
      <c r="H682" s="203">
        <v>46302</v>
      </c>
      <c r="I682" s="191" t="s">
        <v>588</v>
      </c>
    </row>
    <row r="683" spans="1:9" ht="20" customHeight="1" x14ac:dyDescent="0.35">
      <c r="A683" s="191" t="s">
        <v>1469</v>
      </c>
      <c r="B683" s="191" t="s">
        <v>754</v>
      </c>
      <c r="C683" s="192">
        <v>45869</v>
      </c>
      <c r="D683" s="199">
        <v>77</v>
      </c>
      <c r="E683" s="191" t="s">
        <v>564</v>
      </c>
      <c r="F683" s="191" t="s">
        <v>793</v>
      </c>
      <c r="G683" s="198">
        <v>0</v>
      </c>
      <c r="H683" s="203">
        <v>46302</v>
      </c>
      <c r="I683" s="191" t="s">
        <v>588</v>
      </c>
    </row>
    <row r="684" spans="1:9" ht="20" customHeight="1" x14ac:dyDescent="0.35">
      <c r="A684" s="191" t="s">
        <v>1470</v>
      </c>
      <c r="B684" s="191" t="s">
        <v>754</v>
      </c>
      <c r="C684" s="192">
        <v>45870</v>
      </c>
      <c r="D684" s="199">
        <v>77</v>
      </c>
      <c r="E684" s="191" t="s">
        <v>564</v>
      </c>
      <c r="F684" s="191" t="s">
        <v>793</v>
      </c>
      <c r="G684" s="198">
        <v>0</v>
      </c>
      <c r="H684" s="203">
        <v>46302</v>
      </c>
      <c r="I684" s="191" t="s">
        <v>588</v>
      </c>
    </row>
    <row r="685" spans="1:9" ht="20" customHeight="1" x14ac:dyDescent="0.35">
      <c r="A685" s="191" t="s">
        <v>1471</v>
      </c>
      <c r="B685" s="191" t="s">
        <v>754</v>
      </c>
      <c r="C685" s="192">
        <v>45873</v>
      </c>
      <c r="D685" s="199">
        <v>77.900000000000006</v>
      </c>
      <c r="E685" s="191" t="s">
        <v>564</v>
      </c>
      <c r="F685" s="191" t="s">
        <v>793</v>
      </c>
      <c r="G685" s="198">
        <v>0</v>
      </c>
      <c r="H685" s="203">
        <v>46302</v>
      </c>
      <c r="I685" s="191" t="s">
        <v>588</v>
      </c>
    </row>
    <row r="686" spans="1:9" ht="20" customHeight="1" x14ac:dyDescent="0.35">
      <c r="A686" s="191" t="s">
        <v>1472</v>
      </c>
      <c r="B686" s="191" t="s">
        <v>754</v>
      </c>
      <c r="C686" s="192">
        <v>45874</v>
      </c>
      <c r="D686" s="199">
        <v>78.2</v>
      </c>
      <c r="E686" s="191" t="s">
        <v>564</v>
      </c>
      <c r="F686" s="191" t="s">
        <v>793</v>
      </c>
      <c r="G686" s="198">
        <v>0</v>
      </c>
      <c r="H686" s="203">
        <v>46302</v>
      </c>
      <c r="I686" s="191" t="s">
        <v>588</v>
      </c>
    </row>
    <row r="687" spans="1:9" ht="20" customHeight="1" x14ac:dyDescent="0.35">
      <c r="A687" s="191" t="s">
        <v>1473</v>
      </c>
      <c r="B687" s="191" t="s">
        <v>754</v>
      </c>
      <c r="C687" s="192">
        <v>45875</v>
      </c>
      <c r="D687" s="199">
        <v>78.5</v>
      </c>
      <c r="E687" s="191" t="s">
        <v>564</v>
      </c>
      <c r="F687" s="191" t="s">
        <v>793</v>
      </c>
      <c r="G687" s="198">
        <v>0</v>
      </c>
      <c r="H687" s="203">
        <v>46302</v>
      </c>
      <c r="I687" s="191" t="s">
        <v>588</v>
      </c>
    </row>
    <row r="688" spans="1:9" ht="20" customHeight="1" x14ac:dyDescent="0.35">
      <c r="A688" s="191" t="s">
        <v>1474</v>
      </c>
      <c r="B688" s="191" t="s">
        <v>754</v>
      </c>
      <c r="C688" s="192">
        <v>45876</v>
      </c>
      <c r="D688" s="199">
        <v>78.8</v>
      </c>
      <c r="E688" s="191" t="s">
        <v>564</v>
      </c>
      <c r="F688" s="191" t="s">
        <v>793</v>
      </c>
      <c r="G688" s="198">
        <v>0</v>
      </c>
      <c r="H688" s="203">
        <v>46302</v>
      </c>
      <c r="I688" s="191" t="s">
        <v>588</v>
      </c>
    </row>
    <row r="689" spans="1:9" ht="20" customHeight="1" x14ac:dyDescent="0.35">
      <c r="A689" s="191" t="s">
        <v>1475</v>
      </c>
      <c r="B689" s="191" t="s">
        <v>754</v>
      </c>
      <c r="C689" s="192">
        <v>45877</v>
      </c>
      <c r="D689" s="199">
        <v>79.099999999999994</v>
      </c>
      <c r="E689" s="191" t="s">
        <v>564</v>
      </c>
      <c r="F689" s="191" t="s">
        <v>793</v>
      </c>
      <c r="G689" s="198">
        <v>0</v>
      </c>
      <c r="H689" s="203">
        <v>46302</v>
      </c>
      <c r="I689" s="191" t="s">
        <v>588</v>
      </c>
    </row>
    <row r="690" spans="1:9" ht="20" customHeight="1" x14ac:dyDescent="0.35">
      <c r="A690" s="191" t="s">
        <v>1476</v>
      </c>
      <c r="B690" s="191" t="s">
        <v>754</v>
      </c>
      <c r="C690" s="192">
        <v>45880</v>
      </c>
      <c r="D690" s="199">
        <v>80</v>
      </c>
      <c r="E690" s="191" t="s">
        <v>564</v>
      </c>
      <c r="F690" s="191" t="s">
        <v>793</v>
      </c>
      <c r="G690" s="198">
        <v>0</v>
      </c>
      <c r="H690" s="203">
        <v>46302</v>
      </c>
      <c r="I690" s="191" t="s">
        <v>588</v>
      </c>
    </row>
    <row r="691" spans="1:9" ht="20" customHeight="1" x14ac:dyDescent="0.35">
      <c r="A691" s="191" t="s">
        <v>1477</v>
      </c>
      <c r="B691" s="191" t="s">
        <v>754</v>
      </c>
      <c r="C691" s="192">
        <v>45881</v>
      </c>
      <c r="D691" s="199">
        <v>80.3</v>
      </c>
      <c r="E691" s="191" t="s">
        <v>564</v>
      </c>
      <c r="F691" s="191" t="s">
        <v>793</v>
      </c>
      <c r="G691" s="198">
        <v>0</v>
      </c>
      <c r="H691" s="203">
        <v>46302</v>
      </c>
      <c r="I691" s="191" t="s">
        <v>588</v>
      </c>
    </row>
    <row r="692" spans="1:9" ht="20" customHeight="1" x14ac:dyDescent="0.35">
      <c r="A692" s="191" t="s">
        <v>1478</v>
      </c>
      <c r="B692" s="191" t="s">
        <v>754</v>
      </c>
      <c r="C692" s="192">
        <v>45882</v>
      </c>
      <c r="D692" s="199">
        <v>80.599999999999994</v>
      </c>
      <c r="E692" s="191" t="s">
        <v>564</v>
      </c>
      <c r="F692" s="191" t="s">
        <v>793</v>
      </c>
      <c r="G692" s="198">
        <v>0</v>
      </c>
      <c r="H692" s="203">
        <v>46302</v>
      </c>
      <c r="I692" s="191" t="s">
        <v>588</v>
      </c>
    </row>
    <row r="693" spans="1:9" ht="20" customHeight="1" x14ac:dyDescent="0.35">
      <c r="A693" s="191" t="s">
        <v>1479</v>
      </c>
      <c r="B693" s="191" t="s">
        <v>754</v>
      </c>
      <c r="C693" s="192">
        <v>45883</v>
      </c>
      <c r="D693" s="199">
        <v>80.900000000000006</v>
      </c>
      <c r="E693" s="191" t="s">
        <v>564</v>
      </c>
      <c r="F693" s="191" t="s">
        <v>793</v>
      </c>
      <c r="G693" s="198">
        <v>0</v>
      </c>
      <c r="H693" s="203">
        <v>46302</v>
      </c>
      <c r="I693" s="191" t="s">
        <v>588</v>
      </c>
    </row>
    <row r="694" spans="1:9" ht="20" customHeight="1" x14ac:dyDescent="0.35">
      <c r="A694" s="191" t="s">
        <v>1480</v>
      </c>
      <c r="B694" s="191" t="s">
        <v>754</v>
      </c>
      <c r="C694" s="192">
        <v>45884</v>
      </c>
      <c r="D694" s="199">
        <v>81.2</v>
      </c>
      <c r="E694" s="191" t="s">
        <v>564</v>
      </c>
      <c r="F694" s="191" t="s">
        <v>793</v>
      </c>
      <c r="G694" s="198">
        <v>0</v>
      </c>
      <c r="H694" s="203">
        <v>46302</v>
      </c>
      <c r="I694" s="191" t="s">
        <v>588</v>
      </c>
    </row>
    <row r="695" spans="1:9" ht="20" customHeight="1" x14ac:dyDescent="0.35">
      <c r="A695" s="191" t="s">
        <v>1481</v>
      </c>
      <c r="B695" s="191" t="s">
        <v>754</v>
      </c>
      <c r="C695" s="192">
        <v>45887</v>
      </c>
      <c r="D695" s="199">
        <v>82.1</v>
      </c>
      <c r="E695" s="191" t="s">
        <v>564</v>
      </c>
      <c r="F695" s="191" t="s">
        <v>793</v>
      </c>
      <c r="G695" s="198">
        <v>0</v>
      </c>
      <c r="H695" s="203">
        <v>46302</v>
      </c>
      <c r="I695" s="191" t="s">
        <v>588</v>
      </c>
    </row>
    <row r="696" spans="1:9" ht="20" customHeight="1" x14ac:dyDescent="0.35">
      <c r="A696" s="191" t="s">
        <v>1482</v>
      </c>
      <c r="B696" s="191" t="s">
        <v>754</v>
      </c>
      <c r="C696" s="192">
        <v>45888</v>
      </c>
      <c r="D696" s="199">
        <v>82.4</v>
      </c>
      <c r="E696" s="191" t="s">
        <v>564</v>
      </c>
      <c r="F696" s="191" t="s">
        <v>793</v>
      </c>
      <c r="G696" s="198">
        <v>0</v>
      </c>
      <c r="H696" s="203">
        <v>46302</v>
      </c>
      <c r="I696" s="191" t="s">
        <v>588</v>
      </c>
    </row>
    <row r="697" spans="1:9" ht="20" customHeight="1" x14ac:dyDescent="0.35">
      <c r="A697" s="191" t="s">
        <v>1483</v>
      </c>
      <c r="B697" s="191" t="s">
        <v>754</v>
      </c>
      <c r="C697" s="192">
        <v>45889</v>
      </c>
      <c r="D697" s="199">
        <v>82.7</v>
      </c>
      <c r="E697" s="191" t="s">
        <v>564</v>
      </c>
      <c r="F697" s="191" t="s">
        <v>793</v>
      </c>
      <c r="G697" s="198">
        <v>0</v>
      </c>
      <c r="H697" s="203">
        <v>46302</v>
      </c>
      <c r="I697" s="191" t="s">
        <v>588</v>
      </c>
    </row>
    <row r="698" spans="1:9" ht="20" customHeight="1" x14ac:dyDescent="0.35">
      <c r="A698" s="191" t="s">
        <v>1484</v>
      </c>
      <c r="B698" s="191" t="s">
        <v>754</v>
      </c>
      <c r="C698" s="192">
        <v>45890</v>
      </c>
      <c r="D698" s="199">
        <v>83</v>
      </c>
      <c r="E698" s="191" t="s">
        <v>564</v>
      </c>
      <c r="F698" s="191" t="s">
        <v>793</v>
      </c>
      <c r="G698" s="198">
        <v>0</v>
      </c>
      <c r="H698" s="203">
        <v>46302</v>
      </c>
      <c r="I698" s="191" t="s">
        <v>588</v>
      </c>
    </row>
    <row r="699" spans="1:9" ht="20" customHeight="1" x14ac:dyDescent="0.35">
      <c r="A699" s="191" t="s">
        <v>1485</v>
      </c>
      <c r="B699" s="191" t="s">
        <v>754</v>
      </c>
      <c r="C699" s="192">
        <v>45891</v>
      </c>
      <c r="D699" s="199">
        <v>83.3</v>
      </c>
      <c r="E699" s="191" t="s">
        <v>564</v>
      </c>
      <c r="F699" s="191" t="s">
        <v>793</v>
      </c>
      <c r="G699" s="198">
        <v>0</v>
      </c>
      <c r="H699" s="203">
        <v>46302</v>
      </c>
      <c r="I699" s="191" t="s">
        <v>588</v>
      </c>
    </row>
    <row r="700" spans="1:9" ht="20" customHeight="1" x14ac:dyDescent="0.35">
      <c r="A700" s="191" t="s">
        <v>1486</v>
      </c>
      <c r="B700" s="191" t="s">
        <v>754</v>
      </c>
      <c r="C700" s="192">
        <v>45894</v>
      </c>
      <c r="D700" s="199">
        <v>84.2</v>
      </c>
      <c r="E700" s="191" t="s">
        <v>564</v>
      </c>
      <c r="F700" s="191" t="s">
        <v>793</v>
      </c>
      <c r="G700" s="198">
        <v>0</v>
      </c>
      <c r="H700" s="203">
        <v>46302</v>
      </c>
      <c r="I700" s="191" t="s">
        <v>588</v>
      </c>
    </row>
    <row r="701" spans="1:9" ht="20" customHeight="1" x14ac:dyDescent="0.35">
      <c r="A701" s="191" t="s">
        <v>1487</v>
      </c>
      <c r="B701" s="191" t="s">
        <v>754</v>
      </c>
      <c r="C701" s="192">
        <v>45895</v>
      </c>
      <c r="D701" s="199">
        <v>84.5</v>
      </c>
      <c r="E701" s="191" t="s">
        <v>564</v>
      </c>
      <c r="F701" s="191" t="s">
        <v>793</v>
      </c>
      <c r="G701" s="198">
        <v>0</v>
      </c>
      <c r="H701" s="203">
        <v>46302</v>
      </c>
      <c r="I701" s="191" t="s">
        <v>588</v>
      </c>
    </row>
    <row r="702" spans="1:9" ht="20" customHeight="1" x14ac:dyDescent="0.35">
      <c r="A702" s="191" t="s">
        <v>1488</v>
      </c>
      <c r="B702" s="191" t="s">
        <v>754</v>
      </c>
      <c r="C702" s="192">
        <v>45896</v>
      </c>
      <c r="D702" s="199">
        <v>84.8</v>
      </c>
      <c r="E702" s="191" t="s">
        <v>564</v>
      </c>
      <c r="F702" s="191" t="s">
        <v>793</v>
      </c>
      <c r="G702" s="198">
        <v>0</v>
      </c>
      <c r="H702" s="203">
        <v>46302</v>
      </c>
      <c r="I702" s="191" t="s">
        <v>588</v>
      </c>
    </row>
    <row r="703" spans="1:9" ht="20" customHeight="1" x14ac:dyDescent="0.35">
      <c r="A703" s="191" t="s">
        <v>1489</v>
      </c>
      <c r="B703" s="191" t="s">
        <v>754</v>
      </c>
      <c r="C703" s="192">
        <v>45897</v>
      </c>
      <c r="D703" s="199">
        <v>85.1</v>
      </c>
      <c r="E703" s="191" t="s">
        <v>564</v>
      </c>
      <c r="F703" s="191" t="s">
        <v>793</v>
      </c>
      <c r="G703" s="198">
        <v>0</v>
      </c>
      <c r="H703" s="203">
        <v>46302</v>
      </c>
      <c r="I703" s="191" t="s">
        <v>588</v>
      </c>
    </row>
    <row r="704" spans="1:9" ht="20" customHeight="1" x14ac:dyDescent="0.35">
      <c r="A704" s="191" t="s">
        <v>1490</v>
      </c>
      <c r="B704" s="191" t="s">
        <v>754</v>
      </c>
      <c r="C704" s="192">
        <v>45898</v>
      </c>
      <c r="D704" s="199">
        <v>85.4</v>
      </c>
      <c r="E704" s="191" t="s">
        <v>564</v>
      </c>
      <c r="F704" s="191" t="s">
        <v>793</v>
      </c>
      <c r="G704" s="198">
        <v>0</v>
      </c>
      <c r="H704" s="203">
        <v>46302</v>
      </c>
      <c r="I704" s="191" t="s">
        <v>588</v>
      </c>
    </row>
    <row r="705" spans="1:9" ht="20" customHeight="1" x14ac:dyDescent="0.35">
      <c r="A705" s="191" t="s">
        <v>1491</v>
      </c>
      <c r="B705" s="191" t="s">
        <v>754</v>
      </c>
      <c r="C705" s="192">
        <v>45901</v>
      </c>
      <c r="D705" s="199">
        <v>86</v>
      </c>
      <c r="E705" s="191" t="s">
        <v>564</v>
      </c>
      <c r="F705" s="191" t="s">
        <v>793</v>
      </c>
      <c r="G705" s="198">
        <v>0</v>
      </c>
      <c r="H705" s="203">
        <v>46302</v>
      </c>
      <c r="I705" s="191" t="s">
        <v>588</v>
      </c>
    </row>
    <row r="706" spans="1:9" ht="20" customHeight="1" x14ac:dyDescent="0.35">
      <c r="A706" s="191" t="s">
        <v>1492</v>
      </c>
      <c r="B706" s="191" t="s">
        <v>754</v>
      </c>
      <c r="C706" s="192">
        <v>45902</v>
      </c>
      <c r="D706" s="199">
        <v>85.86</v>
      </c>
      <c r="E706" s="191" t="s">
        <v>564</v>
      </c>
      <c r="F706" s="191" t="s">
        <v>793</v>
      </c>
      <c r="G706" s="198">
        <v>0</v>
      </c>
      <c r="H706" s="203">
        <v>46302</v>
      </c>
      <c r="I706" s="191" t="s">
        <v>588</v>
      </c>
    </row>
    <row r="707" spans="1:9" ht="20" customHeight="1" x14ac:dyDescent="0.35">
      <c r="A707" s="191" t="s">
        <v>1493</v>
      </c>
      <c r="B707" s="191" t="s">
        <v>754</v>
      </c>
      <c r="C707" s="192">
        <v>45903</v>
      </c>
      <c r="D707" s="199">
        <v>85.72</v>
      </c>
      <c r="E707" s="191" t="s">
        <v>564</v>
      </c>
      <c r="F707" s="191" t="s">
        <v>793</v>
      </c>
      <c r="G707" s="198">
        <v>0</v>
      </c>
      <c r="H707" s="203">
        <v>46302</v>
      </c>
      <c r="I707" s="191" t="s">
        <v>588</v>
      </c>
    </row>
    <row r="708" spans="1:9" ht="20" customHeight="1" x14ac:dyDescent="0.35">
      <c r="A708" s="191" t="s">
        <v>1494</v>
      </c>
      <c r="B708" s="191" t="s">
        <v>754</v>
      </c>
      <c r="C708" s="192">
        <v>45904</v>
      </c>
      <c r="D708" s="199">
        <v>85.59</v>
      </c>
      <c r="E708" s="191" t="s">
        <v>564</v>
      </c>
      <c r="F708" s="191" t="s">
        <v>793</v>
      </c>
      <c r="G708" s="198">
        <v>0</v>
      </c>
      <c r="H708" s="203">
        <v>46302</v>
      </c>
      <c r="I708" s="191" t="s">
        <v>588</v>
      </c>
    </row>
    <row r="709" spans="1:9" ht="20" customHeight="1" x14ac:dyDescent="0.35">
      <c r="A709" s="191" t="s">
        <v>1495</v>
      </c>
      <c r="B709" s="191" t="s">
        <v>754</v>
      </c>
      <c r="C709" s="192">
        <v>45905</v>
      </c>
      <c r="D709" s="199">
        <v>85.45</v>
      </c>
      <c r="E709" s="191" t="s">
        <v>564</v>
      </c>
      <c r="F709" s="191" t="s">
        <v>793</v>
      </c>
      <c r="G709" s="198">
        <v>0</v>
      </c>
      <c r="H709" s="203">
        <v>46302</v>
      </c>
      <c r="I709" s="191" t="s">
        <v>588</v>
      </c>
    </row>
    <row r="710" spans="1:9" ht="20" customHeight="1" x14ac:dyDescent="0.35">
      <c r="A710" s="191" t="s">
        <v>1496</v>
      </c>
      <c r="B710" s="191" t="s">
        <v>754</v>
      </c>
      <c r="C710" s="192">
        <v>45908</v>
      </c>
      <c r="D710" s="199">
        <v>85.03</v>
      </c>
      <c r="E710" s="191" t="s">
        <v>564</v>
      </c>
      <c r="F710" s="191" t="s">
        <v>793</v>
      </c>
      <c r="G710" s="198">
        <v>0</v>
      </c>
      <c r="H710" s="203">
        <v>46302</v>
      </c>
      <c r="I710" s="191" t="s">
        <v>588</v>
      </c>
    </row>
    <row r="711" spans="1:9" ht="20" customHeight="1" x14ac:dyDescent="0.35">
      <c r="A711" s="191" t="s">
        <v>1497</v>
      </c>
      <c r="B711" s="191" t="s">
        <v>754</v>
      </c>
      <c r="C711" s="192">
        <v>45909</v>
      </c>
      <c r="D711" s="199">
        <v>84.9</v>
      </c>
      <c r="E711" s="191" t="s">
        <v>564</v>
      </c>
      <c r="F711" s="191" t="s">
        <v>793</v>
      </c>
      <c r="G711" s="198">
        <v>0</v>
      </c>
      <c r="H711" s="203">
        <v>46302</v>
      </c>
      <c r="I711" s="191" t="s">
        <v>588</v>
      </c>
    </row>
    <row r="712" spans="1:9" ht="20" customHeight="1" x14ac:dyDescent="0.35">
      <c r="A712" s="191" t="s">
        <v>1498</v>
      </c>
      <c r="B712" s="191" t="s">
        <v>754</v>
      </c>
      <c r="C712" s="192">
        <v>45910</v>
      </c>
      <c r="D712" s="199">
        <v>84.76</v>
      </c>
      <c r="E712" s="191" t="s">
        <v>564</v>
      </c>
      <c r="F712" s="191" t="s">
        <v>793</v>
      </c>
      <c r="G712" s="198">
        <v>0</v>
      </c>
      <c r="H712" s="203">
        <v>46302</v>
      </c>
      <c r="I712" s="191" t="s">
        <v>588</v>
      </c>
    </row>
    <row r="713" spans="1:9" ht="20" customHeight="1" x14ac:dyDescent="0.35">
      <c r="A713" s="191" t="s">
        <v>1499</v>
      </c>
      <c r="B713" s="191" t="s">
        <v>754</v>
      </c>
      <c r="C713" s="192">
        <v>45911</v>
      </c>
      <c r="D713" s="199">
        <v>84.62</v>
      </c>
      <c r="E713" s="191" t="s">
        <v>564</v>
      </c>
      <c r="F713" s="191" t="s">
        <v>793</v>
      </c>
      <c r="G713" s="198">
        <v>0</v>
      </c>
      <c r="H713" s="203">
        <v>46302</v>
      </c>
      <c r="I713" s="191" t="s">
        <v>588</v>
      </c>
    </row>
    <row r="714" spans="1:9" ht="20" customHeight="1" x14ac:dyDescent="0.35">
      <c r="A714" s="191" t="s">
        <v>1500</v>
      </c>
      <c r="B714" s="191" t="s">
        <v>754</v>
      </c>
      <c r="C714" s="192">
        <v>45912</v>
      </c>
      <c r="D714" s="199">
        <v>84.48</v>
      </c>
      <c r="E714" s="191" t="s">
        <v>564</v>
      </c>
      <c r="F714" s="191" t="s">
        <v>793</v>
      </c>
      <c r="G714" s="198">
        <v>0</v>
      </c>
      <c r="H714" s="203">
        <v>46302</v>
      </c>
      <c r="I714" s="191" t="s">
        <v>588</v>
      </c>
    </row>
    <row r="715" spans="1:9" ht="20" customHeight="1" x14ac:dyDescent="0.35">
      <c r="A715" s="191" t="s">
        <v>1501</v>
      </c>
      <c r="B715" s="191" t="s">
        <v>754</v>
      </c>
      <c r="C715" s="192">
        <v>45915</v>
      </c>
      <c r="D715" s="199">
        <v>84.07</v>
      </c>
      <c r="E715" s="191" t="s">
        <v>564</v>
      </c>
      <c r="F715" s="191" t="s">
        <v>793</v>
      </c>
      <c r="G715" s="198">
        <v>0</v>
      </c>
      <c r="H715" s="203">
        <v>46302</v>
      </c>
      <c r="I715" s="191" t="s">
        <v>588</v>
      </c>
    </row>
    <row r="716" spans="1:9" ht="20" customHeight="1" x14ac:dyDescent="0.35">
      <c r="A716" s="191" t="s">
        <v>1502</v>
      </c>
      <c r="B716" s="191" t="s">
        <v>754</v>
      </c>
      <c r="C716" s="192">
        <v>45916</v>
      </c>
      <c r="D716" s="199">
        <v>83.93</v>
      </c>
      <c r="E716" s="191" t="s">
        <v>564</v>
      </c>
      <c r="F716" s="191" t="s">
        <v>793</v>
      </c>
      <c r="G716" s="198">
        <v>0</v>
      </c>
      <c r="H716" s="203">
        <v>46302</v>
      </c>
      <c r="I716" s="191" t="s">
        <v>588</v>
      </c>
    </row>
    <row r="717" spans="1:9" ht="20" customHeight="1" x14ac:dyDescent="0.35">
      <c r="A717" s="191" t="s">
        <v>1503</v>
      </c>
      <c r="B717" s="191" t="s">
        <v>754</v>
      </c>
      <c r="C717" s="192">
        <v>45917</v>
      </c>
      <c r="D717" s="199">
        <v>83.79</v>
      </c>
      <c r="E717" s="191" t="s">
        <v>564</v>
      </c>
      <c r="F717" s="191" t="s">
        <v>793</v>
      </c>
      <c r="G717" s="198">
        <v>0</v>
      </c>
      <c r="H717" s="203">
        <v>46302</v>
      </c>
      <c r="I717" s="191" t="s">
        <v>588</v>
      </c>
    </row>
    <row r="718" spans="1:9" ht="20" customHeight="1" x14ac:dyDescent="0.35">
      <c r="A718" s="191" t="s">
        <v>1504</v>
      </c>
      <c r="B718" s="191" t="s">
        <v>754</v>
      </c>
      <c r="C718" s="192">
        <v>45918</v>
      </c>
      <c r="D718" s="199">
        <v>83.66</v>
      </c>
      <c r="E718" s="191" t="s">
        <v>564</v>
      </c>
      <c r="F718" s="191" t="s">
        <v>793</v>
      </c>
      <c r="G718" s="198">
        <v>0</v>
      </c>
      <c r="H718" s="203">
        <v>46302</v>
      </c>
      <c r="I718" s="191" t="s">
        <v>588</v>
      </c>
    </row>
    <row r="719" spans="1:9" ht="20" customHeight="1" x14ac:dyDescent="0.35">
      <c r="A719" s="191" t="s">
        <v>1505</v>
      </c>
      <c r="B719" s="191" t="s">
        <v>754</v>
      </c>
      <c r="C719" s="192">
        <v>45919</v>
      </c>
      <c r="D719" s="199">
        <v>83.52</v>
      </c>
      <c r="E719" s="191" t="s">
        <v>564</v>
      </c>
      <c r="F719" s="191" t="s">
        <v>793</v>
      </c>
      <c r="G719" s="198">
        <v>0</v>
      </c>
      <c r="H719" s="203">
        <v>46302</v>
      </c>
      <c r="I719" s="191" t="s">
        <v>588</v>
      </c>
    </row>
    <row r="720" spans="1:9" ht="20" customHeight="1" x14ac:dyDescent="0.35">
      <c r="A720" s="191" t="s">
        <v>1506</v>
      </c>
      <c r="B720" s="191" t="s">
        <v>754</v>
      </c>
      <c r="C720" s="192">
        <v>45922</v>
      </c>
      <c r="D720" s="199">
        <v>83.1</v>
      </c>
      <c r="E720" s="191" t="s">
        <v>564</v>
      </c>
      <c r="F720" s="191" t="s">
        <v>793</v>
      </c>
      <c r="G720" s="198">
        <v>0</v>
      </c>
      <c r="H720" s="203">
        <v>46302</v>
      </c>
      <c r="I720" s="191" t="s">
        <v>588</v>
      </c>
    </row>
    <row r="721" spans="1:9" ht="20" customHeight="1" x14ac:dyDescent="0.35">
      <c r="A721" s="191" t="s">
        <v>1507</v>
      </c>
      <c r="B721" s="191" t="s">
        <v>754</v>
      </c>
      <c r="C721" s="192">
        <v>45923</v>
      </c>
      <c r="D721" s="199">
        <v>82.97</v>
      </c>
      <c r="E721" s="191" t="s">
        <v>564</v>
      </c>
      <c r="F721" s="191" t="s">
        <v>793</v>
      </c>
      <c r="G721" s="198">
        <v>0</v>
      </c>
      <c r="H721" s="203">
        <v>46302</v>
      </c>
      <c r="I721" s="191" t="s">
        <v>588</v>
      </c>
    </row>
    <row r="722" spans="1:9" ht="20" customHeight="1" x14ac:dyDescent="0.35">
      <c r="A722" s="191" t="s">
        <v>1508</v>
      </c>
      <c r="B722" s="191" t="s">
        <v>754</v>
      </c>
      <c r="C722" s="192">
        <v>45924</v>
      </c>
      <c r="D722" s="199">
        <v>82.83</v>
      </c>
      <c r="E722" s="191" t="s">
        <v>564</v>
      </c>
      <c r="F722" s="191" t="s">
        <v>793</v>
      </c>
      <c r="G722" s="198">
        <v>0</v>
      </c>
      <c r="H722" s="203">
        <v>46302</v>
      </c>
      <c r="I722" s="191" t="s">
        <v>588</v>
      </c>
    </row>
    <row r="723" spans="1:9" ht="20" customHeight="1" x14ac:dyDescent="0.35">
      <c r="A723" s="191" t="s">
        <v>1509</v>
      </c>
      <c r="B723" s="191" t="s">
        <v>754</v>
      </c>
      <c r="C723" s="192">
        <v>45925</v>
      </c>
      <c r="D723" s="199">
        <v>82.69</v>
      </c>
      <c r="E723" s="191" t="s">
        <v>564</v>
      </c>
      <c r="F723" s="191" t="s">
        <v>793</v>
      </c>
      <c r="G723" s="198">
        <v>0</v>
      </c>
      <c r="H723" s="203">
        <v>46302</v>
      </c>
      <c r="I723" s="191" t="s">
        <v>588</v>
      </c>
    </row>
    <row r="724" spans="1:9" ht="20" customHeight="1" x14ac:dyDescent="0.35">
      <c r="A724" s="191" t="s">
        <v>1510</v>
      </c>
      <c r="B724" s="191" t="s">
        <v>754</v>
      </c>
      <c r="C724" s="192">
        <v>45926</v>
      </c>
      <c r="D724" s="199">
        <v>82.55</v>
      </c>
      <c r="E724" s="191" t="s">
        <v>564</v>
      </c>
      <c r="F724" s="191" t="s">
        <v>793</v>
      </c>
      <c r="G724" s="198">
        <v>0</v>
      </c>
      <c r="H724" s="203">
        <v>46302</v>
      </c>
      <c r="I724" s="191" t="s">
        <v>588</v>
      </c>
    </row>
    <row r="725" spans="1:9" ht="20" customHeight="1" x14ac:dyDescent="0.35">
      <c r="A725" s="191" t="s">
        <v>1511</v>
      </c>
      <c r="B725" s="191" t="s">
        <v>754</v>
      </c>
      <c r="C725" s="192">
        <v>45929</v>
      </c>
      <c r="D725" s="199">
        <v>82.14</v>
      </c>
      <c r="E725" s="191" t="s">
        <v>564</v>
      </c>
      <c r="F725" s="191" t="s">
        <v>793</v>
      </c>
      <c r="G725" s="198">
        <v>0</v>
      </c>
      <c r="H725" s="203">
        <v>46302</v>
      </c>
      <c r="I725" s="191" t="s">
        <v>588</v>
      </c>
    </row>
    <row r="726" spans="1:9" ht="20" customHeight="1" x14ac:dyDescent="0.35">
      <c r="A726" s="191" t="s">
        <v>1512</v>
      </c>
      <c r="B726" s="191" t="s">
        <v>754</v>
      </c>
      <c r="C726" s="192">
        <v>45930</v>
      </c>
      <c r="D726" s="199">
        <v>82</v>
      </c>
      <c r="E726" s="191" t="s">
        <v>564</v>
      </c>
      <c r="F726" s="191" t="s">
        <v>793</v>
      </c>
      <c r="G726" s="198">
        <v>0</v>
      </c>
      <c r="H726" s="203">
        <v>46302</v>
      </c>
      <c r="I726" s="191" t="s">
        <v>588</v>
      </c>
    </row>
    <row r="727" spans="1:9" ht="20" customHeight="1" x14ac:dyDescent="0.35">
      <c r="A727" s="191" t="s">
        <v>1513</v>
      </c>
      <c r="B727" s="191" t="s">
        <v>754</v>
      </c>
      <c r="C727" s="192">
        <v>45931</v>
      </c>
      <c r="D727" s="199">
        <v>82</v>
      </c>
      <c r="E727" s="191" t="s">
        <v>564</v>
      </c>
      <c r="F727" s="191" t="s">
        <v>793</v>
      </c>
      <c r="G727" s="198">
        <v>0</v>
      </c>
      <c r="H727" s="203">
        <v>46302</v>
      </c>
      <c r="I727" s="191" t="s">
        <v>588</v>
      </c>
    </row>
    <row r="728" spans="1:9" ht="20" customHeight="1" x14ac:dyDescent="0.35">
      <c r="A728" s="191" t="s">
        <v>1514</v>
      </c>
      <c r="B728" s="191" t="s">
        <v>754</v>
      </c>
      <c r="C728" s="192">
        <v>45932</v>
      </c>
      <c r="D728" s="199">
        <v>81.83</v>
      </c>
      <c r="E728" s="191" t="s">
        <v>564</v>
      </c>
      <c r="F728" s="191" t="s">
        <v>793</v>
      </c>
      <c r="G728" s="198">
        <v>0</v>
      </c>
      <c r="H728" s="203">
        <v>46302</v>
      </c>
      <c r="I728" s="191" t="s">
        <v>588</v>
      </c>
    </row>
    <row r="729" spans="1:9" ht="20" customHeight="1" x14ac:dyDescent="0.35">
      <c r="A729" s="191" t="s">
        <v>1515</v>
      </c>
      <c r="B729" s="191" t="s">
        <v>754</v>
      </c>
      <c r="C729" s="192">
        <v>45933</v>
      </c>
      <c r="D729" s="199">
        <v>81.67</v>
      </c>
      <c r="E729" s="191" t="s">
        <v>564</v>
      </c>
      <c r="F729" s="191" t="s">
        <v>793</v>
      </c>
      <c r="G729" s="198">
        <v>0</v>
      </c>
      <c r="H729" s="203">
        <v>46302</v>
      </c>
      <c r="I729" s="191" t="s">
        <v>588</v>
      </c>
    </row>
    <row r="730" spans="1:9" ht="20" customHeight="1" x14ac:dyDescent="0.35">
      <c r="A730" s="191" t="s">
        <v>1516</v>
      </c>
      <c r="B730" s="191" t="s">
        <v>754</v>
      </c>
      <c r="C730" s="192">
        <v>45936</v>
      </c>
      <c r="D730" s="199">
        <v>81.17</v>
      </c>
      <c r="E730" s="191" t="s">
        <v>564</v>
      </c>
      <c r="F730" s="191" t="s">
        <v>793</v>
      </c>
      <c r="G730" s="198">
        <v>0</v>
      </c>
      <c r="H730" s="203">
        <v>46302</v>
      </c>
      <c r="I730" s="191" t="s">
        <v>588</v>
      </c>
    </row>
    <row r="731" spans="1:9" ht="20" customHeight="1" x14ac:dyDescent="0.35">
      <c r="A731" s="191" t="s">
        <v>1517</v>
      </c>
      <c r="B731" s="191" t="s">
        <v>754</v>
      </c>
      <c r="C731" s="192">
        <v>45937</v>
      </c>
      <c r="D731" s="199">
        <v>81</v>
      </c>
      <c r="E731" s="191" t="s">
        <v>564</v>
      </c>
      <c r="F731" s="191" t="s">
        <v>793</v>
      </c>
      <c r="G731" s="198">
        <v>0</v>
      </c>
      <c r="H731" s="203">
        <v>46302</v>
      </c>
      <c r="I731" s="191" t="s">
        <v>588</v>
      </c>
    </row>
    <row r="732" spans="1:9" ht="20" customHeight="1" x14ac:dyDescent="0.35">
      <c r="A732" s="191" t="s">
        <v>1518</v>
      </c>
      <c r="B732" s="191" t="s">
        <v>754</v>
      </c>
      <c r="C732" s="192">
        <v>45938</v>
      </c>
      <c r="D732" s="199">
        <v>80.83</v>
      </c>
      <c r="E732" s="191" t="s">
        <v>564</v>
      </c>
      <c r="F732" s="191" t="s">
        <v>793</v>
      </c>
      <c r="G732" s="198">
        <v>0</v>
      </c>
      <c r="H732" s="203">
        <v>46302</v>
      </c>
      <c r="I732" s="191" t="s">
        <v>588</v>
      </c>
    </row>
    <row r="733" spans="1:9" ht="20" customHeight="1" x14ac:dyDescent="0.35">
      <c r="A733" s="191" t="s">
        <v>1519</v>
      </c>
      <c r="B733" s="191" t="s">
        <v>754</v>
      </c>
      <c r="C733" s="192">
        <v>45939</v>
      </c>
      <c r="D733" s="199">
        <v>80.67</v>
      </c>
      <c r="E733" s="191" t="s">
        <v>564</v>
      </c>
      <c r="F733" s="191" t="s">
        <v>793</v>
      </c>
      <c r="G733" s="198">
        <v>0</v>
      </c>
      <c r="H733" s="203">
        <v>46302</v>
      </c>
      <c r="I733" s="191" t="s">
        <v>588</v>
      </c>
    </row>
    <row r="734" spans="1:9" ht="20" customHeight="1" x14ac:dyDescent="0.35">
      <c r="A734" s="191" t="s">
        <v>1520</v>
      </c>
      <c r="B734" s="191" t="s">
        <v>754</v>
      </c>
      <c r="C734" s="192">
        <v>45940</v>
      </c>
      <c r="D734" s="199">
        <v>80.5</v>
      </c>
      <c r="E734" s="191" t="s">
        <v>564</v>
      </c>
      <c r="F734" s="191" t="s">
        <v>793</v>
      </c>
      <c r="G734" s="198">
        <v>0</v>
      </c>
      <c r="H734" s="203">
        <v>46302</v>
      </c>
      <c r="I734" s="191" t="s">
        <v>588</v>
      </c>
    </row>
    <row r="735" spans="1:9" ht="20" customHeight="1" x14ac:dyDescent="0.35">
      <c r="A735" s="191" t="s">
        <v>1521</v>
      </c>
      <c r="B735" s="191" t="s">
        <v>754</v>
      </c>
      <c r="C735" s="192">
        <v>45943</v>
      </c>
      <c r="D735" s="199">
        <v>80</v>
      </c>
      <c r="E735" s="191" t="s">
        <v>564</v>
      </c>
      <c r="F735" s="191" t="s">
        <v>793</v>
      </c>
      <c r="G735" s="198">
        <v>0</v>
      </c>
      <c r="H735" s="203">
        <v>46302</v>
      </c>
      <c r="I735" s="191" t="s">
        <v>588</v>
      </c>
    </row>
    <row r="736" spans="1:9" ht="20" customHeight="1" x14ac:dyDescent="0.35">
      <c r="A736" s="191" t="s">
        <v>1522</v>
      </c>
      <c r="B736" s="191" t="s">
        <v>754</v>
      </c>
      <c r="C736" s="192">
        <v>45944</v>
      </c>
      <c r="D736" s="199">
        <v>79.83</v>
      </c>
      <c r="E736" s="191" t="s">
        <v>564</v>
      </c>
      <c r="F736" s="191" t="s">
        <v>793</v>
      </c>
      <c r="G736" s="198">
        <v>0</v>
      </c>
      <c r="H736" s="203">
        <v>46302</v>
      </c>
      <c r="I736" s="191" t="s">
        <v>588</v>
      </c>
    </row>
    <row r="737" spans="1:9" ht="20" customHeight="1" x14ac:dyDescent="0.35">
      <c r="A737" s="191" t="s">
        <v>1523</v>
      </c>
      <c r="B737" s="191" t="s">
        <v>754</v>
      </c>
      <c r="C737" s="192">
        <v>45945</v>
      </c>
      <c r="D737" s="199">
        <v>79.67</v>
      </c>
      <c r="E737" s="191" t="s">
        <v>564</v>
      </c>
      <c r="F737" s="191" t="s">
        <v>793</v>
      </c>
      <c r="G737" s="198">
        <v>0</v>
      </c>
      <c r="H737" s="203">
        <v>46302</v>
      </c>
      <c r="I737" s="191" t="s">
        <v>588</v>
      </c>
    </row>
    <row r="738" spans="1:9" ht="20" customHeight="1" x14ac:dyDescent="0.35">
      <c r="A738" s="191" t="s">
        <v>1524</v>
      </c>
      <c r="B738" s="191" t="s">
        <v>754</v>
      </c>
      <c r="C738" s="192">
        <v>45946</v>
      </c>
      <c r="D738" s="199">
        <v>79.5</v>
      </c>
      <c r="E738" s="191" t="s">
        <v>564</v>
      </c>
      <c r="F738" s="191" t="s">
        <v>793</v>
      </c>
      <c r="G738" s="198">
        <v>0</v>
      </c>
      <c r="H738" s="203">
        <v>46302</v>
      </c>
      <c r="I738" s="191" t="s">
        <v>588</v>
      </c>
    </row>
    <row r="739" spans="1:9" ht="20" customHeight="1" x14ac:dyDescent="0.35">
      <c r="A739" s="191" t="s">
        <v>1525</v>
      </c>
      <c r="B739" s="191" t="s">
        <v>754</v>
      </c>
      <c r="C739" s="192">
        <v>45947</v>
      </c>
      <c r="D739" s="199">
        <v>79.33</v>
      </c>
      <c r="E739" s="191" t="s">
        <v>564</v>
      </c>
      <c r="F739" s="191" t="s">
        <v>793</v>
      </c>
      <c r="G739" s="198">
        <v>0</v>
      </c>
      <c r="H739" s="203">
        <v>46302</v>
      </c>
      <c r="I739" s="191" t="s">
        <v>588</v>
      </c>
    </row>
    <row r="740" spans="1:9" ht="20" customHeight="1" x14ac:dyDescent="0.35">
      <c r="A740" s="191" t="s">
        <v>1526</v>
      </c>
      <c r="B740" s="191" t="s">
        <v>754</v>
      </c>
      <c r="C740" s="192">
        <v>45950</v>
      </c>
      <c r="D740" s="199">
        <v>78.83</v>
      </c>
      <c r="E740" s="191" t="s">
        <v>564</v>
      </c>
      <c r="F740" s="191" t="s">
        <v>793</v>
      </c>
      <c r="G740" s="198">
        <v>0</v>
      </c>
      <c r="H740" s="203">
        <v>46302</v>
      </c>
      <c r="I740" s="191" t="s">
        <v>588</v>
      </c>
    </row>
    <row r="741" spans="1:9" ht="20" customHeight="1" x14ac:dyDescent="0.35">
      <c r="A741" s="191" t="s">
        <v>1527</v>
      </c>
      <c r="B741" s="191" t="s">
        <v>754</v>
      </c>
      <c r="C741" s="192">
        <v>45951</v>
      </c>
      <c r="D741" s="199">
        <v>78.67</v>
      </c>
      <c r="E741" s="191" t="s">
        <v>564</v>
      </c>
      <c r="F741" s="191" t="s">
        <v>793</v>
      </c>
      <c r="G741" s="198">
        <v>0</v>
      </c>
      <c r="H741" s="203">
        <v>46302</v>
      </c>
      <c r="I741" s="191" t="s">
        <v>588</v>
      </c>
    </row>
    <row r="742" spans="1:9" ht="20" customHeight="1" x14ac:dyDescent="0.35">
      <c r="A742" s="191" t="s">
        <v>1528</v>
      </c>
      <c r="B742" s="191" t="s">
        <v>754</v>
      </c>
      <c r="C742" s="192">
        <v>45952</v>
      </c>
      <c r="D742" s="199">
        <v>78.5</v>
      </c>
      <c r="E742" s="191" t="s">
        <v>564</v>
      </c>
      <c r="F742" s="191" t="s">
        <v>793</v>
      </c>
      <c r="G742" s="198">
        <v>0</v>
      </c>
      <c r="H742" s="203">
        <v>46302</v>
      </c>
      <c r="I742" s="191" t="s">
        <v>588</v>
      </c>
    </row>
    <row r="743" spans="1:9" ht="20" customHeight="1" x14ac:dyDescent="0.35">
      <c r="A743" s="191" t="s">
        <v>1529</v>
      </c>
      <c r="B743" s="191" t="s">
        <v>754</v>
      </c>
      <c r="C743" s="192">
        <v>45953</v>
      </c>
      <c r="D743" s="199">
        <v>78.33</v>
      </c>
      <c r="E743" s="191" t="s">
        <v>564</v>
      </c>
      <c r="F743" s="191" t="s">
        <v>793</v>
      </c>
      <c r="G743" s="198">
        <v>0</v>
      </c>
      <c r="H743" s="203">
        <v>46302</v>
      </c>
      <c r="I743" s="191" t="s">
        <v>588</v>
      </c>
    </row>
    <row r="744" spans="1:9" ht="20" customHeight="1" x14ac:dyDescent="0.35">
      <c r="A744" s="191" t="s">
        <v>1530</v>
      </c>
      <c r="B744" s="191" t="s">
        <v>754</v>
      </c>
      <c r="C744" s="192">
        <v>45954</v>
      </c>
      <c r="D744" s="199">
        <v>78.17</v>
      </c>
      <c r="E744" s="191" t="s">
        <v>564</v>
      </c>
      <c r="F744" s="191" t="s">
        <v>793</v>
      </c>
      <c r="G744" s="198">
        <v>0</v>
      </c>
      <c r="H744" s="203">
        <v>46302</v>
      </c>
      <c r="I744" s="191" t="s">
        <v>588</v>
      </c>
    </row>
    <row r="745" spans="1:9" ht="20" customHeight="1" x14ac:dyDescent="0.35">
      <c r="A745" s="191" t="s">
        <v>1531</v>
      </c>
      <c r="B745" s="191" t="s">
        <v>754</v>
      </c>
      <c r="C745" s="192">
        <v>45957</v>
      </c>
      <c r="D745" s="199">
        <v>77.67</v>
      </c>
      <c r="E745" s="191" t="s">
        <v>564</v>
      </c>
      <c r="F745" s="191" t="s">
        <v>793</v>
      </c>
      <c r="G745" s="198">
        <v>0</v>
      </c>
      <c r="H745" s="203">
        <v>46302</v>
      </c>
      <c r="I745" s="191" t="s">
        <v>588</v>
      </c>
    </row>
    <row r="746" spans="1:9" ht="20" customHeight="1" x14ac:dyDescent="0.35">
      <c r="A746" s="191" t="s">
        <v>1532</v>
      </c>
      <c r="B746" s="191" t="s">
        <v>754</v>
      </c>
      <c r="C746" s="192">
        <v>45958</v>
      </c>
      <c r="D746" s="199">
        <v>77.5</v>
      </c>
      <c r="E746" s="191" t="s">
        <v>564</v>
      </c>
      <c r="F746" s="191" t="s">
        <v>793</v>
      </c>
      <c r="G746" s="198">
        <v>0</v>
      </c>
      <c r="H746" s="203">
        <v>46302</v>
      </c>
      <c r="I746" s="191" t="s">
        <v>588</v>
      </c>
    </row>
    <row r="747" spans="1:9" ht="20" customHeight="1" x14ac:dyDescent="0.35">
      <c r="A747" s="191" t="s">
        <v>1533</v>
      </c>
      <c r="B747" s="191" t="s">
        <v>754</v>
      </c>
      <c r="C747" s="192">
        <v>45959</v>
      </c>
      <c r="D747" s="199">
        <v>77.33</v>
      </c>
      <c r="E747" s="191" t="s">
        <v>564</v>
      </c>
      <c r="F747" s="191" t="s">
        <v>793</v>
      </c>
      <c r="G747" s="198">
        <v>0</v>
      </c>
      <c r="H747" s="203">
        <v>46302</v>
      </c>
      <c r="I747" s="191" t="s">
        <v>588</v>
      </c>
    </row>
    <row r="748" spans="1:9" ht="20" customHeight="1" x14ac:dyDescent="0.35">
      <c r="A748" s="191" t="s">
        <v>1534</v>
      </c>
      <c r="B748" s="191" t="s">
        <v>754</v>
      </c>
      <c r="C748" s="192">
        <v>45960</v>
      </c>
      <c r="D748" s="199">
        <v>77.17</v>
      </c>
      <c r="E748" s="191" t="s">
        <v>564</v>
      </c>
      <c r="F748" s="191" t="s">
        <v>793</v>
      </c>
      <c r="G748" s="198">
        <v>0</v>
      </c>
      <c r="H748" s="203">
        <v>46302</v>
      </c>
      <c r="I748" s="191" t="s">
        <v>588</v>
      </c>
    </row>
    <row r="749" spans="1:9" ht="20" customHeight="1" x14ac:dyDescent="0.35">
      <c r="A749" s="191" t="s">
        <v>1535</v>
      </c>
      <c r="B749" s="191" t="s">
        <v>754</v>
      </c>
      <c r="C749" s="192">
        <v>45961</v>
      </c>
      <c r="D749" s="199">
        <v>77</v>
      </c>
      <c r="E749" s="191" t="s">
        <v>564</v>
      </c>
      <c r="F749" s="191" t="s">
        <v>793</v>
      </c>
      <c r="G749" s="198">
        <v>0</v>
      </c>
      <c r="H749" s="203">
        <v>46302</v>
      </c>
      <c r="I749" s="191" t="s">
        <v>588</v>
      </c>
    </row>
    <row r="750" spans="1:9" ht="20" customHeight="1" x14ac:dyDescent="0.35">
      <c r="A750" s="191" t="s">
        <v>1536</v>
      </c>
      <c r="B750" s="191" t="s">
        <v>754</v>
      </c>
      <c r="C750" s="192">
        <v>45964</v>
      </c>
      <c r="D750" s="199">
        <v>76.010000000000005</v>
      </c>
      <c r="E750" s="191" t="s">
        <v>564</v>
      </c>
      <c r="F750" s="191" t="s">
        <v>793</v>
      </c>
      <c r="G750" s="198">
        <v>0</v>
      </c>
      <c r="H750" s="203">
        <v>46302</v>
      </c>
      <c r="I750" s="191" t="s">
        <v>588</v>
      </c>
    </row>
    <row r="751" spans="1:9" ht="20" customHeight="1" x14ac:dyDescent="0.35">
      <c r="A751" s="191" t="s">
        <v>1537</v>
      </c>
      <c r="B751" s="191" t="s">
        <v>754</v>
      </c>
      <c r="C751" s="192">
        <v>45965</v>
      </c>
      <c r="D751" s="199">
        <v>76.11</v>
      </c>
      <c r="E751" s="191" t="s">
        <v>564</v>
      </c>
      <c r="F751" s="191" t="s">
        <v>793</v>
      </c>
      <c r="G751" s="198">
        <v>0</v>
      </c>
      <c r="H751" s="203">
        <v>46302</v>
      </c>
      <c r="I751" s="191" t="s">
        <v>588</v>
      </c>
    </row>
    <row r="752" spans="1:9" ht="20" customHeight="1" x14ac:dyDescent="0.35">
      <c r="A752" s="191" t="s">
        <v>1538</v>
      </c>
      <c r="B752" s="191" t="s">
        <v>754</v>
      </c>
      <c r="C752" s="192">
        <v>45966</v>
      </c>
      <c r="D752" s="199">
        <v>76.209999999999994</v>
      </c>
      <c r="E752" s="191" t="s">
        <v>564</v>
      </c>
      <c r="F752" s="191" t="s">
        <v>793</v>
      </c>
      <c r="G752" s="198">
        <v>0</v>
      </c>
      <c r="H752" s="203">
        <v>46302</v>
      </c>
      <c r="I752" s="191" t="s">
        <v>588</v>
      </c>
    </row>
    <row r="753" spans="1:9" ht="20" customHeight="1" x14ac:dyDescent="0.35">
      <c r="A753" s="191" t="s">
        <v>1539</v>
      </c>
      <c r="B753" s="191" t="s">
        <v>754</v>
      </c>
      <c r="C753" s="192">
        <v>45967</v>
      </c>
      <c r="D753" s="199">
        <v>76.319999999999993</v>
      </c>
      <c r="E753" s="191" t="s">
        <v>564</v>
      </c>
      <c r="F753" s="191" t="s">
        <v>793</v>
      </c>
      <c r="G753" s="198">
        <v>0</v>
      </c>
      <c r="H753" s="203">
        <v>46302</v>
      </c>
      <c r="I753" s="191" t="s">
        <v>588</v>
      </c>
    </row>
    <row r="754" spans="1:9" ht="20" customHeight="1" x14ac:dyDescent="0.35">
      <c r="A754" s="191" t="s">
        <v>1540</v>
      </c>
      <c r="B754" s="191" t="s">
        <v>754</v>
      </c>
      <c r="C754" s="192">
        <v>45968</v>
      </c>
      <c r="D754" s="199">
        <v>76.42</v>
      </c>
      <c r="E754" s="191" t="s">
        <v>564</v>
      </c>
      <c r="F754" s="191" t="s">
        <v>793</v>
      </c>
      <c r="G754" s="198">
        <v>0</v>
      </c>
      <c r="H754" s="203">
        <v>46302</v>
      </c>
      <c r="I754" s="191" t="s">
        <v>588</v>
      </c>
    </row>
    <row r="755" spans="1:9" ht="20" customHeight="1" x14ac:dyDescent="0.35">
      <c r="A755" s="191" t="s">
        <v>1541</v>
      </c>
      <c r="B755" s="191" t="s">
        <v>754</v>
      </c>
      <c r="C755" s="192">
        <v>45971</v>
      </c>
      <c r="D755" s="199">
        <v>76.73</v>
      </c>
      <c r="E755" s="191" t="s">
        <v>564</v>
      </c>
      <c r="F755" s="191" t="s">
        <v>793</v>
      </c>
      <c r="G755" s="198">
        <v>0</v>
      </c>
      <c r="H755" s="203">
        <v>46302</v>
      </c>
      <c r="I755" s="191" t="s">
        <v>588</v>
      </c>
    </row>
    <row r="756" spans="1:9" ht="20" customHeight="1" x14ac:dyDescent="0.35">
      <c r="A756" s="191" t="s">
        <v>1542</v>
      </c>
      <c r="B756" s="191" t="s">
        <v>754</v>
      </c>
      <c r="C756" s="192">
        <v>45972</v>
      </c>
      <c r="D756" s="199">
        <v>76.83</v>
      </c>
      <c r="E756" s="191" t="s">
        <v>564</v>
      </c>
      <c r="F756" s="191" t="s">
        <v>793</v>
      </c>
      <c r="G756" s="198">
        <v>0</v>
      </c>
      <c r="H756" s="203">
        <v>46302</v>
      </c>
      <c r="I756" s="191" t="s">
        <v>588</v>
      </c>
    </row>
    <row r="757" spans="1:9" ht="20" customHeight="1" x14ac:dyDescent="0.35">
      <c r="A757" s="191" t="s">
        <v>1543</v>
      </c>
      <c r="B757" s="191" t="s">
        <v>754</v>
      </c>
      <c r="C757" s="192">
        <v>45973</v>
      </c>
      <c r="D757" s="199">
        <v>76.94</v>
      </c>
      <c r="E757" s="191" t="s">
        <v>564</v>
      </c>
      <c r="F757" s="191" t="s">
        <v>793</v>
      </c>
      <c r="G757" s="198">
        <v>0</v>
      </c>
      <c r="H757" s="203">
        <v>46302</v>
      </c>
      <c r="I757" s="191" t="s">
        <v>588</v>
      </c>
    </row>
    <row r="758" spans="1:9" ht="20" customHeight="1" x14ac:dyDescent="0.35">
      <c r="A758" s="191" t="s">
        <v>1544</v>
      </c>
      <c r="B758" s="191" t="s">
        <v>754</v>
      </c>
      <c r="C758" s="192">
        <v>45974</v>
      </c>
      <c r="D758" s="199">
        <v>77.040000000000006</v>
      </c>
      <c r="E758" s="191" t="s">
        <v>564</v>
      </c>
      <c r="F758" s="191" t="s">
        <v>793</v>
      </c>
      <c r="G758" s="198">
        <v>0</v>
      </c>
      <c r="H758" s="203">
        <v>46302</v>
      </c>
      <c r="I758" s="191" t="s">
        <v>588</v>
      </c>
    </row>
    <row r="759" spans="1:9" ht="20" customHeight="1" x14ac:dyDescent="0.35">
      <c r="A759" s="191" t="s">
        <v>1545</v>
      </c>
      <c r="B759" s="191" t="s">
        <v>754</v>
      </c>
      <c r="C759" s="192">
        <v>45975</v>
      </c>
      <c r="D759" s="199">
        <v>77.14</v>
      </c>
      <c r="E759" s="191" t="s">
        <v>564</v>
      </c>
      <c r="F759" s="191" t="s">
        <v>793</v>
      </c>
      <c r="G759" s="198">
        <v>0</v>
      </c>
      <c r="H759" s="203">
        <v>46302</v>
      </c>
      <c r="I759" s="191" t="s">
        <v>588</v>
      </c>
    </row>
    <row r="760" spans="1:9" ht="20" customHeight="1" x14ac:dyDescent="0.35">
      <c r="A760" s="191" t="s">
        <v>1546</v>
      </c>
      <c r="B760" s="191" t="s">
        <v>754</v>
      </c>
      <c r="C760" s="192">
        <v>45978</v>
      </c>
      <c r="D760" s="199">
        <v>77.459999999999994</v>
      </c>
      <c r="E760" s="191" t="s">
        <v>564</v>
      </c>
      <c r="F760" s="191" t="s">
        <v>793</v>
      </c>
      <c r="G760" s="198">
        <v>0</v>
      </c>
      <c r="H760" s="203">
        <v>46302</v>
      </c>
      <c r="I760" s="191" t="s">
        <v>588</v>
      </c>
    </row>
    <row r="761" spans="1:9" ht="20" customHeight="1" x14ac:dyDescent="0.35">
      <c r="A761" s="191" t="s">
        <v>1547</v>
      </c>
      <c r="B761" s="191" t="s">
        <v>754</v>
      </c>
      <c r="C761" s="192">
        <v>45979</v>
      </c>
      <c r="D761" s="199">
        <v>77.56</v>
      </c>
      <c r="E761" s="191" t="s">
        <v>564</v>
      </c>
      <c r="F761" s="191" t="s">
        <v>793</v>
      </c>
      <c r="G761" s="198">
        <v>0</v>
      </c>
      <c r="H761" s="203">
        <v>46302</v>
      </c>
      <c r="I761" s="191" t="s">
        <v>588</v>
      </c>
    </row>
    <row r="762" spans="1:9" ht="20" customHeight="1" x14ac:dyDescent="0.35">
      <c r="A762" s="191" t="s">
        <v>1548</v>
      </c>
      <c r="B762" s="191" t="s">
        <v>754</v>
      </c>
      <c r="C762" s="192">
        <v>45980</v>
      </c>
      <c r="D762" s="199">
        <v>77.66</v>
      </c>
      <c r="E762" s="191" t="s">
        <v>564</v>
      </c>
      <c r="F762" s="191" t="s">
        <v>793</v>
      </c>
      <c r="G762" s="198">
        <v>0</v>
      </c>
      <c r="H762" s="203">
        <v>46302</v>
      </c>
      <c r="I762" s="191" t="s">
        <v>588</v>
      </c>
    </row>
    <row r="763" spans="1:9" ht="20" customHeight="1" x14ac:dyDescent="0.35">
      <c r="A763" s="191" t="s">
        <v>1549</v>
      </c>
      <c r="B763" s="191" t="s">
        <v>754</v>
      </c>
      <c r="C763" s="192">
        <v>45981</v>
      </c>
      <c r="D763" s="199">
        <v>77.77</v>
      </c>
      <c r="E763" s="191" t="s">
        <v>564</v>
      </c>
      <c r="F763" s="191" t="s">
        <v>793</v>
      </c>
      <c r="G763" s="198">
        <v>0</v>
      </c>
      <c r="H763" s="203">
        <v>46302</v>
      </c>
      <c r="I763" s="191" t="s">
        <v>588</v>
      </c>
    </row>
    <row r="764" spans="1:9" ht="20" customHeight="1" x14ac:dyDescent="0.35">
      <c r="A764" s="191" t="s">
        <v>1550</v>
      </c>
      <c r="B764" s="191" t="s">
        <v>754</v>
      </c>
      <c r="C764" s="192">
        <v>45982</v>
      </c>
      <c r="D764" s="199">
        <v>77.87</v>
      </c>
      <c r="E764" s="191" t="s">
        <v>564</v>
      </c>
      <c r="F764" s="191" t="s">
        <v>793</v>
      </c>
      <c r="G764" s="198">
        <v>0</v>
      </c>
      <c r="H764" s="203">
        <v>46302</v>
      </c>
      <c r="I764" s="191" t="s">
        <v>588</v>
      </c>
    </row>
    <row r="765" spans="1:9" ht="20" customHeight="1" x14ac:dyDescent="0.35">
      <c r="A765" s="191" t="s">
        <v>1551</v>
      </c>
      <c r="B765" s="191" t="s">
        <v>754</v>
      </c>
      <c r="C765" s="192">
        <v>45985</v>
      </c>
      <c r="D765" s="199">
        <v>78.180000000000007</v>
      </c>
      <c r="E765" s="191" t="s">
        <v>564</v>
      </c>
      <c r="F765" s="191" t="s">
        <v>793</v>
      </c>
      <c r="G765" s="198">
        <v>0</v>
      </c>
      <c r="H765" s="203">
        <v>46302</v>
      </c>
      <c r="I765" s="191" t="s">
        <v>588</v>
      </c>
    </row>
    <row r="766" spans="1:9" ht="20" customHeight="1" x14ac:dyDescent="0.35">
      <c r="A766" s="191" t="s">
        <v>1552</v>
      </c>
      <c r="B766" s="191" t="s">
        <v>754</v>
      </c>
      <c r="C766" s="192">
        <v>45986</v>
      </c>
      <c r="D766" s="199">
        <v>78.28</v>
      </c>
      <c r="E766" s="191" t="s">
        <v>564</v>
      </c>
      <c r="F766" s="191" t="s">
        <v>793</v>
      </c>
      <c r="G766" s="198">
        <v>0</v>
      </c>
      <c r="H766" s="203">
        <v>46302</v>
      </c>
      <c r="I766" s="191" t="s">
        <v>588</v>
      </c>
    </row>
    <row r="767" spans="1:9" ht="20" customHeight="1" x14ac:dyDescent="0.35">
      <c r="A767" s="191" t="s">
        <v>1553</v>
      </c>
      <c r="B767" s="191" t="s">
        <v>754</v>
      </c>
      <c r="C767" s="192">
        <v>45987</v>
      </c>
      <c r="D767" s="199">
        <v>78.39</v>
      </c>
      <c r="E767" s="191" t="s">
        <v>564</v>
      </c>
      <c r="F767" s="191" t="s">
        <v>793</v>
      </c>
      <c r="G767" s="198">
        <v>0</v>
      </c>
      <c r="H767" s="203">
        <v>46302</v>
      </c>
      <c r="I767" s="191" t="s">
        <v>588</v>
      </c>
    </row>
    <row r="768" spans="1:9" ht="20" customHeight="1" x14ac:dyDescent="0.35">
      <c r="A768" s="191" t="s">
        <v>1554</v>
      </c>
      <c r="B768" s="191" t="s">
        <v>754</v>
      </c>
      <c r="C768" s="192">
        <v>45988</v>
      </c>
      <c r="D768" s="199">
        <v>78.489999999999995</v>
      </c>
      <c r="E768" s="191" t="s">
        <v>564</v>
      </c>
      <c r="F768" s="191" t="s">
        <v>793</v>
      </c>
      <c r="G768" s="198">
        <v>0</v>
      </c>
      <c r="H768" s="203">
        <v>46302</v>
      </c>
      <c r="I768" s="191" t="s">
        <v>588</v>
      </c>
    </row>
    <row r="769" spans="1:9" ht="20" customHeight="1" x14ac:dyDescent="0.35">
      <c r="A769" s="191" t="s">
        <v>1555</v>
      </c>
      <c r="B769" s="191" t="s">
        <v>754</v>
      </c>
      <c r="C769" s="192">
        <v>45989</v>
      </c>
      <c r="D769" s="199">
        <v>78.59</v>
      </c>
      <c r="E769" s="191" t="s">
        <v>564</v>
      </c>
      <c r="F769" s="191" t="s">
        <v>793</v>
      </c>
      <c r="G769" s="198">
        <v>0</v>
      </c>
      <c r="H769" s="203">
        <v>46302</v>
      </c>
      <c r="I769" s="191" t="s">
        <v>588</v>
      </c>
    </row>
    <row r="770" spans="1:9" ht="20" customHeight="1" x14ac:dyDescent="0.35">
      <c r="A770" s="191" t="s">
        <v>1556</v>
      </c>
      <c r="B770" s="191" t="s">
        <v>754</v>
      </c>
      <c r="C770" s="192">
        <v>45992</v>
      </c>
      <c r="D770" s="199">
        <v>78.8</v>
      </c>
      <c r="E770" s="191" t="s">
        <v>564</v>
      </c>
      <c r="F770" s="191" t="s">
        <v>793</v>
      </c>
      <c r="G770" s="198">
        <v>0</v>
      </c>
      <c r="H770" s="203">
        <v>46302</v>
      </c>
      <c r="I770" s="191" t="s">
        <v>588</v>
      </c>
    </row>
    <row r="771" spans="1:9" ht="20" customHeight="1" x14ac:dyDescent="0.35">
      <c r="A771" s="191" t="s">
        <v>1557</v>
      </c>
      <c r="B771" s="191" t="s">
        <v>754</v>
      </c>
      <c r="C771" s="192">
        <v>45993</v>
      </c>
      <c r="D771" s="199">
        <v>78.77</v>
      </c>
      <c r="E771" s="191" t="s">
        <v>564</v>
      </c>
      <c r="F771" s="191" t="s">
        <v>793</v>
      </c>
      <c r="G771" s="198">
        <v>0</v>
      </c>
      <c r="H771" s="203">
        <v>46302</v>
      </c>
      <c r="I771" s="191" t="s">
        <v>588</v>
      </c>
    </row>
    <row r="772" spans="1:9" ht="20" customHeight="1" x14ac:dyDescent="0.35">
      <c r="A772" s="191" t="s">
        <v>1558</v>
      </c>
      <c r="B772" s="191" t="s">
        <v>754</v>
      </c>
      <c r="C772" s="192">
        <v>45994</v>
      </c>
      <c r="D772" s="199">
        <v>78.73</v>
      </c>
      <c r="E772" s="191" t="s">
        <v>564</v>
      </c>
      <c r="F772" s="191" t="s">
        <v>793</v>
      </c>
      <c r="G772" s="198">
        <v>0</v>
      </c>
      <c r="H772" s="203">
        <v>46302</v>
      </c>
      <c r="I772" s="191" t="s">
        <v>588</v>
      </c>
    </row>
    <row r="773" spans="1:9" ht="20" customHeight="1" x14ac:dyDescent="0.35">
      <c r="A773" s="191" t="s">
        <v>1559</v>
      </c>
      <c r="B773" s="191" t="s">
        <v>754</v>
      </c>
      <c r="C773" s="192">
        <v>45995</v>
      </c>
      <c r="D773" s="199">
        <v>78.7</v>
      </c>
      <c r="E773" s="191" t="s">
        <v>564</v>
      </c>
      <c r="F773" s="191" t="s">
        <v>793</v>
      </c>
      <c r="G773" s="198">
        <v>0</v>
      </c>
      <c r="H773" s="203">
        <v>46302</v>
      </c>
      <c r="I773" s="191" t="s">
        <v>588</v>
      </c>
    </row>
    <row r="774" spans="1:9" ht="20" customHeight="1" x14ac:dyDescent="0.35">
      <c r="A774" s="191" t="s">
        <v>1560</v>
      </c>
      <c r="B774" s="191" t="s">
        <v>754</v>
      </c>
      <c r="C774" s="192">
        <v>45996</v>
      </c>
      <c r="D774" s="199">
        <v>78.67</v>
      </c>
      <c r="E774" s="191" t="s">
        <v>564</v>
      </c>
      <c r="F774" s="191" t="s">
        <v>793</v>
      </c>
      <c r="G774" s="198">
        <v>0</v>
      </c>
      <c r="H774" s="203">
        <v>46302</v>
      </c>
      <c r="I774" s="191" t="s">
        <v>588</v>
      </c>
    </row>
    <row r="775" spans="1:9" ht="20" customHeight="1" x14ac:dyDescent="0.35">
      <c r="A775" s="191" t="s">
        <v>1561</v>
      </c>
      <c r="B775" s="191" t="s">
        <v>754</v>
      </c>
      <c r="C775" s="192">
        <v>45999</v>
      </c>
      <c r="D775" s="199">
        <v>78.569999999999993</v>
      </c>
      <c r="E775" s="191" t="s">
        <v>564</v>
      </c>
      <c r="F775" s="191" t="s">
        <v>793</v>
      </c>
      <c r="G775" s="198">
        <v>0</v>
      </c>
      <c r="H775" s="203">
        <v>46302</v>
      </c>
      <c r="I775" s="191" t="s">
        <v>588</v>
      </c>
    </row>
    <row r="776" spans="1:9" ht="20" customHeight="1" x14ac:dyDescent="0.35">
      <c r="A776" s="191" t="s">
        <v>1562</v>
      </c>
      <c r="B776" s="191" t="s">
        <v>754</v>
      </c>
      <c r="C776" s="192">
        <v>46000</v>
      </c>
      <c r="D776" s="199">
        <v>78.53</v>
      </c>
      <c r="E776" s="191" t="s">
        <v>564</v>
      </c>
      <c r="F776" s="191" t="s">
        <v>793</v>
      </c>
      <c r="G776" s="198">
        <v>0</v>
      </c>
      <c r="H776" s="203">
        <v>46302</v>
      </c>
      <c r="I776" s="191" t="s">
        <v>588</v>
      </c>
    </row>
    <row r="777" spans="1:9" ht="20" customHeight="1" x14ac:dyDescent="0.35">
      <c r="A777" s="191" t="s">
        <v>1563</v>
      </c>
      <c r="B777" s="191" t="s">
        <v>754</v>
      </c>
      <c r="C777" s="192">
        <v>46001</v>
      </c>
      <c r="D777" s="199">
        <v>78.5</v>
      </c>
      <c r="E777" s="191" t="s">
        <v>564</v>
      </c>
      <c r="F777" s="191" t="s">
        <v>793</v>
      </c>
      <c r="G777" s="198">
        <v>0</v>
      </c>
      <c r="H777" s="203">
        <v>46302</v>
      </c>
      <c r="I777" s="191" t="s">
        <v>588</v>
      </c>
    </row>
    <row r="778" spans="1:9" ht="20" customHeight="1" x14ac:dyDescent="0.35">
      <c r="A778" s="191" t="s">
        <v>1564</v>
      </c>
      <c r="B778" s="191" t="s">
        <v>754</v>
      </c>
      <c r="C778" s="192">
        <v>46002</v>
      </c>
      <c r="D778" s="199">
        <v>78.47</v>
      </c>
      <c r="E778" s="191" t="s">
        <v>564</v>
      </c>
      <c r="F778" s="191" t="s">
        <v>793</v>
      </c>
      <c r="G778" s="198">
        <v>0</v>
      </c>
      <c r="H778" s="203">
        <v>46302</v>
      </c>
      <c r="I778" s="191" t="s">
        <v>588</v>
      </c>
    </row>
    <row r="779" spans="1:9" ht="20" customHeight="1" x14ac:dyDescent="0.35">
      <c r="A779" s="191" t="s">
        <v>1565</v>
      </c>
      <c r="B779" s="191" t="s">
        <v>754</v>
      </c>
      <c r="C779" s="192">
        <v>46003</v>
      </c>
      <c r="D779" s="199">
        <v>78.430000000000007</v>
      </c>
      <c r="E779" s="191" t="s">
        <v>564</v>
      </c>
      <c r="F779" s="191" t="s">
        <v>793</v>
      </c>
      <c r="G779" s="198">
        <v>0</v>
      </c>
      <c r="H779" s="203">
        <v>46302</v>
      </c>
      <c r="I779" s="191" t="s">
        <v>588</v>
      </c>
    </row>
    <row r="780" spans="1:9" ht="20" customHeight="1" x14ac:dyDescent="0.35">
      <c r="A780" s="191" t="s">
        <v>1566</v>
      </c>
      <c r="B780" s="191" t="s">
        <v>754</v>
      </c>
      <c r="C780" s="192">
        <v>46006</v>
      </c>
      <c r="D780" s="199">
        <v>78.33</v>
      </c>
      <c r="E780" s="191" t="s">
        <v>564</v>
      </c>
      <c r="F780" s="191" t="s">
        <v>793</v>
      </c>
      <c r="G780" s="198">
        <v>0</v>
      </c>
      <c r="H780" s="203">
        <v>46302</v>
      </c>
      <c r="I780" s="191" t="s">
        <v>588</v>
      </c>
    </row>
    <row r="781" spans="1:9" ht="20" customHeight="1" x14ac:dyDescent="0.35">
      <c r="A781" s="191" t="s">
        <v>1567</v>
      </c>
      <c r="B781" s="191" t="s">
        <v>754</v>
      </c>
      <c r="C781" s="192">
        <v>46007</v>
      </c>
      <c r="D781" s="199">
        <v>78.3</v>
      </c>
      <c r="E781" s="191" t="s">
        <v>564</v>
      </c>
      <c r="F781" s="191" t="s">
        <v>793</v>
      </c>
      <c r="G781" s="198">
        <v>0</v>
      </c>
      <c r="H781" s="203">
        <v>46302</v>
      </c>
      <c r="I781" s="191" t="s">
        <v>588</v>
      </c>
    </row>
    <row r="782" spans="1:9" ht="20" customHeight="1" x14ac:dyDescent="0.35">
      <c r="A782" s="191" t="s">
        <v>1568</v>
      </c>
      <c r="B782" s="191" t="s">
        <v>754</v>
      </c>
      <c r="C782" s="192">
        <v>46008</v>
      </c>
      <c r="D782" s="199">
        <v>78.27</v>
      </c>
      <c r="E782" s="191" t="s">
        <v>564</v>
      </c>
      <c r="F782" s="191" t="s">
        <v>793</v>
      </c>
      <c r="G782" s="198">
        <v>0</v>
      </c>
      <c r="H782" s="203">
        <v>46302</v>
      </c>
      <c r="I782" s="191" t="s">
        <v>588</v>
      </c>
    </row>
    <row r="783" spans="1:9" ht="20" customHeight="1" x14ac:dyDescent="0.35">
      <c r="A783" s="191" t="s">
        <v>1569</v>
      </c>
      <c r="B783" s="191" t="s">
        <v>754</v>
      </c>
      <c r="C783" s="192">
        <v>46009</v>
      </c>
      <c r="D783" s="199">
        <v>78.23</v>
      </c>
      <c r="E783" s="191" t="s">
        <v>564</v>
      </c>
      <c r="F783" s="191" t="s">
        <v>793</v>
      </c>
      <c r="G783" s="198">
        <v>0</v>
      </c>
      <c r="H783" s="203">
        <v>46302</v>
      </c>
      <c r="I783" s="191" t="s">
        <v>588</v>
      </c>
    </row>
    <row r="784" spans="1:9" ht="20" customHeight="1" x14ac:dyDescent="0.35">
      <c r="A784" s="191" t="s">
        <v>1570</v>
      </c>
      <c r="B784" s="191" t="s">
        <v>754</v>
      </c>
      <c r="C784" s="192">
        <v>46010</v>
      </c>
      <c r="D784" s="199">
        <v>78.2</v>
      </c>
      <c r="E784" s="191" t="s">
        <v>564</v>
      </c>
      <c r="F784" s="191" t="s">
        <v>793</v>
      </c>
      <c r="G784" s="198">
        <v>0</v>
      </c>
      <c r="H784" s="203">
        <v>46302</v>
      </c>
      <c r="I784" s="191" t="s">
        <v>588</v>
      </c>
    </row>
    <row r="785" spans="1:9" ht="20" customHeight="1" x14ac:dyDescent="0.35">
      <c r="A785" s="191" t="s">
        <v>1571</v>
      </c>
      <c r="B785" s="191" t="s">
        <v>754</v>
      </c>
      <c r="C785" s="192">
        <v>46013</v>
      </c>
      <c r="D785" s="199">
        <v>78.099999999999994</v>
      </c>
      <c r="E785" s="191" t="s">
        <v>564</v>
      </c>
      <c r="F785" s="191" t="s">
        <v>793</v>
      </c>
      <c r="G785" s="198">
        <v>0</v>
      </c>
      <c r="H785" s="203">
        <v>46302</v>
      </c>
      <c r="I785" s="191" t="s">
        <v>588</v>
      </c>
    </row>
    <row r="786" spans="1:9" ht="20" customHeight="1" x14ac:dyDescent="0.35">
      <c r="A786" s="191" t="s">
        <v>1572</v>
      </c>
      <c r="B786" s="191" t="s">
        <v>754</v>
      </c>
      <c r="C786" s="192">
        <v>46014</v>
      </c>
      <c r="D786" s="199">
        <v>78.069999999999993</v>
      </c>
      <c r="E786" s="191" t="s">
        <v>564</v>
      </c>
      <c r="F786" s="191" t="s">
        <v>793</v>
      </c>
      <c r="G786" s="198">
        <v>0</v>
      </c>
      <c r="H786" s="203">
        <v>46302</v>
      </c>
      <c r="I786" s="191" t="s">
        <v>588</v>
      </c>
    </row>
    <row r="787" spans="1:9" ht="20" customHeight="1" x14ac:dyDescent="0.35">
      <c r="A787" s="191" t="s">
        <v>1573</v>
      </c>
      <c r="B787" s="191" t="s">
        <v>754</v>
      </c>
      <c r="C787" s="192">
        <v>46015</v>
      </c>
      <c r="D787" s="199">
        <v>78.03</v>
      </c>
      <c r="E787" s="191" t="s">
        <v>564</v>
      </c>
      <c r="F787" s="191" t="s">
        <v>793</v>
      </c>
      <c r="G787" s="198">
        <v>0</v>
      </c>
      <c r="H787" s="203">
        <v>46302</v>
      </c>
      <c r="I787" s="191" t="s">
        <v>588</v>
      </c>
    </row>
    <row r="788" spans="1:9" ht="20" customHeight="1" x14ac:dyDescent="0.35">
      <c r="A788" s="191" t="s">
        <v>1574</v>
      </c>
      <c r="B788" s="191" t="s">
        <v>754</v>
      </c>
      <c r="C788" s="192">
        <v>46016</v>
      </c>
      <c r="D788" s="199">
        <v>78</v>
      </c>
      <c r="E788" s="191" t="s">
        <v>564</v>
      </c>
      <c r="F788" s="191" t="s">
        <v>793</v>
      </c>
      <c r="G788" s="198">
        <v>0</v>
      </c>
      <c r="H788" s="203">
        <v>46302</v>
      </c>
      <c r="I788" s="191" t="s">
        <v>588</v>
      </c>
    </row>
    <row r="789" spans="1:9" ht="20" customHeight="1" x14ac:dyDescent="0.35">
      <c r="A789" s="191" t="s">
        <v>1575</v>
      </c>
      <c r="B789" s="191" t="s">
        <v>754</v>
      </c>
      <c r="C789" s="192">
        <v>46017</v>
      </c>
      <c r="D789" s="199">
        <v>77.97</v>
      </c>
      <c r="E789" s="191" t="s">
        <v>564</v>
      </c>
      <c r="F789" s="191" t="s">
        <v>793</v>
      </c>
      <c r="G789" s="198">
        <v>0</v>
      </c>
      <c r="H789" s="203">
        <v>46302</v>
      </c>
      <c r="I789" s="191" t="s">
        <v>588</v>
      </c>
    </row>
    <row r="790" spans="1:9" ht="20" customHeight="1" x14ac:dyDescent="0.35">
      <c r="A790" s="191" t="s">
        <v>1576</v>
      </c>
      <c r="B790" s="191" t="s">
        <v>754</v>
      </c>
      <c r="C790" s="192">
        <v>46020</v>
      </c>
      <c r="D790" s="199">
        <v>77.87</v>
      </c>
      <c r="E790" s="191" t="s">
        <v>564</v>
      </c>
      <c r="F790" s="191" t="s">
        <v>793</v>
      </c>
      <c r="G790" s="198">
        <v>0</v>
      </c>
      <c r="H790" s="203">
        <v>46302</v>
      </c>
      <c r="I790" s="191" t="s">
        <v>588</v>
      </c>
    </row>
    <row r="791" spans="1:9" ht="20" customHeight="1" x14ac:dyDescent="0.35">
      <c r="A791" s="191" t="s">
        <v>1577</v>
      </c>
      <c r="B791" s="191" t="s">
        <v>754</v>
      </c>
      <c r="C791" s="192">
        <v>46021</v>
      </c>
      <c r="D791" s="199">
        <v>77.83</v>
      </c>
      <c r="E791" s="191" t="s">
        <v>564</v>
      </c>
      <c r="F791" s="191" t="s">
        <v>793</v>
      </c>
      <c r="G791" s="198">
        <v>0</v>
      </c>
      <c r="H791" s="203">
        <v>46302</v>
      </c>
      <c r="I791" s="191" t="s">
        <v>588</v>
      </c>
    </row>
    <row r="792" spans="1:9" ht="20" customHeight="1" x14ac:dyDescent="0.35">
      <c r="A792" s="191" t="s">
        <v>1578</v>
      </c>
      <c r="B792" s="191" t="s">
        <v>754</v>
      </c>
      <c r="C792" s="192">
        <v>46022</v>
      </c>
      <c r="D792" s="199">
        <v>77.8</v>
      </c>
      <c r="E792" s="191" t="s">
        <v>564</v>
      </c>
      <c r="F792" s="191" t="s">
        <v>793</v>
      </c>
      <c r="G792" s="198">
        <v>0</v>
      </c>
      <c r="H792" s="203">
        <v>46302</v>
      </c>
      <c r="I792" s="191" t="s">
        <v>588</v>
      </c>
    </row>
  </sheetData>
  <mergeCells count="2">
    <mergeCell ref="A1:P2"/>
    <mergeCell ref="A3:P4"/>
  </mergeCells>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BE8A3-6CAA-484A-BEAF-D4D302728F60}">
  <dimension ref="A1:P39"/>
  <sheetViews>
    <sheetView showGridLines="0" workbookViewId="0">
      <pane ySplit="6" topLeftCell="A7" activePane="bottomLeft" state="frozenSplit"/>
      <selection pane="bottomLeft"/>
    </sheetView>
  </sheetViews>
  <sheetFormatPr defaultColWidth="14.6328125" defaultRowHeight="20" customHeight="1" x14ac:dyDescent="0.35"/>
  <cols>
    <col min="1" max="2" width="19.6328125" style="186" customWidth="1"/>
    <col min="3" max="3" width="19.6328125" style="187" customWidth="1"/>
    <col min="4" max="4" width="19.6328125" style="184" customWidth="1"/>
    <col min="5" max="6" width="19.6328125" style="186" customWidth="1"/>
    <col min="7" max="10" width="19.6328125" style="193" customWidth="1"/>
    <col min="11" max="13" width="19.6328125" style="186" customWidth="1"/>
    <col min="14" max="16384" width="14.6328125" style="184"/>
  </cols>
  <sheetData>
    <row r="1" spans="1:16" ht="20" customHeight="1" x14ac:dyDescent="0.35">
      <c r="A1" s="224" t="s">
        <v>575</v>
      </c>
      <c r="B1" s="224"/>
      <c r="C1" s="224"/>
      <c r="D1" s="224"/>
      <c r="E1" s="224"/>
      <c r="F1" s="224"/>
      <c r="G1" s="224"/>
      <c r="H1" s="224"/>
      <c r="I1" s="224"/>
      <c r="J1" s="224"/>
      <c r="K1" s="224"/>
      <c r="L1" s="224"/>
      <c r="M1" s="224"/>
      <c r="N1" s="224"/>
      <c r="O1" s="224"/>
      <c r="P1" s="224"/>
    </row>
    <row r="2" spans="1:16" ht="20" customHeight="1" x14ac:dyDescent="0.35">
      <c r="A2" s="224"/>
      <c r="B2" s="224"/>
      <c r="C2" s="224"/>
      <c r="D2" s="224"/>
      <c r="E2" s="224"/>
      <c r="F2" s="224"/>
      <c r="G2" s="224"/>
      <c r="H2" s="224"/>
      <c r="I2" s="224"/>
      <c r="J2" s="224"/>
      <c r="K2" s="224"/>
      <c r="L2" s="224"/>
      <c r="M2" s="224"/>
      <c r="N2" s="224"/>
      <c r="O2" s="224"/>
      <c r="P2" s="224"/>
    </row>
    <row r="3" spans="1:16" ht="20" customHeight="1" x14ac:dyDescent="0.35">
      <c r="A3" s="225" t="s">
        <v>556</v>
      </c>
      <c r="B3" s="225"/>
      <c r="C3" s="225"/>
      <c r="D3" s="225"/>
      <c r="E3" s="225"/>
      <c r="F3" s="225"/>
      <c r="G3" s="225"/>
      <c r="H3" s="225"/>
      <c r="I3" s="225"/>
      <c r="J3" s="225"/>
      <c r="K3" s="225"/>
      <c r="L3" s="225"/>
      <c r="M3" s="225"/>
      <c r="N3" s="225"/>
      <c r="O3" s="225"/>
      <c r="P3" s="225"/>
    </row>
    <row r="4" spans="1:16" ht="20" customHeight="1" x14ac:dyDescent="0.35">
      <c r="A4" s="225"/>
      <c r="B4" s="225"/>
      <c r="C4" s="225"/>
      <c r="D4" s="225"/>
      <c r="E4" s="225"/>
      <c r="F4" s="225"/>
      <c r="G4" s="225"/>
      <c r="H4" s="225"/>
      <c r="I4" s="225"/>
      <c r="J4" s="225"/>
      <c r="K4" s="225"/>
      <c r="L4" s="225"/>
      <c r="M4" s="225"/>
      <c r="N4" s="225"/>
      <c r="O4" s="225"/>
      <c r="P4" s="225"/>
    </row>
    <row r="6" spans="1:16" ht="20" customHeight="1" x14ac:dyDescent="0.35">
      <c r="A6" s="188" t="s">
        <v>71</v>
      </c>
      <c r="B6" s="188" t="s">
        <v>557</v>
      </c>
      <c r="C6" s="189" t="s">
        <v>72</v>
      </c>
      <c r="D6" s="194" t="s">
        <v>576</v>
      </c>
      <c r="E6" s="188" t="s">
        <v>73</v>
      </c>
      <c r="F6" s="188" t="s">
        <v>568</v>
      </c>
      <c r="G6" s="195" t="s">
        <v>74</v>
      </c>
      <c r="H6" s="195" t="s">
        <v>75</v>
      </c>
      <c r="I6" s="195" t="s">
        <v>76</v>
      </c>
      <c r="J6" s="195" t="s">
        <v>67</v>
      </c>
      <c r="K6" s="188" t="s">
        <v>577</v>
      </c>
      <c r="L6" s="188" t="s">
        <v>578</v>
      </c>
      <c r="M6" s="188" t="s">
        <v>579</v>
      </c>
    </row>
    <row r="7" spans="1:16" ht="20" customHeight="1" x14ac:dyDescent="0.35">
      <c r="A7" s="191" t="s">
        <v>756</v>
      </c>
      <c r="B7" s="191" t="s">
        <v>563</v>
      </c>
      <c r="C7" s="192">
        <v>45658</v>
      </c>
      <c r="D7" s="198">
        <v>1</v>
      </c>
      <c r="E7" s="191" t="s">
        <v>90</v>
      </c>
      <c r="F7" s="191"/>
      <c r="G7" s="199">
        <v>0</v>
      </c>
      <c r="H7" s="199">
        <v>0</v>
      </c>
      <c r="I7" s="199">
        <v>100000</v>
      </c>
      <c r="J7" s="199">
        <v>0</v>
      </c>
      <c r="K7" s="191"/>
      <c r="L7" s="191" t="s">
        <v>628</v>
      </c>
      <c r="M7" s="191"/>
    </row>
    <row r="8" spans="1:16" ht="20" customHeight="1" x14ac:dyDescent="0.35">
      <c r="A8" s="191" t="s">
        <v>757</v>
      </c>
      <c r="B8" s="191" t="s">
        <v>565</v>
      </c>
      <c r="C8" s="192">
        <v>45658</v>
      </c>
      <c r="D8" s="198">
        <v>1</v>
      </c>
      <c r="E8" s="191" t="s">
        <v>90</v>
      </c>
      <c r="F8" s="191"/>
      <c r="G8" s="199">
        <v>0</v>
      </c>
      <c r="H8" s="199">
        <v>0</v>
      </c>
      <c r="I8" s="199">
        <v>80000</v>
      </c>
      <c r="J8" s="199">
        <v>0</v>
      </c>
      <c r="K8" s="191"/>
      <c r="L8" s="191" t="s">
        <v>628</v>
      </c>
      <c r="M8" s="191"/>
    </row>
    <row r="9" spans="1:16" ht="20" customHeight="1" x14ac:dyDescent="0.35">
      <c r="A9" s="191" t="s">
        <v>758</v>
      </c>
      <c r="B9" s="191" t="s">
        <v>566</v>
      </c>
      <c r="C9" s="192">
        <v>45658</v>
      </c>
      <c r="D9" s="198">
        <v>1</v>
      </c>
      <c r="E9" s="191" t="s">
        <v>90</v>
      </c>
      <c r="F9" s="191"/>
      <c r="G9" s="199">
        <v>0</v>
      </c>
      <c r="H9" s="199">
        <v>0</v>
      </c>
      <c r="I9" s="199">
        <v>40000</v>
      </c>
      <c r="J9" s="199">
        <v>0</v>
      </c>
      <c r="K9" s="191"/>
      <c r="L9" s="191" t="s">
        <v>628</v>
      </c>
      <c r="M9" s="191"/>
    </row>
    <row r="10" spans="1:16" ht="20" customHeight="1" x14ac:dyDescent="0.35">
      <c r="A10" s="191" t="s">
        <v>759</v>
      </c>
      <c r="B10" s="191" t="s">
        <v>747</v>
      </c>
      <c r="C10" s="192">
        <v>45658</v>
      </c>
      <c r="D10" s="198">
        <v>1</v>
      </c>
      <c r="E10" s="191" t="s">
        <v>90</v>
      </c>
      <c r="F10" s="191"/>
      <c r="G10" s="199">
        <v>0</v>
      </c>
      <c r="H10" s="199">
        <v>0</v>
      </c>
      <c r="I10" s="199">
        <v>60000</v>
      </c>
      <c r="J10" s="199">
        <v>0</v>
      </c>
      <c r="K10" s="191"/>
      <c r="L10" s="191" t="s">
        <v>628</v>
      </c>
      <c r="M10" s="191"/>
    </row>
    <row r="11" spans="1:16" ht="20" customHeight="1" x14ac:dyDescent="0.35">
      <c r="A11" s="191" t="s">
        <v>760</v>
      </c>
      <c r="B11" s="191" t="s">
        <v>563</v>
      </c>
      <c r="C11" s="192">
        <v>45659</v>
      </c>
      <c r="D11" s="198">
        <v>1</v>
      </c>
      <c r="E11" s="191" t="s">
        <v>93</v>
      </c>
      <c r="F11" s="191" t="s">
        <v>749</v>
      </c>
      <c r="G11" s="199">
        <v>100</v>
      </c>
      <c r="H11" s="199">
        <v>100</v>
      </c>
      <c r="I11" s="199">
        <v>0</v>
      </c>
      <c r="J11" s="199">
        <v>10</v>
      </c>
      <c r="K11" s="191"/>
      <c r="L11" s="191" t="s">
        <v>629</v>
      </c>
      <c r="M11" s="191"/>
    </row>
    <row r="12" spans="1:16" ht="20" customHeight="1" x14ac:dyDescent="0.35">
      <c r="A12" s="191" t="s">
        <v>761</v>
      </c>
      <c r="B12" s="191" t="s">
        <v>563</v>
      </c>
      <c r="C12" s="192">
        <v>45659</v>
      </c>
      <c r="D12" s="198">
        <v>2</v>
      </c>
      <c r="E12" s="191" t="s">
        <v>93</v>
      </c>
      <c r="F12" s="191" t="s">
        <v>752</v>
      </c>
      <c r="G12" s="199">
        <v>50</v>
      </c>
      <c r="H12" s="199">
        <v>200</v>
      </c>
      <c r="I12" s="199">
        <v>0</v>
      </c>
      <c r="J12" s="199">
        <v>10</v>
      </c>
      <c r="K12" s="191"/>
      <c r="L12" s="191" t="s">
        <v>629</v>
      </c>
      <c r="M12" s="191"/>
    </row>
    <row r="13" spans="1:16" ht="20" customHeight="1" x14ac:dyDescent="0.35">
      <c r="A13" s="191" t="s">
        <v>762</v>
      </c>
      <c r="B13" s="191" t="s">
        <v>563</v>
      </c>
      <c r="C13" s="192">
        <v>45659</v>
      </c>
      <c r="D13" s="198">
        <v>3</v>
      </c>
      <c r="E13" s="191" t="s">
        <v>93</v>
      </c>
      <c r="F13" s="191" t="s">
        <v>754</v>
      </c>
      <c r="G13" s="199">
        <v>100</v>
      </c>
      <c r="H13" s="199">
        <v>80</v>
      </c>
      <c r="I13" s="199">
        <v>0</v>
      </c>
      <c r="J13" s="199">
        <v>8</v>
      </c>
      <c r="K13" s="191"/>
      <c r="L13" s="191" t="s">
        <v>629</v>
      </c>
      <c r="M13" s="191"/>
    </row>
    <row r="14" spans="1:16" ht="20" customHeight="1" x14ac:dyDescent="0.35">
      <c r="A14" s="191" t="s">
        <v>763</v>
      </c>
      <c r="B14" s="191" t="s">
        <v>565</v>
      </c>
      <c r="C14" s="192">
        <v>45659</v>
      </c>
      <c r="D14" s="198">
        <v>1</v>
      </c>
      <c r="E14" s="191" t="s">
        <v>93</v>
      </c>
      <c r="F14" s="191" t="s">
        <v>749</v>
      </c>
      <c r="G14" s="199">
        <v>80</v>
      </c>
      <c r="H14" s="199">
        <v>100</v>
      </c>
      <c r="I14" s="199">
        <v>0</v>
      </c>
      <c r="J14" s="199">
        <v>8</v>
      </c>
      <c r="K14" s="191"/>
      <c r="L14" s="191" t="s">
        <v>629</v>
      </c>
      <c r="M14" s="191"/>
    </row>
    <row r="15" spans="1:16" ht="20" customHeight="1" x14ac:dyDescent="0.35">
      <c r="A15" s="191" t="s">
        <v>764</v>
      </c>
      <c r="B15" s="191" t="s">
        <v>565</v>
      </c>
      <c r="C15" s="192">
        <v>45659</v>
      </c>
      <c r="D15" s="198">
        <v>2</v>
      </c>
      <c r="E15" s="191" t="s">
        <v>93</v>
      </c>
      <c r="F15" s="191" t="s">
        <v>752</v>
      </c>
      <c r="G15" s="199">
        <v>100</v>
      </c>
      <c r="H15" s="199">
        <v>200</v>
      </c>
      <c r="I15" s="199">
        <v>0</v>
      </c>
      <c r="J15" s="199">
        <v>20</v>
      </c>
      <c r="K15" s="191"/>
      <c r="L15" s="191" t="s">
        <v>629</v>
      </c>
      <c r="M15" s="191"/>
    </row>
    <row r="16" spans="1:16" ht="20" customHeight="1" x14ac:dyDescent="0.35">
      <c r="A16" s="191" t="s">
        <v>765</v>
      </c>
      <c r="B16" s="191" t="s">
        <v>747</v>
      </c>
      <c r="C16" s="192">
        <v>45659</v>
      </c>
      <c r="D16" s="198">
        <v>1</v>
      </c>
      <c r="E16" s="191" t="s">
        <v>93</v>
      </c>
      <c r="F16" s="191" t="s">
        <v>749</v>
      </c>
      <c r="G16" s="199">
        <v>40</v>
      </c>
      <c r="H16" s="199">
        <v>100</v>
      </c>
      <c r="I16" s="199">
        <v>0</v>
      </c>
      <c r="J16" s="199">
        <v>4</v>
      </c>
      <c r="K16" s="191"/>
      <c r="L16" s="191" t="s">
        <v>629</v>
      </c>
      <c r="M16" s="191"/>
    </row>
    <row r="17" spans="1:13" ht="20" customHeight="1" x14ac:dyDescent="0.35">
      <c r="A17" s="191" t="s">
        <v>766</v>
      </c>
      <c r="B17" s="191" t="s">
        <v>747</v>
      </c>
      <c r="C17" s="192">
        <v>45659</v>
      </c>
      <c r="D17" s="198">
        <v>2</v>
      </c>
      <c r="E17" s="191" t="s">
        <v>93</v>
      </c>
      <c r="F17" s="191" t="s">
        <v>754</v>
      </c>
      <c r="G17" s="199">
        <v>100</v>
      </c>
      <c r="H17" s="199">
        <v>80</v>
      </c>
      <c r="I17" s="199">
        <v>0</v>
      </c>
      <c r="J17" s="199">
        <v>8</v>
      </c>
      <c r="K17" s="191"/>
      <c r="L17" s="191" t="s">
        <v>629</v>
      </c>
      <c r="M17" s="191"/>
    </row>
    <row r="18" spans="1:13" ht="20" customHeight="1" x14ac:dyDescent="0.35">
      <c r="A18" s="191" t="s">
        <v>767</v>
      </c>
      <c r="B18" s="191" t="s">
        <v>565</v>
      </c>
      <c r="C18" s="192">
        <v>45691</v>
      </c>
      <c r="D18" s="198">
        <v>1</v>
      </c>
      <c r="E18" s="191" t="s">
        <v>93</v>
      </c>
      <c r="F18" s="191" t="s">
        <v>754</v>
      </c>
      <c r="G18" s="199">
        <v>50</v>
      </c>
      <c r="H18" s="199">
        <v>82</v>
      </c>
      <c r="I18" s="199">
        <v>0</v>
      </c>
      <c r="J18" s="199">
        <v>4</v>
      </c>
      <c r="K18" s="191"/>
      <c r="L18" s="191" t="s">
        <v>629</v>
      </c>
      <c r="M18" s="191"/>
    </row>
    <row r="19" spans="1:13" ht="20" customHeight="1" x14ac:dyDescent="0.35">
      <c r="A19" s="191" t="s">
        <v>768</v>
      </c>
      <c r="B19" s="191" t="s">
        <v>563</v>
      </c>
      <c r="C19" s="192">
        <v>45719</v>
      </c>
      <c r="D19" s="198">
        <v>1</v>
      </c>
      <c r="E19" s="191" t="s">
        <v>93</v>
      </c>
      <c r="F19" s="191" t="s">
        <v>749</v>
      </c>
      <c r="G19" s="199">
        <v>50</v>
      </c>
      <c r="H19" s="199">
        <v>98</v>
      </c>
      <c r="I19" s="199">
        <v>0</v>
      </c>
      <c r="J19" s="199">
        <v>5</v>
      </c>
      <c r="K19" s="191"/>
      <c r="L19" s="191" t="s">
        <v>629</v>
      </c>
      <c r="M19" s="191"/>
    </row>
    <row r="20" spans="1:13" ht="20" customHeight="1" x14ac:dyDescent="0.35">
      <c r="A20" s="191" t="s">
        <v>769</v>
      </c>
      <c r="B20" s="191" t="s">
        <v>565</v>
      </c>
      <c r="C20" s="192">
        <v>45719</v>
      </c>
      <c r="D20" s="198">
        <v>1</v>
      </c>
      <c r="E20" s="191" t="s">
        <v>90</v>
      </c>
      <c r="F20" s="191"/>
      <c r="G20" s="199">
        <v>0</v>
      </c>
      <c r="H20" s="199">
        <v>0</v>
      </c>
      <c r="I20" s="199">
        <v>5000</v>
      </c>
      <c r="J20" s="199">
        <v>0</v>
      </c>
      <c r="K20" s="191"/>
      <c r="L20" s="191" t="s">
        <v>629</v>
      </c>
      <c r="M20" s="191"/>
    </row>
    <row r="21" spans="1:13" ht="20" customHeight="1" x14ac:dyDescent="0.35">
      <c r="A21" s="191" t="s">
        <v>770</v>
      </c>
      <c r="B21" s="191" t="s">
        <v>566</v>
      </c>
      <c r="C21" s="192">
        <v>45748</v>
      </c>
      <c r="D21" s="198">
        <v>1</v>
      </c>
      <c r="E21" s="191" t="s">
        <v>90</v>
      </c>
      <c r="F21" s="191"/>
      <c r="G21" s="199">
        <v>0</v>
      </c>
      <c r="H21" s="199">
        <v>0</v>
      </c>
      <c r="I21" s="199">
        <v>2000</v>
      </c>
      <c r="J21" s="199">
        <v>0</v>
      </c>
      <c r="K21" s="191"/>
      <c r="L21" s="191" t="s">
        <v>629</v>
      </c>
      <c r="M21" s="191"/>
    </row>
    <row r="22" spans="1:13" ht="20" customHeight="1" x14ac:dyDescent="0.35">
      <c r="A22" s="191" t="s">
        <v>771</v>
      </c>
      <c r="B22" s="191" t="s">
        <v>563</v>
      </c>
      <c r="C22" s="192">
        <v>45778</v>
      </c>
      <c r="D22" s="198">
        <v>1</v>
      </c>
      <c r="E22" s="191" t="s">
        <v>90</v>
      </c>
      <c r="F22" s="191"/>
      <c r="G22" s="199">
        <v>0</v>
      </c>
      <c r="H22" s="199">
        <v>0</v>
      </c>
      <c r="I22" s="199">
        <v>10000</v>
      </c>
      <c r="J22" s="199">
        <v>0</v>
      </c>
      <c r="K22" s="191"/>
      <c r="L22" s="191" t="s">
        <v>629</v>
      </c>
      <c r="M22" s="191"/>
    </row>
    <row r="23" spans="1:13" ht="20" customHeight="1" x14ac:dyDescent="0.35">
      <c r="A23" s="191" t="s">
        <v>772</v>
      </c>
      <c r="B23" s="191" t="s">
        <v>747</v>
      </c>
      <c r="C23" s="192">
        <v>45810</v>
      </c>
      <c r="D23" s="198">
        <v>1</v>
      </c>
      <c r="E23" s="191" t="s">
        <v>90</v>
      </c>
      <c r="F23" s="191"/>
      <c r="G23" s="199">
        <v>0</v>
      </c>
      <c r="H23" s="199">
        <v>0</v>
      </c>
      <c r="I23" s="199">
        <v>3000</v>
      </c>
      <c r="J23" s="199">
        <v>0</v>
      </c>
      <c r="K23" s="191"/>
      <c r="L23" s="191" t="s">
        <v>629</v>
      </c>
      <c r="M23" s="191"/>
    </row>
    <row r="24" spans="1:13" ht="20" customHeight="1" x14ac:dyDescent="0.35">
      <c r="A24" s="191" t="s">
        <v>773</v>
      </c>
      <c r="B24" s="191" t="s">
        <v>563</v>
      </c>
      <c r="C24" s="192">
        <v>45839</v>
      </c>
      <c r="D24" s="198">
        <v>1</v>
      </c>
      <c r="E24" s="191" t="s">
        <v>114</v>
      </c>
      <c r="F24" s="191" t="s">
        <v>749</v>
      </c>
      <c r="G24" s="199">
        <v>80</v>
      </c>
      <c r="H24" s="199">
        <v>55</v>
      </c>
      <c r="I24" s="199">
        <v>0</v>
      </c>
      <c r="J24" s="199">
        <v>8</v>
      </c>
      <c r="K24" s="191"/>
      <c r="L24" s="191" t="s">
        <v>629</v>
      </c>
      <c r="M24" s="191"/>
    </row>
    <row r="25" spans="1:13" ht="20" customHeight="1" x14ac:dyDescent="0.35">
      <c r="A25" s="191" t="s">
        <v>774</v>
      </c>
      <c r="B25" s="191" t="s">
        <v>747</v>
      </c>
      <c r="C25" s="192">
        <v>45870</v>
      </c>
      <c r="D25" s="198">
        <v>1</v>
      </c>
      <c r="E25" s="191" t="s">
        <v>93</v>
      </c>
      <c r="F25" s="191" t="s">
        <v>752</v>
      </c>
      <c r="G25" s="199">
        <v>30</v>
      </c>
      <c r="H25" s="199">
        <v>178</v>
      </c>
      <c r="I25" s="199">
        <v>0</v>
      </c>
      <c r="J25" s="199">
        <v>3</v>
      </c>
      <c r="K25" s="191"/>
      <c r="L25" s="191" t="s">
        <v>629</v>
      </c>
      <c r="M25" s="191"/>
    </row>
    <row r="26" spans="1:13" ht="20" customHeight="1" x14ac:dyDescent="0.35">
      <c r="A26" s="191" t="s">
        <v>775</v>
      </c>
      <c r="B26" s="191" t="s">
        <v>563</v>
      </c>
      <c r="C26" s="192">
        <v>45887</v>
      </c>
      <c r="D26" s="198">
        <v>1</v>
      </c>
      <c r="E26" s="191" t="s">
        <v>581</v>
      </c>
      <c r="F26" s="191"/>
      <c r="G26" s="199">
        <v>0</v>
      </c>
      <c r="H26" s="199">
        <v>0</v>
      </c>
      <c r="I26" s="199">
        <v>5000</v>
      </c>
      <c r="J26" s="199">
        <v>0</v>
      </c>
      <c r="K26" s="191" t="s">
        <v>776</v>
      </c>
      <c r="L26" s="191" t="s">
        <v>629</v>
      </c>
      <c r="M26" s="191"/>
    </row>
    <row r="27" spans="1:13" ht="20" customHeight="1" x14ac:dyDescent="0.35">
      <c r="A27" s="191" t="s">
        <v>777</v>
      </c>
      <c r="B27" s="191" t="s">
        <v>565</v>
      </c>
      <c r="C27" s="192">
        <v>45887</v>
      </c>
      <c r="D27" s="198">
        <v>1</v>
      </c>
      <c r="E27" s="191" t="s">
        <v>580</v>
      </c>
      <c r="F27" s="191"/>
      <c r="G27" s="199">
        <v>0</v>
      </c>
      <c r="H27" s="199">
        <v>0</v>
      </c>
      <c r="I27" s="199">
        <v>5000</v>
      </c>
      <c r="J27" s="199">
        <v>0</v>
      </c>
      <c r="K27" s="191" t="s">
        <v>776</v>
      </c>
      <c r="L27" s="191" t="s">
        <v>629</v>
      </c>
      <c r="M27" s="191"/>
    </row>
    <row r="28" spans="1:13" ht="20" customHeight="1" x14ac:dyDescent="0.35">
      <c r="A28" s="191" t="s">
        <v>778</v>
      </c>
      <c r="B28" s="191" t="s">
        <v>565</v>
      </c>
      <c r="C28" s="192">
        <v>45901</v>
      </c>
      <c r="D28" s="198">
        <v>1</v>
      </c>
      <c r="E28" s="191" t="s">
        <v>114</v>
      </c>
      <c r="F28" s="191" t="s">
        <v>749</v>
      </c>
      <c r="G28" s="199">
        <v>60</v>
      </c>
      <c r="H28" s="199">
        <v>49</v>
      </c>
      <c r="I28" s="199">
        <v>0</v>
      </c>
      <c r="J28" s="199">
        <v>6</v>
      </c>
      <c r="K28" s="191"/>
      <c r="L28" s="191" t="s">
        <v>629</v>
      </c>
      <c r="M28" s="191"/>
    </row>
    <row r="29" spans="1:13" ht="20" customHeight="1" x14ac:dyDescent="0.35">
      <c r="A29" s="191" t="s">
        <v>779</v>
      </c>
      <c r="B29" s="191" t="s">
        <v>563</v>
      </c>
      <c r="C29" s="192">
        <v>45910</v>
      </c>
      <c r="D29" s="198">
        <v>1</v>
      </c>
      <c r="E29" s="191" t="s">
        <v>114</v>
      </c>
      <c r="F29" s="191" t="s">
        <v>752</v>
      </c>
      <c r="G29" s="199">
        <v>20</v>
      </c>
      <c r="H29" s="199">
        <v>185</v>
      </c>
      <c r="I29" s="199">
        <v>0</v>
      </c>
      <c r="J29" s="199">
        <v>5</v>
      </c>
      <c r="K29" s="191"/>
      <c r="L29" s="191" t="s">
        <v>629</v>
      </c>
      <c r="M29" s="191"/>
    </row>
    <row r="30" spans="1:13" ht="20" customHeight="1" x14ac:dyDescent="0.35">
      <c r="A30" s="191" t="s">
        <v>780</v>
      </c>
      <c r="B30" s="191" t="s">
        <v>563</v>
      </c>
      <c r="C30" s="192">
        <v>45915</v>
      </c>
      <c r="D30" s="198">
        <v>1</v>
      </c>
      <c r="E30" s="191" t="s">
        <v>122</v>
      </c>
      <c r="F30" s="191" t="s">
        <v>752</v>
      </c>
      <c r="G30" s="199">
        <v>0</v>
      </c>
      <c r="H30" s="199">
        <v>0</v>
      </c>
      <c r="I30" s="199">
        <v>150</v>
      </c>
      <c r="J30" s="199">
        <v>0</v>
      </c>
      <c r="K30" s="191"/>
      <c r="L30" s="191" t="s">
        <v>629</v>
      </c>
      <c r="M30" s="191" t="s">
        <v>781</v>
      </c>
    </row>
    <row r="31" spans="1:13" ht="20" customHeight="1" x14ac:dyDescent="0.35">
      <c r="A31" s="191" t="s">
        <v>782</v>
      </c>
      <c r="B31" s="191" t="s">
        <v>563</v>
      </c>
      <c r="C31" s="192">
        <v>45971</v>
      </c>
      <c r="D31" s="198">
        <v>1</v>
      </c>
      <c r="E31" s="191" t="s">
        <v>114</v>
      </c>
      <c r="F31" s="191" t="s">
        <v>754</v>
      </c>
      <c r="G31" s="199">
        <v>100</v>
      </c>
      <c r="H31" s="199">
        <v>77</v>
      </c>
      <c r="I31" s="199">
        <v>0</v>
      </c>
      <c r="J31" s="199">
        <v>8</v>
      </c>
      <c r="K31" s="191"/>
      <c r="L31" s="191" t="s">
        <v>629</v>
      </c>
      <c r="M31" s="191"/>
    </row>
    <row r="32" spans="1:13" ht="20" customHeight="1" x14ac:dyDescent="0.35">
      <c r="A32" s="191" t="s">
        <v>783</v>
      </c>
      <c r="B32" s="191" t="s">
        <v>563</v>
      </c>
      <c r="C32" s="192">
        <v>46006</v>
      </c>
      <c r="D32" s="198">
        <v>1</v>
      </c>
      <c r="E32" s="191" t="s">
        <v>122</v>
      </c>
      <c r="F32" s="191" t="s">
        <v>754</v>
      </c>
      <c r="G32" s="199">
        <v>0</v>
      </c>
      <c r="H32" s="199">
        <v>0</v>
      </c>
      <c r="I32" s="199">
        <v>120</v>
      </c>
      <c r="J32" s="199">
        <v>0</v>
      </c>
      <c r="K32" s="191"/>
      <c r="L32" s="191" t="s">
        <v>629</v>
      </c>
      <c r="M32" s="191" t="s">
        <v>784</v>
      </c>
    </row>
    <row r="33" spans="1:13" ht="20" customHeight="1" x14ac:dyDescent="0.35">
      <c r="A33" s="191" t="s">
        <v>785</v>
      </c>
      <c r="B33" s="191" t="s">
        <v>563</v>
      </c>
      <c r="C33" s="192">
        <v>46009</v>
      </c>
      <c r="D33" s="198">
        <v>1</v>
      </c>
      <c r="E33" s="191" t="s">
        <v>128</v>
      </c>
      <c r="F33" s="191"/>
      <c r="G33" s="199">
        <v>0</v>
      </c>
      <c r="H33" s="199">
        <v>0</v>
      </c>
      <c r="I33" s="199">
        <v>5000</v>
      </c>
      <c r="J33" s="199">
        <v>0</v>
      </c>
      <c r="K33" s="191"/>
      <c r="L33" s="191" t="s">
        <v>629</v>
      </c>
      <c r="M33" s="191"/>
    </row>
    <row r="34" spans="1:13" ht="20" customHeight="1" x14ac:dyDescent="0.35">
      <c r="A34" s="191" t="s">
        <v>786</v>
      </c>
      <c r="B34" s="191" t="s">
        <v>565</v>
      </c>
      <c r="C34" s="192">
        <v>46009</v>
      </c>
      <c r="D34" s="198">
        <v>1</v>
      </c>
      <c r="E34" s="191" t="s">
        <v>128</v>
      </c>
      <c r="F34" s="191"/>
      <c r="G34" s="199">
        <v>0</v>
      </c>
      <c r="H34" s="199">
        <v>0</v>
      </c>
      <c r="I34" s="199">
        <v>3000</v>
      </c>
      <c r="J34" s="199">
        <v>0</v>
      </c>
      <c r="K34" s="191"/>
      <c r="L34" s="191" t="s">
        <v>629</v>
      </c>
      <c r="M34" s="191"/>
    </row>
    <row r="35" spans="1:13" ht="20" customHeight="1" x14ac:dyDescent="0.35">
      <c r="A35" s="191" t="s">
        <v>787</v>
      </c>
      <c r="B35" s="191" t="s">
        <v>566</v>
      </c>
      <c r="C35" s="192">
        <v>46009</v>
      </c>
      <c r="D35" s="198">
        <v>1</v>
      </c>
      <c r="E35" s="191" t="s">
        <v>128</v>
      </c>
      <c r="F35" s="191"/>
      <c r="G35" s="199">
        <v>0</v>
      </c>
      <c r="H35" s="199">
        <v>0</v>
      </c>
      <c r="I35" s="199">
        <v>1000</v>
      </c>
      <c r="J35" s="199">
        <v>0</v>
      </c>
      <c r="K35" s="191"/>
      <c r="L35" s="191" t="s">
        <v>629</v>
      </c>
      <c r="M35" s="191"/>
    </row>
    <row r="36" spans="1:13" ht="20" customHeight="1" x14ac:dyDescent="0.35">
      <c r="A36" s="191" t="s">
        <v>788</v>
      </c>
      <c r="B36" s="191" t="s">
        <v>563</v>
      </c>
      <c r="C36" s="192">
        <v>46022</v>
      </c>
      <c r="D36" s="198">
        <v>1</v>
      </c>
      <c r="E36" s="191" t="s">
        <v>125</v>
      </c>
      <c r="F36" s="191"/>
      <c r="G36" s="199">
        <v>0</v>
      </c>
      <c r="H36" s="199">
        <v>0</v>
      </c>
      <c r="I36" s="199">
        <v>25</v>
      </c>
      <c r="J36" s="199">
        <v>0</v>
      </c>
      <c r="K36" s="191"/>
      <c r="L36" s="191" t="s">
        <v>629</v>
      </c>
      <c r="M36" s="191"/>
    </row>
    <row r="37" spans="1:13" ht="20" customHeight="1" x14ac:dyDescent="0.35">
      <c r="A37" s="191" t="s">
        <v>789</v>
      </c>
      <c r="B37" s="191" t="s">
        <v>565</v>
      </c>
      <c r="C37" s="192">
        <v>46022</v>
      </c>
      <c r="D37" s="198">
        <v>1</v>
      </c>
      <c r="E37" s="191" t="s">
        <v>125</v>
      </c>
      <c r="F37" s="191"/>
      <c r="G37" s="199">
        <v>0</v>
      </c>
      <c r="H37" s="199">
        <v>0</v>
      </c>
      <c r="I37" s="199">
        <v>20</v>
      </c>
      <c r="J37" s="199">
        <v>0</v>
      </c>
      <c r="K37" s="191"/>
      <c r="L37" s="191" t="s">
        <v>629</v>
      </c>
      <c r="M37" s="191"/>
    </row>
    <row r="38" spans="1:13" ht="20" customHeight="1" x14ac:dyDescent="0.35">
      <c r="A38" s="191" t="s">
        <v>790</v>
      </c>
      <c r="B38" s="191" t="s">
        <v>566</v>
      </c>
      <c r="C38" s="192">
        <v>46022</v>
      </c>
      <c r="D38" s="198">
        <v>1</v>
      </c>
      <c r="E38" s="191" t="s">
        <v>125</v>
      </c>
      <c r="F38" s="191"/>
      <c r="G38" s="199">
        <v>0</v>
      </c>
      <c r="H38" s="199">
        <v>0</v>
      </c>
      <c r="I38" s="199">
        <v>10</v>
      </c>
      <c r="J38" s="199">
        <v>0</v>
      </c>
      <c r="K38" s="191"/>
      <c r="L38" s="191" t="s">
        <v>629</v>
      </c>
      <c r="M38" s="191"/>
    </row>
    <row r="39" spans="1:13" ht="20" customHeight="1" x14ac:dyDescent="0.35">
      <c r="A39" s="191" t="s">
        <v>791</v>
      </c>
      <c r="B39" s="191" t="s">
        <v>747</v>
      </c>
      <c r="C39" s="192">
        <v>46022</v>
      </c>
      <c r="D39" s="198">
        <v>1</v>
      </c>
      <c r="E39" s="191" t="s">
        <v>125</v>
      </c>
      <c r="F39" s="191"/>
      <c r="G39" s="199">
        <v>0</v>
      </c>
      <c r="H39" s="199">
        <v>0</v>
      </c>
      <c r="I39" s="199">
        <v>15</v>
      </c>
      <c r="J39" s="199">
        <v>0</v>
      </c>
      <c r="K39" s="191"/>
      <c r="L39" s="191" t="s">
        <v>629</v>
      </c>
      <c r="M39" s="191"/>
    </row>
  </sheetData>
  <mergeCells count="2">
    <mergeCell ref="A1:P2"/>
    <mergeCell ref="A3:P4"/>
  </mergeCells>
  <dataValidations count="2">
    <dataValidation type="list" showInputMessage="1" showErrorMessage="1" sqref="B7:B39" xr:uid="{9A350949-65F0-41D1-9AF1-077666D28D27}">
      <formula1>AP_IndividualList</formula1>
    </dataValidation>
    <dataValidation type="list" allowBlank="1" showInputMessage="1" showErrorMessage="1" sqref="F7:F39" xr:uid="{B6E26689-425A-4537-A3E0-FDE2CDA8C740}">
      <formula1>AP_InstrumentList</formula1>
    </dataValidation>
  </dataValidations>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5CAB3-3F1E-4BBD-BE26-48C50200D2E2}">
  <dimension ref="A1:P9"/>
  <sheetViews>
    <sheetView showGridLines="0" workbookViewId="0">
      <pane ySplit="6" topLeftCell="A7" activePane="bottomLeft" state="frozenSplit"/>
      <selection pane="bottomLeft"/>
    </sheetView>
  </sheetViews>
  <sheetFormatPr defaultColWidth="14.6328125" defaultRowHeight="20" customHeight="1" x14ac:dyDescent="0.35"/>
  <cols>
    <col min="1" max="7" width="19.6328125" style="186" customWidth="1"/>
    <col min="8" max="16384" width="14.6328125" style="184"/>
  </cols>
  <sheetData>
    <row r="1" spans="1:16" ht="20" customHeight="1" x14ac:dyDescent="0.35">
      <c r="A1" s="224" t="s">
        <v>567</v>
      </c>
      <c r="B1" s="224"/>
      <c r="C1" s="224"/>
      <c r="D1" s="224"/>
      <c r="E1" s="224"/>
      <c r="F1" s="224"/>
      <c r="G1" s="224"/>
      <c r="H1" s="224"/>
      <c r="I1" s="224"/>
      <c r="J1" s="224"/>
      <c r="K1" s="224"/>
      <c r="L1" s="224"/>
      <c r="M1" s="224"/>
      <c r="N1" s="224"/>
      <c r="O1" s="224"/>
      <c r="P1" s="224"/>
    </row>
    <row r="2" spans="1:16" ht="20" customHeight="1" x14ac:dyDescent="0.35">
      <c r="A2" s="224"/>
      <c r="B2" s="224"/>
      <c r="C2" s="224"/>
      <c r="D2" s="224"/>
      <c r="E2" s="224"/>
      <c r="F2" s="224"/>
      <c r="G2" s="224"/>
      <c r="H2" s="224"/>
      <c r="I2" s="224"/>
      <c r="J2" s="224"/>
      <c r="K2" s="224"/>
      <c r="L2" s="224"/>
      <c r="M2" s="224"/>
      <c r="N2" s="224"/>
      <c r="O2" s="224"/>
      <c r="P2" s="224"/>
    </row>
    <row r="3" spans="1:16" ht="20" customHeight="1" x14ac:dyDescent="0.35">
      <c r="A3" s="225" t="s">
        <v>556</v>
      </c>
      <c r="B3" s="225"/>
      <c r="C3" s="225"/>
      <c r="D3" s="225"/>
      <c r="E3" s="225"/>
      <c r="F3" s="225"/>
      <c r="G3" s="225"/>
      <c r="H3" s="225"/>
      <c r="I3" s="225"/>
      <c r="J3" s="225"/>
      <c r="K3" s="225"/>
      <c r="L3" s="225"/>
      <c r="M3" s="225"/>
      <c r="N3" s="225"/>
      <c r="O3" s="225"/>
      <c r="P3" s="225"/>
    </row>
    <row r="4" spans="1:16" ht="20" customHeight="1" x14ac:dyDescent="0.35">
      <c r="A4" s="225"/>
      <c r="B4" s="225"/>
      <c r="C4" s="225"/>
      <c r="D4" s="225"/>
      <c r="E4" s="225"/>
      <c r="F4" s="225"/>
      <c r="G4" s="225"/>
      <c r="H4" s="225"/>
      <c r="I4" s="225"/>
      <c r="J4" s="225"/>
      <c r="K4" s="225"/>
      <c r="L4" s="225"/>
      <c r="M4" s="225"/>
      <c r="N4" s="225"/>
      <c r="O4" s="225"/>
      <c r="P4" s="225"/>
    </row>
    <row r="6" spans="1:16" ht="20" customHeight="1" x14ac:dyDescent="0.35">
      <c r="A6" s="188" t="s">
        <v>568</v>
      </c>
      <c r="B6" s="188" t="s">
        <v>569</v>
      </c>
      <c r="C6" s="188" t="s">
        <v>570</v>
      </c>
      <c r="D6" s="188" t="s">
        <v>571</v>
      </c>
      <c r="E6" s="188" t="s">
        <v>572</v>
      </c>
      <c r="F6" s="188" t="s">
        <v>573</v>
      </c>
      <c r="G6" s="188" t="s">
        <v>559</v>
      </c>
    </row>
    <row r="7" spans="1:16" ht="20" customHeight="1" x14ac:dyDescent="0.35">
      <c r="A7" s="191" t="s">
        <v>749</v>
      </c>
      <c r="B7" s="191" t="s">
        <v>750</v>
      </c>
      <c r="C7" s="191" t="s">
        <v>749</v>
      </c>
      <c r="D7" s="191" t="s">
        <v>751</v>
      </c>
      <c r="E7" s="191"/>
      <c r="F7" s="191" t="s">
        <v>158</v>
      </c>
      <c r="G7" s="191" t="s">
        <v>564</v>
      </c>
    </row>
    <row r="8" spans="1:16" ht="20" customHeight="1" x14ac:dyDescent="0.35">
      <c r="A8" s="191" t="s">
        <v>752</v>
      </c>
      <c r="B8" s="191" t="s">
        <v>753</v>
      </c>
      <c r="C8" s="191" t="s">
        <v>752</v>
      </c>
      <c r="D8" s="191" t="s">
        <v>751</v>
      </c>
      <c r="E8" s="191"/>
      <c r="F8" s="191" t="s">
        <v>158</v>
      </c>
      <c r="G8" s="191" t="s">
        <v>564</v>
      </c>
    </row>
    <row r="9" spans="1:16" ht="20" customHeight="1" x14ac:dyDescent="0.35">
      <c r="A9" s="191" t="s">
        <v>754</v>
      </c>
      <c r="B9" s="191" t="s">
        <v>755</v>
      </c>
      <c r="C9" s="191" t="s">
        <v>754</v>
      </c>
      <c r="D9" s="191" t="s">
        <v>751</v>
      </c>
      <c r="E9" s="191"/>
      <c r="F9" s="191" t="s">
        <v>158</v>
      </c>
      <c r="G9" s="191" t="s">
        <v>564</v>
      </c>
    </row>
  </sheetData>
  <mergeCells count="2">
    <mergeCell ref="A1:P2"/>
    <mergeCell ref="A3:P4"/>
  </mergeCells>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BAF8D-A462-4959-A59D-04A5E6766887}">
  <dimension ref="A1:P10"/>
  <sheetViews>
    <sheetView showGridLines="0" workbookViewId="0">
      <pane ySplit="6" topLeftCell="A7" activePane="bottomLeft" state="frozenSplit"/>
      <selection pane="bottomLeft"/>
    </sheetView>
  </sheetViews>
  <sheetFormatPr defaultColWidth="14.6328125" defaultRowHeight="20" customHeight="1" x14ac:dyDescent="0.35"/>
  <cols>
    <col min="1" max="3" width="19.6328125" style="186" customWidth="1"/>
    <col min="4" max="4" width="19.6328125" style="187" customWidth="1"/>
    <col min="5" max="6" width="19.6328125" style="186" customWidth="1"/>
    <col min="7" max="16384" width="14.6328125" style="184"/>
  </cols>
  <sheetData>
    <row r="1" spans="1:16" ht="20" customHeight="1" x14ac:dyDescent="0.35">
      <c r="A1" s="224" t="s">
        <v>555</v>
      </c>
      <c r="B1" s="224"/>
      <c r="C1" s="224"/>
      <c r="D1" s="224"/>
      <c r="E1" s="224"/>
      <c r="F1" s="224"/>
      <c r="G1" s="224"/>
      <c r="H1" s="224"/>
      <c r="I1" s="224"/>
      <c r="J1" s="224"/>
      <c r="K1" s="224"/>
      <c r="L1" s="224"/>
      <c r="M1" s="224"/>
      <c r="N1" s="224"/>
      <c r="O1" s="224"/>
      <c r="P1" s="224"/>
    </row>
    <row r="2" spans="1:16" ht="20" customHeight="1" x14ac:dyDescent="0.35">
      <c r="A2" s="224"/>
      <c r="B2" s="224"/>
      <c r="C2" s="224"/>
      <c r="D2" s="224"/>
      <c r="E2" s="224"/>
      <c r="F2" s="224"/>
      <c r="G2" s="224"/>
      <c r="H2" s="224"/>
      <c r="I2" s="224"/>
      <c r="J2" s="224"/>
      <c r="K2" s="224"/>
      <c r="L2" s="224"/>
      <c r="M2" s="224"/>
      <c r="N2" s="224"/>
      <c r="O2" s="224"/>
      <c r="P2" s="224"/>
    </row>
    <row r="3" spans="1:16" ht="20" customHeight="1" x14ac:dyDescent="0.35">
      <c r="A3" s="225" t="s">
        <v>556</v>
      </c>
      <c r="B3" s="225"/>
      <c r="C3" s="225"/>
      <c r="D3" s="225"/>
      <c r="E3" s="225"/>
      <c r="F3" s="225"/>
      <c r="G3" s="225"/>
      <c r="H3" s="225"/>
      <c r="I3" s="225"/>
      <c r="J3" s="225"/>
      <c r="K3" s="225"/>
      <c r="L3" s="225"/>
      <c r="M3" s="225"/>
      <c r="N3" s="225"/>
      <c r="O3" s="225"/>
      <c r="P3" s="225"/>
    </row>
    <row r="4" spans="1:16" ht="20" customHeight="1" x14ac:dyDescent="0.35">
      <c r="A4" s="225"/>
      <c r="B4" s="225"/>
      <c r="C4" s="225"/>
      <c r="D4" s="225"/>
      <c r="E4" s="225"/>
      <c r="F4" s="225"/>
      <c r="G4" s="225"/>
      <c r="H4" s="225"/>
      <c r="I4" s="225"/>
      <c r="J4" s="225"/>
      <c r="K4" s="225"/>
      <c r="L4" s="225"/>
      <c r="M4" s="225"/>
      <c r="N4" s="225"/>
      <c r="O4" s="225"/>
      <c r="P4" s="225"/>
    </row>
    <row r="6" spans="1:16" ht="20" customHeight="1" x14ac:dyDescent="0.35">
      <c r="A6" s="188" t="s">
        <v>557</v>
      </c>
      <c r="B6" s="188" t="s">
        <v>558</v>
      </c>
      <c r="C6" s="188" t="s">
        <v>559</v>
      </c>
      <c r="D6" s="189" t="s">
        <v>560</v>
      </c>
      <c r="E6" s="188" t="s">
        <v>561</v>
      </c>
      <c r="F6" s="188" t="s">
        <v>562</v>
      </c>
    </row>
    <row r="7" spans="1:16" ht="20" customHeight="1" x14ac:dyDescent="0.35">
      <c r="A7" s="191" t="s">
        <v>563</v>
      </c>
      <c r="B7" s="191" t="s">
        <v>1</v>
      </c>
      <c r="C7" s="191" t="s">
        <v>564</v>
      </c>
      <c r="D7" s="192">
        <v>45658</v>
      </c>
      <c r="E7" s="191" t="s">
        <v>230</v>
      </c>
      <c r="F7" s="191" t="s">
        <v>230</v>
      </c>
    </row>
    <row r="8" spans="1:16" ht="20" customHeight="1" x14ac:dyDescent="0.35">
      <c r="A8" s="191" t="s">
        <v>565</v>
      </c>
      <c r="B8" s="191" t="s">
        <v>100</v>
      </c>
      <c r="C8" s="191" t="s">
        <v>564</v>
      </c>
      <c r="D8" s="192">
        <v>45658</v>
      </c>
      <c r="E8" s="191" t="s">
        <v>230</v>
      </c>
      <c r="F8" s="191" t="s">
        <v>230</v>
      </c>
    </row>
    <row r="9" spans="1:16" ht="20" customHeight="1" x14ac:dyDescent="0.35">
      <c r="A9" s="191" t="s">
        <v>566</v>
      </c>
      <c r="B9" s="191" t="s">
        <v>746</v>
      </c>
      <c r="C9" s="191" t="s">
        <v>564</v>
      </c>
      <c r="D9" s="192">
        <v>45658</v>
      </c>
      <c r="E9" s="191" t="s">
        <v>230</v>
      </c>
      <c r="F9" s="191" t="s">
        <v>230</v>
      </c>
    </row>
    <row r="10" spans="1:16" ht="20" customHeight="1" x14ac:dyDescent="0.35">
      <c r="A10" s="191" t="s">
        <v>747</v>
      </c>
      <c r="B10" s="191" t="s">
        <v>748</v>
      </c>
      <c r="C10" s="191" t="s">
        <v>564</v>
      </c>
      <c r="D10" s="192">
        <v>45658</v>
      </c>
      <c r="E10" s="191" t="s">
        <v>230</v>
      </c>
      <c r="F10" s="191" t="s">
        <v>232</v>
      </c>
    </row>
  </sheetData>
  <mergeCells count="2">
    <mergeCell ref="A1:P2"/>
    <mergeCell ref="A3:P4"/>
  </mergeCells>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88759-FA9A-4008-BB97-FDB20B40C411}">
  <dimension ref="A1:AD367"/>
  <sheetViews>
    <sheetView showGridLines="0" workbookViewId="0">
      <selection sqref="A1:P2"/>
    </sheetView>
  </sheetViews>
  <sheetFormatPr defaultColWidth="14.6328125" defaultRowHeight="20" customHeight="1" x14ac:dyDescent="0.35"/>
  <cols>
    <col min="1" max="16384" width="14.6328125" style="184"/>
  </cols>
  <sheetData>
    <row r="1" spans="1:30" ht="20" customHeight="1" x14ac:dyDescent="0.35">
      <c r="A1" s="224" t="s">
        <v>553</v>
      </c>
      <c r="B1" s="224"/>
      <c r="C1" s="224"/>
      <c r="D1" s="224"/>
      <c r="E1" s="224"/>
      <c r="F1" s="224"/>
      <c r="G1" s="224"/>
      <c r="H1" s="224"/>
      <c r="I1" s="224"/>
      <c r="J1" s="224"/>
      <c r="K1" s="224"/>
      <c r="L1" s="224"/>
      <c r="M1" s="224"/>
      <c r="N1" s="224"/>
      <c r="O1" s="224"/>
      <c r="P1" s="224"/>
    </row>
    <row r="2" spans="1:30" ht="20" customHeight="1" x14ac:dyDescent="0.35">
      <c r="A2" s="224"/>
      <c r="B2" s="224"/>
      <c r="C2" s="224"/>
      <c r="D2" s="224"/>
      <c r="E2" s="224"/>
      <c r="F2" s="224"/>
      <c r="G2" s="224"/>
      <c r="H2" s="224"/>
      <c r="I2" s="224"/>
      <c r="J2" s="224"/>
      <c r="K2" s="224"/>
      <c r="L2" s="224"/>
      <c r="M2" s="224"/>
      <c r="N2" s="224"/>
      <c r="O2" s="224"/>
      <c r="P2" s="224"/>
      <c r="AA2" s="184" t="str" cm="1">
        <f t="array" ref="AA2:AA5">_xlfn.UNIQUE(_xlfn._xlws.FILTER(AP_Portfolios[PortfolioID],(AP_Portfolios[Active]="Yes")*(AP_Portfolios[PortfolioID]&lt;&gt;""),""))</f>
        <v>P1</v>
      </c>
      <c r="AB2" s="184" t="str" cm="1">
        <f t="array" ref="AB2:AB6">_xlfn.VSTACK(_xlfn.ANCHORARRAY(AA2),"__GROUP__")</f>
        <v>P1</v>
      </c>
      <c r="AC2" s="184" cm="1">
        <f t="array" ref="AC2:AC367">_xlfn._xlws.SORT(_xlfn.UNIQUE(_xlfn._xlws.FILTER(AP_Calendar[Date],ISNUMBER(AP_Calendar[Date]))))</f>
        <v>45657</v>
      </c>
      <c r="AD2" s="184" t="str" cm="1">
        <f t="array" ref="AD2:AD4">_xlfn.UNIQUE(_xlfn._xlws.FILTER(AP_Instruments[InstrumentID],AP_Instruments[InstrumentID]&lt;&gt;"",""))</f>
        <v>S_ALPHA</v>
      </c>
    </row>
    <row r="3" spans="1:30" ht="20" customHeight="1" x14ac:dyDescent="0.35">
      <c r="A3" s="225" t="s">
        <v>554</v>
      </c>
      <c r="B3" s="225"/>
      <c r="C3" s="225"/>
      <c r="D3" s="225"/>
      <c r="E3" s="225"/>
      <c r="F3" s="225"/>
      <c r="G3" s="225"/>
      <c r="H3" s="225"/>
      <c r="I3" s="225"/>
      <c r="J3" s="225"/>
      <c r="K3" s="225"/>
      <c r="L3" s="225"/>
      <c r="M3" s="225"/>
      <c r="N3" s="225"/>
      <c r="O3" s="225"/>
      <c r="P3" s="225"/>
      <c r="AA3" s="184" t="str">
        <v>P2</v>
      </c>
      <c r="AB3" s="184" t="str">
        <v>P2</v>
      </c>
      <c r="AC3" s="184">
        <v>45658</v>
      </c>
      <c r="AD3" s="184" t="str">
        <v>S_BETA</v>
      </c>
    </row>
    <row r="4" spans="1:30" ht="20" customHeight="1" x14ac:dyDescent="0.35">
      <c r="A4" s="225"/>
      <c r="B4" s="225"/>
      <c r="C4" s="225"/>
      <c r="D4" s="225"/>
      <c r="E4" s="225"/>
      <c r="F4" s="225"/>
      <c r="G4" s="225"/>
      <c r="H4" s="225"/>
      <c r="I4" s="225"/>
      <c r="J4" s="225"/>
      <c r="K4" s="225"/>
      <c r="L4" s="225"/>
      <c r="M4" s="225"/>
      <c r="N4" s="225"/>
      <c r="O4" s="225"/>
      <c r="P4" s="225"/>
      <c r="AA4" s="184" t="str">
        <v>P3</v>
      </c>
      <c r="AB4" s="184" t="str">
        <v>P3</v>
      </c>
      <c r="AC4" s="184">
        <v>45659</v>
      </c>
      <c r="AD4" s="184" t="str">
        <v>S_GAMMA</v>
      </c>
    </row>
    <row r="5" spans="1:30" ht="20" customHeight="1" x14ac:dyDescent="0.35">
      <c r="AA5" s="184" t="str">
        <v>P4</v>
      </c>
      <c r="AB5" s="184" t="str">
        <v>P4</v>
      </c>
      <c r="AC5" s="184">
        <v>45660</v>
      </c>
    </row>
    <row r="6" spans="1:30" ht="20" customHeight="1" x14ac:dyDescent="0.35">
      <c r="AB6" s="184" t="str">
        <v>__GROUP__</v>
      </c>
      <c r="AC6" s="184">
        <v>45661</v>
      </c>
    </row>
    <row r="7" spans="1:30" ht="20" customHeight="1" x14ac:dyDescent="0.35">
      <c r="AC7" s="184">
        <v>45662</v>
      </c>
    </row>
    <row r="8" spans="1:30" ht="20" customHeight="1" x14ac:dyDescent="0.35">
      <c r="AC8" s="184">
        <v>45663</v>
      </c>
    </row>
    <row r="9" spans="1:30" ht="20" customHeight="1" x14ac:dyDescent="0.35">
      <c r="A9" s="184" t="s">
        <v>557</v>
      </c>
      <c r="B9" s="184" t="s">
        <v>663</v>
      </c>
      <c r="C9" s="184" t="s">
        <v>664</v>
      </c>
      <c r="D9" s="184" t="s">
        <v>665</v>
      </c>
      <c r="E9" s="184" t="s">
        <v>666</v>
      </c>
      <c r="F9" s="184" t="s">
        <v>667</v>
      </c>
      <c r="G9" s="184" t="s">
        <v>668</v>
      </c>
      <c r="H9" s="184" t="s">
        <v>669</v>
      </c>
      <c r="I9" s="184" t="s">
        <v>670</v>
      </c>
      <c r="J9" s="184" t="s">
        <v>671</v>
      </c>
      <c r="K9" s="184" t="s">
        <v>672</v>
      </c>
      <c r="L9" s="184" t="s">
        <v>673</v>
      </c>
      <c r="AC9" s="184">
        <v>45664</v>
      </c>
    </row>
    <row r="10" spans="1:30" ht="20" customHeight="1" x14ac:dyDescent="0.35">
      <c r="A10" s="184" t="str" cm="1">
        <f t="array" ref="A10:L14">_xlfn.LET(_xlpm.ids,AP_PortfolioList,_xlfn.HSTACK(_xlpm.ids,_xlfn.MAP(_xlpm.ids,_xlfn.LAMBDA(_xlpm.pid,IF(_xlpm.pid="__GROUP__","Included accounts",_xlfn.XLOOKUP(_xlpm.pid,AP_Portfolios[PortfolioID],AP_Portfolios[PortfolioName],"Unknown ID")))),_xlfn.MAP(_xlpm.ids,_xlfn.LAMBDA(_xlpm.pid,AP_Opening(_xlpm.pid))),_xlfn.MAP(_xlpm.ids,_xlfn.LAMBDA(_xlpm.pid,AP_Closing(_xlpm.pid))),_xlfn.MAP(_xlpm.ids,_xlfn.LAMBDA(_xlpm.pid,AP_Funding(_xlpm.pid))),_xlfn.MAP(_xlpm.ids,_xlfn.LAMBDA(_xlpm.pid,IF(AP_PeriodStatus(_xlpm.pid)="OK",AP_Closing(_xlpm.pid)-AP_Opening(_xlpm.pid)-AP_Funding(_xlpm.pid),NA()))),_xlfn.MAP(_xlpm.ids,_xlfn.LAMBDA(_xlpm.pid,AP_TWR(_xlpm.pid))),_xlfn.MAP(_xlpm.ids,_xlfn.LAMBDA(_xlpm.pid,AP_TWRStatus(_xlpm.pid))),_xlfn.MAP(_xlpm.ids,_xlfn.LAMBDA(_xlpm.pid,AP_XIRR(_xlpm.pid))),_xlfn.MAP(_xlpm.ids,_xlfn.LAMBDA(_xlpm.pid,AP_XIRRStatus(_xlpm.pid))),_xlfn.MAP(_xlpm.ids,_xlfn.LAMBDA(_xlpm.pid,AP_EndCash(_xlpm.pid))),_xlfn.MAP(_xlpm.ids,_xlfn.LAMBDA(_xlpm.pid,AP_Concentration(_xlpm.pid)))))</f>
        <v>P1</v>
      </c>
      <c r="B10" s="184" t="str">
        <v>Model</v>
      </c>
      <c r="C10" s="184">
        <v>0</v>
      </c>
      <c r="D10" s="184">
        <v>108611</v>
      </c>
      <c r="E10" s="184">
        <v>110000</v>
      </c>
      <c r="F10" s="184">
        <v>-1389</v>
      </c>
      <c r="G10" s="184">
        <v>-1.2614676957470539E-2</v>
      </c>
      <c r="H10" s="184" t="str">
        <v>OK</v>
      </c>
      <c r="I10" s="184">
        <v>-1.284865507363175E-2</v>
      </c>
      <c r="J10" s="184" t="str">
        <v>OK</v>
      </c>
      <c r="K10" s="184">
        <v>93091</v>
      </c>
      <c r="L10" s="184">
        <v>9.6214932189188945E-2</v>
      </c>
      <c r="AC10" s="184">
        <v>45665</v>
      </c>
    </row>
    <row r="11" spans="1:30" ht="20" customHeight="1" x14ac:dyDescent="0.35">
      <c r="A11" s="184" t="str">
        <v>P2</v>
      </c>
      <c r="B11" s="184" t="str">
        <v>Practice</v>
      </c>
      <c r="C11" s="184">
        <v>0</v>
      </c>
      <c r="D11" s="184">
        <v>73682</v>
      </c>
      <c r="E11" s="184">
        <v>77000</v>
      </c>
      <c r="F11" s="184">
        <v>-3318</v>
      </c>
      <c r="G11" s="184">
        <v>-4.066158885479243E-2</v>
      </c>
      <c r="H11" s="184" t="str">
        <v>OK</v>
      </c>
      <c r="I11" s="184">
        <v>-4.0479178561012123E-2</v>
      </c>
      <c r="J11" s="184" t="str">
        <v>OK</v>
      </c>
      <c r="K11" s="184">
        <v>48142</v>
      </c>
      <c r="L11" s="184">
        <v>0.2293640237778562</v>
      </c>
      <c r="AC11" s="184">
        <v>45666</v>
      </c>
    </row>
    <row r="12" spans="1:30" ht="20" customHeight="1" x14ac:dyDescent="0.35">
      <c r="A12" s="184" t="str">
        <v>P3</v>
      </c>
      <c r="B12" s="184" t="str">
        <v>Cash reserve</v>
      </c>
      <c r="C12" s="184">
        <v>0</v>
      </c>
      <c r="D12" s="184">
        <v>40990</v>
      </c>
      <c r="E12" s="184">
        <v>41000</v>
      </c>
      <c r="F12" s="184">
        <v>-10</v>
      </c>
      <c r="G12" s="184">
        <v>-2.4390243902439046E-4</v>
      </c>
      <c r="H12" s="184" t="str">
        <v>OK</v>
      </c>
      <c r="I12" s="184">
        <v>-2.4180160356576623E-4</v>
      </c>
      <c r="J12" s="184" t="str">
        <v>OK</v>
      </c>
      <c r="K12" s="184">
        <v>40990</v>
      </c>
      <c r="L12" s="184">
        <v>0</v>
      </c>
      <c r="AC12" s="184">
        <v>45667</v>
      </c>
    </row>
    <row r="13" spans="1:30" ht="20" customHeight="1" x14ac:dyDescent="0.35">
      <c r="A13" s="184" t="str">
        <v>P4</v>
      </c>
      <c r="B13" s="184" t="str">
        <v>Balanced example</v>
      </c>
      <c r="C13" s="184">
        <v>0</v>
      </c>
      <c r="D13" s="184">
        <v>62490</v>
      </c>
      <c r="E13" s="184">
        <v>63000</v>
      </c>
      <c r="F13" s="184">
        <v>-510</v>
      </c>
      <c r="G13" s="184">
        <v>-7.743188380214816E-3</v>
      </c>
      <c r="H13" s="184" t="str">
        <v>OK</v>
      </c>
      <c r="I13" s="184">
        <v>-8.2816677314672613E-3</v>
      </c>
      <c r="J13" s="184" t="str">
        <v>OK</v>
      </c>
      <c r="K13" s="184">
        <v>45840</v>
      </c>
      <c r="L13" s="184">
        <v>0.12449991998719795</v>
      </c>
      <c r="AC13" s="184">
        <v>45668</v>
      </c>
    </row>
    <row r="14" spans="1:30" ht="20" customHeight="1" x14ac:dyDescent="0.35">
      <c r="A14" s="184" t="str">
        <v>__GROUP__</v>
      </c>
      <c r="B14" s="184" t="str">
        <v>Included accounts</v>
      </c>
      <c r="C14" s="184">
        <v>0</v>
      </c>
      <c r="D14" s="184">
        <v>223283</v>
      </c>
      <c r="E14" s="184">
        <v>228000</v>
      </c>
      <c r="F14" s="184">
        <v>-4717</v>
      </c>
      <c r="G14" s="184">
        <v>-2.0364804718780549E-2</v>
      </c>
      <c r="H14" s="184" t="str">
        <v>OK</v>
      </c>
      <c r="I14" s="184">
        <v>-2.0380163154344984E-2</v>
      </c>
      <c r="J14" s="184" t="str">
        <v>OK</v>
      </c>
      <c r="K14" s="184">
        <v>182223</v>
      </c>
      <c r="L14" s="184">
        <v>9.8395309987773363E-2</v>
      </c>
      <c r="AC14" s="184">
        <v>45669</v>
      </c>
    </row>
    <row r="15" spans="1:30" ht="20" customHeight="1" x14ac:dyDescent="0.35">
      <c r="AC15" s="184">
        <v>45670</v>
      </c>
    </row>
    <row r="16" spans="1:30" ht="20" customHeight="1" x14ac:dyDescent="0.35">
      <c r="AC16" s="184">
        <v>45671</v>
      </c>
    </row>
    <row r="17" spans="29:29" ht="20" customHeight="1" x14ac:dyDescent="0.35">
      <c r="AC17" s="184">
        <v>45672</v>
      </c>
    </row>
    <row r="18" spans="29:29" ht="20" customHeight="1" x14ac:dyDescent="0.35">
      <c r="AC18" s="184">
        <v>45673</v>
      </c>
    </row>
    <row r="19" spans="29:29" ht="20" customHeight="1" x14ac:dyDescent="0.35">
      <c r="AC19" s="184">
        <v>45674</v>
      </c>
    </row>
    <row r="20" spans="29:29" ht="20" customHeight="1" x14ac:dyDescent="0.35">
      <c r="AC20" s="184">
        <v>45675</v>
      </c>
    </row>
    <row r="21" spans="29:29" ht="20" customHeight="1" x14ac:dyDescent="0.35">
      <c r="AC21" s="184">
        <v>45676</v>
      </c>
    </row>
    <row r="22" spans="29:29" ht="20" customHeight="1" x14ac:dyDescent="0.35">
      <c r="AC22" s="184">
        <v>45677</v>
      </c>
    </row>
    <row r="23" spans="29:29" ht="20" customHeight="1" x14ac:dyDescent="0.35">
      <c r="AC23" s="184">
        <v>45678</v>
      </c>
    </row>
    <row r="24" spans="29:29" ht="20" customHeight="1" x14ac:dyDescent="0.35">
      <c r="AC24" s="184">
        <v>45679</v>
      </c>
    </row>
    <row r="25" spans="29:29" ht="20" customHeight="1" x14ac:dyDescent="0.35">
      <c r="AC25" s="184">
        <v>45680</v>
      </c>
    </row>
    <row r="26" spans="29:29" ht="20" customHeight="1" x14ac:dyDescent="0.35">
      <c r="AC26" s="184">
        <v>45681</v>
      </c>
    </row>
    <row r="27" spans="29:29" ht="20" customHeight="1" x14ac:dyDescent="0.35">
      <c r="AC27" s="184">
        <v>45682</v>
      </c>
    </row>
    <row r="28" spans="29:29" ht="20" customHeight="1" x14ac:dyDescent="0.35">
      <c r="AC28" s="184">
        <v>45683</v>
      </c>
    </row>
    <row r="29" spans="29:29" ht="20" customHeight="1" x14ac:dyDescent="0.35">
      <c r="AC29" s="184">
        <v>45684</v>
      </c>
    </row>
    <row r="30" spans="29:29" ht="20" customHeight="1" x14ac:dyDescent="0.35">
      <c r="AC30" s="184">
        <v>45685</v>
      </c>
    </row>
    <row r="31" spans="29:29" ht="20" customHeight="1" x14ac:dyDescent="0.35">
      <c r="AC31" s="184">
        <v>45686</v>
      </c>
    </row>
    <row r="32" spans="29:29" ht="20" customHeight="1" x14ac:dyDescent="0.35">
      <c r="AC32" s="184">
        <v>45687</v>
      </c>
    </row>
    <row r="33" spans="29:29" ht="20" customHeight="1" x14ac:dyDescent="0.35">
      <c r="AC33" s="184">
        <v>45688</v>
      </c>
    </row>
    <row r="34" spans="29:29" ht="20" customHeight="1" x14ac:dyDescent="0.35">
      <c r="AC34" s="184">
        <v>45689</v>
      </c>
    </row>
    <row r="35" spans="29:29" ht="20" customHeight="1" x14ac:dyDescent="0.35">
      <c r="AC35" s="184">
        <v>45690</v>
      </c>
    </row>
    <row r="36" spans="29:29" ht="20" customHeight="1" x14ac:dyDescent="0.35">
      <c r="AC36" s="184">
        <v>45691</v>
      </c>
    </row>
    <row r="37" spans="29:29" ht="20" customHeight="1" x14ac:dyDescent="0.35">
      <c r="AC37" s="184">
        <v>45692</v>
      </c>
    </row>
    <row r="38" spans="29:29" ht="20" customHeight="1" x14ac:dyDescent="0.35">
      <c r="AC38" s="184">
        <v>45693</v>
      </c>
    </row>
    <row r="39" spans="29:29" ht="20" customHeight="1" x14ac:dyDescent="0.35">
      <c r="AC39" s="184">
        <v>45694</v>
      </c>
    </row>
    <row r="40" spans="29:29" ht="20" customHeight="1" x14ac:dyDescent="0.35">
      <c r="AC40" s="184">
        <v>45695</v>
      </c>
    </row>
    <row r="41" spans="29:29" ht="20" customHeight="1" x14ac:dyDescent="0.35">
      <c r="AC41" s="184">
        <v>45696</v>
      </c>
    </row>
    <row r="42" spans="29:29" ht="20" customHeight="1" x14ac:dyDescent="0.35">
      <c r="AC42" s="184">
        <v>45697</v>
      </c>
    </row>
    <row r="43" spans="29:29" ht="20" customHeight="1" x14ac:dyDescent="0.35">
      <c r="AC43" s="184">
        <v>45698</v>
      </c>
    </row>
    <row r="44" spans="29:29" ht="20" customHeight="1" x14ac:dyDescent="0.35">
      <c r="AC44" s="184">
        <v>45699</v>
      </c>
    </row>
    <row r="45" spans="29:29" ht="20" customHeight="1" x14ac:dyDescent="0.35">
      <c r="AC45" s="184">
        <v>45700</v>
      </c>
    </row>
    <row r="46" spans="29:29" ht="20" customHeight="1" x14ac:dyDescent="0.35">
      <c r="AC46" s="184">
        <v>45701</v>
      </c>
    </row>
    <row r="47" spans="29:29" ht="20" customHeight="1" x14ac:dyDescent="0.35">
      <c r="AC47" s="184">
        <v>45702</v>
      </c>
    </row>
    <row r="48" spans="29:29" ht="20" customHeight="1" x14ac:dyDescent="0.35">
      <c r="AC48" s="184">
        <v>45703</v>
      </c>
    </row>
    <row r="49" spans="29:29" ht="20" customHeight="1" x14ac:dyDescent="0.35">
      <c r="AC49" s="184">
        <v>45704</v>
      </c>
    </row>
    <row r="50" spans="29:29" ht="20" customHeight="1" x14ac:dyDescent="0.35">
      <c r="AC50" s="184">
        <v>45705</v>
      </c>
    </row>
    <row r="51" spans="29:29" ht="20" customHeight="1" x14ac:dyDescent="0.35">
      <c r="AC51" s="184">
        <v>45706</v>
      </c>
    </row>
    <row r="52" spans="29:29" ht="20" customHeight="1" x14ac:dyDescent="0.35">
      <c r="AC52" s="184">
        <v>45707</v>
      </c>
    </row>
    <row r="53" spans="29:29" ht="20" customHeight="1" x14ac:dyDescent="0.35">
      <c r="AC53" s="184">
        <v>45708</v>
      </c>
    </row>
    <row r="54" spans="29:29" ht="20" customHeight="1" x14ac:dyDescent="0.35">
      <c r="AC54" s="184">
        <v>45709</v>
      </c>
    </row>
    <row r="55" spans="29:29" ht="20" customHeight="1" x14ac:dyDescent="0.35">
      <c r="AC55" s="184">
        <v>45710</v>
      </c>
    </row>
    <row r="56" spans="29:29" ht="20" customHeight="1" x14ac:dyDescent="0.35">
      <c r="AC56" s="184">
        <v>45711</v>
      </c>
    </row>
    <row r="57" spans="29:29" ht="20" customHeight="1" x14ac:dyDescent="0.35">
      <c r="AC57" s="184">
        <v>45712</v>
      </c>
    </row>
    <row r="58" spans="29:29" ht="20" customHeight="1" x14ac:dyDescent="0.35">
      <c r="AC58" s="184">
        <v>45713</v>
      </c>
    </row>
    <row r="59" spans="29:29" ht="20" customHeight="1" x14ac:dyDescent="0.35">
      <c r="AC59" s="184">
        <v>45714</v>
      </c>
    </row>
    <row r="60" spans="29:29" ht="20" customHeight="1" x14ac:dyDescent="0.35">
      <c r="AC60" s="184">
        <v>45715</v>
      </c>
    </row>
    <row r="61" spans="29:29" ht="20" customHeight="1" x14ac:dyDescent="0.35">
      <c r="AC61" s="184">
        <v>45716</v>
      </c>
    </row>
    <row r="62" spans="29:29" ht="20" customHeight="1" x14ac:dyDescent="0.35">
      <c r="AC62" s="184">
        <v>45717</v>
      </c>
    </row>
    <row r="63" spans="29:29" ht="20" customHeight="1" x14ac:dyDescent="0.35">
      <c r="AC63" s="184">
        <v>45718</v>
      </c>
    </row>
    <row r="64" spans="29:29" ht="20" customHeight="1" x14ac:dyDescent="0.35">
      <c r="AC64" s="184">
        <v>45719</v>
      </c>
    </row>
    <row r="65" spans="29:29" ht="20" customHeight="1" x14ac:dyDescent="0.35">
      <c r="AC65" s="184">
        <v>45720</v>
      </c>
    </row>
    <row r="66" spans="29:29" ht="20" customHeight="1" x14ac:dyDescent="0.35">
      <c r="AC66" s="184">
        <v>45721</v>
      </c>
    </row>
    <row r="67" spans="29:29" ht="20" customHeight="1" x14ac:dyDescent="0.35">
      <c r="AC67" s="184">
        <v>45722</v>
      </c>
    </row>
    <row r="68" spans="29:29" ht="20" customHeight="1" x14ac:dyDescent="0.35">
      <c r="AC68" s="184">
        <v>45723</v>
      </c>
    </row>
    <row r="69" spans="29:29" ht="20" customHeight="1" x14ac:dyDescent="0.35">
      <c r="AC69" s="184">
        <v>45724</v>
      </c>
    </row>
    <row r="70" spans="29:29" ht="20" customHeight="1" x14ac:dyDescent="0.35">
      <c r="AC70" s="184">
        <v>45725</v>
      </c>
    </row>
    <row r="71" spans="29:29" ht="20" customHeight="1" x14ac:dyDescent="0.35">
      <c r="AC71" s="184">
        <v>45726</v>
      </c>
    </row>
    <row r="72" spans="29:29" ht="20" customHeight="1" x14ac:dyDescent="0.35">
      <c r="AC72" s="184">
        <v>45727</v>
      </c>
    </row>
    <row r="73" spans="29:29" ht="20" customHeight="1" x14ac:dyDescent="0.35">
      <c r="AC73" s="184">
        <v>45728</v>
      </c>
    </row>
    <row r="74" spans="29:29" ht="20" customHeight="1" x14ac:dyDescent="0.35">
      <c r="AC74" s="184">
        <v>45729</v>
      </c>
    </row>
    <row r="75" spans="29:29" ht="20" customHeight="1" x14ac:dyDescent="0.35">
      <c r="AC75" s="184">
        <v>45730</v>
      </c>
    </row>
    <row r="76" spans="29:29" ht="20" customHeight="1" x14ac:dyDescent="0.35">
      <c r="AC76" s="184">
        <v>45731</v>
      </c>
    </row>
    <row r="77" spans="29:29" ht="20" customHeight="1" x14ac:dyDescent="0.35">
      <c r="AC77" s="184">
        <v>45732</v>
      </c>
    </row>
    <row r="78" spans="29:29" ht="20" customHeight="1" x14ac:dyDescent="0.35">
      <c r="AC78" s="184">
        <v>45733</v>
      </c>
    </row>
    <row r="79" spans="29:29" ht="20" customHeight="1" x14ac:dyDescent="0.35">
      <c r="AC79" s="184">
        <v>45734</v>
      </c>
    </row>
    <row r="80" spans="29:29" ht="20" customHeight="1" x14ac:dyDescent="0.35">
      <c r="AC80" s="184">
        <v>45735</v>
      </c>
    </row>
    <row r="81" spans="29:29" ht="20" customHeight="1" x14ac:dyDescent="0.35">
      <c r="AC81" s="184">
        <v>45736</v>
      </c>
    </row>
    <row r="82" spans="29:29" ht="20" customHeight="1" x14ac:dyDescent="0.35">
      <c r="AC82" s="184">
        <v>45737</v>
      </c>
    </row>
    <row r="83" spans="29:29" ht="20" customHeight="1" x14ac:dyDescent="0.35">
      <c r="AC83" s="184">
        <v>45738</v>
      </c>
    </row>
    <row r="84" spans="29:29" ht="20" customHeight="1" x14ac:dyDescent="0.35">
      <c r="AC84" s="184">
        <v>45739</v>
      </c>
    </row>
    <row r="85" spans="29:29" ht="20" customHeight="1" x14ac:dyDescent="0.35">
      <c r="AC85" s="184">
        <v>45740</v>
      </c>
    </row>
    <row r="86" spans="29:29" ht="20" customHeight="1" x14ac:dyDescent="0.35">
      <c r="AC86" s="184">
        <v>45741</v>
      </c>
    </row>
    <row r="87" spans="29:29" ht="20" customHeight="1" x14ac:dyDescent="0.35">
      <c r="AC87" s="184">
        <v>45742</v>
      </c>
    </row>
    <row r="88" spans="29:29" ht="20" customHeight="1" x14ac:dyDescent="0.35">
      <c r="AC88" s="184">
        <v>45743</v>
      </c>
    </row>
    <row r="89" spans="29:29" ht="20" customHeight="1" x14ac:dyDescent="0.35">
      <c r="AC89" s="184">
        <v>45744</v>
      </c>
    </row>
    <row r="90" spans="29:29" ht="20" customHeight="1" x14ac:dyDescent="0.35">
      <c r="AC90" s="184">
        <v>45745</v>
      </c>
    </row>
    <row r="91" spans="29:29" ht="20" customHeight="1" x14ac:dyDescent="0.35">
      <c r="AC91" s="184">
        <v>45746</v>
      </c>
    </row>
    <row r="92" spans="29:29" ht="20" customHeight="1" x14ac:dyDescent="0.35">
      <c r="AC92" s="184">
        <v>45747</v>
      </c>
    </row>
    <row r="93" spans="29:29" ht="20" customHeight="1" x14ac:dyDescent="0.35">
      <c r="AC93" s="184">
        <v>45748</v>
      </c>
    </row>
    <row r="94" spans="29:29" ht="20" customHeight="1" x14ac:dyDescent="0.35">
      <c r="AC94" s="184">
        <v>45749</v>
      </c>
    </row>
    <row r="95" spans="29:29" ht="20" customHeight="1" x14ac:dyDescent="0.35">
      <c r="AC95" s="184">
        <v>45750</v>
      </c>
    </row>
    <row r="96" spans="29:29" ht="20" customHeight="1" x14ac:dyDescent="0.35">
      <c r="AC96" s="184">
        <v>45751</v>
      </c>
    </row>
    <row r="97" spans="29:29" ht="20" customHeight="1" x14ac:dyDescent="0.35">
      <c r="AC97" s="184">
        <v>45752</v>
      </c>
    </row>
    <row r="98" spans="29:29" ht="20" customHeight="1" x14ac:dyDescent="0.35">
      <c r="AC98" s="184">
        <v>45753</v>
      </c>
    </row>
    <row r="99" spans="29:29" ht="20" customHeight="1" x14ac:dyDescent="0.35">
      <c r="AC99" s="184">
        <v>45754</v>
      </c>
    </row>
    <row r="100" spans="29:29" ht="20" customHeight="1" x14ac:dyDescent="0.35">
      <c r="AC100" s="184">
        <v>45755</v>
      </c>
    </row>
    <row r="101" spans="29:29" ht="20" customHeight="1" x14ac:dyDescent="0.35">
      <c r="AC101" s="184">
        <v>45756</v>
      </c>
    </row>
    <row r="102" spans="29:29" ht="20" customHeight="1" x14ac:dyDescent="0.35">
      <c r="AC102" s="184">
        <v>45757</v>
      </c>
    </row>
    <row r="103" spans="29:29" ht="20" customHeight="1" x14ac:dyDescent="0.35">
      <c r="AC103" s="184">
        <v>45758</v>
      </c>
    </row>
    <row r="104" spans="29:29" ht="20" customHeight="1" x14ac:dyDescent="0.35">
      <c r="AC104" s="184">
        <v>45759</v>
      </c>
    </row>
    <row r="105" spans="29:29" ht="20" customHeight="1" x14ac:dyDescent="0.35">
      <c r="AC105" s="184">
        <v>45760</v>
      </c>
    </row>
    <row r="106" spans="29:29" ht="20" customHeight="1" x14ac:dyDescent="0.35">
      <c r="AC106" s="184">
        <v>45761</v>
      </c>
    </row>
    <row r="107" spans="29:29" ht="20" customHeight="1" x14ac:dyDescent="0.35">
      <c r="AC107" s="184">
        <v>45762</v>
      </c>
    </row>
    <row r="108" spans="29:29" ht="20" customHeight="1" x14ac:dyDescent="0.35">
      <c r="AC108" s="184">
        <v>45763</v>
      </c>
    </row>
    <row r="109" spans="29:29" ht="20" customHeight="1" x14ac:dyDescent="0.35">
      <c r="AC109" s="184">
        <v>45764</v>
      </c>
    </row>
    <row r="110" spans="29:29" ht="20" customHeight="1" x14ac:dyDescent="0.35">
      <c r="AC110" s="184">
        <v>45765</v>
      </c>
    </row>
    <row r="111" spans="29:29" ht="20" customHeight="1" x14ac:dyDescent="0.35">
      <c r="AC111" s="184">
        <v>45766</v>
      </c>
    </row>
    <row r="112" spans="29:29" ht="20" customHeight="1" x14ac:dyDescent="0.35">
      <c r="AC112" s="184">
        <v>45767</v>
      </c>
    </row>
    <row r="113" spans="29:29" ht="20" customHeight="1" x14ac:dyDescent="0.35">
      <c r="AC113" s="184">
        <v>45768</v>
      </c>
    </row>
    <row r="114" spans="29:29" ht="20" customHeight="1" x14ac:dyDescent="0.35">
      <c r="AC114" s="184">
        <v>45769</v>
      </c>
    </row>
    <row r="115" spans="29:29" ht="20" customHeight="1" x14ac:dyDescent="0.35">
      <c r="AC115" s="184">
        <v>45770</v>
      </c>
    </row>
    <row r="116" spans="29:29" ht="20" customHeight="1" x14ac:dyDescent="0.35">
      <c r="AC116" s="184">
        <v>45771</v>
      </c>
    </row>
    <row r="117" spans="29:29" ht="20" customHeight="1" x14ac:dyDescent="0.35">
      <c r="AC117" s="184">
        <v>45772</v>
      </c>
    </row>
    <row r="118" spans="29:29" ht="20" customHeight="1" x14ac:dyDescent="0.35">
      <c r="AC118" s="184">
        <v>45773</v>
      </c>
    </row>
    <row r="119" spans="29:29" ht="20" customHeight="1" x14ac:dyDescent="0.35">
      <c r="AC119" s="184">
        <v>45774</v>
      </c>
    </row>
    <row r="120" spans="29:29" ht="20" customHeight="1" x14ac:dyDescent="0.35">
      <c r="AC120" s="184">
        <v>45775</v>
      </c>
    </row>
    <row r="121" spans="29:29" ht="20" customHeight="1" x14ac:dyDescent="0.35">
      <c r="AC121" s="184">
        <v>45776</v>
      </c>
    </row>
    <row r="122" spans="29:29" ht="20" customHeight="1" x14ac:dyDescent="0.35">
      <c r="AC122" s="184">
        <v>45777</v>
      </c>
    </row>
    <row r="123" spans="29:29" ht="20" customHeight="1" x14ac:dyDescent="0.35">
      <c r="AC123" s="184">
        <v>45778</v>
      </c>
    </row>
    <row r="124" spans="29:29" ht="20" customHeight="1" x14ac:dyDescent="0.35">
      <c r="AC124" s="184">
        <v>45779</v>
      </c>
    </row>
    <row r="125" spans="29:29" ht="20" customHeight="1" x14ac:dyDescent="0.35">
      <c r="AC125" s="184">
        <v>45780</v>
      </c>
    </row>
    <row r="126" spans="29:29" ht="20" customHeight="1" x14ac:dyDescent="0.35">
      <c r="AC126" s="184">
        <v>45781</v>
      </c>
    </row>
    <row r="127" spans="29:29" ht="20" customHeight="1" x14ac:dyDescent="0.35">
      <c r="AC127" s="184">
        <v>45782</v>
      </c>
    </row>
    <row r="128" spans="29:29" ht="20" customHeight="1" x14ac:dyDescent="0.35">
      <c r="AC128" s="184">
        <v>45783</v>
      </c>
    </row>
    <row r="129" spans="29:29" ht="20" customHeight="1" x14ac:dyDescent="0.35">
      <c r="AC129" s="184">
        <v>45784</v>
      </c>
    </row>
    <row r="130" spans="29:29" ht="20" customHeight="1" x14ac:dyDescent="0.35">
      <c r="AC130" s="184">
        <v>45785</v>
      </c>
    </row>
    <row r="131" spans="29:29" ht="20" customHeight="1" x14ac:dyDescent="0.35">
      <c r="AC131" s="184">
        <v>45786</v>
      </c>
    </row>
    <row r="132" spans="29:29" ht="20" customHeight="1" x14ac:dyDescent="0.35">
      <c r="AC132" s="184">
        <v>45787</v>
      </c>
    </row>
    <row r="133" spans="29:29" ht="20" customHeight="1" x14ac:dyDescent="0.35">
      <c r="AC133" s="184">
        <v>45788</v>
      </c>
    </row>
    <row r="134" spans="29:29" ht="20" customHeight="1" x14ac:dyDescent="0.35">
      <c r="AC134" s="184">
        <v>45789</v>
      </c>
    </row>
    <row r="135" spans="29:29" ht="20" customHeight="1" x14ac:dyDescent="0.35">
      <c r="AC135" s="184">
        <v>45790</v>
      </c>
    </row>
    <row r="136" spans="29:29" ht="20" customHeight="1" x14ac:dyDescent="0.35">
      <c r="AC136" s="184">
        <v>45791</v>
      </c>
    </row>
    <row r="137" spans="29:29" ht="20" customHeight="1" x14ac:dyDescent="0.35">
      <c r="AC137" s="184">
        <v>45792</v>
      </c>
    </row>
    <row r="138" spans="29:29" ht="20" customHeight="1" x14ac:dyDescent="0.35">
      <c r="AC138" s="184">
        <v>45793</v>
      </c>
    </row>
    <row r="139" spans="29:29" ht="20" customHeight="1" x14ac:dyDescent="0.35">
      <c r="AC139" s="184">
        <v>45794</v>
      </c>
    </row>
    <row r="140" spans="29:29" ht="20" customHeight="1" x14ac:dyDescent="0.35">
      <c r="AC140" s="184">
        <v>45795</v>
      </c>
    </row>
    <row r="141" spans="29:29" ht="20" customHeight="1" x14ac:dyDescent="0.35">
      <c r="AC141" s="184">
        <v>45796</v>
      </c>
    </row>
    <row r="142" spans="29:29" ht="20" customHeight="1" x14ac:dyDescent="0.35">
      <c r="AC142" s="184">
        <v>45797</v>
      </c>
    </row>
    <row r="143" spans="29:29" ht="20" customHeight="1" x14ac:dyDescent="0.35">
      <c r="AC143" s="184">
        <v>45798</v>
      </c>
    </row>
    <row r="144" spans="29:29" ht="20" customHeight="1" x14ac:dyDescent="0.35">
      <c r="AC144" s="184">
        <v>45799</v>
      </c>
    </row>
    <row r="145" spans="29:29" ht="20" customHeight="1" x14ac:dyDescent="0.35">
      <c r="AC145" s="184">
        <v>45800</v>
      </c>
    </row>
    <row r="146" spans="29:29" ht="20" customHeight="1" x14ac:dyDescent="0.35">
      <c r="AC146" s="184">
        <v>45801</v>
      </c>
    </row>
    <row r="147" spans="29:29" ht="20" customHeight="1" x14ac:dyDescent="0.35">
      <c r="AC147" s="184">
        <v>45802</v>
      </c>
    </row>
    <row r="148" spans="29:29" ht="20" customHeight="1" x14ac:dyDescent="0.35">
      <c r="AC148" s="184">
        <v>45803</v>
      </c>
    </row>
    <row r="149" spans="29:29" ht="20" customHeight="1" x14ac:dyDescent="0.35">
      <c r="AC149" s="184">
        <v>45804</v>
      </c>
    </row>
    <row r="150" spans="29:29" ht="20" customHeight="1" x14ac:dyDescent="0.35">
      <c r="AC150" s="184">
        <v>45805</v>
      </c>
    </row>
    <row r="151" spans="29:29" ht="20" customHeight="1" x14ac:dyDescent="0.35">
      <c r="AC151" s="184">
        <v>45806</v>
      </c>
    </row>
    <row r="152" spans="29:29" ht="20" customHeight="1" x14ac:dyDescent="0.35">
      <c r="AC152" s="184">
        <v>45807</v>
      </c>
    </row>
    <row r="153" spans="29:29" ht="20" customHeight="1" x14ac:dyDescent="0.35">
      <c r="AC153" s="184">
        <v>45808</v>
      </c>
    </row>
    <row r="154" spans="29:29" ht="20" customHeight="1" x14ac:dyDescent="0.35">
      <c r="AC154" s="184">
        <v>45809</v>
      </c>
    </row>
    <row r="155" spans="29:29" ht="20" customHeight="1" x14ac:dyDescent="0.35">
      <c r="AC155" s="184">
        <v>45810</v>
      </c>
    </row>
    <row r="156" spans="29:29" ht="20" customHeight="1" x14ac:dyDescent="0.35">
      <c r="AC156" s="184">
        <v>45811</v>
      </c>
    </row>
    <row r="157" spans="29:29" ht="20" customHeight="1" x14ac:dyDescent="0.35">
      <c r="AC157" s="184">
        <v>45812</v>
      </c>
    </row>
    <row r="158" spans="29:29" ht="20" customHeight="1" x14ac:dyDescent="0.35">
      <c r="AC158" s="184">
        <v>45813</v>
      </c>
    </row>
    <row r="159" spans="29:29" ht="20" customHeight="1" x14ac:dyDescent="0.35">
      <c r="AC159" s="184">
        <v>45814</v>
      </c>
    </row>
    <row r="160" spans="29:29" ht="20" customHeight="1" x14ac:dyDescent="0.35">
      <c r="AC160" s="184">
        <v>45815</v>
      </c>
    </row>
    <row r="161" spans="29:29" ht="20" customHeight="1" x14ac:dyDescent="0.35">
      <c r="AC161" s="184">
        <v>45816</v>
      </c>
    </row>
    <row r="162" spans="29:29" ht="20" customHeight="1" x14ac:dyDescent="0.35">
      <c r="AC162" s="184">
        <v>45817</v>
      </c>
    </row>
    <row r="163" spans="29:29" ht="20" customHeight="1" x14ac:dyDescent="0.35">
      <c r="AC163" s="184">
        <v>45818</v>
      </c>
    </row>
    <row r="164" spans="29:29" ht="20" customHeight="1" x14ac:dyDescent="0.35">
      <c r="AC164" s="184">
        <v>45819</v>
      </c>
    </row>
    <row r="165" spans="29:29" ht="20" customHeight="1" x14ac:dyDescent="0.35">
      <c r="AC165" s="184">
        <v>45820</v>
      </c>
    </row>
    <row r="166" spans="29:29" ht="20" customHeight="1" x14ac:dyDescent="0.35">
      <c r="AC166" s="184">
        <v>45821</v>
      </c>
    </row>
    <row r="167" spans="29:29" ht="20" customHeight="1" x14ac:dyDescent="0.35">
      <c r="AC167" s="184">
        <v>45822</v>
      </c>
    </row>
    <row r="168" spans="29:29" ht="20" customHeight="1" x14ac:dyDescent="0.35">
      <c r="AC168" s="184">
        <v>45823</v>
      </c>
    </row>
    <row r="169" spans="29:29" ht="20" customHeight="1" x14ac:dyDescent="0.35">
      <c r="AC169" s="184">
        <v>45824</v>
      </c>
    </row>
    <row r="170" spans="29:29" ht="20" customHeight="1" x14ac:dyDescent="0.35">
      <c r="AC170" s="184">
        <v>45825</v>
      </c>
    </row>
    <row r="171" spans="29:29" ht="20" customHeight="1" x14ac:dyDescent="0.35">
      <c r="AC171" s="184">
        <v>45826</v>
      </c>
    </row>
    <row r="172" spans="29:29" ht="20" customHeight="1" x14ac:dyDescent="0.35">
      <c r="AC172" s="184">
        <v>45827</v>
      </c>
    </row>
    <row r="173" spans="29:29" ht="20" customHeight="1" x14ac:dyDescent="0.35">
      <c r="AC173" s="184">
        <v>45828</v>
      </c>
    </row>
    <row r="174" spans="29:29" ht="20" customHeight="1" x14ac:dyDescent="0.35">
      <c r="AC174" s="184">
        <v>45829</v>
      </c>
    </row>
    <row r="175" spans="29:29" ht="20" customHeight="1" x14ac:dyDescent="0.35">
      <c r="AC175" s="184">
        <v>45830</v>
      </c>
    </row>
    <row r="176" spans="29:29" ht="20" customHeight="1" x14ac:dyDescent="0.35">
      <c r="AC176" s="184">
        <v>45831</v>
      </c>
    </row>
    <row r="177" spans="29:29" ht="20" customHeight="1" x14ac:dyDescent="0.35">
      <c r="AC177" s="184">
        <v>45832</v>
      </c>
    </row>
    <row r="178" spans="29:29" ht="20" customHeight="1" x14ac:dyDescent="0.35">
      <c r="AC178" s="184">
        <v>45833</v>
      </c>
    </row>
    <row r="179" spans="29:29" ht="20" customHeight="1" x14ac:dyDescent="0.35">
      <c r="AC179" s="184">
        <v>45834</v>
      </c>
    </row>
    <row r="180" spans="29:29" ht="20" customHeight="1" x14ac:dyDescent="0.35">
      <c r="AC180" s="184">
        <v>45835</v>
      </c>
    </row>
    <row r="181" spans="29:29" ht="20" customHeight="1" x14ac:dyDescent="0.35">
      <c r="AC181" s="184">
        <v>45836</v>
      </c>
    </row>
    <row r="182" spans="29:29" ht="20" customHeight="1" x14ac:dyDescent="0.35">
      <c r="AC182" s="184">
        <v>45837</v>
      </c>
    </row>
    <row r="183" spans="29:29" ht="20" customHeight="1" x14ac:dyDescent="0.35">
      <c r="AC183" s="184">
        <v>45838</v>
      </c>
    </row>
    <row r="184" spans="29:29" ht="20" customHeight="1" x14ac:dyDescent="0.35">
      <c r="AC184" s="184">
        <v>45839</v>
      </c>
    </row>
    <row r="185" spans="29:29" ht="20" customHeight="1" x14ac:dyDescent="0.35">
      <c r="AC185" s="184">
        <v>45840</v>
      </c>
    </row>
    <row r="186" spans="29:29" ht="20" customHeight="1" x14ac:dyDescent="0.35">
      <c r="AC186" s="184">
        <v>45841</v>
      </c>
    </row>
    <row r="187" spans="29:29" ht="20" customHeight="1" x14ac:dyDescent="0.35">
      <c r="AC187" s="184">
        <v>45842</v>
      </c>
    </row>
    <row r="188" spans="29:29" ht="20" customHeight="1" x14ac:dyDescent="0.35">
      <c r="AC188" s="184">
        <v>45843</v>
      </c>
    </row>
    <row r="189" spans="29:29" ht="20" customHeight="1" x14ac:dyDescent="0.35">
      <c r="AC189" s="184">
        <v>45844</v>
      </c>
    </row>
    <row r="190" spans="29:29" ht="20" customHeight="1" x14ac:dyDescent="0.35">
      <c r="AC190" s="184">
        <v>45845</v>
      </c>
    </row>
    <row r="191" spans="29:29" ht="20" customHeight="1" x14ac:dyDescent="0.35">
      <c r="AC191" s="184">
        <v>45846</v>
      </c>
    </row>
    <row r="192" spans="29:29" ht="20" customHeight="1" x14ac:dyDescent="0.35">
      <c r="AC192" s="184">
        <v>45847</v>
      </c>
    </row>
    <row r="193" spans="29:29" ht="20" customHeight="1" x14ac:dyDescent="0.35">
      <c r="AC193" s="184">
        <v>45848</v>
      </c>
    </row>
    <row r="194" spans="29:29" ht="20" customHeight="1" x14ac:dyDescent="0.35">
      <c r="AC194" s="184">
        <v>45849</v>
      </c>
    </row>
    <row r="195" spans="29:29" ht="20" customHeight="1" x14ac:dyDescent="0.35">
      <c r="AC195" s="184">
        <v>45850</v>
      </c>
    </row>
    <row r="196" spans="29:29" ht="20" customHeight="1" x14ac:dyDescent="0.35">
      <c r="AC196" s="184">
        <v>45851</v>
      </c>
    </row>
    <row r="197" spans="29:29" ht="20" customHeight="1" x14ac:dyDescent="0.35">
      <c r="AC197" s="184">
        <v>45852</v>
      </c>
    </row>
    <row r="198" spans="29:29" ht="20" customHeight="1" x14ac:dyDescent="0.35">
      <c r="AC198" s="184">
        <v>45853</v>
      </c>
    </row>
    <row r="199" spans="29:29" ht="20" customHeight="1" x14ac:dyDescent="0.35">
      <c r="AC199" s="184">
        <v>45854</v>
      </c>
    </row>
    <row r="200" spans="29:29" ht="20" customHeight="1" x14ac:dyDescent="0.35">
      <c r="AC200" s="184">
        <v>45855</v>
      </c>
    </row>
    <row r="201" spans="29:29" ht="20" customHeight="1" x14ac:dyDescent="0.35">
      <c r="AC201" s="184">
        <v>45856</v>
      </c>
    </row>
    <row r="202" spans="29:29" ht="20" customHeight="1" x14ac:dyDescent="0.35">
      <c r="AC202" s="184">
        <v>45857</v>
      </c>
    </row>
    <row r="203" spans="29:29" ht="20" customHeight="1" x14ac:dyDescent="0.35">
      <c r="AC203" s="184">
        <v>45858</v>
      </c>
    </row>
    <row r="204" spans="29:29" ht="20" customHeight="1" x14ac:dyDescent="0.35">
      <c r="AC204" s="184">
        <v>45859</v>
      </c>
    </row>
    <row r="205" spans="29:29" ht="20" customHeight="1" x14ac:dyDescent="0.35">
      <c r="AC205" s="184">
        <v>45860</v>
      </c>
    </row>
    <row r="206" spans="29:29" ht="20" customHeight="1" x14ac:dyDescent="0.35">
      <c r="AC206" s="184">
        <v>45861</v>
      </c>
    </row>
    <row r="207" spans="29:29" ht="20" customHeight="1" x14ac:dyDescent="0.35">
      <c r="AC207" s="184">
        <v>45862</v>
      </c>
    </row>
    <row r="208" spans="29:29" ht="20" customHeight="1" x14ac:dyDescent="0.35">
      <c r="AC208" s="184">
        <v>45863</v>
      </c>
    </row>
    <row r="209" spans="29:29" ht="20" customHeight="1" x14ac:dyDescent="0.35">
      <c r="AC209" s="184">
        <v>45864</v>
      </c>
    </row>
    <row r="210" spans="29:29" ht="20" customHeight="1" x14ac:dyDescent="0.35">
      <c r="AC210" s="184">
        <v>45865</v>
      </c>
    </row>
    <row r="211" spans="29:29" ht="20" customHeight="1" x14ac:dyDescent="0.35">
      <c r="AC211" s="184">
        <v>45866</v>
      </c>
    </row>
    <row r="212" spans="29:29" ht="20" customHeight="1" x14ac:dyDescent="0.35">
      <c r="AC212" s="184">
        <v>45867</v>
      </c>
    </row>
    <row r="213" spans="29:29" ht="20" customHeight="1" x14ac:dyDescent="0.35">
      <c r="AC213" s="184">
        <v>45868</v>
      </c>
    </row>
    <row r="214" spans="29:29" ht="20" customHeight="1" x14ac:dyDescent="0.35">
      <c r="AC214" s="184">
        <v>45869</v>
      </c>
    </row>
    <row r="215" spans="29:29" ht="20" customHeight="1" x14ac:dyDescent="0.35">
      <c r="AC215" s="184">
        <v>45870</v>
      </c>
    </row>
    <row r="216" spans="29:29" ht="20" customHeight="1" x14ac:dyDescent="0.35">
      <c r="AC216" s="184">
        <v>45871</v>
      </c>
    </row>
    <row r="217" spans="29:29" ht="20" customHeight="1" x14ac:dyDescent="0.35">
      <c r="AC217" s="184">
        <v>45872</v>
      </c>
    </row>
    <row r="218" spans="29:29" ht="20" customHeight="1" x14ac:dyDescent="0.35">
      <c r="AC218" s="184">
        <v>45873</v>
      </c>
    </row>
    <row r="219" spans="29:29" ht="20" customHeight="1" x14ac:dyDescent="0.35">
      <c r="AC219" s="184">
        <v>45874</v>
      </c>
    </row>
    <row r="220" spans="29:29" ht="20" customHeight="1" x14ac:dyDescent="0.35">
      <c r="AC220" s="184">
        <v>45875</v>
      </c>
    </row>
    <row r="221" spans="29:29" ht="20" customHeight="1" x14ac:dyDescent="0.35">
      <c r="AC221" s="184">
        <v>45876</v>
      </c>
    </row>
    <row r="222" spans="29:29" ht="20" customHeight="1" x14ac:dyDescent="0.35">
      <c r="AC222" s="184">
        <v>45877</v>
      </c>
    </row>
    <row r="223" spans="29:29" ht="20" customHeight="1" x14ac:dyDescent="0.35">
      <c r="AC223" s="184">
        <v>45878</v>
      </c>
    </row>
    <row r="224" spans="29:29" ht="20" customHeight="1" x14ac:dyDescent="0.35">
      <c r="AC224" s="184">
        <v>45879</v>
      </c>
    </row>
    <row r="225" spans="29:29" ht="20" customHeight="1" x14ac:dyDescent="0.35">
      <c r="AC225" s="184">
        <v>45880</v>
      </c>
    </row>
    <row r="226" spans="29:29" ht="20" customHeight="1" x14ac:dyDescent="0.35">
      <c r="AC226" s="184">
        <v>45881</v>
      </c>
    </row>
    <row r="227" spans="29:29" ht="20" customHeight="1" x14ac:dyDescent="0.35">
      <c r="AC227" s="184">
        <v>45882</v>
      </c>
    </row>
    <row r="228" spans="29:29" ht="20" customHeight="1" x14ac:dyDescent="0.35">
      <c r="AC228" s="184">
        <v>45883</v>
      </c>
    </row>
    <row r="229" spans="29:29" ht="20" customHeight="1" x14ac:dyDescent="0.35">
      <c r="AC229" s="184">
        <v>45884</v>
      </c>
    </row>
    <row r="230" spans="29:29" ht="20" customHeight="1" x14ac:dyDescent="0.35">
      <c r="AC230" s="184">
        <v>45885</v>
      </c>
    </row>
    <row r="231" spans="29:29" ht="20" customHeight="1" x14ac:dyDescent="0.35">
      <c r="AC231" s="184">
        <v>45886</v>
      </c>
    </row>
    <row r="232" spans="29:29" ht="20" customHeight="1" x14ac:dyDescent="0.35">
      <c r="AC232" s="184">
        <v>45887</v>
      </c>
    </row>
    <row r="233" spans="29:29" ht="20" customHeight="1" x14ac:dyDescent="0.35">
      <c r="AC233" s="184">
        <v>45888</v>
      </c>
    </row>
    <row r="234" spans="29:29" ht="20" customHeight="1" x14ac:dyDescent="0.35">
      <c r="AC234" s="184">
        <v>45889</v>
      </c>
    </row>
    <row r="235" spans="29:29" ht="20" customHeight="1" x14ac:dyDescent="0.35">
      <c r="AC235" s="184">
        <v>45890</v>
      </c>
    </row>
    <row r="236" spans="29:29" ht="20" customHeight="1" x14ac:dyDescent="0.35">
      <c r="AC236" s="184">
        <v>45891</v>
      </c>
    </row>
    <row r="237" spans="29:29" ht="20" customHeight="1" x14ac:dyDescent="0.35">
      <c r="AC237" s="184">
        <v>45892</v>
      </c>
    </row>
    <row r="238" spans="29:29" ht="20" customHeight="1" x14ac:dyDescent="0.35">
      <c r="AC238" s="184">
        <v>45893</v>
      </c>
    </row>
    <row r="239" spans="29:29" ht="20" customHeight="1" x14ac:dyDescent="0.35">
      <c r="AC239" s="184">
        <v>45894</v>
      </c>
    </row>
    <row r="240" spans="29:29" ht="20" customHeight="1" x14ac:dyDescent="0.35">
      <c r="AC240" s="184">
        <v>45895</v>
      </c>
    </row>
    <row r="241" spans="29:29" ht="20" customHeight="1" x14ac:dyDescent="0.35">
      <c r="AC241" s="184">
        <v>45896</v>
      </c>
    </row>
    <row r="242" spans="29:29" ht="20" customHeight="1" x14ac:dyDescent="0.35">
      <c r="AC242" s="184">
        <v>45897</v>
      </c>
    </row>
    <row r="243" spans="29:29" ht="20" customHeight="1" x14ac:dyDescent="0.35">
      <c r="AC243" s="184">
        <v>45898</v>
      </c>
    </row>
    <row r="244" spans="29:29" ht="20" customHeight="1" x14ac:dyDescent="0.35">
      <c r="AC244" s="184">
        <v>45899</v>
      </c>
    </row>
    <row r="245" spans="29:29" ht="20" customHeight="1" x14ac:dyDescent="0.35">
      <c r="AC245" s="184">
        <v>45900</v>
      </c>
    </row>
    <row r="246" spans="29:29" ht="20" customHeight="1" x14ac:dyDescent="0.35">
      <c r="AC246" s="184">
        <v>45901</v>
      </c>
    </row>
    <row r="247" spans="29:29" ht="20" customHeight="1" x14ac:dyDescent="0.35">
      <c r="AC247" s="184">
        <v>45902</v>
      </c>
    </row>
    <row r="248" spans="29:29" ht="20" customHeight="1" x14ac:dyDescent="0.35">
      <c r="AC248" s="184">
        <v>45903</v>
      </c>
    </row>
    <row r="249" spans="29:29" ht="20" customHeight="1" x14ac:dyDescent="0.35">
      <c r="AC249" s="184">
        <v>45904</v>
      </c>
    </row>
    <row r="250" spans="29:29" ht="20" customHeight="1" x14ac:dyDescent="0.35">
      <c r="AC250" s="184">
        <v>45905</v>
      </c>
    </row>
    <row r="251" spans="29:29" ht="20" customHeight="1" x14ac:dyDescent="0.35">
      <c r="AC251" s="184">
        <v>45906</v>
      </c>
    </row>
    <row r="252" spans="29:29" ht="20" customHeight="1" x14ac:dyDescent="0.35">
      <c r="AC252" s="184">
        <v>45907</v>
      </c>
    </row>
    <row r="253" spans="29:29" ht="20" customHeight="1" x14ac:dyDescent="0.35">
      <c r="AC253" s="184">
        <v>45908</v>
      </c>
    </row>
    <row r="254" spans="29:29" ht="20" customHeight="1" x14ac:dyDescent="0.35">
      <c r="AC254" s="184">
        <v>45909</v>
      </c>
    </row>
    <row r="255" spans="29:29" ht="20" customHeight="1" x14ac:dyDescent="0.35">
      <c r="AC255" s="184">
        <v>45910</v>
      </c>
    </row>
    <row r="256" spans="29:29" ht="20" customHeight="1" x14ac:dyDescent="0.35">
      <c r="AC256" s="184">
        <v>45911</v>
      </c>
    </row>
    <row r="257" spans="29:29" ht="20" customHeight="1" x14ac:dyDescent="0.35">
      <c r="AC257" s="184">
        <v>45912</v>
      </c>
    </row>
    <row r="258" spans="29:29" ht="20" customHeight="1" x14ac:dyDescent="0.35">
      <c r="AC258" s="184">
        <v>45913</v>
      </c>
    </row>
    <row r="259" spans="29:29" ht="20" customHeight="1" x14ac:dyDescent="0.35">
      <c r="AC259" s="184">
        <v>45914</v>
      </c>
    </row>
    <row r="260" spans="29:29" ht="20" customHeight="1" x14ac:dyDescent="0.35">
      <c r="AC260" s="184">
        <v>45915</v>
      </c>
    </row>
    <row r="261" spans="29:29" ht="20" customHeight="1" x14ac:dyDescent="0.35">
      <c r="AC261" s="184">
        <v>45916</v>
      </c>
    </row>
    <row r="262" spans="29:29" ht="20" customHeight="1" x14ac:dyDescent="0.35">
      <c r="AC262" s="184">
        <v>45917</v>
      </c>
    </row>
    <row r="263" spans="29:29" ht="20" customHeight="1" x14ac:dyDescent="0.35">
      <c r="AC263" s="184">
        <v>45918</v>
      </c>
    </row>
    <row r="264" spans="29:29" ht="20" customHeight="1" x14ac:dyDescent="0.35">
      <c r="AC264" s="184">
        <v>45919</v>
      </c>
    </row>
    <row r="265" spans="29:29" ht="20" customHeight="1" x14ac:dyDescent="0.35">
      <c r="AC265" s="184">
        <v>45920</v>
      </c>
    </row>
    <row r="266" spans="29:29" ht="20" customHeight="1" x14ac:dyDescent="0.35">
      <c r="AC266" s="184">
        <v>45921</v>
      </c>
    </row>
    <row r="267" spans="29:29" ht="20" customHeight="1" x14ac:dyDescent="0.35">
      <c r="AC267" s="184">
        <v>45922</v>
      </c>
    </row>
    <row r="268" spans="29:29" ht="20" customHeight="1" x14ac:dyDescent="0.35">
      <c r="AC268" s="184">
        <v>45923</v>
      </c>
    </row>
    <row r="269" spans="29:29" ht="20" customHeight="1" x14ac:dyDescent="0.35">
      <c r="AC269" s="184">
        <v>45924</v>
      </c>
    </row>
    <row r="270" spans="29:29" ht="20" customHeight="1" x14ac:dyDescent="0.35">
      <c r="AC270" s="184">
        <v>45925</v>
      </c>
    </row>
    <row r="271" spans="29:29" ht="20" customHeight="1" x14ac:dyDescent="0.35">
      <c r="AC271" s="184">
        <v>45926</v>
      </c>
    </row>
    <row r="272" spans="29:29" ht="20" customHeight="1" x14ac:dyDescent="0.35">
      <c r="AC272" s="184">
        <v>45927</v>
      </c>
    </row>
    <row r="273" spans="29:29" ht="20" customHeight="1" x14ac:dyDescent="0.35">
      <c r="AC273" s="184">
        <v>45928</v>
      </c>
    </row>
    <row r="274" spans="29:29" ht="20" customHeight="1" x14ac:dyDescent="0.35">
      <c r="AC274" s="184">
        <v>45929</v>
      </c>
    </row>
    <row r="275" spans="29:29" ht="20" customHeight="1" x14ac:dyDescent="0.35">
      <c r="AC275" s="184">
        <v>45930</v>
      </c>
    </row>
    <row r="276" spans="29:29" ht="20" customHeight="1" x14ac:dyDescent="0.35">
      <c r="AC276" s="184">
        <v>45931</v>
      </c>
    </row>
    <row r="277" spans="29:29" ht="20" customHeight="1" x14ac:dyDescent="0.35">
      <c r="AC277" s="184">
        <v>45932</v>
      </c>
    </row>
    <row r="278" spans="29:29" ht="20" customHeight="1" x14ac:dyDescent="0.35">
      <c r="AC278" s="184">
        <v>45933</v>
      </c>
    </row>
    <row r="279" spans="29:29" ht="20" customHeight="1" x14ac:dyDescent="0.35">
      <c r="AC279" s="184">
        <v>45934</v>
      </c>
    </row>
    <row r="280" spans="29:29" ht="20" customHeight="1" x14ac:dyDescent="0.35">
      <c r="AC280" s="184">
        <v>45935</v>
      </c>
    </row>
    <row r="281" spans="29:29" ht="20" customHeight="1" x14ac:dyDescent="0.35">
      <c r="AC281" s="184">
        <v>45936</v>
      </c>
    </row>
    <row r="282" spans="29:29" ht="20" customHeight="1" x14ac:dyDescent="0.35">
      <c r="AC282" s="184">
        <v>45937</v>
      </c>
    </row>
    <row r="283" spans="29:29" ht="20" customHeight="1" x14ac:dyDescent="0.35">
      <c r="AC283" s="184">
        <v>45938</v>
      </c>
    </row>
    <row r="284" spans="29:29" ht="20" customHeight="1" x14ac:dyDescent="0.35">
      <c r="AC284" s="184">
        <v>45939</v>
      </c>
    </row>
    <row r="285" spans="29:29" ht="20" customHeight="1" x14ac:dyDescent="0.35">
      <c r="AC285" s="184">
        <v>45940</v>
      </c>
    </row>
    <row r="286" spans="29:29" ht="20" customHeight="1" x14ac:dyDescent="0.35">
      <c r="AC286" s="184">
        <v>45941</v>
      </c>
    </row>
    <row r="287" spans="29:29" ht="20" customHeight="1" x14ac:dyDescent="0.35">
      <c r="AC287" s="184">
        <v>45942</v>
      </c>
    </row>
    <row r="288" spans="29:29" ht="20" customHeight="1" x14ac:dyDescent="0.35">
      <c r="AC288" s="184">
        <v>45943</v>
      </c>
    </row>
    <row r="289" spans="29:29" ht="20" customHeight="1" x14ac:dyDescent="0.35">
      <c r="AC289" s="184">
        <v>45944</v>
      </c>
    </row>
    <row r="290" spans="29:29" ht="20" customHeight="1" x14ac:dyDescent="0.35">
      <c r="AC290" s="184">
        <v>45945</v>
      </c>
    </row>
    <row r="291" spans="29:29" ht="20" customHeight="1" x14ac:dyDescent="0.35">
      <c r="AC291" s="184">
        <v>45946</v>
      </c>
    </row>
    <row r="292" spans="29:29" ht="20" customHeight="1" x14ac:dyDescent="0.35">
      <c r="AC292" s="184">
        <v>45947</v>
      </c>
    </row>
    <row r="293" spans="29:29" ht="20" customHeight="1" x14ac:dyDescent="0.35">
      <c r="AC293" s="184">
        <v>45948</v>
      </c>
    </row>
    <row r="294" spans="29:29" ht="20" customHeight="1" x14ac:dyDescent="0.35">
      <c r="AC294" s="184">
        <v>45949</v>
      </c>
    </row>
    <row r="295" spans="29:29" ht="20" customHeight="1" x14ac:dyDescent="0.35">
      <c r="AC295" s="184">
        <v>45950</v>
      </c>
    </row>
    <row r="296" spans="29:29" ht="20" customHeight="1" x14ac:dyDescent="0.35">
      <c r="AC296" s="184">
        <v>45951</v>
      </c>
    </row>
    <row r="297" spans="29:29" ht="20" customHeight="1" x14ac:dyDescent="0.35">
      <c r="AC297" s="184">
        <v>45952</v>
      </c>
    </row>
    <row r="298" spans="29:29" ht="20" customHeight="1" x14ac:dyDescent="0.35">
      <c r="AC298" s="184">
        <v>45953</v>
      </c>
    </row>
    <row r="299" spans="29:29" ht="20" customHeight="1" x14ac:dyDescent="0.35">
      <c r="AC299" s="184">
        <v>45954</v>
      </c>
    </row>
    <row r="300" spans="29:29" ht="20" customHeight="1" x14ac:dyDescent="0.35">
      <c r="AC300" s="184">
        <v>45955</v>
      </c>
    </row>
    <row r="301" spans="29:29" ht="20" customHeight="1" x14ac:dyDescent="0.35">
      <c r="AC301" s="184">
        <v>45956</v>
      </c>
    </row>
    <row r="302" spans="29:29" ht="20" customHeight="1" x14ac:dyDescent="0.35">
      <c r="AC302" s="184">
        <v>45957</v>
      </c>
    </row>
    <row r="303" spans="29:29" ht="20" customHeight="1" x14ac:dyDescent="0.35">
      <c r="AC303" s="184">
        <v>45958</v>
      </c>
    </row>
    <row r="304" spans="29:29" ht="20" customHeight="1" x14ac:dyDescent="0.35">
      <c r="AC304" s="184">
        <v>45959</v>
      </c>
    </row>
    <row r="305" spans="29:29" ht="20" customHeight="1" x14ac:dyDescent="0.35">
      <c r="AC305" s="184">
        <v>45960</v>
      </c>
    </row>
    <row r="306" spans="29:29" ht="20" customHeight="1" x14ac:dyDescent="0.35">
      <c r="AC306" s="184">
        <v>45961</v>
      </c>
    </row>
    <row r="307" spans="29:29" ht="20" customHeight="1" x14ac:dyDescent="0.35">
      <c r="AC307" s="184">
        <v>45962</v>
      </c>
    </row>
    <row r="308" spans="29:29" ht="20" customHeight="1" x14ac:dyDescent="0.35">
      <c r="AC308" s="184">
        <v>45963</v>
      </c>
    </row>
    <row r="309" spans="29:29" ht="20" customHeight="1" x14ac:dyDescent="0.35">
      <c r="AC309" s="184">
        <v>45964</v>
      </c>
    </row>
    <row r="310" spans="29:29" ht="20" customHeight="1" x14ac:dyDescent="0.35">
      <c r="AC310" s="184">
        <v>45965</v>
      </c>
    </row>
    <row r="311" spans="29:29" ht="20" customHeight="1" x14ac:dyDescent="0.35">
      <c r="AC311" s="184">
        <v>45966</v>
      </c>
    </row>
    <row r="312" spans="29:29" ht="20" customHeight="1" x14ac:dyDescent="0.35">
      <c r="AC312" s="184">
        <v>45967</v>
      </c>
    </row>
    <row r="313" spans="29:29" ht="20" customHeight="1" x14ac:dyDescent="0.35">
      <c r="AC313" s="184">
        <v>45968</v>
      </c>
    </row>
    <row r="314" spans="29:29" ht="20" customHeight="1" x14ac:dyDescent="0.35">
      <c r="AC314" s="184">
        <v>45969</v>
      </c>
    </row>
    <row r="315" spans="29:29" ht="20" customHeight="1" x14ac:dyDescent="0.35">
      <c r="AC315" s="184">
        <v>45970</v>
      </c>
    </row>
    <row r="316" spans="29:29" ht="20" customHeight="1" x14ac:dyDescent="0.35">
      <c r="AC316" s="184">
        <v>45971</v>
      </c>
    </row>
    <row r="317" spans="29:29" ht="20" customHeight="1" x14ac:dyDescent="0.35">
      <c r="AC317" s="184">
        <v>45972</v>
      </c>
    </row>
    <row r="318" spans="29:29" ht="20" customHeight="1" x14ac:dyDescent="0.35">
      <c r="AC318" s="184">
        <v>45973</v>
      </c>
    </row>
    <row r="319" spans="29:29" ht="20" customHeight="1" x14ac:dyDescent="0.35">
      <c r="AC319" s="184">
        <v>45974</v>
      </c>
    </row>
    <row r="320" spans="29:29" ht="20" customHeight="1" x14ac:dyDescent="0.35">
      <c r="AC320" s="184">
        <v>45975</v>
      </c>
    </row>
    <row r="321" spans="29:29" ht="20" customHeight="1" x14ac:dyDescent="0.35">
      <c r="AC321" s="184">
        <v>45976</v>
      </c>
    </row>
    <row r="322" spans="29:29" ht="20" customHeight="1" x14ac:dyDescent="0.35">
      <c r="AC322" s="184">
        <v>45977</v>
      </c>
    </row>
    <row r="323" spans="29:29" ht="20" customHeight="1" x14ac:dyDescent="0.35">
      <c r="AC323" s="184">
        <v>45978</v>
      </c>
    </row>
    <row r="324" spans="29:29" ht="20" customHeight="1" x14ac:dyDescent="0.35">
      <c r="AC324" s="184">
        <v>45979</v>
      </c>
    </row>
    <row r="325" spans="29:29" ht="20" customHeight="1" x14ac:dyDescent="0.35">
      <c r="AC325" s="184">
        <v>45980</v>
      </c>
    </row>
    <row r="326" spans="29:29" ht="20" customHeight="1" x14ac:dyDescent="0.35">
      <c r="AC326" s="184">
        <v>45981</v>
      </c>
    </row>
    <row r="327" spans="29:29" ht="20" customHeight="1" x14ac:dyDescent="0.35">
      <c r="AC327" s="184">
        <v>45982</v>
      </c>
    </row>
    <row r="328" spans="29:29" ht="20" customHeight="1" x14ac:dyDescent="0.35">
      <c r="AC328" s="184">
        <v>45983</v>
      </c>
    </row>
    <row r="329" spans="29:29" ht="20" customHeight="1" x14ac:dyDescent="0.35">
      <c r="AC329" s="184">
        <v>45984</v>
      </c>
    </row>
    <row r="330" spans="29:29" ht="20" customHeight="1" x14ac:dyDescent="0.35">
      <c r="AC330" s="184">
        <v>45985</v>
      </c>
    </row>
    <row r="331" spans="29:29" ht="20" customHeight="1" x14ac:dyDescent="0.35">
      <c r="AC331" s="184">
        <v>45986</v>
      </c>
    </row>
    <row r="332" spans="29:29" ht="20" customHeight="1" x14ac:dyDescent="0.35">
      <c r="AC332" s="184">
        <v>45987</v>
      </c>
    </row>
    <row r="333" spans="29:29" ht="20" customHeight="1" x14ac:dyDescent="0.35">
      <c r="AC333" s="184">
        <v>45988</v>
      </c>
    </row>
    <row r="334" spans="29:29" ht="20" customHeight="1" x14ac:dyDescent="0.35">
      <c r="AC334" s="184">
        <v>45989</v>
      </c>
    </row>
    <row r="335" spans="29:29" ht="20" customHeight="1" x14ac:dyDescent="0.35">
      <c r="AC335" s="184">
        <v>45990</v>
      </c>
    </row>
    <row r="336" spans="29:29" ht="20" customHeight="1" x14ac:dyDescent="0.35">
      <c r="AC336" s="184">
        <v>45991</v>
      </c>
    </row>
    <row r="337" spans="29:29" ht="20" customHeight="1" x14ac:dyDescent="0.35">
      <c r="AC337" s="184">
        <v>45992</v>
      </c>
    </row>
    <row r="338" spans="29:29" ht="20" customHeight="1" x14ac:dyDescent="0.35">
      <c r="AC338" s="184">
        <v>45993</v>
      </c>
    </row>
    <row r="339" spans="29:29" ht="20" customHeight="1" x14ac:dyDescent="0.35">
      <c r="AC339" s="184">
        <v>45994</v>
      </c>
    </row>
    <row r="340" spans="29:29" ht="20" customHeight="1" x14ac:dyDescent="0.35">
      <c r="AC340" s="184">
        <v>45995</v>
      </c>
    </row>
    <row r="341" spans="29:29" ht="20" customHeight="1" x14ac:dyDescent="0.35">
      <c r="AC341" s="184">
        <v>45996</v>
      </c>
    </row>
    <row r="342" spans="29:29" ht="20" customHeight="1" x14ac:dyDescent="0.35">
      <c r="AC342" s="184">
        <v>45997</v>
      </c>
    </row>
    <row r="343" spans="29:29" ht="20" customHeight="1" x14ac:dyDescent="0.35">
      <c r="AC343" s="184">
        <v>45998</v>
      </c>
    </row>
    <row r="344" spans="29:29" ht="20" customHeight="1" x14ac:dyDescent="0.35">
      <c r="AC344" s="184">
        <v>45999</v>
      </c>
    </row>
    <row r="345" spans="29:29" ht="20" customHeight="1" x14ac:dyDescent="0.35">
      <c r="AC345" s="184">
        <v>46000</v>
      </c>
    </row>
    <row r="346" spans="29:29" ht="20" customHeight="1" x14ac:dyDescent="0.35">
      <c r="AC346" s="184">
        <v>46001</v>
      </c>
    </row>
    <row r="347" spans="29:29" ht="20" customHeight="1" x14ac:dyDescent="0.35">
      <c r="AC347" s="184">
        <v>46002</v>
      </c>
    </row>
    <row r="348" spans="29:29" ht="20" customHeight="1" x14ac:dyDescent="0.35">
      <c r="AC348" s="184">
        <v>46003</v>
      </c>
    </row>
    <row r="349" spans="29:29" ht="20" customHeight="1" x14ac:dyDescent="0.35">
      <c r="AC349" s="184">
        <v>46004</v>
      </c>
    </row>
    <row r="350" spans="29:29" ht="20" customHeight="1" x14ac:dyDescent="0.35">
      <c r="AC350" s="184">
        <v>46005</v>
      </c>
    </row>
    <row r="351" spans="29:29" ht="20" customHeight="1" x14ac:dyDescent="0.35">
      <c r="AC351" s="184">
        <v>46006</v>
      </c>
    </row>
    <row r="352" spans="29:29" ht="20" customHeight="1" x14ac:dyDescent="0.35">
      <c r="AC352" s="184">
        <v>46007</v>
      </c>
    </row>
    <row r="353" spans="29:29" ht="20" customHeight="1" x14ac:dyDescent="0.35">
      <c r="AC353" s="184">
        <v>46008</v>
      </c>
    </row>
    <row r="354" spans="29:29" ht="20" customHeight="1" x14ac:dyDescent="0.35">
      <c r="AC354" s="184">
        <v>46009</v>
      </c>
    </row>
    <row r="355" spans="29:29" ht="20" customHeight="1" x14ac:dyDescent="0.35">
      <c r="AC355" s="184">
        <v>46010</v>
      </c>
    </row>
    <row r="356" spans="29:29" ht="20" customHeight="1" x14ac:dyDescent="0.35">
      <c r="AC356" s="184">
        <v>46011</v>
      </c>
    </row>
    <row r="357" spans="29:29" ht="20" customHeight="1" x14ac:dyDescent="0.35">
      <c r="AC357" s="184">
        <v>46012</v>
      </c>
    </row>
    <row r="358" spans="29:29" ht="20" customHeight="1" x14ac:dyDescent="0.35">
      <c r="AC358" s="184">
        <v>46013</v>
      </c>
    </row>
    <row r="359" spans="29:29" ht="20" customHeight="1" x14ac:dyDescent="0.35">
      <c r="AC359" s="184">
        <v>46014</v>
      </c>
    </row>
    <row r="360" spans="29:29" ht="20" customHeight="1" x14ac:dyDescent="0.35">
      <c r="AC360" s="184">
        <v>46015</v>
      </c>
    </row>
    <row r="361" spans="29:29" ht="20" customHeight="1" x14ac:dyDescent="0.35">
      <c r="AC361" s="184">
        <v>46016</v>
      </c>
    </row>
    <row r="362" spans="29:29" ht="20" customHeight="1" x14ac:dyDescent="0.35">
      <c r="AC362" s="184">
        <v>46017</v>
      </c>
    </row>
    <row r="363" spans="29:29" ht="20" customHeight="1" x14ac:dyDescent="0.35">
      <c r="AC363" s="184">
        <v>46018</v>
      </c>
    </row>
    <row r="364" spans="29:29" ht="20" customHeight="1" x14ac:dyDescent="0.35">
      <c r="AC364" s="184">
        <v>46019</v>
      </c>
    </row>
    <row r="365" spans="29:29" ht="20" customHeight="1" x14ac:dyDescent="0.35">
      <c r="AC365" s="184">
        <v>46020</v>
      </c>
    </row>
    <row r="366" spans="29:29" ht="20" customHeight="1" x14ac:dyDescent="0.35">
      <c r="AC366" s="184">
        <v>46021</v>
      </c>
    </row>
    <row r="367" spans="29:29" ht="20" customHeight="1" x14ac:dyDescent="0.35">
      <c r="AC367" s="184">
        <v>46022</v>
      </c>
    </row>
  </sheetData>
  <mergeCells count="2">
    <mergeCell ref="A1:P2"/>
    <mergeCell ref="A3:P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G1006"/>
  <sheetViews>
    <sheetView showGridLines="0" zoomScale="90" zoomScaleNormal="90" workbookViewId="0">
      <pane ySplit="6" topLeftCell="A7" activePane="bottomLeft" state="frozen"/>
      <selection pane="bottomLeft"/>
    </sheetView>
  </sheetViews>
  <sheetFormatPr defaultRowHeight="14.5" x14ac:dyDescent="0.35"/>
  <cols>
    <col min="1" max="1" width="33.54296875" bestFit="1" customWidth="1"/>
    <col min="2" max="4" width="13" customWidth="1"/>
    <col min="5" max="5" width="21" customWidth="1"/>
    <col min="6" max="18" width="13" customWidth="1"/>
    <col min="19" max="19" width="24" customWidth="1"/>
    <col min="20" max="20" width="0" hidden="1" customWidth="1"/>
  </cols>
  <sheetData>
    <row r="1" spans="1:33" ht="20" customHeight="1" x14ac:dyDescent="0.35">
      <c r="A1" s="1"/>
      <c r="B1" s="1"/>
      <c r="C1" s="1"/>
      <c r="D1" s="1"/>
      <c r="E1" s="1"/>
      <c r="F1" s="1"/>
      <c r="G1" s="1"/>
      <c r="H1" s="1"/>
      <c r="I1" s="1"/>
      <c r="J1" s="1"/>
      <c r="K1" s="1"/>
      <c r="L1" s="1"/>
      <c r="M1" s="1"/>
      <c r="N1" s="1"/>
      <c r="O1" s="1"/>
      <c r="P1" s="1"/>
      <c r="Q1" s="1"/>
      <c r="R1" s="1"/>
      <c r="S1" s="1"/>
    </row>
    <row r="2" spans="1:33" ht="20" customHeight="1" x14ac:dyDescent="0.35">
      <c r="A2" s="2" t="s">
        <v>69</v>
      </c>
      <c r="B2" s="1"/>
      <c r="C2" s="1"/>
      <c r="D2" s="1"/>
      <c r="E2" s="1"/>
      <c r="F2" s="1"/>
      <c r="G2" s="1"/>
      <c r="H2" s="1"/>
      <c r="I2" s="1"/>
      <c r="J2" s="1"/>
      <c r="K2" s="1"/>
      <c r="L2" s="1"/>
      <c r="M2" s="1"/>
      <c r="N2" s="1"/>
      <c r="O2" s="1"/>
      <c r="P2" s="1"/>
      <c r="Q2" s="1"/>
      <c r="R2" s="1"/>
      <c r="S2" s="1"/>
    </row>
    <row r="3" spans="1:33" ht="20" customHeight="1" x14ac:dyDescent="0.35">
      <c r="A3" s="3"/>
      <c r="B3" s="3"/>
      <c r="C3" s="3"/>
      <c r="D3" s="3"/>
      <c r="E3" s="3"/>
      <c r="F3" s="3"/>
      <c r="G3" s="3"/>
      <c r="H3" s="3"/>
      <c r="I3" s="3"/>
      <c r="J3" s="3"/>
      <c r="K3" s="3"/>
      <c r="L3" s="3"/>
      <c r="M3" s="3"/>
      <c r="N3" s="3"/>
      <c r="O3" s="3"/>
      <c r="P3" s="3"/>
      <c r="Q3" s="3"/>
      <c r="R3" s="3"/>
      <c r="S3" s="3"/>
      <c r="T3" s="4"/>
    </row>
    <row r="4" spans="1:33" ht="20" customHeight="1" x14ac:dyDescent="0.35">
      <c r="A4" s="5" t="s">
        <v>70</v>
      </c>
      <c r="B4" s="1"/>
      <c r="C4" s="1"/>
      <c r="D4" s="1"/>
      <c r="E4" s="1"/>
      <c r="F4" s="1"/>
      <c r="G4" s="1"/>
      <c r="H4" s="1"/>
      <c r="I4" s="1"/>
      <c r="J4" s="1"/>
      <c r="K4" s="1"/>
      <c r="L4" s="1"/>
      <c r="M4" s="1"/>
      <c r="N4" s="1"/>
      <c r="O4" s="1"/>
      <c r="P4" s="1"/>
      <c r="Q4" s="1"/>
      <c r="R4" s="1"/>
      <c r="S4" s="1"/>
    </row>
    <row r="5" spans="1:33" ht="20" customHeight="1" x14ac:dyDescent="0.35">
      <c r="A5" s="1"/>
      <c r="B5" s="1"/>
      <c r="C5" s="1"/>
      <c r="D5" s="1"/>
      <c r="E5" s="1"/>
      <c r="F5" s="1"/>
      <c r="G5" s="1"/>
      <c r="H5" s="1"/>
      <c r="I5" s="1"/>
      <c r="J5" s="1"/>
      <c r="K5" s="1"/>
      <c r="L5" s="1"/>
      <c r="M5" s="1"/>
      <c r="N5" s="1"/>
      <c r="O5" s="1"/>
      <c r="P5" s="1"/>
      <c r="Q5" s="1"/>
      <c r="R5" s="1"/>
      <c r="S5" s="1"/>
    </row>
    <row r="6" spans="1:33" ht="26" x14ac:dyDescent="0.35">
      <c r="A6" s="6" t="s">
        <v>71</v>
      </c>
      <c r="B6" s="20" t="s">
        <v>72</v>
      </c>
      <c r="C6" s="20" t="s">
        <v>0</v>
      </c>
      <c r="D6" s="20" t="s">
        <v>73</v>
      </c>
      <c r="E6" s="20" t="s">
        <v>11</v>
      </c>
      <c r="F6" s="20" t="s">
        <v>74</v>
      </c>
      <c r="G6" s="20" t="s">
        <v>75</v>
      </c>
      <c r="H6" s="20" t="s">
        <v>76</v>
      </c>
      <c r="I6" s="20" t="s">
        <v>67</v>
      </c>
      <c r="J6" s="20" t="s">
        <v>77</v>
      </c>
      <c r="K6" s="20" t="s">
        <v>78</v>
      </c>
      <c r="L6" s="20" t="s">
        <v>79</v>
      </c>
      <c r="M6" s="20" t="s">
        <v>80</v>
      </c>
      <c r="N6" s="20" t="s">
        <v>81</v>
      </c>
      <c r="O6" s="20" t="s">
        <v>82</v>
      </c>
      <c r="P6" s="20" t="s">
        <v>83</v>
      </c>
      <c r="Q6" s="20" t="s">
        <v>84</v>
      </c>
      <c r="R6" s="20" t="s">
        <v>85</v>
      </c>
      <c r="S6" s="20" t="s">
        <v>86</v>
      </c>
      <c r="T6" s="20" t="s">
        <v>87</v>
      </c>
      <c r="U6" s="20" t="s">
        <v>88</v>
      </c>
      <c r="V6" s="6"/>
      <c r="W6" s="6"/>
      <c r="X6" s="6"/>
      <c r="Y6" s="6"/>
      <c r="Z6" s="6"/>
      <c r="AA6" s="6"/>
      <c r="AB6" s="6"/>
      <c r="AC6" s="6"/>
      <c r="AD6" s="6"/>
      <c r="AE6" s="6"/>
      <c r="AF6" s="9"/>
      <c r="AG6" s="9"/>
    </row>
    <row r="7" spans="1:33" x14ac:dyDescent="0.35">
      <c r="A7" s="1" t="s">
        <v>89</v>
      </c>
      <c r="B7" s="21">
        <v>46104</v>
      </c>
      <c r="C7" s="1" t="s">
        <v>1</v>
      </c>
      <c r="D7" s="1" t="s">
        <v>90</v>
      </c>
      <c r="E7" s="1" t="s">
        <v>91</v>
      </c>
      <c r="F7" s="8">
        <v>0</v>
      </c>
      <c r="G7" s="8">
        <v>0</v>
      </c>
      <c r="H7" s="8">
        <v>500000</v>
      </c>
      <c r="I7" s="8">
        <v>0</v>
      </c>
      <c r="J7" s="8">
        <f t="shared" ref="J7:J42" si="0">IF(D7="BUY",F7,IF(D7="SELL",-F7,IF(OR(D7="SPLIT",D7="BONUS"),F7,0)))</f>
        <v>0</v>
      </c>
      <c r="K7" s="8">
        <f t="shared" ref="K7:K42" si="1">IF(D7="BUY",-F7*G7-I7,IF(D7="SELL",F7*G7-I7,IF(D7="DEPOSIT",H7,IF(D7="WITHDRAW",-H7,IF(D7="DIVIDEND",H7-I7,IF(D7="FEE",-H7-I7,0))))))</f>
        <v>500000</v>
      </c>
      <c r="L7" s="8">
        <f t="shared" ref="L7:L42" si="2">IF(D7="DEPOSIT",H7,IF(D7="WITHDRAW",-H7,0))</f>
        <v>500000</v>
      </c>
      <c r="M7" s="8">
        <f>SUMIFS($J$6:J6,$C$6:C6,C7,$E$6:E6,E7)</f>
        <v>0</v>
      </c>
      <c r="N7" s="8">
        <f>SUMIFS($O$6:O6,$C$6:C6,C7,$E$6:E6,E7)</f>
        <v>0</v>
      </c>
      <c r="O7" s="8">
        <f t="shared" ref="O7:O42" si="3">IF(D7="BUY",F7*G7+I7,IF(D7="SELL",IF(M7&gt;0,-F7*N7/M7,NA()),0))</f>
        <v>0</v>
      </c>
      <c r="P7" s="8">
        <f t="shared" ref="P7:P42" si="4">IF(D7="SELL",F7*G7-I7+O7,0)</f>
        <v>0</v>
      </c>
      <c r="Q7" s="8">
        <f t="shared" ref="Q7:Q42" si="5">M7+J7</f>
        <v>0</v>
      </c>
      <c r="R7" s="8">
        <f t="shared" ref="R7:R42" si="6">N7+O7</f>
        <v>0</v>
      </c>
      <c r="S7" s="8" t="str">
        <f>IF(OR(F7&lt;0,G7&lt;0,H7&lt;0,I7&lt;0),"Review negative input",IF(Q7&lt;-0.000001,"Review short position",IF(SUMIFS($K$7:K7,$C$7:C7,C7)&lt;-0.01,"Review negative cash",IF(COUNTIFS(History!$A$7:$A$136,B7)=0,"Review date","OK"))))</f>
        <v>OK</v>
      </c>
      <c r="T7" s="8" t="str">
        <f t="shared" ref="T7:T42" si="7">A7&amp;"|"&amp;TEXT(B7,"yyyy-mm-dd")&amp;"|"&amp;C7&amp;"|"&amp;D7&amp;"|"&amp;E7&amp;"|"&amp;TEXT(F7,"0.##############")&amp;"|"&amp;TEXT(G7,"0.##############")&amp;"|"&amp;TEXT(H7,"0.##############")&amp;"|"&amp;TEXT(I7,"0.##############")</f>
        <v>EVT-0001|2026-03-23|Model|DEPOSIT|CASH|0.|0.|500000.|0.</v>
      </c>
      <c r="U7" s="8" t="str">
        <f>IF(COUNTIFS(Transactions!$A$7:$A$1006,A7,Transactions!$J$7:$J$1006,T7)&gt;0,"Matched","Refresh required")</f>
        <v>Matched</v>
      </c>
      <c r="V7" s="8"/>
      <c r="W7" s="8"/>
      <c r="X7" s="8"/>
      <c r="Y7" s="8"/>
      <c r="Z7" s="8"/>
      <c r="AA7" s="8"/>
      <c r="AB7" s="8"/>
      <c r="AC7" s="8"/>
      <c r="AD7" s="8"/>
      <c r="AE7" s="1"/>
    </row>
    <row r="8" spans="1:33" ht="20" customHeight="1" x14ac:dyDescent="0.35">
      <c r="A8" s="1" t="s">
        <v>92</v>
      </c>
      <c r="B8" s="21">
        <v>46104</v>
      </c>
      <c r="C8" s="1" t="s">
        <v>1</v>
      </c>
      <c r="D8" s="1" t="s">
        <v>93</v>
      </c>
      <c r="E8" s="1" t="s">
        <v>46</v>
      </c>
      <c r="F8" s="8">
        <v>80</v>
      </c>
      <c r="G8" s="8">
        <v>550</v>
      </c>
      <c r="H8" s="8">
        <v>0</v>
      </c>
      <c r="I8" s="8">
        <v>30</v>
      </c>
      <c r="J8" s="8">
        <f t="shared" si="0"/>
        <v>80</v>
      </c>
      <c r="K8" s="8">
        <f t="shared" si="1"/>
        <v>-44030</v>
      </c>
      <c r="L8" s="8">
        <f t="shared" si="2"/>
        <v>0</v>
      </c>
      <c r="M8" s="8">
        <f>SUMIFS($J$6:J7,$C$6:C7,C8,$E$6:E7,E8)</f>
        <v>0</v>
      </c>
      <c r="N8" s="8">
        <f>SUMIFS($O$6:O7,$C$6:C7,C8,$E$6:E7,E8)</f>
        <v>0</v>
      </c>
      <c r="O8" s="8">
        <f t="shared" si="3"/>
        <v>44030</v>
      </c>
      <c r="P8" s="8">
        <f t="shared" si="4"/>
        <v>0</v>
      </c>
      <c r="Q8" s="8">
        <f t="shared" si="5"/>
        <v>80</v>
      </c>
      <c r="R8" s="8">
        <f t="shared" si="6"/>
        <v>44030</v>
      </c>
      <c r="S8" s="1" t="str">
        <f>IF(OR(F8&lt;0,G8&lt;0,H8&lt;0,I8&lt;0),"Review negative input",IF(Q8&lt;-0.000001,"Review short position",IF(SUMIFS($K$7:K8,$C$7:C8,C8)&lt;-0.01,"Review negative cash",IF(COUNTIFS(History!$A$7:$A$136,B8)=0,"Review date","OK"))))</f>
        <v>OK</v>
      </c>
      <c r="T8" s="1" t="str">
        <f t="shared" si="7"/>
        <v>EVT-0002|2026-03-23|Model|BUY|SYN_BANK|80.|550.|0.|30.</v>
      </c>
      <c r="U8" s="1" t="str">
        <f>IF(COUNTIFS(Transactions!$A$7:$A$1006,A8,Transactions!$J$7:$J$1006,T8)&gt;0,"Matched","Refresh required")</f>
        <v>Matched</v>
      </c>
      <c r="V8" s="8"/>
      <c r="W8" s="8"/>
      <c r="X8" s="8"/>
      <c r="Y8" s="8"/>
      <c r="Z8" s="8"/>
      <c r="AA8" s="8"/>
      <c r="AB8" s="8"/>
      <c r="AC8" s="8"/>
      <c r="AD8" s="8"/>
      <c r="AE8" s="1"/>
    </row>
    <row r="9" spans="1:33" ht="20" customHeight="1" x14ac:dyDescent="0.35">
      <c r="A9" s="1" t="s">
        <v>94</v>
      </c>
      <c r="B9" s="21">
        <v>46104</v>
      </c>
      <c r="C9" s="1" t="s">
        <v>1</v>
      </c>
      <c r="D9" s="1" t="s">
        <v>93</v>
      </c>
      <c r="E9" s="1" t="s">
        <v>49</v>
      </c>
      <c r="F9" s="8">
        <v>100</v>
      </c>
      <c r="G9" s="8">
        <v>1200</v>
      </c>
      <c r="H9" s="8">
        <v>0</v>
      </c>
      <c r="I9" s="8">
        <v>30</v>
      </c>
      <c r="J9" s="8">
        <f t="shared" si="0"/>
        <v>100</v>
      </c>
      <c r="K9" s="8">
        <f t="shared" si="1"/>
        <v>-120030</v>
      </c>
      <c r="L9" s="8">
        <f t="shared" si="2"/>
        <v>0</v>
      </c>
      <c r="M9" s="8">
        <f>SUMIFS($J$6:J8,$C$6:C8,C9,$E$6:E8,E9)</f>
        <v>0</v>
      </c>
      <c r="N9" s="8">
        <f>SUMIFS($O$6:O8,$C$6:C8,C9,$E$6:E8,E9)</f>
        <v>0</v>
      </c>
      <c r="O9" s="8">
        <f t="shared" si="3"/>
        <v>120030</v>
      </c>
      <c r="P9" s="8">
        <f t="shared" si="4"/>
        <v>0</v>
      </c>
      <c r="Q9" s="8">
        <f t="shared" si="5"/>
        <v>100</v>
      </c>
      <c r="R9" s="8">
        <f t="shared" si="6"/>
        <v>120030</v>
      </c>
      <c r="S9" s="1" t="str">
        <f>IF(OR(F9&lt;0,G9&lt;0,H9&lt;0,I9&lt;0),"Review negative input",IF(Q9&lt;-0.000001,"Review short position",IF(SUMIFS($K$7:K9,$C$7:C9,C9)&lt;-0.01,"Review negative cash",IF(COUNTIFS(History!$A$7:$A$136,B9)=0,"Review date","OK"))))</f>
        <v>OK</v>
      </c>
      <c r="T9" s="1" t="str">
        <f t="shared" si="7"/>
        <v>EVT-0003|2026-03-23|Model|BUY|SYN_TECH|100.|1200.|0.|30.</v>
      </c>
      <c r="U9" s="1" t="str">
        <f>IF(COUNTIFS(Transactions!$A$7:$A$1006,A9,Transactions!$J$7:$J$1006,T9)&gt;0,"Matched","Refresh required")</f>
        <v>Matched</v>
      </c>
      <c r="V9" s="8"/>
      <c r="W9" s="8"/>
      <c r="X9" s="8"/>
      <c r="Y9" s="8"/>
      <c r="Z9" s="8"/>
      <c r="AA9" s="8"/>
      <c r="AB9" s="8"/>
      <c r="AC9" s="8"/>
      <c r="AD9" s="8"/>
      <c r="AE9" s="1"/>
    </row>
    <row r="10" spans="1:33" ht="20" customHeight="1" x14ac:dyDescent="0.35">
      <c r="A10" s="1" t="s">
        <v>95</v>
      </c>
      <c r="B10" s="21">
        <v>46104</v>
      </c>
      <c r="C10" s="1" t="s">
        <v>1</v>
      </c>
      <c r="D10" s="1" t="s">
        <v>93</v>
      </c>
      <c r="E10" s="1" t="s">
        <v>52</v>
      </c>
      <c r="F10" s="8">
        <v>70</v>
      </c>
      <c r="G10" s="8">
        <v>850</v>
      </c>
      <c r="H10" s="8">
        <v>0</v>
      </c>
      <c r="I10" s="8">
        <v>30</v>
      </c>
      <c r="J10" s="8">
        <f t="shared" si="0"/>
        <v>70</v>
      </c>
      <c r="K10" s="8">
        <f t="shared" si="1"/>
        <v>-59530</v>
      </c>
      <c r="L10" s="8">
        <f t="shared" si="2"/>
        <v>0</v>
      </c>
      <c r="M10" s="8">
        <f>SUMIFS($J$6:J9,$C$6:C9,C10,$E$6:E9,E10)</f>
        <v>0</v>
      </c>
      <c r="N10" s="8">
        <f>SUMIFS($O$6:O9,$C$6:C9,C10,$E$6:E9,E10)</f>
        <v>0</v>
      </c>
      <c r="O10" s="8">
        <f t="shared" si="3"/>
        <v>59530</v>
      </c>
      <c r="P10" s="8">
        <f t="shared" si="4"/>
        <v>0</v>
      </c>
      <c r="Q10" s="8">
        <f t="shared" si="5"/>
        <v>70</v>
      </c>
      <c r="R10" s="8">
        <f t="shared" si="6"/>
        <v>59530</v>
      </c>
      <c r="S10" s="1" t="str">
        <f>IF(OR(F10&lt;0,G10&lt;0,H10&lt;0,I10&lt;0),"Review negative input",IF(Q10&lt;-0.000001,"Review short position",IF(SUMIFS($K$7:K10,$C$7:C10,C10)&lt;-0.01,"Review negative cash",IF(COUNTIFS(History!$A$7:$A$136,B10)=0,"Review date","OK"))))</f>
        <v>OK</v>
      </c>
      <c r="T10" s="1" t="str">
        <f t="shared" si="7"/>
        <v>EVT-0004|2026-03-23|Model|BUY|SYN_HEALTH|70.|850.|0.|30.</v>
      </c>
      <c r="U10" s="1" t="str">
        <f>IF(COUNTIFS(Transactions!$A$7:$A$1006,A10,Transactions!$J$7:$J$1006,T10)&gt;0,"Matched","Refresh required")</f>
        <v>Matched</v>
      </c>
      <c r="V10" s="8"/>
      <c r="W10" s="8"/>
      <c r="X10" s="8"/>
      <c r="Y10" s="8"/>
      <c r="Z10" s="8"/>
      <c r="AA10" s="8"/>
      <c r="AB10" s="8"/>
      <c r="AC10" s="8"/>
      <c r="AD10" s="8"/>
      <c r="AE10" s="1"/>
    </row>
    <row r="11" spans="1:33" ht="20" customHeight="1" x14ac:dyDescent="0.35">
      <c r="A11" s="1" t="s">
        <v>96</v>
      </c>
      <c r="B11" s="21">
        <v>46104</v>
      </c>
      <c r="C11" s="1" t="s">
        <v>1</v>
      </c>
      <c r="D11" s="1" t="s">
        <v>93</v>
      </c>
      <c r="E11" s="1" t="s">
        <v>55</v>
      </c>
      <c r="F11" s="8">
        <v>180</v>
      </c>
      <c r="G11" s="8">
        <v>430</v>
      </c>
      <c r="H11" s="8">
        <v>0</v>
      </c>
      <c r="I11" s="8">
        <v>30</v>
      </c>
      <c r="J11" s="8">
        <f t="shared" si="0"/>
        <v>180</v>
      </c>
      <c r="K11" s="8">
        <f t="shared" si="1"/>
        <v>-77430</v>
      </c>
      <c r="L11" s="8">
        <f t="shared" si="2"/>
        <v>0</v>
      </c>
      <c r="M11" s="8">
        <f>SUMIFS($J$6:J10,$C$6:C10,C11,$E$6:E10,E11)</f>
        <v>0</v>
      </c>
      <c r="N11" s="8">
        <f>SUMIFS($O$6:O10,$C$6:C10,C11,$E$6:E10,E11)</f>
        <v>0</v>
      </c>
      <c r="O11" s="8">
        <f t="shared" si="3"/>
        <v>77430</v>
      </c>
      <c r="P11" s="8">
        <f t="shared" si="4"/>
        <v>0</v>
      </c>
      <c r="Q11" s="8">
        <f t="shared" si="5"/>
        <v>180</v>
      </c>
      <c r="R11" s="8">
        <f t="shared" si="6"/>
        <v>77430</v>
      </c>
      <c r="S11" s="1" t="str">
        <f>IF(OR(F11&lt;0,G11&lt;0,H11&lt;0,I11&lt;0),"Review negative input",IF(Q11&lt;-0.000001,"Review short position",IF(SUMIFS($K$7:K11,$C$7:C11,C11)&lt;-0.01,"Review negative cash",IF(COUNTIFS(History!$A$7:$A$136,B11)=0,"Review date","OK"))))</f>
        <v>OK</v>
      </c>
      <c r="T11" s="1" t="str">
        <f t="shared" si="7"/>
        <v>EVT-0005|2026-03-23|Model|BUY|SYN_INDUSTRY|180.|430.|0.|30.</v>
      </c>
      <c r="U11" s="1" t="str">
        <f>IF(COUNTIFS(Transactions!$A$7:$A$1006,A11,Transactions!$J$7:$J$1006,T11)&gt;0,"Matched","Refresh required")</f>
        <v>Matched</v>
      </c>
      <c r="V11" s="8"/>
      <c r="W11" s="8"/>
      <c r="X11" s="8"/>
      <c r="Y11" s="8"/>
      <c r="Z11" s="8"/>
      <c r="AA11" s="8"/>
      <c r="AB11" s="8"/>
      <c r="AC11" s="8"/>
      <c r="AD11" s="8"/>
      <c r="AE11" s="1"/>
    </row>
    <row r="12" spans="1:33" ht="20" customHeight="1" x14ac:dyDescent="0.35">
      <c r="A12" s="1" t="s">
        <v>97</v>
      </c>
      <c r="B12" s="21">
        <v>46104</v>
      </c>
      <c r="C12" s="1" t="s">
        <v>1</v>
      </c>
      <c r="D12" s="1" t="s">
        <v>93</v>
      </c>
      <c r="E12" s="1" t="s">
        <v>58</v>
      </c>
      <c r="F12" s="8">
        <v>400</v>
      </c>
      <c r="G12" s="8">
        <v>250</v>
      </c>
      <c r="H12" s="8">
        <v>0</v>
      </c>
      <c r="I12" s="8">
        <v>30</v>
      </c>
      <c r="J12" s="8">
        <f t="shared" si="0"/>
        <v>400</v>
      </c>
      <c r="K12" s="8">
        <f t="shared" si="1"/>
        <v>-100030</v>
      </c>
      <c r="L12" s="8">
        <f t="shared" si="2"/>
        <v>0</v>
      </c>
      <c r="M12" s="8">
        <f>SUMIFS($J$6:J11,$C$6:C11,C12,$E$6:E11,E12)</f>
        <v>0</v>
      </c>
      <c r="N12" s="8">
        <f>SUMIFS($O$6:O11,$C$6:C11,C12,$E$6:E11,E12)</f>
        <v>0</v>
      </c>
      <c r="O12" s="8">
        <f t="shared" si="3"/>
        <v>100030</v>
      </c>
      <c r="P12" s="8">
        <f t="shared" si="4"/>
        <v>0</v>
      </c>
      <c r="Q12" s="8">
        <f t="shared" si="5"/>
        <v>400</v>
      </c>
      <c r="R12" s="8">
        <f t="shared" si="6"/>
        <v>100030</v>
      </c>
      <c r="S12" s="1" t="str">
        <f>IF(OR(F12&lt;0,G12&lt;0,H12&lt;0,I12&lt;0),"Review negative input",IF(Q12&lt;-0.000001,"Review short position",IF(SUMIFS($K$7:K12,$C$7:C12,C12)&lt;-0.01,"Review negative cash",IF(COUNTIFS(History!$A$7:$A$136,B12)=0,"Review date","OK"))))</f>
        <v>OK</v>
      </c>
      <c r="T12" s="1" t="str">
        <f t="shared" si="7"/>
        <v>EVT-0006|2026-03-23|Model|BUY|SYN_BROAD_ETF|400.|250.|0.|30.</v>
      </c>
      <c r="U12" s="1" t="str">
        <f>IF(COUNTIFS(Transactions!$A$7:$A$1006,A12,Transactions!$J$7:$J$1006,T12)&gt;0,"Matched","Refresh required")</f>
        <v>Matched</v>
      </c>
      <c r="V12" s="8"/>
      <c r="W12" s="8"/>
      <c r="X12" s="8"/>
      <c r="Y12" s="8"/>
      <c r="Z12" s="8"/>
      <c r="AA12" s="8"/>
      <c r="AB12" s="8"/>
      <c r="AC12" s="8"/>
      <c r="AD12" s="8"/>
      <c r="AE12" s="1"/>
    </row>
    <row r="13" spans="1:33" ht="20" customHeight="1" x14ac:dyDescent="0.35">
      <c r="A13" s="1" t="s">
        <v>98</v>
      </c>
      <c r="B13" s="21">
        <v>46104</v>
      </c>
      <c r="C13" s="1" t="s">
        <v>1</v>
      </c>
      <c r="D13" s="1" t="s">
        <v>93</v>
      </c>
      <c r="E13" s="1" t="s">
        <v>61</v>
      </c>
      <c r="F13" s="8">
        <v>600</v>
      </c>
      <c r="G13" s="8">
        <v>100</v>
      </c>
      <c r="H13" s="8">
        <v>0</v>
      </c>
      <c r="I13" s="8">
        <v>30</v>
      </c>
      <c r="J13" s="8">
        <f t="shared" si="0"/>
        <v>600</v>
      </c>
      <c r="K13" s="8">
        <f t="shared" si="1"/>
        <v>-60030</v>
      </c>
      <c r="L13" s="8">
        <f t="shared" si="2"/>
        <v>0</v>
      </c>
      <c r="M13" s="8">
        <f>SUMIFS($J$6:J12,$C$6:C12,C13,$E$6:E12,E13)</f>
        <v>0</v>
      </c>
      <c r="N13" s="8">
        <f>SUMIFS($O$6:O12,$C$6:C12,C13,$E$6:E12,E13)</f>
        <v>0</v>
      </c>
      <c r="O13" s="8">
        <f t="shared" si="3"/>
        <v>60030</v>
      </c>
      <c r="P13" s="8">
        <f t="shared" si="4"/>
        <v>0</v>
      </c>
      <c r="Q13" s="8">
        <f t="shared" si="5"/>
        <v>600</v>
      </c>
      <c r="R13" s="8">
        <f t="shared" si="6"/>
        <v>60030</v>
      </c>
      <c r="S13" s="1" t="str">
        <f>IF(OR(F13&lt;0,G13&lt;0,H13&lt;0,I13&lt;0),"Review negative input",IF(Q13&lt;-0.000001,"Review short position",IF(SUMIFS($K$7:K13,$C$7:C13,C13)&lt;-0.01,"Review negative cash",IF(COUNTIFS(History!$A$7:$A$136,B13)=0,"Review date","OK"))))</f>
        <v>OK</v>
      </c>
      <c r="T13" s="1" t="str">
        <f t="shared" si="7"/>
        <v>EVT-0007|2026-03-23|Model|BUY|SYN_BOND_ETF|600.|100.|0.|30.</v>
      </c>
      <c r="U13" s="1" t="str">
        <f>IF(COUNTIFS(Transactions!$A$7:$A$1006,A13,Transactions!$J$7:$J$1006,T13)&gt;0,"Matched","Refresh required")</f>
        <v>Matched</v>
      </c>
      <c r="V13" s="8"/>
      <c r="W13" s="8"/>
      <c r="X13" s="8"/>
      <c r="Y13" s="8"/>
      <c r="Z13" s="8"/>
      <c r="AA13" s="8"/>
      <c r="AB13" s="8"/>
      <c r="AC13" s="8"/>
      <c r="AD13" s="8"/>
      <c r="AE13" s="1"/>
    </row>
    <row r="14" spans="1:33" ht="20" customHeight="1" x14ac:dyDescent="0.35">
      <c r="A14" s="1" t="s">
        <v>99</v>
      </c>
      <c r="B14" s="21">
        <v>46104</v>
      </c>
      <c r="C14" s="1" t="s">
        <v>100</v>
      </c>
      <c r="D14" s="1" t="s">
        <v>90</v>
      </c>
      <c r="E14" s="1" t="s">
        <v>91</v>
      </c>
      <c r="F14" s="8">
        <v>0</v>
      </c>
      <c r="G14" s="8">
        <v>0</v>
      </c>
      <c r="H14" s="8">
        <v>250000</v>
      </c>
      <c r="I14" s="8">
        <v>0</v>
      </c>
      <c r="J14" s="8">
        <f t="shared" si="0"/>
        <v>0</v>
      </c>
      <c r="K14" s="8">
        <f t="shared" si="1"/>
        <v>250000</v>
      </c>
      <c r="L14" s="8">
        <f t="shared" si="2"/>
        <v>250000</v>
      </c>
      <c r="M14" s="8">
        <f>SUMIFS($J$6:J13,$C$6:C13,C14,$E$6:E13,E14)</f>
        <v>0</v>
      </c>
      <c r="N14" s="8">
        <f>SUMIFS($O$6:O13,$C$6:C13,C14,$E$6:E13,E14)</f>
        <v>0</v>
      </c>
      <c r="O14" s="8">
        <f t="shared" si="3"/>
        <v>0</v>
      </c>
      <c r="P14" s="8">
        <f t="shared" si="4"/>
        <v>0</v>
      </c>
      <c r="Q14" s="8">
        <f t="shared" si="5"/>
        <v>0</v>
      </c>
      <c r="R14" s="8">
        <f t="shared" si="6"/>
        <v>0</v>
      </c>
      <c r="S14" s="1" t="str">
        <f>IF(OR(F14&lt;0,G14&lt;0,H14&lt;0,I14&lt;0),"Review negative input",IF(Q14&lt;-0.000001,"Review short position",IF(SUMIFS($K$7:K14,$C$7:C14,C14)&lt;-0.01,"Review negative cash",IF(COUNTIFS(History!$A$7:$A$136,B14)=0,"Review date","OK"))))</f>
        <v>OK</v>
      </c>
      <c r="T14" s="1" t="str">
        <f t="shared" si="7"/>
        <v>EVT-0008|2026-03-23|Practice|DEPOSIT|CASH|0.|0.|250000.|0.</v>
      </c>
      <c r="U14" s="1" t="str">
        <f>IF(COUNTIFS(Transactions!$A$7:$A$1006,A14,Transactions!$J$7:$J$1006,T14)&gt;0,"Matched","Refresh required")</f>
        <v>Matched</v>
      </c>
      <c r="V14" s="8"/>
      <c r="W14" s="8"/>
      <c r="X14" s="8"/>
      <c r="Y14" s="8"/>
      <c r="Z14" s="8"/>
      <c r="AA14" s="8"/>
      <c r="AB14" s="8"/>
      <c r="AC14" s="8"/>
      <c r="AD14" s="8"/>
      <c r="AE14" s="1"/>
    </row>
    <row r="15" spans="1:33" ht="20" customHeight="1" x14ac:dyDescent="0.35">
      <c r="A15" s="1" t="s">
        <v>101</v>
      </c>
      <c r="B15" s="21">
        <v>46104</v>
      </c>
      <c r="C15" s="1" t="s">
        <v>100</v>
      </c>
      <c r="D15" s="1" t="s">
        <v>93</v>
      </c>
      <c r="E15" s="1" t="s">
        <v>46</v>
      </c>
      <c r="F15" s="8">
        <v>40</v>
      </c>
      <c r="G15" s="8">
        <v>550</v>
      </c>
      <c r="H15" s="8">
        <v>0</v>
      </c>
      <c r="I15" s="8">
        <v>15</v>
      </c>
      <c r="J15" s="8">
        <f t="shared" si="0"/>
        <v>40</v>
      </c>
      <c r="K15" s="8">
        <f t="shared" si="1"/>
        <v>-22015</v>
      </c>
      <c r="L15" s="8">
        <f t="shared" si="2"/>
        <v>0</v>
      </c>
      <c r="M15" s="8">
        <f>SUMIFS($J$6:J14,$C$6:C14,C15,$E$6:E14,E15)</f>
        <v>0</v>
      </c>
      <c r="N15" s="8">
        <f>SUMIFS($O$6:O14,$C$6:C14,C15,$E$6:E14,E15)</f>
        <v>0</v>
      </c>
      <c r="O15" s="8">
        <f t="shared" si="3"/>
        <v>22015</v>
      </c>
      <c r="P15" s="8">
        <f t="shared" si="4"/>
        <v>0</v>
      </c>
      <c r="Q15" s="8">
        <f t="shared" si="5"/>
        <v>40</v>
      </c>
      <c r="R15" s="8">
        <f t="shared" si="6"/>
        <v>22015</v>
      </c>
      <c r="S15" s="1" t="str">
        <f>IF(OR(F15&lt;0,G15&lt;0,H15&lt;0,I15&lt;0),"Review negative input",IF(Q15&lt;-0.000001,"Review short position",IF(SUMIFS($K$7:K15,$C$7:C15,C15)&lt;-0.01,"Review negative cash",IF(COUNTIFS(History!$A$7:$A$136,B15)=0,"Review date","OK"))))</f>
        <v>OK</v>
      </c>
      <c r="T15" s="1" t="str">
        <f t="shared" si="7"/>
        <v>EVT-0009|2026-03-23|Practice|BUY|SYN_BANK|40.|550.|0.|15.</v>
      </c>
      <c r="U15" s="1" t="str">
        <f>IF(COUNTIFS(Transactions!$A$7:$A$1006,A15,Transactions!$J$7:$J$1006,T15)&gt;0,"Matched","Refresh required")</f>
        <v>Matched</v>
      </c>
      <c r="V15" s="8"/>
      <c r="W15" s="8"/>
      <c r="X15" s="8"/>
      <c r="Y15" s="8"/>
      <c r="Z15" s="8"/>
      <c r="AA15" s="8"/>
      <c r="AB15" s="8"/>
      <c r="AC15" s="8"/>
      <c r="AD15" s="8"/>
      <c r="AE15" s="1"/>
    </row>
    <row r="16" spans="1:33" ht="20" customHeight="1" x14ac:dyDescent="0.35">
      <c r="A16" s="1" t="s">
        <v>102</v>
      </c>
      <c r="B16" s="21">
        <v>46104</v>
      </c>
      <c r="C16" s="1" t="s">
        <v>100</v>
      </c>
      <c r="D16" s="1" t="s">
        <v>93</v>
      </c>
      <c r="E16" s="1" t="s">
        <v>49</v>
      </c>
      <c r="F16" s="8">
        <v>50</v>
      </c>
      <c r="G16" s="8">
        <v>1200</v>
      </c>
      <c r="H16" s="8">
        <v>0</v>
      </c>
      <c r="I16" s="8">
        <v>15</v>
      </c>
      <c r="J16" s="8">
        <f t="shared" si="0"/>
        <v>50</v>
      </c>
      <c r="K16" s="8">
        <f t="shared" si="1"/>
        <v>-60015</v>
      </c>
      <c r="L16" s="8">
        <f t="shared" si="2"/>
        <v>0</v>
      </c>
      <c r="M16" s="8">
        <f>SUMIFS($J$6:J15,$C$6:C15,C16,$E$6:E15,E16)</f>
        <v>0</v>
      </c>
      <c r="N16" s="8">
        <f>SUMIFS($O$6:O15,$C$6:C15,C16,$E$6:E15,E16)</f>
        <v>0</v>
      </c>
      <c r="O16" s="8">
        <f t="shared" si="3"/>
        <v>60015</v>
      </c>
      <c r="P16" s="8">
        <f t="shared" si="4"/>
        <v>0</v>
      </c>
      <c r="Q16" s="8">
        <f t="shared" si="5"/>
        <v>50</v>
      </c>
      <c r="R16" s="8">
        <f t="shared" si="6"/>
        <v>60015</v>
      </c>
      <c r="S16" s="1" t="str">
        <f>IF(OR(F16&lt;0,G16&lt;0,H16&lt;0,I16&lt;0),"Review negative input",IF(Q16&lt;-0.000001,"Review short position",IF(SUMIFS($K$7:K16,$C$7:C16,C16)&lt;-0.01,"Review negative cash",IF(COUNTIFS(History!$A$7:$A$136,B16)=0,"Review date","OK"))))</f>
        <v>OK</v>
      </c>
      <c r="T16" s="1" t="str">
        <f t="shared" si="7"/>
        <v>EVT-0010|2026-03-23|Practice|BUY|SYN_TECH|50.|1200.|0.|15.</v>
      </c>
      <c r="U16" s="1" t="str">
        <f>IF(COUNTIFS(Transactions!$A$7:$A$1006,A16,Transactions!$J$7:$J$1006,T16)&gt;0,"Matched","Refresh required")</f>
        <v>Matched</v>
      </c>
      <c r="V16" s="8"/>
      <c r="W16" s="8"/>
      <c r="X16" s="8"/>
      <c r="Y16" s="8"/>
      <c r="Z16" s="8"/>
      <c r="AA16" s="8"/>
      <c r="AB16" s="8"/>
      <c r="AC16" s="8"/>
      <c r="AD16" s="8"/>
      <c r="AE16" s="1"/>
    </row>
    <row r="17" spans="1:31" ht="20" customHeight="1" x14ac:dyDescent="0.35">
      <c r="A17" s="1" t="s">
        <v>103</v>
      </c>
      <c r="B17" s="21">
        <v>46104</v>
      </c>
      <c r="C17" s="1" t="s">
        <v>100</v>
      </c>
      <c r="D17" s="1" t="s">
        <v>93</v>
      </c>
      <c r="E17" s="1" t="s">
        <v>52</v>
      </c>
      <c r="F17" s="8">
        <v>35</v>
      </c>
      <c r="G17" s="8">
        <v>850</v>
      </c>
      <c r="H17" s="8">
        <v>0</v>
      </c>
      <c r="I17" s="8">
        <v>15</v>
      </c>
      <c r="J17" s="8">
        <f t="shared" si="0"/>
        <v>35</v>
      </c>
      <c r="K17" s="8">
        <f t="shared" si="1"/>
        <v>-29765</v>
      </c>
      <c r="L17" s="8">
        <f t="shared" si="2"/>
        <v>0</v>
      </c>
      <c r="M17" s="8">
        <f>SUMIFS($J$6:J16,$C$6:C16,C17,$E$6:E16,E17)</f>
        <v>0</v>
      </c>
      <c r="N17" s="8">
        <f>SUMIFS($O$6:O16,$C$6:C16,C17,$E$6:E16,E17)</f>
        <v>0</v>
      </c>
      <c r="O17" s="8">
        <f t="shared" si="3"/>
        <v>29765</v>
      </c>
      <c r="P17" s="8">
        <f t="shared" si="4"/>
        <v>0</v>
      </c>
      <c r="Q17" s="8">
        <f t="shared" si="5"/>
        <v>35</v>
      </c>
      <c r="R17" s="8">
        <f t="shared" si="6"/>
        <v>29765</v>
      </c>
      <c r="S17" s="1" t="str">
        <f>IF(OR(F17&lt;0,G17&lt;0,H17&lt;0,I17&lt;0),"Review negative input",IF(Q17&lt;-0.000001,"Review short position",IF(SUMIFS($K$7:K17,$C$7:C17,C17)&lt;-0.01,"Review negative cash",IF(COUNTIFS(History!$A$7:$A$136,B17)=0,"Review date","OK"))))</f>
        <v>OK</v>
      </c>
      <c r="T17" s="1" t="str">
        <f t="shared" si="7"/>
        <v>EVT-0011|2026-03-23|Practice|BUY|SYN_HEALTH|35.|850.|0.|15.</v>
      </c>
      <c r="U17" s="1" t="str">
        <f>IF(COUNTIFS(Transactions!$A$7:$A$1006,A17,Transactions!$J$7:$J$1006,T17)&gt;0,"Matched","Refresh required")</f>
        <v>Matched</v>
      </c>
      <c r="V17" s="8"/>
      <c r="W17" s="8"/>
      <c r="X17" s="8"/>
      <c r="Y17" s="8"/>
      <c r="Z17" s="8"/>
      <c r="AA17" s="8"/>
      <c r="AB17" s="8"/>
      <c r="AC17" s="8"/>
      <c r="AD17" s="8"/>
      <c r="AE17" s="1"/>
    </row>
    <row r="18" spans="1:31" ht="20" customHeight="1" x14ac:dyDescent="0.35">
      <c r="A18" s="1" t="s">
        <v>104</v>
      </c>
      <c r="B18" s="21">
        <v>46104</v>
      </c>
      <c r="C18" s="1" t="s">
        <v>100</v>
      </c>
      <c r="D18" s="1" t="s">
        <v>93</v>
      </c>
      <c r="E18" s="1" t="s">
        <v>55</v>
      </c>
      <c r="F18" s="8">
        <v>90</v>
      </c>
      <c r="G18" s="8">
        <v>430</v>
      </c>
      <c r="H18" s="8">
        <v>0</v>
      </c>
      <c r="I18" s="8">
        <v>15</v>
      </c>
      <c r="J18" s="8">
        <f t="shared" si="0"/>
        <v>90</v>
      </c>
      <c r="K18" s="8">
        <f t="shared" si="1"/>
        <v>-38715</v>
      </c>
      <c r="L18" s="8">
        <f t="shared" si="2"/>
        <v>0</v>
      </c>
      <c r="M18" s="8">
        <f>SUMIFS($J$6:J17,$C$6:C17,C18,$E$6:E17,E18)</f>
        <v>0</v>
      </c>
      <c r="N18" s="8">
        <f>SUMIFS($O$6:O17,$C$6:C17,C18,$E$6:E17,E18)</f>
        <v>0</v>
      </c>
      <c r="O18" s="8">
        <f t="shared" si="3"/>
        <v>38715</v>
      </c>
      <c r="P18" s="8">
        <f t="shared" si="4"/>
        <v>0</v>
      </c>
      <c r="Q18" s="8">
        <f t="shared" si="5"/>
        <v>90</v>
      </c>
      <c r="R18" s="8">
        <f t="shared" si="6"/>
        <v>38715</v>
      </c>
      <c r="S18" s="1" t="str">
        <f>IF(OR(F18&lt;0,G18&lt;0,H18&lt;0,I18&lt;0),"Review negative input",IF(Q18&lt;-0.000001,"Review short position",IF(SUMIFS($K$7:K18,$C$7:C18,C18)&lt;-0.01,"Review negative cash",IF(COUNTIFS(History!$A$7:$A$136,B18)=0,"Review date","OK"))))</f>
        <v>OK</v>
      </c>
      <c r="T18" s="1" t="str">
        <f t="shared" si="7"/>
        <v>EVT-0012|2026-03-23|Practice|BUY|SYN_INDUSTRY|90.|430.|0.|15.</v>
      </c>
      <c r="U18" s="1" t="str">
        <f>IF(COUNTIFS(Transactions!$A$7:$A$1006,A18,Transactions!$J$7:$J$1006,T18)&gt;0,"Matched","Refresh required")</f>
        <v>Matched</v>
      </c>
      <c r="V18" s="8"/>
      <c r="W18" s="8"/>
      <c r="X18" s="8"/>
      <c r="Y18" s="8"/>
      <c r="Z18" s="8"/>
      <c r="AA18" s="8"/>
      <c r="AB18" s="8"/>
      <c r="AC18" s="8"/>
      <c r="AD18" s="8"/>
      <c r="AE18" s="1"/>
    </row>
    <row r="19" spans="1:31" ht="20" customHeight="1" x14ac:dyDescent="0.35">
      <c r="A19" s="1" t="s">
        <v>105</v>
      </c>
      <c r="B19" s="21">
        <v>46104</v>
      </c>
      <c r="C19" s="1" t="s">
        <v>100</v>
      </c>
      <c r="D19" s="1" t="s">
        <v>93</v>
      </c>
      <c r="E19" s="1" t="s">
        <v>58</v>
      </c>
      <c r="F19" s="8">
        <v>200</v>
      </c>
      <c r="G19" s="8">
        <v>250</v>
      </c>
      <c r="H19" s="8">
        <v>0</v>
      </c>
      <c r="I19" s="8">
        <v>15</v>
      </c>
      <c r="J19" s="8">
        <f t="shared" si="0"/>
        <v>200</v>
      </c>
      <c r="K19" s="8">
        <f t="shared" si="1"/>
        <v>-50015</v>
      </c>
      <c r="L19" s="8">
        <f t="shared" si="2"/>
        <v>0</v>
      </c>
      <c r="M19" s="8">
        <f>SUMIFS($J$6:J18,$C$6:C18,C19,$E$6:E18,E19)</f>
        <v>0</v>
      </c>
      <c r="N19" s="8">
        <f>SUMIFS($O$6:O18,$C$6:C18,C19,$E$6:E18,E19)</f>
        <v>0</v>
      </c>
      <c r="O19" s="8">
        <f t="shared" si="3"/>
        <v>50015</v>
      </c>
      <c r="P19" s="8">
        <f t="shared" si="4"/>
        <v>0</v>
      </c>
      <c r="Q19" s="8">
        <f t="shared" si="5"/>
        <v>200</v>
      </c>
      <c r="R19" s="8">
        <f t="shared" si="6"/>
        <v>50015</v>
      </c>
      <c r="S19" s="1" t="str">
        <f>IF(OR(F19&lt;0,G19&lt;0,H19&lt;0,I19&lt;0),"Review negative input",IF(Q19&lt;-0.000001,"Review short position",IF(SUMIFS($K$7:K19,$C$7:C19,C19)&lt;-0.01,"Review negative cash",IF(COUNTIFS(History!$A$7:$A$136,B19)=0,"Review date","OK"))))</f>
        <v>OK</v>
      </c>
      <c r="T19" s="1" t="str">
        <f t="shared" si="7"/>
        <v>EVT-0013|2026-03-23|Practice|BUY|SYN_BROAD_ETF|200.|250.|0.|15.</v>
      </c>
      <c r="U19" s="1" t="str">
        <f>IF(COUNTIFS(Transactions!$A$7:$A$1006,A19,Transactions!$J$7:$J$1006,T19)&gt;0,"Matched","Refresh required")</f>
        <v>Matched</v>
      </c>
      <c r="V19" s="8"/>
      <c r="W19" s="8"/>
      <c r="X19" s="8"/>
      <c r="Y19" s="8"/>
      <c r="Z19" s="8"/>
      <c r="AA19" s="8"/>
      <c r="AB19" s="8"/>
      <c r="AC19" s="8"/>
      <c r="AD19" s="8"/>
      <c r="AE19" s="1"/>
    </row>
    <row r="20" spans="1:31" ht="20" customHeight="1" x14ac:dyDescent="0.35">
      <c r="A20" s="1" t="s">
        <v>106</v>
      </c>
      <c r="B20" s="21">
        <v>46104</v>
      </c>
      <c r="C20" s="1" t="s">
        <v>100</v>
      </c>
      <c r="D20" s="1" t="s">
        <v>93</v>
      </c>
      <c r="E20" s="1" t="s">
        <v>61</v>
      </c>
      <c r="F20" s="8">
        <v>300</v>
      </c>
      <c r="G20" s="8">
        <v>100</v>
      </c>
      <c r="H20" s="8">
        <v>0</v>
      </c>
      <c r="I20" s="8">
        <v>15</v>
      </c>
      <c r="J20" s="8">
        <f t="shared" si="0"/>
        <v>300</v>
      </c>
      <c r="K20" s="8">
        <f t="shared" si="1"/>
        <v>-30015</v>
      </c>
      <c r="L20" s="8">
        <f t="shared" si="2"/>
        <v>0</v>
      </c>
      <c r="M20" s="8">
        <f>SUMIFS($J$6:J19,$C$6:C19,C20,$E$6:E19,E20)</f>
        <v>0</v>
      </c>
      <c r="N20" s="8">
        <f>SUMIFS($O$6:O19,$C$6:C19,C20,$E$6:E19,E20)</f>
        <v>0</v>
      </c>
      <c r="O20" s="8">
        <f t="shared" si="3"/>
        <v>30015</v>
      </c>
      <c r="P20" s="8">
        <f t="shared" si="4"/>
        <v>0</v>
      </c>
      <c r="Q20" s="8">
        <f t="shared" si="5"/>
        <v>300</v>
      </c>
      <c r="R20" s="8">
        <f t="shared" si="6"/>
        <v>30015</v>
      </c>
      <c r="S20" s="1" t="str">
        <f>IF(OR(F20&lt;0,G20&lt;0,H20&lt;0,I20&lt;0),"Review negative input",IF(Q20&lt;-0.000001,"Review short position",IF(SUMIFS($K$7:K20,$C$7:C20,C20)&lt;-0.01,"Review negative cash",IF(COUNTIFS(History!$A$7:$A$136,B20)=0,"Review date","OK"))))</f>
        <v>OK</v>
      </c>
      <c r="T20" s="1" t="str">
        <f t="shared" si="7"/>
        <v>EVT-0014|2026-03-23|Practice|BUY|SYN_BOND_ETF|300.|100.|0.|15.</v>
      </c>
      <c r="U20" s="1" t="str">
        <f>IF(COUNTIFS(Transactions!$A$7:$A$1006,A20,Transactions!$J$7:$J$1006,T20)&gt;0,"Matched","Refresh required")</f>
        <v>Matched</v>
      </c>
      <c r="V20" s="8"/>
      <c r="W20" s="8"/>
      <c r="X20" s="8"/>
      <c r="Y20" s="8"/>
      <c r="Z20" s="8"/>
      <c r="AA20" s="8"/>
      <c r="AB20" s="8"/>
      <c r="AC20" s="8"/>
      <c r="AD20" s="8"/>
      <c r="AE20" s="1"/>
    </row>
    <row r="21" spans="1:31" ht="20" customHeight="1" x14ac:dyDescent="0.35">
      <c r="A21" s="1" t="s">
        <v>107</v>
      </c>
      <c r="B21" s="21">
        <v>46139</v>
      </c>
      <c r="C21" s="1" t="s">
        <v>1</v>
      </c>
      <c r="D21" s="1" t="s">
        <v>90</v>
      </c>
      <c r="E21" s="1" t="s">
        <v>91</v>
      </c>
      <c r="F21" s="8">
        <v>0</v>
      </c>
      <c r="G21" s="8">
        <v>0</v>
      </c>
      <c r="H21" s="8">
        <v>50000</v>
      </c>
      <c r="I21" s="8">
        <v>0</v>
      </c>
      <c r="J21" s="8">
        <f t="shared" si="0"/>
        <v>0</v>
      </c>
      <c r="K21" s="8">
        <f t="shared" si="1"/>
        <v>50000</v>
      </c>
      <c r="L21" s="8">
        <f t="shared" si="2"/>
        <v>50000</v>
      </c>
      <c r="M21" s="8">
        <f>SUMIFS($J$6:J20,$C$6:C20,C21,$E$6:E20,E21)</f>
        <v>0</v>
      </c>
      <c r="N21" s="8">
        <f>SUMIFS($O$6:O20,$C$6:C20,C21,$E$6:E20,E21)</f>
        <v>0</v>
      </c>
      <c r="O21" s="8">
        <f t="shared" si="3"/>
        <v>0</v>
      </c>
      <c r="P21" s="8">
        <f t="shared" si="4"/>
        <v>0</v>
      </c>
      <c r="Q21" s="8">
        <f t="shared" si="5"/>
        <v>0</v>
      </c>
      <c r="R21" s="8">
        <f t="shared" si="6"/>
        <v>0</v>
      </c>
      <c r="S21" s="1" t="str">
        <f>IF(OR(F21&lt;0,G21&lt;0,H21&lt;0,I21&lt;0),"Review negative input",IF(Q21&lt;-0.000001,"Review short position",IF(SUMIFS($K$7:K21,$C$7:C21,C21)&lt;-0.01,"Review negative cash",IF(COUNTIFS(History!$A$7:$A$136,B21)=0,"Review date","OK"))))</f>
        <v>OK</v>
      </c>
      <c r="T21" s="1" t="str">
        <f t="shared" si="7"/>
        <v>EVT-0015|2026-04-27|Model|DEPOSIT|CASH|0.|0.|50000.|0.</v>
      </c>
      <c r="U21" s="1" t="str">
        <f>IF(COUNTIFS(Transactions!$A$7:$A$1006,A21,Transactions!$J$7:$J$1006,T21)&gt;0,"Matched","Refresh required")</f>
        <v>Matched</v>
      </c>
      <c r="V21" s="8"/>
      <c r="W21" s="8"/>
      <c r="X21" s="8"/>
      <c r="Y21" s="8"/>
      <c r="Z21" s="8"/>
      <c r="AA21" s="8"/>
      <c r="AB21" s="8"/>
      <c r="AC21" s="8"/>
      <c r="AD21" s="8"/>
      <c r="AE21" s="1"/>
    </row>
    <row r="22" spans="1:31" ht="20" customHeight="1" x14ac:dyDescent="0.35">
      <c r="A22" s="1" t="s">
        <v>108</v>
      </c>
      <c r="B22" s="21">
        <v>46141</v>
      </c>
      <c r="C22" s="1" t="s">
        <v>1</v>
      </c>
      <c r="D22" s="1" t="s">
        <v>93</v>
      </c>
      <c r="E22" s="1" t="s">
        <v>46</v>
      </c>
      <c r="F22" s="8">
        <v>20</v>
      </c>
      <c r="G22" s="8">
        <v>518.53510000000006</v>
      </c>
      <c r="H22" s="8">
        <v>0</v>
      </c>
      <c r="I22" s="8">
        <v>20</v>
      </c>
      <c r="J22" s="8">
        <f t="shared" si="0"/>
        <v>20</v>
      </c>
      <c r="K22" s="8">
        <f t="shared" si="1"/>
        <v>-10390.702000000001</v>
      </c>
      <c r="L22" s="8">
        <f t="shared" si="2"/>
        <v>0</v>
      </c>
      <c r="M22" s="8">
        <f>SUMIFS($J$6:J21,$C$6:C21,C22,$E$6:E21,E22)</f>
        <v>80</v>
      </c>
      <c r="N22" s="8">
        <f>SUMIFS($O$6:O21,$C$6:C21,C22,$E$6:E21,E22)</f>
        <v>44030</v>
      </c>
      <c r="O22" s="8">
        <f t="shared" si="3"/>
        <v>10390.702000000001</v>
      </c>
      <c r="P22" s="8">
        <f t="shared" si="4"/>
        <v>0</v>
      </c>
      <c r="Q22" s="8">
        <f t="shared" si="5"/>
        <v>100</v>
      </c>
      <c r="R22" s="8">
        <f t="shared" si="6"/>
        <v>54420.702000000005</v>
      </c>
      <c r="S22" s="1" t="str">
        <f>IF(OR(F22&lt;0,G22&lt;0,H22&lt;0,I22&lt;0),"Review negative input",IF(Q22&lt;-0.000001,"Review short position",IF(SUMIFS($K$7:K22,$C$7:C22,C22)&lt;-0.01,"Review negative cash",IF(COUNTIFS(History!$A$7:$A$136,B22)=0,"Review date","OK"))))</f>
        <v>OK</v>
      </c>
      <c r="T22" s="1" t="str">
        <f t="shared" si="7"/>
        <v>EVT-0016|2026-04-29|Model|BUY|SYN_BANK|20.|518.5351|0.|20.</v>
      </c>
      <c r="U22" s="1" t="str">
        <f>IF(COUNTIFS(Transactions!$A$7:$A$1006,A22,Transactions!$J$7:$J$1006,T22)&gt;0,"Matched","Refresh required")</f>
        <v>Matched</v>
      </c>
      <c r="V22" s="8"/>
      <c r="W22" s="8"/>
      <c r="X22" s="8"/>
      <c r="Y22" s="8"/>
      <c r="Z22" s="8"/>
      <c r="AA22" s="8"/>
      <c r="AB22" s="8"/>
      <c r="AC22" s="8"/>
      <c r="AD22" s="8"/>
      <c r="AE22" s="1"/>
    </row>
    <row r="23" spans="1:31" ht="20" customHeight="1" x14ac:dyDescent="0.35">
      <c r="A23" s="1" t="s">
        <v>109</v>
      </c>
      <c r="B23" s="21">
        <v>46147</v>
      </c>
      <c r="C23" s="1" t="s">
        <v>100</v>
      </c>
      <c r="D23" s="1" t="s">
        <v>90</v>
      </c>
      <c r="E23" s="1" t="s">
        <v>91</v>
      </c>
      <c r="F23" s="8">
        <v>0</v>
      </c>
      <c r="G23" s="8">
        <v>0</v>
      </c>
      <c r="H23" s="8">
        <v>25000</v>
      </c>
      <c r="I23" s="8">
        <v>0</v>
      </c>
      <c r="J23" s="8">
        <f t="shared" si="0"/>
        <v>0</v>
      </c>
      <c r="K23" s="8">
        <f t="shared" si="1"/>
        <v>25000</v>
      </c>
      <c r="L23" s="8">
        <f t="shared" si="2"/>
        <v>25000</v>
      </c>
      <c r="M23" s="8">
        <f>SUMIFS($J$6:J22,$C$6:C22,C23,$E$6:E22,E23)</f>
        <v>0</v>
      </c>
      <c r="N23" s="8">
        <f>SUMIFS($O$6:O22,$C$6:C22,C23,$E$6:E22,E23)</f>
        <v>0</v>
      </c>
      <c r="O23" s="8">
        <f t="shared" si="3"/>
        <v>0</v>
      </c>
      <c r="P23" s="8">
        <f t="shared" si="4"/>
        <v>0</v>
      </c>
      <c r="Q23" s="8">
        <f t="shared" si="5"/>
        <v>0</v>
      </c>
      <c r="R23" s="8">
        <f t="shared" si="6"/>
        <v>0</v>
      </c>
      <c r="S23" s="1" t="str">
        <f>IF(OR(F23&lt;0,G23&lt;0,H23&lt;0,I23&lt;0),"Review negative input",IF(Q23&lt;-0.000001,"Review short position",IF(SUMIFS($K$7:K23,$C$7:C23,C23)&lt;-0.01,"Review negative cash",IF(COUNTIFS(History!$A$7:$A$136,B23)=0,"Review date","OK"))))</f>
        <v>OK</v>
      </c>
      <c r="T23" s="1" t="str">
        <f t="shared" si="7"/>
        <v>EVT-0017|2026-05-05|Practice|DEPOSIT|CASH|0.|0.|25000.|0.</v>
      </c>
      <c r="U23" s="1" t="str">
        <f>IF(COUNTIFS(Transactions!$A$7:$A$1006,A23,Transactions!$J$7:$J$1006,T23)&gt;0,"Matched","Refresh required")</f>
        <v>Matched</v>
      </c>
      <c r="V23" s="8"/>
      <c r="W23" s="8"/>
      <c r="X23" s="8"/>
      <c r="Y23" s="8"/>
      <c r="Z23" s="8"/>
      <c r="AA23" s="8"/>
      <c r="AB23" s="8"/>
      <c r="AC23" s="8"/>
      <c r="AD23" s="8"/>
      <c r="AE23" s="1"/>
    </row>
    <row r="24" spans="1:31" ht="20" customHeight="1" x14ac:dyDescent="0.35">
      <c r="A24" s="1" t="s">
        <v>110</v>
      </c>
      <c r="B24" s="21">
        <v>46150</v>
      </c>
      <c r="C24" s="1" t="s">
        <v>100</v>
      </c>
      <c r="D24" s="1" t="s">
        <v>93</v>
      </c>
      <c r="E24" s="1" t="s">
        <v>46</v>
      </c>
      <c r="F24" s="8">
        <v>10</v>
      </c>
      <c r="G24" s="8">
        <v>508.28710000000001</v>
      </c>
      <c r="H24" s="8">
        <v>0</v>
      </c>
      <c r="I24" s="8">
        <v>15</v>
      </c>
      <c r="J24" s="8">
        <f t="shared" si="0"/>
        <v>10</v>
      </c>
      <c r="K24" s="8">
        <f t="shared" si="1"/>
        <v>-5097.8710000000001</v>
      </c>
      <c r="L24" s="8">
        <f t="shared" si="2"/>
        <v>0</v>
      </c>
      <c r="M24" s="8">
        <f>SUMIFS($J$6:J23,$C$6:C23,C24,$E$6:E23,E24)</f>
        <v>40</v>
      </c>
      <c r="N24" s="8">
        <f>SUMIFS($O$6:O23,$C$6:C23,C24,$E$6:E23,E24)</f>
        <v>22015</v>
      </c>
      <c r="O24" s="8">
        <f t="shared" si="3"/>
        <v>5097.8710000000001</v>
      </c>
      <c r="P24" s="8">
        <f t="shared" si="4"/>
        <v>0</v>
      </c>
      <c r="Q24" s="8">
        <f t="shared" si="5"/>
        <v>50</v>
      </c>
      <c r="R24" s="8">
        <f t="shared" si="6"/>
        <v>27112.870999999999</v>
      </c>
      <c r="S24" s="1" t="str">
        <f>IF(OR(F24&lt;0,G24&lt;0,H24&lt;0,I24&lt;0),"Review negative input",IF(Q24&lt;-0.000001,"Review short position",IF(SUMIFS($K$7:K24,$C$7:C24,C24)&lt;-0.01,"Review negative cash",IF(COUNTIFS(History!$A$7:$A$136,B24)=0,"Review date","OK"))))</f>
        <v>OK</v>
      </c>
      <c r="T24" s="1" t="str">
        <f t="shared" si="7"/>
        <v>EVT-0018|2026-05-08|Practice|BUY|SYN_BANK|10.|508.2871|0.|15.</v>
      </c>
      <c r="U24" s="1" t="str">
        <f>IF(COUNTIFS(Transactions!$A$7:$A$1006,A24,Transactions!$J$7:$J$1006,T24)&gt;0,"Matched","Refresh required")</f>
        <v>Matched</v>
      </c>
      <c r="V24" s="8"/>
      <c r="W24" s="8"/>
      <c r="X24" s="8"/>
      <c r="Y24" s="8"/>
      <c r="Z24" s="8"/>
      <c r="AA24" s="8"/>
      <c r="AB24" s="8"/>
      <c r="AC24" s="8"/>
      <c r="AD24" s="8"/>
      <c r="AE24" s="1"/>
    </row>
    <row r="25" spans="1:31" ht="20" customHeight="1" x14ac:dyDescent="0.35">
      <c r="A25" s="1" t="s">
        <v>111</v>
      </c>
      <c r="B25" s="21">
        <v>46160</v>
      </c>
      <c r="C25" s="1" t="s">
        <v>1</v>
      </c>
      <c r="D25" s="1" t="s">
        <v>93</v>
      </c>
      <c r="E25" s="1" t="s">
        <v>58</v>
      </c>
      <c r="F25" s="8">
        <v>80</v>
      </c>
      <c r="G25" s="8">
        <v>248.11279999999999</v>
      </c>
      <c r="H25" s="8">
        <v>0</v>
      </c>
      <c r="I25" s="8">
        <v>20</v>
      </c>
      <c r="J25" s="8">
        <f t="shared" si="0"/>
        <v>80</v>
      </c>
      <c r="K25" s="8">
        <f t="shared" si="1"/>
        <v>-19869.023999999998</v>
      </c>
      <c r="L25" s="8">
        <f t="shared" si="2"/>
        <v>0</v>
      </c>
      <c r="M25" s="8">
        <f>SUMIFS($J$6:J24,$C$6:C24,C25,$E$6:E24,E25)</f>
        <v>400</v>
      </c>
      <c r="N25" s="8">
        <f>SUMIFS($O$6:O24,$C$6:C24,C25,$E$6:E24,E25)</f>
        <v>100030</v>
      </c>
      <c r="O25" s="8">
        <f t="shared" si="3"/>
        <v>19869.023999999998</v>
      </c>
      <c r="P25" s="8">
        <f t="shared" si="4"/>
        <v>0</v>
      </c>
      <c r="Q25" s="8">
        <f t="shared" si="5"/>
        <v>480</v>
      </c>
      <c r="R25" s="8">
        <f t="shared" si="6"/>
        <v>119899.024</v>
      </c>
      <c r="S25" s="1" t="str">
        <f>IF(OR(F25&lt;0,G25&lt;0,H25&lt;0,I25&lt;0),"Review negative input",IF(Q25&lt;-0.000001,"Review short position",IF(SUMIFS($K$7:K25,$C$7:C25,C25)&lt;-0.01,"Review negative cash",IF(COUNTIFS(History!$A$7:$A$136,B25)=0,"Review date","OK"))))</f>
        <v>OK</v>
      </c>
      <c r="T25" s="1" t="str">
        <f t="shared" si="7"/>
        <v>EVT-0019|2026-05-18|Model|BUY|SYN_BROAD_ETF|80.|248.1128|0.|20.</v>
      </c>
      <c r="U25" s="1" t="str">
        <f>IF(COUNTIFS(Transactions!$A$7:$A$1006,A25,Transactions!$J$7:$J$1006,T25)&gt;0,"Matched","Refresh required")</f>
        <v>Matched</v>
      </c>
      <c r="V25" s="8"/>
      <c r="W25" s="8"/>
      <c r="X25" s="8"/>
      <c r="Y25" s="8"/>
      <c r="Z25" s="8"/>
      <c r="AA25" s="8"/>
      <c r="AB25" s="8"/>
      <c r="AC25" s="8"/>
      <c r="AD25" s="8"/>
      <c r="AE25" s="1"/>
    </row>
    <row r="26" spans="1:31" ht="20" customHeight="1" x14ac:dyDescent="0.35">
      <c r="A26" s="1" t="s">
        <v>112</v>
      </c>
      <c r="B26" s="21">
        <v>46162</v>
      </c>
      <c r="C26" s="1" t="s">
        <v>100</v>
      </c>
      <c r="D26" s="1" t="s">
        <v>93</v>
      </c>
      <c r="E26" s="1" t="s">
        <v>58</v>
      </c>
      <c r="F26" s="8">
        <v>40</v>
      </c>
      <c r="G26" s="8">
        <v>247.93969999999999</v>
      </c>
      <c r="H26" s="8">
        <v>0</v>
      </c>
      <c r="I26" s="8">
        <v>15</v>
      </c>
      <c r="J26" s="8">
        <f t="shared" si="0"/>
        <v>40</v>
      </c>
      <c r="K26" s="8">
        <f t="shared" si="1"/>
        <v>-9932.5879999999997</v>
      </c>
      <c r="L26" s="8">
        <f t="shared" si="2"/>
        <v>0</v>
      </c>
      <c r="M26" s="8">
        <f>SUMIFS($J$6:J25,$C$6:C25,C26,$E$6:E25,E26)</f>
        <v>200</v>
      </c>
      <c r="N26" s="8">
        <f>SUMIFS($O$6:O25,$C$6:C25,C26,$E$6:E25,E26)</f>
        <v>50015</v>
      </c>
      <c r="O26" s="8">
        <f t="shared" si="3"/>
        <v>9932.5879999999997</v>
      </c>
      <c r="P26" s="8">
        <f t="shared" si="4"/>
        <v>0</v>
      </c>
      <c r="Q26" s="8">
        <f t="shared" si="5"/>
        <v>240</v>
      </c>
      <c r="R26" s="8">
        <f t="shared" si="6"/>
        <v>59947.588000000003</v>
      </c>
      <c r="S26" s="1" t="str">
        <f>IF(OR(F26&lt;0,G26&lt;0,H26&lt;0,I26&lt;0),"Review negative input",IF(Q26&lt;-0.000001,"Review short position",IF(SUMIFS($K$7:K26,$C$7:C26,C26)&lt;-0.01,"Review negative cash",IF(COUNTIFS(History!$A$7:$A$136,B26)=0,"Review date","OK"))))</f>
        <v>OK</v>
      </c>
      <c r="T26" s="1" t="str">
        <f t="shared" si="7"/>
        <v>EVT-0020|2026-05-20|Practice|BUY|SYN_BROAD_ETF|40.|247.9397|0.|15.</v>
      </c>
      <c r="U26" s="1" t="str">
        <f>IF(COUNTIFS(Transactions!$A$7:$A$1006,A26,Transactions!$J$7:$J$1006,T26)&gt;0,"Matched","Refresh required")</f>
        <v>Matched</v>
      </c>
      <c r="V26" s="8"/>
      <c r="W26" s="8"/>
      <c r="X26" s="8"/>
      <c r="Y26" s="8"/>
      <c r="Z26" s="8"/>
      <c r="AA26" s="8"/>
      <c r="AB26" s="8"/>
      <c r="AC26" s="8"/>
      <c r="AD26" s="8"/>
      <c r="AE26" s="1"/>
    </row>
    <row r="27" spans="1:31" ht="20" customHeight="1" x14ac:dyDescent="0.35">
      <c r="A27" s="1" t="s">
        <v>113</v>
      </c>
      <c r="B27" s="21">
        <v>46177</v>
      </c>
      <c r="C27" s="1" t="s">
        <v>1</v>
      </c>
      <c r="D27" s="1" t="s">
        <v>114</v>
      </c>
      <c r="E27" s="1" t="s">
        <v>55</v>
      </c>
      <c r="F27" s="8">
        <v>50</v>
      </c>
      <c r="G27" s="8">
        <v>410.0675</v>
      </c>
      <c r="H27" s="8">
        <v>0</v>
      </c>
      <c r="I27" s="8">
        <v>25</v>
      </c>
      <c r="J27" s="8">
        <f t="shared" si="0"/>
        <v>-50</v>
      </c>
      <c r="K27" s="8">
        <f t="shared" si="1"/>
        <v>20478.375</v>
      </c>
      <c r="L27" s="8">
        <f t="shared" si="2"/>
        <v>0</v>
      </c>
      <c r="M27" s="8">
        <f>SUMIFS($J$6:J26,$C$6:C26,C27,$E$6:E26,E27)</f>
        <v>180</v>
      </c>
      <c r="N27" s="8">
        <f>SUMIFS($O$6:O26,$C$6:C26,C27,$E$6:E26,E27)</f>
        <v>77430</v>
      </c>
      <c r="O27" s="8">
        <f t="shared" si="3"/>
        <v>-21508.333333333332</v>
      </c>
      <c r="P27" s="8">
        <f t="shared" si="4"/>
        <v>-1029.9583333333321</v>
      </c>
      <c r="Q27" s="8">
        <f t="shared" si="5"/>
        <v>130</v>
      </c>
      <c r="R27" s="8">
        <f t="shared" si="6"/>
        <v>55921.666666666672</v>
      </c>
      <c r="S27" s="1" t="str">
        <f>IF(OR(F27&lt;0,G27&lt;0,H27&lt;0,I27&lt;0),"Review negative input",IF(Q27&lt;-0.000001,"Review short position",IF(SUMIFS($K$7:K27,$C$7:C27,C27)&lt;-0.01,"Review negative cash",IF(COUNTIFS(History!$A$7:$A$136,B27)=0,"Review date","OK"))))</f>
        <v>OK</v>
      </c>
      <c r="T27" s="1" t="str">
        <f t="shared" si="7"/>
        <v>EVT-0021|2026-06-04|Model|SELL|SYN_INDUSTRY|50.|410.0675|0.|25.</v>
      </c>
      <c r="U27" s="1" t="str">
        <f>IF(COUNTIFS(Transactions!$A$7:$A$1006,A27,Transactions!$J$7:$J$1006,T27)&gt;0,"Matched","Refresh required")</f>
        <v>Matched</v>
      </c>
      <c r="V27" s="8"/>
      <c r="W27" s="8"/>
      <c r="X27" s="8"/>
      <c r="Y27" s="8"/>
      <c r="Z27" s="8"/>
      <c r="AA27" s="8"/>
      <c r="AB27" s="8"/>
      <c r="AC27" s="8"/>
      <c r="AD27" s="8"/>
      <c r="AE27" s="1"/>
    </row>
    <row r="28" spans="1:31" ht="20" customHeight="1" x14ac:dyDescent="0.35">
      <c r="A28" s="1" t="s">
        <v>115</v>
      </c>
      <c r="B28" s="21">
        <v>46188</v>
      </c>
      <c r="C28" s="1" t="s">
        <v>100</v>
      </c>
      <c r="D28" s="1" t="s">
        <v>114</v>
      </c>
      <c r="E28" s="1" t="s">
        <v>55</v>
      </c>
      <c r="F28" s="8">
        <v>20</v>
      </c>
      <c r="G28" s="8">
        <v>417.55799999999999</v>
      </c>
      <c r="H28" s="8">
        <v>0</v>
      </c>
      <c r="I28" s="8">
        <v>15</v>
      </c>
      <c r="J28" s="8">
        <f t="shared" si="0"/>
        <v>-20</v>
      </c>
      <c r="K28" s="8">
        <f t="shared" si="1"/>
        <v>8336.16</v>
      </c>
      <c r="L28" s="8">
        <f t="shared" si="2"/>
        <v>0</v>
      </c>
      <c r="M28" s="8">
        <f>SUMIFS($J$6:J27,$C$6:C27,C28,$E$6:E27,E28)</f>
        <v>90</v>
      </c>
      <c r="N28" s="8">
        <f>SUMIFS($O$6:O27,$C$6:C27,C28,$E$6:E27,E28)</f>
        <v>38715</v>
      </c>
      <c r="O28" s="8">
        <f t="shared" si="3"/>
        <v>-8603.3333333333339</v>
      </c>
      <c r="P28" s="8">
        <f t="shared" si="4"/>
        <v>-267.17333333333409</v>
      </c>
      <c r="Q28" s="8">
        <f t="shared" si="5"/>
        <v>70</v>
      </c>
      <c r="R28" s="8">
        <f t="shared" si="6"/>
        <v>30111.666666666664</v>
      </c>
      <c r="S28" s="1" t="str">
        <f>IF(OR(F28&lt;0,G28&lt;0,H28&lt;0,I28&lt;0),"Review negative input",IF(Q28&lt;-0.000001,"Review short position",IF(SUMIFS($K$7:K28,$C$7:C28,C28)&lt;-0.01,"Review negative cash",IF(COUNTIFS(History!$A$7:$A$136,B28)=0,"Review date","OK"))))</f>
        <v>OK</v>
      </c>
      <c r="T28" s="1" t="str">
        <f t="shared" si="7"/>
        <v>EVT-0022|2026-06-15|Practice|SELL|SYN_INDUSTRY|20.|417.558|0.|15.</v>
      </c>
      <c r="U28" s="1" t="str">
        <f>IF(COUNTIFS(Transactions!$A$7:$A$1006,A28,Transactions!$J$7:$J$1006,T28)&gt;0,"Matched","Refresh required")</f>
        <v>Matched</v>
      </c>
      <c r="V28" s="8"/>
      <c r="W28" s="8"/>
      <c r="X28" s="8"/>
      <c r="Y28" s="8"/>
      <c r="Z28" s="8"/>
      <c r="AA28" s="8"/>
      <c r="AB28" s="8"/>
      <c r="AC28" s="8"/>
      <c r="AD28" s="8"/>
      <c r="AE28" s="1"/>
    </row>
    <row r="29" spans="1:31" ht="20" customHeight="1" x14ac:dyDescent="0.35">
      <c r="A29" s="1" t="s">
        <v>116</v>
      </c>
      <c r="B29" s="21">
        <v>46195</v>
      </c>
      <c r="C29" s="1" t="s">
        <v>1</v>
      </c>
      <c r="D29" s="1" t="s">
        <v>117</v>
      </c>
      <c r="E29" s="1" t="s">
        <v>49</v>
      </c>
      <c r="F29" s="8">
        <v>100</v>
      </c>
      <c r="G29" s="8">
        <v>0</v>
      </c>
      <c r="H29" s="8">
        <v>0</v>
      </c>
      <c r="I29" s="8">
        <v>0</v>
      </c>
      <c r="J29" s="8">
        <f t="shared" si="0"/>
        <v>100</v>
      </c>
      <c r="K29" s="8">
        <f t="shared" si="1"/>
        <v>0</v>
      </c>
      <c r="L29" s="8">
        <f t="shared" si="2"/>
        <v>0</v>
      </c>
      <c r="M29" s="8">
        <f>SUMIFS($J$6:J28,$C$6:C28,C29,$E$6:E28,E29)</f>
        <v>100</v>
      </c>
      <c r="N29" s="8">
        <f>SUMIFS($O$6:O28,$C$6:C28,C29,$E$6:E28,E29)</f>
        <v>120030</v>
      </c>
      <c r="O29" s="8">
        <f t="shared" si="3"/>
        <v>0</v>
      </c>
      <c r="P29" s="8">
        <f t="shared" si="4"/>
        <v>0</v>
      </c>
      <c r="Q29" s="8">
        <f t="shared" si="5"/>
        <v>200</v>
      </c>
      <c r="R29" s="8">
        <f t="shared" si="6"/>
        <v>120030</v>
      </c>
      <c r="S29" s="1" t="str">
        <f>IF(OR(F29&lt;0,G29&lt;0,H29&lt;0,I29&lt;0),"Review negative input",IF(Q29&lt;-0.000001,"Review short position",IF(SUMIFS($K$7:K29,$C$7:C29,C29)&lt;-0.01,"Review negative cash",IF(COUNTIFS(History!$A$7:$A$136,B29)=0,"Review date","OK"))))</f>
        <v>OK</v>
      </c>
      <c r="T29" s="1" t="str">
        <f t="shared" si="7"/>
        <v>EVT-0023|2026-06-22|Model|SPLIT|SYN_TECH|100.|0.|0.|0.</v>
      </c>
      <c r="U29" s="1" t="str">
        <f>IF(COUNTIFS(Transactions!$A$7:$A$1006,A29,Transactions!$J$7:$J$1006,T29)&gt;0,"Matched","Refresh required")</f>
        <v>Matched</v>
      </c>
      <c r="V29" s="8"/>
      <c r="W29" s="8"/>
      <c r="X29" s="8"/>
      <c r="Y29" s="8"/>
      <c r="Z29" s="8"/>
      <c r="AA29" s="8"/>
      <c r="AB29" s="8"/>
      <c r="AC29" s="8"/>
      <c r="AD29" s="8"/>
      <c r="AE29" s="1"/>
    </row>
    <row r="30" spans="1:31" ht="20" customHeight="1" x14ac:dyDescent="0.35">
      <c r="A30" s="1" t="s">
        <v>118</v>
      </c>
      <c r="B30" s="21">
        <v>46195</v>
      </c>
      <c r="C30" s="1" t="s">
        <v>100</v>
      </c>
      <c r="D30" s="1" t="s">
        <v>117</v>
      </c>
      <c r="E30" s="1" t="s">
        <v>49</v>
      </c>
      <c r="F30" s="8">
        <v>50</v>
      </c>
      <c r="G30" s="8">
        <v>0</v>
      </c>
      <c r="H30" s="8">
        <v>0</v>
      </c>
      <c r="I30" s="8">
        <v>0</v>
      </c>
      <c r="J30" s="8">
        <f t="shared" si="0"/>
        <v>50</v>
      </c>
      <c r="K30" s="8">
        <f t="shared" si="1"/>
        <v>0</v>
      </c>
      <c r="L30" s="8">
        <f t="shared" si="2"/>
        <v>0</v>
      </c>
      <c r="M30" s="8">
        <f>SUMIFS($J$6:J29,$C$6:C29,C30,$E$6:E29,E30)</f>
        <v>50</v>
      </c>
      <c r="N30" s="8">
        <f>SUMIFS($O$6:O29,$C$6:C29,C30,$E$6:E29,E30)</f>
        <v>60015</v>
      </c>
      <c r="O30" s="8">
        <f t="shared" si="3"/>
        <v>0</v>
      </c>
      <c r="P30" s="8">
        <f t="shared" si="4"/>
        <v>0</v>
      </c>
      <c r="Q30" s="8">
        <f t="shared" si="5"/>
        <v>100</v>
      </c>
      <c r="R30" s="8">
        <f t="shared" si="6"/>
        <v>60015</v>
      </c>
      <c r="S30" s="1" t="str">
        <f>IF(OR(F30&lt;0,G30&lt;0,H30&lt;0,I30&lt;0),"Review negative input",IF(Q30&lt;-0.000001,"Review short position",IF(SUMIFS($K$7:K30,$C$7:C30,C30)&lt;-0.01,"Review negative cash",IF(COUNTIFS(History!$A$7:$A$136,B30)=0,"Review date","OK"))))</f>
        <v>OK</v>
      </c>
      <c r="T30" s="1" t="str">
        <f t="shared" si="7"/>
        <v>EVT-0024|2026-06-22|Practice|SPLIT|SYN_TECH|50.|0.|0.|0.</v>
      </c>
      <c r="U30" s="1" t="str">
        <f>IF(COUNTIFS(Transactions!$A$7:$A$1006,A30,Transactions!$J$7:$J$1006,T30)&gt;0,"Matched","Refresh required")</f>
        <v>Matched</v>
      </c>
      <c r="V30" s="8"/>
      <c r="W30" s="8"/>
      <c r="X30" s="8"/>
      <c r="Y30" s="8"/>
      <c r="Z30" s="8"/>
      <c r="AA30" s="8"/>
      <c r="AB30" s="8"/>
      <c r="AC30" s="8"/>
      <c r="AD30" s="8"/>
      <c r="AE30" s="1"/>
    </row>
    <row r="31" spans="1:31" ht="20" customHeight="1" x14ac:dyDescent="0.35">
      <c r="A31" s="1" t="s">
        <v>119</v>
      </c>
      <c r="B31" s="21">
        <v>46210</v>
      </c>
      <c r="C31" s="1" t="s">
        <v>1</v>
      </c>
      <c r="D31" s="1" t="s">
        <v>93</v>
      </c>
      <c r="E31" s="1" t="s">
        <v>52</v>
      </c>
      <c r="F31" s="8">
        <v>10</v>
      </c>
      <c r="G31" s="8">
        <v>875.21609999999998</v>
      </c>
      <c r="H31" s="8">
        <v>0</v>
      </c>
      <c r="I31" s="8">
        <v>20</v>
      </c>
      <c r="J31" s="8">
        <f t="shared" si="0"/>
        <v>10</v>
      </c>
      <c r="K31" s="8">
        <f t="shared" si="1"/>
        <v>-8772.1610000000001</v>
      </c>
      <c r="L31" s="8">
        <f t="shared" si="2"/>
        <v>0</v>
      </c>
      <c r="M31" s="8">
        <f>SUMIFS($J$6:J30,$C$6:C30,C31,$E$6:E30,E31)</f>
        <v>70</v>
      </c>
      <c r="N31" s="8">
        <f>SUMIFS($O$6:O30,$C$6:C30,C31,$E$6:E30,E31)</f>
        <v>59530</v>
      </c>
      <c r="O31" s="8">
        <f t="shared" si="3"/>
        <v>8772.1610000000001</v>
      </c>
      <c r="P31" s="8">
        <f t="shared" si="4"/>
        <v>0</v>
      </c>
      <c r="Q31" s="8">
        <f t="shared" si="5"/>
        <v>80</v>
      </c>
      <c r="R31" s="8">
        <f t="shared" si="6"/>
        <v>68302.160999999993</v>
      </c>
      <c r="S31" s="1" t="str">
        <f>IF(OR(F31&lt;0,G31&lt;0,H31&lt;0,I31&lt;0),"Review negative input",IF(Q31&lt;-0.000001,"Review short position",IF(SUMIFS($K$7:K31,$C$7:C31,C31)&lt;-0.01,"Review negative cash",IF(COUNTIFS(History!$A$7:$A$136,B31)=0,"Review date","OK"))))</f>
        <v>OK</v>
      </c>
      <c r="T31" s="1" t="str">
        <f t="shared" si="7"/>
        <v>EVT-0025|2026-07-07|Model|BUY|SYN_HEALTH|10.|875.2161|0.|20.</v>
      </c>
      <c r="U31" s="1" t="str">
        <f>IF(COUNTIFS(Transactions!$A$7:$A$1006,A31,Transactions!$J$7:$J$1006,T31)&gt;0,"Matched","Refresh required")</f>
        <v>Matched</v>
      </c>
      <c r="V31" s="8"/>
      <c r="W31" s="8"/>
      <c r="X31" s="8"/>
      <c r="Y31" s="8"/>
      <c r="Z31" s="8"/>
      <c r="AA31" s="8"/>
      <c r="AB31" s="8"/>
      <c r="AC31" s="8"/>
      <c r="AD31" s="8"/>
      <c r="AE31" s="1"/>
    </row>
    <row r="32" spans="1:31" ht="20" customHeight="1" x14ac:dyDescent="0.35">
      <c r="A32" s="1" t="s">
        <v>120</v>
      </c>
      <c r="B32" s="21">
        <v>46213</v>
      </c>
      <c r="C32" s="1" t="s">
        <v>100</v>
      </c>
      <c r="D32" s="1" t="s">
        <v>93</v>
      </c>
      <c r="E32" s="1" t="s">
        <v>52</v>
      </c>
      <c r="F32" s="8">
        <v>5</v>
      </c>
      <c r="G32" s="8">
        <v>892.71820000000002</v>
      </c>
      <c r="H32" s="8">
        <v>0</v>
      </c>
      <c r="I32" s="8">
        <v>15</v>
      </c>
      <c r="J32" s="8">
        <f t="shared" si="0"/>
        <v>5</v>
      </c>
      <c r="K32" s="8">
        <f t="shared" si="1"/>
        <v>-4478.5910000000003</v>
      </c>
      <c r="L32" s="8">
        <f t="shared" si="2"/>
        <v>0</v>
      </c>
      <c r="M32" s="8">
        <f>SUMIFS($J$6:J31,$C$6:C31,C32,$E$6:E31,E32)</f>
        <v>35</v>
      </c>
      <c r="N32" s="8">
        <f>SUMIFS($O$6:O31,$C$6:C31,C32,$E$6:E31,E32)</f>
        <v>29765</v>
      </c>
      <c r="O32" s="8">
        <f t="shared" si="3"/>
        <v>4478.5910000000003</v>
      </c>
      <c r="P32" s="8">
        <f t="shared" si="4"/>
        <v>0</v>
      </c>
      <c r="Q32" s="8">
        <f t="shared" si="5"/>
        <v>40</v>
      </c>
      <c r="R32" s="8">
        <f t="shared" si="6"/>
        <v>34243.591</v>
      </c>
      <c r="S32" s="1" t="str">
        <f>IF(OR(F32&lt;0,G32&lt;0,H32&lt;0,I32&lt;0),"Review negative input",IF(Q32&lt;-0.000001,"Review short position",IF(SUMIFS($K$7:K32,$C$7:C32,C32)&lt;-0.01,"Review negative cash",IF(COUNTIFS(History!$A$7:$A$136,B32)=0,"Review date","OK"))))</f>
        <v>OK</v>
      </c>
      <c r="T32" s="1" t="str">
        <f t="shared" si="7"/>
        <v>EVT-0026|2026-07-10|Practice|BUY|SYN_HEALTH|5.|892.7182|0.|15.</v>
      </c>
      <c r="U32" s="1" t="str">
        <f>IF(COUNTIFS(Transactions!$A$7:$A$1006,A32,Transactions!$J$7:$J$1006,T32)&gt;0,"Matched","Refresh required")</f>
        <v>Matched</v>
      </c>
      <c r="V32" s="8"/>
      <c r="W32" s="8"/>
      <c r="X32" s="8"/>
      <c r="Y32" s="8"/>
      <c r="Z32" s="8"/>
      <c r="AA32" s="8"/>
      <c r="AB32" s="8"/>
      <c r="AC32" s="8"/>
      <c r="AD32" s="8"/>
      <c r="AE32" s="1"/>
    </row>
    <row r="33" spans="1:31" ht="20" customHeight="1" x14ac:dyDescent="0.35">
      <c r="A33" s="1" t="s">
        <v>121</v>
      </c>
      <c r="B33" s="21">
        <v>46227</v>
      </c>
      <c r="C33" s="1" t="s">
        <v>1</v>
      </c>
      <c r="D33" s="1" t="s">
        <v>122</v>
      </c>
      <c r="E33" s="1" t="s">
        <v>52</v>
      </c>
      <c r="F33" s="8">
        <v>0</v>
      </c>
      <c r="G33" s="8">
        <v>0</v>
      </c>
      <c r="H33" s="8">
        <v>100</v>
      </c>
      <c r="I33" s="8">
        <v>0</v>
      </c>
      <c r="J33" s="8">
        <f t="shared" si="0"/>
        <v>0</v>
      </c>
      <c r="K33" s="8">
        <f t="shared" si="1"/>
        <v>100</v>
      </c>
      <c r="L33" s="8">
        <f t="shared" si="2"/>
        <v>0</v>
      </c>
      <c r="M33" s="8">
        <f>SUMIFS($J$6:J32,$C$6:C32,C33,$E$6:E32,E33)</f>
        <v>80</v>
      </c>
      <c r="N33" s="8">
        <f>SUMIFS($O$6:O32,$C$6:C32,C33,$E$6:E32,E33)</f>
        <v>68302.160999999993</v>
      </c>
      <c r="O33" s="8">
        <f t="shared" si="3"/>
        <v>0</v>
      </c>
      <c r="P33" s="8">
        <f t="shared" si="4"/>
        <v>0</v>
      </c>
      <c r="Q33" s="8">
        <f t="shared" si="5"/>
        <v>80</v>
      </c>
      <c r="R33" s="8">
        <f t="shared" si="6"/>
        <v>68302.160999999993</v>
      </c>
      <c r="S33" s="1" t="str">
        <f>IF(OR(F33&lt;0,G33&lt;0,H33&lt;0,I33&lt;0),"Review negative input",IF(Q33&lt;-0.000001,"Review short position",IF(SUMIFS($K$7:K33,$C$7:C33,C33)&lt;-0.01,"Review negative cash",IF(COUNTIFS(History!$A$7:$A$136,B33)=0,"Review date","OK"))))</f>
        <v>OK</v>
      </c>
      <c r="T33" s="1" t="str">
        <f t="shared" si="7"/>
        <v>EVT-0027|2026-07-24|Model|DIVIDEND|SYN_HEALTH|0.|0.|100.|0.</v>
      </c>
      <c r="U33" s="1" t="str">
        <f>IF(COUNTIFS(Transactions!$A$7:$A$1006,A33,Transactions!$J$7:$J$1006,T33)&gt;0,"Matched","Refresh required")</f>
        <v>Matched</v>
      </c>
      <c r="V33" s="8"/>
      <c r="W33" s="8"/>
      <c r="X33" s="8"/>
      <c r="Y33" s="8"/>
      <c r="Z33" s="8"/>
      <c r="AA33" s="8"/>
      <c r="AB33" s="8"/>
      <c r="AC33" s="8"/>
      <c r="AD33" s="8"/>
      <c r="AE33" s="1"/>
    </row>
    <row r="34" spans="1:31" ht="20" customHeight="1" x14ac:dyDescent="0.35">
      <c r="A34" s="1" t="s">
        <v>123</v>
      </c>
      <c r="B34" s="21">
        <v>46227</v>
      </c>
      <c r="C34" s="1" t="s">
        <v>100</v>
      </c>
      <c r="D34" s="1" t="s">
        <v>122</v>
      </c>
      <c r="E34" s="1" t="s">
        <v>52</v>
      </c>
      <c r="F34" s="8">
        <v>0</v>
      </c>
      <c r="G34" s="8">
        <v>0</v>
      </c>
      <c r="H34" s="8">
        <v>50</v>
      </c>
      <c r="I34" s="8">
        <v>0</v>
      </c>
      <c r="J34" s="8">
        <f t="shared" si="0"/>
        <v>0</v>
      </c>
      <c r="K34" s="8">
        <f t="shared" si="1"/>
        <v>50</v>
      </c>
      <c r="L34" s="8">
        <f t="shared" si="2"/>
        <v>0</v>
      </c>
      <c r="M34" s="8">
        <f>SUMIFS($J$6:J33,$C$6:C33,C34,$E$6:E33,E34)</f>
        <v>40</v>
      </c>
      <c r="N34" s="8">
        <f>SUMIFS($O$6:O33,$C$6:C33,C34,$E$6:E33,E34)</f>
        <v>34243.591</v>
      </c>
      <c r="O34" s="8">
        <f t="shared" si="3"/>
        <v>0</v>
      </c>
      <c r="P34" s="8">
        <f t="shared" si="4"/>
        <v>0</v>
      </c>
      <c r="Q34" s="8">
        <f t="shared" si="5"/>
        <v>40</v>
      </c>
      <c r="R34" s="8">
        <f t="shared" si="6"/>
        <v>34243.591</v>
      </c>
      <c r="S34" s="1" t="str">
        <f>IF(OR(F34&lt;0,G34&lt;0,H34&lt;0,I34&lt;0),"Review negative input",IF(Q34&lt;-0.000001,"Review short position",IF(SUMIFS($K$7:K34,$C$7:C34,C34)&lt;-0.01,"Review negative cash",IF(COUNTIFS(History!$A$7:$A$136,B34)=0,"Review date","OK"))))</f>
        <v>OK</v>
      </c>
      <c r="T34" s="1" t="str">
        <f t="shared" si="7"/>
        <v>EVT-0028|2026-07-24|Practice|DIVIDEND|SYN_HEALTH|0.|0.|50.|0.</v>
      </c>
      <c r="U34" s="1" t="str">
        <f>IF(COUNTIFS(Transactions!$A$7:$A$1006,A34,Transactions!$J$7:$J$1006,T34)&gt;0,"Matched","Refresh required")</f>
        <v>Matched</v>
      </c>
      <c r="V34" s="8"/>
      <c r="W34" s="8"/>
      <c r="X34" s="8"/>
      <c r="Y34" s="8"/>
      <c r="Z34" s="8"/>
      <c r="AA34" s="8"/>
      <c r="AB34" s="8"/>
      <c r="AC34" s="8"/>
      <c r="AD34" s="8"/>
      <c r="AE34" s="1"/>
    </row>
    <row r="35" spans="1:31" ht="20" customHeight="1" x14ac:dyDescent="0.35">
      <c r="A35" s="1" t="s">
        <v>124</v>
      </c>
      <c r="B35" s="21">
        <v>46231</v>
      </c>
      <c r="C35" s="1" t="s">
        <v>1</v>
      </c>
      <c r="D35" s="1" t="s">
        <v>125</v>
      </c>
      <c r="E35" s="1" t="s">
        <v>91</v>
      </c>
      <c r="F35" s="8">
        <v>0</v>
      </c>
      <c r="G35" s="8">
        <v>0</v>
      </c>
      <c r="H35" s="8">
        <v>60</v>
      </c>
      <c r="I35" s="8">
        <v>0</v>
      </c>
      <c r="J35" s="8">
        <f t="shared" si="0"/>
        <v>0</v>
      </c>
      <c r="K35" s="8">
        <f t="shared" si="1"/>
        <v>-60</v>
      </c>
      <c r="L35" s="8">
        <f t="shared" si="2"/>
        <v>0</v>
      </c>
      <c r="M35" s="8">
        <f>SUMIFS($J$6:J34,$C$6:C34,C35,$E$6:E34,E35)</f>
        <v>0</v>
      </c>
      <c r="N35" s="8">
        <f>SUMIFS($O$6:O34,$C$6:C34,C35,$E$6:E34,E35)</f>
        <v>0</v>
      </c>
      <c r="O35" s="8">
        <f t="shared" si="3"/>
        <v>0</v>
      </c>
      <c r="P35" s="8">
        <f t="shared" si="4"/>
        <v>0</v>
      </c>
      <c r="Q35" s="8">
        <f t="shared" si="5"/>
        <v>0</v>
      </c>
      <c r="R35" s="8">
        <f t="shared" si="6"/>
        <v>0</v>
      </c>
      <c r="S35" s="1" t="str">
        <f>IF(OR(F35&lt;0,G35&lt;0,H35&lt;0,I35&lt;0),"Review negative input",IF(Q35&lt;-0.000001,"Review short position",IF(SUMIFS($K$7:K35,$C$7:C35,C35)&lt;-0.01,"Review negative cash",IF(COUNTIFS(History!$A$7:$A$136,B35)=0,"Review date","OK"))))</f>
        <v>OK</v>
      </c>
      <c r="T35" s="1" t="str">
        <f t="shared" si="7"/>
        <v>EVT-0029|2026-07-28|Model|FEE|CASH|0.|0.|60.|0.</v>
      </c>
      <c r="U35" s="1" t="str">
        <f>IF(COUNTIFS(Transactions!$A$7:$A$1006,A35,Transactions!$J$7:$J$1006,T35)&gt;0,"Matched","Refresh required")</f>
        <v>Matched</v>
      </c>
      <c r="V35" s="8"/>
      <c r="W35" s="8"/>
      <c r="X35" s="8"/>
      <c r="Y35" s="8"/>
      <c r="Z35" s="8"/>
      <c r="AA35" s="8"/>
      <c r="AB35" s="8"/>
      <c r="AC35" s="8"/>
      <c r="AD35" s="8"/>
      <c r="AE35" s="1"/>
    </row>
    <row r="36" spans="1:31" ht="20" customHeight="1" x14ac:dyDescent="0.35">
      <c r="A36" s="1" t="s">
        <v>126</v>
      </c>
      <c r="B36" s="21">
        <v>46231</v>
      </c>
      <c r="C36" s="1" t="s">
        <v>100</v>
      </c>
      <c r="D36" s="1" t="s">
        <v>125</v>
      </c>
      <c r="E36" s="1" t="s">
        <v>91</v>
      </c>
      <c r="F36" s="8">
        <v>0</v>
      </c>
      <c r="G36" s="8">
        <v>0</v>
      </c>
      <c r="H36" s="8">
        <v>40</v>
      </c>
      <c r="I36" s="8">
        <v>0</v>
      </c>
      <c r="J36" s="8">
        <f t="shared" si="0"/>
        <v>0</v>
      </c>
      <c r="K36" s="8">
        <f t="shared" si="1"/>
        <v>-40</v>
      </c>
      <c r="L36" s="8">
        <f t="shared" si="2"/>
        <v>0</v>
      </c>
      <c r="M36" s="8">
        <f>SUMIFS($J$6:J35,$C$6:C35,C36,$E$6:E35,E36)</f>
        <v>0</v>
      </c>
      <c r="N36" s="8">
        <f>SUMIFS($O$6:O35,$C$6:C35,C36,$E$6:E35,E36)</f>
        <v>0</v>
      </c>
      <c r="O36" s="8">
        <f t="shared" si="3"/>
        <v>0</v>
      </c>
      <c r="P36" s="8">
        <f t="shared" si="4"/>
        <v>0</v>
      </c>
      <c r="Q36" s="8">
        <f t="shared" si="5"/>
        <v>0</v>
      </c>
      <c r="R36" s="8">
        <f t="shared" si="6"/>
        <v>0</v>
      </c>
      <c r="S36" s="1" t="str">
        <f>IF(OR(F36&lt;0,G36&lt;0,H36&lt;0,I36&lt;0),"Review negative input",IF(Q36&lt;-0.000001,"Review short position",IF(SUMIFS($K$7:K36,$C$7:C36,C36)&lt;-0.01,"Review negative cash",IF(COUNTIFS(History!$A$7:$A$136,B36)=0,"Review date","OK"))))</f>
        <v>OK</v>
      </c>
      <c r="T36" s="1" t="str">
        <f t="shared" si="7"/>
        <v>EVT-0030|2026-07-28|Practice|FEE|CASH|0.|0.|40.|0.</v>
      </c>
      <c r="U36" s="1" t="str">
        <f>IF(COUNTIFS(Transactions!$A$7:$A$1006,A36,Transactions!$J$7:$J$1006,T36)&gt;0,"Matched","Refresh required")</f>
        <v>Matched</v>
      </c>
      <c r="V36" s="8"/>
      <c r="W36" s="8"/>
      <c r="X36" s="8"/>
      <c r="Y36" s="8"/>
      <c r="Z36" s="8"/>
      <c r="AA36" s="8"/>
      <c r="AB36" s="8"/>
      <c r="AC36" s="8"/>
      <c r="AD36" s="8"/>
      <c r="AE36" s="1"/>
    </row>
    <row r="37" spans="1:31" ht="20" customHeight="1" x14ac:dyDescent="0.35">
      <c r="A37" s="1" t="s">
        <v>127</v>
      </c>
      <c r="B37" s="21">
        <v>46234</v>
      </c>
      <c r="C37" s="1" t="s">
        <v>1</v>
      </c>
      <c r="D37" s="1" t="s">
        <v>128</v>
      </c>
      <c r="E37" s="1" t="s">
        <v>91</v>
      </c>
      <c r="F37" s="8">
        <v>0</v>
      </c>
      <c r="G37" s="8">
        <v>0</v>
      </c>
      <c r="H37" s="8">
        <v>15000</v>
      </c>
      <c r="I37" s="8">
        <v>0</v>
      </c>
      <c r="J37" s="8">
        <f t="shared" si="0"/>
        <v>0</v>
      </c>
      <c r="K37" s="8">
        <f t="shared" si="1"/>
        <v>-15000</v>
      </c>
      <c r="L37" s="8">
        <f t="shared" si="2"/>
        <v>-15000</v>
      </c>
      <c r="M37" s="8">
        <f>SUMIFS($J$6:J36,$C$6:C36,C37,$E$6:E36,E37)</f>
        <v>0</v>
      </c>
      <c r="N37" s="8">
        <f>SUMIFS($O$6:O36,$C$6:C36,C37,$E$6:E36,E37)</f>
        <v>0</v>
      </c>
      <c r="O37" s="8">
        <f t="shared" si="3"/>
        <v>0</v>
      </c>
      <c r="P37" s="8">
        <f t="shared" si="4"/>
        <v>0</v>
      </c>
      <c r="Q37" s="8">
        <f t="shared" si="5"/>
        <v>0</v>
      </c>
      <c r="R37" s="8">
        <f t="shared" si="6"/>
        <v>0</v>
      </c>
      <c r="S37" s="1" t="str">
        <f>IF(OR(F37&lt;0,G37&lt;0,H37&lt;0,I37&lt;0),"Review negative input",IF(Q37&lt;-0.000001,"Review short position",IF(SUMIFS($K$7:K37,$C$7:C37,C37)&lt;-0.01,"Review negative cash",IF(COUNTIFS(History!$A$7:$A$136,B37)=0,"Review date","OK"))))</f>
        <v>OK</v>
      </c>
      <c r="T37" s="1" t="str">
        <f t="shared" si="7"/>
        <v>EVT-0031|2026-07-31|Model|WITHDRAW|CASH|0.|0.|15000.|0.</v>
      </c>
      <c r="U37" s="1" t="str">
        <f>IF(COUNTIFS(Transactions!$A$7:$A$1006,A37,Transactions!$J$7:$J$1006,T37)&gt;0,"Matched","Refresh required")</f>
        <v>Matched</v>
      </c>
      <c r="V37" s="8"/>
      <c r="W37" s="8"/>
      <c r="X37" s="8"/>
      <c r="Y37" s="8"/>
      <c r="Z37" s="8"/>
      <c r="AA37" s="8"/>
      <c r="AB37" s="8"/>
      <c r="AC37" s="8"/>
      <c r="AD37" s="8"/>
      <c r="AE37" s="1"/>
    </row>
    <row r="38" spans="1:31" ht="20" customHeight="1" x14ac:dyDescent="0.35">
      <c r="A38" s="1" t="s">
        <v>129</v>
      </c>
      <c r="B38" s="21">
        <v>46239</v>
      </c>
      <c r="C38" s="1" t="s">
        <v>100</v>
      </c>
      <c r="D38" s="1" t="s">
        <v>128</v>
      </c>
      <c r="E38" s="1" t="s">
        <v>91</v>
      </c>
      <c r="F38" s="8">
        <v>0</v>
      </c>
      <c r="G38" s="8">
        <v>0</v>
      </c>
      <c r="H38" s="8">
        <v>7000</v>
      </c>
      <c r="I38" s="8">
        <v>0</v>
      </c>
      <c r="J38" s="8">
        <f t="shared" si="0"/>
        <v>0</v>
      </c>
      <c r="K38" s="8">
        <f t="shared" si="1"/>
        <v>-7000</v>
      </c>
      <c r="L38" s="8">
        <f t="shared" si="2"/>
        <v>-7000</v>
      </c>
      <c r="M38" s="8">
        <f>SUMIFS($J$6:J37,$C$6:C37,C38,$E$6:E37,E38)</f>
        <v>0</v>
      </c>
      <c r="N38" s="8">
        <f>SUMIFS($O$6:O37,$C$6:C37,C38,$E$6:E37,E38)</f>
        <v>0</v>
      </c>
      <c r="O38" s="8">
        <f t="shared" si="3"/>
        <v>0</v>
      </c>
      <c r="P38" s="8">
        <f t="shared" si="4"/>
        <v>0</v>
      </c>
      <c r="Q38" s="8">
        <f t="shared" si="5"/>
        <v>0</v>
      </c>
      <c r="R38" s="8">
        <f t="shared" si="6"/>
        <v>0</v>
      </c>
      <c r="S38" s="1" t="str">
        <f>IF(OR(F38&lt;0,G38&lt;0,H38&lt;0,I38&lt;0),"Review negative input",IF(Q38&lt;-0.000001,"Review short position",IF(SUMIFS($K$7:K38,$C$7:C38,C38)&lt;-0.01,"Review negative cash",IF(COUNTIFS(History!$A$7:$A$136,B38)=0,"Review date","OK"))))</f>
        <v>OK</v>
      </c>
      <c r="T38" s="1" t="str">
        <f t="shared" si="7"/>
        <v>EVT-0032|2026-08-05|Practice|WITHDRAW|CASH|0.|0.|7000.|0.</v>
      </c>
      <c r="U38" s="1" t="str">
        <f>IF(COUNTIFS(Transactions!$A$7:$A$1006,A38,Transactions!$J$7:$J$1006,T38)&gt;0,"Matched","Refresh required")</f>
        <v>Matched</v>
      </c>
      <c r="V38" s="8"/>
      <c r="W38" s="8"/>
      <c r="X38" s="8"/>
      <c r="Y38" s="8"/>
      <c r="Z38" s="8"/>
      <c r="AA38" s="8"/>
      <c r="AB38" s="8"/>
      <c r="AC38" s="8"/>
      <c r="AD38" s="8"/>
      <c r="AE38" s="1"/>
    </row>
    <row r="39" spans="1:31" ht="20" customHeight="1" x14ac:dyDescent="0.35">
      <c r="A39" s="1" t="s">
        <v>130</v>
      </c>
      <c r="B39" s="21">
        <v>46248</v>
      </c>
      <c r="C39" s="1" t="s">
        <v>1</v>
      </c>
      <c r="D39" s="1" t="s">
        <v>93</v>
      </c>
      <c r="E39" s="1" t="s">
        <v>49</v>
      </c>
      <c r="F39" s="8">
        <v>20</v>
      </c>
      <c r="G39" s="8">
        <v>573.14520000000005</v>
      </c>
      <c r="H39" s="8">
        <v>0</v>
      </c>
      <c r="I39" s="8">
        <v>20</v>
      </c>
      <c r="J39" s="8">
        <f t="shared" si="0"/>
        <v>20</v>
      </c>
      <c r="K39" s="8">
        <f t="shared" si="1"/>
        <v>-11482.904</v>
      </c>
      <c r="L39" s="8">
        <f t="shared" si="2"/>
        <v>0</v>
      </c>
      <c r="M39" s="8">
        <f>SUMIFS($J$6:J38,$C$6:C38,C39,$E$6:E38,E39)</f>
        <v>200</v>
      </c>
      <c r="N39" s="8">
        <f>SUMIFS($O$6:O38,$C$6:C38,C39,$E$6:E38,E39)</f>
        <v>120030</v>
      </c>
      <c r="O39" s="8">
        <f t="shared" si="3"/>
        <v>11482.904</v>
      </c>
      <c r="P39" s="8">
        <f t="shared" si="4"/>
        <v>0</v>
      </c>
      <c r="Q39" s="8">
        <f t="shared" si="5"/>
        <v>220</v>
      </c>
      <c r="R39" s="8">
        <f t="shared" si="6"/>
        <v>131512.90400000001</v>
      </c>
      <c r="S39" s="1" t="str">
        <f>IF(OR(F39&lt;0,G39&lt;0,H39&lt;0,I39&lt;0),"Review negative input",IF(Q39&lt;-0.000001,"Review short position",IF(SUMIFS($K$7:K39,$C$7:C39,C39)&lt;-0.01,"Review negative cash",IF(COUNTIFS(History!$A$7:$A$136,B39)=0,"Review date","OK"))))</f>
        <v>OK</v>
      </c>
      <c r="T39" s="1" t="str">
        <f t="shared" si="7"/>
        <v>EVT-0033|2026-08-14|Model|BUY|SYN_TECH|20.|573.1452|0.|20.</v>
      </c>
      <c r="U39" s="1" t="str">
        <f>IF(COUNTIFS(Transactions!$A$7:$A$1006,A39,Transactions!$J$7:$J$1006,T39)&gt;0,"Matched","Refresh required")</f>
        <v>Matched</v>
      </c>
      <c r="V39" s="8"/>
      <c r="W39" s="8"/>
      <c r="X39" s="8"/>
      <c r="Y39" s="8"/>
      <c r="Z39" s="8"/>
      <c r="AA39" s="8"/>
      <c r="AB39" s="8"/>
      <c r="AC39" s="8"/>
      <c r="AD39" s="8"/>
      <c r="AE39" s="1"/>
    </row>
    <row r="40" spans="1:31" ht="20" customHeight="1" x14ac:dyDescent="0.35">
      <c r="A40" s="1" t="s">
        <v>131</v>
      </c>
      <c r="B40" s="21">
        <v>46252</v>
      </c>
      <c r="C40" s="1" t="s">
        <v>100</v>
      </c>
      <c r="D40" s="1" t="s">
        <v>93</v>
      </c>
      <c r="E40" s="1" t="s">
        <v>49</v>
      </c>
      <c r="F40" s="8">
        <v>10</v>
      </c>
      <c r="G40" s="8">
        <v>560.47969999999998</v>
      </c>
      <c r="H40" s="8">
        <v>0</v>
      </c>
      <c r="I40" s="8">
        <v>15</v>
      </c>
      <c r="J40" s="8">
        <f t="shared" si="0"/>
        <v>10</v>
      </c>
      <c r="K40" s="8">
        <f t="shared" si="1"/>
        <v>-5619.7969999999996</v>
      </c>
      <c r="L40" s="8">
        <f t="shared" si="2"/>
        <v>0</v>
      </c>
      <c r="M40" s="8">
        <f>SUMIFS($J$6:J39,$C$6:C39,C40,$E$6:E39,E40)</f>
        <v>100</v>
      </c>
      <c r="N40" s="8">
        <f>SUMIFS($O$6:O39,$C$6:C39,C40,$E$6:E39,E40)</f>
        <v>60015</v>
      </c>
      <c r="O40" s="8">
        <f t="shared" si="3"/>
        <v>5619.7969999999996</v>
      </c>
      <c r="P40" s="8">
        <f t="shared" si="4"/>
        <v>0</v>
      </c>
      <c r="Q40" s="8">
        <f t="shared" si="5"/>
        <v>110</v>
      </c>
      <c r="R40" s="8">
        <f t="shared" si="6"/>
        <v>65634.797000000006</v>
      </c>
      <c r="S40" s="1" t="str">
        <f>IF(OR(F40&lt;0,G40&lt;0,H40&lt;0,I40&lt;0),"Review negative input",IF(Q40&lt;-0.000001,"Review short position",IF(SUMIFS($K$7:K40,$C$7:C40,C40)&lt;-0.01,"Review negative cash",IF(COUNTIFS(History!$A$7:$A$136,B40)=0,"Review date","OK"))))</f>
        <v>OK</v>
      </c>
      <c r="T40" s="1" t="str">
        <f t="shared" si="7"/>
        <v>EVT-0034|2026-08-18|Practice|BUY|SYN_TECH|10.|560.4797|0.|15.</v>
      </c>
      <c r="U40" s="1" t="str">
        <f>IF(COUNTIFS(Transactions!$A$7:$A$1006,A40,Transactions!$J$7:$J$1006,T40)&gt;0,"Matched","Refresh required")</f>
        <v>Matched</v>
      </c>
      <c r="V40" s="8"/>
      <c r="W40" s="8"/>
      <c r="X40" s="8"/>
      <c r="Y40" s="8"/>
      <c r="Z40" s="8"/>
      <c r="AA40" s="8"/>
      <c r="AB40" s="8"/>
      <c r="AC40" s="8"/>
      <c r="AD40" s="8"/>
      <c r="AE40" s="1"/>
    </row>
    <row r="41" spans="1:31" ht="20" customHeight="1" x14ac:dyDescent="0.35">
      <c r="A41" s="1" t="s">
        <v>132</v>
      </c>
      <c r="B41" s="21">
        <v>46265</v>
      </c>
      <c r="C41" s="1" t="s">
        <v>1</v>
      </c>
      <c r="D41" s="1" t="s">
        <v>114</v>
      </c>
      <c r="E41" s="1" t="s">
        <v>46</v>
      </c>
      <c r="F41" s="8">
        <v>10</v>
      </c>
      <c r="G41" s="8">
        <v>555.58169999999996</v>
      </c>
      <c r="H41" s="8">
        <v>0</v>
      </c>
      <c r="I41" s="8">
        <v>25</v>
      </c>
      <c r="J41" s="8">
        <f t="shared" si="0"/>
        <v>-10</v>
      </c>
      <c r="K41" s="8">
        <f t="shared" si="1"/>
        <v>5530.8169999999991</v>
      </c>
      <c r="L41" s="8">
        <f t="shared" si="2"/>
        <v>0</v>
      </c>
      <c r="M41" s="8">
        <f>SUMIFS($J$6:J40,$C$6:C40,C41,$E$6:E40,E41)</f>
        <v>100</v>
      </c>
      <c r="N41" s="8">
        <f>SUMIFS($O$6:O40,$C$6:C40,C41,$E$6:E40,E41)</f>
        <v>54420.702000000005</v>
      </c>
      <c r="O41" s="8">
        <f t="shared" si="3"/>
        <v>-5442.0702000000001</v>
      </c>
      <c r="P41" s="8">
        <f t="shared" si="4"/>
        <v>88.746799999998984</v>
      </c>
      <c r="Q41" s="8">
        <f t="shared" si="5"/>
        <v>90</v>
      </c>
      <c r="R41" s="8">
        <f t="shared" si="6"/>
        <v>48978.631800000003</v>
      </c>
      <c r="S41" s="1" t="str">
        <f>IF(OR(F41&lt;0,G41&lt;0,H41&lt;0,I41&lt;0),"Review negative input",IF(Q41&lt;-0.000001,"Review short position",IF(SUMIFS($K$7:K41,$C$7:C41,C41)&lt;-0.01,"Review negative cash",IF(COUNTIFS(History!$A$7:$A$136,B41)=0,"Review date","OK"))))</f>
        <v>OK</v>
      </c>
      <c r="T41" s="1" t="str">
        <f t="shared" si="7"/>
        <v>EVT-0035|2026-08-31|Model|SELL|SYN_BANK|10.|555.5817|0.|25.</v>
      </c>
      <c r="U41" s="1" t="str">
        <f>IF(COUNTIFS(Transactions!$A$7:$A$1006,A41,Transactions!$J$7:$J$1006,T41)&gt;0,"Matched","Refresh required")</f>
        <v>Matched</v>
      </c>
      <c r="V41" s="8"/>
      <c r="W41" s="8"/>
      <c r="X41" s="8"/>
      <c r="Y41" s="8"/>
      <c r="Z41" s="8"/>
      <c r="AA41" s="8"/>
      <c r="AB41" s="8"/>
      <c r="AC41" s="8"/>
      <c r="AD41" s="8"/>
      <c r="AE41" s="1"/>
    </row>
    <row r="42" spans="1:31" ht="20" customHeight="1" x14ac:dyDescent="0.35">
      <c r="A42" s="1" t="s">
        <v>133</v>
      </c>
      <c r="B42" s="21">
        <v>46268</v>
      </c>
      <c r="C42" s="1" t="s">
        <v>100</v>
      </c>
      <c r="D42" s="1" t="s">
        <v>114</v>
      </c>
      <c r="E42" s="1" t="s">
        <v>46</v>
      </c>
      <c r="F42" s="8">
        <v>5</v>
      </c>
      <c r="G42" s="8">
        <v>569.04150000000004</v>
      </c>
      <c r="H42" s="8">
        <v>0</v>
      </c>
      <c r="I42" s="8">
        <v>15</v>
      </c>
      <c r="J42" s="8">
        <f t="shared" si="0"/>
        <v>-5</v>
      </c>
      <c r="K42" s="8">
        <f t="shared" si="1"/>
        <v>2830.2075000000004</v>
      </c>
      <c r="L42" s="8">
        <f t="shared" si="2"/>
        <v>0</v>
      </c>
      <c r="M42" s="8">
        <f>SUMIFS($J$6:J41,$C$6:C41,C42,$E$6:E41,E42)</f>
        <v>50</v>
      </c>
      <c r="N42" s="8">
        <f>SUMIFS($O$6:O41,$C$6:C41,C42,$E$6:E41,E42)</f>
        <v>27112.870999999999</v>
      </c>
      <c r="O42" s="8">
        <f t="shared" si="3"/>
        <v>-2711.2870999999996</v>
      </c>
      <c r="P42" s="8">
        <f t="shared" si="4"/>
        <v>118.92040000000088</v>
      </c>
      <c r="Q42" s="8">
        <f t="shared" si="5"/>
        <v>45</v>
      </c>
      <c r="R42" s="8">
        <f t="shared" si="6"/>
        <v>24401.583899999998</v>
      </c>
      <c r="S42" s="1" t="str">
        <f>IF(OR(F42&lt;0,G42&lt;0,H42&lt;0,I42&lt;0),"Review negative input",IF(Q42&lt;-0.000001,"Review short position",IF(SUMIFS($K$7:K42,$C$7:C42,C42)&lt;-0.01,"Review negative cash",IF(COUNTIFS(History!$A$7:$A$136,B42)=0,"Review date","OK"))))</f>
        <v>OK</v>
      </c>
      <c r="T42" s="1" t="str">
        <f t="shared" si="7"/>
        <v>EVT-0036|2026-09-03|Practice|SELL|SYN_BANK|5.|569.0415|0.|15.</v>
      </c>
      <c r="U42" s="1" t="str">
        <f>IF(COUNTIFS(Transactions!$A$7:$A$1006,A42,Transactions!$J$7:$J$1006,T42)&gt;0,"Matched","Refresh required")</f>
        <v>Matched</v>
      </c>
      <c r="V42" s="8"/>
      <c r="W42" s="8"/>
      <c r="X42" s="8"/>
      <c r="Y42" s="8"/>
      <c r="Z42" s="8"/>
      <c r="AA42" s="8"/>
      <c r="AB42" s="8"/>
      <c r="AC42" s="8"/>
      <c r="AD42" s="8"/>
      <c r="AE42" s="1"/>
    </row>
    <row r="43" spans="1:31" ht="20" customHeight="1" x14ac:dyDescent="0.35">
      <c r="A43" s="1"/>
      <c r="B43" s="21"/>
      <c r="C43" s="1"/>
      <c r="D43" s="1"/>
      <c r="E43" s="1"/>
      <c r="F43" s="8"/>
      <c r="G43" s="8"/>
      <c r="H43" s="8"/>
      <c r="I43" s="8"/>
      <c r="J43" s="8"/>
      <c r="K43" s="8"/>
      <c r="L43" s="8"/>
      <c r="M43" s="8"/>
      <c r="N43" s="8"/>
      <c r="O43" s="8"/>
      <c r="P43" s="8"/>
      <c r="Q43" s="8"/>
      <c r="R43" s="8"/>
      <c r="S43" s="1"/>
    </row>
    <row r="44" spans="1:31" ht="20" customHeight="1" x14ac:dyDescent="0.35">
      <c r="A44" s="1"/>
      <c r="B44" s="21"/>
      <c r="C44" s="1"/>
      <c r="D44" s="1"/>
      <c r="E44" s="1"/>
      <c r="F44" s="8"/>
      <c r="G44" s="8"/>
      <c r="H44" s="8"/>
      <c r="I44" s="8"/>
      <c r="J44" s="8"/>
      <c r="K44" s="8"/>
      <c r="L44" s="8"/>
      <c r="M44" s="8"/>
      <c r="N44" s="8"/>
      <c r="O44" s="8"/>
      <c r="P44" s="8"/>
      <c r="Q44" s="8"/>
      <c r="R44" s="8"/>
      <c r="S44" s="1"/>
    </row>
    <row r="45" spans="1:31" x14ac:dyDescent="0.35">
      <c r="B45" s="22"/>
      <c r="F45" s="23"/>
      <c r="G45" s="23"/>
      <c r="H45" s="23"/>
      <c r="I45" s="23"/>
      <c r="J45" s="23"/>
      <c r="K45" s="23"/>
      <c r="L45" s="23"/>
      <c r="M45" s="23"/>
      <c r="N45" s="23"/>
      <c r="O45" s="23"/>
      <c r="P45" s="23"/>
      <c r="Q45" s="23"/>
      <c r="R45" s="23"/>
    </row>
    <row r="46" spans="1:31" x14ac:dyDescent="0.35">
      <c r="B46" s="22"/>
      <c r="F46" s="23"/>
      <c r="G46" s="23"/>
      <c r="H46" s="23"/>
      <c r="I46" s="23"/>
      <c r="J46" s="23"/>
      <c r="K46" s="23"/>
      <c r="L46" s="23"/>
      <c r="M46" s="23"/>
      <c r="N46" s="23"/>
      <c r="O46" s="23"/>
      <c r="P46" s="23"/>
      <c r="Q46" s="23"/>
      <c r="R46" s="23"/>
    </row>
    <row r="47" spans="1:31" x14ac:dyDescent="0.35">
      <c r="B47" s="22"/>
      <c r="F47" s="23"/>
      <c r="G47" s="23"/>
      <c r="H47" s="23"/>
      <c r="I47" s="23"/>
      <c r="J47" s="23"/>
      <c r="K47" s="23"/>
      <c r="L47" s="23"/>
      <c r="M47" s="23"/>
      <c r="N47" s="23"/>
      <c r="O47" s="23"/>
      <c r="P47" s="23"/>
      <c r="Q47" s="23"/>
      <c r="R47" s="23"/>
    </row>
    <row r="48" spans="1:31" x14ac:dyDescent="0.35">
      <c r="B48" s="22"/>
      <c r="F48" s="23"/>
      <c r="G48" s="23"/>
      <c r="H48" s="23"/>
      <c r="I48" s="23"/>
      <c r="J48" s="23"/>
      <c r="K48" s="23"/>
      <c r="L48" s="23"/>
      <c r="M48" s="23"/>
      <c r="N48" s="23"/>
      <c r="O48" s="23"/>
      <c r="P48" s="23"/>
      <c r="Q48" s="23"/>
      <c r="R48" s="23"/>
    </row>
    <row r="49" spans="2:18" x14ac:dyDescent="0.35">
      <c r="B49" s="22"/>
      <c r="F49" s="23"/>
      <c r="G49" s="23"/>
      <c r="H49" s="23"/>
      <c r="I49" s="23"/>
      <c r="J49" s="23"/>
      <c r="K49" s="23"/>
      <c r="L49" s="23"/>
      <c r="M49" s="23"/>
      <c r="N49" s="23"/>
      <c r="O49" s="23"/>
      <c r="P49" s="23"/>
      <c r="Q49" s="23"/>
      <c r="R49" s="23"/>
    </row>
    <row r="50" spans="2:18" x14ac:dyDescent="0.35">
      <c r="B50" s="22"/>
      <c r="F50" s="23"/>
      <c r="G50" s="23"/>
      <c r="H50" s="23"/>
      <c r="I50" s="23"/>
      <c r="J50" s="23"/>
      <c r="K50" s="23"/>
      <c r="L50" s="23"/>
      <c r="M50" s="23"/>
      <c r="N50" s="23"/>
      <c r="O50" s="23"/>
      <c r="P50" s="23"/>
      <c r="Q50" s="23"/>
      <c r="R50" s="23"/>
    </row>
    <row r="51" spans="2:18" x14ac:dyDescent="0.35">
      <c r="B51" s="22"/>
      <c r="F51" s="23"/>
      <c r="G51" s="23"/>
      <c r="H51" s="23"/>
      <c r="I51" s="23"/>
      <c r="J51" s="23"/>
      <c r="K51" s="23"/>
      <c r="L51" s="23"/>
      <c r="M51" s="23"/>
      <c r="N51" s="23"/>
      <c r="O51" s="23"/>
      <c r="P51" s="23"/>
      <c r="Q51" s="23"/>
      <c r="R51" s="23"/>
    </row>
    <row r="52" spans="2:18" x14ac:dyDescent="0.35">
      <c r="B52" s="22"/>
      <c r="F52" s="23"/>
      <c r="G52" s="23"/>
      <c r="H52" s="23"/>
      <c r="I52" s="23"/>
      <c r="J52" s="23"/>
      <c r="K52" s="23"/>
      <c r="L52" s="23"/>
      <c r="M52" s="23"/>
      <c r="N52" s="23"/>
      <c r="O52" s="23"/>
      <c r="P52" s="23"/>
      <c r="Q52" s="23"/>
      <c r="R52" s="23"/>
    </row>
    <row r="53" spans="2:18" x14ac:dyDescent="0.35">
      <c r="B53" s="22"/>
      <c r="F53" s="23"/>
      <c r="G53" s="23"/>
      <c r="H53" s="23"/>
      <c r="I53" s="23"/>
      <c r="J53" s="23"/>
      <c r="K53" s="23"/>
      <c r="L53" s="23"/>
      <c r="M53" s="23"/>
      <c r="N53" s="23"/>
      <c r="O53" s="23"/>
      <c r="P53" s="23"/>
      <c r="Q53" s="23"/>
      <c r="R53" s="23"/>
    </row>
    <row r="54" spans="2:18" x14ac:dyDescent="0.35">
      <c r="B54" s="22"/>
      <c r="F54" s="23"/>
      <c r="G54" s="23"/>
      <c r="H54" s="23"/>
      <c r="I54" s="23"/>
      <c r="J54" s="23"/>
      <c r="K54" s="23"/>
      <c r="L54" s="23"/>
      <c r="M54" s="23"/>
      <c r="N54" s="23"/>
      <c r="O54" s="23"/>
      <c r="P54" s="23"/>
      <c r="Q54" s="23"/>
      <c r="R54" s="23"/>
    </row>
    <row r="55" spans="2:18" x14ac:dyDescent="0.35">
      <c r="B55" s="22"/>
      <c r="F55" s="23"/>
      <c r="G55" s="23"/>
      <c r="H55" s="23"/>
      <c r="I55" s="23"/>
      <c r="J55" s="23"/>
      <c r="K55" s="23"/>
      <c r="L55" s="23"/>
      <c r="M55" s="23"/>
      <c r="N55" s="23"/>
      <c r="O55" s="23"/>
      <c r="P55" s="23"/>
      <c r="Q55" s="23"/>
      <c r="R55" s="23"/>
    </row>
    <row r="56" spans="2:18" x14ac:dyDescent="0.35">
      <c r="B56" s="22"/>
      <c r="F56" s="23"/>
      <c r="G56" s="23"/>
      <c r="H56" s="23"/>
      <c r="I56" s="23"/>
      <c r="J56" s="23"/>
      <c r="K56" s="23"/>
      <c r="L56" s="23"/>
      <c r="M56" s="23"/>
      <c r="N56" s="23"/>
      <c r="O56" s="23"/>
      <c r="P56" s="23"/>
      <c r="Q56" s="23"/>
      <c r="R56" s="23"/>
    </row>
    <row r="57" spans="2:18" x14ac:dyDescent="0.35">
      <c r="B57" s="22"/>
      <c r="F57" s="23"/>
      <c r="G57" s="23"/>
      <c r="H57" s="23"/>
      <c r="I57" s="23"/>
      <c r="J57" s="23"/>
      <c r="K57" s="23"/>
      <c r="L57" s="23"/>
      <c r="M57" s="23"/>
      <c r="N57" s="23"/>
      <c r="O57" s="23"/>
      <c r="P57" s="23"/>
      <c r="Q57" s="23"/>
      <c r="R57" s="23"/>
    </row>
    <row r="58" spans="2:18" x14ac:dyDescent="0.35">
      <c r="B58" s="22"/>
      <c r="F58" s="23"/>
      <c r="G58" s="23"/>
      <c r="H58" s="23"/>
      <c r="I58" s="23"/>
      <c r="J58" s="23"/>
      <c r="K58" s="23"/>
      <c r="L58" s="23"/>
      <c r="M58" s="23"/>
      <c r="N58" s="23"/>
      <c r="O58" s="23"/>
      <c r="P58" s="23"/>
      <c r="Q58" s="23"/>
      <c r="R58" s="23"/>
    </row>
    <row r="59" spans="2:18" x14ac:dyDescent="0.35">
      <c r="B59" s="22"/>
      <c r="F59" s="23"/>
      <c r="G59" s="23"/>
      <c r="H59" s="23"/>
      <c r="I59" s="23"/>
      <c r="J59" s="23"/>
      <c r="K59" s="23"/>
      <c r="L59" s="23"/>
      <c r="M59" s="23"/>
      <c r="N59" s="23"/>
      <c r="O59" s="23"/>
      <c r="P59" s="23"/>
      <c r="Q59" s="23"/>
      <c r="R59" s="23"/>
    </row>
    <row r="60" spans="2:18" x14ac:dyDescent="0.35">
      <c r="B60" s="22"/>
      <c r="F60" s="23"/>
      <c r="G60" s="23"/>
      <c r="H60" s="23"/>
      <c r="I60" s="23"/>
      <c r="J60" s="23"/>
      <c r="K60" s="23"/>
      <c r="L60" s="23"/>
      <c r="M60" s="23"/>
      <c r="N60" s="23"/>
      <c r="O60" s="23"/>
      <c r="P60" s="23"/>
      <c r="Q60" s="23"/>
      <c r="R60" s="23"/>
    </row>
    <row r="61" spans="2:18" x14ac:dyDescent="0.35">
      <c r="B61" s="22"/>
      <c r="F61" s="23"/>
      <c r="G61" s="23"/>
      <c r="H61" s="23"/>
      <c r="I61" s="23"/>
      <c r="J61" s="23"/>
      <c r="K61" s="23"/>
      <c r="L61" s="23"/>
      <c r="M61" s="23"/>
      <c r="N61" s="23"/>
      <c r="O61" s="23"/>
      <c r="P61" s="23"/>
      <c r="Q61" s="23"/>
      <c r="R61" s="23"/>
    </row>
    <row r="62" spans="2:18" x14ac:dyDescent="0.35">
      <c r="B62" s="22"/>
      <c r="F62" s="23"/>
      <c r="G62" s="23"/>
      <c r="H62" s="23"/>
      <c r="I62" s="23"/>
      <c r="J62" s="23"/>
      <c r="K62" s="23"/>
      <c r="L62" s="23"/>
      <c r="M62" s="23"/>
      <c r="N62" s="23"/>
      <c r="O62" s="23"/>
      <c r="P62" s="23"/>
      <c r="Q62" s="23"/>
      <c r="R62" s="23"/>
    </row>
    <row r="63" spans="2:18" x14ac:dyDescent="0.35">
      <c r="B63" s="22"/>
      <c r="F63" s="23"/>
      <c r="G63" s="23"/>
      <c r="H63" s="23"/>
      <c r="I63" s="23"/>
      <c r="J63" s="23"/>
      <c r="K63" s="23"/>
      <c r="L63" s="23"/>
      <c r="M63" s="23"/>
      <c r="N63" s="23"/>
      <c r="O63" s="23"/>
      <c r="P63" s="23"/>
      <c r="Q63" s="23"/>
      <c r="R63" s="23"/>
    </row>
    <row r="64" spans="2:18" x14ac:dyDescent="0.35">
      <c r="B64" s="22"/>
      <c r="F64" s="23"/>
      <c r="G64" s="23"/>
      <c r="H64" s="23"/>
      <c r="I64" s="23"/>
      <c r="J64" s="23"/>
      <c r="K64" s="23"/>
      <c r="L64" s="23"/>
      <c r="M64" s="23"/>
      <c r="N64" s="23"/>
      <c r="O64" s="23"/>
      <c r="P64" s="23"/>
      <c r="Q64" s="23"/>
      <c r="R64" s="23"/>
    </row>
    <row r="65" spans="2:18" x14ac:dyDescent="0.35">
      <c r="B65" s="22"/>
      <c r="F65" s="23"/>
      <c r="G65" s="23"/>
      <c r="H65" s="23"/>
      <c r="I65" s="23"/>
      <c r="J65" s="23"/>
      <c r="K65" s="23"/>
      <c r="L65" s="23"/>
      <c r="M65" s="23"/>
      <c r="N65" s="23"/>
      <c r="O65" s="23"/>
      <c r="P65" s="23"/>
      <c r="Q65" s="23"/>
      <c r="R65" s="23"/>
    </row>
    <row r="66" spans="2:18" x14ac:dyDescent="0.35">
      <c r="B66" s="22"/>
      <c r="F66" s="23"/>
      <c r="G66" s="23"/>
      <c r="H66" s="23"/>
      <c r="I66" s="23"/>
      <c r="J66" s="23"/>
      <c r="K66" s="23"/>
      <c r="L66" s="23"/>
      <c r="M66" s="23"/>
      <c r="N66" s="23"/>
      <c r="O66" s="23"/>
      <c r="P66" s="23"/>
      <c r="Q66" s="23"/>
      <c r="R66" s="23"/>
    </row>
    <row r="67" spans="2:18" x14ac:dyDescent="0.35">
      <c r="B67" s="22"/>
      <c r="F67" s="23"/>
      <c r="G67" s="23"/>
      <c r="H67" s="23"/>
      <c r="I67" s="23"/>
      <c r="J67" s="23"/>
      <c r="K67" s="23"/>
      <c r="L67" s="23"/>
      <c r="M67" s="23"/>
      <c r="N67" s="23"/>
      <c r="O67" s="23"/>
      <c r="P67" s="23"/>
      <c r="Q67" s="23"/>
      <c r="R67" s="23"/>
    </row>
    <row r="68" spans="2:18" x14ac:dyDescent="0.35">
      <c r="B68" s="22"/>
      <c r="F68" s="23"/>
      <c r="G68" s="23"/>
      <c r="H68" s="23"/>
      <c r="I68" s="23"/>
      <c r="J68" s="23"/>
      <c r="K68" s="23"/>
      <c r="L68" s="23"/>
      <c r="M68" s="23"/>
      <c r="N68" s="23"/>
      <c r="O68" s="23"/>
      <c r="P68" s="23"/>
      <c r="Q68" s="23"/>
      <c r="R68" s="23"/>
    </row>
    <row r="69" spans="2:18" x14ac:dyDescent="0.35">
      <c r="B69" s="22"/>
      <c r="F69" s="23"/>
      <c r="G69" s="23"/>
      <c r="H69" s="23"/>
      <c r="I69" s="23"/>
      <c r="J69" s="23"/>
      <c r="K69" s="23"/>
      <c r="L69" s="23"/>
      <c r="M69" s="23"/>
      <c r="N69" s="23"/>
      <c r="O69" s="23"/>
      <c r="P69" s="23"/>
      <c r="Q69" s="23"/>
      <c r="R69" s="23"/>
    </row>
    <row r="70" spans="2:18" x14ac:dyDescent="0.35">
      <c r="B70" s="22"/>
      <c r="F70" s="23"/>
      <c r="G70" s="23"/>
      <c r="H70" s="23"/>
      <c r="I70" s="23"/>
      <c r="J70" s="23"/>
      <c r="K70" s="23"/>
      <c r="L70" s="23"/>
      <c r="M70" s="23"/>
      <c r="N70" s="23"/>
      <c r="O70" s="23"/>
      <c r="P70" s="23"/>
      <c r="Q70" s="23"/>
      <c r="R70" s="23"/>
    </row>
    <row r="71" spans="2:18" x14ac:dyDescent="0.35">
      <c r="B71" s="22"/>
      <c r="F71" s="23"/>
      <c r="G71" s="23"/>
      <c r="H71" s="23"/>
      <c r="I71" s="23"/>
      <c r="J71" s="23"/>
      <c r="K71" s="23"/>
      <c r="L71" s="23"/>
      <c r="M71" s="23"/>
      <c r="N71" s="23"/>
      <c r="O71" s="23"/>
      <c r="P71" s="23"/>
      <c r="Q71" s="23"/>
      <c r="R71" s="23"/>
    </row>
    <row r="72" spans="2:18" x14ac:dyDescent="0.35">
      <c r="B72" s="22"/>
      <c r="F72" s="23"/>
      <c r="G72" s="23"/>
      <c r="H72" s="23"/>
      <c r="I72" s="23"/>
      <c r="J72" s="23"/>
      <c r="K72" s="23"/>
      <c r="L72" s="23"/>
      <c r="M72" s="23"/>
      <c r="N72" s="23"/>
      <c r="O72" s="23"/>
      <c r="P72" s="23"/>
      <c r="Q72" s="23"/>
      <c r="R72" s="23"/>
    </row>
    <row r="73" spans="2:18" x14ac:dyDescent="0.35">
      <c r="B73" s="22"/>
      <c r="F73" s="23"/>
      <c r="G73" s="23"/>
      <c r="H73" s="23"/>
      <c r="I73" s="23"/>
      <c r="J73" s="23"/>
      <c r="K73" s="23"/>
      <c r="L73" s="23"/>
      <c r="M73" s="23"/>
      <c r="N73" s="23"/>
      <c r="O73" s="23"/>
      <c r="P73" s="23"/>
      <c r="Q73" s="23"/>
      <c r="R73" s="23"/>
    </row>
    <row r="74" spans="2:18" x14ac:dyDescent="0.35">
      <c r="B74" s="22"/>
      <c r="F74" s="23"/>
      <c r="G74" s="23"/>
      <c r="H74" s="23"/>
      <c r="I74" s="23"/>
      <c r="J74" s="23"/>
      <c r="K74" s="23"/>
      <c r="L74" s="23"/>
      <c r="M74" s="23"/>
      <c r="N74" s="23"/>
      <c r="O74" s="23"/>
      <c r="P74" s="23"/>
      <c r="Q74" s="23"/>
      <c r="R74" s="23"/>
    </row>
    <row r="75" spans="2:18" x14ac:dyDescent="0.35">
      <c r="B75" s="22"/>
      <c r="F75" s="23"/>
      <c r="G75" s="23"/>
      <c r="H75" s="23"/>
      <c r="I75" s="23"/>
      <c r="J75" s="23"/>
      <c r="K75" s="23"/>
      <c r="L75" s="23"/>
      <c r="M75" s="23"/>
      <c r="N75" s="23"/>
      <c r="O75" s="23"/>
      <c r="P75" s="23"/>
      <c r="Q75" s="23"/>
      <c r="R75" s="23"/>
    </row>
    <row r="76" spans="2:18" x14ac:dyDescent="0.35">
      <c r="B76" s="22"/>
      <c r="F76" s="23"/>
      <c r="G76" s="23"/>
      <c r="H76" s="23"/>
      <c r="I76" s="23"/>
      <c r="J76" s="23"/>
      <c r="K76" s="23"/>
      <c r="L76" s="23"/>
      <c r="M76" s="23"/>
      <c r="N76" s="23"/>
      <c r="O76" s="23"/>
      <c r="P76" s="23"/>
      <c r="Q76" s="23"/>
      <c r="R76" s="23"/>
    </row>
    <row r="77" spans="2:18" x14ac:dyDescent="0.35">
      <c r="B77" s="22"/>
      <c r="F77" s="23"/>
      <c r="G77" s="23"/>
      <c r="H77" s="23"/>
      <c r="I77" s="23"/>
      <c r="J77" s="23"/>
      <c r="K77" s="23"/>
      <c r="L77" s="23"/>
      <c r="M77" s="23"/>
      <c r="N77" s="23"/>
      <c r="O77" s="23"/>
      <c r="P77" s="23"/>
      <c r="Q77" s="23"/>
      <c r="R77" s="23"/>
    </row>
    <row r="78" spans="2:18" x14ac:dyDescent="0.35">
      <c r="B78" s="22"/>
      <c r="F78" s="23"/>
      <c r="G78" s="23"/>
      <c r="H78" s="23"/>
      <c r="I78" s="23"/>
      <c r="J78" s="23"/>
      <c r="K78" s="23"/>
      <c r="L78" s="23"/>
      <c r="M78" s="23"/>
      <c r="N78" s="23"/>
      <c r="O78" s="23"/>
      <c r="P78" s="23"/>
      <c r="Q78" s="23"/>
      <c r="R78" s="23"/>
    </row>
    <row r="79" spans="2:18" x14ac:dyDescent="0.35">
      <c r="B79" s="22"/>
      <c r="F79" s="23"/>
      <c r="G79" s="23"/>
      <c r="H79" s="23"/>
      <c r="I79" s="23"/>
      <c r="J79" s="23"/>
      <c r="K79" s="23"/>
      <c r="L79" s="23"/>
      <c r="M79" s="23"/>
      <c r="N79" s="23"/>
      <c r="O79" s="23"/>
      <c r="P79" s="23"/>
      <c r="Q79" s="23"/>
      <c r="R79" s="23"/>
    </row>
    <row r="80" spans="2:18" x14ac:dyDescent="0.35">
      <c r="B80" s="22"/>
      <c r="F80" s="23"/>
      <c r="G80" s="23"/>
      <c r="H80" s="23"/>
      <c r="I80" s="23"/>
      <c r="J80" s="23"/>
      <c r="K80" s="23"/>
      <c r="L80" s="23"/>
      <c r="M80" s="23"/>
      <c r="N80" s="23"/>
      <c r="O80" s="23"/>
      <c r="P80" s="23"/>
      <c r="Q80" s="23"/>
      <c r="R80" s="23"/>
    </row>
    <row r="81" spans="2:18" x14ac:dyDescent="0.35">
      <c r="B81" s="22"/>
      <c r="F81" s="23"/>
      <c r="G81" s="23"/>
      <c r="H81" s="23"/>
      <c r="I81" s="23"/>
      <c r="J81" s="23"/>
      <c r="K81" s="23"/>
      <c r="L81" s="23"/>
      <c r="M81" s="23"/>
      <c r="N81" s="23"/>
      <c r="O81" s="23"/>
      <c r="P81" s="23"/>
      <c r="Q81" s="23"/>
      <c r="R81" s="23"/>
    </row>
    <row r="82" spans="2:18" x14ac:dyDescent="0.35">
      <c r="B82" s="22"/>
      <c r="F82" s="23"/>
      <c r="G82" s="23"/>
      <c r="H82" s="23"/>
      <c r="I82" s="23"/>
      <c r="J82" s="23"/>
      <c r="K82" s="23"/>
      <c r="L82" s="23"/>
      <c r="M82" s="23"/>
      <c r="N82" s="23"/>
      <c r="O82" s="23"/>
      <c r="P82" s="23"/>
      <c r="Q82" s="23"/>
      <c r="R82" s="23"/>
    </row>
    <row r="83" spans="2:18" x14ac:dyDescent="0.35">
      <c r="B83" s="22"/>
      <c r="F83" s="23"/>
      <c r="G83" s="23"/>
      <c r="H83" s="23"/>
      <c r="I83" s="23"/>
      <c r="J83" s="23"/>
      <c r="K83" s="23"/>
      <c r="L83" s="23"/>
      <c r="M83" s="23"/>
      <c r="N83" s="23"/>
      <c r="O83" s="23"/>
      <c r="P83" s="23"/>
      <c r="Q83" s="23"/>
      <c r="R83" s="23"/>
    </row>
    <row r="84" spans="2:18" x14ac:dyDescent="0.35">
      <c r="B84" s="22"/>
      <c r="F84" s="23"/>
      <c r="G84" s="23"/>
      <c r="H84" s="23"/>
      <c r="I84" s="23"/>
      <c r="J84" s="23"/>
      <c r="K84" s="23"/>
      <c r="L84" s="23"/>
      <c r="M84" s="23"/>
      <c r="N84" s="23"/>
      <c r="O84" s="23"/>
      <c r="P84" s="23"/>
      <c r="Q84" s="23"/>
      <c r="R84" s="23"/>
    </row>
    <row r="85" spans="2:18" x14ac:dyDescent="0.35">
      <c r="B85" s="22"/>
      <c r="F85" s="23"/>
      <c r="G85" s="23"/>
      <c r="H85" s="23"/>
      <c r="I85" s="23"/>
      <c r="J85" s="23"/>
      <c r="K85" s="23"/>
      <c r="L85" s="23"/>
      <c r="M85" s="23"/>
      <c r="N85" s="23"/>
      <c r="O85" s="23"/>
      <c r="P85" s="23"/>
      <c r="Q85" s="23"/>
      <c r="R85" s="23"/>
    </row>
    <row r="86" spans="2:18" x14ac:dyDescent="0.35">
      <c r="B86" s="22"/>
      <c r="F86" s="23"/>
      <c r="G86" s="23"/>
      <c r="H86" s="23"/>
      <c r="I86" s="23"/>
      <c r="J86" s="23"/>
      <c r="K86" s="23"/>
      <c r="L86" s="23"/>
      <c r="M86" s="23"/>
      <c r="N86" s="23"/>
      <c r="O86" s="23"/>
      <c r="P86" s="23"/>
      <c r="Q86" s="23"/>
      <c r="R86" s="23"/>
    </row>
    <row r="87" spans="2:18" x14ac:dyDescent="0.35">
      <c r="B87" s="22"/>
      <c r="F87" s="23"/>
      <c r="G87" s="23"/>
      <c r="H87" s="23"/>
      <c r="I87" s="23"/>
      <c r="J87" s="23"/>
      <c r="K87" s="23"/>
      <c r="L87" s="23"/>
      <c r="M87" s="23"/>
      <c r="N87" s="23"/>
      <c r="O87" s="23"/>
      <c r="P87" s="23"/>
      <c r="Q87" s="23"/>
      <c r="R87" s="23"/>
    </row>
    <row r="88" spans="2:18" x14ac:dyDescent="0.35">
      <c r="B88" s="22"/>
      <c r="F88" s="23"/>
      <c r="G88" s="23"/>
      <c r="H88" s="23"/>
      <c r="I88" s="23"/>
      <c r="J88" s="23"/>
      <c r="K88" s="23"/>
      <c r="L88" s="23"/>
      <c r="M88" s="23"/>
      <c r="N88" s="23"/>
      <c r="O88" s="23"/>
      <c r="P88" s="23"/>
      <c r="Q88" s="23"/>
      <c r="R88" s="23"/>
    </row>
    <row r="89" spans="2:18" x14ac:dyDescent="0.35">
      <c r="B89" s="22"/>
      <c r="F89" s="23"/>
      <c r="G89" s="23"/>
      <c r="H89" s="23"/>
      <c r="I89" s="23"/>
      <c r="J89" s="23"/>
      <c r="K89" s="23"/>
      <c r="L89" s="23"/>
      <c r="M89" s="23"/>
      <c r="N89" s="23"/>
      <c r="O89" s="23"/>
      <c r="P89" s="23"/>
      <c r="Q89" s="23"/>
      <c r="R89" s="23"/>
    </row>
    <row r="90" spans="2:18" x14ac:dyDescent="0.35">
      <c r="B90" s="22"/>
      <c r="F90" s="23"/>
      <c r="G90" s="23"/>
      <c r="H90" s="23"/>
      <c r="I90" s="23"/>
      <c r="J90" s="23"/>
      <c r="K90" s="23"/>
      <c r="L90" s="23"/>
      <c r="M90" s="23"/>
      <c r="N90" s="23"/>
      <c r="O90" s="23"/>
      <c r="P90" s="23"/>
      <c r="Q90" s="23"/>
      <c r="R90" s="23"/>
    </row>
    <row r="91" spans="2:18" x14ac:dyDescent="0.35">
      <c r="B91" s="22"/>
      <c r="F91" s="23"/>
      <c r="G91" s="23"/>
      <c r="H91" s="23"/>
      <c r="I91" s="23"/>
      <c r="J91" s="23"/>
      <c r="K91" s="23"/>
      <c r="L91" s="23"/>
      <c r="M91" s="23"/>
      <c r="N91" s="23"/>
      <c r="O91" s="23"/>
      <c r="P91" s="23"/>
      <c r="Q91" s="23"/>
      <c r="R91" s="23"/>
    </row>
    <row r="92" spans="2:18" x14ac:dyDescent="0.35">
      <c r="B92" s="22"/>
      <c r="F92" s="23"/>
      <c r="G92" s="23"/>
      <c r="H92" s="23"/>
      <c r="I92" s="23"/>
      <c r="J92" s="23"/>
      <c r="K92" s="23"/>
      <c r="L92" s="23"/>
      <c r="M92" s="23"/>
      <c r="N92" s="23"/>
      <c r="O92" s="23"/>
      <c r="P92" s="23"/>
      <c r="Q92" s="23"/>
      <c r="R92" s="23"/>
    </row>
    <row r="93" spans="2:18" x14ac:dyDescent="0.35">
      <c r="B93" s="22"/>
      <c r="F93" s="23"/>
      <c r="G93" s="23"/>
      <c r="H93" s="23"/>
      <c r="I93" s="23"/>
      <c r="J93" s="23"/>
      <c r="K93" s="23"/>
      <c r="L93" s="23"/>
      <c r="M93" s="23"/>
      <c r="N93" s="23"/>
      <c r="O93" s="23"/>
      <c r="P93" s="23"/>
      <c r="Q93" s="23"/>
      <c r="R93" s="23"/>
    </row>
    <row r="94" spans="2:18" x14ac:dyDescent="0.35">
      <c r="B94" s="22"/>
      <c r="F94" s="23"/>
      <c r="G94" s="23"/>
      <c r="H94" s="23"/>
      <c r="I94" s="23"/>
      <c r="J94" s="23"/>
      <c r="K94" s="23"/>
      <c r="L94" s="23"/>
      <c r="M94" s="23"/>
      <c r="N94" s="23"/>
      <c r="O94" s="23"/>
      <c r="P94" s="23"/>
      <c r="Q94" s="23"/>
      <c r="R94" s="23"/>
    </row>
    <row r="95" spans="2:18" x14ac:dyDescent="0.35">
      <c r="B95" s="22"/>
      <c r="F95" s="23"/>
      <c r="G95" s="23"/>
      <c r="H95" s="23"/>
      <c r="I95" s="23"/>
      <c r="J95" s="23"/>
      <c r="K95" s="23"/>
      <c r="L95" s="23"/>
      <c r="M95" s="23"/>
      <c r="N95" s="23"/>
      <c r="O95" s="23"/>
      <c r="P95" s="23"/>
      <c r="Q95" s="23"/>
      <c r="R95" s="23"/>
    </row>
    <row r="96" spans="2:18" x14ac:dyDescent="0.35">
      <c r="B96" s="22"/>
      <c r="F96" s="23"/>
      <c r="G96" s="23"/>
      <c r="H96" s="23"/>
      <c r="I96" s="23"/>
      <c r="J96" s="23"/>
      <c r="K96" s="23"/>
      <c r="L96" s="23"/>
      <c r="M96" s="23"/>
      <c r="N96" s="23"/>
      <c r="O96" s="23"/>
      <c r="P96" s="23"/>
      <c r="Q96" s="23"/>
      <c r="R96" s="23"/>
    </row>
    <row r="97" spans="2:18" x14ac:dyDescent="0.35">
      <c r="B97" s="22"/>
      <c r="F97" s="23"/>
      <c r="G97" s="23"/>
      <c r="H97" s="23"/>
      <c r="I97" s="23"/>
      <c r="J97" s="23"/>
      <c r="K97" s="23"/>
      <c r="L97" s="23"/>
      <c r="M97" s="23"/>
      <c r="N97" s="23"/>
      <c r="O97" s="23"/>
      <c r="P97" s="23"/>
      <c r="Q97" s="23"/>
      <c r="R97" s="23"/>
    </row>
    <row r="98" spans="2:18" x14ac:dyDescent="0.35">
      <c r="B98" s="22"/>
      <c r="F98" s="23"/>
      <c r="G98" s="23"/>
      <c r="H98" s="23"/>
      <c r="I98" s="23"/>
      <c r="J98" s="23"/>
      <c r="K98" s="23"/>
      <c r="L98" s="23"/>
      <c r="M98" s="23"/>
      <c r="N98" s="23"/>
      <c r="O98" s="23"/>
      <c r="P98" s="23"/>
      <c r="Q98" s="23"/>
      <c r="R98" s="23"/>
    </row>
    <row r="99" spans="2:18" x14ac:dyDescent="0.35">
      <c r="B99" s="22"/>
      <c r="F99" s="23"/>
      <c r="G99" s="23"/>
      <c r="H99" s="23"/>
      <c r="I99" s="23"/>
      <c r="J99" s="23"/>
      <c r="K99" s="23"/>
      <c r="L99" s="23"/>
      <c r="M99" s="23"/>
      <c r="N99" s="23"/>
      <c r="O99" s="23"/>
      <c r="P99" s="23"/>
      <c r="Q99" s="23"/>
      <c r="R99" s="23"/>
    </row>
    <row r="100" spans="2:18" x14ac:dyDescent="0.35">
      <c r="B100" s="22"/>
      <c r="F100" s="23"/>
      <c r="G100" s="23"/>
      <c r="H100" s="23"/>
      <c r="I100" s="23"/>
      <c r="J100" s="23"/>
      <c r="K100" s="23"/>
      <c r="L100" s="23"/>
      <c r="M100" s="23"/>
      <c r="N100" s="23"/>
      <c r="O100" s="23"/>
      <c r="P100" s="23"/>
      <c r="Q100" s="23"/>
      <c r="R100" s="23"/>
    </row>
    <row r="101" spans="2:18" x14ac:dyDescent="0.35">
      <c r="B101" s="22"/>
      <c r="F101" s="23"/>
      <c r="G101" s="23"/>
      <c r="H101" s="23"/>
      <c r="I101" s="23"/>
      <c r="J101" s="23"/>
      <c r="K101" s="23"/>
      <c r="L101" s="23"/>
      <c r="M101" s="23"/>
      <c r="N101" s="23"/>
      <c r="O101" s="23"/>
      <c r="P101" s="23"/>
      <c r="Q101" s="23"/>
      <c r="R101" s="23"/>
    </row>
    <row r="102" spans="2:18" x14ac:dyDescent="0.35">
      <c r="B102" s="22"/>
      <c r="F102" s="23"/>
      <c r="G102" s="23"/>
      <c r="H102" s="23"/>
      <c r="I102" s="23"/>
      <c r="J102" s="23"/>
      <c r="K102" s="23"/>
      <c r="L102" s="23"/>
      <c r="M102" s="23"/>
      <c r="N102" s="23"/>
      <c r="O102" s="23"/>
      <c r="P102" s="23"/>
      <c r="Q102" s="23"/>
      <c r="R102" s="23"/>
    </row>
    <row r="103" spans="2:18" x14ac:dyDescent="0.35">
      <c r="B103" s="22"/>
      <c r="F103" s="23"/>
      <c r="G103" s="23"/>
      <c r="H103" s="23"/>
      <c r="I103" s="23"/>
      <c r="J103" s="23"/>
      <c r="K103" s="23"/>
      <c r="L103" s="23"/>
      <c r="M103" s="23"/>
      <c r="N103" s="23"/>
      <c r="O103" s="23"/>
      <c r="P103" s="23"/>
      <c r="Q103" s="23"/>
      <c r="R103" s="23"/>
    </row>
    <row r="104" spans="2:18" x14ac:dyDescent="0.35">
      <c r="B104" s="22"/>
      <c r="F104" s="23"/>
      <c r="G104" s="23"/>
      <c r="H104" s="23"/>
      <c r="I104" s="23"/>
      <c r="J104" s="23"/>
      <c r="K104" s="23"/>
      <c r="L104" s="23"/>
      <c r="M104" s="23"/>
      <c r="N104" s="23"/>
      <c r="O104" s="23"/>
      <c r="P104" s="23"/>
      <c r="Q104" s="23"/>
      <c r="R104" s="23"/>
    </row>
    <row r="105" spans="2:18" x14ac:dyDescent="0.35">
      <c r="B105" s="22"/>
      <c r="F105" s="23"/>
      <c r="G105" s="23"/>
      <c r="H105" s="23"/>
      <c r="I105" s="23"/>
      <c r="J105" s="23"/>
      <c r="K105" s="23"/>
      <c r="L105" s="23"/>
      <c r="M105" s="23"/>
      <c r="N105" s="23"/>
      <c r="O105" s="23"/>
      <c r="P105" s="23"/>
      <c r="Q105" s="23"/>
      <c r="R105" s="23"/>
    </row>
    <row r="106" spans="2:18" x14ac:dyDescent="0.35">
      <c r="B106" s="22"/>
      <c r="F106" s="23"/>
      <c r="G106" s="23"/>
      <c r="H106" s="23"/>
      <c r="I106" s="23"/>
      <c r="J106" s="23"/>
      <c r="K106" s="23"/>
      <c r="L106" s="23"/>
      <c r="M106" s="23"/>
      <c r="N106" s="23"/>
      <c r="O106" s="23"/>
      <c r="P106" s="23"/>
      <c r="Q106" s="23"/>
      <c r="R106" s="23"/>
    </row>
    <row r="107" spans="2:18" x14ac:dyDescent="0.35">
      <c r="B107" s="22"/>
      <c r="F107" s="23"/>
      <c r="G107" s="23"/>
      <c r="H107" s="23"/>
      <c r="I107" s="23"/>
      <c r="J107" s="23"/>
      <c r="K107" s="23"/>
      <c r="L107" s="23"/>
      <c r="M107" s="23"/>
      <c r="N107" s="23"/>
      <c r="O107" s="23"/>
      <c r="P107" s="23"/>
      <c r="Q107" s="23"/>
      <c r="R107" s="23"/>
    </row>
    <row r="108" spans="2:18" x14ac:dyDescent="0.35">
      <c r="B108" s="22"/>
      <c r="F108" s="23"/>
      <c r="G108" s="23"/>
      <c r="H108" s="23"/>
      <c r="I108" s="23"/>
      <c r="J108" s="23"/>
      <c r="K108" s="23"/>
      <c r="L108" s="23"/>
      <c r="M108" s="23"/>
      <c r="N108" s="23"/>
      <c r="O108" s="23"/>
      <c r="P108" s="23"/>
      <c r="Q108" s="23"/>
      <c r="R108" s="23"/>
    </row>
    <row r="109" spans="2:18" x14ac:dyDescent="0.35">
      <c r="B109" s="22"/>
      <c r="F109" s="23"/>
      <c r="G109" s="23"/>
      <c r="H109" s="23"/>
      <c r="I109" s="23"/>
      <c r="J109" s="23"/>
      <c r="K109" s="23"/>
      <c r="L109" s="23"/>
      <c r="M109" s="23"/>
      <c r="N109" s="23"/>
      <c r="O109" s="23"/>
      <c r="P109" s="23"/>
      <c r="Q109" s="23"/>
      <c r="R109" s="23"/>
    </row>
    <row r="110" spans="2:18" x14ac:dyDescent="0.35">
      <c r="B110" s="22"/>
      <c r="F110" s="23"/>
      <c r="G110" s="23"/>
      <c r="H110" s="23"/>
      <c r="I110" s="23"/>
      <c r="J110" s="23"/>
      <c r="K110" s="23"/>
      <c r="L110" s="23"/>
      <c r="M110" s="23"/>
      <c r="N110" s="23"/>
      <c r="O110" s="23"/>
      <c r="P110" s="23"/>
      <c r="Q110" s="23"/>
      <c r="R110" s="23"/>
    </row>
    <row r="111" spans="2:18" x14ac:dyDescent="0.35">
      <c r="B111" s="22"/>
      <c r="F111" s="23"/>
      <c r="G111" s="23"/>
      <c r="H111" s="23"/>
      <c r="I111" s="23"/>
      <c r="J111" s="23"/>
      <c r="K111" s="23"/>
      <c r="L111" s="23"/>
      <c r="M111" s="23"/>
      <c r="N111" s="23"/>
      <c r="O111" s="23"/>
      <c r="P111" s="23"/>
      <c r="Q111" s="23"/>
      <c r="R111" s="23"/>
    </row>
    <row r="112" spans="2:18" x14ac:dyDescent="0.35">
      <c r="B112" s="22"/>
      <c r="F112" s="23"/>
      <c r="G112" s="23"/>
      <c r="H112" s="23"/>
      <c r="I112" s="23"/>
      <c r="J112" s="23"/>
      <c r="K112" s="23"/>
      <c r="L112" s="23"/>
      <c r="M112" s="23"/>
      <c r="N112" s="23"/>
      <c r="O112" s="23"/>
      <c r="P112" s="23"/>
      <c r="Q112" s="23"/>
      <c r="R112" s="23"/>
    </row>
    <row r="113" spans="2:18" x14ac:dyDescent="0.35">
      <c r="B113" s="22"/>
      <c r="F113" s="23"/>
      <c r="G113" s="23"/>
      <c r="H113" s="23"/>
      <c r="I113" s="23"/>
      <c r="J113" s="23"/>
      <c r="K113" s="23"/>
      <c r="L113" s="23"/>
      <c r="M113" s="23"/>
      <c r="N113" s="23"/>
      <c r="O113" s="23"/>
      <c r="P113" s="23"/>
      <c r="Q113" s="23"/>
      <c r="R113" s="23"/>
    </row>
    <row r="114" spans="2:18" x14ac:dyDescent="0.35">
      <c r="B114" s="22"/>
      <c r="F114" s="23"/>
      <c r="G114" s="23"/>
      <c r="H114" s="23"/>
      <c r="I114" s="23"/>
      <c r="J114" s="23"/>
      <c r="K114" s="23"/>
      <c r="L114" s="23"/>
      <c r="M114" s="23"/>
      <c r="N114" s="23"/>
      <c r="O114" s="23"/>
      <c r="P114" s="23"/>
      <c r="Q114" s="23"/>
      <c r="R114" s="23"/>
    </row>
    <row r="115" spans="2:18" x14ac:dyDescent="0.35">
      <c r="B115" s="22"/>
      <c r="F115" s="23"/>
      <c r="G115" s="23"/>
      <c r="H115" s="23"/>
      <c r="I115" s="23"/>
      <c r="J115" s="23"/>
      <c r="K115" s="23"/>
      <c r="L115" s="23"/>
      <c r="M115" s="23"/>
      <c r="N115" s="23"/>
      <c r="O115" s="23"/>
      <c r="P115" s="23"/>
      <c r="Q115" s="23"/>
      <c r="R115" s="23"/>
    </row>
    <row r="116" spans="2:18" x14ac:dyDescent="0.35">
      <c r="B116" s="22"/>
      <c r="F116" s="23"/>
      <c r="G116" s="23"/>
      <c r="H116" s="23"/>
      <c r="I116" s="23"/>
      <c r="J116" s="23"/>
      <c r="K116" s="23"/>
      <c r="L116" s="23"/>
      <c r="M116" s="23"/>
      <c r="N116" s="23"/>
      <c r="O116" s="23"/>
      <c r="P116" s="23"/>
      <c r="Q116" s="23"/>
      <c r="R116" s="23"/>
    </row>
    <row r="117" spans="2:18" x14ac:dyDescent="0.35">
      <c r="B117" s="22"/>
      <c r="F117" s="23"/>
      <c r="G117" s="23"/>
      <c r="H117" s="23"/>
      <c r="I117" s="23"/>
      <c r="J117" s="23"/>
      <c r="K117" s="23"/>
      <c r="L117" s="23"/>
      <c r="M117" s="23"/>
      <c r="N117" s="23"/>
      <c r="O117" s="23"/>
      <c r="P117" s="23"/>
      <c r="Q117" s="23"/>
      <c r="R117" s="23"/>
    </row>
    <row r="118" spans="2:18" x14ac:dyDescent="0.35">
      <c r="B118" s="22"/>
      <c r="F118" s="23"/>
      <c r="G118" s="23"/>
      <c r="H118" s="23"/>
      <c r="I118" s="23"/>
      <c r="J118" s="23"/>
      <c r="K118" s="23"/>
      <c r="L118" s="23"/>
      <c r="M118" s="23"/>
      <c r="N118" s="23"/>
      <c r="O118" s="23"/>
      <c r="P118" s="23"/>
      <c r="Q118" s="23"/>
      <c r="R118" s="23"/>
    </row>
    <row r="119" spans="2:18" x14ac:dyDescent="0.35">
      <c r="B119" s="22"/>
      <c r="F119" s="23"/>
      <c r="G119" s="23"/>
      <c r="H119" s="23"/>
      <c r="I119" s="23"/>
      <c r="J119" s="23"/>
      <c r="K119" s="23"/>
      <c r="L119" s="23"/>
      <c r="M119" s="23"/>
      <c r="N119" s="23"/>
      <c r="O119" s="23"/>
      <c r="P119" s="23"/>
      <c r="Q119" s="23"/>
      <c r="R119" s="23"/>
    </row>
    <row r="120" spans="2:18" x14ac:dyDescent="0.35">
      <c r="B120" s="22"/>
      <c r="F120" s="23"/>
      <c r="G120" s="23"/>
      <c r="H120" s="23"/>
      <c r="I120" s="23"/>
      <c r="J120" s="23"/>
      <c r="K120" s="23"/>
      <c r="L120" s="23"/>
      <c r="M120" s="23"/>
      <c r="N120" s="23"/>
      <c r="O120" s="23"/>
      <c r="P120" s="23"/>
      <c r="Q120" s="23"/>
      <c r="R120" s="23"/>
    </row>
    <row r="121" spans="2:18" x14ac:dyDescent="0.35">
      <c r="B121" s="22"/>
      <c r="F121" s="23"/>
      <c r="G121" s="23"/>
      <c r="H121" s="23"/>
      <c r="I121" s="23"/>
      <c r="J121" s="23"/>
      <c r="K121" s="23"/>
      <c r="L121" s="23"/>
      <c r="M121" s="23"/>
      <c r="N121" s="23"/>
      <c r="O121" s="23"/>
      <c r="P121" s="23"/>
      <c r="Q121" s="23"/>
      <c r="R121" s="23"/>
    </row>
    <row r="122" spans="2:18" x14ac:dyDescent="0.35">
      <c r="B122" s="22"/>
      <c r="F122" s="23"/>
      <c r="G122" s="23"/>
      <c r="H122" s="23"/>
      <c r="I122" s="23"/>
      <c r="J122" s="23"/>
      <c r="K122" s="23"/>
      <c r="L122" s="23"/>
      <c r="M122" s="23"/>
      <c r="N122" s="23"/>
      <c r="O122" s="23"/>
      <c r="P122" s="23"/>
      <c r="Q122" s="23"/>
      <c r="R122" s="23"/>
    </row>
    <row r="123" spans="2:18" x14ac:dyDescent="0.35">
      <c r="B123" s="22"/>
      <c r="F123" s="23"/>
      <c r="G123" s="23"/>
      <c r="H123" s="23"/>
      <c r="I123" s="23"/>
      <c r="J123" s="23"/>
      <c r="K123" s="23"/>
      <c r="L123" s="23"/>
      <c r="M123" s="23"/>
      <c r="N123" s="23"/>
      <c r="O123" s="23"/>
      <c r="P123" s="23"/>
      <c r="Q123" s="23"/>
      <c r="R123" s="23"/>
    </row>
    <row r="124" spans="2:18" x14ac:dyDescent="0.35">
      <c r="B124" s="22"/>
      <c r="F124" s="23"/>
      <c r="G124" s="23"/>
      <c r="H124" s="23"/>
      <c r="I124" s="23"/>
      <c r="J124" s="23"/>
      <c r="K124" s="23"/>
      <c r="L124" s="23"/>
      <c r="M124" s="23"/>
      <c r="N124" s="23"/>
      <c r="O124" s="23"/>
      <c r="P124" s="23"/>
      <c r="Q124" s="23"/>
      <c r="R124" s="23"/>
    </row>
    <row r="125" spans="2:18" x14ac:dyDescent="0.35">
      <c r="B125" s="22"/>
      <c r="F125" s="23"/>
      <c r="G125" s="23"/>
      <c r="H125" s="23"/>
      <c r="I125" s="23"/>
      <c r="J125" s="23"/>
      <c r="K125" s="23"/>
      <c r="L125" s="23"/>
      <c r="M125" s="23"/>
      <c r="N125" s="23"/>
      <c r="O125" s="23"/>
      <c r="P125" s="23"/>
      <c r="Q125" s="23"/>
      <c r="R125" s="23"/>
    </row>
    <row r="126" spans="2:18" x14ac:dyDescent="0.35">
      <c r="B126" s="22"/>
      <c r="F126" s="23"/>
      <c r="G126" s="23"/>
      <c r="H126" s="23"/>
      <c r="I126" s="23"/>
      <c r="J126" s="23"/>
      <c r="K126" s="23"/>
      <c r="L126" s="23"/>
      <c r="M126" s="23"/>
      <c r="N126" s="23"/>
      <c r="O126" s="23"/>
      <c r="P126" s="23"/>
      <c r="Q126" s="23"/>
      <c r="R126" s="23"/>
    </row>
    <row r="127" spans="2:18" x14ac:dyDescent="0.35">
      <c r="B127" s="22"/>
      <c r="F127" s="23"/>
      <c r="G127" s="23"/>
      <c r="H127" s="23"/>
      <c r="I127" s="23"/>
      <c r="J127" s="23"/>
      <c r="K127" s="23"/>
      <c r="L127" s="23"/>
      <c r="M127" s="23"/>
      <c r="N127" s="23"/>
      <c r="O127" s="23"/>
      <c r="P127" s="23"/>
      <c r="Q127" s="23"/>
      <c r="R127" s="23"/>
    </row>
    <row r="128" spans="2:18" x14ac:dyDescent="0.35">
      <c r="B128" s="22"/>
      <c r="F128" s="23"/>
      <c r="G128" s="23"/>
      <c r="H128" s="23"/>
      <c r="I128" s="23"/>
      <c r="J128" s="23"/>
      <c r="K128" s="23"/>
      <c r="L128" s="23"/>
      <c r="M128" s="23"/>
      <c r="N128" s="23"/>
      <c r="O128" s="23"/>
      <c r="P128" s="23"/>
      <c r="Q128" s="23"/>
      <c r="R128" s="23"/>
    </row>
    <row r="129" spans="2:18" x14ac:dyDescent="0.35">
      <c r="B129" s="22"/>
      <c r="F129" s="23"/>
      <c r="G129" s="23"/>
      <c r="H129" s="23"/>
      <c r="I129" s="23"/>
      <c r="J129" s="23"/>
      <c r="K129" s="23"/>
      <c r="L129" s="23"/>
      <c r="M129" s="23"/>
      <c r="N129" s="23"/>
      <c r="O129" s="23"/>
      <c r="P129" s="23"/>
      <c r="Q129" s="23"/>
      <c r="R129" s="23"/>
    </row>
    <row r="130" spans="2:18" x14ac:dyDescent="0.35">
      <c r="B130" s="22"/>
      <c r="F130" s="23"/>
      <c r="G130" s="23"/>
      <c r="H130" s="23"/>
      <c r="I130" s="23"/>
      <c r="J130" s="23"/>
      <c r="K130" s="23"/>
      <c r="L130" s="23"/>
      <c r="M130" s="23"/>
      <c r="N130" s="23"/>
      <c r="O130" s="23"/>
      <c r="P130" s="23"/>
      <c r="Q130" s="23"/>
      <c r="R130" s="23"/>
    </row>
    <row r="131" spans="2:18" x14ac:dyDescent="0.35">
      <c r="B131" s="22"/>
      <c r="F131" s="23"/>
      <c r="G131" s="23"/>
      <c r="H131" s="23"/>
      <c r="I131" s="23"/>
      <c r="J131" s="23"/>
      <c r="K131" s="23"/>
      <c r="L131" s="23"/>
      <c r="M131" s="23"/>
      <c r="N131" s="23"/>
      <c r="O131" s="23"/>
      <c r="P131" s="23"/>
      <c r="Q131" s="23"/>
      <c r="R131" s="23"/>
    </row>
    <row r="132" spans="2:18" x14ac:dyDescent="0.35">
      <c r="B132" s="22"/>
      <c r="F132" s="23"/>
      <c r="G132" s="23"/>
      <c r="H132" s="23"/>
      <c r="I132" s="23"/>
      <c r="J132" s="23"/>
      <c r="K132" s="23"/>
      <c r="L132" s="23"/>
      <c r="M132" s="23"/>
      <c r="N132" s="23"/>
      <c r="O132" s="23"/>
      <c r="P132" s="23"/>
      <c r="Q132" s="23"/>
      <c r="R132" s="23"/>
    </row>
    <row r="133" spans="2:18" x14ac:dyDescent="0.35">
      <c r="B133" s="22"/>
      <c r="F133" s="23"/>
      <c r="G133" s="23"/>
      <c r="H133" s="23"/>
      <c r="I133" s="23"/>
      <c r="J133" s="23"/>
      <c r="K133" s="23"/>
      <c r="L133" s="23"/>
      <c r="M133" s="23"/>
      <c r="N133" s="23"/>
      <c r="O133" s="23"/>
      <c r="P133" s="23"/>
      <c r="Q133" s="23"/>
      <c r="R133" s="23"/>
    </row>
    <row r="134" spans="2:18" x14ac:dyDescent="0.35">
      <c r="B134" s="22"/>
      <c r="F134" s="23"/>
      <c r="G134" s="23"/>
      <c r="H134" s="23"/>
      <c r="I134" s="23"/>
      <c r="J134" s="23"/>
      <c r="K134" s="23"/>
      <c r="L134" s="23"/>
      <c r="M134" s="23"/>
      <c r="N134" s="23"/>
      <c r="O134" s="23"/>
      <c r="P134" s="23"/>
      <c r="Q134" s="23"/>
      <c r="R134" s="23"/>
    </row>
    <row r="135" spans="2:18" x14ac:dyDescent="0.35">
      <c r="B135" s="22"/>
      <c r="F135" s="23"/>
      <c r="G135" s="23"/>
      <c r="H135" s="23"/>
      <c r="I135" s="23"/>
      <c r="J135" s="23"/>
      <c r="K135" s="23"/>
      <c r="L135" s="23"/>
      <c r="M135" s="23"/>
      <c r="N135" s="23"/>
      <c r="O135" s="23"/>
      <c r="P135" s="23"/>
      <c r="Q135" s="23"/>
      <c r="R135" s="23"/>
    </row>
    <row r="136" spans="2:18" x14ac:dyDescent="0.35">
      <c r="B136" s="22"/>
      <c r="F136" s="23"/>
      <c r="G136" s="23"/>
      <c r="H136" s="23"/>
      <c r="I136" s="23"/>
      <c r="J136" s="23"/>
      <c r="K136" s="23"/>
      <c r="L136" s="23"/>
      <c r="M136" s="23"/>
      <c r="N136" s="23"/>
      <c r="O136" s="23"/>
      <c r="P136" s="23"/>
      <c r="Q136" s="23"/>
      <c r="R136" s="23"/>
    </row>
    <row r="137" spans="2:18" x14ac:dyDescent="0.35">
      <c r="B137" s="22"/>
      <c r="F137" s="23"/>
      <c r="G137" s="23"/>
      <c r="H137" s="23"/>
      <c r="I137" s="23"/>
      <c r="J137" s="23"/>
      <c r="K137" s="23"/>
      <c r="L137" s="23"/>
      <c r="M137" s="23"/>
      <c r="N137" s="23"/>
      <c r="O137" s="23"/>
      <c r="P137" s="23"/>
      <c r="Q137" s="23"/>
      <c r="R137" s="23"/>
    </row>
    <row r="138" spans="2:18" x14ac:dyDescent="0.35">
      <c r="B138" s="22"/>
      <c r="F138" s="23"/>
      <c r="G138" s="23"/>
      <c r="H138" s="23"/>
      <c r="I138" s="23"/>
      <c r="J138" s="23"/>
      <c r="K138" s="23"/>
      <c r="L138" s="23"/>
      <c r="M138" s="23"/>
      <c r="N138" s="23"/>
      <c r="O138" s="23"/>
      <c r="P138" s="23"/>
      <c r="Q138" s="23"/>
      <c r="R138" s="23"/>
    </row>
    <row r="139" spans="2:18" x14ac:dyDescent="0.35">
      <c r="B139" s="22"/>
      <c r="F139" s="23"/>
      <c r="G139" s="23"/>
      <c r="H139" s="23"/>
      <c r="I139" s="23"/>
      <c r="J139" s="23"/>
      <c r="K139" s="23"/>
      <c r="L139" s="23"/>
      <c r="M139" s="23"/>
      <c r="N139" s="23"/>
      <c r="O139" s="23"/>
      <c r="P139" s="23"/>
      <c r="Q139" s="23"/>
      <c r="R139" s="23"/>
    </row>
    <row r="140" spans="2:18" x14ac:dyDescent="0.35">
      <c r="B140" s="22"/>
      <c r="F140" s="23"/>
      <c r="G140" s="23"/>
      <c r="H140" s="23"/>
      <c r="I140" s="23"/>
      <c r="J140" s="23"/>
      <c r="K140" s="23"/>
      <c r="L140" s="23"/>
      <c r="M140" s="23"/>
      <c r="N140" s="23"/>
      <c r="O140" s="23"/>
      <c r="P140" s="23"/>
      <c r="Q140" s="23"/>
      <c r="R140" s="23"/>
    </row>
    <row r="141" spans="2:18" x14ac:dyDescent="0.35">
      <c r="B141" s="22"/>
      <c r="F141" s="23"/>
      <c r="G141" s="23"/>
      <c r="H141" s="23"/>
      <c r="I141" s="23"/>
      <c r="J141" s="23"/>
      <c r="K141" s="23"/>
      <c r="L141" s="23"/>
      <c r="M141" s="23"/>
      <c r="N141" s="23"/>
      <c r="O141" s="23"/>
      <c r="P141" s="23"/>
      <c r="Q141" s="23"/>
      <c r="R141" s="23"/>
    </row>
    <row r="142" spans="2:18" x14ac:dyDescent="0.35">
      <c r="B142" s="22"/>
      <c r="F142" s="23"/>
      <c r="G142" s="23"/>
      <c r="H142" s="23"/>
      <c r="I142" s="23"/>
      <c r="J142" s="23"/>
      <c r="K142" s="23"/>
      <c r="L142" s="23"/>
      <c r="M142" s="23"/>
      <c r="N142" s="23"/>
      <c r="O142" s="23"/>
      <c r="P142" s="23"/>
      <c r="Q142" s="23"/>
      <c r="R142" s="23"/>
    </row>
    <row r="143" spans="2:18" x14ac:dyDescent="0.35">
      <c r="B143" s="22"/>
      <c r="F143" s="23"/>
      <c r="G143" s="23"/>
      <c r="H143" s="23"/>
      <c r="I143" s="23"/>
      <c r="J143" s="23"/>
      <c r="K143" s="23"/>
      <c r="L143" s="23"/>
      <c r="M143" s="23"/>
      <c r="N143" s="23"/>
      <c r="O143" s="23"/>
      <c r="P143" s="23"/>
      <c r="Q143" s="23"/>
      <c r="R143" s="23"/>
    </row>
    <row r="144" spans="2:18" x14ac:dyDescent="0.35">
      <c r="B144" s="22"/>
      <c r="F144" s="23"/>
      <c r="G144" s="23"/>
      <c r="H144" s="23"/>
      <c r="I144" s="23"/>
      <c r="J144" s="23"/>
      <c r="K144" s="23"/>
      <c r="L144" s="23"/>
      <c r="M144" s="23"/>
      <c r="N144" s="23"/>
      <c r="O144" s="23"/>
      <c r="P144" s="23"/>
      <c r="Q144" s="23"/>
      <c r="R144" s="23"/>
    </row>
    <row r="145" spans="2:18" x14ac:dyDescent="0.35">
      <c r="B145" s="22"/>
      <c r="F145" s="23"/>
      <c r="G145" s="23"/>
      <c r="H145" s="23"/>
      <c r="I145" s="23"/>
      <c r="J145" s="23"/>
      <c r="K145" s="23"/>
      <c r="L145" s="23"/>
      <c r="M145" s="23"/>
      <c r="N145" s="23"/>
      <c r="O145" s="23"/>
      <c r="P145" s="23"/>
      <c r="Q145" s="23"/>
      <c r="R145" s="23"/>
    </row>
    <row r="146" spans="2:18" x14ac:dyDescent="0.35">
      <c r="B146" s="22"/>
      <c r="F146" s="23"/>
      <c r="G146" s="23"/>
      <c r="H146" s="23"/>
      <c r="I146" s="23"/>
      <c r="J146" s="23"/>
      <c r="K146" s="23"/>
      <c r="L146" s="23"/>
      <c r="M146" s="23"/>
      <c r="N146" s="23"/>
      <c r="O146" s="23"/>
      <c r="P146" s="23"/>
      <c r="Q146" s="23"/>
      <c r="R146" s="23"/>
    </row>
    <row r="147" spans="2:18" x14ac:dyDescent="0.35">
      <c r="B147" s="22"/>
      <c r="F147" s="23"/>
      <c r="G147" s="23"/>
      <c r="H147" s="23"/>
      <c r="I147" s="23"/>
      <c r="J147" s="23"/>
      <c r="K147" s="23"/>
      <c r="L147" s="23"/>
      <c r="M147" s="23"/>
      <c r="N147" s="23"/>
      <c r="O147" s="23"/>
      <c r="P147" s="23"/>
      <c r="Q147" s="23"/>
      <c r="R147" s="23"/>
    </row>
    <row r="148" spans="2:18" x14ac:dyDescent="0.35">
      <c r="B148" s="22"/>
      <c r="F148" s="23"/>
      <c r="G148" s="23"/>
      <c r="H148" s="23"/>
      <c r="I148" s="23"/>
      <c r="J148" s="23"/>
      <c r="K148" s="23"/>
      <c r="L148" s="23"/>
      <c r="M148" s="23"/>
      <c r="N148" s="23"/>
      <c r="O148" s="23"/>
      <c r="P148" s="23"/>
      <c r="Q148" s="23"/>
      <c r="R148" s="23"/>
    </row>
    <row r="149" spans="2:18" x14ac:dyDescent="0.35">
      <c r="B149" s="22"/>
      <c r="F149" s="23"/>
      <c r="G149" s="23"/>
      <c r="H149" s="23"/>
      <c r="I149" s="23"/>
      <c r="J149" s="23"/>
      <c r="K149" s="23"/>
      <c r="L149" s="23"/>
      <c r="M149" s="23"/>
      <c r="N149" s="23"/>
      <c r="O149" s="23"/>
      <c r="P149" s="23"/>
      <c r="Q149" s="23"/>
      <c r="R149" s="23"/>
    </row>
    <row r="150" spans="2:18" x14ac:dyDescent="0.35">
      <c r="B150" s="22"/>
      <c r="F150" s="23"/>
      <c r="G150" s="23"/>
      <c r="H150" s="23"/>
      <c r="I150" s="23"/>
      <c r="J150" s="23"/>
      <c r="K150" s="23"/>
      <c r="L150" s="23"/>
      <c r="M150" s="23"/>
      <c r="N150" s="23"/>
      <c r="O150" s="23"/>
      <c r="P150" s="23"/>
      <c r="Q150" s="23"/>
      <c r="R150" s="23"/>
    </row>
    <row r="151" spans="2:18" x14ac:dyDescent="0.35">
      <c r="B151" s="22"/>
      <c r="F151" s="23"/>
      <c r="G151" s="23"/>
      <c r="H151" s="23"/>
      <c r="I151" s="23"/>
      <c r="J151" s="23"/>
      <c r="K151" s="23"/>
      <c r="L151" s="23"/>
      <c r="M151" s="23"/>
      <c r="N151" s="23"/>
      <c r="O151" s="23"/>
      <c r="P151" s="23"/>
      <c r="Q151" s="23"/>
      <c r="R151" s="23"/>
    </row>
    <row r="152" spans="2:18" x14ac:dyDescent="0.35">
      <c r="B152" s="22"/>
      <c r="F152" s="23"/>
      <c r="G152" s="23"/>
      <c r="H152" s="23"/>
      <c r="I152" s="23"/>
      <c r="J152" s="23"/>
      <c r="K152" s="23"/>
      <c r="L152" s="23"/>
      <c r="M152" s="23"/>
      <c r="N152" s="23"/>
      <c r="O152" s="23"/>
      <c r="P152" s="23"/>
      <c r="Q152" s="23"/>
      <c r="R152" s="23"/>
    </row>
    <row r="153" spans="2:18" x14ac:dyDescent="0.35">
      <c r="B153" s="22"/>
      <c r="F153" s="23"/>
      <c r="G153" s="23"/>
      <c r="H153" s="23"/>
      <c r="I153" s="23"/>
      <c r="J153" s="23"/>
      <c r="K153" s="23"/>
      <c r="L153" s="23"/>
      <c r="M153" s="23"/>
      <c r="N153" s="23"/>
      <c r="O153" s="23"/>
      <c r="P153" s="23"/>
      <c r="Q153" s="23"/>
      <c r="R153" s="23"/>
    </row>
    <row r="154" spans="2:18" x14ac:dyDescent="0.35">
      <c r="B154" s="22"/>
      <c r="F154" s="23"/>
      <c r="G154" s="23"/>
      <c r="H154" s="23"/>
      <c r="I154" s="23"/>
      <c r="J154" s="23"/>
      <c r="K154" s="23"/>
      <c r="L154" s="23"/>
      <c r="M154" s="23"/>
      <c r="N154" s="23"/>
      <c r="O154" s="23"/>
      <c r="P154" s="23"/>
      <c r="Q154" s="23"/>
      <c r="R154" s="23"/>
    </row>
    <row r="155" spans="2:18" x14ac:dyDescent="0.35">
      <c r="B155" s="22"/>
      <c r="F155" s="23"/>
      <c r="G155" s="23"/>
      <c r="H155" s="23"/>
      <c r="I155" s="23"/>
      <c r="J155" s="23"/>
      <c r="K155" s="23"/>
      <c r="L155" s="23"/>
      <c r="M155" s="23"/>
      <c r="N155" s="23"/>
      <c r="O155" s="23"/>
      <c r="P155" s="23"/>
      <c r="Q155" s="23"/>
      <c r="R155" s="23"/>
    </row>
    <row r="156" spans="2:18" x14ac:dyDescent="0.35">
      <c r="B156" s="22"/>
      <c r="F156" s="23"/>
      <c r="G156" s="23"/>
      <c r="H156" s="23"/>
      <c r="I156" s="23"/>
      <c r="J156" s="23"/>
      <c r="K156" s="23"/>
      <c r="L156" s="23"/>
      <c r="M156" s="23"/>
      <c r="N156" s="23"/>
      <c r="O156" s="23"/>
      <c r="P156" s="23"/>
      <c r="Q156" s="23"/>
      <c r="R156" s="23"/>
    </row>
    <row r="157" spans="2:18" x14ac:dyDescent="0.35">
      <c r="B157" s="22"/>
      <c r="F157" s="23"/>
      <c r="G157" s="23"/>
      <c r="H157" s="23"/>
      <c r="I157" s="23"/>
      <c r="J157" s="23"/>
      <c r="K157" s="23"/>
      <c r="L157" s="23"/>
      <c r="M157" s="23"/>
      <c r="N157" s="23"/>
      <c r="O157" s="23"/>
      <c r="P157" s="23"/>
      <c r="Q157" s="23"/>
      <c r="R157" s="23"/>
    </row>
    <row r="158" spans="2:18" x14ac:dyDescent="0.35">
      <c r="B158" s="22"/>
      <c r="F158" s="23"/>
      <c r="G158" s="23"/>
      <c r="H158" s="23"/>
      <c r="I158" s="23"/>
      <c r="J158" s="23"/>
      <c r="K158" s="23"/>
      <c r="L158" s="23"/>
      <c r="M158" s="23"/>
      <c r="N158" s="23"/>
      <c r="O158" s="23"/>
      <c r="P158" s="23"/>
      <c r="Q158" s="23"/>
      <c r="R158" s="23"/>
    </row>
    <row r="159" spans="2:18" x14ac:dyDescent="0.35">
      <c r="B159" s="22"/>
      <c r="F159" s="23"/>
      <c r="G159" s="23"/>
      <c r="H159" s="23"/>
      <c r="I159" s="23"/>
      <c r="J159" s="23"/>
      <c r="K159" s="23"/>
      <c r="L159" s="23"/>
      <c r="M159" s="23"/>
      <c r="N159" s="23"/>
      <c r="O159" s="23"/>
      <c r="P159" s="23"/>
      <c r="Q159" s="23"/>
      <c r="R159" s="23"/>
    </row>
    <row r="160" spans="2:18" x14ac:dyDescent="0.35">
      <c r="B160" s="22"/>
      <c r="F160" s="23"/>
      <c r="G160" s="23"/>
      <c r="H160" s="23"/>
      <c r="I160" s="23"/>
      <c r="J160" s="23"/>
      <c r="K160" s="23"/>
      <c r="L160" s="23"/>
      <c r="M160" s="23"/>
      <c r="N160" s="23"/>
      <c r="O160" s="23"/>
      <c r="P160" s="23"/>
      <c r="Q160" s="23"/>
      <c r="R160" s="23"/>
    </row>
    <row r="161" spans="2:18" x14ac:dyDescent="0.35">
      <c r="B161" s="22"/>
      <c r="F161" s="23"/>
      <c r="G161" s="23"/>
      <c r="H161" s="23"/>
      <c r="I161" s="23"/>
      <c r="J161" s="23"/>
      <c r="K161" s="23"/>
      <c r="L161" s="23"/>
      <c r="M161" s="23"/>
      <c r="N161" s="23"/>
      <c r="O161" s="23"/>
      <c r="P161" s="23"/>
      <c r="Q161" s="23"/>
      <c r="R161" s="23"/>
    </row>
    <row r="162" spans="2:18" x14ac:dyDescent="0.35">
      <c r="B162" s="22"/>
      <c r="F162" s="23"/>
      <c r="G162" s="23"/>
      <c r="H162" s="23"/>
      <c r="I162" s="23"/>
      <c r="J162" s="23"/>
      <c r="K162" s="23"/>
      <c r="L162" s="23"/>
      <c r="M162" s="23"/>
      <c r="N162" s="23"/>
      <c r="O162" s="23"/>
      <c r="P162" s="23"/>
      <c r="Q162" s="23"/>
      <c r="R162" s="23"/>
    </row>
    <row r="163" spans="2:18" x14ac:dyDescent="0.35">
      <c r="B163" s="22"/>
      <c r="F163" s="23"/>
      <c r="G163" s="23"/>
      <c r="H163" s="23"/>
      <c r="I163" s="23"/>
      <c r="J163" s="23"/>
      <c r="K163" s="23"/>
      <c r="L163" s="23"/>
      <c r="M163" s="23"/>
      <c r="N163" s="23"/>
      <c r="O163" s="23"/>
      <c r="P163" s="23"/>
      <c r="Q163" s="23"/>
      <c r="R163" s="23"/>
    </row>
    <row r="164" spans="2:18" x14ac:dyDescent="0.35">
      <c r="B164" s="22"/>
      <c r="F164" s="23"/>
      <c r="G164" s="23"/>
      <c r="H164" s="23"/>
      <c r="I164" s="23"/>
      <c r="J164" s="23"/>
      <c r="K164" s="23"/>
      <c r="L164" s="23"/>
      <c r="M164" s="23"/>
      <c r="N164" s="23"/>
      <c r="O164" s="23"/>
      <c r="P164" s="23"/>
      <c r="Q164" s="23"/>
      <c r="R164" s="23"/>
    </row>
    <row r="165" spans="2:18" x14ac:dyDescent="0.35">
      <c r="B165" s="22"/>
      <c r="F165" s="23"/>
      <c r="G165" s="23"/>
      <c r="H165" s="23"/>
      <c r="I165" s="23"/>
      <c r="J165" s="23"/>
      <c r="K165" s="23"/>
      <c r="L165" s="23"/>
      <c r="M165" s="23"/>
      <c r="N165" s="23"/>
      <c r="O165" s="23"/>
      <c r="P165" s="23"/>
      <c r="Q165" s="23"/>
      <c r="R165" s="23"/>
    </row>
    <row r="166" spans="2:18" x14ac:dyDescent="0.35">
      <c r="B166" s="22"/>
      <c r="F166" s="23"/>
      <c r="G166" s="23"/>
      <c r="H166" s="23"/>
      <c r="I166" s="23"/>
      <c r="J166" s="23"/>
      <c r="K166" s="23"/>
      <c r="L166" s="23"/>
      <c r="M166" s="23"/>
      <c r="N166" s="23"/>
      <c r="O166" s="23"/>
      <c r="P166" s="23"/>
      <c r="Q166" s="23"/>
      <c r="R166" s="23"/>
    </row>
    <row r="167" spans="2:18" x14ac:dyDescent="0.35">
      <c r="B167" s="22"/>
      <c r="F167" s="23"/>
      <c r="G167" s="23"/>
      <c r="H167" s="23"/>
      <c r="I167" s="23"/>
      <c r="J167" s="23"/>
      <c r="K167" s="23"/>
      <c r="L167" s="23"/>
      <c r="M167" s="23"/>
      <c r="N167" s="23"/>
      <c r="O167" s="23"/>
      <c r="P167" s="23"/>
      <c r="Q167" s="23"/>
      <c r="R167" s="23"/>
    </row>
    <row r="168" spans="2:18" x14ac:dyDescent="0.35">
      <c r="B168" s="22"/>
      <c r="F168" s="23"/>
      <c r="G168" s="23"/>
      <c r="H168" s="23"/>
      <c r="I168" s="23"/>
      <c r="J168" s="23"/>
      <c r="K168" s="23"/>
      <c r="L168" s="23"/>
      <c r="M168" s="23"/>
      <c r="N168" s="23"/>
      <c r="O168" s="23"/>
      <c r="P168" s="23"/>
      <c r="Q168" s="23"/>
      <c r="R168" s="23"/>
    </row>
    <row r="169" spans="2:18" x14ac:dyDescent="0.35">
      <c r="B169" s="22"/>
      <c r="F169" s="23"/>
      <c r="G169" s="23"/>
      <c r="H169" s="23"/>
      <c r="I169" s="23"/>
      <c r="J169" s="23"/>
      <c r="K169" s="23"/>
      <c r="L169" s="23"/>
      <c r="M169" s="23"/>
      <c r="N169" s="23"/>
      <c r="O169" s="23"/>
      <c r="P169" s="23"/>
      <c r="Q169" s="23"/>
      <c r="R169" s="23"/>
    </row>
    <row r="170" spans="2:18" x14ac:dyDescent="0.35">
      <c r="B170" s="22"/>
      <c r="F170" s="23"/>
      <c r="G170" s="23"/>
      <c r="H170" s="23"/>
      <c r="I170" s="23"/>
      <c r="J170" s="23"/>
      <c r="K170" s="23"/>
      <c r="L170" s="23"/>
      <c r="M170" s="23"/>
      <c r="N170" s="23"/>
      <c r="O170" s="23"/>
      <c r="P170" s="23"/>
      <c r="Q170" s="23"/>
      <c r="R170" s="23"/>
    </row>
    <row r="171" spans="2:18" x14ac:dyDescent="0.35">
      <c r="B171" s="22"/>
      <c r="F171" s="23"/>
      <c r="G171" s="23"/>
      <c r="H171" s="23"/>
      <c r="I171" s="23"/>
      <c r="J171" s="23"/>
      <c r="K171" s="23"/>
      <c r="L171" s="23"/>
      <c r="M171" s="23"/>
      <c r="N171" s="23"/>
      <c r="O171" s="23"/>
      <c r="P171" s="23"/>
      <c r="Q171" s="23"/>
      <c r="R171" s="23"/>
    </row>
    <row r="172" spans="2:18" x14ac:dyDescent="0.35">
      <c r="B172" s="22"/>
      <c r="F172" s="23"/>
      <c r="G172" s="23"/>
      <c r="H172" s="23"/>
      <c r="I172" s="23"/>
      <c r="J172" s="23"/>
      <c r="K172" s="23"/>
      <c r="L172" s="23"/>
      <c r="M172" s="23"/>
      <c r="N172" s="23"/>
      <c r="O172" s="23"/>
      <c r="P172" s="23"/>
      <c r="Q172" s="23"/>
      <c r="R172" s="23"/>
    </row>
    <row r="173" spans="2:18" x14ac:dyDescent="0.35">
      <c r="B173" s="22"/>
      <c r="F173" s="23"/>
      <c r="G173" s="23"/>
      <c r="H173" s="23"/>
      <c r="I173" s="23"/>
      <c r="J173" s="23"/>
      <c r="K173" s="23"/>
      <c r="L173" s="23"/>
      <c r="M173" s="23"/>
      <c r="N173" s="23"/>
      <c r="O173" s="23"/>
      <c r="P173" s="23"/>
      <c r="Q173" s="23"/>
      <c r="R173" s="23"/>
    </row>
    <row r="174" spans="2:18" x14ac:dyDescent="0.35">
      <c r="B174" s="22"/>
      <c r="F174" s="23"/>
      <c r="G174" s="23"/>
      <c r="H174" s="23"/>
      <c r="I174" s="23"/>
      <c r="J174" s="23"/>
      <c r="K174" s="23"/>
      <c r="L174" s="23"/>
      <c r="M174" s="23"/>
      <c r="N174" s="23"/>
      <c r="O174" s="23"/>
      <c r="P174" s="23"/>
      <c r="Q174" s="23"/>
      <c r="R174" s="23"/>
    </row>
    <row r="175" spans="2:18" x14ac:dyDescent="0.35">
      <c r="B175" s="22"/>
      <c r="F175" s="23"/>
      <c r="G175" s="23"/>
      <c r="H175" s="23"/>
      <c r="I175" s="23"/>
      <c r="J175" s="23"/>
      <c r="K175" s="23"/>
      <c r="L175" s="23"/>
      <c r="M175" s="23"/>
      <c r="N175" s="23"/>
      <c r="O175" s="23"/>
      <c r="P175" s="23"/>
      <c r="Q175" s="23"/>
      <c r="R175" s="23"/>
    </row>
    <row r="176" spans="2:18" x14ac:dyDescent="0.35">
      <c r="B176" s="22"/>
      <c r="F176" s="23"/>
      <c r="G176" s="23"/>
      <c r="H176" s="23"/>
      <c r="I176" s="23"/>
      <c r="J176" s="23"/>
      <c r="K176" s="23"/>
      <c r="L176" s="23"/>
      <c r="M176" s="23"/>
      <c r="N176" s="23"/>
      <c r="O176" s="23"/>
      <c r="P176" s="23"/>
      <c r="Q176" s="23"/>
      <c r="R176" s="23"/>
    </row>
    <row r="177" spans="2:18" x14ac:dyDescent="0.35">
      <c r="B177" s="22"/>
      <c r="F177" s="23"/>
      <c r="G177" s="23"/>
      <c r="H177" s="23"/>
      <c r="I177" s="23"/>
      <c r="J177" s="23"/>
      <c r="K177" s="23"/>
      <c r="L177" s="23"/>
      <c r="M177" s="23"/>
      <c r="N177" s="23"/>
      <c r="O177" s="23"/>
      <c r="P177" s="23"/>
      <c r="Q177" s="23"/>
      <c r="R177" s="23"/>
    </row>
    <row r="178" spans="2:18" x14ac:dyDescent="0.35">
      <c r="B178" s="22"/>
      <c r="F178" s="23"/>
      <c r="G178" s="23"/>
      <c r="H178" s="23"/>
      <c r="I178" s="23"/>
      <c r="J178" s="23"/>
      <c r="K178" s="23"/>
      <c r="L178" s="23"/>
      <c r="M178" s="23"/>
      <c r="N178" s="23"/>
      <c r="O178" s="23"/>
      <c r="P178" s="23"/>
      <c r="Q178" s="23"/>
      <c r="R178" s="23"/>
    </row>
    <row r="179" spans="2:18" x14ac:dyDescent="0.35">
      <c r="B179" s="22"/>
      <c r="F179" s="23"/>
      <c r="G179" s="23"/>
      <c r="H179" s="23"/>
      <c r="I179" s="23"/>
      <c r="J179" s="23"/>
      <c r="K179" s="23"/>
      <c r="L179" s="23"/>
      <c r="M179" s="23"/>
      <c r="N179" s="23"/>
      <c r="O179" s="23"/>
      <c r="P179" s="23"/>
      <c r="Q179" s="23"/>
      <c r="R179" s="23"/>
    </row>
    <row r="180" spans="2:18" x14ac:dyDescent="0.35">
      <c r="B180" s="22"/>
      <c r="F180" s="23"/>
      <c r="G180" s="23"/>
      <c r="H180" s="23"/>
      <c r="I180" s="23"/>
      <c r="J180" s="23"/>
      <c r="K180" s="23"/>
      <c r="L180" s="23"/>
      <c r="M180" s="23"/>
      <c r="N180" s="23"/>
      <c r="O180" s="23"/>
      <c r="P180" s="23"/>
      <c r="Q180" s="23"/>
      <c r="R180" s="23"/>
    </row>
    <row r="181" spans="2:18" x14ac:dyDescent="0.35">
      <c r="B181" s="22"/>
      <c r="F181" s="23"/>
      <c r="G181" s="23"/>
      <c r="H181" s="23"/>
      <c r="I181" s="23"/>
      <c r="J181" s="23"/>
      <c r="K181" s="23"/>
      <c r="L181" s="23"/>
      <c r="M181" s="23"/>
      <c r="N181" s="23"/>
      <c r="O181" s="23"/>
      <c r="P181" s="23"/>
      <c r="Q181" s="23"/>
      <c r="R181" s="23"/>
    </row>
    <row r="182" spans="2:18" x14ac:dyDescent="0.35">
      <c r="B182" s="22"/>
      <c r="F182" s="23"/>
      <c r="G182" s="23"/>
      <c r="H182" s="23"/>
      <c r="I182" s="23"/>
      <c r="J182" s="23"/>
      <c r="K182" s="23"/>
      <c r="L182" s="23"/>
      <c r="M182" s="23"/>
      <c r="N182" s="23"/>
      <c r="O182" s="23"/>
      <c r="P182" s="23"/>
      <c r="Q182" s="23"/>
      <c r="R182" s="23"/>
    </row>
    <row r="183" spans="2:18" x14ac:dyDescent="0.35">
      <c r="B183" s="22"/>
      <c r="F183" s="23"/>
      <c r="G183" s="23"/>
      <c r="H183" s="23"/>
      <c r="I183" s="23"/>
      <c r="J183" s="23"/>
      <c r="K183" s="23"/>
      <c r="L183" s="23"/>
      <c r="M183" s="23"/>
      <c r="N183" s="23"/>
      <c r="O183" s="23"/>
      <c r="P183" s="23"/>
      <c r="Q183" s="23"/>
      <c r="R183" s="23"/>
    </row>
    <row r="184" spans="2:18" x14ac:dyDescent="0.35">
      <c r="B184" s="22"/>
      <c r="F184" s="23"/>
      <c r="G184" s="23"/>
      <c r="H184" s="23"/>
      <c r="I184" s="23"/>
      <c r="J184" s="23"/>
      <c r="K184" s="23"/>
      <c r="L184" s="23"/>
      <c r="M184" s="23"/>
      <c r="N184" s="23"/>
      <c r="O184" s="23"/>
      <c r="P184" s="23"/>
      <c r="Q184" s="23"/>
      <c r="R184" s="23"/>
    </row>
    <row r="185" spans="2:18" x14ac:dyDescent="0.35">
      <c r="B185" s="22"/>
      <c r="F185" s="23"/>
      <c r="G185" s="23"/>
      <c r="H185" s="23"/>
      <c r="I185" s="23"/>
      <c r="J185" s="23"/>
      <c r="K185" s="23"/>
      <c r="L185" s="23"/>
      <c r="M185" s="23"/>
      <c r="N185" s="23"/>
      <c r="O185" s="23"/>
      <c r="P185" s="23"/>
      <c r="Q185" s="23"/>
      <c r="R185" s="23"/>
    </row>
    <row r="186" spans="2:18" x14ac:dyDescent="0.35">
      <c r="B186" s="22"/>
      <c r="F186" s="23"/>
      <c r="G186" s="23"/>
      <c r="H186" s="23"/>
      <c r="I186" s="23"/>
      <c r="J186" s="23"/>
      <c r="K186" s="23"/>
      <c r="L186" s="23"/>
      <c r="M186" s="23"/>
      <c r="N186" s="23"/>
      <c r="O186" s="23"/>
      <c r="P186" s="23"/>
      <c r="Q186" s="23"/>
      <c r="R186" s="23"/>
    </row>
    <row r="187" spans="2:18" x14ac:dyDescent="0.35">
      <c r="B187" s="22"/>
      <c r="F187" s="23"/>
      <c r="G187" s="23"/>
      <c r="H187" s="23"/>
      <c r="I187" s="23"/>
      <c r="J187" s="23"/>
      <c r="K187" s="23"/>
      <c r="L187" s="23"/>
      <c r="M187" s="23"/>
      <c r="N187" s="23"/>
      <c r="O187" s="23"/>
      <c r="P187" s="23"/>
      <c r="Q187" s="23"/>
      <c r="R187" s="23"/>
    </row>
    <row r="188" spans="2:18" x14ac:dyDescent="0.35">
      <c r="B188" s="22"/>
      <c r="F188" s="23"/>
      <c r="G188" s="23"/>
      <c r="H188" s="23"/>
      <c r="I188" s="23"/>
      <c r="J188" s="23"/>
      <c r="K188" s="23"/>
      <c r="L188" s="23"/>
      <c r="M188" s="23"/>
      <c r="N188" s="23"/>
      <c r="O188" s="23"/>
      <c r="P188" s="23"/>
      <c r="Q188" s="23"/>
      <c r="R188" s="23"/>
    </row>
    <row r="189" spans="2:18" x14ac:dyDescent="0.35">
      <c r="B189" s="22"/>
      <c r="F189" s="23"/>
      <c r="G189" s="23"/>
      <c r="H189" s="23"/>
      <c r="I189" s="23"/>
      <c r="J189" s="23"/>
      <c r="K189" s="23"/>
      <c r="L189" s="23"/>
      <c r="M189" s="23"/>
      <c r="N189" s="23"/>
      <c r="O189" s="23"/>
      <c r="P189" s="23"/>
      <c r="Q189" s="23"/>
      <c r="R189" s="23"/>
    </row>
    <row r="190" spans="2:18" x14ac:dyDescent="0.35">
      <c r="B190" s="22"/>
      <c r="F190" s="23"/>
      <c r="G190" s="23"/>
      <c r="H190" s="23"/>
      <c r="I190" s="23"/>
      <c r="J190" s="23"/>
      <c r="K190" s="23"/>
      <c r="L190" s="23"/>
      <c r="M190" s="23"/>
      <c r="N190" s="23"/>
      <c r="O190" s="23"/>
      <c r="P190" s="23"/>
      <c r="Q190" s="23"/>
      <c r="R190" s="23"/>
    </row>
    <row r="191" spans="2:18" x14ac:dyDescent="0.35">
      <c r="B191" s="22"/>
      <c r="F191" s="23"/>
      <c r="G191" s="23"/>
      <c r="H191" s="23"/>
      <c r="I191" s="23"/>
      <c r="J191" s="23"/>
      <c r="K191" s="23"/>
      <c r="L191" s="23"/>
      <c r="M191" s="23"/>
      <c r="N191" s="23"/>
      <c r="O191" s="23"/>
      <c r="P191" s="23"/>
      <c r="Q191" s="23"/>
      <c r="R191" s="23"/>
    </row>
    <row r="192" spans="2:18" x14ac:dyDescent="0.35">
      <c r="B192" s="22"/>
      <c r="F192" s="23"/>
      <c r="G192" s="23"/>
      <c r="H192" s="23"/>
      <c r="I192" s="23"/>
      <c r="J192" s="23"/>
      <c r="K192" s="23"/>
      <c r="L192" s="23"/>
      <c r="M192" s="23"/>
      <c r="N192" s="23"/>
      <c r="O192" s="23"/>
      <c r="P192" s="23"/>
      <c r="Q192" s="23"/>
      <c r="R192" s="23"/>
    </row>
    <row r="193" spans="2:18" x14ac:dyDescent="0.35">
      <c r="B193" s="22"/>
      <c r="F193" s="23"/>
      <c r="G193" s="23"/>
      <c r="H193" s="23"/>
      <c r="I193" s="23"/>
      <c r="J193" s="23"/>
      <c r="K193" s="23"/>
      <c r="L193" s="23"/>
      <c r="M193" s="23"/>
      <c r="N193" s="23"/>
      <c r="O193" s="23"/>
      <c r="P193" s="23"/>
      <c r="Q193" s="23"/>
      <c r="R193" s="23"/>
    </row>
    <row r="194" spans="2:18" x14ac:dyDescent="0.35">
      <c r="B194" s="22"/>
      <c r="F194" s="23"/>
      <c r="G194" s="23"/>
      <c r="H194" s="23"/>
      <c r="I194" s="23"/>
      <c r="J194" s="23"/>
      <c r="K194" s="23"/>
      <c r="L194" s="23"/>
      <c r="M194" s="23"/>
      <c r="N194" s="23"/>
      <c r="O194" s="23"/>
      <c r="P194" s="23"/>
      <c r="Q194" s="23"/>
      <c r="R194" s="23"/>
    </row>
    <row r="195" spans="2:18" x14ac:dyDescent="0.35">
      <c r="B195" s="22"/>
      <c r="F195" s="23"/>
      <c r="G195" s="23"/>
      <c r="H195" s="23"/>
      <c r="I195" s="23"/>
      <c r="J195" s="23"/>
      <c r="K195" s="23"/>
      <c r="L195" s="23"/>
      <c r="M195" s="23"/>
      <c r="N195" s="23"/>
      <c r="O195" s="23"/>
      <c r="P195" s="23"/>
      <c r="Q195" s="23"/>
      <c r="R195" s="23"/>
    </row>
    <row r="196" spans="2:18" x14ac:dyDescent="0.35">
      <c r="B196" s="22"/>
      <c r="F196" s="23"/>
      <c r="G196" s="23"/>
      <c r="H196" s="23"/>
      <c r="I196" s="23"/>
      <c r="J196" s="23"/>
      <c r="K196" s="23"/>
      <c r="L196" s="23"/>
      <c r="M196" s="23"/>
      <c r="N196" s="23"/>
      <c r="O196" s="23"/>
      <c r="P196" s="23"/>
      <c r="Q196" s="23"/>
      <c r="R196" s="23"/>
    </row>
    <row r="197" spans="2:18" x14ac:dyDescent="0.35">
      <c r="B197" s="22"/>
      <c r="F197" s="23"/>
      <c r="G197" s="23"/>
      <c r="H197" s="23"/>
      <c r="I197" s="23"/>
      <c r="J197" s="23"/>
      <c r="K197" s="23"/>
      <c r="L197" s="23"/>
      <c r="M197" s="23"/>
      <c r="N197" s="23"/>
      <c r="O197" s="23"/>
      <c r="P197" s="23"/>
      <c r="Q197" s="23"/>
      <c r="R197" s="23"/>
    </row>
    <row r="198" spans="2:18" x14ac:dyDescent="0.35">
      <c r="B198" s="22"/>
      <c r="F198" s="23"/>
      <c r="G198" s="23"/>
      <c r="H198" s="23"/>
      <c r="I198" s="23"/>
      <c r="J198" s="23"/>
      <c r="K198" s="23"/>
      <c r="L198" s="23"/>
      <c r="M198" s="23"/>
      <c r="N198" s="23"/>
      <c r="O198" s="23"/>
      <c r="P198" s="23"/>
      <c r="Q198" s="23"/>
      <c r="R198" s="23"/>
    </row>
    <row r="199" spans="2:18" x14ac:dyDescent="0.35">
      <c r="B199" s="22"/>
      <c r="F199" s="23"/>
      <c r="G199" s="23"/>
      <c r="H199" s="23"/>
      <c r="I199" s="23"/>
      <c r="J199" s="23"/>
      <c r="K199" s="23"/>
      <c r="L199" s="23"/>
      <c r="M199" s="23"/>
      <c r="N199" s="23"/>
      <c r="O199" s="23"/>
      <c r="P199" s="23"/>
      <c r="Q199" s="23"/>
      <c r="R199" s="23"/>
    </row>
    <row r="200" spans="2:18" x14ac:dyDescent="0.35">
      <c r="B200" s="22"/>
      <c r="F200" s="23"/>
      <c r="G200" s="23"/>
      <c r="H200" s="23"/>
      <c r="I200" s="23"/>
      <c r="J200" s="23"/>
      <c r="K200" s="23"/>
      <c r="L200" s="23"/>
      <c r="M200" s="23"/>
      <c r="N200" s="23"/>
      <c r="O200" s="23"/>
      <c r="P200" s="23"/>
      <c r="Q200" s="23"/>
      <c r="R200" s="23"/>
    </row>
    <row r="201" spans="2:18" x14ac:dyDescent="0.35">
      <c r="B201" s="22"/>
      <c r="F201" s="23"/>
      <c r="G201" s="23"/>
      <c r="H201" s="23"/>
      <c r="I201" s="23"/>
      <c r="J201" s="23"/>
      <c r="K201" s="23"/>
      <c r="L201" s="23"/>
      <c r="M201" s="23"/>
      <c r="N201" s="23"/>
      <c r="O201" s="23"/>
      <c r="P201" s="23"/>
      <c r="Q201" s="23"/>
      <c r="R201" s="23"/>
    </row>
    <row r="202" spans="2:18" x14ac:dyDescent="0.35">
      <c r="B202" s="22"/>
      <c r="F202" s="23"/>
      <c r="G202" s="23"/>
      <c r="H202" s="23"/>
      <c r="I202" s="23"/>
      <c r="J202" s="23"/>
      <c r="K202" s="23"/>
      <c r="L202" s="23"/>
      <c r="M202" s="23"/>
      <c r="N202" s="23"/>
      <c r="O202" s="23"/>
      <c r="P202" s="23"/>
      <c r="Q202" s="23"/>
      <c r="R202" s="23"/>
    </row>
    <row r="203" spans="2:18" x14ac:dyDescent="0.35">
      <c r="B203" s="22"/>
      <c r="F203" s="23"/>
      <c r="G203" s="23"/>
      <c r="H203" s="23"/>
      <c r="I203" s="23"/>
      <c r="J203" s="23"/>
      <c r="K203" s="23"/>
      <c r="L203" s="23"/>
      <c r="M203" s="23"/>
      <c r="N203" s="23"/>
      <c r="O203" s="23"/>
      <c r="P203" s="23"/>
      <c r="Q203" s="23"/>
      <c r="R203" s="23"/>
    </row>
    <row r="204" spans="2:18" x14ac:dyDescent="0.35">
      <c r="B204" s="22"/>
      <c r="F204" s="23"/>
      <c r="G204" s="23"/>
      <c r="H204" s="23"/>
      <c r="I204" s="23"/>
      <c r="J204" s="23"/>
      <c r="K204" s="23"/>
      <c r="L204" s="23"/>
      <c r="M204" s="23"/>
      <c r="N204" s="23"/>
      <c r="O204" s="23"/>
      <c r="P204" s="23"/>
      <c r="Q204" s="23"/>
      <c r="R204" s="23"/>
    </row>
    <row r="205" spans="2:18" x14ac:dyDescent="0.35">
      <c r="B205" s="22"/>
      <c r="F205" s="23"/>
      <c r="G205" s="23"/>
      <c r="H205" s="23"/>
      <c r="I205" s="23"/>
      <c r="J205" s="23"/>
      <c r="K205" s="23"/>
      <c r="L205" s="23"/>
      <c r="M205" s="23"/>
      <c r="N205" s="23"/>
      <c r="O205" s="23"/>
      <c r="P205" s="23"/>
      <c r="Q205" s="23"/>
      <c r="R205" s="23"/>
    </row>
    <row r="206" spans="2:18" x14ac:dyDescent="0.35">
      <c r="B206" s="22"/>
      <c r="F206" s="23"/>
      <c r="G206" s="23"/>
      <c r="H206" s="23"/>
      <c r="I206" s="23"/>
      <c r="J206" s="23"/>
      <c r="K206" s="23"/>
      <c r="L206" s="23"/>
      <c r="M206" s="23"/>
      <c r="N206" s="23"/>
      <c r="O206" s="23"/>
      <c r="P206" s="23"/>
      <c r="Q206" s="23"/>
      <c r="R206" s="23"/>
    </row>
    <row r="207" spans="2:18" x14ac:dyDescent="0.35">
      <c r="B207" s="22"/>
      <c r="F207" s="23"/>
      <c r="G207" s="23"/>
      <c r="H207" s="23"/>
      <c r="I207" s="23"/>
      <c r="J207" s="23"/>
      <c r="K207" s="23"/>
      <c r="L207" s="23"/>
      <c r="M207" s="23"/>
      <c r="N207" s="23"/>
      <c r="O207" s="23"/>
      <c r="P207" s="23"/>
      <c r="Q207" s="23"/>
      <c r="R207" s="23"/>
    </row>
    <row r="208" spans="2:18" x14ac:dyDescent="0.35">
      <c r="B208" s="22"/>
      <c r="F208" s="23"/>
      <c r="G208" s="23"/>
      <c r="H208" s="23"/>
      <c r="I208" s="23"/>
      <c r="J208" s="23"/>
      <c r="K208" s="23"/>
      <c r="L208" s="23"/>
      <c r="M208" s="23"/>
      <c r="N208" s="23"/>
      <c r="O208" s="23"/>
      <c r="P208" s="23"/>
      <c r="Q208" s="23"/>
      <c r="R208" s="23"/>
    </row>
    <row r="209" spans="2:18" x14ac:dyDescent="0.35">
      <c r="B209" s="22"/>
      <c r="F209" s="23"/>
      <c r="G209" s="23"/>
      <c r="H209" s="23"/>
      <c r="I209" s="23"/>
      <c r="J209" s="23"/>
      <c r="K209" s="23"/>
      <c r="L209" s="23"/>
      <c r="M209" s="23"/>
      <c r="N209" s="23"/>
      <c r="O209" s="23"/>
      <c r="P209" s="23"/>
      <c r="Q209" s="23"/>
      <c r="R209" s="23"/>
    </row>
    <row r="210" spans="2:18" x14ac:dyDescent="0.35">
      <c r="B210" s="22"/>
      <c r="F210" s="23"/>
      <c r="G210" s="23"/>
      <c r="H210" s="23"/>
      <c r="I210" s="23"/>
      <c r="J210" s="23"/>
      <c r="K210" s="23"/>
      <c r="L210" s="23"/>
      <c r="M210" s="23"/>
      <c r="N210" s="23"/>
      <c r="O210" s="23"/>
      <c r="P210" s="23"/>
      <c r="Q210" s="23"/>
      <c r="R210" s="23"/>
    </row>
    <row r="211" spans="2:18" x14ac:dyDescent="0.35">
      <c r="B211" s="22"/>
      <c r="F211" s="23"/>
      <c r="G211" s="23"/>
      <c r="H211" s="23"/>
      <c r="I211" s="23"/>
      <c r="J211" s="23"/>
      <c r="K211" s="23"/>
      <c r="L211" s="23"/>
      <c r="M211" s="23"/>
      <c r="N211" s="23"/>
      <c r="O211" s="23"/>
      <c r="P211" s="23"/>
      <c r="Q211" s="23"/>
      <c r="R211" s="23"/>
    </row>
    <row r="212" spans="2:18" x14ac:dyDescent="0.35">
      <c r="B212" s="22"/>
      <c r="F212" s="23"/>
      <c r="G212" s="23"/>
      <c r="H212" s="23"/>
      <c r="I212" s="23"/>
      <c r="J212" s="23"/>
      <c r="K212" s="23"/>
      <c r="L212" s="23"/>
      <c r="M212" s="23"/>
      <c r="N212" s="23"/>
      <c r="O212" s="23"/>
      <c r="P212" s="23"/>
      <c r="Q212" s="23"/>
      <c r="R212" s="23"/>
    </row>
    <row r="213" spans="2:18" x14ac:dyDescent="0.35">
      <c r="B213" s="22"/>
      <c r="F213" s="23"/>
      <c r="G213" s="23"/>
      <c r="H213" s="23"/>
      <c r="I213" s="23"/>
      <c r="J213" s="23"/>
      <c r="K213" s="23"/>
      <c r="L213" s="23"/>
      <c r="M213" s="23"/>
      <c r="N213" s="23"/>
      <c r="O213" s="23"/>
      <c r="P213" s="23"/>
      <c r="Q213" s="23"/>
      <c r="R213" s="23"/>
    </row>
    <row r="214" spans="2:18" x14ac:dyDescent="0.35">
      <c r="B214" s="22"/>
      <c r="F214" s="23"/>
      <c r="G214" s="23"/>
      <c r="H214" s="23"/>
      <c r="I214" s="23"/>
      <c r="J214" s="23"/>
      <c r="K214" s="23"/>
      <c r="L214" s="23"/>
      <c r="M214" s="23"/>
      <c r="N214" s="23"/>
      <c r="O214" s="23"/>
      <c r="P214" s="23"/>
      <c r="Q214" s="23"/>
      <c r="R214" s="23"/>
    </row>
    <row r="215" spans="2:18" x14ac:dyDescent="0.35">
      <c r="B215" s="22"/>
      <c r="F215" s="23"/>
      <c r="G215" s="23"/>
      <c r="H215" s="23"/>
      <c r="I215" s="23"/>
      <c r="J215" s="23"/>
      <c r="K215" s="23"/>
      <c r="L215" s="23"/>
      <c r="M215" s="23"/>
      <c r="N215" s="23"/>
      <c r="O215" s="23"/>
      <c r="P215" s="23"/>
      <c r="Q215" s="23"/>
      <c r="R215" s="23"/>
    </row>
    <row r="216" spans="2:18" x14ac:dyDescent="0.35">
      <c r="B216" s="22"/>
      <c r="F216" s="23"/>
      <c r="G216" s="23"/>
      <c r="H216" s="23"/>
      <c r="I216" s="23"/>
      <c r="J216" s="23"/>
      <c r="K216" s="23"/>
      <c r="L216" s="23"/>
      <c r="M216" s="23"/>
      <c r="N216" s="23"/>
      <c r="O216" s="23"/>
      <c r="P216" s="23"/>
      <c r="Q216" s="23"/>
      <c r="R216" s="23"/>
    </row>
    <row r="217" spans="2:18" x14ac:dyDescent="0.35">
      <c r="B217" s="22"/>
      <c r="F217" s="23"/>
      <c r="G217" s="23"/>
      <c r="H217" s="23"/>
      <c r="I217" s="23"/>
      <c r="J217" s="23"/>
      <c r="K217" s="23"/>
      <c r="L217" s="23"/>
      <c r="M217" s="23"/>
      <c r="N217" s="23"/>
      <c r="O217" s="23"/>
      <c r="P217" s="23"/>
      <c r="Q217" s="23"/>
      <c r="R217" s="23"/>
    </row>
    <row r="218" spans="2:18" x14ac:dyDescent="0.35">
      <c r="B218" s="22"/>
      <c r="F218" s="23"/>
      <c r="G218" s="23"/>
      <c r="H218" s="23"/>
      <c r="I218" s="23"/>
      <c r="J218" s="23"/>
      <c r="K218" s="23"/>
      <c r="L218" s="23"/>
      <c r="M218" s="23"/>
      <c r="N218" s="23"/>
      <c r="O218" s="23"/>
      <c r="P218" s="23"/>
      <c r="Q218" s="23"/>
      <c r="R218" s="23"/>
    </row>
    <row r="219" spans="2:18" x14ac:dyDescent="0.35">
      <c r="B219" s="22"/>
      <c r="F219" s="23"/>
      <c r="G219" s="23"/>
      <c r="H219" s="23"/>
      <c r="I219" s="23"/>
      <c r="J219" s="23"/>
      <c r="K219" s="23"/>
      <c r="L219" s="23"/>
      <c r="M219" s="23"/>
      <c r="N219" s="23"/>
      <c r="O219" s="23"/>
      <c r="P219" s="23"/>
      <c r="Q219" s="23"/>
      <c r="R219" s="23"/>
    </row>
    <row r="220" spans="2:18" x14ac:dyDescent="0.35">
      <c r="B220" s="22"/>
      <c r="F220" s="23"/>
      <c r="G220" s="23"/>
      <c r="H220" s="23"/>
      <c r="I220" s="23"/>
      <c r="J220" s="23"/>
      <c r="K220" s="23"/>
      <c r="L220" s="23"/>
      <c r="M220" s="23"/>
      <c r="N220" s="23"/>
      <c r="O220" s="23"/>
      <c r="P220" s="23"/>
      <c r="Q220" s="23"/>
      <c r="R220" s="23"/>
    </row>
    <row r="221" spans="2:18" x14ac:dyDescent="0.35">
      <c r="B221" s="22"/>
      <c r="F221" s="23"/>
      <c r="G221" s="23"/>
      <c r="H221" s="23"/>
      <c r="I221" s="23"/>
      <c r="J221" s="23"/>
      <c r="K221" s="23"/>
      <c r="L221" s="23"/>
      <c r="M221" s="23"/>
      <c r="N221" s="23"/>
      <c r="O221" s="23"/>
      <c r="P221" s="23"/>
      <c r="Q221" s="23"/>
      <c r="R221" s="23"/>
    </row>
    <row r="222" spans="2:18" x14ac:dyDescent="0.35">
      <c r="B222" s="22"/>
      <c r="F222" s="23"/>
      <c r="G222" s="23"/>
      <c r="H222" s="23"/>
      <c r="I222" s="23"/>
      <c r="J222" s="23"/>
      <c r="K222" s="23"/>
      <c r="L222" s="23"/>
      <c r="M222" s="23"/>
      <c r="N222" s="23"/>
      <c r="O222" s="23"/>
      <c r="P222" s="23"/>
      <c r="Q222" s="23"/>
      <c r="R222" s="23"/>
    </row>
    <row r="223" spans="2:18" x14ac:dyDescent="0.35">
      <c r="B223" s="22"/>
      <c r="F223" s="23"/>
      <c r="G223" s="23"/>
      <c r="H223" s="23"/>
      <c r="I223" s="23"/>
      <c r="J223" s="23"/>
      <c r="K223" s="23"/>
      <c r="L223" s="23"/>
      <c r="M223" s="23"/>
      <c r="N223" s="23"/>
      <c r="O223" s="23"/>
      <c r="P223" s="23"/>
      <c r="Q223" s="23"/>
      <c r="R223" s="23"/>
    </row>
    <row r="224" spans="2:18" x14ac:dyDescent="0.35">
      <c r="B224" s="22"/>
      <c r="F224" s="23"/>
      <c r="G224" s="23"/>
      <c r="H224" s="23"/>
      <c r="I224" s="23"/>
      <c r="J224" s="23"/>
      <c r="K224" s="23"/>
      <c r="L224" s="23"/>
      <c r="M224" s="23"/>
      <c r="N224" s="23"/>
      <c r="O224" s="23"/>
      <c r="P224" s="23"/>
      <c r="Q224" s="23"/>
      <c r="R224" s="23"/>
    </row>
    <row r="225" spans="2:18" x14ac:dyDescent="0.35">
      <c r="B225" s="22"/>
      <c r="F225" s="23"/>
      <c r="G225" s="23"/>
      <c r="H225" s="23"/>
      <c r="I225" s="23"/>
      <c r="J225" s="23"/>
      <c r="K225" s="23"/>
      <c r="L225" s="23"/>
      <c r="M225" s="23"/>
      <c r="N225" s="23"/>
      <c r="O225" s="23"/>
      <c r="P225" s="23"/>
      <c r="Q225" s="23"/>
      <c r="R225" s="23"/>
    </row>
    <row r="226" spans="2:18" x14ac:dyDescent="0.35">
      <c r="B226" s="22"/>
      <c r="F226" s="23"/>
      <c r="G226" s="23"/>
      <c r="H226" s="23"/>
      <c r="I226" s="23"/>
      <c r="J226" s="23"/>
      <c r="K226" s="23"/>
      <c r="L226" s="23"/>
      <c r="M226" s="23"/>
      <c r="N226" s="23"/>
      <c r="O226" s="23"/>
      <c r="P226" s="23"/>
      <c r="Q226" s="23"/>
      <c r="R226" s="23"/>
    </row>
    <row r="227" spans="2:18" x14ac:dyDescent="0.35">
      <c r="B227" s="22"/>
      <c r="F227" s="23"/>
      <c r="G227" s="23"/>
      <c r="H227" s="23"/>
      <c r="I227" s="23"/>
      <c r="J227" s="23"/>
      <c r="K227" s="23"/>
      <c r="L227" s="23"/>
      <c r="M227" s="23"/>
      <c r="N227" s="23"/>
      <c r="O227" s="23"/>
      <c r="P227" s="23"/>
      <c r="Q227" s="23"/>
      <c r="R227" s="23"/>
    </row>
    <row r="228" spans="2:18" x14ac:dyDescent="0.35">
      <c r="B228" s="22"/>
      <c r="F228" s="23"/>
      <c r="G228" s="23"/>
      <c r="H228" s="23"/>
      <c r="I228" s="23"/>
      <c r="J228" s="23"/>
      <c r="K228" s="23"/>
      <c r="L228" s="23"/>
      <c r="M228" s="23"/>
      <c r="N228" s="23"/>
      <c r="O228" s="23"/>
      <c r="P228" s="23"/>
      <c r="Q228" s="23"/>
      <c r="R228" s="23"/>
    </row>
    <row r="229" spans="2:18" x14ac:dyDescent="0.35">
      <c r="B229" s="22"/>
      <c r="F229" s="23"/>
      <c r="G229" s="23"/>
      <c r="H229" s="23"/>
      <c r="I229" s="23"/>
      <c r="J229" s="23"/>
      <c r="K229" s="23"/>
      <c r="L229" s="23"/>
      <c r="M229" s="23"/>
      <c r="N229" s="23"/>
      <c r="O229" s="23"/>
      <c r="P229" s="23"/>
      <c r="Q229" s="23"/>
      <c r="R229" s="23"/>
    </row>
    <row r="230" spans="2:18" x14ac:dyDescent="0.35">
      <c r="B230" s="22"/>
      <c r="F230" s="23"/>
      <c r="G230" s="23"/>
      <c r="H230" s="23"/>
      <c r="I230" s="23"/>
      <c r="J230" s="23"/>
      <c r="K230" s="23"/>
      <c r="L230" s="23"/>
      <c r="M230" s="23"/>
      <c r="N230" s="23"/>
      <c r="O230" s="23"/>
      <c r="P230" s="23"/>
      <c r="Q230" s="23"/>
      <c r="R230" s="23"/>
    </row>
    <row r="231" spans="2:18" x14ac:dyDescent="0.35">
      <c r="B231" s="22"/>
      <c r="F231" s="23"/>
      <c r="G231" s="23"/>
      <c r="H231" s="23"/>
      <c r="I231" s="23"/>
      <c r="J231" s="23"/>
      <c r="K231" s="23"/>
      <c r="L231" s="23"/>
      <c r="M231" s="23"/>
      <c r="N231" s="23"/>
      <c r="O231" s="23"/>
      <c r="P231" s="23"/>
      <c r="Q231" s="23"/>
      <c r="R231" s="23"/>
    </row>
    <row r="232" spans="2:18" x14ac:dyDescent="0.35">
      <c r="B232" s="22"/>
      <c r="F232" s="23"/>
      <c r="G232" s="23"/>
      <c r="H232" s="23"/>
      <c r="I232" s="23"/>
      <c r="J232" s="23"/>
      <c r="K232" s="23"/>
      <c r="L232" s="23"/>
      <c r="M232" s="23"/>
      <c r="N232" s="23"/>
      <c r="O232" s="23"/>
      <c r="P232" s="23"/>
      <c r="Q232" s="23"/>
      <c r="R232" s="23"/>
    </row>
    <row r="233" spans="2:18" x14ac:dyDescent="0.35">
      <c r="B233" s="22"/>
      <c r="F233" s="23"/>
      <c r="G233" s="23"/>
      <c r="H233" s="23"/>
      <c r="I233" s="23"/>
      <c r="J233" s="23"/>
      <c r="K233" s="23"/>
      <c r="L233" s="23"/>
      <c r="M233" s="23"/>
      <c r="N233" s="23"/>
      <c r="O233" s="23"/>
      <c r="P233" s="23"/>
      <c r="Q233" s="23"/>
      <c r="R233" s="23"/>
    </row>
    <row r="234" spans="2:18" x14ac:dyDescent="0.35">
      <c r="B234" s="22"/>
      <c r="F234" s="23"/>
      <c r="G234" s="23"/>
      <c r="H234" s="23"/>
      <c r="I234" s="23"/>
      <c r="J234" s="23"/>
      <c r="K234" s="23"/>
      <c r="L234" s="23"/>
      <c r="M234" s="23"/>
      <c r="N234" s="23"/>
      <c r="O234" s="23"/>
      <c r="P234" s="23"/>
      <c r="Q234" s="23"/>
      <c r="R234" s="23"/>
    </row>
    <row r="235" spans="2:18" x14ac:dyDescent="0.35">
      <c r="B235" s="22"/>
      <c r="F235" s="23"/>
      <c r="G235" s="23"/>
      <c r="H235" s="23"/>
      <c r="I235" s="23"/>
      <c r="J235" s="23"/>
      <c r="K235" s="23"/>
      <c r="L235" s="23"/>
      <c r="M235" s="23"/>
      <c r="N235" s="23"/>
      <c r="O235" s="23"/>
      <c r="P235" s="23"/>
      <c r="Q235" s="23"/>
      <c r="R235" s="23"/>
    </row>
    <row r="236" spans="2:18" x14ac:dyDescent="0.35">
      <c r="B236" s="22"/>
      <c r="F236" s="23"/>
      <c r="G236" s="23"/>
      <c r="H236" s="23"/>
      <c r="I236" s="23"/>
      <c r="J236" s="23"/>
      <c r="K236" s="23"/>
      <c r="L236" s="23"/>
      <c r="M236" s="23"/>
      <c r="N236" s="23"/>
      <c r="O236" s="23"/>
      <c r="P236" s="23"/>
      <c r="Q236" s="23"/>
      <c r="R236" s="23"/>
    </row>
    <row r="237" spans="2:18" x14ac:dyDescent="0.35">
      <c r="B237" s="22"/>
      <c r="F237" s="23"/>
      <c r="G237" s="23"/>
      <c r="H237" s="23"/>
      <c r="I237" s="23"/>
      <c r="J237" s="23"/>
      <c r="K237" s="23"/>
      <c r="L237" s="23"/>
      <c r="M237" s="23"/>
      <c r="N237" s="23"/>
      <c r="O237" s="23"/>
      <c r="P237" s="23"/>
      <c r="Q237" s="23"/>
      <c r="R237" s="23"/>
    </row>
    <row r="238" spans="2:18" x14ac:dyDescent="0.35">
      <c r="B238" s="22"/>
      <c r="F238" s="23"/>
      <c r="G238" s="23"/>
      <c r="H238" s="23"/>
      <c r="I238" s="23"/>
      <c r="J238" s="23"/>
      <c r="K238" s="23"/>
      <c r="L238" s="23"/>
      <c r="M238" s="23"/>
      <c r="N238" s="23"/>
      <c r="O238" s="23"/>
      <c r="P238" s="23"/>
      <c r="Q238" s="23"/>
      <c r="R238" s="23"/>
    </row>
    <row r="239" spans="2:18" x14ac:dyDescent="0.35">
      <c r="B239" s="22"/>
      <c r="F239" s="23"/>
      <c r="G239" s="23"/>
      <c r="H239" s="23"/>
      <c r="I239" s="23"/>
      <c r="J239" s="23"/>
      <c r="K239" s="23"/>
      <c r="L239" s="23"/>
      <c r="M239" s="23"/>
      <c r="N239" s="23"/>
      <c r="O239" s="23"/>
      <c r="P239" s="23"/>
      <c r="Q239" s="23"/>
      <c r="R239" s="23"/>
    </row>
    <row r="240" spans="2:18" x14ac:dyDescent="0.35">
      <c r="B240" s="22"/>
      <c r="F240" s="23"/>
      <c r="G240" s="23"/>
      <c r="H240" s="23"/>
      <c r="I240" s="23"/>
      <c r="J240" s="23"/>
      <c r="K240" s="23"/>
      <c r="L240" s="23"/>
      <c r="M240" s="23"/>
      <c r="N240" s="23"/>
      <c r="O240" s="23"/>
      <c r="P240" s="23"/>
      <c r="Q240" s="23"/>
      <c r="R240" s="23"/>
    </row>
    <row r="241" spans="2:18" x14ac:dyDescent="0.35">
      <c r="B241" s="22"/>
      <c r="F241" s="23"/>
      <c r="G241" s="23"/>
      <c r="H241" s="23"/>
      <c r="I241" s="23"/>
      <c r="J241" s="23"/>
      <c r="K241" s="23"/>
      <c r="L241" s="23"/>
      <c r="M241" s="23"/>
      <c r="N241" s="23"/>
      <c r="O241" s="23"/>
      <c r="P241" s="23"/>
      <c r="Q241" s="23"/>
      <c r="R241" s="23"/>
    </row>
    <row r="242" spans="2:18" x14ac:dyDescent="0.35">
      <c r="B242" s="22"/>
      <c r="F242" s="23"/>
      <c r="G242" s="23"/>
      <c r="H242" s="23"/>
      <c r="I242" s="23"/>
      <c r="J242" s="23"/>
      <c r="K242" s="23"/>
      <c r="L242" s="23"/>
      <c r="M242" s="23"/>
      <c r="N242" s="23"/>
      <c r="O242" s="23"/>
      <c r="P242" s="23"/>
      <c r="Q242" s="23"/>
      <c r="R242" s="23"/>
    </row>
    <row r="243" spans="2:18" x14ac:dyDescent="0.35">
      <c r="B243" s="22"/>
      <c r="F243" s="23"/>
      <c r="G243" s="23"/>
      <c r="H243" s="23"/>
      <c r="I243" s="23"/>
      <c r="J243" s="23"/>
      <c r="K243" s="23"/>
      <c r="L243" s="23"/>
      <c r="M243" s="23"/>
      <c r="N243" s="23"/>
      <c r="O243" s="23"/>
      <c r="P243" s="23"/>
      <c r="Q243" s="23"/>
      <c r="R243" s="23"/>
    </row>
    <row r="244" spans="2:18" x14ac:dyDescent="0.35">
      <c r="B244" s="22"/>
      <c r="F244" s="23"/>
      <c r="G244" s="23"/>
      <c r="H244" s="23"/>
      <c r="I244" s="23"/>
      <c r="J244" s="23"/>
      <c r="K244" s="23"/>
      <c r="L244" s="23"/>
      <c r="M244" s="23"/>
      <c r="N244" s="23"/>
      <c r="O244" s="23"/>
      <c r="P244" s="23"/>
      <c r="Q244" s="23"/>
      <c r="R244" s="23"/>
    </row>
    <row r="245" spans="2:18" x14ac:dyDescent="0.35">
      <c r="B245" s="22"/>
      <c r="F245" s="23"/>
      <c r="G245" s="23"/>
      <c r="H245" s="23"/>
      <c r="I245" s="23"/>
      <c r="J245" s="23"/>
      <c r="K245" s="23"/>
      <c r="L245" s="23"/>
      <c r="M245" s="23"/>
      <c r="N245" s="23"/>
      <c r="O245" s="23"/>
      <c r="P245" s="23"/>
      <c r="Q245" s="23"/>
      <c r="R245" s="23"/>
    </row>
    <row r="246" spans="2:18" x14ac:dyDescent="0.35">
      <c r="B246" s="22"/>
      <c r="F246" s="23"/>
      <c r="G246" s="23"/>
      <c r="H246" s="23"/>
      <c r="I246" s="23"/>
      <c r="J246" s="23"/>
      <c r="K246" s="23"/>
      <c r="L246" s="23"/>
      <c r="M246" s="23"/>
      <c r="N246" s="23"/>
      <c r="O246" s="23"/>
      <c r="P246" s="23"/>
      <c r="Q246" s="23"/>
      <c r="R246" s="23"/>
    </row>
    <row r="247" spans="2:18" x14ac:dyDescent="0.35">
      <c r="B247" s="22"/>
      <c r="F247" s="23"/>
      <c r="G247" s="23"/>
      <c r="H247" s="23"/>
      <c r="I247" s="23"/>
      <c r="J247" s="23"/>
      <c r="K247" s="23"/>
      <c r="L247" s="23"/>
      <c r="M247" s="23"/>
      <c r="N247" s="23"/>
      <c r="O247" s="23"/>
      <c r="P247" s="23"/>
      <c r="Q247" s="23"/>
      <c r="R247" s="23"/>
    </row>
    <row r="248" spans="2:18" x14ac:dyDescent="0.35">
      <c r="B248" s="22"/>
      <c r="F248" s="23"/>
      <c r="G248" s="23"/>
      <c r="H248" s="23"/>
      <c r="I248" s="23"/>
      <c r="J248" s="23"/>
      <c r="K248" s="23"/>
      <c r="L248" s="23"/>
      <c r="M248" s="23"/>
      <c r="N248" s="23"/>
      <c r="O248" s="23"/>
      <c r="P248" s="23"/>
      <c r="Q248" s="23"/>
      <c r="R248" s="23"/>
    </row>
    <row r="249" spans="2:18" x14ac:dyDescent="0.35">
      <c r="B249" s="22"/>
      <c r="F249" s="23"/>
      <c r="G249" s="23"/>
      <c r="H249" s="23"/>
      <c r="I249" s="23"/>
      <c r="J249" s="23"/>
      <c r="K249" s="23"/>
      <c r="L249" s="23"/>
      <c r="M249" s="23"/>
      <c r="N249" s="23"/>
      <c r="O249" s="23"/>
      <c r="P249" s="23"/>
      <c r="Q249" s="23"/>
      <c r="R249" s="23"/>
    </row>
    <row r="250" spans="2:18" x14ac:dyDescent="0.35">
      <c r="B250" s="22"/>
      <c r="F250" s="23"/>
      <c r="G250" s="23"/>
      <c r="H250" s="23"/>
      <c r="I250" s="23"/>
      <c r="J250" s="23"/>
      <c r="K250" s="23"/>
      <c r="L250" s="23"/>
      <c r="M250" s="23"/>
      <c r="N250" s="23"/>
      <c r="O250" s="23"/>
      <c r="P250" s="23"/>
      <c r="Q250" s="23"/>
      <c r="R250" s="23"/>
    </row>
    <row r="251" spans="2:18" x14ac:dyDescent="0.35">
      <c r="B251" s="22"/>
      <c r="F251" s="23"/>
      <c r="G251" s="23"/>
      <c r="H251" s="23"/>
      <c r="I251" s="23"/>
      <c r="J251" s="23"/>
      <c r="K251" s="23"/>
      <c r="L251" s="23"/>
      <c r="M251" s="23"/>
      <c r="N251" s="23"/>
      <c r="O251" s="23"/>
      <c r="P251" s="23"/>
      <c r="Q251" s="23"/>
      <c r="R251" s="23"/>
    </row>
    <row r="252" spans="2:18" x14ac:dyDescent="0.35">
      <c r="B252" s="22"/>
      <c r="F252" s="23"/>
      <c r="G252" s="23"/>
      <c r="H252" s="23"/>
      <c r="I252" s="23"/>
      <c r="J252" s="23"/>
      <c r="K252" s="23"/>
      <c r="L252" s="23"/>
      <c r="M252" s="23"/>
      <c r="N252" s="23"/>
      <c r="O252" s="23"/>
      <c r="P252" s="23"/>
      <c r="Q252" s="23"/>
      <c r="R252" s="23"/>
    </row>
    <row r="253" spans="2:18" x14ac:dyDescent="0.35">
      <c r="B253" s="22"/>
      <c r="F253" s="23"/>
      <c r="G253" s="23"/>
      <c r="H253" s="23"/>
      <c r="I253" s="23"/>
      <c r="J253" s="23"/>
      <c r="K253" s="23"/>
      <c r="L253" s="23"/>
      <c r="M253" s="23"/>
      <c r="N253" s="23"/>
      <c r="O253" s="23"/>
      <c r="P253" s="23"/>
      <c r="Q253" s="23"/>
      <c r="R253" s="23"/>
    </row>
    <row r="254" spans="2:18" x14ac:dyDescent="0.35">
      <c r="B254" s="22"/>
      <c r="F254" s="23"/>
      <c r="G254" s="23"/>
      <c r="H254" s="23"/>
      <c r="I254" s="23"/>
      <c r="J254" s="23"/>
      <c r="K254" s="23"/>
      <c r="L254" s="23"/>
      <c r="M254" s="23"/>
      <c r="N254" s="23"/>
      <c r="O254" s="23"/>
      <c r="P254" s="23"/>
      <c r="Q254" s="23"/>
      <c r="R254" s="23"/>
    </row>
    <row r="255" spans="2:18" x14ac:dyDescent="0.35">
      <c r="B255" s="22"/>
      <c r="F255" s="23"/>
      <c r="G255" s="23"/>
      <c r="H255" s="23"/>
      <c r="I255" s="23"/>
      <c r="J255" s="23"/>
      <c r="K255" s="23"/>
      <c r="L255" s="23"/>
      <c r="M255" s="23"/>
      <c r="N255" s="23"/>
      <c r="O255" s="23"/>
      <c r="P255" s="23"/>
      <c r="Q255" s="23"/>
      <c r="R255" s="23"/>
    </row>
    <row r="256" spans="2:18" x14ac:dyDescent="0.35">
      <c r="B256" s="22"/>
      <c r="F256" s="23"/>
      <c r="G256" s="23"/>
      <c r="H256" s="23"/>
      <c r="I256" s="23"/>
      <c r="J256" s="23"/>
      <c r="K256" s="23"/>
      <c r="L256" s="23"/>
      <c r="M256" s="23"/>
      <c r="N256" s="23"/>
      <c r="O256" s="23"/>
      <c r="P256" s="23"/>
      <c r="Q256" s="23"/>
      <c r="R256" s="23"/>
    </row>
    <row r="257" spans="2:18" x14ac:dyDescent="0.35">
      <c r="B257" s="22"/>
      <c r="F257" s="23"/>
      <c r="G257" s="23"/>
      <c r="H257" s="23"/>
      <c r="I257" s="23"/>
      <c r="J257" s="23"/>
      <c r="K257" s="23"/>
      <c r="L257" s="23"/>
      <c r="M257" s="23"/>
      <c r="N257" s="23"/>
      <c r="O257" s="23"/>
      <c r="P257" s="23"/>
      <c r="Q257" s="23"/>
      <c r="R257" s="23"/>
    </row>
    <row r="258" spans="2:18" x14ac:dyDescent="0.35">
      <c r="B258" s="22"/>
      <c r="F258" s="23"/>
      <c r="G258" s="23"/>
      <c r="H258" s="23"/>
      <c r="I258" s="23"/>
      <c r="J258" s="23"/>
      <c r="K258" s="23"/>
      <c r="L258" s="23"/>
      <c r="M258" s="23"/>
      <c r="N258" s="23"/>
      <c r="O258" s="23"/>
      <c r="P258" s="23"/>
      <c r="Q258" s="23"/>
      <c r="R258" s="23"/>
    </row>
    <row r="259" spans="2:18" x14ac:dyDescent="0.35">
      <c r="B259" s="22"/>
      <c r="F259" s="23"/>
      <c r="G259" s="23"/>
      <c r="H259" s="23"/>
      <c r="I259" s="23"/>
      <c r="J259" s="23"/>
      <c r="K259" s="23"/>
      <c r="L259" s="23"/>
      <c r="M259" s="23"/>
      <c r="N259" s="23"/>
      <c r="O259" s="23"/>
      <c r="P259" s="23"/>
      <c r="Q259" s="23"/>
      <c r="R259" s="23"/>
    </row>
    <row r="260" spans="2:18" x14ac:dyDescent="0.35">
      <c r="B260" s="22"/>
      <c r="F260" s="23"/>
      <c r="G260" s="23"/>
      <c r="H260" s="23"/>
      <c r="I260" s="23"/>
      <c r="J260" s="23"/>
      <c r="K260" s="23"/>
      <c r="L260" s="23"/>
      <c r="M260" s="23"/>
      <c r="N260" s="23"/>
      <c r="O260" s="23"/>
      <c r="P260" s="23"/>
      <c r="Q260" s="23"/>
      <c r="R260" s="23"/>
    </row>
    <row r="261" spans="2:18" x14ac:dyDescent="0.35">
      <c r="B261" s="22"/>
      <c r="F261" s="23"/>
      <c r="G261" s="23"/>
      <c r="H261" s="23"/>
      <c r="I261" s="23"/>
      <c r="J261" s="23"/>
      <c r="K261" s="23"/>
      <c r="L261" s="23"/>
      <c r="M261" s="23"/>
      <c r="N261" s="23"/>
      <c r="O261" s="23"/>
      <c r="P261" s="23"/>
      <c r="Q261" s="23"/>
      <c r="R261" s="23"/>
    </row>
    <row r="262" spans="2:18" x14ac:dyDescent="0.35">
      <c r="B262" s="22"/>
      <c r="F262" s="23"/>
      <c r="G262" s="23"/>
      <c r="H262" s="23"/>
      <c r="I262" s="23"/>
      <c r="J262" s="23"/>
      <c r="K262" s="23"/>
      <c r="L262" s="23"/>
      <c r="M262" s="23"/>
      <c r="N262" s="23"/>
      <c r="O262" s="23"/>
      <c r="P262" s="23"/>
      <c r="Q262" s="23"/>
      <c r="R262" s="23"/>
    </row>
    <row r="263" spans="2:18" x14ac:dyDescent="0.35">
      <c r="B263" s="22"/>
      <c r="F263" s="23"/>
      <c r="G263" s="23"/>
      <c r="H263" s="23"/>
      <c r="I263" s="23"/>
      <c r="J263" s="23"/>
      <c r="K263" s="23"/>
      <c r="L263" s="23"/>
      <c r="M263" s="23"/>
      <c r="N263" s="23"/>
      <c r="O263" s="23"/>
      <c r="P263" s="23"/>
      <c r="Q263" s="23"/>
      <c r="R263" s="23"/>
    </row>
    <row r="264" spans="2:18" x14ac:dyDescent="0.35">
      <c r="B264" s="22"/>
      <c r="F264" s="23"/>
      <c r="G264" s="23"/>
      <c r="H264" s="23"/>
      <c r="I264" s="23"/>
      <c r="J264" s="23"/>
      <c r="K264" s="23"/>
      <c r="L264" s="23"/>
      <c r="M264" s="23"/>
      <c r="N264" s="23"/>
      <c r="O264" s="23"/>
      <c r="P264" s="23"/>
      <c r="Q264" s="23"/>
      <c r="R264" s="23"/>
    </row>
    <row r="265" spans="2:18" x14ac:dyDescent="0.35">
      <c r="B265" s="22"/>
      <c r="F265" s="23"/>
      <c r="G265" s="23"/>
      <c r="H265" s="23"/>
      <c r="I265" s="23"/>
      <c r="J265" s="23"/>
      <c r="K265" s="23"/>
      <c r="L265" s="23"/>
      <c r="M265" s="23"/>
      <c r="N265" s="23"/>
      <c r="O265" s="23"/>
      <c r="P265" s="23"/>
      <c r="Q265" s="23"/>
      <c r="R265" s="23"/>
    </row>
    <row r="266" spans="2:18" x14ac:dyDescent="0.35">
      <c r="B266" s="22"/>
      <c r="F266" s="23"/>
      <c r="G266" s="23"/>
      <c r="H266" s="23"/>
      <c r="I266" s="23"/>
      <c r="J266" s="23"/>
      <c r="K266" s="23"/>
      <c r="L266" s="23"/>
      <c r="M266" s="23"/>
      <c r="N266" s="23"/>
      <c r="O266" s="23"/>
      <c r="P266" s="23"/>
      <c r="Q266" s="23"/>
      <c r="R266" s="23"/>
    </row>
    <row r="267" spans="2:18" x14ac:dyDescent="0.35">
      <c r="B267" s="22"/>
      <c r="F267" s="23"/>
      <c r="G267" s="23"/>
      <c r="H267" s="23"/>
      <c r="I267" s="23"/>
      <c r="J267" s="23"/>
      <c r="K267" s="23"/>
      <c r="L267" s="23"/>
      <c r="M267" s="23"/>
      <c r="N267" s="23"/>
      <c r="O267" s="23"/>
      <c r="P267" s="23"/>
      <c r="Q267" s="23"/>
      <c r="R267" s="23"/>
    </row>
    <row r="268" spans="2:18" x14ac:dyDescent="0.35">
      <c r="B268" s="22"/>
      <c r="F268" s="23"/>
      <c r="G268" s="23"/>
      <c r="H268" s="23"/>
      <c r="I268" s="23"/>
      <c r="J268" s="23"/>
      <c r="K268" s="23"/>
      <c r="L268" s="23"/>
      <c r="M268" s="23"/>
      <c r="N268" s="23"/>
      <c r="O268" s="23"/>
      <c r="P268" s="23"/>
      <c r="Q268" s="23"/>
      <c r="R268" s="23"/>
    </row>
    <row r="269" spans="2:18" x14ac:dyDescent="0.35">
      <c r="B269" s="22"/>
      <c r="F269" s="23"/>
      <c r="G269" s="23"/>
      <c r="H269" s="23"/>
      <c r="I269" s="23"/>
      <c r="J269" s="23"/>
      <c r="K269" s="23"/>
      <c r="L269" s="23"/>
      <c r="M269" s="23"/>
      <c r="N269" s="23"/>
      <c r="O269" s="23"/>
      <c r="P269" s="23"/>
      <c r="Q269" s="23"/>
      <c r="R269" s="23"/>
    </row>
    <row r="270" spans="2:18" x14ac:dyDescent="0.35">
      <c r="B270" s="22"/>
      <c r="F270" s="23"/>
      <c r="G270" s="23"/>
      <c r="H270" s="23"/>
      <c r="I270" s="23"/>
      <c r="J270" s="23"/>
      <c r="K270" s="23"/>
      <c r="L270" s="23"/>
      <c r="M270" s="23"/>
      <c r="N270" s="23"/>
      <c r="O270" s="23"/>
      <c r="P270" s="23"/>
      <c r="Q270" s="23"/>
      <c r="R270" s="23"/>
    </row>
    <row r="271" spans="2:18" x14ac:dyDescent="0.35">
      <c r="B271" s="22"/>
      <c r="F271" s="23"/>
      <c r="G271" s="23"/>
      <c r="H271" s="23"/>
      <c r="I271" s="23"/>
      <c r="J271" s="23"/>
      <c r="K271" s="23"/>
      <c r="L271" s="23"/>
      <c r="M271" s="23"/>
      <c r="N271" s="23"/>
      <c r="O271" s="23"/>
      <c r="P271" s="23"/>
      <c r="Q271" s="23"/>
      <c r="R271" s="23"/>
    </row>
    <row r="272" spans="2:18" x14ac:dyDescent="0.35">
      <c r="B272" s="22"/>
      <c r="F272" s="23"/>
      <c r="G272" s="23"/>
      <c r="H272" s="23"/>
      <c r="I272" s="23"/>
      <c r="J272" s="23"/>
      <c r="K272" s="23"/>
      <c r="L272" s="23"/>
      <c r="M272" s="23"/>
      <c r="N272" s="23"/>
      <c r="O272" s="23"/>
      <c r="P272" s="23"/>
      <c r="Q272" s="23"/>
      <c r="R272" s="23"/>
    </row>
    <row r="273" spans="2:18" x14ac:dyDescent="0.35">
      <c r="B273" s="22"/>
      <c r="F273" s="23"/>
      <c r="G273" s="23"/>
      <c r="H273" s="23"/>
      <c r="I273" s="23"/>
      <c r="J273" s="23"/>
      <c r="K273" s="23"/>
      <c r="L273" s="23"/>
      <c r="M273" s="23"/>
      <c r="N273" s="23"/>
      <c r="O273" s="23"/>
      <c r="P273" s="23"/>
      <c r="Q273" s="23"/>
      <c r="R273" s="23"/>
    </row>
    <row r="274" spans="2:18" x14ac:dyDescent="0.35">
      <c r="B274" s="22"/>
      <c r="F274" s="23"/>
      <c r="G274" s="23"/>
      <c r="H274" s="23"/>
      <c r="I274" s="23"/>
      <c r="J274" s="23"/>
      <c r="K274" s="23"/>
      <c r="L274" s="23"/>
      <c r="M274" s="23"/>
      <c r="N274" s="23"/>
      <c r="O274" s="23"/>
      <c r="P274" s="23"/>
      <c r="Q274" s="23"/>
      <c r="R274" s="23"/>
    </row>
    <row r="275" spans="2:18" x14ac:dyDescent="0.35">
      <c r="B275" s="22"/>
      <c r="F275" s="23"/>
      <c r="G275" s="23"/>
      <c r="H275" s="23"/>
      <c r="I275" s="23"/>
      <c r="J275" s="23"/>
      <c r="K275" s="23"/>
      <c r="L275" s="23"/>
      <c r="M275" s="23"/>
      <c r="N275" s="23"/>
      <c r="O275" s="23"/>
      <c r="P275" s="23"/>
      <c r="Q275" s="23"/>
      <c r="R275" s="23"/>
    </row>
    <row r="276" spans="2:18" x14ac:dyDescent="0.35">
      <c r="B276" s="22"/>
      <c r="F276" s="23"/>
      <c r="G276" s="23"/>
      <c r="H276" s="23"/>
      <c r="I276" s="23"/>
      <c r="J276" s="23"/>
      <c r="K276" s="23"/>
      <c r="L276" s="23"/>
      <c r="M276" s="23"/>
      <c r="N276" s="23"/>
      <c r="O276" s="23"/>
      <c r="P276" s="23"/>
      <c r="Q276" s="23"/>
      <c r="R276" s="23"/>
    </row>
    <row r="277" spans="2:18" x14ac:dyDescent="0.35">
      <c r="B277" s="22"/>
      <c r="F277" s="23"/>
      <c r="G277" s="23"/>
      <c r="H277" s="23"/>
      <c r="I277" s="23"/>
      <c r="J277" s="23"/>
      <c r="K277" s="23"/>
      <c r="L277" s="23"/>
      <c r="M277" s="23"/>
      <c r="N277" s="23"/>
      <c r="O277" s="23"/>
      <c r="P277" s="23"/>
      <c r="Q277" s="23"/>
      <c r="R277" s="23"/>
    </row>
    <row r="278" spans="2:18" x14ac:dyDescent="0.35">
      <c r="B278" s="22"/>
      <c r="F278" s="23"/>
      <c r="G278" s="23"/>
      <c r="H278" s="23"/>
      <c r="I278" s="23"/>
      <c r="J278" s="23"/>
      <c r="K278" s="23"/>
      <c r="L278" s="23"/>
      <c r="M278" s="23"/>
      <c r="N278" s="23"/>
      <c r="O278" s="23"/>
      <c r="P278" s="23"/>
      <c r="Q278" s="23"/>
      <c r="R278" s="23"/>
    </row>
    <row r="279" spans="2:18" x14ac:dyDescent="0.35">
      <c r="B279" s="22"/>
      <c r="F279" s="23"/>
      <c r="G279" s="23"/>
      <c r="H279" s="23"/>
      <c r="I279" s="23"/>
      <c r="J279" s="23"/>
      <c r="K279" s="23"/>
      <c r="L279" s="23"/>
      <c r="M279" s="23"/>
      <c r="N279" s="23"/>
      <c r="O279" s="23"/>
      <c r="P279" s="23"/>
      <c r="Q279" s="23"/>
      <c r="R279" s="23"/>
    </row>
    <row r="280" spans="2:18" x14ac:dyDescent="0.35">
      <c r="B280" s="22"/>
      <c r="F280" s="23"/>
      <c r="G280" s="23"/>
      <c r="H280" s="23"/>
      <c r="I280" s="23"/>
      <c r="J280" s="23"/>
      <c r="K280" s="23"/>
      <c r="L280" s="23"/>
      <c r="M280" s="23"/>
      <c r="N280" s="23"/>
      <c r="O280" s="23"/>
      <c r="P280" s="23"/>
      <c r="Q280" s="23"/>
      <c r="R280" s="23"/>
    </row>
    <row r="281" spans="2:18" x14ac:dyDescent="0.35">
      <c r="B281" s="22"/>
      <c r="F281" s="23"/>
      <c r="G281" s="23"/>
      <c r="H281" s="23"/>
      <c r="I281" s="23"/>
      <c r="J281" s="23"/>
      <c r="K281" s="23"/>
      <c r="L281" s="23"/>
      <c r="M281" s="23"/>
      <c r="N281" s="23"/>
      <c r="O281" s="23"/>
      <c r="P281" s="23"/>
      <c r="Q281" s="23"/>
      <c r="R281" s="23"/>
    </row>
    <row r="282" spans="2:18" x14ac:dyDescent="0.35">
      <c r="B282" s="22"/>
      <c r="F282" s="23"/>
      <c r="G282" s="23"/>
      <c r="H282" s="23"/>
      <c r="I282" s="23"/>
      <c r="J282" s="23"/>
      <c r="K282" s="23"/>
      <c r="L282" s="23"/>
      <c r="M282" s="23"/>
      <c r="N282" s="23"/>
      <c r="O282" s="23"/>
      <c r="P282" s="23"/>
      <c r="Q282" s="23"/>
      <c r="R282" s="23"/>
    </row>
    <row r="283" spans="2:18" x14ac:dyDescent="0.35">
      <c r="B283" s="22"/>
      <c r="F283" s="23"/>
      <c r="G283" s="23"/>
      <c r="H283" s="23"/>
      <c r="I283" s="23"/>
      <c r="J283" s="23"/>
      <c r="K283" s="23"/>
      <c r="L283" s="23"/>
      <c r="M283" s="23"/>
      <c r="N283" s="23"/>
      <c r="O283" s="23"/>
      <c r="P283" s="23"/>
      <c r="Q283" s="23"/>
      <c r="R283" s="23"/>
    </row>
    <row r="284" spans="2:18" x14ac:dyDescent="0.35">
      <c r="B284" s="22"/>
      <c r="F284" s="23"/>
      <c r="G284" s="23"/>
      <c r="H284" s="23"/>
      <c r="I284" s="23"/>
      <c r="J284" s="23"/>
      <c r="K284" s="23"/>
      <c r="L284" s="23"/>
      <c r="M284" s="23"/>
      <c r="N284" s="23"/>
      <c r="O284" s="23"/>
      <c r="P284" s="23"/>
      <c r="Q284" s="23"/>
      <c r="R284" s="23"/>
    </row>
    <row r="285" spans="2:18" x14ac:dyDescent="0.35">
      <c r="B285" s="22"/>
      <c r="F285" s="23"/>
      <c r="G285" s="23"/>
      <c r="H285" s="23"/>
      <c r="I285" s="23"/>
      <c r="J285" s="23"/>
      <c r="K285" s="23"/>
      <c r="L285" s="23"/>
      <c r="M285" s="23"/>
      <c r="N285" s="23"/>
      <c r="O285" s="23"/>
      <c r="P285" s="23"/>
      <c r="Q285" s="23"/>
      <c r="R285" s="23"/>
    </row>
    <row r="286" spans="2:18" x14ac:dyDescent="0.35">
      <c r="B286" s="22"/>
      <c r="F286" s="23"/>
      <c r="G286" s="23"/>
      <c r="H286" s="23"/>
      <c r="I286" s="23"/>
      <c r="J286" s="23"/>
      <c r="K286" s="23"/>
      <c r="L286" s="23"/>
      <c r="M286" s="23"/>
      <c r="N286" s="23"/>
      <c r="O286" s="23"/>
      <c r="P286" s="23"/>
      <c r="Q286" s="23"/>
      <c r="R286" s="23"/>
    </row>
    <row r="287" spans="2:18" x14ac:dyDescent="0.35">
      <c r="B287" s="22"/>
      <c r="F287" s="23"/>
      <c r="G287" s="23"/>
      <c r="H287" s="23"/>
      <c r="I287" s="23"/>
      <c r="J287" s="23"/>
      <c r="K287" s="23"/>
      <c r="L287" s="23"/>
      <c r="M287" s="23"/>
      <c r="N287" s="23"/>
      <c r="O287" s="23"/>
      <c r="P287" s="23"/>
      <c r="Q287" s="23"/>
      <c r="R287" s="23"/>
    </row>
    <row r="288" spans="2:18" x14ac:dyDescent="0.35">
      <c r="B288" s="22"/>
      <c r="F288" s="23"/>
      <c r="G288" s="23"/>
      <c r="H288" s="23"/>
      <c r="I288" s="23"/>
      <c r="J288" s="23"/>
      <c r="K288" s="23"/>
      <c r="L288" s="23"/>
      <c r="M288" s="23"/>
      <c r="N288" s="23"/>
      <c r="O288" s="23"/>
      <c r="P288" s="23"/>
      <c r="Q288" s="23"/>
      <c r="R288" s="23"/>
    </row>
    <row r="289" spans="2:18" x14ac:dyDescent="0.35">
      <c r="B289" s="22"/>
      <c r="F289" s="23"/>
      <c r="G289" s="23"/>
      <c r="H289" s="23"/>
      <c r="I289" s="23"/>
      <c r="J289" s="23"/>
      <c r="K289" s="23"/>
      <c r="L289" s="23"/>
      <c r="M289" s="23"/>
      <c r="N289" s="23"/>
      <c r="O289" s="23"/>
      <c r="P289" s="23"/>
      <c r="Q289" s="23"/>
      <c r="R289" s="23"/>
    </row>
    <row r="290" spans="2:18" x14ac:dyDescent="0.35">
      <c r="B290" s="22"/>
      <c r="F290" s="23"/>
      <c r="G290" s="23"/>
      <c r="H290" s="23"/>
      <c r="I290" s="23"/>
      <c r="J290" s="23"/>
      <c r="K290" s="23"/>
      <c r="L290" s="23"/>
      <c r="M290" s="23"/>
      <c r="N290" s="23"/>
      <c r="O290" s="23"/>
      <c r="P290" s="23"/>
      <c r="Q290" s="23"/>
      <c r="R290" s="23"/>
    </row>
    <row r="291" spans="2:18" x14ac:dyDescent="0.35">
      <c r="B291" s="22"/>
      <c r="F291" s="23"/>
      <c r="G291" s="23"/>
      <c r="H291" s="23"/>
      <c r="I291" s="23"/>
      <c r="J291" s="23"/>
      <c r="K291" s="23"/>
      <c r="L291" s="23"/>
      <c r="M291" s="23"/>
      <c r="N291" s="23"/>
      <c r="O291" s="23"/>
      <c r="P291" s="23"/>
      <c r="Q291" s="23"/>
      <c r="R291" s="23"/>
    </row>
    <row r="292" spans="2:18" x14ac:dyDescent="0.35">
      <c r="B292" s="22"/>
      <c r="F292" s="23"/>
      <c r="G292" s="23"/>
      <c r="H292" s="23"/>
      <c r="I292" s="23"/>
      <c r="J292" s="23"/>
      <c r="K292" s="23"/>
      <c r="L292" s="23"/>
      <c r="M292" s="23"/>
      <c r="N292" s="23"/>
      <c r="O292" s="23"/>
      <c r="P292" s="23"/>
      <c r="Q292" s="23"/>
      <c r="R292" s="23"/>
    </row>
    <row r="293" spans="2:18" x14ac:dyDescent="0.35">
      <c r="B293" s="22"/>
      <c r="F293" s="23"/>
      <c r="G293" s="23"/>
      <c r="H293" s="23"/>
      <c r="I293" s="23"/>
      <c r="J293" s="23"/>
      <c r="K293" s="23"/>
      <c r="L293" s="23"/>
      <c r="M293" s="23"/>
      <c r="N293" s="23"/>
      <c r="O293" s="23"/>
      <c r="P293" s="23"/>
      <c r="Q293" s="23"/>
      <c r="R293" s="23"/>
    </row>
    <row r="294" spans="2:18" x14ac:dyDescent="0.35">
      <c r="B294" s="22"/>
      <c r="F294" s="23"/>
      <c r="G294" s="23"/>
      <c r="H294" s="23"/>
      <c r="I294" s="23"/>
      <c r="J294" s="23"/>
      <c r="K294" s="23"/>
      <c r="L294" s="23"/>
      <c r="M294" s="23"/>
      <c r="N294" s="23"/>
      <c r="O294" s="23"/>
      <c r="P294" s="23"/>
      <c r="Q294" s="23"/>
      <c r="R294" s="23"/>
    </row>
    <row r="295" spans="2:18" x14ac:dyDescent="0.35">
      <c r="B295" s="22"/>
      <c r="F295" s="23"/>
      <c r="G295" s="23"/>
      <c r="H295" s="23"/>
      <c r="I295" s="23"/>
      <c r="J295" s="23"/>
      <c r="K295" s="23"/>
      <c r="L295" s="23"/>
      <c r="M295" s="23"/>
      <c r="N295" s="23"/>
      <c r="O295" s="23"/>
      <c r="P295" s="23"/>
      <c r="Q295" s="23"/>
      <c r="R295" s="23"/>
    </row>
    <row r="296" spans="2:18" x14ac:dyDescent="0.35">
      <c r="B296" s="22"/>
      <c r="F296" s="23"/>
      <c r="G296" s="23"/>
      <c r="H296" s="23"/>
      <c r="I296" s="23"/>
      <c r="J296" s="23"/>
      <c r="K296" s="23"/>
      <c r="L296" s="23"/>
      <c r="M296" s="23"/>
      <c r="N296" s="23"/>
      <c r="O296" s="23"/>
      <c r="P296" s="23"/>
      <c r="Q296" s="23"/>
      <c r="R296" s="23"/>
    </row>
    <row r="297" spans="2:18" x14ac:dyDescent="0.35">
      <c r="B297" s="22"/>
      <c r="F297" s="23"/>
      <c r="G297" s="23"/>
      <c r="H297" s="23"/>
      <c r="I297" s="23"/>
      <c r="J297" s="23"/>
      <c r="K297" s="23"/>
      <c r="L297" s="23"/>
      <c r="M297" s="23"/>
      <c r="N297" s="23"/>
      <c r="O297" s="23"/>
      <c r="P297" s="23"/>
      <c r="Q297" s="23"/>
      <c r="R297" s="23"/>
    </row>
    <row r="298" spans="2:18" x14ac:dyDescent="0.35">
      <c r="B298" s="22"/>
      <c r="F298" s="23"/>
      <c r="G298" s="23"/>
      <c r="H298" s="23"/>
      <c r="I298" s="23"/>
      <c r="J298" s="23"/>
      <c r="K298" s="23"/>
      <c r="L298" s="23"/>
      <c r="M298" s="23"/>
      <c r="N298" s="23"/>
      <c r="O298" s="23"/>
      <c r="P298" s="23"/>
      <c r="Q298" s="23"/>
      <c r="R298" s="23"/>
    </row>
    <row r="299" spans="2:18" x14ac:dyDescent="0.35">
      <c r="B299" s="22"/>
      <c r="F299" s="23"/>
      <c r="G299" s="23"/>
      <c r="H299" s="23"/>
      <c r="I299" s="23"/>
      <c r="J299" s="23"/>
      <c r="K299" s="23"/>
      <c r="L299" s="23"/>
      <c r="M299" s="23"/>
      <c r="N299" s="23"/>
      <c r="O299" s="23"/>
      <c r="P299" s="23"/>
      <c r="Q299" s="23"/>
      <c r="R299" s="23"/>
    </row>
    <row r="300" spans="2:18" x14ac:dyDescent="0.35">
      <c r="B300" s="22"/>
      <c r="F300" s="23"/>
      <c r="G300" s="23"/>
      <c r="H300" s="23"/>
      <c r="I300" s="23"/>
      <c r="J300" s="23"/>
      <c r="K300" s="23"/>
      <c r="L300" s="23"/>
      <c r="M300" s="23"/>
      <c r="N300" s="23"/>
      <c r="O300" s="23"/>
      <c r="P300" s="23"/>
      <c r="Q300" s="23"/>
      <c r="R300" s="23"/>
    </row>
    <row r="301" spans="2:18" x14ac:dyDescent="0.35">
      <c r="B301" s="22"/>
      <c r="F301" s="23"/>
      <c r="G301" s="23"/>
      <c r="H301" s="23"/>
      <c r="I301" s="23"/>
      <c r="J301" s="23"/>
      <c r="K301" s="23"/>
      <c r="L301" s="23"/>
      <c r="M301" s="23"/>
      <c r="N301" s="23"/>
      <c r="O301" s="23"/>
      <c r="P301" s="23"/>
      <c r="Q301" s="23"/>
      <c r="R301" s="23"/>
    </row>
    <row r="302" spans="2:18" x14ac:dyDescent="0.35">
      <c r="B302" s="22"/>
      <c r="F302" s="23"/>
      <c r="G302" s="23"/>
      <c r="H302" s="23"/>
      <c r="I302" s="23"/>
      <c r="J302" s="23"/>
      <c r="K302" s="23"/>
      <c r="L302" s="23"/>
      <c r="M302" s="23"/>
      <c r="N302" s="23"/>
      <c r="O302" s="23"/>
      <c r="P302" s="23"/>
      <c r="Q302" s="23"/>
      <c r="R302" s="23"/>
    </row>
    <row r="303" spans="2:18" x14ac:dyDescent="0.35">
      <c r="B303" s="22"/>
      <c r="F303" s="23"/>
      <c r="G303" s="23"/>
      <c r="H303" s="23"/>
      <c r="I303" s="23"/>
      <c r="J303" s="23"/>
      <c r="K303" s="23"/>
      <c r="L303" s="23"/>
      <c r="M303" s="23"/>
      <c r="N303" s="23"/>
      <c r="O303" s="23"/>
      <c r="P303" s="23"/>
      <c r="Q303" s="23"/>
      <c r="R303" s="23"/>
    </row>
    <row r="304" spans="2:18" x14ac:dyDescent="0.35">
      <c r="B304" s="22"/>
      <c r="F304" s="23"/>
      <c r="G304" s="23"/>
      <c r="H304" s="23"/>
      <c r="I304" s="23"/>
      <c r="J304" s="23"/>
      <c r="K304" s="23"/>
      <c r="L304" s="23"/>
      <c r="M304" s="23"/>
      <c r="N304" s="23"/>
      <c r="O304" s="23"/>
      <c r="P304" s="23"/>
      <c r="Q304" s="23"/>
      <c r="R304" s="23"/>
    </row>
    <row r="305" spans="2:18" x14ac:dyDescent="0.35">
      <c r="B305" s="22"/>
      <c r="F305" s="23"/>
      <c r="G305" s="23"/>
      <c r="H305" s="23"/>
      <c r="I305" s="23"/>
      <c r="J305" s="23"/>
      <c r="K305" s="23"/>
      <c r="L305" s="23"/>
      <c r="M305" s="23"/>
      <c r="N305" s="23"/>
      <c r="O305" s="23"/>
      <c r="P305" s="23"/>
      <c r="Q305" s="23"/>
      <c r="R305" s="23"/>
    </row>
    <row r="306" spans="2:18" x14ac:dyDescent="0.35">
      <c r="B306" s="22"/>
      <c r="F306" s="23"/>
      <c r="G306" s="23"/>
      <c r="H306" s="23"/>
      <c r="I306" s="23"/>
      <c r="J306" s="23"/>
      <c r="K306" s="23"/>
      <c r="L306" s="23"/>
      <c r="M306" s="23"/>
      <c r="N306" s="23"/>
      <c r="O306" s="23"/>
      <c r="P306" s="23"/>
      <c r="Q306" s="23"/>
      <c r="R306" s="23"/>
    </row>
    <row r="307" spans="2:18" x14ac:dyDescent="0.35">
      <c r="B307" s="22"/>
      <c r="F307" s="23"/>
      <c r="G307" s="23"/>
      <c r="H307" s="23"/>
      <c r="I307" s="23"/>
      <c r="J307" s="23"/>
      <c r="K307" s="23"/>
      <c r="L307" s="23"/>
      <c r="M307" s="23"/>
      <c r="N307" s="23"/>
      <c r="O307" s="23"/>
      <c r="P307" s="23"/>
      <c r="Q307" s="23"/>
      <c r="R307" s="23"/>
    </row>
    <row r="308" spans="2:18" x14ac:dyDescent="0.35">
      <c r="B308" s="22"/>
      <c r="F308" s="23"/>
      <c r="G308" s="23"/>
      <c r="H308" s="23"/>
      <c r="I308" s="23"/>
      <c r="J308" s="23"/>
      <c r="K308" s="23"/>
      <c r="L308" s="23"/>
      <c r="M308" s="23"/>
      <c r="N308" s="23"/>
      <c r="O308" s="23"/>
      <c r="P308" s="23"/>
      <c r="Q308" s="23"/>
      <c r="R308" s="23"/>
    </row>
    <row r="309" spans="2:18" x14ac:dyDescent="0.35">
      <c r="B309" s="22"/>
      <c r="F309" s="23"/>
      <c r="G309" s="23"/>
      <c r="H309" s="23"/>
      <c r="I309" s="23"/>
      <c r="J309" s="23"/>
      <c r="K309" s="23"/>
      <c r="L309" s="23"/>
      <c r="M309" s="23"/>
      <c r="N309" s="23"/>
      <c r="O309" s="23"/>
      <c r="P309" s="23"/>
      <c r="Q309" s="23"/>
      <c r="R309" s="23"/>
    </row>
    <row r="310" spans="2:18" x14ac:dyDescent="0.35">
      <c r="B310" s="22"/>
      <c r="F310" s="23"/>
      <c r="G310" s="23"/>
      <c r="H310" s="23"/>
      <c r="I310" s="23"/>
      <c r="J310" s="23"/>
      <c r="K310" s="23"/>
      <c r="L310" s="23"/>
      <c r="M310" s="23"/>
      <c r="N310" s="23"/>
      <c r="O310" s="23"/>
      <c r="P310" s="23"/>
      <c r="Q310" s="23"/>
      <c r="R310" s="23"/>
    </row>
    <row r="311" spans="2:18" x14ac:dyDescent="0.35">
      <c r="B311" s="22"/>
      <c r="F311" s="23"/>
      <c r="G311" s="23"/>
      <c r="H311" s="23"/>
      <c r="I311" s="23"/>
      <c r="J311" s="23"/>
      <c r="K311" s="23"/>
      <c r="L311" s="23"/>
      <c r="M311" s="23"/>
      <c r="N311" s="23"/>
      <c r="O311" s="23"/>
      <c r="P311" s="23"/>
      <c r="Q311" s="23"/>
      <c r="R311" s="23"/>
    </row>
    <row r="312" spans="2:18" x14ac:dyDescent="0.35">
      <c r="B312" s="22"/>
      <c r="F312" s="23"/>
      <c r="G312" s="23"/>
      <c r="H312" s="23"/>
      <c r="I312" s="23"/>
      <c r="J312" s="23"/>
      <c r="K312" s="23"/>
      <c r="L312" s="23"/>
      <c r="M312" s="23"/>
      <c r="N312" s="23"/>
      <c r="O312" s="23"/>
      <c r="P312" s="23"/>
      <c r="Q312" s="23"/>
      <c r="R312" s="23"/>
    </row>
    <row r="313" spans="2:18" x14ac:dyDescent="0.35">
      <c r="B313" s="22"/>
      <c r="F313" s="23"/>
      <c r="G313" s="23"/>
      <c r="H313" s="23"/>
      <c r="I313" s="23"/>
      <c r="J313" s="23"/>
      <c r="K313" s="23"/>
      <c r="L313" s="23"/>
      <c r="M313" s="23"/>
      <c r="N313" s="23"/>
      <c r="O313" s="23"/>
      <c r="P313" s="23"/>
      <c r="Q313" s="23"/>
      <c r="R313" s="23"/>
    </row>
    <row r="314" spans="2:18" x14ac:dyDescent="0.35">
      <c r="B314" s="22"/>
      <c r="F314" s="23"/>
      <c r="G314" s="23"/>
      <c r="H314" s="23"/>
      <c r="I314" s="23"/>
      <c r="J314" s="23"/>
      <c r="K314" s="23"/>
      <c r="L314" s="23"/>
      <c r="M314" s="23"/>
      <c r="N314" s="23"/>
      <c r="O314" s="23"/>
      <c r="P314" s="23"/>
      <c r="Q314" s="23"/>
      <c r="R314" s="23"/>
    </row>
    <row r="315" spans="2:18" x14ac:dyDescent="0.35">
      <c r="B315" s="22"/>
      <c r="F315" s="23"/>
      <c r="G315" s="23"/>
      <c r="H315" s="23"/>
      <c r="I315" s="23"/>
      <c r="J315" s="23"/>
      <c r="K315" s="23"/>
      <c r="L315" s="23"/>
      <c r="M315" s="23"/>
      <c r="N315" s="23"/>
      <c r="O315" s="23"/>
      <c r="P315" s="23"/>
      <c r="Q315" s="23"/>
      <c r="R315" s="23"/>
    </row>
    <row r="316" spans="2:18" x14ac:dyDescent="0.35">
      <c r="B316" s="22"/>
      <c r="F316" s="23"/>
      <c r="G316" s="23"/>
      <c r="H316" s="23"/>
      <c r="I316" s="23"/>
      <c r="J316" s="23"/>
      <c r="K316" s="23"/>
      <c r="L316" s="23"/>
      <c r="M316" s="23"/>
      <c r="N316" s="23"/>
      <c r="O316" s="23"/>
      <c r="P316" s="23"/>
      <c r="Q316" s="23"/>
      <c r="R316" s="23"/>
    </row>
    <row r="317" spans="2:18" x14ac:dyDescent="0.35">
      <c r="B317" s="22"/>
      <c r="F317" s="23"/>
      <c r="G317" s="23"/>
      <c r="H317" s="23"/>
      <c r="I317" s="23"/>
      <c r="J317" s="23"/>
      <c r="K317" s="23"/>
      <c r="L317" s="23"/>
      <c r="M317" s="23"/>
      <c r="N317" s="23"/>
      <c r="O317" s="23"/>
      <c r="P317" s="23"/>
      <c r="Q317" s="23"/>
      <c r="R317" s="23"/>
    </row>
    <row r="318" spans="2:18" x14ac:dyDescent="0.35">
      <c r="B318" s="22"/>
      <c r="F318" s="23"/>
      <c r="G318" s="23"/>
      <c r="H318" s="23"/>
      <c r="I318" s="23"/>
      <c r="J318" s="23"/>
      <c r="K318" s="23"/>
      <c r="L318" s="23"/>
      <c r="M318" s="23"/>
      <c r="N318" s="23"/>
      <c r="O318" s="23"/>
      <c r="P318" s="23"/>
      <c r="Q318" s="23"/>
      <c r="R318" s="23"/>
    </row>
    <row r="319" spans="2:18" x14ac:dyDescent="0.35">
      <c r="B319" s="22"/>
      <c r="F319" s="23"/>
      <c r="G319" s="23"/>
      <c r="H319" s="23"/>
      <c r="I319" s="23"/>
      <c r="J319" s="23"/>
      <c r="K319" s="23"/>
      <c r="L319" s="23"/>
      <c r="M319" s="23"/>
      <c r="N319" s="23"/>
      <c r="O319" s="23"/>
      <c r="P319" s="23"/>
      <c r="Q319" s="23"/>
      <c r="R319" s="23"/>
    </row>
    <row r="320" spans="2:18" x14ac:dyDescent="0.35">
      <c r="B320" s="22"/>
      <c r="F320" s="23"/>
      <c r="G320" s="23"/>
      <c r="H320" s="23"/>
      <c r="I320" s="23"/>
      <c r="J320" s="23"/>
      <c r="K320" s="23"/>
      <c r="L320" s="23"/>
      <c r="M320" s="23"/>
      <c r="N320" s="23"/>
      <c r="O320" s="23"/>
      <c r="P320" s="23"/>
      <c r="Q320" s="23"/>
      <c r="R320" s="23"/>
    </row>
    <row r="321" spans="2:18" x14ac:dyDescent="0.35">
      <c r="B321" s="22"/>
      <c r="F321" s="23"/>
      <c r="G321" s="23"/>
      <c r="H321" s="23"/>
      <c r="I321" s="23"/>
      <c r="J321" s="23"/>
      <c r="K321" s="23"/>
      <c r="L321" s="23"/>
      <c r="M321" s="23"/>
      <c r="N321" s="23"/>
      <c r="O321" s="23"/>
      <c r="P321" s="23"/>
      <c r="Q321" s="23"/>
      <c r="R321" s="23"/>
    </row>
    <row r="322" spans="2:18" x14ac:dyDescent="0.35">
      <c r="B322" s="22"/>
      <c r="F322" s="23"/>
      <c r="G322" s="23"/>
      <c r="H322" s="23"/>
      <c r="I322" s="23"/>
      <c r="J322" s="23"/>
      <c r="K322" s="23"/>
      <c r="L322" s="23"/>
      <c r="M322" s="23"/>
      <c r="N322" s="23"/>
      <c r="O322" s="23"/>
      <c r="P322" s="23"/>
      <c r="Q322" s="23"/>
      <c r="R322" s="23"/>
    </row>
    <row r="323" spans="2:18" x14ac:dyDescent="0.35">
      <c r="B323" s="22"/>
      <c r="F323" s="23"/>
      <c r="G323" s="23"/>
      <c r="H323" s="23"/>
      <c r="I323" s="23"/>
      <c r="J323" s="23"/>
      <c r="K323" s="23"/>
      <c r="L323" s="23"/>
      <c r="M323" s="23"/>
      <c r="N323" s="23"/>
      <c r="O323" s="23"/>
      <c r="P323" s="23"/>
      <c r="Q323" s="23"/>
      <c r="R323" s="23"/>
    </row>
    <row r="324" spans="2:18" x14ac:dyDescent="0.35">
      <c r="B324" s="22"/>
      <c r="F324" s="23"/>
      <c r="G324" s="23"/>
      <c r="H324" s="23"/>
      <c r="I324" s="23"/>
      <c r="J324" s="23"/>
      <c r="K324" s="23"/>
      <c r="L324" s="23"/>
      <c r="M324" s="23"/>
      <c r="N324" s="23"/>
      <c r="O324" s="23"/>
      <c r="P324" s="23"/>
      <c r="Q324" s="23"/>
      <c r="R324" s="23"/>
    </row>
    <row r="325" spans="2:18" x14ac:dyDescent="0.35">
      <c r="B325" s="22"/>
      <c r="F325" s="23"/>
      <c r="G325" s="23"/>
      <c r="H325" s="23"/>
      <c r="I325" s="23"/>
      <c r="J325" s="23"/>
      <c r="K325" s="23"/>
      <c r="L325" s="23"/>
      <c r="M325" s="23"/>
      <c r="N325" s="23"/>
      <c r="O325" s="23"/>
      <c r="P325" s="23"/>
      <c r="Q325" s="23"/>
      <c r="R325" s="23"/>
    </row>
    <row r="326" spans="2:18" x14ac:dyDescent="0.35">
      <c r="B326" s="22"/>
      <c r="F326" s="23"/>
      <c r="G326" s="23"/>
      <c r="H326" s="23"/>
      <c r="I326" s="23"/>
      <c r="J326" s="23"/>
      <c r="K326" s="23"/>
      <c r="L326" s="23"/>
      <c r="M326" s="23"/>
      <c r="N326" s="23"/>
      <c r="O326" s="23"/>
      <c r="P326" s="23"/>
      <c r="Q326" s="23"/>
      <c r="R326" s="23"/>
    </row>
    <row r="327" spans="2:18" x14ac:dyDescent="0.35">
      <c r="B327" s="22"/>
      <c r="F327" s="23"/>
      <c r="G327" s="23"/>
      <c r="H327" s="23"/>
      <c r="I327" s="23"/>
      <c r="J327" s="23"/>
      <c r="K327" s="23"/>
      <c r="L327" s="23"/>
      <c r="M327" s="23"/>
      <c r="N327" s="23"/>
      <c r="O327" s="23"/>
      <c r="P327" s="23"/>
      <c r="Q327" s="23"/>
      <c r="R327" s="23"/>
    </row>
    <row r="328" spans="2:18" x14ac:dyDescent="0.35">
      <c r="B328" s="22"/>
      <c r="F328" s="23"/>
      <c r="G328" s="23"/>
      <c r="H328" s="23"/>
      <c r="I328" s="23"/>
      <c r="J328" s="23"/>
      <c r="K328" s="23"/>
      <c r="L328" s="23"/>
      <c r="M328" s="23"/>
      <c r="N328" s="23"/>
      <c r="O328" s="23"/>
      <c r="P328" s="23"/>
      <c r="Q328" s="23"/>
      <c r="R328" s="23"/>
    </row>
    <row r="329" spans="2:18" x14ac:dyDescent="0.35">
      <c r="B329" s="22"/>
      <c r="F329" s="23"/>
      <c r="G329" s="23"/>
      <c r="H329" s="23"/>
      <c r="I329" s="23"/>
      <c r="J329" s="23"/>
      <c r="K329" s="23"/>
      <c r="L329" s="23"/>
      <c r="M329" s="23"/>
      <c r="N329" s="23"/>
      <c r="O329" s="23"/>
      <c r="P329" s="23"/>
      <c r="Q329" s="23"/>
      <c r="R329" s="23"/>
    </row>
    <row r="330" spans="2:18" x14ac:dyDescent="0.35">
      <c r="B330" s="22"/>
      <c r="F330" s="23"/>
      <c r="G330" s="23"/>
      <c r="H330" s="23"/>
      <c r="I330" s="23"/>
      <c r="J330" s="23"/>
      <c r="K330" s="23"/>
      <c r="L330" s="23"/>
      <c r="M330" s="23"/>
      <c r="N330" s="23"/>
      <c r="O330" s="23"/>
      <c r="P330" s="23"/>
      <c r="Q330" s="23"/>
      <c r="R330" s="23"/>
    </row>
    <row r="331" spans="2:18" x14ac:dyDescent="0.35">
      <c r="B331" s="22"/>
      <c r="F331" s="23"/>
      <c r="G331" s="23"/>
      <c r="H331" s="23"/>
      <c r="I331" s="23"/>
      <c r="J331" s="23"/>
      <c r="K331" s="23"/>
      <c r="L331" s="23"/>
      <c r="M331" s="23"/>
      <c r="N331" s="23"/>
      <c r="O331" s="23"/>
      <c r="P331" s="23"/>
      <c r="Q331" s="23"/>
      <c r="R331" s="23"/>
    </row>
    <row r="332" spans="2:18" x14ac:dyDescent="0.35">
      <c r="B332" s="22"/>
      <c r="F332" s="23"/>
      <c r="G332" s="23"/>
      <c r="H332" s="23"/>
      <c r="I332" s="23"/>
      <c r="J332" s="23"/>
      <c r="K332" s="23"/>
      <c r="L332" s="23"/>
      <c r="M332" s="23"/>
      <c r="N332" s="23"/>
      <c r="O332" s="23"/>
      <c r="P332" s="23"/>
      <c r="Q332" s="23"/>
      <c r="R332" s="23"/>
    </row>
    <row r="333" spans="2:18" x14ac:dyDescent="0.35">
      <c r="B333" s="22"/>
      <c r="F333" s="23"/>
      <c r="G333" s="23"/>
      <c r="H333" s="23"/>
      <c r="I333" s="23"/>
      <c r="J333" s="23"/>
      <c r="K333" s="23"/>
      <c r="L333" s="23"/>
      <c r="M333" s="23"/>
      <c r="N333" s="23"/>
      <c r="O333" s="23"/>
      <c r="P333" s="23"/>
      <c r="Q333" s="23"/>
      <c r="R333" s="23"/>
    </row>
    <row r="334" spans="2:18" x14ac:dyDescent="0.35">
      <c r="B334" s="22"/>
      <c r="F334" s="23"/>
      <c r="G334" s="23"/>
      <c r="H334" s="23"/>
      <c r="I334" s="23"/>
      <c r="J334" s="23"/>
      <c r="K334" s="23"/>
      <c r="L334" s="23"/>
      <c r="M334" s="23"/>
      <c r="N334" s="23"/>
      <c r="O334" s="23"/>
      <c r="P334" s="23"/>
      <c r="Q334" s="23"/>
      <c r="R334" s="23"/>
    </row>
    <row r="335" spans="2:18" x14ac:dyDescent="0.35">
      <c r="B335" s="22"/>
      <c r="F335" s="23"/>
      <c r="G335" s="23"/>
      <c r="H335" s="23"/>
      <c r="I335" s="23"/>
      <c r="J335" s="23"/>
      <c r="K335" s="23"/>
      <c r="L335" s="23"/>
      <c r="M335" s="23"/>
      <c r="N335" s="23"/>
      <c r="O335" s="23"/>
      <c r="P335" s="23"/>
      <c r="Q335" s="23"/>
      <c r="R335" s="23"/>
    </row>
    <row r="336" spans="2:18" x14ac:dyDescent="0.35">
      <c r="B336" s="22"/>
      <c r="F336" s="23"/>
      <c r="G336" s="23"/>
      <c r="H336" s="23"/>
      <c r="I336" s="23"/>
      <c r="J336" s="23"/>
      <c r="K336" s="23"/>
      <c r="L336" s="23"/>
      <c r="M336" s="23"/>
      <c r="N336" s="23"/>
      <c r="O336" s="23"/>
      <c r="P336" s="23"/>
      <c r="Q336" s="23"/>
      <c r="R336" s="23"/>
    </row>
    <row r="337" spans="2:18" x14ac:dyDescent="0.35">
      <c r="B337" s="22"/>
      <c r="F337" s="23"/>
      <c r="G337" s="23"/>
      <c r="H337" s="23"/>
      <c r="I337" s="23"/>
      <c r="J337" s="23"/>
      <c r="K337" s="23"/>
      <c r="L337" s="23"/>
      <c r="M337" s="23"/>
      <c r="N337" s="23"/>
      <c r="O337" s="23"/>
      <c r="P337" s="23"/>
      <c r="Q337" s="23"/>
      <c r="R337" s="23"/>
    </row>
    <row r="338" spans="2:18" x14ac:dyDescent="0.35">
      <c r="B338" s="22"/>
      <c r="F338" s="23"/>
      <c r="G338" s="23"/>
      <c r="H338" s="23"/>
      <c r="I338" s="23"/>
      <c r="J338" s="23"/>
      <c r="K338" s="23"/>
      <c r="L338" s="23"/>
      <c r="M338" s="23"/>
      <c r="N338" s="23"/>
      <c r="O338" s="23"/>
      <c r="P338" s="23"/>
      <c r="Q338" s="23"/>
      <c r="R338" s="23"/>
    </row>
    <row r="339" spans="2:18" x14ac:dyDescent="0.35">
      <c r="B339" s="22"/>
      <c r="F339" s="23"/>
      <c r="G339" s="23"/>
      <c r="H339" s="23"/>
      <c r="I339" s="23"/>
      <c r="J339" s="23"/>
      <c r="K339" s="23"/>
      <c r="L339" s="23"/>
      <c r="M339" s="23"/>
      <c r="N339" s="23"/>
      <c r="O339" s="23"/>
      <c r="P339" s="23"/>
      <c r="Q339" s="23"/>
      <c r="R339" s="23"/>
    </row>
    <row r="340" spans="2:18" x14ac:dyDescent="0.35">
      <c r="B340" s="22"/>
      <c r="F340" s="23"/>
      <c r="G340" s="23"/>
      <c r="H340" s="23"/>
      <c r="I340" s="23"/>
      <c r="J340" s="23"/>
      <c r="K340" s="23"/>
      <c r="L340" s="23"/>
      <c r="M340" s="23"/>
      <c r="N340" s="23"/>
      <c r="O340" s="23"/>
      <c r="P340" s="23"/>
      <c r="Q340" s="23"/>
      <c r="R340" s="23"/>
    </row>
    <row r="341" spans="2:18" x14ac:dyDescent="0.35">
      <c r="B341" s="22"/>
      <c r="F341" s="23"/>
      <c r="G341" s="23"/>
      <c r="H341" s="23"/>
      <c r="I341" s="23"/>
      <c r="J341" s="23"/>
      <c r="K341" s="23"/>
      <c r="L341" s="23"/>
      <c r="M341" s="23"/>
      <c r="N341" s="23"/>
      <c r="O341" s="23"/>
      <c r="P341" s="23"/>
      <c r="Q341" s="23"/>
      <c r="R341" s="23"/>
    </row>
    <row r="342" spans="2:18" x14ac:dyDescent="0.35">
      <c r="B342" s="22"/>
      <c r="F342" s="23"/>
      <c r="G342" s="23"/>
      <c r="H342" s="23"/>
      <c r="I342" s="23"/>
      <c r="J342" s="23"/>
      <c r="K342" s="23"/>
      <c r="L342" s="23"/>
      <c r="M342" s="23"/>
      <c r="N342" s="23"/>
      <c r="O342" s="23"/>
      <c r="P342" s="23"/>
      <c r="Q342" s="23"/>
      <c r="R342" s="23"/>
    </row>
    <row r="343" spans="2:18" x14ac:dyDescent="0.35">
      <c r="B343" s="22"/>
      <c r="F343" s="23"/>
      <c r="G343" s="23"/>
      <c r="H343" s="23"/>
      <c r="I343" s="23"/>
      <c r="J343" s="23"/>
      <c r="K343" s="23"/>
      <c r="L343" s="23"/>
      <c r="M343" s="23"/>
      <c r="N343" s="23"/>
      <c r="O343" s="23"/>
      <c r="P343" s="23"/>
      <c r="Q343" s="23"/>
      <c r="R343" s="23"/>
    </row>
    <row r="344" spans="2:18" x14ac:dyDescent="0.35">
      <c r="B344" s="22"/>
      <c r="F344" s="23"/>
      <c r="G344" s="23"/>
      <c r="H344" s="23"/>
      <c r="I344" s="23"/>
      <c r="J344" s="23"/>
      <c r="K344" s="23"/>
      <c r="L344" s="23"/>
      <c r="M344" s="23"/>
      <c r="N344" s="23"/>
      <c r="O344" s="23"/>
      <c r="P344" s="23"/>
      <c r="Q344" s="23"/>
      <c r="R344" s="23"/>
    </row>
    <row r="345" spans="2:18" x14ac:dyDescent="0.35">
      <c r="B345" s="22"/>
      <c r="F345" s="23"/>
      <c r="G345" s="23"/>
      <c r="H345" s="23"/>
      <c r="I345" s="23"/>
      <c r="J345" s="23"/>
      <c r="K345" s="23"/>
      <c r="L345" s="23"/>
      <c r="M345" s="23"/>
      <c r="N345" s="23"/>
      <c r="O345" s="23"/>
      <c r="P345" s="23"/>
      <c r="Q345" s="23"/>
      <c r="R345" s="23"/>
    </row>
    <row r="346" spans="2:18" x14ac:dyDescent="0.35">
      <c r="B346" s="22"/>
      <c r="F346" s="23"/>
      <c r="G346" s="23"/>
      <c r="H346" s="23"/>
      <c r="I346" s="23"/>
      <c r="J346" s="23"/>
      <c r="K346" s="23"/>
      <c r="L346" s="23"/>
      <c r="M346" s="23"/>
      <c r="N346" s="23"/>
      <c r="O346" s="23"/>
      <c r="P346" s="23"/>
      <c r="Q346" s="23"/>
      <c r="R346" s="23"/>
    </row>
    <row r="347" spans="2:18" x14ac:dyDescent="0.35">
      <c r="B347" s="22"/>
      <c r="F347" s="23"/>
      <c r="G347" s="23"/>
      <c r="H347" s="23"/>
      <c r="I347" s="23"/>
      <c r="J347" s="23"/>
      <c r="K347" s="23"/>
      <c r="L347" s="23"/>
      <c r="M347" s="23"/>
      <c r="N347" s="23"/>
      <c r="O347" s="23"/>
      <c r="P347" s="23"/>
      <c r="Q347" s="23"/>
      <c r="R347" s="23"/>
    </row>
    <row r="348" spans="2:18" x14ac:dyDescent="0.35">
      <c r="B348" s="22"/>
      <c r="F348" s="23"/>
      <c r="G348" s="23"/>
      <c r="H348" s="23"/>
      <c r="I348" s="23"/>
      <c r="J348" s="23"/>
      <c r="K348" s="23"/>
      <c r="L348" s="23"/>
      <c r="M348" s="23"/>
      <c r="N348" s="23"/>
      <c r="O348" s="23"/>
      <c r="P348" s="23"/>
      <c r="Q348" s="23"/>
      <c r="R348" s="23"/>
    </row>
    <row r="349" spans="2:18" x14ac:dyDescent="0.35">
      <c r="B349" s="22"/>
      <c r="F349" s="23"/>
      <c r="G349" s="23"/>
      <c r="H349" s="23"/>
      <c r="I349" s="23"/>
      <c r="J349" s="23"/>
      <c r="K349" s="23"/>
      <c r="L349" s="23"/>
      <c r="M349" s="23"/>
      <c r="N349" s="23"/>
      <c r="O349" s="23"/>
      <c r="P349" s="23"/>
      <c r="Q349" s="23"/>
      <c r="R349" s="23"/>
    </row>
    <row r="350" spans="2:18" x14ac:dyDescent="0.35">
      <c r="B350" s="22"/>
      <c r="F350" s="23"/>
      <c r="G350" s="23"/>
      <c r="H350" s="23"/>
      <c r="I350" s="23"/>
      <c r="J350" s="23"/>
      <c r="K350" s="23"/>
      <c r="L350" s="23"/>
      <c r="M350" s="23"/>
      <c r="N350" s="23"/>
      <c r="O350" s="23"/>
      <c r="P350" s="23"/>
      <c r="Q350" s="23"/>
      <c r="R350" s="23"/>
    </row>
    <row r="351" spans="2:18" x14ac:dyDescent="0.35">
      <c r="B351" s="22"/>
      <c r="F351" s="23"/>
      <c r="G351" s="23"/>
      <c r="H351" s="23"/>
      <c r="I351" s="23"/>
      <c r="J351" s="23"/>
      <c r="K351" s="23"/>
      <c r="L351" s="23"/>
      <c r="M351" s="23"/>
      <c r="N351" s="23"/>
      <c r="O351" s="23"/>
      <c r="P351" s="23"/>
      <c r="Q351" s="23"/>
      <c r="R351" s="23"/>
    </row>
    <row r="352" spans="2:18" x14ac:dyDescent="0.35">
      <c r="B352" s="22"/>
      <c r="F352" s="23"/>
      <c r="G352" s="23"/>
      <c r="H352" s="23"/>
      <c r="I352" s="23"/>
      <c r="J352" s="23"/>
      <c r="K352" s="23"/>
      <c r="L352" s="23"/>
      <c r="M352" s="23"/>
      <c r="N352" s="23"/>
      <c r="O352" s="23"/>
      <c r="P352" s="23"/>
      <c r="Q352" s="23"/>
      <c r="R352" s="23"/>
    </row>
    <row r="353" spans="2:18" x14ac:dyDescent="0.35">
      <c r="B353" s="22"/>
      <c r="F353" s="23"/>
      <c r="G353" s="23"/>
      <c r="H353" s="23"/>
      <c r="I353" s="23"/>
      <c r="J353" s="23"/>
      <c r="K353" s="23"/>
      <c r="L353" s="23"/>
      <c r="M353" s="23"/>
      <c r="N353" s="23"/>
      <c r="O353" s="23"/>
      <c r="P353" s="23"/>
      <c r="Q353" s="23"/>
      <c r="R353" s="23"/>
    </row>
    <row r="354" spans="2:18" x14ac:dyDescent="0.35">
      <c r="B354" s="22"/>
      <c r="F354" s="23"/>
      <c r="G354" s="23"/>
      <c r="H354" s="23"/>
      <c r="I354" s="23"/>
      <c r="J354" s="23"/>
      <c r="K354" s="23"/>
      <c r="L354" s="23"/>
      <c r="M354" s="23"/>
      <c r="N354" s="23"/>
      <c r="O354" s="23"/>
      <c r="P354" s="23"/>
      <c r="Q354" s="23"/>
      <c r="R354" s="23"/>
    </row>
    <row r="355" spans="2:18" x14ac:dyDescent="0.35">
      <c r="B355" s="22"/>
      <c r="F355" s="23"/>
      <c r="G355" s="23"/>
      <c r="H355" s="23"/>
      <c r="I355" s="23"/>
      <c r="J355" s="23"/>
      <c r="K355" s="23"/>
      <c r="L355" s="23"/>
      <c r="M355" s="23"/>
      <c r="N355" s="23"/>
      <c r="O355" s="23"/>
      <c r="P355" s="23"/>
      <c r="Q355" s="23"/>
      <c r="R355" s="23"/>
    </row>
    <row r="356" spans="2:18" x14ac:dyDescent="0.35">
      <c r="B356" s="22"/>
      <c r="F356" s="23"/>
      <c r="G356" s="23"/>
      <c r="H356" s="23"/>
      <c r="I356" s="23"/>
      <c r="J356" s="23"/>
      <c r="K356" s="23"/>
      <c r="L356" s="23"/>
      <c r="M356" s="23"/>
      <c r="N356" s="23"/>
      <c r="O356" s="23"/>
      <c r="P356" s="23"/>
      <c r="Q356" s="23"/>
      <c r="R356" s="23"/>
    </row>
    <row r="357" spans="2:18" x14ac:dyDescent="0.35">
      <c r="B357" s="22"/>
      <c r="F357" s="23"/>
      <c r="G357" s="23"/>
      <c r="H357" s="23"/>
      <c r="I357" s="23"/>
      <c r="J357" s="23"/>
      <c r="K357" s="23"/>
      <c r="L357" s="23"/>
      <c r="M357" s="23"/>
      <c r="N357" s="23"/>
      <c r="O357" s="23"/>
      <c r="P357" s="23"/>
      <c r="Q357" s="23"/>
      <c r="R357" s="23"/>
    </row>
    <row r="358" spans="2:18" x14ac:dyDescent="0.35">
      <c r="B358" s="22"/>
      <c r="F358" s="23"/>
      <c r="G358" s="23"/>
      <c r="H358" s="23"/>
      <c r="I358" s="23"/>
      <c r="J358" s="23"/>
      <c r="K358" s="23"/>
      <c r="L358" s="23"/>
      <c r="M358" s="23"/>
      <c r="N358" s="23"/>
      <c r="O358" s="23"/>
      <c r="P358" s="23"/>
      <c r="Q358" s="23"/>
      <c r="R358" s="23"/>
    </row>
    <row r="359" spans="2:18" x14ac:dyDescent="0.35">
      <c r="B359" s="22"/>
      <c r="F359" s="23"/>
      <c r="G359" s="23"/>
      <c r="H359" s="23"/>
      <c r="I359" s="23"/>
      <c r="J359" s="23"/>
      <c r="K359" s="23"/>
      <c r="L359" s="23"/>
      <c r="M359" s="23"/>
      <c r="N359" s="23"/>
      <c r="O359" s="23"/>
      <c r="P359" s="23"/>
      <c r="Q359" s="23"/>
      <c r="R359" s="23"/>
    </row>
    <row r="360" spans="2:18" x14ac:dyDescent="0.35">
      <c r="B360" s="22"/>
      <c r="F360" s="23"/>
      <c r="G360" s="23"/>
      <c r="H360" s="23"/>
      <c r="I360" s="23"/>
      <c r="J360" s="23"/>
      <c r="K360" s="23"/>
      <c r="L360" s="23"/>
      <c r="M360" s="23"/>
      <c r="N360" s="23"/>
      <c r="O360" s="23"/>
      <c r="P360" s="23"/>
      <c r="Q360" s="23"/>
      <c r="R360" s="23"/>
    </row>
    <row r="361" spans="2:18" x14ac:dyDescent="0.35">
      <c r="B361" s="22"/>
      <c r="F361" s="23"/>
      <c r="G361" s="23"/>
      <c r="H361" s="23"/>
      <c r="I361" s="23"/>
      <c r="J361" s="23"/>
      <c r="K361" s="23"/>
      <c r="L361" s="23"/>
      <c r="M361" s="23"/>
      <c r="N361" s="23"/>
      <c r="O361" s="23"/>
      <c r="P361" s="23"/>
      <c r="Q361" s="23"/>
      <c r="R361" s="23"/>
    </row>
    <row r="362" spans="2:18" x14ac:dyDescent="0.35">
      <c r="B362" s="22"/>
      <c r="F362" s="23"/>
      <c r="G362" s="23"/>
      <c r="H362" s="23"/>
      <c r="I362" s="23"/>
      <c r="J362" s="23"/>
      <c r="K362" s="23"/>
      <c r="L362" s="23"/>
      <c r="M362" s="23"/>
      <c r="N362" s="23"/>
      <c r="O362" s="23"/>
      <c r="P362" s="23"/>
      <c r="Q362" s="23"/>
      <c r="R362" s="23"/>
    </row>
    <row r="363" spans="2:18" x14ac:dyDescent="0.35">
      <c r="B363" s="22"/>
      <c r="F363" s="23"/>
      <c r="G363" s="23"/>
      <c r="H363" s="23"/>
      <c r="I363" s="23"/>
      <c r="J363" s="23"/>
      <c r="K363" s="23"/>
      <c r="L363" s="23"/>
      <c r="M363" s="23"/>
      <c r="N363" s="23"/>
      <c r="O363" s="23"/>
      <c r="P363" s="23"/>
      <c r="Q363" s="23"/>
      <c r="R363" s="23"/>
    </row>
    <row r="364" spans="2:18" x14ac:dyDescent="0.35">
      <c r="B364" s="22"/>
      <c r="F364" s="23"/>
      <c r="G364" s="23"/>
      <c r="H364" s="23"/>
      <c r="I364" s="23"/>
      <c r="J364" s="23"/>
      <c r="K364" s="23"/>
      <c r="L364" s="23"/>
      <c r="M364" s="23"/>
      <c r="N364" s="23"/>
      <c r="O364" s="23"/>
      <c r="P364" s="23"/>
      <c r="Q364" s="23"/>
      <c r="R364" s="23"/>
    </row>
    <row r="365" spans="2:18" x14ac:dyDescent="0.35">
      <c r="B365" s="22"/>
      <c r="F365" s="23"/>
      <c r="G365" s="23"/>
      <c r="H365" s="23"/>
      <c r="I365" s="23"/>
      <c r="J365" s="23"/>
      <c r="K365" s="23"/>
      <c r="L365" s="23"/>
      <c r="M365" s="23"/>
      <c r="N365" s="23"/>
      <c r="O365" s="23"/>
      <c r="P365" s="23"/>
      <c r="Q365" s="23"/>
      <c r="R365" s="23"/>
    </row>
    <row r="366" spans="2:18" x14ac:dyDescent="0.35">
      <c r="B366" s="22"/>
      <c r="F366" s="23"/>
      <c r="G366" s="23"/>
      <c r="H366" s="23"/>
      <c r="I366" s="23"/>
      <c r="J366" s="23"/>
      <c r="K366" s="23"/>
      <c r="L366" s="23"/>
      <c r="M366" s="23"/>
      <c r="N366" s="23"/>
      <c r="O366" s="23"/>
      <c r="P366" s="23"/>
      <c r="Q366" s="23"/>
      <c r="R366" s="23"/>
    </row>
    <row r="367" spans="2:18" x14ac:dyDescent="0.35">
      <c r="B367" s="22"/>
      <c r="F367" s="23"/>
      <c r="G367" s="23"/>
      <c r="H367" s="23"/>
      <c r="I367" s="23"/>
      <c r="J367" s="23"/>
      <c r="K367" s="23"/>
      <c r="L367" s="23"/>
      <c r="M367" s="23"/>
      <c r="N367" s="23"/>
      <c r="O367" s="23"/>
      <c r="P367" s="23"/>
      <c r="Q367" s="23"/>
      <c r="R367" s="23"/>
    </row>
    <row r="368" spans="2:18" x14ac:dyDescent="0.35">
      <c r="B368" s="22"/>
      <c r="F368" s="23"/>
      <c r="G368" s="23"/>
      <c r="H368" s="23"/>
      <c r="I368" s="23"/>
      <c r="J368" s="23"/>
      <c r="K368" s="23"/>
      <c r="L368" s="23"/>
      <c r="M368" s="23"/>
      <c r="N368" s="23"/>
      <c r="O368" s="23"/>
      <c r="P368" s="23"/>
      <c r="Q368" s="23"/>
      <c r="R368" s="23"/>
    </row>
    <row r="369" spans="2:18" x14ac:dyDescent="0.35">
      <c r="B369" s="22"/>
      <c r="F369" s="23"/>
      <c r="G369" s="23"/>
      <c r="H369" s="23"/>
      <c r="I369" s="23"/>
      <c r="J369" s="23"/>
      <c r="K369" s="23"/>
      <c r="L369" s="23"/>
      <c r="M369" s="23"/>
      <c r="N369" s="23"/>
      <c r="O369" s="23"/>
      <c r="P369" s="23"/>
      <c r="Q369" s="23"/>
      <c r="R369" s="23"/>
    </row>
    <row r="370" spans="2:18" x14ac:dyDescent="0.35">
      <c r="B370" s="22"/>
      <c r="F370" s="23"/>
      <c r="G370" s="23"/>
      <c r="H370" s="23"/>
      <c r="I370" s="23"/>
      <c r="J370" s="23"/>
      <c r="K370" s="23"/>
      <c r="L370" s="23"/>
      <c r="M370" s="23"/>
      <c r="N370" s="23"/>
      <c r="O370" s="23"/>
      <c r="P370" s="23"/>
      <c r="Q370" s="23"/>
      <c r="R370" s="23"/>
    </row>
    <row r="371" spans="2:18" x14ac:dyDescent="0.35">
      <c r="B371" s="22"/>
      <c r="F371" s="23"/>
      <c r="G371" s="23"/>
      <c r="H371" s="23"/>
      <c r="I371" s="23"/>
      <c r="J371" s="23"/>
      <c r="K371" s="23"/>
      <c r="L371" s="23"/>
      <c r="M371" s="23"/>
      <c r="N371" s="23"/>
      <c r="O371" s="23"/>
      <c r="P371" s="23"/>
      <c r="Q371" s="23"/>
      <c r="R371" s="23"/>
    </row>
    <row r="372" spans="2:18" x14ac:dyDescent="0.35">
      <c r="B372" s="22"/>
      <c r="F372" s="23"/>
      <c r="G372" s="23"/>
      <c r="H372" s="23"/>
      <c r="I372" s="23"/>
      <c r="J372" s="23"/>
      <c r="K372" s="23"/>
      <c r="L372" s="23"/>
      <c r="M372" s="23"/>
      <c r="N372" s="23"/>
      <c r="O372" s="23"/>
      <c r="P372" s="23"/>
      <c r="Q372" s="23"/>
      <c r="R372" s="23"/>
    </row>
    <row r="373" spans="2:18" x14ac:dyDescent="0.35">
      <c r="B373" s="22"/>
      <c r="F373" s="23"/>
      <c r="G373" s="23"/>
      <c r="H373" s="23"/>
      <c r="I373" s="23"/>
      <c r="J373" s="23"/>
      <c r="K373" s="23"/>
      <c r="L373" s="23"/>
      <c r="M373" s="23"/>
      <c r="N373" s="23"/>
      <c r="O373" s="23"/>
      <c r="P373" s="23"/>
      <c r="Q373" s="23"/>
      <c r="R373" s="23"/>
    </row>
    <row r="374" spans="2:18" x14ac:dyDescent="0.35">
      <c r="B374" s="22"/>
      <c r="F374" s="23"/>
      <c r="G374" s="23"/>
      <c r="H374" s="23"/>
      <c r="I374" s="23"/>
      <c r="J374" s="23"/>
      <c r="K374" s="23"/>
      <c r="L374" s="23"/>
      <c r="M374" s="23"/>
      <c r="N374" s="23"/>
      <c r="O374" s="23"/>
      <c r="P374" s="23"/>
      <c r="Q374" s="23"/>
      <c r="R374" s="23"/>
    </row>
    <row r="375" spans="2:18" x14ac:dyDescent="0.35">
      <c r="B375" s="22"/>
      <c r="F375" s="23"/>
      <c r="G375" s="23"/>
      <c r="H375" s="23"/>
      <c r="I375" s="23"/>
      <c r="J375" s="23"/>
      <c r="K375" s="23"/>
      <c r="L375" s="23"/>
      <c r="M375" s="23"/>
      <c r="N375" s="23"/>
      <c r="O375" s="23"/>
      <c r="P375" s="23"/>
      <c r="Q375" s="23"/>
      <c r="R375" s="23"/>
    </row>
    <row r="376" spans="2:18" x14ac:dyDescent="0.35">
      <c r="B376" s="22"/>
      <c r="F376" s="23"/>
      <c r="G376" s="23"/>
      <c r="H376" s="23"/>
      <c r="I376" s="23"/>
      <c r="J376" s="23"/>
      <c r="K376" s="23"/>
      <c r="L376" s="23"/>
      <c r="M376" s="23"/>
      <c r="N376" s="23"/>
      <c r="O376" s="23"/>
      <c r="P376" s="23"/>
      <c r="Q376" s="23"/>
      <c r="R376" s="23"/>
    </row>
    <row r="377" spans="2:18" x14ac:dyDescent="0.35">
      <c r="B377" s="22"/>
      <c r="F377" s="23"/>
      <c r="G377" s="23"/>
      <c r="H377" s="23"/>
      <c r="I377" s="23"/>
      <c r="J377" s="23"/>
      <c r="K377" s="23"/>
      <c r="L377" s="23"/>
      <c r="M377" s="23"/>
      <c r="N377" s="23"/>
      <c r="O377" s="23"/>
      <c r="P377" s="23"/>
      <c r="Q377" s="23"/>
      <c r="R377" s="23"/>
    </row>
    <row r="378" spans="2:18" x14ac:dyDescent="0.35">
      <c r="B378" s="22"/>
      <c r="F378" s="23"/>
      <c r="G378" s="23"/>
      <c r="H378" s="23"/>
      <c r="I378" s="23"/>
      <c r="J378" s="23"/>
      <c r="K378" s="23"/>
      <c r="L378" s="23"/>
      <c r="M378" s="23"/>
      <c r="N378" s="23"/>
      <c r="O378" s="23"/>
      <c r="P378" s="23"/>
      <c r="Q378" s="23"/>
      <c r="R378" s="23"/>
    </row>
    <row r="379" spans="2:18" x14ac:dyDescent="0.35">
      <c r="B379" s="22"/>
      <c r="F379" s="23"/>
      <c r="G379" s="23"/>
      <c r="H379" s="23"/>
      <c r="I379" s="23"/>
      <c r="J379" s="23"/>
      <c r="K379" s="23"/>
      <c r="L379" s="23"/>
      <c r="M379" s="23"/>
      <c r="N379" s="23"/>
      <c r="O379" s="23"/>
      <c r="P379" s="23"/>
      <c r="Q379" s="23"/>
      <c r="R379" s="23"/>
    </row>
    <row r="380" spans="2:18" x14ac:dyDescent="0.35">
      <c r="B380" s="22"/>
      <c r="F380" s="23"/>
      <c r="G380" s="23"/>
      <c r="H380" s="23"/>
      <c r="I380" s="23"/>
      <c r="J380" s="23"/>
      <c r="K380" s="23"/>
      <c r="L380" s="23"/>
      <c r="M380" s="23"/>
      <c r="N380" s="23"/>
      <c r="O380" s="23"/>
      <c r="P380" s="23"/>
      <c r="Q380" s="23"/>
      <c r="R380" s="23"/>
    </row>
    <row r="381" spans="2:18" x14ac:dyDescent="0.35">
      <c r="B381" s="22"/>
      <c r="F381" s="23"/>
      <c r="G381" s="23"/>
      <c r="H381" s="23"/>
      <c r="I381" s="23"/>
      <c r="J381" s="23"/>
      <c r="K381" s="23"/>
      <c r="L381" s="23"/>
      <c r="M381" s="23"/>
      <c r="N381" s="23"/>
      <c r="O381" s="23"/>
      <c r="P381" s="23"/>
      <c r="Q381" s="23"/>
      <c r="R381" s="23"/>
    </row>
    <row r="382" spans="2:18" x14ac:dyDescent="0.35">
      <c r="B382" s="22"/>
      <c r="F382" s="23"/>
      <c r="G382" s="23"/>
      <c r="H382" s="23"/>
      <c r="I382" s="23"/>
      <c r="J382" s="23"/>
      <c r="K382" s="23"/>
      <c r="L382" s="23"/>
      <c r="M382" s="23"/>
      <c r="N382" s="23"/>
      <c r="O382" s="23"/>
      <c r="P382" s="23"/>
      <c r="Q382" s="23"/>
      <c r="R382" s="23"/>
    </row>
    <row r="383" spans="2:18" x14ac:dyDescent="0.35">
      <c r="B383" s="22"/>
      <c r="F383" s="23"/>
      <c r="G383" s="23"/>
      <c r="H383" s="23"/>
      <c r="I383" s="23"/>
      <c r="J383" s="23"/>
      <c r="K383" s="23"/>
      <c r="L383" s="23"/>
      <c r="M383" s="23"/>
      <c r="N383" s="23"/>
      <c r="O383" s="23"/>
      <c r="P383" s="23"/>
      <c r="Q383" s="23"/>
      <c r="R383" s="23"/>
    </row>
    <row r="384" spans="2:18" x14ac:dyDescent="0.35">
      <c r="B384" s="22"/>
      <c r="F384" s="23"/>
      <c r="G384" s="23"/>
      <c r="H384" s="23"/>
      <c r="I384" s="23"/>
      <c r="J384" s="23"/>
      <c r="K384" s="23"/>
      <c r="L384" s="23"/>
      <c r="M384" s="23"/>
      <c r="N384" s="23"/>
      <c r="O384" s="23"/>
      <c r="P384" s="23"/>
      <c r="Q384" s="23"/>
      <c r="R384" s="23"/>
    </row>
    <row r="385" spans="2:18" x14ac:dyDescent="0.35">
      <c r="B385" s="22"/>
      <c r="F385" s="23"/>
      <c r="G385" s="23"/>
      <c r="H385" s="23"/>
      <c r="I385" s="23"/>
      <c r="J385" s="23"/>
      <c r="K385" s="23"/>
      <c r="L385" s="23"/>
      <c r="M385" s="23"/>
      <c r="N385" s="23"/>
      <c r="O385" s="23"/>
      <c r="P385" s="23"/>
      <c r="Q385" s="23"/>
      <c r="R385" s="23"/>
    </row>
    <row r="386" spans="2:18" x14ac:dyDescent="0.35">
      <c r="B386" s="22"/>
      <c r="F386" s="23"/>
      <c r="G386" s="23"/>
      <c r="H386" s="23"/>
      <c r="I386" s="23"/>
      <c r="J386" s="23"/>
      <c r="K386" s="23"/>
      <c r="L386" s="23"/>
      <c r="M386" s="23"/>
      <c r="N386" s="23"/>
      <c r="O386" s="23"/>
      <c r="P386" s="23"/>
      <c r="Q386" s="23"/>
      <c r="R386" s="23"/>
    </row>
    <row r="387" spans="2:18" x14ac:dyDescent="0.35">
      <c r="B387" s="22"/>
      <c r="F387" s="23"/>
      <c r="G387" s="23"/>
      <c r="H387" s="23"/>
      <c r="I387" s="23"/>
      <c r="J387" s="23"/>
      <c r="K387" s="23"/>
      <c r="L387" s="23"/>
      <c r="M387" s="23"/>
      <c r="N387" s="23"/>
      <c r="O387" s="23"/>
      <c r="P387" s="23"/>
      <c r="Q387" s="23"/>
      <c r="R387" s="23"/>
    </row>
    <row r="388" spans="2:18" x14ac:dyDescent="0.35">
      <c r="B388" s="22"/>
      <c r="F388" s="23"/>
      <c r="G388" s="23"/>
      <c r="H388" s="23"/>
      <c r="I388" s="23"/>
      <c r="J388" s="23"/>
      <c r="K388" s="23"/>
      <c r="L388" s="23"/>
      <c r="M388" s="23"/>
      <c r="N388" s="23"/>
      <c r="O388" s="23"/>
      <c r="P388" s="23"/>
      <c r="Q388" s="23"/>
      <c r="R388" s="23"/>
    </row>
    <row r="389" spans="2:18" x14ac:dyDescent="0.35">
      <c r="B389" s="22"/>
      <c r="F389" s="23"/>
      <c r="G389" s="23"/>
      <c r="H389" s="23"/>
      <c r="I389" s="23"/>
      <c r="J389" s="23"/>
      <c r="K389" s="23"/>
      <c r="L389" s="23"/>
      <c r="M389" s="23"/>
      <c r="N389" s="23"/>
      <c r="O389" s="23"/>
      <c r="P389" s="23"/>
      <c r="Q389" s="23"/>
      <c r="R389" s="23"/>
    </row>
    <row r="390" spans="2:18" x14ac:dyDescent="0.35">
      <c r="B390" s="22"/>
      <c r="F390" s="23"/>
      <c r="G390" s="23"/>
      <c r="H390" s="23"/>
      <c r="I390" s="23"/>
      <c r="J390" s="23"/>
      <c r="K390" s="23"/>
      <c r="L390" s="23"/>
      <c r="M390" s="23"/>
      <c r="N390" s="23"/>
      <c r="O390" s="23"/>
      <c r="P390" s="23"/>
      <c r="Q390" s="23"/>
      <c r="R390" s="23"/>
    </row>
    <row r="391" spans="2:18" x14ac:dyDescent="0.35">
      <c r="B391" s="22"/>
      <c r="F391" s="23"/>
      <c r="G391" s="23"/>
      <c r="H391" s="23"/>
      <c r="I391" s="23"/>
      <c r="J391" s="23"/>
      <c r="K391" s="23"/>
      <c r="L391" s="23"/>
      <c r="M391" s="23"/>
      <c r="N391" s="23"/>
      <c r="O391" s="23"/>
      <c r="P391" s="23"/>
      <c r="Q391" s="23"/>
      <c r="R391" s="23"/>
    </row>
    <row r="392" spans="2:18" x14ac:dyDescent="0.35">
      <c r="B392" s="22"/>
      <c r="F392" s="23"/>
      <c r="G392" s="23"/>
      <c r="H392" s="23"/>
      <c r="I392" s="23"/>
      <c r="J392" s="23"/>
      <c r="K392" s="23"/>
      <c r="L392" s="23"/>
      <c r="M392" s="23"/>
      <c r="N392" s="23"/>
      <c r="O392" s="23"/>
      <c r="P392" s="23"/>
      <c r="Q392" s="23"/>
      <c r="R392" s="23"/>
    </row>
    <row r="393" spans="2:18" x14ac:dyDescent="0.35">
      <c r="B393" s="22"/>
      <c r="F393" s="23"/>
      <c r="G393" s="23"/>
      <c r="H393" s="23"/>
      <c r="I393" s="23"/>
      <c r="J393" s="23"/>
      <c r="K393" s="23"/>
      <c r="L393" s="23"/>
      <c r="M393" s="23"/>
      <c r="N393" s="23"/>
      <c r="O393" s="23"/>
      <c r="P393" s="23"/>
      <c r="Q393" s="23"/>
      <c r="R393" s="23"/>
    </row>
    <row r="394" spans="2:18" x14ac:dyDescent="0.35">
      <c r="B394" s="22"/>
      <c r="F394" s="23"/>
      <c r="G394" s="23"/>
      <c r="H394" s="23"/>
      <c r="I394" s="23"/>
      <c r="J394" s="23"/>
      <c r="K394" s="23"/>
      <c r="L394" s="23"/>
      <c r="M394" s="23"/>
      <c r="N394" s="23"/>
      <c r="O394" s="23"/>
      <c r="P394" s="23"/>
      <c r="Q394" s="23"/>
      <c r="R394" s="23"/>
    </row>
    <row r="395" spans="2:18" x14ac:dyDescent="0.35">
      <c r="B395" s="22"/>
      <c r="F395" s="23"/>
      <c r="G395" s="23"/>
      <c r="H395" s="23"/>
      <c r="I395" s="23"/>
      <c r="J395" s="23"/>
      <c r="K395" s="23"/>
      <c r="L395" s="23"/>
      <c r="M395" s="23"/>
      <c r="N395" s="23"/>
      <c r="O395" s="23"/>
      <c r="P395" s="23"/>
      <c r="Q395" s="23"/>
      <c r="R395" s="23"/>
    </row>
    <row r="396" spans="2:18" x14ac:dyDescent="0.35">
      <c r="B396" s="22"/>
      <c r="F396" s="23"/>
      <c r="G396" s="23"/>
      <c r="H396" s="23"/>
      <c r="I396" s="23"/>
      <c r="J396" s="23"/>
      <c r="K396" s="23"/>
      <c r="L396" s="23"/>
      <c r="M396" s="23"/>
      <c r="N396" s="23"/>
      <c r="O396" s="23"/>
      <c r="P396" s="23"/>
      <c r="Q396" s="23"/>
      <c r="R396" s="23"/>
    </row>
    <row r="397" spans="2:18" x14ac:dyDescent="0.35">
      <c r="B397" s="22"/>
      <c r="F397" s="23"/>
      <c r="G397" s="23"/>
      <c r="H397" s="23"/>
      <c r="I397" s="23"/>
      <c r="J397" s="23"/>
      <c r="K397" s="23"/>
      <c r="L397" s="23"/>
      <c r="M397" s="23"/>
      <c r="N397" s="23"/>
      <c r="O397" s="23"/>
      <c r="P397" s="23"/>
      <c r="Q397" s="23"/>
      <c r="R397" s="23"/>
    </row>
    <row r="398" spans="2:18" x14ac:dyDescent="0.35">
      <c r="B398" s="22"/>
      <c r="F398" s="23"/>
      <c r="G398" s="23"/>
      <c r="H398" s="23"/>
      <c r="I398" s="23"/>
      <c r="J398" s="23"/>
      <c r="K398" s="23"/>
      <c r="L398" s="23"/>
      <c r="M398" s="23"/>
      <c r="N398" s="23"/>
      <c r="O398" s="23"/>
      <c r="P398" s="23"/>
      <c r="Q398" s="23"/>
      <c r="R398" s="23"/>
    </row>
    <row r="399" spans="2:18" x14ac:dyDescent="0.35">
      <c r="B399" s="22"/>
      <c r="F399" s="23"/>
      <c r="G399" s="23"/>
      <c r="H399" s="23"/>
      <c r="I399" s="23"/>
      <c r="J399" s="23"/>
      <c r="K399" s="23"/>
      <c r="L399" s="23"/>
      <c r="M399" s="23"/>
      <c r="N399" s="23"/>
      <c r="O399" s="23"/>
      <c r="P399" s="23"/>
      <c r="Q399" s="23"/>
      <c r="R399" s="23"/>
    </row>
    <row r="400" spans="2:18" x14ac:dyDescent="0.35">
      <c r="B400" s="22"/>
      <c r="F400" s="23"/>
      <c r="G400" s="23"/>
      <c r="H400" s="23"/>
      <c r="I400" s="23"/>
      <c r="J400" s="23"/>
      <c r="K400" s="23"/>
      <c r="L400" s="23"/>
      <c r="M400" s="23"/>
      <c r="N400" s="23"/>
      <c r="O400" s="23"/>
      <c r="P400" s="23"/>
      <c r="Q400" s="23"/>
      <c r="R400" s="23"/>
    </row>
    <row r="401" spans="2:18" x14ac:dyDescent="0.35">
      <c r="B401" s="22"/>
      <c r="F401" s="23"/>
      <c r="G401" s="23"/>
      <c r="H401" s="23"/>
      <c r="I401" s="23"/>
      <c r="J401" s="23"/>
      <c r="K401" s="23"/>
      <c r="L401" s="23"/>
      <c r="M401" s="23"/>
      <c r="N401" s="23"/>
      <c r="O401" s="23"/>
      <c r="P401" s="23"/>
      <c r="Q401" s="23"/>
      <c r="R401" s="23"/>
    </row>
    <row r="402" spans="2:18" x14ac:dyDescent="0.35">
      <c r="B402" s="22"/>
      <c r="F402" s="23"/>
      <c r="G402" s="23"/>
      <c r="H402" s="23"/>
      <c r="I402" s="23"/>
      <c r="J402" s="23"/>
      <c r="K402" s="23"/>
      <c r="L402" s="23"/>
      <c r="M402" s="23"/>
      <c r="N402" s="23"/>
      <c r="O402" s="23"/>
      <c r="P402" s="23"/>
      <c r="Q402" s="23"/>
      <c r="R402" s="23"/>
    </row>
    <row r="403" spans="2:18" x14ac:dyDescent="0.35">
      <c r="B403" s="22"/>
      <c r="F403" s="23"/>
      <c r="G403" s="23"/>
      <c r="H403" s="23"/>
      <c r="I403" s="23"/>
      <c r="J403" s="23"/>
      <c r="K403" s="23"/>
      <c r="L403" s="23"/>
      <c r="M403" s="23"/>
      <c r="N403" s="23"/>
      <c r="O403" s="23"/>
      <c r="P403" s="23"/>
      <c r="Q403" s="23"/>
      <c r="R403" s="23"/>
    </row>
    <row r="404" spans="2:18" x14ac:dyDescent="0.35">
      <c r="B404" s="22"/>
      <c r="F404" s="23"/>
      <c r="G404" s="23"/>
      <c r="H404" s="23"/>
      <c r="I404" s="23"/>
      <c r="J404" s="23"/>
      <c r="K404" s="23"/>
      <c r="L404" s="23"/>
      <c r="M404" s="23"/>
      <c r="N404" s="23"/>
      <c r="O404" s="23"/>
      <c r="P404" s="23"/>
      <c r="Q404" s="23"/>
      <c r="R404" s="23"/>
    </row>
    <row r="405" spans="2:18" x14ac:dyDescent="0.35">
      <c r="B405" s="22"/>
      <c r="F405" s="23"/>
      <c r="G405" s="23"/>
      <c r="H405" s="23"/>
      <c r="I405" s="23"/>
      <c r="J405" s="23"/>
      <c r="K405" s="23"/>
      <c r="L405" s="23"/>
      <c r="M405" s="23"/>
      <c r="N405" s="23"/>
      <c r="O405" s="23"/>
      <c r="P405" s="23"/>
      <c r="Q405" s="23"/>
      <c r="R405" s="23"/>
    </row>
    <row r="406" spans="2:18" x14ac:dyDescent="0.35">
      <c r="B406" s="22"/>
      <c r="F406" s="23"/>
      <c r="G406" s="23"/>
      <c r="H406" s="23"/>
      <c r="I406" s="23"/>
      <c r="J406" s="23"/>
      <c r="K406" s="23"/>
      <c r="L406" s="23"/>
      <c r="M406" s="23"/>
      <c r="N406" s="23"/>
      <c r="O406" s="23"/>
      <c r="P406" s="23"/>
      <c r="Q406" s="23"/>
      <c r="R406" s="23"/>
    </row>
    <row r="407" spans="2:18" x14ac:dyDescent="0.35">
      <c r="B407" s="22"/>
      <c r="F407" s="23"/>
      <c r="G407" s="23"/>
      <c r="H407" s="23"/>
      <c r="I407" s="23"/>
      <c r="J407" s="23"/>
      <c r="K407" s="23"/>
      <c r="L407" s="23"/>
      <c r="M407" s="23"/>
      <c r="N407" s="23"/>
      <c r="O407" s="23"/>
      <c r="P407" s="23"/>
      <c r="Q407" s="23"/>
      <c r="R407" s="23"/>
    </row>
    <row r="408" spans="2:18" x14ac:dyDescent="0.35">
      <c r="B408" s="22"/>
      <c r="F408" s="23"/>
      <c r="G408" s="23"/>
      <c r="H408" s="23"/>
      <c r="I408" s="23"/>
      <c r="J408" s="23"/>
      <c r="K408" s="23"/>
      <c r="L408" s="23"/>
      <c r="M408" s="23"/>
      <c r="N408" s="23"/>
      <c r="O408" s="23"/>
      <c r="P408" s="23"/>
      <c r="Q408" s="23"/>
      <c r="R408" s="23"/>
    </row>
    <row r="409" spans="2:18" x14ac:dyDescent="0.35">
      <c r="B409" s="22"/>
      <c r="F409" s="23"/>
      <c r="G409" s="23"/>
      <c r="H409" s="23"/>
      <c r="I409" s="23"/>
      <c r="J409" s="23"/>
      <c r="K409" s="23"/>
      <c r="L409" s="23"/>
      <c r="M409" s="23"/>
      <c r="N409" s="23"/>
      <c r="O409" s="23"/>
      <c r="P409" s="23"/>
      <c r="Q409" s="23"/>
      <c r="R409" s="23"/>
    </row>
    <row r="410" spans="2:18" x14ac:dyDescent="0.35">
      <c r="B410" s="22"/>
      <c r="F410" s="23"/>
      <c r="G410" s="23"/>
      <c r="H410" s="23"/>
      <c r="I410" s="23"/>
      <c r="J410" s="23"/>
      <c r="K410" s="23"/>
      <c r="L410" s="23"/>
      <c r="M410" s="23"/>
      <c r="N410" s="23"/>
      <c r="O410" s="23"/>
      <c r="P410" s="23"/>
      <c r="Q410" s="23"/>
      <c r="R410" s="23"/>
    </row>
    <row r="411" spans="2:18" x14ac:dyDescent="0.35">
      <c r="B411" s="22"/>
      <c r="F411" s="23"/>
      <c r="G411" s="23"/>
      <c r="H411" s="23"/>
      <c r="I411" s="23"/>
      <c r="J411" s="23"/>
      <c r="K411" s="23"/>
      <c r="L411" s="23"/>
      <c r="M411" s="23"/>
      <c r="N411" s="23"/>
      <c r="O411" s="23"/>
      <c r="P411" s="23"/>
      <c r="Q411" s="23"/>
      <c r="R411" s="23"/>
    </row>
    <row r="412" spans="2:18" x14ac:dyDescent="0.35">
      <c r="B412" s="22"/>
      <c r="F412" s="23"/>
      <c r="G412" s="23"/>
      <c r="H412" s="23"/>
      <c r="I412" s="23"/>
      <c r="J412" s="23"/>
      <c r="K412" s="23"/>
      <c r="L412" s="23"/>
      <c r="M412" s="23"/>
      <c r="N412" s="23"/>
      <c r="O412" s="23"/>
      <c r="P412" s="23"/>
      <c r="Q412" s="23"/>
      <c r="R412" s="23"/>
    </row>
    <row r="413" spans="2:18" x14ac:dyDescent="0.35">
      <c r="B413" s="22"/>
      <c r="F413" s="23"/>
      <c r="G413" s="23"/>
      <c r="H413" s="23"/>
      <c r="I413" s="23"/>
      <c r="J413" s="23"/>
      <c r="K413" s="23"/>
      <c r="L413" s="23"/>
      <c r="M413" s="23"/>
      <c r="N413" s="23"/>
      <c r="O413" s="23"/>
      <c r="P413" s="23"/>
      <c r="Q413" s="23"/>
      <c r="R413" s="23"/>
    </row>
    <row r="414" spans="2:18" x14ac:dyDescent="0.35">
      <c r="B414" s="22"/>
      <c r="F414" s="23"/>
      <c r="G414" s="23"/>
      <c r="H414" s="23"/>
      <c r="I414" s="23"/>
      <c r="J414" s="23"/>
      <c r="K414" s="23"/>
      <c r="L414" s="23"/>
      <c r="M414" s="23"/>
      <c r="N414" s="23"/>
      <c r="O414" s="23"/>
      <c r="P414" s="23"/>
      <c r="Q414" s="23"/>
      <c r="R414" s="23"/>
    </row>
    <row r="415" spans="2:18" x14ac:dyDescent="0.35">
      <c r="B415" s="22"/>
      <c r="F415" s="23"/>
      <c r="G415" s="23"/>
      <c r="H415" s="23"/>
      <c r="I415" s="23"/>
      <c r="J415" s="23"/>
      <c r="K415" s="23"/>
      <c r="L415" s="23"/>
      <c r="M415" s="23"/>
      <c r="N415" s="23"/>
      <c r="O415" s="23"/>
      <c r="P415" s="23"/>
      <c r="Q415" s="23"/>
      <c r="R415" s="23"/>
    </row>
    <row r="416" spans="2:18" x14ac:dyDescent="0.35">
      <c r="B416" s="22"/>
      <c r="F416" s="23"/>
      <c r="G416" s="23"/>
      <c r="H416" s="23"/>
      <c r="I416" s="23"/>
      <c r="J416" s="23"/>
      <c r="K416" s="23"/>
      <c r="L416" s="23"/>
      <c r="M416" s="23"/>
      <c r="N416" s="23"/>
      <c r="O416" s="23"/>
      <c r="P416" s="23"/>
      <c r="Q416" s="23"/>
      <c r="R416" s="23"/>
    </row>
    <row r="417" spans="2:18" x14ac:dyDescent="0.35">
      <c r="B417" s="22"/>
      <c r="F417" s="23"/>
      <c r="G417" s="23"/>
      <c r="H417" s="23"/>
      <c r="I417" s="23"/>
      <c r="J417" s="23"/>
      <c r="K417" s="23"/>
      <c r="L417" s="23"/>
      <c r="M417" s="23"/>
      <c r="N417" s="23"/>
      <c r="O417" s="23"/>
      <c r="P417" s="23"/>
      <c r="Q417" s="23"/>
      <c r="R417" s="23"/>
    </row>
    <row r="418" spans="2:18" x14ac:dyDescent="0.35">
      <c r="B418" s="22"/>
      <c r="F418" s="23"/>
      <c r="G418" s="23"/>
      <c r="H418" s="23"/>
      <c r="I418" s="23"/>
      <c r="J418" s="23"/>
      <c r="K418" s="23"/>
      <c r="L418" s="23"/>
      <c r="M418" s="23"/>
      <c r="N418" s="23"/>
      <c r="O418" s="23"/>
      <c r="P418" s="23"/>
      <c r="Q418" s="23"/>
      <c r="R418" s="23"/>
    </row>
    <row r="419" spans="2:18" x14ac:dyDescent="0.35">
      <c r="B419" s="22"/>
      <c r="F419" s="23"/>
      <c r="G419" s="23"/>
      <c r="H419" s="23"/>
      <c r="I419" s="23"/>
      <c r="J419" s="23"/>
      <c r="K419" s="23"/>
      <c r="L419" s="23"/>
      <c r="M419" s="23"/>
      <c r="N419" s="23"/>
      <c r="O419" s="23"/>
      <c r="P419" s="23"/>
      <c r="Q419" s="23"/>
      <c r="R419" s="23"/>
    </row>
    <row r="420" spans="2:18" x14ac:dyDescent="0.35">
      <c r="B420" s="22"/>
      <c r="F420" s="23"/>
      <c r="G420" s="23"/>
      <c r="H420" s="23"/>
      <c r="I420" s="23"/>
      <c r="J420" s="23"/>
      <c r="K420" s="23"/>
      <c r="L420" s="23"/>
      <c r="M420" s="23"/>
      <c r="N420" s="23"/>
      <c r="O420" s="23"/>
      <c r="P420" s="23"/>
      <c r="Q420" s="23"/>
      <c r="R420" s="23"/>
    </row>
    <row r="421" spans="2:18" x14ac:dyDescent="0.35">
      <c r="B421" s="22"/>
      <c r="F421" s="23"/>
      <c r="G421" s="23"/>
      <c r="H421" s="23"/>
      <c r="I421" s="23"/>
      <c r="J421" s="23"/>
      <c r="K421" s="23"/>
      <c r="L421" s="23"/>
      <c r="M421" s="23"/>
      <c r="N421" s="23"/>
      <c r="O421" s="23"/>
      <c r="P421" s="23"/>
      <c r="Q421" s="23"/>
      <c r="R421" s="23"/>
    </row>
    <row r="422" spans="2:18" x14ac:dyDescent="0.35">
      <c r="B422" s="22"/>
      <c r="F422" s="23"/>
      <c r="G422" s="23"/>
      <c r="H422" s="23"/>
      <c r="I422" s="23"/>
      <c r="J422" s="23"/>
      <c r="K422" s="23"/>
      <c r="L422" s="23"/>
      <c r="M422" s="23"/>
      <c r="N422" s="23"/>
      <c r="O422" s="23"/>
      <c r="P422" s="23"/>
      <c r="Q422" s="23"/>
      <c r="R422" s="23"/>
    </row>
    <row r="423" spans="2:18" x14ac:dyDescent="0.35">
      <c r="B423" s="22"/>
      <c r="F423" s="23"/>
      <c r="G423" s="23"/>
      <c r="H423" s="23"/>
      <c r="I423" s="23"/>
      <c r="J423" s="23"/>
      <c r="K423" s="23"/>
      <c r="L423" s="23"/>
      <c r="M423" s="23"/>
      <c r="N423" s="23"/>
      <c r="O423" s="23"/>
      <c r="P423" s="23"/>
      <c r="Q423" s="23"/>
      <c r="R423" s="23"/>
    </row>
    <row r="424" spans="2:18" x14ac:dyDescent="0.35">
      <c r="B424" s="22"/>
      <c r="F424" s="23"/>
      <c r="G424" s="23"/>
      <c r="H424" s="23"/>
      <c r="I424" s="23"/>
      <c r="J424" s="23"/>
      <c r="K424" s="23"/>
      <c r="L424" s="23"/>
      <c r="M424" s="23"/>
      <c r="N424" s="23"/>
      <c r="O424" s="23"/>
      <c r="P424" s="23"/>
      <c r="Q424" s="23"/>
      <c r="R424" s="23"/>
    </row>
    <row r="425" spans="2:18" x14ac:dyDescent="0.35">
      <c r="B425" s="22"/>
      <c r="F425" s="23"/>
      <c r="G425" s="23"/>
      <c r="H425" s="23"/>
      <c r="I425" s="23"/>
      <c r="J425" s="23"/>
      <c r="K425" s="23"/>
      <c r="L425" s="23"/>
      <c r="M425" s="23"/>
      <c r="N425" s="23"/>
      <c r="O425" s="23"/>
      <c r="P425" s="23"/>
      <c r="Q425" s="23"/>
      <c r="R425" s="23"/>
    </row>
    <row r="426" spans="2:18" x14ac:dyDescent="0.35">
      <c r="B426" s="22"/>
      <c r="F426" s="23"/>
      <c r="G426" s="23"/>
      <c r="H426" s="23"/>
      <c r="I426" s="23"/>
      <c r="J426" s="23"/>
      <c r="K426" s="23"/>
      <c r="L426" s="23"/>
      <c r="M426" s="23"/>
      <c r="N426" s="23"/>
      <c r="O426" s="23"/>
      <c r="P426" s="23"/>
      <c r="Q426" s="23"/>
      <c r="R426" s="23"/>
    </row>
    <row r="427" spans="2:18" x14ac:dyDescent="0.35">
      <c r="B427" s="22"/>
      <c r="F427" s="23"/>
      <c r="G427" s="23"/>
      <c r="H427" s="23"/>
      <c r="I427" s="23"/>
      <c r="J427" s="23"/>
      <c r="K427" s="23"/>
      <c r="L427" s="23"/>
      <c r="M427" s="23"/>
      <c r="N427" s="23"/>
      <c r="O427" s="23"/>
      <c r="P427" s="23"/>
      <c r="Q427" s="23"/>
      <c r="R427" s="23"/>
    </row>
    <row r="428" spans="2:18" x14ac:dyDescent="0.35">
      <c r="B428" s="22"/>
      <c r="F428" s="23"/>
      <c r="G428" s="23"/>
      <c r="H428" s="23"/>
      <c r="I428" s="23"/>
      <c r="J428" s="23"/>
      <c r="K428" s="23"/>
      <c r="L428" s="23"/>
      <c r="M428" s="23"/>
      <c r="N428" s="23"/>
      <c r="O428" s="23"/>
      <c r="P428" s="23"/>
      <c r="Q428" s="23"/>
      <c r="R428" s="23"/>
    </row>
    <row r="429" spans="2:18" x14ac:dyDescent="0.35">
      <c r="B429" s="22"/>
      <c r="F429" s="23"/>
      <c r="G429" s="23"/>
      <c r="H429" s="23"/>
      <c r="I429" s="23"/>
      <c r="J429" s="23"/>
      <c r="K429" s="23"/>
      <c r="L429" s="23"/>
      <c r="M429" s="23"/>
      <c r="N429" s="23"/>
      <c r="O429" s="23"/>
      <c r="P429" s="23"/>
      <c r="Q429" s="23"/>
      <c r="R429" s="23"/>
    </row>
    <row r="430" spans="2:18" x14ac:dyDescent="0.35">
      <c r="B430" s="22"/>
      <c r="F430" s="23"/>
      <c r="G430" s="23"/>
      <c r="H430" s="23"/>
      <c r="I430" s="23"/>
      <c r="J430" s="23"/>
      <c r="K430" s="23"/>
      <c r="L430" s="23"/>
      <c r="M430" s="23"/>
      <c r="N430" s="23"/>
      <c r="O430" s="23"/>
      <c r="P430" s="23"/>
      <c r="Q430" s="23"/>
      <c r="R430" s="23"/>
    </row>
    <row r="431" spans="2:18" x14ac:dyDescent="0.35">
      <c r="B431" s="22"/>
      <c r="F431" s="23"/>
      <c r="G431" s="23"/>
      <c r="H431" s="23"/>
      <c r="I431" s="23"/>
      <c r="J431" s="23"/>
      <c r="K431" s="23"/>
      <c r="L431" s="23"/>
      <c r="M431" s="23"/>
      <c r="N431" s="23"/>
      <c r="O431" s="23"/>
      <c r="P431" s="23"/>
      <c r="Q431" s="23"/>
      <c r="R431" s="23"/>
    </row>
    <row r="432" spans="2:18" x14ac:dyDescent="0.35">
      <c r="B432" s="22"/>
      <c r="F432" s="23"/>
      <c r="G432" s="23"/>
      <c r="H432" s="23"/>
      <c r="I432" s="23"/>
      <c r="J432" s="23"/>
      <c r="K432" s="23"/>
      <c r="L432" s="23"/>
      <c r="M432" s="23"/>
      <c r="N432" s="23"/>
      <c r="O432" s="23"/>
      <c r="P432" s="23"/>
      <c r="Q432" s="23"/>
      <c r="R432" s="23"/>
    </row>
    <row r="433" spans="2:18" x14ac:dyDescent="0.35">
      <c r="B433" s="22"/>
      <c r="F433" s="23"/>
      <c r="G433" s="23"/>
      <c r="H433" s="23"/>
      <c r="I433" s="23"/>
      <c r="J433" s="23"/>
      <c r="K433" s="23"/>
      <c r="L433" s="23"/>
      <c r="M433" s="23"/>
      <c r="N433" s="23"/>
      <c r="O433" s="23"/>
      <c r="P433" s="23"/>
      <c r="Q433" s="23"/>
      <c r="R433" s="23"/>
    </row>
    <row r="434" spans="2:18" x14ac:dyDescent="0.35">
      <c r="B434" s="22"/>
      <c r="F434" s="23"/>
      <c r="G434" s="23"/>
      <c r="H434" s="23"/>
      <c r="I434" s="23"/>
      <c r="J434" s="23"/>
      <c r="K434" s="23"/>
      <c r="L434" s="23"/>
      <c r="M434" s="23"/>
      <c r="N434" s="23"/>
      <c r="O434" s="23"/>
      <c r="P434" s="23"/>
      <c r="Q434" s="23"/>
      <c r="R434" s="23"/>
    </row>
    <row r="435" spans="2:18" x14ac:dyDescent="0.35">
      <c r="B435" s="22"/>
      <c r="F435" s="23"/>
      <c r="G435" s="23"/>
      <c r="H435" s="23"/>
      <c r="I435" s="23"/>
      <c r="J435" s="23"/>
      <c r="K435" s="23"/>
      <c r="L435" s="23"/>
      <c r="M435" s="23"/>
      <c r="N435" s="23"/>
      <c r="O435" s="23"/>
      <c r="P435" s="23"/>
      <c r="Q435" s="23"/>
      <c r="R435" s="23"/>
    </row>
    <row r="436" spans="2:18" x14ac:dyDescent="0.35">
      <c r="B436" s="22"/>
      <c r="F436" s="23"/>
      <c r="G436" s="23"/>
      <c r="H436" s="23"/>
      <c r="I436" s="23"/>
      <c r="J436" s="23"/>
      <c r="K436" s="23"/>
      <c r="L436" s="23"/>
      <c r="M436" s="23"/>
      <c r="N436" s="23"/>
      <c r="O436" s="23"/>
      <c r="P436" s="23"/>
      <c r="Q436" s="23"/>
      <c r="R436" s="23"/>
    </row>
    <row r="437" spans="2:18" x14ac:dyDescent="0.35">
      <c r="B437" s="22"/>
      <c r="F437" s="23"/>
      <c r="G437" s="23"/>
      <c r="H437" s="23"/>
      <c r="I437" s="23"/>
      <c r="J437" s="23"/>
      <c r="K437" s="23"/>
      <c r="L437" s="23"/>
      <c r="M437" s="23"/>
      <c r="N437" s="23"/>
      <c r="O437" s="23"/>
      <c r="P437" s="23"/>
      <c r="Q437" s="23"/>
      <c r="R437" s="23"/>
    </row>
    <row r="438" spans="2:18" x14ac:dyDescent="0.35">
      <c r="B438" s="22"/>
      <c r="F438" s="23"/>
      <c r="G438" s="23"/>
      <c r="H438" s="23"/>
      <c r="I438" s="23"/>
      <c r="J438" s="23"/>
      <c r="K438" s="23"/>
      <c r="L438" s="23"/>
      <c r="M438" s="23"/>
      <c r="N438" s="23"/>
      <c r="O438" s="23"/>
      <c r="P438" s="23"/>
      <c r="Q438" s="23"/>
      <c r="R438" s="23"/>
    </row>
    <row r="439" spans="2:18" x14ac:dyDescent="0.35">
      <c r="B439" s="22"/>
      <c r="F439" s="23"/>
      <c r="G439" s="23"/>
      <c r="H439" s="23"/>
      <c r="I439" s="23"/>
      <c r="J439" s="23"/>
      <c r="K439" s="23"/>
      <c r="L439" s="23"/>
      <c r="M439" s="23"/>
      <c r="N439" s="23"/>
      <c r="O439" s="23"/>
      <c r="P439" s="23"/>
      <c r="Q439" s="23"/>
      <c r="R439" s="23"/>
    </row>
    <row r="440" spans="2:18" x14ac:dyDescent="0.35">
      <c r="B440" s="22"/>
      <c r="F440" s="23"/>
      <c r="G440" s="23"/>
      <c r="H440" s="23"/>
      <c r="I440" s="23"/>
      <c r="J440" s="23"/>
      <c r="K440" s="23"/>
      <c r="L440" s="23"/>
      <c r="M440" s="23"/>
      <c r="N440" s="23"/>
      <c r="O440" s="23"/>
      <c r="P440" s="23"/>
      <c r="Q440" s="23"/>
      <c r="R440" s="23"/>
    </row>
    <row r="441" spans="2:18" x14ac:dyDescent="0.35">
      <c r="B441" s="22"/>
      <c r="F441" s="23"/>
      <c r="G441" s="23"/>
      <c r="H441" s="23"/>
      <c r="I441" s="23"/>
      <c r="J441" s="23"/>
      <c r="K441" s="23"/>
      <c r="L441" s="23"/>
      <c r="M441" s="23"/>
      <c r="N441" s="23"/>
      <c r="O441" s="23"/>
      <c r="P441" s="23"/>
      <c r="Q441" s="23"/>
      <c r="R441" s="23"/>
    </row>
    <row r="442" spans="2:18" x14ac:dyDescent="0.35">
      <c r="B442" s="22"/>
      <c r="F442" s="23"/>
      <c r="G442" s="23"/>
      <c r="H442" s="23"/>
      <c r="I442" s="23"/>
      <c r="J442" s="23"/>
      <c r="K442" s="23"/>
      <c r="L442" s="23"/>
      <c r="M442" s="23"/>
      <c r="N442" s="23"/>
      <c r="O442" s="23"/>
      <c r="P442" s="23"/>
      <c r="Q442" s="23"/>
      <c r="R442" s="23"/>
    </row>
    <row r="443" spans="2:18" x14ac:dyDescent="0.35">
      <c r="B443" s="22"/>
      <c r="F443" s="23"/>
      <c r="G443" s="23"/>
      <c r="H443" s="23"/>
      <c r="I443" s="23"/>
      <c r="J443" s="23"/>
      <c r="K443" s="23"/>
      <c r="L443" s="23"/>
      <c r="M443" s="23"/>
      <c r="N443" s="23"/>
      <c r="O443" s="23"/>
      <c r="P443" s="23"/>
      <c r="Q443" s="23"/>
      <c r="R443" s="23"/>
    </row>
    <row r="444" spans="2:18" x14ac:dyDescent="0.35">
      <c r="B444" s="22"/>
      <c r="F444" s="23"/>
      <c r="G444" s="23"/>
      <c r="H444" s="23"/>
      <c r="I444" s="23"/>
      <c r="J444" s="23"/>
      <c r="K444" s="23"/>
      <c r="L444" s="23"/>
      <c r="M444" s="23"/>
      <c r="N444" s="23"/>
      <c r="O444" s="23"/>
      <c r="P444" s="23"/>
      <c r="Q444" s="23"/>
      <c r="R444" s="23"/>
    </row>
    <row r="445" spans="2:18" x14ac:dyDescent="0.35">
      <c r="B445" s="22"/>
      <c r="F445" s="23"/>
      <c r="G445" s="23"/>
      <c r="H445" s="23"/>
      <c r="I445" s="23"/>
      <c r="J445" s="23"/>
      <c r="K445" s="23"/>
      <c r="L445" s="23"/>
      <c r="M445" s="23"/>
      <c r="N445" s="23"/>
      <c r="O445" s="23"/>
      <c r="P445" s="23"/>
      <c r="Q445" s="23"/>
      <c r="R445" s="23"/>
    </row>
    <row r="446" spans="2:18" x14ac:dyDescent="0.35">
      <c r="B446" s="22"/>
      <c r="F446" s="23"/>
      <c r="G446" s="23"/>
      <c r="H446" s="23"/>
      <c r="I446" s="23"/>
      <c r="J446" s="23"/>
      <c r="K446" s="23"/>
      <c r="L446" s="23"/>
      <c r="M446" s="23"/>
      <c r="N446" s="23"/>
      <c r="O446" s="23"/>
      <c r="P446" s="23"/>
      <c r="Q446" s="23"/>
      <c r="R446" s="23"/>
    </row>
    <row r="447" spans="2:18" x14ac:dyDescent="0.35">
      <c r="B447" s="22"/>
      <c r="F447" s="23"/>
      <c r="G447" s="23"/>
      <c r="H447" s="23"/>
      <c r="I447" s="23"/>
      <c r="J447" s="23"/>
      <c r="K447" s="23"/>
      <c r="L447" s="23"/>
      <c r="M447" s="23"/>
      <c r="N447" s="23"/>
      <c r="O447" s="23"/>
      <c r="P447" s="23"/>
      <c r="Q447" s="23"/>
      <c r="R447" s="23"/>
    </row>
    <row r="448" spans="2:18" x14ac:dyDescent="0.35">
      <c r="B448" s="22"/>
      <c r="F448" s="23"/>
      <c r="G448" s="23"/>
      <c r="H448" s="23"/>
      <c r="I448" s="23"/>
      <c r="J448" s="23"/>
      <c r="K448" s="23"/>
      <c r="L448" s="23"/>
      <c r="M448" s="23"/>
      <c r="N448" s="23"/>
      <c r="O448" s="23"/>
      <c r="P448" s="23"/>
      <c r="Q448" s="23"/>
      <c r="R448" s="23"/>
    </row>
    <row r="449" spans="2:18" x14ac:dyDescent="0.35">
      <c r="B449" s="22"/>
      <c r="F449" s="23"/>
      <c r="G449" s="23"/>
      <c r="H449" s="23"/>
      <c r="I449" s="23"/>
      <c r="J449" s="23"/>
      <c r="K449" s="23"/>
      <c r="L449" s="23"/>
      <c r="M449" s="23"/>
      <c r="N449" s="23"/>
      <c r="O449" s="23"/>
      <c r="P449" s="23"/>
      <c r="Q449" s="23"/>
      <c r="R449" s="23"/>
    </row>
    <row r="450" spans="2:18" x14ac:dyDescent="0.35">
      <c r="B450" s="22"/>
      <c r="F450" s="23"/>
      <c r="G450" s="23"/>
      <c r="H450" s="23"/>
      <c r="I450" s="23"/>
      <c r="J450" s="23"/>
      <c r="K450" s="23"/>
      <c r="L450" s="23"/>
      <c r="M450" s="23"/>
      <c r="N450" s="23"/>
      <c r="O450" s="23"/>
      <c r="P450" s="23"/>
      <c r="Q450" s="23"/>
      <c r="R450" s="23"/>
    </row>
    <row r="451" spans="2:18" x14ac:dyDescent="0.35">
      <c r="B451" s="22"/>
      <c r="F451" s="23"/>
      <c r="G451" s="23"/>
      <c r="H451" s="23"/>
      <c r="I451" s="23"/>
      <c r="J451" s="23"/>
      <c r="K451" s="23"/>
      <c r="L451" s="23"/>
      <c r="M451" s="23"/>
      <c r="N451" s="23"/>
      <c r="O451" s="23"/>
      <c r="P451" s="23"/>
      <c r="Q451" s="23"/>
      <c r="R451" s="23"/>
    </row>
    <row r="452" spans="2:18" x14ac:dyDescent="0.35">
      <c r="B452" s="22"/>
      <c r="F452" s="23"/>
      <c r="G452" s="23"/>
      <c r="H452" s="23"/>
      <c r="I452" s="23"/>
      <c r="J452" s="23"/>
      <c r="K452" s="23"/>
      <c r="L452" s="23"/>
      <c r="M452" s="23"/>
      <c r="N452" s="23"/>
      <c r="O452" s="23"/>
      <c r="P452" s="23"/>
      <c r="Q452" s="23"/>
      <c r="R452" s="23"/>
    </row>
    <row r="453" spans="2:18" x14ac:dyDescent="0.35">
      <c r="B453" s="22"/>
      <c r="F453" s="23"/>
      <c r="G453" s="23"/>
      <c r="H453" s="23"/>
      <c r="I453" s="23"/>
      <c r="J453" s="23"/>
      <c r="K453" s="23"/>
      <c r="L453" s="23"/>
      <c r="M453" s="23"/>
      <c r="N453" s="23"/>
      <c r="O453" s="23"/>
      <c r="P453" s="23"/>
      <c r="Q453" s="23"/>
      <c r="R453" s="23"/>
    </row>
    <row r="454" spans="2:18" x14ac:dyDescent="0.35">
      <c r="B454" s="22"/>
      <c r="F454" s="23"/>
      <c r="G454" s="23"/>
      <c r="H454" s="23"/>
      <c r="I454" s="23"/>
      <c r="J454" s="23"/>
      <c r="K454" s="23"/>
      <c r="L454" s="23"/>
      <c r="M454" s="23"/>
      <c r="N454" s="23"/>
      <c r="O454" s="23"/>
      <c r="P454" s="23"/>
      <c r="Q454" s="23"/>
      <c r="R454" s="23"/>
    </row>
    <row r="455" spans="2:18" x14ac:dyDescent="0.35">
      <c r="B455" s="22"/>
      <c r="F455" s="23"/>
      <c r="G455" s="23"/>
      <c r="H455" s="23"/>
      <c r="I455" s="23"/>
      <c r="J455" s="23"/>
      <c r="K455" s="23"/>
      <c r="L455" s="23"/>
      <c r="M455" s="23"/>
      <c r="N455" s="23"/>
      <c r="O455" s="23"/>
      <c r="P455" s="23"/>
      <c r="Q455" s="23"/>
      <c r="R455" s="23"/>
    </row>
    <row r="456" spans="2:18" x14ac:dyDescent="0.35">
      <c r="B456" s="22"/>
      <c r="F456" s="23"/>
      <c r="G456" s="23"/>
      <c r="H456" s="23"/>
      <c r="I456" s="23"/>
      <c r="J456" s="23"/>
      <c r="K456" s="23"/>
      <c r="L456" s="23"/>
      <c r="M456" s="23"/>
      <c r="N456" s="23"/>
      <c r="O456" s="23"/>
      <c r="P456" s="23"/>
      <c r="Q456" s="23"/>
      <c r="R456" s="23"/>
    </row>
    <row r="457" spans="2:18" x14ac:dyDescent="0.35">
      <c r="B457" s="22"/>
      <c r="F457" s="23"/>
      <c r="G457" s="23"/>
      <c r="H457" s="23"/>
      <c r="I457" s="23"/>
      <c r="J457" s="23"/>
      <c r="K457" s="23"/>
      <c r="L457" s="23"/>
      <c r="M457" s="23"/>
      <c r="N457" s="23"/>
      <c r="O457" s="23"/>
      <c r="P457" s="23"/>
      <c r="Q457" s="23"/>
      <c r="R457" s="23"/>
    </row>
    <row r="458" spans="2:18" x14ac:dyDescent="0.35">
      <c r="B458" s="22"/>
      <c r="F458" s="23"/>
      <c r="G458" s="23"/>
      <c r="H458" s="23"/>
      <c r="I458" s="23"/>
      <c r="J458" s="23"/>
      <c r="K458" s="23"/>
      <c r="L458" s="23"/>
      <c r="M458" s="23"/>
      <c r="N458" s="23"/>
      <c r="O458" s="23"/>
      <c r="P458" s="23"/>
      <c r="Q458" s="23"/>
      <c r="R458" s="23"/>
    </row>
    <row r="459" spans="2:18" x14ac:dyDescent="0.35">
      <c r="B459" s="22"/>
      <c r="F459" s="23"/>
      <c r="G459" s="23"/>
      <c r="H459" s="23"/>
      <c r="I459" s="23"/>
      <c r="J459" s="23"/>
      <c r="K459" s="23"/>
      <c r="L459" s="23"/>
      <c r="M459" s="23"/>
      <c r="N459" s="23"/>
      <c r="O459" s="23"/>
      <c r="P459" s="23"/>
      <c r="Q459" s="23"/>
      <c r="R459" s="23"/>
    </row>
    <row r="460" spans="2:18" x14ac:dyDescent="0.35">
      <c r="B460" s="22"/>
      <c r="F460" s="23"/>
      <c r="G460" s="23"/>
      <c r="H460" s="23"/>
      <c r="I460" s="23"/>
      <c r="J460" s="23"/>
      <c r="K460" s="23"/>
      <c r="L460" s="23"/>
      <c r="M460" s="23"/>
      <c r="N460" s="23"/>
      <c r="O460" s="23"/>
      <c r="P460" s="23"/>
      <c r="Q460" s="23"/>
      <c r="R460" s="23"/>
    </row>
    <row r="461" spans="2:18" x14ac:dyDescent="0.35">
      <c r="B461" s="22"/>
      <c r="F461" s="23"/>
      <c r="G461" s="23"/>
      <c r="H461" s="23"/>
      <c r="I461" s="23"/>
      <c r="J461" s="23"/>
      <c r="K461" s="23"/>
      <c r="L461" s="23"/>
      <c r="M461" s="23"/>
      <c r="N461" s="23"/>
      <c r="O461" s="23"/>
      <c r="P461" s="23"/>
      <c r="Q461" s="23"/>
      <c r="R461" s="23"/>
    </row>
    <row r="462" spans="2:18" x14ac:dyDescent="0.35">
      <c r="B462" s="22"/>
      <c r="F462" s="23"/>
      <c r="G462" s="23"/>
      <c r="H462" s="23"/>
      <c r="I462" s="23"/>
      <c r="J462" s="23"/>
      <c r="K462" s="23"/>
      <c r="L462" s="23"/>
      <c r="M462" s="23"/>
      <c r="N462" s="23"/>
      <c r="O462" s="23"/>
      <c r="P462" s="23"/>
      <c r="Q462" s="23"/>
      <c r="R462" s="23"/>
    </row>
    <row r="463" spans="2:18" x14ac:dyDescent="0.35">
      <c r="B463" s="22"/>
      <c r="F463" s="23"/>
      <c r="G463" s="23"/>
      <c r="H463" s="23"/>
      <c r="I463" s="23"/>
      <c r="J463" s="23"/>
      <c r="K463" s="23"/>
      <c r="L463" s="23"/>
      <c r="M463" s="23"/>
      <c r="N463" s="23"/>
      <c r="O463" s="23"/>
      <c r="P463" s="23"/>
      <c r="Q463" s="23"/>
      <c r="R463" s="23"/>
    </row>
    <row r="464" spans="2:18" x14ac:dyDescent="0.35">
      <c r="B464" s="22"/>
      <c r="F464" s="23"/>
      <c r="G464" s="23"/>
      <c r="H464" s="23"/>
      <c r="I464" s="23"/>
      <c r="J464" s="23"/>
      <c r="K464" s="23"/>
      <c r="L464" s="23"/>
      <c r="M464" s="23"/>
      <c r="N464" s="23"/>
      <c r="O464" s="23"/>
      <c r="P464" s="23"/>
      <c r="Q464" s="23"/>
      <c r="R464" s="23"/>
    </row>
    <row r="465" spans="2:18" x14ac:dyDescent="0.35">
      <c r="B465" s="22"/>
      <c r="F465" s="23"/>
      <c r="G465" s="23"/>
      <c r="H465" s="23"/>
      <c r="I465" s="23"/>
      <c r="J465" s="23"/>
      <c r="K465" s="23"/>
      <c r="L465" s="23"/>
      <c r="M465" s="23"/>
      <c r="N465" s="23"/>
      <c r="O465" s="23"/>
      <c r="P465" s="23"/>
      <c r="Q465" s="23"/>
      <c r="R465" s="23"/>
    </row>
    <row r="466" spans="2:18" x14ac:dyDescent="0.35">
      <c r="B466" s="22"/>
      <c r="F466" s="23"/>
      <c r="G466" s="23"/>
      <c r="H466" s="23"/>
      <c r="I466" s="23"/>
      <c r="J466" s="23"/>
      <c r="K466" s="23"/>
      <c r="L466" s="23"/>
      <c r="M466" s="23"/>
      <c r="N466" s="23"/>
      <c r="O466" s="23"/>
      <c r="P466" s="23"/>
      <c r="Q466" s="23"/>
      <c r="R466" s="23"/>
    </row>
    <row r="467" spans="2:18" x14ac:dyDescent="0.35">
      <c r="B467" s="22"/>
      <c r="F467" s="23"/>
      <c r="G467" s="23"/>
      <c r="H467" s="23"/>
      <c r="I467" s="23"/>
      <c r="J467" s="23"/>
      <c r="K467" s="23"/>
      <c r="L467" s="23"/>
      <c r="M467" s="23"/>
      <c r="N467" s="23"/>
      <c r="O467" s="23"/>
      <c r="P467" s="23"/>
      <c r="Q467" s="23"/>
      <c r="R467" s="23"/>
    </row>
    <row r="468" spans="2:18" x14ac:dyDescent="0.35">
      <c r="B468" s="22"/>
      <c r="F468" s="23"/>
      <c r="G468" s="23"/>
      <c r="H468" s="23"/>
      <c r="I468" s="23"/>
      <c r="J468" s="23"/>
      <c r="K468" s="23"/>
      <c r="L468" s="23"/>
      <c r="M468" s="23"/>
      <c r="N468" s="23"/>
      <c r="O468" s="23"/>
      <c r="P468" s="23"/>
      <c r="Q468" s="23"/>
      <c r="R468" s="23"/>
    </row>
    <row r="469" spans="2:18" x14ac:dyDescent="0.35">
      <c r="B469" s="22"/>
      <c r="F469" s="23"/>
      <c r="G469" s="23"/>
      <c r="H469" s="23"/>
      <c r="I469" s="23"/>
      <c r="J469" s="23"/>
      <c r="K469" s="23"/>
      <c r="L469" s="23"/>
      <c r="M469" s="23"/>
      <c r="N469" s="23"/>
      <c r="O469" s="23"/>
      <c r="P469" s="23"/>
      <c r="Q469" s="23"/>
      <c r="R469" s="23"/>
    </row>
    <row r="470" spans="2:18" x14ac:dyDescent="0.35">
      <c r="B470" s="22"/>
      <c r="F470" s="23"/>
      <c r="G470" s="23"/>
      <c r="H470" s="23"/>
      <c r="I470" s="23"/>
      <c r="J470" s="23"/>
      <c r="K470" s="23"/>
      <c r="L470" s="23"/>
      <c r="M470" s="23"/>
      <c r="N470" s="23"/>
      <c r="O470" s="23"/>
      <c r="P470" s="23"/>
      <c r="Q470" s="23"/>
      <c r="R470" s="23"/>
    </row>
    <row r="471" spans="2:18" x14ac:dyDescent="0.35">
      <c r="B471" s="22"/>
      <c r="F471" s="23"/>
      <c r="G471" s="23"/>
      <c r="H471" s="23"/>
      <c r="I471" s="23"/>
      <c r="J471" s="23"/>
      <c r="K471" s="23"/>
      <c r="L471" s="23"/>
      <c r="M471" s="23"/>
      <c r="N471" s="23"/>
      <c r="O471" s="23"/>
      <c r="P471" s="23"/>
      <c r="Q471" s="23"/>
      <c r="R471" s="23"/>
    </row>
    <row r="472" spans="2:18" x14ac:dyDescent="0.35">
      <c r="B472" s="22"/>
      <c r="F472" s="23"/>
      <c r="G472" s="23"/>
      <c r="H472" s="23"/>
      <c r="I472" s="23"/>
      <c r="J472" s="23"/>
      <c r="K472" s="23"/>
      <c r="L472" s="23"/>
      <c r="M472" s="23"/>
      <c r="N472" s="23"/>
      <c r="O472" s="23"/>
      <c r="P472" s="23"/>
      <c r="Q472" s="23"/>
      <c r="R472" s="23"/>
    </row>
    <row r="473" spans="2:18" x14ac:dyDescent="0.35">
      <c r="B473" s="22"/>
      <c r="F473" s="23"/>
      <c r="G473" s="23"/>
      <c r="H473" s="23"/>
      <c r="I473" s="23"/>
      <c r="J473" s="23"/>
      <c r="K473" s="23"/>
      <c r="L473" s="23"/>
      <c r="M473" s="23"/>
      <c r="N473" s="23"/>
      <c r="O473" s="23"/>
      <c r="P473" s="23"/>
      <c r="Q473" s="23"/>
      <c r="R473" s="23"/>
    </row>
    <row r="474" spans="2:18" x14ac:dyDescent="0.35">
      <c r="B474" s="22"/>
      <c r="F474" s="23"/>
      <c r="G474" s="23"/>
      <c r="H474" s="23"/>
      <c r="I474" s="23"/>
      <c r="J474" s="23"/>
      <c r="K474" s="23"/>
      <c r="L474" s="23"/>
      <c r="M474" s="23"/>
      <c r="N474" s="23"/>
      <c r="O474" s="23"/>
      <c r="P474" s="23"/>
      <c r="Q474" s="23"/>
      <c r="R474" s="23"/>
    </row>
    <row r="475" spans="2:18" x14ac:dyDescent="0.35">
      <c r="B475" s="22"/>
      <c r="F475" s="23"/>
      <c r="G475" s="23"/>
      <c r="H475" s="23"/>
      <c r="I475" s="23"/>
      <c r="J475" s="23"/>
      <c r="K475" s="23"/>
      <c r="L475" s="23"/>
      <c r="M475" s="23"/>
      <c r="N475" s="23"/>
      <c r="O475" s="23"/>
      <c r="P475" s="23"/>
      <c r="Q475" s="23"/>
      <c r="R475" s="23"/>
    </row>
    <row r="476" spans="2:18" x14ac:dyDescent="0.35">
      <c r="B476" s="22"/>
      <c r="F476" s="23"/>
      <c r="G476" s="23"/>
      <c r="H476" s="23"/>
      <c r="I476" s="23"/>
      <c r="J476" s="23"/>
      <c r="K476" s="23"/>
      <c r="L476" s="23"/>
      <c r="M476" s="23"/>
      <c r="N476" s="23"/>
      <c r="O476" s="23"/>
      <c r="P476" s="23"/>
      <c r="Q476" s="23"/>
      <c r="R476" s="23"/>
    </row>
    <row r="477" spans="2:18" x14ac:dyDescent="0.35">
      <c r="B477" s="22"/>
      <c r="F477" s="23"/>
      <c r="G477" s="23"/>
      <c r="H477" s="23"/>
      <c r="I477" s="23"/>
      <c r="J477" s="23"/>
      <c r="K477" s="23"/>
      <c r="L477" s="23"/>
      <c r="M477" s="23"/>
      <c r="N477" s="23"/>
      <c r="O477" s="23"/>
      <c r="P477" s="23"/>
      <c r="Q477" s="23"/>
      <c r="R477" s="23"/>
    </row>
    <row r="478" spans="2:18" x14ac:dyDescent="0.35">
      <c r="B478" s="22"/>
      <c r="F478" s="23"/>
      <c r="G478" s="23"/>
      <c r="H478" s="23"/>
      <c r="I478" s="23"/>
      <c r="J478" s="23"/>
      <c r="K478" s="23"/>
      <c r="L478" s="23"/>
      <c r="M478" s="23"/>
      <c r="N478" s="23"/>
      <c r="O478" s="23"/>
      <c r="P478" s="23"/>
      <c r="Q478" s="23"/>
      <c r="R478" s="23"/>
    </row>
    <row r="479" spans="2:18" x14ac:dyDescent="0.35">
      <c r="B479" s="22"/>
      <c r="F479" s="23"/>
      <c r="G479" s="23"/>
      <c r="H479" s="23"/>
      <c r="I479" s="23"/>
      <c r="J479" s="23"/>
      <c r="K479" s="23"/>
      <c r="L479" s="23"/>
      <c r="M479" s="23"/>
      <c r="N479" s="23"/>
      <c r="O479" s="23"/>
      <c r="P479" s="23"/>
      <c r="Q479" s="23"/>
      <c r="R479" s="23"/>
    </row>
    <row r="480" spans="2:18" x14ac:dyDescent="0.35">
      <c r="B480" s="22"/>
      <c r="F480" s="23"/>
      <c r="G480" s="23"/>
      <c r="H480" s="23"/>
      <c r="I480" s="23"/>
      <c r="J480" s="23"/>
      <c r="K480" s="23"/>
      <c r="L480" s="23"/>
      <c r="M480" s="23"/>
      <c r="N480" s="23"/>
      <c r="O480" s="23"/>
      <c r="P480" s="23"/>
      <c r="Q480" s="23"/>
      <c r="R480" s="23"/>
    </row>
    <row r="481" spans="2:18" x14ac:dyDescent="0.35">
      <c r="B481" s="22"/>
      <c r="F481" s="23"/>
      <c r="G481" s="23"/>
      <c r="H481" s="23"/>
      <c r="I481" s="23"/>
      <c r="J481" s="23"/>
      <c r="K481" s="23"/>
      <c r="L481" s="23"/>
      <c r="M481" s="23"/>
      <c r="N481" s="23"/>
      <c r="O481" s="23"/>
      <c r="P481" s="23"/>
      <c r="Q481" s="23"/>
      <c r="R481" s="23"/>
    </row>
    <row r="482" spans="2:18" x14ac:dyDescent="0.35">
      <c r="B482" s="22"/>
      <c r="F482" s="23"/>
      <c r="G482" s="23"/>
      <c r="H482" s="23"/>
      <c r="I482" s="23"/>
      <c r="J482" s="23"/>
      <c r="K482" s="23"/>
      <c r="L482" s="23"/>
      <c r="M482" s="23"/>
      <c r="N482" s="23"/>
      <c r="O482" s="23"/>
      <c r="P482" s="23"/>
      <c r="Q482" s="23"/>
      <c r="R482" s="23"/>
    </row>
    <row r="483" spans="2:18" x14ac:dyDescent="0.35">
      <c r="B483" s="22"/>
      <c r="F483" s="23"/>
      <c r="G483" s="23"/>
      <c r="H483" s="23"/>
      <c r="I483" s="23"/>
      <c r="J483" s="23"/>
      <c r="K483" s="23"/>
      <c r="L483" s="23"/>
      <c r="M483" s="23"/>
      <c r="N483" s="23"/>
      <c r="O483" s="23"/>
      <c r="P483" s="23"/>
      <c r="Q483" s="23"/>
      <c r="R483" s="23"/>
    </row>
    <row r="484" spans="2:18" x14ac:dyDescent="0.35">
      <c r="B484" s="22"/>
      <c r="F484" s="23"/>
      <c r="G484" s="23"/>
      <c r="H484" s="23"/>
      <c r="I484" s="23"/>
      <c r="J484" s="23"/>
      <c r="K484" s="23"/>
      <c r="L484" s="23"/>
      <c r="M484" s="23"/>
      <c r="N484" s="23"/>
      <c r="O484" s="23"/>
      <c r="P484" s="23"/>
      <c r="Q484" s="23"/>
      <c r="R484" s="23"/>
    </row>
    <row r="485" spans="2:18" x14ac:dyDescent="0.35">
      <c r="B485" s="22"/>
      <c r="F485" s="23"/>
      <c r="G485" s="23"/>
      <c r="H485" s="23"/>
      <c r="I485" s="23"/>
      <c r="J485" s="23"/>
      <c r="K485" s="23"/>
      <c r="L485" s="23"/>
      <c r="M485" s="23"/>
      <c r="N485" s="23"/>
      <c r="O485" s="23"/>
      <c r="P485" s="23"/>
      <c r="Q485" s="23"/>
      <c r="R485" s="23"/>
    </row>
    <row r="486" spans="2:18" x14ac:dyDescent="0.35">
      <c r="B486" s="22"/>
      <c r="F486" s="23"/>
      <c r="G486" s="23"/>
      <c r="H486" s="23"/>
      <c r="I486" s="23"/>
      <c r="J486" s="23"/>
      <c r="K486" s="23"/>
      <c r="L486" s="23"/>
      <c r="M486" s="23"/>
      <c r="N486" s="23"/>
      <c r="O486" s="23"/>
      <c r="P486" s="23"/>
      <c r="Q486" s="23"/>
      <c r="R486" s="23"/>
    </row>
    <row r="487" spans="2:18" x14ac:dyDescent="0.35">
      <c r="B487" s="22"/>
      <c r="F487" s="23"/>
      <c r="G487" s="23"/>
      <c r="H487" s="23"/>
      <c r="I487" s="23"/>
      <c r="J487" s="23"/>
      <c r="K487" s="23"/>
      <c r="L487" s="23"/>
      <c r="M487" s="23"/>
      <c r="N487" s="23"/>
      <c r="O487" s="23"/>
      <c r="P487" s="23"/>
      <c r="Q487" s="23"/>
      <c r="R487" s="23"/>
    </row>
    <row r="488" spans="2:18" x14ac:dyDescent="0.35">
      <c r="B488" s="22"/>
      <c r="F488" s="23"/>
      <c r="G488" s="23"/>
      <c r="H488" s="23"/>
      <c r="I488" s="23"/>
      <c r="J488" s="23"/>
      <c r="K488" s="23"/>
      <c r="L488" s="23"/>
      <c r="M488" s="23"/>
      <c r="N488" s="23"/>
      <c r="O488" s="23"/>
      <c r="P488" s="23"/>
      <c r="Q488" s="23"/>
      <c r="R488" s="23"/>
    </row>
    <row r="489" spans="2:18" x14ac:dyDescent="0.35">
      <c r="B489" s="22"/>
      <c r="F489" s="23"/>
      <c r="G489" s="23"/>
      <c r="H489" s="23"/>
      <c r="I489" s="23"/>
      <c r="J489" s="23"/>
      <c r="K489" s="23"/>
      <c r="L489" s="23"/>
      <c r="M489" s="23"/>
      <c r="N489" s="23"/>
      <c r="O489" s="23"/>
      <c r="P489" s="23"/>
      <c r="Q489" s="23"/>
      <c r="R489" s="23"/>
    </row>
    <row r="490" spans="2:18" x14ac:dyDescent="0.35">
      <c r="B490" s="22"/>
      <c r="F490" s="23"/>
      <c r="G490" s="23"/>
      <c r="H490" s="23"/>
      <c r="I490" s="23"/>
      <c r="J490" s="23"/>
      <c r="K490" s="23"/>
      <c r="L490" s="23"/>
      <c r="M490" s="23"/>
      <c r="N490" s="23"/>
      <c r="O490" s="23"/>
      <c r="P490" s="23"/>
      <c r="Q490" s="23"/>
      <c r="R490" s="23"/>
    </row>
    <row r="491" spans="2:18" x14ac:dyDescent="0.35">
      <c r="B491" s="22"/>
      <c r="F491" s="23"/>
      <c r="G491" s="23"/>
      <c r="H491" s="23"/>
      <c r="I491" s="23"/>
      <c r="J491" s="23"/>
      <c r="K491" s="23"/>
      <c r="L491" s="23"/>
      <c r="M491" s="23"/>
      <c r="N491" s="23"/>
      <c r="O491" s="23"/>
      <c r="P491" s="23"/>
      <c r="Q491" s="23"/>
      <c r="R491" s="23"/>
    </row>
    <row r="492" spans="2:18" x14ac:dyDescent="0.35">
      <c r="B492" s="22"/>
      <c r="F492" s="23"/>
      <c r="G492" s="23"/>
      <c r="H492" s="23"/>
      <c r="I492" s="23"/>
      <c r="J492" s="23"/>
      <c r="K492" s="23"/>
      <c r="L492" s="23"/>
      <c r="M492" s="23"/>
      <c r="N492" s="23"/>
      <c r="O492" s="23"/>
      <c r="P492" s="23"/>
      <c r="Q492" s="23"/>
      <c r="R492" s="23"/>
    </row>
    <row r="493" spans="2:18" x14ac:dyDescent="0.35">
      <c r="B493" s="22"/>
      <c r="F493" s="23"/>
      <c r="G493" s="23"/>
      <c r="H493" s="23"/>
      <c r="I493" s="23"/>
      <c r="J493" s="23"/>
      <c r="K493" s="23"/>
      <c r="L493" s="23"/>
      <c r="M493" s="23"/>
      <c r="N493" s="23"/>
      <c r="O493" s="23"/>
      <c r="P493" s="23"/>
      <c r="Q493" s="23"/>
      <c r="R493" s="23"/>
    </row>
    <row r="494" spans="2:18" x14ac:dyDescent="0.35">
      <c r="B494" s="22"/>
      <c r="F494" s="23"/>
      <c r="G494" s="23"/>
      <c r="H494" s="23"/>
      <c r="I494" s="23"/>
      <c r="J494" s="23"/>
      <c r="K494" s="23"/>
      <c r="L494" s="23"/>
      <c r="M494" s="23"/>
      <c r="N494" s="23"/>
      <c r="O494" s="23"/>
      <c r="P494" s="23"/>
      <c r="Q494" s="23"/>
      <c r="R494" s="23"/>
    </row>
    <row r="495" spans="2:18" x14ac:dyDescent="0.35">
      <c r="B495" s="22"/>
      <c r="F495" s="23"/>
      <c r="G495" s="23"/>
      <c r="H495" s="23"/>
      <c r="I495" s="23"/>
      <c r="J495" s="23"/>
      <c r="K495" s="23"/>
      <c r="L495" s="23"/>
      <c r="M495" s="23"/>
      <c r="N495" s="23"/>
      <c r="O495" s="23"/>
      <c r="P495" s="23"/>
      <c r="Q495" s="23"/>
      <c r="R495" s="23"/>
    </row>
    <row r="496" spans="2:18" x14ac:dyDescent="0.35">
      <c r="B496" s="22"/>
      <c r="F496" s="23"/>
      <c r="G496" s="23"/>
      <c r="H496" s="23"/>
      <c r="I496" s="23"/>
      <c r="J496" s="23"/>
      <c r="K496" s="23"/>
      <c r="L496" s="23"/>
      <c r="M496" s="23"/>
      <c r="N496" s="23"/>
      <c r="O496" s="23"/>
      <c r="P496" s="23"/>
      <c r="Q496" s="23"/>
      <c r="R496" s="23"/>
    </row>
    <row r="497" spans="2:18" x14ac:dyDescent="0.35">
      <c r="B497" s="22"/>
      <c r="F497" s="23"/>
      <c r="G497" s="23"/>
      <c r="H497" s="23"/>
      <c r="I497" s="23"/>
      <c r="J497" s="23"/>
      <c r="K497" s="23"/>
      <c r="L497" s="23"/>
      <c r="M497" s="23"/>
      <c r="N497" s="23"/>
      <c r="O497" s="23"/>
      <c r="P497" s="23"/>
      <c r="Q497" s="23"/>
      <c r="R497" s="23"/>
    </row>
    <row r="498" spans="2:18" x14ac:dyDescent="0.35">
      <c r="B498" s="22"/>
      <c r="F498" s="23"/>
      <c r="G498" s="23"/>
      <c r="H498" s="23"/>
      <c r="I498" s="23"/>
      <c r="J498" s="23"/>
      <c r="K498" s="23"/>
      <c r="L498" s="23"/>
      <c r="M498" s="23"/>
      <c r="N498" s="23"/>
      <c r="O498" s="23"/>
      <c r="P498" s="23"/>
      <c r="Q498" s="23"/>
      <c r="R498" s="23"/>
    </row>
    <row r="499" spans="2:18" x14ac:dyDescent="0.35">
      <c r="B499" s="22"/>
      <c r="F499" s="23"/>
      <c r="G499" s="23"/>
      <c r="H499" s="23"/>
      <c r="I499" s="23"/>
      <c r="J499" s="23"/>
      <c r="K499" s="23"/>
      <c r="L499" s="23"/>
      <c r="M499" s="23"/>
      <c r="N499" s="23"/>
      <c r="O499" s="23"/>
      <c r="P499" s="23"/>
      <c r="Q499" s="23"/>
      <c r="R499" s="23"/>
    </row>
    <row r="500" spans="2:18" x14ac:dyDescent="0.35">
      <c r="B500" s="22"/>
      <c r="F500" s="23"/>
      <c r="G500" s="23"/>
      <c r="H500" s="23"/>
      <c r="I500" s="23"/>
      <c r="J500" s="23"/>
      <c r="K500" s="23"/>
      <c r="L500" s="23"/>
      <c r="M500" s="23"/>
      <c r="N500" s="23"/>
      <c r="O500" s="23"/>
      <c r="P500" s="23"/>
      <c r="Q500" s="23"/>
      <c r="R500" s="23"/>
    </row>
    <row r="501" spans="2:18" x14ac:dyDescent="0.35">
      <c r="B501" s="22"/>
      <c r="F501" s="23"/>
      <c r="G501" s="23"/>
      <c r="H501" s="23"/>
      <c r="I501" s="23"/>
      <c r="J501" s="23"/>
      <c r="K501" s="23"/>
      <c r="L501" s="23"/>
      <c r="M501" s="23"/>
      <c r="N501" s="23"/>
      <c r="O501" s="23"/>
      <c r="P501" s="23"/>
      <c r="Q501" s="23"/>
      <c r="R501" s="23"/>
    </row>
    <row r="502" spans="2:18" x14ac:dyDescent="0.35">
      <c r="B502" s="22"/>
      <c r="F502" s="23"/>
      <c r="G502" s="23"/>
      <c r="H502" s="23"/>
      <c r="I502" s="23"/>
      <c r="J502" s="23"/>
      <c r="K502" s="23"/>
      <c r="L502" s="23"/>
      <c r="M502" s="23"/>
      <c r="N502" s="23"/>
      <c r="O502" s="23"/>
      <c r="P502" s="23"/>
      <c r="Q502" s="23"/>
      <c r="R502" s="23"/>
    </row>
    <row r="503" spans="2:18" x14ac:dyDescent="0.35">
      <c r="B503" s="22"/>
      <c r="F503" s="23"/>
      <c r="G503" s="23"/>
      <c r="H503" s="23"/>
      <c r="I503" s="23"/>
      <c r="J503" s="23"/>
      <c r="K503" s="23"/>
      <c r="L503" s="23"/>
      <c r="M503" s="23"/>
      <c r="N503" s="23"/>
      <c r="O503" s="23"/>
      <c r="P503" s="23"/>
      <c r="Q503" s="23"/>
      <c r="R503" s="23"/>
    </row>
    <row r="504" spans="2:18" x14ac:dyDescent="0.35">
      <c r="B504" s="22"/>
      <c r="F504" s="23"/>
      <c r="G504" s="23"/>
      <c r="H504" s="23"/>
      <c r="I504" s="23"/>
      <c r="J504" s="23"/>
      <c r="K504" s="23"/>
      <c r="L504" s="23"/>
      <c r="M504" s="23"/>
      <c r="N504" s="23"/>
      <c r="O504" s="23"/>
      <c r="P504" s="23"/>
      <c r="Q504" s="23"/>
      <c r="R504" s="23"/>
    </row>
    <row r="505" spans="2:18" x14ac:dyDescent="0.35">
      <c r="B505" s="22"/>
      <c r="F505" s="23"/>
      <c r="G505" s="23"/>
      <c r="H505" s="23"/>
      <c r="I505" s="23"/>
      <c r="J505" s="23"/>
      <c r="K505" s="23"/>
      <c r="L505" s="23"/>
      <c r="M505" s="23"/>
      <c r="N505" s="23"/>
      <c r="O505" s="23"/>
      <c r="P505" s="23"/>
      <c r="Q505" s="23"/>
      <c r="R505" s="23"/>
    </row>
    <row r="506" spans="2:18" x14ac:dyDescent="0.35">
      <c r="B506" s="22"/>
      <c r="F506" s="23"/>
      <c r="G506" s="23"/>
      <c r="H506" s="23"/>
      <c r="I506" s="23"/>
      <c r="J506" s="23"/>
      <c r="K506" s="23"/>
      <c r="L506" s="23"/>
      <c r="M506" s="23"/>
      <c r="N506" s="23"/>
      <c r="O506" s="23"/>
      <c r="P506" s="23"/>
      <c r="Q506" s="23"/>
      <c r="R506" s="23"/>
    </row>
    <row r="507" spans="2:18" x14ac:dyDescent="0.35">
      <c r="B507" s="22"/>
      <c r="F507" s="23"/>
      <c r="G507" s="23"/>
      <c r="H507" s="23"/>
      <c r="I507" s="23"/>
      <c r="J507" s="23"/>
      <c r="K507" s="23"/>
      <c r="L507" s="23"/>
      <c r="M507" s="23"/>
      <c r="N507" s="23"/>
      <c r="O507" s="23"/>
      <c r="P507" s="23"/>
      <c r="Q507" s="23"/>
      <c r="R507" s="23"/>
    </row>
    <row r="508" spans="2:18" x14ac:dyDescent="0.35">
      <c r="B508" s="22"/>
      <c r="F508" s="23"/>
      <c r="G508" s="23"/>
      <c r="H508" s="23"/>
      <c r="I508" s="23"/>
      <c r="J508" s="23"/>
      <c r="K508" s="23"/>
      <c r="L508" s="23"/>
      <c r="M508" s="23"/>
      <c r="N508" s="23"/>
      <c r="O508" s="23"/>
      <c r="P508" s="23"/>
      <c r="Q508" s="23"/>
      <c r="R508" s="23"/>
    </row>
    <row r="509" spans="2:18" x14ac:dyDescent="0.35">
      <c r="B509" s="22"/>
      <c r="F509" s="23"/>
      <c r="G509" s="23"/>
      <c r="H509" s="23"/>
      <c r="I509" s="23"/>
      <c r="J509" s="23"/>
      <c r="K509" s="23"/>
      <c r="L509" s="23"/>
      <c r="M509" s="23"/>
      <c r="N509" s="23"/>
      <c r="O509" s="23"/>
      <c r="P509" s="23"/>
      <c r="Q509" s="23"/>
      <c r="R509" s="23"/>
    </row>
    <row r="510" spans="2:18" x14ac:dyDescent="0.35">
      <c r="B510" s="22"/>
      <c r="F510" s="23"/>
      <c r="G510" s="23"/>
      <c r="H510" s="23"/>
      <c r="I510" s="23"/>
      <c r="J510" s="23"/>
      <c r="K510" s="23"/>
      <c r="L510" s="23"/>
      <c r="M510" s="23"/>
      <c r="N510" s="23"/>
      <c r="O510" s="23"/>
      <c r="P510" s="23"/>
      <c r="Q510" s="23"/>
      <c r="R510" s="23"/>
    </row>
    <row r="511" spans="2:18" x14ac:dyDescent="0.35">
      <c r="B511" s="22"/>
      <c r="F511" s="23"/>
      <c r="G511" s="23"/>
      <c r="H511" s="23"/>
      <c r="I511" s="23"/>
      <c r="J511" s="23"/>
      <c r="K511" s="23"/>
      <c r="L511" s="23"/>
      <c r="M511" s="23"/>
      <c r="N511" s="23"/>
      <c r="O511" s="23"/>
      <c r="P511" s="23"/>
      <c r="Q511" s="23"/>
      <c r="R511" s="23"/>
    </row>
    <row r="512" spans="2:18" x14ac:dyDescent="0.35">
      <c r="B512" s="22"/>
      <c r="F512" s="23"/>
      <c r="G512" s="23"/>
      <c r="H512" s="23"/>
      <c r="I512" s="23"/>
      <c r="J512" s="23"/>
      <c r="K512" s="23"/>
      <c r="L512" s="23"/>
      <c r="M512" s="23"/>
      <c r="N512" s="23"/>
      <c r="O512" s="23"/>
      <c r="P512" s="23"/>
      <c r="Q512" s="23"/>
      <c r="R512" s="23"/>
    </row>
    <row r="513" spans="2:18" x14ac:dyDescent="0.35">
      <c r="B513" s="22"/>
      <c r="F513" s="23"/>
      <c r="G513" s="23"/>
      <c r="H513" s="23"/>
      <c r="I513" s="23"/>
      <c r="J513" s="23"/>
      <c r="K513" s="23"/>
      <c r="L513" s="23"/>
      <c r="M513" s="23"/>
      <c r="N513" s="23"/>
      <c r="O513" s="23"/>
      <c r="P513" s="23"/>
      <c r="Q513" s="23"/>
      <c r="R513" s="23"/>
    </row>
    <row r="514" spans="2:18" x14ac:dyDescent="0.35">
      <c r="B514" s="22"/>
      <c r="F514" s="23"/>
      <c r="G514" s="23"/>
      <c r="H514" s="23"/>
      <c r="I514" s="23"/>
      <c r="J514" s="23"/>
      <c r="K514" s="23"/>
      <c r="L514" s="23"/>
      <c r="M514" s="23"/>
      <c r="N514" s="23"/>
      <c r="O514" s="23"/>
      <c r="P514" s="23"/>
      <c r="Q514" s="23"/>
      <c r="R514" s="23"/>
    </row>
    <row r="515" spans="2:18" x14ac:dyDescent="0.35">
      <c r="B515" s="22"/>
      <c r="F515" s="23"/>
      <c r="G515" s="23"/>
      <c r="H515" s="23"/>
      <c r="I515" s="23"/>
      <c r="J515" s="23"/>
      <c r="K515" s="23"/>
      <c r="L515" s="23"/>
      <c r="M515" s="23"/>
      <c r="N515" s="23"/>
      <c r="O515" s="23"/>
      <c r="P515" s="23"/>
      <c r="Q515" s="23"/>
      <c r="R515" s="23"/>
    </row>
    <row r="516" spans="2:18" x14ac:dyDescent="0.35">
      <c r="B516" s="22"/>
      <c r="F516" s="23"/>
      <c r="G516" s="23"/>
      <c r="H516" s="23"/>
      <c r="I516" s="23"/>
      <c r="J516" s="23"/>
      <c r="K516" s="23"/>
      <c r="L516" s="23"/>
      <c r="M516" s="23"/>
      <c r="N516" s="23"/>
      <c r="O516" s="23"/>
      <c r="P516" s="23"/>
      <c r="Q516" s="23"/>
      <c r="R516" s="23"/>
    </row>
    <row r="517" spans="2:18" x14ac:dyDescent="0.35">
      <c r="B517" s="22"/>
      <c r="F517" s="23"/>
      <c r="G517" s="23"/>
      <c r="H517" s="23"/>
      <c r="I517" s="23"/>
      <c r="J517" s="23"/>
      <c r="K517" s="23"/>
      <c r="L517" s="23"/>
      <c r="M517" s="23"/>
      <c r="N517" s="23"/>
      <c r="O517" s="23"/>
      <c r="P517" s="23"/>
      <c r="Q517" s="23"/>
      <c r="R517" s="23"/>
    </row>
    <row r="518" spans="2:18" x14ac:dyDescent="0.35">
      <c r="B518" s="22"/>
      <c r="F518" s="23"/>
      <c r="G518" s="23"/>
      <c r="H518" s="23"/>
      <c r="I518" s="23"/>
      <c r="J518" s="23"/>
      <c r="K518" s="23"/>
      <c r="L518" s="23"/>
      <c r="M518" s="23"/>
      <c r="N518" s="23"/>
      <c r="O518" s="23"/>
      <c r="P518" s="23"/>
      <c r="Q518" s="23"/>
      <c r="R518" s="23"/>
    </row>
    <row r="519" spans="2:18" x14ac:dyDescent="0.35">
      <c r="B519" s="22"/>
      <c r="F519" s="23"/>
      <c r="G519" s="23"/>
      <c r="H519" s="23"/>
      <c r="I519" s="23"/>
      <c r="J519" s="23"/>
      <c r="K519" s="23"/>
      <c r="L519" s="23"/>
      <c r="M519" s="23"/>
      <c r="N519" s="23"/>
      <c r="O519" s="23"/>
      <c r="P519" s="23"/>
      <c r="Q519" s="23"/>
      <c r="R519" s="23"/>
    </row>
    <row r="520" spans="2:18" x14ac:dyDescent="0.35">
      <c r="B520" s="22"/>
      <c r="F520" s="23"/>
      <c r="G520" s="23"/>
      <c r="H520" s="23"/>
      <c r="I520" s="23"/>
      <c r="J520" s="23"/>
      <c r="K520" s="23"/>
      <c r="L520" s="23"/>
      <c r="M520" s="23"/>
      <c r="N520" s="23"/>
      <c r="O520" s="23"/>
      <c r="P520" s="23"/>
      <c r="Q520" s="23"/>
      <c r="R520" s="23"/>
    </row>
    <row r="521" spans="2:18" x14ac:dyDescent="0.35">
      <c r="B521" s="22"/>
      <c r="F521" s="23"/>
      <c r="G521" s="23"/>
      <c r="H521" s="23"/>
      <c r="I521" s="23"/>
      <c r="J521" s="23"/>
      <c r="K521" s="23"/>
      <c r="L521" s="23"/>
      <c r="M521" s="23"/>
      <c r="N521" s="23"/>
      <c r="O521" s="23"/>
      <c r="P521" s="23"/>
      <c r="Q521" s="23"/>
      <c r="R521" s="23"/>
    </row>
    <row r="522" spans="2:18" x14ac:dyDescent="0.35">
      <c r="B522" s="22"/>
      <c r="F522" s="23"/>
      <c r="G522" s="23"/>
      <c r="H522" s="23"/>
      <c r="I522" s="23"/>
      <c r="J522" s="23"/>
      <c r="K522" s="23"/>
      <c r="L522" s="23"/>
      <c r="M522" s="23"/>
      <c r="N522" s="23"/>
      <c r="O522" s="23"/>
      <c r="P522" s="23"/>
      <c r="Q522" s="23"/>
      <c r="R522" s="23"/>
    </row>
    <row r="523" spans="2:18" x14ac:dyDescent="0.35">
      <c r="B523" s="22"/>
      <c r="F523" s="23"/>
      <c r="G523" s="23"/>
      <c r="H523" s="23"/>
      <c r="I523" s="23"/>
      <c r="J523" s="23"/>
      <c r="K523" s="23"/>
      <c r="L523" s="23"/>
      <c r="M523" s="23"/>
      <c r="N523" s="23"/>
      <c r="O523" s="23"/>
      <c r="P523" s="23"/>
      <c r="Q523" s="23"/>
      <c r="R523" s="23"/>
    </row>
    <row r="524" spans="2:18" x14ac:dyDescent="0.35">
      <c r="B524" s="22"/>
      <c r="F524" s="23"/>
      <c r="G524" s="23"/>
      <c r="H524" s="23"/>
      <c r="I524" s="23"/>
      <c r="J524" s="23"/>
      <c r="K524" s="23"/>
      <c r="L524" s="23"/>
      <c r="M524" s="23"/>
      <c r="N524" s="23"/>
      <c r="O524" s="23"/>
      <c r="P524" s="23"/>
      <c r="Q524" s="23"/>
      <c r="R524" s="23"/>
    </row>
    <row r="525" spans="2:18" x14ac:dyDescent="0.35">
      <c r="B525" s="22"/>
      <c r="F525" s="23"/>
      <c r="G525" s="23"/>
      <c r="H525" s="23"/>
      <c r="I525" s="23"/>
      <c r="J525" s="23"/>
      <c r="K525" s="23"/>
      <c r="L525" s="23"/>
      <c r="M525" s="23"/>
      <c r="N525" s="23"/>
      <c r="O525" s="23"/>
      <c r="P525" s="23"/>
      <c r="Q525" s="23"/>
      <c r="R525" s="23"/>
    </row>
    <row r="526" spans="2:18" x14ac:dyDescent="0.35">
      <c r="B526" s="22"/>
      <c r="F526" s="23"/>
      <c r="G526" s="23"/>
      <c r="H526" s="23"/>
      <c r="I526" s="23"/>
      <c r="J526" s="23"/>
      <c r="K526" s="23"/>
      <c r="L526" s="23"/>
      <c r="M526" s="23"/>
      <c r="N526" s="23"/>
      <c r="O526" s="23"/>
      <c r="P526" s="23"/>
      <c r="Q526" s="23"/>
      <c r="R526" s="23"/>
    </row>
    <row r="527" spans="2:18" x14ac:dyDescent="0.35">
      <c r="B527" s="22"/>
      <c r="F527" s="23"/>
      <c r="G527" s="23"/>
      <c r="H527" s="23"/>
      <c r="I527" s="23"/>
      <c r="J527" s="23"/>
      <c r="K527" s="23"/>
      <c r="L527" s="23"/>
      <c r="M527" s="23"/>
      <c r="N527" s="23"/>
      <c r="O527" s="23"/>
      <c r="P527" s="23"/>
      <c r="Q527" s="23"/>
      <c r="R527" s="23"/>
    </row>
    <row r="528" spans="2:18" x14ac:dyDescent="0.35">
      <c r="B528" s="22"/>
      <c r="F528" s="23"/>
      <c r="G528" s="23"/>
      <c r="H528" s="23"/>
      <c r="I528" s="23"/>
      <c r="J528" s="23"/>
      <c r="K528" s="23"/>
      <c r="L528" s="23"/>
      <c r="M528" s="23"/>
      <c r="N528" s="23"/>
      <c r="O528" s="23"/>
      <c r="P528" s="23"/>
      <c r="Q528" s="23"/>
      <c r="R528" s="23"/>
    </row>
    <row r="529" spans="2:18" x14ac:dyDescent="0.35">
      <c r="B529" s="22"/>
      <c r="F529" s="23"/>
      <c r="G529" s="23"/>
      <c r="H529" s="23"/>
      <c r="I529" s="23"/>
      <c r="J529" s="23"/>
      <c r="K529" s="23"/>
      <c r="L529" s="23"/>
      <c r="M529" s="23"/>
      <c r="N529" s="23"/>
      <c r="O529" s="23"/>
      <c r="P529" s="23"/>
      <c r="Q529" s="23"/>
      <c r="R529" s="23"/>
    </row>
    <row r="530" spans="2:18" x14ac:dyDescent="0.35">
      <c r="B530" s="22"/>
      <c r="F530" s="23"/>
      <c r="G530" s="23"/>
      <c r="H530" s="23"/>
      <c r="I530" s="23"/>
      <c r="J530" s="23"/>
      <c r="K530" s="23"/>
      <c r="L530" s="23"/>
      <c r="M530" s="23"/>
      <c r="N530" s="23"/>
      <c r="O530" s="23"/>
      <c r="P530" s="23"/>
      <c r="Q530" s="23"/>
      <c r="R530" s="23"/>
    </row>
    <row r="531" spans="2:18" x14ac:dyDescent="0.35">
      <c r="B531" s="22"/>
      <c r="F531" s="23"/>
      <c r="G531" s="23"/>
      <c r="H531" s="23"/>
      <c r="I531" s="23"/>
      <c r="J531" s="23"/>
      <c r="K531" s="23"/>
      <c r="L531" s="23"/>
      <c r="M531" s="23"/>
      <c r="N531" s="23"/>
      <c r="O531" s="23"/>
      <c r="P531" s="23"/>
      <c r="Q531" s="23"/>
      <c r="R531" s="23"/>
    </row>
    <row r="532" spans="2:18" x14ac:dyDescent="0.35">
      <c r="B532" s="22"/>
      <c r="F532" s="23"/>
      <c r="G532" s="23"/>
      <c r="H532" s="23"/>
      <c r="I532" s="23"/>
      <c r="J532" s="23"/>
      <c r="K532" s="23"/>
      <c r="L532" s="23"/>
      <c r="M532" s="23"/>
      <c r="N532" s="23"/>
      <c r="O532" s="23"/>
      <c r="P532" s="23"/>
      <c r="Q532" s="23"/>
      <c r="R532" s="23"/>
    </row>
    <row r="533" spans="2:18" x14ac:dyDescent="0.35">
      <c r="B533" s="22"/>
      <c r="F533" s="23"/>
      <c r="G533" s="23"/>
      <c r="H533" s="23"/>
      <c r="I533" s="23"/>
      <c r="J533" s="23"/>
      <c r="K533" s="23"/>
      <c r="L533" s="23"/>
      <c r="M533" s="23"/>
      <c r="N533" s="23"/>
      <c r="O533" s="23"/>
      <c r="P533" s="23"/>
      <c r="Q533" s="23"/>
      <c r="R533" s="23"/>
    </row>
    <row r="534" spans="2:18" x14ac:dyDescent="0.35">
      <c r="B534" s="22"/>
      <c r="F534" s="23"/>
      <c r="G534" s="23"/>
      <c r="H534" s="23"/>
      <c r="I534" s="23"/>
      <c r="J534" s="23"/>
      <c r="K534" s="23"/>
      <c r="L534" s="23"/>
      <c r="M534" s="23"/>
      <c r="N534" s="23"/>
      <c r="O534" s="23"/>
      <c r="P534" s="23"/>
      <c r="Q534" s="23"/>
      <c r="R534" s="23"/>
    </row>
    <row r="535" spans="2:18" x14ac:dyDescent="0.35">
      <c r="B535" s="22"/>
      <c r="F535" s="23"/>
      <c r="G535" s="23"/>
      <c r="H535" s="23"/>
      <c r="I535" s="23"/>
      <c r="J535" s="23"/>
      <c r="K535" s="23"/>
      <c r="L535" s="23"/>
      <c r="M535" s="23"/>
      <c r="N535" s="23"/>
      <c r="O535" s="23"/>
      <c r="P535" s="23"/>
      <c r="Q535" s="23"/>
      <c r="R535" s="23"/>
    </row>
    <row r="536" spans="2:18" x14ac:dyDescent="0.35">
      <c r="B536" s="22"/>
      <c r="F536" s="23"/>
      <c r="G536" s="23"/>
      <c r="H536" s="23"/>
      <c r="I536" s="23"/>
      <c r="J536" s="23"/>
      <c r="K536" s="23"/>
      <c r="L536" s="23"/>
      <c r="M536" s="23"/>
      <c r="N536" s="23"/>
      <c r="O536" s="23"/>
      <c r="P536" s="23"/>
      <c r="Q536" s="23"/>
      <c r="R536" s="23"/>
    </row>
    <row r="537" spans="2:18" x14ac:dyDescent="0.35">
      <c r="B537" s="22"/>
      <c r="F537" s="23"/>
      <c r="G537" s="23"/>
      <c r="H537" s="23"/>
      <c r="I537" s="23"/>
      <c r="J537" s="23"/>
      <c r="K537" s="23"/>
      <c r="L537" s="23"/>
      <c r="M537" s="23"/>
      <c r="N537" s="23"/>
      <c r="O537" s="23"/>
      <c r="P537" s="23"/>
      <c r="Q537" s="23"/>
      <c r="R537" s="23"/>
    </row>
    <row r="538" spans="2:18" x14ac:dyDescent="0.35">
      <c r="B538" s="22"/>
      <c r="F538" s="23"/>
      <c r="G538" s="23"/>
      <c r="H538" s="23"/>
      <c r="I538" s="23"/>
      <c r="J538" s="23"/>
      <c r="K538" s="23"/>
      <c r="L538" s="23"/>
      <c r="M538" s="23"/>
      <c r="N538" s="23"/>
      <c r="O538" s="23"/>
      <c r="P538" s="23"/>
      <c r="Q538" s="23"/>
      <c r="R538" s="23"/>
    </row>
    <row r="539" spans="2:18" x14ac:dyDescent="0.35">
      <c r="B539" s="22"/>
      <c r="F539" s="23"/>
      <c r="G539" s="23"/>
      <c r="H539" s="23"/>
      <c r="I539" s="23"/>
      <c r="J539" s="23"/>
      <c r="K539" s="23"/>
      <c r="L539" s="23"/>
      <c r="M539" s="23"/>
      <c r="N539" s="23"/>
      <c r="O539" s="23"/>
      <c r="P539" s="23"/>
      <c r="Q539" s="23"/>
      <c r="R539" s="23"/>
    </row>
    <row r="540" spans="2:18" x14ac:dyDescent="0.35">
      <c r="B540" s="22"/>
      <c r="F540" s="23"/>
      <c r="G540" s="23"/>
      <c r="H540" s="23"/>
      <c r="I540" s="23"/>
      <c r="J540" s="23"/>
      <c r="K540" s="23"/>
      <c r="L540" s="23"/>
      <c r="M540" s="23"/>
      <c r="N540" s="23"/>
      <c r="O540" s="23"/>
      <c r="P540" s="23"/>
      <c r="Q540" s="23"/>
      <c r="R540" s="23"/>
    </row>
    <row r="541" spans="2:18" x14ac:dyDescent="0.35">
      <c r="B541" s="22"/>
      <c r="F541" s="23"/>
      <c r="G541" s="23"/>
      <c r="H541" s="23"/>
      <c r="I541" s="23"/>
      <c r="J541" s="23"/>
      <c r="K541" s="23"/>
      <c r="L541" s="23"/>
      <c r="M541" s="23"/>
      <c r="N541" s="23"/>
      <c r="O541" s="23"/>
      <c r="P541" s="23"/>
      <c r="Q541" s="23"/>
      <c r="R541" s="23"/>
    </row>
    <row r="542" spans="2:18" x14ac:dyDescent="0.35">
      <c r="B542" s="22"/>
      <c r="F542" s="23"/>
      <c r="G542" s="23"/>
      <c r="H542" s="23"/>
      <c r="I542" s="23"/>
      <c r="J542" s="23"/>
      <c r="K542" s="23"/>
      <c r="L542" s="23"/>
      <c r="M542" s="23"/>
      <c r="N542" s="23"/>
      <c r="O542" s="23"/>
      <c r="P542" s="23"/>
      <c r="Q542" s="23"/>
      <c r="R542" s="23"/>
    </row>
    <row r="543" spans="2:18" x14ac:dyDescent="0.35">
      <c r="B543" s="22"/>
      <c r="F543" s="23"/>
      <c r="G543" s="23"/>
      <c r="H543" s="23"/>
      <c r="I543" s="23"/>
      <c r="J543" s="23"/>
      <c r="K543" s="23"/>
      <c r="L543" s="23"/>
      <c r="M543" s="23"/>
      <c r="N543" s="23"/>
      <c r="O543" s="23"/>
      <c r="P543" s="23"/>
      <c r="Q543" s="23"/>
      <c r="R543" s="23"/>
    </row>
    <row r="544" spans="2:18" x14ac:dyDescent="0.35">
      <c r="B544" s="22"/>
      <c r="F544" s="23"/>
      <c r="G544" s="23"/>
      <c r="H544" s="23"/>
      <c r="I544" s="23"/>
      <c r="J544" s="23"/>
      <c r="K544" s="23"/>
      <c r="L544" s="23"/>
      <c r="M544" s="23"/>
      <c r="N544" s="23"/>
      <c r="O544" s="23"/>
      <c r="P544" s="23"/>
      <c r="Q544" s="23"/>
      <c r="R544" s="23"/>
    </row>
    <row r="545" spans="2:18" x14ac:dyDescent="0.35">
      <c r="B545" s="22"/>
      <c r="F545" s="23"/>
      <c r="G545" s="23"/>
      <c r="H545" s="23"/>
      <c r="I545" s="23"/>
      <c r="J545" s="23"/>
      <c r="K545" s="23"/>
      <c r="L545" s="23"/>
      <c r="M545" s="23"/>
      <c r="N545" s="23"/>
      <c r="O545" s="23"/>
      <c r="P545" s="23"/>
      <c r="Q545" s="23"/>
      <c r="R545" s="23"/>
    </row>
    <row r="546" spans="2:18" x14ac:dyDescent="0.35">
      <c r="B546" s="22"/>
      <c r="F546" s="23"/>
      <c r="G546" s="23"/>
      <c r="H546" s="23"/>
      <c r="I546" s="23"/>
      <c r="J546" s="23"/>
      <c r="K546" s="23"/>
      <c r="L546" s="23"/>
      <c r="M546" s="23"/>
      <c r="N546" s="23"/>
      <c r="O546" s="23"/>
      <c r="P546" s="23"/>
      <c r="Q546" s="23"/>
      <c r="R546" s="23"/>
    </row>
    <row r="547" spans="2:18" x14ac:dyDescent="0.35">
      <c r="B547" s="22"/>
      <c r="F547" s="23"/>
      <c r="G547" s="23"/>
      <c r="H547" s="23"/>
      <c r="I547" s="23"/>
      <c r="J547" s="23"/>
      <c r="K547" s="23"/>
      <c r="L547" s="23"/>
      <c r="M547" s="23"/>
      <c r="N547" s="23"/>
      <c r="O547" s="23"/>
      <c r="P547" s="23"/>
      <c r="Q547" s="23"/>
      <c r="R547" s="23"/>
    </row>
    <row r="548" spans="2:18" x14ac:dyDescent="0.35">
      <c r="B548" s="22"/>
      <c r="F548" s="23"/>
      <c r="G548" s="23"/>
      <c r="H548" s="23"/>
      <c r="I548" s="23"/>
      <c r="J548" s="23"/>
      <c r="K548" s="23"/>
      <c r="L548" s="23"/>
      <c r="M548" s="23"/>
      <c r="N548" s="23"/>
      <c r="O548" s="23"/>
      <c r="P548" s="23"/>
      <c r="Q548" s="23"/>
      <c r="R548" s="23"/>
    </row>
    <row r="549" spans="2:18" x14ac:dyDescent="0.35">
      <c r="B549" s="22"/>
      <c r="F549" s="23"/>
      <c r="G549" s="23"/>
      <c r="H549" s="23"/>
      <c r="I549" s="23"/>
      <c r="J549" s="23"/>
      <c r="K549" s="23"/>
      <c r="L549" s="23"/>
      <c r="M549" s="23"/>
      <c r="N549" s="23"/>
      <c r="O549" s="23"/>
      <c r="P549" s="23"/>
      <c r="Q549" s="23"/>
      <c r="R549" s="23"/>
    </row>
    <row r="550" spans="2:18" x14ac:dyDescent="0.35">
      <c r="B550" s="22"/>
      <c r="F550" s="23"/>
      <c r="G550" s="23"/>
      <c r="H550" s="23"/>
      <c r="I550" s="23"/>
      <c r="J550" s="23"/>
      <c r="K550" s="23"/>
      <c r="L550" s="23"/>
      <c r="M550" s="23"/>
      <c r="N550" s="23"/>
      <c r="O550" s="23"/>
      <c r="P550" s="23"/>
      <c r="Q550" s="23"/>
      <c r="R550" s="23"/>
    </row>
    <row r="551" spans="2:18" x14ac:dyDescent="0.35">
      <c r="B551" s="22"/>
      <c r="F551" s="23"/>
      <c r="G551" s="23"/>
      <c r="H551" s="23"/>
      <c r="I551" s="23"/>
      <c r="J551" s="23"/>
      <c r="K551" s="23"/>
      <c r="L551" s="23"/>
      <c r="M551" s="23"/>
      <c r="N551" s="23"/>
      <c r="O551" s="23"/>
      <c r="P551" s="23"/>
      <c r="Q551" s="23"/>
      <c r="R551" s="23"/>
    </row>
    <row r="552" spans="2:18" x14ac:dyDescent="0.35">
      <c r="B552" s="22"/>
      <c r="F552" s="23"/>
      <c r="G552" s="23"/>
      <c r="H552" s="23"/>
      <c r="I552" s="23"/>
      <c r="J552" s="23"/>
      <c r="K552" s="23"/>
      <c r="L552" s="23"/>
      <c r="M552" s="23"/>
      <c r="N552" s="23"/>
      <c r="O552" s="23"/>
      <c r="P552" s="23"/>
      <c r="Q552" s="23"/>
      <c r="R552" s="23"/>
    </row>
    <row r="553" spans="2:18" x14ac:dyDescent="0.35">
      <c r="B553" s="22"/>
      <c r="F553" s="23"/>
      <c r="G553" s="23"/>
      <c r="H553" s="23"/>
      <c r="I553" s="23"/>
      <c r="J553" s="23"/>
      <c r="K553" s="23"/>
      <c r="L553" s="23"/>
      <c r="M553" s="23"/>
      <c r="N553" s="23"/>
      <c r="O553" s="23"/>
      <c r="P553" s="23"/>
      <c r="Q553" s="23"/>
      <c r="R553" s="23"/>
    </row>
    <row r="554" spans="2:18" x14ac:dyDescent="0.35">
      <c r="B554" s="22"/>
      <c r="F554" s="23"/>
      <c r="G554" s="23"/>
      <c r="H554" s="23"/>
      <c r="I554" s="23"/>
      <c r="J554" s="23"/>
      <c r="K554" s="23"/>
      <c r="L554" s="23"/>
      <c r="M554" s="23"/>
      <c r="N554" s="23"/>
      <c r="O554" s="23"/>
      <c r="P554" s="23"/>
      <c r="Q554" s="23"/>
      <c r="R554" s="23"/>
    </row>
    <row r="555" spans="2:18" x14ac:dyDescent="0.35">
      <c r="B555" s="22"/>
      <c r="F555" s="23"/>
      <c r="G555" s="23"/>
      <c r="H555" s="23"/>
      <c r="I555" s="23"/>
      <c r="J555" s="23"/>
      <c r="K555" s="23"/>
      <c r="L555" s="23"/>
      <c r="M555" s="23"/>
      <c r="N555" s="23"/>
      <c r="O555" s="23"/>
      <c r="P555" s="23"/>
      <c r="Q555" s="23"/>
      <c r="R555" s="23"/>
    </row>
    <row r="556" spans="2:18" x14ac:dyDescent="0.35">
      <c r="B556" s="22"/>
      <c r="F556" s="23"/>
      <c r="G556" s="23"/>
      <c r="H556" s="23"/>
      <c r="I556" s="23"/>
      <c r="J556" s="23"/>
      <c r="K556" s="23"/>
      <c r="L556" s="23"/>
      <c r="M556" s="23"/>
      <c r="N556" s="23"/>
      <c r="O556" s="23"/>
      <c r="P556" s="23"/>
      <c r="Q556" s="23"/>
      <c r="R556" s="23"/>
    </row>
    <row r="557" spans="2:18" x14ac:dyDescent="0.35">
      <c r="B557" s="22"/>
      <c r="F557" s="23"/>
      <c r="G557" s="23"/>
      <c r="H557" s="23"/>
      <c r="I557" s="23"/>
      <c r="J557" s="23"/>
      <c r="K557" s="23"/>
      <c r="L557" s="23"/>
      <c r="M557" s="23"/>
      <c r="N557" s="23"/>
      <c r="O557" s="23"/>
      <c r="P557" s="23"/>
      <c r="Q557" s="23"/>
      <c r="R557" s="23"/>
    </row>
    <row r="558" spans="2:18" x14ac:dyDescent="0.35">
      <c r="B558" s="22"/>
      <c r="F558" s="23"/>
      <c r="G558" s="23"/>
      <c r="H558" s="23"/>
      <c r="I558" s="23"/>
      <c r="J558" s="23"/>
      <c r="K558" s="23"/>
      <c r="L558" s="23"/>
      <c r="M558" s="23"/>
      <c r="N558" s="23"/>
      <c r="O558" s="23"/>
      <c r="P558" s="23"/>
      <c r="Q558" s="23"/>
      <c r="R558" s="23"/>
    </row>
    <row r="559" spans="2:18" x14ac:dyDescent="0.35">
      <c r="B559" s="22"/>
      <c r="F559" s="23"/>
      <c r="G559" s="23"/>
      <c r="H559" s="23"/>
      <c r="I559" s="23"/>
      <c r="J559" s="23"/>
      <c r="K559" s="23"/>
      <c r="L559" s="23"/>
      <c r="M559" s="23"/>
      <c r="N559" s="23"/>
      <c r="O559" s="23"/>
      <c r="P559" s="23"/>
      <c r="Q559" s="23"/>
      <c r="R559" s="23"/>
    </row>
    <row r="560" spans="2:18" x14ac:dyDescent="0.35">
      <c r="B560" s="22"/>
      <c r="F560" s="23"/>
      <c r="G560" s="23"/>
      <c r="H560" s="23"/>
      <c r="I560" s="23"/>
      <c r="J560" s="23"/>
      <c r="K560" s="23"/>
      <c r="L560" s="23"/>
      <c r="M560" s="23"/>
      <c r="N560" s="23"/>
      <c r="O560" s="23"/>
      <c r="P560" s="23"/>
      <c r="Q560" s="23"/>
      <c r="R560" s="23"/>
    </row>
    <row r="561" spans="2:18" x14ac:dyDescent="0.35">
      <c r="B561" s="22"/>
      <c r="F561" s="23"/>
      <c r="G561" s="23"/>
      <c r="H561" s="23"/>
      <c r="I561" s="23"/>
      <c r="J561" s="23"/>
      <c r="K561" s="23"/>
      <c r="L561" s="23"/>
      <c r="M561" s="23"/>
      <c r="N561" s="23"/>
      <c r="O561" s="23"/>
      <c r="P561" s="23"/>
      <c r="Q561" s="23"/>
      <c r="R561" s="23"/>
    </row>
    <row r="562" spans="2:18" x14ac:dyDescent="0.35">
      <c r="B562" s="22"/>
      <c r="F562" s="23"/>
      <c r="G562" s="23"/>
      <c r="H562" s="23"/>
      <c r="I562" s="23"/>
      <c r="J562" s="23"/>
      <c r="K562" s="23"/>
      <c r="L562" s="23"/>
      <c r="M562" s="23"/>
      <c r="N562" s="23"/>
      <c r="O562" s="23"/>
      <c r="P562" s="23"/>
      <c r="Q562" s="23"/>
      <c r="R562" s="23"/>
    </row>
    <row r="563" spans="2:18" x14ac:dyDescent="0.35">
      <c r="B563" s="22"/>
      <c r="F563" s="23"/>
      <c r="G563" s="23"/>
      <c r="H563" s="23"/>
      <c r="I563" s="23"/>
      <c r="J563" s="23"/>
      <c r="K563" s="23"/>
      <c r="L563" s="23"/>
      <c r="M563" s="23"/>
      <c r="N563" s="23"/>
      <c r="O563" s="23"/>
      <c r="P563" s="23"/>
      <c r="Q563" s="23"/>
      <c r="R563" s="23"/>
    </row>
    <row r="564" spans="2:18" x14ac:dyDescent="0.35">
      <c r="B564" s="22"/>
      <c r="F564" s="23"/>
      <c r="G564" s="23"/>
      <c r="H564" s="23"/>
      <c r="I564" s="23"/>
      <c r="J564" s="23"/>
      <c r="K564" s="23"/>
      <c r="L564" s="23"/>
      <c r="M564" s="23"/>
      <c r="N564" s="23"/>
      <c r="O564" s="23"/>
      <c r="P564" s="23"/>
      <c r="Q564" s="23"/>
      <c r="R564" s="23"/>
    </row>
    <row r="565" spans="2:18" x14ac:dyDescent="0.35">
      <c r="B565" s="22"/>
      <c r="F565" s="23"/>
      <c r="G565" s="23"/>
      <c r="H565" s="23"/>
      <c r="I565" s="23"/>
      <c r="J565" s="23"/>
      <c r="K565" s="23"/>
      <c r="L565" s="23"/>
      <c r="M565" s="23"/>
      <c r="N565" s="23"/>
      <c r="O565" s="23"/>
      <c r="P565" s="23"/>
      <c r="Q565" s="23"/>
      <c r="R565" s="23"/>
    </row>
    <row r="566" spans="2:18" x14ac:dyDescent="0.35">
      <c r="B566" s="22"/>
      <c r="F566" s="23"/>
      <c r="G566" s="23"/>
      <c r="H566" s="23"/>
      <c r="I566" s="23"/>
      <c r="J566" s="23"/>
      <c r="K566" s="23"/>
      <c r="L566" s="23"/>
      <c r="M566" s="23"/>
      <c r="N566" s="23"/>
      <c r="O566" s="23"/>
      <c r="P566" s="23"/>
      <c r="Q566" s="23"/>
      <c r="R566" s="23"/>
    </row>
    <row r="567" spans="2:18" x14ac:dyDescent="0.35">
      <c r="B567" s="22"/>
      <c r="F567" s="23"/>
      <c r="G567" s="23"/>
      <c r="H567" s="23"/>
      <c r="I567" s="23"/>
      <c r="J567" s="23"/>
      <c r="K567" s="23"/>
      <c r="L567" s="23"/>
      <c r="M567" s="23"/>
      <c r="N567" s="23"/>
      <c r="O567" s="23"/>
      <c r="P567" s="23"/>
      <c r="Q567" s="23"/>
      <c r="R567" s="23"/>
    </row>
    <row r="568" spans="2:18" x14ac:dyDescent="0.35">
      <c r="B568" s="22"/>
      <c r="F568" s="23"/>
      <c r="G568" s="23"/>
      <c r="H568" s="23"/>
      <c r="I568" s="23"/>
      <c r="J568" s="23"/>
      <c r="K568" s="23"/>
      <c r="L568" s="23"/>
      <c r="M568" s="23"/>
      <c r="N568" s="23"/>
      <c r="O568" s="23"/>
      <c r="P568" s="23"/>
      <c r="Q568" s="23"/>
      <c r="R568" s="23"/>
    </row>
    <row r="569" spans="2:18" x14ac:dyDescent="0.35">
      <c r="B569" s="22"/>
      <c r="F569" s="23"/>
      <c r="G569" s="23"/>
      <c r="H569" s="23"/>
      <c r="I569" s="23"/>
      <c r="J569" s="23"/>
      <c r="K569" s="23"/>
      <c r="L569" s="23"/>
      <c r="M569" s="23"/>
      <c r="N569" s="23"/>
      <c r="O569" s="23"/>
      <c r="P569" s="23"/>
      <c r="Q569" s="23"/>
      <c r="R569" s="23"/>
    </row>
    <row r="570" spans="2:18" x14ac:dyDescent="0.35">
      <c r="B570" s="22"/>
      <c r="F570" s="23"/>
      <c r="G570" s="23"/>
      <c r="H570" s="23"/>
      <c r="I570" s="23"/>
      <c r="J570" s="23"/>
      <c r="K570" s="23"/>
      <c r="L570" s="23"/>
      <c r="M570" s="23"/>
      <c r="N570" s="23"/>
      <c r="O570" s="23"/>
      <c r="P570" s="23"/>
      <c r="Q570" s="23"/>
      <c r="R570" s="23"/>
    </row>
    <row r="571" spans="2:18" x14ac:dyDescent="0.35">
      <c r="B571" s="22"/>
      <c r="F571" s="23"/>
      <c r="G571" s="23"/>
      <c r="H571" s="23"/>
      <c r="I571" s="23"/>
      <c r="J571" s="23"/>
      <c r="K571" s="23"/>
      <c r="L571" s="23"/>
      <c r="M571" s="23"/>
      <c r="N571" s="23"/>
      <c r="O571" s="23"/>
      <c r="P571" s="23"/>
      <c r="Q571" s="23"/>
      <c r="R571" s="23"/>
    </row>
    <row r="572" spans="2:18" x14ac:dyDescent="0.35">
      <c r="B572" s="22"/>
      <c r="F572" s="23"/>
      <c r="G572" s="23"/>
      <c r="H572" s="23"/>
      <c r="I572" s="23"/>
      <c r="J572" s="23"/>
      <c r="K572" s="23"/>
      <c r="L572" s="23"/>
      <c r="M572" s="23"/>
      <c r="N572" s="23"/>
      <c r="O572" s="23"/>
      <c r="P572" s="23"/>
      <c r="Q572" s="23"/>
      <c r="R572" s="23"/>
    </row>
    <row r="573" spans="2:18" x14ac:dyDescent="0.35">
      <c r="B573" s="22"/>
      <c r="F573" s="23"/>
      <c r="G573" s="23"/>
      <c r="H573" s="23"/>
      <c r="I573" s="23"/>
      <c r="J573" s="23"/>
      <c r="K573" s="23"/>
      <c r="L573" s="23"/>
      <c r="M573" s="23"/>
      <c r="N573" s="23"/>
      <c r="O573" s="23"/>
      <c r="P573" s="23"/>
      <c r="Q573" s="23"/>
      <c r="R573" s="23"/>
    </row>
    <row r="574" spans="2:18" x14ac:dyDescent="0.35">
      <c r="B574" s="22"/>
      <c r="F574" s="23"/>
      <c r="G574" s="23"/>
      <c r="H574" s="23"/>
      <c r="I574" s="23"/>
      <c r="J574" s="23"/>
      <c r="K574" s="23"/>
      <c r="L574" s="23"/>
      <c r="M574" s="23"/>
      <c r="N574" s="23"/>
      <c r="O574" s="23"/>
      <c r="P574" s="23"/>
      <c r="Q574" s="23"/>
      <c r="R574" s="23"/>
    </row>
    <row r="575" spans="2:18" x14ac:dyDescent="0.35">
      <c r="B575" s="22"/>
      <c r="F575" s="23"/>
      <c r="G575" s="23"/>
      <c r="H575" s="23"/>
      <c r="I575" s="23"/>
      <c r="J575" s="23"/>
      <c r="K575" s="23"/>
      <c r="L575" s="23"/>
      <c r="M575" s="23"/>
      <c r="N575" s="23"/>
      <c r="O575" s="23"/>
      <c r="P575" s="23"/>
      <c r="Q575" s="23"/>
      <c r="R575" s="23"/>
    </row>
    <row r="576" spans="2:18" x14ac:dyDescent="0.35">
      <c r="B576" s="22"/>
      <c r="F576" s="23"/>
      <c r="G576" s="23"/>
      <c r="H576" s="23"/>
      <c r="I576" s="23"/>
      <c r="J576" s="23"/>
      <c r="K576" s="23"/>
      <c r="L576" s="23"/>
      <c r="M576" s="23"/>
      <c r="N576" s="23"/>
      <c r="O576" s="23"/>
      <c r="P576" s="23"/>
      <c r="Q576" s="23"/>
      <c r="R576" s="23"/>
    </row>
    <row r="577" spans="2:18" x14ac:dyDescent="0.35">
      <c r="B577" s="22"/>
      <c r="F577" s="23"/>
      <c r="G577" s="23"/>
      <c r="H577" s="23"/>
      <c r="I577" s="23"/>
      <c r="J577" s="23"/>
      <c r="K577" s="23"/>
      <c r="L577" s="23"/>
      <c r="M577" s="23"/>
      <c r="N577" s="23"/>
      <c r="O577" s="23"/>
      <c r="P577" s="23"/>
      <c r="Q577" s="23"/>
      <c r="R577" s="23"/>
    </row>
    <row r="578" spans="2:18" x14ac:dyDescent="0.35">
      <c r="B578" s="22"/>
      <c r="F578" s="23"/>
      <c r="G578" s="23"/>
      <c r="H578" s="23"/>
      <c r="I578" s="23"/>
      <c r="J578" s="23"/>
      <c r="K578" s="23"/>
      <c r="L578" s="23"/>
      <c r="M578" s="23"/>
      <c r="N578" s="23"/>
      <c r="O578" s="23"/>
      <c r="P578" s="23"/>
      <c r="Q578" s="23"/>
      <c r="R578" s="23"/>
    </row>
    <row r="579" spans="2:18" x14ac:dyDescent="0.35">
      <c r="B579" s="22"/>
      <c r="F579" s="23"/>
      <c r="G579" s="23"/>
      <c r="H579" s="23"/>
      <c r="I579" s="23"/>
      <c r="J579" s="23"/>
      <c r="K579" s="23"/>
      <c r="L579" s="23"/>
      <c r="M579" s="23"/>
      <c r="N579" s="23"/>
      <c r="O579" s="23"/>
      <c r="P579" s="23"/>
      <c r="Q579" s="23"/>
      <c r="R579" s="23"/>
    </row>
    <row r="580" spans="2:18" x14ac:dyDescent="0.35">
      <c r="B580" s="22"/>
      <c r="F580" s="23"/>
      <c r="G580" s="23"/>
      <c r="H580" s="23"/>
      <c r="I580" s="23"/>
      <c r="J580" s="23"/>
      <c r="K580" s="23"/>
      <c r="L580" s="23"/>
      <c r="M580" s="23"/>
      <c r="N580" s="23"/>
      <c r="O580" s="23"/>
      <c r="P580" s="23"/>
      <c r="Q580" s="23"/>
      <c r="R580" s="23"/>
    </row>
    <row r="581" spans="2:18" x14ac:dyDescent="0.35">
      <c r="B581" s="22"/>
      <c r="F581" s="23"/>
      <c r="G581" s="23"/>
      <c r="H581" s="23"/>
      <c r="I581" s="23"/>
      <c r="J581" s="23"/>
      <c r="K581" s="23"/>
      <c r="L581" s="23"/>
      <c r="M581" s="23"/>
      <c r="N581" s="23"/>
      <c r="O581" s="23"/>
      <c r="P581" s="23"/>
      <c r="Q581" s="23"/>
      <c r="R581" s="23"/>
    </row>
    <row r="582" spans="2:18" x14ac:dyDescent="0.35">
      <c r="B582" s="22"/>
      <c r="F582" s="23"/>
      <c r="G582" s="23"/>
      <c r="H582" s="23"/>
      <c r="I582" s="23"/>
      <c r="J582" s="23"/>
      <c r="K582" s="23"/>
      <c r="L582" s="23"/>
      <c r="M582" s="23"/>
      <c r="N582" s="23"/>
      <c r="O582" s="23"/>
      <c r="P582" s="23"/>
      <c r="Q582" s="23"/>
      <c r="R582" s="23"/>
    </row>
    <row r="583" spans="2:18" x14ac:dyDescent="0.35">
      <c r="B583" s="22"/>
      <c r="F583" s="23"/>
      <c r="G583" s="23"/>
      <c r="H583" s="23"/>
      <c r="I583" s="23"/>
      <c r="J583" s="23"/>
      <c r="K583" s="23"/>
      <c r="L583" s="23"/>
      <c r="M583" s="23"/>
      <c r="N583" s="23"/>
      <c r="O583" s="23"/>
      <c r="P583" s="23"/>
      <c r="Q583" s="23"/>
      <c r="R583" s="23"/>
    </row>
    <row r="584" spans="2:18" x14ac:dyDescent="0.35">
      <c r="B584" s="22"/>
      <c r="F584" s="23"/>
      <c r="G584" s="23"/>
      <c r="H584" s="23"/>
      <c r="I584" s="23"/>
      <c r="J584" s="23"/>
      <c r="K584" s="23"/>
      <c r="L584" s="23"/>
      <c r="M584" s="23"/>
      <c r="N584" s="23"/>
      <c r="O584" s="23"/>
      <c r="P584" s="23"/>
      <c r="Q584" s="23"/>
      <c r="R584" s="23"/>
    </row>
    <row r="585" spans="2:18" x14ac:dyDescent="0.35">
      <c r="B585" s="22"/>
      <c r="F585" s="23"/>
      <c r="G585" s="23"/>
      <c r="H585" s="23"/>
      <c r="I585" s="23"/>
      <c r="J585" s="23"/>
      <c r="K585" s="23"/>
      <c r="L585" s="23"/>
      <c r="M585" s="23"/>
      <c r="N585" s="23"/>
      <c r="O585" s="23"/>
      <c r="P585" s="23"/>
      <c r="Q585" s="23"/>
      <c r="R585" s="23"/>
    </row>
    <row r="586" spans="2:18" x14ac:dyDescent="0.35">
      <c r="B586" s="22"/>
      <c r="F586" s="23"/>
      <c r="G586" s="23"/>
      <c r="H586" s="23"/>
      <c r="I586" s="23"/>
      <c r="J586" s="23"/>
      <c r="K586" s="23"/>
      <c r="L586" s="23"/>
      <c r="M586" s="23"/>
      <c r="N586" s="23"/>
      <c r="O586" s="23"/>
      <c r="P586" s="23"/>
      <c r="Q586" s="23"/>
      <c r="R586" s="23"/>
    </row>
    <row r="587" spans="2:18" x14ac:dyDescent="0.35">
      <c r="B587" s="22"/>
      <c r="F587" s="23"/>
      <c r="G587" s="23"/>
      <c r="H587" s="23"/>
      <c r="I587" s="23"/>
      <c r="J587" s="23"/>
      <c r="K587" s="23"/>
      <c r="L587" s="23"/>
      <c r="M587" s="23"/>
      <c r="N587" s="23"/>
      <c r="O587" s="23"/>
      <c r="P587" s="23"/>
      <c r="Q587" s="23"/>
      <c r="R587" s="23"/>
    </row>
    <row r="588" spans="2:18" x14ac:dyDescent="0.35">
      <c r="B588" s="22"/>
      <c r="F588" s="23"/>
      <c r="G588" s="23"/>
      <c r="H588" s="23"/>
      <c r="I588" s="23"/>
      <c r="J588" s="23"/>
      <c r="K588" s="23"/>
      <c r="L588" s="23"/>
      <c r="M588" s="23"/>
      <c r="N588" s="23"/>
      <c r="O588" s="23"/>
      <c r="P588" s="23"/>
      <c r="Q588" s="23"/>
      <c r="R588" s="23"/>
    </row>
    <row r="589" spans="2:18" x14ac:dyDescent="0.35">
      <c r="B589" s="22"/>
      <c r="F589" s="23"/>
      <c r="G589" s="23"/>
      <c r="H589" s="23"/>
      <c r="I589" s="23"/>
      <c r="J589" s="23"/>
      <c r="K589" s="23"/>
      <c r="L589" s="23"/>
      <c r="M589" s="23"/>
      <c r="N589" s="23"/>
      <c r="O589" s="23"/>
      <c r="P589" s="23"/>
      <c r="Q589" s="23"/>
      <c r="R589" s="23"/>
    </row>
    <row r="590" spans="2:18" x14ac:dyDescent="0.35">
      <c r="B590" s="22"/>
      <c r="F590" s="23"/>
      <c r="G590" s="23"/>
      <c r="H590" s="23"/>
      <c r="I590" s="23"/>
      <c r="J590" s="23"/>
      <c r="K590" s="23"/>
      <c r="L590" s="23"/>
      <c r="M590" s="23"/>
      <c r="N590" s="23"/>
      <c r="O590" s="23"/>
      <c r="P590" s="23"/>
      <c r="Q590" s="23"/>
      <c r="R590" s="23"/>
    </row>
    <row r="591" spans="2:18" x14ac:dyDescent="0.35">
      <c r="B591" s="22"/>
      <c r="F591" s="23"/>
      <c r="G591" s="23"/>
      <c r="H591" s="23"/>
      <c r="I591" s="23"/>
      <c r="J591" s="23"/>
      <c r="K591" s="23"/>
      <c r="L591" s="23"/>
      <c r="M591" s="23"/>
      <c r="N591" s="23"/>
      <c r="O591" s="23"/>
      <c r="P591" s="23"/>
      <c r="Q591" s="23"/>
      <c r="R591" s="23"/>
    </row>
    <row r="592" spans="2:18" x14ac:dyDescent="0.35">
      <c r="B592" s="22"/>
      <c r="F592" s="23"/>
      <c r="G592" s="23"/>
      <c r="H592" s="23"/>
      <c r="I592" s="23"/>
      <c r="J592" s="23"/>
      <c r="K592" s="23"/>
      <c r="L592" s="23"/>
      <c r="M592" s="23"/>
      <c r="N592" s="23"/>
      <c r="O592" s="23"/>
      <c r="P592" s="23"/>
      <c r="Q592" s="23"/>
      <c r="R592" s="23"/>
    </row>
    <row r="593" spans="2:18" x14ac:dyDescent="0.35">
      <c r="B593" s="22"/>
      <c r="F593" s="23"/>
      <c r="G593" s="23"/>
      <c r="H593" s="23"/>
      <c r="I593" s="23"/>
      <c r="J593" s="23"/>
      <c r="K593" s="23"/>
      <c r="L593" s="23"/>
      <c r="M593" s="23"/>
      <c r="N593" s="23"/>
      <c r="O593" s="23"/>
      <c r="P593" s="23"/>
      <c r="Q593" s="23"/>
      <c r="R593" s="23"/>
    </row>
    <row r="594" spans="2:18" x14ac:dyDescent="0.35">
      <c r="B594" s="22"/>
      <c r="F594" s="23"/>
      <c r="G594" s="23"/>
      <c r="H594" s="23"/>
      <c r="I594" s="23"/>
      <c r="J594" s="23"/>
      <c r="K594" s="23"/>
      <c r="L594" s="23"/>
      <c r="M594" s="23"/>
      <c r="N594" s="23"/>
      <c r="O594" s="23"/>
      <c r="P594" s="23"/>
      <c r="Q594" s="23"/>
      <c r="R594" s="23"/>
    </row>
    <row r="595" spans="2:18" x14ac:dyDescent="0.35">
      <c r="B595" s="22"/>
      <c r="F595" s="23"/>
      <c r="G595" s="23"/>
      <c r="H595" s="23"/>
      <c r="I595" s="23"/>
      <c r="J595" s="23"/>
      <c r="K595" s="23"/>
      <c r="L595" s="23"/>
      <c r="M595" s="23"/>
      <c r="N595" s="23"/>
      <c r="O595" s="23"/>
      <c r="P595" s="23"/>
      <c r="Q595" s="23"/>
      <c r="R595" s="23"/>
    </row>
    <row r="596" spans="2:18" x14ac:dyDescent="0.35">
      <c r="B596" s="22"/>
      <c r="F596" s="23"/>
      <c r="G596" s="23"/>
      <c r="H596" s="23"/>
      <c r="I596" s="23"/>
      <c r="J596" s="23"/>
      <c r="K596" s="23"/>
      <c r="L596" s="23"/>
      <c r="M596" s="23"/>
      <c r="N596" s="23"/>
      <c r="O596" s="23"/>
      <c r="P596" s="23"/>
      <c r="Q596" s="23"/>
      <c r="R596" s="23"/>
    </row>
    <row r="597" spans="2:18" x14ac:dyDescent="0.35">
      <c r="B597" s="22"/>
      <c r="F597" s="23"/>
      <c r="G597" s="23"/>
      <c r="H597" s="23"/>
      <c r="I597" s="23"/>
      <c r="J597" s="23"/>
      <c r="K597" s="23"/>
      <c r="L597" s="23"/>
      <c r="M597" s="23"/>
      <c r="N597" s="23"/>
      <c r="O597" s="23"/>
      <c r="P597" s="23"/>
      <c r="Q597" s="23"/>
      <c r="R597" s="23"/>
    </row>
    <row r="598" spans="2:18" x14ac:dyDescent="0.35">
      <c r="B598" s="22"/>
      <c r="F598" s="23"/>
      <c r="G598" s="23"/>
      <c r="H598" s="23"/>
      <c r="I598" s="23"/>
      <c r="J598" s="23"/>
      <c r="K598" s="23"/>
      <c r="L598" s="23"/>
      <c r="M598" s="23"/>
      <c r="N598" s="23"/>
      <c r="O598" s="23"/>
      <c r="P598" s="23"/>
      <c r="Q598" s="23"/>
      <c r="R598" s="23"/>
    </row>
    <row r="599" spans="2:18" x14ac:dyDescent="0.35">
      <c r="B599" s="22"/>
      <c r="F599" s="23"/>
      <c r="G599" s="23"/>
      <c r="H599" s="23"/>
      <c r="I599" s="23"/>
      <c r="J599" s="23"/>
      <c r="K599" s="23"/>
      <c r="L599" s="23"/>
      <c r="M599" s="23"/>
      <c r="N599" s="23"/>
      <c r="O599" s="23"/>
      <c r="P599" s="23"/>
      <c r="Q599" s="23"/>
      <c r="R599" s="23"/>
    </row>
    <row r="600" spans="2:18" x14ac:dyDescent="0.35">
      <c r="B600" s="22"/>
      <c r="F600" s="23"/>
      <c r="G600" s="23"/>
      <c r="H600" s="23"/>
      <c r="I600" s="23"/>
      <c r="J600" s="23"/>
      <c r="K600" s="23"/>
      <c r="L600" s="23"/>
      <c r="M600" s="23"/>
      <c r="N600" s="23"/>
      <c r="O600" s="23"/>
      <c r="P600" s="23"/>
      <c r="Q600" s="23"/>
      <c r="R600" s="23"/>
    </row>
    <row r="601" spans="2:18" x14ac:dyDescent="0.35">
      <c r="B601" s="22"/>
      <c r="F601" s="23"/>
      <c r="G601" s="23"/>
      <c r="H601" s="23"/>
      <c r="I601" s="23"/>
      <c r="J601" s="23"/>
      <c r="K601" s="23"/>
      <c r="L601" s="23"/>
      <c r="M601" s="23"/>
      <c r="N601" s="23"/>
      <c r="O601" s="23"/>
      <c r="P601" s="23"/>
      <c r="Q601" s="23"/>
      <c r="R601" s="23"/>
    </row>
    <row r="602" spans="2:18" x14ac:dyDescent="0.35">
      <c r="B602" s="22"/>
      <c r="F602" s="23"/>
      <c r="G602" s="23"/>
      <c r="H602" s="23"/>
      <c r="I602" s="23"/>
      <c r="J602" s="23"/>
      <c r="K602" s="23"/>
      <c r="L602" s="23"/>
      <c r="M602" s="23"/>
      <c r="N602" s="23"/>
      <c r="O602" s="23"/>
      <c r="P602" s="23"/>
      <c r="Q602" s="23"/>
      <c r="R602" s="23"/>
    </row>
    <row r="603" spans="2:18" x14ac:dyDescent="0.35">
      <c r="B603" s="22"/>
      <c r="F603" s="23"/>
      <c r="G603" s="23"/>
      <c r="H603" s="23"/>
      <c r="I603" s="23"/>
      <c r="J603" s="23"/>
      <c r="K603" s="23"/>
      <c r="L603" s="23"/>
      <c r="M603" s="23"/>
      <c r="N603" s="23"/>
      <c r="O603" s="23"/>
      <c r="P603" s="23"/>
      <c r="Q603" s="23"/>
      <c r="R603" s="23"/>
    </row>
    <row r="604" spans="2:18" x14ac:dyDescent="0.35">
      <c r="B604" s="22"/>
      <c r="F604" s="23"/>
      <c r="G604" s="23"/>
      <c r="H604" s="23"/>
      <c r="I604" s="23"/>
      <c r="J604" s="23"/>
      <c r="K604" s="23"/>
      <c r="L604" s="23"/>
      <c r="M604" s="23"/>
      <c r="N604" s="23"/>
      <c r="O604" s="23"/>
      <c r="P604" s="23"/>
      <c r="Q604" s="23"/>
      <c r="R604" s="23"/>
    </row>
    <row r="605" spans="2:18" x14ac:dyDescent="0.35">
      <c r="B605" s="22"/>
      <c r="F605" s="23"/>
      <c r="G605" s="23"/>
      <c r="H605" s="23"/>
      <c r="I605" s="23"/>
      <c r="J605" s="23"/>
      <c r="K605" s="23"/>
      <c r="L605" s="23"/>
      <c r="M605" s="23"/>
      <c r="N605" s="23"/>
      <c r="O605" s="23"/>
      <c r="P605" s="23"/>
      <c r="Q605" s="23"/>
      <c r="R605" s="23"/>
    </row>
    <row r="606" spans="2:18" x14ac:dyDescent="0.35">
      <c r="B606" s="22"/>
      <c r="F606" s="23"/>
      <c r="G606" s="23"/>
      <c r="H606" s="23"/>
      <c r="I606" s="23"/>
      <c r="J606" s="23"/>
      <c r="K606" s="23"/>
      <c r="L606" s="23"/>
      <c r="M606" s="23"/>
      <c r="N606" s="23"/>
      <c r="O606" s="23"/>
      <c r="P606" s="23"/>
      <c r="Q606" s="23"/>
      <c r="R606" s="23"/>
    </row>
    <row r="607" spans="2:18" x14ac:dyDescent="0.35">
      <c r="B607" s="22"/>
      <c r="F607" s="23"/>
      <c r="G607" s="23"/>
      <c r="H607" s="23"/>
      <c r="I607" s="23"/>
      <c r="J607" s="23"/>
      <c r="K607" s="23"/>
      <c r="L607" s="23"/>
      <c r="M607" s="23"/>
      <c r="N607" s="23"/>
      <c r="O607" s="23"/>
      <c r="P607" s="23"/>
      <c r="Q607" s="23"/>
      <c r="R607" s="23"/>
    </row>
    <row r="608" spans="2:18" x14ac:dyDescent="0.35">
      <c r="B608" s="22"/>
      <c r="F608" s="23"/>
      <c r="G608" s="23"/>
      <c r="H608" s="23"/>
      <c r="I608" s="23"/>
      <c r="J608" s="23"/>
      <c r="K608" s="23"/>
      <c r="L608" s="23"/>
      <c r="M608" s="23"/>
      <c r="N608" s="23"/>
      <c r="O608" s="23"/>
      <c r="P608" s="23"/>
      <c r="Q608" s="23"/>
      <c r="R608" s="23"/>
    </row>
    <row r="609" spans="2:18" x14ac:dyDescent="0.35">
      <c r="B609" s="22"/>
      <c r="F609" s="23"/>
      <c r="G609" s="23"/>
      <c r="H609" s="23"/>
      <c r="I609" s="23"/>
      <c r="J609" s="23"/>
      <c r="K609" s="23"/>
      <c r="L609" s="23"/>
      <c r="M609" s="23"/>
      <c r="N609" s="23"/>
      <c r="O609" s="23"/>
      <c r="P609" s="23"/>
      <c r="Q609" s="23"/>
      <c r="R609" s="23"/>
    </row>
    <row r="610" spans="2:18" x14ac:dyDescent="0.35">
      <c r="B610" s="22"/>
      <c r="F610" s="23"/>
      <c r="G610" s="23"/>
      <c r="H610" s="23"/>
      <c r="I610" s="23"/>
      <c r="J610" s="23"/>
      <c r="K610" s="23"/>
      <c r="L610" s="23"/>
      <c r="M610" s="23"/>
      <c r="N610" s="23"/>
      <c r="O610" s="23"/>
      <c r="P610" s="23"/>
      <c r="Q610" s="23"/>
      <c r="R610" s="23"/>
    </row>
    <row r="611" spans="2:18" x14ac:dyDescent="0.35">
      <c r="B611" s="22"/>
      <c r="F611" s="23"/>
      <c r="G611" s="23"/>
      <c r="H611" s="23"/>
      <c r="I611" s="23"/>
      <c r="J611" s="23"/>
      <c r="K611" s="23"/>
      <c r="L611" s="23"/>
      <c r="M611" s="23"/>
      <c r="N611" s="23"/>
      <c r="O611" s="23"/>
      <c r="P611" s="23"/>
      <c r="Q611" s="23"/>
      <c r="R611" s="23"/>
    </row>
    <row r="612" spans="2:18" x14ac:dyDescent="0.35">
      <c r="B612" s="22"/>
      <c r="F612" s="23"/>
      <c r="G612" s="23"/>
      <c r="H612" s="23"/>
      <c r="I612" s="23"/>
      <c r="J612" s="23"/>
      <c r="K612" s="23"/>
      <c r="L612" s="23"/>
      <c r="M612" s="23"/>
      <c r="N612" s="23"/>
      <c r="O612" s="23"/>
      <c r="P612" s="23"/>
      <c r="Q612" s="23"/>
      <c r="R612" s="23"/>
    </row>
    <row r="613" spans="2:18" x14ac:dyDescent="0.35">
      <c r="B613" s="22"/>
      <c r="F613" s="23"/>
      <c r="G613" s="23"/>
      <c r="H613" s="23"/>
      <c r="I613" s="23"/>
      <c r="J613" s="23"/>
      <c r="K613" s="23"/>
      <c r="L613" s="23"/>
      <c r="M613" s="23"/>
      <c r="N613" s="23"/>
      <c r="O613" s="23"/>
      <c r="P613" s="23"/>
      <c r="Q613" s="23"/>
      <c r="R613" s="23"/>
    </row>
    <row r="614" spans="2:18" x14ac:dyDescent="0.35">
      <c r="B614" s="22"/>
      <c r="F614" s="23"/>
      <c r="G614" s="23"/>
      <c r="H614" s="23"/>
      <c r="I614" s="23"/>
      <c r="J614" s="23"/>
      <c r="K614" s="23"/>
      <c r="L614" s="23"/>
      <c r="M614" s="23"/>
      <c r="N614" s="23"/>
      <c r="O614" s="23"/>
      <c r="P614" s="23"/>
      <c r="Q614" s="23"/>
      <c r="R614" s="23"/>
    </row>
    <row r="615" spans="2:18" x14ac:dyDescent="0.35">
      <c r="B615" s="22"/>
      <c r="F615" s="23"/>
      <c r="G615" s="23"/>
      <c r="H615" s="23"/>
      <c r="I615" s="23"/>
      <c r="J615" s="23"/>
      <c r="K615" s="23"/>
      <c r="L615" s="23"/>
      <c r="M615" s="23"/>
      <c r="N615" s="23"/>
      <c r="O615" s="23"/>
      <c r="P615" s="23"/>
      <c r="Q615" s="23"/>
      <c r="R615" s="23"/>
    </row>
    <row r="616" spans="2:18" x14ac:dyDescent="0.35">
      <c r="B616" s="22"/>
      <c r="F616" s="23"/>
      <c r="G616" s="23"/>
      <c r="H616" s="23"/>
      <c r="I616" s="23"/>
      <c r="J616" s="23"/>
      <c r="K616" s="23"/>
      <c r="L616" s="23"/>
      <c r="M616" s="23"/>
      <c r="N616" s="23"/>
      <c r="O616" s="23"/>
      <c r="P616" s="23"/>
      <c r="Q616" s="23"/>
      <c r="R616" s="23"/>
    </row>
    <row r="617" spans="2:18" x14ac:dyDescent="0.35">
      <c r="B617" s="22"/>
      <c r="F617" s="23"/>
      <c r="G617" s="23"/>
      <c r="H617" s="23"/>
      <c r="I617" s="23"/>
      <c r="J617" s="23"/>
      <c r="K617" s="23"/>
      <c r="L617" s="23"/>
      <c r="M617" s="23"/>
      <c r="N617" s="23"/>
      <c r="O617" s="23"/>
      <c r="P617" s="23"/>
      <c r="Q617" s="23"/>
      <c r="R617" s="23"/>
    </row>
    <row r="618" spans="2:18" x14ac:dyDescent="0.35">
      <c r="B618" s="22"/>
      <c r="F618" s="23"/>
      <c r="G618" s="23"/>
      <c r="H618" s="23"/>
      <c r="I618" s="23"/>
      <c r="J618" s="23"/>
      <c r="K618" s="23"/>
      <c r="L618" s="23"/>
      <c r="M618" s="23"/>
      <c r="N618" s="23"/>
      <c r="O618" s="23"/>
      <c r="P618" s="23"/>
      <c r="Q618" s="23"/>
      <c r="R618" s="23"/>
    </row>
    <row r="619" spans="2:18" x14ac:dyDescent="0.35">
      <c r="B619" s="22"/>
      <c r="F619" s="23"/>
      <c r="G619" s="23"/>
      <c r="H619" s="23"/>
      <c r="I619" s="23"/>
      <c r="J619" s="23"/>
      <c r="K619" s="23"/>
      <c r="L619" s="23"/>
      <c r="M619" s="23"/>
      <c r="N619" s="23"/>
      <c r="O619" s="23"/>
      <c r="P619" s="23"/>
      <c r="Q619" s="23"/>
      <c r="R619" s="23"/>
    </row>
    <row r="620" spans="2:18" x14ac:dyDescent="0.35">
      <c r="B620" s="22"/>
      <c r="F620" s="23"/>
      <c r="G620" s="23"/>
      <c r="H620" s="23"/>
      <c r="I620" s="23"/>
      <c r="J620" s="23"/>
      <c r="K620" s="23"/>
      <c r="L620" s="23"/>
      <c r="M620" s="23"/>
      <c r="N620" s="23"/>
      <c r="O620" s="23"/>
      <c r="P620" s="23"/>
      <c r="Q620" s="23"/>
      <c r="R620" s="23"/>
    </row>
    <row r="621" spans="2:18" x14ac:dyDescent="0.35">
      <c r="B621" s="22"/>
      <c r="F621" s="23"/>
      <c r="G621" s="23"/>
      <c r="H621" s="23"/>
      <c r="I621" s="23"/>
      <c r="J621" s="23"/>
      <c r="K621" s="23"/>
      <c r="L621" s="23"/>
      <c r="M621" s="23"/>
      <c r="N621" s="23"/>
      <c r="O621" s="23"/>
      <c r="P621" s="23"/>
      <c r="Q621" s="23"/>
      <c r="R621" s="23"/>
    </row>
    <row r="622" spans="2:18" x14ac:dyDescent="0.35">
      <c r="B622" s="22"/>
      <c r="F622" s="23"/>
      <c r="G622" s="23"/>
      <c r="H622" s="23"/>
      <c r="I622" s="23"/>
      <c r="J622" s="23"/>
      <c r="K622" s="23"/>
      <c r="L622" s="23"/>
      <c r="M622" s="23"/>
      <c r="N622" s="23"/>
      <c r="O622" s="23"/>
      <c r="P622" s="23"/>
      <c r="Q622" s="23"/>
      <c r="R622" s="23"/>
    </row>
    <row r="623" spans="2:18" x14ac:dyDescent="0.35">
      <c r="B623" s="22"/>
      <c r="F623" s="23"/>
      <c r="G623" s="23"/>
      <c r="H623" s="23"/>
      <c r="I623" s="23"/>
      <c r="J623" s="23"/>
      <c r="K623" s="23"/>
      <c r="L623" s="23"/>
      <c r="M623" s="23"/>
      <c r="N623" s="23"/>
      <c r="O623" s="23"/>
      <c r="P623" s="23"/>
      <c r="Q623" s="23"/>
      <c r="R623" s="23"/>
    </row>
    <row r="624" spans="2:18" x14ac:dyDescent="0.35">
      <c r="B624" s="22"/>
      <c r="F624" s="23"/>
      <c r="G624" s="23"/>
      <c r="H624" s="23"/>
      <c r="I624" s="23"/>
      <c r="J624" s="23"/>
      <c r="K624" s="23"/>
      <c r="L624" s="23"/>
      <c r="M624" s="23"/>
      <c r="N624" s="23"/>
      <c r="O624" s="23"/>
      <c r="P624" s="23"/>
      <c r="Q624" s="23"/>
      <c r="R624" s="23"/>
    </row>
    <row r="625" spans="2:18" x14ac:dyDescent="0.35">
      <c r="B625" s="22"/>
      <c r="F625" s="23"/>
      <c r="G625" s="23"/>
      <c r="H625" s="23"/>
      <c r="I625" s="23"/>
      <c r="J625" s="23"/>
      <c r="K625" s="23"/>
      <c r="L625" s="23"/>
      <c r="M625" s="23"/>
      <c r="N625" s="23"/>
      <c r="O625" s="23"/>
      <c r="P625" s="23"/>
      <c r="Q625" s="23"/>
      <c r="R625" s="23"/>
    </row>
    <row r="626" spans="2:18" x14ac:dyDescent="0.35">
      <c r="B626" s="22"/>
      <c r="F626" s="23"/>
      <c r="G626" s="23"/>
      <c r="H626" s="23"/>
      <c r="I626" s="23"/>
      <c r="J626" s="23"/>
      <c r="K626" s="23"/>
      <c r="L626" s="23"/>
      <c r="M626" s="23"/>
      <c r="N626" s="23"/>
      <c r="O626" s="23"/>
      <c r="P626" s="23"/>
      <c r="Q626" s="23"/>
      <c r="R626" s="23"/>
    </row>
    <row r="627" spans="2:18" x14ac:dyDescent="0.35">
      <c r="B627" s="22"/>
      <c r="F627" s="23"/>
      <c r="G627" s="23"/>
      <c r="H627" s="23"/>
      <c r="I627" s="23"/>
      <c r="J627" s="23"/>
      <c r="K627" s="23"/>
      <c r="L627" s="23"/>
      <c r="M627" s="23"/>
      <c r="N627" s="23"/>
      <c r="O627" s="23"/>
      <c r="P627" s="23"/>
      <c r="Q627" s="23"/>
      <c r="R627" s="23"/>
    </row>
    <row r="628" spans="2:18" x14ac:dyDescent="0.35">
      <c r="B628" s="22"/>
      <c r="F628" s="23"/>
      <c r="G628" s="23"/>
      <c r="H628" s="23"/>
      <c r="I628" s="23"/>
      <c r="J628" s="23"/>
      <c r="K628" s="23"/>
      <c r="L628" s="23"/>
      <c r="M628" s="23"/>
      <c r="N628" s="23"/>
      <c r="O628" s="23"/>
      <c r="P628" s="23"/>
      <c r="Q628" s="23"/>
      <c r="R628" s="23"/>
    </row>
    <row r="629" spans="2:18" x14ac:dyDescent="0.35">
      <c r="B629" s="22"/>
      <c r="F629" s="23"/>
      <c r="G629" s="23"/>
      <c r="H629" s="23"/>
      <c r="I629" s="23"/>
      <c r="J629" s="23"/>
      <c r="K629" s="23"/>
      <c r="L629" s="23"/>
      <c r="M629" s="23"/>
      <c r="N629" s="23"/>
      <c r="O629" s="23"/>
      <c r="P629" s="23"/>
      <c r="Q629" s="23"/>
      <c r="R629" s="23"/>
    </row>
    <row r="630" spans="2:18" x14ac:dyDescent="0.35">
      <c r="B630" s="22"/>
      <c r="F630" s="23"/>
      <c r="G630" s="23"/>
      <c r="H630" s="23"/>
      <c r="I630" s="23"/>
      <c r="J630" s="23"/>
      <c r="K630" s="23"/>
      <c r="L630" s="23"/>
      <c r="M630" s="23"/>
      <c r="N630" s="23"/>
      <c r="O630" s="23"/>
      <c r="P630" s="23"/>
      <c r="Q630" s="23"/>
      <c r="R630" s="23"/>
    </row>
    <row r="631" spans="2:18" x14ac:dyDescent="0.35">
      <c r="B631" s="22"/>
      <c r="F631" s="23"/>
      <c r="G631" s="23"/>
      <c r="H631" s="23"/>
      <c r="I631" s="23"/>
      <c r="J631" s="23"/>
      <c r="K631" s="23"/>
      <c r="L631" s="23"/>
      <c r="M631" s="23"/>
      <c r="N631" s="23"/>
      <c r="O631" s="23"/>
      <c r="P631" s="23"/>
      <c r="Q631" s="23"/>
      <c r="R631" s="23"/>
    </row>
    <row r="632" spans="2:18" x14ac:dyDescent="0.35">
      <c r="B632" s="22"/>
      <c r="F632" s="23"/>
      <c r="G632" s="23"/>
      <c r="H632" s="23"/>
      <c r="I632" s="23"/>
      <c r="J632" s="23"/>
      <c r="K632" s="23"/>
      <c r="L632" s="23"/>
      <c r="M632" s="23"/>
      <c r="N632" s="23"/>
      <c r="O632" s="23"/>
      <c r="P632" s="23"/>
      <c r="Q632" s="23"/>
      <c r="R632" s="23"/>
    </row>
    <row r="633" spans="2:18" x14ac:dyDescent="0.35">
      <c r="B633" s="22"/>
      <c r="F633" s="23"/>
      <c r="G633" s="23"/>
      <c r="H633" s="23"/>
      <c r="I633" s="23"/>
      <c r="J633" s="23"/>
      <c r="K633" s="23"/>
      <c r="L633" s="23"/>
      <c r="M633" s="23"/>
      <c r="N633" s="23"/>
      <c r="O633" s="23"/>
      <c r="P633" s="23"/>
      <c r="Q633" s="23"/>
      <c r="R633" s="23"/>
    </row>
    <row r="634" spans="2:18" x14ac:dyDescent="0.35">
      <c r="B634" s="22"/>
      <c r="F634" s="23"/>
      <c r="G634" s="23"/>
      <c r="H634" s="23"/>
      <c r="I634" s="23"/>
      <c r="J634" s="23"/>
      <c r="K634" s="23"/>
      <c r="L634" s="23"/>
      <c r="M634" s="23"/>
      <c r="N634" s="23"/>
      <c r="O634" s="23"/>
      <c r="P634" s="23"/>
      <c r="Q634" s="23"/>
      <c r="R634" s="23"/>
    </row>
    <row r="635" spans="2:18" x14ac:dyDescent="0.35">
      <c r="B635" s="22"/>
      <c r="F635" s="23"/>
      <c r="G635" s="23"/>
      <c r="H635" s="23"/>
      <c r="I635" s="23"/>
      <c r="J635" s="23"/>
      <c r="K635" s="23"/>
      <c r="L635" s="23"/>
      <c r="M635" s="23"/>
      <c r="N635" s="23"/>
      <c r="O635" s="23"/>
      <c r="P635" s="23"/>
      <c r="Q635" s="23"/>
      <c r="R635" s="23"/>
    </row>
    <row r="636" spans="2:18" x14ac:dyDescent="0.35">
      <c r="B636" s="22"/>
      <c r="F636" s="23"/>
      <c r="G636" s="23"/>
      <c r="H636" s="23"/>
      <c r="I636" s="23"/>
      <c r="J636" s="23"/>
      <c r="K636" s="23"/>
      <c r="L636" s="23"/>
      <c r="M636" s="23"/>
      <c r="N636" s="23"/>
      <c r="O636" s="23"/>
      <c r="P636" s="23"/>
      <c r="Q636" s="23"/>
      <c r="R636" s="23"/>
    </row>
    <row r="637" spans="2:18" x14ac:dyDescent="0.35">
      <c r="B637" s="22"/>
      <c r="F637" s="23"/>
      <c r="G637" s="23"/>
      <c r="H637" s="23"/>
      <c r="I637" s="23"/>
      <c r="J637" s="23"/>
      <c r="K637" s="23"/>
      <c r="L637" s="23"/>
      <c r="M637" s="23"/>
      <c r="N637" s="23"/>
      <c r="O637" s="23"/>
      <c r="P637" s="23"/>
      <c r="Q637" s="23"/>
      <c r="R637" s="23"/>
    </row>
    <row r="638" spans="2:18" x14ac:dyDescent="0.35">
      <c r="B638" s="22"/>
      <c r="F638" s="23"/>
      <c r="G638" s="23"/>
      <c r="H638" s="23"/>
      <c r="I638" s="23"/>
      <c r="J638" s="23"/>
      <c r="K638" s="23"/>
      <c r="L638" s="23"/>
      <c r="M638" s="23"/>
      <c r="N638" s="23"/>
      <c r="O638" s="23"/>
      <c r="P638" s="23"/>
      <c r="Q638" s="23"/>
      <c r="R638" s="23"/>
    </row>
    <row r="639" spans="2:18" x14ac:dyDescent="0.35">
      <c r="B639" s="22"/>
      <c r="F639" s="23"/>
      <c r="G639" s="23"/>
      <c r="H639" s="23"/>
      <c r="I639" s="23"/>
      <c r="J639" s="23"/>
      <c r="K639" s="23"/>
      <c r="L639" s="23"/>
      <c r="M639" s="23"/>
      <c r="N639" s="23"/>
      <c r="O639" s="23"/>
      <c r="P639" s="23"/>
      <c r="Q639" s="23"/>
      <c r="R639" s="23"/>
    </row>
    <row r="640" spans="2:18" x14ac:dyDescent="0.35">
      <c r="B640" s="22"/>
      <c r="F640" s="23"/>
      <c r="G640" s="23"/>
      <c r="H640" s="23"/>
      <c r="I640" s="23"/>
      <c r="J640" s="23"/>
      <c r="K640" s="23"/>
      <c r="L640" s="23"/>
      <c r="M640" s="23"/>
      <c r="N640" s="23"/>
      <c r="O640" s="23"/>
      <c r="P640" s="23"/>
      <c r="Q640" s="23"/>
      <c r="R640" s="23"/>
    </row>
    <row r="641" spans="2:18" x14ac:dyDescent="0.35">
      <c r="B641" s="22"/>
      <c r="F641" s="23"/>
      <c r="G641" s="23"/>
      <c r="H641" s="23"/>
      <c r="I641" s="23"/>
      <c r="J641" s="23"/>
      <c r="K641" s="23"/>
      <c r="L641" s="23"/>
      <c r="M641" s="23"/>
      <c r="N641" s="23"/>
      <c r="O641" s="23"/>
      <c r="P641" s="23"/>
      <c r="Q641" s="23"/>
      <c r="R641" s="23"/>
    </row>
    <row r="642" spans="2:18" x14ac:dyDescent="0.35">
      <c r="B642" s="22"/>
      <c r="F642" s="23"/>
      <c r="G642" s="23"/>
      <c r="H642" s="23"/>
      <c r="I642" s="23"/>
      <c r="J642" s="23"/>
      <c r="K642" s="23"/>
      <c r="L642" s="23"/>
      <c r="M642" s="23"/>
      <c r="N642" s="23"/>
      <c r="O642" s="23"/>
      <c r="P642" s="23"/>
      <c r="Q642" s="23"/>
      <c r="R642" s="23"/>
    </row>
    <row r="643" spans="2:18" x14ac:dyDescent="0.35">
      <c r="B643" s="22"/>
      <c r="F643" s="23"/>
      <c r="G643" s="23"/>
      <c r="H643" s="23"/>
      <c r="I643" s="23"/>
      <c r="J643" s="23"/>
      <c r="K643" s="23"/>
      <c r="L643" s="23"/>
      <c r="M643" s="23"/>
      <c r="N643" s="23"/>
      <c r="O643" s="23"/>
      <c r="P643" s="23"/>
      <c r="Q643" s="23"/>
      <c r="R643" s="23"/>
    </row>
    <row r="644" spans="2:18" x14ac:dyDescent="0.35">
      <c r="B644" s="22"/>
      <c r="F644" s="23"/>
      <c r="G644" s="23"/>
      <c r="H644" s="23"/>
      <c r="I644" s="23"/>
      <c r="J644" s="23"/>
      <c r="K644" s="23"/>
      <c r="L644" s="23"/>
      <c r="M644" s="23"/>
      <c r="N644" s="23"/>
      <c r="O644" s="23"/>
      <c r="P644" s="23"/>
      <c r="Q644" s="23"/>
      <c r="R644" s="23"/>
    </row>
    <row r="645" spans="2:18" x14ac:dyDescent="0.35">
      <c r="B645" s="22"/>
      <c r="F645" s="23"/>
      <c r="G645" s="23"/>
      <c r="H645" s="23"/>
      <c r="I645" s="23"/>
      <c r="J645" s="23"/>
      <c r="K645" s="23"/>
      <c r="L645" s="23"/>
      <c r="M645" s="23"/>
      <c r="N645" s="23"/>
      <c r="O645" s="23"/>
      <c r="P645" s="23"/>
      <c r="Q645" s="23"/>
      <c r="R645" s="23"/>
    </row>
    <row r="646" spans="2:18" x14ac:dyDescent="0.35">
      <c r="B646" s="22"/>
      <c r="F646" s="23"/>
      <c r="G646" s="23"/>
      <c r="H646" s="23"/>
      <c r="I646" s="23"/>
      <c r="J646" s="23"/>
      <c r="K646" s="23"/>
      <c r="L646" s="23"/>
      <c r="M646" s="23"/>
      <c r="N646" s="23"/>
      <c r="O646" s="23"/>
      <c r="P646" s="23"/>
      <c r="Q646" s="23"/>
      <c r="R646" s="23"/>
    </row>
    <row r="647" spans="2:18" x14ac:dyDescent="0.35">
      <c r="B647" s="22"/>
      <c r="F647" s="23"/>
      <c r="G647" s="23"/>
      <c r="H647" s="23"/>
      <c r="I647" s="23"/>
      <c r="J647" s="23"/>
      <c r="K647" s="23"/>
      <c r="L647" s="23"/>
      <c r="M647" s="23"/>
      <c r="N647" s="23"/>
      <c r="O647" s="23"/>
      <c r="P647" s="23"/>
      <c r="Q647" s="23"/>
      <c r="R647" s="23"/>
    </row>
    <row r="648" spans="2:18" x14ac:dyDescent="0.35">
      <c r="B648" s="22"/>
      <c r="F648" s="23"/>
      <c r="G648" s="23"/>
      <c r="H648" s="23"/>
      <c r="I648" s="23"/>
      <c r="J648" s="23"/>
      <c r="K648" s="23"/>
      <c r="L648" s="23"/>
      <c r="M648" s="23"/>
      <c r="N648" s="23"/>
      <c r="O648" s="23"/>
      <c r="P648" s="23"/>
      <c r="Q648" s="23"/>
      <c r="R648" s="23"/>
    </row>
    <row r="649" spans="2:18" x14ac:dyDescent="0.35">
      <c r="B649" s="22"/>
      <c r="F649" s="23"/>
      <c r="G649" s="23"/>
      <c r="H649" s="23"/>
      <c r="I649" s="23"/>
      <c r="J649" s="23"/>
      <c r="K649" s="23"/>
      <c r="L649" s="23"/>
      <c r="M649" s="23"/>
      <c r="N649" s="23"/>
      <c r="O649" s="23"/>
      <c r="P649" s="23"/>
      <c r="Q649" s="23"/>
      <c r="R649" s="23"/>
    </row>
    <row r="650" spans="2:18" x14ac:dyDescent="0.35">
      <c r="B650" s="22"/>
      <c r="F650" s="23"/>
      <c r="G650" s="23"/>
      <c r="H650" s="23"/>
      <c r="I650" s="23"/>
      <c r="J650" s="23"/>
      <c r="K650" s="23"/>
      <c r="L650" s="23"/>
      <c r="M650" s="23"/>
      <c r="N650" s="23"/>
      <c r="O650" s="23"/>
      <c r="P650" s="23"/>
      <c r="Q650" s="23"/>
      <c r="R650" s="23"/>
    </row>
    <row r="651" spans="2:18" x14ac:dyDescent="0.35">
      <c r="B651" s="22"/>
      <c r="F651" s="23"/>
      <c r="G651" s="23"/>
      <c r="H651" s="23"/>
      <c r="I651" s="23"/>
      <c r="J651" s="23"/>
      <c r="K651" s="23"/>
      <c r="L651" s="23"/>
      <c r="M651" s="23"/>
      <c r="N651" s="23"/>
      <c r="O651" s="23"/>
      <c r="P651" s="23"/>
      <c r="Q651" s="23"/>
      <c r="R651" s="23"/>
    </row>
    <row r="652" spans="2:18" x14ac:dyDescent="0.35">
      <c r="B652" s="22"/>
      <c r="F652" s="23"/>
      <c r="G652" s="23"/>
      <c r="H652" s="23"/>
      <c r="I652" s="23"/>
      <c r="J652" s="23"/>
      <c r="K652" s="23"/>
      <c r="L652" s="23"/>
      <c r="M652" s="23"/>
      <c r="N652" s="23"/>
      <c r="O652" s="23"/>
      <c r="P652" s="23"/>
      <c r="Q652" s="23"/>
      <c r="R652" s="23"/>
    </row>
    <row r="653" spans="2:18" x14ac:dyDescent="0.35">
      <c r="B653" s="22"/>
      <c r="F653" s="23"/>
      <c r="G653" s="23"/>
      <c r="H653" s="23"/>
      <c r="I653" s="23"/>
      <c r="J653" s="23"/>
      <c r="K653" s="23"/>
      <c r="L653" s="23"/>
      <c r="M653" s="23"/>
      <c r="N653" s="23"/>
      <c r="O653" s="23"/>
      <c r="P653" s="23"/>
      <c r="Q653" s="23"/>
      <c r="R653" s="23"/>
    </row>
    <row r="654" spans="2:18" x14ac:dyDescent="0.35">
      <c r="B654" s="22"/>
      <c r="F654" s="23"/>
      <c r="G654" s="23"/>
      <c r="H654" s="23"/>
      <c r="I654" s="23"/>
      <c r="J654" s="23"/>
      <c r="K654" s="23"/>
      <c r="L654" s="23"/>
      <c r="M654" s="23"/>
      <c r="N654" s="23"/>
      <c r="O654" s="23"/>
      <c r="P654" s="23"/>
      <c r="Q654" s="23"/>
      <c r="R654" s="23"/>
    </row>
    <row r="655" spans="2:18" x14ac:dyDescent="0.35">
      <c r="B655" s="22"/>
      <c r="F655" s="23"/>
      <c r="G655" s="23"/>
      <c r="H655" s="23"/>
      <c r="I655" s="23"/>
      <c r="J655" s="23"/>
      <c r="K655" s="23"/>
      <c r="L655" s="23"/>
      <c r="M655" s="23"/>
      <c r="N655" s="23"/>
      <c r="O655" s="23"/>
      <c r="P655" s="23"/>
      <c r="Q655" s="23"/>
      <c r="R655" s="23"/>
    </row>
    <row r="656" spans="2:18" x14ac:dyDescent="0.35">
      <c r="B656" s="22"/>
      <c r="F656" s="23"/>
      <c r="G656" s="23"/>
      <c r="H656" s="23"/>
      <c r="I656" s="23"/>
      <c r="J656" s="23"/>
      <c r="K656" s="23"/>
      <c r="L656" s="23"/>
      <c r="M656" s="23"/>
      <c r="N656" s="23"/>
      <c r="O656" s="23"/>
      <c r="P656" s="23"/>
      <c r="Q656" s="23"/>
      <c r="R656" s="23"/>
    </row>
    <row r="657" spans="2:18" x14ac:dyDescent="0.35">
      <c r="B657" s="22"/>
      <c r="F657" s="23"/>
      <c r="G657" s="23"/>
      <c r="H657" s="23"/>
      <c r="I657" s="23"/>
      <c r="J657" s="23"/>
      <c r="K657" s="23"/>
      <c r="L657" s="23"/>
      <c r="M657" s="23"/>
      <c r="N657" s="23"/>
      <c r="O657" s="23"/>
      <c r="P657" s="23"/>
      <c r="Q657" s="23"/>
      <c r="R657" s="23"/>
    </row>
    <row r="658" spans="2:18" x14ac:dyDescent="0.35">
      <c r="B658" s="22"/>
      <c r="F658" s="23"/>
      <c r="G658" s="23"/>
      <c r="H658" s="23"/>
      <c r="I658" s="23"/>
      <c r="J658" s="23"/>
      <c r="K658" s="23"/>
      <c r="L658" s="23"/>
      <c r="M658" s="23"/>
      <c r="N658" s="23"/>
      <c r="O658" s="23"/>
      <c r="P658" s="23"/>
      <c r="Q658" s="23"/>
      <c r="R658" s="23"/>
    </row>
    <row r="659" spans="2:18" x14ac:dyDescent="0.35">
      <c r="B659" s="22"/>
      <c r="F659" s="23"/>
      <c r="G659" s="23"/>
      <c r="H659" s="23"/>
      <c r="I659" s="23"/>
      <c r="J659" s="23"/>
      <c r="K659" s="23"/>
      <c r="L659" s="23"/>
      <c r="M659" s="23"/>
      <c r="N659" s="23"/>
      <c r="O659" s="23"/>
      <c r="P659" s="23"/>
      <c r="Q659" s="23"/>
      <c r="R659" s="23"/>
    </row>
    <row r="660" spans="2:18" x14ac:dyDescent="0.35">
      <c r="B660" s="22"/>
      <c r="F660" s="23"/>
      <c r="G660" s="23"/>
      <c r="H660" s="23"/>
      <c r="I660" s="23"/>
      <c r="J660" s="23"/>
      <c r="K660" s="23"/>
      <c r="L660" s="23"/>
      <c r="M660" s="23"/>
      <c r="N660" s="23"/>
      <c r="O660" s="23"/>
      <c r="P660" s="23"/>
      <c r="Q660" s="23"/>
      <c r="R660" s="23"/>
    </row>
    <row r="661" spans="2:18" x14ac:dyDescent="0.35">
      <c r="B661" s="22"/>
      <c r="F661" s="23"/>
      <c r="G661" s="23"/>
      <c r="H661" s="23"/>
      <c r="I661" s="23"/>
      <c r="J661" s="23"/>
      <c r="K661" s="23"/>
      <c r="L661" s="23"/>
      <c r="M661" s="23"/>
      <c r="N661" s="23"/>
      <c r="O661" s="23"/>
      <c r="P661" s="23"/>
      <c r="Q661" s="23"/>
      <c r="R661" s="23"/>
    </row>
    <row r="662" spans="2:18" x14ac:dyDescent="0.35">
      <c r="B662" s="22"/>
      <c r="F662" s="23"/>
      <c r="G662" s="23"/>
      <c r="H662" s="23"/>
      <c r="I662" s="23"/>
      <c r="J662" s="23"/>
      <c r="K662" s="23"/>
      <c r="L662" s="23"/>
      <c r="M662" s="23"/>
      <c r="N662" s="23"/>
      <c r="O662" s="23"/>
      <c r="P662" s="23"/>
      <c r="Q662" s="23"/>
      <c r="R662" s="23"/>
    </row>
    <row r="663" spans="2:18" x14ac:dyDescent="0.35">
      <c r="B663" s="22"/>
      <c r="F663" s="23"/>
      <c r="G663" s="23"/>
      <c r="H663" s="23"/>
      <c r="I663" s="23"/>
      <c r="J663" s="23"/>
      <c r="K663" s="23"/>
      <c r="L663" s="23"/>
      <c r="M663" s="23"/>
      <c r="N663" s="23"/>
      <c r="O663" s="23"/>
      <c r="P663" s="23"/>
      <c r="Q663" s="23"/>
      <c r="R663" s="23"/>
    </row>
    <row r="664" spans="2:18" x14ac:dyDescent="0.35">
      <c r="B664" s="22"/>
      <c r="F664" s="23"/>
      <c r="G664" s="23"/>
      <c r="H664" s="23"/>
      <c r="I664" s="23"/>
      <c r="J664" s="23"/>
      <c r="K664" s="23"/>
      <c r="L664" s="23"/>
      <c r="M664" s="23"/>
      <c r="N664" s="23"/>
      <c r="O664" s="23"/>
      <c r="P664" s="23"/>
      <c r="Q664" s="23"/>
      <c r="R664" s="23"/>
    </row>
    <row r="665" spans="2:18" x14ac:dyDescent="0.35">
      <c r="B665" s="22"/>
      <c r="F665" s="23"/>
      <c r="G665" s="23"/>
      <c r="H665" s="23"/>
      <c r="I665" s="23"/>
      <c r="J665" s="23"/>
      <c r="K665" s="23"/>
      <c r="L665" s="23"/>
      <c r="M665" s="23"/>
      <c r="N665" s="23"/>
      <c r="O665" s="23"/>
      <c r="P665" s="23"/>
      <c r="Q665" s="23"/>
      <c r="R665" s="23"/>
    </row>
    <row r="666" spans="2:18" x14ac:dyDescent="0.35">
      <c r="B666" s="22"/>
      <c r="F666" s="23"/>
      <c r="G666" s="23"/>
      <c r="H666" s="23"/>
      <c r="I666" s="23"/>
      <c r="J666" s="23"/>
      <c r="K666" s="23"/>
      <c r="L666" s="23"/>
      <c r="M666" s="23"/>
      <c r="N666" s="23"/>
      <c r="O666" s="23"/>
      <c r="P666" s="23"/>
      <c r="Q666" s="23"/>
      <c r="R666" s="23"/>
    </row>
    <row r="667" spans="2:18" x14ac:dyDescent="0.35">
      <c r="B667" s="22"/>
      <c r="F667" s="23"/>
      <c r="G667" s="23"/>
      <c r="H667" s="23"/>
      <c r="I667" s="23"/>
      <c r="J667" s="23"/>
      <c r="K667" s="23"/>
      <c r="L667" s="23"/>
      <c r="M667" s="23"/>
      <c r="N667" s="23"/>
      <c r="O667" s="23"/>
      <c r="P667" s="23"/>
      <c r="Q667" s="23"/>
      <c r="R667" s="23"/>
    </row>
    <row r="668" spans="2:18" x14ac:dyDescent="0.35">
      <c r="B668" s="22"/>
      <c r="F668" s="23"/>
      <c r="G668" s="23"/>
      <c r="H668" s="23"/>
      <c r="I668" s="23"/>
      <c r="J668" s="23"/>
      <c r="K668" s="23"/>
      <c r="L668" s="23"/>
      <c r="M668" s="23"/>
      <c r="N668" s="23"/>
      <c r="O668" s="23"/>
      <c r="P668" s="23"/>
      <c r="Q668" s="23"/>
      <c r="R668" s="23"/>
    </row>
    <row r="669" spans="2:18" x14ac:dyDescent="0.35">
      <c r="B669" s="22"/>
      <c r="F669" s="23"/>
      <c r="G669" s="23"/>
      <c r="H669" s="23"/>
      <c r="I669" s="23"/>
      <c r="J669" s="23"/>
      <c r="K669" s="23"/>
      <c r="L669" s="23"/>
      <c r="M669" s="23"/>
      <c r="N669" s="23"/>
      <c r="O669" s="23"/>
      <c r="P669" s="23"/>
      <c r="Q669" s="23"/>
      <c r="R669" s="23"/>
    </row>
    <row r="670" spans="2:18" x14ac:dyDescent="0.35">
      <c r="B670" s="22"/>
      <c r="F670" s="23"/>
      <c r="G670" s="23"/>
      <c r="H670" s="23"/>
      <c r="I670" s="23"/>
      <c r="J670" s="23"/>
      <c r="K670" s="23"/>
      <c r="L670" s="23"/>
      <c r="M670" s="23"/>
      <c r="N670" s="23"/>
      <c r="O670" s="23"/>
      <c r="P670" s="23"/>
      <c r="Q670" s="23"/>
      <c r="R670" s="23"/>
    </row>
    <row r="671" spans="2:18" x14ac:dyDescent="0.35">
      <c r="B671" s="22"/>
      <c r="F671" s="23"/>
      <c r="G671" s="23"/>
      <c r="H671" s="23"/>
      <c r="I671" s="23"/>
      <c r="J671" s="23"/>
      <c r="K671" s="23"/>
      <c r="L671" s="23"/>
      <c r="M671" s="23"/>
      <c r="N671" s="23"/>
      <c r="O671" s="23"/>
      <c r="P671" s="23"/>
      <c r="Q671" s="23"/>
      <c r="R671" s="23"/>
    </row>
    <row r="672" spans="2:18" x14ac:dyDescent="0.35">
      <c r="B672" s="22"/>
      <c r="F672" s="23"/>
      <c r="G672" s="23"/>
      <c r="H672" s="23"/>
      <c r="I672" s="23"/>
      <c r="J672" s="23"/>
      <c r="K672" s="23"/>
      <c r="L672" s="23"/>
      <c r="M672" s="23"/>
      <c r="N672" s="23"/>
      <c r="O672" s="23"/>
      <c r="P672" s="23"/>
      <c r="Q672" s="23"/>
      <c r="R672" s="23"/>
    </row>
    <row r="673" spans="2:18" x14ac:dyDescent="0.35">
      <c r="B673" s="22"/>
      <c r="F673" s="23"/>
      <c r="G673" s="23"/>
      <c r="H673" s="23"/>
      <c r="I673" s="23"/>
      <c r="J673" s="23"/>
      <c r="K673" s="23"/>
      <c r="L673" s="23"/>
      <c r="M673" s="23"/>
      <c r="N673" s="23"/>
      <c r="O673" s="23"/>
      <c r="P673" s="23"/>
      <c r="Q673" s="23"/>
      <c r="R673" s="23"/>
    </row>
    <row r="674" spans="2:18" x14ac:dyDescent="0.35">
      <c r="B674" s="22"/>
      <c r="F674" s="23"/>
      <c r="G674" s="23"/>
      <c r="H674" s="23"/>
      <c r="I674" s="23"/>
      <c r="J674" s="23"/>
      <c r="K674" s="23"/>
      <c r="L674" s="23"/>
      <c r="M674" s="23"/>
      <c r="N674" s="23"/>
      <c r="O674" s="23"/>
      <c r="P674" s="23"/>
      <c r="Q674" s="23"/>
      <c r="R674" s="23"/>
    </row>
    <row r="675" spans="2:18" x14ac:dyDescent="0.35">
      <c r="B675" s="22"/>
      <c r="F675" s="23"/>
      <c r="G675" s="23"/>
      <c r="H675" s="23"/>
      <c r="I675" s="23"/>
      <c r="J675" s="23"/>
      <c r="K675" s="23"/>
      <c r="L675" s="23"/>
      <c r="M675" s="23"/>
      <c r="N675" s="23"/>
      <c r="O675" s="23"/>
      <c r="P675" s="23"/>
      <c r="Q675" s="23"/>
      <c r="R675" s="23"/>
    </row>
    <row r="676" spans="2:18" x14ac:dyDescent="0.35">
      <c r="B676" s="22"/>
      <c r="F676" s="23"/>
      <c r="G676" s="23"/>
      <c r="H676" s="23"/>
      <c r="I676" s="23"/>
      <c r="J676" s="23"/>
      <c r="K676" s="23"/>
      <c r="L676" s="23"/>
      <c r="M676" s="23"/>
      <c r="N676" s="23"/>
      <c r="O676" s="23"/>
      <c r="P676" s="23"/>
      <c r="Q676" s="23"/>
      <c r="R676" s="23"/>
    </row>
    <row r="677" spans="2:18" x14ac:dyDescent="0.35">
      <c r="B677" s="22"/>
      <c r="F677" s="23"/>
      <c r="G677" s="23"/>
      <c r="H677" s="23"/>
      <c r="I677" s="23"/>
      <c r="J677" s="23"/>
      <c r="K677" s="23"/>
      <c r="L677" s="23"/>
      <c r="M677" s="23"/>
      <c r="N677" s="23"/>
      <c r="O677" s="23"/>
      <c r="P677" s="23"/>
      <c r="Q677" s="23"/>
      <c r="R677" s="23"/>
    </row>
    <row r="678" spans="2:18" x14ac:dyDescent="0.35">
      <c r="B678" s="22"/>
      <c r="F678" s="23"/>
      <c r="G678" s="23"/>
      <c r="H678" s="23"/>
      <c r="I678" s="23"/>
      <c r="J678" s="23"/>
      <c r="K678" s="23"/>
      <c r="L678" s="23"/>
      <c r="M678" s="23"/>
      <c r="N678" s="23"/>
      <c r="O678" s="23"/>
      <c r="P678" s="23"/>
      <c r="Q678" s="23"/>
      <c r="R678" s="23"/>
    </row>
    <row r="679" spans="2:18" x14ac:dyDescent="0.35">
      <c r="B679" s="22"/>
      <c r="F679" s="23"/>
      <c r="G679" s="23"/>
      <c r="H679" s="23"/>
      <c r="I679" s="23"/>
      <c r="J679" s="23"/>
      <c r="K679" s="23"/>
      <c r="L679" s="23"/>
      <c r="M679" s="23"/>
      <c r="N679" s="23"/>
      <c r="O679" s="23"/>
      <c r="P679" s="23"/>
      <c r="Q679" s="23"/>
      <c r="R679" s="23"/>
    </row>
    <row r="680" spans="2:18" x14ac:dyDescent="0.35">
      <c r="B680" s="22"/>
      <c r="F680" s="23"/>
      <c r="G680" s="23"/>
      <c r="H680" s="23"/>
      <c r="I680" s="23"/>
      <c r="J680" s="23"/>
      <c r="K680" s="23"/>
      <c r="L680" s="23"/>
      <c r="M680" s="23"/>
      <c r="N680" s="23"/>
      <c r="O680" s="23"/>
      <c r="P680" s="23"/>
      <c r="Q680" s="23"/>
      <c r="R680" s="23"/>
    </row>
    <row r="681" spans="2:18" x14ac:dyDescent="0.35">
      <c r="B681" s="22"/>
      <c r="F681" s="23"/>
      <c r="G681" s="23"/>
      <c r="H681" s="23"/>
      <c r="I681" s="23"/>
      <c r="J681" s="23"/>
      <c r="K681" s="23"/>
      <c r="L681" s="23"/>
      <c r="M681" s="23"/>
      <c r="N681" s="23"/>
      <c r="O681" s="23"/>
      <c r="P681" s="23"/>
      <c r="Q681" s="23"/>
      <c r="R681" s="23"/>
    </row>
    <row r="682" spans="2:18" x14ac:dyDescent="0.35">
      <c r="B682" s="22"/>
      <c r="F682" s="23"/>
      <c r="G682" s="23"/>
      <c r="H682" s="23"/>
      <c r="I682" s="23"/>
      <c r="J682" s="23"/>
      <c r="K682" s="23"/>
      <c r="L682" s="23"/>
      <c r="M682" s="23"/>
      <c r="N682" s="23"/>
      <c r="O682" s="23"/>
      <c r="P682" s="23"/>
      <c r="Q682" s="23"/>
      <c r="R682" s="23"/>
    </row>
    <row r="683" spans="2:18" x14ac:dyDescent="0.35">
      <c r="B683" s="22"/>
      <c r="F683" s="23"/>
      <c r="G683" s="23"/>
      <c r="H683" s="23"/>
      <c r="I683" s="23"/>
      <c r="J683" s="23"/>
      <c r="K683" s="23"/>
      <c r="L683" s="23"/>
      <c r="M683" s="23"/>
      <c r="N683" s="23"/>
      <c r="O683" s="23"/>
      <c r="P683" s="23"/>
      <c r="Q683" s="23"/>
      <c r="R683" s="23"/>
    </row>
    <row r="684" spans="2:18" x14ac:dyDescent="0.35">
      <c r="B684" s="22"/>
      <c r="F684" s="23"/>
      <c r="G684" s="23"/>
      <c r="H684" s="23"/>
      <c r="I684" s="23"/>
      <c r="J684" s="23"/>
      <c r="K684" s="23"/>
      <c r="L684" s="23"/>
      <c r="M684" s="23"/>
      <c r="N684" s="23"/>
      <c r="O684" s="23"/>
      <c r="P684" s="23"/>
      <c r="Q684" s="23"/>
      <c r="R684" s="23"/>
    </row>
    <row r="685" spans="2:18" x14ac:dyDescent="0.35">
      <c r="B685" s="22"/>
      <c r="F685" s="23"/>
      <c r="G685" s="23"/>
      <c r="H685" s="23"/>
      <c r="I685" s="23"/>
      <c r="J685" s="23"/>
      <c r="K685" s="23"/>
      <c r="L685" s="23"/>
      <c r="M685" s="23"/>
      <c r="N685" s="23"/>
      <c r="O685" s="23"/>
      <c r="P685" s="23"/>
      <c r="Q685" s="23"/>
      <c r="R685" s="23"/>
    </row>
    <row r="686" spans="2:18" x14ac:dyDescent="0.35">
      <c r="B686" s="22"/>
      <c r="F686" s="23"/>
      <c r="G686" s="23"/>
      <c r="H686" s="23"/>
      <c r="I686" s="23"/>
      <c r="J686" s="23"/>
      <c r="K686" s="23"/>
      <c r="L686" s="23"/>
      <c r="M686" s="23"/>
      <c r="N686" s="23"/>
      <c r="O686" s="23"/>
      <c r="P686" s="23"/>
      <c r="Q686" s="23"/>
      <c r="R686" s="23"/>
    </row>
    <row r="687" spans="2:18" x14ac:dyDescent="0.35">
      <c r="B687" s="22"/>
      <c r="F687" s="23"/>
      <c r="G687" s="23"/>
      <c r="H687" s="23"/>
      <c r="I687" s="23"/>
      <c r="J687" s="23"/>
      <c r="K687" s="23"/>
      <c r="L687" s="23"/>
      <c r="M687" s="23"/>
      <c r="N687" s="23"/>
      <c r="O687" s="23"/>
      <c r="P687" s="23"/>
      <c r="Q687" s="23"/>
      <c r="R687" s="23"/>
    </row>
    <row r="688" spans="2:18" x14ac:dyDescent="0.35">
      <c r="B688" s="22"/>
      <c r="F688" s="23"/>
      <c r="G688" s="23"/>
      <c r="H688" s="23"/>
      <c r="I688" s="23"/>
      <c r="J688" s="23"/>
      <c r="K688" s="23"/>
      <c r="L688" s="23"/>
      <c r="M688" s="23"/>
      <c r="N688" s="23"/>
      <c r="O688" s="23"/>
      <c r="P688" s="23"/>
      <c r="Q688" s="23"/>
      <c r="R688" s="23"/>
    </row>
    <row r="689" spans="2:18" x14ac:dyDescent="0.35">
      <c r="B689" s="22"/>
      <c r="F689" s="23"/>
      <c r="G689" s="23"/>
      <c r="H689" s="23"/>
      <c r="I689" s="23"/>
      <c r="J689" s="23"/>
      <c r="K689" s="23"/>
      <c r="L689" s="23"/>
      <c r="M689" s="23"/>
      <c r="N689" s="23"/>
      <c r="O689" s="23"/>
      <c r="P689" s="23"/>
      <c r="Q689" s="23"/>
      <c r="R689" s="23"/>
    </row>
    <row r="690" spans="2:18" x14ac:dyDescent="0.35">
      <c r="B690" s="22"/>
      <c r="F690" s="23"/>
      <c r="G690" s="23"/>
      <c r="H690" s="23"/>
      <c r="I690" s="23"/>
      <c r="J690" s="23"/>
      <c r="K690" s="23"/>
      <c r="L690" s="23"/>
      <c r="M690" s="23"/>
      <c r="N690" s="23"/>
      <c r="O690" s="23"/>
      <c r="P690" s="23"/>
      <c r="Q690" s="23"/>
      <c r="R690" s="23"/>
    </row>
    <row r="691" spans="2:18" x14ac:dyDescent="0.35">
      <c r="B691" s="22"/>
      <c r="F691" s="23"/>
      <c r="G691" s="23"/>
      <c r="H691" s="23"/>
      <c r="I691" s="23"/>
      <c r="J691" s="23"/>
      <c r="K691" s="23"/>
      <c r="L691" s="23"/>
      <c r="M691" s="23"/>
      <c r="N691" s="23"/>
      <c r="O691" s="23"/>
      <c r="P691" s="23"/>
      <c r="Q691" s="23"/>
      <c r="R691" s="23"/>
    </row>
    <row r="692" spans="2:18" x14ac:dyDescent="0.35">
      <c r="B692" s="22"/>
      <c r="F692" s="23"/>
      <c r="G692" s="23"/>
      <c r="H692" s="23"/>
      <c r="I692" s="23"/>
      <c r="J692" s="23"/>
      <c r="K692" s="23"/>
      <c r="L692" s="23"/>
      <c r="M692" s="23"/>
      <c r="N692" s="23"/>
      <c r="O692" s="23"/>
      <c r="P692" s="23"/>
      <c r="Q692" s="23"/>
      <c r="R692" s="23"/>
    </row>
    <row r="693" spans="2:18" x14ac:dyDescent="0.35">
      <c r="B693" s="22"/>
      <c r="F693" s="23"/>
      <c r="G693" s="23"/>
      <c r="H693" s="23"/>
      <c r="I693" s="23"/>
      <c r="J693" s="23"/>
      <c r="K693" s="23"/>
      <c r="L693" s="23"/>
      <c r="M693" s="23"/>
      <c r="N693" s="23"/>
      <c r="O693" s="23"/>
      <c r="P693" s="23"/>
      <c r="Q693" s="23"/>
      <c r="R693" s="23"/>
    </row>
    <row r="694" spans="2:18" x14ac:dyDescent="0.35">
      <c r="B694" s="22"/>
      <c r="F694" s="23"/>
      <c r="G694" s="23"/>
      <c r="H694" s="23"/>
      <c r="I694" s="23"/>
      <c r="J694" s="23"/>
      <c r="K694" s="23"/>
      <c r="L694" s="23"/>
      <c r="M694" s="23"/>
      <c r="N694" s="23"/>
      <c r="O694" s="23"/>
      <c r="P694" s="23"/>
      <c r="Q694" s="23"/>
      <c r="R694" s="23"/>
    </row>
    <row r="695" spans="2:18" x14ac:dyDescent="0.35">
      <c r="B695" s="22"/>
      <c r="F695" s="23"/>
      <c r="G695" s="23"/>
      <c r="H695" s="23"/>
      <c r="I695" s="23"/>
      <c r="J695" s="23"/>
      <c r="K695" s="23"/>
      <c r="L695" s="23"/>
      <c r="M695" s="23"/>
      <c r="N695" s="23"/>
      <c r="O695" s="23"/>
      <c r="P695" s="23"/>
      <c r="Q695" s="23"/>
      <c r="R695" s="23"/>
    </row>
    <row r="696" spans="2:18" x14ac:dyDescent="0.35">
      <c r="B696" s="22"/>
      <c r="F696" s="23"/>
      <c r="G696" s="23"/>
      <c r="H696" s="23"/>
      <c r="I696" s="23"/>
      <c r="J696" s="23"/>
      <c r="K696" s="23"/>
      <c r="L696" s="23"/>
      <c r="M696" s="23"/>
      <c r="N696" s="23"/>
      <c r="O696" s="23"/>
      <c r="P696" s="23"/>
      <c r="Q696" s="23"/>
      <c r="R696" s="23"/>
    </row>
    <row r="697" spans="2:18" x14ac:dyDescent="0.35">
      <c r="B697" s="22"/>
      <c r="F697" s="23"/>
      <c r="G697" s="23"/>
      <c r="H697" s="23"/>
      <c r="I697" s="23"/>
      <c r="J697" s="23"/>
      <c r="K697" s="23"/>
      <c r="L697" s="23"/>
      <c r="M697" s="23"/>
      <c r="N697" s="23"/>
      <c r="O697" s="23"/>
      <c r="P697" s="23"/>
      <c r="Q697" s="23"/>
      <c r="R697" s="23"/>
    </row>
    <row r="698" spans="2:18" x14ac:dyDescent="0.35">
      <c r="B698" s="22"/>
      <c r="F698" s="23"/>
      <c r="G698" s="23"/>
      <c r="H698" s="23"/>
      <c r="I698" s="23"/>
      <c r="J698" s="23"/>
      <c r="K698" s="23"/>
      <c r="L698" s="23"/>
      <c r="M698" s="23"/>
      <c r="N698" s="23"/>
      <c r="O698" s="23"/>
      <c r="P698" s="23"/>
      <c r="Q698" s="23"/>
      <c r="R698" s="23"/>
    </row>
    <row r="699" spans="2:18" x14ac:dyDescent="0.35">
      <c r="B699" s="22"/>
      <c r="F699" s="23"/>
      <c r="G699" s="23"/>
      <c r="H699" s="23"/>
      <c r="I699" s="23"/>
      <c r="J699" s="23"/>
      <c r="K699" s="23"/>
      <c r="L699" s="23"/>
      <c r="M699" s="23"/>
      <c r="N699" s="23"/>
      <c r="O699" s="23"/>
      <c r="P699" s="23"/>
      <c r="Q699" s="23"/>
      <c r="R699" s="23"/>
    </row>
    <row r="700" spans="2:18" x14ac:dyDescent="0.35">
      <c r="B700" s="22"/>
      <c r="F700" s="23"/>
      <c r="G700" s="23"/>
      <c r="H700" s="23"/>
      <c r="I700" s="23"/>
      <c r="J700" s="23"/>
      <c r="K700" s="23"/>
      <c r="L700" s="23"/>
      <c r="M700" s="23"/>
      <c r="N700" s="23"/>
      <c r="O700" s="23"/>
      <c r="P700" s="23"/>
      <c r="Q700" s="23"/>
      <c r="R700" s="23"/>
    </row>
    <row r="701" spans="2:18" x14ac:dyDescent="0.35">
      <c r="B701" s="22"/>
      <c r="F701" s="23"/>
      <c r="G701" s="23"/>
      <c r="H701" s="23"/>
      <c r="I701" s="23"/>
      <c r="J701" s="23"/>
      <c r="K701" s="23"/>
      <c r="L701" s="23"/>
      <c r="M701" s="23"/>
      <c r="N701" s="23"/>
      <c r="O701" s="23"/>
      <c r="P701" s="23"/>
      <c r="Q701" s="23"/>
      <c r="R701" s="23"/>
    </row>
    <row r="702" spans="2:18" x14ac:dyDescent="0.35">
      <c r="B702" s="22"/>
      <c r="F702" s="23"/>
      <c r="G702" s="23"/>
      <c r="H702" s="23"/>
      <c r="I702" s="23"/>
      <c r="J702" s="23"/>
      <c r="K702" s="23"/>
      <c r="L702" s="23"/>
      <c r="M702" s="23"/>
      <c r="N702" s="23"/>
      <c r="O702" s="23"/>
      <c r="P702" s="23"/>
      <c r="Q702" s="23"/>
      <c r="R702" s="23"/>
    </row>
    <row r="703" spans="2:18" x14ac:dyDescent="0.35">
      <c r="B703" s="22"/>
      <c r="F703" s="23"/>
      <c r="G703" s="23"/>
      <c r="H703" s="23"/>
      <c r="I703" s="23"/>
      <c r="J703" s="23"/>
      <c r="K703" s="23"/>
      <c r="L703" s="23"/>
      <c r="M703" s="23"/>
      <c r="N703" s="23"/>
      <c r="O703" s="23"/>
      <c r="P703" s="23"/>
      <c r="Q703" s="23"/>
      <c r="R703" s="23"/>
    </row>
    <row r="704" spans="2:18" x14ac:dyDescent="0.35">
      <c r="B704" s="22"/>
      <c r="F704" s="23"/>
      <c r="G704" s="23"/>
      <c r="H704" s="23"/>
      <c r="I704" s="23"/>
      <c r="J704" s="23"/>
      <c r="K704" s="23"/>
      <c r="L704" s="23"/>
      <c r="M704" s="23"/>
      <c r="N704" s="23"/>
      <c r="O704" s="23"/>
      <c r="P704" s="23"/>
      <c r="Q704" s="23"/>
      <c r="R704" s="23"/>
    </row>
    <row r="705" spans="2:18" x14ac:dyDescent="0.35">
      <c r="B705" s="22"/>
      <c r="F705" s="23"/>
      <c r="G705" s="23"/>
      <c r="H705" s="23"/>
      <c r="I705" s="23"/>
      <c r="J705" s="23"/>
      <c r="K705" s="23"/>
      <c r="L705" s="23"/>
      <c r="M705" s="23"/>
      <c r="N705" s="23"/>
      <c r="O705" s="23"/>
      <c r="P705" s="23"/>
      <c r="Q705" s="23"/>
      <c r="R705" s="23"/>
    </row>
    <row r="706" spans="2:18" x14ac:dyDescent="0.35">
      <c r="B706" s="22"/>
      <c r="F706" s="23"/>
      <c r="G706" s="23"/>
      <c r="H706" s="23"/>
      <c r="I706" s="23"/>
      <c r="J706" s="23"/>
      <c r="K706" s="23"/>
      <c r="L706" s="23"/>
      <c r="M706" s="23"/>
      <c r="N706" s="23"/>
      <c r="O706" s="23"/>
      <c r="P706" s="23"/>
      <c r="Q706" s="23"/>
      <c r="R706" s="23"/>
    </row>
    <row r="707" spans="2:18" x14ac:dyDescent="0.35">
      <c r="B707" s="22"/>
      <c r="F707" s="23"/>
      <c r="G707" s="23"/>
      <c r="H707" s="23"/>
      <c r="I707" s="23"/>
      <c r="J707" s="23"/>
      <c r="K707" s="23"/>
      <c r="L707" s="23"/>
      <c r="M707" s="23"/>
      <c r="N707" s="23"/>
      <c r="O707" s="23"/>
      <c r="P707" s="23"/>
      <c r="Q707" s="23"/>
      <c r="R707" s="23"/>
    </row>
    <row r="708" spans="2:18" x14ac:dyDescent="0.35">
      <c r="B708" s="22"/>
      <c r="F708" s="23"/>
      <c r="G708" s="23"/>
      <c r="H708" s="23"/>
      <c r="I708" s="23"/>
      <c r="J708" s="23"/>
      <c r="K708" s="23"/>
      <c r="L708" s="23"/>
      <c r="M708" s="23"/>
      <c r="N708" s="23"/>
      <c r="O708" s="23"/>
      <c r="P708" s="23"/>
      <c r="Q708" s="23"/>
      <c r="R708" s="23"/>
    </row>
    <row r="709" spans="2:18" x14ac:dyDescent="0.35">
      <c r="B709" s="22"/>
      <c r="F709" s="23"/>
      <c r="G709" s="23"/>
      <c r="H709" s="23"/>
      <c r="I709" s="23"/>
      <c r="J709" s="23"/>
      <c r="K709" s="23"/>
      <c r="L709" s="23"/>
      <c r="M709" s="23"/>
      <c r="N709" s="23"/>
      <c r="O709" s="23"/>
      <c r="P709" s="23"/>
      <c r="Q709" s="23"/>
      <c r="R709" s="23"/>
    </row>
    <row r="710" spans="2:18" x14ac:dyDescent="0.35">
      <c r="B710" s="22"/>
      <c r="F710" s="23"/>
      <c r="G710" s="23"/>
      <c r="H710" s="23"/>
      <c r="I710" s="23"/>
      <c r="J710" s="23"/>
      <c r="K710" s="23"/>
      <c r="L710" s="23"/>
      <c r="M710" s="23"/>
      <c r="N710" s="23"/>
      <c r="O710" s="23"/>
      <c r="P710" s="23"/>
      <c r="Q710" s="23"/>
      <c r="R710" s="23"/>
    </row>
    <row r="711" spans="2:18" x14ac:dyDescent="0.35">
      <c r="B711" s="22"/>
      <c r="F711" s="23"/>
      <c r="G711" s="23"/>
      <c r="H711" s="23"/>
      <c r="I711" s="23"/>
      <c r="J711" s="23"/>
      <c r="K711" s="23"/>
      <c r="L711" s="23"/>
      <c r="M711" s="23"/>
      <c r="N711" s="23"/>
      <c r="O711" s="23"/>
      <c r="P711" s="23"/>
      <c r="Q711" s="23"/>
      <c r="R711" s="23"/>
    </row>
    <row r="712" spans="2:18" x14ac:dyDescent="0.35">
      <c r="B712" s="22"/>
      <c r="F712" s="23"/>
      <c r="G712" s="23"/>
      <c r="H712" s="23"/>
      <c r="I712" s="23"/>
      <c r="J712" s="23"/>
      <c r="K712" s="23"/>
      <c r="L712" s="23"/>
      <c r="M712" s="23"/>
      <c r="N712" s="23"/>
      <c r="O712" s="23"/>
      <c r="P712" s="23"/>
      <c r="Q712" s="23"/>
      <c r="R712" s="23"/>
    </row>
    <row r="713" spans="2:18" x14ac:dyDescent="0.35">
      <c r="B713" s="22"/>
      <c r="F713" s="23"/>
      <c r="G713" s="23"/>
      <c r="H713" s="23"/>
      <c r="I713" s="23"/>
      <c r="J713" s="23"/>
      <c r="K713" s="23"/>
      <c r="L713" s="23"/>
      <c r="M713" s="23"/>
      <c r="N713" s="23"/>
      <c r="O713" s="23"/>
      <c r="P713" s="23"/>
      <c r="Q713" s="23"/>
      <c r="R713" s="23"/>
    </row>
    <row r="714" spans="2:18" x14ac:dyDescent="0.35">
      <c r="B714" s="22"/>
      <c r="F714" s="23"/>
      <c r="G714" s="23"/>
      <c r="H714" s="23"/>
      <c r="I714" s="23"/>
      <c r="J714" s="23"/>
      <c r="K714" s="23"/>
      <c r="L714" s="23"/>
      <c r="M714" s="23"/>
      <c r="N714" s="23"/>
      <c r="O714" s="23"/>
      <c r="P714" s="23"/>
      <c r="Q714" s="23"/>
      <c r="R714" s="23"/>
    </row>
    <row r="715" spans="2:18" x14ac:dyDescent="0.35">
      <c r="B715" s="22"/>
      <c r="F715" s="23"/>
      <c r="G715" s="23"/>
      <c r="H715" s="23"/>
      <c r="I715" s="23"/>
      <c r="J715" s="23"/>
      <c r="K715" s="23"/>
      <c r="L715" s="23"/>
      <c r="M715" s="23"/>
      <c r="N715" s="23"/>
      <c r="O715" s="23"/>
      <c r="P715" s="23"/>
      <c r="Q715" s="23"/>
      <c r="R715" s="23"/>
    </row>
    <row r="716" spans="2:18" x14ac:dyDescent="0.35">
      <c r="B716" s="22"/>
      <c r="F716" s="23"/>
      <c r="G716" s="23"/>
      <c r="H716" s="23"/>
      <c r="I716" s="23"/>
      <c r="J716" s="23"/>
      <c r="K716" s="23"/>
      <c r="L716" s="23"/>
      <c r="M716" s="23"/>
      <c r="N716" s="23"/>
      <c r="O716" s="23"/>
      <c r="P716" s="23"/>
      <c r="Q716" s="23"/>
      <c r="R716" s="23"/>
    </row>
    <row r="717" spans="2:18" x14ac:dyDescent="0.35">
      <c r="B717" s="22"/>
      <c r="F717" s="23"/>
      <c r="G717" s="23"/>
      <c r="H717" s="23"/>
      <c r="I717" s="23"/>
      <c r="J717" s="23"/>
      <c r="K717" s="23"/>
      <c r="L717" s="23"/>
      <c r="M717" s="23"/>
      <c r="N717" s="23"/>
      <c r="O717" s="23"/>
      <c r="P717" s="23"/>
      <c r="Q717" s="23"/>
      <c r="R717" s="23"/>
    </row>
    <row r="718" spans="2:18" x14ac:dyDescent="0.35">
      <c r="B718" s="22"/>
      <c r="F718" s="23"/>
      <c r="G718" s="23"/>
      <c r="H718" s="23"/>
      <c r="I718" s="23"/>
      <c r="J718" s="23"/>
      <c r="K718" s="23"/>
      <c r="L718" s="23"/>
      <c r="M718" s="23"/>
      <c r="N718" s="23"/>
      <c r="O718" s="23"/>
      <c r="P718" s="23"/>
      <c r="Q718" s="23"/>
      <c r="R718" s="23"/>
    </row>
    <row r="719" spans="2:18" x14ac:dyDescent="0.35">
      <c r="B719" s="22"/>
      <c r="F719" s="23"/>
      <c r="G719" s="23"/>
      <c r="H719" s="23"/>
      <c r="I719" s="23"/>
      <c r="J719" s="23"/>
      <c r="K719" s="23"/>
      <c r="L719" s="23"/>
      <c r="M719" s="23"/>
      <c r="N719" s="23"/>
      <c r="O719" s="23"/>
      <c r="P719" s="23"/>
      <c r="Q719" s="23"/>
      <c r="R719" s="23"/>
    </row>
    <row r="720" spans="2:18" x14ac:dyDescent="0.35">
      <c r="B720" s="22"/>
      <c r="F720" s="23"/>
      <c r="G720" s="23"/>
      <c r="H720" s="23"/>
      <c r="I720" s="23"/>
      <c r="J720" s="23"/>
      <c r="K720" s="23"/>
      <c r="L720" s="23"/>
      <c r="M720" s="23"/>
      <c r="N720" s="23"/>
      <c r="O720" s="23"/>
      <c r="P720" s="23"/>
      <c r="Q720" s="23"/>
      <c r="R720" s="23"/>
    </row>
    <row r="721" spans="2:18" x14ac:dyDescent="0.35">
      <c r="B721" s="22"/>
      <c r="F721" s="23"/>
      <c r="G721" s="23"/>
      <c r="H721" s="23"/>
      <c r="I721" s="23"/>
      <c r="J721" s="23"/>
      <c r="K721" s="23"/>
      <c r="L721" s="23"/>
      <c r="M721" s="23"/>
      <c r="N721" s="23"/>
      <c r="O721" s="23"/>
      <c r="P721" s="23"/>
      <c r="Q721" s="23"/>
      <c r="R721" s="23"/>
    </row>
    <row r="722" spans="2:18" x14ac:dyDescent="0.35">
      <c r="B722" s="22"/>
      <c r="F722" s="23"/>
      <c r="G722" s="23"/>
      <c r="H722" s="23"/>
      <c r="I722" s="23"/>
      <c r="J722" s="23"/>
      <c r="K722" s="23"/>
      <c r="L722" s="23"/>
      <c r="M722" s="23"/>
      <c r="N722" s="23"/>
      <c r="O722" s="23"/>
      <c r="P722" s="23"/>
      <c r="Q722" s="23"/>
      <c r="R722" s="23"/>
    </row>
    <row r="723" spans="2:18" x14ac:dyDescent="0.35">
      <c r="B723" s="22"/>
      <c r="F723" s="23"/>
      <c r="G723" s="23"/>
      <c r="H723" s="23"/>
      <c r="I723" s="23"/>
      <c r="J723" s="23"/>
      <c r="K723" s="23"/>
      <c r="L723" s="23"/>
      <c r="M723" s="23"/>
      <c r="N723" s="23"/>
      <c r="O723" s="23"/>
      <c r="P723" s="23"/>
      <c r="Q723" s="23"/>
      <c r="R723" s="23"/>
    </row>
    <row r="724" spans="2:18" x14ac:dyDescent="0.35">
      <c r="B724" s="22"/>
      <c r="F724" s="23"/>
      <c r="G724" s="23"/>
      <c r="H724" s="23"/>
      <c r="I724" s="23"/>
      <c r="J724" s="23"/>
      <c r="K724" s="23"/>
      <c r="L724" s="23"/>
      <c r="M724" s="23"/>
      <c r="N724" s="23"/>
      <c r="O724" s="23"/>
      <c r="P724" s="23"/>
      <c r="Q724" s="23"/>
      <c r="R724" s="23"/>
    </row>
    <row r="725" spans="2:18" x14ac:dyDescent="0.35">
      <c r="B725" s="22"/>
      <c r="F725" s="23"/>
      <c r="G725" s="23"/>
      <c r="H725" s="23"/>
      <c r="I725" s="23"/>
      <c r="J725" s="23"/>
      <c r="K725" s="23"/>
      <c r="L725" s="23"/>
      <c r="M725" s="23"/>
      <c r="N725" s="23"/>
      <c r="O725" s="23"/>
      <c r="P725" s="23"/>
      <c r="Q725" s="23"/>
      <c r="R725" s="23"/>
    </row>
    <row r="726" spans="2:18" x14ac:dyDescent="0.35">
      <c r="B726" s="22"/>
      <c r="F726" s="23"/>
      <c r="G726" s="23"/>
      <c r="H726" s="23"/>
      <c r="I726" s="23"/>
      <c r="J726" s="23"/>
      <c r="K726" s="23"/>
      <c r="L726" s="23"/>
      <c r="M726" s="23"/>
      <c r="N726" s="23"/>
      <c r="O726" s="23"/>
      <c r="P726" s="23"/>
      <c r="Q726" s="23"/>
      <c r="R726" s="23"/>
    </row>
    <row r="727" spans="2:18" x14ac:dyDescent="0.35">
      <c r="B727" s="22"/>
      <c r="F727" s="23"/>
      <c r="G727" s="23"/>
      <c r="H727" s="23"/>
      <c r="I727" s="23"/>
      <c r="J727" s="23"/>
      <c r="K727" s="23"/>
      <c r="L727" s="23"/>
      <c r="M727" s="23"/>
      <c r="N727" s="23"/>
      <c r="O727" s="23"/>
      <c r="P727" s="23"/>
      <c r="Q727" s="23"/>
      <c r="R727" s="23"/>
    </row>
    <row r="728" spans="2:18" x14ac:dyDescent="0.35">
      <c r="B728" s="22"/>
      <c r="F728" s="23"/>
      <c r="G728" s="23"/>
      <c r="H728" s="23"/>
      <c r="I728" s="23"/>
      <c r="J728" s="23"/>
      <c r="K728" s="23"/>
      <c r="L728" s="23"/>
      <c r="M728" s="23"/>
      <c r="N728" s="23"/>
      <c r="O728" s="23"/>
      <c r="P728" s="23"/>
      <c r="Q728" s="23"/>
      <c r="R728" s="23"/>
    </row>
    <row r="729" spans="2:18" x14ac:dyDescent="0.35">
      <c r="B729" s="22"/>
      <c r="F729" s="23"/>
      <c r="G729" s="23"/>
      <c r="H729" s="23"/>
      <c r="I729" s="23"/>
      <c r="J729" s="23"/>
      <c r="K729" s="23"/>
      <c r="L729" s="23"/>
      <c r="M729" s="23"/>
      <c r="N729" s="23"/>
      <c r="O729" s="23"/>
      <c r="P729" s="23"/>
      <c r="Q729" s="23"/>
      <c r="R729" s="23"/>
    </row>
    <row r="730" spans="2:18" x14ac:dyDescent="0.35">
      <c r="B730" s="22"/>
      <c r="F730" s="23"/>
      <c r="G730" s="23"/>
      <c r="H730" s="23"/>
      <c r="I730" s="23"/>
      <c r="J730" s="23"/>
      <c r="K730" s="23"/>
      <c r="L730" s="23"/>
      <c r="M730" s="23"/>
      <c r="N730" s="23"/>
      <c r="O730" s="23"/>
      <c r="P730" s="23"/>
      <c r="Q730" s="23"/>
      <c r="R730" s="23"/>
    </row>
    <row r="731" spans="2:18" x14ac:dyDescent="0.35">
      <c r="B731" s="22"/>
      <c r="F731" s="23"/>
      <c r="G731" s="23"/>
      <c r="H731" s="23"/>
      <c r="I731" s="23"/>
      <c r="J731" s="23"/>
      <c r="K731" s="23"/>
      <c r="L731" s="23"/>
      <c r="M731" s="23"/>
      <c r="N731" s="23"/>
      <c r="O731" s="23"/>
      <c r="P731" s="23"/>
      <c r="Q731" s="23"/>
      <c r="R731" s="23"/>
    </row>
    <row r="732" spans="2:18" x14ac:dyDescent="0.35">
      <c r="B732" s="22"/>
      <c r="F732" s="23"/>
      <c r="G732" s="23"/>
      <c r="H732" s="23"/>
      <c r="I732" s="23"/>
      <c r="J732" s="23"/>
      <c r="K732" s="23"/>
      <c r="L732" s="23"/>
      <c r="M732" s="23"/>
      <c r="N732" s="23"/>
      <c r="O732" s="23"/>
      <c r="P732" s="23"/>
      <c r="Q732" s="23"/>
      <c r="R732" s="23"/>
    </row>
    <row r="733" spans="2:18" x14ac:dyDescent="0.35">
      <c r="B733" s="22"/>
      <c r="F733" s="23"/>
      <c r="G733" s="23"/>
      <c r="H733" s="23"/>
      <c r="I733" s="23"/>
      <c r="J733" s="23"/>
      <c r="K733" s="23"/>
      <c r="L733" s="23"/>
      <c r="M733" s="23"/>
      <c r="N733" s="23"/>
      <c r="O733" s="23"/>
      <c r="P733" s="23"/>
      <c r="Q733" s="23"/>
      <c r="R733" s="23"/>
    </row>
    <row r="734" spans="2:18" x14ac:dyDescent="0.35">
      <c r="B734" s="22"/>
      <c r="F734" s="23"/>
      <c r="G734" s="23"/>
      <c r="H734" s="23"/>
      <c r="I734" s="23"/>
      <c r="J734" s="23"/>
      <c r="K734" s="23"/>
      <c r="L734" s="23"/>
      <c r="M734" s="23"/>
      <c r="N734" s="23"/>
      <c r="O734" s="23"/>
      <c r="P734" s="23"/>
      <c r="Q734" s="23"/>
      <c r="R734" s="23"/>
    </row>
    <row r="735" spans="2:18" x14ac:dyDescent="0.35">
      <c r="B735" s="22"/>
      <c r="F735" s="23"/>
      <c r="G735" s="23"/>
      <c r="H735" s="23"/>
      <c r="I735" s="23"/>
      <c r="J735" s="23"/>
      <c r="K735" s="23"/>
      <c r="L735" s="23"/>
      <c r="M735" s="23"/>
      <c r="N735" s="23"/>
      <c r="O735" s="23"/>
      <c r="P735" s="23"/>
      <c r="Q735" s="23"/>
      <c r="R735" s="23"/>
    </row>
    <row r="736" spans="2:18" x14ac:dyDescent="0.35">
      <c r="B736" s="22"/>
      <c r="F736" s="23"/>
      <c r="G736" s="23"/>
      <c r="H736" s="23"/>
      <c r="I736" s="23"/>
      <c r="J736" s="23"/>
      <c r="K736" s="23"/>
      <c r="L736" s="23"/>
      <c r="M736" s="23"/>
      <c r="N736" s="23"/>
      <c r="O736" s="23"/>
      <c r="P736" s="23"/>
      <c r="Q736" s="23"/>
      <c r="R736" s="23"/>
    </row>
    <row r="737" spans="2:18" x14ac:dyDescent="0.35">
      <c r="B737" s="22"/>
      <c r="F737" s="23"/>
      <c r="G737" s="23"/>
      <c r="H737" s="23"/>
      <c r="I737" s="23"/>
      <c r="J737" s="23"/>
      <c r="K737" s="23"/>
      <c r="L737" s="23"/>
      <c r="M737" s="23"/>
      <c r="N737" s="23"/>
      <c r="O737" s="23"/>
      <c r="P737" s="23"/>
      <c r="Q737" s="23"/>
      <c r="R737" s="23"/>
    </row>
    <row r="738" spans="2:18" x14ac:dyDescent="0.35">
      <c r="B738" s="22"/>
      <c r="F738" s="23"/>
      <c r="G738" s="23"/>
      <c r="H738" s="23"/>
      <c r="I738" s="23"/>
      <c r="J738" s="23"/>
      <c r="K738" s="23"/>
      <c r="L738" s="23"/>
      <c r="M738" s="23"/>
      <c r="N738" s="23"/>
      <c r="O738" s="23"/>
      <c r="P738" s="23"/>
      <c r="Q738" s="23"/>
      <c r="R738" s="23"/>
    </row>
    <row r="739" spans="2:18" x14ac:dyDescent="0.35">
      <c r="B739" s="22"/>
      <c r="F739" s="23"/>
      <c r="G739" s="23"/>
      <c r="H739" s="23"/>
      <c r="I739" s="23"/>
      <c r="J739" s="23"/>
      <c r="K739" s="23"/>
      <c r="L739" s="23"/>
      <c r="M739" s="23"/>
      <c r="N739" s="23"/>
      <c r="O739" s="23"/>
      <c r="P739" s="23"/>
      <c r="Q739" s="23"/>
      <c r="R739" s="23"/>
    </row>
    <row r="740" spans="2:18" x14ac:dyDescent="0.35">
      <c r="B740" s="22"/>
      <c r="F740" s="23"/>
      <c r="G740" s="23"/>
      <c r="H740" s="23"/>
      <c r="I740" s="23"/>
      <c r="J740" s="23"/>
      <c r="K740" s="23"/>
      <c r="L740" s="23"/>
      <c r="M740" s="23"/>
      <c r="N740" s="23"/>
      <c r="O740" s="23"/>
      <c r="P740" s="23"/>
      <c r="Q740" s="23"/>
      <c r="R740" s="23"/>
    </row>
    <row r="741" spans="2:18" x14ac:dyDescent="0.35">
      <c r="B741" s="22"/>
      <c r="F741" s="23"/>
      <c r="G741" s="23"/>
      <c r="H741" s="23"/>
      <c r="I741" s="23"/>
      <c r="J741" s="23"/>
      <c r="K741" s="23"/>
      <c r="L741" s="23"/>
      <c r="M741" s="23"/>
      <c r="N741" s="23"/>
      <c r="O741" s="23"/>
      <c r="P741" s="23"/>
      <c r="Q741" s="23"/>
      <c r="R741" s="23"/>
    </row>
    <row r="742" spans="2:18" x14ac:dyDescent="0.35">
      <c r="B742" s="22"/>
      <c r="F742" s="23"/>
      <c r="G742" s="23"/>
      <c r="H742" s="23"/>
      <c r="I742" s="23"/>
      <c r="J742" s="23"/>
      <c r="K742" s="23"/>
      <c r="L742" s="23"/>
      <c r="M742" s="23"/>
      <c r="N742" s="23"/>
      <c r="O742" s="23"/>
      <c r="P742" s="23"/>
      <c r="Q742" s="23"/>
      <c r="R742" s="23"/>
    </row>
    <row r="743" spans="2:18" x14ac:dyDescent="0.35">
      <c r="B743" s="22"/>
      <c r="F743" s="23"/>
      <c r="G743" s="23"/>
      <c r="H743" s="23"/>
      <c r="I743" s="23"/>
      <c r="J743" s="23"/>
      <c r="K743" s="23"/>
      <c r="L743" s="23"/>
      <c r="M743" s="23"/>
      <c r="N743" s="23"/>
      <c r="O743" s="23"/>
      <c r="P743" s="23"/>
      <c r="Q743" s="23"/>
      <c r="R743" s="23"/>
    </row>
    <row r="744" spans="2:18" x14ac:dyDescent="0.35">
      <c r="B744" s="22"/>
      <c r="F744" s="23"/>
      <c r="G744" s="23"/>
      <c r="H744" s="23"/>
      <c r="I744" s="23"/>
      <c r="J744" s="23"/>
      <c r="K744" s="23"/>
      <c r="L744" s="23"/>
      <c r="M744" s="23"/>
      <c r="N744" s="23"/>
      <c r="O744" s="23"/>
      <c r="P744" s="23"/>
      <c r="Q744" s="23"/>
      <c r="R744" s="23"/>
    </row>
    <row r="745" spans="2:18" x14ac:dyDescent="0.35">
      <c r="B745" s="22"/>
      <c r="F745" s="23"/>
      <c r="G745" s="23"/>
      <c r="H745" s="23"/>
      <c r="I745" s="23"/>
      <c r="J745" s="23"/>
      <c r="K745" s="23"/>
      <c r="L745" s="23"/>
      <c r="M745" s="23"/>
      <c r="N745" s="23"/>
      <c r="O745" s="23"/>
      <c r="P745" s="23"/>
      <c r="Q745" s="23"/>
      <c r="R745" s="23"/>
    </row>
    <row r="746" spans="2:18" x14ac:dyDescent="0.35">
      <c r="B746" s="22"/>
      <c r="F746" s="23"/>
      <c r="G746" s="23"/>
      <c r="H746" s="23"/>
      <c r="I746" s="23"/>
      <c r="J746" s="23"/>
      <c r="K746" s="23"/>
      <c r="L746" s="23"/>
      <c r="M746" s="23"/>
      <c r="N746" s="23"/>
      <c r="O746" s="23"/>
      <c r="P746" s="23"/>
      <c r="Q746" s="23"/>
      <c r="R746" s="23"/>
    </row>
    <row r="747" spans="2:18" x14ac:dyDescent="0.35">
      <c r="B747" s="22"/>
      <c r="F747" s="23"/>
      <c r="G747" s="23"/>
      <c r="H747" s="23"/>
      <c r="I747" s="23"/>
      <c r="J747" s="23"/>
      <c r="K747" s="23"/>
      <c r="L747" s="23"/>
      <c r="M747" s="23"/>
      <c r="N747" s="23"/>
      <c r="O747" s="23"/>
      <c r="P747" s="23"/>
      <c r="Q747" s="23"/>
      <c r="R747" s="23"/>
    </row>
    <row r="748" spans="2:18" x14ac:dyDescent="0.35">
      <c r="B748" s="22"/>
      <c r="F748" s="23"/>
      <c r="G748" s="23"/>
      <c r="H748" s="23"/>
      <c r="I748" s="23"/>
      <c r="J748" s="23"/>
      <c r="K748" s="23"/>
      <c r="L748" s="23"/>
      <c r="M748" s="23"/>
      <c r="N748" s="23"/>
      <c r="O748" s="23"/>
      <c r="P748" s="23"/>
      <c r="Q748" s="23"/>
      <c r="R748" s="23"/>
    </row>
    <row r="749" spans="2:18" x14ac:dyDescent="0.35">
      <c r="B749" s="22"/>
      <c r="F749" s="23"/>
      <c r="G749" s="23"/>
      <c r="H749" s="23"/>
      <c r="I749" s="23"/>
      <c r="J749" s="23"/>
      <c r="K749" s="23"/>
      <c r="L749" s="23"/>
      <c r="M749" s="23"/>
      <c r="N749" s="23"/>
      <c r="O749" s="23"/>
      <c r="P749" s="23"/>
      <c r="Q749" s="23"/>
      <c r="R749" s="23"/>
    </row>
    <row r="750" spans="2:18" x14ac:dyDescent="0.35">
      <c r="B750" s="22"/>
      <c r="F750" s="23"/>
      <c r="G750" s="23"/>
      <c r="H750" s="23"/>
      <c r="I750" s="23"/>
      <c r="J750" s="23"/>
      <c r="K750" s="23"/>
      <c r="L750" s="23"/>
      <c r="M750" s="23"/>
      <c r="N750" s="23"/>
      <c r="O750" s="23"/>
      <c r="P750" s="23"/>
      <c r="Q750" s="23"/>
      <c r="R750" s="23"/>
    </row>
    <row r="751" spans="2:18" x14ac:dyDescent="0.35">
      <c r="B751" s="22"/>
      <c r="F751" s="23"/>
      <c r="G751" s="23"/>
      <c r="H751" s="23"/>
      <c r="I751" s="23"/>
      <c r="J751" s="23"/>
      <c r="K751" s="23"/>
      <c r="L751" s="23"/>
      <c r="M751" s="23"/>
      <c r="N751" s="23"/>
      <c r="O751" s="23"/>
      <c r="P751" s="23"/>
      <c r="Q751" s="23"/>
      <c r="R751" s="23"/>
    </row>
    <row r="752" spans="2:18" x14ac:dyDescent="0.35">
      <c r="B752" s="22"/>
      <c r="F752" s="23"/>
      <c r="G752" s="23"/>
      <c r="H752" s="23"/>
      <c r="I752" s="23"/>
      <c r="J752" s="23"/>
      <c r="K752" s="23"/>
      <c r="L752" s="23"/>
      <c r="M752" s="23"/>
      <c r="N752" s="23"/>
      <c r="O752" s="23"/>
      <c r="P752" s="23"/>
      <c r="Q752" s="23"/>
      <c r="R752" s="23"/>
    </row>
    <row r="753" spans="2:18" x14ac:dyDescent="0.35">
      <c r="B753" s="22"/>
      <c r="F753" s="23"/>
      <c r="G753" s="23"/>
      <c r="H753" s="23"/>
      <c r="I753" s="23"/>
      <c r="J753" s="23"/>
      <c r="K753" s="23"/>
      <c r="L753" s="23"/>
      <c r="M753" s="23"/>
      <c r="N753" s="23"/>
      <c r="O753" s="23"/>
      <c r="P753" s="23"/>
      <c r="Q753" s="23"/>
      <c r="R753" s="23"/>
    </row>
    <row r="754" spans="2:18" x14ac:dyDescent="0.35">
      <c r="B754" s="22"/>
      <c r="F754" s="23"/>
      <c r="G754" s="23"/>
      <c r="H754" s="23"/>
      <c r="I754" s="23"/>
      <c r="J754" s="23"/>
      <c r="K754" s="23"/>
      <c r="L754" s="23"/>
      <c r="M754" s="23"/>
      <c r="N754" s="23"/>
      <c r="O754" s="23"/>
      <c r="P754" s="23"/>
      <c r="Q754" s="23"/>
      <c r="R754" s="23"/>
    </row>
    <row r="755" spans="2:18" x14ac:dyDescent="0.35">
      <c r="B755" s="22"/>
      <c r="F755" s="23"/>
      <c r="G755" s="23"/>
      <c r="H755" s="23"/>
      <c r="I755" s="23"/>
      <c r="J755" s="23"/>
      <c r="K755" s="23"/>
      <c r="L755" s="23"/>
      <c r="M755" s="23"/>
      <c r="N755" s="23"/>
      <c r="O755" s="23"/>
      <c r="P755" s="23"/>
      <c r="Q755" s="23"/>
      <c r="R755" s="23"/>
    </row>
    <row r="756" spans="2:18" x14ac:dyDescent="0.35">
      <c r="B756" s="22"/>
      <c r="F756" s="23"/>
      <c r="G756" s="23"/>
      <c r="H756" s="23"/>
      <c r="I756" s="23"/>
      <c r="J756" s="23"/>
      <c r="K756" s="23"/>
      <c r="L756" s="23"/>
      <c r="M756" s="23"/>
      <c r="N756" s="23"/>
      <c r="O756" s="23"/>
      <c r="P756" s="23"/>
      <c r="Q756" s="23"/>
      <c r="R756" s="23"/>
    </row>
    <row r="757" spans="2:18" x14ac:dyDescent="0.35">
      <c r="B757" s="22"/>
      <c r="F757" s="23"/>
      <c r="G757" s="23"/>
      <c r="H757" s="23"/>
      <c r="I757" s="23"/>
      <c r="J757" s="23"/>
      <c r="K757" s="23"/>
      <c r="L757" s="23"/>
      <c r="M757" s="23"/>
      <c r="N757" s="23"/>
      <c r="O757" s="23"/>
      <c r="P757" s="23"/>
      <c r="Q757" s="23"/>
      <c r="R757" s="23"/>
    </row>
    <row r="758" spans="2:18" x14ac:dyDescent="0.35">
      <c r="B758" s="22"/>
      <c r="F758" s="23"/>
      <c r="G758" s="23"/>
      <c r="H758" s="23"/>
      <c r="I758" s="23"/>
      <c r="J758" s="23"/>
      <c r="K758" s="23"/>
      <c r="L758" s="23"/>
      <c r="M758" s="23"/>
      <c r="N758" s="23"/>
      <c r="O758" s="23"/>
      <c r="P758" s="23"/>
      <c r="Q758" s="23"/>
      <c r="R758" s="23"/>
    </row>
    <row r="759" spans="2:18" x14ac:dyDescent="0.35">
      <c r="B759" s="22"/>
      <c r="F759" s="23"/>
      <c r="G759" s="23"/>
      <c r="H759" s="23"/>
      <c r="I759" s="23"/>
      <c r="J759" s="23"/>
      <c r="K759" s="23"/>
      <c r="L759" s="23"/>
      <c r="M759" s="23"/>
      <c r="N759" s="23"/>
      <c r="O759" s="23"/>
      <c r="P759" s="23"/>
      <c r="Q759" s="23"/>
      <c r="R759" s="23"/>
    </row>
    <row r="760" spans="2:18" x14ac:dyDescent="0.35">
      <c r="B760" s="22"/>
      <c r="F760" s="23"/>
      <c r="G760" s="23"/>
      <c r="H760" s="23"/>
      <c r="I760" s="23"/>
      <c r="J760" s="23"/>
      <c r="K760" s="23"/>
      <c r="L760" s="23"/>
      <c r="M760" s="23"/>
      <c r="N760" s="23"/>
      <c r="O760" s="23"/>
      <c r="P760" s="23"/>
      <c r="Q760" s="23"/>
      <c r="R760" s="23"/>
    </row>
    <row r="761" spans="2:18" x14ac:dyDescent="0.35">
      <c r="B761" s="22"/>
      <c r="F761" s="23"/>
      <c r="G761" s="23"/>
      <c r="H761" s="23"/>
      <c r="I761" s="23"/>
      <c r="J761" s="23"/>
      <c r="K761" s="23"/>
      <c r="L761" s="23"/>
      <c r="M761" s="23"/>
      <c r="N761" s="23"/>
      <c r="O761" s="23"/>
      <c r="P761" s="23"/>
      <c r="Q761" s="23"/>
      <c r="R761" s="23"/>
    </row>
    <row r="762" spans="2:18" x14ac:dyDescent="0.35">
      <c r="B762" s="22"/>
      <c r="F762" s="23"/>
      <c r="G762" s="23"/>
      <c r="H762" s="23"/>
      <c r="I762" s="23"/>
      <c r="J762" s="23"/>
      <c r="K762" s="23"/>
      <c r="L762" s="23"/>
      <c r="M762" s="23"/>
      <c r="N762" s="23"/>
      <c r="O762" s="23"/>
      <c r="P762" s="23"/>
      <c r="Q762" s="23"/>
      <c r="R762" s="23"/>
    </row>
    <row r="763" spans="2:18" x14ac:dyDescent="0.35">
      <c r="B763" s="22"/>
      <c r="F763" s="23"/>
      <c r="G763" s="23"/>
      <c r="H763" s="23"/>
      <c r="I763" s="23"/>
      <c r="J763" s="23"/>
      <c r="K763" s="23"/>
      <c r="L763" s="23"/>
      <c r="M763" s="23"/>
      <c r="N763" s="23"/>
      <c r="O763" s="23"/>
      <c r="P763" s="23"/>
      <c r="Q763" s="23"/>
      <c r="R763" s="23"/>
    </row>
    <row r="764" spans="2:18" x14ac:dyDescent="0.35">
      <c r="B764" s="22"/>
      <c r="F764" s="23"/>
      <c r="G764" s="23"/>
      <c r="H764" s="23"/>
      <c r="I764" s="23"/>
      <c r="J764" s="23"/>
      <c r="K764" s="23"/>
      <c r="L764" s="23"/>
      <c r="M764" s="23"/>
      <c r="N764" s="23"/>
      <c r="O764" s="23"/>
      <c r="P764" s="23"/>
      <c r="Q764" s="23"/>
      <c r="R764" s="23"/>
    </row>
    <row r="765" spans="2:18" x14ac:dyDescent="0.35">
      <c r="B765" s="22"/>
      <c r="F765" s="23"/>
      <c r="G765" s="23"/>
      <c r="H765" s="23"/>
      <c r="I765" s="23"/>
      <c r="J765" s="23"/>
      <c r="K765" s="23"/>
      <c r="L765" s="23"/>
      <c r="M765" s="23"/>
      <c r="N765" s="23"/>
      <c r="O765" s="23"/>
      <c r="P765" s="23"/>
      <c r="Q765" s="23"/>
      <c r="R765" s="23"/>
    </row>
    <row r="766" spans="2:18" x14ac:dyDescent="0.35">
      <c r="B766" s="22"/>
      <c r="F766" s="23"/>
      <c r="G766" s="23"/>
      <c r="H766" s="23"/>
      <c r="I766" s="23"/>
      <c r="J766" s="23"/>
      <c r="K766" s="23"/>
      <c r="L766" s="23"/>
      <c r="M766" s="23"/>
      <c r="N766" s="23"/>
      <c r="O766" s="23"/>
      <c r="P766" s="23"/>
      <c r="Q766" s="23"/>
      <c r="R766" s="23"/>
    </row>
    <row r="767" spans="2:18" x14ac:dyDescent="0.35">
      <c r="B767" s="22"/>
      <c r="F767" s="23"/>
      <c r="G767" s="23"/>
      <c r="H767" s="23"/>
      <c r="I767" s="23"/>
      <c r="J767" s="23"/>
      <c r="K767" s="23"/>
      <c r="L767" s="23"/>
      <c r="M767" s="23"/>
      <c r="N767" s="23"/>
      <c r="O767" s="23"/>
      <c r="P767" s="23"/>
      <c r="Q767" s="23"/>
      <c r="R767" s="23"/>
    </row>
    <row r="768" spans="2:18" x14ac:dyDescent="0.35">
      <c r="B768" s="22"/>
      <c r="F768" s="23"/>
      <c r="G768" s="23"/>
      <c r="H768" s="23"/>
      <c r="I768" s="23"/>
      <c r="J768" s="23"/>
      <c r="K768" s="23"/>
      <c r="L768" s="23"/>
      <c r="M768" s="23"/>
      <c r="N768" s="23"/>
      <c r="O768" s="23"/>
      <c r="P768" s="23"/>
      <c r="Q768" s="23"/>
      <c r="R768" s="23"/>
    </row>
    <row r="769" spans="2:18" x14ac:dyDescent="0.35">
      <c r="B769" s="22"/>
      <c r="F769" s="23"/>
      <c r="G769" s="23"/>
      <c r="H769" s="23"/>
      <c r="I769" s="23"/>
      <c r="J769" s="23"/>
      <c r="K769" s="23"/>
      <c r="L769" s="23"/>
      <c r="M769" s="23"/>
      <c r="N769" s="23"/>
      <c r="O769" s="23"/>
      <c r="P769" s="23"/>
      <c r="Q769" s="23"/>
      <c r="R769" s="23"/>
    </row>
    <row r="770" spans="2:18" x14ac:dyDescent="0.35">
      <c r="B770" s="22"/>
      <c r="F770" s="23"/>
      <c r="G770" s="23"/>
      <c r="H770" s="23"/>
      <c r="I770" s="23"/>
      <c r="J770" s="23"/>
      <c r="K770" s="23"/>
      <c r="L770" s="23"/>
      <c r="M770" s="23"/>
      <c r="N770" s="23"/>
      <c r="O770" s="23"/>
      <c r="P770" s="23"/>
      <c r="Q770" s="23"/>
      <c r="R770" s="23"/>
    </row>
    <row r="771" spans="2:18" x14ac:dyDescent="0.35">
      <c r="B771" s="22"/>
      <c r="F771" s="23"/>
      <c r="G771" s="23"/>
      <c r="H771" s="23"/>
      <c r="I771" s="23"/>
      <c r="J771" s="23"/>
      <c r="K771" s="23"/>
      <c r="L771" s="23"/>
      <c r="M771" s="23"/>
      <c r="N771" s="23"/>
      <c r="O771" s="23"/>
      <c r="P771" s="23"/>
      <c r="Q771" s="23"/>
      <c r="R771" s="23"/>
    </row>
    <row r="772" spans="2:18" x14ac:dyDescent="0.35">
      <c r="B772" s="22"/>
      <c r="F772" s="23"/>
      <c r="G772" s="23"/>
      <c r="H772" s="23"/>
      <c r="I772" s="23"/>
      <c r="J772" s="23"/>
      <c r="K772" s="23"/>
      <c r="L772" s="23"/>
      <c r="M772" s="23"/>
      <c r="N772" s="23"/>
      <c r="O772" s="23"/>
      <c r="P772" s="23"/>
      <c r="Q772" s="23"/>
      <c r="R772" s="23"/>
    </row>
    <row r="773" spans="2:18" x14ac:dyDescent="0.35">
      <c r="B773" s="22"/>
      <c r="F773" s="23"/>
      <c r="G773" s="23"/>
      <c r="H773" s="23"/>
      <c r="I773" s="23"/>
      <c r="J773" s="23"/>
      <c r="K773" s="23"/>
      <c r="L773" s="23"/>
      <c r="M773" s="23"/>
      <c r="N773" s="23"/>
      <c r="O773" s="23"/>
      <c r="P773" s="23"/>
      <c r="Q773" s="23"/>
      <c r="R773" s="23"/>
    </row>
    <row r="774" spans="2:18" x14ac:dyDescent="0.35">
      <c r="B774" s="22"/>
      <c r="F774" s="23"/>
      <c r="G774" s="23"/>
      <c r="H774" s="23"/>
      <c r="I774" s="23"/>
      <c r="J774" s="23"/>
      <c r="K774" s="23"/>
      <c r="L774" s="23"/>
      <c r="M774" s="23"/>
      <c r="N774" s="23"/>
      <c r="O774" s="23"/>
      <c r="P774" s="23"/>
      <c r="Q774" s="23"/>
      <c r="R774" s="23"/>
    </row>
    <row r="775" spans="2:18" x14ac:dyDescent="0.35">
      <c r="B775" s="22"/>
      <c r="F775" s="23"/>
      <c r="G775" s="23"/>
      <c r="H775" s="23"/>
      <c r="I775" s="23"/>
      <c r="J775" s="23"/>
      <c r="K775" s="23"/>
      <c r="L775" s="23"/>
      <c r="M775" s="23"/>
      <c r="N775" s="23"/>
      <c r="O775" s="23"/>
      <c r="P775" s="23"/>
      <c r="Q775" s="23"/>
      <c r="R775" s="23"/>
    </row>
    <row r="776" spans="2:18" x14ac:dyDescent="0.35">
      <c r="B776" s="22"/>
      <c r="F776" s="23"/>
      <c r="G776" s="23"/>
      <c r="H776" s="23"/>
      <c r="I776" s="23"/>
      <c r="J776" s="23"/>
      <c r="K776" s="23"/>
      <c r="L776" s="23"/>
      <c r="M776" s="23"/>
      <c r="N776" s="23"/>
      <c r="O776" s="23"/>
      <c r="P776" s="23"/>
      <c r="Q776" s="23"/>
      <c r="R776" s="23"/>
    </row>
    <row r="777" spans="2:18" x14ac:dyDescent="0.35">
      <c r="B777" s="22"/>
      <c r="F777" s="23"/>
      <c r="G777" s="23"/>
      <c r="H777" s="23"/>
      <c r="I777" s="23"/>
      <c r="J777" s="23"/>
      <c r="K777" s="23"/>
      <c r="L777" s="23"/>
      <c r="M777" s="23"/>
      <c r="N777" s="23"/>
      <c r="O777" s="23"/>
      <c r="P777" s="23"/>
      <c r="Q777" s="23"/>
      <c r="R777" s="23"/>
    </row>
    <row r="778" spans="2:18" x14ac:dyDescent="0.35">
      <c r="B778" s="22"/>
      <c r="F778" s="23"/>
      <c r="G778" s="23"/>
      <c r="H778" s="23"/>
      <c r="I778" s="23"/>
      <c r="J778" s="23"/>
      <c r="K778" s="23"/>
      <c r="L778" s="23"/>
      <c r="M778" s="23"/>
      <c r="N778" s="23"/>
      <c r="O778" s="23"/>
      <c r="P778" s="23"/>
      <c r="Q778" s="23"/>
      <c r="R778" s="23"/>
    </row>
    <row r="779" spans="2:18" x14ac:dyDescent="0.35">
      <c r="B779" s="22"/>
      <c r="F779" s="23"/>
      <c r="G779" s="23"/>
      <c r="H779" s="23"/>
      <c r="I779" s="23"/>
      <c r="J779" s="23"/>
      <c r="K779" s="23"/>
      <c r="L779" s="23"/>
      <c r="M779" s="23"/>
      <c r="N779" s="23"/>
      <c r="O779" s="23"/>
      <c r="P779" s="23"/>
      <c r="Q779" s="23"/>
      <c r="R779" s="23"/>
    </row>
    <row r="780" spans="2:18" x14ac:dyDescent="0.35">
      <c r="B780" s="22"/>
      <c r="F780" s="23"/>
      <c r="G780" s="23"/>
      <c r="H780" s="23"/>
      <c r="I780" s="23"/>
      <c r="J780" s="23"/>
      <c r="K780" s="23"/>
      <c r="L780" s="23"/>
      <c r="M780" s="23"/>
      <c r="N780" s="23"/>
      <c r="O780" s="23"/>
      <c r="P780" s="23"/>
      <c r="Q780" s="23"/>
      <c r="R780" s="23"/>
    </row>
    <row r="781" spans="2:18" x14ac:dyDescent="0.35">
      <c r="B781" s="22"/>
      <c r="F781" s="23"/>
      <c r="G781" s="23"/>
      <c r="H781" s="23"/>
      <c r="I781" s="23"/>
      <c r="J781" s="23"/>
      <c r="K781" s="23"/>
      <c r="L781" s="23"/>
      <c r="M781" s="23"/>
      <c r="N781" s="23"/>
      <c r="O781" s="23"/>
      <c r="P781" s="23"/>
      <c r="Q781" s="23"/>
      <c r="R781" s="23"/>
    </row>
    <row r="782" spans="2:18" x14ac:dyDescent="0.35">
      <c r="B782" s="22"/>
      <c r="F782" s="23"/>
      <c r="G782" s="23"/>
      <c r="H782" s="23"/>
      <c r="I782" s="23"/>
      <c r="J782" s="23"/>
      <c r="K782" s="23"/>
      <c r="L782" s="23"/>
      <c r="M782" s="23"/>
      <c r="N782" s="23"/>
      <c r="O782" s="23"/>
      <c r="P782" s="23"/>
      <c r="Q782" s="23"/>
      <c r="R782" s="23"/>
    </row>
    <row r="783" spans="2:18" x14ac:dyDescent="0.35">
      <c r="B783" s="22"/>
      <c r="F783" s="23"/>
      <c r="G783" s="23"/>
      <c r="H783" s="23"/>
      <c r="I783" s="23"/>
      <c r="J783" s="23"/>
      <c r="K783" s="23"/>
      <c r="L783" s="23"/>
      <c r="M783" s="23"/>
      <c r="N783" s="23"/>
      <c r="O783" s="23"/>
      <c r="P783" s="23"/>
      <c r="Q783" s="23"/>
      <c r="R783" s="23"/>
    </row>
    <row r="784" spans="2:18" x14ac:dyDescent="0.35">
      <c r="B784" s="22"/>
      <c r="F784" s="23"/>
      <c r="G784" s="23"/>
      <c r="H784" s="23"/>
      <c r="I784" s="23"/>
      <c r="J784" s="23"/>
      <c r="K784" s="23"/>
      <c r="L784" s="23"/>
      <c r="M784" s="23"/>
      <c r="N784" s="23"/>
      <c r="O784" s="23"/>
      <c r="P784" s="23"/>
      <c r="Q784" s="23"/>
      <c r="R784" s="23"/>
    </row>
    <row r="785" spans="2:18" x14ac:dyDescent="0.35">
      <c r="B785" s="22"/>
      <c r="F785" s="23"/>
      <c r="G785" s="23"/>
      <c r="H785" s="23"/>
      <c r="I785" s="23"/>
      <c r="J785" s="23"/>
      <c r="K785" s="23"/>
      <c r="L785" s="23"/>
      <c r="M785" s="23"/>
      <c r="N785" s="23"/>
      <c r="O785" s="23"/>
      <c r="P785" s="23"/>
      <c r="Q785" s="23"/>
      <c r="R785" s="23"/>
    </row>
    <row r="786" spans="2:18" x14ac:dyDescent="0.35">
      <c r="B786" s="22"/>
      <c r="F786" s="23"/>
      <c r="G786" s="23"/>
      <c r="H786" s="23"/>
      <c r="I786" s="23"/>
      <c r="J786" s="23"/>
      <c r="K786" s="23"/>
      <c r="L786" s="23"/>
      <c r="M786" s="23"/>
      <c r="N786" s="23"/>
      <c r="O786" s="23"/>
      <c r="P786" s="23"/>
      <c r="Q786" s="23"/>
      <c r="R786" s="23"/>
    </row>
    <row r="787" spans="2:18" x14ac:dyDescent="0.35">
      <c r="B787" s="22"/>
      <c r="F787" s="23"/>
      <c r="G787" s="23"/>
      <c r="H787" s="23"/>
      <c r="I787" s="23"/>
      <c r="J787" s="23"/>
      <c r="K787" s="23"/>
      <c r="L787" s="23"/>
      <c r="M787" s="23"/>
      <c r="N787" s="23"/>
      <c r="O787" s="23"/>
      <c r="P787" s="23"/>
      <c r="Q787" s="23"/>
      <c r="R787" s="23"/>
    </row>
    <row r="788" spans="2:18" x14ac:dyDescent="0.35">
      <c r="B788" s="22"/>
      <c r="F788" s="23"/>
      <c r="G788" s="23"/>
      <c r="H788" s="23"/>
      <c r="I788" s="23"/>
      <c r="J788" s="23"/>
      <c r="K788" s="23"/>
      <c r="L788" s="23"/>
      <c r="M788" s="23"/>
      <c r="N788" s="23"/>
      <c r="O788" s="23"/>
      <c r="P788" s="23"/>
      <c r="Q788" s="23"/>
      <c r="R788" s="23"/>
    </row>
    <row r="789" spans="2:18" x14ac:dyDescent="0.35">
      <c r="B789" s="22"/>
      <c r="F789" s="23"/>
      <c r="G789" s="23"/>
      <c r="H789" s="23"/>
      <c r="I789" s="23"/>
      <c r="J789" s="23"/>
      <c r="K789" s="23"/>
      <c r="L789" s="23"/>
      <c r="M789" s="23"/>
      <c r="N789" s="23"/>
      <c r="O789" s="23"/>
      <c r="P789" s="23"/>
      <c r="Q789" s="23"/>
      <c r="R789" s="23"/>
    </row>
    <row r="790" spans="2:18" x14ac:dyDescent="0.35">
      <c r="B790" s="22"/>
      <c r="F790" s="23"/>
      <c r="G790" s="23"/>
      <c r="H790" s="23"/>
      <c r="I790" s="23"/>
      <c r="J790" s="23"/>
      <c r="K790" s="23"/>
      <c r="L790" s="23"/>
      <c r="M790" s="23"/>
      <c r="N790" s="23"/>
      <c r="O790" s="23"/>
      <c r="P790" s="23"/>
      <c r="Q790" s="23"/>
      <c r="R790" s="23"/>
    </row>
    <row r="791" spans="2:18" x14ac:dyDescent="0.35">
      <c r="B791" s="22"/>
      <c r="F791" s="23"/>
      <c r="G791" s="23"/>
      <c r="H791" s="23"/>
      <c r="I791" s="23"/>
      <c r="J791" s="23"/>
      <c r="K791" s="23"/>
      <c r="L791" s="23"/>
      <c r="M791" s="23"/>
      <c r="N791" s="23"/>
      <c r="O791" s="23"/>
      <c r="P791" s="23"/>
      <c r="Q791" s="23"/>
      <c r="R791" s="23"/>
    </row>
    <row r="792" spans="2:18" x14ac:dyDescent="0.35">
      <c r="B792" s="22"/>
      <c r="F792" s="23"/>
      <c r="G792" s="23"/>
      <c r="H792" s="23"/>
      <c r="I792" s="23"/>
      <c r="J792" s="23"/>
      <c r="K792" s="23"/>
      <c r="L792" s="23"/>
      <c r="M792" s="23"/>
      <c r="N792" s="23"/>
      <c r="O792" s="23"/>
      <c r="P792" s="23"/>
      <c r="Q792" s="23"/>
      <c r="R792" s="23"/>
    </row>
    <row r="793" spans="2:18" x14ac:dyDescent="0.35">
      <c r="B793" s="22"/>
      <c r="F793" s="23"/>
      <c r="G793" s="23"/>
      <c r="H793" s="23"/>
      <c r="I793" s="23"/>
      <c r="J793" s="23"/>
      <c r="K793" s="23"/>
      <c r="L793" s="23"/>
      <c r="M793" s="23"/>
      <c r="N793" s="23"/>
      <c r="O793" s="23"/>
      <c r="P793" s="23"/>
      <c r="Q793" s="23"/>
      <c r="R793" s="23"/>
    </row>
    <row r="794" spans="2:18" x14ac:dyDescent="0.35">
      <c r="B794" s="22"/>
      <c r="F794" s="23"/>
      <c r="G794" s="23"/>
      <c r="H794" s="23"/>
      <c r="I794" s="23"/>
      <c r="J794" s="23"/>
      <c r="K794" s="23"/>
      <c r="L794" s="23"/>
      <c r="M794" s="23"/>
      <c r="N794" s="23"/>
      <c r="O794" s="23"/>
      <c r="P794" s="23"/>
      <c r="Q794" s="23"/>
      <c r="R794" s="23"/>
    </row>
    <row r="795" spans="2:18" x14ac:dyDescent="0.35">
      <c r="B795" s="22"/>
      <c r="F795" s="23"/>
      <c r="G795" s="23"/>
      <c r="H795" s="23"/>
      <c r="I795" s="23"/>
      <c r="J795" s="23"/>
      <c r="K795" s="23"/>
      <c r="L795" s="23"/>
      <c r="M795" s="23"/>
      <c r="N795" s="23"/>
      <c r="O795" s="23"/>
      <c r="P795" s="23"/>
      <c r="Q795" s="23"/>
      <c r="R795" s="23"/>
    </row>
    <row r="796" spans="2:18" x14ac:dyDescent="0.35">
      <c r="B796" s="22"/>
      <c r="F796" s="23"/>
      <c r="G796" s="23"/>
      <c r="H796" s="23"/>
      <c r="I796" s="23"/>
      <c r="J796" s="23"/>
      <c r="K796" s="23"/>
      <c r="L796" s="23"/>
      <c r="M796" s="23"/>
      <c r="N796" s="23"/>
      <c r="O796" s="23"/>
      <c r="P796" s="23"/>
      <c r="Q796" s="23"/>
      <c r="R796" s="23"/>
    </row>
    <row r="797" spans="2:18" x14ac:dyDescent="0.35">
      <c r="B797" s="22"/>
      <c r="F797" s="23"/>
      <c r="G797" s="23"/>
      <c r="H797" s="23"/>
      <c r="I797" s="23"/>
      <c r="J797" s="23"/>
      <c r="K797" s="23"/>
      <c r="L797" s="23"/>
      <c r="M797" s="23"/>
      <c r="N797" s="23"/>
      <c r="O797" s="23"/>
      <c r="P797" s="23"/>
      <c r="Q797" s="23"/>
      <c r="R797" s="23"/>
    </row>
    <row r="798" spans="2:18" x14ac:dyDescent="0.35">
      <c r="B798" s="22"/>
      <c r="F798" s="23"/>
      <c r="G798" s="23"/>
      <c r="H798" s="23"/>
      <c r="I798" s="23"/>
      <c r="J798" s="23"/>
      <c r="K798" s="23"/>
      <c r="L798" s="23"/>
      <c r="M798" s="23"/>
      <c r="N798" s="23"/>
      <c r="O798" s="23"/>
      <c r="P798" s="23"/>
      <c r="Q798" s="23"/>
      <c r="R798" s="23"/>
    </row>
    <row r="799" spans="2:18" x14ac:dyDescent="0.35">
      <c r="B799" s="22"/>
      <c r="F799" s="23"/>
      <c r="G799" s="23"/>
      <c r="H799" s="23"/>
      <c r="I799" s="23"/>
      <c r="J799" s="23"/>
      <c r="K799" s="23"/>
      <c r="L799" s="23"/>
      <c r="M799" s="23"/>
      <c r="N799" s="23"/>
      <c r="O799" s="23"/>
      <c r="P799" s="23"/>
      <c r="Q799" s="23"/>
      <c r="R799" s="23"/>
    </row>
    <row r="800" spans="2:18" x14ac:dyDescent="0.35">
      <c r="B800" s="22"/>
      <c r="F800" s="23"/>
      <c r="G800" s="23"/>
      <c r="H800" s="23"/>
      <c r="I800" s="23"/>
      <c r="J800" s="23"/>
      <c r="K800" s="23"/>
      <c r="L800" s="23"/>
      <c r="M800" s="23"/>
      <c r="N800" s="23"/>
      <c r="O800" s="23"/>
      <c r="P800" s="23"/>
      <c r="Q800" s="23"/>
      <c r="R800" s="23"/>
    </row>
    <row r="801" spans="2:18" x14ac:dyDescent="0.35">
      <c r="B801" s="22"/>
      <c r="F801" s="23"/>
      <c r="G801" s="23"/>
      <c r="H801" s="23"/>
      <c r="I801" s="23"/>
      <c r="J801" s="23"/>
      <c r="K801" s="23"/>
      <c r="L801" s="23"/>
      <c r="M801" s="23"/>
      <c r="N801" s="23"/>
      <c r="O801" s="23"/>
      <c r="P801" s="23"/>
      <c r="Q801" s="23"/>
      <c r="R801" s="23"/>
    </row>
    <row r="802" spans="2:18" x14ac:dyDescent="0.35">
      <c r="B802" s="22"/>
      <c r="F802" s="23"/>
      <c r="G802" s="23"/>
      <c r="H802" s="23"/>
      <c r="I802" s="23"/>
      <c r="J802" s="23"/>
      <c r="K802" s="23"/>
      <c r="L802" s="23"/>
      <c r="M802" s="23"/>
      <c r="N802" s="23"/>
      <c r="O802" s="23"/>
      <c r="P802" s="23"/>
      <c r="Q802" s="23"/>
      <c r="R802" s="23"/>
    </row>
    <row r="803" spans="2:18" x14ac:dyDescent="0.35">
      <c r="B803" s="22"/>
      <c r="F803" s="23"/>
      <c r="G803" s="23"/>
      <c r="H803" s="23"/>
      <c r="I803" s="23"/>
      <c r="J803" s="23"/>
      <c r="K803" s="23"/>
      <c r="L803" s="23"/>
      <c r="M803" s="23"/>
      <c r="N803" s="23"/>
      <c r="O803" s="23"/>
      <c r="P803" s="23"/>
      <c r="Q803" s="23"/>
      <c r="R803" s="23"/>
    </row>
    <row r="804" spans="2:18" x14ac:dyDescent="0.35">
      <c r="B804" s="22"/>
      <c r="F804" s="23"/>
      <c r="G804" s="23"/>
      <c r="H804" s="23"/>
      <c r="I804" s="23"/>
      <c r="J804" s="23"/>
      <c r="K804" s="23"/>
      <c r="L804" s="23"/>
      <c r="M804" s="23"/>
      <c r="N804" s="23"/>
      <c r="O804" s="23"/>
      <c r="P804" s="23"/>
      <c r="Q804" s="23"/>
      <c r="R804" s="23"/>
    </row>
    <row r="805" spans="2:18" x14ac:dyDescent="0.35">
      <c r="B805" s="22"/>
      <c r="F805" s="23"/>
      <c r="G805" s="23"/>
      <c r="H805" s="23"/>
      <c r="I805" s="23"/>
      <c r="J805" s="23"/>
      <c r="K805" s="23"/>
      <c r="L805" s="23"/>
      <c r="M805" s="23"/>
      <c r="N805" s="23"/>
      <c r="O805" s="23"/>
      <c r="P805" s="23"/>
      <c r="Q805" s="23"/>
      <c r="R805" s="23"/>
    </row>
    <row r="806" spans="2:18" x14ac:dyDescent="0.35">
      <c r="B806" s="22"/>
      <c r="F806" s="23"/>
      <c r="G806" s="23"/>
      <c r="H806" s="23"/>
      <c r="I806" s="23"/>
      <c r="J806" s="23"/>
      <c r="K806" s="23"/>
      <c r="L806" s="23"/>
      <c r="M806" s="23"/>
      <c r="N806" s="23"/>
      <c r="O806" s="23"/>
      <c r="P806" s="23"/>
      <c r="Q806" s="23"/>
      <c r="R806" s="23"/>
    </row>
    <row r="807" spans="2:18" x14ac:dyDescent="0.35">
      <c r="B807" s="22"/>
      <c r="F807" s="23"/>
      <c r="G807" s="23"/>
      <c r="H807" s="23"/>
      <c r="I807" s="23"/>
      <c r="J807" s="23"/>
      <c r="K807" s="23"/>
      <c r="L807" s="23"/>
      <c r="M807" s="23"/>
      <c r="N807" s="23"/>
      <c r="O807" s="23"/>
      <c r="P807" s="23"/>
      <c r="Q807" s="23"/>
      <c r="R807" s="23"/>
    </row>
    <row r="808" spans="2:18" x14ac:dyDescent="0.35">
      <c r="B808" s="22"/>
      <c r="F808" s="23"/>
      <c r="G808" s="23"/>
      <c r="H808" s="23"/>
      <c r="I808" s="23"/>
      <c r="J808" s="23"/>
      <c r="K808" s="23"/>
      <c r="L808" s="23"/>
      <c r="M808" s="23"/>
      <c r="N808" s="23"/>
      <c r="O808" s="23"/>
      <c r="P808" s="23"/>
      <c r="Q808" s="23"/>
      <c r="R808" s="23"/>
    </row>
    <row r="809" spans="2:18" x14ac:dyDescent="0.35">
      <c r="B809" s="22"/>
      <c r="F809" s="23"/>
      <c r="G809" s="23"/>
      <c r="H809" s="23"/>
      <c r="I809" s="23"/>
      <c r="J809" s="23"/>
      <c r="K809" s="23"/>
      <c r="L809" s="23"/>
      <c r="M809" s="23"/>
      <c r="N809" s="23"/>
      <c r="O809" s="23"/>
      <c r="P809" s="23"/>
      <c r="Q809" s="23"/>
      <c r="R809" s="23"/>
    </row>
    <row r="810" spans="2:18" x14ac:dyDescent="0.35">
      <c r="B810" s="22"/>
      <c r="F810" s="23"/>
      <c r="G810" s="23"/>
      <c r="H810" s="23"/>
      <c r="I810" s="23"/>
      <c r="J810" s="23"/>
      <c r="K810" s="23"/>
      <c r="L810" s="23"/>
      <c r="M810" s="23"/>
      <c r="N810" s="23"/>
      <c r="O810" s="23"/>
      <c r="P810" s="23"/>
      <c r="Q810" s="23"/>
      <c r="R810" s="23"/>
    </row>
    <row r="811" spans="2:18" x14ac:dyDescent="0.35">
      <c r="B811" s="22"/>
      <c r="F811" s="23"/>
      <c r="G811" s="23"/>
      <c r="H811" s="23"/>
      <c r="I811" s="23"/>
      <c r="J811" s="23"/>
      <c r="K811" s="23"/>
      <c r="L811" s="23"/>
      <c r="M811" s="23"/>
      <c r="N811" s="23"/>
      <c r="O811" s="23"/>
      <c r="P811" s="23"/>
      <c r="Q811" s="23"/>
      <c r="R811" s="23"/>
    </row>
    <row r="812" spans="2:18" x14ac:dyDescent="0.35">
      <c r="B812" s="22"/>
      <c r="F812" s="23"/>
      <c r="G812" s="23"/>
      <c r="H812" s="23"/>
      <c r="I812" s="23"/>
      <c r="J812" s="23"/>
      <c r="K812" s="23"/>
      <c r="L812" s="23"/>
      <c r="M812" s="23"/>
      <c r="N812" s="23"/>
      <c r="O812" s="23"/>
      <c r="P812" s="23"/>
      <c r="Q812" s="23"/>
      <c r="R812" s="23"/>
    </row>
    <row r="813" spans="2:18" x14ac:dyDescent="0.35">
      <c r="B813" s="22"/>
      <c r="F813" s="23"/>
      <c r="G813" s="23"/>
      <c r="H813" s="23"/>
      <c r="I813" s="23"/>
      <c r="J813" s="23"/>
      <c r="K813" s="23"/>
      <c r="L813" s="23"/>
      <c r="M813" s="23"/>
      <c r="N813" s="23"/>
      <c r="O813" s="23"/>
      <c r="P813" s="23"/>
      <c r="Q813" s="23"/>
      <c r="R813" s="23"/>
    </row>
    <row r="814" spans="2:18" x14ac:dyDescent="0.35">
      <c r="B814" s="22"/>
      <c r="F814" s="23"/>
      <c r="G814" s="23"/>
      <c r="H814" s="23"/>
      <c r="I814" s="23"/>
      <c r="J814" s="23"/>
      <c r="K814" s="23"/>
      <c r="L814" s="23"/>
      <c r="M814" s="23"/>
      <c r="N814" s="23"/>
      <c r="O814" s="23"/>
      <c r="P814" s="23"/>
      <c r="Q814" s="23"/>
      <c r="R814" s="23"/>
    </row>
    <row r="815" spans="2:18" x14ac:dyDescent="0.35">
      <c r="B815" s="22"/>
      <c r="F815" s="23"/>
      <c r="G815" s="23"/>
      <c r="H815" s="23"/>
      <c r="I815" s="23"/>
      <c r="J815" s="23"/>
      <c r="K815" s="23"/>
      <c r="L815" s="23"/>
      <c r="M815" s="23"/>
      <c r="N815" s="23"/>
      <c r="O815" s="23"/>
      <c r="P815" s="23"/>
      <c r="Q815" s="23"/>
      <c r="R815" s="23"/>
    </row>
    <row r="816" spans="2:18" x14ac:dyDescent="0.35">
      <c r="B816" s="22"/>
      <c r="F816" s="23"/>
      <c r="G816" s="23"/>
      <c r="H816" s="23"/>
      <c r="I816" s="23"/>
      <c r="J816" s="23"/>
      <c r="K816" s="23"/>
      <c r="L816" s="23"/>
      <c r="M816" s="23"/>
      <c r="N816" s="23"/>
      <c r="O816" s="23"/>
      <c r="P816" s="23"/>
      <c r="Q816" s="23"/>
      <c r="R816" s="23"/>
    </row>
    <row r="817" spans="2:18" x14ac:dyDescent="0.35">
      <c r="B817" s="22"/>
      <c r="F817" s="23"/>
      <c r="G817" s="23"/>
      <c r="H817" s="23"/>
      <c r="I817" s="23"/>
      <c r="J817" s="23"/>
      <c r="K817" s="23"/>
      <c r="L817" s="23"/>
      <c r="M817" s="23"/>
      <c r="N817" s="23"/>
      <c r="O817" s="23"/>
      <c r="P817" s="23"/>
      <c r="Q817" s="23"/>
      <c r="R817" s="23"/>
    </row>
    <row r="818" spans="2:18" x14ac:dyDescent="0.35">
      <c r="B818" s="22"/>
      <c r="F818" s="23"/>
      <c r="G818" s="23"/>
      <c r="H818" s="23"/>
      <c r="I818" s="23"/>
      <c r="J818" s="23"/>
      <c r="K818" s="23"/>
      <c r="L818" s="23"/>
      <c r="M818" s="23"/>
      <c r="N818" s="23"/>
      <c r="O818" s="23"/>
      <c r="P818" s="23"/>
      <c r="Q818" s="23"/>
      <c r="R818" s="23"/>
    </row>
    <row r="819" spans="2:18" x14ac:dyDescent="0.35">
      <c r="B819" s="22"/>
      <c r="F819" s="23"/>
      <c r="G819" s="23"/>
      <c r="H819" s="23"/>
      <c r="I819" s="23"/>
      <c r="J819" s="23"/>
      <c r="K819" s="23"/>
      <c r="L819" s="23"/>
      <c r="M819" s="23"/>
      <c r="N819" s="23"/>
      <c r="O819" s="23"/>
      <c r="P819" s="23"/>
      <c r="Q819" s="23"/>
      <c r="R819" s="23"/>
    </row>
    <row r="820" spans="2:18" x14ac:dyDescent="0.35">
      <c r="B820" s="22"/>
      <c r="F820" s="23"/>
      <c r="G820" s="23"/>
      <c r="H820" s="23"/>
      <c r="I820" s="23"/>
      <c r="J820" s="23"/>
      <c r="K820" s="23"/>
      <c r="L820" s="23"/>
      <c r="M820" s="23"/>
      <c r="N820" s="23"/>
      <c r="O820" s="23"/>
      <c r="P820" s="23"/>
      <c r="Q820" s="23"/>
      <c r="R820" s="23"/>
    </row>
    <row r="821" spans="2:18" x14ac:dyDescent="0.35">
      <c r="B821" s="22"/>
      <c r="F821" s="23"/>
      <c r="G821" s="23"/>
      <c r="H821" s="23"/>
      <c r="I821" s="23"/>
      <c r="J821" s="23"/>
      <c r="K821" s="23"/>
      <c r="L821" s="23"/>
      <c r="M821" s="23"/>
      <c r="N821" s="23"/>
      <c r="O821" s="23"/>
      <c r="P821" s="23"/>
      <c r="Q821" s="23"/>
      <c r="R821" s="23"/>
    </row>
    <row r="822" spans="2:18" x14ac:dyDescent="0.35">
      <c r="B822" s="22"/>
      <c r="F822" s="23"/>
      <c r="G822" s="23"/>
      <c r="H822" s="23"/>
      <c r="I822" s="23"/>
      <c r="J822" s="23"/>
      <c r="K822" s="23"/>
      <c r="L822" s="23"/>
      <c r="M822" s="23"/>
      <c r="N822" s="23"/>
      <c r="O822" s="23"/>
      <c r="P822" s="23"/>
      <c r="Q822" s="23"/>
      <c r="R822" s="23"/>
    </row>
    <row r="823" spans="2:18" x14ac:dyDescent="0.35">
      <c r="B823" s="22"/>
      <c r="F823" s="23"/>
      <c r="G823" s="23"/>
      <c r="H823" s="23"/>
      <c r="I823" s="23"/>
      <c r="J823" s="23"/>
      <c r="K823" s="23"/>
      <c r="L823" s="23"/>
      <c r="M823" s="23"/>
      <c r="N823" s="23"/>
      <c r="O823" s="23"/>
      <c r="P823" s="23"/>
      <c r="Q823" s="23"/>
      <c r="R823" s="23"/>
    </row>
    <row r="824" spans="2:18" x14ac:dyDescent="0.35">
      <c r="B824" s="22"/>
      <c r="F824" s="23"/>
      <c r="G824" s="23"/>
      <c r="H824" s="23"/>
      <c r="I824" s="23"/>
      <c r="J824" s="23"/>
      <c r="K824" s="23"/>
      <c r="L824" s="23"/>
      <c r="M824" s="23"/>
      <c r="N824" s="23"/>
      <c r="O824" s="23"/>
      <c r="P824" s="23"/>
      <c r="Q824" s="23"/>
      <c r="R824" s="23"/>
    </row>
    <row r="825" spans="2:18" x14ac:dyDescent="0.35">
      <c r="B825" s="22"/>
      <c r="F825" s="23"/>
      <c r="G825" s="23"/>
      <c r="H825" s="23"/>
      <c r="I825" s="23"/>
      <c r="J825" s="23"/>
      <c r="K825" s="23"/>
      <c r="L825" s="23"/>
      <c r="M825" s="23"/>
      <c r="N825" s="23"/>
      <c r="O825" s="23"/>
      <c r="P825" s="23"/>
      <c r="Q825" s="23"/>
      <c r="R825" s="23"/>
    </row>
    <row r="826" spans="2:18" x14ac:dyDescent="0.35">
      <c r="B826" s="22"/>
      <c r="F826" s="23"/>
      <c r="G826" s="23"/>
      <c r="H826" s="23"/>
      <c r="I826" s="23"/>
      <c r="J826" s="23"/>
      <c r="K826" s="23"/>
      <c r="L826" s="23"/>
      <c r="M826" s="23"/>
      <c r="N826" s="23"/>
      <c r="O826" s="23"/>
      <c r="P826" s="23"/>
      <c r="Q826" s="23"/>
      <c r="R826" s="23"/>
    </row>
    <row r="827" spans="2:18" x14ac:dyDescent="0.35">
      <c r="B827" s="22"/>
      <c r="F827" s="23"/>
      <c r="G827" s="23"/>
      <c r="H827" s="23"/>
      <c r="I827" s="23"/>
      <c r="J827" s="23"/>
      <c r="K827" s="23"/>
      <c r="L827" s="23"/>
      <c r="M827" s="23"/>
      <c r="N827" s="23"/>
      <c r="O827" s="23"/>
      <c r="P827" s="23"/>
      <c r="Q827" s="23"/>
      <c r="R827" s="23"/>
    </row>
    <row r="828" spans="2:18" x14ac:dyDescent="0.35">
      <c r="B828" s="22"/>
      <c r="F828" s="23"/>
      <c r="G828" s="23"/>
      <c r="H828" s="23"/>
      <c r="I828" s="23"/>
      <c r="J828" s="23"/>
      <c r="K828" s="23"/>
      <c r="L828" s="23"/>
      <c r="M828" s="23"/>
      <c r="N828" s="23"/>
      <c r="O828" s="23"/>
      <c r="P828" s="23"/>
      <c r="Q828" s="23"/>
      <c r="R828" s="23"/>
    </row>
    <row r="829" spans="2:18" x14ac:dyDescent="0.35">
      <c r="B829" s="22"/>
      <c r="F829" s="23"/>
      <c r="G829" s="23"/>
      <c r="H829" s="23"/>
      <c r="I829" s="23"/>
      <c r="J829" s="23"/>
      <c r="K829" s="23"/>
      <c r="L829" s="23"/>
      <c r="M829" s="23"/>
      <c r="N829" s="23"/>
      <c r="O829" s="23"/>
      <c r="P829" s="23"/>
      <c r="Q829" s="23"/>
      <c r="R829" s="23"/>
    </row>
    <row r="830" spans="2:18" x14ac:dyDescent="0.35">
      <c r="B830" s="22"/>
      <c r="F830" s="23"/>
      <c r="G830" s="23"/>
      <c r="H830" s="23"/>
      <c r="I830" s="23"/>
      <c r="J830" s="23"/>
      <c r="K830" s="23"/>
      <c r="L830" s="23"/>
      <c r="M830" s="23"/>
      <c r="N830" s="23"/>
      <c r="O830" s="23"/>
      <c r="P830" s="23"/>
      <c r="Q830" s="23"/>
      <c r="R830" s="23"/>
    </row>
    <row r="831" spans="2:18" x14ac:dyDescent="0.35">
      <c r="B831" s="22"/>
      <c r="F831" s="23"/>
      <c r="G831" s="23"/>
      <c r="H831" s="23"/>
      <c r="I831" s="23"/>
      <c r="J831" s="23"/>
      <c r="K831" s="23"/>
      <c r="L831" s="23"/>
      <c r="M831" s="23"/>
      <c r="N831" s="23"/>
      <c r="O831" s="23"/>
      <c r="P831" s="23"/>
      <c r="Q831" s="23"/>
      <c r="R831" s="23"/>
    </row>
    <row r="832" spans="2:18" x14ac:dyDescent="0.35">
      <c r="B832" s="22"/>
      <c r="F832" s="23"/>
      <c r="G832" s="23"/>
      <c r="H832" s="23"/>
      <c r="I832" s="23"/>
      <c r="J832" s="23"/>
      <c r="K832" s="23"/>
      <c r="L832" s="23"/>
      <c r="M832" s="23"/>
      <c r="N832" s="23"/>
      <c r="O832" s="23"/>
      <c r="P832" s="23"/>
      <c r="Q832" s="23"/>
      <c r="R832" s="23"/>
    </row>
    <row r="833" spans="2:18" x14ac:dyDescent="0.35">
      <c r="B833" s="22"/>
      <c r="F833" s="23"/>
      <c r="G833" s="23"/>
      <c r="H833" s="23"/>
      <c r="I833" s="23"/>
      <c r="J833" s="23"/>
      <c r="K833" s="23"/>
      <c r="L833" s="23"/>
      <c r="M833" s="23"/>
      <c r="N833" s="23"/>
      <c r="O833" s="23"/>
      <c r="P833" s="23"/>
      <c r="Q833" s="23"/>
      <c r="R833" s="23"/>
    </row>
    <row r="834" spans="2:18" x14ac:dyDescent="0.35">
      <c r="B834" s="22"/>
      <c r="F834" s="23"/>
      <c r="G834" s="23"/>
      <c r="H834" s="23"/>
      <c r="I834" s="23"/>
      <c r="J834" s="23"/>
      <c r="K834" s="23"/>
      <c r="L834" s="23"/>
      <c r="M834" s="23"/>
      <c r="N834" s="23"/>
      <c r="O834" s="23"/>
      <c r="P834" s="23"/>
      <c r="Q834" s="23"/>
      <c r="R834" s="23"/>
    </row>
    <row r="835" spans="2:18" x14ac:dyDescent="0.35">
      <c r="B835" s="22"/>
      <c r="F835" s="23"/>
      <c r="G835" s="23"/>
      <c r="H835" s="23"/>
      <c r="I835" s="23"/>
      <c r="J835" s="23"/>
      <c r="K835" s="23"/>
      <c r="L835" s="23"/>
      <c r="M835" s="23"/>
      <c r="N835" s="23"/>
      <c r="O835" s="23"/>
      <c r="P835" s="23"/>
      <c r="Q835" s="23"/>
      <c r="R835" s="23"/>
    </row>
    <row r="836" spans="2:18" x14ac:dyDescent="0.35">
      <c r="B836" s="22"/>
      <c r="F836" s="23"/>
      <c r="G836" s="23"/>
      <c r="H836" s="23"/>
      <c r="I836" s="23"/>
      <c r="J836" s="23"/>
      <c r="K836" s="23"/>
      <c r="L836" s="23"/>
      <c r="M836" s="23"/>
      <c r="N836" s="23"/>
      <c r="O836" s="23"/>
      <c r="P836" s="23"/>
      <c r="Q836" s="23"/>
      <c r="R836" s="23"/>
    </row>
    <row r="837" spans="2:18" x14ac:dyDescent="0.35">
      <c r="B837" s="22"/>
      <c r="F837" s="23"/>
      <c r="G837" s="23"/>
      <c r="H837" s="23"/>
      <c r="I837" s="23"/>
      <c r="J837" s="23"/>
      <c r="K837" s="23"/>
      <c r="L837" s="23"/>
      <c r="M837" s="23"/>
      <c r="N837" s="23"/>
      <c r="O837" s="23"/>
      <c r="P837" s="23"/>
      <c r="Q837" s="23"/>
      <c r="R837" s="23"/>
    </row>
    <row r="838" spans="2:18" x14ac:dyDescent="0.35">
      <c r="B838" s="22"/>
      <c r="F838" s="23"/>
      <c r="G838" s="23"/>
      <c r="H838" s="23"/>
      <c r="I838" s="23"/>
      <c r="J838" s="23"/>
      <c r="K838" s="23"/>
      <c r="L838" s="23"/>
      <c r="M838" s="23"/>
      <c r="N838" s="23"/>
      <c r="O838" s="23"/>
      <c r="P838" s="23"/>
      <c r="Q838" s="23"/>
      <c r="R838" s="23"/>
    </row>
    <row r="839" spans="2:18" x14ac:dyDescent="0.35">
      <c r="B839" s="22"/>
      <c r="F839" s="23"/>
      <c r="G839" s="23"/>
      <c r="H839" s="23"/>
      <c r="I839" s="23"/>
      <c r="J839" s="23"/>
      <c r="K839" s="23"/>
      <c r="L839" s="23"/>
      <c r="M839" s="23"/>
      <c r="N839" s="23"/>
      <c r="O839" s="23"/>
      <c r="P839" s="23"/>
      <c r="Q839" s="23"/>
      <c r="R839" s="23"/>
    </row>
    <row r="840" spans="2:18" x14ac:dyDescent="0.35">
      <c r="B840" s="22"/>
      <c r="F840" s="23"/>
      <c r="G840" s="23"/>
      <c r="H840" s="23"/>
      <c r="I840" s="23"/>
      <c r="J840" s="23"/>
      <c r="K840" s="23"/>
      <c r="L840" s="23"/>
      <c r="M840" s="23"/>
      <c r="N840" s="23"/>
      <c r="O840" s="23"/>
      <c r="P840" s="23"/>
      <c r="Q840" s="23"/>
      <c r="R840" s="23"/>
    </row>
    <row r="841" spans="2:18" x14ac:dyDescent="0.35">
      <c r="B841" s="22"/>
      <c r="F841" s="23"/>
      <c r="G841" s="23"/>
      <c r="H841" s="23"/>
      <c r="I841" s="23"/>
      <c r="J841" s="23"/>
      <c r="K841" s="23"/>
      <c r="L841" s="23"/>
      <c r="M841" s="23"/>
      <c r="N841" s="23"/>
      <c r="O841" s="23"/>
      <c r="P841" s="23"/>
      <c r="Q841" s="23"/>
      <c r="R841" s="23"/>
    </row>
    <row r="842" spans="2:18" x14ac:dyDescent="0.35">
      <c r="B842" s="22"/>
      <c r="F842" s="23"/>
      <c r="G842" s="23"/>
      <c r="H842" s="23"/>
      <c r="I842" s="23"/>
      <c r="J842" s="23"/>
      <c r="K842" s="23"/>
      <c r="L842" s="23"/>
      <c r="M842" s="23"/>
      <c r="N842" s="23"/>
      <c r="O842" s="23"/>
      <c r="P842" s="23"/>
      <c r="Q842" s="23"/>
      <c r="R842" s="23"/>
    </row>
    <row r="843" spans="2:18" x14ac:dyDescent="0.35">
      <c r="B843" s="22"/>
      <c r="F843" s="23"/>
      <c r="G843" s="23"/>
      <c r="H843" s="23"/>
      <c r="I843" s="23"/>
      <c r="J843" s="23"/>
      <c r="K843" s="23"/>
      <c r="L843" s="23"/>
      <c r="M843" s="23"/>
      <c r="N843" s="23"/>
      <c r="O843" s="23"/>
      <c r="P843" s="23"/>
      <c r="Q843" s="23"/>
      <c r="R843" s="23"/>
    </row>
    <row r="844" spans="2:18" x14ac:dyDescent="0.35">
      <c r="B844" s="22"/>
      <c r="F844" s="23"/>
      <c r="G844" s="23"/>
      <c r="H844" s="23"/>
      <c r="I844" s="23"/>
      <c r="J844" s="23"/>
      <c r="K844" s="23"/>
      <c r="L844" s="23"/>
      <c r="M844" s="23"/>
      <c r="N844" s="23"/>
      <c r="O844" s="23"/>
      <c r="P844" s="23"/>
      <c r="Q844" s="23"/>
      <c r="R844" s="23"/>
    </row>
    <row r="845" spans="2:18" x14ac:dyDescent="0.35">
      <c r="B845" s="22"/>
      <c r="F845" s="23"/>
      <c r="G845" s="23"/>
      <c r="H845" s="23"/>
      <c r="I845" s="23"/>
      <c r="J845" s="23"/>
      <c r="K845" s="23"/>
      <c r="L845" s="23"/>
      <c r="M845" s="23"/>
      <c r="N845" s="23"/>
      <c r="O845" s="23"/>
      <c r="P845" s="23"/>
      <c r="Q845" s="23"/>
      <c r="R845" s="23"/>
    </row>
    <row r="846" spans="2:18" x14ac:dyDescent="0.35">
      <c r="B846" s="22"/>
      <c r="F846" s="23"/>
      <c r="G846" s="23"/>
      <c r="H846" s="23"/>
      <c r="I846" s="23"/>
      <c r="J846" s="23"/>
      <c r="K846" s="23"/>
      <c r="L846" s="23"/>
      <c r="M846" s="23"/>
      <c r="N846" s="23"/>
      <c r="O846" s="23"/>
      <c r="P846" s="23"/>
      <c r="Q846" s="23"/>
      <c r="R846" s="23"/>
    </row>
    <row r="847" spans="2:18" x14ac:dyDescent="0.35">
      <c r="B847" s="22"/>
      <c r="F847" s="23"/>
      <c r="G847" s="23"/>
      <c r="H847" s="23"/>
      <c r="I847" s="23"/>
      <c r="J847" s="23"/>
      <c r="K847" s="23"/>
      <c r="L847" s="23"/>
      <c r="M847" s="23"/>
      <c r="N847" s="23"/>
      <c r="O847" s="23"/>
      <c r="P847" s="23"/>
      <c r="Q847" s="23"/>
      <c r="R847" s="23"/>
    </row>
    <row r="848" spans="2:18" x14ac:dyDescent="0.35">
      <c r="B848" s="22"/>
      <c r="F848" s="23"/>
      <c r="G848" s="23"/>
      <c r="H848" s="23"/>
      <c r="I848" s="23"/>
      <c r="J848" s="23"/>
      <c r="K848" s="23"/>
      <c r="L848" s="23"/>
      <c r="M848" s="23"/>
      <c r="N848" s="23"/>
      <c r="O848" s="23"/>
      <c r="P848" s="23"/>
      <c r="Q848" s="23"/>
      <c r="R848" s="23"/>
    </row>
    <row r="849" spans="2:18" x14ac:dyDescent="0.35">
      <c r="B849" s="22"/>
      <c r="F849" s="23"/>
      <c r="G849" s="23"/>
      <c r="H849" s="23"/>
      <c r="I849" s="23"/>
      <c r="J849" s="23"/>
      <c r="K849" s="23"/>
      <c r="L849" s="23"/>
      <c r="M849" s="23"/>
      <c r="N849" s="23"/>
      <c r="O849" s="23"/>
      <c r="P849" s="23"/>
      <c r="Q849" s="23"/>
      <c r="R849" s="23"/>
    </row>
    <row r="850" spans="2:18" x14ac:dyDescent="0.35">
      <c r="B850" s="22"/>
      <c r="F850" s="23"/>
      <c r="G850" s="23"/>
      <c r="H850" s="23"/>
      <c r="I850" s="23"/>
      <c r="J850" s="23"/>
      <c r="K850" s="23"/>
      <c r="L850" s="23"/>
      <c r="M850" s="23"/>
      <c r="N850" s="23"/>
      <c r="O850" s="23"/>
      <c r="P850" s="23"/>
      <c r="Q850" s="23"/>
      <c r="R850" s="23"/>
    </row>
    <row r="851" spans="2:18" x14ac:dyDescent="0.35">
      <c r="B851" s="22"/>
      <c r="F851" s="23"/>
      <c r="G851" s="23"/>
      <c r="H851" s="23"/>
      <c r="I851" s="23"/>
      <c r="J851" s="23"/>
      <c r="K851" s="23"/>
      <c r="L851" s="23"/>
      <c r="M851" s="23"/>
      <c r="N851" s="23"/>
      <c r="O851" s="23"/>
      <c r="P851" s="23"/>
      <c r="Q851" s="23"/>
      <c r="R851" s="23"/>
    </row>
    <row r="852" spans="2:18" x14ac:dyDescent="0.35">
      <c r="B852" s="22"/>
      <c r="F852" s="23"/>
      <c r="G852" s="23"/>
      <c r="H852" s="23"/>
      <c r="I852" s="23"/>
      <c r="J852" s="23"/>
      <c r="K852" s="23"/>
      <c r="L852" s="23"/>
      <c r="M852" s="23"/>
      <c r="N852" s="23"/>
      <c r="O852" s="23"/>
      <c r="P852" s="23"/>
      <c r="Q852" s="23"/>
      <c r="R852" s="23"/>
    </row>
    <row r="853" spans="2:18" x14ac:dyDescent="0.35">
      <c r="B853" s="22"/>
      <c r="F853" s="23"/>
      <c r="G853" s="23"/>
      <c r="H853" s="23"/>
      <c r="I853" s="23"/>
      <c r="J853" s="23"/>
      <c r="K853" s="23"/>
      <c r="L853" s="23"/>
      <c r="M853" s="23"/>
      <c r="N853" s="23"/>
      <c r="O853" s="23"/>
      <c r="P853" s="23"/>
      <c r="Q853" s="23"/>
      <c r="R853" s="23"/>
    </row>
    <row r="854" spans="2:18" x14ac:dyDescent="0.35">
      <c r="B854" s="22"/>
      <c r="F854" s="23"/>
      <c r="G854" s="23"/>
      <c r="H854" s="23"/>
      <c r="I854" s="23"/>
      <c r="J854" s="23"/>
      <c r="K854" s="23"/>
      <c r="L854" s="23"/>
      <c r="M854" s="23"/>
      <c r="N854" s="23"/>
      <c r="O854" s="23"/>
      <c r="P854" s="23"/>
      <c r="Q854" s="23"/>
      <c r="R854" s="23"/>
    </row>
    <row r="855" spans="2:18" x14ac:dyDescent="0.35">
      <c r="B855" s="22"/>
      <c r="F855" s="23"/>
      <c r="G855" s="23"/>
      <c r="H855" s="23"/>
      <c r="I855" s="23"/>
      <c r="J855" s="23"/>
      <c r="K855" s="23"/>
      <c r="L855" s="23"/>
      <c r="M855" s="23"/>
      <c r="N855" s="23"/>
      <c r="O855" s="23"/>
      <c r="P855" s="23"/>
      <c r="Q855" s="23"/>
      <c r="R855" s="23"/>
    </row>
    <row r="856" spans="2:18" x14ac:dyDescent="0.35">
      <c r="B856" s="22"/>
      <c r="F856" s="23"/>
      <c r="G856" s="23"/>
      <c r="H856" s="23"/>
      <c r="I856" s="23"/>
      <c r="J856" s="23"/>
      <c r="K856" s="23"/>
      <c r="L856" s="23"/>
      <c r="M856" s="23"/>
      <c r="N856" s="23"/>
      <c r="O856" s="23"/>
      <c r="P856" s="23"/>
      <c r="Q856" s="23"/>
      <c r="R856" s="23"/>
    </row>
    <row r="857" spans="2:18" x14ac:dyDescent="0.35">
      <c r="B857" s="22"/>
      <c r="F857" s="23"/>
      <c r="G857" s="23"/>
      <c r="H857" s="23"/>
      <c r="I857" s="23"/>
      <c r="J857" s="23"/>
      <c r="K857" s="23"/>
      <c r="L857" s="23"/>
      <c r="M857" s="23"/>
      <c r="N857" s="23"/>
      <c r="O857" s="23"/>
      <c r="P857" s="23"/>
      <c r="Q857" s="23"/>
      <c r="R857" s="23"/>
    </row>
    <row r="858" spans="2:18" x14ac:dyDescent="0.35">
      <c r="B858" s="22"/>
      <c r="F858" s="23"/>
      <c r="G858" s="23"/>
      <c r="H858" s="23"/>
      <c r="I858" s="23"/>
      <c r="J858" s="23"/>
      <c r="K858" s="23"/>
      <c r="L858" s="23"/>
      <c r="M858" s="23"/>
      <c r="N858" s="23"/>
      <c r="O858" s="23"/>
      <c r="P858" s="23"/>
      <c r="Q858" s="23"/>
      <c r="R858" s="23"/>
    </row>
    <row r="859" spans="2:18" x14ac:dyDescent="0.35">
      <c r="B859" s="22"/>
      <c r="F859" s="23"/>
      <c r="G859" s="23"/>
      <c r="H859" s="23"/>
      <c r="I859" s="23"/>
      <c r="J859" s="23"/>
      <c r="K859" s="23"/>
      <c r="L859" s="23"/>
      <c r="M859" s="23"/>
      <c r="N859" s="23"/>
      <c r="O859" s="23"/>
      <c r="P859" s="23"/>
      <c r="Q859" s="23"/>
      <c r="R859" s="23"/>
    </row>
    <row r="860" spans="2:18" x14ac:dyDescent="0.35">
      <c r="B860" s="22"/>
      <c r="F860" s="23"/>
      <c r="G860" s="23"/>
      <c r="H860" s="23"/>
      <c r="I860" s="23"/>
      <c r="J860" s="23"/>
      <c r="K860" s="23"/>
      <c r="L860" s="23"/>
      <c r="M860" s="23"/>
      <c r="N860" s="23"/>
      <c r="O860" s="23"/>
      <c r="P860" s="23"/>
      <c r="Q860" s="23"/>
      <c r="R860" s="23"/>
    </row>
    <row r="861" spans="2:18" x14ac:dyDescent="0.35">
      <c r="B861" s="22"/>
      <c r="F861" s="23"/>
      <c r="G861" s="23"/>
      <c r="H861" s="23"/>
      <c r="I861" s="23"/>
      <c r="J861" s="23"/>
      <c r="K861" s="23"/>
      <c r="L861" s="23"/>
      <c r="M861" s="23"/>
      <c r="N861" s="23"/>
      <c r="O861" s="23"/>
      <c r="P861" s="23"/>
      <c r="Q861" s="23"/>
      <c r="R861" s="23"/>
    </row>
    <row r="862" spans="2:18" x14ac:dyDescent="0.35">
      <c r="B862" s="22"/>
      <c r="F862" s="23"/>
      <c r="G862" s="23"/>
      <c r="H862" s="23"/>
      <c r="I862" s="23"/>
      <c r="J862" s="23"/>
      <c r="K862" s="23"/>
      <c r="L862" s="23"/>
      <c r="M862" s="23"/>
      <c r="N862" s="23"/>
      <c r="O862" s="23"/>
      <c r="P862" s="23"/>
      <c r="Q862" s="23"/>
      <c r="R862" s="23"/>
    </row>
    <row r="863" spans="2:18" x14ac:dyDescent="0.35">
      <c r="B863" s="22"/>
      <c r="F863" s="23"/>
      <c r="G863" s="23"/>
      <c r="H863" s="23"/>
      <c r="I863" s="23"/>
      <c r="J863" s="23"/>
      <c r="K863" s="23"/>
      <c r="L863" s="23"/>
      <c r="M863" s="23"/>
      <c r="N863" s="23"/>
      <c r="O863" s="23"/>
      <c r="P863" s="23"/>
      <c r="Q863" s="23"/>
      <c r="R863" s="23"/>
    </row>
    <row r="864" spans="2:18" x14ac:dyDescent="0.35">
      <c r="B864" s="22"/>
      <c r="F864" s="23"/>
      <c r="G864" s="23"/>
      <c r="H864" s="23"/>
      <c r="I864" s="23"/>
      <c r="J864" s="23"/>
      <c r="K864" s="23"/>
      <c r="L864" s="23"/>
      <c r="M864" s="23"/>
      <c r="N864" s="23"/>
      <c r="O864" s="23"/>
      <c r="P864" s="23"/>
      <c r="Q864" s="23"/>
      <c r="R864" s="23"/>
    </row>
    <row r="865" spans="2:18" x14ac:dyDescent="0.35">
      <c r="B865" s="22"/>
      <c r="F865" s="23"/>
      <c r="G865" s="23"/>
      <c r="H865" s="23"/>
      <c r="I865" s="23"/>
      <c r="J865" s="23"/>
      <c r="K865" s="23"/>
      <c r="L865" s="23"/>
      <c r="M865" s="23"/>
      <c r="N865" s="23"/>
      <c r="O865" s="23"/>
      <c r="P865" s="23"/>
      <c r="Q865" s="23"/>
      <c r="R865" s="23"/>
    </row>
    <row r="866" spans="2:18" x14ac:dyDescent="0.35">
      <c r="B866" s="22"/>
      <c r="F866" s="23"/>
      <c r="G866" s="23"/>
      <c r="H866" s="23"/>
      <c r="I866" s="23"/>
      <c r="J866" s="23"/>
      <c r="K866" s="23"/>
      <c r="L866" s="23"/>
      <c r="M866" s="23"/>
      <c r="N866" s="23"/>
      <c r="O866" s="23"/>
      <c r="P866" s="23"/>
      <c r="Q866" s="23"/>
      <c r="R866" s="23"/>
    </row>
    <row r="867" spans="2:18" x14ac:dyDescent="0.35">
      <c r="B867" s="22"/>
      <c r="F867" s="23"/>
      <c r="G867" s="23"/>
      <c r="H867" s="23"/>
      <c r="I867" s="23"/>
      <c r="J867" s="23"/>
      <c r="K867" s="23"/>
      <c r="L867" s="23"/>
      <c r="M867" s="23"/>
      <c r="N867" s="23"/>
      <c r="O867" s="23"/>
      <c r="P867" s="23"/>
      <c r="Q867" s="23"/>
      <c r="R867" s="23"/>
    </row>
    <row r="868" spans="2:18" x14ac:dyDescent="0.35">
      <c r="B868" s="22"/>
      <c r="F868" s="23"/>
      <c r="G868" s="23"/>
      <c r="H868" s="23"/>
      <c r="I868" s="23"/>
      <c r="J868" s="23"/>
      <c r="K868" s="23"/>
      <c r="L868" s="23"/>
      <c r="M868" s="23"/>
      <c r="N868" s="23"/>
      <c r="O868" s="23"/>
      <c r="P868" s="23"/>
      <c r="Q868" s="23"/>
      <c r="R868" s="23"/>
    </row>
    <row r="869" spans="2:18" x14ac:dyDescent="0.35">
      <c r="B869" s="22"/>
      <c r="F869" s="23"/>
      <c r="G869" s="23"/>
      <c r="H869" s="23"/>
      <c r="I869" s="23"/>
      <c r="J869" s="23"/>
      <c r="K869" s="23"/>
      <c r="L869" s="23"/>
      <c r="M869" s="23"/>
      <c r="N869" s="23"/>
      <c r="O869" s="23"/>
      <c r="P869" s="23"/>
      <c r="Q869" s="23"/>
      <c r="R869" s="23"/>
    </row>
    <row r="870" spans="2:18" x14ac:dyDescent="0.35">
      <c r="B870" s="22"/>
      <c r="F870" s="23"/>
      <c r="G870" s="23"/>
      <c r="H870" s="23"/>
      <c r="I870" s="23"/>
      <c r="J870" s="23"/>
      <c r="K870" s="23"/>
      <c r="L870" s="23"/>
      <c r="M870" s="23"/>
      <c r="N870" s="23"/>
      <c r="O870" s="23"/>
      <c r="P870" s="23"/>
      <c r="Q870" s="23"/>
      <c r="R870" s="23"/>
    </row>
    <row r="871" spans="2:18" x14ac:dyDescent="0.35">
      <c r="B871" s="22"/>
      <c r="F871" s="23"/>
      <c r="G871" s="23"/>
      <c r="H871" s="23"/>
      <c r="I871" s="23"/>
      <c r="J871" s="23"/>
      <c r="K871" s="23"/>
      <c r="L871" s="23"/>
      <c r="M871" s="23"/>
      <c r="N871" s="23"/>
      <c r="O871" s="23"/>
      <c r="P871" s="23"/>
      <c r="Q871" s="23"/>
      <c r="R871" s="23"/>
    </row>
    <row r="872" spans="2:18" x14ac:dyDescent="0.35">
      <c r="B872" s="22"/>
      <c r="F872" s="23"/>
      <c r="G872" s="23"/>
      <c r="H872" s="23"/>
      <c r="I872" s="23"/>
      <c r="J872" s="23"/>
      <c r="K872" s="23"/>
      <c r="L872" s="23"/>
      <c r="M872" s="23"/>
      <c r="N872" s="23"/>
      <c r="O872" s="23"/>
      <c r="P872" s="23"/>
      <c r="Q872" s="23"/>
      <c r="R872" s="23"/>
    </row>
    <row r="873" spans="2:18" x14ac:dyDescent="0.35">
      <c r="B873" s="22"/>
      <c r="F873" s="23"/>
      <c r="G873" s="23"/>
      <c r="H873" s="23"/>
      <c r="I873" s="23"/>
      <c r="J873" s="23"/>
      <c r="K873" s="23"/>
      <c r="L873" s="23"/>
      <c r="M873" s="23"/>
      <c r="N873" s="23"/>
      <c r="O873" s="23"/>
      <c r="P873" s="23"/>
      <c r="Q873" s="23"/>
      <c r="R873" s="23"/>
    </row>
    <row r="874" spans="2:18" x14ac:dyDescent="0.35">
      <c r="B874" s="22"/>
      <c r="F874" s="23"/>
      <c r="G874" s="23"/>
      <c r="H874" s="23"/>
      <c r="I874" s="23"/>
      <c r="J874" s="23"/>
      <c r="K874" s="23"/>
      <c r="L874" s="23"/>
      <c r="M874" s="23"/>
      <c r="N874" s="23"/>
      <c r="O874" s="23"/>
      <c r="P874" s="23"/>
      <c r="Q874" s="23"/>
      <c r="R874" s="23"/>
    </row>
    <row r="875" spans="2:18" x14ac:dyDescent="0.35">
      <c r="B875" s="22"/>
      <c r="F875" s="23"/>
      <c r="G875" s="23"/>
      <c r="H875" s="23"/>
      <c r="I875" s="23"/>
      <c r="J875" s="23"/>
      <c r="K875" s="23"/>
      <c r="L875" s="23"/>
      <c r="M875" s="23"/>
      <c r="N875" s="23"/>
      <c r="O875" s="23"/>
      <c r="P875" s="23"/>
      <c r="Q875" s="23"/>
      <c r="R875" s="23"/>
    </row>
    <row r="876" spans="2:18" x14ac:dyDescent="0.35">
      <c r="B876" s="22"/>
      <c r="F876" s="23"/>
      <c r="G876" s="23"/>
      <c r="H876" s="23"/>
      <c r="I876" s="23"/>
      <c r="J876" s="23"/>
      <c r="K876" s="23"/>
      <c r="L876" s="23"/>
      <c r="M876" s="23"/>
      <c r="N876" s="23"/>
      <c r="O876" s="23"/>
      <c r="P876" s="23"/>
      <c r="Q876" s="23"/>
      <c r="R876" s="23"/>
    </row>
    <row r="877" spans="2:18" x14ac:dyDescent="0.35">
      <c r="B877" s="22"/>
      <c r="F877" s="23"/>
      <c r="G877" s="23"/>
      <c r="H877" s="23"/>
      <c r="I877" s="23"/>
      <c r="J877" s="23"/>
      <c r="K877" s="23"/>
      <c r="L877" s="23"/>
      <c r="M877" s="23"/>
      <c r="N877" s="23"/>
      <c r="O877" s="23"/>
      <c r="P877" s="23"/>
      <c r="Q877" s="23"/>
      <c r="R877" s="23"/>
    </row>
    <row r="878" spans="2:18" x14ac:dyDescent="0.35">
      <c r="B878" s="22"/>
      <c r="F878" s="23"/>
      <c r="G878" s="23"/>
      <c r="H878" s="23"/>
      <c r="I878" s="23"/>
      <c r="J878" s="23"/>
      <c r="K878" s="23"/>
      <c r="L878" s="23"/>
      <c r="M878" s="23"/>
      <c r="N878" s="23"/>
      <c r="O878" s="23"/>
      <c r="P878" s="23"/>
      <c r="Q878" s="23"/>
      <c r="R878" s="23"/>
    </row>
    <row r="879" spans="2:18" x14ac:dyDescent="0.35">
      <c r="B879" s="22"/>
      <c r="F879" s="23"/>
      <c r="G879" s="23"/>
      <c r="H879" s="23"/>
      <c r="I879" s="23"/>
      <c r="J879" s="23"/>
      <c r="K879" s="23"/>
      <c r="L879" s="23"/>
      <c r="M879" s="23"/>
      <c r="N879" s="23"/>
      <c r="O879" s="23"/>
      <c r="P879" s="23"/>
      <c r="Q879" s="23"/>
      <c r="R879" s="23"/>
    </row>
    <row r="880" spans="2:18" x14ac:dyDescent="0.35">
      <c r="B880" s="22"/>
      <c r="F880" s="23"/>
      <c r="G880" s="23"/>
      <c r="H880" s="23"/>
      <c r="I880" s="23"/>
      <c r="J880" s="23"/>
      <c r="K880" s="23"/>
      <c r="L880" s="23"/>
      <c r="M880" s="23"/>
      <c r="N880" s="23"/>
      <c r="O880" s="23"/>
      <c r="P880" s="23"/>
      <c r="Q880" s="23"/>
      <c r="R880" s="23"/>
    </row>
    <row r="881" spans="2:18" x14ac:dyDescent="0.35">
      <c r="B881" s="22"/>
      <c r="F881" s="23"/>
      <c r="G881" s="23"/>
      <c r="H881" s="23"/>
      <c r="I881" s="23"/>
      <c r="J881" s="23"/>
      <c r="K881" s="23"/>
      <c r="L881" s="23"/>
      <c r="M881" s="23"/>
      <c r="N881" s="23"/>
      <c r="O881" s="23"/>
      <c r="P881" s="23"/>
      <c r="Q881" s="23"/>
      <c r="R881" s="23"/>
    </row>
    <row r="882" spans="2:18" x14ac:dyDescent="0.35">
      <c r="B882" s="22"/>
      <c r="F882" s="23"/>
      <c r="G882" s="23"/>
      <c r="H882" s="23"/>
      <c r="I882" s="23"/>
      <c r="J882" s="23"/>
      <c r="K882" s="23"/>
      <c r="L882" s="23"/>
      <c r="M882" s="23"/>
      <c r="N882" s="23"/>
      <c r="O882" s="23"/>
      <c r="P882" s="23"/>
      <c r="Q882" s="23"/>
      <c r="R882" s="23"/>
    </row>
    <row r="883" spans="2:18" x14ac:dyDescent="0.35">
      <c r="B883" s="22"/>
      <c r="F883" s="23"/>
      <c r="G883" s="23"/>
      <c r="H883" s="23"/>
      <c r="I883" s="23"/>
      <c r="J883" s="23"/>
      <c r="K883" s="23"/>
      <c r="L883" s="23"/>
      <c r="M883" s="23"/>
      <c r="N883" s="23"/>
      <c r="O883" s="23"/>
      <c r="P883" s="23"/>
      <c r="Q883" s="23"/>
      <c r="R883" s="23"/>
    </row>
    <row r="884" spans="2:18" x14ac:dyDescent="0.35">
      <c r="B884" s="22"/>
      <c r="F884" s="23"/>
      <c r="G884" s="23"/>
      <c r="H884" s="23"/>
      <c r="I884" s="23"/>
      <c r="J884" s="23"/>
      <c r="K884" s="23"/>
      <c r="L884" s="23"/>
      <c r="M884" s="23"/>
      <c r="N884" s="23"/>
      <c r="O884" s="23"/>
      <c r="P884" s="23"/>
      <c r="Q884" s="23"/>
      <c r="R884" s="23"/>
    </row>
    <row r="885" spans="2:18" x14ac:dyDescent="0.35">
      <c r="B885" s="22"/>
      <c r="F885" s="23"/>
      <c r="G885" s="23"/>
      <c r="H885" s="23"/>
      <c r="I885" s="23"/>
      <c r="J885" s="23"/>
      <c r="K885" s="23"/>
      <c r="L885" s="23"/>
      <c r="M885" s="23"/>
      <c r="N885" s="23"/>
      <c r="O885" s="23"/>
      <c r="P885" s="23"/>
      <c r="Q885" s="23"/>
      <c r="R885" s="23"/>
    </row>
    <row r="886" spans="2:18" x14ac:dyDescent="0.35">
      <c r="B886" s="22"/>
      <c r="F886" s="23"/>
      <c r="G886" s="23"/>
      <c r="H886" s="23"/>
      <c r="I886" s="23"/>
      <c r="J886" s="23"/>
      <c r="K886" s="23"/>
      <c r="L886" s="23"/>
      <c r="M886" s="23"/>
      <c r="N886" s="23"/>
      <c r="O886" s="23"/>
      <c r="P886" s="23"/>
      <c r="Q886" s="23"/>
      <c r="R886" s="23"/>
    </row>
    <row r="887" spans="2:18" x14ac:dyDescent="0.35">
      <c r="B887" s="22"/>
      <c r="F887" s="23"/>
      <c r="G887" s="23"/>
      <c r="H887" s="23"/>
      <c r="I887" s="23"/>
      <c r="J887" s="23"/>
      <c r="K887" s="23"/>
      <c r="L887" s="23"/>
      <c r="M887" s="23"/>
      <c r="N887" s="23"/>
      <c r="O887" s="23"/>
      <c r="P887" s="23"/>
      <c r="Q887" s="23"/>
      <c r="R887" s="23"/>
    </row>
    <row r="888" spans="2:18" x14ac:dyDescent="0.35">
      <c r="B888" s="22"/>
      <c r="F888" s="23"/>
      <c r="G888" s="23"/>
      <c r="H888" s="23"/>
      <c r="I888" s="23"/>
      <c r="J888" s="23"/>
      <c r="K888" s="23"/>
      <c r="L888" s="23"/>
      <c r="M888" s="23"/>
      <c r="N888" s="23"/>
      <c r="O888" s="23"/>
      <c r="P888" s="23"/>
      <c r="Q888" s="23"/>
      <c r="R888" s="23"/>
    </row>
    <row r="889" spans="2:18" x14ac:dyDescent="0.35">
      <c r="B889" s="22"/>
      <c r="F889" s="23"/>
      <c r="G889" s="23"/>
      <c r="H889" s="23"/>
      <c r="I889" s="23"/>
      <c r="J889" s="23"/>
      <c r="K889" s="23"/>
      <c r="L889" s="23"/>
      <c r="M889" s="23"/>
      <c r="N889" s="23"/>
      <c r="O889" s="23"/>
      <c r="P889" s="23"/>
      <c r="Q889" s="23"/>
      <c r="R889" s="23"/>
    </row>
    <row r="890" spans="2:18" x14ac:dyDescent="0.35">
      <c r="B890" s="22"/>
      <c r="F890" s="23"/>
      <c r="G890" s="23"/>
      <c r="H890" s="23"/>
      <c r="I890" s="23"/>
      <c r="J890" s="23"/>
      <c r="K890" s="23"/>
      <c r="L890" s="23"/>
      <c r="M890" s="23"/>
      <c r="N890" s="23"/>
      <c r="O890" s="23"/>
      <c r="P890" s="23"/>
      <c r="Q890" s="23"/>
      <c r="R890" s="23"/>
    </row>
    <row r="891" spans="2:18" x14ac:dyDescent="0.35">
      <c r="B891" s="22"/>
      <c r="F891" s="23"/>
      <c r="G891" s="23"/>
      <c r="H891" s="23"/>
      <c r="I891" s="23"/>
      <c r="J891" s="23"/>
      <c r="K891" s="23"/>
      <c r="L891" s="23"/>
      <c r="M891" s="23"/>
      <c r="N891" s="23"/>
      <c r="O891" s="23"/>
      <c r="P891" s="23"/>
      <c r="Q891" s="23"/>
      <c r="R891" s="23"/>
    </row>
    <row r="892" spans="2:18" x14ac:dyDescent="0.35">
      <c r="B892" s="22"/>
      <c r="F892" s="23"/>
      <c r="G892" s="23"/>
      <c r="H892" s="23"/>
      <c r="I892" s="23"/>
      <c r="J892" s="23"/>
      <c r="K892" s="23"/>
      <c r="L892" s="23"/>
      <c r="M892" s="23"/>
      <c r="N892" s="23"/>
      <c r="O892" s="23"/>
      <c r="P892" s="23"/>
      <c r="Q892" s="23"/>
      <c r="R892" s="23"/>
    </row>
    <row r="893" spans="2:18" x14ac:dyDescent="0.35">
      <c r="B893" s="22"/>
      <c r="F893" s="23"/>
      <c r="G893" s="23"/>
      <c r="H893" s="23"/>
      <c r="I893" s="23"/>
      <c r="J893" s="23"/>
      <c r="K893" s="23"/>
      <c r="L893" s="23"/>
      <c r="M893" s="23"/>
      <c r="N893" s="23"/>
      <c r="O893" s="23"/>
      <c r="P893" s="23"/>
      <c r="Q893" s="23"/>
      <c r="R893" s="23"/>
    </row>
    <row r="894" spans="2:18" x14ac:dyDescent="0.35">
      <c r="B894" s="22"/>
      <c r="F894" s="23"/>
      <c r="G894" s="23"/>
      <c r="H894" s="23"/>
      <c r="I894" s="23"/>
      <c r="J894" s="23"/>
      <c r="K894" s="23"/>
      <c r="L894" s="23"/>
      <c r="M894" s="23"/>
      <c r="N894" s="23"/>
      <c r="O894" s="23"/>
      <c r="P894" s="23"/>
      <c r="Q894" s="23"/>
      <c r="R894" s="23"/>
    </row>
    <row r="895" spans="2:18" x14ac:dyDescent="0.35">
      <c r="B895" s="22"/>
      <c r="F895" s="23"/>
      <c r="G895" s="23"/>
      <c r="H895" s="23"/>
      <c r="I895" s="23"/>
      <c r="J895" s="23"/>
      <c r="K895" s="23"/>
      <c r="L895" s="23"/>
      <c r="M895" s="23"/>
      <c r="N895" s="23"/>
      <c r="O895" s="23"/>
      <c r="P895" s="23"/>
      <c r="Q895" s="23"/>
      <c r="R895" s="23"/>
    </row>
    <row r="896" spans="2:18" x14ac:dyDescent="0.35">
      <c r="B896" s="22"/>
      <c r="F896" s="23"/>
      <c r="G896" s="23"/>
      <c r="H896" s="23"/>
      <c r="I896" s="23"/>
      <c r="J896" s="23"/>
      <c r="K896" s="23"/>
      <c r="L896" s="23"/>
      <c r="M896" s="23"/>
      <c r="N896" s="23"/>
      <c r="O896" s="23"/>
      <c r="P896" s="23"/>
      <c r="Q896" s="23"/>
      <c r="R896" s="23"/>
    </row>
    <row r="897" spans="2:18" x14ac:dyDescent="0.35">
      <c r="B897" s="22"/>
      <c r="F897" s="23"/>
      <c r="G897" s="23"/>
      <c r="H897" s="23"/>
      <c r="I897" s="23"/>
      <c r="J897" s="23"/>
      <c r="K897" s="23"/>
      <c r="L897" s="23"/>
      <c r="M897" s="23"/>
      <c r="N897" s="23"/>
      <c r="O897" s="23"/>
      <c r="P897" s="23"/>
      <c r="Q897" s="23"/>
      <c r="R897" s="23"/>
    </row>
    <row r="898" spans="2:18" x14ac:dyDescent="0.35">
      <c r="B898" s="22"/>
      <c r="F898" s="23"/>
      <c r="G898" s="23"/>
      <c r="H898" s="23"/>
      <c r="I898" s="23"/>
      <c r="J898" s="23"/>
      <c r="K898" s="23"/>
      <c r="L898" s="23"/>
      <c r="M898" s="23"/>
      <c r="N898" s="23"/>
      <c r="O898" s="23"/>
      <c r="P898" s="23"/>
      <c r="Q898" s="23"/>
      <c r="R898" s="23"/>
    </row>
    <row r="899" spans="2:18" x14ac:dyDescent="0.35">
      <c r="B899" s="22"/>
      <c r="F899" s="23"/>
      <c r="G899" s="23"/>
      <c r="H899" s="23"/>
      <c r="I899" s="23"/>
      <c r="J899" s="23"/>
      <c r="K899" s="23"/>
      <c r="L899" s="23"/>
      <c r="M899" s="23"/>
      <c r="N899" s="23"/>
      <c r="O899" s="23"/>
      <c r="P899" s="23"/>
      <c r="Q899" s="23"/>
      <c r="R899" s="23"/>
    </row>
    <row r="900" spans="2:18" x14ac:dyDescent="0.35">
      <c r="B900" s="22"/>
      <c r="F900" s="23"/>
      <c r="G900" s="23"/>
      <c r="H900" s="23"/>
      <c r="I900" s="23"/>
      <c r="J900" s="23"/>
      <c r="K900" s="23"/>
      <c r="L900" s="23"/>
      <c r="M900" s="23"/>
      <c r="N900" s="23"/>
      <c r="O900" s="23"/>
      <c r="P900" s="23"/>
      <c r="Q900" s="23"/>
      <c r="R900" s="23"/>
    </row>
    <row r="901" spans="2:18" x14ac:dyDescent="0.35">
      <c r="B901" s="22"/>
      <c r="F901" s="23"/>
      <c r="G901" s="23"/>
      <c r="H901" s="23"/>
      <c r="I901" s="23"/>
      <c r="J901" s="23"/>
      <c r="K901" s="23"/>
      <c r="L901" s="23"/>
      <c r="M901" s="23"/>
      <c r="N901" s="23"/>
      <c r="O901" s="23"/>
      <c r="P901" s="23"/>
      <c r="Q901" s="23"/>
      <c r="R901" s="23"/>
    </row>
    <row r="902" spans="2:18" x14ac:dyDescent="0.35">
      <c r="B902" s="22"/>
      <c r="F902" s="23"/>
      <c r="G902" s="23"/>
      <c r="H902" s="23"/>
      <c r="I902" s="23"/>
      <c r="J902" s="23"/>
      <c r="K902" s="23"/>
      <c r="L902" s="23"/>
      <c r="M902" s="23"/>
      <c r="N902" s="23"/>
      <c r="O902" s="23"/>
      <c r="P902" s="23"/>
      <c r="Q902" s="23"/>
      <c r="R902" s="23"/>
    </row>
    <row r="903" spans="2:18" x14ac:dyDescent="0.35">
      <c r="B903" s="22"/>
      <c r="F903" s="23"/>
      <c r="G903" s="23"/>
      <c r="H903" s="23"/>
      <c r="I903" s="23"/>
      <c r="J903" s="23"/>
      <c r="K903" s="23"/>
      <c r="L903" s="23"/>
      <c r="M903" s="23"/>
      <c r="N903" s="23"/>
      <c r="O903" s="23"/>
      <c r="P903" s="23"/>
      <c r="Q903" s="23"/>
      <c r="R903" s="23"/>
    </row>
    <row r="904" spans="2:18" x14ac:dyDescent="0.35">
      <c r="B904" s="22"/>
      <c r="F904" s="23"/>
      <c r="G904" s="23"/>
      <c r="H904" s="23"/>
      <c r="I904" s="23"/>
      <c r="J904" s="23"/>
      <c r="K904" s="23"/>
      <c r="L904" s="23"/>
      <c r="M904" s="23"/>
      <c r="N904" s="23"/>
      <c r="O904" s="23"/>
      <c r="P904" s="23"/>
      <c r="Q904" s="23"/>
      <c r="R904" s="23"/>
    </row>
    <row r="905" spans="2:18" x14ac:dyDescent="0.35">
      <c r="B905" s="22"/>
      <c r="F905" s="23"/>
      <c r="G905" s="23"/>
      <c r="H905" s="23"/>
      <c r="I905" s="23"/>
      <c r="J905" s="23"/>
      <c r="K905" s="23"/>
      <c r="L905" s="23"/>
      <c r="M905" s="23"/>
      <c r="N905" s="23"/>
      <c r="O905" s="23"/>
      <c r="P905" s="23"/>
      <c r="Q905" s="23"/>
      <c r="R905" s="23"/>
    </row>
    <row r="906" spans="2:18" x14ac:dyDescent="0.35">
      <c r="B906" s="22"/>
      <c r="F906" s="23"/>
      <c r="G906" s="23"/>
      <c r="H906" s="23"/>
      <c r="I906" s="23"/>
      <c r="J906" s="23"/>
      <c r="K906" s="23"/>
      <c r="L906" s="23"/>
      <c r="M906" s="23"/>
      <c r="N906" s="23"/>
      <c r="O906" s="23"/>
      <c r="P906" s="23"/>
      <c r="Q906" s="23"/>
      <c r="R906" s="23"/>
    </row>
    <row r="907" spans="2:18" x14ac:dyDescent="0.35">
      <c r="B907" s="22"/>
      <c r="F907" s="23"/>
      <c r="G907" s="23"/>
      <c r="H907" s="23"/>
      <c r="I907" s="23"/>
      <c r="J907" s="23"/>
      <c r="K907" s="23"/>
      <c r="L907" s="23"/>
      <c r="M907" s="23"/>
      <c r="N907" s="23"/>
      <c r="O907" s="23"/>
      <c r="P907" s="23"/>
      <c r="Q907" s="23"/>
      <c r="R907" s="23"/>
    </row>
    <row r="908" spans="2:18" x14ac:dyDescent="0.35">
      <c r="B908" s="22"/>
      <c r="F908" s="23"/>
      <c r="G908" s="23"/>
      <c r="H908" s="23"/>
      <c r="I908" s="23"/>
      <c r="J908" s="23"/>
      <c r="K908" s="23"/>
      <c r="L908" s="23"/>
      <c r="M908" s="23"/>
      <c r="N908" s="23"/>
      <c r="O908" s="23"/>
      <c r="P908" s="23"/>
      <c r="Q908" s="23"/>
      <c r="R908" s="23"/>
    </row>
    <row r="909" spans="2:18" x14ac:dyDescent="0.35">
      <c r="B909" s="22"/>
      <c r="F909" s="23"/>
      <c r="G909" s="23"/>
      <c r="H909" s="23"/>
      <c r="I909" s="23"/>
      <c r="J909" s="23"/>
      <c r="K909" s="23"/>
      <c r="L909" s="23"/>
      <c r="M909" s="23"/>
      <c r="N909" s="23"/>
      <c r="O909" s="23"/>
      <c r="P909" s="23"/>
      <c r="Q909" s="23"/>
      <c r="R909" s="23"/>
    </row>
    <row r="910" spans="2:18" x14ac:dyDescent="0.35">
      <c r="B910" s="22"/>
      <c r="F910" s="23"/>
      <c r="G910" s="23"/>
      <c r="H910" s="23"/>
      <c r="I910" s="23"/>
      <c r="J910" s="23"/>
      <c r="K910" s="23"/>
      <c r="L910" s="23"/>
      <c r="M910" s="23"/>
      <c r="N910" s="23"/>
      <c r="O910" s="23"/>
      <c r="P910" s="23"/>
      <c r="Q910" s="23"/>
      <c r="R910" s="23"/>
    </row>
    <row r="911" spans="2:18" x14ac:dyDescent="0.35">
      <c r="B911" s="22"/>
      <c r="F911" s="23"/>
      <c r="G911" s="23"/>
      <c r="H911" s="23"/>
      <c r="I911" s="23"/>
      <c r="J911" s="23"/>
      <c r="K911" s="23"/>
      <c r="L911" s="23"/>
      <c r="M911" s="23"/>
      <c r="N911" s="23"/>
      <c r="O911" s="23"/>
      <c r="P911" s="23"/>
      <c r="Q911" s="23"/>
      <c r="R911" s="23"/>
    </row>
    <row r="912" spans="2:18" x14ac:dyDescent="0.35">
      <c r="B912" s="22"/>
      <c r="F912" s="23"/>
      <c r="G912" s="23"/>
      <c r="H912" s="23"/>
      <c r="I912" s="23"/>
      <c r="J912" s="23"/>
      <c r="K912" s="23"/>
      <c r="L912" s="23"/>
      <c r="M912" s="23"/>
      <c r="N912" s="23"/>
      <c r="O912" s="23"/>
      <c r="P912" s="23"/>
      <c r="Q912" s="23"/>
      <c r="R912" s="23"/>
    </row>
    <row r="913" spans="2:18" x14ac:dyDescent="0.35">
      <c r="B913" s="22"/>
      <c r="F913" s="23"/>
      <c r="G913" s="23"/>
      <c r="H913" s="23"/>
      <c r="I913" s="23"/>
      <c r="J913" s="23"/>
      <c r="K913" s="23"/>
      <c r="L913" s="23"/>
      <c r="M913" s="23"/>
      <c r="N913" s="23"/>
      <c r="O913" s="23"/>
      <c r="P913" s="23"/>
      <c r="Q913" s="23"/>
      <c r="R913" s="23"/>
    </row>
    <row r="914" spans="2:18" x14ac:dyDescent="0.35">
      <c r="B914" s="22"/>
      <c r="F914" s="23"/>
      <c r="G914" s="23"/>
      <c r="H914" s="23"/>
      <c r="I914" s="23"/>
      <c r="J914" s="23"/>
      <c r="K914" s="23"/>
      <c r="L914" s="23"/>
      <c r="M914" s="23"/>
      <c r="N914" s="23"/>
      <c r="O914" s="23"/>
      <c r="P914" s="23"/>
      <c r="Q914" s="23"/>
      <c r="R914" s="23"/>
    </row>
    <row r="915" spans="2:18" x14ac:dyDescent="0.35">
      <c r="B915" s="22"/>
      <c r="F915" s="23"/>
      <c r="G915" s="23"/>
      <c r="H915" s="23"/>
      <c r="I915" s="23"/>
      <c r="J915" s="23"/>
      <c r="K915" s="23"/>
      <c r="L915" s="23"/>
      <c r="M915" s="23"/>
      <c r="N915" s="23"/>
      <c r="O915" s="23"/>
      <c r="P915" s="23"/>
      <c r="Q915" s="23"/>
      <c r="R915" s="23"/>
    </row>
    <row r="916" spans="2:18" x14ac:dyDescent="0.35">
      <c r="B916" s="22"/>
      <c r="F916" s="23"/>
      <c r="G916" s="23"/>
      <c r="H916" s="23"/>
      <c r="I916" s="23"/>
      <c r="J916" s="23"/>
      <c r="K916" s="23"/>
      <c r="L916" s="23"/>
      <c r="M916" s="23"/>
      <c r="N916" s="23"/>
      <c r="O916" s="23"/>
      <c r="P916" s="23"/>
      <c r="Q916" s="23"/>
      <c r="R916" s="23"/>
    </row>
    <row r="917" spans="2:18" x14ac:dyDescent="0.35">
      <c r="B917" s="22"/>
      <c r="F917" s="23"/>
      <c r="G917" s="23"/>
      <c r="H917" s="23"/>
      <c r="I917" s="23"/>
      <c r="J917" s="23"/>
      <c r="K917" s="23"/>
      <c r="L917" s="23"/>
      <c r="M917" s="23"/>
      <c r="N917" s="23"/>
      <c r="O917" s="23"/>
      <c r="P917" s="23"/>
      <c r="Q917" s="23"/>
      <c r="R917" s="23"/>
    </row>
    <row r="918" spans="2:18" x14ac:dyDescent="0.35">
      <c r="B918" s="22"/>
      <c r="F918" s="23"/>
      <c r="G918" s="23"/>
      <c r="H918" s="23"/>
      <c r="I918" s="23"/>
      <c r="J918" s="23"/>
      <c r="K918" s="23"/>
      <c r="L918" s="23"/>
      <c r="M918" s="23"/>
      <c r="N918" s="23"/>
      <c r="O918" s="23"/>
      <c r="P918" s="23"/>
      <c r="Q918" s="23"/>
      <c r="R918" s="23"/>
    </row>
    <row r="919" spans="2:18" x14ac:dyDescent="0.35">
      <c r="B919" s="22"/>
      <c r="F919" s="23"/>
      <c r="G919" s="23"/>
      <c r="H919" s="23"/>
      <c r="I919" s="23"/>
      <c r="J919" s="23"/>
      <c r="K919" s="23"/>
      <c r="L919" s="23"/>
      <c r="M919" s="23"/>
      <c r="N919" s="23"/>
      <c r="O919" s="23"/>
      <c r="P919" s="23"/>
      <c r="Q919" s="23"/>
      <c r="R919" s="23"/>
    </row>
    <row r="920" spans="2:18" x14ac:dyDescent="0.35">
      <c r="B920" s="22"/>
      <c r="F920" s="23"/>
      <c r="G920" s="23"/>
      <c r="H920" s="23"/>
      <c r="I920" s="23"/>
      <c r="J920" s="23"/>
      <c r="K920" s="23"/>
      <c r="L920" s="23"/>
      <c r="M920" s="23"/>
      <c r="N920" s="23"/>
      <c r="O920" s="23"/>
      <c r="P920" s="23"/>
      <c r="Q920" s="23"/>
      <c r="R920" s="23"/>
    </row>
    <row r="921" spans="2:18" x14ac:dyDescent="0.35">
      <c r="B921" s="22"/>
      <c r="F921" s="23"/>
      <c r="G921" s="23"/>
      <c r="H921" s="23"/>
      <c r="I921" s="23"/>
      <c r="J921" s="23"/>
      <c r="K921" s="23"/>
      <c r="L921" s="23"/>
      <c r="M921" s="23"/>
      <c r="N921" s="23"/>
      <c r="O921" s="23"/>
      <c r="P921" s="23"/>
      <c r="Q921" s="23"/>
      <c r="R921" s="23"/>
    </row>
    <row r="922" spans="2:18" x14ac:dyDescent="0.35">
      <c r="B922" s="22"/>
      <c r="F922" s="23"/>
      <c r="G922" s="23"/>
      <c r="H922" s="23"/>
      <c r="I922" s="23"/>
      <c r="J922" s="23"/>
      <c r="K922" s="23"/>
      <c r="L922" s="23"/>
      <c r="M922" s="23"/>
      <c r="N922" s="23"/>
      <c r="O922" s="23"/>
      <c r="P922" s="23"/>
      <c r="Q922" s="23"/>
      <c r="R922" s="23"/>
    </row>
    <row r="923" spans="2:18" x14ac:dyDescent="0.35">
      <c r="B923" s="22"/>
      <c r="F923" s="23"/>
      <c r="G923" s="23"/>
      <c r="H923" s="23"/>
      <c r="I923" s="23"/>
      <c r="J923" s="23"/>
      <c r="K923" s="23"/>
      <c r="L923" s="23"/>
      <c r="M923" s="23"/>
      <c r="N923" s="23"/>
      <c r="O923" s="23"/>
      <c r="P923" s="23"/>
      <c r="Q923" s="23"/>
      <c r="R923" s="23"/>
    </row>
    <row r="924" spans="2:18" x14ac:dyDescent="0.35">
      <c r="B924" s="22"/>
      <c r="F924" s="23"/>
      <c r="G924" s="23"/>
      <c r="H924" s="23"/>
      <c r="I924" s="23"/>
      <c r="J924" s="23"/>
      <c r="K924" s="23"/>
      <c r="L924" s="23"/>
      <c r="M924" s="23"/>
      <c r="N924" s="23"/>
      <c r="O924" s="23"/>
      <c r="P924" s="23"/>
      <c r="Q924" s="23"/>
      <c r="R924" s="23"/>
    </row>
    <row r="925" spans="2:18" x14ac:dyDescent="0.35">
      <c r="B925" s="22"/>
      <c r="F925" s="23"/>
      <c r="G925" s="23"/>
      <c r="H925" s="23"/>
      <c r="I925" s="23"/>
      <c r="J925" s="23"/>
      <c r="K925" s="23"/>
      <c r="L925" s="23"/>
      <c r="M925" s="23"/>
      <c r="N925" s="23"/>
      <c r="O925" s="23"/>
      <c r="P925" s="23"/>
      <c r="Q925" s="23"/>
      <c r="R925" s="23"/>
    </row>
    <row r="926" spans="2:18" x14ac:dyDescent="0.35">
      <c r="B926" s="22"/>
      <c r="F926" s="23"/>
      <c r="G926" s="23"/>
      <c r="H926" s="23"/>
      <c r="I926" s="23"/>
      <c r="J926" s="23"/>
      <c r="K926" s="23"/>
      <c r="L926" s="23"/>
      <c r="M926" s="23"/>
      <c r="N926" s="23"/>
      <c r="O926" s="23"/>
      <c r="P926" s="23"/>
      <c r="Q926" s="23"/>
      <c r="R926" s="23"/>
    </row>
    <row r="927" spans="2:18" x14ac:dyDescent="0.35">
      <c r="B927" s="22"/>
      <c r="F927" s="23"/>
      <c r="G927" s="23"/>
      <c r="H927" s="23"/>
      <c r="I927" s="23"/>
      <c r="J927" s="23"/>
      <c r="K927" s="23"/>
      <c r="L927" s="23"/>
      <c r="M927" s="23"/>
      <c r="N927" s="23"/>
      <c r="O927" s="23"/>
      <c r="P927" s="23"/>
      <c r="Q927" s="23"/>
      <c r="R927" s="23"/>
    </row>
    <row r="928" spans="2:18" x14ac:dyDescent="0.35">
      <c r="B928" s="22"/>
      <c r="F928" s="23"/>
      <c r="G928" s="23"/>
      <c r="H928" s="23"/>
      <c r="I928" s="23"/>
      <c r="J928" s="23"/>
      <c r="K928" s="23"/>
      <c r="L928" s="23"/>
      <c r="M928" s="23"/>
      <c r="N928" s="23"/>
      <c r="O928" s="23"/>
      <c r="P928" s="23"/>
      <c r="Q928" s="23"/>
      <c r="R928" s="23"/>
    </row>
    <row r="929" spans="2:18" x14ac:dyDescent="0.35">
      <c r="B929" s="22"/>
      <c r="F929" s="23"/>
      <c r="G929" s="23"/>
      <c r="H929" s="23"/>
      <c r="I929" s="23"/>
      <c r="J929" s="23"/>
      <c r="K929" s="23"/>
      <c r="L929" s="23"/>
      <c r="M929" s="23"/>
      <c r="N929" s="23"/>
      <c r="O929" s="23"/>
      <c r="P929" s="23"/>
      <c r="Q929" s="23"/>
      <c r="R929" s="23"/>
    </row>
    <row r="930" spans="2:18" x14ac:dyDescent="0.35">
      <c r="B930" s="22"/>
      <c r="F930" s="23"/>
      <c r="G930" s="23"/>
      <c r="H930" s="23"/>
      <c r="I930" s="23"/>
      <c r="J930" s="23"/>
      <c r="K930" s="23"/>
      <c r="L930" s="23"/>
      <c r="M930" s="23"/>
      <c r="N930" s="23"/>
      <c r="O930" s="23"/>
      <c r="P930" s="23"/>
      <c r="Q930" s="23"/>
      <c r="R930" s="23"/>
    </row>
    <row r="931" spans="2:18" x14ac:dyDescent="0.35">
      <c r="B931" s="22"/>
      <c r="F931" s="23"/>
      <c r="G931" s="23"/>
      <c r="H931" s="23"/>
      <c r="I931" s="23"/>
      <c r="J931" s="23"/>
      <c r="K931" s="23"/>
      <c r="L931" s="23"/>
      <c r="M931" s="23"/>
      <c r="N931" s="23"/>
      <c r="O931" s="23"/>
      <c r="P931" s="23"/>
      <c r="Q931" s="23"/>
      <c r="R931" s="23"/>
    </row>
    <row r="932" spans="2:18" x14ac:dyDescent="0.35">
      <c r="B932" s="22"/>
      <c r="F932" s="23"/>
      <c r="G932" s="23"/>
      <c r="H932" s="23"/>
      <c r="I932" s="23"/>
      <c r="J932" s="23"/>
      <c r="K932" s="23"/>
      <c r="L932" s="23"/>
      <c r="M932" s="23"/>
      <c r="N932" s="23"/>
      <c r="O932" s="23"/>
      <c r="P932" s="23"/>
      <c r="Q932" s="23"/>
      <c r="R932" s="23"/>
    </row>
    <row r="933" spans="2:18" x14ac:dyDescent="0.35">
      <c r="B933" s="22"/>
      <c r="F933" s="23"/>
      <c r="G933" s="23"/>
      <c r="H933" s="23"/>
      <c r="I933" s="23"/>
      <c r="J933" s="23"/>
      <c r="K933" s="23"/>
      <c r="L933" s="23"/>
      <c r="M933" s="23"/>
      <c r="N933" s="23"/>
      <c r="O933" s="23"/>
      <c r="P933" s="23"/>
      <c r="Q933" s="23"/>
      <c r="R933" s="23"/>
    </row>
    <row r="934" spans="2:18" x14ac:dyDescent="0.35">
      <c r="B934" s="22"/>
      <c r="F934" s="23"/>
      <c r="G934" s="23"/>
      <c r="H934" s="23"/>
      <c r="I934" s="23"/>
      <c r="J934" s="23"/>
      <c r="K934" s="23"/>
      <c r="L934" s="23"/>
      <c r="M934" s="23"/>
      <c r="N934" s="23"/>
      <c r="O934" s="23"/>
      <c r="P934" s="23"/>
      <c r="Q934" s="23"/>
      <c r="R934" s="23"/>
    </row>
    <row r="935" spans="2:18" x14ac:dyDescent="0.35">
      <c r="B935" s="22"/>
      <c r="F935" s="23"/>
      <c r="G935" s="23"/>
      <c r="H935" s="23"/>
      <c r="I935" s="23"/>
      <c r="J935" s="23"/>
      <c r="K935" s="23"/>
      <c r="L935" s="23"/>
      <c r="M935" s="23"/>
      <c r="N935" s="23"/>
      <c r="O935" s="23"/>
      <c r="P935" s="23"/>
      <c r="Q935" s="23"/>
      <c r="R935" s="23"/>
    </row>
    <row r="936" spans="2:18" x14ac:dyDescent="0.35">
      <c r="B936" s="22"/>
      <c r="F936" s="23"/>
      <c r="G936" s="23"/>
      <c r="H936" s="23"/>
      <c r="I936" s="23"/>
      <c r="J936" s="23"/>
      <c r="K936" s="23"/>
      <c r="L936" s="23"/>
      <c r="M936" s="23"/>
      <c r="N936" s="23"/>
      <c r="O936" s="23"/>
      <c r="P936" s="23"/>
      <c r="Q936" s="23"/>
      <c r="R936" s="23"/>
    </row>
    <row r="937" spans="2:18" x14ac:dyDescent="0.35">
      <c r="B937" s="22"/>
      <c r="F937" s="23"/>
      <c r="G937" s="23"/>
      <c r="H937" s="23"/>
      <c r="I937" s="23"/>
      <c r="J937" s="23"/>
      <c r="K937" s="23"/>
      <c r="L937" s="23"/>
      <c r="M937" s="23"/>
      <c r="N937" s="23"/>
      <c r="O937" s="23"/>
      <c r="P937" s="23"/>
      <c r="Q937" s="23"/>
      <c r="R937" s="23"/>
    </row>
    <row r="938" spans="2:18" x14ac:dyDescent="0.35">
      <c r="B938" s="22"/>
      <c r="F938" s="23"/>
      <c r="G938" s="23"/>
      <c r="H938" s="23"/>
      <c r="I938" s="23"/>
      <c r="J938" s="23"/>
      <c r="K938" s="23"/>
      <c r="L938" s="23"/>
      <c r="M938" s="23"/>
      <c r="N938" s="23"/>
      <c r="O938" s="23"/>
      <c r="P938" s="23"/>
      <c r="Q938" s="23"/>
      <c r="R938" s="23"/>
    </row>
    <row r="939" spans="2:18" x14ac:dyDescent="0.35">
      <c r="B939" s="22"/>
      <c r="F939" s="23"/>
      <c r="G939" s="23"/>
      <c r="H939" s="23"/>
      <c r="I939" s="23"/>
      <c r="J939" s="23"/>
      <c r="K939" s="23"/>
      <c r="L939" s="23"/>
      <c r="M939" s="23"/>
      <c r="N939" s="23"/>
      <c r="O939" s="23"/>
      <c r="P939" s="23"/>
      <c r="Q939" s="23"/>
      <c r="R939" s="23"/>
    </row>
    <row r="940" spans="2:18" x14ac:dyDescent="0.35">
      <c r="B940" s="22"/>
      <c r="F940" s="23"/>
      <c r="G940" s="23"/>
      <c r="H940" s="23"/>
      <c r="I940" s="23"/>
      <c r="J940" s="23"/>
      <c r="K940" s="23"/>
      <c r="L940" s="23"/>
      <c r="M940" s="23"/>
      <c r="N940" s="23"/>
      <c r="O940" s="23"/>
      <c r="P940" s="23"/>
      <c r="Q940" s="23"/>
      <c r="R940" s="23"/>
    </row>
    <row r="941" spans="2:18" x14ac:dyDescent="0.35">
      <c r="B941" s="22"/>
      <c r="F941" s="23"/>
      <c r="G941" s="23"/>
      <c r="H941" s="23"/>
      <c r="I941" s="23"/>
      <c r="J941" s="23"/>
      <c r="K941" s="23"/>
      <c r="L941" s="23"/>
      <c r="M941" s="23"/>
      <c r="N941" s="23"/>
      <c r="O941" s="23"/>
      <c r="P941" s="23"/>
      <c r="Q941" s="23"/>
      <c r="R941" s="23"/>
    </row>
    <row r="942" spans="2:18" x14ac:dyDescent="0.35">
      <c r="B942" s="22"/>
      <c r="F942" s="23"/>
      <c r="G942" s="23"/>
      <c r="H942" s="23"/>
      <c r="I942" s="23"/>
      <c r="J942" s="23"/>
      <c r="K942" s="23"/>
      <c r="L942" s="23"/>
      <c r="M942" s="23"/>
      <c r="N942" s="23"/>
      <c r="O942" s="23"/>
      <c r="P942" s="23"/>
      <c r="Q942" s="23"/>
      <c r="R942" s="23"/>
    </row>
    <row r="943" spans="2:18" x14ac:dyDescent="0.35">
      <c r="B943" s="22"/>
      <c r="F943" s="23"/>
      <c r="G943" s="23"/>
      <c r="H943" s="23"/>
      <c r="I943" s="23"/>
      <c r="J943" s="23"/>
      <c r="K943" s="23"/>
      <c r="L943" s="23"/>
      <c r="M943" s="23"/>
      <c r="N943" s="23"/>
      <c r="O943" s="23"/>
      <c r="P943" s="23"/>
      <c r="Q943" s="23"/>
      <c r="R943" s="23"/>
    </row>
    <row r="944" spans="2:18" x14ac:dyDescent="0.35">
      <c r="B944" s="22"/>
      <c r="F944" s="23"/>
      <c r="G944" s="23"/>
      <c r="H944" s="23"/>
      <c r="I944" s="23"/>
      <c r="J944" s="23"/>
      <c r="K944" s="23"/>
      <c r="L944" s="23"/>
      <c r="M944" s="23"/>
      <c r="N944" s="23"/>
      <c r="O944" s="23"/>
      <c r="P944" s="23"/>
      <c r="Q944" s="23"/>
      <c r="R944" s="23"/>
    </row>
    <row r="945" spans="2:18" x14ac:dyDescent="0.35">
      <c r="B945" s="22"/>
      <c r="F945" s="23"/>
      <c r="G945" s="23"/>
      <c r="H945" s="23"/>
      <c r="I945" s="23"/>
      <c r="J945" s="23"/>
      <c r="K945" s="23"/>
      <c r="L945" s="23"/>
      <c r="M945" s="23"/>
      <c r="N945" s="23"/>
      <c r="O945" s="23"/>
      <c r="P945" s="23"/>
      <c r="Q945" s="23"/>
      <c r="R945" s="23"/>
    </row>
    <row r="946" spans="2:18" x14ac:dyDescent="0.35">
      <c r="B946" s="22"/>
      <c r="F946" s="23"/>
      <c r="G946" s="23"/>
      <c r="H946" s="23"/>
      <c r="I946" s="23"/>
      <c r="J946" s="23"/>
      <c r="K946" s="23"/>
      <c r="L946" s="23"/>
      <c r="M946" s="23"/>
      <c r="N946" s="23"/>
      <c r="O946" s="23"/>
      <c r="P946" s="23"/>
      <c r="Q946" s="23"/>
      <c r="R946" s="23"/>
    </row>
    <row r="947" spans="2:18" x14ac:dyDescent="0.35">
      <c r="B947" s="22"/>
      <c r="F947" s="23"/>
      <c r="G947" s="23"/>
      <c r="H947" s="23"/>
      <c r="I947" s="23"/>
      <c r="J947" s="23"/>
      <c r="K947" s="23"/>
      <c r="L947" s="23"/>
      <c r="M947" s="23"/>
      <c r="N947" s="23"/>
      <c r="O947" s="23"/>
      <c r="P947" s="23"/>
      <c r="Q947" s="23"/>
      <c r="R947" s="23"/>
    </row>
    <row r="948" spans="2:18" x14ac:dyDescent="0.35">
      <c r="B948" s="22"/>
      <c r="F948" s="23"/>
      <c r="G948" s="23"/>
      <c r="H948" s="23"/>
      <c r="I948" s="23"/>
      <c r="J948" s="23"/>
      <c r="K948" s="23"/>
      <c r="L948" s="23"/>
      <c r="M948" s="23"/>
      <c r="N948" s="23"/>
      <c r="O948" s="23"/>
      <c r="P948" s="23"/>
      <c r="Q948" s="23"/>
      <c r="R948" s="23"/>
    </row>
    <row r="949" spans="2:18" x14ac:dyDescent="0.35">
      <c r="B949" s="22"/>
      <c r="F949" s="23"/>
      <c r="G949" s="23"/>
      <c r="H949" s="23"/>
      <c r="I949" s="23"/>
      <c r="J949" s="23"/>
      <c r="K949" s="23"/>
      <c r="L949" s="23"/>
      <c r="M949" s="23"/>
      <c r="N949" s="23"/>
      <c r="O949" s="23"/>
      <c r="P949" s="23"/>
      <c r="Q949" s="23"/>
      <c r="R949" s="23"/>
    </row>
    <row r="950" spans="2:18" x14ac:dyDescent="0.35">
      <c r="B950" s="22"/>
      <c r="F950" s="23"/>
      <c r="G950" s="23"/>
      <c r="H950" s="23"/>
      <c r="I950" s="23"/>
      <c r="J950" s="23"/>
      <c r="K950" s="23"/>
      <c r="L950" s="23"/>
      <c r="M950" s="23"/>
      <c r="N950" s="23"/>
      <c r="O950" s="23"/>
      <c r="P950" s="23"/>
      <c r="Q950" s="23"/>
      <c r="R950" s="23"/>
    </row>
    <row r="951" spans="2:18" x14ac:dyDescent="0.35">
      <c r="B951" s="22"/>
      <c r="F951" s="23"/>
      <c r="G951" s="23"/>
      <c r="H951" s="23"/>
      <c r="I951" s="23"/>
      <c r="J951" s="23"/>
      <c r="K951" s="23"/>
      <c r="L951" s="23"/>
      <c r="M951" s="23"/>
      <c r="N951" s="23"/>
      <c r="O951" s="23"/>
      <c r="P951" s="23"/>
      <c r="Q951" s="23"/>
      <c r="R951" s="23"/>
    </row>
    <row r="952" spans="2:18" x14ac:dyDescent="0.35">
      <c r="B952" s="22"/>
      <c r="F952" s="23"/>
      <c r="G952" s="23"/>
      <c r="H952" s="23"/>
      <c r="I952" s="23"/>
      <c r="J952" s="23"/>
      <c r="K952" s="23"/>
      <c r="L952" s="23"/>
      <c r="M952" s="23"/>
      <c r="N952" s="23"/>
      <c r="O952" s="23"/>
      <c r="P952" s="23"/>
      <c r="Q952" s="23"/>
      <c r="R952" s="23"/>
    </row>
    <row r="953" spans="2:18" x14ac:dyDescent="0.35">
      <c r="B953" s="22"/>
      <c r="F953" s="23"/>
      <c r="G953" s="23"/>
      <c r="H953" s="23"/>
      <c r="I953" s="23"/>
      <c r="J953" s="23"/>
      <c r="K953" s="23"/>
      <c r="L953" s="23"/>
      <c r="M953" s="23"/>
      <c r="N953" s="23"/>
      <c r="O953" s="23"/>
      <c r="P953" s="23"/>
      <c r="Q953" s="23"/>
      <c r="R953" s="23"/>
    </row>
    <row r="954" spans="2:18" x14ac:dyDescent="0.35">
      <c r="B954" s="22"/>
      <c r="F954" s="23"/>
      <c r="G954" s="23"/>
      <c r="H954" s="23"/>
      <c r="I954" s="23"/>
      <c r="J954" s="23"/>
      <c r="K954" s="23"/>
      <c r="L954" s="23"/>
      <c r="M954" s="23"/>
      <c r="N954" s="23"/>
      <c r="O954" s="23"/>
      <c r="P954" s="23"/>
      <c r="Q954" s="23"/>
      <c r="R954" s="23"/>
    </row>
    <row r="955" spans="2:18" x14ac:dyDescent="0.35">
      <c r="B955" s="22"/>
      <c r="F955" s="23"/>
      <c r="G955" s="23"/>
      <c r="H955" s="23"/>
      <c r="I955" s="23"/>
      <c r="J955" s="23"/>
      <c r="K955" s="23"/>
      <c r="L955" s="23"/>
      <c r="M955" s="23"/>
      <c r="N955" s="23"/>
      <c r="O955" s="23"/>
      <c r="P955" s="23"/>
      <c r="Q955" s="23"/>
      <c r="R955" s="23"/>
    </row>
    <row r="956" spans="2:18" x14ac:dyDescent="0.35">
      <c r="B956" s="22"/>
      <c r="F956" s="23"/>
      <c r="G956" s="23"/>
      <c r="H956" s="23"/>
      <c r="I956" s="23"/>
      <c r="J956" s="23"/>
      <c r="K956" s="23"/>
      <c r="L956" s="23"/>
      <c r="M956" s="23"/>
      <c r="N956" s="23"/>
      <c r="O956" s="23"/>
      <c r="P956" s="23"/>
      <c r="Q956" s="23"/>
      <c r="R956" s="23"/>
    </row>
    <row r="957" spans="2:18" x14ac:dyDescent="0.35">
      <c r="B957" s="22"/>
      <c r="F957" s="23"/>
      <c r="G957" s="23"/>
      <c r="H957" s="23"/>
      <c r="I957" s="23"/>
      <c r="J957" s="23"/>
      <c r="K957" s="23"/>
      <c r="L957" s="23"/>
      <c r="M957" s="23"/>
      <c r="N957" s="23"/>
      <c r="O957" s="23"/>
      <c r="P957" s="23"/>
      <c r="Q957" s="23"/>
      <c r="R957" s="23"/>
    </row>
    <row r="958" spans="2:18" x14ac:dyDescent="0.35">
      <c r="B958" s="22"/>
      <c r="F958" s="23"/>
      <c r="G958" s="23"/>
      <c r="H958" s="23"/>
      <c r="I958" s="23"/>
      <c r="J958" s="23"/>
      <c r="K958" s="23"/>
      <c r="L958" s="23"/>
      <c r="M958" s="23"/>
      <c r="N958" s="23"/>
      <c r="O958" s="23"/>
      <c r="P958" s="23"/>
      <c r="Q958" s="23"/>
      <c r="R958" s="23"/>
    </row>
    <row r="959" spans="2:18" x14ac:dyDescent="0.35">
      <c r="B959" s="22"/>
      <c r="F959" s="23"/>
      <c r="G959" s="23"/>
      <c r="H959" s="23"/>
      <c r="I959" s="23"/>
      <c r="J959" s="23"/>
      <c r="K959" s="23"/>
      <c r="L959" s="23"/>
      <c r="M959" s="23"/>
      <c r="N959" s="23"/>
      <c r="O959" s="23"/>
      <c r="P959" s="23"/>
      <c r="Q959" s="23"/>
      <c r="R959" s="23"/>
    </row>
    <row r="960" spans="2:18" x14ac:dyDescent="0.35">
      <c r="B960" s="22"/>
      <c r="F960" s="23"/>
      <c r="G960" s="23"/>
      <c r="H960" s="23"/>
      <c r="I960" s="23"/>
      <c r="J960" s="23"/>
      <c r="K960" s="23"/>
      <c r="L960" s="23"/>
      <c r="M960" s="23"/>
      <c r="N960" s="23"/>
      <c r="O960" s="23"/>
      <c r="P960" s="23"/>
      <c r="Q960" s="23"/>
      <c r="R960" s="23"/>
    </row>
    <row r="961" spans="2:18" x14ac:dyDescent="0.35">
      <c r="B961" s="22"/>
      <c r="F961" s="23"/>
      <c r="G961" s="23"/>
      <c r="H961" s="23"/>
      <c r="I961" s="23"/>
      <c r="J961" s="23"/>
      <c r="K961" s="23"/>
      <c r="L961" s="23"/>
      <c r="M961" s="23"/>
      <c r="N961" s="23"/>
      <c r="O961" s="23"/>
      <c r="P961" s="23"/>
      <c r="Q961" s="23"/>
      <c r="R961" s="23"/>
    </row>
    <row r="962" spans="2:18" x14ac:dyDescent="0.35">
      <c r="B962" s="22"/>
      <c r="F962" s="23"/>
      <c r="G962" s="23"/>
      <c r="H962" s="23"/>
      <c r="I962" s="23"/>
      <c r="J962" s="23"/>
      <c r="K962" s="23"/>
      <c r="L962" s="23"/>
      <c r="M962" s="23"/>
      <c r="N962" s="23"/>
      <c r="O962" s="23"/>
      <c r="P962" s="23"/>
      <c r="Q962" s="23"/>
      <c r="R962" s="23"/>
    </row>
    <row r="963" spans="2:18" x14ac:dyDescent="0.35">
      <c r="B963" s="22"/>
      <c r="F963" s="23"/>
      <c r="G963" s="23"/>
      <c r="H963" s="23"/>
      <c r="I963" s="23"/>
      <c r="J963" s="23"/>
      <c r="K963" s="23"/>
      <c r="L963" s="23"/>
      <c r="M963" s="23"/>
      <c r="N963" s="23"/>
      <c r="O963" s="23"/>
      <c r="P963" s="23"/>
      <c r="Q963" s="23"/>
      <c r="R963" s="23"/>
    </row>
    <row r="964" spans="2:18" x14ac:dyDescent="0.35">
      <c r="B964" s="22"/>
      <c r="F964" s="23"/>
      <c r="G964" s="23"/>
      <c r="H964" s="23"/>
      <c r="I964" s="23"/>
      <c r="J964" s="23"/>
      <c r="K964" s="23"/>
      <c r="L964" s="23"/>
      <c r="M964" s="23"/>
      <c r="N964" s="23"/>
      <c r="O964" s="23"/>
      <c r="P964" s="23"/>
      <c r="Q964" s="23"/>
      <c r="R964" s="23"/>
    </row>
    <row r="965" spans="2:18" x14ac:dyDescent="0.35">
      <c r="B965" s="22"/>
      <c r="F965" s="23"/>
      <c r="G965" s="23"/>
      <c r="H965" s="23"/>
      <c r="I965" s="23"/>
      <c r="J965" s="23"/>
      <c r="K965" s="23"/>
      <c r="L965" s="23"/>
      <c r="M965" s="23"/>
      <c r="N965" s="23"/>
      <c r="O965" s="23"/>
      <c r="P965" s="23"/>
      <c r="Q965" s="23"/>
      <c r="R965" s="23"/>
    </row>
    <row r="966" spans="2:18" x14ac:dyDescent="0.35">
      <c r="B966" s="22"/>
      <c r="F966" s="23"/>
      <c r="G966" s="23"/>
      <c r="H966" s="23"/>
      <c r="I966" s="23"/>
      <c r="J966" s="23"/>
      <c r="K966" s="23"/>
      <c r="L966" s="23"/>
      <c r="M966" s="23"/>
      <c r="N966" s="23"/>
      <c r="O966" s="23"/>
      <c r="P966" s="23"/>
      <c r="Q966" s="23"/>
      <c r="R966" s="23"/>
    </row>
    <row r="967" spans="2:18" x14ac:dyDescent="0.35">
      <c r="B967" s="22"/>
      <c r="F967" s="23"/>
      <c r="G967" s="23"/>
      <c r="H967" s="23"/>
      <c r="I967" s="23"/>
      <c r="J967" s="23"/>
      <c r="K967" s="23"/>
      <c r="L967" s="23"/>
      <c r="M967" s="23"/>
      <c r="N967" s="23"/>
      <c r="O967" s="23"/>
      <c r="P967" s="23"/>
      <c r="Q967" s="23"/>
      <c r="R967" s="23"/>
    </row>
    <row r="968" spans="2:18" x14ac:dyDescent="0.35">
      <c r="B968" s="22"/>
      <c r="F968" s="23"/>
      <c r="G968" s="23"/>
      <c r="H968" s="23"/>
      <c r="I968" s="23"/>
      <c r="J968" s="23"/>
      <c r="K968" s="23"/>
      <c r="L968" s="23"/>
      <c r="M968" s="23"/>
      <c r="N968" s="23"/>
      <c r="O968" s="23"/>
      <c r="P968" s="23"/>
      <c r="Q968" s="23"/>
      <c r="R968" s="23"/>
    </row>
    <row r="969" spans="2:18" x14ac:dyDescent="0.35">
      <c r="B969" s="22"/>
      <c r="F969" s="23"/>
      <c r="G969" s="23"/>
      <c r="H969" s="23"/>
      <c r="I969" s="23"/>
      <c r="J969" s="23"/>
      <c r="K969" s="23"/>
      <c r="L969" s="23"/>
      <c r="M969" s="23"/>
      <c r="N969" s="23"/>
      <c r="O969" s="23"/>
      <c r="P969" s="23"/>
      <c r="Q969" s="23"/>
      <c r="R969" s="23"/>
    </row>
    <row r="970" spans="2:18" x14ac:dyDescent="0.35">
      <c r="B970" s="22"/>
      <c r="F970" s="23"/>
      <c r="G970" s="23"/>
      <c r="H970" s="23"/>
      <c r="I970" s="23"/>
      <c r="J970" s="23"/>
      <c r="K970" s="23"/>
      <c r="L970" s="23"/>
      <c r="M970" s="23"/>
      <c r="N970" s="23"/>
      <c r="O970" s="23"/>
      <c r="P970" s="23"/>
      <c r="Q970" s="23"/>
      <c r="R970" s="23"/>
    </row>
    <row r="971" spans="2:18" x14ac:dyDescent="0.35">
      <c r="B971" s="22"/>
      <c r="F971" s="23"/>
      <c r="G971" s="23"/>
      <c r="H971" s="23"/>
      <c r="I971" s="23"/>
      <c r="J971" s="23"/>
      <c r="K971" s="23"/>
      <c r="L971" s="23"/>
      <c r="M971" s="23"/>
      <c r="N971" s="23"/>
      <c r="O971" s="23"/>
      <c r="P971" s="23"/>
      <c r="Q971" s="23"/>
      <c r="R971" s="23"/>
    </row>
    <row r="972" spans="2:18" x14ac:dyDescent="0.35">
      <c r="B972" s="22"/>
      <c r="F972" s="23"/>
      <c r="G972" s="23"/>
      <c r="H972" s="23"/>
      <c r="I972" s="23"/>
      <c r="J972" s="23"/>
      <c r="K972" s="23"/>
      <c r="L972" s="23"/>
      <c r="M972" s="23"/>
      <c r="N972" s="23"/>
      <c r="O972" s="23"/>
      <c r="P972" s="23"/>
      <c r="Q972" s="23"/>
      <c r="R972" s="23"/>
    </row>
    <row r="973" spans="2:18" x14ac:dyDescent="0.35">
      <c r="B973" s="22"/>
      <c r="F973" s="23"/>
      <c r="G973" s="23"/>
      <c r="H973" s="23"/>
      <c r="I973" s="23"/>
      <c r="J973" s="23"/>
      <c r="K973" s="23"/>
      <c r="L973" s="23"/>
      <c r="M973" s="23"/>
      <c r="N973" s="23"/>
      <c r="O973" s="23"/>
      <c r="P973" s="23"/>
      <c r="Q973" s="23"/>
      <c r="R973" s="23"/>
    </row>
    <row r="974" spans="2:18" x14ac:dyDescent="0.35">
      <c r="B974" s="22"/>
      <c r="F974" s="23"/>
      <c r="G974" s="23"/>
      <c r="H974" s="23"/>
      <c r="I974" s="23"/>
      <c r="J974" s="23"/>
      <c r="K974" s="23"/>
      <c r="L974" s="23"/>
      <c r="M974" s="23"/>
      <c r="N974" s="23"/>
      <c r="O974" s="23"/>
      <c r="P974" s="23"/>
      <c r="Q974" s="23"/>
      <c r="R974" s="23"/>
    </row>
    <row r="975" spans="2:18" x14ac:dyDescent="0.35">
      <c r="B975" s="22"/>
      <c r="F975" s="23"/>
      <c r="G975" s="23"/>
      <c r="H975" s="23"/>
      <c r="I975" s="23"/>
      <c r="J975" s="23"/>
      <c r="K975" s="23"/>
      <c r="L975" s="23"/>
      <c r="M975" s="23"/>
      <c r="N975" s="23"/>
      <c r="O975" s="23"/>
      <c r="P975" s="23"/>
      <c r="Q975" s="23"/>
      <c r="R975" s="23"/>
    </row>
    <row r="976" spans="2:18" x14ac:dyDescent="0.35">
      <c r="B976" s="22"/>
      <c r="F976" s="23"/>
      <c r="G976" s="23"/>
      <c r="H976" s="23"/>
      <c r="I976" s="23"/>
      <c r="J976" s="23"/>
      <c r="K976" s="23"/>
      <c r="L976" s="23"/>
      <c r="M976" s="23"/>
      <c r="N976" s="23"/>
      <c r="O976" s="23"/>
      <c r="P976" s="23"/>
      <c r="Q976" s="23"/>
      <c r="R976" s="23"/>
    </row>
    <row r="977" spans="2:18" x14ac:dyDescent="0.35">
      <c r="B977" s="22"/>
      <c r="F977" s="23"/>
      <c r="G977" s="23"/>
      <c r="H977" s="23"/>
      <c r="I977" s="23"/>
      <c r="J977" s="23"/>
      <c r="K977" s="23"/>
      <c r="L977" s="23"/>
      <c r="M977" s="23"/>
      <c r="N977" s="23"/>
      <c r="O977" s="23"/>
      <c r="P977" s="23"/>
      <c r="Q977" s="23"/>
      <c r="R977" s="23"/>
    </row>
    <row r="978" spans="2:18" x14ac:dyDescent="0.35">
      <c r="B978" s="22"/>
      <c r="F978" s="23"/>
      <c r="G978" s="23"/>
      <c r="H978" s="23"/>
      <c r="I978" s="23"/>
      <c r="J978" s="23"/>
      <c r="K978" s="23"/>
      <c r="L978" s="23"/>
      <c r="M978" s="23"/>
      <c r="N978" s="23"/>
      <c r="O978" s="23"/>
      <c r="P978" s="23"/>
      <c r="Q978" s="23"/>
      <c r="R978" s="23"/>
    </row>
    <row r="979" spans="2:18" x14ac:dyDescent="0.35">
      <c r="B979" s="22"/>
      <c r="F979" s="23"/>
      <c r="G979" s="23"/>
      <c r="H979" s="23"/>
      <c r="I979" s="23"/>
      <c r="J979" s="23"/>
      <c r="K979" s="23"/>
      <c r="L979" s="23"/>
      <c r="M979" s="23"/>
      <c r="N979" s="23"/>
      <c r="O979" s="23"/>
      <c r="P979" s="23"/>
      <c r="Q979" s="23"/>
      <c r="R979" s="23"/>
    </row>
    <row r="980" spans="2:18" x14ac:dyDescent="0.35">
      <c r="B980" s="22"/>
      <c r="F980" s="23"/>
      <c r="G980" s="23"/>
      <c r="H980" s="23"/>
      <c r="I980" s="23"/>
      <c r="J980" s="23"/>
      <c r="K980" s="23"/>
      <c r="L980" s="23"/>
      <c r="M980" s="23"/>
      <c r="N980" s="23"/>
      <c r="O980" s="23"/>
      <c r="P980" s="23"/>
      <c r="Q980" s="23"/>
      <c r="R980" s="23"/>
    </row>
    <row r="981" spans="2:18" x14ac:dyDescent="0.35">
      <c r="B981" s="22"/>
      <c r="F981" s="23"/>
      <c r="G981" s="23"/>
      <c r="H981" s="23"/>
      <c r="I981" s="23"/>
      <c r="J981" s="23"/>
      <c r="K981" s="23"/>
      <c r="L981" s="23"/>
      <c r="M981" s="23"/>
      <c r="N981" s="23"/>
      <c r="O981" s="23"/>
      <c r="P981" s="23"/>
      <c r="Q981" s="23"/>
      <c r="R981" s="23"/>
    </row>
    <row r="982" spans="2:18" x14ac:dyDescent="0.35">
      <c r="B982" s="22"/>
      <c r="F982" s="23"/>
      <c r="G982" s="23"/>
      <c r="H982" s="23"/>
      <c r="I982" s="23"/>
      <c r="J982" s="23"/>
      <c r="K982" s="23"/>
      <c r="L982" s="23"/>
      <c r="M982" s="23"/>
      <c r="N982" s="23"/>
      <c r="O982" s="23"/>
      <c r="P982" s="23"/>
      <c r="Q982" s="23"/>
      <c r="R982" s="23"/>
    </row>
    <row r="983" spans="2:18" x14ac:dyDescent="0.35">
      <c r="B983" s="22"/>
      <c r="F983" s="23"/>
      <c r="G983" s="23"/>
      <c r="H983" s="23"/>
      <c r="I983" s="23"/>
      <c r="J983" s="23"/>
      <c r="K983" s="23"/>
      <c r="L983" s="23"/>
      <c r="M983" s="23"/>
      <c r="N983" s="23"/>
      <c r="O983" s="23"/>
      <c r="P983" s="23"/>
      <c r="Q983" s="23"/>
      <c r="R983" s="23"/>
    </row>
    <row r="984" spans="2:18" x14ac:dyDescent="0.35">
      <c r="B984" s="22"/>
      <c r="F984" s="23"/>
      <c r="G984" s="23"/>
      <c r="H984" s="23"/>
      <c r="I984" s="23"/>
      <c r="J984" s="23"/>
      <c r="K984" s="23"/>
      <c r="L984" s="23"/>
      <c r="M984" s="23"/>
      <c r="N984" s="23"/>
      <c r="O984" s="23"/>
      <c r="P984" s="23"/>
      <c r="Q984" s="23"/>
      <c r="R984" s="23"/>
    </row>
    <row r="985" spans="2:18" x14ac:dyDescent="0.35">
      <c r="B985" s="22"/>
      <c r="F985" s="23"/>
      <c r="G985" s="23"/>
      <c r="H985" s="23"/>
      <c r="I985" s="23"/>
      <c r="J985" s="23"/>
      <c r="K985" s="23"/>
      <c r="L985" s="23"/>
      <c r="M985" s="23"/>
      <c r="N985" s="23"/>
      <c r="O985" s="23"/>
      <c r="P985" s="23"/>
      <c r="Q985" s="23"/>
      <c r="R985" s="23"/>
    </row>
    <row r="986" spans="2:18" x14ac:dyDescent="0.35">
      <c r="B986" s="22"/>
      <c r="F986" s="23"/>
      <c r="G986" s="23"/>
      <c r="H986" s="23"/>
      <c r="I986" s="23"/>
      <c r="J986" s="23"/>
      <c r="K986" s="23"/>
      <c r="L986" s="23"/>
      <c r="M986" s="23"/>
      <c r="N986" s="23"/>
      <c r="O986" s="23"/>
      <c r="P986" s="23"/>
      <c r="Q986" s="23"/>
      <c r="R986" s="23"/>
    </row>
    <row r="987" spans="2:18" x14ac:dyDescent="0.35">
      <c r="B987" s="22"/>
      <c r="F987" s="23"/>
      <c r="G987" s="23"/>
      <c r="H987" s="23"/>
      <c r="I987" s="23"/>
      <c r="J987" s="23"/>
      <c r="K987" s="23"/>
      <c r="L987" s="23"/>
      <c r="M987" s="23"/>
      <c r="N987" s="23"/>
      <c r="O987" s="23"/>
      <c r="P987" s="23"/>
      <c r="Q987" s="23"/>
      <c r="R987" s="23"/>
    </row>
    <row r="988" spans="2:18" x14ac:dyDescent="0.35">
      <c r="B988" s="22"/>
      <c r="F988" s="23"/>
      <c r="G988" s="23"/>
      <c r="H988" s="23"/>
      <c r="I988" s="23"/>
      <c r="J988" s="23"/>
      <c r="K988" s="23"/>
      <c r="L988" s="23"/>
      <c r="M988" s="23"/>
      <c r="N988" s="23"/>
      <c r="O988" s="23"/>
      <c r="P988" s="23"/>
      <c r="Q988" s="23"/>
      <c r="R988" s="23"/>
    </row>
    <row r="989" spans="2:18" x14ac:dyDescent="0.35">
      <c r="B989" s="22"/>
      <c r="F989" s="23"/>
      <c r="G989" s="23"/>
      <c r="H989" s="23"/>
      <c r="I989" s="23"/>
      <c r="J989" s="23"/>
      <c r="K989" s="23"/>
      <c r="L989" s="23"/>
      <c r="M989" s="23"/>
      <c r="N989" s="23"/>
      <c r="O989" s="23"/>
      <c r="P989" s="23"/>
      <c r="Q989" s="23"/>
      <c r="R989" s="23"/>
    </row>
    <row r="990" spans="2:18" x14ac:dyDescent="0.35">
      <c r="B990" s="22"/>
      <c r="F990" s="23"/>
      <c r="G990" s="23"/>
      <c r="H990" s="23"/>
      <c r="I990" s="23"/>
      <c r="J990" s="23"/>
      <c r="K990" s="23"/>
      <c r="L990" s="23"/>
      <c r="M990" s="23"/>
      <c r="N990" s="23"/>
      <c r="O990" s="23"/>
      <c r="P990" s="23"/>
      <c r="Q990" s="23"/>
      <c r="R990" s="23"/>
    </row>
    <row r="991" spans="2:18" x14ac:dyDescent="0.35">
      <c r="B991" s="22"/>
      <c r="F991" s="23"/>
      <c r="G991" s="23"/>
      <c r="H991" s="23"/>
      <c r="I991" s="23"/>
      <c r="J991" s="23"/>
      <c r="K991" s="23"/>
      <c r="L991" s="23"/>
      <c r="M991" s="23"/>
      <c r="N991" s="23"/>
      <c r="O991" s="23"/>
      <c r="P991" s="23"/>
      <c r="Q991" s="23"/>
      <c r="R991" s="23"/>
    </row>
    <row r="992" spans="2:18" x14ac:dyDescent="0.35">
      <c r="B992" s="22"/>
      <c r="F992" s="23"/>
      <c r="G992" s="23"/>
      <c r="H992" s="23"/>
      <c r="I992" s="23"/>
      <c r="J992" s="23"/>
      <c r="K992" s="23"/>
      <c r="L992" s="23"/>
      <c r="M992" s="23"/>
      <c r="N992" s="23"/>
      <c r="O992" s="23"/>
      <c r="P992" s="23"/>
      <c r="Q992" s="23"/>
      <c r="R992" s="23"/>
    </row>
    <row r="993" spans="2:18" x14ac:dyDescent="0.35">
      <c r="B993" s="22"/>
      <c r="F993" s="23"/>
      <c r="G993" s="23"/>
      <c r="H993" s="23"/>
      <c r="I993" s="23"/>
      <c r="J993" s="23"/>
      <c r="K993" s="23"/>
      <c r="L993" s="23"/>
      <c r="M993" s="23"/>
      <c r="N993" s="23"/>
      <c r="O993" s="23"/>
      <c r="P993" s="23"/>
      <c r="Q993" s="23"/>
      <c r="R993" s="23"/>
    </row>
    <row r="994" spans="2:18" x14ac:dyDescent="0.35">
      <c r="B994" s="22"/>
      <c r="F994" s="23"/>
      <c r="G994" s="23"/>
      <c r="H994" s="23"/>
      <c r="I994" s="23"/>
      <c r="J994" s="23"/>
      <c r="K994" s="23"/>
      <c r="L994" s="23"/>
      <c r="M994" s="23"/>
      <c r="N994" s="23"/>
      <c r="O994" s="23"/>
      <c r="P994" s="23"/>
      <c r="Q994" s="23"/>
      <c r="R994" s="23"/>
    </row>
    <row r="995" spans="2:18" x14ac:dyDescent="0.35">
      <c r="B995" s="22"/>
      <c r="F995" s="23"/>
      <c r="G995" s="23"/>
      <c r="H995" s="23"/>
      <c r="I995" s="23"/>
      <c r="J995" s="23"/>
      <c r="K995" s="23"/>
      <c r="L995" s="23"/>
      <c r="M995" s="23"/>
      <c r="N995" s="23"/>
      <c r="O995" s="23"/>
      <c r="P995" s="23"/>
      <c r="Q995" s="23"/>
      <c r="R995" s="23"/>
    </row>
    <row r="996" spans="2:18" x14ac:dyDescent="0.35">
      <c r="B996" s="22"/>
      <c r="F996" s="23"/>
      <c r="G996" s="23"/>
      <c r="H996" s="23"/>
      <c r="I996" s="23"/>
      <c r="J996" s="23"/>
      <c r="K996" s="23"/>
      <c r="L996" s="23"/>
      <c r="M996" s="23"/>
      <c r="N996" s="23"/>
      <c r="O996" s="23"/>
      <c r="P996" s="23"/>
      <c r="Q996" s="23"/>
      <c r="R996" s="23"/>
    </row>
    <row r="997" spans="2:18" x14ac:dyDescent="0.35">
      <c r="B997" s="22"/>
      <c r="F997" s="23"/>
      <c r="G997" s="23"/>
      <c r="H997" s="23"/>
      <c r="I997" s="23"/>
      <c r="J997" s="23"/>
      <c r="K997" s="23"/>
      <c r="L997" s="23"/>
      <c r="M997" s="23"/>
      <c r="N997" s="23"/>
      <c r="O997" s="23"/>
      <c r="P997" s="23"/>
      <c r="Q997" s="23"/>
      <c r="R997" s="23"/>
    </row>
    <row r="998" spans="2:18" x14ac:dyDescent="0.35">
      <c r="B998" s="22"/>
      <c r="F998" s="23"/>
      <c r="G998" s="23"/>
      <c r="H998" s="23"/>
      <c r="I998" s="23"/>
      <c r="J998" s="23"/>
      <c r="K998" s="23"/>
      <c r="L998" s="23"/>
      <c r="M998" s="23"/>
      <c r="N998" s="23"/>
      <c r="O998" s="23"/>
      <c r="P998" s="23"/>
      <c r="Q998" s="23"/>
      <c r="R998" s="23"/>
    </row>
    <row r="999" spans="2:18" x14ac:dyDescent="0.35">
      <c r="B999" s="22"/>
      <c r="F999" s="23"/>
      <c r="G999" s="23"/>
      <c r="H999" s="23"/>
      <c r="I999" s="23"/>
      <c r="J999" s="23"/>
      <c r="K999" s="23"/>
      <c r="L999" s="23"/>
      <c r="M999" s="23"/>
      <c r="N999" s="23"/>
      <c r="O999" s="23"/>
      <c r="P999" s="23"/>
      <c r="Q999" s="23"/>
      <c r="R999" s="23"/>
    </row>
    <row r="1000" spans="2:18" x14ac:dyDescent="0.35">
      <c r="B1000" s="22"/>
      <c r="F1000" s="23"/>
      <c r="G1000" s="23"/>
      <c r="H1000" s="23"/>
      <c r="I1000" s="23"/>
      <c r="J1000" s="23"/>
      <c r="K1000" s="23"/>
      <c r="L1000" s="23"/>
      <c r="M1000" s="23"/>
      <c r="N1000" s="23"/>
      <c r="O1000" s="23"/>
      <c r="P1000" s="23"/>
      <c r="Q1000" s="23"/>
      <c r="R1000" s="23"/>
    </row>
    <row r="1001" spans="2:18" x14ac:dyDescent="0.35">
      <c r="B1001" s="22"/>
      <c r="F1001" s="23"/>
      <c r="G1001" s="23"/>
      <c r="H1001" s="23"/>
      <c r="I1001" s="23"/>
      <c r="J1001" s="23"/>
      <c r="K1001" s="23"/>
      <c r="L1001" s="23"/>
      <c r="M1001" s="23"/>
      <c r="N1001" s="23"/>
      <c r="O1001" s="23"/>
      <c r="P1001" s="23"/>
      <c r="Q1001" s="23"/>
      <c r="R1001" s="23"/>
    </row>
    <row r="1002" spans="2:18" x14ac:dyDescent="0.35">
      <c r="B1002" s="22"/>
      <c r="F1002" s="23"/>
      <c r="G1002" s="23"/>
      <c r="H1002" s="23"/>
      <c r="I1002" s="23"/>
      <c r="J1002" s="23"/>
      <c r="K1002" s="23"/>
      <c r="L1002" s="23"/>
      <c r="M1002" s="23"/>
      <c r="N1002" s="23"/>
      <c r="O1002" s="23"/>
      <c r="P1002" s="23"/>
      <c r="Q1002" s="23"/>
      <c r="R1002" s="23"/>
    </row>
    <row r="1003" spans="2:18" x14ac:dyDescent="0.35">
      <c r="B1003" s="22"/>
      <c r="F1003" s="23"/>
      <c r="G1003" s="23"/>
      <c r="H1003" s="23"/>
      <c r="I1003" s="23"/>
      <c r="J1003" s="23"/>
      <c r="K1003" s="23"/>
      <c r="L1003" s="23"/>
      <c r="M1003" s="23"/>
      <c r="N1003" s="23"/>
      <c r="O1003" s="23"/>
      <c r="P1003" s="23"/>
      <c r="Q1003" s="23"/>
      <c r="R1003" s="23"/>
    </row>
    <row r="1004" spans="2:18" x14ac:dyDescent="0.35">
      <c r="B1004" s="22"/>
      <c r="F1004" s="23"/>
      <c r="G1004" s="23"/>
      <c r="H1004" s="23"/>
      <c r="I1004" s="23"/>
      <c r="J1004" s="23"/>
      <c r="K1004" s="23"/>
      <c r="L1004" s="23"/>
      <c r="M1004" s="23"/>
      <c r="N1004" s="23"/>
      <c r="O1004" s="23"/>
      <c r="P1004" s="23"/>
      <c r="Q1004" s="23"/>
      <c r="R1004" s="23"/>
    </row>
    <row r="1005" spans="2:18" x14ac:dyDescent="0.35">
      <c r="B1005" s="22"/>
      <c r="F1005" s="23"/>
      <c r="G1005" s="23"/>
      <c r="H1005" s="23"/>
      <c r="I1005" s="23"/>
      <c r="J1005" s="23"/>
      <c r="K1005" s="23"/>
      <c r="L1005" s="23"/>
      <c r="M1005" s="23"/>
      <c r="N1005" s="23"/>
      <c r="O1005" s="23"/>
      <c r="P1005" s="23"/>
      <c r="Q1005" s="23"/>
      <c r="R1005" s="23"/>
    </row>
    <row r="1006" spans="2:18" x14ac:dyDescent="0.35">
      <c r="B1006" s="22"/>
      <c r="F1006" s="23"/>
      <c r="G1006" s="23"/>
      <c r="H1006" s="23"/>
      <c r="I1006" s="23"/>
      <c r="J1006" s="23"/>
      <c r="K1006" s="23"/>
      <c r="L1006" s="23"/>
      <c r="M1006" s="23"/>
      <c r="N1006" s="23"/>
      <c r="O1006" s="23"/>
      <c r="P1006" s="23"/>
      <c r="Q1006" s="23"/>
      <c r="R1006" s="23"/>
    </row>
  </sheetData>
  <phoneticPr fontId="8" type="noConversion"/>
  <conditionalFormatting sqref="AE7:AE42 S43:S1006">
    <cfRule type="containsText" dxfId="67" priority="1" operator="containsText" text="Review"/>
  </conditionalFormatting>
  <pageMargins left="0.25" right="0.25" top="0.25" bottom="0.25" header="0.3" footer="0.3"/>
  <pageSetup paperSize="8" scale="71" orientation="landscape"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138"/>
  <sheetViews>
    <sheetView showGridLines="0" zoomScale="90" zoomScaleNormal="90" workbookViewId="0">
      <pane xSplit="1" ySplit="6" topLeftCell="B7" activePane="bottomRight" state="frozen"/>
      <selection pane="topRight"/>
      <selection pane="bottomLeft"/>
      <selection pane="bottomRight"/>
    </sheetView>
  </sheetViews>
  <sheetFormatPr defaultRowHeight="14.5" x14ac:dyDescent="0.35"/>
  <cols>
    <col min="1" max="21" width="13" customWidth="1"/>
  </cols>
  <sheetData>
    <row r="1" spans="1:23" ht="20" customHeight="1" x14ac:dyDescent="0.35">
      <c r="A1" s="1"/>
      <c r="B1" s="1"/>
      <c r="C1" s="1"/>
      <c r="D1" s="1"/>
      <c r="E1" s="1"/>
      <c r="F1" s="1"/>
      <c r="G1" s="1"/>
      <c r="H1" s="1"/>
      <c r="I1" s="1"/>
      <c r="J1" s="1"/>
      <c r="K1" s="1"/>
      <c r="L1" s="1"/>
      <c r="M1" s="1"/>
      <c r="N1" s="1"/>
      <c r="O1" s="1"/>
      <c r="P1" s="1"/>
      <c r="Q1" s="1"/>
      <c r="R1" s="1"/>
      <c r="S1" s="1"/>
      <c r="T1" s="1"/>
      <c r="U1" s="1"/>
    </row>
    <row r="2" spans="1:23" ht="20" customHeight="1" x14ac:dyDescent="0.35">
      <c r="A2" s="2" t="s">
        <v>134</v>
      </c>
      <c r="B2" s="1"/>
      <c r="C2" s="1"/>
      <c r="D2" s="1"/>
      <c r="E2" s="1"/>
      <c r="F2" s="1"/>
      <c r="G2" s="1"/>
      <c r="H2" s="1"/>
      <c r="I2" s="1"/>
      <c r="J2" s="1"/>
      <c r="K2" s="1"/>
      <c r="L2" s="1"/>
      <c r="M2" s="1"/>
      <c r="N2" s="1"/>
      <c r="O2" s="1"/>
      <c r="P2" s="1"/>
      <c r="Q2" s="1"/>
      <c r="R2" s="1"/>
      <c r="S2" s="1"/>
      <c r="T2" s="1"/>
      <c r="U2" s="1"/>
    </row>
    <row r="3" spans="1:23" ht="20" customHeight="1" x14ac:dyDescent="0.35">
      <c r="A3" s="3"/>
      <c r="B3" s="3"/>
      <c r="C3" s="3"/>
      <c r="D3" s="3"/>
      <c r="E3" s="3"/>
      <c r="F3" s="3"/>
      <c r="G3" s="3"/>
      <c r="H3" s="3"/>
      <c r="I3" s="3"/>
      <c r="J3" s="3"/>
      <c r="K3" s="3"/>
      <c r="L3" s="3"/>
      <c r="M3" s="3"/>
      <c r="N3" s="3"/>
      <c r="O3" s="3"/>
      <c r="P3" s="3"/>
      <c r="Q3" s="3"/>
      <c r="R3" s="3"/>
      <c r="S3" s="3"/>
      <c r="T3" s="3"/>
      <c r="U3" s="1"/>
    </row>
    <row r="4" spans="1:23" ht="20" customHeight="1" x14ac:dyDescent="0.35">
      <c r="A4" s="5" t="s">
        <v>135</v>
      </c>
      <c r="B4" s="1"/>
      <c r="C4" s="1"/>
      <c r="D4" s="1"/>
      <c r="E4" s="1"/>
      <c r="F4" s="1"/>
      <c r="G4" s="1"/>
      <c r="H4" s="1"/>
      <c r="I4" s="1"/>
      <c r="J4" s="1"/>
      <c r="K4" s="1"/>
      <c r="L4" s="1"/>
      <c r="M4" s="1"/>
      <c r="N4" s="1"/>
      <c r="O4" s="1"/>
      <c r="P4" s="1"/>
      <c r="Q4" s="1"/>
      <c r="R4" s="1"/>
      <c r="S4" s="1"/>
      <c r="T4" s="1"/>
      <c r="U4" s="1"/>
    </row>
    <row r="5" spans="1:23" ht="20" customHeight="1" x14ac:dyDescent="0.35">
      <c r="A5" s="1"/>
      <c r="B5" s="1"/>
      <c r="C5" s="1"/>
      <c r="D5" s="1"/>
      <c r="E5" s="1"/>
      <c r="F5" s="1"/>
      <c r="G5" s="1"/>
      <c r="H5" s="1"/>
      <c r="I5" s="1"/>
      <c r="J5" s="1"/>
      <c r="K5" s="1"/>
      <c r="L5" s="1"/>
      <c r="M5" s="1"/>
      <c r="N5" s="1"/>
      <c r="O5" s="1"/>
      <c r="P5" s="1"/>
      <c r="Q5" s="1"/>
      <c r="R5" s="1"/>
      <c r="S5" s="1"/>
      <c r="T5" s="1"/>
      <c r="U5" s="1"/>
    </row>
    <row r="6" spans="1:23" ht="29" customHeight="1" x14ac:dyDescent="0.35">
      <c r="A6" s="6" t="s">
        <v>72</v>
      </c>
      <c r="B6" s="6" t="s">
        <v>136</v>
      </c>
      <c r="C6" s="6" t="s">
        <v>137</v>
      </c>
      <c r="D6" s="6" t="s">
        <v>138</v>
      </c>
      <c r="E6" s="6" t="s">
        <v>139</v>
      </c>
      <c r="F6" s="6" t="s">
        <v>140</v>
      </c>
      <c r="G6" s="6" t="s">
        <v>141</v>
      </c>
      <c r="H6" s="6" t="s">
        <v>10</v>
      </c>
      <c r="I6" s="6" t="s">
        <v>64</v>
      </c>
      <c r="J6" s="6" t="s">
        <v>142</v>
      </c>
      <c r="K6" s="6" t="s">
        <v>143</v>
      </c>
      <c r="L6" s="6" t="s">
        <v>144</v>
      </c>
      <c r="M6" s="6" t="s">
        <v>145</v>
      </c>
      <c r="N6" s="6" t="s">
        <v>146</v>
      </c>
      <c r="O6" s="6" t="s">
        <v>41</v>
      </c>
      <c r="P6" s="6" t="s">
        <v>40</v>
      </c>
      <c r="Q6" s="6" t="s">
        <v>147</v>
      </c>
      <c r="R6" s="6" t="s">
        <v>148</v>
      </c>
      <c r="S6" s="6" t="s">
        <v>149</v>
      </c>
      <c r="T6" s="6" t="s">
        <v>150</v>
      </c>
      <c r="U6" s="6" t="s">
        <v>151</v>
      </c>
      <c r="V6" s="9" t="s">
        <v>152</v>
      </c>
      <c r="W6" s="9" t="s">
        <v>153</v>
      </c>
    </row>
    <row r="7" spans="1:23" ht="20" customHeight="1" x14ac:dyDescent="0.35">
      <c r="A7" s="7">
        <v>46104</v>
      </c>
      <c r="B7" s="1">
        <f>SUMIFS(Ledger!$J$7:$J$1006,Ledger!$C$7:$C$1006,Portfolio!$C$5,Ledger!$E$7:$E$1006,History!B$6,Ledger!$B$7:$B$1006,"&lt;="&amp;$A7)</f>
        <v>80</v>
      </c>
      <c r="C7" s="1">
        <f>SUMIFS(Ledger!$J$7:$J$1006,Ledger!$C$7:$C$1006,Portfolio!$C$5,Ledger!$E$7:$E$1006,History!C$6,Ledger!$B$7:$B$1006,"&lt;="&amp;$A7)</f>
        <v>100</v>
      </c>
      <c r="D7" s="1">
        <f>SUMIFS(Ledger!$J$7:$J$1006,Ledger!$C$7:$C$1006,Portfolio!$C$5,Ledger!$E$7:$E$1006,History!D$6,Ledger!$B$7:$B$1006,"&lt;="&amp;$A7)</f>
        <v>70</v>
      </c>
      <c r="E7" s="1">
        <f>SUMIFS(Ledger!$J$7:$J$1006,Ledger!$C$7:$C$1006,Portfolio!$C$5,Ledger!$E$7:$E$1006,History!E$6,Ledger!$B$7:$B$1006,"&lt;="&amp;$A7)</f>
        <v>180</v>
      </c>
      <c r="F7" s="1">
        <f>SUMIFS(Ledger!$J$7:$J$1006,Ledger!$C$7:$C$1006,Portfolio!$C$5,Ledger!$E$7:$E$1006,History!F$6,Ledger!$B$7:$B$1006,"&lt;="&amp;$A7)</f>
        <v>400</v>
      </c>
      <c r="G7" s="1">
        <f>SUMIFS(Ledger!$J$7:$J$1006,Ledger!$C$7:$C$1006,Portfolio!$C$5,Ledger!$E$7:$E$1006,History!G$6,Ledger!$B$7:$B$1006,"&lt;="&amp;$A7)</f>
        <v>600</v>
      </c>
      <c r="H7" s="8">
        <f>SUMIFS(Ledger!$K$7:$K$1006,Ledger!$C$7:$C$1006,Portfolio!$C$5,Ledger!$B$7:$B$1006,"&lt;="&amp;$A7)</f>
        <v>38920</v>
      </c>
      <c r="I7" s="8">
        <f>IF(S7=6,SUMPRODUCT(B7:G7,History!B7:G7),NA())</f>
        <v>460900</v>
      </c>
      <c r="J7" s="8">
        <f t="shared" ref="J7:J38" si="0">SUM(H7:I7)</f>
        <v>499820</v>
      </c>
      <c r="K7" s="8">
        <f>SUMIFS(Ledger!$L$7:$L$1006,Ledger!$C$7:$C$1006,Portfolio!$C$5,Ledger!$B$7:$B$1006,$A7)</f>
        <v>500000</v>
      </c>
      <c r="L7" s="10">
        <f>IF(A7&lt;Holdings!$G$24,"",IF(K7&gt;0,J7/K7-1,NA()))</f>
        <v>-3.6000000000002697E-4</v>
      </c>
      <c r="M7" s="11">
        <f>IF(A7&lt;Holdings!$G$24,"",100*(1+L7))</f>
        <v>99.963999999999999</v>
      </c>
      <c r="N7" s="11">
        <f>IF(A7&lt;Holdings!$G$24,"",MAX(100,M7))</f>
        <v>100</v>
      </c>
      <c r="O7" s="10">
        <f>IF(A7&lt;Holdings!$G$24,"",M7/N7-1)</f>
        <v>-3.6000000000002697E-4</v>
      </c>
      <c r="P7" s="11">
        <f>IF(A7&lt;Holdings!$G$24,"",IF(History!H7&gt;0,History!H7/INDEX(History!$H$7:$H$136,MATCH(Holdings!$G$24,History!$A$7:$A$136,0))*100,NA()))</f>
        <v>100</v>
      </c>
      <c r="Q7" s="10" t="str">
        <f>""</f>
        <v/>
      </c>
      <c r="R7" s="8">
        <f>IF(A7&gt;Portfolio!$J$5,0,-K7+IF(A7=Portfolio!$J$5,J7,0))</f>
        <v>-500000</v>
      </c>
      <c r="S7" s="1">
        <f>COUNTIFS(History!B7:G7,"&gt;0")</f>
        <v>6</v>
      </c>
      <c r="T7" s="1" t="str">
        <f t="shared" ref="T7:T38" si="1">TEXT(A7,"dd-mmm")</f>
        <v>23-Mar</v>
      </c>
      <c r="U7" s="10">
        <f>IF(AND(A7&lt;=Portfolio!$J$5,A7&gt;=Holdings!$G$24),O7,0)</f>
        <v>-3.6000000000002697E-4</v>
      </c>
      <c r="V7" s="12" t="str">
        <f>IF(AND(A7&gt;Holdings!$G$24,A7&lt;=Portfolio!$J$5),L7,"")</f>
        <v/>
      </c>
      <c r="W7" s="12" t="str">
        <f>IF(AND(A7&gt;Holdings!$G$24,A7&lt;=Portfolio!$J$5),Q7,"")</f>
        <v/>
      </c>
    </row>
    <row r="8" spans="1:23" ht="20" customHeight="1" x14ac:dyDescent="0.35">
      <c r="A8" s="7">
        <v>46105</v>
      </c>
      <c r="B8" s="1">
        <f>SUMIFS(Ledger!$J$7:$J$1006,Ledger!$C$7:$C$1006,Portfolio!$C$5,Ledger!$E$7:$E$1006,History!B$6,Ledger!$B$7:$B$1006,"&lt;="&amp;$A8)</f>
        <v>80</v>
      </c>
      <c r="C8" s="1">
        <f>SUMIFS(Ledger!$J$7:$J$1006,Ledger!$C$7:$C$1006,Portfolio!$C$5,Ledger!$E$7:$E$1006,History!C$6,Ledger!$B$7:$B$1006,"&lt;="&amp;$A8)</f>
        <v>100</v>
      </c>
      <c r="D8" s="1">
        <f>SUMIFS(Ledger!$J$7:$J$1006,Ledger!$C$7:$C$1006,Portfolio!$C$5,Ledger!$E$7:$E$1006,History!D$6,Ledger!$B$7:$B$1006,"&lt;="&amp;$A8)</f>
        <v>70</v>
      </c>
      <c r="E8" s="1">
        <f>SUMIFS(Ledger!$J$7:$J$1006,Ledger!$C$7:$C$1006,Portfolio!$C$5,Ledger!$E$7:$E$1006,History!E$6,Ledger!$B$7:$B$1006,"&lt;="&amp;$A8)</f>
        <v>180</v>
      </c>
      <c r="F8" s="1">
        <f>SUMIFS(Ledger!$J$7:$J$1006,Ledger!$C$7:$C$1006,Portfolio!$C$5,Ledger!$E$7:$E$1006,History!F$6,Ledger!$B$7:$B$1006,"&lt;="&amp;$A8)</f>
        <v>400</v>
      </c>
      <c r="G8" s="1">
        <f>SUMIFS(Ledger!$J$7:$J$1006,Ledger!$C$7:$C$1006,Portfolio!$C$5,Ledger!$E$7:$E$1006,History!G$6,Ledger!$B$7:$B$1006,"&lt;="&amp;$A8)</f>
        <v>600</v>
      </c>
      <c r="H8" s="8">
        <f>SUMIFS(Ledger!$K$7:$K$1006,Ledger!$C$7:$C$1006,Portfolio!$C$5,Ledger!$B$7:$B$1006,"&lt;="&amp;$A8)</f>
        <v>38920</v>
      </c>
      <c r="I8" s="8">
        <f>IF(S8=6,SUMPRODUCT(B8:G8,History!B8:G8),NA())</f>
        <v>464944.55399999995</v>
      </c>
      <c r="J8" s="8">
        <f t="shared" si="0"/>
        <v>503864.55399999995</v>
      </c>
      <c r="K8" s="8">
        <f>SUMIFS(Ledger!$L$7:$L$1006,Ledger!$C$7:$C$1006,Portfolio!$C$5,Ledger!$B$7:$B$1006,$A8)</f>
        <v>0</v>
      </c>
      <c r="L8" s="10">
        <f>IF(A8&lt;Holdings!$G$24,"",IF(A8=Holdings!$G$24,IF(K8&gt;0,J8/K8-1,NA()),IF(J7&gt;0,(J8-K8)/J7-1,NA())))</f>
        <v>8.0920211276058751E-3</v>
      </c>
      <c r="M8" s="11">
        <f>IF(A8&lt;Holdings!$G$24,"",IF(A8=Holdings!$G$24,100*(1+L8),M7*(1+L8)))</f>
        <v>100.77291079999999</v>
      </c>
      <c r="N8" s="11">
        <f>IF(A8&lt;Holdings!$G$24,"",IF(A8=Holdings!$G$24,MAX(100,M8),MAX(N7,M8)))</f>
        <v>100.77291079999999</v>
      </c>
      <c r="O8" s="10">
        <f>IF(A8&lt;Holdings!$G$24,"",M8/N8-1)</f>
        <v>0</v>
      </c>
      <c r="P8" s="11">
        <f>IF(A8&lt;Holdings!$G$24,"",IF(History!H8&gt;0,History!H8/INDEX(History!$H$7:$H$136,MATCH(Holdings!$G$24,History!$A$7:$A$136,0))*100,NA()))</f>
        <v>100.72089929999999</v>
      </c>
      <c r="Q8" s="10">
        <f>IF(A8&lt;=Holdings!$G$24,"",P8/P7-1)</f>
        <v>7.2089929999998859E-3</v>
      </c>
      <c r="R8" s="8">
        <f>IF(A8&gt;Portfolio!$J$5,0,-K8+IF(A8=Portfolio!$J$5,J8,0))</f>
        <v>0</v>
      </c>
      <c r="S8" s="1">
        <f>COUNTIFS(History!B8:G8,"&gt;0")</f>
        <v>6</v>
      </c>
      <c r="T8" s="1" t="str">
        <f t="shared" si="1"/>
        <v>24-Mar</v>
      </c>
      <c r="U8" s="10">
        <f>IF(AND(A8&lt;=Portfolio!$J$5,A8&gt;=Holdings!$G$24),O8,0)</f>
        <v>0</v>
      </c>
      <c r="V8" s="12">
        <f>IF(AND(A8&gt;Holdings!$G$24,A8&lt;=Portfolio!$J$5),L8,"")</f>
        <v>8.0920211276058751E-3</v>
      </c>
      <c r="W8" s="12">
        <f>IF(AND(A8&gt;Holdings!$G$24,A8&lt;=Portfolio!$J$5),Q8,"")</f>
        <v>7.2089929999998859E-3</v>
      </c>
    </row>
    <row r="9" spans="1:23" ht="20" customHeight="1" x14ac:dyDescent="0.35">
      <c r="A9" s="7">
        <v>46106</v>
      </c>
      <c r="B9" s="1">
        <f>SUMIFS(Ledger!$J$7:$J$1006,Ledger!$C$7:$C$1006,Portfolio!$C$5,Ledger!$E$7:$E$1006,History!B$6,Ledger!$B$7:$B$1006,"&lt;="&amp;$A9)</f>
        <v>80</v>
      </c>
      <c r="C9" s="1">
        <f>SUMIFS(Ledger!$J$7:$J$1006,Ledger!$C$7:$C$1006,Portfolio!$C$5,Ledger!$E$7:$E$1006,History!C$6,Ledger!$B$7:$B$1006,"&lt;="&amp;$A9)</f>
        <v>100</v>
      </c>
      <c r="D9" s="1">
        <f>SUMIFS(Ledger!$J$7:$J$1006,Ledger!$C$7:$C$1006,Portfolio!$C$5,Ledger!$E$7:$E$1006,History!D$6,Ledger!$B$7:$B$1006,"&lt;="&amp;$A9)</f>
        <v>70</v>
      </c>
      <c r="E9" s="1">
        <f>SUMIFS(Ledger!$J$7:$J$1006,Ledger!$C$7:$C$1006,Portfolio!$C$5,Ledger!$E$7:$E$1006,History!E$6,Ledger!$B$7:$B$1006,"&lt;="&amp;$A9)</f>
        <v>180</v>
      </c>
      <c r="F9" s="1">
        <f>SUMIFS(Ledger!$J$7:$J$1006,Ledger!$C$7:$C$1006,Portfolio!$C$5,Ledger!$E$7:$E$1006,History!F$6,Ledger!$B$7:$B$1006,"&lt;="&amp;$A9)</f>
        <v>400</v>
      </c>
      <c r="G9" s="1">
        <f>SUMIFS(Ledger!$J$7:$J$1006,Ledger!$C$7:$C$1006,Portfolio!$C$5,Ledger!$E$7:$E$1006,History!G$6,Ledger!$B$7:$B$1006,"&lt;="&amp;$A9)</f>
        <v>600</v>
      </c>
      <c r="H9" s="8">
        <f>SUMIFS(Ledger!$K$7:$K$1006,Ledger!$C$7:$C$1006,Portfolio!$C$5,Ledger!$B$7:$B$1006,"&lt;="&amp;$A9)</f>
        <v>38920</v>
      </c>
      <c r="I9" s="8">
        <f>IF(S9=6,SUMPRODUCT(B9:G9,History!B9:G9),NA())</f>
        <v>463232.745</v>
      </c>
      <c r="J9" s="8">
        <f t="shared" si="0"/>
        <v>502152.745</v>
      </c>
      <c r="K9" s="8">
        <f>SUMIFS(Ledger!$L$7:$L$1006,Ledger!$C$7:$C$1006,Portfolio!$C$5,Ledger!$B$7:$B$1006,$A9)</f>
        <v>0</v>
      </c>
      <c r="L9" s="10">
        <f>IF(A9&lt;Holdings!$G$24,"",IF(A9=Holdings!$G$24,IF(K9&gt;0,J9/K9-1,NA()),IF(J8&gt;0,(J9-K9)/J8-1,NA())))</f>
        <v>-3.397359441958181E-3</v>
      </c>
      <c r="M9" s="11">
        <f>IF(A9&lt;Holdings!$G$24,"",IF(A9=Holdings!$G$24,100*(1+L9),M8*(1+L9)))</f>
        <v>100.430549</v>
      </c>
      <c r="N9" s="11">
        <f>IF(A9&lt;Holdings!$G$24,"",IF(A9=Holdings!$G$24,MAX(100,M9),MAX(N8,M9)))</f>
        <v>100.77291079999999</v>
      </c>
      <c r="O9" s="10">
        <f>IF(A9&lt;Holdings!$G$24,"",M9/N9-1)</f>
        <v>-3.397359441958181E-3</v>
      </c>
      <c r="P9" s="11">
        <f>IF(A9&lt;Holdings!$G$24,"",IF(History!H9&gt;0,History!H9/INDEX(History!$H$7:$H$136,MATCH(Holdings!$G$24,History!$A$7:$A$136,0))*100,NA()))</f>
        <v>100.8580923</v>
      </c>
      <c r="Q9" s="10">
        <f>IF(A9&lt;=Holdings!$G$24,"",P9/P8-1)</f>
        <v>1.3621105545471579E-3</v>
      </c>
      <c r="R9" s="8">
        <f>IF(A9&gt;Portfolio!$J$5,0,-K9+IF(A9=Portfolio!$J$5,J9,0))</f>
        <v>0</v>
      </c>
      <c r="S9" s="1">
        <f>COUNTIFS(History!B9:G9,"&gt;0")</f>
        <v>6</v>
      </c>
      <c r="T9" s="1" t="str">
        <f t="shared" si="1"/>
        <v>25-Mar</v>
      </c>
      <c r="U9" s="10">
        <f>IF(AND(A9&lt;=Portfolio!$J$5,A9&gt;=Holdings!$G$24),O9,0)</f>
        <v>-3.397359441958181E-3</v>
      </c>
      <c r="V9" s="12">
        <f>IF(AND(A9&gt;Holdings!$G$24,A9&lt;=Portfolio!$J$5),L9,"")</f>
        <v>-3.397359441958181E-3</v>
      </c>
      <c r="W9" s="12">
        <f>IF(AND(A9&gt;Holdings!$G$24,A9&lt;=Portfolio!$J$5),Q9,"")</f>
        <v>1.3621105545471579E-3</v>
      </c>
    </row>
    <row r="10" spans="1:23" ht="20" customHeight="1" x14ac:dyDescent="0.35">
      <c r="A10" s="7">
        <v>46107</v>
      </c>
      <c r="B10" s="1">
        <f>SUMIFS(Ledger!$J$7:$J$1006,Ledger!$C$7:$C$1006,Portfolio!$C$5,Ledger!$E$7:$E$1006,History!B$6,Ledger!$B$7:$B$1006,"&lt;="&amp;$A10)</f>
        <v>80</v>
      </c>
      <c r="C10" s="1">
        <f>SUMIFS(Ledger!$J$7:$J$1006,Ledger!$C$7:$C$1006,Portfolio!$C$5,Ledger!$E$7:$E$1006,History!C$6,Ledger!$B$7:$B$1006,"&lt;="&amp;$A10)</f>
        <v>100</v>
      </c>
      <c r="D10" s="1">
        <f>SUMIFS(Ledger!$J$7:$J$1006,Ledger!$C$7:$C$1006,Portfolio!$C$5,Ledger!$E$7:$E$1006,History!D$6,Ledger!$B$7:$B$1006,"&lt;="&amp;$A10)</f>
        <v>70</v>
      </c>
      <c r="E10" s="1">
        <f>SUMIFS(Ledger!$J$7:$J$1006,Ledger!$C$7:$C$1006,Portfolio!$C$5,Ledger!$E$7:$E$1006,History!E$6,Ledger!$B$7:$B$1006,"&lt;="&amp;$A10)</f>
        <v>180</v>
      </c>
      <c r="F10" s="1">
        <f>SUMIFS(Ledger!$J$7:$J$1006,Ledger!$C$7:$C$1006,Portfolio!$C$5,Ledger!$E$7:$E$1006,History!F$6,Ledger!$B$7:$B$1006,"&lt;="&amp;$A10)</f>
        <v>400</v>
      </c>
      <c r="G10" s="1">
        <f>SUMIFS(Ledger!$J$7:$J$1006,Ledger!$C$7:$C$1006,Portfolio!$C$5,Ledger!$E$7:$E$1006,History!G$6,Ledger!$B$7:$B$1006,"&lt;="&amp;$A10)</f>
        <v>600</v>
      </c>
      <c r="H10" s="8">
        <f>SUMIFS(Ledger!$K$7:$K$1006,Ledger!$C$7:$C$1006,Portfolio!$C$5,Ledger!$B$7:$B$1006,"&lt;="&amp;$A10)</f>
        <v>38920</v>
      </c>
      <c r="I10" s="8">
        <f>IF(S10=6,SUMPRODUCT(B10:G10,History!B10:G10),NA())</f>
        <v>466907.25699999998</v>
      </c>
      <c r="J10" s="8">
        <f t="shared" si="0"/>
        <v>505827.25699999998</v>
      </c>
      <c r="K10" s="8">
        <f>SUMIFS(Ledger!$L$7:$L$1006,Ledger!$C$7:$C$1006,Portfolio!$C$5,Ledger!$B$7:$B$1006,$A10)</f>
        <v>0</v>
      </c>
      <c r="L10" s="10">
        <f>IF(A10&lt;Holdings!$G$24,"",IF(A10=Holdings!$G$24,IF(K10&gt;0,J10/K10-1,NA()),IF(J9&gt;0,(J10-K10)/J9-1,NA())))</f>
        <v>7.3175184972851248E-3</v>
      </c>
      <c r="M10" s="11">
        <f>IF(A10&lt;Holdings!$G$24,"",IF(A10=Holdings!$G$24,100*(1+L10),M9*(1+L10)))</f>
        <v>101.16545139999999</v>
      </c>
      <c r="N10" s="11">
        <f>IF(A10&lt;Holdings!$G$24,"",IF(A10=Holdings!$G$24,MAX(100,M10),MAX(N9,M10)))</f>
        <v>101.16545139999999</v>
      </c>
      <c r="O10" s="10">
        <f>IF(A10&lt;Holdings!$G$24,"",M10/N10-1)</f>
        <v>0</v>
      </c>
      <c r="P10" s="11">
        <f>IF(A10&lt;Holdings!$G$24,"",IF(History!H10&gt;0,History!H10/INDEX(History!$H$7:$H$136,MATCH(Holdings!$G$24,History!$A$7:$A$136,0))*100,NA()))</f>
        <v>101.6311462</v>
      </c>
      <c r="Q10" s="10">
        <f>IF(A10&lt;=Holdings!$G$24,"",P10/P9-1)</f>
        <v>7.6647682141417484E-3</v>
      </c>
      <c r="R10" s="8">
        <f>IF(A10&gt;Portfolio!$J$5,0,-K10+IF(A10=Portfolio!$J$5,J10,0))</f>
        <v>0</v>
      </c>
      <c r="S10" s="1">
        <f>COUNTIFS(History!B10:G10,"&gt;0")</f>
        <v>6</v>
      </c>
      <c r="T10" s="1" t="str">
        <f t="shared" si="1"/>
        <v>26-Mar</v>
      </c>
      <c r="U10" s="10">
        <f>IF(AND(A10&lt;=Portfolio!$J$5,A10&gt;=Holdings!$G$24),O10,0)</f>
        <v>0</v>
      </c>
      <c r="V10" s="12">
        <f>IF(AND(A10&gt;Holdings!$G$24,A10&lt;=Portfolio!$J$5),L10,"")</f>
        <v>7.3175184972851248E-3</v>
      </c>
      <c r="W10" s="12">
        <f>IF(AND(A10&gt;Holdings!$G$24,A10&lt;=Portfolio!$J$5),Q10,"")</f>
        <v>7.6647682141417484E-3</v>
      </c>
    </row>
    <row r="11" spans="1:23" ht="20" customHeight="1" x14ac:dyDescent="0.35">
      <c r="A11" s="7">
        <v>46108</v>
      </c>
      <c r="B11" s="1">
        <f>SUMIFS(Ledger!$J$7:$J$1006,Ledger!$C$7:$C$1006,Portfolio!$C$5,Ledger!$E$7:$E$1006,History!B$6,Ledger!$B$7:$B$1006,"&lt;="&amp;$A11)</f>
        <v>80</v>
      </c>
      <c r="C11" s="1">
        <f>SUMIFS(Ledger!$J$7:$J$1006,Ledger!$C$7:$C$1006,Portfolio!$C$5,Ledger!$E$7:$E$1006,History!C$6,Ledger!$B$7:$B$1006,"&lt;="&amp;$A11)</f>
        <v>100</v>
      </c>
      <c r="D11" s="1">
        <f>SUMIFS(Ledger!$J$7:$J$1006,Ledger!$C$7:$C$1006,Portfolio!$C$5,Ledger!$E$7:$E$1006,History!D$6,Ledger!$B$7:$B$1006,"&lt;="&amp;$A11)</f>
        <v>70</v>
      </c>
      <c r="E11" s="1">
        <f>SUMIFS(Ledger!$J$7:$J$1006,Ledger!$C$7:$C$1006,Portfolio!$C$5,Ledger!$E$7:$E$1006,History!E$6,Ledger!$B$7:$B$1006,"&lt;="&amp;$A11)</f>
        <v>180</v>
      </c>
      <c r="F11" s="1">
        <f>SUMIFS(Ledger!$J$7:$J$1006,Ledger!$C$7:$C$1006,Portfolio!$C$5,Ledger!$E$7:$E$1006,History!F$6,Ledger!$B$7:$B$1006,"&lt;="&amp;$A11)</f>
        <v>400</v>
      </c>
      <c r="G11" s="1">
        <f>SUMIFS(Ledger!$J$7:$J$1006,Ledger!$C$7:$C$1006,Portfolio!$C$5,Ledger!$E$7:$E$1006,History!G$6,Ledger!$B$7:$B$1006,"&lt;="&amp;$A11)</f>
        <v>600</v>
      </c>
      <c r="H11" s="8">
        <f>SUMIFS(Ledger!$K$7:$K$1006,Ledger!$C$7:$C$1006,Portfolio!$C$5,Ledger!$B$7:$B$1006,"&lt;="&amp;$A11)</f>
        <v>38920</v>
      </c>
      <c r="I11" s="8">
        <f>IF(S11=6,SUMPRODUCT(B11:G11,History!B11:G11),NA())</f>
        <v>467294.75199999998</v>
      </c>
      <c r="J11" s="8">
        <f t="shared" si="0"/>
        <v>506214.75199999998</v>
      </c>
      <c r="K11" s="8">
        <f>SUMIFS(Ledger!$L$7:$L$1006,Ledger!$C$7:$C$1006,Portfolio!$C$5,Ledger!$B$7:$B$1006,$A11)</f>
        <v>0</v>
      </c>
      <c r="L11" s="10">
        <f>IF(A11&lt;Holdings!$G$24,"",IF(A11=Holdings!$G$24,IF(K11&gt;0,J11/K11-1,NA()),IF(J10&gt;0,(J11-K11)/J10-1,NA())))</f>
        <v>7.6606192062134149E-4</v>
      </c>
      <c r="M11" s="11">
        <f>IF(A11&lt;Holdings!$G$24,"",IF(A11=Holdings!$G$24,100*(1+L11),M10*(1+L11)))</f>
        <v>101.2429504</v>
      </c>
      <c r="N11" s="11">
        <f>IF(A11&lt;Holdings!$G$24,"",IF(A11=Holdings!$G$24,MAX(100,M11),MAX(N10,M11)))</f>
        <v>101.2429504</v>
      </c>
      <c r="O11" s="10">
        <f>IF(A11&lt;Holdings!$G$24,"",M11/N11-1)</f>
        <v>0</v>
      </c>
      <c r="P11" s="11">
        <f>IF(A11&lt;Holdings!$G$24,"",IF(History!H11&gt;0,History!H11/INDEX(History!$H$7:$H$136,MATCH(Holdings!$G$24,History!$A$7:$A$136,0))*100,NA()))</f>
        <v>101.39547570000001</v>
      </c>
      <c r="Q11" s="10">
        <f>IF(A11&lt;=Holdings!$G$24,"",P11/P10-1)</f>
        <v>-2.3188806661318395E-3</v>
      </c>
      <c r="R11" s="8">
        <f>IF(A11&gt;Portfolio!$J$5,0,-K11+IF(A11=Portfolio!$J$5,J11,0))</f>
        <v>0</v>
      </c>
      <c r="S11" s="1">
        <f>COUNTIFS(History!B11:G11,"&gt;0")</f>
        <v>6</v>
      </c>
      <c r="T11" s="1" t="str">
        <f t="shared" si="1"/>
        <v>27-Mar</v>
      </c>
      <c r="U11" s="10">
        <f>IF(AND(A11&lt;=Portfolio!$J$5,A11&gt;=Holdings!$G$24),O11,0)</f>
        <v>0</v>
      </c>
      <c r="V11" s="12">
        <f>IF(AND(A11&gt;Holdings!$G$24,A11&lt;=Portfolio!$J$5),L11,"")</f>
        <v>7.6606192062134149E-4</v>
      </c>
      <c r="W11" s="12">
        <f>IF(AND(A11&gt;Holdings!$G$24,A11&lt;=Portfolio!$J$5),Q11,"")</f>
        <v>-2.3188806661318395E-3</v>
      </c>
    </row>
    <row r="12" spans="1:23" ht="20" customHeight="1" x14ac:dyDescent="0.35">
      <c r="A12" s="7">
        <v>46111</v>
      </c>
      <c r="B12" s="1">
        <f>SUMIFS(Ledger!$J$7:$J$1006,Ledger!$C$7:$C$1006,Portfolio!$C$5,Ledger!$E$7:$E$1006,History!B$6,Ledger!$B$7:$B$1006,"&lt;="&amp;$A12)</f>
        <v>80</v>
      </c>
      <c r="C12" s="1">
        <f>SUMIFS(Ledger!$J$7:$J$1006,Ledger!$C$7:$C$1006,Portfolio!$C$5,Ledger!$E$7:$E$1006,History!C$6,Ledger!$B$7:$B$1006,"&lt;="&amp;$A12)</f>
        <v>100</v>
      </c>
      <c r="D12" s="1">
        <f>SUMIFS(Ledger!$J$7:$J$1006,Ledger!$C$7:$C$1006,Portfolio!$C$5,Ledger!$E$7:$E$1006,History!D$6,Ledger!$B$7:$B$1006,"&lt;="&amp;$A12)</f>
        <v>70</v>
      </c>
      <c r="E12" s="1">
        <f>SUMIFS(Ledger!$J$7:$J$1006,Ledger!$C$7:$C$1006,Portfolio!$C$5,Ledger!$E$7:$E$1006,History!E$6,Ledger!$B$7:$B$1006,"&lt;="&amp;$A12)</f>
        <v>180</v>
      </c>
      <c r="F12" s="1">
        <f>SUMIFS(Ledger!$J$7:$J$1006,Ledger!$C$7:$C$1006,Portfolio!$C$5,Ledger!$E$7:$E$1006,History!F$6,Ledger!$B$7:$B$1006,"&lt;="&amp;$A12)</f>
        <v>400</v>
      </c>
      <c r="G12" s="1">
        <f>SUMIFS(Ledger!$J$7:$J$1006,Ledger!$C$7:$C$1006,Portfolio!$C$5,Ledger!$E$7:$E$1006,History!G$6,Ledger!$B$7:$B$1006,"&lt;="&amp;$A12)</f>
        <v>600</v>
      </c>
      <c r="H12" s="8">
        <f>SUMIFS(Ledger!$K$7:$K$1006,Ledger!$C$7:$C$1006,Portfolio!$C$5,Ledger!$B$7:$B$1006,"&lt;="&amp;$A12)</f>
        <v>38920</v>
      </c>
      <c r="I12" s="8">
        <f>IF(S12=6,SUMPRODUCT(B12:G12,History!B12:G12),NA())</f>
        <v>467177.66499999998</v>
      </c>
      <c r="J12" s="8">
        <f t="shared" si="0"/>
        <v>506097.66499999998</v>
      </c>
      <c r="K12" s="8">
        <f>SUMIFS(Ledger!$L$7:$L$1006,Ledger!$C$7:$C$1006,Portfolio!$C$5,Ledger!$B$7:$B$1006,$A12)</f>
        <v>0</v>
      </c>
      <c r="L12" s="10">
        <f>IF(A12&lt;Holdings!$G$24,"",IF(A12=Holdings!$G$24,IF(K12&gt;0,J12/K12-1,NA()),IF(J11&gt;0,(J12-K12)/J11-1,NA())))</f>
        <v>-2.3129906731755856E-4</v>
      </c>
      <c r="M12" s="11">
        <f>IF(A12&lt;Holdings!$G$24,"",IF(A12=Holdings!$G$24,100*(1+L12),M11*(1+L12)))</f>
        <v>101.219533</v>
      </c>
      <c r="N12" s="11">
        <f>IF(A12&lt;Holdings!$G$24,"",IF(A12=Holdings!$G$24,MAX(100,M12),MAX(N11,M12)))</f>
        <v>101.2429504</v>
      </c>
      <c r="O12" s="10">
        <f>IF(A12&lt;Holdings!$G$24,"",M12/N12-1)</f>
        <v>-2.3129906731755856E-4</v>
      </c>
      <c r="P12" s="11">
        <f>IF(A12&lt;Holdings!$G$24,"",IF(History!H12&gt;0,History!H12/INDEX(History!$H$7:$H$136,MATCH(Holdings!$G$24,History!$A$7:$A$136,0))*100,NA()))</f>
        <v>101.25893360000001</v>
      </c>
      <c r="Q12" s="10">
        <f>IF(A12&lt;=Holdings!$G$24,"",P12/P11-1)</f>
        <v>-1.3466291178907408E-3</v>
      </c>
      <c r="R12" s="8">
        <f>IF(A12&gt;Portfolio!$J$5,0,-K12+IF(A12=Portfolio!$J$5,J12,0))</f>
        <v>0</v>
      </c>
      <c r="S12" s="1">
        <f>COUNTIFS(History!B12:G12,"&gt;0")</f>
        <v>6</v>
      </c>
      <c r="T12" s="1" t="str">
        <f t="shared" si="1"/>
        <v>30-Mar</v>
      </c>
      <c r="U12" s="10">
        <f>IF(AND(A12&lt;=Portfolio!$J$5,A12&gt;=Holdings!$G$24),O12,0)</f>
        <v>-2.3129906731755856E-4</v>
      </c>
      <c r="V12" s="12">
        <f>IF(AND(A12&gt;Holdings!$G$24,A12&lt;=Portfolio!$J$5),L12,"")</f>
        <v>-2.3129906731755856E-4</v>
      </c>
      <c r="W12" s="12">
        <f>IF(AND(A12&gt;Holdings!$G$24,A12&lt;=Portfolio!$J$5),Q12,"")</f>
        <v>-1.3466291178907408E-3</v>
      </c>
    </row>
    <row r="13" spans="1:23" ht="20" customHeight="1" x14ac:dyDescent="0.35">
      <c r="A13" s="7">
        <v>46112</v>
      </c>
      <c r="B13" s="1">
        <f>SUMIFS(Ledger!$J$7:$J$1006,Ledger!$C$7:$C$1006,Portfolio!$C$5,Ledger!$E$7:$E$1006,History!B$6,Ledger!$B$7:$B$1006,"&lt;="&amp;$A13)</f>
        <v>80</v>
      </c>
      <c r="C13" s="1">
        <f>SUMIFS(Ledger!$J$7:$J$1006,Ledger!$C$7:$C$1006,Portfolio!$C$5,Ledger!$E$7:$E$1006,History!C$6,Ledger!$B$7:$B$1006,"&lt;="&amp;$A13)</f>
        <v>100</v>
      </c>
      <c r="D13" s="1">
        <f>SUMIFS(Ledger!$J$7:$J$1006,Ledger!$C$7:$C$1006,Portfolio!$C$5,Ledger!$E$7:$E$1006,History!D$6,Ledger!$B$7:$B$1006,"&lt;="&amp;$A13)</f>
        <v>70</v>
      </c>
      <c r="E13" s="1">
        <f>SUMIFS(Ledger!$J$7:$J$1006,Ledger!$C$7:$C$1006,Portfolio!$C$5,Ledger!$E$7:$E$1006,History!E$6,Ledger!$B$7:$B$1006,"&lt;="&amp;$A13)</f>
        <v>180</v>
      </c>
      <c r="F13" s="1">
        <f>SUMIFS(Ledger!$J$7:$J$1006,Ledger!$C$7:$C$1006,Portfolio!$C$5,Ledger!$E$7:$E$1006,History!F$6,Ledger!$B$7:$B$1006,"&lt;="&amp;$A13)</f>
        <v>400</v>
      </c>
      <c r="G13" s="1">
        <f>SUMIFS(Ledger!$J$7:$J$1006,Ledger!$C$7:$C$1006,Portfolio!$C$5,Ledger!$E$7:$E$1006,History!G$6,Ledger!$B$7:$B$1006,"&lt;="&amp;$A13)</f>
        <v>600</v>
      </c>
      <c r="H13" s="8">
        <f>SUMIFS(Ledger!$K$7:$K$1006,Ledger!$C$7:$C$1006,Portfolio!$C$5,Ledger!$B$7:$B$1006,"&lt;="&amp;$A13)</f>
        <v>38920</v>
      </c>
      <c r="I13" s="8">
        <f>IF(S13=6,SUMPRODUCT(B13:G13,History!B13:G13),NA())</f>
        <v>469031.89</v>
      </c>
      <c r="J13" s="8">
        <f t="shared" si="0"/>
        <v>507951.89</v>
      </c>
      <c r="K13" s="8">
        <f>SUMIFS(Ledger!$L$7:$L$1006,Ledger!$C$7:$C$1006,Portfolio!$C$5,Ledger!$B$7:$B$1006,$A13)</f>
        <v>0</v>
      </c>
      <c r="L13" s="10">
        <f>IF(A13&lt;Holdings!$G$24,"",IF(A13=Holdings!$G$24,IF(K13&gt;0,J13/K13-1,NA()),IF(J12&gt;0,(J13-K13)/J12-1,NA())))</f>
        <v>3.6637691264591599E-3</v>
      </c>
      <c r="M13" s="11">
        <f>IF(A13&lt;Holdings!$G$24,"",IF(A13=Holdings!$G$24,100*(1+L13),M12*(1+L13)))</f>
        <v>101.59037800000002</v>
      </c>
      <c r="N13" s="11">
        <f>IF(A13&lt;Holdings!$G$24,"",IF(A13=Holdings!$G$24,MAX(100,M13),MAX(N12,M13)))</f>
        <v>101.59037800000002</v>
      </c>
      <c r="O13" s="10">
        <f>IF(A13&lt;Holdings!$G$24,"",M13/N13-1)</f>
        <v>0</v>
      </c>
      <c r="P13" s="11">
        <f>IF(A13&lt;Holdings!$G$24,"",IF(History!H13&gt;0,History!H13/INDEX(History!$H$7:$H$136,MATCH(Holdings!$G$24,History!$A$7:$A$136,0))*100,NA()))</f>
        <v>100.9406176</v>
      </c>
      <c r="Q13" s="10">
        <f>IF(A13&lt;=Holdings!$G$24,"",P13/P12-1)</f>
        <v>-3.1435843602446445E-3</v>
      </c>
      <c r="R13" s="8">
        <f>IF(A13&gt;Portfolio!$J$5,0,-K13+IF(A13=Portfolio!$J$5,J13,0))</f>
        <v>0</v>
      </c>
      <c r="S13" s="1">
        <f>COUNTIFS(History!B13:G13,"&gt;0")</f>
        <v>6</v>
      </c>
      <c r="T13" s="1" t="str">
        <f t="shared" si="1"/>
        <v>31-Mar</v>
      </c>
      <c r="U13" s="10">
        <f>IF(AND(A13&lt;=Portfolio!$J$5,A13&gt;=Holdings!$G$24),O13,0)</f>
        <v>0</v>
      </c>
      <c r="V13" s="12">
        <f>IF(AND(A13&gt;Holdings!$G$24,A13&lt;=Portfolio!$J$5),L13,"")</f>
        <v>3.6637691264591599E-3</v>
      </c>
      <c r="W13" s="12">
        <f>IF(AND(A13&gt;Holdings!$G$24,A13&lt;=Portfolio!$J$5),Q13,"")</f>
        <v>-3.1435843602446445E-3</v>
      </c>
    </row>
    <row r="14" spans="1:23" ht="20" customHeight="1" x14ac:dyDescent="0.35">
      <c r="A14" s="7">
        <v>46113</v>
      </c>
      <c r="B14" s="1">
        <f>SUMIFS(Ledger!$J$7:$J$1006,Ledger!$C$7:$C$1006,Portfolio!$C$5,Ledger!$E$7:$E$1006,History!B$6,Ledger!$B$7:$B$1006,"&lt;="&amp;$A14)</f>
        <v>80</v>
      </c>
      <c r="C14" s="1">
        <f>SUMIFS(Ledger!$J$7:$J$1006,Ledger!$C$7:$C$1006,Portfolio!$C$5,Ledger!$E$7:$E$1006,History!C$6,Ledger!$B$7:$B$1006,"&lt;="&amp;$A14)</f>
        <v>100</v>
      </c>
      <c r="D14" s="1">
        <f>SUMIFS(Ledger!$J$7:$J$1006,Ledger!$C$7:$C$1006,Portfolio!$C$5,Ledger!$E$7:$E$1006,History!D$6,Ledger!$B$7:$B$1006,"&lt;="&amp;$A14)</f>
        <v>70</v>
      </c>
      <c r="E14" s="1">
        <f>SUMIFS(Ledger!$J$7:$J$1006,Ledger!$C$7:$C$1006,Portfolio!$C$5,Ledger!$E$7:$E$1006,History!E$6,Ledger!$B$7:$B$1006,"&lt;="&amp;$A14)</f>
        <v>180</v>
      </c>
      <c r="F14" s="1">
        <f>SUMIFS(Ledger!$J$7:$J$1006,Ledger!$C$7:$C$1006,Portfolio!$C$5,Ledger!$E$7:$E$1006,History!F$6,Ledger!$B$7:$B$1006,"&lt;="&amp;$A14)</f>
        <v>400</v>
      </c>
      <c r="G14" s="1">
        <f>SUMIFS(Ledger!$J$7:$J$1006,Ledger!$C$7:$C$1006,Portfolio!$C$5,Ledger!$E$7:$E$1006,History!G$6,Ledger!$B$7:$B$1006,"&lt;="&amp;$A14)</f>
        <v>600</v>
      </c>
      <c r="H14" s="8">
        <f>SUMIFS(Ledger!$K$7:$K$1006,Ledger!$C$7:$C$1006,Portfolio!$C$5,Ledger!$B$7:$B$1006,"&lt;="&amp;$A14)</f>
        <v>38920</v>
      </c>
      <c r="I14" s="8">
        <f>IF(S14=6,SUMPRODUCT(B14:G14,History!B14:G14),NA())</f>
        <v>468579.636</v>
      </c>
      <c r="J14" s="8">
        <f t="shared" si="0"/>
        <v>507499.636</v>
      </c>
      <c r="K14" s="8">
        <f>SUMIFS(Ledger!$L$7:$L$1006,Ledger!$C$7:$C$1006,Portfolio!$C$5,Ledger!$B$7:$B$1006,$A14)</f>
        <v>0</v>
      </c>
      <c r="L14" s="10">
        <f>IF(A14&lt;Holdings!$G$24,"",IF(A14=Holdings!$G$24,IF(K14&gt;0,J14/K14-1,NA()),IF(J13&gt;0,(J14-K14)/J13-1,NA())))</f>
        <v>-8.9034809969901207E-4</v>
      </c>
      <c r="M14" s="11">
        <f>IF(A14&lt;Holdings!$G$24,"",IF(A14=Holdings!$G$24,100*(1+L14),M13*(1+L14)))</f>
        <v>101.49992720000002</v>
      </c>
      <c r="N14" s="11">
        <f>IF(A14&lt;Holdings!$G$24,"",IF(A14=Holdings!$G$24,MAX(100,M14),MAX(N13,M14)))</f>
        <v>101.59037800000002</v>
      </c>
      <c r="O14" s="10">
        <f>IF(A14&lt;Holdings!$G$24,"",M14/N14-1)</f>
        <v>-8.9034809969901207E-4</v>
      </c>
      <c r="P14" s="11">
        <f>IF(A14&lt;Holdings!$G$24,"",IF(History!H14&gt;0,History!H14/INDEX(History!$H$7:$H$136,MATCH(Holdings!$G$24,History!$A$7:$A$136,0))*100,NA()))</f>
        <v>100.4977756</v>
      </c>
      <c r="Q14" s="10">
        <f>IF(A14&lt;=Holdings!$G$24,"",P14/P13-1)</f>
        <v>-4.3871536605299966E-3</v>
      </c>
      <c r="R14" s="8">
        <f>IF(A14&gt;Portfolio!$J$5,0,-K14+IF(A14=Portfolio!$J$5,J14,0))</f>
        <v>0</v>
      </c>
      <c r="S14" s="1">
        <f>COUNTIFS(History!B14:G14,"&gt;0")</f>
        <v>6</v>
      </c>
      <c r="T14" s="1" t="str">
        <f t="shared" si="1"/>
        <v>01-Apr</v>
      </c>
      <c r="U14" s="10">
        <f>IF(AND(A14&lt;=Portfolio!$J$5,A14&gt;=Holdings!$G$24),O14,0)</f>
        <v>-8.9034809969901207E-4</v>
      </c>
      <c r="V14" s="12">
        <f>IF(AND(A14&gt;Holdings!$G$24,A14&lt;=Portfolio!$J$5),L14,"")</f>
        <v>-8.9034809969901207E-4</v>
      </c>
      <c r="W14" s="12">
        <f>IF(AND(A14&gt;Holdings!$G$24,A14&lt;=Portfolio!$J$5),Q14,"")</f>
        <v>-4.3871536605299966E-3</v>
      </c>
    </row>
    <row r="15" spans="1:23" ht="20" customHeight="1" x14ac:dyDescent="0.35">
      <c r="A15" s="7">
        <v>46114</v>
      </c>
      <c r="B15" s="1">
        <f>SUMIFS(Ledger!$J$7:$J$1006,Ledger!$C$7:$C$1006,Portfolio!$C$5,Ledger!$E$7:$E$1006,History!B$6,Ledger!$B$7:$B$1006,"&lt;="&amp;$A15)</f>
        <v>80</v>
      </c>
      <c r="C15" s="1">
        <f>SUMIFS(Ledger!$J$7:$J$1006,Ledger!$C$7:$C$1006,Portfolio!$C$5,Ledger!$E$7:$E$1006,History!C$6,Ledger!$B$7:$B$1006,"&lt;="&amp;$A15)</f>
        <v>100</v>
      </c>
      <c r="D15" s="1">
        <f>SUMIFS(Ledger!$J$7:$J$1006,Ledger!$C$7:$C$1006,Portfolio!$C$5,Ledger!$E$7:$E$1006,History!D$6,Ledger!$B$7:$B$1006,"&lt;="&amp;$A15)</f>
        <v>70</v>
      </c>
      <c r="E15" s="1">
        <f>SUMIFS(Ledger!$J$7:$J$1006,Ledger!$C$7:$C$1006,Portfolio!$C$5,Ledger!$E$7:$E$1006,History!E$6,Ledger!$B$7:$B$1006,"&lt;="&amp;$A15)</f>
        <v>180</v>
      </c>
      <c r="F15" s="1">
        <f>SUMIFS(Ledger!$J$7:$J$1006,Ledger!$C$7:$C$1006,Portfolio!$C$5,Ledger!$E$7:$E$1006,History!F$6,Ledger!$B$7:$B$1006,"&lt;="&amp;$A15)</f>
        <v>400</v>
      </c>
      <c r="G15" s="1">
        <f>SUMIFS(Ledger!$J$7:$J$1006,Ledger!$C$7:$C$1006,Portfolio!$C$5,Ledger!$E$7:$E$1006,History!G$6,Ledger!$B$7:$B$1006,"&lt;="&amp;$A15)</f>
        <v>600</v>
      </c>
      <c r="H15" s="8">
        <f>SUMIFS(Ledger!$K$7:$K$1006,Ledger!$C$7:$C$1006,Portfolio!$C$5,Ledger!$B$7:$B$1006,"&lt;="&amp;$A15)</f>
        <v>38920</v>
      </c>
      <c r="I15" s="8">
        <f>IF(S15=6,SUMPRODUCT(B15:G15,History!B15:G15),NA())</f>
        <v>466182.587</v>
      </c>
      <c r="J15" s="8">
        <f t="shared" si="0"/>
        <v>505102.587</v>
      </c>
      <c r="K15" s="8">
        <f>SUMIFS(Ledger!$L$7:$L$1006,Ledger!$C$7:$C$1006,Portfolio!$C$5,Ledger!$B$7:$B$1006,$A15)</f>
        <v>0</v>
      </c>
      <c r="L15" s="10">
        <f>IF(A15&lt;Holdings!$G$24,"",IF(A15=Holdings!$G$24,IF(K15&gt;0,J15/K15-1,NA()),IF(J14&gt;0,(J15-K15)/J14-1,NA())))</f>
        <v>-4.723252648796028E-3</v>
      </c>
      <c r="M15" s="11">
        <f>IF(A15&lt;Holdings!$G$24,"",IF(A15=Holdings!$G$24,100*(1+L15),M14*(1+L15)))</f>
        <v>101.02051740000002</v>
      </c>
      <c r="N15" s="11">
        <f>IF(A15&lt;Holdings!$G$24,"",IF(A15=Holdings!$G$24,MAX(100,M15),MAX(N14,M15)))</f>
        <v>101.59037800000002</v>
      </c>
      <c r="O15" s="10">
        <f>IF(A15&lt;Holdings!$G$24,"",M15/N15-1)</f>
        <v>-5.6093954094746934E-3</v>
      </c>
      <c r="P15" s="11">
        <f>IF(A15&lt;Holdings!$G$24,"",IF(History!H15&gt;0,History!H15/INDEX(History!$H$7:$H$136,MATCH(Holdings!$G$24,History!$A$7:$A$136,0))*100,NA()))</f>
        <v>100.23689070000002</v>
      </c>
      <c r="Q15" s="10">
        <f>IF(A15&lt;=Holdings!$G$24,"",P15/P14-1)</f>
        <v>-2.5959271082610647E-3</v>
      </c>
      <c r="R15" s="8">
        <f>IF(A15&gt;Portfolio!$J$5,0,-K15+IF(A15=Portfolio!$J$5,J15,0))</f>
        <v>0</v>
      </c>
      <c r="S15" s="1">
        <f>COUNTIFS(History!B15:G15,"&gt;0")</f>
        <v>6</v>
      </c>
      <c r="T15" s="1" t="str">
        <f t="shared" si="1"/>
        <v>02-Apr</v>
      </c>
      <c r="U15" s="10">
        <f>IF(AND(A15&lt;=Portfolio!$J$5,A15&gt;=Holdings!$G$24),O15,0)</f>
        <v>-5.6093954094746934E-3</v>
      </c>
      <c r="V15" s="12">
        <f>IF(AND(A15&gt;Holdings!$G$24,A15&lt;=Portfolio!$J$5),L15,"")</f>
        <v>-4.723252648796028E-3</v>
      </c>
      <c r="W15" s="12">
        <f>IF(AND(A15&gt;Holdings!$G$24,A15&lt;=Portfolio!$J$5),Q15,"")</f>
        <v>-2.5959271082610647E-3</v>
      </c>
    </row>
    <row r="16" spans="1:23" ht="20" customHeight="1" x14ac:dyDescent="0.35">
      <c r="A16" s="7">
        <v>46115</v>
      </c>
      <c r="B16" s="1">
        <f>SUMIFS(Ledger!$J$7:$J$1006,Ledger!$C$7:$C$1006,Portfolio!$C$5,Ledger!$E$7:$E$1006,History!B$6,Ledger!$B$7:$B$1006,"&lt;="&amp;$A16)</f>
        <v>80</v>
      </c>
      <c r="C16" s="1">
        <f>SUMIFS(Ledger!$J$7:$J$1006,Ledger!$C$7:$C$1006,Portfolio!$C$5,Ledger!$E$7:$E$1006,History!C$6,Ledger!$B$7:$B$1006,"&lt;="&amp;$A16)</f>
        <v>100</v>
      </c>
      <c r="D16" s="1">
        <f>SUMIFS(Ledger!$J$7:$J$1006,Ledger!$C$7:$C$1006,Portfolio!$C$5,Ledger!$E$7:$E$1006,History!D$6,Ledger!$B$7:$B$1006,"&lt;="&amp;$A16)</f>
        <v>70</v>
      </c>
      <c r="E16" s="1">
        <f>SUMIFS(Ledger!$J$7:$J$1006,Ledger!$C$7:$C$1006,Portfolio!$C$5,Ledger!$E$7:$E$1006,History!E$6,Ledger!$B$7:$B$1006,"&lt;="&amp;$A16)</f>
        <v>180</v>
      </c>
      <c r="F16" s="1">
        <f>SUMIFS(Ledger!$J$7:$J$1006,Ledger!$C$7:$C$1006,Portfolio!$C$5,Ledger!$E$7:$E$1006,History!F$6,Ledger!$B$7:$B$1006,"&lt;="&amp;$A16)</f>
        <v>400</v>
      </c>
      <c r="G16" s="1">
        <f>SUMIFS(Ledger!$J$7:$J$1006,Ledger!$C$7:$C$1006,Portfolio!$C$5,Ledger!$E$7:$E$1006,History!G$6,Ledger!$B$7:$B$1006,"&lt;="&amp;$A16)</f>
        <v>600</v>
      </c>
      <c r="H16" s="8">
        <f>SUMIFS(Ledger!$K$7:$K$1006,Ledger!$C$7:$C$1006,Portfolio!$C$5,Ledger!$B$7:$B$1006,"&lt;="&amp;$A16)</f>
        <v>38920</v>
      </c>
      <c r="I16" s="8">
        <f>IF(S16=6,SUMPRODUCT(B16:G16,History!B16:G16),NA())</f>
        <v>461263.62800000003</v>
      </c>
      <c r="J16" s="8">
        <f t="shared" si="0"/>
        <v>500183.62800000003</v>
      </c>
      <c r="K16" s="8">
        <f>SUMIFS(Ledger!$L$7:$L$1006,Ledger!$C$7:$C$1006,Portfolio!$C$5,Ledger!$B$7:$B$1006,$A16)</f>
        <v>0</v>
      </c>
      <c r="L16" s="10">
        <f>IF(A16&lt;Holdings!$G$24,"",IF(A16=Holdings!$G$24,IF(K16&gt;0,J16/K16-1,NA()),IF(J15&gt;0,(J16-K16)/J15-1,NA())))</f>
        <v>-9.7385345603070439E-3</v>
      </c>
      <c r="M16" s="11">
        <f>IF(A16&lt;Holdings!$G$24,"",IF(A16=Holdings!$G$24,100*(1+L16),M15*(1+L16)))</f>
        <v>100.03672560000001</v>
      </c>
      <c r="N16" s="11">
        <f>IF(A16&lt;Holdings!$G$24,"",IF(A16=Holdings!$G$24,MAX(100,M16),MAX(N15,M16)))</f>
        <v>101.59037800000002</v>
      </c>
      <c r="O16" s="10">
        <f>IF(A16&lt;Holdings!$G$24,"",M16/N16-1)</f>
        <v>-1.5293302678724197E-2</v>
      </c>
      <c r="P16" s="11">
        <f>IF(A16&lt;Holdings!$G$24,"",IF(History!H16&gt;0,History!H16/INDEX(History!$H$7:$H$136,MATCH(Holdings!$G$24,History!$A$7:$A$136,0))*100,NA()))</f>
        <v>99.58256639999999</v>
      </c>
      <c r="Q16" s="10">
        <f>IF(A16&lt;=Holdings!$G$24,"",P16/P15-1)</f>
        <v>-6.5277792979269167E-3</v>
      </c>
      <c r="R16" s="8">
        <f>IF(A16&gt;Portfolio!$J$5,0,-K16+IF(A16=Portfolio!$J$5,J16,0))</f>
        <v>0</v>
      </c>
      <c r="S16" s="1">
        <f>COUNTIFS(History!B16:G16,"&gt;0")</f>
        <v>6</v>
      </c>
      <c r="T16" s="1" t="str">
        <f t="shared" si="1"/>
        <v>03-Apr</v>
      </c>
      <c r="U16" s="10">
        <f>IF(AND(A16&lt;=Portfolio!$J$5,A16&gt;=Holdings!$G$24),O16,0)</f>
        <v>-1.5293302678724197E-2</v>
      </c>
      <c r="V16" s="12">
        <f>IF(AND(A16&gt;Holdings!$G$24,A16&lt;=Portfolio!$J$5),L16,"")</f>
        <v>-9.7385345603070439E-3</v>
      </c>
      <c r="W16" s="12">
        <f>IF(AND(A16&gt;Holdings!$G$24,A16&lt;=Portfolio!$J$5),Q16,"")</f>
        <v>-6.5277792979269167E-3</v>
      </c>
    </row>
    <row r="17" spans="1:23" ht="20" customHeight="1" x14ac:dyDescent="0.35">
      <c r="A17" s="7">
        <v>46118</v>
      </c>
      <c r="B17" s="1">
        <f>SUMIFS(Ledger!$J$7:$J$1006,Ledger!$C$7:$C$1006,Portfolio!$C$5,Ledger!$E$7:$E$1006,History!B$6,Ledger!$B$7:$B$1006,"&lt;="&amp;$A17)</f>
        <v>80</v>
      </c>
      <c r="C17" s="1">
        <f>SUMIFS(Ledger!$J$7:$J$1006,Ledger!$C$7:$C$1006,Portfolio!$C$5,Ledger!$E$7:$E$1006,History!C$6,Ledger!$B$7:$B$1006,"&lt;="&amp;$A17)</f>
        <v>100</v>
      </c>
      <c r="D17" s="1">
        <f>SUMIFS(Ledger!$J$7:$J$1006,Ledger!$C$7:$C$1006,Portfolio!$C$5,Ledger!$E$7:$E$1006,History!D$6,Ledger!$B$7:$B$1006,"&lt;="&amp;$A17)</f>
        <v>70</v>
      </c>
      <c r="E17" s="1">
        <f>SUMIFS(Ledger!$J$7:$J$1006,Ledger!$C$7:$C$1006,Portfolio!$C$5,Ledger!$E$7:$E$1006,History!E$6,Ledger!$B$7:$B$1006,"&lt;="&amp;$A17)</f>
        <v>180</v>
      </c>
      <c r="F17" s="1">
        <f>SUMIFS(Ledger!$J$7:$J$1006,Ledger!$C$7:$C$1006,Portfolio!$C$5,Ledger!$E$7:$E$1006,History!F$6,Ledger!$B$7:$B$1006,"&lt;="&amp;$A17)</f>
        <v>400</v>
      </c>
      <c r="G17" s="1">
        <f>SUMIFS(Ledger!$J$7:$J$1006,Ledger!$C$7:$C$1006,Portfolio!$C$5,Ledger!$E$7:$E$1006,History!G$6,Ledger!$B$7:$B$1006,"&lt;="&amp;$A17)</f>
        <v>600</v>
      </c>
      <c r="H17" s="8">
        <f>SUMIFS(Ledger!$K$7:$K$1006,Ledger!$C$7:$C$1006,Portfolio!$C$5,Ledger!$B$7:$B$1006,"&lt;="&amp;$A17)</f>
        <v>38920</v>
      </c>
      <c r="I17" s="8">
        <f>IF(S17=6,SUMPRODUCT(B17:G17,History!B17:G17),NA())</f>
        <v>459827.07699999999</v>
      </c>
      <c r="J17" s="8">
        <f t="shared" si="0"/>
        <v>498747.07699999999</v>
      </c>
      <c r="K17" s="8">
        <f>SUMIFS(Ledger!$L$7:$L$1006,Ledger!$C$7:$C$1006,Portfolio!$C$5,Ledger!$B$7:$B$1006,$A17)</f>
        <v>0</v>
      </c>
      <c r="L17" s="10">
        <f>IF(A17&lt;Holdings!$G$24,"",IF(A17=Holdings!$G$24,IF(K17&gt;0,J17/K17-1,NA()),IF(J16&gt;0,(J17-K17)/J16-1,NA())))</f>
        <v>-2.8720472234249339E-3</v>
      </c>
      <c r="M17" s="11">
        <f>IF(A17&lt;Holdings!$G$24,"",IF(A17=Holdings!$G$24,100*(1+L17),M16*(1+L17)))</f>
        <v>99.749415400000004</v>
      </c>
      <c r="N17" s="11">
        <f>IF(A17&lt;Holdings!$G$24,"",IF(A17=Holdings!$G$24,MAX(100,M17),MAX(N16,M17)))</f>
        <v>101.59037800000002</v>
      </c>
      <c r="O17" s="10">
        <f>IF(A17&lt;Holdings!$G$24,"",M17/N17-1)</f>
        <v>-1.8121426814653785E-2</v>
      </c>
      <c r="P17" s="11">
        <f>IF(A17&lt;Holdings!$G$24,"",IF(History!H17&gt;0,History!H17/INDEX(History!$H$7:$H$136,MATCH(Holdings!$G$24,History!$A$7:$A$136,0))*100,NA()))</f>
        <v>99.457096700000008</v>
      </c>
      <c r="Q17" s="10">
        <f>IF(A17&lt;=Holdings!$G$24,"",P17/P16-1)</f>
        <v>-1.2599564816998532E-3</v>
      </c>
      <c r="R17" s="8">
        <f>IF(A17&gt;Portfolio!$J$5,0,-K17+IF(A17=Portfolio!$J$5,J17,0))</f>
        <v>0</v>
      </c>
      <c r="S17" s="1">
        <f>COUNTIFS(History!B17:G17,"&gt;0")</f>
        <v>6</v>
      </c>
      <c r="T17" s="1" t="str">
        <f t="shared" si="1"/>
        <v>06-Apr</v>
      </c>
      <c r="U17" s="10">
        <f>IF(AND(A17&lt;=Portfolio!$J$5,A17&gt;=Holdings!$G$24),O17,0)</f>
        <v>-1.8121426814653785E-2</v>
      </c>
      <c r="V17" s="12">
        <f>IF(AND(A17&gt;Holdings!$G$24,A17&lt;=Portfolio!$J$5),L17,"")</f>
        <v>-2.8720472234249339E-3</v>
      </c>
      <c r="W17" s="12">
        <f>IF(AND(A17&gt;Holdings!$G$24,A17&lt;=Portfolio!$J$5),Q17,"")</f>
        <v>-1.2599564816998532E-3</v>
      </c>
    </row>
    <row r="18" spans="1:23" ht="20" customHeight="1" x14ac:dyDescent="0.35">
      <c r="A18" s="7">
        <v>46119</v>
      </c>
      <c r="B18" s="1">
        <f>SUMIFS(Ledger!$J$7:$J$1006,Ledger!$C$7:$C$1006,Portfolio!$C$5,Ledger!$E$7:$E$1006,History!B$6,Ledger!$B$7:$B$1006,"&lt;="&amp;$A18)</f>
        <v>80</v>
      </c>
      <c r="C18" s="1">
        <f>SUMIFS(Ledger!$J$7:$J$1006,Ledger!$C$7:$C$1006,Portfolio!$C$5,Ledger!$E$7:$E$1006,History!C$6,Ledger!$B$7:$B$1006,"&lt;="&amp;$A18)</f>
        <v>100</v>
      </c>
      <c r="D18" s="1">
        <f>SUMIFS(Ledger!$J$7:$J$1006,Ledger!$C$7:$C$1006,Portfolio!$C$5,Ledger!$E$7:$E$1006,History!D$6,Ledger!$B$7:$B$1006,"&lt;="&amp;$A18)</f>
        <v>70</v>
      </c>
      <c r="E18" s="1">
        <f>SUMIFS(Ledger!$J$7:$J$1006,Ledger!$C$7:$C$1006,Portfolio!$C$5,Ledger!$E$7:$E$1006,History!E$6,Ledger!$B$7:$B$1006,"&lt;="&amp;$A18)</f>
        <v>180</v>
      </c>
      <c r="F18" s="1">
        <f>SUMIFS(Ledger!$J$7:$J$1006,Ledger!$C$7:$C$1006,Portfolio!$C$5,Ledger!$E$7:$E$1006,History!F$6,Ledger!$B$7:$B$1006,"&lt;="&amp;$A18)</f>
        <v>400</v>
      </c>
      <c r="G18" s="1">
        <f>SUMIFS(Ledger!$J$7:$J$1006,Ledger!$C$7:$C$1006,Portfolio!$C$5,Ledger!$E$7:$E$1006,History!G$6,Ledger!$B$7:$B$1006,"&lt;="&amp;$A18)</f>
        <v>600</v>
      </c>
      <c r="H18" s="8">
        <f>SUMIFS(Ledger!$K$7:$K$1006,Ledger!$C$7:$C$1006,Portfolio!$C$5,Ledger!$B$7:$B$1006,"&lt;="&amp;$A18)</f>
        <v>38920</v>
      </c>
      <c r="I18" s="8">
        <f>IF(S18=6,SUMPRODUCT(B18:G18,History!B18:G18),NA())</f>
        <v>462570.06999999995</v>
      </c>
      <c r="J18" s="8">
        <f t="shared" si="0"/>
        <v>501490.06999999995</v>
      </c>
      <c r="K18" s="8">
        <f>SUMIFS(Ledger!$L$7:$L$1006,Ledger!$C$7:$C$1006,Portfolio!$C$5,Ledger!$B$7:$B$1006,$A18)</f>
        <v>0</v>
      </c>
      <c r="L18" s="10">
        <f>IF(A18&lt;Holdings!$G$24,"",IF(A18=Holdings!$G$24,IF(K18&gt;0,J18/K18-1,NA()),IF(J17&gt;0,(J18-K18)/J17-1,NA())))</f>
        <v>5.4997675705674709E-3</v>
      </c>
      <c r="M18" s="11">
        <f>IF(A18&lt;Holdings!$G$24,"",IF(A18=Holdings!$G$24,100*(1+L18),M17*(1+L18)))</f>
        <v>100.29801399999998</v>
      </c>
      <c r="N18" s="11">
        <f>IF(A18&lt;Holdings!$G$24,"",IF(A18=Holdings!$G$24,MAX(100,M18),MAX(N17,M18)))</f>
        <v>101.59037800000002</v>
      </c>
      <c r="O18" s="10">
        <f>IF(A18&lt;Holdings!$G$24,"",M18/N18-1)</f>
        <v>-1.2721322879614028E-2</v>
      </c>
      <c r="P18" s="11">
        <f>IF(A18&lt;Holdings!$G$24,"",IF(History!H18&gt;0,History!H18/INDEX(History!$H$7:$H$136,MATCH(Holdings!$G$24,History!$A$7:$A$136,0))*100,NA()))</f>
        <v>99.658941900000002</v>
      </c>
      <c r="Q18" s="10">
        <f>IF(A18&lt;=Holdings!$G$24,"",P18/P17-1)</f>
        <v>2.0294700599277071E-3</v>
      </c>
      <c r="R18" s="8">
        <f>IF(A18&gt;Portfolio!$J$5,0,-K18+IF(A18=Portfolio!$J$5,J18,0))</f>
        <v>0</v>
      </c>
      <c r="S18" s="1">
        <f>COUNTIFS(History!B18:G18,"&gt;0")</f>
        <v>6</v>
      </c>
      <c r="T18" s="1" t="str">
        <f t="shared" si="1"/>
        <v>07-Apr</v>
      </c>
      <c r="U18" s="10">
        <f>IF(AND(A18&lt;=Portfolio!$J$5,A18&gt;=Holdings!$G$24),O18,0)</f>
        <v>-1.2721322879614028E-2</v>
      </c>
      <c r="V18" s="12">
        <f>IF(AND(A18&gt;Holdings!$G$24,A18&lt;=Portfolio!$J$5),L18,"")</f>
        <v>5.4997675705674709E-3</v>
      </c>
      <c r="W18" s="12">
        <f>IF(AND(A18&gt;Holdings!$G$24,A18&lt;=Portfolio!$J$5),Q18,"")</f>
        <v>2.0294700599277071E-3</v>
      </c>
    </row>
    <row r="19" spans="1:23" ht="20" customHeight="1" x14ac:dyDescent="0.35">
      <c r="A19" s="7">
        <v>46120</v>
      </c>
      <c r="B19" s="1">
        <f>SUMIFS(Ledger!$J$7:$J$1006,Ledger!$C$7:$C$1006,Portfolio!$C$5,Ledger!$E$7:$E$1006,History!B$6,Ledger!$B$7:$B$1006,"&lt;="&amp;$A19)</f>
        <v>80</v>
      </c>
      <c r="C19" s="1">
        <f>SUMIFS(Ledger!$J$7:$J$1006,Ledger!$C$7:$C$1006,Portfolio!$C$5,Ledger!$E$7:$E$1006,History!C$6,Ledger!$B$7:$B$1006,"&lt;="&amp;$A19)</f>
        <v>100</v>
      </c>
      <c r="D19" s="1">
        <f>SUMIFS(Ledger!$J$7:$J$1006,Ledger!$C$7:$C$1006,Portfolio!$C$5,Ledger!$E$7:$E$1006,History!D$6,Ledger!$B$7:$B$1006,"&lt;="&amp;$A19)</f>
        <v>70</v>
      </c>
      <c r="E19" s="1">
        <f>SUMIFS(Ledger!$J$7:$J$1006,Ledger!$C$7:$C$1006,Portfolio!$C$5,Ledger!$E$7:$E$1006,History!E$6,Ledger!$B$7:$B$1006,"&lt;="&amp;$A19)</f>
        <v>180</v>
      </c>
      <c r="F19" s="1">
        <f>SUMIFS(Ledger!$J$7:$J$1006,Ledger!$C$7:$C$1006,Portfolio!$C$5,Ledger!$E$7:$E$1006,History!F$6,Ledger!$B$7:$B$1006,"&lt;="&amp;$A19)</f>
        <v>400</v>
      </c>
      <c r="G19" s="1">
        <f>SUMIFS(Ledger!$J$7:$J$1006,Ledger!$C$7:$C$1006,Portfolio!$C$5,Ledger!$E$7:$E$1006,History!G$6,Ledger!$B$7:$B$1006,"&lt;="&amp;$A19)</f>
        <v>600</v>
      </c>
      <c r="H19" s="8">
        <f>SUMIFS(Ledger!$K$7:$K$1006,Ledger!$C$7:$C$1006,Portfolio!$C$5,Ledger!$B$7:$B$1006,"&lt;="&amp;$A19)</f>
        <v>38920</v>
      </c>
      <c r="I19" s="8">
        <f>IF(S19=6,SUMPRODUCT(B19:G19,History!B19:G19),NA())</f>
        <v>459775.11300000001</v>
      </c>
      <c r="J19" s="8">
        <f t="shared" si="0"/>
        <v>498695.11300000001</v>
      </c>
      <c r="K19" s="8">
        <f>SUMIFS(Ledger!$L$7:$L$1006,Ledger!$C$7:$C$1006,Portfolio!$C$5,Ledger!$B$7:$B$1006,$A19)</f>
        <v>0</v>
      </c>
      <c r="L19" s="10">
        <f>IF(A19&lt;Holdings!$G$24,"",IF(A19=Holdings!$G$24,IF(K19&gt;0,J19/K19-1,NA()),IF(J18&gt;0,(J19-K19)/J18-1,NA())))</f>
        <v>-5.5733047715180728E-3</v>
      </c>
      <c r="M19" s="11">
        <f>IF(A19&lt;Holdings!$G$24,"",IF(A19=Holdings!$G$24,100*(1+L19),M18*(1+L19)))</f>
        <v>99.739022599999998</v>
      </c>
      <c r="N19" s="11">
        <f>IF(A19&lt;Holdings!$G$24,"",IF(A19=Holdings!$G$24,MAX(100,M19),MAX(N18,M19)))</f>
        <v>101.59037800000002</v>
      </c>
      <c r="O19" s="10">
        <f>IF(A19&lt;Holdings!$G$24,"",M19/N19-1)</f>
        <v>-1.8223727841627069E-2</v>
      </c>
      <c r="P19" s="11">
        <f>IF(A19&lt;Holdings!$G$24,"",IF(History!H19&gt;0,History!H19/INDEX(History!$H$7:$H$136,MATCH(Holdings!$G$24,History!$A$7:$A$136,0))*100,NA()))</f>
        <v>99.216424700000005</v>
      </c>
      <c r="Q19" s="10">
        <f>IF(A19&lt;=Holdings!$G$24,"",P19/P18-1)</f>
        <v>-4.440316057579996E-3</v>
      </c>
      <c r="R19" s="8">
        <f>IF(A19&gt;Portfolio!$J$5,0,-K19+IF(A19=Portfolio!$J$5,J19,0))</f>
        <v>0</v>
      </c>
      <c r="S19" s="1">
        <f>COUNTIFS(History!B19:G19,"&gt;0")</f>
        <v>6</v>
      </c>
      <c r="T19" s="1" t="str">
        <f t="shared" si="1"/>
        <v>08-Apr</v>
      </c>
      <c r="U19" s="10">
        <f>IF(AND(A19&lt;=Portfolio!$J$5,A19&gt;=Holdings!$G$24),O19,0)</f>
        <v>-1.8223727841627069E-2</v>
      </c>
      <c r="V19" s="12">
        <f>IF(AND(A19&gt;Holdings!$G$24,A19&lt;=Portfolio!$J$5),L19,"")</f>
        <v>-5.5733047715180728E-3</v>
      </c>
      <c r="W19" s="12">
        <f>IF(AND(A19&gt;Holdings!$G$24,A19&lt;=Portfolio!$J$5),Q19,"")</f>
        <v>-4.440316057579996E-3</v>
      </c>
    </row>
    <row r="20" spans="1:23" ht="20" customHeight="1" x14ac:dyDescent="0.35">
      <c r="A20" s="7">
        <v>46121</v>
      </c>
      <c r="B20" s="1">
        <f>SUMIFS(Ledger!$J$7:$J$1006,Ledger!$C$7:$C$1006,Portfolio!$C$5,Ledger!$E$7:$E$1006,History!B$6,Ledger!$B$7:$B$1006,"&lt;="&amp;$A20)</f>
        <v>80</v>
      </c>
      <c r="C20" s="1">
        <f>SUMIFS(Ledger!$J$7:$J$1006,Ledger!$C$7:$C$1006,Portfolio!$C$5,Ledger!$E$7:$E$1006,History!C$6,Ledger!$B$7:$B$1006,"&lt;="&amp;$A20)</f>
        <v>100</v>
      </c>
      <c r="D20" s="1">
        <f>SUMIFS(Ledger!$J$7:$J$1006,Ledger!$C$7:$C$1006,Portfolio!$C$5,Ledger!$E$7:$E$1006,History!D$6,Ledger!$B$7:$B$1006,"&lt;="&amp;$A20)</f>
        <v>70</v>
      </c>
      <c r="E20" s="1">
        <f>SUMIFS(Ledger!$J$7:$J$1006,Ledger!$C$7:$C$1006,Portfolio!$C$5,Ledger!$E$7:$E$1006,History!E$6,Ledger!$B$7:$B$1006,"&lt;="&amp;$A20)</f>
        <v>180</v>
      </c>
      <c r="F20" s="1">
        <f>SUMIFS(Ledger!$J$7:$J$1006,Ledger!$C$7:$C$1006,Portfolio!$C$5,Ledger!$E$7:$E$1006,History!F$6,Ledger!$B$7:$B$1006,"&lt;="&amp;$A20)</f>
        <v>400</v>
      </c>
      <c r="G20" s="1">
        <f>SUMIFS(Ledger!$J$7:$J$1006,Ledger!$C$7:$C$1006,Portfolio!$C$5,Ledger!$E$7:$E$1006,History!G$6,Ledger!$B$7:$B$1006,"&lt;="&amp;$A20)</f>
        <v>600</v>
      </c>
      <c r="H20" s="8">
        <f>SUMIFS(Ledger!$K$7:$K$1006,Ledger!$C$7:$C$1006,Portfolio!$C$5,Ledger!$B$7:$B$1006,"&lt;="&amp;$A20)</f>
        <v>38920</v>
      </c>
      <c r="I20" s="8">
        <f>IF(S20=6,SUMPRODUCT(B20:G20,History!B20:G20),NA())</f>
        <v>461602.79800000001</v>
      </c>
      <c r="J20" s="8">
        <f t="shared" si="0"/>
        <v>500522.79800000001</v>
      </c>
      <c r="K20" s="8">
        <f>SUMIFS(Ledger!$L$7:$L$1006,Ledger!$C$7:$C$1006,Portfolio!$C$5,Ledger!$B$7:$B$1006,$A20)</f>
        <v>0</v>
      </c>
      <c r="L20" s="10">
        <f>IF(A20&lt;Holdings!$G$24,"",IF(A20=Holdings!$G$24,IF(K20&gt;0,J20/K20-1,NA()),IF(J19&gt;0,(J20-K20)/J19-1,NA())))</f>
        <v>3.6649346511643532E-3</v>
      </c>
      <c r="M20" s="11">
        <f>IF(A20&lt;Holdings!$G$24,"",IF(A20=Holdings!$G$24,100*(1+L20),M19*(1+L20)))</f>
        <v>100.1045596</v>
      </c>
      <c r="N20" s="11">
        <f>IF(A20&lt;Holdings!$G$24,"",IF(A20=Holdings!$G$24,MAX(100,M20),MAX(N19,M20)))</f>
        <v>101.59037800000002</v>
      </c>
      <c r="O20" s="10">
        <f>IF(A20&lt;Holdings!$G$24,"",M20/N20-1)</f>
        <v>-1.462558196210284E-2</v>
      </c>
      <c r="P20" s="11">
        <f>IF(A20&lt;Holdings!$G$24,"",IF(History!H20&gt;0,History!H20/INDEX(History!$H$7:$H$136,MATCH(Holdings!$G$24,History!$A$7:$A$136,0))*100,NA()))</f>
        <v>99.094465700000001</v>
      </c>
      <c r="Q20" s="10">
        <f>IF(A20&lt;=Holdings!$G$24,"",P20/P19-1)</f>
        <v>-1.2292218790262988E-3</v>
      </c>
      <c r="R20" s="8">
        <f>IF(A20&gt;Portfolio!$J$5,0,-K20+IF(A20=Portfolio!$J$5,J20,0))</f>
        <v>0</v>
      </c>
      <c r="S20" s="1">
        <f>COUNTIFS(History!B20:G20,"&gt;0")</f>
        <v>6</v>
      </c>
      <c r="T20" s="1" t="str">
        <f t="shared" si="1"/>
        <v>09-Apr</v>
      </c>
      <c r="U20" s="10">
        <f>IF(AND(A20&lt;=Portfolio!$J$5,A20&gt;=Holdings!$G$24),O20,0)</f>
        <v>-1.462558196210284E-2</v>
      </c>
      <c r="V20" s="12">
        <f>IF(AND(A20&gt;Holdings!$G$24,A20&lt;=Portfolio!$J$5),L20,"")</f>
        <v>3.6649346511643532E-3</v>
      </c>
      <c r="W20" s="12">
        <f>IF(AND(A20&gt;Holdings!$G$24,A20&lt;=Portfolio!$J$5),Q20,"")</f>
        <v>-1.2292218790262988E-3</v>
      </c>
    </row>
    <row r="21" spans="1:23" ht="20" customHeight="1" x14ac:dyDescent="0.35">
      <c r="A21" s="7">
        <v>46122</v>
      </c>
      <c r="B21" s="1">
        <f>SUMIFS(Ledger!$J$7:$J$1006,Ledger!$C$7:$C$1006,Portfolio!$C$5,Ledger!$E$7:$E$1006,History!B$6,Ledger!$B$7:$B$1006,"&lt;="&amp;$A21)</f>
        <v>80</v>
      </c>
      <c r="C21" s="1">
        <f>SUMIFS(Ledger!$J$7:$J$1006,Ledger!$C$7:$C$1006,Portfolio!$C$5,Ledger!$E$7:$E$1006,History!C$6,Ledger!$B$7:$B$1006,"&lt;="&amp;$A21)</f>
        <v>100</v>
      </c>
      <c r="D21" s="1">
        <f>SUMIFS(Ledger!$J$7:$J$1006,Ledger!$C$7:$C$1006,Portfolio!$C$5,Ledger!$E$7:$E$1006,History!D$6,Ledger!$B$7:$B$1006,"&lt;="&amp;$A21)</f>
        <v>70</v>
      </c>
      <c r="E21" s="1">
        <f>SUMIFS(Ledger!$J$7:$J$1006,Ledger!$C$7:$C$1006,Portfolio!$C$5,Ledger!$E$7:$E$1006,History!E$6,Ledger!$B$7:$B$1006,"&lt;="&amp;$A21)</f>
        <v>180</v>
      </c>
      <c r="F21" s="1">
        <f>SUMIFS(Ledger!$J$7:$J$1006,Ledger!$C$7:$C$1006,Portfolio!$C$5,Ledger!$E$7:$E$1006,History!F$6,Ledger!$B$7:$B$1006,"&lt;="&amp;$A21)</f>
        <v>400</v>
      </c>
      <c r="G21" s="1">
        <f>SUMIFS(Ledger!$J$7:$J$1006,Ledger!$C$7:$C$1006,Portfolio!$C$5,Ledger!$E$7:$E$1006,History!G$6,Ledger!$B$7:$B$1006,"&lt;="&amp;$A21)</f>
        <v>600</v>
      </c>
      <c r="H21" s="8">
        <f>SUMIFS(Ledger!$K$7:$K$1006,Ledger!$C$7:$C$1006,Portfolio!$C$5,Ledger!$B$7:$B$1006,"&lt;="&amp;$A21)</f>
        <v>38920</v>
      </c>
      <c r="I21" s="8">
        <f>IF(S21=6,SUMPRODUCT(B21:G21,History!B21:G21),NA())</f>
        <v>458655.13200000004</v>
      </c>
      <c r="J21" s="8">
        <f t="shared" si="0"/>
        <v>497575.13200000004</v>
      </c>
      <c r="K21" s="8">
        <f>SUMIFS(Ledger!$L$7:$L$1006,Ledger!$C$7:$C$1006,Portfolio!$C$5,Ledger!$B$7:$B$1006,$A21)</f>
        <v>0</v>
      </c>
      <c r="L21" s="10">
        <f>IF(A21&lt;Holdings!$G$24,"",IF(A21=Holdings!$G$24,IF(K21&gt;0,J21/K21-1,NA()),IF(J20&gt;0,(J21-K21)/J20-1,NA())))</f>
        <v>-5.8891743029054755E-3</v>
      </c>
      <c r="M21" s="11">
        <f>IF(A21&lt;Holdings!$G$24,"",IF(A21=Holdings!$G$24,100*(1+L21),M20*(1+L21)))</f>
        <v>99.515026400000011</v>
      </c>
      <c r="N21" s="11">
        <f>IF(A21&lt;Holdings!$G$24,"",IF(A21=Holdings!$G$24,MAX(100,M21),MAX(N20,M21)))</f>
        <v>101.59037800000002</v>
      </c>
      <c r="O21" s="10">
        <f>IF(A21&lt;Holdings!$G$24,"",M21/N21-1)</f>
        <v>-2.0428623663552137E-2</v>
      </c>
      <c r="P21" s="11">
        <f>IF(A21&lt;Holdings!$G$24,"",IF(History!H21&gt;0,History!H21/INDEX(History!$H$7:$H$136,MATCH(Holdings!$G$24,History!$A$7:$A$136,0))*100,NA()))</f>
        <v>98.5995116</v>
      </c>
      <c r="Q21" s="10">
        <f>IF(A21&lt;=Holdings!$G$24,"",P21/P20-1)</f>
        <v>-4.994770358805245E-3</v>
      </c>
      <c r="R21" s="8">
        <f>IF(A21&gt;Portfolio!$J$5,0,-K21+IF(A21=Portfolio!$J$5,J21,0))</f>
        <v>0</v>
      </c>
      <c r="S21" s="1">
        <f>COUNTIFS(History!B21:G21,"&gt;0")</f>
        <v>6</v>
      </c>
      <c r="T21" s="1" t="str">
        <f t="shared" si="1"/>
        <v>10-Apr</v>
      </c>
      <c r="U21" s="10">
        <f>IF(AND(A21&lt;=Portfolio!$J$5,A21&gt;=Holdings!$G$24),O21,0)</f>
        <v>-2.0428623663552137E-2</v>
      </c>
      <c r="V21" s="12">
        <f>IF(AND(A21&gt;Holdings!$G$24,A21&lt;=Portfolio!$J$5),L21,"")</f>
        <v>-5.8891743029054755E-3</v>
      </c>
      <c r="W21" s="12">
        <f>IF(AND(A21&gt;Holdings!$G$24,A21&lt;=Portfolio!$J$5),Q21,"")</f>
        <v>-4.994770358805245E-3</v>
      </c>
    </row>
    <row r="22" spans="1:23" ht="20" customHeight="1" x14ac:dyDescent="0.35">
      <c r="A22" s="7">
        <v>46125</v>
      </c>
      <c r="B22" s="1">
        <f>SUMIFS(Ledger!$J$7:$J$1006,Ledger!$C$7:$C$1006,Portfolio!$C$5,Ledger!$E$7:$E$1006,History!B$6,Ledger!$B$7:$B$1006,"&lt;="&amp;$A22)</f>
        <v>80</v>
      </c>
      <c r="C22" s="1">
        <f>SUMIFS(Ledger!$J$7:$J$1006,Ledger!$C$7:$C$1006,Portfolio!$C$5,Ledger!$E$7:$E$1006,History!C$6,Ledger!$B$7:$B$1006,"&lt;="&amp;$A22)</f>
        <v>100</v>
      </c>
      <c r="D22" s="1">
        <f>SUMIFS(Ledger!$J$7:$J$1006,Ledger!$C$7:$C$1006,Portfolio!$C$5,Ledger!$E$7:$E$1006,History!D$6,Ledger!$B$7:$B$1006,"&lt;="&amp;$A22)</f>
        <v>70</v>
      </c>
      <c r="E22" s="1">
        <f>SUMIFS(Ledger!$J$7:$J$1006,Ledger!$C$7:$C$1006,Portfolio!$C$5,Ledger!$E$7:$E$1006,History!E$6,Ledger!$B$7:$B$1006,"&lt;="&amp;$A22)</f>
        <v>180</v>
      </c>
      <c r="F22" s="1">
        <f>SUMIFS(Ledger!$J$7:$J$1006,Ledger!$C$7:$C$1006,Portfolio!$C$5,Ledger!$E$7:$E$1006,History!F$6,Ledger!$B$7:$B$1006,"&lt;="&amp;$A22)</f>
        <v>400</v>
      </c>
      <c r="G22" s="1">
        <f>SUMIFS(Ledger!$J$7:$J$1006,Ledger!$C$7:$C$1006,Portfolio!$C$5,Ledger!$E$7:$E$1006,History!G$6,Ledger!$B$7:$B$1006,"&lt;="&amp;$A22)</f>
        <v>600</v>
      </c>
      <c r="H22" s="8">
        <f>SUMIFS(Ledger!$K$7:$K$1006,Ledger!$C$7:$C$1006,Portfolio!$C$5,Ledger!$B$7:$B$1006,"&lt;="&amp;$A22)</f>
        <v>38920</v>
      </c>
      <c r="I22" s="8">
        <f>IF(S22=6,SUMPRODUCT(B22:G22,History!B22:G22),NA())</f>
        <v>457870.15100000001</v>
      </c>
      <c r="J22" s="8">
        <f t="shared" si="0"/>
        <v>496790.15100000001</v>
      </c>
      <c r="K22" s="8">
        <f>SUMIFS(Ledger!$L$7:$L$1006,Ledger!$C$7:$C$1006,Portfolio!$C$5,Ledger!$B$7:$B$1006,$A22)</f>
        <v>0</v>
      </c>
      <c r="L22" s="10">
        <f>IF(A22&lt;Holdings!$G$24,"",IF(A22=Holdings!$G$24,IF(K22&gt;0,J22/K22-1,NA()),IF(J21&gt;0,(J22-K22)/J21-1,NA())))</f>
        <v>-1.5776130065922045E-3</v>
      </c>
      <c r="M22" s="11">
        <f>IF(A22&lt;Holdings!$G$24,"",IF(A22=Holdings!$G$24,100*(1+L22),M21*(1+L22)))</f>
        <v>99.358030200000002</v>
      </c>
      <c r="N22" s="11">
        <f>IF(A22&lt;Holdings!$G$24,"",IF(A22=Holdings!$G$24,MAX(100,M22),MAX(N21,M22)))</f>
        <v>101.59037800000002</v>
      </c>
      <c r="O22" s="10">
        <f>IF(A22&lt;Holdings!$G$24,"",M22/N22-1)</f>
        <v>-2.1974008207745976E-2</v>
      </c>
      <c r="P22" s="11">
        <f>IF(A22&lt;Holdings!$G$24,"",IF(History!H22&gt;0,History!H22/INDEX(History!$H$7:$H$136,MATCH(Holdings!$G$24,History!$A$7:$A$136,0))*100,NA()))</f>
        <v>97.968122000000008</v>
      </c>
      <c r="Q22" s="10">
        <f>IF(A22&lt;=Holdings!$G$24,"",P22/P21-1)</f>
        <v>-6.4035773580849442E-3</v>
      </c>
      <c r="R22" s="8">
        <f>IF(A22&gt;Portfolio!$J$5,0,-K22+IF(A22=Portfolio!$J$5,J22,0))</f>
        <v>0</v>
      </c>
      <c r="S22" s="1">
        <f>COUNTIFS(History!B22:G22,"&gt;0")</f>
        <v>6</v>
      </c>
      <c r="T22" s="1" t="str">
        <f t="shared" si="1"/>
        <v>13-Apr</v>
      </c>
      <c r="U22" s="10">
        <f>IF(AND(A22&lt;=Portfolio!$J$5,A22&gt;=Holdings!$G$24),O22,0)</f>
        <v>-2.1974008207745976E-2</v>
      </c>
      <c r="V22" s="12">
        <f>IF(AND(A22&gt;Holdings!$G$24,A22&lt;=Portfolio!$J$5),L22,"")</f>
        <v>-1.5776130065922045E-3</v>
      </c>
      <c r="W22" s="12">
        <f>IF(AND(A22&gt;Holdings!$G$24,A22&lt;=Portfolio!$J$5),Q22,"")</f>
        <v>-6.4035773580849442E-3</v>
      </c>
    </row>
    <row r="23" spans="1:23" ht="20" customHeight="1" x14ac:dyDescent="0.35">
      <c r="A23" s="7">
        <v>46126</v>
      </c>
      <c r="B23" s="1">
        <f>SUMIFS(Ledger!$J$7:$J$1006,Ledger!$C$7:$C$1006,Portfolio!$C$5,Ledger!$E$7:$E$1006,History!B$6,Ledger!$B$7:$B$1006,"&lt;="&amp;$A23)</f>
        <v>80</v>
      </c>
      <c r="C23" s="1">
        <f>SUMIFS(Ledger!$J$7:$J$1006,Ledger!$C$7:$C$1006,Portfolio!$C$5,Ledger!$E$7:$E$1006,History!C$6,Ledger!$B$7:$B$1006,"&lt;="&amp;$A23)</f>
        <v>100</v>
      </c>
      <c r="D23" s="1">
        <f>SUMIFS(Ledger!$J$7:$J$1006,Ledger!$C$7:$C$1006,Portfolio!$C$5,Ledger!$E$7:$E$1006,History!D$6,Ledger!$B$7:$B$1006,"&lt;="&amp;$A23)</f>
        <v>70</v>
      </c>
      <c r="E23" s="1">
        <f>SUMIFS(Ledger!$J$7:$J$1006,Ledger!$C$7:$C$1006,Portfolio!$C$5,Ledger!$E$7:$E$1006,History!E$6,Ledger!$B$7:$B$1006,"&lt;="&amp;$A23)</f>
        <v>180</v>
      </c>
      <c r="F23" s="1">
        <f>SUMIFS(Ledger!$J$7:$J$1006,Ledger!$C$7:$C$1006,Portfolio!$C$5,Ledger!$E$7:$E$1006,History!F$6,Ledger!$B$7:$B$1006,"&lt;="&amp;$A23)</f>
        <v>400</v>
      </c>
      <c r="G23" s="1">
        <f>SUMIFS(Ledger!$J$7:$J$1006,Ledger!$C$7:$C$1006,Portfolio!$C$5,Ledger!$E$7:$E$1006,History!G$6,Ledger!$B$7:$B$1006,"&lt;="&amp;$A23)</f>
        <v>600</v>
      </c>
      <c r="H23" s="8">
        <f>SUMIFS(Ledger!$K$7:$K$1006,Ledger!$C$7:$C$1006,Portfolio!$C$5,Ledger!$B$7:$B$1006,"&lt;="&amp;$A23)</f>
        <v>38920</v>
      </c>
      <c r="I23" s="8">
        <f>IF(S23=6,SUMPRODUCT(B23:G23,History!B23:G23),NA())</f>
        <v>459471.73800000001</v>
      </c>
      <c r="J23" s="8">
        <f t="shared" si="0"/>
        <v>498391.73800000001</v>
      </c>
      <c r="K23" s="8">
        <f>SUMIFS(Ledger!$L$7:$L$1006,Ledger!$C$7:$C$1006,Portfolio!$C$5,Ledger!$B$7:$B$1006,$A23)</f>
        <v>0</v>
      </c>
      <c r="L23" s="10">
        <f>IF(A23&lt;Holdings!$G$24,"",IF(A23=Holdings!$G$24,IF(K23&gt;0,J23/K23-1,NA()),IF(J22&gt;0,(J23-K23)/J22-1,NA())))</f>
        <v>3.2238702735474245E-3</v>
      </c>
      <c r="M23" s="11">
        <f>IF(A23&lt;Holdings!$G$24,"",IF(A23=Holdings!$G$24,100*(1+L23),M22*(1+L23)))</f>
        <v>99.678347600000009</v>
      </c>
      <c r="N23" s="11">
        <f>IF(A23&lt;Holdings!$G$24,"",IF(A23=Holdings!$G$24,MAX(100,M23),MAX(N22,M23)))</f>
        <v>101.59037800000002</v>
      </c>
      <c r="O23" s="10">
        <f>IF(A23&lt;Holdings!$G$24,"",M23/N23-1)</f>
        <v>-1.8820979286050199E-2</v>
      </c>
      <c r="P23" s="11">
        <f>IF(A23&lt;Holdings!$G$24,"",IF(History!H23&gt;0,History!H23/INDEX(History!$H$7:$H$136,MATCH(Holdings!$G$24,History!$A$7:$A$136,0))*100,NA()))</f>
        <v>98.365432999999996</v>
      </c>
      <c r="Q23" s="10">
        <f>IF(A23&lt;=Holdings!$G$24,"",P23/P22-1)</f>
        <v>4.0555130780193238E-3</v>
      </c>
      <c r="R23" s="8">
        <f>IF(A23&gt;Portfolio!$J$5,0,-K23+IF(A23=Portfolio!$J$5,J23,0))</f>
        <v>0</v>
      </c>
      <c r="S23" s="1">
        <f>COUNTIFS(History!B23:G23,"&gt;0")</f>
        <v>6</v>
      </c>
      <c r="T23" s="1" t="str">
        <f t="shared" si="1"/>
        <v>14-Apr</v>
      </c>
      <c r="U23" s="10">
        <f>IF(AND(A23&lt;=Portfolio!$J$5,A23&gt;=Holdings!$G$24),O23,0)</f>
        <v>-1.8820979286050199E-2</v>
      </c>
      <c r="V23" s="12">
        <f>IF(AND(A23&gt;Holdings!$G$24,A23&lt;=Portfolio!$J$5),L23,"")</f>
        <v>3.2238702735474245E-3</v>
      </c>
      <c r="W23" s="12">
        <f>IF(AND(A23&gt;Holdings!$G$24,A23&lt;=Portfolio!$J$5),Q23,"")</f>
        <v>4.0555130780193238E-3</v>
      </c>
    </row>
    <row r="24" spans="1:23" ht="20" customHeight="1" x14ac:dyDescent="0.35">
      <c r="A24" s="7">
        <v>46127</v>
      </c>
      <c r="B24" s="1">
        <f>SUMIFS(Ledger!$J$7:$J$1006,Ledger!$C$7:$C$1006,Portfolio!$C$5,Ledger!$E$7:$E$1006,History!B$6,Ledger!$B$7:$B$1006,"&lt;="&amp;$A24)</f>
        <v>80</v>
      </c>
      <c r="C24" s="1">
        <f>SUMIFS(Ledger!$J$7:$J$1006,Ledger!$C$7:$C$1006,Portfolio!$C$5,Ledger!$E$7:$E$1006,History!C$6,Ledger!$B$7:$B$1006,"&lt;="&amp;$A24)</f>
        <v>100</v>
      </c>
      <c r="D24" s="1">
        <f>SUMIFS(Ledger!$J$7:$J$1006,Ledger!$C$7:$C$1006,Portfolio!$C$5,Ledger!$E$7:$E$1006,History!D$6,Ledger!$B$7:$B$1006,"&lt;="&amp;$A24)</f>
        <v>70</v>
      </c>
      <c r="E24" s="1">
        <f>SUMIFS(Ledger!$J$7:$J$1006,Ledger!$C$7:$C$1006,Portfolio!$C$5,Ledger!$E$7:$E$1006,History!E$6,Ledger!$B$7:$B$1006,"&lt;="&amp;$A24)</f>
        <v>180</v>
      </c>
      <c r="F24" s="1">
        <f>SUMIFS(Ledger!$J$7:$J$1006,Ledger!$C$7:$C$1006,Portfolio!$C$5,Ledger!$E$7:$E$1006,History!F$6,Ledger!$B$7:$B$1006,"&lt;="&amp;$A24)</f>
        <v>400</v>
      </c>
      <c r="G24" s="1">
        <f>SUMIFS(Ledger!$J$7:$J$1006,Ledger!$C$7:$C$1006,Portfolio!$C$5,Ledger!$E$7:$E$1006,History!G$6,Ledger!$B$7:$B$1006,"&lt;="&amp;$A24)</f>
        <v>600</v>
      </c>
      <c r="H24" s="8">
        <f>SUMIFS(Ledger!$K$7:$K$1006,Ledger!$C$7:$C$1006,Portfolio!$C$5,Ledger!$B$7:$B$1006,"&lt;="&amp;$A24)</f>
        <v>38920</v>
      </c>
      <c r="I24" s="8">
        <f>IF(S24=6,SUMPRODUCT(B24:G24,History!B24:G24),NA())</f>
        <v>456794.027</v>
      </c>
      <c r="J24" s="8">
        <f t="shared" si="0"/>
        <v>495714.027</v>
      </c>
      <c r="K24" s="8">
        <f>SUMIFS(Ledger!$L$7:$L$1006,Ledger!$C$7:$C$1006,Portfolio!$C$5,Ledger!$B$7:$B$1006,$A24)</f>
        <v>0</v>
      </c>
      <c r="L24" s="10">
        <f>IF(A24&lt;Holdings!$G$24,"",IF(A24=Holdings!$G$24,IF(K24&gt;0,J24/K24-1,NA()),IF(J23&gt;0,(J24-K24)/J23-1,NA())))</f>
        <v>-5.3727034295260045E-3</v>
      </c>
      <c r="M24" s="11">
        <f>IF(A24&lt;Holdings!$G$24,"",IF(A24=Holdings!$G$24,100*(1+L24),M23*(1+L24)))</f>
        <v>99.1428054</v>
      </c>
      <c r="N24" s="11">
        <f>IF(A24&lt;Holdings!$G$24,"",IF(A24=Holdings!$G$24,MAX(100,M24),MAX(N23,M24)))</f>
        <v>101.59037800000002</v>
      </c>
      <c r="O24" s="10">
        <f>IF(A24&lt;Holdings!$G$24,"",M24/N24-1)</f>
        <v>-2.4092563175619031E-2</v>
      </c>
      <c r="P24" s="11">
        <f>IF(A24&lt;Holdings!$G$24,"",IF(History!H24&gt;0,History!H24/INDEX(History!$H$7:$H$136,MATCH(Holdings!$G$24,History!$A$7:$A$136,0))*100,NA()))</f>
        <v>98.474649299999996</v>
      </c>
      <c r="Q24" s="10">
        <f>IF(A24&lt;=Holdings!$G$24,"",P24/P23-1)</f>
        <v>1.1103117901183346E-3</v>
      </c>
      <c r="R24" s="8">
        <f>IF(A24&gt;Portfolio!$J$5,0,-K24+IF(A24=Portfolio!$J$5,J24,0))</f>
        <v>0</v>
      </c>
      <c r="S24" s="1">
        <f>COUNTIFS(History!B24:G24,"&gt;0")</f>
        <v>6</v>
      </c>
      <c r="T24" s="1" t="str">
        <f t="shared" si="1"/>
        <v>15-Apr</v>
      </c>
      <c r="U24" s="10">
        <f>IF(AND(A24&lt;=Portfolio!$J$5,A24&gt;=Holdings!$G$24),O24,0)</f>
        <v>-2.4092563175619031E-2</v>
      </c>
      <c r="V24" s="12">
        <f>IF(AND(A24&gt;Holdings!$G$24,A24&lt;=Portfolio!$J$5),L24,"")</f>
        <v>-5.3727034295260045E-3</v>
      </c>
      <c r="W24" s="12">
        <f>IF(AND(A24&gt;Holdings!$G$24,A24&lt;=Portfolio!$J$5),Q24,"")</f>
        <v>1.1103117901183346E-3</v>
      </c>
    </row>
    <row r="25" spans="1:23" ht="20" customHeight="1" x14ac:dyDescent="0.35">
      <c r="A25" s="7">
        <v>46128</v>
      </c>
      <c r="B25" s="1">
        <f>SUMIFS(Ledger!$J$7:$J$1006,Ledger!$C$7:$C$1006,Portfolio!$C$5,Ledger!$E$7:$E$1006,History!B$6,Ledger!$B$7:$B$1006,"&lt;="&amp;$A25)</f>
        <v>80</v>
      </c>
      <c r="C25" s="1">
        <f>SUMIFS(Ledger!$J$7:$J$1006,Ledger!$C$7:$C$1006,Portfolio!$C$5,Ledger!$E$7:$E$1006,History!C$6,Ledger!$B$7:$B$1006,"&lt;="&amp;$A25)</f>
        <v>100</v>
      </c>
      <c r="D25" s="1">
        <f>SUMIFS(Ledger!$J$7:$J$1006,Ledger!$C$7:$C$1006,Portfolio!$C$5,Ledger!$E$7:$E$1006,History!D$6,Ledger!$B$7:$B$1006,"&lt;="&amp;$A25)</f>
        <v>70</v>
      </c>
      <c r="E25" s="1">
        <f>SUMIFS(Ledger!$J$7:$J$1006,Ledger!$C$7:$C$1006,Portfolio!$C$5,Ledger!$E$7:$E$1006,History!E$6,Ledger!$B$7:$B$1006,"&lt;="&amp;$A25)</f>
        <v>180</v>
      </c>
      <c r="F25" s="1">
        <f>SUMIFS(Ledger!$J$7:$J$1006,Ledger!$C$7:$C$1006,Portfolio!$C$5,Ledger!$E$7:$E$1006,History!F$6,Ledger!$B$7:$B$1006,"&lt;="&amp;$A25)</f>
        <v>400</v>
      </c>
      <c r="G25" s="1">
        <f>SUMIFS(Ledger!$J$7:$J$1006,Ledger!$C$7:$C$1006,Portfolio!$C$5,Ledger!$E$7:$E$1006,History!G$6,Ledger!$B$7:$B$1006,"&lt;="&amp;$A25)</f>
        <v>600</v>
      </c>
      <c r="H25" s="8">
        <f>SUMIFS(Ledger!$K$7:$K$1006,Ledger!$C$7:$C$1006,Portfolio!$C$5,Ledger!$B$7:$B$1006,"&lt;="&amp;$A25)</f>
        <v>38920</v>
      </c>
      <c r="I25" s="8">
        <f>IF(S25=6,SUMPRODUCT(B25:G25,History!B25:G25),NA())</f>
        <v>460311.90299999999</v>
      </c>
      <c r="J25" s="8">
        <f t="shared" si="0"/>
        <v>499231.90299999999</v>
      </c>
      <c r="K25" s="8">
        <f>SUMIFS(Ledger!$L$7:$L$1006,Ledger!$C$7:$C$1006,Portfolio!$C$5,Ledger!$B$7:$B$1006,$A25)</f>
        <v>0</v>
      </c>
      <c r="L25" s="10">
        <f>IF(A25&lt;Holdings!$G$24,"",IF(A25=Holdings!$G$24,IF(K25&gt;0,J25/K25-1,NA()),IF(J24&gt;0,(J25-K25)/J24-1,NA())))</f>
        <v>7.0965835308105518E-3</v>
      </c>
      <c r="M25" s="11">
        <f>IF(A25&lt;Holdings!$G$24,"",IF(A25=Holdings!$G$24,100*(1+L25),M24*(1+L25)))</f>
        <v>99.846380599999989</v>
      </c>
      <c r="N25" s="11">
        <f>IF(A25&lt;Holdings!$G$24,"",IF(A25=Holdings!$G$24,MAX(100,M25),MAX(N24,M25)))</f>
        <v>101.59037800000002</v>
      </c>
      <c r="O25" s="10">
        <f>IF(A25&lt;Holdings!$G$24,"",M25/N25-1)</f>
        <v>-1.7166954531855572E-2</v>
      </c>
      <c r="P25" s="11">
        <f>IF(A25&lt;Holdings!$G$24,"",IF(History!H25&gt;0,History!H25/INDEX(History!$H$7:$H$136,MATCH(Holdings!$G$24,History!$A$7:$A$136,0))*100,NA()))</f>
        <v>98.754352300000008</v>
      </c>
      <c r="Q25" s="10">
        <f>IF(A25&lt;=Holdings!$G$24,"",P25/P24-1)</f>
        <v>2.840355380681947E-3</v>
      </c>
      <c r="R25" s="8">
        <f>IF(A25&gt;Portfolio!$J$5,0,-K25+IF(A25=Portfolio!$J$5,J25,0))</f>
        <v>0</v>
      </c>
      <c r="S25" s="1">
        <f>COUNTIFS(History!B25:G25,"&gt;0")</f>
        <v>6</v>
      </c>
      <c r="T25" s="1" t="str">
        <f t="shared" si="1"/>
        <v>16-Apr</v>
      </c>
      <c r="U25" s="10">
        <f>IF(AND(A25&lt;=Portfolio!$J$5,A25&gt;=Holdings!$G$24),O25,0)</f>
        <v>-1.7166954531855572E-2</v>
      </c>
      <c r="V25" s="12">
        <f>IF(AND(A25&gt;Holdings!$G$24,A25&lt;=Portfolio!$J$5),L25,"")</f>
        <v>7.0965835308105518E-3</v>
      </c>
      <c r="W25" s="12">
        <f>IF(AND(A25&gt;Holdings!$G$24,A25&lt;=Portfolio!$J$5),Q25,"")</f>
        <v>2.840355380681947E-3</v>
      </c>
    </row>
    <row r="26" spans="1:23" ht="20" customHeight="1" x14ac:dyDescent="0.35">
      <c r="A26" s="7">
        <v>46129</v>
      </c>
      <c r="B26" s="1">
        <f>SUMIFS(Ledger!$J$7:$J$1006,Ledger!$C$7:$C$1006,Portfolio!$C$5,Ledger!$E$7:$E$1006,History!B$6,Ledger!$B$7:$B$1006,"&lt;="&amp;$A26)</f>
        <v>80</v>
      </c>
      <c r="C26" s="1">
        <f>SUMIFS(Ledger!$J$7:$J$1006,Ledger!$C$7:$C$1006,Portfolio!$C$5,Ledger!$E$7:$E$1006,History!C$6,Ledger!$B$7:$B$1006,"&lt;="&amp;$A26)</f>
        <v>100</v>
      </c>
      <c r="D26" s="1">
        <f>SUMIFS(Ledger!$J$7:$J$1006,Ledger!$C$7:$C$1006,Portfolio!$C$5,Ledger!$E$7:$E$1006,History!D$6,Ledger!$B$7:$B$1006,"&lt;="&amp;$A26)</f>
        <v>70</v>
      </c>
      <c r="E26" s="1">
        <f>SUMIFS(Ledger!$J$7:$J$1006,Ledger!$C$7:$C$1006,Portfolio!$C$5,Ledger!$E$7:$E$1006,History!E$6,Ledger!$B$7:$B$1006,"&lt;="&amp;$A26)</f>
        <v>180</v>
      </c>
      <c r="F26" s="1">
        <f>SUMIFS(Ledger!$J$7:$J$1006,Ledger!$C$7:$C$1006,Portfolio!$C$5,Ledger!$E$7:$E$1006,History!F$6,Ledger!$B$7:$B$1006,"&lt;="&amp;$A26)</f>
        <v>400</v>
      </c>
      <c r="G26" s="1">
        <f>SUMIFS(Ledger!$J$7:$J$1006,Ledger!$C$7:$C$1006,Portfolio!$C$5,Ledger!$E$7:$E$1006,History!G$6,Ledger!$B$7:$B$1006,"&lt;="&amp;$A26)</f>
        <v>600</v>
      </c>
      <c r="H26" s="8">
        <f>SUMIFS(Ledger!$K$7:$K$1006,Ledger!$C$7:$C$1006,Portfolio!$C$5,Ledger!$B$7:$B$1006,"&lt;="&amp;$A26)</f>
        <v>38920</v>
      </c>
      <c r="I26" s="8">
        <f>IF(S26=6,SUMPRODUCT(B26:G26,History!B26:G26),NA())</f>
        <v>459868.734</v>
      </c>
      <c r="J26" s="8">
        <f t="shared" si="0"/>
        <v>498788.734</v>
      </c>
      <c r="K26" s="8">
        <f>SUMIFS(Ledger!$L$7:$L$1006,Ledger!$C$7:$C$1006,Portfolio!$C$5,Ledger!$B$7:$B$1006,$A26)</f>
        <v>0</v>
      </c>
      <c r="L26" s="10">
        <f>IF(A26&lt;Holdings!$G$24,"",IF(A26=Holdings!$G$24,IF(K26&gt;0,J26/K26-1,NA()),IF(J25&gt;0,(J26-K26)/J25-1,NA())))</f>
        <v>-8.8770168199769905E-4</v>
      </c>
      <c r="M26" s="11">
        <f>IF(A26&lt;Holdings!$G$24,"",IF(A26=Holdings!$G$24,100*(1+L26),M25*(1+L26)))</f>
        <v>99.757746799999993</v>
      </c>
      <c r="N26" s="11">
        <f>IF(A26&lt;Holdings!$G$24,"",IF(A26=Holdings!$G$24,MAX(100,M26),MAX(N25,M26)))</f>
        <v>101.59037800000002</v>
      </c>
      <c r="O26" s="10">
        <f>IF(A26&lt;Holdings!$G$24,"",M26/N26-1)</f>
        <v>-1.8039417079440567E-2</v>
      </c>
      <c r="P26" s="11">
        <f>IF(A26&lt;Holdings!$G$24,"",IF(History!H26&gt;0,History!H26/INDEX(History!$H$7:$H$136,MATCH(Holdings!$G$24,History!$A$7:$A$136,0))*100,NA()))</f>
        <v>98.854471999999987</v>
      </c>
      <c r="Q26" s="10">
        <f>IF(A26&lt;=Holdings!$G$24,"",P26/P25-1)</f>
        <v>1.0138256964697945E-3</v>
      </c>
      <c r="R26" s="8">
        <f>IF(A26&gt;Portfolio!$J$5,0,-K26+IF(A26=Portfolio!$J$5,J26,0))</f>
        <v>0</v>
      </c>
      <c r="S26" s="1">
        <f>COUNTIFS(History!B26:G26,"&gt;0")</f>
        <v>6</v>
      </c>
      <c r="T26" s="1" t="str">
        <f t="shared" si="1"/>
        <v>17-Apr</v>
      </c>
      <c r="U26" s="10">
        <f>IF(AND(A26&lt;=Portfolio!$J$5,A26&gt;=Holdings!$G$24),O26,0)</f>
        <v>-1.8039417079440567E-2</v>
      </c>
      <c r="V26" s="12">
        <f>IF(AND(A26&gt;Holdings!$G$24,A26&lt;=Portfolio!$J$5),L26,"")</f>
        <v>-8.8770168199769905E-4</v>
      </c>
      <c r="W26" s="12">
        <f>IF(AND(A26&gt;Holdings!$G$24,A26&lt;=Portfolio!$J$5),Q26,"")</f>
        <v>1.0138256964697945E-3</v>
      </c>
    </row>
    <row r="27" spans="1:23" ht="20" customHeight="1" x14ac:dyDescent="0.35">
      <c r="A27" s="7">
        <v>46132</v>
      </c>
      <c r="B27" s="1">
        <f>SUMIFS(Ledger!$J$7:$J$1006,Ledger!$C$7:$C$1006,Portfolio!$C$5,Ledger!$E$7:$E$1006,History!B$6,Ledger!$B$7:$B$1006,"&lt;="&amp;$A27)</f>
        <v>80</v>
      </c>
      <c r="C27" s="1">
        <f>SUMIFS(Ledger!$J$7:$J$1006,Ledger!$C$7:$C$1006,Portfolio!$C$5,Ledger!$E$7:$E$1006,History!C$6,Ledger!$B$7:$B$1006,"&lt;="&amp;$A27)</f>
        <v>100</v>
      </c>
      <c r="D27" s="1">
        <f>SUMIFS(Ledger!$J$7:$J$1006,Ledger!$C$7:$C$1006,Portfolio!$C$5,Ledger!$E$7:$E$1006,History!D$6,Ledger!$B$7:$B$1006,"&lt;="&amp;$A27)</f>
        <v>70</v>
      </c>
      <c r="E27" s="1">
        <f>SUMIFS(Ledger!$J$7:$J$1006,Ledger!$C$7:$C$1006,Portfolio!$C$5,Ledger!$E$7:$E$1006,History!E$6,Ledger!$B$7:$B$1006,"&lt;="&amp;$A27)</f>
        <v>180</v>
      </c>
      <c r="F27" s="1">
        <f>SUMIFS(Ledger!$J$7:$J$1006,Ledger!$C$7:$C$1006,Portfolio!$C$5,Ledger!$E$7:$E$1006,History!F$6,Ledger!$B$7:$B$1006,"&lt;="&amp;$A27)</f>
        <v>400</v>
      </c>
      <c r="G27" s="1">
        <f>SUMIFS(Ledger!$J$7:$J$1006,Ledger!$C$7:$C$1006,Portfolio!$C$5,Ledger!$E$7:$E$1006,History!G$6,Ledger!$B$7:$B$1006,"&lt;="&amp;$A27)</f>
        <v>600</v>
      </c>
      <c r="H27" s="8">
        <f>SUMIFS(Ledger!$K$7:$K$1006,Ledger!$C$7:$C$1006,Portfolio!$C$5,Ledger!$B$7:$B$1006,"&lt;="&amp;$A27)</f>
        <v>38920</v>
      </c>
      <c r="I27" s="8">
        <f>IF(S27=6,SUMPRODUCT(B27:G27,History!B27:G27),NA())</f>
        <v>455398.95799999993</v>
      </c>
      <c r="J27" s="8">
        <f t="shared" si="0"/>
        <v>494318.95799999993</v>
      </c>
      <c r="K27" s="8">
        <f>SUMIFS(Ledger!$L$7:$L$1006,Ledger!$C$7:$C$1006,Portfolio!$C$5,Ledger!$B$7:$B$1006,$A27)</f>
        <v>0</v>
      </c>
      <c r="L27" s="10">
        <f>IF(A27&lt;Holdings!$G$24,"",IF(A27=Holdings!$G$24,IF(K27&gt;0,J27/K27-1,NA()),IF(J26&gt;0,(J27-K27)/J26-1,NA())))</f>
        <v>-8.9612609413910471E-3</v>
      </c>
      <c r="M27" s="11">
        <f>IF(A27&lt;Holdings!$G$24,"",IF(A27=Holdings!$G$24,100*(1+L27),M26*(1+L27)))</f>
        <v>98.863791599999971</v>
      </c>
      <c r="N27" s="11">
        <f>IF(A27&lt;Holdings!$G$24,"",IF(A27=Holdings!$G$24,MAX(100,M27),MAX(N26,M27)))</f>
        <v>101.59037800000002</v>
      </c>
      <c r="O27" s="10">
        <f>IF(A27&lt;Holdings!$G$24,"",M27/N27-1)</f>
        <v>-2.6839022097152165E-2</v>
      </c>
      <c r="P27" s="11">
        <f>IF(A27&lt;Holdings!$G$24,"",IF(History!H27&gt;0,History!H27/INDEX(History!$H$7:$H$136,MATCH(Holdings!$G$24,History!$A$7:$A$136,0))*100,NA()))</f>
        <v>97.784281100000001</v>
      </c>
      <c r="Q27" s="10">
        <f>IF(A27&lt;=Holdings!$G$24,"",P27/P26-1)</f>
        <v>-1.082592297898255E-2</v>
      </c>
      <c r="R27" s="8">
        <f>IF(A27&gt;Portfolio!$J$5,0,-K27+IF(A27=Portfolio!$J$5,J27,0))</f>
        <v>0</v>
      </c>
      <c r="S27" s="1">
        <f>COUNTIFS(History!B27:G27,"&gt;0")</f>
        <v>6</v>
      </c>
      <c r="T27" s="1" t="str">
        <f t="shared" si="1"/>
        <v>20-Apr</v>
      </c>
      <c r="U27" s="10">
        <f>IF(AND(A27&lt;=Portfolio!$J$5,A27&gt;=Holdings!$G$24),O27,0)</f>
        <v>-2.6839022097152165E-2</v>
      </c>
      <c r="V27" s="12">
        <f>IF(AND(A27&gt;Holdings!$G$24,A27&lt;=Portfolio!$J$5),L27,"")</f>
        <v>-8.9612609413910471E-3</v>
      </c>
      <c r="W27" s="12">
        <f>IF(AND(A27&gt;Holdings!$G$24,A27&lt;=Portfolio!$J$5),Q27,"")</f>
        <v>-1.082592297898255E-2</v>
      </c>
    </row>
    <row r="28" spans="1:23" ht="20" customHeight="1" x14ac:dyDescent="0.35">
      <c r="A28" s="7">
        <v>46133</v>
      </c>
      <c r="B28" s="1">
        <f>SUMIFS(Ledger!$J$7:$J$1006,Ledger!$C$7:$C$1006,Portfolio!$C$5,Ledger!$E$7:$E$1006,History!B$6,Ledger!$B$7:$B$1006,"&lt;="&amp;$A28)</f>
        <v>80</v>
      </c>
      <c r="C28" s="1">
        <f>SUMIFS(Ledger!$J$7:$J$1006,Ledger!$C$7:$C$1006,Portfolio!$C$5,Ledger!$E$7:$E$1006,History!C$6,Ledger!$B$7:$B$1006,"&lt;="&amp;$A28)</f>
        <v>100</v>
      </c>
      <c r="D28" s="1">
        <f>SUMIFS(Ledger!$J$7:$J$1006,Ledger!$C$7:$C$1006,Portfolio!$C$5,Ledger!$E$7:$E$1006,History!D$6,Ledger!$B$7:$B$1006,"&lt;="&amp;$A28)</f>
        <v>70</v>
      </c>
      <c r="E28" s="1">
        <f>SUMIFS(Ledger!$J$7:$J$1006,Ledger!$C$7:$C$1006,Portfolio!$C$5,Ledger!$E$7:$E$1006,History!E$6,Ledger!$B$7:$B$1006,"&lt;="&amp;$A28)</f>
        <v>180</v>
      </c>
      <c r="F28" s="1">
        <f>SUMIFS(Ledger!$J$7:$J$1006,Ledger!$C$7:$C$1006,Portfolio!$C$5,Ledger!$E$7:$E$1006,History!F$6,Ledger!$B$7:$B$1006,"&lt;="&amp;$A28)</f>
        <v>400</v>
      </c>
      <c r="G28" s="1">
        <f>SUMIFS(Ledger!$J$7:$J$1006,Ledger!$C$7:$C$1006,Portfolio!$C$5,Ledger!$E$7:$E$1006,History!G$6,Ledger!$B$7:$B$1006,"&lt;="&amp;$A28)</f>
        <v>600</v>
      </c>
      <c r="H28" s="8">
        <f>SUMIFS(Ledger!$K$7:$K$1006,Ledger!$C$7:$C$1006,Portfolio!$C$5,Ledger!$B$7:$B$1006,"&lt;="&amp;$A28)</f>
        <v>38920</v>
      </c>
      <c r="I28" s="8">
        <f>IF(S28=6,SUMPRODUCT(B28:G28,History!B28:G28),NA())</f>
        <v>456509.73300000001</v>
      </c>
      <c r="J28" s="8">
        <f t="shared" si="0"/>
        <v>495429.73300000001</v>
      </c>
      <c r="K28" s="8">
        <f>SUMIFS(Ledger!$L$7:$L$1006,Ledger!$C$7:$C$1006,Portfolio!$C$5,Ledger!$B$7:$B$1006,$A28)</f>
        <v>0</v>
      </c>
      <c r="L28" s="10">
        <f>IF(A28&lt;Holdings!$G$24,"",IF(A28=Holdings!$G$24,IF(K28&gt;0,J28/K28-1,NA()),IF(J27&gt;0,(J28-K28)/J27-1,NA())))</f>
        <v>2.2470815290884794E-3</v>
      </c>
      <c r="M28" s="11">
        <f>IF(A28&lt;Holdings!$G$24,"",IF(A28=Holdings!$G$24,100*(1+L28),M27*(1+L28)))</f>
        <v>99.085946599999986</v>
      </c>
      <c r="N28" s="11">
        <f>IF(A28&lt;Holdings!$G$24,"",IF(A28=Holdings!$G$24,MAX(100,M28),MAX(N27,M28)))</f>
        <v>101.59037800000002</v>
      </c>
      <c r="O28" s="10">
        <f>IF(A28&lt;Holdings!$G$24,"",M28/N28-1)</f>
        <v>-2.4652250038877055E-2</v>
      </c>
      <c r="P28" s="11">
        <f>IF(A28&lt;Holdings!$G$24,"",IF(History!H28&gt;0,History!H28/INDEX(History!$H$7:$H$136,MATCH(Holdings!$G$24,History!$A$7:$A$136,0))*100,NA()))</f>
        <v>97.830248699999999</v>
      </c>
      <c r="Q28" s="10">
        <f>IF(A28&lt;=Holdings!$G$24,"",P28/P27-1)</f>
        <v>4.7009191541724782E-4</v>
      </c>
      <c r="R28" s="8">
        <f>IF(A28&gt;Portfolio!$J$5,0,-K28+IF(A28=Portfolio!$J$5,J28,0))</f>
        <v>0</v>
      </c>
      <c r="S28" s="1">
        <f>COUNTIFS(History!B28:G28,"&gt;0")</f>
        <v>6</v>
      </c>
      <c r="T28" s="1" t="str">
        <f t="shared" si="1"/>
        <v>21-Apr</v>
      </c>
      <c r="U28" s="10">
        <f>IF(AND(A28&lt;=Portfolio!$J$5,A28&gt;=Holdings!$G$24),O28,0)</f>
        <v>-2.4652250038877055E-2</v>
      </c>
      <c r="V28" s="12">
        <f>IF(AND(A28&gt;Holdings!$G$24,A28&lt;=Portfolio!$J$5),L28,"")</f>
        <v>2.2470815290884794E-3</v>
      </c>
      <c r="W28" s="12">
        <f>IF(AND(A28&gt;Holdings!$G$24,A28&lt;=Portfolio!$J$5),Q28,"")</f>
        <v>4.7009191541724782E-4</v>
      </c>
    </row>
    <row r="29" spans="1:23" ht="20" customHeight="1" x14ac:dyDescent="0.35">
      <c r="A29" s="7">
        <v>46134</v>
      </c>
      <c r="B29" s="1">
        <f>SUMIFS(Ledger!$J$7:$J$1006,Ledger!$C$7:$C$1006,Portfolio!$C$5,Ledger!$E$7:$E$1006,History!B$6,Ledger!$B$7:$B$1006,"&lt;="&amp;$A29)</f>
        <v>80</v>
      </c>
      <c r="C29" s="1">
        <f>SUMIFS(Ledger!$J$7:$J$1006,Ledger!$C$7:$C$1006,Portfolio!$C$5,Ledger!$E$7:$E$1006,History!C$6,Ledger!$B$7:$B$1006,"&lt;="&amp;$A29)</f>
        <v>100</v>
      </c>
      <c r="D29" s="1">
        <f>SUMIFS(Ledger!$J$7:$J$1006,Ledger!$C$7:$C$1006,Portfolio!$C$5,Ledger!$E$7:$E$1006,History!D$6,Ledger!$B$7:$B$1006,"&lt;="&amp;$A29)</f>
        <v>70</v>
      </c>
      <c r="E29" s="1">
        <f>SUMIFS(Ledger!$J$7:$J$1006,Ledger!$C$7:$C$1006,Portfolio!$C$5,Ledger!$E$7:$E$1006,History!E$6,Ledger!$B$7:$B$1006,"&lt;="&amp;$A29)</f>
        <v>180</v>
      </c>
      <c r="F29" s="1">
        <f>SUMIFS(Ledger!$J$7:$J$1006,Ledger!$C$7:$C$1006,Portfolio!$C$5,Ledger!$E$7:$E$1006,History!F$6,Ledger!$B$7:$B$1006,"&lt;="&amp;$A29)</f>
        <v>400</v>
      </c>
      <c r="G29" s="1">
        <f>SUMIFS(Ledger!$J$7:$J$1006,Ledger!$C$7:$C$1006,Portfolio!$C$5,Ledger!$E$7:$E$1006,History!G$6,Ledger!$B$7:$B$1006,"&lt;="&amp;$A29)</f>
        <v>600</v>
      </c>
      <c r="H29" s="8">
        <f>SUMIFS(Ledger!$K$7:$K$1006,Ledger!$C$7:$C$1006,Portfolio!$C$5,Ledger!$B$7:$B$1006,"&lt;="&amp;$A29)</f>
        <v>38920</v>
      </c>
      <c r="I29" s="8">
        <f>IF(S29=6,SUMPRODUCT(B29:G29,History!B29:G29),NA())</f>
        <v>456534.58199999999</v>
      </c>
      <c r="J29" s="8">
        <f t="shared" si="0"/>
        <v>495454.58199999999</v>
      </c>
      <c r="K29" s="8">
        <f>SUMIFS(Ledger!$L$7:$L$1006,Ledger!$C$7:$C$1006,Portfolio!$C$5,Ledger!$B$7:$B$1006,$A29)</f>
        <v>0</v>
      </c>
      <c r="L29" s="10">
        <f>IF(A29&lt;Holdings!$G$24,"",IF(A29=Holdings!$G$24,IF(K29&gt;0,J29/K29-1,NA()),IF(J28&gt;0,(J29-K29)/J28-1,NA())))</f>
        <v>5.0156456798733373E-5</v>
      </c>
      <c r="M29" s="11">
        <f>IF(A29&lt;Holdings!$G$24,"",IF(A29=Holdings!$G$24,100*(1+L29),M28*(1+L29)))</f>
        <v>99.090916399999983</v>
      </c>
      <c r="N29" s="11">
        <f>IF(A29&lt;Holdings!$G$24,"",IF(A29=Holdings!$G$24,MAX(100,M29),MAX(N28,M29)))</f>
        <v>101.59037800000002</v>
      </c>
      <c r="O29" s="10">
        <f>IF(A29&lt;Holdings!$G$24,"",M29/N29-1)</f>
        <v>-2.4603330051592431E-2</v>
      </c>
      <c r="P29" s="11">
        <f>IF(A29&lt;Holdings!$G$24,"",IF(History!H29&gt;0,History!H29/INDEX(History!$H$7:$H$136,MATCH(Holdings!$G$24,History!$A$7:$A$136,0))*100,NA()))</f>
        <v>97.478268799999995</v>
      </c>
      <c r="Q29" s="10">
        <f>IF(A29&lt;=Holdings!$G$24,"",P29/P28-1)</f>
        <v>-3.5978636942788356E-3</v>
      </c>
      <c r="R29" s="8">
        <f>IF(A29&gt;Portfolio!$J$5,0,-K29+IF(A29=Portfolio!$J$5,J29,0))</f>
        <v>0</v>
      </c>
      <c r="S29" s="1">
        <f>COUNTIFS(History!B29:G29,"&gt;0")</f>
        <v>6</v>
      </c>
      <c r="T29" s="1" t="str">
        <f t="shared" si="1"/>
        <v>22-Apr</v>
      </c>
      <c r="U29" s="10">
        <f>IF(AND(A29&lt;=Portfolio!$J$5,A29&gt;=Holdings!$G$24),O29,0)</f>
        <v>-2.4603330051592431E-2</v>
      </c>
      <c r="V29" s="12">
        <f>IF(AND(A29&gt;Holdings!$G$24,A29&lt;=Portfolio!$J$5),L29,"")</f>
        <v>5.0156456798733373E-5</v>
      </c>
      <c r="W29" s="12">
        <f>IF(AND(A29&gt;Holdings!$G$24,A29&lt;=Portfolio!$J$5),Q29,"")</f>
        <v>-3.5978636942788356E-3</v>
      </c>
    </row>
    <row r="30" spans="1:23" ht="20" customHeight="1" x14ac:dyDescent="0.35">
      <c r="A30" s="7">
        <v>46135</v>
      </c>
      <c r="B30" s="1">
        <f>SUMIFS(Ledger!$J$7:$J$1006,Ledger!$C$7:$C$1006,Portfolio!$C$5,Ledger!$E$7:$E$1006,History!B$6,Ledger!$B$7:$B$1006,"&lt;="&amp;$A30)</f>
        <v>80</v>
      </c>
      <c r="C30" s="1">
        <f>SUMIFS(Ledger!$J$7:$J$1006,Ledger!$C$7:$C$1006,Portfolio!$C$5,Ledger!$E$7:$E$1006,History!C$6,Ledger!$B$7:$B$1006,"&lt;="&amp;$A30)</f>
        <v>100</v>
      </c>
      <c r="D30" s="1">
        <f>SUMIFS(Ledger!$J$7:$J$1006,Ledger!$C$7:$C$1006,Portfolio!$C$5,Ledger!$E$7:$E$1006,History!D$6,Ledger!$B$7:$B$1006,"&lt;="&amp;$A30)</f>
        <v>70</v>
      </c>
      <c r="E30" s="1">
        <f>SUMIFS(Ledger!$J$7:$J$1006,Ledger!$C$7:$C$1006,Portfolio!$C$5,Ledger!$E$7:$E$1006,History!E$6,Ledger!$B$7:$B$1006,"&lt;="&amp;$A30)</f>
        <v>180</v>
      </c>
      <c r="F30" s="1">
        <f>SUMIFS(Ledger!$J$7:$J$1006,Ledger!$C$7:$C$1006,Portfolio!$C$5,Ledger!$E$7:$E$1006,History!F$6,Ledger!$B$7:$B$1006,"&lt;="&amp;$A30)</f>
        <v>400</v>
      </c>
      <c r="G30" s="1">
        <f>SUMIFS(Ledger!$J$7:$J$1006,Ledger!$C$7:$C$1006,Portfolio!$C$5,Ledger!$E$7:$E$1006,History!G$6,Ledger!$B$7:$B$1006,"&lt;="&amp;$A30)</f>
        <v>600</v>
      </c>
      <c r="H30" s="8">
        <f>SUMIFS(Ledger!$K$7:$K$1006,Ledger!$C$7:$C$1006,Portfolio!$C$5,Ledger!$B$7:$B$1006,"&lt;="&amp;$A30)</f>
        <v>38920</v>
      </c>
      <c r="I30" s="8">
        <f>IF(S30=6,SUMPRODUCT(B30:G30,History!B30:G30),NA())</f>
        <v>454994.37600000005</v>
      </c>
      <c r="J30" s="8">
        <f t="shared" si="0"/>
        <v>493914.37600000005</v>
      </c>
      <c r="K30" s="8">
        <f>SUMIFS(Ledger!$L$7:$L$1006,Ledger!$C$7:$C$1006,Portfolio!$C$5,Ledger!$B$7:$B$1006,$A30)</f>
        <v>0</v>
      </c>
      <c r="L30" s="10">
        <f>IF(A30&lt;Holdings!$G$24,"",IF(A30=Holdings!$G$24,IF(K30&gt;0,J30/K30-1,NA()),IF(J29&gt;0,(J30-K30)/J29-1,NA())))</f>
        <v>-3.1086724312501257E-3</v>
      </c>
      <c r="M30" s="11">
        <f>IF(A30&lt;Holdings!$G$24,"",IF(A30=Holdings!$G$24,100*(1+L30),M29*(1+L30)))</f>
        <v>98.782875199999992</v>
      </c>
      <c r="N30" s="11">
        <f>IF(A30&lt;Holdings!$G$24,"",IF(A30=Holdings!$G$24,MAX(100,M30),MAX(N29,M30)))</f>
        <v>101.59037800000002</v>
      </c>
      <c r="O30" s="10">
        <f>IF(A30&lt;Holdings!$G$24,"",M30/N30-1)</f>
        <v>-2.7635518788994173E-2</v>
      </c>
      <c r="P30" s="11">
        <f>IF(A30&lt;Holdings!$G$24,"",IF(History!H30&gt;0,History!H30/INDEX(History!$H$7:$H$136,MATCH(Holdings!$G$24,History!$A$7:$A$136,0))*100,NA()))</f>
        <v>97.179288199999988</v>
      </c>
      <c r="Q30" s="10">
        <f>IF(A30&lt;=Holdings!$G$24,"",P30/P29-1)</f>
        <v>-3.0671513115753113E-3</v>
      </c>
      <c r="R30" s="8">
        <f>IF(A30&gt;Portfolio!$J$5,0,-K30+IF(A30=Portfolio!$J$5,J30,0))</f>
        <v>0</v>
      </c>
      <c r="S30" s="1">
        <f>COUNTIFS(History!B30:G30,"&gt;0")</f>
        <v>6</v>
      </c>
      <c r="T30" s="1" t="str">
        <f t="shared" si="1"/>
        <v>23-Apr</v>
      </c>
      <c r="U30" s="10">
        <f>IF(AND(A30&lt;=Portfolio!$J$5,A30&gt;=Holdings!$G$24),O30,0)</f>
        <v>-2.7635518788994173E-2</v>
      </c>
      <c r="V30" s="12">
        <f>IF(AND(A30&gt;Holdings!$G$24,A30&lt;=Portfolio!$J$5),L30,"")</f>
        <v>-3.1086724312501257E-3</v>
      </c>
      <c r="W30" s="12">
        <f>IF(AND(A30&gt;Holdings!$G$24,A30&lt;=Portfolio!$J$5),Q30,"")</f>
        <v>-3.0671513115753113E-3</v>
      </c>
    </row>
    <row r="31" spans="1:23" ht="20" customHeight="1" x14ac:dyDescent="0.35">
      <c r="A31" s="7">
        <v>46136</v>
      </c>
      <c r="B31" s="1">
        <f>SUMIFS(Ledger!$J$7:$J$1006,Ledger!$C$7:$C$1006,Portfolio!$C$5,Ledger!$E$7:$E$1006,History!B$6,Ledger!$B$7:$B$1006,"&lt;="&amp;$A31)</f>
        <v>80</v>
      </c>
      <c r="C31" s="1">
        <f>SUMIFS(Ledger!$J$7:$J$1006,Ledger!$C$7:$C$1006,Portfolio!$C$5,Ledger!$E$7:$E$1006,History!C$6,Ledger!$B$7:$B$1006,"&lt;="&amp;$A31)</f>
        <v>100</v>
      </c>
      <c r="D31" s="1">
        <f>SUMIFS(Ledger!$J$7:$J$1006,Ledger!$C$7:$C$1006,Portfolio!$C$5,Ledger!$E$7:$E$1006,History!D$6,Ledger!$B$7:$B$1006,"&lt;="&amp;$A31)</f>
        <v>70</v>
      </c>
      <c r="E31" s="1">
        <f>SUMIFS(Ledger!$J$7:$J$1006,Ledger!$C$7:$C$1006,Portfolio!$C$5,Ledger!$E$7:$E$1006,History!E$6,Ledger!$B$7:$B$1006,"&lt;="&amp;$A31)</f>
        <v>180</v>
      </c>
      <c r="F31" s="1">
        <f>SUMIFS(Ledger!$J$7:$J$1006,Ledger!$C$7:$C$1006,Portfolio!$C$5,Ledger!$E$7:$E$1006,History!F$6,Ledger!$B$7:$B$1006,"&lt;="&amp;$A31)</f>
        <v>400</v>
      </c>
      <c r="G31" s="1">
        <f>SUMIFS(Ledger!$J$7:$J$1006,Ledger!$C$7:$C$1006,Portfolio!$C$5,Ledger!$E$7:$E$1006,History!G$6,Ledger!$B$7:$B$1006,"&lt;="&amp;$A31)</f>
        <v>600</v>
      </c>
      <c r="H31" s="8">
        <f>SUMIFS(Ledger!$K$7:$K$1006,Ledger!$C$7:$C$1006,Portfolio!$C$5,Ledger!$B$7:$B$1006,"&lt;="&amp;$A31)</f>
        <v>38920</v>
      </c>
      <c r="I31" s="8">
        <f>IF(S31=6,SUMPRODUCT(B31:G31,History!B31:G31),NA())</f>
        <v>458034.37800000003</v>
      </c>
      <c r="J31" s="8">
        <f t="shared" si="0"/>
        <v>496954.37800000003</v>
      </c>
      <c r="K31" s="8">
        <f>SUMIFS(Ledger!$L$7:$L$1006,Ledger!$C$7:$C$1006,Portfolio!$C$5,Ledger!$B$7:$B$1006,$A31)</f>
        <v>0</v>
      </c>
      <c r="L31" s="10">
        <f>IF(A31&lt;Holdings!$G$24,"",IF(A31=Holdings!$G$24,IF(K31&gt;0,J31/K31-1,NA()),IF(J30&gt;0,(J31-K31)/J30-1,NA())))</f>
        <v>6.154917021487849E-3</v>
      </c>
      <c r="M31" s="11">
        <f>IF(A31&lt;Holdings!$G$24,"",IF(A31=Holdings!$G$24,100*(1+L31),M30*(1+L31)))</f>
        <v>99.390875599999987</v>
      </c>
      <c r="N31" s="11">
        <f>IF(A31&lt;Holdings!$G$24,"",IF(A31=Holdings!$G$24,MAX(100,M31),MAX(N30,M31)))</f>
        <v>101.59037800000002</v>
      </c>
      <c r="O31" s="10">
        <f>IF(A31&lt;Holdings!$G$24,"",M31/N31-1)</f>
        <v>-2.1650696092498367E-2</v>
      </c>
      <c r="P31" s="11">
        <f>IF(A31&lt;Holdings!$G$24,"",IF(History!H31&gt;0,History!H31/INDEX(History!$H$7:$H$136,MATCH(Holdings!$G$24,History!$A$7:$A$136,0))*100,NA()))</f>
        <v>97.328268899999998</v>
      </c>
      <c r="Q31" s="10">
        <f>IF(A31&lt;=Holdings!$G$24,"",P31/P30-1)</f>
        <v>1.5330499199932568E-3</v>
      </c>
      <c r="R31" s="8">
        <f>IF(A31&gt;Portfolio!$J$5,0,-K31+IF(A31=Portfolio!$J$5,J31,0))</f>
        <v>0</v>
      </c>
      <c r="S31" s="1">
        <f>COUNTIFS(History!B31:G31,"&gt;0")</f>
        <v>6</v>
      </c>
      <c r="T31" s="1" t="str">
        <f t="shared" si="1"/>
        <v>24-Apr</v>
      </c>
      <c r="U31" s="10">
        <f>IF(AND(A31&lt;=Portfolio!$J$5,A31&gt;=Holdings!$G$24),O31,0)</f>
        <v>-2.1650696092498367E-2</v>
      </c>
      <c r="V31" s="12">
        <f>IF(AND(A31&gt;Holdings!$G$24,A31&lt;=Portfolio!$J$5),L31,"")</f>
        <v>6.154917021487849E-3</v>
      </c>
      <c r="W31" s="12">
        <f>IF(AND(A31&gt;Holdings!$G$24,A31&lt;=Portfolio!$J$5),Q31,"")</f>
        <v>1.5330499199932568E-3</v>
      </c>
    </row>
    <row r="32" spans="1:23" ht="20" customHeight="1" x14ac:dyDescent="0.35">
      <c r="A32" s="7">
        <v>46139</v>
      </c>
      <c r="B32" s="1">
        <f>SUMIFS(Ledger!$J$7:$J$1006,Ledger!$C$7:$C$1006,Portfolio!$C$5,Ledger!$E$7:$E$1006,History!B$6,Ledger!$B$7:$B$1006,"&lt;="&amp;$A32)</f>
        <v>80</v>
      </c>
      <c r="C32" s="1">
        <f>SUMIFS(Ledger!$J$7:$J$1006,Ledger!$C$7:$C$1006,Portfolio!$C$5,Ledger!$E$7:$E$1006,History!C$6,Ledger!$B$7:$B$1006,"&lt;="&amp;$A32)</f>
        <v>100</v>
      </c>
      <c r="D32" s="1">
        <f>SUMIFS(Ledger!$J$7:$J$1006,Ledger!$C$7:$C$1006,Portfolio!$C$5,Ledger!$E$7:$E$1006,History!D$6,Ledger!$B$7:$B$1006,"&lt;="&amp;$A32)</f>
        <v>70</v>
      </c>
      <c r="E32" s="1">
        <f>SUMIFS(Ledger!$J$7:$J$1006,Ledger!$C$7:$C$1006,Portfolio!$C$5,Ledger!$E$7:$E$1006,History!E$6,Ledger!$B$7:$B$1006,"&lt;="&amp;$A32)</f>
        <v>180</v>
      </c>
      <c r="F32" s="1">
        <f>SUMIFS(Ledger!$J$7:$J$1006,Ledger!$C$7:$C$1006,Portfolio!$C$5,Ledger!$E$7:$E$1006,History!F$6,Ledger!$B$7:$B$1006,"&lt;="&amp;$A32)</f>
        <v>400</v>
      </c>
      <c r="G32" s="1">
        <f>SUMIFS(Ledger!$J$7:$J$1006,Ledger!$C$7:$C$1006,Portfolio!$C$5,Ledger!$E$7:$E$1006,History!G$6,Ledger!$B$7:$B$1006,"&lt;="&amp;$A32)</f>
        <v>600</v>
      </c>
      <c r="H32" s="8">
        <f>SUMIFS(Ledger!$K$7:$K$1006,Ledger!$C$7:$C$1006,Portfolio!$C$5,Ledger!$B$7:$B$1006,"&lt;="&amp;$A32)</f>
        <v>88920</v>
      </c>
      <c r="I32" s="8">
        <f>IF(S32=6,SUMPRODUCT(B32:G32,History!B32:G32),NA())</f>
        <v>452505.74200000003</v>
      </c>
      <c r="J32" s="8">
        <f t="shared" si="0"/>
        <v>541425.74200000009</v>
      </c>
      <c r="K32" s="8">
        <f>SUMIFS(Ledger!$L$7:$L$1006,Ledger!$C$7:$C$1006,Portfolio!$C$5,Ledger!$B$7:$B$1006,$A32)</f>
        <v>50000</v>
      </c>
      <c r="L32" s="10">
        <f>IF(A32&lt;Holdings!$G$24,"",IF(A32=Holdings!$G$24,IF(K32&gt;0,J32/K32-1,NA()),IF(J31&gt;0,(J32-K32)/J31-1,NA())))</f>
        <v>-1.1125037316805697E-2</v>
      </c>
      <c r="M32" s="11">
        <f>IF(A32&lt;Holdings!$G$24,"",IF(A32=Holdings!$G$24,100*(1+L32),M31*(1+L32)))</f>
        <v>98.285148399999997</v>
      </c>
      <c r="N32" s="11">
        <f>IF(A32&lt;Holdings!$G$24,"",IF(A32=Holdings!$G$24,MAX(100,M32),MAX(N31,M32)))</f>
        <v>101.59037800000002</v>
      </c>
      <c r="O32" s="10">
        <f>IF(A32&lt;Holdings!$G$24,"",M32/N32-1)</f>
        <v>-3.2534868607340117E-2</v>
      </c>
      <c r="P32" s="11">
        <f>IF(A32&lt;Holdings!$G$24,"",IF(History!H32&gt;0,History!H32/INDEX(History!$H$7:$H$136,MATCH(Holdings!$G$24,History!$A$7:$A$136,0))*100,NA()))</f>
        <v>96.537744000000004</v>
      </c>
      <c r="Q32" s="10">
        <f>IF(A32&lt;=Holdings!$G$24,"",P32/P31-1)</f>
        <v>-8.1222537802683181E-3</v>
      </c>
      <c r="R32" s="8">
        <f>IF(A32&gt;Portfolio!$J$5,0,-K32+IF(A32=Portfolio!$J$5,J32,0))</f>
        <v>-50000</v>
      </c>
      <c r="S32" s="1">
        <f>COUNTIFS(History!B32:G32,"&gt;0")</f>
        <v>6</v>
      </c>
      <c r="T32" s="1" t="str">
        <f t="shared" si="1"/>
        <v>27-Apr</v>
      </c>
      <c r="U32" s="10">
        <f>IF(AND(A32&lt;=Portfolio!$J$5,A32&gt;=Holdings!$G$24),O32,0)</f>
        <v>-3.2534868607340117E-2</v>
      </c>
      <c r="V32" s="12">
        <f>IF(AND(A32&gt;Holdings!$G$24,A32&lt;=Portfolio!$J$5),L32,"")</f>
        <v>-1.1125037316805697E-2</v>
      </c>
      <c r="W32" s="12">
        <f>IF(AND(A32&gt;Holdings!$G$24,A32&lt;=Portfolio!$J$5),Q32,"")</f>
        <v>-8.1222537802683181E-3</v>
      </c>
    </row>
    <row r="33" spans="1:23" ht="20" customHeight="1" x14ac:dyDescent="0.35">
      <c r="A33" s="7">
        <v>46140</v>
      </c>
      <c r="B33" s="1">
        <f>SUMIFS(Ledger!$J$7:$J$1006,Ledger!$C$7:$C$1006,Portfolio!$C$5,Ledger!$E$7:$E$1006,History!B$6,Ledger!$B$7:$B$1006,"&lt;="&amp;$A33)</f>
        <v>80</v>
      </c>
      <c r="C33" s="1">
        <f>SUMIFS(Ledger!$J$7:$J$1006,Ledger!$C$7:$C$1006,Portfolio!$C$5,Ledger!$E$7:$E$1006,History!C$6,Ledger!$B$7:$B$1006,"&lt;="&amp;$A33)</f>
        <v>100</v>
      </c>
      <c r="D33" s="1">
        <f>SUMIFS(Ledger!$J$7:$J$1006,Ledger!$C$7:$C$1006,Portfolio!$C$5,Ledger!$E$7:$E$1006,History!D$6,Ledger!$B$7:$B$1006,"&lt;="&amp;$A33)</f>
        <v>70</v>
      </c>
      <c r="E33" s="1">
        <f>SUMIFS(Ledger!$J$7:$J$1006,Ledger!$C$7:$C$1006,Portfolio!$C$5,Ledger!$E$7:$E$1006,History!E$6,Ledger!$B$7:$B$1006,"&lt;="&amp;$A33)</f>
        <v>180</v>
      </c>
      <c r="F33" s="1">
        <f>SUMIFS(Ledger!$J$7:$J$1006,Ledger!$C$7:$C$1006,Portfolio!$C$5,Ledger!$E$7:$E$1006,History!F$6,Ledger!$B$7:$B$1006,"&lt;="&amp;$A33)</f>
        <v>400</v>
      </c>
      <c r="G33" s="1">
        <f>SUMIFS(Ledger!$J$7:$J$1006,Ledger!$C$7:$C$1006,Portfolio!$C$5,Ledger!$E$7:$E$1006,History!G$6,Ledger!$B$7:$B$1006,"&lt;="&amp;$A33)</f>
        <v>600</v>
      </c>
      <c r="H33" s="8">
        <f>SUMIFS(Ledger!$K$7:$K$1006,Ledger!$C$7:$C$1006,Portfolio!$C$5,Ledger!$B$7:$B$1006,"&lt;="&amp;$A33)</f>
        <v>88920</v>
      </c>
      <c r="I33" s="8">
        <f>IF(S33=6,SUMPRODUCT(B33:G33,History!B33:G33),NA())</f>
        <v>456339.29599999997</v>
      </c>
      <c r="J33" s="8">
        <f t="shared" si="0"/>
        <v>545259.29599999997</v>
      </c>
      <c r="K33" s="8">
        <f>SUMIFS(Ledger!$L$7:$L$1006,Ledger!$C$7:$C$1006,Portfolio!$C$5,Ledger!$B$7:$B$1006,$A33)</f>
        <v>0</v>
      </c>
      <c r="L33" s="10">
        <f>IF(A33&lt;Holdings!$G$24,"",IF(A33=Holdings!$G$24,IF(K33&gt;0,J33/K33-1,NA()),IF(J32&gt;0,(J33-K33)/J32-1,NA())))</f>
        <v>7.0804797456414104E-3</v>
      </c>
      <c r="M33" s="11">
        <f>IF(A33&lt;Holdings!$G$24,"",IF(A33=Holdings!$G$24,100*(1+L33),M32*(1+L33)))</f>
        <v>98.981054402543563</v>
      </c>
      <c r="N33" s="11">
        <f>IF(A33&lt;Holdings!$G$24,"",IF(A33=Holdings!$G$24,MAX(100,M33),MAX(N32,M33)))</f>
        <v>101.59037800000002</v>
      </c>
      <c r="O33" s="10">
        <f>IF(A33&lt;Holdings!$G$24,"",M33/N33-1)</f>
        <v>-2.5684751339900003E-2</v>
      </c>
      <c r="P33" s="11">
        <f>IF(A33&lt;Holdings!$G$24,"",IF(History!H33&gt;0,History!H33/INDEX(History!$H$7:$H$136,MATCH(Holdings!$G$24,History!$A$7:$A$136,0))*100,NA()))</f>
        <v>97.303479200000012</v>
      </c>
      <c r="Q33" s="10">
        <f>IF(A33&lt;=Holdings!$G$24,"",P33/P32-1)</f>
        <v>7.931977362139353E-3</v>
      </c>
      <c r="R33" s="8">
        <f>IF(A33&gt;Portfolio!$J$5,0,-K33+IF(A33=Portfolio!$J$5,J33,0))</f>
        <v>0</v>
      </c>
      <c r="S33" s="1">
        <f>COUNTIFS(History!B33:G33,"&gt;0")</f>
        <v>6</v>
      </c>
      <c r="T33" s="1" t="str">
        <f t="shared" si="1"/>
        <v>28-Apr</v>
      </c>
      <c r="U33" s="10">
        <f>IF(AND(A33&lt;=Portfolio!$J$5,A33&gt;=Holdings!$G$24),O33,0)</f>
        <v>-2.5684751339900003E-2</v>
      </c>
      <c r="V33" s="12">
        <f>IF(AND(A33&gt;Holdings!$G$24,A33&lt;=Portfolio!$J$5),L33,"")</f>
        <v>7.0804797456414104E-3</v>
      </c>
      <c r="W33" s="12">
        <f>IF(AND(A33&gt;Holdings!$G$24,A33&lt;=Portfolio!$J$5),Q33,"")</f>
        <v>7.931977362139353E-3</v>
      </c>
    </row>
    <row r="34" spans="1:23" ht="20" customHeight="1" x14ac:dyDescent="0.35">
      <c r="A34" s="7">
        <v>46141</v>
      </c>
      <c r="B34" s="1">
        <f>SUMIFS(Ledger!$J$7:$J$1006,Ledger!$C$7:$C$1006,Portfolio!$C$5,Ledger!$E$7:$E$1006,History!B$6,Ledger!$B$7:$B$1006,"&lt;="&amp;$A34)</f>
        <v>100</v>
      </c>
      <c r="C34" s="1">
        <f>SUMIFS(Ledger!$J$7:$J$1006,Ledger!$C$7:$C$1006,Portfolio!$C$5,Ledger!$E$7:$E$1006,History!C$6,Ledger!$B$7:$B$1006,"&lt;="&amp;$A34)</f>
        <v>100</v>
      </c>
      <c r="D34" s="1">
        <f>SUMIFS(Ledger!$J$7:$J$1006,Ledger!$C$7:$C$1006,Portfolio!$C$5,Ledger!$E$7:$E$1006,History!D$6,Ledger!$B$7:$B$1006,"&lt;="&amp;$A34)</f>
        <v>70</v>
      </c>
      <c r="E34" s="1">
        <f>SUMIFS(Ledger!$J$7:$J$1006,Ledger!$C$7:$C$1006,Portfolio!$C$5,Ledger!$E$7:$E$1006,History!E$6,Ledger!$B$7:$B$1006,"&lt;="&amp;$A34)</f>
        <v>180</v>
      </c>
      <c r="F34" s="1">
        <f>SUMIFS(Ledger!$J$7:$J$1006,Ledger!$C$7:$C$1006,Portfolio!$C$5,Ledger!$E$7:$E$1006,History!F$6,Ledger!$B$7:$B$1006,"&lt;="&amp;$A34)</f>
        <v>400</v>
      </c>
      <c r="G34" s="1">
        <f>SUMIFS(Ledger!$J$7:$J$1006,Ledger!$C$7:$C$1006,Portfolio!$C$5,Ledger!$E$7:$E$1006,History!G$6,Ledger!$B$7:$B$1006,"&lt;="&amp;$A34)</f>
        <v>600</v>
      </c>
      <c r="H34" s="8">
        <f>SUMIFS(Ledger!$K$7:$K$1006,Ledger!$C$7:$C$1006,Portfolio!$C$5,Ledger!$B$7:$B$1006,"&lt;="&amp;$A34)</f>
        <v>78529.297999999995</v>
      </c>
      <c r="I34" s="8">
        <f>IF(S34=6,SUMPRODUCT(B34:G34,History!B34:G34),NA())</f>
        <v>465859.35499999998</v>
      </c>
      <c r="J34" s="8">
        <f t="shared" si="0"/>
        <v>544388.65299999993</v>
      </c>
      <c r="K34" s="8">
        <f>SUMIFS(Ledger!$L$7:$L$1006,Ledger!$C$7:$C$1006,Portfolio!$C$5,Ledger!$B$7:$B$1006,$A34)</f>
        <v>0</v>
      </c>
      <c r="L34" s="10">
        <f>IF(A34&lt;Holdings!$G$24,"",IF(A34=Holdings!$G$24,IF(K34&gt;0,J34/K34-1,NA()),IF(J33&gt;0,(J34-K34)/J33-1,NA())))</f>
        <v>-1.5967504018492562E-3</v>
      </c>
      <c r="M34" s="11">
        <f>IF(A34&lt;Holdings!$G$24,"",IF(A34=Holdings!$G$24,100*(1+L34),M33*(1+L34)))</f>
        <v>98.823006364150842</v>
      </c>
      <c r="N34" s="11">
        <f>IF(A34&lt;Holdings!$G$24,"",IF(A34=Holdings!$G$24,MAX(100,M34),MAX(N33,M34)))</f>
        <v>101.59037800000002</v>
      </c>
      <c r="O34" s="10">
        <f>IF(A34&lt;Holdings!$G$24,"",M34/N34-1)</f>
        <v>-2.7240489604725915E-2</v>
      </c>
      <c r="P34" s="11">
        <f>IF(A34&lt;Holdings!$G$24,"",IF(History!H34&gt;0,History!H34/INDEX(History!$H$7:$H$136,MATCH(Holdings!$G$24,History!$A$7:$A$136,0))*100,NA()))</f>
        <v>97.256869500000008</v>
      </c>
      <c r="Q34" s="10">
        <f>IF(A34&lt;=Holdings!$G$24,"",P34/P33-1)</f>
        <v>-4.7901370416780775E-4</v>
      </c>
      <c r="R34" s="8">
        <f>IF(A34&gt;Portfolio!$J$5,0,-K34+IF(A34=Portfolio!$J$5,J34,0))</f>
        <v>0</v>
      </c>
      <c r="S34" s="1">
        <f>COUNTIFS(History!B34:G34,"&gt;0")</f>
        <v>6</v>
      </c>
      <c r="T34" s="1" t="str">
        <f t="shared" si="1"/>
        <v>29-Apr</v>
      </c>
      <c r="U34" s="10">
        <f>IF(AND(A34&lt;=Portfolio!$J$5,A34&gt;=Holdings!$G$24),O34,0)</f>
        <v>-2.7240489604725915E-2</v>
      </c>
      <c r="V34" s="12">
        <f>IF(AND(A34&gt;Holdings!$G$24,A34&lt;=Portfolio!$J$5),L34,"")</f>
        <v>-1.5967504018492562E-3</v>
      </c>
      <c r="W34" s="12">
        <f>IF(AND(A34&gt;Holdings!$G$24,A34&lt;=Portfolio!$J$5),Q34,"")</f>
        <v>-4.7901370416780775E-4</v>
      </c>
    </row>
    <row r="35" spans="1:23" ht="20" customHeight="1" x14ac:dyDescent="0.35">
      <c r="A35" s="7">
        <v>46142</v>
      </c>
      <c r="B35" s="1">
        <f>SUMIFS(Ledger!$J$7:$J$1006,Ledger!$C$7:$C$1006,Portfolio!$C$5,Ledger!$E$7:$E$1006,History!B$6,Ledger!$B$7:$B$1006,"&lt;="&amp;$A35)</f>
        <v>100</v>
      </c>
      <c r="C35" s="1">
        <f>SUMIFS(Ledger!$J$7:$J$1006,Ledger!$C$7:$C$1006,Portfolio!$C$5,Ledger!$E$7:$E$1006,History!C$6,Ledger!$B$7:$B$1006,"&lt;="&amp;$A35)</f>
        <v>100</v>
      </c>
      <c r="D35" s="1">
        <f>SUMIFS(Ledger!$J$7:$J$1006,Ledger!$C$7:$C$1006,Portfolio!$C$5,Ledger!$E$7:$E$1006,History!D$6,Ledger!$B$7:$B$1006,"&lt;="&amp;$A35)</f>
        <v>70</v>
      </c>
      <c r="E35" s="1">
        <f>SUMIFS(Ledger!$J$7:$J$1006,Ledger!$C$7:$C$1006,Portfolio!$C$5,Ledger!$E$7:$E$1006,History!E$6,Ledger!$B$7:$B$1006,"&lt;="&amp;$A35)</f>
        <v>180</v>
      </c>
      <c r="F35" s="1">
        <f>SUMIFS(Ledger!$J$7:$J$1006,Ledger!$C$7:$C$1006,Portfolio!$C$5,Ledger!$E$7:$E$1006,History!F$6,Ledger!$B$7:$B$1006,"&lt;="&amp;$A35)</f>
        <v>400</v>
      </c>
      <c r="G35" s="1">
        <f>SUMIFS(Ledger!$J$7:$J$1006,Ledger!$C$7:$C$1006,Portfolio!$C$5,Ledger!$E$7:$E$1006,History!G$6,Ledger!$B$7:$B$1006,"&lt;="&amp;$A35)</f>
        <v>600</v>
      </c>
      <c r="H35" s="8">
        <f>SUMIFS(Ledger!$K$7:$K$1006,Ledger!$C$7:$C$1006,Portfolio!$C$5,Ledger!$B$7:$B$1006,"&lt;="&amp;$A35)</f>
        <v>78529.297999999995</v>
      </c>
      <c r="I35" s="8">
        <f>IF(S35=6,SUMPRODUCT(B35:G35,History!B35:G35),NA())</f>
        <v>466351.98</v>
      </c>
      <c r="J35" s="8">
        <f t="shared" si="0"/>
        <v>544881.27799999993</v>
      </c>
      <c r="K35" s="8">
        <f>SUMIFS(Ledger!$L$7:$L$1006,Ledger!$C$7:$C$1006,Portfolio!$C$5,Ledger!$B$7:$B$1006,$A35)</f>
        <v>0</v>
      </c>
      <c r="L35" s="10">
        <f>IF(A35&lt;Holdings!$G$24,"",IF(A35=Holdings!$G$24,IF(K35&gt;0,J35/K35-1,NA()),IF(J34&gt;0,(J35-K35)/J34-1,NA())))</f>
        <v>9.0491415881888138E-4</v>
      </c>
      <c r="M35" s="11">
        <f>IF(A35&lt;Holdings!$G$24,"",IF(A35=Holdings!$G$24,100*(1+L35),M34*(1+L35)))</f>
        <v>98.912432701826816</v>
      </c>
      <c r="N35" s="11">
        <f>IF(A35&lt;Holdings!$G$24,"",IF(A35=Holdings!$G$24,MAX(100,M35),MAX(N34,M35)))</f>
        <v>101.59037800000002</v>
      </c>
      <c r="O35" s="10">
        <f>IF(A35&lt;Holdings!$G$24,"",M35/N35-1)</f>
        <v>-2.6360225750643451E-2</v>
      </c>
      <c r="P35" s="11">
        <f>IF(A35&lt;Holdings!$G$24,"",IF(History!H35&gt;0,History!H35/INDEX(History!$H$7:$H$136,MATCH(Holdings!$G$24,History!$A$7:$A$136,0))*100,NA()))</f>
        <v>97.147489100000001</v>
      </c>
      <c r="Q35" s="10">
        <f>IF(A35&lt;=Holdings!$G$24,"",P35/P34-1)</f>
        <v>-1.1246547473955371E-3</v>
      </c>
      <c r="R35" s="8">
        <f>IF(A35&gt;Portfolio!$J$5,0,-K35+IF(A35=Portfolio!$J$5,J35,0))</f>
        <v>0</v>
      </c>
      <c r="S35" s="1">
        <f>COUNTIFS(History!B35:G35,"&gt;0")</f>
        <v>6</v>
      </c>
      <c r="T35" s="1" t="str">
        <f t="shared" si="1"/>
        <v>30-Apr</v>
      </c>
      <c r="U35" s="10">
        <f>IF(AND(A35&lt;=Portfolio!$J$5,A35&gt;=Holdings!$G$24),O35,0)</f>
        <v>-2.6360225750643451E-2</v>
      </c>
      <c r="V35" s="12">
        <f>IF(AND(A35&gt;Holdings!$G$24,A35&lt;=Portfolio!$J$5),L35,"")</f>
        <v>9.0491415881888138E-4</v>
      </c>
      <c r="W35" s="12">
        <f>IF(AND(A35&gt;Holdings!$G$24,A35&lt;=Portfolio!$J$5),Q35,"")</f>
        <v>-1.1246547473955371E-3</v>
      </c>
    </row>
    <row r="36" spans="1:23" ht="20" customHeight="1" x14ac:dyDescent="0.35">
      <c r="A36" s="7">
        <v>46143</v>
      </c>
      <c r="B36" s="1">
        <f>SUMIFS(Ledger!$J$7:$J$1006,Ledger!$C$7:$C$1006,Portfolio!$C$5,Ledger!$E$7:$E$1006,History!B$6,Ledger!$B$7:$B$1006,"&lt;="&amp;$A36)</f>
        <v>100</v>
      </c>
      <c r="C36" s="1">
        <f>SUMIFS(Ledger!$J$7:$J$1006,Ledger!$C$7:$C$1006,Portfolio!$C$5,Ledger!$E$7:$E$1006,History!C$6,Ledger!$B$7:$B$1006,"&lt;="&amp;$A36)</f>
        <v>100</v>
      </c>
      <c r="D36" s="1">
        <f>SUMIFS(Ledger!$J$7:$J$1006,Ledger!$C$7:$C$1006,Portfolio!$C$5,Ledger!$E$7:$E$1006,History!D$6,Ledger!$B$7:$B$1006,"&lt;="&amp;$A36)</f>
        <v>70</v>
      </c>
      <c r="E36" s="1">
        <f>SUMIFS(Ledger!$J$7:$J$1006,Ledger!$C$7:$C$1006,Portfolio!$C$5,Ledger!$E$7:$E$1006,History!E$6,Ledger!$B$7:$B$1006,"&lt;="&amp;$A36)</f>
        <v>180</v>
      </c>
      <c r="F36" s="1">
        <f>SUMIFS(Ledger!$J$7:$J$1006,Ledger!$C$7:$C$1006,Portfolio!$C$5,Ledger!$E$7:$E$1006,History!F$6,Ledger!$B$7:$B$1006,"&lt;="&amp;$A36)</f>
        <v>400</v>
      </c>
      <c r="G36" s="1">
        <f>SUMIFS(Ledger!$J$7:$J$1006,Ledger!$C$7:$C$1006,Portfolio!$C$5,Ledger!$E$7:$E$1006,History!G$6,Ledger!$B$7:$B$1006,"&lt;="&amp;$A36)</f>
        <v>600</v>
      </c>
      <c r="H36" s="8">
        <f>SUMIFS(Ledger!$K$7:$K$1006,Ledger!$C$7:$C$1006,Portfolio!$C$5,Ledger!$B$7:$B$1006,"&lt;="&amp;$A36)</f>
        <v>78529.297999999995</v>
      </c>
      <c r="I36" s="8">
        <f>IF(S36=6,SUMPRODUCT(B36:G36,History!B36:G36),NA())</f>
        <v>465260.109</v>
      </c>
      <c r="J36" s="8">
        <f t="shared" si="0"/>
        <v>543789.40700000001</v>
      </c>
      <c r="K36" s="8">
        <f>SUMIFS(Ledger!$L$7:$L$1006,Ledger!$C$7:$C$1006,Portfolio!$C$5,Ledger!$B$7:$B$1006,$A36)</f>
        <v>0</v>
      </c>
      <c r="L36" s="10">
        <f>IF(A36&lt;Holdings!$G$24,"",IF(A36=Holdings!$G$24,IF(K36&gt;0,J36/K36-1,NA()),IF(J35&gt;0,(J36-K36)/J35-1,NA())))</f>
        <v>-2.003869547523629E-3</v>
      </c>
      <c r="M36" s="11">
        <f>IF(A36&lt;Holdings!$G$24,"",IF(A36=Holdings!$G$24,100*(1+L36),M35*(1+L36)))</f>
        <v>98.714225090064147</v>
      </c>
      <c r="N36" s="11">
        <f>IF(A36&lt;Holdings!$G$24,"",IF(A36=Holdings!$G$24,MAX(100,M36),MAX(N35,M36)))</f>
        <v>101.59037800000002</v>
      </c>
      <c r="O36" s="10">
        <f>IF(A36&lt;Holdings!$G$24,"",M36/N36-1)</f>
        <v>-2.8311272844519508E-2</v>
      </c>
      <c r="P36" s="11">
        <f>IF(A36&lt;Holdings!$G$24,"",IF(History!H36&gt;0,History!H36/INDEX(History!$H$7:$H$136,MATCH(Holdings!$G$24,History!$A$7:$A$136,0))*100,NA()))</f>
        <v>96.809650199999993</v>
      </c>
      <c r="Q36" s="10">
        <f>IF(A36&lt;=Holdings!$G$24,"",P36/P35-1)</f>
        <v>-3.4775875643295873E-3</v>
      </c>
      <c r="R36" s="8">
        <f>IF(A36&gt;Portfolio!$J$5,0,-K36+IF(A36=Portfolio!$J$5,J36,0))</f>
        <v>0</v>
      </c>
      <c r="S36" s="1">
        <f>COUNTIFS(History!B36:G36,"&gt;0")</f>
        <v>6</v>
      </c>
      <c r="T36" s="1" t="str">
        <f t="shared" si="1"/>
        <v>01-May</v>
      </c>
      <c r="U36" s="10">
        <f>IF(AND(A36&lt;=Portfolio!$J$5,A36&gt;=Holdings!$G$24),O36,0)</f>
        <v>-2.8311272844519508E-2</v>
      </c>
      <c r="V36" s="12">
        <f>IF(AND(A36&gt;Holdings!$G$24,A36&lt;=Portfolio!$J$5),L36,"")</f>
        <v>-2.003869547523629E-3</v>
      </c>
      <c r="W36" s="12">
        <f>IF(AND(A36&gt;Holdings!$G$24,A36&lt;=Portfolio!$J$5),Q36,"")</f>
        <v>-3.4775875643295873E-3</v>
      </c>
    </row>
    <row r="37" spans="1:23" ht="20" customHeight="1" x14ac:dyDescent="0.35">
      <c r="A37" s="7">
        <v>46146</v>
      </c>
      <c r="B37" s="1">
        <f>SUMIFS(Ledger!$J$7:$J$1006,Ledger!$C$7:$C$1006,Portfolio!$C$5,Ledger!$E$7:$E$1006,History!B$6,Ledger!$B$7:$B$1006,"&lt;="&amp;$A37)</f>
        <v>100</v>
      </c>
      <c r="C37" s="1">
        <f>SUMIFS(Ledger!$J$7:$J$1006,Ledger!$C$7:$C$1006,Portfolio!$C$5,Ledger!$E$7:$E$1006,History!C$6,Ledger!$B$7:$B$1006,"&lt;="&amp;$A37)</f>
        <v>100</v>
      </c>
      <c r="D37" s="1">
        <f>SUMIFS(Ledger!$J$7:$J$1006,Ledger!$C$7:$C$1006,Portfolio!$C$5,Ledger!$E$7:$E$1006,History!D$6,Ledger!$B$7:$B$1006,"&lt;="&amp;$A37)</f>
        <v>70</v>
      </c>
      <c r="E37" s="1">
        <f>SUMIFS(Ledger!$J$7:$J$1006,Ledger!$C$7:$C$1006,Portfolio!$C$5,Ledger!$E$7:$E$1006,History!E$6,Ledger!$B$7:$B$1006,"&lt;="&amp;$A37)</f>
        <v>180</v>
      </c>
      <c r="F37" s="1">
        <f>SUMIFS(Ledger!$J$7:$J$1006,Ledger!$C$7:$C$1006,Portfolio!$C$5,Ledger!$E$7:$E$1006,History!F$6,Ledger!$B$7:$B$1006,"&lt;="&amp;$A37)</f>
        <v>400</v>
      </c>
      <c r="G37" s="1">
        <f>SUMIFS(Ledger!$J$7:$J$1006,Ledger!$C$7:$C$1006,Portfolio!$C$5,Ledger!$E$7:$E$1006,History!G$6,Ledger!$B$7:$B$1006,"&lt;="&amp;$A37)</f>
        <v>600</v>
      </c>
      <c r="H37" s="8">
        <f>SUMIFS(Ledger!$K$7:$K$1006,Ledger!$C$7:$C$1006,Portfolio!$C$5,Ledger!$B$7:$B$1006,"&lt;="&amp;$A37)</f>
        <v>78529.297999999995</v>
      </c>
      <c r="I37" s="8">
        <f>IF(S37=6,SUMPRODUCT(B37:G37,History!B37:G37),NA())</f>
        <v>464892.21599999996</v>
      </c>
      <c r="J37" s="8">
        <f t="shared" si="0"/>
        <v>543421.51399999997</v>
      </c>
      <c r="K37" s="8">
        <f>SUMIFS(Ledger!$L$7:$L$1006,Ledger!$C$7:$C$1006,Portfolio!$C$5,Ledger!$B$7:$B$1006,$A37)</f>
        <v>0</v>
      </c>
      <c r="L37" s="10">
        <f>IF(A37&lt;Holdings!$G$24,"",IF(A37=Holdings!$G$24,IF(K37&gt;0,J37/K37-1,NA()),IF(J36&gt;0,(J37-K37)/J36-1,NA())))</f>
        <v>-6.7653579724846757E-4</v>
      </c>
      <c r="M37" s="11">
        <f>IF(A37&lt;Holdings!$G$24,"",IF(A37=Holdings!$G$24,100*(1+L37),M36*(1+L37)))</f>
        <v>98.647441383093081</v>
      </c>
      <c r="N37" s="11">
        <f>IF(A37&lt;Holdings!$G$24,"",IF(A37=Holdings!$G$24,MAX(100,M37),MAX(N36,M37)))</f>
        <v>101.59037800000002</v>
      </c>
      <c r="O37" s="10">
        <f>IF(A37&lt;Holdings!$G$24,"",M37/N37-1)</f>
        <v>-2.8968655052222902E-2</v>
      </c>
      <c r="P37" s="11">
        <f>IF(A37&lt;Holdings!$G$24,"",IF(History!H37&gt;0,History!H37/INDEX(History!$H$7:$H$136,MATCH(Holdings!$G$24,History!$A$7:$A$136,0))*100,NA()))</f>
        <v>96.699595200000005</v>
      </c>
      <c r="Q37" s="10">
        <f>IF(A37&lt;=Holdings!$G$24,"",P37/P36-1)</f>
        <v>-1.136818486304092E-3</v>
      </c>
      <c r="R37" s="8">
        <f>IF(A37&gt;Portfolio!$J$5,0,-K37+IF(A37=Portfolio!$J$5,J37,0))</f>
        <v>0</v>
      </c>
      <c r="S37" s="1">
        <f>COUNTIFS(History!B37:G37,"&gt;0")</f>
        <v>6</v>
      </c>
      <c r="T37" s="1" t="str">
        <f t="shared" si="1"/>
        <v>04-May</v>
      </c>
      <c r="U37" s="10">
        <f>IF(AND(A37&lt;=Portfolio!$J$5,A37&gt;=Holdings!$G$24),O37,0)</f>
        <v>-2.8968655052222902E-2</v>
      </c>
      <c r="V37" s="12">
        <f>IF(AND(A37&gt;Holdings!$G$24,A37&lt;=Portfolio!$J$5),L37,"")</f>
        <v>-6.7653579724846757E-4</v>
      </c>
      <c r="W37" s="12">
        <f>IF(AND(A37&gt;Holdings!$G$24,A37&lt;=Portfolio!$J$5),Q37,"")</f>
        <v>-1.136818486304092E-3</v>
      </c>
    </row>
    <row r="38" spans="1:23" ht="20" customHeight="1" x14ac:dyDescent="0.35">
      <c r="A38" s="7">
        <v>46147</v>
      </c>
      <c r="B38" s="1">
        <f>SUMIFS(Ledger!$J$7:$J$1006,Ledger!$C$7:$C$1006,Portfolio!$C$5,Ledger!$E$7:$E$1006,History!B$6,Ledger!$B$7:$B$1006,"&lt;="&amp;$A38)</f>
        <v>100</v>
      </c>
      <c r="C38" s="1">
        <f>SUMIFS(Ledger!$J$7:$J$1006,Ledger!$C$7:$C$1006,Portfolio!$C$5,Ledger!$E$7:$E$1006,History!C$6,Ledger!$B$7:$B$1006,"&lt;="&amp;$A38)</f>
        <v>100</v>
      </c>
      <c r="D38" s="1">
        <f>SUMIFS(Ledger!$J$7:$J$1006,Ledger!$C$7:$C$1006,Portfolio!$C$5,Ledger!$E$7:$E$1006,History!D$6,Ledger!$B$7:$B$1006,"&lt;="&amp;$A38)</f>
        <v>70</v>
      </c>
      <c r="E38" s="1">
        <f>SUMIFS(Ledger!$J$7:$J$1006,Ledger!$C$7:$C$1006,Portfolio!$C$5,Ledger!$E$7:$E$1006,History!E$6,Ledger!$B$7:$B$1006,"&lt;="&amp;$A38)</f>
        <v>180</v>
      </c>
      <c r="F38" s="1">
        <f>SUMIFS(Ledger!$J$7:$J$1006,Ledger!$C$7:$C$1006,Portfolio!$C$5,Ledger!$E$7:$E$1006,History!F$6,Ledger!$B$7:$B$1006,"&lt;="&amp;$A38)</f>
        <v>400</v>
      </c>
      <c r="G38" s="1">
        <f>SUMIFS(Ledger!$J$7:$J$1006,Ledger!$C$7:$C$1006,Portfolio!$C$5,Ledger!$E$7:$E$1006,History!G$6,Ledger!$B$7:$B$1006,"&lt;="&amp;$A38)</f>
        <v>600</v>
      </c>
      <c r="H38" s="8">
        <f>SUMIFS(Ledger!$K$7:$K$1006,Ledger!$C$7:$C$1006,Portfolio!$C$5,Ledger!$B$7:$B$1006,"&lt;="&amp;$A38)</f>
        <v>78529.297999999995</v>
      </c>
      <c r="I38" s="8">
        <f>IF(S38=6,SUMPRODUCT(B38:G38,History!B38:G38),NA())</f>
        <v>463559.18999999994</v>
      </c>
      <c r="J38" s="8">
        <f t="shared" si="0"/>
        <v>542088.4879999999</v>
      </c>
      <c r="K38" s="8">
        <f>SUMIFS(Ledger!$L$7:$L$1006,Ledger!$C$7:$C$1006,Portfolio!$C$5,Ledger!$B$7:$B$1006,$A38)</f>
        <v>0</v>
      </c>
      <c r="L38" s="10">
        <f>IF(A38&lt;Holdings!$G$24,"",IF(A38=Holdings!$G$24,IF(K38&gt;0,J38/K38-1,NA()),IF(J37&gt;0,(J38-K38)/J37-1,NA())))</f>
        <v>-2.4530239706337387E-3</v>
      </c>
      <c r="M38" s="11">
        <f>IF(A38&lt;Holdings!$G$24,"",IF(A38=Holdings!$G$24,100*(1+L38),M37*(1+L38)))</f>
        <v>98.405456844738666</v>
      </c>
      <c r="N38" s="11">
        <f>IF(A38&lt;Holdings!$G$24,"",IF(A38=Holdings!$G$24,MAX(100,M38),MAX(N37,M38)))</f>
        <v>101.59037800000002</v>
      </c>
      <c r="O38" s="10">
        <f>IF(A38&lt;Holdings!$G$24,"",M38/N38-1)</f>
        <v>-3.1350618217616533E-2</v>
      </c>
      <c r="P38" s="11">
        <f>IF(A38&lt;Holdings!$G$24,"",IF(History!H38&gt;0,History!H38/INDEX(History!$H$7:$H$136,MATCH(Holdings!$G$24,History!$A$7:$A$136,0))*100,NA()))</f>
        <v>95.809396300000003</v>
      </c>
      <c r="Q38" s="10">
        <f>IF(A38&lt;=Holdings!$G$24,"",P38/P37-1)</f>
        <v>-9.2058182679962686E-3</v>
      </c>
      <c r="R38" s="8">
        <f>IF(A38&gt;Portfolio!$J$5,0,-K38+IF(A38=Portfolio!$J$5,J38,0))</f>
        <v>0</v>
      </c>
      <c r="S38" s="1">
        <f>COUNTIFS(History!B38:G38,"&gt;0")</f>
        <v>6</v>
      </c>
      <c r="T38" s="1" t="str">
        <f t="shared" si="1"/>
        <v>05-May</v>
      </c>
      <c r="U38" s="10">
        <f>IF(AND(A38&lt;=Portfolio!$J$5,A38&gt;=Holdings!$G$24),O38,0)</f>
        <v>-3.1350618217616533E-2</v>
      </c>
      <c r="V38" s="12">
        <f>IF(AND(A38&gt;Holdings!$G$24,A38&lt;=Portfolio!$J$5),L38,"")</f>
        <v>-2.4530239706337387E-3</v>
      </c>
      <c r="W38" s="12">
        <f>IF(AND(A38&gt;Holdings!$G$24,A38&lt;=Portfolio!$J$5),Q38,"")</f>
        <v>-9.2058182679962686E-3</v>
      </c>
    </row>
    <row r="39" spans="1:23" ht="20" customHeight="1" x14ac:dyDescent="0.35">
      <c r="A39" s="7">
        <v>46148</v>
      </c>
      <c r="B39" s="1">
        <f>SUMIFS(Ledger!$J$7:$J$1006,Ledger!$C$7:$C$1006,Portfolio!$C$5,Ledger!$E$7:$E$1006,History!B$6,Ledger!$B$7:$B$1006,"&lt;="&amp;$A39)</f>
        <v>100</v>
      </c>
      <c r="C39" s="1">
        <f>SUMIFS(Ledger!$J$7:$J$1006,Ledger!$C$7:$C$1006,Portfolio!$C$5,Ledger!$E$7:$E$1006,History!C$6,Ledger!$B$7:$B$1006,"&lt;="&amp;$A39)</f>
        <v>100</v>
      </c>
      <c r="D39" s="1">
        <f>SUMIFS(Ledger!$J$7:$J$1006,Ledger!$C$7:$C$1006,Portfolio!$C$5,Ledger!$E$7:$E$1006,History!D$6,Ledger!$B$7:$B$1006,"&lt;="&amp;$A39)</f>
        <v>70</v>
      </c>
      <c r="E39" s="1">
        <f>SUMIFS(Ledger!$J$7:$J$1006,Ledger!$C$7:$C$1006,Portfolio!$C$5,Ledger!$E$7:$E$1006,History!E$6,Ledger!$B$7:$B$1006,"&lt;="&amp;$A39)</f>
        <v>180</v>
      </c>
      <c r="F39" s="1">
        <f>SUMIFS(Ledger!$J$7:$J$1006,Ledger!$C$7:$C$1006,Portfolio!$C$5,Ledger!$E$7:$E$1006,History!F$6,Ledger!$B$7:$B$1006,"&lt;="&amp;$A39)</f>
        <v>400</v>
      </c>
      <c r="G39" s="1">
        <f>SUMIFS(Ledger!$J$7:$J$1006,Ledger!$C$7:$C$1006,Portfolio!$C$5,Ledger!$E$7:$E$1006,History!G$6,Ledger!$B$7:$B$1006,"&lt;="&amp;$A39)</f>
        <v>600</v>
      </c>
      <c r="H39" s="8">
        <f>SUMIFS(Ledger!$K$7:$K$1006,Ledger!$C$7:$C$1006,Portfolio!$C$5,Ledger!$B$7:$B$1006,"&lt;="&amp;$A39)</f>
        <v>78529.297999999995</v>
      </c>
      <c r="I39" s="8">
        <f>IF(S39=6,SUMPRODUCT(B39:G39,History!B39:G39),NA())</f>
        <v>462431.16099999996</v>
      </c>
      <c r="J39" s="8">
        <f t="shared" ref="J39:J70" si="2">SUM(H39:I39)</f>
        <v>540960.45899999992</v>
      </c>
      <c r="K39" s="8">
        <f>SUMIFS(Ledger!$L$7:$L$1006,Ledger!$C$7:$C$1006,Portfolio!$C$5,Ledger!$B$7:$B$1006,$A39)</f>
        <v>0</v>
      </c>
      <c r="L39" s="10">
        <f>IF(A39&lt;Holdings!$G$24,"",IF(A39=Holdings!$G$24,IF(K39&gt;0,J39/K39-1,NA()),IF(J38&gt;0,(J39-K39)/J38-1,NA())))</f>
        <v>-2.0808945863465267E-3</v>
      </c>
      <c r="M39" s="11">
        <f>IF(A39&lt;Holdings!$G$24,"",IF(A39=Holdings!$G$24,100*(1+L39),M38*(1+L39)))</f>
        <v>98.200685462323491</v>
      </c>
      <c r="N39" s="11">
        <f>IF(A39&lt;Holdings!$G$24,"",IF(A39=Holdings!$G$24,MAX(100,M39),MAX(N38,M39)))</f>
        <v>101.59037800000002</v>
      </c>
      <c r="O39" s="10">
        <f>IF(A39&lt;Holdings!$G$24,"",M39/N39-1)</f>
        <v>-3.3366275472235363E-2</v>
      </c>
      <c r="P39" s="11">
        <f>IF(A39&lt;Holdings!$G$24,"",IF(History!H39&gt;0,History!H39/INDEX(History!$H$7:$H$136,MATCH(Holdings!$G$24,History!$A$7:$A$136,0))*100,NA()))</f>
        <v>95.399080800000007</v>
      </c>
      <c r="Q39" s="10">
        <f>IF(A39&lt;=Holdings!$G$24,"",P39/P38-1)</f>
        <v>-4.28262274730562E-3</v>
      </c>
      <c r="R39" s="8">
        <f>IF(A39&gt;Portfolio!$J$5,0,-K39+IF(A39=Portfolio!$J$5,J39,0))</f>
        <v>0</v>
      </c>
      <c r="S39" s="1">
        <f>COUNTIFS(History!B39:G39,"&gt;0")</f>
        <v>6</v>
      </c>
      <c r="T39" s="1" t="str">
        <f t="shared" ref="T39:T70" si="3">TEXT(A39,"dd-mmm")</f>
        <v>06-May</v>
      </c>
      <c r="U39" s="10">
        <f>IF(AND(A39&lt;=Portfolio!$J$5,A39&gt;=Holdings!$G$24),O39,0)</f>
        <v>-3.3366275472235363E-2</v>
      </c>
      <c r="V39" s="12">
        <f>IF(AND(A39&gt;Holdings!$G$24,A39&lt;=Portfolio!$J$5),L39,"")</f>
        <v>-2.0808945863465267E-3</v>
      </c>
      <c r="W39" s="12">
        <f>IF(AND(A39&gt;Holdings!$G$24,A39&lt;=Portfolio!$J$5),Q39,"")</f>
        <v>-4.28262274730562E-3</v>
      </c>
    </row>
    <row r="40" spans="1:23" ht="20" customHeight="1" x14ac:dyDescent="0.35">
      <c r="A40" s="7">
        <v>46149</v>
      </c>
      <c r="B40" s="1">
        <f>SUMIFS(Ledger!$J$7:$J$1006,Ledger!$C$7:$C$1006,Portfolio!$C$5,Ledger!$E$7:$E$1006,History!B$6,Ledger!$B$7:$B$1006,"&lt;="&amp;$A40)</f>
        <v>100</v>
      </c>
      <c r="C40" s="1">
        <f>SUMIFS(Ledger!$J$7:$J$1006,Ledger!$C$7:$C$1006,Portfolio!$C$5,Ledger!$E$7:$E$1006,History!C$6,Ledger!$B$7:$B$1006,"&lt;="&amp;$A40)</f>
        <v>100</v>
      </c>
      <c r="D40" s="1">
        <f>SUMIFS(Ledger!$J$7:$J$1006,Ledger!$C$7:$C$1006,Portfolio!$C$5,Ledger!$E$7:$E$1006,History!D$6,Ledger!$B$7:$B$1006,"&lt;="&amp;$A40)</f>
        <v>70</v>
      </c>
      <c r="E40" s="1">
        <f>SUMIFS(Ledger!$J$7:$J$1006,Ledger!$C$7:$C$1006,Portfolio!$C$5,Ledger!$E$7:$E$1006,History!E$6,Ledger!$B$7:$B$1006,"&lt;="&amp;$A40)</f>
        <v>180</v>
      </c>
      <c r="F40" s="1">
        <f>SUMIFS(Ledger!$J$7:$J$1006,Ledger!$C$7:$C$1006,Portfolio!$C$5,Ledger!$E$7:$E$1006,History!F$6,Ledger!$B$7:$B$1006,"&lt;="&amp;$A40)</f>
        <v>400</v>
      </c>
      <c r="G40" s="1">
        <f>SUMIFS(Ledger!$J$7:$J$1006,Ledger!$C$7:$C$1006,Portfolio!$C$5,Ledger!$E$7:$E$1006,History!G$6,Ledger!$B$7:$B$1006,"&lt;="&amp;$A40)</f>
        <v>600</v>
      </c>
      <c r="H40" s="8">
        <f>SUMIFS(Ledger!$K$7:$K$1006,Ledger!$C$7:$C$1006,Portfolio!$C$5,Ledger!$B$7:$B$1006,"&lt;="&amp;$A40)</f>
        <v>78529.297999999995</v>
      </c>
      <c r="I40" s="8">
        <f>IF(S40=6,SUMPRODUCT(B40:G40,History!B40:G40),NA())</f>
        <v>461529.50800000003</v>
      </c>
      <c r="J40" s="8">
        <f t="shared" si="2"/>
        <v>540058.80599999998</v>
      </c>
      <c r="K40" s="8">
        <f>SUMIFS(Ledger!$L$7:$L$1006,Ledger!$C$7:$C$1006,Portfolio!$C$5,Ledger!$B$7:$B$1006,$A40)</f>
        <v>0</v>
      </c>
      <c r="L40" s="10">
        <f>IF(A40&lt;Holdings!$G$24,"",IF(A40=Holdings!$G$24,IF(K40&gt;0,J40/K40-1,NA()),IF(J39&gt;0,(J40-K40)/J39-1,NA())))</f>
        <v>-1.6667632264042442E-3</v>
      </c>
      <c r="M40" s="11">
        <f>IF(A40&lt;Holdings!$G$24,"",IF(A40=Holdings!$G$24,100*(1+L40),M39*(1+L40)))</f>
        <v>98.037008170987207</v>
      </c>
      <c r="N40" s="11">
        <f>IF(A40&lt;Holdings!$G$24,"",IF(A40=Holdings!$G$24,MAX(100,M40),MAX(N39,M40)))</f>
        <v>101.59037800000002</v>
      </c>
      <c r="O40" s="10">
        <f>IF(A40&lt;Holdings!$G$24,"",M40/N40-1)</f>
        <v>-3.4977425017680419E-2</v>
      </c>
      <c r="P40" s="11">
        <f>IF(A40&lt;Holdings!$G$24,"",IF(History!H40&gt;0,History!H40/INDEX(History!$H$7:$H$136,MATCH(Holdings!$G$24,History!$A$7:$A$136,0))*100,NA()))</f>
        <v>95.116391899999996</v>
      </c>
      <c r="Q40" s="10">
        <f>IF(A40&lt;=Holdings!$G$24,"",P40/P39-1)</f>
        <v>-2.963224568092615E-3</v>
      </c>
      <c r="R40" s="8">
        <f>IF(A40&gt;Portfolio!$J$5,0,-K40+IF(A40=Portfolio!$J$5,J40,0))</f>
        <v>0</v>
      </c>
      <c r="S40" s="1">
        <f>COUNTIFS(History!B40:G40,"&gt;0")</f>
        <v>6</v>
      </c>
      <c r="T40" s="1" t="str">
        <f t="shared" si="3"/>
        <v>07-May</v>
      </c>
      <c r="U40" s="10">
        <f>IF(AND(A40&lt;=Portfolio!$J$5,A40&gt;=Holdings!$G$24),O40,0)</f>
        <v>-3.4977425017680419E-2</v>
      </c>
      <c r="V40" s="12">
        <f>IF(AND(A40&gt;Holdings!$G$24,A40&lt;=Portfolio!$J$5),L40,"")</f>
        <v>-1.6667632264042442E-3</v>
      </c>
      <c r="W40" s="12">
        <f>IF(AND(A40&gt;Holdings!$G$24,A40&lt;=Portfolio!$J$5),Q40,"")</f>
        <v>-2.963224568092615E-3</v>
      </c>
    </row>
    <row r="41" spans="1:23" ht="20" customHeight="1" x14ac:dyDescent="0.35">
      <c r="A41" s="7">
        <v>46150</v>
      </c>
      <c r="B41" s="1">
        <f>SUMIFS(Ledger!$J$7:$J$1006,Ledger!$C$7:$C$1006,Portfolio!$C$5,Ledger!$E$7:$E$1006,History!B$6,Ledger!$B$7:$B$1006,"&lt;="&amp;$A41)</f>
        <v>100</v>
      </c>
      <c r="C41" s="1">
        <f>SUMIFS(Ledger!$J$7:$J$1006,Ledger!$C$7:$C$1006,Portfolio!$C$5,Ledger!$E$7:$E$1006,History!C$6,Ledger!$B$7:$B$1006,"&lt;="&amp;$A41)</f>
        <v>100</v>
      </c>
      <c r="D41" s="1">
        <f>SUMIFS(Ledger!$J$7:$J$1006,Ledger!$C$7:$C$1006,Portfolio!$C$5,Ledger!$E$7:$E$1006,History!D$6,Ledger!$B$7:$B$1006,"&lt;="&amp;$A41)</f>
        <v>70</v>
      </c>
      <c r="E41" s="1">
        <f>SUMIFS(Ledger!$J$7:$J$1006,Ledger!$C$7:$C$1006,Portfolio!$C$5,Ledger!$E$7:$E$1006,History!E$6,Ledger!$B$7:$B$1006,"&lt;="&amp;$A41)</f>
        <v>180</v>
      </c>
      <c r="F41" s="1">
        <f>SUMIFS(Ledger!$J$7:$J$1006,Ledger!$C$7:$C$1006,Portfolio!$C$5,Ledger!$E$7:$E$1006,History!F$6,Ledger!$B$7:$B$1006,"&lt;="&amp;$A41)</f>
        <v>400</v>
      </c>
      <c r="G41" s="1">
        <f>SUMIFS(Ledger!$J$7:$J$1006,Ledger!$C$7:$C$1006,Portfolio!$C$5,Ledger!$E$7:$E$1006,History!G$6,Ledger!$B$7:$B$1006,"&lt;="&amp;$A41)</f>
        <v>600</v>
      </c>
      <c r="H41" s="8">
        <f>SUMIFS(Ledger!$K$7:$K$1006,Ledger!$C$7:$C$1006,Portfolio!$C$5,Ledger!$B$7:$B$1006,"&lt;="&amp;$A41)</f>
        <v>78529.297999999995</v>
      </c>
      <c r="I41" s="8">
        <f>IF(S41=6,SUMPRODUCT(B41:G41,History!B41:G41),NA())</f>
        <v>462524.04</v>
      </c>
      <c r="J41" s="8">
        <f t="shared" si="2"/>
        <v>541053.33799999999</v>
      </c>
      <c r="K41" s="8">
        <f>SUMIFS(Ledger!$L$7:$L$1006,Ledger!$C$7:$C$1006,Portfolio!$C$5,Ledger!$B$7:$B$1006,$A41)</f>
        <v>0</v>
      </c>
      <c r="L41" s="10">
        <f>IF(A41&lt;Holdings!$G$24,"",IF(A41=Holdings!$G$24,IF(K41&gt;0,J41/K41-1,NA()),IF(J40&gt;0,(J41-K41)/J40-1,NA())))</f>
        <v>1.8415253838115486E-3</v>
      </c>
      <c r="M41" s="11">
        <f>IF(A41&lt;Holdings!$G$24,"",IF(A41=Holdings!$G$24,100*(1+L41),M40*(1+L41)))</f>
        <v>98.217545810087017</v>
      </c>
      <c r="N41" s="11">
        <f>IF(A41&lt;Holdings!$G$24,"",IF(A41=Holdings!$G$24,MAX(100,M41),MAX(N40,M41)))</f>
        <v>101.59037800000002</v>
      </c>
      <c r="O41" s="10">
        <f>IF(A41&lt;Holdings!$G$24,"",M41/N41-1)</f>
        <v>-3.3200311449899322E-2</v>
      </c>
      <c r="P41" s="11">
        <f>IF(A41&lt;Holdings!$G$24,"",IF(History!H41&gt;0,History!H41/INDEX(History!$H$7:$H$136,MATCH(Holdings!$G$24,History!$A$7:$A$136,0))*100,NA()))</f>
        <v>95.382601300000005</v>
      </c>
      <c r="Q41" s="10">
        <f>IF(A41&lt;=Holdings!$G$24,"",P41/P40-1)</f>
        <v>2.7987752130032018E-3</v>
      </c>
      <c r="R41" s="8">
        <f>IF(A41&gt;Portfolio!$J$5,0,-K41+IF(A41=Portfolio!$J$5,J41,0))</f>
        <v>0</v>
      </c>
      <c r="S41" s="1">
        <f>COUNTIFS(History!B41:G41,"&gt;0")</f>
        <v>6</v>
      </c>
      <c r="T41" s="1" t="str">
        <f t="shared" si="3"/>
        <v>08-May</v>
      </c>
      <c r="U41" s="10">
        <f>IF(AND(A41&lt;=Portfolio!$J$5,A41&gt;=Holdings!$G$24),O41,0)</f>
        <v>-3.3200311449899322E-2</v>
      </c>
      <c r="V41" s="12">
        <f>IF(AND(A41&gt;Holdings!$G$24,A41&lt;=Portfolio!$J$5),L41,"")</f>
        <v>1.8415253838115486E-3</v>
      </c>
      <c r="W41" s="12">
        <f>IF(AND(A41&gt;Holdings!$G$24,A41&lt;=Portfolio!$J$5),Q41,"")</f>
        <v>2.7987752130032018E-3</v>
      </c>
    </row>
    <row r="42" spans="1:23" ht="20" customHeight="1" x14ac:dyDescent="0.35">
      <c r="A42" s="7">
        <v>46153</v>
      </c>
      <c r="B42" s="1">
        <f>SUMIFS(Ledger!$J$7:$J$1006,Ledger!$C$7:$C$1006,Portfolio!$C$5,Ledger!$E$7:$E$1006,History!B$6,Ledger!$B$7:$B$1006,"&lt;="&amp;$A42)</f>
        <v>100</v>
      </c>
      <c r="C42" s="1">
        <f>SUMIFS(Ledger!$J$7:$J$1006,Ledger!$C$7:$C$1006,Portfolio!$C$5,Ledger!$E$7:$E$1006,History!C$6,Ledger!$B$7:$B$1006,"&lt;="&amp;$A42)</f>
        <v>100</v>
      </c>
      <c r="D42" s="1">
        <f>SUMIFS(Ledger!$J$7:$J$1006,Ledger!$C$7:$C$1006,Portfolio!$C$5,Ledger!$E$7:$E$1006,History!D$6,Ledger!$B$7:$B$1006,"&lt;="&amp;$A42)</f>
        <v>70</v>
      </c>
      <c r="E42" s="1">
        <f>SUMIFS(Ledger!$J$7:$J$1006,Ledger!$C$7:$C$1006,Portfolio!$C$5,Ledger!$E$7:$E$1006,History!E$6,Ledger!$B$7:$B$1006,"&lt;="&amp;$A42)</f>
        <v>180</v>
      </c>
      <c r="F42" s="1">
        <f>SUMIFS(Ledger!$J$7:$J$1006,Ledger!$C$7:$C$1006,Portfolio!$C$5,Ledger!$E$7:$E$1006,History!F$6,Ledger!$B$7:$B$1006,"&lt;="&amp;$A42)</f>
        <v>400</v>
      </c>
      <c r="G42" s="1">
        <f>SUMIFS(Ledger!$J$7:$J$1006,Ledger!$C$7:$C$1006,Portfolio!$C$5,Ledger!$E$7:$E$1006,History!G$6,Ledger!$B$7:$B$1006,"&lt;="&amp;$A42)</f>
        <v>600</v>
      </c>
      <c r="H42" s="8">
        <f>SUMIFS(Ledger!$K$7:$K$1006,Ledger!$C$7:$C$1006,Portfolio!$C$5,Ledger!$B$7:$B$1006,"&lt;="&amp;$A42)</f>
        <v>78529.297999999995</v>
      </c>
      <c r="I42" s="8">
        <f>IF(S42=6,SUMPRODUCT(B42:G42,History!B42:G42),NA())</f>
        <v>464850.91899999999</v>
      </c>
      <c r="J42" s="8">
        <f t="shared" si="2"/>
        <v>543380.21699999995</v>
      </c>
      <c r="K42" s="8">
        <f>SUMIFS(Ledger!$L$7:$L$1006,Ledger!$C$7:$C$1006,Portfolio!$C$5,Ledger!$B$7:$B$1006,$A42)</f>
        <v>0</v>
      </c>
      <c r="L42" s="10">
        <f>IF(A42&lt;Holdings!$G$24,"",IF(A42=Holdings!$G$24,IF(K42&gt;0,J42/K42-1,NA()),IF(J41&gt;0,(J42-K42)/J41-1,NA())))</f>
        <v>4.3006462331445228E-3</v>
      </c>
      <c r="M42" s="11">
        <f>IF(A42&lt;Holdings!$G$24,"",IF(A42=Holdings!$G$24,100*(1+L42),M41*(1+L42)))</f>
        <v>98.639944728503863</v>
      </c>
      <c r="N42" s="11">
        <f>IF(A42&lt;Holdings!$G$24,"",IF(A42=Holdings!$G$24,MAX(100,M42),MAX(N41,M42)))</f>
        <v>101.59037800000002</v>
      </c>
      <c r="O42" s="10">
        <f>IF(A42&lt;Holdings!$G$24,"",M42/N42-1)</f>
        <v>-2.9042448011131095E-2</v>
      </c>
      <c r="P42" s="11">
        <f>IF(A42&lt;Holdings!$G$24,"",IF(History!H42&gt;0,History!H42/INDEX(History!$H$7:$H$136,MATCH(Holdings!$G$24,History!$A$7:$A$136,0))*100,NA()))</f>
        <v>95.495950800000003</v>
      </c>
      <c r="Q42" s="10">
        <f>IF(A42&lt;=Holdings!$G$24,"",P42/P41-1)</f>
        <v>1.1883666250984692E-3</v>
      </c>
      <c r="R42" s="8">
        <f>IF(A42&gt;Portfolio!$J$5,0,-K42+IF(A42=Portfolio!$J$5,J42,0))</f>
        <v>0</v>
      </c>
      <c r="S42" s="1">
        <f>COUNTIFS(History!B42:G42,"&gt;0")</f>
        <v>6</v>
      </c>
      <c r="T42" s="1" t="str">
        <f t="shared" si="3"/>
        <v>11-May</v>
      </c>
      <c r="U42" s="10">
        <f>IF(AND(A42&lt;=Portfolio!$J$5,A42&gt;=Holdings!$G$24),O42,0)</f>
        <v>-2.9042448011131095E-2</v>
      </c>
      <c r="V42" s="12">
        <f>IF(AND(A42&gt;Holdings!$G$24,A42&lt;=Portfolio!$J$5),L42,"")</f>
        <v>4.3006462331445228E-3</v>
      </c>
      <c r="W42" s="12">
        <f>IF(AND(A42&gt;Holdings!$G$24,A42&lt;=Portfolio!$J$5),Q42,"")</f>
        <v>1.1883666250984692E-3</v>
      </c>
    </row>
    <row r="43" spans="1:23" ht="20" customHeight="1" x14ac:dyDescent="0.35">
      <c r="A43" s="7">
        <v>46154</v>
      </c>
      <c r="B43" s="1">
        <f>SUMIFS(Ledger!$J$7:$J$1006,Ledger!$C$7:$C$1006,Portfolio!$C$5,Ledger!$E$7:$E$1006,History!B$6,Ledger!$B$7:$B$1006,"&lt;="&amp;$A43)</f>
        <v>100</v>
      </c>
      <c r="C43" s="1">
        <f>SUMIFS(Ledger!$J$7:$J$1006,Ledger!$C$7:$C$1006,Portfolio!$C$5,Ledger!$E$7:$E$1006,History!C$6,Ledger!$B$7:$B$1006,"&lt;="&amp;$A43)</f>
        <v>100</v>
      </c>
      <c r="D43" s="1">
        <f>SUMIFS(Ledger!$J$7:$J$1006,Ledger!$C$7:$C$1006,Portfolio!$C$5,Ledger!$E$7:$E$1006,History!D$6,Ledger!$B$7:$B$1006,"&lt;="&amp;$A43)</f>
        <v>70</v>
      </c>
      <c r="E43" s="1">
        <f>SUMIFS(Ledger!$J$7:$J$1006,Ledger!$C$7:$C$1006,Portfolio!$C$5,Ledger!$E$7:$E$1006,History!E$6,Ledger!$B$7:$B$1006,"&lt;="&amp;$A43)</f>
        <v>180</v>
      </c>
      <c r="F43" s="1">
        <f>SUMIFS(Ledger!$J$7:$J$1006,Ledger!$C$7:$C$1006,Portfolio!$C$5,Ledger!$E$7:$E$1006,History!F$6,Ledger!$B$7:$B$1006,"&lt;="&amp;$A43)</f>
        <v>400</v>
      </c>
      <c r="G43" s="1">
        <f>SUMIFS(Ledger!$J$7:$J$1006,Ledger!$C$7:$C$1006,Portfolio!$C$5,Ledger!$E$7:$E$1006,History!G$6,Ledger!$B$7:$B$1006,"&lt;="&amp;$A43)</f>
        <v>600</v>
      </c>
      <c r="H43" s="8">
        <f>SUMIFS(Ledger!$K$7:$K$1006,Ledger!$C$7:$C$1006,Portfolio!$C$5,Ledger!$B$7:$B$1006,"&lt;="&amp;$A43)</f>
        <v>78529.297999999995</v>
      </c>
      <c r="I43" s="8">
        <f>IF(S43=6,SUMPRODUCT(B43:G43,History!B43:G43),NA())</f>
        <v>466174.21600000001</v>
      </c>
      <c r="J43" s="8">
        <f t="shared" si="2"/>
        <v>544703.51399999997</v>
      </c>
      <c r="K43" s="8">
        <f>SUMIFS(Ledger!$L$7:$L$1006,Ledger!$C$7:$C$1006,Portfolio!$C$5,Ledger!$B$7:$B$1006,$A43)</f>
        <v>0</v>
      </c>
      <c r="L43" s="10">
        <f>IF(A43&lt;Holdings!$G$24,"",IF(A43=Holdings!$G$24,IF(K43&gt;0,J43/K43-1,NA()),IF(J42&gt;0,(J43-K43)/J42-1,NA())))</f>
        <v>2.4353058109216619E-3</v>
      </c>
      <c r="M43" s="11">
        <f>IF(A43&lt;Holdings!$G$24,"",IF(A43=Holdings!$G$24,100*(1+L43),M42*(1+L43)))</f>
        <v>98.880163159090174</v>
      </c>
      <c r="N43" s="11">
        <f>IF(A43&lt;Holdings!$G$24,"",IF(A43=Holdings!$G$24,MAX(100,M43),MAX(N42,M43)))</f>
        <v>101.59037800000002</v>
      </c>
      <c r="O43" s="10">
        <f>IF(A43&lt;Holdings!$G$24,"",M43/N43-1)</f>
        <v>-2.6677869442614299E-2</v>
      </c>
      <c r="P43" s="11">
        <f>IF(A43&lt;Holdings!$G$24,"",IF(History!H43&gt;0,History!H43/INDEX(History!$H$7:$H$136,MATCH(Holdings!$G$24,History!$A$7:$A$136,0))*100,NA()))</f>
        <v>94.923890999999998</v>
      </c>
      <c r="Q43" s="10">
        <f>IF(A43&lt;=Holdings!$G$24,"",P43/P42-1)</f>
        <v>-5.9904089671622973E-3</v>
      </c>
      <c r="R43" s="8">
        <f>IF(A43&gt;Portfolio!$J$5,0,-K43+IF(A43=Portfolio!$J$5,J43,0))</f>
        <v>0</v>
      </c>
      <c r="S43" s="1">
        <f>COUNTIFS(History!B43:G43,"&gt;0")</f>
        <v>6</v>
      </c>
      <c r="T43" s="1" t="str">
        <f t="shared" si="3"/>
        <v>12-May</v>
      </c>
      <c r="U43" s="10">
        <f>IF(AND(A43&lt;=Portfolio!$J$5,A43&gt;=Holdings!$G$24),O43,0)</f>
        <v>-2.6677869442614299E-2</v>
      </c>
      <c r="V43" s="12">
        <f>IF(AND(A43&gt;Holdings!$G$24,A43&lt;=Portfolio!$J$5),L43,"")</f>
        <v>2.4353058109216619E-3</v>
      </c>
      <c r="W43" s="12">
        <f>IF(AND(A43&gt;Holdings!$G$24,A43&lt;=Portfolio!$J$5),Q43,"")</f>
        <v>-5.9904089671622973E-3</v>
      </c>
    </row>
    <row r="44" spans="1:23" ht="20" customHeight="1" x14ac:dyDescent="0.35">
      <c r="A44" s="7">
        <v>46155</v>
      </c>
      <c r="B44" s="1">
        <f>SUMIFS(Ledger!$J$7:$J$1006,Ledger!$C$7:$C$1006,Portfolio!$C$5,Ledger!$E$7:$E$1006,History!B$6,Ledger!$B$7:$B$1006,"&lt;="&amp;$A44)</f>
        <v>100</v>
      </c>
      <c r="C44" s="1">
        <f>SUMIFS(Ledger!$J$7:$J$1006,Ledger!$C$7:$C$1006,Portfolio!$C$5,Ledger!$E$7:$E$1006,History!C$6,Ledger!$B$7:$B$1006,"&lt;="&amp;$A44)</f>
        <v>100</v>
      </c>
      <c r="D44" s="1">
        <f>SUMIFS(Ledger!$J$7:$J$1006,Ledger!$C$7:$C$1006,Portfolio!$C$5,Ledger!$E$7:$E$1006,History!D$6,Ledger!$B$7:$B$1006,"&lt;="&amp;$A44)</f>
        <v>70</v>
      </c>
      <c r="E44" s="1">
        <f>SUMIFS(Ledger!$J$7:$J$1006,Ledger!$C$7:$C$1006,Portfolio!$C$5,Ledger!$E$7:$E$1006,History!E$6,Ledger!$B$7:$B$1006,"&lt;="&amp;$A44)</f>
        <v>180</v>
      </c>
      <c r="F44" s="1">
        <f>SUMIFS(Ledger!$J$7:$J$1006,Ledger!$C$7:$C$1006,Portfolio!$C$5,Ledger!$E$7:$E$1006,History!F$6,Ledger!$B$7:$B$1006,"&lt;="&amp;$A44)</f>
        <v>400</v>
      </c>
      <c r="G44" s="1">
        <f>SUMIFS(Ledger!$J$7:$J$1006,Ledger!$C$7:$C$1006,Portfolio!$C$5,Ledger!$E$7:$E$1006,History!G$6,Ledger!$B$7:$B$1006,"&lt;="&amp;$A44)</f>
        <v>600</v>
      </c>
      <c r="H44" s="8">
        <f>SUMIFS(Ledger!$K$7:$K$1006,Ledger!$C$7:$C$1006,Portfolio!$C$5,Ledger!$B$7:$B$1006,"&lt;="&amp;$A44)</f>
        <v>78529.297999999995</v>
      </c>
      <c r="I44" s="8">
        <f>IF(S44=6,SUMPRODUCT(B44:G44,History!B44:G44),NA())</f>
        <v>469370.38500000001</v>
      </c>
      <c r="J44" s="8">
        <f t="shared" si="2"/>
        <v>547899.68299999996</v>
      </c>
      <c r="K44" s="8">
        <f>SUMIFS(Ledger!$L$7:$L$1006,Ledger!$C$7:$C$1006,Portfolio!$C$5,Ledger!$B$7:$B$1006,$A44)</f>
        <v>0</v>
      </c>
      <c r="L44" s="10">
        <f>IF(A44&lt;Holdings!$G$24,"",IF(A44=Holdings!$G$24,IF(K44&gt;0,J44/K44-1,NA()),IF(J43&gt;0,(J44-K44)/J43-1,NA())))</f>
        <v>5.8677223808032419E-3</v>
      </c>
      <c r="M44" s="11">
        <f>IF(A44&lt;Holdings!$G$24,"",IF(A44=Holdings!$G$24,100*(1+L44),M43*(1+L44)))</f>
        <v>99.46036450547625</v>
      </c>
      <c r="N44" s="11">
        <f>IF(A44&lt;Holdings!$G$24,"",IF(A44=Holdings!$G$24,MAX(100,M44),MAX(N43,M44)))</f>
        <v>101.59037800000002</v>
      </c>
      <c r="O44" s="10">
        <f>IF(A44&lt;Holdings!$G$24,"",M44/N44-1)</f>
        <v>-2.0966685393411622E-2</v>
      </c>
      <c r="P44" s="11">
        <f>IF(A44&lt;Holdings!$G$24,"",IF(History!H44&gt;0,History!H44/INDEX(History!$H$7:$H$136,MATCH(Holdings!$G$24,History!$A$7:$A$136,0))*100,NA()))</f>
        <v>95.365521999999999</v>
      </c>
      <c r="Q44" s="10">
        <f>IF(A44&lt;=Holdings!$G$24,"",P44/P43-1)</f>
        <v>4.6524746862726118E-3</v>
      </c>
      <c r="R44" s="8">
        <f>IF(A44&gt;Portfolio!$J$5,0,-K44+IF(A44=Portfolio!$J$5,J44,0))</f>
        <v>0</v>
      </c>
      <c r="S44" s="1">
        <f>COUNTIFS(History!B44:G44,"&gt;0")</f>
        <v>6</v>
      </c>
      <c r="T44" s="1" t="str">
        <f t="shared" si="3"/>
        <v>13-May</v>
      </c>
      <c r="U44" s="10">
        <f>IF(AND(A44&lt;=Portfolio!$J$5,A44&gt;=Holdings!$G$24),O44,0)</f>
        <v>-2.0966685393411622E-2</v>
      </c>
      <c r="V44" s="12">
        <f>IF(AND(A44&gt;Holdings!$G$24,A44&lt;=Portfolio!$J$5),L44,"")</f>
        <v>5.8677223808032419E-3</v>
      </c>
      <c r="W44" s="12">
        <f>IF(AND(A44&gt;Holdings!$G$24,A44&lt;=Portfolio!$J$5),Q44,"")</f>
        <v>4.6524746862726118E-3</v>
      </c>
    </row>
    <row r="45" spans="1:23" ht="20" customHeight="1" x14ac:dyDescent="0.35">
      <c r="A45" s="7">
        <v>46156</v>
      </c>
      <c r="B45" s="1">
        <f>SUMIFS(Ledger!$J$7:$J$1006,Ledger!$C$7:$C$1006,Portfolio!$C$5,Ledger!$E$7:$E$1006,History!B$6,Ledger!$B$7:$B$1006,"&lt;="&amp;$A45)</f>
        <v>100</v>
      </c>
      <c r="C45" s="1">
        <f>SUMIFS(Ledger!$J$7:$J$1006,Ledger!$C$7:$C$1006,Portfolio!$C$5,Ledger!$E$7:$E$1006,History!C$6,Ledger!$B$7:$B$1006,"&lt;="&amp;$A45)</f>
        <v>100</v>
      </c>
      <c r="D45" s="1">
        <f>SUMIFS(Ledger!$J$7:$J$1006,Ledger!$C$7:$C$1006,Portfolio!$C$5,Ledger!$E$7:$E$1006,History!D$6,Ledger!$B$7:$B$1006,"&lt;="&amp;$A45)</f>
        <v>70</v>
      </c>
      <c r="E45" s="1">
        <f>SUMIFS(Ledger!$J$7:$J$1006,Ledger!$C$7:$C$1006,Portfolio!$C$5,Ledger!$E$7:$E$1006,History!E$6,Ledger!$B$7:$B$1006,"&lt;="&amp;$A45)</f>
        <v>180</v>
      </c>
      <c r="F45" s="1">
        <f>SUMIFS(Ledger!$J$7:$J$1006,Ledger!$C$7:$C$1006,Portfolio!$C$5,Ledger!$E$7:$E$1006,History!F$6,Ledger!$B$7:$B$1006,"&lt;="&amp;$A45)</f>
        <v>400</v>
      </c>
      <c r="G45" s="1">
        <f>SUMIFS(Ledger!$J$7:$J$1006,Ledger!$C$7:$C$1006,Portfolio!$C$5,Ledger!$E$7:$E$1006,History!G$6,Ledger!$B$7:$B$1006,"&lt;="&amp;$A45)</f>
        <v>600</v>
      </c>
      <c r="H45" s="8">
        <f>SUMIFS(Ledger!$K$7:$K$1006,Ledger!$C$7:$C$1006,Portfolio!$C$5,Ledger!$B$7:$B$1006,"&lt;="&amp;$A45)</f>
        <v>78529.297999999995</v>
      </c>
      <c r="I45" s="8">
        <f>IF(S45=6,SUMPRODUCT(B45:G45,History!B45:G45),NA())</f>
        <v>467684.30700000003</v>
      </c>
      <c r="J45" s="8">
        <f t="shared" si="2"/>
        <v>546213.60499999998</v>
      </c>
      <c r="K45" s="8">
        <f>SUMIFS(Ledger!$L$7:$L$1006,Ledger!$C$7:$C$1006,Portfolio!$C$5,Ledger!$B$7:$B$1006,$A45)</f>
        <v>0</v>
      </c>
      <c r="L45" s="10">
        <f>IF(A45&lt;Holdings!$G$24,"",IF(A45=Holdings!$G$24,IF(K45&gt;0,J45/K45-1,NA()),IF(J44&gt;0,(J45-K45)/J44-1,NA())))</f>
        <v>-3.0773480115336982E-3</v>
      </c>
      <c r="M45" s="11">
        <f>IF(A45&lt;Holdings!$G$24,"",IF(A45=Holdings!$G$24,100*(1+L45),M44*(1+L45)))</f>
        <v>99.154290350538901</v>
      </c>
      <c r="N45" s="11">
        <f>IF(A45&lt;Holdings!$G$24,"",IF(A45=Holdings!$G$24,MAX(100,M45),MAX(N44,M45)))</f>
        <v>101.59037800000002</v>
      </c>
      <c r="O45" s="10">
        <f>IF(A45&lt;Holdings!$G$24,"",M45/N45-1)</f>
        <v>-2.3979511617341465E-2</v>
      </c>
      <c r="P45" s="11">
        <f>IF(A45&lt;Holdings!$G$24,"",IF(History!H45&gt;0,History!H45/INDEX(History!$H$7:$H$136,MATCH(Holdings!$G$24,History!$A$7:$A$136,0))*100,NA()))</f>
        <v>95.569776300000001</v>
      </c>
      <c r="Q45" s="10">
        <f>IF(A45&lt;=Holdings!$G$24,"",P45/P44-1)</f>
        <v>2.1418044563317196E-3</v>
      </c>
      <c r="R45" s="8">
        <f>IF(A45&gt;Portfolio!$J$5,0,-K45+IF(A45=Portfolio!$J$5,J45,0))</f>
        <v>0</v>
      </c>
      <c r="S45" s="1">
        <f>COUNTIFS(History!B45:G45,"&gt;0")</f>
        <v>6</v>
      </c>
      <c r="T45" s="1" t="str">
        <f t="shared" si="3"/>
        <v>14-May</v>
      </c>
      <c r="U45" s="10">
        <f>IF(AND(A45&lt;=Portfolio!$J$5,A45&gt;=Holdings!$G$24),O45,0)</f>
        <v>-2.3979511617341465E-2</v>
      </c>
      <c r="V45" s="12">
        <f>IF(AND(A45&gt;Holdings!$G$24,A45&lt;=Portfolio!$J$5),L45,"")</f>
        <v>-3.0773480115336982E-3</v>
      </c>
      <c r="W45" s="12">
        <f>IF(AND(A45&gt;Holdings!$G$24,A45&lt;=Portfolio!$J$5),Q45,"")</f>
        <v>2.1418044563317196E-3</v>
      </c>
    </row>
    <row r="46" spans="1:23" ht="20" customHeight="1" x14ac:dyDescent="0.35">
      <c r="A46" s="7">
        <v>46157</v>
      </c>
      <c r="B46" s="1">
        <f>SUMIFS(Ledger!$J$7:$J$1006,Ledger!$C$7:$C$1006,Portfolio!$C$5,Ledger!$E$7:$E$1006,History!B$6,Ledger!$B$7:$B$1006,"&lt;="&amp;$A46)</f>
        <v>100</v>
      </c>
      <c r="C46" s="1">
        <f>SUMIFS(Ledger!$J$7:$J$1006,Ledger!$C$7:$C$1006,Portfolio!$C$5,Ledger!$E$7:$E$1006,History!C$6,Ledger!$B$7:$B$1006,"&lt;="&amp;$A46)</f>
        <v>100</v>
      </c>
      <c r="D46" s="1">
        <f>SUMIFS(Ledger!$J$7:$J$1006,Ledger!$C$7:$C$1006,Portfolio!$C$5,Ledger!$E$7:$E$1006,History!D$6,Ledger!$B$7:$B$1006,"&lt;="&amp;$A46)</f>
        <v>70</v>
      </c>
      <c r="E46" s="1">
        <f>SUMIFS(Ledger!$J$7:$J$1006,Ledger!$C$7:$C$1006,Portfolio!$C$5,Ledger!$E$7:$E$1006,History!E$6,Ledger!$B$7:$B$1006,"&lt;="&amp;$A46)</f>
        <v>180</v>
      </c>
      <c r="F46" s="1">
        <f>SUMIFS(Ledger!$J$7:$J$1006,Ledger!$C$7:$C$1006,Portfolio!$C$5,Ledger!$E$7:$E$1006,History!F$6,Ledger!$B$7:$B$1006,"&lt;="&amp;$A46)</f>
        <v>400</v>
      </c>
      <c r="G46" s="1">
        <f>SUMIFS(Ledger!$J$7:$J$1006,Ledger!$C$7:$C$1006,Portfolio!$C$5,Ledger!$E$7:$E$1006,History!G$6,Ledger!$B$7:$B$1006,"&lt;="&amp;$A46)</f>
        <v>600</v>
      </c>
      <c r="H46" s="8">
        <f>SUMIFS(Ledger!$K$7:$K$1006,Ledger!$C$7:$C$1006,Portfolio!$C$5,Ledger!$B$7:$B$1006,"&lt;="&amp;$A46)</f>
        <v>78529.297999999995</v>
      </c>
      <c r="I46" s="8">
        <f>IF(S46=6,SUMPRODUCT(B46:G46,History!B46:G46),NA())</f>
        <v>464970.35600000003</v>
      </c>
      <c r="J46" s="8">
        <f t="shared" si="2"/>
        <v>543499.65399999998</v>
      </c>
      <c r="K46" s="8">
        <f>SUMIFS(Ledger!$L$7:$L$1006,Ledger!$C$7:$C$1006,Portfolio!$C$5,Ledger!$B$7:$B$1006,$A46)</f>
        <v>0</v>
      </c>
      <c r="L46" s="10">
        <f>IF(A46&lt;Holdings!$G$24,"",IF(A46=Holdings!$G$24,IF(K46&gt;0,J46/K46-1,NA()),IF(J45&gt;0,(J46-K46)/J45-1,NA())))</f>
        <v>-4.9686623971952892E-3</v>
      </c>
      <c r="M46" s="11">
        <f>IF(A46&lt;Holdings!$G$24,"",IF(A46=Holdings!$G$24,100*(1+L46),M45*(1+L46)))</f>
        <v>98.661626156553595</v>
      </c>
      <c r="N46" s="11">
        <f>IF(A46&lt;Holdings!$G$24,"",IF(A46=Holdings!$G$24,MAX(100,M46),MAX(N45,M46)))</f>
        <v>101.59037800000002</v>
      </c>
      <c r="O46" s="10">
        <f>IF(A46&lt;Holdings!$G$24,"",M46/N46-1)</f>
        <v>-2.8829027916860595E-2</v>
      </c>
      <c r="P46" s="11">
        <f>IF(A46&lt;Holdings!$G$24,"",IF(History!H46&gt;0,History!H46/INDEX(History!$H$7:$H$136,MATCH(Holdings!$G$24,History!$A$7:$A$136,0))*100,NA()))</f>
        <v>94.821611200000007</v>
      </c>
      <c r="Q46" s="10">
        <f>IF(A46&lt;=Holdings!$G$24,"",P46/P45-1)</f>
        <v>-7.8284697209236587E-3</v>
      </c>
      <c r="R46" s="8">
        <f>IF(A46&gt;Portfolio!$J$5,0,-K46+IF(A46=Portfolio!$J$5,J46,0))</f>
        <v>0</v>
      </c>
      <c r="S46" s="1">
        <f>COUNTIFS(History!B46:G46,"&gt;0")</f>
        <v>6</v>
      </c>
      <c r="T46" s="1" t="str">
        <f t="shared" si="3"/>
        <v>15-May</v>
      </c>
      <c r="U46" s="10">
        <f>IF(AND(A46&lt;=Portfolio!$J$5,A46&gt;=Holdings!$G$24),O46,0)</f>
        <v>-2.8829027916860595E-2</v>
      </c>
      <c r="V46" s="12">
        <f>IF(AND(A46&gt;Holdings!$G$24,A46&lt;=Portfolio!$J$5),L46,"")</f>
        <v>-4.9686623971952892E-3</v>
      </c>
      <c r="W46" s="12">
        <f>IF(AND(A46&gt;Holdings!$G$24,A46&lt;=Portfolio!$J$5),Q46,"")</f>
        <v>-7.8284697209236587E-3</v>
      </c>
    </row>
    <row r="47" spans="1:23" ht="20" customHeight="1" x14ac:dyDescent="0.35">
      <c r="A47" s="7">
        <v>46160</v>
      </c>
      <c r="B47" s="1">
        <f>SUMIFS(Ledger!$J$7:$J$1006,Ledger!$C$7:$C$1006,Portfolio!$C$5,Ledger!$E$7:$E$1006,History!B$6,Ledger!$B$7:$B$1006,"&lt;="&amp;$A47)</f>
        <v>100</v>
      </c>
      <c r="C47" s="1">
        <f>SUMIFS(Ledger!$J$7:$J$1006,Ledger!$C$7:$C$1006,Portfolio!$C$5,Ledger!$E$7:$E$1006,History!C$6,Ledger!$B$7:$B$1006,"&lt;="&amp;$A47)</f>
        <v>100</v>
      </c>
      <c r="D47" s="1">
        <f>SUMIFS(Ledger!$J$7:$J$1006,Ledger!$C$7:$C$1006,Portfolio!$C$5,Ledger!$E$7:$E$1006,History!D$6,Ledger!$B$7:$B$1006,"&lt;="&amp;$A47)</f>
        <v>70</v>
      </c>
      <c r="E47" s="1">
        <f>SUMIFS(Ledger!$J$7:$J$1006,Ledger!$C$7:$C$1006,Portfolio!$C$5,Ledger!$E$7:$E$1006,History!E$6,Ledger!$B$7:$B$1006,"&lt;="&amp;$A47)</f>
        <v>180</v>
      </c>
      <c r="F47" s="1">
        <f>SUMIFS(Ledger!$J$7:$J$1006,Ledger!$C$7:$C$1006,Portfolio!$C$5,Ledger!$E$7:$E$1006,History!F$6,Ledger!$B$7:$B$1006,"&lt;="&amp;$A47)</f>
        <v>480</v>
      </c>
      <c r="G47" s="1">
        <f>SUMIFS(Ledger!$J$7:$J$1006,Ledger!$C$7:$C$1006,Portfolio!$C$5,Ledger!$E$7:$E$1006,History!G$6,Ledger!$B$7:$B$1006,"&lt;="&amp;$A47)</f>
        <v>600</v>
      </c>
      <c r="H47" s="8">
        <f>SUMIFS(Ledger!$K$7:$K$1006,Ledger!$C$7:$C$1006,Portfolio!$C$5,Ledger!$B$7:$B$1006,"&lt;="&amp;$A47)</f>
        <v>58660.273999999998</v>
      </c>
      <c r="I47" s="8">
        <f>IF(S47=6,SUMPRODUCT(B47:G47,History!B47:G47),NA())</f>
        <v>483836.84100000001</v>
      </c>
      <c r="J47" s="8">
        <f t="shared" si="2"/>
        <v>542497.11499999999</v>
      </c>
      <c r="K47" s="8">
        <f>SUMIFS(Ledger!$L$7:$L$1006,Ledger!$C$7:$C$1006,Portfolio!$C$5,Ledger!$B$7:$B$1006,$A47)</f>
        <v>0</v>
      </c>
      <c r="L47" s="10">
        <f>IF(A47&lt;Holdings!$G$24,"",IF(A47=Holdings!$G$24,IF(K47&gt;0,J47/K47-1,NA()),IF(J46&gt;0,(J47-K47)/J46-1,NA())))</f>
        <v>-1.8445991503796E-3</v>
      </c>
      <c r="M47" s="11">
        <f>IF(A47&lt;Holdings!$G$24,"",IF(A47=Holdings!$G$24,100*(1+L47),M46*(1+L47)))</f>
        <v>98.479635004770145</v>
      </c>
      <c r="N47" s="11">
        <f>IF(A47&lt;Holdings!$G$24,"",IF(A47=Holdings!$G$24,MAX(100,M47),MAX(N46,M47)))</f>
        <v>101.59037800000002</v>
      </c>
      <c r="O47" s="10">
        <f>IF(A47&lt;Holdings!$G$24,"",M47/N47-1)</f>
        <v>-3.0620449066838473E-2</v>
      </c>
      <c r="P47" s="11">
        <f>IF(A47&lt;Holdings!$G$24,"",IF(History!H47&gt;0,History!H47/INDEX(History!$H$7:$H$136,MATCH(Holdings!$G$24,History!$A$7:$A$136,0))*100,NA()))</f>
        <v>94.245118000000005</v>
      </c>
      <c r="Q47" s="10">
        <f>IF(A47&lt;=Holdings!$G$24,"",P47/P46-1)</f>
        <v>-6.0797659173291718E-3</v>
      </c>
      <c r="R47" s="8">
        <f>IF(A47&gt;Portfolio!$J$5,0,-K47+IF(A47=Portfolio!$J$5,J47,0))</f>
        <v>0</v>
      </c>
      <c r="S47" s="1">
        <f>COUNTIFS(History!B47:G47,"&gt;0")</f>
        <v>6</v>
      </c>
      <c r="T47" s="1" t="str">
        <f t="shared" si="3"/>
        <v>18-May</v>
      </c>
      <c r="U47" s="10">
        <f>IF(AND(A47&lt;=Portfolio!$J$5,A47&gt;=Holdings!$G$24),O47,0)</f>
        <v>-3.0620449066838473E-2</v>
      </c>
      <c r="V47" s="12">
        <f>IF(AND(A47&gt;Holdings!$G$24,A47&lt;=Portfolio!$J$5),L47,"")</f>
        <v>-1.8445991503796E-3</v>
      </c>
      <c r="W47" s="12">
        <f>IF(AND(A47&gt;Holdings!$G$24,A47&lt;=Portfolio!$J$5),Q47,"")</f>
        <v>-6.0797659173291718E-3</v>
      </c>
    </row>
    <row r="48" spans="1:23" ht="20" customHeight="1" x14ac:dyDescent="0.35">
      <c r="A48" s="7">
        <v>46161</v>
      </c>
      <c r="B48" s="1">
        <f>SUMIFS(Ledger!$J$7:$J$1006,Ledger!$C$7:$C$1006,Portfolio!$C$5,Ledger!$E$7:$E$1006,History!B$6,Ledger!$B$7:$B$1006,"&lt;="&amp;$A48)</f>
        <v>100</v>
      </c>
      <c r="C48" s="1">
        <f>SUMIFS(Ledger!$J$7:$J$1006,Ledger!$C$7:$C$1006,Portfolio!$C$5,Ledger!$E$7:$E$1006,History!C$6,Ledger!$B$7:$B$1006,"&lt;="&amp;$A48)</f>
        <v>100</v>
      </c>
      <c r="D48" s="1">
        <f>SUMIFS(Ledger!$J$7:$J$1006,Ledger!$C$7:$C$1006,Portfolio!$C$5,Ledger!$E$7:$E$1006,History!D$6,Ledger!$B$7:$B$1006,"&lt;="&amp;$A48)</f>
        <v>70</v>
      </c>
      <c r="E48" s="1">
        <f>SUMIFS(Ledger!$J$7:$J$1006,Ledger!$C$7:$C$1006,Portfolio!$C$5,Ledger!$E$7:$E$1006,History!E$6,Ledger!$B$7:$B$1006,"&lt;="&amp;$A48)</f>
        <v>180</v>
      </c>
      <c r="F48" s="1">
        <f>SUMIFS(Ledger!$J$7:$J$1006,Ledger!$C$7:$C$1006,Portfolio!$C$5,Ledger!$E$7:$E$1006,History!F$6,Ledger!$B$7:$B$1006,"&lt;="&amp;$A48)</f>
        <v>480</v>
      </c>
      <c r="G48" s="1">
        <f>SUMIFS(Ledger!$J$7:$J$1006,Ledger!$C$7:$C$1006,Portfolio!$C$5,Ledger!$E$7:$E$1006,History!G$6,Ledger!$B$7:$B$1006,"&lt;="&amp;$A48)</f>
        <v>600</v>
      </c>
      <c r="H48" s="8">
        <f>SUMIFS(Ledger!$K$7:$K$1006,Ledger!$C$7:$C$1006,Portfolio!$C$5,Ledger!$B$7:$B$1006,"&lt;="&amp;$A48)</f>
        <v>58660.273999999998</v>
      </c>
      <c r="I48" s="8">
        <f>IF(S48=6,SUMPRODUCT(B48:G48,History!B48:G48),NA())</f>
        <v>480953.07</v>
      </c>
      <c r="J48" s="8">
        <f t="shared" si="2"/>
        <v>539613.34400000004</v>
      </c>
      <c r="K48" s="8">
        <f>SUMIFS(Ledger!$L$7:$L$1006,Ledger!$C$7:$C$1006,Portfolio!$C$5,Ledger!$B$7:$B$1006,$A48)</f>
        <v>0</v>
      </c>
      <c r="L48" s="10">
        <f>IF(A48&lt;Holdings!$G$24,"",IF(A48=Holdings!$G$24,IF(K48&gt;0,J48/K48-1,NA()),IF(J47&gt;0,(J48-K48)/J47-1,NA())))</f>
        <v>-5.3157351813750697E-3</v>
      </c>
      <c r="M48" s="11">
        <f>IF(A48&lt;Holdings!$G$24,"",IF(A48=Holdings!$G$24,100*(1+L48),M47*(1+L48)))</f>
        <v>97.956143344326307</v>
      </c>
      <c r="N48" s="11">
        <f>IF(A48&lt;Holdings!$G$24,"",IF(A48=Holdings!$G$24,MAX(100,M48),MAX(N47,M48)))</f>
        <v>101.59037800000002</v>
      </c>
      <c r="O48" s="10">
        <f>IF(A48&lt;Holdings!$G$24,"",M48/N48-1)</f>
        <v>-3.5773414049839469E-2</v>
      </c>
      <c r="P48" s="11">
        <f>IF(A48&lt;Holdings!$G$24,"",IF(History!H48&gt;0,History!H48/INDEX(History!$H$7:$H$136,MATCH(Holdings!$G$24,History!$A$7:$A$136,0))*100,NA()))</f>
        <v>93.625772900000001</v>
      </c>
      <c r="Q48" s="10">
        <f>IF(A48&lt;=Holdings!$G$24,"",P48/P47-1)</f>
        <v>-6.571641196311151E-3</v>
      </c>
      <c r="R48" s="8">
        <f>IF(A48&gt;Portfolio!$J$5,0,-K48+IF(A48=Portfolio!$J$5,J48,0))</f>
        <v>0</v>
      </c>
      <c r="S48" s="1">
        <f>COUNTIFS(History!B48:G48,"&gt;0")</f>
        <v>6</v>
      </c>
      <c r="T48" s="1" t="str">
        <f t="shared" si="3"/>
        <v>19-May</v>
      </c>
      <c r="U48" s="10">
        <f>IF(AND(A48&lt;=Portfolio!$J$5,A48&gt;=Holdings!$G$24),O48,0)</f>
        <v>-3.5773414049839469E-2</v>
      </c>
      <c r="V48" s="12">
        <f>IF(AND(A48&gt;Holdings!$G$24,A48&lt;=Portfolio!$J$5),L48,"")</f>
        <v>-5.3157351813750697E-3</v>
      </c>
      <c r="W48" s="12">
        <f>IF(AND(A48&gt;Holdings!$G$24,A48&lt;=Portfolio!$J$5),Q48,"")</f>
        <v>-6.571641196311151E-3</v>
      </c>
    </row>
    <row r="49" spans="1:23" ht="20" customHeight="1" x14ac:dyDescent="0.35">
      <c r="A49" s="7">
        <v>46162</v>
      </c>
      <c r="B49" s="1">
        <f>SUMIFS(Ledger!$J$7:$J$1006,Ledger!$C$7:$C$1006,Portfolio!$C$5,Ledger!$E$7:$E$1006,History!B$6,Ledger!$B$7:$B$1006,"&lt;="&amp;$A49)</f>
        <v>100</v>
      </c>
      <c r="C49" s="1">
        <f>SUMIFS(Ledger!$J$7:$J$1006,Ledger!$C$7:$C$1006,Portfolio!$C$5,Ledger!$E$7:$E$1006,History!C$6,Ledger!$B$7:$B$1006,"&lt;="&amp;$A49)</f>
        <v>100</v>
      </c>
      <c r="D49" s="1">
        <f>SUMIFS(Ledger!$J$7:$J$1006,Ledger!$C$7:$C$1006,Portfolio!$C$5,Ledger!$E$7:$E$1006,History!D$6,Ledger!$B$7:$B$1006,"&lt;="&amp;$A49)</f>
        <v>70</v>
      </c>
      <c r="E49" s="1">
        <f>SUMIFS(Ledger!$J$7:$J$1006,Ledger!$C$7:$C$1006,Portfolio!$C$5,Ledger!$E$7:$E$1006,History!E$6,Ledger!$B$7:$B$1006,"&lt;="&amp;$A49)</f>
        <v>180</v>
      </c>
      <c r="F49" s="1">
        <f>SUMIFS(Ledger!$J$7:$J$1006,Ledger!$C$7:$C$1006,Portfolio!$C$5,Ledger!$E$7:$E$1006,History!F$6,Ledger!$B$7:$B$1006,"&lt;="&amp;$A49)</f>
        <v>480</v>
      </c>
      <c r="G49" s="1">
        <f>SUMIFS(Ledger!$J$7:$J$1006,Ledger!$C$7:$C$1006,Portfolio!$C$5,Ledger!$E$7:$E$1006,History!G$6,Ledger!$B$7:$B$1006,"&lt;="&amp;$A49)</f>
        <v>600</v>
      </c>
      <c r="H49" s="8">
        <f>SUMIFS(Ledger!$K$7:$K$1006,Ledger!$C$7:$C$1006,Portfolio!$C$5,Ledger!$B$7:$B$1006,"&lt;="&amp;$A49)</f>
        <v>58660.273999999998</v>
      </c>
      <c r="I49" s="8">
        <f>IF(S49=6,SUMPRODUCT(B49:G49,History!B49:G49),NA())</f>
        <v>481831.99899999995</v>
      </c>
      <c r="J49" s="8">
        <f t="shared" si="2"/>
        <v>540492.27299999993</v>
      </c>
      <c r="K49" s="8">
        <f>SUMIFS(Ledger!$L$7:$L$1006,Ledger!$C$7:$C$1006,Portfolio!$C$5,Ledger!$B$7:$B$1006,$A49)</f>
        <v>0</v>
      </c>
      <c r="L49" s="10">
        <f>IF(A49&lt;Holdings!$G$24,"",IF(A49=Holdings!$G$24,IF(K49&gt;0,J49/K49-1,NA()),IF(J48&gt;0,(J49-K49)/J48-1,NA())))</f>
        <v>1.6288125743604276E-3</v>
      </c>
      <c r="M49" s="11">
        <f>IF(A49&lt;Holdings!$G$24,"",IF(A49=Holdings!$G$24,100*(1+L49),M48*(1+L49)))</f>
        <v>98.115695542341399</v>
      </c>
      <c r="N49" s="11">
        <f>IF(A49&lt;Holdings!$G$24,"",IF(A49=Holdings!$G$24,MAX(100,M49),MAX(N48,M49)))</f>
        <v>101.59037800000002</v>
      </c>
      <c r="O49" s="10">
        <f>IF(A49&lt;Holdings!$G$24,"",M49/N49-1)</f>
        <v>-3.4202869662111279E-2</v>
      </c>
      <c r="P49" s="11">
        <f>IF(A49&lt;Holdings!$G$24,"",IF(History!H49&gt;0,History!H49/INDEX(History!$H$7:$H$136,MATCH(Holdings!$G$24,History!$A$7:$A$136,0))*100,NA()))</f>
        <v>94.044138799999999</v>
      </c>
      <c r="Q49" s="10">
        <f>IF(A49&lt;=Holdings!$G$24,"",P49/P48-1)</f>
        <v>4.4684907482348546E-3</v>
      </c>
      <c r="R49" s="8">
        <f>IF(A49&gt;Portfolio!$J$5,0,-K49+IF(A49=Portfolio!$J$5,J49,0))</f>
        <v>0</v>
      </c>
      <c r="S49" s="1">
        <f>COUNTIFS(History!B49:G49,"&gt;0")</f>
        <v>6</v>
      </c>
      <c r="T49" s="1" t="str">
        <f t="shared" si="3"/>
        <v>20-May</v>
      </c>
      <c r="U49" s="10">
        <f>IF(AND(A49&lt;=Portfolio!$J$5,A49&gt;=Holdings!$G$24),O49,0)</f>
        <v>-3.4202869662111279E-2</v>
      </c>
      <c r="V49" s="12">
        <f>IF(AND(A49&gt;Holdings!$G$24,A49&lt;=Portfolio!$J$5),L49,"")</f>
        <v>1.6288125743604276E-3</v>
      </c>
      <c r="W49" s="12">
        <f>IF(AND(A49&gt;Holdings!$G$24,A49&lt;=Portfolio!$J$5),Q49,"")</f>
        <v>4.4684907482348546E-3</v>
      </c>
    </row>
    <row r="50" spans="1:23" ht="20" customHeight="1" x14ac:dyDescent="0.35">
      <c r="A50" s="7">
        <v>46163</v>
      </c>
      <c r="B50" s="1">
        <f>SUMIFS(Ledger!$J$7:$J$1006,Ledger!$C$7:$C$1006,Portfolio!$C$5,Ledger!$E$7:$E$1006,History!B$6,Ledger!$B$7:$B$1006,"&lt;="&amp;$A50)</f>
        <v>100</v>
      </c>
      <c r="C50" s="1">
        <f>SUMIFS(Ledger!$J$7:$J$1006,Ledger!$C$7:$C$1006,Portfolio!$C$5,Ledger!$E$7:$E$1006,History!C$6,Ledger!$B$7:$B$1006,"&lt;="&amp;$A50)</f>
        <v>100</v>
      </c>
      <c r="D50" s="1">
        <f>SUMIFS(Ledger!$J$7:$J$1006,Ledger!$C$7:$C$1006,Portfolio!$C$5,Ledger!$E$7:$E$1006,History!D$6,Ledger!$B$7:$B$1006,"&lt;="&amp;$A50)</f>
        <v>70</v>
      </c>
      <c r="E50" s="1">
        <f>SUMIFS(Ledger!$J$7:$J$1006,Ledger!$C$7:$C$1006,Portfolio!$C$5,Ledger!$E$7:$E$1006,History!E$6,Ledger!$B$7:$B$1006,"&lt;="&amp;$A50)</f>
        <v>180</v>
      </c>
      <c r="F50" s="1">
        <f>SUMIFS(Ledger!$J$7:$J$1006,Ledger!$C$7:$C$1006,Portfolio!$C$5,Ledger!$E$7:$E$1006,History!F$6,Ledger!$B$7:$B$1006,"&lt;="&amp;$A50)</f>
        <v>480</v>
      </c>
      <c r="G50" s="1">
        <f>SUMIFS(Ledger!$J$7:$J$1006,Ledger!$C$7:$C$1006,Portfolio!$C$5,Ledger!$E$7:$E$1006,History!G$6,Ledger!$B$7:$B$1006,"&lt;="&amp;$A50)</f>
        <v>600</v>
      </c>
      <c r="H50" s="8">
        <f>SUMIFS(Ledger!$K$7:$K$1006,Ledger!$C$7:$C$1006,Portfolio!$C$5,Ledger!$B$7:$B$1006,"&lt;="&amp;$A50)</f>
        <v>58660.273999999998</v>
      </c>
      <c r="I50" s="8">
        <f>IF(S50=6,SUMPRODUCT(B50:G50,History!B50:G50),NA())</f>
        <v>479578.90299999999</v>
      </c>
      <c r="J50" s="8">
        <f t="shared" si="2"/>
        <v>538239.17700000003</v>
      </c>
      <c r="K50" s="8">
        <f>SUMIFS(Ledger!$L$7:$L$1006,Ledger!$C$7:$C$1006,Portfolio!$C$5,Ledger!$B$7:$B$1006,$A50)</f>
        <v>0</v>
      </c>
      <c r="L50" s="10">
        <f>IF(A50&lt;Holdings!$G$24,"",IF(A50=Holdings!$G$24,IF(K50&gt;0,J50/K50-1,NA()),IF(J49&gt;0,(J50-K50)/J49-1,NA())))</f>
        <v>-4.1685998349136888E-3</v>
      </c>
      <c r="M50" s="11">
        <f>IF(A50&lt;Holdings!$G$24,"",IF(A50=Holdings!$G$24,100*(1+L50),M49*(1+L50)))</f>
        <v>97.706690470101151</v>
      </c>
      <c r="N50" s="11">
        <f>IF(A50&lt;Holdings!$G$24,"",IF(A50=Holdings!$G$24,MAX(100,M50),MAX(N49,M50)))</f>
        <v>101.59037800000002</v>
      </c>
      <c r="O50" s="10">
        <f>IF(A50&lt;Holdings!$G$24,"",M50/N50-1)</f>
        <v>-3.8228891420197919E-2</v>
      </c>
      <c r="P50" s="11">
        <f>IF(A50&lt;Holdings!$G$24,"",IF(History!H50&gt;0,History!H50/INDEX(History!$H$7:$H$136,MATCH(Holdings!$G$24,History!$A$7:$A$136,0))*100,NA()))</f>
        <v>93.780746600000001</v>
      </c>
      <c r="Q50" s="10">
        <f>IF(A50&lt;=Holdings!$G$24,"",P50/P49-1)</f>
        <v>-2.8007295655090303E-3</v>
      </c>
      <c r="R50" s="8">
        <f>IF(A50&gt;Portfolio!$J$5,0,-K50+IF(A50=Portfolio!$J$5,J50,0))</f>
        <v>0</v>
      </c>
      <c r="S50" s="1">
        <f>COUNTIFS(History!B50:G50,"&gt;0")</f>
        <v>6</v>
      </c>
      <c r="T50" s="1" t="str">
        <f t="shared" si="3"/>
        <v>21-May</v>
      </c>
      <c r="U50" s="10">
        <f>IF(AND(A50&lt;=Portfolio!$J$5,A50&gt;=Holdings!$G$24),O50,0)</f>
        <v>-3.8228891420197919E-2</v>
      </c>
      <c r="V50" s="12">
        <f>IF(AND(A50&gt;Holdings!$G$24,A50&lt;=Portfolio!$J$5),L50,"")</f>
        <v>-4.1685998349136888E-3</v>
      </c>
      <c r="W50" s="12">
        <f>IF(AND(A50&gt;Holdings!$G$24,A50&lt;=Portfolio!$J$5),Q50,"")</f>
        <v>-2.8007295655090303E-3</v>
      </c>
    </row>
    <row r="51" spans="1:23" ht="20" customHeight="1" x14ac:dyDescent="0.35">
      <c r="A51" s="7">
        <v>46164</v>
      </c>
      <c r="B51" s="1">
        <f>SUMIFS(Ledger!$J$7:$J$1006,Ledger!$C$7:$C$1006,Portfolio!$C$5,Ledger!$E$7:$E$1006,History!B$6,Ledger!$B$7:$B$1006,"&lt;="&amp;$A51)</f>
        <v>100</v>
      </c>
      <c r="C51" s="1">
        <f>SUMIFS(Ledger!$J$7:$J$1006,Ledger!$C$7:$C$1006,Portfolio!$C$5,Ledger!$E$7:$E$1006,History!C$6,Ledger!$B$7:$B$1006,"&lt;="&amp;$A51)</f>
        <v>100</v>
      </c>
      <c r="D51" s="1">
        <f>SUMIFS(Ledger!$J$7:$J$1006,Ledger!$C$7:$C$1006,Portfolio!$C$5,Ledger!$E$7:$E$1006,History!D$6,Ledger!$B$7:$B$1006,"&lt;="&amp;$A51)</f>
        <v>70</v>
      </c>
      <c r="E51" s="1">
        <f>SUMIFS(Ledger!$J$7:$J$1006,Ledger!$C$7:$C$1006,Portfolio!$C$5,Ledger!$E$7:$E$1006,History!E$6,Ledger!$B$7:$B$1006,"&lt;="&amp;$A51)</f>
        <v>180</v>
      </c>
      <c r="F51" s="1">
        <f>SUMIFS(Ledger!$J$7:$J$1006,Ledger!$C$7:$C$1006,Portfolio!$C$5,Ledger!$E$7:$E$1006,History!F$6,Ledger!$B$7:$B$1006,"&lt;="&amp;$A51)</f>
        <v>480</v>
      </c>
      <c r="G51" s="1">
        <f>SUMIFS(Ledger!$J$7:$J$1006,Ledger!$C$7:$C$1006,Portfolio!$C$5,Ledger!$E$7:$E$1006,History!G$6,Ledger!$B$7:$B$1006,"&lt;="&amp;$A51)</f>
        <v>600</v>
      </c>
      <c r="H51" s="8">
        <f>SUMIFS(Ledger!$K$7:$K$1006,Ledger!$C$7:$C$1006,Portfolio!$C$5,Ledger!$B$7:$B$1006,"&lt;="&amp;$A51)</f>
        <v>58660.273999999998</v>
      </c>
      <c r="I51" s="8">
        <f>IF(S51=6,SUMPRODUCT(B51:G51,History!B51:G51),NA())</f>
        <v>478642.38300000003</v>
      </c>
      <c r="J51" s="8">
        <f t="shared" si="2"/>
        <v>537302.65700000001</v>
      </c>
      <c r="K51" s="8">
        <f>SUMIFS(Ledger!$L$7:$L$1006,Ledger!$C$7:$C$1006,Portfolio!$C$5,Ledger!$B$7:$B$1006,$A51)</f>
        <v>0</v>
      </c>
      <c r="L51" s="10">
        <f>IF(A51&lt;Holdings!$G$24,"",IF(A51=Holdings!$G$24,IF(K51&gt;0,J51/K51-1,NA()),IF(J50&gt;0,(J51-K51)/J50-1,NA())))</f>
        <v>-1.7399699613468433E-3</v>
      </c>
      <c r="M51" s="11">
        <f>IF(A51&lt;Holdings!$G$24,"",IF(A51=Holdings!$G$24,100*(1+L51),M50*(1+L51)))</f>
        <v>97.536683763660562</v>
      </c>
      <c r="N51" s="11">
        <f>IF(A51&lt;Holdings!$G$24,"",IF(A51=Holdings!$G$24,MAX(100,M51),MAX(N50,M51)))</f>
        <v>101.59037800000002</v>
      </c>
      <c r="O51" s="10">
        <f>IF(A51&lt;Holdings!$G$24,"",M51/N51-1)</f>
        <v>-3.9902344258818001E-2</v>
      </c>
      <c r="P51" s="11">
        <f>IF(A51&lt;Holdings!$G$24,"",IF(History!H51&gt;0,History!H51/INDEX(History!$H$7:$H$136,MATCH(Holdings!$G$24,History!$A$7:$A$136,0))*100,NA()))</f>
        <v>93.794179999999997</v>
      </c>
      <c r="Q51" s="10">
        <f>IF(A51&lt;=Holdings!$G$24,"",P51/P50-1)</f>
        <v>1.432426216150251E-4</v>
      </c>
      <c r="R51" s="8">
        <f>IF(A51&gt;Portfolio!$J$5,0,-K51+IF(A51=Portfolio!$J$5,J51,0))</f>
        <v>0</v>
      </c>
      <c r="S51" s="1">
        <f>COUNTIFS(History!B51:G51,"&gt;0")</f>
        <v>6</v>
      </c>
      <c r="T51" s="1" t="str">
        <f t="shared" si="3"/>
        <v>22-May</v>
      </c>
      <c r="U51" s="10">
        <f>IF(AND(A51&lt;=Portfolio!$J$5,A51&gt;=Holdings!$G$24),O51,0)</f>
        <v>-3.9902344258818001E-2</v>
      </c>
      <c r="V51" s="12">
        <f>IF(AND(A51&gt;Holdings!$G$24,A51&lt;=Portfolio!$J$5),L51,"")</f>
        <v>-1.7399699613468433E-3</v>
      </c>
      <c r="W51" s="12">
        <f>IF(AND(A51&gt;Holdings!$G$24,A51&lt;=Portfolio!$J$5),Q51,"")</f>
        <v>1.432426216150251E-4</v>
      </c>
    </row>
    <row r="52" spans="1:23" ht="20" customHeight="1" x14ac:dyDescent="0.35">
      <c r="A52" s="7">
        <v>46167</v>
      </c>
      <c r="B52" s="1">
        <f>SUMIFS(Ledger!$J$7:$J$1006,Ledger!$C$7:$C$1006,Portfolio!$C$5,Ledger!$E$7:$E$1006,History!B$6,Ledger!$B$7:$B$1006,"&lt;="&amp;$A52)</f>
        <v>100</v>
      </c>
      <c r="C52" s="1">
        <f>SUMIFS(Ledger!$J$7:$J$1006,Ledger!$C$7:$C$1006,Portfolio!$C$5,Ledger!$E$7:$E$1006,History!C$6,Ledger!$B$7:$B$1006,"&lt;="&amp;$A52)</f>
        <v>100</v>
      </c>
      <c r="D52" s="1">
        <f>SUMIFS(Ledger!$J$7:$J$1006,Ledger!$C$7:$C$1006,Portfolio!$C$5,Ledger!$E$7:$E$1006,History!D$6,Ledger!$B$7:$B$1006,"&lt;="&amp;$A52)</f>
        <v>70</v>
      </c>
      <c r="E52" s="1">
        <f>SUMIFS(Ledger!$J$7:$J$1006,Ledger!$C$7:$C$1006,Portfolio!$C$5,Ledger!$E$7:$E$1006,History!E$6,Ledger!$B$7:$B$1006,"&lt;="&amp;$A52)</f>
        <v>180</v>
      </c>
      <c r="F52" s="1">
        <f>SUMIFS(Ledger!$J$7:$J$1006,Ledger!$C$7:$C$1006,Portfolio!$C$5,Ledger!$E$7:$E$1006,History!F$6,Ledger!$B$7:$B$1006,"&lt;="&amp;$A52)</f>
        <v>480</v>
      </c>
      <c r="G52" s="1">
        <f>SUMIFS(Ledger!$J$7:$J$1006,Ledger!$C$7:$C$1006,Portfolio!$C$5,Ledger!$E$7:$E$1006,History!G$6,Ledger!$B$7:$B$1006,"&lt;="&amp;$A52)</f>
        <v>600</v>
      </c>
      <c r="H52" s="8">
        <f>SUMIFS(Ledger!$K$7:$K$1006,Ledger!$C$7:$C$1006,Portfolio!$C$5,Ledger!$B$7:$B$1006,"&lt;="&amp;$A52)</f>
        <v>58660.273999999998</v>
      </c>
      <c r="I52" s="8">
        <f>IF(S52=6,SUMPRODUCT(B52:G52,History!B52:G52),NA())</f>
        <v>480845.84300000005</v>
      </c>
      <c r="J52" s="8">
        <f t="shared" si="2"/>
        <v>539506.11700000009</v>
      </c>
      <c r="K52" s="8">
        <f>SUMIFS(Ledger!$L$7:$L$1006,Ledger!$C$7:$C$1006,Portfolio!$C$5,Ledger!$B$7:$B$1006,$A52)</f>
        <v>0</v>
      </c>
      <c r="L52" s="10">
        <f>IF(A52&lt;Holdings!$G$24,"",IF(A52=Holdings!$G$24,IF(K52&gt;0,J52/K52-1,NA()),IF(J51&gt;0,(J52-K52)/J51-1,NA())))</f>
        <v>4.1009661338786696E-3</v>
      </c>
      <c r="M52" s="11">
        <f>IF(A52&lt;Holdings!$G$24,"",IF(A52=Holdings!$G$24,100*(1+L52),M51*(1+L52)))</f>
        <v>97.936678400586175</v>
      </c>
      <c r="N52" s="11">
        <f>IF(A52&lt;Holdings!$G$24,"",IF(A52=Holdings!$G$24,MAX(100,M52),MAX(N51,M52)))</f>
        <v>101.59037800000002</v>
      </c>
      <c r="O52" s="10">
        <f>IF(A52&lt;Holdings!$G$24,"",M52/N52-1)</f>
        <v>-3.5965016287407114E-2</v>
      </c>
      <c r="P52" s="11">
        <f>IF(A52&lt;Holdings!$G$24,"",IF(History!H52&gt;0,History!H52/INDEX(History!$H$7:$H$136,MATCH(Holdings!$G$24,History!$A$7:$A$136,0))*100,NA()))</f>
        <v>94.136445300000005</v>
      </c>
      <c r="Q52" s="10">
        <f>IF(A52&lt;=Holdings!$G$24,"",P52/P51-1)</f>
        <v>3.6491102113158647E-3</v>
      </c>
      <c r="R52" s="8">
        <f>IF(A52&gt;Portfolio!$J$5,0,-K52+IF(A52=Portfolio!$J$5,J52,0))</f>
        <v>0</v>
      </c>
      <c r="S52" s="1">
        <f>COUNTIFS(History!B52:G52,"&gt;0")</f>
        <v>6</v>
      </c>
      <c r="T52" s="1" t="str">
        <f t="shared" si="3"/>
        <v>25-May</v>
      </c>
      <c r="U52" s="10">
        <f>IF(AND(A52&lt;=Portfolio!$J$5,A52&gt;=Holdings!$G$24),O52,0)</f>
        <v>-3.5965016287407114E-2</v>
      </c>
      <c r="V52" s="12">
        <f>IF(AND(A52&gt;Holdings!$G$24,A52&lt;=Portfolio!$J$5),L52,"")</f>
        <v>4.1009661338786696E-3</v>
      </c>
      <c r="W52" s="12">
        <f>IF(AND(A52&gt;Holdings!$G$24,A52&lt;=Portfolio!$J$5),Q52,"")</f>
        <v>3.6491102113158647E-3</v>
      </c>
    </row>
    <row r="53" spans="1:23" ht="20" customHeight="1" x14ac:dyDescent="0.35">
      <c r="A53" s="7">
        <v>46168</v>
      </c>
      <c r="B53" s="1">
        <f>SUMIFS(Ledger!$J$7:$J$1006,Ledger!$C$7:$C$1006,Portfolio!$C$5,Ledger!$E$7:$E$1006,History!B$6,Ledger!$B$7:$B$1006,"&lt;="&amp;$A53)</f>
        <v>100</v>
      </c>
      <c r="C53" s="1">
        <f>SUMIFS(Ledger!$J$7:$J$1006,Ledger!$C$7:$C$1006,Portfolio!$C$5,Ledger!$E$7:$E$1006,History!C$6,Ledger!$B$7:$B$1006,"&lt;="&amp;$A53)</f>
        <v>100</v>
      </c>
      <c r="D53" s="1">
        <f>SUMIFS(Ledger!$J$7:$J$1006,Ledger!$C$7:$C$1006,Portfolio!$C$5,Ledger!$E$7:$E$1006,History!D$6,Ledger!$B$7:$B$1006,"&lt;="&amp;$A53)</f>
        <v>70</v>
      </c>
      <c r="E53" s="1">
        <f>SUMIFS(Ledger!$J$7:$J$1006,Ledger!$C$7:$C$1006,Portfolio!$C$5,Ledger!$E$7:$E$1006,History!E$6,Ledger!$B$7:$B$1006,"&lt;="&amp;$A53)</f>
        <v>180</v>
      </c>
      <c r="F53" s="1">
        <f>SUMIFS(Ledger!$J$7:$J$1006,Ledger!$C$7:$C$1006,Portfolio!$C$5,Ledger!$E$7:$E$1006,History!F$6,Ledger!$B$7:$B$1006,"&lt;="&amp;$A53)</f>
        <v>480</v>
      </c>
      <c r="G53" s="1">
        <f>SUMIFS(Ledger!$J$7:$J$1006,Ledger!$C$7:$C$1006,Portfolio!$C$5,Ledger!$E$7:$E$1006,History!G$6,Ledger!$B$7:$B$1006,"&lt;="&amp;$A53)</f>
        <v>600</v>
      </c>
      <c r="H53" s="8">
        <f>SUMIFS(Ledger!$K$7:$K$1006,Ledger!$C$7:$C$1006,Portfolio!$C$5,Ledger!$B$7:$B$1006,"&lt;="&amp;$A53)</f>
        <v>58660.273999999998</v>
      </c>
      <c r="I53" s="8">
        <f>IF(S53=6,SUMPRODUCT(B53:G53,History!B53:G53),NA())</f>
        <v>480259.99699999997</v>
      </c>
      <c r="J53" s="8">
        <f t="shared" si="2"/>
        <v>538920.27099999995</v>
      </c>
      <c r="K53" s="8">
        <f>SUMIFS(Ledger!$L$7:$L$1006,Ledger!$C$7:$C$1006,Portfolio!$C$5,Ledger!$B$7:$B$1006,$A53)</f>
        <v>0</v>
      </c>
      <c r="L53" s="10">
        <f>IF(A53&lt;Holdings!$G$24,"",IF(A53=Holdings!$G$24,IF(K53&gt;0,J53/K53-1,NA()),IF(J52&gt;0,(J53-K53)/J52-1,NA())))</f>
        <v>-1.0858931558697105E-3</v>
      </c>
      <c r="M53" s="11">
        <f>IF(A53&lt;Holdings!$G$24,"",IF(A53=Holdings!$G$24,100*(1+L53),M52*(1+L53)))</f>
        <v>97.830329631802371</v>
      </c>
      <c r="N53" s="11">
        <f>IF(A53&lt;Holdings!$G$24,"",IF(A53=Holdings!$G$24,MAX(100,M53),MAX(N52,M53)))</f>
        <v>101.59037800000002</v>
      </c>
      <c r="O53" s="10">
        <f>IF(A53&lt;Holdings!$G$24,"",M53/N53-1)</f>
        <v>-3.7011855278239469E-2</v>
      </c>
      <c r="P53" s="11">
        <f>IF(A53&lt;Holdings!$G$24,"",IF(History!H53&gt;0,History!H53/INDEX(History!$H$7:$H$136,MATCH(Holdings!$G$24,History!$A$7:$A$136,0))*100,NA()))</f>
        <v>94.488302399999995</v>
      </c>
      <c r="Q53" s="10">
        <f>IF(A53&lt;=Holdings!$G$24,"",P53/P52-1)</f>
        <v>3.7377351447536178E-3</v>
      </c>
      <c r="R53" s="8">
        <f>IF(A53&gt;Portfolio!$J$5,0,-K53+IF(A53=Portfolio!$J$5,J53,0))</f>
        <v>0</v>
      </c>
      <c r="S53" s="1">
        <f>COUNTIFS(History!B53:G53,"&gt;0")</f>
        <v>6</v>
      </c>
      <c r="T53" s="1" t="str">
        <f t="shared" si="3"/>
        <v>26-May</v>
      </c>
      <c r="U53" s="10">
        <f>IF(AND(A53&lt;=Portfolio!$J$5,A53&gt;=Holdings!$G$24),O53,0)</f>
        <v>-3.7011855278239469E-2</v>
      </c>
      <c r="V53" s="12">
        <f>IF(AND(A53&gt;Holdings!$G$24,A53&lt;=Portfolio!$J$5),L53,"")</f>
        <v>-1.0858931558697105E-3</v>
      </c>
      <c r="W53" s="12">
        <f>IF(AND(A53&gt;Holdings!$G$24,A53&lt;=Portfolio!$J$5),Q53,"")</f>
        <v>3.7377351447536178E-3</v>
      </c>
    </row>
    <row r="54" spans="1:23" ht="20" customHeight="1" x14ac:dyDescent="0.35">
      <c r="A54" s="7">
        <v>46169</v>
      </c>
      <c r="B54" s="1">
        <f>SUMIFS(Ledger!$J$7:$J$1006,Ledger!$C$7:$C$1006,Portfolio!$C$5,Ledger!$E$7:$E$1006,History!B$6,Ledger!$B$7:$B$1006,"&lt;="&amp;$A54)</f>
        <v>100</v>
      </c>
      <c r="C54" s="1">
        <f>SUMIFS(Ledger!$J$7:$J$1006,Ledger!$C$7:$C$1006,Portfolio!$C$5,Ledger!$E$7:$E$1006,History!C$6,Ledger!$B$7:$B$1006,"&lt;="&amp;$A54)</f>
        <v>100</v>
      </c>
      <c r="D54" s="1">
        <f>SUMIFS(Ledger!$J$7:$J$1006,Ledger!$C$7:$C$1006,Portfolio!$C$5,Ledger!$E$7:$E$1006,History!D$6,Ledger!$B$7:$B$1006,"&lt;="&amp;$A54)</f>
        <v>70</v>
      </c>
      <c r="E54" s="1">
        <f>SUMIFS(Ledger!$J$7:$J$1006,Ledger!$C$7:$C$1006,Portfolio!$C$5,Ledger!$E$7:$E$1006,History!E$6,Ledger!$B$7:$B$1006,"&lt;="&amp;$A54)</f>
        <v>180</v>
      </c>
      <c r="F54" s="1">
        <f>SUMIFS(Ledger!$J$7:$J$1006,Ledger!$C$7:$C$1006,Portfolio!$C$5,Ledger!$E$7:$E$1006,History!F$6,Ledger!$B$7:$B$1006,"&lt;="&amp;$A54)</f>
        <v>480</v>
      </c>
      <c r="G54" s="1">
        <f>SUMIFS(Ledger!$J$7:$J$1006,Ledger!$C$7:$C$1006,Portfolio!$C$5,Ledger!$E$7:$E$1006,History!G$6,Ledger!$B$7:$B$1006,"&lt;="&amp;$A54)</f>
        <v>600</v>
      </c>
      <c r="H54" s="8">
        <f>SUMIFS(Ledger!$K$7:$K$1006,Ledger!$C$7:$C$1006,Portfolio!$C$5,Ledger!$B$7:$B$1006,"&lt;="&amp;$A54)</f>
        <v>58660.273999999998</v>
      </c>
      <c r="I54" s="8">
        <f>IF(S54=6,SUMPRODUCT(B54:G54,History!B54:G54),NA())</f>
        <v>481168.77600000001</v>
      </c>
      <c r="J54" s="8">
        <f t="shared" si="2"/>
        <v>539829.05000000005</v>
      </c>
      <c r="K54" s="8">
        <f>SUMIFS(Ledger!$L$7:$L$1006,Ledger!$C$7:$C$1006,Portfolio!$C$5,Ledger!$B$7:$B$1006,$A54)</f>
        <v>0</v>
      </c>
      <c r="L54" s="10">
        <f>IF(A54&lt;Holdings!$G$24,"",IF(A54=Holdings!$G$24,IF(K54&gt;0,J54/K54-1,NA()),IF(J53&gt;0,(J54-K54)/J53-1,NA())))</f>
        <v>1.6862958194423516E-3</v>
      </c>
      <c r="M54" s="11">
        <f>IF(A54&lt;Holdings!$G$24,"",IF(A54=Holdings!$G$24,100*(1+L54),M53*(1+L54)))</f>
        <v>97.995300507675154</v>
      </c>
      <c r="N54" s="11">
        <f>IF(A54&lt;Holdings!$G$24,"",IF(A54=Holdings!$G$24,MAX(100,M54),MAX(N53,M54)))</f>
        <v>101.59037800000002</v>
      </c>
      <c r="O54" s="10">
        <f>IF(A54&lt;Holdings!$G$24,"",M54/N54-1)</f>
        <v>-3.5387972395622525E-2</v>
      </c>
      <c r="P54" s="11">
        <f>IF(A54&lt;Holdings!$G$24,"",IF(History!H54&gt;0,History!H54/INDEX(History!$H$7:$H$136,MATCH(Holdings!$G$24,History!$A$7:$A$136,0))*100,NA()))</f>
        <v>94.569688599999992</v>
      </c>
      <c r="Q54" s="10">
        <f>IF(A54&lt;=Holdings!$G$24,"",P54/P53-1)</f>
        <v>8.6133624938522502E-4</v>
      </c>
      <c r="R54" s="8">
        <f>IF(A54&gt;Portfolio!$J$5,0,-K54+IF(A54=Portfolio!$J$5,J54,0))</f>
        <v>0</v>
      </c>
      <c r="S54" s="1">
        <f>COUNTIFS(History!B54:G54,"&gt;0")</f>
        <v>6</v>
      </c>
      <c r="T54" s="1" t="str">
        <f t="shared" si="3"/>
        <v>27-May</v>
      </c>
      <c r="U54" s="10">
        <f>IF(AND(A54&lt;=Portfolio!$J$5,A54&gt;=Holdings!$G$24),O54,0)</f>
        <v>-3.5387972395622525E-2</v>
      </c>
      <c r="V54" s="12">
        <f>IF(AND(A54&gt;Holdings!$G$24,A54&lt;=Portfolio!$J$5),L54,"")</f>
        <v>1.6862958194423516E-3</v>
      </c>
      <c r="W54" s="12">
        <f>IF(AND(A54&gt;Holdings!$G$24,A54&lt;=Portfolio!$J$5),Q54,"")</f>
        <v>8.6133624938522502E-4</v>
      </c>
    </row>
    <row r="55" spans="1:23" ht="20" customHeight="1" x14ac:dyDescent="0.35">
      <c r="A55" s="7">
        <v>46170</v>
      </c>
      <c r="B55" s="1">
        <f>SUMIFS(Ledger!$J$7:$J$1006,Ledger!$C$7:$C$1006,Portfolio!$C$5,Ledger!$E$7:$E$1006,History!B$6,Ledger!$B$7:$B$1006,"&lt;="&amp;$A55)</f>
        <v>100</v>
      </c>
      <c r="C55" s="1">
        <f>SUMIFS(Ledger!$J$7:$J$1006,Ledger!$C$7:$C$1006,Portfolio!$C$5,Ledger!$E$7:$E$1006,History!C$6,Ledger!$B$7:$B$1006,"&lt;="&amp;$A55)</f>
        <v>100</v>
      </c>
      <c r="D55" s="1">
        <f>SUMIFS(Ledger!$J$7:$J$1006,Ledger!$C$7:$C$1006,Portfolio!$C$5,Ledger!$E$7:$E$1006,History!D$6,Ledger!$B$7:$B$1006,"&lt;="&amp;$A55)</f>
        <v>70</v>
      </c>
      <c r="E55" s="1">
        <f>SUMIFS(Ledger!$J$7:$J$1006,Ledger!$C$7:$C$1006,Portfolio!$C$5,Ledger!$E$7:$E$1006,History!E$6,Ledger!$B$7:$B$1006,"&lt;="&amp;$A55)</f>
        <v>180</v>
      </c>
      <c r="F55" s="1">
        <f>SUMIFS(Ledger!$J$7:$J$1006,Ledger!$C$7:$C$1006,Portfolio!$C$5,Ledger!$E$7:$E$1006,History!F$6,Ledger!$B$7:$B$1006,"&lt;="&amp;$A55)</f>
        <v>480</v>
      </c>
      <c r="G55" s="1">
        <f>SUMIFS(Ledger!$J$7:$J$1006,Ledger!$C$7:$C$1006,Portfolio!$C$5,Ledger!$E$7:$E$1006,History!G$6,Ledger!$B$7:$B$1006,"&lt;="&amp;$A55)</f>
        <v>600</v>
      </c>
      <c r="H55" s="8">
        <f>SUMIFS(Ledger!$K$7:$K$1006,Ledger!$C$7:$C$1006,Portfolio!$C$5,Ledger!$B$7:$B$1006,"&lt;="&amp;$A55)</f>
        <v>58660.273999999998</v>
      </c>
      <c r="I55" s="8">
        <f>IF(S55=6,SUMPRODUCT(B55:G55,History!B55:G55),NA())</f>
        <v>478467.77</v>
      </c>
      <c r="J55" s="8">
        <f t="shared" si="2"/>
        <v>537128.04399999999</v>
      </c>
      <c r="K55" s="8">
        <f>SUMIFS(Ledger!$L$7:$L$1006,Ledger!$C$7:$C$1006,Portfolio!$C$5,Ledger!$B$7:$B$1006,$A55)</f>
        <v>0</v>
      </c>
      <c r="L55" s="10">
        <f>IF(A55&lt;Holdings!$G$24,"",IF(A55=Holdings!$G$24,IF(K55&gt;0,J55/K55-1,NA()),IF(J54&gt;0,(J55-K55)/J54-1,NA())))</f>
        <v>-5.0034469245403557E-3</v>
      </c>
      <c r="M55" s="11">
        <f>IF(A55&lt;Holdings!$G$24,"",IF(A55=Holdings!$G$24,100*(1+L55),M54*(1+L55)))</f>
        <v>97.504986222730622</v>
      </c>
      <c r="N55" s="11">
        <f>IF(A55&lt;Holdings!$G$24,"",IF(A55=Holdings!$G$24,MAX(100,M55),MAX(N54,M55)))</f>
        <v>101.59037800000002</v>
      </c>
      <c r="O55" s="10">
        <f>IF(A55&lt;Holdings!$G$24,"",M55/N55-1)</f>
        <v>-4.0214357478514318E-2</v>
      </c>
      <c r="P55" s="11">
        <f>IF(A55&lt;Holdings!$G$24,"",IF(History!H55&gt;0,History!H55/INDEX(History!$H$7:$H$136,MATCH(Holdings!$G$24,History!$A$7:$A$136,0))*100,NA()))</f>
        <v>94.087773400000003</v>
      </c>
      <c r="Q55" s="10">
        <f>IF(A55&lt;=Holdings!$G$24,"",P55/P54-1)</f>
        <v>-5.0958738168034312E-3</v>
      </c>
      <c r="R55" s="8">
        <f>IF(A55&gt;Portfolio!$J$5,0,-K55+IF(A55=Portfolio!$J$5,J55,0))</f>
        <v>0</v>
      </c>
      <c r="S55" s="1">
        <f>COUNTIFS(History!B55:G55,"&gt;0")</f>
        <v>6</v>
      </c>
      <c r="T55" s="1" t="str">
        <f t="shared" si="3"/>
        <v>28-May</v>
      </c>
      <c r="U55" s="10">
        <f>IF(AND(A55&lt;=Portfolio!$J$5,A55&gt;=Holdings!$G$24),O55,0)</f>
        <v>-4.0214357478514318E-2</v>
      </c>
      <c r="V55" s="12">
        <f>IF(AND(A55&gt;Holdings!$G$24,A55&lt;=Portfolio!$J$5),L55,"")</f>
        <v>-5.0034469245403557E-3</v>
      </c>
      <c r="W55" s="12">
        <f>IF(AND(A55&gt;Holdings!$G$24,A55&lt;=Portfolio!$J$5),Q55,"")</f>
        <v>-5.0958738168034312E-3</v>
      </c>
    </row>
    <row r="56" spans="1:23" ht="20" customHeight="1" x14ac:dyDescent="0.35">
      <c r="A56" s="7">
        <v>46171</v>
      </c>
      <c r="B56" s="1">
        <f>SUMIFS(Ledger!$J$7:$J$1006,Ledger!$C$7:$C$1006,Portfolio!$C$5,Ledger!$E$7:$E$1006,History!B$6,Ledger!$B$7:$B$1006,"&lt;="&amp;$A56)</f>
        <v>100</v>
      </c>
      <c r="C56" s="1">
        <f>SUMIFS(Ledger!$J$7:$J$1006,Ledger!$C$7:$C$1006,Portfolio!$C$5,Ledger!$E$7:$E$1006,History!C$6,Ledger!$B$7:$B$1006,"&lt;="&amp;$A56)</f>
        <v>100</v>
      </c>
      <c r="D56" s="1">
        <f>SUMIFS(Ledger!$J$7:$J$1006,Ledger!$C$7:$C$1006,Portfolio!$C$5,Ledger!$E$7:$E$1006,History!D$6,Ledger!$B$7:$B$1006,"&lt;="&amp;$A56)</f>
        <v>70</v>
      </c>
      <c r="E56" s="1">
        <f>SUMIFS(Ledger!$J$7:$J$1006,Ledger!$C$7:$C$1006,Portfolio!$C$5,Ledger!$E$7:$E$1006,History!E$6,Ledger!$B$7:$B$1006,"&lt;="&amp;$A56)</f>
        <v>180</v>
      </c>
      <c r="F56" s="1">
        <f>SUMIFS(Ledger!$J$7:$J$1006,Ledger!$C$7:$C$1006,Portfolio!$C$5,Ledger!$E$7:$E$1006,History!F$6,Ledger!$B$7:$B$1006,"&lt;="&amp;$A56)</f>
        <v>480</v>
      </c>
      <c r="G56" s="1">
        <f>SUMIFS(Ledger!$J$7:$J$1006,Ledger!$C$7:$C$1006,Portfolio!$C$5,Ledger!$E$7:$E$1006,History!G$6,Ledger!$B$7:$B$1006,"&lt;="&amp;$A56)</f>
        <v>600</v>
      </c>
      <c r="H56" s="8">
        <f>SUMIFS(Ledger!$K$7:$K$1006,Ledger!$C$7:$C$1006,Portfolio!$C$5,Ledger!$B$7:$B$1006,"&lt;="&amp;$A56)</f>
        <v>58660.273999999998</v>
      </c>
      <c r="I56" s="8">
        <f>IF(S56=6,SUMPRODUCT(B56:G56,History!B56:G56),NA())</f>
        <v>480654.85199999996</v>
      </c>
      <c r="J56" s="8">
        <f t="shared" si="2"/>
        <v>539315.12599999993</v>
      </c>
      <c r="K56" s="8">
        <f>SUMIFS(Ledger!$L$7:$L$1006,Ledger!$C$7:$C$1006,Portfolio!$C$5,Ledger!$B$7:$B$1006,$A56)</f>
        <v>0</v>
      </c>
      <c r="L56" s="10">
        <f>IF(A56&lt;Holdings!$G$24,"",IF(A56=Holdings!$G$24,IF(K56&gt;0,J56/K56-1,NA()),IF(J55&gt;0,(J56-K56)/J55-1,NA())))</f>
        <v>4.0718075036869639E-3</v>
      </c>
      <c r="M56" s="11">
        <f>IF(A56&lt;Holdings!$G$24,"",IF(A56=Holdings!$G$24,100*(1+L56),M55*(1+L56)))</f>
        <v>97.902007757279236</v>
      </c>
      <c r="N56" s="11">
        <f>IF(A56&lt;Holdings!$G$24,"",IF(A56=Holdings!$G$24,MAX(100,M56),MAX(N55,M56)))</f>
        <v>101.59037800000002</v>
      </c>
      <c r="O56" s="10">
        <f>IF(A56&lt;Holdings!$G$24,"",M56/N56-1)</f>
        <v>-3.6306295097364272E-2</v>
      </c>
      <c r="P56" s="11">
        <f>IF(A56&lt;Holdings!$G$24,"",IF(History!H56&gt;0,History!H56/INDEX(History!$H$7:$H$136,MATCH(Holdings!$G$24,History!$A$7:$A$136,0))*100,NA()))</f>
        <v>94.293305799999999</v>
      </c>
      <c r="Q56" s="10">
        <f>IF(A56&lt;=Holdings!$G$24,"",P56/P55-1)</f>
        <v>2.1844751190593925E-3</v>
      </c>
      <c r="R56" s="8">
        <f>IF(A56&gt;Portfolio!$J$5,0,-K56+IF(A56=Portfolio!$J$5,J56,0))</f>
        <v>0</v>
      </c>
      <c r="S56" s="1">
        <f>COUNTIFS(History!B56:G56,"&gt;0")</f>
        <v>6</v>
      </c>
      <c r="T56" s="1" t="str">
        <f t="shared" si="3"/>
        <v>29-May</v>
      </c>
      <c r="U56" s="10">
        <f>IF(AND(A56&lt;=Portfolio!$J$5,A56&gt;=Holdings!$G$24),O56,0)</f>
        <v>-3.6306295097364272E-2</v>
      </c>
      <c r="V56" s="12">
        <f>IF(AND(A56&gt;Holdings!$G$24,A56&lt;=Portfolio!$J$5),L56,"")</f>
        <v>4.0718075036869639E-3</v>
      </c>
      <c r="W56" s="12">
        <f>IF(AND(A56&gt;Holdings!$G$24,A56&lt;=Portfolio!$J$5),Q56,"")</f>
        <v>2.1844751190593925E-3</v>
      </c>
    </row>
    <row r="57" spans="1:23" ht="20" customHeight="1" x14ac:dyDescent="0.35">
      <c r="A57" s="7">
        <v>46174</v>
      </c>
      <c r="B57" s="1">
        <f>SUMIFS(Ledger!$J$7:$J$1006,Ledger!$C$7:$C$1006,Portfolio!$C$5,Ledger!$E$7:$E$1006,History!B$6,Ledger!$B$7:$B$1006,"&lt;="&amp;$A57)</f>
        <v>100</v>
      </c>
      <c r="C57" s="1">
        <f>SUMIFS(Ledger!$J$7:$J$1006,Ledger!$C$7:$C$1006,Portfolio!$C$5,Ledger!$E$7:$E$1006,History!C$6,Ledger!$B$7:$B$1006,"&lt;="&amp;$A57)</f>
        <v>100</v>
      </c>
      <c r="D57" s="1">
        <f>SUMIFS(Ledger!$J$7:$J$1006,Ledger!$C$7:$C$1006,Portfolio!$C$5,Ledger!$E$7:$E$1006,History!D$6,Ledger!$B$7:$B$1006,"&lt;="&amp;$A57)</f>
        <v>70</v>
      </c>
      <c r="E57" s="1">
        <f>SUMIFS(Ledger!$J$7:$J$1006,Ledger!$C$7:$C$1006,Portfolio!$C$5,Ledger!$E$7:$E$1006,History!E$6,Ledger!$B$7:$B$1006,"&lt;="&amp;$A57)</f>
        <v>180</v>
      </c>
      <c r="F57" s="1">
        <f>SUMIFS(Ledger!$J$7:$J$1006,Ledger!$C$7:$C$1006,Portfolio!$C$5,Ledger!$E$7:$E$1006,History!F$6,Ledger!$B$7:$B$1006,"&lt;="&amp;$A57)</f>
        <v>480</v>
      </c>
      <c r="G57" s="1">
        <f>SUMIFS(Ledger!$J$7:$J$1006,Ledger!$C$7:$C$1006,Portfolio!$C$5,Ledger!$E$7:$E$1006,History!G$6,Ledger!$B$7:$B$1006,"&lt;="&amp;$A57)</f>
        <v>600</v>
      </c>
      <c r="H57" s="8">
        <f>SUMIFS(Ledger!$K$7:$K$1006,Ledger!$C$7:$C$1006,Portfolio!$C$5,Ledger!$B$7:$B$1006,"&lt;="&amp;$A57)</f>
        <v>58660.273999999998</v>
      </c>
      <c r="I57" s="8">
        <f>IF(S57=6,SUMPRODUCT(B57:G57,History!B57:G57),NA())</f>
        <v>480455.80300000001</v>
      </c>
      <c r="J57" s="8">
        <f t="shared" si="2"/>
        <v>539116.07700000005</v>
      </c>
      <c r="K57" s="8">
        <f>SUMIFS(Ledger!$L$7:$L$1006,Ledger!$C$7:$C$1006,Portfolio!$C$5,Ledger!$B$7:$B$1006,$A57)</f>
        <v>0</v>
      </c>
      <c r="L57" s="10">
        <f>IF(A57&lt;Holdings!$G$24,"",IF(A57=Holdings!$G$24,IF(K57&gt;0,J57/K57-1,NA()),IF(J56&gt;0,(J57-K57)/J56-1,NA())))</f>
        <v>-3.6907735460012248E-4</v>
      </c>
      <c r="M57" s="11">
        <f>IF(A57&lt;Holdings!$G$24,"",IF(A57=Holdings!$G$24,100*(1+L57),M56*(1+L57)))</f>
        <v>97.865874343246134</v>
      </c>
      <c r="N57" s="11">
        <f>IF(A57&lt;Holdings!$G$24,"",IF(A57=Holdings!$G$24,MAX(100,M57),MAX(N56,M57)))</f>
        <v>101.59037800000002</v>
      </c>
      <c r="O57" s="10">
        <f>IF(A57&lt;Holdings!$G$24,"",M57/N57-1)</f>
        <v>-3.6661972620614547E-2</v>
      </c>
      <c r="P57" s="11">
        <f>IF(A57&lt;Holdings!$G$24,"",IF(History!H57&gt;0,History!H57/INDEX(History!$H$7:$H$136,MATCH(Holdings!$G$24,History!$A$7:$A$136,0))*100,NA()))</f>
        <v>94.438493100000017</v>
      </c>
      <c r="Q57" s="10">
        <f>IF(A57&lt;=Holdings!$G$24,"",P57/P56-1)</f>
        <v>1.5397413291242668E-3</v>
      </c>
      <c r="R57" s="8">
        <f>IF(A57&gt;Portfolio!$J$5,0,-K57+IF(A57=Portfolio!$J$5,J57,0))</f>
        <v>0</v>
      </c>
      <c r="S57" s="1">
        <f>COUNTIFS(History!B57:G57,"&gt;0")</f>
        <v>6</v>
      </c>
      <c r="T57" s="1" t="str">
        <f t="shared" si="3"/>
        <v>01-Jun</v>
      </c>
      <c r="U57" s="10">
        <f>IF(AND(A57&lt;=Portfolio!$J$5,A57&gt;=Holdings!$G$24),O57,0)</f>
        <v>-3.6661972620614547E-2</v>
      </c>
      <c r="V57" s="12">
        <f>IF(AND(A57&gt;Holdings!$G$24,A57&lt;=Portfolio!$J$5),L57,"")</f>
        <v>-3.6907735460012248E-4</v>
      </c>
      <c r="W57" s="12">
        <f>IF(AND(A57&gt;Holdings!$G$24,A57&lt;=Portfolio!$J$5),Q57,"")</f>
        <v>1.5397413291242668E-3</v>
      </c>
    </row>
    <row r="58" spans="1:23" ht="20" customHeight="1" x14ac:dyDescent="0.35">
      <c r="A58" s="7">
        <v>46175</v>
      </c>
      <c r="B58" s="1">
        <f>SUMIFS(Ledger!$J$7:$J$1006,Ledger!$C$7:$C$1006,Portfolio!$C$5,Ledger!$E$7:$E$1006,History!B$6,Ledger!$B$7:$B$1006,"&lt;="&amp;$A58)</f>
        <v>100</v>
      </c>
      <c r="C58" s="1">
        <f>SUMIFS(Ledger!$J$7:$J$1006,Ledger!$C$7:$C$1006,Portfolio!$C$5,Ledger!$E$7:$E$1006,History!C$6,Ledger!$B$7:$B$1006,"&lt;="&amp;$A58)</f>
        <v>100</v>
      </c>
      <c r="D58" s="1">
        <f>SUMIFS(Ledger!$J$7:$J$1006,Ledger!$C$7:$C$1006,Portfolio!$C$5,Ledger!$E$7:$E$1006,History!D$6,Ledger!$B$7:$B$1006,"&lt;="&amp;$A58)</f>
        <v>70</v>
      </c>
      <c r="E58" s="1">
        <f>SUMIFS(Ledger!$J$7:$J$1006,Ledger!$C$7:$C$1006,Portfolio!$C$5,Ledger!$E$7:$E$1006,History!E$6,Ledger!$B$7:$B$1006,"&lt;="&amp;$A58)</f>
        <v>180</v>
      </c>
      <c r="F58" s="1">
        <f>SUMIFS(Ledger!$J$7:$J$1006,Ledger!$C$7:$C$1006,Portfolio!$C$5,Ledger!$E$7:$E$1006,History!F$6,Ledger!$B$7:$B$1006,"&lt;="&amp;$A58)</f>
        <v>480</v>
      </c>
      <c r="G58" s="1">
        <f>SUMIFS(Ledger!$J$7:$J$1006,Ledger!$C$7:$C$1006,Portfolio!$C$5,Ledger!$E$7:$E$1006,History!G$6,Ledger!$B$7:$B$1006,"&lt;="&amp;$A58)</f>
        <v>600</v>
      </c>
      <c r="H58" s="8">
        <f>SUMIFS(Ledger!$K$7:$K$1006,Ledger!$C$7:$C$1006,Portfolio!$C$5,Ledger!$B$7:$B$1006,"&lt;="&amp;$A58)</f>
        <v>58660.273999999998</v>
      </c>
      <c r="I58" s="8">
        <f>IF(S58=6,SUMPRODUCT(B58:G58,History!B58:G58),NA())</f>
        <v>475968.26400000002</v>
      </c>
      <c r="J58" s="8">
        <f t="shared" si="2"/>
        <v>534628.53800000006</v>
      </c>
      <c r="K58" s="8">
        <f>SUMIFS(Ledger!$L$7:$L$1006,Ledger!$C$7:$C$1006,Portfolio!$C$5,Ledger!$B$7:$B$1006,$A58)</f>
        <v>0</v>
      </c>
      <c r="L58" s="10">
        <f>IF(A58&lt;Holdings!$G$24,"",IF(A58=Holdings!$G$24,IF(K58&gt;0,J58/K58-1,NA()),IF(J57&gt;0,(J58-K58)/J57-1,NA())))</f>
        <v>-8.3238827247957836E-3</v>
      </c>
      <c r="M58" s="11">
        <f>IF(A58&lt;Holdings!$G$24,"",IF(A58=Holdings!$G$24,100*(1+L58),M57*(1+L58)))</f>
        <v>97.051250282453353</v>
      </c>
      <c r="N58" s="11">
        <f>IF(A58&lt;Holdings!$G$24,"",IF(A58=Holdings!$G$24,MAX(100,M58),MAX(N57,M58)))</f>
        <v>101.59037800000002</v>
      </c>
      <c r="O58" s="10">
        <f>IF(A58&lt;Holdings!$G$24,"",M58/N58-1)</f>
        <v>-4.46806853848567E-2</v>
      </c>
      <c r="P58" s="11">
        <f>IF(A58&lt;Holdings!$G$24,"",IF(History!H58&gt;0,History!H58/INDEX(History!$H$7:$H$136,MATCH(Holdings!$G$24,History!$A$7:$A$136,0))*100,NA()))</f>
        <v>93.638501399999996</v>
      </c>
      <c r="Q58" s="10">
        <f>IF(A58&lt;=Holdings!$G$24,"",P58/P57-1)</f>
        <v>-8.4710341486804452E-3</v>
      </c>
      <c r="R58" s="8">
        <f>IF(A58&gt;Portfolio!$J$5,0,-K58+IF(A58=Portfolio!$J$5,J58,0))</f>
        <v>0</v>
      </c>
      <c r="S58" s="1">
        <f>COUNTIFS(History!B58:G58,"&gt;0")</f>
        <v>6</v>
      </c>
      <c r="T58" s="1" t="str">
        <f t="shared" si="3"/>
        <v>02-Jun</v>
      </c>
      <c r="U58" s="10">
        <f>IF(AND(A58&lt;=Portfolio!$J$5,A58&gt;=Holdings!$G$24),O58,0)</f>
        <v>-4.46806853848567E-2</v>
      </c>
      <c r="V58" s="12">
        <f>IF(AND(A58&gt;Holdings!$G$24,A58&lt;=Portfolio!$J$5),L58,"")</f>
        <v>-8.3238827247957836E-3</v>
      </c>
      <c r="W58" s="12">
        <f>IF(AND(A58&gt;Holdings!$G$24,A58&lt;=Portfolio!$J$5),Q58,"")</f>
        <v>-8.4710341486804452E-3</v>
      </c>
    </row>
    <row r="59" spans="1:23" ht="20" customHeight="1" x14ac:dyDescent="0.35">
      <c r="A59" s="7">
        <v>46176</v>
      </c>
      <c r="B59" s="1">
        <f>SUMIFS(Ledger!$J$7:$J$1006,Ledger!$C$7:$C$1006,Portfolio!$C$5,Ledger!$E$7:$E$1006,History!B$6,Ledger!$B$7:$B$1006,"&lt;="&amp;$A59)</f>
        <v>100</v>
      </c>
      <c r="C59" s="1">
        <f>SUMIFS(Ledger!$J$7:$J$1006,Ledger!$C$7:$C$1006,Portfolio!$C$5,Ledger!$E$7:$E$1006,History!C$6,Ledger!$B$7:$B$1006,"&lt;="&amp;$A59)</f>
        <v>100</v>
      </c>
      <c r="D59" s="1">
        <f>SUMIFS(Ledger!$J$7:$J$1006,Ledger!$C$7:$C$1006,Portfolio!$C$5,Ledger!$E$7:$E$1006,History!D$6,Ledger!$B$7:$B$1006,"&lt;="&amp;$A59)</f>
        <v>70</v>
      </c>
      <c r="E59" s="1">
        <f>SUMIFS(Ledger!$J$7:$J$1006,Ledger!$C$7:$C$1006,Portfolio!$C$5,Ledger!$E$7:$E$1006,History!E$6,Ledger!$B$7:$B$1006,"&lt;="&amp;$A59)</f>
        <v>180</v>
      </c>
      <c r="F59" s="1">
        <f>SUMIFS(Ledger!$J$7:$J$1006,Ledger!$C$7:$C$1006,Portfolio!$C$5,Ledger!$E$7:$E$1006,History!F$6,Ledger!$B$7:$B$1006,"&lt;="&amp;$A59)</f>
        <v>480</v>
      </c>
      <c r="G59" s="1">
        <f>SUMIFS(Ledger!$J$7:$J$1006,Ledger!$C$7:$C$1006,Portfolio!$C$5,Ledger!$E$7:$E$1006,History!G$6,Ledger!$B$7:$B$1006,"&lt;="&amp;$A59)</f>
        <v>600</v>
      </c>
      <c r="H59" s="8">
        <f>SUMIFS(Ledger!$K$7:$K$1006,Ledger!$C$7:$C$1006,Portfolio!$C$5,Ledger!$B$7:$B$1006,"&lt;="&amp;$A59)</f>
        <v>58660.273999999998</v>
      </c>
      <c r="I59" s="8">
        <f>IF(S59=6,SUMPRODUCT(B59:G59,History!B59:G59),NA())</f>
        <v>475975.44400000002</v>
      </c>
      <c r="J59" s="8">
        <f t="shared" si="2"/>
        <v>534635.71799999999</v>
      </c>
      <c r="K59" s="8">
        <f>SUMIFS(Ledger!$L$7:$L$1006,Ledger!$C$7:$C$1006,Portfolio!$C$5,Ledger!$B$7:$B$1006,$A59)</f>
        <v>0</v>
      </c>
      <c r="L59" s="10">
        <f>IF(A59&lt;Holdings!$G$24,"",IF(A59=Holdings!$G$24,IF(K59&gt;0,J59/K59-1,NA()),IF(J58&gt;0,(J59-K59)/J58-1,NA())))</f>
        <v>1.3429885405757958E-5</v>
      </c>
      <c r="M59" s="11">
        <f>IF(A59&lt;Holdings!$G$24,"",IF(A59=Holdings!$G$24,100*(1+L59),M58*(1+L59)))</f>
        <v>97.052553669623137</v>
      </c>
      <c r="N59" s="11">
        <f>IF(A59&lt;Holdings!$G$24,"",IF(A59=Holdings!$G$24,MAX(100,M59),MAX(N58,M59)))</f>
        <v>101.59037800000002</v>
      </c>
      <c r="O59" s="10">
        <f>IF(A59&lt;Holdings!$G$24,"",M59/N59-1)</f>
        <v>-4.4667855555935443E-2</v>
      </c>
      <c r="P59" s="11">
        <f>IF(A59&lt;Holdings!$G$24,"",IF(History!H59&gt;0,History!H59/INDEX(History!$H$7:$H$136,MATCH(Holdings!$G$24,History!$A$7:$A$136,0))*100,NA()))</f>
        <v>93.446089500000014</v>
      </c>
      <c r="Q59" s="10">
        <f>IF(A59&lt;=Holdings!$G$24,"",P59/P58-1)</f>
        <v>-2.0548374559952176E-3</v>
      </c>
      <c r="R59" s="8">
        <f>IF(A59&gt;Portfolio!$J$5,0,-K59+IF(A59=Portfolio!$J$5,J59,0))</f>
        <v>0</v>
      </c>
      <c r="S59" s="1">
        <f>COUNTIFS(History!B59:G59,"&gt;0")</f>
        <v>6</v>
      </c>
      <c r="T59" s="1" t="str">
        <f t="shared" si="3"/>
        <v>03-Jun</v>
      </c>
      <c r="U59" s="10">
        <f>IF(AND(A59&lt;=Portfolio!$J$5,A59&gt;=Holdings!$G$24),O59,0)</f>
        <v>-4.4667855555935443E-2</v>
      </c>
      <c r="V59" s="12">
        <f>IF(AND(A59&gt;Holdings!$G$24,A59&lt;=Portfolio!$J$5),L59,"")</f>
        <v>1.3429885405757958E-5</v>
      </c>
      <c r="W59" s="12">
        <f>IF(AND(A59&gt;Holdings!$G$24,A59&lt;=Portfolio!$J$5),Q59,"")</f>
        <v>-2.0548374559952176E-3</v>
      </c>
    </row>
    <row r="60" spans="1:23" ht="20" customHeight="1" x14ac:dyDescent="0.35">
      <c r="A60" s="7">
        <v>46177</v>
      </c>
      <c r="B60" s="1">
        <f>SUMIFS(Ledger!$J$7:$J$1006,Ledger!$C$7:$C$1006,Portfolio!$C$5,Ledger!$E$7:$E$1006,History!B$6,Ledger!$B$7:$B$1006,"&lt;="&amp;$A60)</f>
        <v>100</v>
      </c>
      <c r="C60" s="1">
        <f>SUMIFS(Ledger!$J$7:$J$1006,Ledger!$C$7:$C$1006,Portfolio!$C$5,Ledger!$E$7:$E$1006,History!C$6,Ledger!$B$7:$B$1006,"&lt;="&amp;$A60)</f>
        <v>100</v>
      </c>
      <c r="D60" s="1">
        <f>SUMIFS(Ledger!$J$7:$J$1006,Ledger!$C$7:$C$1006,Portfolio!$C$5,Ledger!$E$7:$E$1006,History!D$6,Ledger!$B$7:$B$1006,"&lt;="&amp;$A60)</f>
        <v>70</v>
      </c>
      <c r="E60" s="1">
        <f>SUMIFS(Ledger!$J$7:$J$1006,Ledger!$C$7:$C$1006,Portfolio!$C$5,Ledger!$E$7:$E$1006,History!E$6,Ledger!$B$7:$B$1006,"&lt;="&amp;$A60)</f>
        <v>130</v>
      </c>
      <c r="F60" s="1">
        <f>SUMIFS(Ledger!$J$7:$J$1006,Ledger!$C$7:$C$1006,Portfolio!$C$5,Ledger!$E$7:$E$1006,History!F$6,Ledger!$B$7:$B$1006,"&lt;="&amp;$A60)</f>
        <v>480</v>
      </c>
      <c r="G60" s="1">
        <f>SUMIFS(Ledger!$J$7:$J$1006,Ledger!$C$7:$C$1006,Portfolio!$C$5,Ledger!$E$7:$E$1006,History!G$6,Ledger!$B$7:$B$1006,"&lt;="&amp;$A60)</f>
        <v>600</v>
      </c>
      <c r="H60" s="8">
        <f>SUMIFS(Ledger!$K$7:$K$1006,Ledger!$C$7:$C$1006,Portfolio!$C$5,Ledger!$B$7:$B$1006,"&lt;="&amp;$A60)</f>
        <v>79138.649000000005</v>
      </c>
      <c r="I60" s="8">
        <f>IF(S60=6,SUMPRODUCT(B60:G60,History!B60:G60),NA())</f>
        <v>452830.49600000004</v>
      </c>
      <c r="J60" s="8">
        <f t="shared" si="2"/>
        <v>531969.14500000002</v>
      </c>
      <c r="K60" s="8">
        <f>SUMIFS(Ledger!$L$7:$L$1006,Ledger!$C$7:$C$1006,Portfolio!$C$5,Ledger!$B$7:$B$1006,$A60)</f>
        <v>0</v>
      </c>
      <c r="L60" s="10">
        <f>IF(A60&lt;Holdings!$G$24,"",IF(A60=Holdings!$G$24,IF(K60&gt;0,J60/K60-1,NA()),IF(J59&gt;0,(J60-K60)/J59-1,NA())))</f>
        <v>-4.9876446900616322E-3</v>
      </c>
      <c r="M60" s="11">
        <f>IF(A60&lt;Holdings!$G$24,"",IF(A60=Holdings!$G$24,100*(1+L60),M59*(1+L60)))</f>
        <v>96.568490015655925</v>
      </c>
      <c r="N60" s="11">
        <f>IF(A60&lt;Holdings!$G$24,"",IF(A60=Holdings!$G$24,MAX(100,M60),MAX(N59,M60)))</f>
        <v>101.59037800000002</v>
      </c>
      <c r="O60" s="10">
        <f>IF(A60&lt;Holdings!$G$24,"",M60/N60-1)</f>
        <v>-4.9432712853416994E-2</v>
      </c>
      <c r="P60" s="11">
        <f>IF(A60&lt;Holdings!$G$24,"",IF(History!H60&gt;0,History!H60/INDEX(History!$H$7:$H$136,MATCH(Holdings!$G$24,History!$A$7:$A$136,0))*100,NA()))</f>
        <v>92.8274787</v>
      </c>
      <c r="Q60" s="10">
        <f>IF(A60&lt;=Holdings!$G$24,"",P60/P59-1)</f>
        <v>-6.6199752532182243E-3</v>
      </c>
      <c r="R60" s="8">
        <f>IF(A60&gt;Portfolio!$J$5,0,-K60+IF(A60=Portfolio!$J$5,J60,0))</f>
        <v>0</v>
      </c>
      <c r="S60" s="1">
        <f>COUNTIFS(History!B60:G60,"&gt;0")</f>
        <v>6</v>
      </c>
      <c r="T60" s="1" t="str">
        <f t="shared" si="3"/>
        <v>04-Jun</v>
      </c>
      <c r="U60" s="10">
        <f>IF(AND(A60&lt;=Portfolio!$J$5,A60&gt;=Holdings!$G$24),O60,0)</f>
        <v>-4.9432712853416994E-2</v>
      </c>
      <c r="V60" s="12">
        <f>IF(AND(A60&gt;Holdings!$G$24,A60&lt;=Portfolio!$J$5),L60,"")</f>
        <v>-4.9876446900616322E-3</v>
      </c>
      <c r="W60" s="12">
        <f>IF(AND(A60&gt;Holdings!$G$24,A60&lt;=Portfolio!$J$5),Q60,"")</f>
        <v>-6.6199752532182243E-3</v>
      </c>
    </row>
    <row r="61" spans="1:23" ht="20" customHeight="1" x14ac:dyDescent="0.35">
      <c r="A61" s="7">
        <v>46178</v>
      </c>
      <c r="B61" s="1">
        <f>SUMIFS(Ledger!$J$7:$J$1006,Ledger!$C$7:$C$1006,Portfolio!$C$5,Ledger!$E$7:$E$1006,History!B$6,Ledger!$B$7:$B$1006,"&lt;="&amp;$A61)</f>
        <v>100</v>
      </c>
      <c r="C61" s="1">
        <f>SUMIFS(Ledger!$J$7:$J$1006,Ledger!$C$7:$C$1006,Portfolio!$C$5,Ledger!$E$7:$E$1006,History!C$6,Ledger!$B$7:$B$1006,"&lt;="&amp;$A61)</f>
        <v>100</v>
      </c>
      <c r="D61" s="1">
        <f>SUMIFS(Ledger!$J$7:$J$1006,Ledger!$C$7:$C$1006,Portfolio!$C$5,Ledger!$E$7:$E$1006,History!D$6,Ledger!$B$7:$B$1006,"&lt;="&amp;$A61)</f>
        <v>70</v>
      </c>
      <c r="E61" s="1">
        <f>SUMIFS(Ledger!$J$7:$J$1006,Ledger!$C$7:$C$1006,Portfolio!$C$5,Ledger!$E$7:$E$1006,History!E$6,Ledger!$B$7:$B$1006,"&lt;="&amp;$A61)</f>
        <v>130</v>
      </c>
      <c r="F61" s="1">
        <f>SUMIFS(Ledger!$J$7:$J$1006,Ledger!$C$7:$C$1006,Portfolio!$C$5,Ledger!$E$7:$E$1006,History!F$6,Ledger!$B$7:$B$1006,"&lt;="&amp;$A61)</f>
        <v>480</v>
      </c>
      <c r="G61" s="1">
        <f>SUMIFS(Ledger!$J$7:$J$1006,Ledger!$C$7:$C$1006,Portfolio!$C$5,Ledger!$E$7:$E$1006,History!G$6,Ledger!$B$7:$B$1006,"&lt;="&amp;$A61)</f>
        <v>600</v>
      </c>
      <c r="H61" s="8">
        <f>SUMIFS(Ledger!$K$7:$K$1006,Ledger!$C$7:$C$1006,Portfolio!$C$5,Ledger!$B$7:$B$1006,"&lt;="&amp;$A61)</f>
        <v>79138.649000000005</v>
      </c>
      <c r="I61" s="8">
        <f>IF(S61=6,SUMPRODUCT(B61:G61,History!B61:G61),NA())</f>
        <v>454379.68200000003</v>
      </c>
      <c r="J61" s="8">
        <f t="shared" si="2"/>
        <v>533518.33100000001</v>
      </c>
      <c r="K61" s="8">
        <f>SUMIFS(Ledger!$L$7:$L$1006,Ledger!$C$7:$C$1006,Portfolio!$C$5,Ledger!$B$7:$B$1006,$A61)</f>
        <v>0</v>
      </c>
      <c r="L61" s="10">
        <f>IF(A61&lt;Holdings!$G$24,"",IF(A61=Holdings!$G$24,IF(K61&gt;0,J61/K61-1,NA()),IF(J60&gt;0,(J61-K61)/J60-1,NA())))</f>
        <v>2.9121726599388165E-3</v>
      </c>
      <c r="M61" s="11">
        <f>IF(A61&lt;Holdings!$G$24,"",IF(A61=Holdings!$G$24,100*(1+L61),M60*(1+L61)))</f>
        <v>96.849714132091094</v>
      </c>
      <c r="N61" s="11">
        <f>IF(A61&lt;Holdings!$G$24,"",IF(A61=Holdings!$G$24,MAX(100,M61),MAX(N60,M61)))</f>
        <v>101.59037800000002</v>
      </c>
      <c r="O61" s="10">
        <f>IF(A61&lt;Holdings!$G$24,"",M61/N61-1)</f>
        <v>-4.6664496788356491E-2</v>
      </c>
      <c r="P61" s="11">
        <f>IF(A61&lt;Holdings!$G$24,"",IF(History!H61&gt;0,History!H61/INDEX(History!$H$7:$H$136,MATCH(Holdings!$G$24,History!$A$7:$A$136,0))*100,NA()))</f>
        <v>92.373102100000011</v>
      </c>
      <c r="Q61" s="10">
        <f>IF(A61&lt;=Holdings!$G$24,"",P61/P60-1)</f>
        <v>-4.8948501711271186E-3</v>
      </c>
      <c r="R61" s="8">
        <f>IF(A61&gt;Portfolio!$J$5,0,-K61+IF(A61=Portfolio!$J$5,J61,0))</f>
        <v>0</v>
      </c>
      <c r="S61" s="1">
        <f>COUNTIFS(History!B61:G61,"&gt;0")</f>
        <v>6</v>
      </c>
      <c r="T61" s="1" t="str">
        <f t="shared" si="3"/>
        <v>05-Jun</v>
      </c>
      <c r="U61" s="10">
        <f>IF(AND(A61&lt;=Portfolio!$J$5,A61&gt;=Holdings!$G$24),O61,0)</f>
        <v>-4.6664496788356491E-2</v>
      </c>
      <c r="V61" s="12">
        <f>IF(AND(A61&gt;Holdings!$G$24,A61&lt;=Portfolio!$J$5),L61,"")</f>
        <v>2.9121726599388165E-3</v>
      </c>
      <c r="W61" s="12">
        <f>IF(AND(A61&gt;Holdings!$G$24,A61&lt;=Portfolio!$J$5),Q61,"")</f>
        <v>-4.8948501711271186E-3</v>
      </c>
    </row>
    <row r="62" spans="1:23" ht="20" customHeight="1" x14ac:dyDescent="0.35">
      <c r="A62" s="7">
        <v>46181</v>
      </c>
      <c r="B62" s="1">
        <f>SUMIFS(Ledger!$J$7:$J$1006,Ledger!$C$7:$C$1006,Portfolio!$C$5,Ledger!$E$7:$E$1006,History!B$6,Ledger!$B$7:$B$1006,"&lt;="&amp;$A62)</f>
        <v>100</v>
      </c>
      <c r="C62" s="1">
        <f>SUMIFS(Ledger!$J$7:$J$1006,Ledger!$C$7:$C$1006,Portfolio!$C$5,Ledger!$E$7:$E$1006,History!C$6,Ledger!$B$7:$B$1006,"&lt;="&amp;$A62)</f>
        <v>100</v>
      </c>
      <c r="D62" s="1">
        <f>SUMIFS(Ledger!$J$7:$J$1006,Ledger!$C$7:$C$1006,Portfolio!$C$5,Ledger!$E$7:$E$1006,History!D$6,Ledger!$B$7:$B$1006,"&lt;="&amp;$A62)</f>
        <v>70</v>
      </c>
      <c r="E62" s="1">
        <f>SUMIFS(Ledger!$J$7:$J$1006,Ledger!$C$7:$C$1006,Portfolio!$C$5,Ledger!$E$7:$E$1006,History!E$6,Ledger!$B$7:$B$1006,"&lt;="&amp;$A62)</f>
        <v>130</v>
      </c>
      <c r="F62" s="1">
        <f>SUMIFS(Ledger!$J$7:$J$1006,Ledger!$C$7:$C$1006,Portfolio!$C$5,Ledger!$E$7:$E$1006,History!F$6,Ledger!$B$7:$B$1006,"&lt;="&amp;$A62)</f>
        <v>480</v>
      </c>
      <c r="G62" s="1">
        <f>SUMIFS(Ledger!$J$7:$J$1006,Ledger!$C$7:$C$1006,Portfolio!$C$5,Ledger!$E$7:$E$1006,History!G$6,Ledger!$B$7:$B$1006,"&lt;="&amp;$A62)</f>
        <v>600</v>
      </c>
      <c r="H62" s="8">
        <f>SUMIFS(Ledger!$K$7:$K$1006,Ledger!$C$7:$C$1006,Portfolio!$C$5,Ledger!$B$7:$B$1006,"&lt;="&amp;$A62)</f>
        <v>79138.649000000005</v>
      </c>
      <c r="I62" s="8">
        <f>IF(S62=6,SUMPRODUCT(B62:G62,History!B62:G62),NA())</f>
        <v>455438.49</v>
      </c>
      <c r="J62" s="8">
        <f t="shared" si="2"/>
        <v>534577.13899999997</v>
      </c>
      <c r="K62" s="8">
        <f>SUMIFS(Ledger!$L$7:$L$1006,Ledger!$C$7:$C$1006,Portfolio!$C$5,Ledger!$B$7:$B$1006,$A62)</f>
        <v>0</v>
      </c>
      <c r="L62" s="10">
        <f>IF(A62&lt;Holdings!$G$24,"",IF(A62=Holdings!$G$24,IF(K62&gt;0,J62/K62-1,NA()),IF(J61&gt;0,(J62-K62)/J61-1,NA())))</f>
        <v>1.9845766086712402E-3</v>
      </c>
      <c r="M62" s="11">
        <f>IF(A62&lt;Holdings!$G$24,"",IF(A62=Holdings!$G$24,100*(1+L62),M61*(1+L62)))</f>
        <v>97.041919809314138</v>
      </c>
      <c r="N62" s="11">
        <f>IF(A62&lt;Holdings!$G$24,"",IF(A62=Holdings!$G$24,MAX(100,M62),MAX(N61,M62)))</f>
        <v>101.59037800000002</v>
      </c>
      <c r="O62" s="10">
        <f>IF(A62&lt;Holdings!$G$24,"",M62/N62-1)</f>
        <v>-4.477252944846688E-2</v>
      </c>
      <c r="P62" s="11">
        <f>IF(A62&lt;Holdings!$G$24,"",IF(History!H62&gt;0,History!H62/INDEX(History!$H$7:$H$136,MATCH(Holdings!$G$24,History!$A$7:$A$136,0))*100,NA()))</f>
        <v>92.719266500000003</v>
      </c>
      <c r="Q62" s="10">
        <f>IF(A62&lt;=Holdings!$G$24,"",P62/P61-1)</f>
        <v>3.7474588611872139E-3</v>
      </c>
      <c r="R62" s="8">
        <f>IF(A62&gt;Portfolio!$J$5,0,-K62+IF(A62=Portfolio!$J$5,J62,0))</f>
        <v>0</v>
      </c>
      <c r="S62" s="1">
        <f>COUNTIFS(History!B62:G62,"&gt;0")</f>
        <v>6</v>
      </c>
      <c r="T62" s="1" t="str">
        <f t="shared" si="3"/>
        <v>08-Jun</v>
      </c>
      <c r="U62" s="10">
        <f>IF(AND(A62&lt;=Portfolio!$J$5,A62&gt;=Holdings!$G$24),O62,0)</f>
        <v>-4.477252944846688E-2</v>
      </c>
      <c r="V62" s="12">
        <f>IF(AND(A62&gt;Holdings!$G$24,A62&lt;=Portfolio!$J$5),L62,"")</f>
        <v>1.9845766086712402E-3</v>
      </c>
      <c r="W62" s="12">
        <f>IF(AND(A62&gt;Holdings!$G$24,A62&lt;=Portfolio!$J$5),Q62,"")</f>
        <v>3.7474588611872139E-3</v>
      </c>
    </row>
    <row r="63" spans="1:23" ht="20" customHeight="1" x14ac:dyDescent="0.35">
      <c r="A63" s="7">
        <v>46182</v>
      </c>
      <c r="B63" s="1">
        <f>SUMIFS(Ledger!$J$7:$J$1006,Ledger!$C$7:$C$1006,Portfolio!$C$5,Ledger!$E$7:$E$1006,History!B$6,Ledger!$B$7:$B$1006,"&lt;="&amp;$A63)</f>
        <v>100</v>
      </c>
      <c r="C63" s="1">
        <f>SUMIFS(Ledger!$J$7:$J$1006,Ledger!$C$7:$C$1006,Portfolio!$C$5,Ledger!$E$7:$E$1006,History!C$6,Ledger!$B$7:$B$1006,"&lt;="&amp;$A63)</f>
        <v>100</v>
      </c>
      <c r="D63" s="1">
        <f>SUMIFS(Ledger!$J$7:$J$1006,Ledger!$C$7:$C$1006,Portfolio!$C$5,Ledger!$E$7:$E$1006,History!D$6,Ledger!$B$7:$B$1006,"&lt;="&amp;$A63)</f>
        <v>70</v>
      </c>
      <c r="E63" s="1">
        <f>SUMIFS(Ledger!$J$7:$J$1006,Ledger!$C$7:$C$1006,Portfolio!$C$5,Ledger!$E$7:$E$1006,History!E$6,Ledger!$B$7:$B$1006,"&lt;="&amp;$A63)</f>
        <v>130</v>
      </c>
      <c r="F63" s="1">
        <f>SUMIFS(Ledger!$J$7:$J$1006,Ledger!$C$7:$C$1006,Portfolio!$C$5,Ledger!$E$7:$E$1006,History!F$6,Ledger!$B$7:$B$1006,"&lt;="&amp;$A63)</f>
        <v>480</v>
      </c>
      <c r="G63" s="1">
        <f>SUMIFS(Ledger!$J$7:$J$1006,Ledger!$C$7:$C$1006,Portfolio!$C$5,Ledger!$E$7:$E$1006,History!G$6,Ledger!$B$7:$B$1006,"&lt;="&amp;$A63)</f>
        <v>600</v>
      </c>
      <c r="H63" s="8">
        <f>SUMIFS(Ledger!$K$7:$K$1006,Ledger!$C$7:$C$1006,Portfolio!$C$5,Ledger!$B$7:$B$1006,"&lt;="&amp;$A63)</f>
        <v>79138.649000000005</v>
      </c>
      <c r="I63" s="8">
        <f>IF(S63=6,SUMPRODUCT(B63:G63,History!B63:G63),NA())</f>
        <v>454782.16099999996</v>
      </c>
      <c r="J63" s="8">
        <f t="shared" si="2"/>
        <v>533920.80999999994</v>
      </c>
      <c r="K63" s="8">
        <f>SUMIFS(Ledger!$L$7:$L$1006,Ledger!$C$7:$C$1006,Portfolio!$C$5,Ledger!$B$7:$B$1006,$A63)</f>
        <v>0</v>
      </c>
      <c r="L63" s="10">
        <f>IF(A63&lt;Holdings!$G$24,"",IF(A63=Holdings!$G$24,IF(K63&gt;0,J63/K63-1,NA()),IF(J62&gt;0,(J63-K63)/J62-1,NA())))</f>
        <v>-1.2277535871207945E-3</v>
      </c>
      <c r="M63" s="11">
        <f>IF(A63&lt;Holdings!$G$24,"",IF(A63=Holdings!$G$24,100*(1+L63),M62*(1+L63)))</f>
        <v>96.922776244167167</v>
      </c>
      <c r="N63" s="11">
        <f>IF(A63&lt;Holdings!$G$24,"",IF(A63=Holdings!$G$24,MAX(100,M63),MAX(N62,M63)))</f>
        <v>101.59037800000002</v>
      </c>
      <c r="O63" s="10">
        <f>IF(A63&lt;Holdings!$G$24,"",M63/N63-1)</f>
        <v>-4.5945313401952736E-2</v>
      </c>
      <c r="P63" s="11">
        <f>IF(A63&lt;Holdings!$G$24,"",IF(History!H63&gt;0,History!H63/INDEX(History!$H$7:$H$136,MATCH(Holdings!$G$24,History!$A$7:$A$136,0))*100,NA()))</f>
        <v>92.519671700000004</v>
      </c>
      <c r="Q63" s="10">
        <f>IF(A63&lt;=Holdings!$G$24,"",P63/P62-1)</f>
        <v>-2.1526788070524994E-3</v>
      </c>
      <c r="R63" s="8">
        <f>IF(A63&gt;Portfolio!$J$5,0,-K63+IF(A63=Portfolio!$J$5,J63,0))</f>
        <v>0</v>
      </c>
      <c r="S63" s="1">
        <f>COUNTIFS(History!B63:G63,"&gt;0")</f>
        <v>6</v>
      </c>
      <c r="T63" s="1" t="str">
        <f t="shared" si="3"/>
        <v>09-Jun</v>
      </c>
      <c r="U63" s="10">
        <f>IF(AND(A63&lt;=Portfolio!$J$5,A63&gt;=Holdings!$G$24),O63,0)</f>
        <v>-4.5945313401952736E-2</v>
      </c>
      <c r="V63" s="12">
        <f>IF(AND(A63&gt;Holdings!$G$24,A63&lt;=Portfolio!$J$5),L63,"")</f>
        <v>-1.2277535871207945E-3</v>
      </c>
      <c r="W63" s="12">
        <f>IF(AND(A63&gt;Holdings!$G$24,A63&lt;=Portfolio!$J$5),Q63,"")</f>
        <v>-2.1526788070524994E-3</v>
      </c>
    </row>
    <row r="64" spans="1:23" ht="20" customHeight="1" x14ac:dyDescent="0.35">
      <c r="A64" s="7">
        <v>46183</v>
      </c>
      <c r="B64" s="1">
        <f>SUMIFS(Ledger!$J$7:$J$1006,Ledger!$C$7:$C$1006,Portfolio!$C$5,Ledger!$E$7:$E$1006,History!B$6,Ledger!$B$7:$B$1006,"&lt;="&amp;$A64)</f>
        <v>100</v>
      </c>
      <c r="C64" s="1">
        <f>SUMIFS(Ledger!$J$7:$J$1006,Ledger!$C$7:$C$1006,Portfolio!$C$5,Ledger!$E$7:$E$1006,History!C$6,Ledger!$B$7:$B$1006,"&lt;="&amp;$A64)</f>
        <v>100</v>
      </c>
      <c r="D64" s="1">
        <f>SUMIFS(Ledger!$J$7:$J$1006,Ledger!$C$7:$C$1006,Portfolio!$C$5,Ledger!$E$7:$E$1006,History!D$6,Ledger!$B$7:$B$1006,"&lt;="&amp;$A64)</f>
        <v>70</v>
      </c>
      <c r="E64" s="1">
        <f>SUMIFS(Ledger!$J$7:$J$1006,Ledger!$C$7:$C$1006,Portfolio!$C$5,Ledger!$E$7:$E$1006,History!E$6,Ledger!$B$7:$B$1006,"&lt;="&amp;$A64)</f>
        <v>130</v>
      </c>
      <c r="F64" s="1">
        <f>SUMIFS(Ledger!$J$7:$J$1006,Ledger!$C$7:$C$1006,Portfolio!$C$5,Ledger!$E$7:$E$1006,History!F$6,Ledger!$B$7:$B$1006,"&lt;="&amp;$A64)</f>
        <v>480</v>
      </c>
      <c r="G64" s="1">
        <f>SUMIFS(Ledger!$J$7:$J$1006,Ledger!$C$7:$C$1006,Portfolio!$C$5,Ledger!$E$7:$E$1006,History!G$6,Ledger!$B$7:$B$1006,"&lt;="&amp;$A64)</f>
        <v>600</v>
      </c>
      <c r="H64" s="8">
        <f>SUMIFS(Ledger!$K$7:$K$1006,Ledger!$C$7:$C$1006,Portfolio!$C$5,Ledger!$B$7:$B$1006,"&lt;="&amp;$A64)</f>
        <v>79138.649000000005</v>
      </c>
      <c r="I64" s="8">
        <f>IF(S64=6,SUMPRODUCT(B64:G64,History!B64:G64),NA())</f>
        <v>452865.18000000005</v>
      </c>
      <c r="J64" s="8">
        <f t="shared" si="2"/>
        <v>532003.82900000003</v>
      </c>
      <c r="K64" s="8">
        <f>SUMIFS(Ledger!$L$7:$L$1006,Ledger!$C$7:$C$1006,Portfolio!$C$5,Ledger!$B$7:$B$1006,$A64)</f>
        <v>0</v>
      </c>
      <c r="L64" s="10">
        <f>IF(A64&lt;Holdings!$G$24,"",IF(A64=Holdings!$G$24,IF(K64&gt;0,J64/K64-1,NA()),IF(J63&gt;0,(J64-K64)/J63-1,NA())))</f>
        <v>-3.5903844991542755E-3</v>
      </c>
      <c r="M64" s="11">
        <f>IF(A64&lt;Holdings!$G$24,"",IF(A64=Holdings!$G$24,100*(1+L64),M63*(1+L64)))</f>
        <v>96.574786210725108</v>
      </c>
      <c r="N64" s="11">
        <f>IF(A64&lt;Holdings!$G$24,"",IF(A64=Holdings!$G$24,MAX(100,M64),MAX(N63,M64)))</f>
        <v>101.59037800000002</v>
      </c>
      <c r="O64" s="10">
        <f>IF(A64&lt;Holdings!$G$24,"",M64/N64-1)</f>
        <v>-4.9370736560059969E-2</v>
      </c>
      <c r="P64" s="11">
        <f>IF(A64&lt;Holdings!$G$24,"",IF(History!H64&gt;0,History!H64/INDEX(History!$H$7:$H$136,MATCH(Holdings!$G$24,History!$A$7:$A$136,0))*100,NA()))</f>
        <v>92.596194699999998</v>
      </c>
      <c r="Q64" s="10">
        <f>IF(A64&lt;=Holdings!$G$24,"",P64/P63-1)</f>
        <v>8.2709977882466923E-4</v>
      </c>
      <c r="R64" s="8">
        <f>IF(A64&gt;Portfolio!$J$5,0,-K64+IF(A64=Portfolio!$J$5,J64,0))</f>
        <v>0</v>
      </c>
      <c r="S64" s="1">
        <f>COUNTIFS(History!B64:G64,"&gt;0")</f>
        <v>6</v>
      </c>
      <c r="T64" s="1" t="str">
        <f t="shared" si="3"/>
        <v>10-Jun</v>
      </c>
      <c r="U64" s="10">
        <f>IF(AND(A64&lt;=Portfolio!$J$5,A64&gt;=Holdings!$G$24),O64,0)</f>
        <v>-4.9370736560059969E-2</v>
      </c>
      <c r="V64" s="12">
        <f>IF(AND(A64&gt;Holdings!$G$24,A64&lt;=Portfolio!$J$5),L64,"")</f>
        <v>-3.5903844991542755E-3</v>
      </c>
      <c r="W64" s="12">
        <f>IF(AND(A64&gt;Holdings!$G$24,A64&lt;=Portfolio!$J$5),Q64,"")</f>
        <v>8.2709977882466923E-4</v>
      </c>
    </row>
    <row r="65" spans="1:23" ht="20" customHeight="1" x14ac:dyDescent="0.35">
      <c r="A65" s="7">
        <v>46184</v>
      </c>
      <c r="B65" s="1">
        <f>SUMIFS(Ledger!$J$7:$J$1006,Ledger!$C$7:$C$1006,Portfolio!$C$5,Ledger!$E$7:$E$1006,History!B$6,Ledger!$B$7:$B$1006,"&lt;="&amp;$A65)</f>
        <v>100</v>
      </c>
      <c r="C65" s="1">
        <f>SUMIFS(Ledger!$J$7:$J$1006,Ledger!$C$7:$C$1006,Portfolio!$C$5,Ledger!$E$7:$E$1006,History!C$6,Ledger!$B$7:$B$1006,"&lt;="&amp;$A65)</f>
        <v>100</v>
      </c>
      <c r="D65" s="1">
        <f>SUMIFS(Ledger!$J$7:$J$1006,Ledger!$C$7:$C$1006,Portfolio!$C$5,Ledger!$E$7:$E$1006,History!D$6,Ledger!$B$7:$B$1006,"&lt;="&amp;$A65)</f>
        <v>70</v>
      </c>
      <c r="E65" s="1">
        <f>SUMIFS(Ledger!$J$7:$J$1006,Ledger!$C$7:$C$1006,Portfolio!$C$5,Ledger!$E$7:$E$1006,History!E$6,Ledger!$B$7:$B$1006,"&lt;="&amp;$A65)</f>
        <v>130</v>
      </c>
      <c r="F65" s="1">
        <f>SUMIFS(Ledger!$J$7:$J$1006,Ledger!$C$7:$C$1006,Portfolio!$C$5,Ledger!$E$7:$E$1006,History!F$6,Ledger!$B$7:$B$1006,"&lt;="&amp;$A65)</f>
        <v>480</v>
      </c>
      <c r="G65" s="1">
        <f>SUMIFS(Ledger!$J$7:$J$1006,Ledger!$C$7:$C$1006,Portfolio!$C$5,Ledger!$E$7:$E$1006,History!G$6,Ledger!$B$7:$B$1006,"&lt;="&amp;$A65)</f>
        <v>600</v>
      </c>
      <c r="H65" s="8">
        <f>SUMIFS(Ledger!$K$7:$K$1006,Ledger!$C$7:$C$1006,Portfolio!$C$5,Ledger!$B$7:$B$1006,"&lt;="&amp;$A65)</f>
        <v>79138.649000000005</v>
      </c>
      <c r="I65" s="8">
        <f>IF(S65=6,SUMPRODUCT(B65:G65,History!B65:G65),NA())</f>
        <v>448892.06899999996</v>
      </c>
      <c r="J65" s="8">
        <f t="shared" si="2"/>
        <v>528030.71799999999</v>
      </c>
      <c r="K65" s="8">
        <f>SUMIFS(Ledger!$L$7:$L$1006,Ledger!$C$7:$C$1006,Portfolio!$C$5,Ledger!$B$7:$B$1006,$A65)</f>
        <v>0</v>
      </c>
      <c r="L65" s="10">
        <f>IF(A65&lt;Holdings!$G$24,"",IF(A65=Holdings!$G$24,IF(K65&gt;0,J65/K65-1,NA()),IF(J64&gt;0,(J65-K65)/J64-1,NA())))</f>
        <v>-7.4682000080116273E-3</v>
      </c>
      <c r="M65" s="11">
        <f>IF(A65&lt;Holdings!$G$24,"",IF(A65=Holdings!$G$24,100*(1+L65),M64*(1+L65)))</f>
        <v>95.853546391572451</v>
      </c>
      <c r="N65" s="11">
        <f>IF(A65&lt;Holdings!$G$24,"",IF(A65=Holdings!$G$24,MAX(100,M65),MAX(N64,M65)))</f>
        <v>101.59037800000002</v>
      </c>
      <c r="O65" s="10">
        <f>IF(A65&lt;Holdings!$G$24,"",M65/N65-1)</f>
        <v>-5.6470226032898196E-2</v>
      </c>
      <c r="P65" s="11">
        <f>IF(A65&lt;Holdings!$G$24,"",IF(History!H65&gt;0,History!H65/INDEX(History!$H$7:$H$136,MATCH(Holdings!$G$24,History!$A$7:$A$136,0))*100,NA()))</f>
        <v>92.262055500000002</v>
      </c>
      <c r="Q65" s="10">
        <f>IF(A65&lt;=Holdings!$G$24,"",P65/P64-1)</f>
        <v>-3.6085629769405658E-3</v>
      </c>
      <c r="R65" s="8">
        <f>IF(A65&gt;Portfolio!$J$5,0,-K65+IF(A65=Portfolio!$J$5,J65,0))</f>
        <v>0</v>
      </c>
      <c r="S65" s="1">
        <f>COUNTIFS(History!B65:G65,"&gt;0")</f>
        <v>6</v>
      </c>
      <c r="T65" s="1" t="str">
        <f t="shared" si="3"/>
        <v>11-Jun</v>
      </c>
      <c r="U65" s="10">
        <f>IF(AND(A65&lt;=Portfolio!$J$5,A65&gt;=Holdings!$G$24),O65,0)</f>
        <v>-5.6470226032898196E-2</v>
      </c>
      <c r="V65" s="12">
        <f>IF(AND(A65&gt;Holdings!$G$24,A65&lt;=Portfolio!$J$5),L65,"")</f>
        <v>-7.4682000080116273E-3</v>
      </c>
      <c r="W65" s="12">
        <f>IF(AND(A65&gt;Holdings!$G$24,A65&lt;=Portfolio!$J$5),Q65,"")</f>
        <v>-3.6085629769405658E-3</v>
      </c>
    </row>
    <row r="66" spans="1:23" ht="20" customHeight="1" x14ac:dyDescent="0.35">
      <c r="A66" s="7">
        <v>46185</v>
      </c>
      <c r="B66" s="1">
        <f>SUMIFS(Ledger!$J$7:$J$1006,Ledger!$C$7:$C$1006,Portfolio!$C$5,Ledger!$E$7:$E$1006,History!B$6,Ledger!$B$7:$B$1006,"&lt;="&amp;$A66)</f>
        <v>100</v>
      </c>
      <c r="C66" s="1">
        <f>SUMIFS(Ledger!$J$7:$J$1006,Ledger!$C$7:$C$1006,Portfolio!$C$5,Ledger!$E$7:$E$1006,History!C$6,Ledger!$B$7:$B$1006,"&lt;="&amp;$A66)</f>
        <v>100</v>
      </c>
      <c r="D66" s="1">
        <f>SUMIFS(Ledger!$J$7:$J$1006,Ledger!$C$7:$C$1006,Portfolio!$C$5,Ledger!$E$7:$E$1006,History!D$6,Ledger!$B$7:$B$1006,"&lt;="&amp;$A66)</f>
        <v>70</v>
      </c>
      <c r="E66" s="1">
        <f>SUMIFS(Ledger!$J$7:$J$1006,Ledger!$C$7:$C$1006,Portfolio!$C$5,Ledger!$E$7:$E$1006,History!E$6,Ledger!$B$7:$B$1006,"&lt;="&amp;$A66)</f>
        <v>130</v>
      </c>
      <c r="F66" s="1">
        <f>SUMIFS(Ledger!$J$7:$J$1006,Ledger!$C$7:$C$1006,Portfolio!$C$5,Ledger!$E$7:$E$1006,History!F$6,Ledger!$B$7:$B$1006,"&lt;="&amp;$A66)</f>
        <v>480</v>
      </c>
      <c r="G66" s="1">
        <f>SUMIFS(Ledger!$J$7:$J$1006,Ledger!$C$7:$C$1006,Portfolio!$C$5,Ledger!$E$7:$E$1006,History!G$6,Ledger!$B$7:$B$1006,"&lt;="&amp;$A66)</f>
        <v>600</v>
      </c>
      <c r="H66" s="8">
        <f>SUMIFS(Ledger!$K$7:$K$1006,Ledger!$C$7:$C$1006,Portfolio!$C$5,Ledger!$B$7:$B$1006,"&lt;="&amp;$A66)</f>
        <v>79138.649000000005</v>
      </c>
      <c r="I66" s="8">
        <f>IF(S66=6,SUMPRODUCT(B66:G66,History!B66:G66),NA())</f>
        <v>448310.46399999998</v>
      </c>
      <c r="J66" s="8">
        <f t="shared" si="2"/>
        <v>527449.11300000001</v>
      </c>
      <c r="K66" s="8">
        <f>SUMIFS(Ledger!$L$7:$L$1006,Ledger!$C$7:$C$1006,Portfolio!$C$5,Ledger!$B$7:$B$1006,$A66)</f>
        <v>0</v>
      </c>
      <c r="L66" s="10">
        <f>IF(A66&lt;Holdings!$G$24,"",IF(A66=Holdings!$G$24,IF(K66&gt;0,J66/K66-1,NA()),IF(J65&gt;0,(J66-K66)/J65-1,NA())))</f>
        <v>-1.1014605404073841E-3</v>
      </c>
      <c r="M66" s="11">
        <f>IF(A66&lt;Holdings!$G$24,"",IF(A66=Holdings!$G$24,100*(1+L66),M65*(1+L66)))</f>
        <v>95.74796749256403</v>
      </c>
      <c r="N66" s="11">
        <f>IF(A66&lt;Holdings!$G$24,"",IF(A66=Holdings!$G$24,MAX(100,M66),MAX(N65,M66)))</f>
        <v>101.59037800000002</v>
      </c>
      <c r="O66" s="10">
        <f>IF(A66&lt;Holdings!$G$24,"",M66/N66-1)</f>
        <v>-5.750948684762236E-2</v>
      </c>
      <c r="P66" s="11">
        <f>IF(A66&lt;Holdings!$G$24,"",IF(History!H66&gt;0,History!H66/INDEX(History!$H$7:$H$136,MATCH(Holdings!$G$24,History!$A$7:$A$136,0))*100,NA()))</f>
        <v>92.297650999999988</v>
      </c>
      <c r="Q66" s="10">
        <f>IF(A66&lt;=Holdings!$G$24,"",P66/P65-1)</f>
        <v>3.8580865998572023E-4</v>
      </c>
      <c r="R66" s="8">
        <f>IF(A66&gt;Portfolio!$J$5,0,-K66+IF(A66=Portfolio!$J$5,J66,0))</f>
        <v>0</v>
      </c>
      <c r="S66" s="1">
        <f>COUNTIFS(History!B66:G66,"&gt;0")</f>
        <v>6</v>
      </c>
      <c r="T66" s="1" t="str">
        <f t="shared" si="3"/>
        <v>12-Jun</v>
      </c>
      <c r="U66" s="10">
        <f>IF(AND(A66&lt;=Portfolio!$J$5,A66&gt;=Holdings!$G$24),O66,0)</f>
        <v>-5.750948684762236E-2</v>
      </c>
      <c r="V66" s="12">
        <f>IF(AND(A66&gt;Holdings!$G$24,A66&lt;=Portfolio!$J$5),L66,"")</f>
        <v>-1.1014605404073841E-3</v>
      </c>
      <c r="W66" s="12">
        <f>IF(AND(A66&gt;Holdings!$G$24,A66&lt;=Portfolio!$J$5),Q66,"")</f>
        <v>3.8580865998572023E-4</v>
      </c>
    </row>
    <row r="67" spans="1:23" ht="20" customHeight="1" x14ac:dyDescent="0.35">
      <c r="A67" s="7">
        <v>46188</v>
      </c>
      <c r="B67" s="1">
        <f>SUMIFS(Ledger!$J$7:$J$1006,Ledger!$C$7:$C$1006,Portfolio!$C$5,Ledger!$E$7:$E$1006,History!B$6,Ledger!$B$7:$B$1006,"&lt;="&amp;$A67)</f>
        <v>100</v>
      </c>
      <c r="C67" s="1">
        <f>SUMIFS(Ledger!$J$7:$J$1006,Ledger!$C$7:$C$1006,Portfolio!$C$5,Ledger!$E$7:$E$1006,History!C$6,Ledger!$B$7:$B$1006,"&lt;="&amp;$A67)</f>
        <v>100</v>
      </c>
      <c r="D67" s="1">
        <f>SUMIFS(Ledger!$J$7:$J$1006,Ledger!$C$7:$C$1006,Portfolio!$C$5,Ledger!$E$7:$E$1006,History!D$6,Ledger!$B$7:$B$1006,"&lt;="&amp;$A67)</f>
        <v>70</v>
      </c>
      <c r="E67" s="1">
        <f>SUMIFS(Ledger!$J$7:$J$1006,Ledger!$C$7:$C$1006,Portfolio!$C$5,Ledger!$E$7:$E$1006,History!E$6,Ledger!$B$7:$B$1006,"&lt;="&amp;$A67)</f>
        <v>130</v>
      </c>
      <c r="F67" s="1">
        <f>SUMIFS(Ledger!$J$7:$J$1006,Ledger!$C$7:$C$1006,Portfolio!$C$5,Ledger!$E$7:$E$1006,History!F$6,Ledger!$B$7:$B$1006,"&lt;="&amp;$A67)</f>
        <v>480</v>
      </c>
      <c r="G67" s="1">
        <f>SUMIFS(Ledger!$J$7:$J$1006,Ledger!$C$7:$C$1006,Portfolio!$C$5,Ledger!$E$7:$E$1006,History!G$6,Ledger!$B$7:$B$1006,"&lt;="&amp;$A67)</f>
        <v>600</v>
      </c>
      <c r="H67" s="8">
        <f>SUMIFS(Ledger!$K$7:$K$1006,Ledger!$C$7:$C$1006,Portfolio!$C$5,Ledger!$B$7:$B$1006,"&lt;="&amp;$A67)</f>
        <v>79138.649000000005</v>
      </c>
      <c r="I67" s="8">
        <f>IF(S67=6,SUMPRODUCT(B67:G67,History!B67:G67),NA())</f>
        <v>451855.66100000002</v>
      </c>
      <c r="J67" s="8">
        <f t="shared" si="2"/>
        <v>530994.31000000006</v>
      </c>
      <c r="K67" s="8">
        <f>SUMIFS(Ledger!$L$7:$L$1006,Ledger!$C$7:$C$1006,Portfolio!$C$5,Ledger!$B$7:$B$1006,$A67)</f>
        <v>0</v>
      </c>
      <c r="L67" s="10">
        <f>IF(A67&lt;Holdings!$G$24,"",IF(A67=Holdings!$G$24,IF(K67&gt;0,J67/K67-1,NA()),IF(J66&gt;0,(J67-K67)/J66-1,NA())))</f>
        <v>6.7214010084040154E-3</v>
      </c>
      <c r="M67" s="11">
        <f>IF(A67&lt;Holdings!$G$24,"",IF(A67=Holdings!$G$24,100*(1+L67),M66*(1+L67)))</f>
        <v>96.391527977821184</v>
      </c>
      <c r="N67" s="11">
        <f>IF(A67&lt;Holdings!$G$24,"",IF(A67=Holdings!$G$24,MAX(100,M67),MAX(N66,M67)))</f>
        <v>101.59037800000002</v>
      </c>
      <c r="O67" s="10">
        <f>IF(A67&lt;Holdings!$G$24,"",M67/N67-1)</f>
        <v>-5.117463016210877E-2</v>
      </c>
      <c r="P67" s="11">
        <f>IF(A67&lt;Holdings!$G$24,"",IF(History!H67&gt;0,History!H67/INDEX(History!$H$7:$H$136,MATCH(Holdings!$G$24,History!$A$7:$A$136,0))*100,NA()))</f>
        <v>92.889092500000004</v>
      </c>
      <c r="Q67" s="10">
        <f>IF(A67&lt;=Holdings!$G$24,"",P67/P66-1)</f>
        <v>6.4079799820693228E-3</v>
      </c>
      <c r="R67" s="8">
        <f>IF(A67&gt;Portfolio!$J$5,0,-K67+IF(A67=Portfolio!$J$5,J67,0))</f>
        <v>0</v>
      </c>
      <c r="S67" s="1">
        <f>COUNTIFS(History!B67:G67,"&gt;0")</f>
        <v>6</v>
      </c>
      <c r="T67" s="1" t="str">
        <f t="shared" si="3"/>
        <v>15-Jun</v>
      </c>
      <c r="U67" s="10">
        <f>IF(AND(A67&lt;=Portfolio!$J$5,A67&gt;=Holdings!$G$24),O67,0)</f>
        <v>-5.117463016210877E-2</v>
      </c>
      <c r="V67" s="12">
        <f>IF(AND(A67&gt;Holdings!$G$24,A67&lt;=Portfolio!$J$5),L67,"")</f>
        <v>6.7214010084040154E-3</v>
      </c>
      <c r="W67" s="12">
        <f>IF(AND(A67&gt;Holdings!$G$24,A67&lt;=Portfolio!$J$5),Q67,"")</f>
        <v>6.4079799820693228E-3</v>
      </c>
    </row>
    <row r="68" spans="1:23" ht="20" customHeight="1" x14ac:dyDescent="0.35">
      <c r="A68" s="7">
        <v>46189</v>
      </c>
      <c r="B68" s="1">
        <f>SUMIFS(Ledger!$J$7:$J$1006,Ledger!$C$7:$C$1006,Portfolio!$C$5,Ledger!$E$7:$E$1006,History!B$6,Ledger!$B$7:$B$1006,"&lt;="&amp;$A68)</f>
        <v>100</v>
      </c>
      <c r="C68" s="1">
        <f>SUMIFS(Ledger!$J$7:$J$1006,Ledger!$C$7:$C$1006,Portfolio!$C$5,Ledger!$E$7:$E$1006,History!C$6,Ledger!$B$7:$B$1006,"&lt;="&amp;$A68)</f>
        <v>100</v>
      </c>
      <c r="D68" s="1">
        <f>SUMIFS(Ledger!$J$7:$J$1006,Ledger!$C$7:$C$1006,Portfolio!$C$5,Ledger!$E$7:$E$1006,History!D$6,Ledger!$B$7:$B$1006,"&lt;="&amp;$A68)</f>
        <v>70</v>
      </c>
      <c r="E68" s="1">
        <f>SUMIFS(Ledger!$J$7:$J$1006,Ledger!$C$7:$C$1006,Portfolio!$C$5,Ledger!$E$7:$E$1006,History!E$6,Ledger!$B$7:$B$1006,"&lt;="&amp;$A68)</f>
        <v>130</v>
      </c>
      <c r="F68" s="1">
        <f>SUMIFS(Ledger!$J$7:$J$1006,Ledger!$C$7:$C$1006,Portfolio!$C$5,Ledger!$E$7:$E$1006,History!F$6,Ledger!$B$7:$B$1006,"&lt;="&amp;$A68)</f>
        <v>480</v>
      </c>
      <c r="G68" s="1">
        <f>SUMIFS(Ledger!$J$7:$J$1006,Ledger!$C$7:$C$1006,Portfolio!$C$5,Ledger!$E$7:$E$1006,History!G$6,Ledger!$B$7:$B$1006,"&lt;="&amp;$A68)</f>
        <v>600</v>
      </c>
      <c r="H68" s="8">
        <f>SUMIFS(Ledger!$K$7:$K$1006,Ledger!$C$7:$C$1006,Portfolio!$C$5,Ledger!$B$7:$B$1006,"&lt;="&amp;$A68)</f>
        <v>79138.649000000005</v>
      </c>
      <c r="I68" s="8">
        <f>IF(S68=6,SUMPRODUCT(B68:G68,History!B68:G68),NA())</f>
        <v>453146.92700000003</v>
      </c>
      <c r="J68" s="8">
        <f t="shared" si="2"/>
        <v>532285.576</v>
      </c>
      <c r="K68" s="8">
        <f>SUMIFS(Ledger!$L$7:$L$1006,Ledger!$C$7:$C$1006,Portfolio!$C$5,Ledger!$B$7:$B$1006,$A68)</f>
        <v>0</v>
      </c>
      <c r="L68" s="10">
        <f>IF(A68&lt;Holdings!$G$24,"",IF(A68=Holdings!$G$24,IF(K68&gt;0,J68/K68-1,NA()),IF(J67&gt;0,(J68-K68)/J67-1,NA())))</f>
        <v>2.431788770015153E-3</v>
      </c>
      <c r="M68" s="11">
        <f>IF(A68&lt;Holdings!$G$24,"",IF(A68=Holdings!$G$24,100*(1+L68),M67*(1+L68)))</f>
        <v>96.625931813082246</v>
      </c>
      <c r="N68" s="11">
        <f>IF(A68&lt;Holdings!$G$24,"",IF(A68=Holdings!$G$24,MAX(100,M68),MAX(N67,M68)))</f>
        <v>101.59037800000002</v>
      </c>
      <c r="O68" s="10">
        <f>IF(A68&lt;Holdings!$G$24,"",M68/N68-1)</f>
        <v>-4.886728728303158E-2</v>
      </c>
      <c r="P68" s="11">
        <f>IF(A68&lt;Holdings!$G$24,"",IF(History!H68&gt;0,History!H68/INDEX(History!$H$7:$H$136,MATCH(Holdings!$G$24,History!$A$7:$A$136,0))*100,NA()))</f>
        <v>93.35020200000001</v>
      </c>
      <c r="Q68" s="10">
        <f>IF(A68&lt;=Holdings!$G$24,"",P68/P67-1)</f>
        <v>4.9640866068316747E-3</v>
      </c>
      <c r="R68" s="8">
        <f>IF(A68&gt;Portfolio!$J$5,0,-K68+IF(A68=Portfolio!$J$5,J68,0))</f>
        <v>0</v>
      </c>
      <c r="S68" s="1">
        <f>COUNTIFS(History!B68:G68,"&gt;0")</f>
        <v>6</v>
      </c>
      <c r="T68" s="1" t="str">
        <f t="shared" si="3"/>
        <v>16-Jun</v>
      </c>
      <c r="U68" s="10">
        <f>IF(AND(A68&lt;=Portfolio!$J$5,A68&gt;=Holdings!$G$24),O68,0)</f>
        <v>-4.886728728303158E-2</v>
      </c>
      <c r="V68" s="12">
        <f>IF(AND(A68&gt;Holdings!$G$24,A68&lt;=Portfolio!$J$5),L68,"")</f>
        <v>2.431788770015153E-3</v>
      </c>
      <c r="W68" s="12">
        <f>IF(AND(A68&gt;Holdings!$G$24,A68&lt;=Portfolio!$J$5),Q68,"")</f>
        <v>4.9640866068316747E-3</v>
      </c>
    </row>
    <row r="69" spans="1:23" ht="20" customHeight="1" x14ac:dyDescent="0.35">
      <c r="A69" s="7">
        <v>46190</v>
      </c>
      <c r="B69" s="1">
        <f>SUMIFS(Ledger!$J$7:$J$1006,Ledger!$C$7:$C$1006,Portfolio!$C$5,Ledger!$E$7:$E$1006,History!B$6,Ledger!$B$7:$B$1006,"&lt;="&amp;$A69)</f>
        <v>100</v>
      </c>
      <c r="C69" s="1">
        <f>SUMIFS(Ledger!$J$7:$J$1006,Ledger!$C$7:$C$1006,Portfolio!$C$5,Ledger!$E$7:$E$1006,History!C$6,Ledger!$B$7:$B$1006,"&lt;="&amp;$A69)</f>
        <v>100</v>
      </c>
      <c r="D69" s="1">
        <f>SUMIFS(Ledger!$J$7:$J$1006,Ledger!$C$7:$C$1006,Portfolio!$C$5,Ledger!$E$7:$E$1006,History!D$6,Ledger!$B$7:$B$1006,"&lt;="&amp;$A69)</f>
        <v>70</v>
      </c>
      <c r="E69" s="1">
        <f>SUMIFS(Ledger!$J$7:$J$1006,Ledger!$C$7:$C$1006,Portfolio!$C$5,Ledger!$E$7:$E$1006,History!E$6,Ledger!$B$7:$B$1006,"&lt;="&amp;$A69)</f>
        <v>130</v>
      </c>
      <c r="F69" s="1">
        <f>SUMIFS(Ledger!$J$7:$J$1006,Ledger!$C$7:$C$1006,Portfolio!$C$5,Ledger!$E$7:$E$1006,History!F$6,Ledger!$B$7:$B$1006,"&lt;="&amp;$A69)</f>
        <v>480</v>
      </c>
      <c r="G69" s="1">
        <f>SUMIFS(Ledger!$J$7:$J$1006,Ledger!$C$7:$C$1006,Portfolio!$C$5,Ledger!$E$7:$E$1006,History!G$6,Ledger!$B$7:$B$1006,"&lt;="&amp;$A69)</f>
        <v>600</v>
      </c>
      <c r="H69" s="8">
        <f>SUMIFS(Ledger!$K$7:$K$1006,Ledger!$C$7:$C$1006,Portfolio!$C$5,Ledger!$B$7:$B$1006,"&lt;="&amp;$A69)</f>
        <v>79138.649000000005</v>
      </c>
      <c r="I69" s="8">
        <f>IF(S69=6,SUMPRODUCT(B69:G69,History!B69:G69),NA())</f>
        <v>453951.80499999999</v>
      </c>
      <c r="J69" s="8">
        <f t="shared" si="2"/>
        <v>533090.45400000003</v>
      </c>
      <c r="K69" s="8">
        <f>SUMIFS(Ledger!$L$7:$L$1006,Ledger!$C$7:$C$1006,Portfolio!$C$5,Ledger!$B$7:$B$1006,$A69)</f>
        <v>0</v>
      </c>
      <c r="L69" s="10">
        <f>IF(A69&lt;Holdings!$G$24,"",IF(A69=Holdings!$G$24,IF(K69&gt;0,J69/K69-1,NA()),IF(J68&gt;0,(J69-K69)/J68-1,NA())))</f>
        <v>1.5121168716396571E-3</v>
      </c>
      <c r="M69" s="11">
        <f>IF(A69&lt;Holdings!$G$24,"",IF(A69=Holdings!$G$24,100*(1+L69),M68*(1+L69)))</f>
        <v>96.772041514814717</v>
      </c>
      <c r="N69" s="11">
        <f>IF(A69&lt;Holdings!$G$24,"",IF(A69=Holdings!$G$24,MAX(100,M69),MAX(N68,M69)))</f>
        <v>101.59037800000002</v>
      </c>
      <c r="O69" s="10">
        <f>IF(A69&lt;Holdings!$G$24,"",M69/N69-1)</f>
        <v>-4.7429063460963761E-2</v>
      </c>
      <c r="P69" s="11">
        <f>IF(A69&lt;Holdings!$G$24,"",IF(History!H69&gt;0,History!H69/INDEX(History!$H$7:$H$136,MATCH(Holdings!$G$24,History!$A$7:$A$136,0))*100,NA()))</f>
        <v>93.546917499999992</v>
      </c>
      <c r="Q69" s="10">
        <f>IF(A69&lt;=Holdings!$G$24,"",P69/P68-1)</f>
        <v>2.1072852097308026E-3</v>
      </c>
      <c r="R69" s="8">
        <f>IF(A69&gt;Portfolio!$J$5,0,-K69+IF(A69=Portfolio!$J$5,J69,0))</f>
        <v>0</v>
      </c>
      <c r="S69" s="1">
        <f>COUNTIFS(History!B69:G69,"&gt;0")</f>
        <v>6</v>
      </c>
      <c r="T69" s="1" t="str">
        <f t="shared" si="3"/>
        <v>17-Jun</v>
      </c>
      <c r="U69" s="10">
        <f>IF(AND(A69&lt;=Portfolio!$J$5,A69&gt;=Holdings!$G$24),O69,0)</f>
        <v>-4.7429063460963761E-2</v>
      </c>
      <c r="V69" s="12">
        <f>IF(AND(A69&gt;Holdings!$G$24,A69&lt;=Portfolio!$J$5),L69,"")</f>
        <v>1.5121168716396571E-3</v>
      </c>
      <c r="W69" s="12">
        <f>IF(AND(A69&gt;Holdings!$G$24,A69&lt;=Portfolio!$J$5),Q69,"")</f>
        <v>2.1072852097308026E-3</v>
      </c>
    </row>
    <row r="70" spans="1:23" ht="20" customHeight="1" x14ac:dyDescent="0.35">
      <c r="A70" s="7">
        <v>46191</v>
      </c>
      <c r="B70" s="1">
        <f>SUMIFS(Ledger!$J$7:$J$1006,Ledger!$C$7:$C$1006,Portfolio!$C$5,Ledger!$E$7:$E$1006,History!B$6,Ledger!$B$7:$B$1006,"&lt;="&amp;$A70)</f>
        <v>100</v>
      </c>
      <c r="C70" s="1">
        <f>SUMIFS(Ledger!$J$7:$J$1006,Ledger!$C$7:$C$1006,Portfolio!$C$5,Ledger!$E$7:$E$1006,History!C$6,Ledger!$B$7:$B$1006,"&lt;="&amp;$A70)</f>
        <v>100</v>
      </c>
      <c r="D70" s="1">
        <f>SUMIFS(Ledger!$J$7:$J$1006,Ledger!$C$7:$C$1006,Portfolio!$C$5,Ledger!$E$7:$E$1006,History!D$6,Ledger!$B$7:$B$1006,"&lt;="&amp;$A70)</f>
        <v>70</v>
      </c>
      <c r="E70" s="1">
        <f>SUMIFS(Ledger!$J$7:$J$1006,Ledger!$C$7:$C$1006,Portfolio!$C$5,Ledger!$E$7:$E$1006,History!E$6,Ledger!$B$7:$B$1006,"&lt;="&amp;$A70)</f>
        <v>130</v>
      </c>
      <c r="F70" s="1">
        <f>SUMIFS(Ledger!$J$7:$J$1006,Ledger!$C$7:$C$1006,Portfolio!$C$5,Ledger!$E$7:$E$1006,History!F$6,Ledger!$B$7:$B$1006,"&lt;="&amp;$A70)</f>
        <v>480</v>
      </c>
      <c r="G70" s="1">
        <f>SUMIFS(Ledger!$J$7:$J$1006,Ledger!$C$7:$C$1006,Portfolio!$C$5,Ledger!$E$7:$E$1006,History!G$6,Ledger!$B$7:$B$1006,"&lt;="&amp;$A70)</f>
        <v>600</v>
      </c>
      <c r="H70" s="8">
        <f>SUMIFS(Ledger!$K$7:$K$1006,Ledger!$C$7:$C$1006,Portfolio!$C$5,Ledger!$B$7:$B$1006,"&lt;="&amp;$A70)</f>
        <v>79138.649000000005</v>
      </c>
      <c r="I70" s="8">
        <f>IF(S70=6,SUMPRODUCT(B70:G70,History!B70:G70),NA())</f>
        <v>453821.88400000002</v>
      </c>
      <c r="J70" s="8">
        <f t="shared" si="2"/>
        <v>532960.53300000005</v>
      </c>
      <c r="K70" s="8">
        <f>SUMIFS(Ledger!$L$7:$L$1006,Ledger!$C$7:$C$1006,Portfolio!$C$5,Ledger!$B$7:$B$1006,$A70)</f>
        <v>0</v>
      </c>
      <c r="L70" s="10">
        <f>IF(A70&lt;Holdings!$G$24,"",IF(A70=Holdings!$G$24,IF(K70&gt;0,J70/K70-1,NA()),IF(J69&gt;0,(J70-K70)/J69-1,NA())))</f>
        <v>-2.4371286153246352E-4</v>
      </c>
      <c r="M70" s="11">
        <f>IF(A70&lt;Holdings!$G$24,"",IF(A70=Holdings!$G$24,100*(1+L70),M69*(1+L70)))</f>
        <v>96.748456923660797</v>
      </c>
      <c r="N70" s="11">
        <f>IF(A70&lt;Holdings!$G$24,"",IF(A70=Holdings!$G$24,MAX(100,M70),MAX(N69,M70)))</f>
        <v>101.59037800000002</v>
      </c>
      <c r="O70" s="10">
        <f>IF(A70&lt;Holdings!$G$24,"",M70/N70-1)</f>
        <v>-4.7661217249720389E-2</v>
      </c>
      <c r="P70" s="11">
        <f>IF(A70&lt;Holdings!$G$24,"",IF(History!H70&gt;0,History!H70/INDEX(History!$H$7:$H$136,MATCH(Holdings!$G$24,History!$A$7:$A$136,0))*100,NA()))</f>
        <v>93.487624600000004</v>
      </c>
      <c r="Q70" s="10">
        <f>IF(A70&lt;=Holdings!$G$24,"",P70/P69-1)</f>
        <v>-6.3383061232336058E-4</v>
      </c>
      <c r="R70" s="8">
        <f>IF(A70&gt;Portfolio!$J$5,0,-K70+IF(A70=Portfolio!$J$5,J70,0))</f>
        <v>0</v>
      </c>
      <c r="S70" s="1">
        <f>COUNTIFS(History!B70:G70,"&gt;0")</f>
        <v>6</v>
      </c>
      <c r="T70" s="1" t="str">
        <f t="shared" si="3"/>
        <v>18-Jun</v>
      </c>
      <c r="U70" s="10">
        <f>IF(AND(A70&lt;=Portfolio!$J$5,A70&gt;=Holdings!$G$24),O70,0)</f>
        <v>-4.7661217249720389E-2</v>
      </c>
      <c r="V70" s="12">
        <f>IF(AND(A70&gt;Holdings!$G$24,A70&lt;=Portfolio!$J$5),L70,"")</f>
        <v>-2.4371286153246352E-4</v>
      </c>
      <c r="W70" s="12">
        <f>IF(AND(A70&gt;Holdings!$G$24,A70&lt;=Portfolio!$J$5),Q70,"")</f>
        <v>-6.3383061232336058E-4</v>
      </c>
    </row>
    <row r="71" spans="1:23" ht="20" customHeight="1" x14ac:dyDescent="0.35">
      <c r="A71" s="7">
        <v>46192</v>
      </c>
      <c r="B71" s="1">
        <f>SUMIFS(Ledger!$J$7:$J$1006,Ledger!$C$7:$C$1006,Portfolio!$C$5,Ledger!$E$7:$E$1006,History!B$6,Ledger!$B$7:$B$1006,"&lt;="&amp;$A71)</f>
        <v>100</v>
      </c>
      <c r="C71" s="1">
        <f>SUMIFS(Ledger!$J$7:$J$1006,Ledger!$C$7:$C$1006,Portfolio!$C$5,Ledger!$E$7:$E$1006,History!C$6,Ledger!$B$7:$B$1006,"&lt;="&amp;$A71)</f>
        <v>100</v>
      </c>
      <c r="D71" s="1">
        <f>SUMIFS(Ledger!$J$7:$J$1006,Ledger!$C$7:$C$1006,Portfolio!$C$5,Ledger!$E$7:$E$1006,History!D$6,Ledger!$B$7:$B$1006,"&lt;="&amp;$A71)</f>
        <v>70</v>
      </c>
      <c r="E71" s="1">
        <f>SUMIFS(Ledger!$J$7:$J$1006,Ledger!$C$7:$C$1006,Portfolio!$C$5,Ledger!$E$7:$E$1006,History!E$6,Ledger!$B$7:$B$1006,"&lt;="&amp;$A71)</f>
        <v>130</v>
      </c>
      <c r="F71" s="1">
        <f>SUMIFS(Ledger!$J$7:$J$1006,Ledger!$C$7:$C$1006,Portfolio!$C$5,Ledger!$E$7:$E$1006,History!F$6,Ledger!$B$7:$B$1006,"&lt;="&amp;$A71)</f>
        <v>480</v>
      </c>
      <c r="G71" s="1">
        <f>SUMIFS(Ledger!$J$7:$J$1006,Ledger!$C$7:$C$1006,Portfolio!$C$5,Ledger!$E$7:$E$1006,History!G$6,Ledger!$B$7:$B$1006,"&lt;="&amp;$A71)</f>
        <v>600</v>
      </c>
      <c r="H71" s="8">
        <f>SUMIFS(Ledger!$K$7:$K$1006,Ledger!$C$7:$C$1006,Portfolio!$C$5,Ledger!$B$7:$B$1006,"&lt;="&amp;$A71)</f>
        <v>79138.649000000005</v>
      </c>
      <c r="I71" s="8">
        <f>IF(S71=6,SUMPRODUCT(B71:G71,History!B71:G71),NA())</f>
        <v>456820.87099999998</v>
      </c>
      <c r="J71" s="8">
        <f t="shared" ref="J71:J102" si="4">SUM(H71:I71)</f>
        <v>535959.52</v>
      </c>
      <c r="K71" s="8">
        <f>SUMIFS(Ledger!$L$7:$L$1006,Ledger!$C$7:$C$1006,Portfolio!$C$5,Ledger!$B$7:$B$1006,$A71)</f>
        <v>0</v>
      </c>
      <c r="L71" s="10">
        <f>IF(A71&lt;Holdings!$G$24,"",IF(A71=Holdings!$G$24,IF(K71&gt;0,J71/K71-1,NA()),IF(J70&gt;0,(J71-K71)/J70-1,NA())))</f>
        <v>5.6270339252306734E-3</v>
      </c>
      <c r="M71" s="11">
        <f>IF(A71&lt;Holdings!$G$24,"",IF(A71=Holdings!$G$24,100*(1+L71),M70*(1+L71)))</f>
        <v>97.292863772983949</v>
      </c>
      <c r="N71" s="11">
        <f>IF(A71&lt;Holdings!$G$24,"",IF(A71=Holdings!$G$24,MAX(100,M71),MAX(N70,M71)))</f>
        <v>101.59037800000002</v>
      </c>
      <c r="O71" s="10">
        <f>IF(A71&lt;Holdings!$G$24,"",M71/N71-1)</f>
        <v>-4.2302374610871718E-2</v>
      </c>
      <c r="P71" s="11">
        <f>IF(A71&lt;Holdings!$G$24,"",IF(History!H71&gt;0,History!H71/INDEX(History!$H$7:$H$136,MATCH(Holdings!$G$24,History!$A$7:$A$136,0))*100,NA()))</f>
        <v>94.067238000000003</v>
      </c>
      <c r="Q71" s="10">
        <f>IF(A71&lt;=Holdings!$G$24,"",P71/P70-1)</f>
        <v>6.1998943975736243E-3</v>
      </c>
      <c r="R71" s="8">
        <f>IF(A71&gt;Portfolio!$J$5,0,-K71+IF(A71=Portfolio!$J$5,J71,0))</f>
        <v>0</v>
      </c>
      <c r="S71" s="1">
        <f>COUNTIFS(History!B71:G71,"&gt;0")</f>
        <v>6</v>
      </c>
      <c r="T71" s="1" t="str">
        <f t="shared" ref="T71:T102" si="5">TEXT(A71,"dd-mmm")</f>
        <v>19-Jun</v>
      </c>
      <c r="U71" s="10">
        <f>IF(AND(A71&lt;=Portfolio!$J$5,A71&gt;=Holdings!$G$24),O71,0)</f>
        <v>-4.2302374610871718E-2</v>
      </c>
      <c r="V71" s="12">
        <f>IF(AND(A71&gt;Holdings!$G$24,A71&lt;=Portfolio!$J$5),L71,"")</f>
        <v>5.6270339252306734E-3</v>
      </c>
      <c r="W71" s="12">
        <f>IF(AND(A71&gt;Holdings!$G$24,A71&lt;=Portfolio!$J$5),Q71,"")</f>
        <v>6.1998943975736243E-3</v>
      </c>
    </row>
    <row r="72" spans="1:23" ht="20" customHeight="1" x14ac:dyDescent="0.35">
      <c r="A72" s="7">
        <v>46195</v>
      </c>
      <c r="B72" s="1">
        <f>SUMIFS(Ledger!$J$7:$J$1006,Ledger!$C$7:$C$1006,Portfolio!$C$5,Ledger!$E$7:$E$1006,History!B$6,Ledger!$B$7:$B$1006,"&lt;="&amp;$A72)</f>
        <v>100</v>
      </c>
      <c r="C72" s="1">
        <f>SUMIFS(Ledger!$J$7:$J$1006,Ledger!$C$7:$C$1006,Portfolio!$C$5,Ledger!$E$7:$E$1006,History!C$6,Ledger!$B$7:$B$1006,"&lt;="&amp;$A72)</f>
        <v>200</v>
      </c>
      <c r="D72" s="1">
        <f>SUMIFS(Ledger!$J$7:$J$1006,Ledger!$C$7:$C$1006,Portfolio!$C$5,Ledger!$E$7:$E$1006,History!D$6,Ledger!$B$7:$B$1006,"&lt;="&amp;$A72)</f>
        <v>70</v>
      </c>
      <c r="E72" s="1">
        <f>SUMIFS(Ledger!$J$7:$J$1006,Ledger!$C$7:$C$1006,Portfolio!$C$5,Ledger!$E$7:$E$1006,History!E$6,Ledger!$B$7:$B$1006,"&lt;="&amp;$A72)</f>
        <v>130</v>
      </c>
      <c r="F72" s="1">
        <f>SUMIFS(Ledger!$J$7:$J$1006,Ledger!$C$7:$C$1006,Portfolio!$C$5,Ledger!$E$7:$E$1006,History!F$6,Ledger!$B$7:$B$1006,"&lt;="&amp;$A72)</f>
        <v>480</v>
      </c>
      <c r="G72" s="1">
        <f>SUMIFS(Ledger!$J$7:$J$1006,Ledger!$C$7:$C$1006,Portfolio!$C$5,Ledger!$E$7:$E$1006,History!G$6,Ledger!$B$7:$B$1006,"&lt;="&amp;$A72)</f>
        <v>600</v>
      </c>
      <c r="H72" s="8">
        <f>SUMIFS(Ledger!$K$7:$K$1006,Ledger!$C$7:$C$1006,Portfolio!$C$5,Ledger!$B$7:$B$1006,"&lt;="&amp;$A72)</f>
        <v>79138.649000000005</v>
      </c>
      <c r="I72" s="8">
        <f>IF(S72=6,SUMPRODUCT(B72:G72,History!B72:G72),NA())</f>
        <v>462242.62299999996</v>
      </c>
      <c r="J72" s="8">
        <f t="shared" si="4"/>
        <v>541381.272</v>
      </c>
      <c r="K72" s="8">
        <f>SUMIFS(Ledger!$L$7:$L$1006,Ledger!$C$7:$C$1006,Portfolio!$C$5,Ledger!$B$7:$B$1006,$A72)</f>
        <v>0</v>
      </c>
      <c r="L72" s="10">
        <f>IF(A72&lt;Holdings!$G$24,"",IF(A72=Holdings!$G$24,IF(K72&gt;0,J72/K72-1,NA()),IF(J71&gt;0,(J72-K72)/J71-1,NA())))</f>
        <v>1.0115972937657647E-2</v>
      </c>
      <c r="M72" s="11">
        <f>IF(A72&lt;Holdings!$G$24,"",IF(A72=Holdings!$G$24,100*(1+L72),M71*(1+L72)))</f>
        <v>98.27707574993866</v>
      </c>
      <c r="N72" s="11">
        <f>IF(A72&lt;Holdings!$G$24,"",IF(A72=Holdings!$G$24,MAX(100,M72),MAX(N71,M72)))</f>
        <v>101.59037800000002</v>
      </c>
      <c r="O72" s="10">
        <f>IF(A72&lt;Holdings!$G$24,"",M72/N72-1)</f>
        <v>-3.2614331349976378E-2</v>
      </c>
      <c r="P72" s="11">
        <f>IF(A72&lt;Holdings!$G$24,"",IF(History!H72&gt;0,History!H72/INDEX(History!$H$7:$H$136,MATCH(Holdings!$G$24,History!$A$7:$A$136,0))*100,NA()))</f>
        <v>95.355548099999993</v>
      </c>
      <c r="Q72" s="10">
        <f>IF(A72&lt;=Holdings!$G$24,"",P72/P71-1)</f>
        <v>1.3695630140644566E-2</v>
      </c>
      <c r="R72" s="8">
        <f>IF(A72&gt;Portfolio!$J$5,0,-K72+IF(A72=Portfolio!$J$5,J72,0))</f>
        <v>0</v>
      </c>
      <c r="S72" s="1">
        <f>COUNTIFS(History!B72:G72,"&gt;0")</f>
        <v>6</v>
      </c>
      <c r="T72" s="1" t="str">
        <f t="shared" si="5"/>
        <v>22-Jun</v>
      </c>
      <c r="U72" s="10">
        <f>IF(AND(A72&lt;=Portfolio!$J$5,A72&gt;=Holdings!$G$24),O72,0)</f>
        <v>-3.2614331349976378E-2</v>
      </c>
      <c r="V72" s="12">
        <f>IF(AND(A72&gt;Holdings!$G$24,A72&lt;=Portfolio!$J$5),L72,"")</f>
        <v>1.0115972937657647E-2</v>
      </c>
      <c r="W72" s="12">
        <f>IF(AND(A72&gt;Holdings!$G$24,A72&lt;=Portfolio!$J$5),Q72,"")</f>
        <v>1.3695630140644566E-2</v>
      </c>
    </row>
    <row r="73" spans="1:23" ht="20" customHeight="1" x14ac:dyDescent="0.35">
      <c r="A73" s="7">
        <v>46196</v>
      </c>
      <c r="B73" s="1">
        <f>SUMIFS(Ledger!$J$7:$J$1006,Ledger!$C$7:$C$1006,Portfolio!$C$5,Ledger!$E$7:$E$1006,History!B$6,Ledger!$B$7:$B$1006,"&lt;="&amp;$A73)</f>
        <v>100</v>
      </c>
      <c r="C73" s="1">
        <f>SUMIFS(Ledger!$J$7:$J$1006,Ledger!$C$7:$C$1006,Portfolio!$C$5,Ledger!$E$7:$E$1006,History!C$6,Ledger!$B$7:$B$1006,"&lt;="&amp;$A73)</f>
        <v>200</v>
      </c>
      <c r="D73" s="1">
        <f>SUMIFS(Ledger!$J$7:$J$1006,Ledger!$C$7:$C$1006,Portfolio!$C$5,Ledger!$E$7:$E$1006,History!D$6,Ledger!$B$7:$B$1006,"&lt;="&amp;$A73)</f>
        <v>70</v>
      </c>
      <c r="E73" s="1">
        <f>SUMIFS(Ledger!$J$7:$J$1006,Ledger!$C$7:$C$1006,Portfolio!$C$5,Ledger!$E$7:$E$1006,History!E$6,Ledger!$B$7:$B$1006,"&lt;="&amp;$A73)</f>
        <v>130</v>
      </c>
      <c r="F73" s="1">
        <f>SUMIFS(Ledger!$J$7:$J$1006,Ledger!$C$7:$C$1006,Portfolio!$C$5,Ledger!$E$7:$E$1006,History!F$6,Ledger!$B$7:$B$1006,"&lt;="&amp;$A73)</f>
        <v>480</v>
      </c>
      <c r="G73" s="1">
        <f>SUMIFS(Ledger!$J$7:$J$1006,Ledger!$C$7:$C$1006,Portfolio!$C$5,Ledger!$E$7:$E$1006,History!G$6,Ledger!$B$7:$B$1006,"&lt;="&amp;$A73)</f>
        <v>600</v>
      </c>
      <c r="H73" s="8">
        <f>SUMIFS(Ledger!$K$7:$K$1006,Ledger!$C$7:$C$1006,Portfolio!$C$5,Ledger!$B$7:$B$1006,"&lt;="&amp;$A73)</f>
        <v>79138.649000000005</v>
      </c>
      <c r="I73" s="8">
        <f>IF(S73=6,SUMPRODUCT(B73:G73,History!B73:G73),NA())</f>
        <v>463871.83500000002</v>
      </c>
      <c r="J73" s="8">
        <f t="shared" si="4"/>
        <v>543010.48400000005</v>
      </c>
      <c r="K73" s="8">
        <f>SUMIFS(Ledger!$L$7:$L$1006,Ledger!$C$7:$C$1006,Portfolio!$C$5,Ledger!$B$7:$B$1006,$A73)</f>
        <v>0</v>
      </c>
      <c r="L73" s="10">
        <f>IF(A73&lt;Holdings!$G$24,"",IF(A73=Holdings!$G$24,IF(K73&gt;0,J73/K73-1,NA()),IF(J72&gt;0,(J73-K73)/J72-1,NA())))</f>
        <v>3.0093615798369999E-3</v>
      </c>
      <c r="M73" s="11">
        <f>IF(A73&lt;Holdings!$G$24,"",IF(A73=Holdings!$G$24,100*(1+L73),M72*(1+L73)))</f>
        <v>98.572827005879262</v>
      </c>
      <c r="N73" s="11">
        <f>IF(A73&lt;Holdings!$G$24,"",IF(A73=Holdings!$G$24,MAX(100,M73),MAX(N72,M73)))</f>
        <v>101.59037800000002</v>
      </c>
      <c r="O73" s="10">
        <f>IF(A73&lt;Holdings!$G$24,"",M73/N73-1)</f>
        <v>-2.9703118085856017E-2</v>
      </c>
      <c r="P73" s="11">
        <f>IF(A73&lt;Holdings!$G$24,"",IF(History!H73&gt;0,History!H73/INDEX(History!$H$7:$H$136,MATCH(Holdings!$G$24,History!$A$7:$A$136,0))*100,NA()))</f>
        <v>95.903173100000004</v>
      </c>
      <c r="Q73" s="10">
        <f>IF(A73&lt;=Holdings!$G$24,"",P73/P72-1)</f>
        <v>5.7429799409858262E-3</v>
      </c>
      <c r="R73" s="8">
        <f>IF(A73&gt;Portfolio!$J$5,0,-K73+IF(A73=Portfolio!$J$5,J73,0))</f>
        <v>0</v>
      </c>
      <c r="S73" s="1">
        <f>COUNTIFS(History!B73:G73,"&gt;0")</f>
        <v>6</v>
      </c>
      <c r="T73" s="1" t="str">
        <f t="shared" si="5"/>
        <v>23-Jun</v>
      </c>
      <c r="U73" s="10">
        <f>IF(AND(A73&lt;=Portfolio!$J$5,A73&gt;=Holdings!$G$24),O73,0)</f>
        <v>-2.9703118085856017E-2</v>
      </c>
      <c r="V73" s="12">
        <f>IF(AND(A73&gt;Holdings!$G$24,A73&lt;=Portfolio!$J$5),L73,"")</f>
        <v>3.0093615798369999E-3</v>
      </c>
      <c r="W73" s="12">
        <f>IF(AND(A73&gt;Holdings!$G$24,A73&lt;=Portfolio!$J$5),Q73,"")</f>
        <v>5.7429799409858262E-3</v>
      </c>
    </row>
    <row r="74" spans="1:23" ht="20" customHeight="1" x14ac:dyDescent="0.35">
      <c r="A74" s="7">
        <v>46197</v>
      </c>
      <c r="B74" s="1">
        <f>SUMIFS(Ledger!$J$7:$J$1006,Ledger!$C$7:$C$1006,Portfolio!$C$5,Ledger!$E$7:$E$1006,History!B$6,Ledger!$B$7:$B$1006,"&lt;="&amp;$A74)</f>
        <v>100</v>
      </c>
      <c r="C74" s="1">
        <f>SUMIFS(Ledger!$J$7:$J$1006,Ledger!$C$7:$C$1006,Portfolio!$C$5,Ledger!$E$7:$E$1006,History!C$6,Ledger!$B$7:$B$1006,"&lt;="&amp;$A74)</f>
        <v>200</v>
      </c>
      <c r="D74" s="1">
        <f>SUMIFS(Ledger!$J$7:$J$1006,Ledger!$C$7:$C$1006,Portfolio!$C$5,Ledger!$E$7:$E$1006,History!D$6,Ledger!$B$7:$B$1006,"&lt;="&amp;$A74)</f>
        <v>70</v>
      </c>
      <c r="E74" s="1">
        <f>SUMIFS(Ledger!$J$7:$J$1006,Ledger!$C$7:$C$1006,Portfolio!$C$5,Ledger!$E$7:$E$1006,History!E$6,Ledger!$B$7:$B$1006,"&lt;="&amp;$A74)</f>
        <v>130</v>
      </c>
      <c r="F74" s="1">
        <f>SUMIFS(Ledger!$J$7:$J$1006,Ledger!$C$7:$C$1006,Portfolio!$C$5,Ledger!$E$7:$E$1006,History!F$6,Ledger!$B$7:$B$1006,"&lt;="&amp;$A74)</f>
        <v>480</v>
      </c>
      <c r="G74" s="1">
        <f>SUMIFS(Ledger!$J$7:$J$1006,Ledger!$C$7:$C$1006,Portfolio!$C$5,Ledger!$E$7:$E$1006,History!G$6,Ledger!$B$7:$B$1006,"&lt;="&amp;$A74)</f>
        <v>600</v>
      </c>
      <c r="H74" s="8">
        <f>SUMIFS(Ledger!$K$7:$K$1006,Ledger!$C$7:$C$1006,Portfolio!$C$5,Ledger!$B$7:$B$1006,"&lt;="&amp;$A74)</f>
        <v>79138.649000000005</v>
      </c>
      <c r="I74" s="8">
        <f>IF(S74=6,SUMPRODUCT(B74:G74,History!B74:G74),NA())</f>
        <v>462296.52900000004</v>
      </c>
      <c r="J74" s="8">
        <f t="shared" si="4"/>
        <v>541435.17800000007</v>
      </c>
      <c r="K74" s="8">
        <f>SUMIFS(Ledger!$L$7:$L$1006,Ledger!$C$7:$C$1006,Portfolio!$C$5,Ledger!$B$7:$B$1006,$A74)</f>
        <v>0</v>
      </c>
      <c r="L74" s="10">
        <f>IF(A74&lt;Holdings!$G$24,"",IF(A74=Holdings!$G$24,IF(K74&gt;0,J74/K74-1,NA()),IF(J73&gt;0,(J74-K74)/J73-1,NA())))</f>
        <v>-2.9010600097363337E-3</v>
      </c>
      <c r="M74" s="11">
        <f>IF(A74&lt;Holdings!$G$24,"",IF(A74=Holdings!$G$24,100*(1+L74),M73*(1+L74)))</f>
        <v>98.286861319405844</v>
      </c>
      <c r="N74" s="11">
        <f>IF(A74&lt;Holdings!$G$24,"",IF(A74=Holdings!$G$24,MAX(100,M74),MAX(N73,M74)))</f>
        <v>101.59037800000002</v>
      </c>
      <c r="O74" s="10">
        <f>IF(A74&lt;Holdings!$G$24,"",M74/N74-1)</f>
        <v>-3.2518007567549079E-2</v>
      </c>
      <c r="P74" s="11">
        <f>IF(A74&lt;Holdings!$G$24,"",IF(History!H74&gt;0,History!H74/INDEX(History!$H$7:$H$136,MATCH(Holdings!$G$24,History!$A$7:$A$136,0))*100,NA()))</f>
        <v>95.629538499999995</v>
      </c>
      <c r="Q74" s="10">
        <f>IF(A74&lt;=Holdings!$G$24,"",P74/P73-1)</f>
        <v>-2.8532382313845028E-3</v>
      </c>
      <c r="R74" s="8">
        <f>IF(A74&gt;Portfolio!$J$5,0,-K74+IF(A74=Portfolio!$J$5,J74,0))</f>
        <v>0</v>
      </c>
      <c r="S74" s="1">
        <f>COUNTIFS(History!B74:G74,"&gt;0")</f>
        <v>6</v>
      </c>
      <c r="T74" s="1" t="str">
        <f t="shared" si="5"/>
        <v>24-Jun</v>
      </c>
      <c r="U74" s="10">
        <f>IF(AND(A74&lt;=Portfolio!$J$5,A74&gt;=Holdings!$G$24),O74,0)</f>
        <v>-3.2518007567549079E-2</v>
      </c>
      <c r="V74" s="12">
        <f>IF(AND(A74&gt;Holdings!$G$24,A74&lt;=Portfolio!$J$5),L74,"")</f>
        <v>-2.9010600097363337E-3</v>
      </c>
      <c r="W74" s="12">
        <f>IF(AND(A74&gt;Holdings!$G$24,A74&lt;=Portfolio!$J$5),Q74,"")</f>
        <v>-2.8532382313845028E-3</v>
      </c>
    </row>
    <row r="75" spans="1:23" ht="20" customHeight="1" x14ac:dyDescent="0.35">
      <c r="A75" s="7">
        <v>46198</v>
      </c>
      <c r="B75" s="1">
        <f>SUMIFS(Ledger!$J$7:$J$1006,Ledger!$C$7:$C$1006,Portfolio!$C$5,Ledger!$E$7:$E$1006,History!B$6,Ledger!$B$7:$B$1006,"&lt;="&amp;$A75)</f>
        <v>100</v>
      </c>
      <c r="C75" s="1">
        <f>SUMIFS(Ledger!$J$7:$J$1006,Ledger!$C$7:$C$1006,Portfolio!$C$5,Ledger!$E$7:$E$1006,History!C$6,Ledger!$B$7:$B$1006,"&lt;="&amp;$A75)</f>
        <v>200</v>
      </c>
      <c r="D75" s="1">
        <f>SUMIFS(Ledger!$J$7:$J$1006,Ledger!$C$7:$C$1006,Portfolio!$C$5,Ledger!$E$7:$E$1006,History!D$6,Ledger!$B$7:$B$1006,"&lt;="&amp;$A75)</f>
        <v>70</v>
      </c>
      <c r="E75" s="1">
        <f>SUMIFS(Ledger!$J$7:$J$1006,Ledger!$C$7:$C$1006,Portfolio!$C$5,Ledger!$E$7:$E$1006,History!E$6,Ledger!$B$7:$B$1006,"&lt;="&amp;$A75)</f>
        <v>130</v>
      </c>
      <c r="F75" s="1">
        <f>SUMIFS(Ledger!$J$7:$J$1006,Ledger!$C$7:$C$1006,Portfolio!$C$5,Ledger!$E$7:$E$1006,History!F$6,Ledger!$B$7:$B$1006,"&lt;="&amp;$A75)</f>
        <v>480</v>
      </c>
      <c r="G75" s="1">
        <f>SUMIFS(Ledger!$J$7:$J$1006,Ledger!$C$7:$C$1006,Portfolio!$C$5,Ledger!$E$7:$E$1006,History!G$6,Ledger!$B$7:$B$1006,"&lt;="&amp;$A75)</f>
        <v>600</v>
      </c>
      <c r="H75" s="8">
        <f>SUMIFS(Ledger!$K$7:$K$1006,Ledger!$C$7:$C$1006,Portfolio!$C$5,Ledger!$B$7:$B$1006,"&lt;="&amp;$A75)</f>
        <v>79138.649000000005</v>
      </c>
      <c r="I75" s="8">
        <f>IF(S75=6,SUMPRODUCT(B75:G75,History!B75:G75),NA())</f>
        <v>463228.47100000002</v>
      </c>
      <c r="J75" s="8">
        <f t="shared" si="4"/>
        <v>542367.12</v>
      </c>
      <c r="K75" s="8">
        <f>SUMIFS(Ledger!$L$7:$L$1006,Ledger!$C$7:$C$1006,Portfolio!$C$5,Ledger!$B$7:$B$1006,$A75)</f>
        <v>0</v>
      </c>
      <c r="L75" s="10">
        <f>IF(A75&lt;Holdings!$G$24,"",IF(A75=Holdings!$G$24,IF(K75&gt;0,J75/K75-1,NA()),IF(J74&gt;0,(J75-K75)/J74-1,NA())))</f>
        <v>1.7212439048426287E-3</v>
      </c>
      <c r="M75" s="11">
        <f>IF(A75&lt;Holdings!$G$24,"",IF(A75=Holdings!$G$24,100*(1+L75),M74*(1+L75)))</f>
        <v>98.456036980377988</v>
      </c>
      <c r="N75" s="11">
        <f>IF(A75&lt;Holdings!$G$24,"",IF(A75=Holdings!$G$24,MAX(100,M75),MAX(N74,M75)))</f>
        <v>101.59037800000002</v>
      </c>
      <c r="O75" s="10">
        <f>IF(A75&lt;Holdings!$G$24,"",M75/N75-1)</f>
        <v>-3.0852735085029726E-2</v>
      </c>
      <c r="P75" s="11">
        <f>IF(A75&lt;Holdings!$G$24,"",IF(History!H75&gt;0,History!H75/INDEX(History!$H$7:$H$136,MATCH(Holdings!$G$24,History!$A$7:$A$136,0))*100,NA()))</f>
        <v>96.414383200000003</v>
      </c>
      <c r="Q75" s="10">
        <f>IF(A75&lt;=Holdings!$G$24,"",P75/P74-1)</f>
        <v>8.2071367519984673E-3</v>
      </c>
      <c r="R75" s="8">
        <f>IF(A75&gt;Portfolio!$J$5,0,-K75+IF(A75=Portfolio!$J$5,J75,0))</f>
        <v>0</v>
      </c>
      <c r="S75" s="1">
        <f>COUNTIFS(History!B75:G75,"&gt;0")</f>
        <v>6</v>
      </c>
      <c r="T75" s="1" t="str">
        <f t="shared" si="5"/>
        <v>25-Jun</v>
      </c>
      <c r="U75" s="10">
        <f>IF(AND(A75&lt;=Portfolio!$J$5,A75&gt;=Holdings!$G$24),O75,0)</f>
        <v>-3.0852735085029726E-2</v>
      </c>
      <c r="V75" s="12">
        <f>IF(AND(A75&gt;Holdings!$G$24,A75&lt;=Portfolio!$J$5),L75,"")</f>
        <v>1.7212439048426287E-3</v>
      </c>
      <c r="W75" s="12">
        <f>IF(AND(A75&gt;Holdings!$G$24,A75&lt;=Portfolio!$J$5),Q75,"")</f>
        <v>8.2071367519984673E-3</v>
      </c>
    </row>
    <row r="76" spans="1:23" ht="20" customHeight="1" x14ac:dyDescent="0.35">
      <c r="A76" s="7">
        <v>46199</v>
      </c>
      <c r="B76" s="1">
        <f>SUMIFS(Ledger!$J$7:$J$1006,Ledger!$C$7:$C$1006,Portfolio!$C$5,Ledger!$E$7:$E$1006,History!B$6,Ledger!$B$7:$B$1006,"&lt;="&amp;$A76)</f>
        <v>100</v>
      </c>
      <c r="C76" s="1">
        <f>SUMIFS(Ledger!$J$7:$J$1006,Ledger!$C$7:$C$1006,Portfolio!$C$5,Ledger!$E$7:$E$1006,History!C$6,Ledger!$B$7:$B$1006,"&lt;="&amp;$A76)</f>
        <v>200</v>
      </c>
      <c r="D76" s="1">
        <f>SUMIFS(Ledger!$J$7:$J$1006,Ledger!$C$7:$C$1006,Portfolio!$C$5,Ledger!$E$7:$E$1006,History!D$6,Ledger!$B$7:$B$1006,"&lt;="&amp;$A76)</f>
        <v>70</v>
      </c>
      <c r="E76" s="1">
        <f>SUMIFS(Ledger!$J$7:$J$1006,Ledger!$C$7:$C$1006,Portfolio!$C$5,Ledger!$E$7:$E$1006,History!E$6,Ledger!$B$7:$B$1006,"&lt;="&amp;$A76)</f>
        <v>130</v>
      </c>
      <c r="F76" s="1">
        <f>SUMIFS(Ledger!$J$7:$J$1006,Ledger!$C$7:$C$1006,Portfolio!$C$5,Ledger!$E$7:$E$1006,History!F$6,Ledger!$B$7:$B$1006,"&lt;="&amp;$A76)</f>
        <v>480</v>
      </c>
      <c r="G76" s="1">
        <f>SUMIFS(Ledger!$J$7:$J$1006,Ledger!$C$7:$C$1006,Portfolio!$C$5,Ledger!$E$7:$E$1006,History!G$6,Ledger!$B$7:$B$1006,"&lt;="&amp;$A76)</f>
        <v>600</v>
      </c>
      <c r="H76" s="8">
        <f>SUMIFS(Ledger!$K$7:$K$1006,Ledger!$C$7:$C$1006,Portfolio!$C$5,Ledger!$B$7:$B$1006,"&lt;="&amp;$A76)</f>
        <v>79138.649000000005</v>
      </c>
      <c r="I76" s="8">
        <f>IF(S76=6,SUMPRODUCT(B76:G76,History!B76:G76),NA())</f>
        <v>467059.94899999996</v>
      </c>
      <c r="J76" s="8">
        <f t="shared" si="4"/>
        <v>546198.598</v>
      </c>
      <c r="K76" s="8">
        <f>SUMIFS(Ledger!$L$7:$L$1006,Ledger!$C$7:$C$1006,Portfolio!$C$5,Ledger!$B$7:$B$1006,$A76)</f>
        <v>0</v>
      </c>
      <c r="L76" s="10">
        <f>IF(A76&lt;Holdings!$G$24,"",IF(A76=Holdings!$G$24,IF(K76&gt;0,J76/K76-1,NA()),IF(J75&gt;0,(J76-K76)/J75-1,NA())))</f>
        <v>7.0643626036916984E-3</v>
      </c>
      <c r="M76" s="11">
        <f>IF(A76&lt;Holdings!$G$24,"",IF(A76=Holdings!$G$24,100*(1+L76),M75*(1+L76)))</f>
        <v>99.15156612612985</v>
      </c>
      <c r="N76" s="11">
        <f>IF(A76&lt;Holdings!$G$24,"",IF(A76=Holdings!$G$24,MAX(100,M76),MAX(N75,M76)))</f>
        <v>101.59037800000002</v>
      </c>
      <c r="O76" s="10">
        <f>IF(A76&lt;Holdings!$G$24,"",M76/N76-1)</f>
        <v>-2.4006327389294313E-2</v>
      </c>
      <c r="P76" s="11">
        <f>IF(A76&lt;Holdings!$G$24,"",IF(History!H76&gt;0,History!H76/INDEX(History!$H$7:$H$136,MATCH(Holdings!$G$24,History!$A$7:$A$136,0))*100,NA()))</f>
        <v>97.057310399999992</v>
      </c>
      <c r="Q76" s="10">
        <f>IF(A76&lt;=Holdings!$G$24,"",P76/P75-1)</f>
        <v>6.6683743510167481E-3</v>
      </c>
      <c r="R76" s="8">
        <f>IF(A76&gt;Portfolio!$J$5,0,-K76+IF(A76=Portfolio!$J$5,J76,0))</f>
        <v>0</v>
      </c>
      <c r="S76" s="1">
        <f>COUNTIFS(History!B76:G76,"&gt;0")</f>
        <v>6</v>
      </c>
      <c r="T76" s="1" t="str">
        <f t="shared" si="5"/>
        <v>26-Jun</v>
      </c>
      <c r="U76" s="10">
        <f>IF(AND(A76&lt;=Portfolio!$J$5,A76&gt;=Holdings!$G$24),O76,0)</f>
        <v>-2.4006327389294313E-2</v>
      </c>
      <c r="V76" s="12">
        <f>IF(AND(A76&gt;Holdings!$G$24,A76&lt;=Portfolio!$J$5),L76,"")</f>
        <v>7.0643626036916984E-3</v>
      </c>
      <c r="W76" s="12">
        <f>IF(AND(A76&gt;Holdings!$G$24,A76&lt;=Portfolio!$J$5),Q76,"")</f>
        <v>6.6683743510167481E-3</v>
      </c>
    </row>
    <row r="77" spans="1:23" ht="20" customHeight="1" x14ac:dyDescent="0.35">
      <c r="A77" s="7">
        <v>46202</v>
      </c>
      <c r="B77" s="1">
        <f>SUMIFS(Ledger!$J$7:$J$1006,Ledger!$C$7:$C$1006,Portfolio!$C$5,Ledger!$E$7:$E$1006,History!B$6,Ledger!$B$7:$B$1006,"&lt;="&amp;$A77)</f>
        <v>100</v>
      </c>
      <c r="C77" s="1">
        <f>SUMIFS(Ledger!$J$7:$J$1006,Ledger!$C$7:$C$1006,Portfolio!$C$5,Ledger!$E$7:$E$1006,History!C$6,Ledger!$B$7:$B$1006,"&lt;="&amp;$A77)</f>
        <v>200</v>
      </c>
      <c r="D77" s="1">
        <f>SUMIFS(Ledger!$J$7:$J$1006,Ledger!$C$7:$C$1006,Portfolio!$C$5,Ledger!$E$7:$E$1006,History!D$6,Ledger!$B$7:$B$1006,"&lt;="&amp;$A77)</f>
        <v>70</v>
      </c>
      <c r="E77" s="1">
        <f>SUMIFS(Ledger!$J$7:$J$1006,Ledger!$C$7:$C$1006,Portfolio!$C$5,Ledger!$E$7:$E$1006,History!E$6,Ledger!$B$7:$B$1006,"&lt;="&amp;$A77)</f>
        <v>130</v>
      </c>
      <c r="F77" s="1">
        <f>SUMIFS(Ledger!$J$7:$J$1006,Ledger!$C$7:$C$1006,Portfolio!$C$5,Ledger!$E$7:$E$1006,History!F$6,Ledger!$B$7:$B$1006,"&lt;="&amp;$A77)</f>
        <v>480</v>
      </c>
      <c r="G77" s="1">
        <f>SUMIFS(Ledger!$J$7:$J$1006,Ledger!$C$7:$C$1006,Portfolio!$C$5,Ledger!$E$7:$E$1006,History!G$6,Ledger!$B$7:$B$1006,"&lt;="&amp;$A77)</f>
        <v>600</v>
      </c>
      <c r="H77" s="8">
        <f>SUMIFS(Ledger!$K$7:$K$1006,Ledger!$C$7:$C$1006,Portfolio!$C$5,Ledger!$B$7:$B$1006,"&lt;="&amp;$A77)</f>
        <v>79138.649000000005</v>
      </c>
      <c r="I77" s="8">
        <f>IF(S77=6,SUMPRODUCT(B77:G77,History!B77:G77),NA())</f>
        <v>468055.39500000002</v>
      </c>
      <c r="J77" s="8">
        <f t="shared" si="4"/>
        <v>547194.04399999999</v>
      </c>
      <c r="K77" s="8">
        <f>SUMIFS(Ledger!$L$7:$L$1006,Ledger!$C$7:$C$1006,Portfolio!$C$5,Ledger!$B$7:$B$1006,$A77)</f>
        <v>0</v>
      </c>
      <c r="L77" s="10">
        <f>IF(A77&lt;Holdings!$G$24,"",IF(A77=Holdings!$G$24,IF(K77&gt;0,J77/K77-1,NA()),IF(J76&gt;0,(J77-K77)/J76-1,NA())))</f>
        <v>1.8224982701255943E-3</v>
      </c>
      <c r="M77" s="11">
        <f>IF(A77&lt;Holdings!$G$24,"",IF(A77=Holdings!$G$24,100*(1+L77),M76*(1+L77)))</f>
        <v>99.332269683874969</v>
      </c>
      <c r="N77" s="11">
        <f>IF(A77&lt;Holdings!$G$24,"",IF(A77=Holdings!$G$24,MAX(100,M77),MAX(N76,M77)))</f>
        <v>101.59037800000002</v>
      </c>
      <c r="O77" s="10">
        <f>IF(A77&lt;Holdings!$G$24,"",M77/N77-1)</f>
        <v>-2.222758060930774E-2</v>
      </c>
      <c r="P77" s="11">
        <f>IF(A77&lt;Holdings!$G$24,"",IF(History!H77&gt;0,History!H77/INDEX(History!$H$7:$H$136,MATCH(Holdings!$G$24,History!$A$7:$A$136,0))*100,NA()))</f>
        <v>97.272532099999992</v>
      </c>
      <c r="Q77" s="10">
        <f>IF(A77&lt;=Holdings!$G$24,"",P77/P76-1)</f>
        <v>2.2174702669279789E-3</v>
      </c>
      <c r="R77" s="8">
        <f>IF(A77&gt;Portfolio!$J$5,0,-K77+IF(A77=Portfolio!$J$5,J77,0))</f>
        <v>0</v>
      </c>
      <c r="S77" s="1">
        <f>COUNTIFS(History!B77:G77,"&gt;0")</f>
        <v>6</v>
      </c>
      <c r="T77" s="1" t="str">
        <f t="shared" si="5"/>
        <v>29-Jun</v>
      </c>
      <c r="U77" s="10">
        <f>IF(AND(A77&lt;=Portfolio!$J$5,A77&gt;=Holdings!$G$24),O77,0)</f>
        <v>-2.222758060930774E-2</v>
      </c>
      <c r="V77" s="12">
        <f>IF(AND(A77&gt;Holdings!$G$24,A77&lt;=Portfolio!$J$5),L77,"")</f>
        <v>1.8224982701255943E-3</v>
      </c>
      <c r="W77" s="12">
        <f>IF(AND(A77&gt;Holdings!$G$24,A77&lt;=Portfolio!$J$5),Q77,"")</f>
        <v>2.2174702669279789E-3</v>
      </c>
    </row>
    <row r="78" spans="1:23" ht="20" customHeight="1" x14ac:dyDescent="0.35">
      <c r="A78" s="7">
        <v>46203</v>
      </c>
      <c r="B78" s="1">
        <f>SUMIFS(Ledger!$J$7:$J$1006,Ledger!$C$7:$C$1006,Portfolio!$C$5,Ledger!$E$7:$E$1006,History!B$6,Ledger!$B$7:$B$1006,"&lt;="&amp;$A78)</f>
        <v>100</v>
      </c>
      <c r="C78" s="1">
        <f>SUMIFS(Ledger!$J$7:$J$1006,Ledger!$C$7:$C$1006,Portfolio!$C$5,Ledger!$E$7:$E$1006,History!C$6,Ledger!$B$7:$B$1006,"&lt;="&amp;$A78)</f>
        <v>200</v>
      </c>
      <c r="D78" s="1">
        <f>SUMIFS(Ledger!$J$7:$J$1006,Ledger!$C$7:$C$1006,Portfolio!$C$5,Ledger!$E$7:$E$1006,History!D$6,Ledger!$B$7:$B$1006,"&lt;="&amp;$A78)</f>
        <v>70</v>
      </c>
      <c r="E78" s="1">
        <f>SUMIFS(Ledger!$J$7:$J$1006,Ledger!$C$7:$C$1006,Portfolio!$C$5,Ledger!$E$7:$E$1006,History!E$6,Ledger!$B$7:$B$1006,"&lt;="&amp;$A78)</f>
        <v>130</v>
      </c>
      <c r="F78" s="1">
        <f>SUMIFS(Ledger!$J$7:$J$1006,Ledger!$C$7:$C$1006,Portfolio!$C$5,Ledger!$E$7:$E$1006,History!F$6,Ledger!$B$7:$B$1006,"&lt;="&amp;$A78)</f>
        <v>480</v>
      </c>
      <c r="G78" s="1">
        <f>SUMIFS(Ledger!$J$7:$J$1006,Ledger!$C$7:$C$1006,Portfolio!$C$5,Ledger!$E$7:$E$1006,History!G$6,Ledger!$B$7:$B$1006,"&lt;="&amp;$A78)</f>
        <v>600</v>
      </c>
      <c r="H78" s="8">
        <f>SUMIFS(Ledger!$K$7:$K$1006,Ledger!$C$7:$C$1006,Portfolio!$C$5,Ledger!$B$7:$B$1006,"&lt;="&amp;$A78)</f>
        <v>79138.649000000005</v>
      </c>
      <c r="I78" s="8">
        <f>IF(S78=6,SUMPRODUCT(B78:G78,History!B78:G78),NA())</f>
        <v>470160.83499999996</v>
      </c>
      <c r="J78" s="8">
        <f t="shared" si="4"/>
        <v>549299.48399999994</v>
      </c>
      <c r="K78" s="8">
        <f>SUMIFS(Ledger!$L$7:$L$1006,Ledger!$C$7:$C$1006,Portfolio!$C$5,Ledger!$B$7:$B$1006,$A78)</f>
        <v>0</v>
      </c>
      <c r="L78" s="10">
        <f>IF(A78&lt;Holdings!$G$24,"",IF(A78=Holdings!$G$24,IF(K78&gt;0,J78/K78-1,NA()),IF(J77&gt;0,(J78-K78)/J77-1,NA())))</f>
        <v>3.8477026990446639E-3</v>
      </c>
      <c r="M78" s="11">
        <f>IF(A78&lt;Holdings!$G$24,"",IF(A78=Holdings!$G$24,100*(1+L78),M77*(1+L78)))</f>
        <v>99.714470726039849</v>
      </c>
      <c r="N78" s="11">
        <f>IF(A78&lt;Holdings!$G$24,"",IF(A78=Holdings!$G$24,MAX(100,M78),MAX(N77,M78)))</f>
        <v>101.59037800000002</v>
      </c>
      <c r="O78" s="10">
        <f>IF(A78&lt;Holdings!$G$24,"",M78/N78-1)</f>
        <v>-1.8465403032166705E-2</v>
      </c>
      <c r="P78" s="11">
        <f>IF(A78&lt;Holdings!$G$24,"",IF(History!H78&gt;0,History!H78/INDEX(History!$H$7:$H$136,MATCH(Holdings!$G$24,History!$A$7:$A$136,0))*100,NA()))</f>
        <v>97.164858900000013</v>
      </c>
      <c r="Q78" s="10">
        <f>IF(A78&lt;=Holdings!$G$24,"",P78/P77-1)</f>
        <v>-1.1069229686473392E-3</v>
      </c>
      <c r="R78" s="8">
        <f>IF(A78&gt;Portfolio!$J$5,0,-K78+IF(A78=Portfolio!$J$5,J78,0))</f>
        <v>0</v>
      </c>
      <c r="S78" s="1">
        <f>COUNTIFS(History!B78:G78,"&gt;0")</f>
        <v>6</v>
      </c>
      <c r="T78" s="1" t="str">
        <f t="shared" si="5"/>
        <v>30-Jun</v>
      </c>
      <c r="U78" s="10">
        <f>IF(AND(A78&lt;=Portfolio!$J$5,A78&gt;=Holdings!$G$24),O78,0)</f>
        <v>-1.8465403032166705E-2</v>
      </c>
      <c r="V78" s="12">
        <f>IF(AND(A78&gt;Holdings!$G$24,A78&lt;=Portfolio!$J$5),L78,"")</f>
        <v>3.8477026990446639E-3</v>
      </c>
      <c r="W78" s="12">
        <f>IF(AND(A78&gt;Holdings!$G$24,A78&lt;=Portfolio!$J$5),Q78,"")</f>
        <v>-1.1069229686473392E-3</v>
      </c>
    </row>
    <row r="79" spans="1:23" ht="20" customHeight="1" x14ac:dyDescent="0.35">
      <c r="A79" s="7">
        <v>46204</v>
      </c>
      <c r="B79" s="1">
        <f>SUMIFS(Ledger!$J$7:$J$1006,Ledger!$C$7:$C$1006,Portfolio!$C$5,Ledger!$E$7:$E$1006,History!B$6,Ledger!$B$7:$B$1006,"&lt;="&amp;$A79)</f>
        <v>100</v>
      </c>
      <c r="C79" s="1">
        <f>SUMIFS(Ledger!$J$7:$J$1006,Ledger!$C$7:$C$1006,Portfolio!$C$5,Ledger!$E$7:$E$1006,History!C$6,Ledger!$B$7:$B$1006,"&lt;="&amp;$A79)</f>
        <v>200</v>
      </c>
      <c r="D79" s="1">
        <f>SUMIFS(Ledger!$J$7:$J$1006,Ledger!$C$7:$C$1006,Portfolio!$C$5,Ledger!$E$7:$E$1006,History!D$6,Ledger!$B$7:$B$1006,"&lt;="&amp;$A79)</f>
        <v>70</v>
      </c>
      <c r="E79" s="1">
        <f>SUMIFS(Ledger!$J$7:$J$1006,Ledger!$C$7:$C$1006,Portfolio!$C$5,Ledger!$E$7:$E$1006,History!E$6,Ledger!$B$7:$B$1006,"&lt;="&amp;$A79)</f>
        <v>130</v>
      </c>
      <c r="F79" s="1">
        <f>SUMIFS(Ledger!$J$7:$J$1006,Ledger!$C$7:$C$1006,Portfolio!$C$5,Ledger!$E$7:$E$1006,History!F$6,Ledger!$B$7:$B$1006,"&lt;="&amp;$A79)</f>
        <v>480</v>
      </c>
      <c r="G79" s="1">
        <f>SUMIFS(Ledger!$J$7:$J$1006,Ledger!$C$7:$C$1006,Portfolio!$C$5,Ledger!$E$7:$E$1006,History!G$6,Ledger!$B$7:$B$1006,"&lt;="&amp;$A79)</f>
        <v>600</v>
      </c>
      <c r="H79" s="8">
        <f>SUMIFS(Ledger!$K$7:$K$1006,Ledger!$C$7:$C$1006,Portfolio!$C$5,Ledger!$B$7:$B$1006,"&lt;="&amp;$A79)</f>
        <v>79138.649000000005</v>
      </c>
      <c r="I79" s="8">
        <f>IF(S79=6,SUMPRODUCT(B79:G79,History!B79:G79),NA())</f>
        <v>475917.82500000001</v>
      </c>
      <c r="J79" s="8">
        <f t="shared" si="4"/>
        <v>555056.47400000005</v>
      </c>
      <c r="K79" s="8">
        <f>SUMIFS(Ledger!$L$7:$L$1006,Ledger!$C$7:$C$1006,Portfolio!$C$5,Ledger!$B$7:$B$1006,$A79)</f>
        <v>0</v>
      </c>
      <c r="L79" s="10">
        <f>IF(A79&lt;Holdings!$G$24,"",IF(A79=Holdings!$G$24,IF(K79&gt;0,J79/K79-1,NA()),IF(J78&gt;0,(J79-K79)/J78-1,NA())))</f>
        <v>1.0480603327856164E-2</v>
      </c>
      <c r="M79" s="11">
        <f>IF(A79&lt;Holdings!$G$24,"",IF(A79=Holdings!$G$24,100*(1+L79),M78*(1+L79)))</f>
        <v>100.7595385397666</v>
      </c>
      <c r="N79" s="11">
        <f>IF(A79&lt;Holdings!$G$24,"",IF(A79=Holdings!$G$24,MAX(100,M79),MAX(N78,M79)))</f>
        <v>101.59037800000002</v>
      </c>
      <c r="O79" s="10">
        <f>IF(A79&lt;Holdings!$G$24,"",M79/N79-1)</f>
        <v>-8.1783282687797332E-3</v>
      </c>
      <c r="P79" s="11">
        <f>IF(A79&lt;Holdings!$G$24,"",IF(History!H79&gt;0,History!H79/INDEX(History!$H$7:$H$136,MATCH(Holdings!$G$24,History!$A$7:$A$136,0))*100,NA()))</f>
        <v>98.02709320000001</v>
      </c>
      <c r="Q79" s="10">
        <f>IF(A79&lt;=Holdings!$G$24,"",P79/P78-1)</f>
        <v>8.8739314785337697E-3</v>
      </c>
      <c r="R79" s="8">
        <f>IF(A79&gt;Portfolio!$J$5,0,-K79+IF(A79=Portfolio!$J$5,J79,0))</f>
        <v>0</v>
      </c>
      <c r="S79" s="1">
        <f>COUNTIFS(History!B79:G79,"&gt;0")</f>
        <v>6</v>
      </c>
      <c r="T79" s="1" t="str">
        <f t="shared" si="5"/>
        <v>01-Jul</v>
      </c>
      <c r="U79" s="10">
        <f>IF(AND(A79&lt;=Portfolio!$J$5,A79&gt;=Holdings!$G$24),O79,0)</f>
        <v>-8.1783282687797332E-3</v>
      </c>
      <c r="V79" s="12">
        <f>IF(AND(A79&gt;Holdings!$G$24,A79&lt;=Portfolio!$J$5),L79,"")</f>
        <v>1.0480603327856164E-2</v>
      </c>
      <c r="W79" s="12">
        <f>IF(AND(A79&gt;Holdings!$G$24,A79&lt;=Portfolio!$J$5),Q79,"")</f>
        <v>8.8739314785337697E-3</v>
      </c>
    </row>
    <row r="80" spans="1:23" ht="20" customHeight="1" x14ac:dyDescent="0.35">
      <c r="A80" s="7">
        <v>46205</v>
      </c>
      <c r="B80" s="1">
        <f>SUMIFS(Ledger!$J$7:$J$1006,Ledger!$C$7:$C$1006,Portfolio!$C$5,Ledger!$E$7:$E$1006,History!B$6,Ledger!$B$7:$B$1006,"&lt;="&amp;$A80)</f>
        <v>100</v>
      </c>
      <c r="C80" s="1">
        <f>SUMIFS(Ledger!$J$7:$J$1006,Ledger!$C$7:$C$1006,Portfolio!$C$5,Ledger!$E$7:$E$1006,History!C$6,Ledger!$B$7:$B$1006,"&lt;="&amp;$A80)</f>
        <v>200</v>
      </c>
      <c r="D80" s="1">
        <f>SUMIFS(Ledger!$J$7:$J$1006,Ledger!$C$7:$C$1006,Portfolio!$C$5,Ledger!$E$7:$E$1006,History!D$6,Ledger!$B$7:$B$1006,"&lt;="&amp;$A80)</f>
        <v>70</v>
      </c>
      <c r="E80" s="1">
        <f>SUMIFS(Ledger!$J$7:$J$1006,Ledger!$C$7:$C$1006,Portfolio!$C$5,Ledger!$E$7:$E$1006,History!E$6,Ledger!$B$7:$B$1006,"&lt;="&amp;$A80)</f>
        <v>130</v>
      </c>
      <c r="F80" s="1">
        <f>SUMIFS(Ledger!$J$7:$J$1006,Ledger!$C$7:$C$1006,Portfolio!$C$5,Ledger!$E$7:$E$1006,History!F$6,Ledger!$B$7:$B$1006,"&lt;="&amp;$A80)</f>
        <v>480</v>
      </c>
      <c r="G80" s="1">
        <f>SUMIFS(Ledger!$J$7:$J$1006,Ledger!$C$7:$C$1006,Portfolio!$C$5,Ledger!$E$7:$E$1006,History!G$6,Ledger!$B$7:$B$1006,"&lt;="&amp;$A80)</f>
        <v>600</v>
      </c>
      <c r="H80" s="8">
        <f>SUMIFS(Ledger!$K$7:$K$1006,Ledger!$C$7:$C$1006,Portfolio!$C$5,Ledger!$B$7:$B$1006,"&lt;="&amp;$A80)</f>
        <v>79138.649000000005</v>
      </c>
      <c r="I80" s="8">
        <f>IF(S80=6,SUMPRODUCT(B80:G80,History!B80:G80),NA())</f>
        <v>470243.68299999996</v>
      </c>
      <c r="J80" s="8">
        <f t="shared" si="4"/>
        <v>549382.33199999994</v>
      </c>
      <c r="K80" s="8">
        <f>SUMIFS(Ledger!$L$7:$L$1006,Ledger!$C$7:$C$1006,Portfolio!$C$5,Ledger!$B$7:$B$1006,$A80)</f>
        <v>0</v>
      </c>
      <c r="L80" s="10">
        <f>IF(A80&lt;Holdings!$G$24,"",IF(A80=Holdings!$G$24,IF(K80&gt;0,J80/K80-1,NA()),IF(J79&gt;0,(J80-K80)/J79-1,NA())))</f>
        <v>-1.0222639075100903E-2</v>
      </c>
      <c r="M80" s="11">
        <f>IF(A80&lt;Holdings!$G$24,"",IF(A80=Holdings!$G$24,100*(1+L80),M79*(1+L80)))</f>
        <v>99.729510143900839</v>
      </c>
      <c r="N80" s="11">
        <f>IF(A80&lt;Holdings!$G$24,"",IF(A80=Holdings!$G$24,MAX(100,M80),MAX(N79,M80)))</f>
        <v>101.59037800000002</v>
      </c>
      <c r="O80" s="10">
        <f>IF(A80&lt;Holdings!$G$24,"",M80/N80-1)</f>
        <v>-1.8317363245751284E-2</v>
      </c>
      <c r="P80" s="11">
        <f>IF(A80&lt;Holdings!$G$24,"",IF(History!H80&gt;0,History!H80/INDEX(History!$H$7:$H$136,MATCH(Holdings!$G$24,History!$A$7:$A$136,0))*100,NA()))</f>
        <v>97.022306799999996</v>
      </c>
      <c r="Q80" s="10">
        <f>IF(A80&lt;=Holdings!$G$24,"",P80/P79-1)</f>
        <v>-1.0250088696907467E-2</v>
      </c>
      <c r="R80" s="8">
        <f>IF(A80&gt;Portfolio!$J$5,0,-K80+IF(A80=Portfolio!$J$5,J80,0))</f>
        <v>0</v>
      </c>
      <c r="S80" s="1">
        <f>COUNTIFS(History!B80:G80,"&gt;0")</f>
        <v>6</v>
      </c>
      <c r="T80" s="1" t="str">
        <f t="shared" si="5"/>
        <v>02-Jul</v>
      </c>
      <c r="U80" s="10">
        <f>IF(AND(A80&lt;=Portfolio!$J$5,A80&gt;=Holdings!$G$24),O80,0)</f>
        <v>-1.8317363245751284E-2</v>
      </c>
      <c r="V80" s="12">
        <f>IF(AND(A80&gt;Holdings!$G$24,A80&lt;=Portfolio!$J$5),L80,"")</f>
        <v>-1.0222639075100903E-2</v>
      </c>
      <c r="W80" s="12">
        <f>IF(AND(A80&gt;Holdings!$G$24,A80&lt;=Portfolio!$J$5),Q80,"")</f>
        <v>-1.0250088696907467E-2</v>
      </c>
    </row>
    <row r="81" spans="1:23" ht="20" customHeight="1" x14ac:dyDescent="0.35">
      <c r="A81" s="7">
        <v>46206</v>
      </c>
      <c r="B81" s="1">
        <f>SUMIFS(Ledger!$J$7:$J$1006,Ledger!$C$7:$C$1006,Portfolio!$C$5,Ledger!$E$7:$E$1006,History!B$6,Ledger!$B$7:$B$1006,"&lt;="&amp;$A81)</f>
        <v>100</v>
      </c>
      <c r="C81" s="1">
        <f>SUMIFS(Ledger!$J$7:$J$1006,Ledger!$C$7:$C$1006,Portfolio!$C$5,Ledger!$E$7:$E$1006,History!C$6,Ledger!$B$7:$B$1006,"&lt;="&amp;$A81)</f>
        <v>200</v>
      </c>
      <c r="D81" s="1">
        <f>SUMIFS(Ledger!$J$7:$J$1006,Ledger!$C$7:$C$1006,Portfolio!$C$5,Ledger!$E$7:$E$1006,History!D$6,Ledger!$B$7:$B$1006,"&lt;="&amp;$A81)</f>
        <v>70</v>
      </c>
      <c r="E81" s="1">
        <f>SUMIFS(Ledger!$J$7:$J$1006,Ledger!$C$7:$C$1006,Portfolio!$C$5,Ledger!$E$7:$E$1006,History!E$6,Ledger!$B$7:$B$1006,"&lt;="&amp;$A81)</f>
        <v>130</v>
      </c>
      <c r="F81" s="1">
        <f>SUMIFS(Ledger!$J$7:$J$1006,Ledger!$C$7:$C$1006,Portfolio!$C$5,Ledger!$E$7:$E$1006,History!F$6,Ledger!$B$7:$B$1006,"&lt;="&amp;$A81)</f>
        <v>480</v>
      </c>
      <c r="G81" s="1">
        <f>SUMIFS(Ledger!$J$7:$J$1006,Ledger!$C$7:$C$1006,Portfolio!$C$5,Ledger!$E$7:$E$1006,History!G$6,Ledger!$B$7:$B$1006,"&lt;="&amp;$A81)</f>
        <v>600</v>
      </c>
      <c r="H81" s="8">
        <f>SUMIFS(Ledger!$K$7:$K$1006,Ledger!$C$7:$C$1006,Portfolio!$C$5,Ledger!$B$7:$B$1006,"&lt;="&amp;$A81)</f>
        <v>79138.649000000005</v>
      </c>
      <c r="I81" s="8">
        <f>IF(S81=6,SUMPRODUCT(B81:G81,History!B81:G81),NA())</f>
        <v>470252.19099999999</v>
      </c>
      <c r="J81" s="8">
        <f t="shared" si="4"/>
        <v>549390.84</v>
      </c>
      <c r="K81" s="8">
        <f>SUMIFS(Ledger!$L$7:$L$1006,Ledger!$C$7:$C$1006,Portfolio!$C$5,Ledger!$B$7:$B$1006,$A81)</f>
        <v>0</v>
      </c>
      <c r="L81" s="10">
        <f>IF(A81&lt;Holdings!$G$24,"",IF(A81=Holdings!$G$24,IF(K81&gt;0,J81/K81-1,NA()),IF(J80&gt;0,(J81-K81)/J80-1,NA())))</f>
        <v>1.5486482736193352E-5</v>
      </c>
      <c r="M81" s="11">
        <f>IF(A81&lt;Holdings!$G$24,"",IF(A81=Holdings!$G$24,100*(1+L81),M80*(1+L81)))</f>
        <v>99.731054603237965</v>
      </c>
      <c r="N81" s="11">
        <f>IF(A81&lt;Holdings!$G$24,"",IF(A81=Holdings!$G$24,MAX(100,M81),MAX(N80,M81)))</f>
        <v>101.59037800000002</v>
      </c>
      <c r="O81" s="10">
        <f>IF(A81&lt;Holdings!$G$24,"",M81/N81-1)</f>
        <v>-1.8302160434544801E-2</v>
      </c>
      <c r="P81" s="11">
        <f>IF(A81&lt;Holdings!$G$24,"",IF(History!H81&gt;0,History!H81/INDEX(History!$H$7:$H$136,MATCH(Holdings!$G$24,History!$A$7:$A$136,0))*100,NA()))</f>
        <v>97.147943299999994</v>
      </c>
      <c r="Q81" s="10">
        <f>IF(A81&lt;=Holdings!$G$24,"",P81/P80-1)</f>
        <v>1.2949238597159685E-3</v>
      </c>
      <c r="R81" s="8">
        <f>IF(A81&gt;Portfolio!$J$5,0,-K81+IF(A81=Portfolio!$J$5,J81,0))</f>
        <v>0</v>
      </c>
      <c r="S81" s="1">
        <f>COUNTIFS(History!B81:G81,"&gt;0")</f>
        <v>6</v>
      </c>
      <c r="T81" s="1" t="str">
        <f t="shared" si="5"/>
        <v>03-Jul</v>
      </c>
      <c r="U81" s="10">
        <f>IF(AND(A81&lt;=Portfolio!$J$5,A81&gt;=Holdings!$G$24),O81,0)</f>
        <v>-1.8302160434544801E-2</v>
      </c>
      <c r="V81" s="12">
        <f>IF(AND(A81&gt;Holdings!$G$24,A81&lt;=Portfolio!$J$5),L81,"")</f>
        <v>1.5486482736193352E-5</v>
      </c>
      <c r="W81" s="12">
        <f>IF(AND(A81&gt;Holdings!$G$24,A81&lt;=Portfolio!$J$5),Q81,"")</f>
        <v>1.2949238597159685E-3</v>
      </c>
    </row>
    <row r="82" spans="1:23" ht="20" customHeight="1" x14ac:dyDescent="0.35">
      <c r="A82" s="7">
        <v>46209</v>
      </c>
      <c r="B82" s="1">
        <f>SUMIFS(Ledger!$J$7:$J$1006,Ledger!$C$7:$C$1006,Portfolio!$C$5,Ledger!$E$7:$E$1006,History!B$6,Ledger!$B$7:$B$1006,"&lt;="&amp;$A82)</f>
        <v>100</v>
      </c>
      <c r="C82" s="1">
        <f>SUMIFS(Ledger!$J$7:$J$1006,Ledger!$C$7:$C$1006,Portfolio!$C$5,Ledger!$E$7:$E$1006,History!C$6,Ledger!$B$7:$B$1006,"&lt;="&amp;$A82)</f>
        <v>200</v>
      </c>
      <c r="D82" s="1">
        <f>SUMIFS(Ledger!$J$7:$J$1006,Ledger!$C$7:$C$1006,Portfolio!$C$5,Ledger!$E$7:$E$1006,History!D$6,Ledger!$B$7:$B$1006,"&lt;="&amp;$A82)</f>
        <v>70</v>
      </c>
      <c r="E82" s="1">
        <f>SUMIFS(Ledger!$J$7:$J$1006,Ledger!$C$7:$C$1006,Portfolio!$C$5,Ledger!$E$7:$E$1006,History!E$6,Ledger!$B$7:$B$1006,"&lt;="&amp;$A82)</f>
        <v>130</v>
      </c>
      <c r="F82" s="1">
        <f>SUMIFS(Ledger!$J$7:$J$1006,Ledger!$C$7:$C$1006,Portfolio!$C$5,Ledger!$E$7:$E$1006,History!F$6,Ledger!$B$7:$B$1006,"&lt;="&amp;$A82)</f>
        <v>480</v>
      </c>
      <c r="G82" s="1">
        <f>SUMIFS(Ledger!$J$7:$J$1006,Ledger!$C$7:$C$1006,Portfolio!$C$5,Ledger!$E$7:$E$1006,History!G$6,Ledger!$B$7:$B$1006,"&lt;="&amp;$A82)</f>
        <v>600</v>
      </c>
      <c r="H82" s="8">
        <f>SUMIFS(Ledger!$K$7:$K$1006,Ledger!$C$7:$C$1006,Portfolio!$C$5,Ledger!$B$7:$B$1006,"&lt;="&amp;$A82)</f>
        <v>79138.649000000005</v>
      </c>
      <c r="I82" s="8">
        <f>IF(S82=6,SUMPRODUCT(B82:G82,History!B82:G82),NA())</f>
        <v>467554.01500000001</v>
      </c>
      <c r="J82" s="8">
        <f t="shared" si="4"/>
        <v>546692.66399999999</v>
      </c>
      <c r="K82" s="8">
        <f>SUMIFS(Ledger!$L$7:$L$1006,Ledger!$C$7:$C$1006,Portfolio!$C$5,Ledger!$B$7:$B$1006,$A82)</f>
        <v>0</v>
      </c>
      <c r="L82" s="10">
        <f>IF(A82&lt;Holdings!$G$24,"",IF(A82=Holdings!$G$24,IF(K82&gt;0,J82/K82-1,NA()),IF(J81&gt;0,(J82-K82)/J81-1,NA())))</f>
        <v>-4.9112140275218152E-3</v>
      </c>
      <c r="M82" s="11">
        <f>IF(A82&lt;Holdings!$G$24,"",IF(A82=Holdings!$G$24,100*(1+L82),M81*(1+L82)))</f>
        <v>99.241254048890994</v>
      </c>
      <c r="N82" s="11">
        <f>IF(A82&lt;Holdings!$G$24,"",IF(A82=Holdings!$G$24,MAX(100,M82),MAX(N81,M82)))</f>
        <v>101.59037800000002</v>
      </c>
      <c r="O82" s="10">
        <f>IF(A82&lt;Holdings!$G$24,"",M82/N82-1)</f>
        <v>-2.3123488635006573E-2</v>
      </c>
      <c r="P82" s="11">
        <f>IF(A82&lt;Holdings!$G$24,"",IF(History!H82&gt;0,History!H82/INDEX(History!$H$7:$H$136,MATCH(Holdings!$G$24,History!$A$7:$A$136,0))*100,NA()))</f>
        <v>97.17653279999999</v>
      </c>
      <c r="Q82" s="10">
        <f>IF(A82&lt;=Holdings!$G$24,"",P82/P81-1)</f>
        <v>2.9428826827260224E-4</v>
      </c>
      <c r="R82" s="8">
        <f>IF(A82&gt;Portfolio!$J$5,0,-K82+IF(A82=Portfolio!$J$5,J82,0))</f>
        <v>0</v>
      </c>
      <c r="S82" s="1">
        <f>COUNTIFS(History!B82:G82,"&gt;0")</f>
        <v>6</v>
      </c>
      <c r="T82" s="1" t="str">
        <f t="shared" si="5"/>
        <v>06-Jul</v>
      </c>
      <c r="U82" s="10">
        <f>IF(AND(A82&lt;=Portfolio!$J$5,A82&gt;=Holdings!$G$24),O82,0)</f>
        <v>-2.3123488635006573E-2</v>
      </c>
      <c r="V82" s="12">
        <f>IF(AND(A82&gt;Holdings!$G$24,A82&lt;=Portfolio!$J$5),L82,"")</f>
        <v>-4.9112140275218152E-3</v>
      </c>
      <c r="W82" s="12">
        <f>IF(AND(A82&gt;Holdings!$G$24,A82&lt;=Portfolio!$J$5),Q82,"")</f>
        <v>2.9428826827260224E-4</v>
      </c>
    </row>
    <row r="83" spans="1:23" ht="20" customHeight="1" x14ac:dyDescent="0.35">
      <c r="A83" s="7">
        <v>46210</v>
      </c>
      <c r="B83" s="1">
        <f>SUMIFS(Ledger!$J$7:$J$1006,Ledger!$C$7:$C$1006,Portfolio!$C$5,Ledger!$E$7:$E$1006,History!B$6,Ledger!$B$7:$B$1006,"&lt;="&amp;$A83)</f>
        <v>100</v>
      </c>
      <c r="C83" s="1">
        <f>SUMIFS(Ledger!$J$7:$J$1006,Ledger!$C$7:$C$1006,Portfolio!$C$5,Ledger!$E$7:$E$1006,History!C$6,Ledger!$B$7:$B$1006,"&lt;="&amp;$A83)</f>
        <v>200</v>
      </c>
      <c r="D83" s="1">
        <f>SUMIFS(Ledger!$J$7:$J$1006,Ledger!$C$7:$C$1006,Portfolio!$C$5,Ledger!$E$7:$E$1006,History!D$6,Ledger!$B$7:$B$1006,"&lt;="&amp;$A83)</f>
        <v>80</v>
      </c>
      <c r="E83" s="1">
        <f>SUMIFS(Ledger!$J$7:$J$1006,Ledger!$C$7:$C$1006,Portfolio!$C$5,Ledger!$E$7:$E$1006,History!E$6,Ledger!$B$7:$B$1006,"&lt;="&amp;$A83)</f>
        <v>130</v>
      </c>
      <c r="F83" s="1">
        <f>SUMIFS(Ledger!$J$7:$J$1006,Ledger!$C$7:$C$1006,Portfolio!$C$5,Ledger!$E$7:$E$1006,History!F$6,Ledger!$B$7:$B$1006,"&lt;="&amp;$A83)</f>
        <v>480</v>
      </c>
      <c r="G83" s="1">
        <f>SUMIFS(Ledger!$J$7:$J$1006,Ledger!$C$7:$C$1006,Portfolio!$C$5,Ledger!$E$7:$E$1006,History!G$6,Ledger!$B$7:$B$1006,"&lt;="&amp;$A83)</f>
        <v>600</v>
      </c>
      <c r="H83" s="8">
        <f>SUMIFS(Ledger!$K$7:$K$1006,Ledger!$C$7:$C$1006,Portfolio!$C$5,Ledger!$B$7:$B$1006,"&lt;="&amp;$A83)</f>
        <v>70366.488000000012</v>
      </c>
      <c r="I83" s="8">
        <f>IF(S83=6,SUMPRODUCT(B83:G83,History!B83:G83),NA())</f>
        <v>478230.05700000003</v>
      </c>
      <c r="J83" s="8">
        <f t="shared" si="4"/>
        <v>548596.54500000004</v>
      </c>
      <c r="K83" s="8">
        <f>SUMIFS(Ledger!$L$7:$L$1006,Ledger!$C$7:$C$1006,Portfolio!$C$5,Ledger!$B$7:$B$1006,$A83)</f>
        <v>0</v>
      </c>
      <c r="L83" s="10">
        <f>IF(A83&lt;Holdings!$G$24,"",IF(A83=Holdings!$G$24,IF(K83&gt;0,J83/K83-1,NA()),IF(J82&gt;0,(J83-K83)/J82-1,NA())))</f>
        <v>3.4825435301617524E-3</v>
      </c>
      <c r="M83" s="11">
        <f>IF(A83&lt;Holdings!$G$24,"",IF(A83=Holdings!$G$24,100*(1+L83),M82*(1+L83)))</f>
        <v>99.586866036104098</v>
      </c>
      <c r="N83" s="11">
        <f>IF(A83&lt;Holdings!$G$24,"",IF(A83=Holdings!$G$24,MAX(100,M83),MAX(N82,M83)))</f>
        <v>101.59037800000002</v>
      </c>
      <c r="O83" s="10">
        <f>IF(A83&lt;Holdings!$G$24,"",M83/N83-1)</f>
        <v>-1.9721473660585409E-2</v>
      </c>
      <c r="P83" s="11">
        <f>IF(A83&lt;Holdings!$G$24,"",IF(History!H83&gt;0,History!H83/INDEX(History!$H$7:$H$136,MATCH(Holdings!$G$24,History!$A$7:$A$136,0))*100,NA()))</f>
        <v>97.269467199999994</v>
      </c>
      <c r="Q83" s="10">
        <f>IF(A83&lt;=Holdings!$G$24,"",P83/P82-1)</f>
        <v>9.5634611898809396E-4</v>
      </c>
      <c r="R83" s="8">
        <f>IF(A83&gt;Portfolio!$J$5,0,-K83+IF(A83=Portfolio!$J$5,J83,0))</f>
        <v>0</v>
      </c>
      <c r="S83" s="1">
        <f>COUNTIFS(History!B83:G83,"&gt;0")</f>
        <v>6</v>
      </c>
      <c r="T83" s="1" t="str">
        <f t="shared" si="5"/>
        <v>07-Jul</v>
      </c>
      <c r="U83" s="10">
        <f>IF(AND(A83&lt;=Portfolio!$J$5,A83&gt;=Holdings!$G$24),O83,0)</f>
        <v>-1.9721473660585409E-2</v>
      </c>
      <c r="V83" s="12">
        <f>IF(AND(A83&gt;Holdings!$G$24,A83&lt;=Portfolio!$J$5),L83,"")</f>
        <v>3.4825435301617524E-3</v>
      </c>
      <c r="W83" s="12">
        <f>IF(AND(A83&gt;Holdings!$G$24,A83&lt;=Portfolio!$J$5),Q83,"")</f>
        <v>9.5634611898809396E-4</v>
      </c>
    </row>
    <row r="84" spans="1:23" ht="20" customHeight="1" x14ac:dyDescent="0.35">
      <c r="A84" s="7">
        <v>46211</v>
      </c>
      <c r="B84" s="1">
        <f>SUMIFS(Ledger!$J$7:$J$1006,Ledger!$C$7:$C$1006,Portfolio!$C$5,Ledger!$E$7:$E$1006,History!B$6,Ledger!$B$7:$B$1006,"&lt;="&amp;$A84)</f>
        <v>100</v>
      </c>
      <c r="C84" s="1">
        <f>SUMIFS(Ledger!$J$7:$J$1006,Ledger!$C$7:$C$1006,Portfolio!$C$5,Ledger!$E$7:$E$1006,History!C$6,Ledger!$B$7:$B$1006,"&lt;="&amp;$A84)</f>
        <v>200</v>
      </c>
      <c r="D84" s="1">
        <f>SUMIFS(Ledger!$J$7:$J$1006,Ledger!$C$7:$C$1006,Portfolio!$C$5,Ledger!$E$7:$E$1006,History!D$6,Ledger!$B$7:$B$1006,"&lt;="&amp;$A84)</f>
        <v>80</v>
      </c>
      <c r="E84" s="1">
        <f>SUMIFS(Ledger!$J$7:$J$1006,Ledger!$C$7:$C$1006,Portfolio!$C$5,Ledger!$E$7:$E$1006,History!E$6,Ledger!$B$7:$B$1006,"&lt;="&amp;$A84)</f>
        <v>130</v>
      </c>
      <c r="F84" s="1">
        <f>SUMIFS(Ledger!$J$7:$J$1006,Ledger!$C$7:$C$1006,Portfolio!$C$5,Ledger!$E$7:$E$1006,History!F$6,Ledger!$B$7:$B$1006,"&lt;="&amp;$A84)</f>
        <v>480</v>
      </c>
      <c r="G84" s="1">
        <f>SUMIFS(Ledger!$J$7:$J$1006,Ledger!$C$7:$C$1006,Portfolio!$C$5,Ledger!$E$7:$E$1006,History!G$6,Ledger!$B$7:$B$1006,"&lt;="&amp;$A84)</f>
        <v>600</v>
      </c>
      <c r="H84" s="8">
        <f>SUMIFS(Ledger!$K$7:$K$1006,Ledger!$C$7:$C$1006,Portfolio!$C$5,Ledger!$B$7:$B$1006,"&lt;="&amp;$A84)</f>
        <v>70366.488000000012</v>
      </c>
      <c r="I84" s="8">
        <f>IF(S84=6,SUMPRODUCT(B84:G84,History!B84:G84),NA())</f>
        <v>479191.12399999995</v>
      </c>
      <c r="J84" s="8">
        <f t="shared" si="4"/>
        <v>549557.61199999996</v>
      </c>
      <c r="K84" s="8">
        <f>SUMIFS(Ledger!$L$7:$L$1006,Ledger!$C$7:$C$1006,Portfolio!$C$5,Ledger!$B$7:$B$1006,$A84)</f>
        <v>0</v>
      </c>
      <c r="L84" s="10">
        <f>IF(A84&lt;Holdings!$G$24,"",IF(A84=Holdings!$G$24,IF(K84&gt;0,J84/K84-1,NA()),IF(J83&gt;0,(J84-K84)/J83-1,NA())))</f>
        <v>1.7518648426775307E-3</v>
      </c>
      <c r="M84" s="11">
        <f>IF(A84&lt;Holdings!$G$24,"",IF(A84=Holdings!$G$24,100*(1+L84),M83*(1+L84)))</f>
        <v>99.761328765505183</v>
      </c>
      <c r="N84" s="11">
        <f>IF(A84&lt;Holdings!$G$24,"",IF(A84=Holdings!$G$24,MAX(100,M84),MAX(N83,M84)))</f>
        <v>101.59037800000002</v>
      </c>
      <c r="O84" s="10">
        <f>IF(A84&lt;Holdings!$G$24,"",M84/N84-1)</f>
        <v>-1.800415817425971E-2</v>
      </c>
      <c r="P84" s="11">
        <f>IF(A84&lt;Holdings!$G$24,"",IF(History!H84&gt;0,History!H84/INDEX(History!$H$7:$H$136,MATCH(Holdings!$G$24,History!$A$7:$A$136,0))*100,NA()))</f>
        <v>97.471069599999993</v>
      </c>
      <c r="Q84" s="10">
        <f>IF(A84&lt;=Holdings!$G$24,"",P84/P83-1)</f>
        <v>2.0726175006744452E-3</v>
      </c>
      <c r="R84" s="8">
        <f>IF(A84&gt;Portfolio!$J$5,0,-K84+IF(A84=Portfolio!$J$5,J84,0))</f>
        <v>0</v>
      </c>
      <c r="S84" s="1">
        <f>COUNTIFS(History!B84:G84,"&gt;0")</f>
        <v>6</v>
      </c>
      <c r="T84" s="1" t="str">
        <f t="shared" si="5"/>
        <v>08-Jul</v>
      </c>
      <c r="U84" s="10">
        <f>IF(AND(A84&lt;=Portfolio!$J$5,A84&gt;=Holdings!$G$24),O84,0)</f>
        <v>-1.800415817425971E-2</v>
      </c>
      <c r="V84" s="12">
        <f>IF(AND(A84&gt;Holdings!$G$24,A84&lt;=Portfolio!$J$5),L84,"")</f>
        <v>1.7518648426775307E-3</v>
      </c>
      <c r="W84" s="12">
        <f>IF(AND(A84&gt;Holdings!$G$24,A84&lt;=Portfolio!$J$5),Q84,"")</f>
        <v>2.0726175006744452E-3</v>
      </c>
    </row>
    <row r="85" spans="1:23" ht="20" customHeight="1" x14ac:dyDescent="0.35">
      <c r="A85" s="7">
        <v>46212</v>
      </c>
      <c r="B85" s="1">
        <f>SUMIFS(Ledger!$J$7:$J$1006,Ledger!$C$7:$C$1006,Portfolio!$C$5,Ledger!$E$7:$E$1006,History!B$6,Ledger!$B$7:$B$1006,"&lt;="&amp;$A85)</f>
        <v>100</v>
      </c>
      <c r="C85" s="1">
        <f>SUMIFS(Ledger!$J$7:$J$1006,Ledger!$C$7:$C$1006,Portfolio!$C$5,Ledger!$E$7:$E$1006,History!C$6,Ledger!$B$7:$B$1006,"&lt;="&amp;$A85)</f>
        <v>200</v>
      </c>
      <c r="D85" s="1">
        <f>SUMIFS(Ledger!$J$7:$J$1006,Ledger!$C$7:$C$1006,Portfolio!$C$5,Ledger!$E$7:$E$1006,History!D$6,Ledger!$B$7:$B$1006,"&lt;="&amp;$A85)</f>
        <v>80</v>
      </c>
      <c r="E85" s="1">
        <f>SUMIFS(Ledger!$J$7:$J$1006,Ledger!$C$7:$C$1006,Portfolio!$C$5,Ledger!$E$7:$E$1006,History!E$6,Ledger!$B$7:$B$1006,"&lt;="&amp;$A85)</f>
        <v>130</v>
      </c>
      <c r="F85" s="1">
        <f>SUMIFS(Ledger!$J$7:$J$1006,Ledger!$C$7:$C$1006,Portfolio!$C$5,Ledger!$E$7:$E$1006,History!F$6,Ledger!$B$7:$B$1006,"&lt;="&amp;$A85)</f>
        <v>480</v>
      </c>
      <c r="G85" s="1">
        <f>SUMIFS(Ledger!$J$7:$J$1006,Ledger!$C$7:$C$1006,Portfolio!$C$5,Ledger!$E$7:$E$1006,History!G$6,Ledger!$B$7:$B$1006,"&lt;="&amp;$A85)</f>
        <v>600</v>
      </c>
      <c r="H85" s="8">
        <f>SUMIFS(Ledger!$K$7:$K$1006,Ledger!$C$7:$C$1006,Portfolio!$C$5,Ledger!$B$7:$B$1006,"&lt;="&amp;$A85)</f>
        <v>70366.488000000012</v>
      </c>
      <c r="I85" s="8">
        <f>IF(S85=6,SUMPRODUCT(B85:G85,History!B85:G85),NA())</f>
        <v>485222.402</v>
      </c>
      <c r="J85" s="8">
        <f t="shared" si="4"/>
        <v>555588.89</v>
      </c>
      <c r="K85" s="8">
        <f>SUMIFS(Ledger!$L$7:$L$1006,Ledger!$C$7:$C$1006,Portfolio!$C$5,Ledger!$B$7:$B$1006,$A85)</f>
        <v>0</v>
      </c>
      <c r="L85" s="10">
        <f>IF(A85&lt;Holdings!$G$24,"",IF(A85=Holdings!$G$24,IF(K85&gt;0,J85/K85-1,NA()),IF(J84&gt;0,(J85-K85)/J84-1,NA())))</f>
        <v>1.097478748051639E-2</v>
      </c>
      <c r="M85" s="11">
        <f>IF(A85&lt;Holdings!$G$24,"",IF(A85=Holdings!$G$24,100*(1+L85),M84*(1+L85)))</f>
        <v>100.85618814748052</v>
      </c>
      <c r="N85" s="11">
        <f>IF(A85&lt;Holdings!$G$24,"",IF(A85=Holdings!$G$24,MAX(100,M85),MAX(N84,M85)))</f>
        <v>101.59037800000002</v>
      </c>
      <c r="O85" s="10">
        <f>IF(A85&lt;Holdings!$G$24,"",M85/N85-1)</f>
        <v>-7.2269625034714347E-3</v>
      </c>
      <c r="P85" s="11">
        <f>IF(A85&lt;Holdings!$G$24,"",IF(History!H85&gt;0,History!H85/INDEX(History!$H$7:$H$136,MATCH(Holdings!$G$24,History!$A$7:$A$136,0))*100,NA()))</f>
        <v>98.380896700000008</v>
      </c>
      <c r="Q85" s="10">
        <f>IF(A85&lt;=Holdings!$G$24,"",P85/P84-1)</f>
        <v>9.3343297014565341E-3</v>
      </c>
      <c r="R85" s="8">
        <f>IF(A85&gt;Portfolio!$J$5,0,-K85+IF(A85=Portfolio!$J$5,J85,0))</f>
        <v>0</v>
      </c>
      <c r="S85" s="1">
        <f>COUNTIFS(History!B85:G85,"&gt;0")</f>
        <v>6</v>
      </c>
      <c r="T85" s="1" t="str">
        <f t="shared" si="5"/>
        <v>09-Jul</v>
      </c>
      <c r="U85" s="10">
        <f>IF(AND(A85&lt;=Portfolio!$J$5,A85&gt;=Holdings!$G$24),O85,0)</f>
        <v>-7.2269625034714347E-3</v>
      </c>
      <c r="V85" s="12">
        <f>IF(AND(A85&gt;Holdings!$G$24,A85&lt;=Portfolio!$J$5),L85,"")</f>
        <v>1.097478748051639E-2</v>
      </c>
      <c r="W85" s="12">
        <f>IF(AND(A85&gt;Holdings!$G$24,A85&lt;=Portfolio!$J$5),Q85,"")</f>
        <v>9.3343297014565341E-3</v>
      </c>
    </row>
    <row r="86" spans="1:23" ht="20" customHeight="1" x14ac:dyDescent="0.35">
      <c r="A86" s="7">
        <v>46213</v>
      </c>
      <c r="B86" s="1">
        <f>SUMIFS(Ledger!$J$7:$J$1006,Ledger!$C$7:$C$1006,Portfolio!$C$5,Ledger!$E$7:$E$1006,History!B$6,Ledger!$B$7:$B$1006,"&lt;="&amp;$A86)</f>
        <v>100</v>
      </c>
      <c r="C86" s="1">
        <f>SUMIFS(Ledger!$J$7:$J$1006,Ledger!$C$7:$C$1006,Portfolio!$C$5,Ledger!$E$7:$E$1006,History!C$6,Ledger!$B$7:$B$1006,"&lt;="&amp;$A86)</f>
        <v>200</v>
      </c>
      <c r="D86" s="1">
        <f>SUMIFS(Ledger!$J$7:$J$1006,Ledger!$C$7:$C$1006,Portfolio!$C$5,Ledger!$E$7:$E$1006,History!D$6,Ledger!$B$7:$B$1006,"&lt;="&amp;$A86)</f>
        <v>80</v>
      </c>
      <c r="E86" s="1">
        <f>SUMIFS(Ledger!$J$7:$J$1006,Ledger!$C$7:$C$1006,Portfolio!$C$5,Ledger!$E$7:$E$1006,History!E$6,Ledger!$B$7:$B$1006,"&lt;="&amp;$A86)</f>
        <v>130</v>
      </c>
      <c r="F86" s="1">
        <f>SUMIFS(Ledger!$J$7:$J$1006,Ledger!$C$7:$C$1006,Portfolio!$C$5,Ledger!$E$7:$E$1006,History!F$6,Ledger!$B$7:$B$1006,"&lt;="&amp;$A86)</f>
        <v>480</v>
      </c>
      <c r="G86" s="1">
        <f>SUMIFS(Ledger!$J$7:$J$1006,Ledger!$C$7:$C$1006,Portfolio!$C$5,Ledger!$E$7:$E$1006,History!G$6,Ledger!$B$7:$B$1006,"&lt;="&amp;$A86)</f>
        <v>600</v>
      </c>
      <c r="H86" s="8">
        <f>SUMIFS(Ledger!$K$7:$K$1006,Ledger!$C$7:$C$1006,Portfolio!$C$5,Ledger!$B$7:$B$1006,"&lt;="&amp;$A86)</f>
        <v>70366.488000000012</v>
      </c>
      <c r="I86" s="8">
        <f>IF(S86=6,SUMPRODUCT(B86:G86,History!B86:G86),NA())</f>
        <v>483525.15299999999</v>
      </c>
      <c r="J86" s="8">
        <f t="shared" si="4"/>
        <v>553891.64100000006</v>
      </c>
      <c r="K86" s="8">
        <f>SUMIFS(Ledger!$L$7:$L$1006,Ledger!$C$7:$C$1006,Portfolio!$C$5,Ledger!$B$7:$B$1006,$A86)</f>
        <v>0</v>
      </c>
      <c r="L86" s="10">
        <f>IF(A86&lt;Holdings!$G$24,"",IF(A86=Holdings!$G$24,IF(K86&gt;0,J86/K86-1,NA()),IF(J85&gt;0,(J86-K86)/J85-1,NA())))</f>
        <v>-3.0548649019960239E-3</v>
      </c>
      <c r="M86" s="11">
        <f>IF(A86&lt;Holdings!$G$24,"",IF(A86=Holdings!$G$24,100*(1+L86),M85*(1+L86)))</f>
        <v>100.54808611815967</v>
      </c>
      <c r="N86" s="11">
        <f>IF(A86&lt;Holdings!$G$24,"",IF(A86=Holdings!$G$24,MAX(100,M86),MAX(N85,M86)))</f>
        <v>101.59037800000002</v>
      </c>
      <c r="O86" s="10">
        <f>IF(A86&lt;Holdings!$G$24,"",M86/N86-1)</f>
        <v>-1.0259750011367585E-2</v>
      </c>
      <c r="P86" s="11">
        <f>IF(A86&lt;Holdings!$G$24,"",IF(History!H86&gt;0,History!H86/INDEX(History!$H$7:$H$136,MATCH(Holdings!$G$24,History!$A$7:$A$136,0))*100,NA()))</f>
        <v>97.803045400000002</v>
      </c>
      <c r="Q86" s="10">
        <f>IF(A86&lt;=Holdings!$G$24,"",P86/P85-1)</f>
        <v>-5.8736128596397208E-3</v>
      </c>
      <c r="R86" s="8">
        <f>IF(A86&gt;Portfolio!$J$5,0,-K86+IF(A86=Portfolio!$J$5,J86,0))</f>
        <v>0</v>
      </c>
      <c r="S86" s="1">
        <f>COUNTIFS(History!B86:G86,"&gt;0")</f>
        <v>6</v>
      </c>
      <c r="T86" s="1" t="str">
        <f t="shared" si="5"/>
        <v>10-Jul</v>
      </c>
      <c r="U86" s="10">
        <f>IF(AND(A86&lt;=Portfolio!$J$5,A86&gt;=Holdings!$G$24),O86,0)</f>
        <v>-1.0259750011367585E-2</v>
      </c>
      <c r="V86" s="12">
        <f>IF(AND(A86&gt;Holdings!$G$24,A86&lt;=Portfolio!$J$5),L86,"")</f>
        <v>-3.0548649019960239E-3</v>
      </c>
      <c r="W86" s="12">
        <f>IF(AND(A86&gt;Holdings!$G$24,A86&lt;=Portfolio!$J$5),Q86,"")</f>
        <v>-5.8736128596397208E-3</v>
      </c>
    </row>
    <row r="87" spans="1:23" ht="20" customHeight="1" x14ac:dyDescent="0.35">
      <c r="A87" s="7">
        <v>46216</v>
      </c>
      <c r="B87" s="1">
        <f>SUMIFS(Ledger!$J$7:$J$1006,Ledger!$C$7:$C$1006,Portfolio!$C$5,Ledger!$E$7:$E$1006,History!B$6,Ledger!$B$7:$B$1006,"&lt;="&amp;$A87)</f>
        <v>100</v>
      </c>
      <c r="C87" s="1">
        <f>SUMIFS(Ledger!$J$7:$J$1006,Ledger!$C$7:$C$1006,Portfolio!$C$5,Ledger!$E$7:$E$1006,History!C$6,Ledger!$B$7:$B$1006,"&lt;="&amp;$A87)</f>
        <v>200</v>
      </c>
      <c r="D87" s="1">
        <f>SUMIFS(Ledger!$J$7:$J$1006,Ledger!$C$7:$C$1006,Portfolio!$C$5,Ledger!$E$7:$E$1006,History!D$6,Ledger!$B$7:$B$1006,"&lt;="&amp;$A87)</f>
        <v>80</v>
      </c>
      <c r="E87" s="1">
        <f>SUMIFS(Ledger!$J$7:$J$1006,Ledger!$C$7:$C$1006,Portfolio!$C$5,Ledger!$E$7:$E$1006,History!E$6,Ledger!$B$7:$B$1006,"&lt;="&amp;$A87)</f>
        <v>130</v>
      </c>
      <c r="F87" s="1">
        <f>SUMIFS(Ledger!$J$7:$J$1006,Ledger!$C$7:$C$1006,Portfolio!$C$5,Ledger!$E$7:$E$1006,History!F$6,Ledger!$B$7:$B$1006,"&lt;="&amp;$A87)</f>
        <v>480</v>
      </c>
      <c r="G87" s="1">
        <f>SUMIFS(Ledger!$J$7:$J$1006,Ledger!$C$7:$C$1006,Portfolio!$C$5,Ledger!$E$7:$E$1006,History!G$6,Ledger!$B$7:$B$1006,"&lt;="&amp;$A87)</f>
        <v>600</v>
      </c>
      <c r="H87" s="8">
        <f>SUMIFS(Ledger!$K$7:$K$1006,Ledger!$C$7:$C$1006,Portfolio!$C$5,Ledger!$B$7:$B$1006,"&lt;="&amp;$A87)</f>
        <v>70366.488000000012</v>
      </c>
      <c r="I87" s="8">
        <f>IF(S87=6,SUMPRODUCT(B87:G87,History!B87:G87),NA())</f>
        <v>485413.65099999995</v>
      </c>
      <c r="J87" s="8">
        <f t="shared" si="4"/>
        <v>555780.13899999997</v>
      </c>
      <c r="K87" s="8">
        <f>SUMIFS(Ledger!$L$7:$L$1006,Ledger!$C$7:$C$1006,Portfolio!$C$5,Ledger!$B$7:$B$1006,$A87)</f>
        <v>0</v>
      </c>
      <c r="L87" s="10">
        <f>IF(A87&lt;Holdings!$G$24,"",IF(A87=Holdings!$G$24,IF(K87&gt;0,J87/K87-1,NA()),IF(J86&gt;0,(J87-K87)/J86-1,NA())))</f>
        <v>3.4095080340812434E-3</v>
      </c>
      <c r="M87" s="11">
        <f>IF(A87&lt;Holdings!$G$24,"",IF(A87=Holdings!$G$24,100*(1+L87),M86*(1+L87)))</f>
        <v>100.89090562559103</v>
      </c>
      <c r="N87" s="11">
        <f>IF(A87&lt;Holdings!$G$24,"",IF(A87=Holdings!$G$24,MAX(100,M87),MAX(N86,M87)))</f>
        <v>101.59037800000002</v>
      </c>
      <c r="O87" s="10">
        <f>IF(A87&lt;Holdings!$G$24,"",M87/N87-1)</f>
        <v>-6.8852226773777891E-3</v>
      </c>
      <c r="P87" s="11">
        <f>IF(A87&lt;Holdings!$G$24,"",IF(History!H87&gt;0,History!H87/INDEX(History!$H$7:$H$136,MATCH(Holdings!$G$24,History!$A$7:$A$136,0))*100,NA()))</f>
        <v>97.471713600000001</v>
      </c>
      <c r="Q87" s="10">
        <f>IF(A87&lt;=Holdings!$G$24,"",P87/P86-1)</f>
        <v>-3.3877452245469897E-3</v>
      </c>
      <c r="R87" s="8">
        <f>IF(A87&gt;Portfolio!$J$5,0,-K87+IF(A87=Portfolio!$J$5,J87,0))</f>
        <v>0</v>
      </c>
      <c r="S87" s="1">
        <f>COUNTIFS(History!B87:G87,"&gt;0")</f>
        <v>6</v>
      </c>
      <c r="T87" s="1" t="str">
        <f t="shared" si="5"/>
        <v>13-Jul</v>
      </c>
      <c r="U87" s="10">
        <f>IF(AND(A87&lt;=Portfolio!$J$5,A87&gt;=Holdings!$G$24),O87,0)</f>
        <v>-6.8852226773777891E-3</v>
      </c>
      <c r="V87" s="12">
        <f>IF(AND(A87&gt;Holdings!$G$24,A87&lt;=Portfolio!$J$5),L87,"")</f>
        <v>3.4095080340812434E-3</v>
      </c>
      <c r="W87" s="12">
        <f>IF(AND(A87&gt;Holdings!$G$24,A87&lt;=Portfolio!$J$5),Q87,"")</f>
        <v>-3.3877452245469897E-3</v>
      </c>
    </row>
    <row r="88" spans="1:23" ht="20" customHeight="1" x14ac:dyDescent="0.35">
      <c r="A88" s="7">
        <v>46217</v>
      </c>
      <c r="B88" s="1">
        <f>SUMIFS(Ledger!$J$7:$J$1006,Ledger!$C$7:$C$1006,Portfolio!$C$5,Ledger!$E$7:$E$1006,History!B$6,Ledger!$B$7:$B$1006,"&lt;="&amp;$A88)</f>
        <v>100</v>
      </c>
      <c r="C88" s="1">
        <f>SUMIFS(Ledger!$J$7:$J$1006,Ledger!$C$7:$C$1006,Portfolio!$C$5,Ledger!$E$7:$E$1006,History!C$6,Ledger!$B$7:$B$1006,"&lt;="&amp;$A88)</f>
        <v>200</v>
      </c>
      <c r="D88" s="1">
        <f>SUMIFS(Ledger!$J$7:$J$1006,Ledger!$C$7:$C$1006,Portfolio!$C$5,Ledger!$E$7:$E$1006,History!D$6,Ledger!$B$7:$B$1006,"&lt;="&amp;$A88)</f>
        <v>80</v>
      </c>
      <c r="E88" s="1">
        <f>SUMIFS(Ledger!$J$7:$J$1006,Ledger!$C$7:$C$1006,Portfolio!$C$5,Ledger!$E$7:$E$1006,History!E$6,Ledger!$B$7:$B$1006,"&lt;="&amp;$A88)</f>
        <v>130</v>
      </c>
      <c r="F88" s="1">
        <f>SUMIFS(Ledger!$J$7:$J$1006,Ledger!$C$7:$C$1006,Portfolio!$C$5,Ledger!$E$7:$E$1006,History!F$6,Ledger!$B$7:$B$1006,"&lt;="&amp;$A88)</f>
        <v>480</v>
      </c>
      <c r="G88" s="1">
        <f>SUMIFS(Ledger!$J$7:$J$1006,Ledger!$C$7:$C$1006,Portfolio!$C$5,Ledger!$E$7:$E$1006,History!G$6,Ledger!$B$7:$B$1006,"&lt;="&amp;$A88)</f>
        <v>600</v>
      </c>
      <c r="H88" s="8">
        <f>SUMIFS(Ledger!$K$7:$K$1006,Ledger!$C$7:$C$1006,Portfolio!$C$5,Ledger!$B$7:$B$1006,"&lt;="&amp;$A88)</f>
        <v>70366.488000000012</v>
      </c>
      <c r="I88" s="8">
        <f>IF(S88=6,SUMPRODUCT(B88:G88,History!B88:G88),NA())</f>
        <v>486488.93200000003</v>
      </c>
      <c r="J88" s="8">
        <f t="shared" si="4"/>
        <v>556855.42000000004</v>
      </c>
      <c r="K88" s="8">
        <f>SUMIFS(Ledger!$L$7:$L$1006,Ledger!$C$7:$C$1006,Portfolio!$C$5,Ledger!$B$7:$B$1006,$A88)</f>
        <v>0</v>
      </c>
      <c r="L88" s="10">
        <f>IF(A88&lt;Holdings!$G$24,"",IF(A88=Holdings!$G$24,IF(K88&gt;0,J88/K88-1,NA()),IF(J87&gt;0,(J88-K88)/J87-1,NA())))</f>
        <v>1.934723687562423E-3</v>
      </c>
      <c r="M88" s="11">
        <f>IF(A88&lt;Holdings!$G$24,"",IF(A88=Holdings!$G$24,100*(1+L88),M87*(1+L88)))</f>
        <v>101.08610165056449</v>
      </c>
      <c r="N88" s="11">
        <f>IF(A88&lt;Holdings!$G$24,"",IF(A88=Holdings!$G$24,MAX(100,M88),MAX(N87,M88)))</f>
        <v>101.59037800000002</v>
      </c>
      <c r="O88" s="10">
        <f>IF(A88&lt;Holdings!$G$24,"",M88/N88-1)</f>
        <v>-4.9638199932234839E-3</v>
      </c>
      <c r="P88" s="11">
        <f>IF(A88&lt;Holdings!$G$24,"",IF(History!H88&gt;0,History!H88/INDEX(History!$H$7:$H$136,MATCH(Holdings!$G$24,History!$A$7:$A$136,0))*100,NA()))</f>
        <v>97.638789099999997</v>
      </c>
      <c r="Q88" s="10">
        <f>IF(A88&lt;=Holdings!$G$24,"",P88/P87-1)</f>
        <v>1.7140921589378078E-3</v>
      </c>
      <c r="R88" s="8">
        <f>IF(A88&gt;Portfolio!$J$5,0,-K88+IF(A88=Portfolio!$J$5,J88,0))</f>
        <v>0</v>
      </c>
      <c r="S88" s="1">
        <f>COUNTIFS(History!B88:G88,"&gt;0")</f>
        <v>6</v>
      </c>
      <c r="T88" s="1" t="str">
        <f t="shared" si="5"/>
        <v>14-Jul</v>
      </c>
      <c r="U88" s="10">
        <f>IF(AND(A88&lt;=Portfolio!$J$5,A88&gt;=Holdings!$G$24),O88,0)</f>
        <v>-4.9638199932234839E-3</v>
      </c>
      <c r="V88" s="12">
        <f>IF(AND(A88&gt;Holdings!$G$24,A88&lt;=Portfolio!$J$5),L88,"")</f>
        <v>1.934723687562423E-3</v>
      </c>
      <c r="W88" s="12">
        <f>IF(AND(A88&gt;Holdings!$G$24,A88&lt;=Portfolio!$J$5),Q88,"")</f>
        <v>1.7140921589378078E-3</v>
      </c>
    </row>
    <row r="89" spans="1:23" ht="20" customHeight="1" x14ac:dyDescent="0.35">
      <c r="A89" s="7">
        <v>46218</v>
      </c>
      <c r="B89" s="1">
        <f>SUMIFS(Ledger!$J$7:$J$1006,Ledger!$C$7:$C$1006,Portfolio!$C$5,Ledger!$E$7:$E$1006,History!B$6,Ledger!$B$7:$B$1006,"&lt;="&amp;$A89)</f>
        <v>100</v>
      </c>
      <c r="C89" s="1">
        <f>SUMIFS(Ledger!$J$7:$J$1006,Ledger!$C$7:$C$1006,Portfolio!$C$5,Ledger!$E$7:$E$1006,History!C$6,Ledger!$B$7:$B$1006,"&lt;="&amp;$A89)</f>
        <v>200</v>
      </c>
      <c r="D89" s="1">
        <f>SUMIFS(Ledger!$J$7:$J$1006,Ledger!$C$7:$C$1006,Portfolio!$C$5,Ledger!$E$7:$E$1006,History!D$6,Ledger!$B$7:$B$1006,"&lt;="&amp;$A89)</f>
        <v>80</v>
      </c>
      <c r="E89" s="1">
        <f>SUMIFS(Ledger!$J$7:$J$1006,Ledger!$C$7:$C$1006,Portfolio!$C$5,Ledger!$E$7:$E$1006,History!E$6,Ledger!$B$7:$B$1006,"&lt;="&amp;$A89)</f>
        <v>130</v>
      </c>
      <c r="F89" s="1">
        <f>SUMIFS(Ledger!$J$7:$J$1006,Ledger!$C$7:$C$1006,Portfolio!$C$5,Ledger!$E$7:$E$1006,History!F$6,Ledger!$B$7:$B$1006,"&lt;="&amp;$A89)</f>
        <v>480</v>
      </c>
      <c r="G89" s="1">
        <f>SUMIFS(Ledger!$J$7:$J$1006,Ledger!$C$7:$C$1006,Portfolio!$C$5,Ledger!$E$7:$E$1006,History!G$6,Ledger!$B$7:$B$1006,"&lt;="&amp;$A89)</f>
        <v>600</v>
      </c>
      <c r="H89" s="8">
        <f>SUMIFS(Ledger!$K$7:$K$1006,Ledger!$C$7:$C$1006,Portfolio!$C$5,Ledger!$B$7:$B$1006,"&lt;="&amp;$A89)</f>
        <v>70366.488000000012</v>
      </c>
      <c r="I89" s="8">
        <f>IF(S89=6,SUMPRODUCT(B89:G89,History!B89:G89),NA())</f>
        <v>491433.93</v>
      </c>
      <c r="J89" s="8">
        <f t="shared" si="4"/>
        <v>561800.41800000006</v>
      </c>
      <c r="K89" s="8">
        <f>SUMIFS(Ledger!$L$7:$L$1006,Ledger!$C$7:$C$1006,Portfolio!$C$5,Ledger!$B$7:$B$1006,$A89)</f>
        <v>0</v>
      </c>
      <c r="L89" s="10">
        <f>IF(A89&lt;Holdings!$G$24,"",IF(A89=Holdings!$G$24,IF(K89&gt;0,J89/K89-1,NA()),IF(J88&gt;0,(J89-K89)/J88-1,NA())))</f>
        <v>8.8802188546535099E-3</v>
      </c>
      <c r="M89" s="11">
        <f>IF(A89&lt;Holdings!$G$24,"",IF(A89=Holdings!$G$24,100*(1+L89),M88*(1+L89)))</f>
        <v>101.98376835638526</v>
      </c>
      <c r="N89" s="11">
        <f>IF(A89&lt;Holdings!$G$24,"",IF(A89=Holdings!$G$24,MAX(100,M89),MAX(N88,M89)))</f>
        <v>101.98376835638526</v>
      </c>
      <c r="O89" s="10">
        <f>IF(A89&lt;Holdings!$G$24,"",M89/N89-1)</f>
        <v>0</v>
      </c>
      <c r="P89" s="11">
        <f>IF(A89&lt;Holdings!$G$24,"",IF(History!H89&gt;0,History!H89/INDEX(History!$H$7:$H$136,MATCH(Holdings!$G$24,History!$A$7:$A$136,0))*100,NA()))</f>
        <v>98.448917600000001</v>
      </c>
      <c r="Q89" s="10">
        <f>IF(A89&lt;=Holdings!$G$24,"",P89/P88-1)</f>
        <v>8.2971993760623253E-3</v>
      </c>
      <c r="R89" s="8">
        <f>IF(A89&gt;Portfolio!$J$5,0,-K89+IF(A89=Portfolio!$J$5,J89,0))</f>
        <v>0</v>
      </c>
      <c r="S89" s="1">
        <f>COUNTIFS(History!B89:G89,"&gt;0")</f>
        <v>6</v>
      </c>
      <c r="T89" s="1" t="str">
        <f t="shared" si="5"/>
        <v>15-Jul</v>
      </c>
      <c r="U89" s="10">
        <f>IF(AND(A89&lt;=Portfolio!$J$5,A89&gt;=Holdings!$G$24),O89,0)</f>
        <v>0</v>
      </c>
      <c r="V89" s="12">
        <f>IF(AND(A89&gt;Holdings!$G$24,A89&lt;=Portfolio!$J$5),L89,"")</f>
        <v>8.8802188546535099E-3</v>
      </c>
      <c r="W89" s="12">
        <f>IF(AND(A89&gt;Holdings!$G$24,A89&lt;=Portfolio!$J$5),Q89,"")</f>
        <v>8.2971993760623253E-3</v>
      </c>
    </row>
    <row r="90" spans="1:23" ht="20" customHeight="1" x14ac:dyDescent="0.35">
      <c r="A90" s="7">
        <v>46219</v>
      </c>
      <c r="B90" s="1">
        <f>SUMIFS(Ledger!$J$7:$J$1006,Ledger!$C$7:$C$1006,Portfolio!$C$5,Ledger!$E$7:$E$1006,History!B$6,Ledger!$B$7:$B$1006,"&lt;="&amp;$A90)</f>
        <v>100</v>
      </c>
      <c r="C90" s="1">
        <f>SUMIFS(Ledger!$J$7:$J$1006,Ledger!$C$7:$C$1006,Portfolio!$C$5,Ledger!$E$7:$E$1006,History!C$6,Ledger!$B$7:$B$1006,"&lt;="&amp;$A90)</f>
        <v>200</v>
      </c>
      <c r="D90" s="1">
        <f>SUMIFS(Ledger!$J$7:$J$1006,Ledger!$C$7:$C$1006,Portfolio!$C$5,Ledger!$E$7:$E$1006,History!D$6,Ledger!$B$7:$B$1006,"&lt;="&amp;$A90)</f>
        <v>80</v>
      </c>
      <c r="E90" s="1">
        <f>SUMIFS(Ledger!$J$7:$J$1006,Ledger!$C$7:$C$1006,Portfolio!$C$5,Ledger!$E$7:$E$1006,History!E$6,Ledger!$B$7:$B$1006,"&lt;="&amp;$A90)</f>
        <v>130</v>
      </c>
      <c r="F90" s="1">
        <f>SUMIFS(Ledger!$J$7:$J$1006,Ledger!$C$7:$C$1006,Portfolio!$C$5,Ledger!$E$7:$E$1006,History!F$6,Ledger!$B$7:$B$1006,"&lt;="&amp;$A90)</f>
        <v>480</v>
      </c>
      <c r="G90" s="1">
        <f>SUMIFS(Ledger!$J$7:$J$1006,Ledger!$C$7:$C$1006,Portfolio!$C$5,Ledger!$E$7:$E$1006,History!G$6,Ledger!$B$7:$B$1006,"&lt;="&amp;$A90)</f>
        <v>600</v>
      </c>
      <c r="H90" s="8">
        <f>SUMIFS(Ledger!$K$7:$K$1006,Ledger!$C$7:$C$1006,Portfolio!$C$5,Ledger!$B$7:$B$1006,"&lt;="&amp;$A90)</f>
        <v>70366.488000000012</v>
      </c>
      <c r="I90" s="8">
        <f>IF(S90=6,SUMPRODUCT(B90:G90,History!B90:G90),NA())</f>
        <v>491134.42399999994</v>
      </c>
      <c r="J90" s="8">
        <f t="shared" si="4"/>
        <v>561500.91200000001</v>
      </c>
      <c r="K90" s="8">
        <f>SUMIFS(Ledger!$L$7:$L$1006,Ledger!$C$7:$C$1006,Portfolio!$C$5,Ledger!$B$7:$B$1006,$A90)</f>
        <v>0</v>
      </c>
      <c r="L90" s="10">
        <f>IF(A90&lt;Holdings!$G$24,"",IF(A90=Holdings!$G$24,IF(K90&gt;0,J90/K90-1,NA()),IF(J89&gt;0,(J90-K90)/J89-1,NA())))</f>
        <v>-5.3311815086620751E-4</v>
      </c>
      <c r="M90" s="11">
        <f>IF(A90&lt;Holdings!$G$24,"",IF(A90=Holdings!$G$24,100*(1+L90),M89*(1+L90)))</f>
        <v>101.92939895838073</v>
      </c>
      <c r="N90" s="11">
        <f>IF(A90&lt;Holdings!$G$24,"",IF(A90=Holdings!$G$24,MAX(100,M90),MAX(N89,M90)))</f>
        <v>101.98376835638526</v>
      </c>
      <c r="O90" s="10">
        <f>IF(A90&lt;Holdings!$G$24,"",M90/N90-1)</f>
        <v>-5.3311815086620751E-4</v>
      </c>
      <c r="P90" s="11">
        <f>IF(A90&lt;Holdings!$G$24,"",IF(History!H90&gt;0,History!H90/INDEX(History!$H$7:$H$136,MATCH(Holdings!$G$24,History!$A$7:$A$136,0))*100,NA()))</f>
        <v>98.389174800000006</v>
      </c>
      <c r="Q90" s="10">
        <f>IF(A90&lt;=Holdings!$G$24,"",P90/P89-1)</f>
        <v>-6.0684059770699239E-4</v>
      </c>
      <c r="R90" s="8">
        <f>IF(A90&gt;Portfolio!$J$5,0,-K90+IF(A90=Portfolio!$J$5,J90,0))</f>
        <v>0</v>
      </c>
      <c r="S90" s="1">
        <f>COUNTIFS(History!B90:G90,"&gt;0")</f>
        <v>6</v>
      </c>
      <c r="T90" s="1" t="str">
        <f t="shared" si="5"/>
        <v>16-Jul</v>
      </c>
      <c r="U90" s="10">
        <f>IF(AND(A90&lt;=Portfolio!$J$5,A90&gt;=Holdings!$G$24),O90,0)</f>
        <v>-5.3311815086620751E-4</v>
      </c>
      <c r="V90" s="12">
        <f>IF(AND(A90&gt;Holdings!$G$24,A90&lt;=Portfolio!$J$5),L90,"")</f>
        <v>-5.3311815086620751E-4</v>
      </c>
      <c r="W90" s="12">
        <f>IF(AND(A90&gt;Holdings!$G$24,A90&lt;=Portfolio!$J$5),Q90,"")</f>
        <v>-6.0684059770699239E-4</v>
      </c>
    </row>
    <row r="91" spans="1:23" ht="20" customHeight="1" x14ac:dyDescent="0.35">
      <c r="A91" s="7">
        <v>46220</v>
      </c>
      <c r="B91" s="1">
        <f>SUMIFS(Ledger!$J$7:$J$1006,Ledger!$C$7:$C$1006,Portfolio!$C$5,Ledger!$E$7:$E$1006,History!B$6,Ledger!$B$7:$B$1006,"&lt;="&amp;$A91)</f>
        <v>100</v>
      </c>
      <c r="C91" s="1">
        <f>SUMIFS(Ledger!$J$7:$J$1006,Ledger!$C$7:$C$1006,Portfolio!$C$5,Ledger!$E$7:$E$1006,History!C$6,Ledger!$B$7:$B$1006,"&lt;="&amp;$A91)</f>
        <v>200</v>
      </c>
      <c r="D91" s="1">
        <f>SUMIFS(Ledger!$J$7:$J$1006,Ledger!$C$7:$C$1006,Portfolio!$C$5,Ledger!$E$7:$E$1006,History!D$6,Ledger!$B$7:$B$1006,"&lt;="&amp;$A91)</f>
        <v>80</v>
      </c>
      <c r="E91" s="1">
        <f>SUMIFS(Ledger!$J$7:$J$1006,Ledger!$C$7:$C$1006,Portfolio!$C$5,Ledger!$E$7:$E$1006,History!E$6,Ledger!$B$7:$B$1006,"&lt;="&amp;$A91)</f>
        <v>130</v>
      </c>
      <c r="F91" s="1">
        <f>SUMIFS(Ledger!$J$7:$J$1006,Ledger!$C$7:$C$1006,Portfolio!$C$5,Ledger!$E$7:$E$1006,History!F$6,Ledger!$B$7:$B$1006,"&lt;="&amp;$A91)</f>
        <v>480</v>
      </c>
      <c r="G91" s="1">
        <f>SUMIFS(Ledger!$J$7:$J$1006,Ledger!$C$7:$C$1006,Portfolio!$C$5,Ledger!$E$7:$E$1006,History!G$6,Ledger!$B$7:$B$1006,"&lt;="&amp;$A91)</f>
        <v>600</v>
      </c>
      <c r="H91" s="8">
        <f>SUMIFS(Ledger!$K$7:$K$1006,Ledger!$C$7:$C$1006,Portfolio!$C$5,Ledger!$B$7:$B$1006,"&lt;="&amp;$A91)</f>
        <v>70366.488000000012</v>
      </c>
      <c r="I91" s="8">
        <f>IF(S91=6,SUMPRODUCT(B91:G91,History!B91:G91),NA())</f>
        <v>489782.58999999997</v>
      </c>
      <c r="J91" s="8">
        <f t="shared" si="4"/>
        <v>560149.07799999998</v>
      </c>
      <c r="K91" s="8">
        <f>SUMIFS(Ledger!$L$7:$L$1006,Ledger!$C$7:$C$1006,Portfolio!$C$5,Ledger!$B$7:$B$1006,$A91)</f>
        <v>0</v>
      </c>
      <c r="L91" s="10">
        <f>IF(A91&lt;Holdings!$G$24,"",IF(A91=Holdings!$G$24,IF(K91&gt;0,J91/K91-1,NA()),IF(J90&gt;0,(J91-K91)/J90-1,NA())))</f>
        <v>-2.4075366061027115E-3</v>
      </c>
      <c r="M91" s="11">
        <f>IF(A91&lt;Holdings!$G$24,"",IF(A91=Holdings!$G$24,100*(1+L91),M90*(1+L91)))</f>
        <v>101.68400019915038</v>
      </c>
      <c r="N91" s="11">
        <f>IF(A91&lt;Holdings!$G$24,"",IF(A91=Holdings!$G$24,MAX(100,M91),MAX(N90,M91)))</f>
        <v>101.98376835638526</v>
      </c>
      <c r="O91" s="10">
        <f>IF(A91&lt;Holdings!$G$24,"",M91/N91-1)</f>
        <v>-2.939371255505363E-3</v>
      </c>
      <c r="P91" s="11">
        <f>IF(A91&lt;Holdings!$G$24,"",IF(History!H91&gt;0,History!H91/INDEX(History!$H$7:$H$136,MATCH(Holdings!$G$24,History!$A$7:$A$136,0))*100,NA()))</f>
        <v>97.566513400000005</v>
      </c>
      <c r="Q91" s="10">
        <f>IF(A91&lt;=Holdings!$G$24,"",P91/P90-1)</f>
        <v>-8.3612999262597798E-3</v>
      </c>
      <c r="R91" s="8">
        <f>IF(A91&gt;Portfolio!$J$5,0,-K91+IF(A91=Portfolio!$J$5,J91,0))</f>
        <v>0</v>
      </c>
      <c r="S91" s="1">
        <f>COUNTIFS(History!B91:G91,"&gt;0")</f>
        <v>6</v>
      </c>
      <c r="T91" s="1" t="str">
        <f t="shared" si="5"/>
        <v>17-Jul</v>
      </c>
      <c r="U91" s="10">
        <f>IF(AND(A91&lt;=Portfolio!$J$5,A91&gt;=Holdings!$G$24),O91,0)</f>
        <v>-2.939371255505363E-3</v>
      </c>
      <c r="V91" s="12">
        <f>IF(AND(A91&gt;Holdings!$G$24,A91&lt;=Portfolio!$J$5),L91,"")</f>
        <v>-2.4075366061027115E-3</v>
      </c>
      <c r="W91" s="12">
        <f>IF(AND(A91&gt;Holdings!$G$24,A91&lt;=Portfolio!$J$5),Q91,"")</f>
        <v>-8.3612999262597798E-3</v>
      </c>
    </row>
    <row r="92" spans="1:23" ht="20" customHeight="1" x14ac:dyDescent="0.35">
      <c r="A92" s="7">
        <v>46223</v>
      </c>
      <c r="B92" s="1">
        <f>SUMIFS(Ledger!$J$7:$J$1006,Ledger!$C$7:$C$1006,Portfolio!$C$5,Ledger!$E$7:$E$1006,History!B$6,Ledger!$B$7:$B$1006,"&lt;="&amp;$A92)</f>
        <v>100</v>
      </c>
      <c r="C92" s="1">
        <f>SUMIFS(Ledger!$J$7:$J$1006,Ledger!$C$7:$C$1006,Portfolio!$C$5,Ledger!$E$7:$E$1006,History!C$6,Ledger!$B$7:$B$1006,"&lt;="&amp;$A92)</f>
        <v>200</v>
      </c>
      <c r="D92" s="1">
        <f>SUMIFS(Ledger!$J$7:$J$1006,Ledger!$C$7:$C$1006,Portfolio!$C$5,Ledger!$E$7:$E$1006,History!D$6,Ledger!$B$7:$B$1006,"&lt;="&amp;$A92)</f>
        <v>80</v>
      </c>
      <c r="E92" s="1">
        <f>SUMIFS(Ledger!$J$7:$J$1006,Ledger!$C$7:$C$1006,Portfolio!$C$5,Ledger!$E$7:$E$1006,History!E$6,Ledger!$B$7:$B$1006,"&lt;="&amp;$A92)</f>
        <v>130</v>
      </c>
      <c r="F92" s="1">
        <f>SUMIFS(Ledger!$J$7:$J$1006,Ledger!$C$7:$C$1006,Portfolio!$C$5,Ledger!$E$7:$E$1006,History!F$6,Ledger!$B$7:$B$1006,"&lt;="&amp;$A92)</f>
        <v>480</v>
      </c>
      <c r="G92" s="1">
        <f>SUMIFS(Ledger!$J$7:$J$1006,Ledger!$C$7:$C$1006,Portfolio!$C$5,Ledger!$E$7:$E$1006,History!G$6,Ledger!$B$7:$B$1006,"&lt;="&amp;$A92)</f>
        <v>600</v>
      </c>
      <c r="H92" s="8">
        <f>SUMIFS(Ledger!$K$7:$K$1006,Ledger!$C$7:$C$1006,Portfolio!$C$5,Ledger!$B$7:$B$1006,"&lt;="&amp;$A92)</f>
        <v>70366.488000000012</v>
      </c>
      <c r="I92" s="8">
        <f>IF(S92=6,SUMPRODUCT(B92:G92,History!B92:G92),NA())</f>
        <v>488107.38199999998</v>
      </c>
      <c r="J92" s="8">
        <f t="shared" si="4"/>
        <v>558473.87</v>
      </c>
      <c r="K92" s="8">
        <f>SUMIFS(Ledger!$L$7:$L$1006,Ledger!$C$7:$C$1006,Portfolio!$C$5,Ledger!$B$7:$B$1006,$A92)</f>
        <v>0</v>
      </c>
      <c r="L92" s="10">
        <f>IF(A92&lt;Holdings!$G$24,"",IF(A92=Holdings!$G$24,IF(K92&gt;0,J92/K92-1,NA()),IF(J91&gt;0,(J92-K92)/J91-1,NA())))</f>
        <v>-2.9906467149446447E-3</v>
      </c>
      <c r="M92" s="11">
        <f>IF(A92&lt;Holdings!$G$24,"",IF(A92=Holdings!$G$24,100*(1+L92),M91*(1+L92)))</f>
        <v>101.37989927799235</v>
      </c>
      <c r="N92" s="11">
        <f>IF(A92&lt;Holdings!$G$24,"",IF(A92=Holdings!$G$24,MAX(100,M92),MAX(N91,M92)))</f>
        <v>101.98376835638526</v>
      </c>
      <c r="O92" s="10">
        <f>IF(A92&lt;Holdings!$G$24,"",M92/N92-1)</f>
        <v>-5.921227349460767E-3</v>
      </c>
      <c r="P92" s="11">
        <f>IF(A92&lt;Holdings!$G$24,"",IF(History!H92&gt;0,History!H92/INDEX(History!$H$7:$H$136,MATCH(Holdings!$G$24,History!$A$7:$A$136,0))*100,NA()))</f>
        <v>97.569979399999994</v>
      </c>
      <c r="Q92" s="10">
        <f>IF(A92&lt;=Holdings!$G$24,"",P92/P91-1)</f>
        <v>3.5524483546822694E-5</v>
      </c>
      <c r="R92" s="8">
        <f>IF(A92&gt;Portfolio!$J$5,0,-K92+IF(A92=Portfolio!$J$5,J92,0))</f>
        <v>0</v>
      </c>
      <c r="S92" s="1">
        <f>COUNTIFS(History!B92:G92,"&gt;0")</f>
        <v>6</v>
      </c>
      <c r="T92" s="1" t="str">
        <f t="shared" si="5"/>
        <v>20-Jul</v>
      </c>
      <c r="U92" s="10">
        <f>IF(AND(A92&lt;=Portfolio!$J$5,A92&gt;=Holdings!$G$24),O92,0)</f>
        <v>-5.921227349460767E-3</v>
      </c>
      <c r="V92" s="12">
        <f>IF(AND(A92&gt;Holdings!$G$24,A92&lt;=Portfolio!$J$5),L92,"")</f>
        <v>-2.9906467149446447E-3</v>
      </c>
      <c r="W92" s="12">
        <f>IF(AND(A92&gt;Holdings!$G$24,A92&lt;=Portfolio!$J$5),Q92,"")</f>
        <v>3.5524483546822694E-5</v>
      </c>
    </row>
    <row r="93" spans="1:23" ht="20" customHeight="1" x14ac:dyDescent="0.35">
      <c r="A93" s="7">
        <v>46224</v>
      </c>
      <c r="B93" s="1">
        <f>SUMIFS(Ledger!$J$7:$J$1006,Ledger!$C$7:$C$1006,Portfolio!$C$5,Ledger!$E$7:$E$1006,History!B$6,Ledger!$B$7:$B$1006,"&lt;="&amp;$A93)</f>
        <v>100</v>
      </c>
      <c r="C93" s="1">
        <f>SUMIFS(Ledger!$J$7:$J$1006,Ledger!$C$7:$C$1006,Portfolio!$C$5,Ledger!$E$7:$E$1006,History!C$6,Ledger!$B$7:$B$1006,"&lt;="&amp;$A93)</f>
        <v>200</v>
      </c>
      <c r="D93" s="1">
        <f>SUMIFS(Ledger!$J$7:$J$1006,Ledger!$C$7:$C$1006,Portfolio!$C$5,Ledger!$E$7:$E$1006,History!D$6,Ledger!$B$7:$B$1006,"&lt;="&amp;$A93)</f>
        <v>80</v>
      </c>
      <c r="E93" s="1">
        <f>SUMIFS(Ledger!$J$7:$J$1006,Ledger!$C$7:$C$1006,Portfolio!$C$5,Ledger!$E$7:$E$1006,History!E$6,Ledger!$B$7:$B$1006,"&lt;="&amp;$A93)</f>
        <v>130</v>
      </c>
      <c r="F93" s="1">
        <f>SUMIFS(Ledger!$J$7:$J$1006,Ledger!$C$7:$C$1006,Portfolio!$C$5,Ledger!$E$7:$E$1006,History!F$6,Ledger!$B$7:$B$1006,"&lt;="&amp;$A93)</f>
        <v>480</v>
      </c>
      <c r="G93" s="1">
        <f>SUMIFS(Ledger!$J$7:$J$1006,Ledger!$C$7:$C$1006,Portfolio!$C$5,Ledger!$E$7:$E$1006,History!G$6,Ledger!$B$7:$B$1006,"&lt;="&amp;$A93)</f>
        <v>600</v>
      </c>
      <c r="H93" s="8">
        <f>SUMIFS(Ledger!$K$7:$K$1006,Ledger!$C$7:$C$1006,Portfolio!$C$5,Ledger!$B$7:$B$1006,"&lt;="&amp;$A93)</f>
        <v>70366.488000000012</v>
      </c>
      <c r="I93" s="8">
        <f>IF(S93=6,SUMPRODUCT(B93:G93,History!B93:G93),NA())</f>
        <v>483911.52</v>
      </c>
      <c r="J93" s="8">
        <f t="shared" si="4"/>
        <v>554278.00800000003</v>
      </c>
      <c r="K93" s="8">
        <f>SUMIFS(Ledger!$L$7:$L$1006,Ledger!$C$7:$C$1006,Portfolio!$C$5,Ledger!$B$7:$B$1006,$A93)</f>
        <v>0</v>
      </c>
      <c r="L93" s="10">
        <f>IF(A93&lt;Holdings!$G$24,"",IF(A93=Holdings!$G$24,IF(K93&gt;0,J93/K93-1,NA()),IF(J92&gt;0,(J93-K93)/J92-1,NA())))</f>
        <v>-7.5130856167002769E-3</v>
      </c>
      <c r="M93" s="11">
        <f>IF(A93&lt;Holdings!$G$24,"",IF(A93=Holdings!$G$24,100*(1+L93),M92*(1+L93)))</f>
        <v>100.61822341490435</v>
      </c>
      <c r="N93" s="11">
        <f>IF(A93&lt;Holdings!$G$24,"",IF(A93=Holdings!$G$24,MAX(100,M93),MAX(N92,M93)))</f>
        <v>101.98376835638526</v>
      </c>
      <c r="O93" s="10">
        <f>IF(A93&lt;Holdings!$G$24,"",M93/N93-1)</f>
        <v>-1.3389826278128569E-2</v>
      </c>
      <c r="P93" s="11">
        <f>IF(A93&lt;Holdings!$G$24,"",IF(History!H93&gt;0,History!H93/INDEX(History!$H$7:$H$136,MATCH(Holdings!$G$24,History!$A$7:$A$136,0))*100,NA()))</f>
        <v>96.779139200000003</v>
      </c>
      <c r="Q93" s="10">
        <f>IF(A93&lt;=Holdings!$G$24,"",P93/P92-1)</f>
        <v>-8.105364015276062E-3</v>
      </c>
      <c r="R93" s="8">
        <f>IF(A93&gt;Portfolio!$J$5,0,-K93+IF(A93=Portfolio!$J$5,J93,0))</f>
        <v>0</v>
      </c>
      <c r="S93" s="1">
        <f>COUNTIFS(History!B93:G93,"&gt;0")</f>
        <v>6</v>
      </c>
      <c r="T93" s="1" t="str">
        <f t="shared" si="5"/>
        <v>21-Jul</v>
      </c>
      <c r="U93" s="10">
        <f>IF(AND(A93&lt;=Portfolio!$J$5,A93&gt;=Holdings!$G$24),O93,0)</f>
        <v>-1.3389826278128569E-2</v>
      </c>
      <c r="V93" s="12">
        <f>IF(AND(A93&gt;Holdings!$G$24,A93&lt;=Portfolio!$J$5),L93,"")</f>
        <v>-7.5130856167002769E-3</v>
      </c>
      <c r="W93" s="12">
        <f>IF(AND(A93&gt;Holdings!$G$24,A93&lt;=Portfolio!$J$5),Q93,"")</f>
        <v>-8.105364015276062E-3</v>
      </c>
    </row>
    <row r="94" spans="1:23" ht="20" customHeight="1" x14ac:dyDescent="0.35">
      <c r="A94" s="7">
        <v>46225</v>
      </c>
      <c r="B94" s="1">
        <f>SUMIFS(Ledger!$J$7:$J$1006,Ledger!$C$7:$C$1006,Portfolio!$C$5,Ledger!$E$7:$E$1006,History!B$6,Ledger!$B$7:$B$1006,"&lt;="&amp;$A94)</f>
        <v>100</v>
      </c>
      <c r="C94" s="1">
        <f>SUMIFS(Ledger!$J$7:$J$1006,Ledger!$C$7:$C$1006,Portfolio!$C$5,Ledger!$E$7:$E$1006,History!C$6,Ledger!$B$7:$B$1006,"&lt;="&amp;$A94)</f>
        <v>200</v>
      </c>
      <c r="D94" s="1">
        <f>SUMIFS(Ledger!$J$7:$J$1006,Ledger!$C$7:$C$1006,Portfolio!$C$5,Ledger!$E$7:$E$1006,History!D$6,Ledger!$B$7:$B$1006,"&lt;="&amp;$A94)</f>
        <v>80</v>
      </c>
      <c r="E94" s="1">
        <f>SUMIFS(Ledger!$J$7:$J$1006,Ledger!$C$7:$C$1006,Portfolio!$C$5,Ledger!$E$7:$E$1006,History!E$6,Ledger!$B$7:$B$1006,"&lt;="&amp;$A94)</f>
        <v>130</v>
      </c>
      <c r="F94" s="1">
        <f>SUMIFS(Ledger!$J$7:$J$1006,Ledger!$C$7:$C$1006,Portfolio!$C$5,Ledger!$E$7:$E$1006,History!F$6,Ledger!$B$7:$B$1006,"&lt;="&amp;$A94)</f>
        <v>480</v>
      </c>
      <c r="G94" s="1">
        <f>SUMIFS(Ledger!$J$7:$J$1006,Ledger!$C$7:$C$1006,Portfolio!$C$5,Ledger!$E$7:$E$1006,History!G$6,Ledger!$B$7:$B$1006,"&lt;="&amp;$A94)</f>
        <v>600</v>
      </c>
      <c r="H94" s="8">
        <f>SUMIFS(Ledger!$K$7:$K$1006,Ledger!$C$7:$C$1006,Portfolio!$C$5,Ledger!$B$7:$B$1006,"&lt;="&amp;$A94)</f>
        <v>70366.488000000012</v>
      </c>
      <c r="I94" s="8">
        <f>IF(S94=6,SUMPRODUCT(B94:G94,History!B94:G94),NA())</f>
        <v>482856.25199999998</v>
      </c>
      <c r="J94" s="8">
        <f t="shared" si="4"/>
        <v>553222.74</v>
      </c>
      <c r="K94" s="8">
        <f>SUMIFS(Ledger!$L$7:$L$1006,Ledger!$C$7:$C$1006,Portfolio!$C$5,Ledger!$B$7:$B$1006,$A94)</f>
        <v>0</v>
      </c>
      <c r="L94" s="10">
        <f>IF(A94&lt;Holdings!$G$24,"",IF(A94=Holdings!$G$24,IF(K94&gt;0,J94/K94-1,NA()),IF(J93&gt;0,(J94-K94)/J93-1,NA())))</f>
        <v>-1.9038604901676637E-3</v>
      </c>
      <c r="M94" s="11">
        <f>IF(A94&lt;Holdings!$G$24,"",IF(A94=Holdings!$G$24,100*(1+L94),M93*(1+L94)))</f>
        <v>100.42666035475385</v>
      </c>
      <c r="N94" s="11">
        <f>IF(A94&lt;Holdings!$G$24,"",IF(A94=Holdings!$G$24,MAX(100,M94),MAX(N93,M94)))</f>
        <v>101.98376835638526</v>
      </c>
      <c r="O94" s="10">
        <f>IF(A94&lt;Holdings!$G$24,"",M94/N94-1)</f>
        <v>-1.5268194407075164E-2</v>
      </c>
      <c r="P94" s="11">
        <f>IF(A94&lt;Holdings!$G$24,"",IF(History!H94&gt;0,History!H94/INDEX(History!$H$7:$H$136,MATCH(Holdings!$G$24,History!$A$7:$A$136,0))*100,NA()))</f>
        <v>96.453767100000007</v>
      </c>
      <c r="Q94" s="10">
        <f>IF(A94&lt;=Holdings!$G$24,"",P94/P93-1)</f>
        <v>-3.3620065510976405E-3</v>
      </c>
      <c r="R94" s="8">
        <f>IF(A94&gt;Portfolio!$J$5,0,-K94+IF(A94=Portfolio!$J$5,J94,0))</f>
        <v>0</v>
      </c>
      <c r="S94" s="1">
        <f>COUNTIFS(History!B94:G94,"&gt;0")</f>
        <v>6</v>
      </c>
      <c r="T94" s="1" t="str">
        <f t="shared" si="5"/>
        <v>22-Jul</v>
      </c>
      <c r="U94" s="10">
        <f>IF(AND(A94&lt;=Portfolio!$J$5,A94&gt;=Holdings!$G$24),O94,0)</f>
        <v>-1.5268194407075164E-2</v>
      </c>
      <c r="V94" s="12">
        <f>IF(AND(A94&gt;Holdings!$G$24,A94&lt;=Portfolio!$J$5),L94,"")</f>
        <v>-1.9038604901676637E-3</v>
      </c>
      <c r="W94" s="12">
        <f>IF(AND(A94&gt;Holdings!$G$24,A94&lt;=Portfolio!$J$5),Q94,"")</f>
        <v>-3.3620065510976405E-3</v>
      </c>
    </row>
    <row r="95" spans="1:23" ht="20" customHeight="1" x14ac:dyDescent="0.35">
      <c r="A95" s="7">
        <v>46226</v>
      </c>
      <c r="B95" s="1">
        <f>SUMIFS(Ledger!$J$7:$J$1006,Ledger!$C$7:$C$1006,Portfolio!$C$5,Ledger!$E$7:$E$1006,History!B$6,Ledger!$B$7:$B$1006,"&lt;="&amp;$A95)</f>
        <v>100</v>
      </c>
      <c r="C95" s="1">
        <f>SUMIFS(Ledger!$J$7:$J$1006,Ledger!$C$7:$C$1006,Portfolio!$C$5,Ledger!$E$7:$E$1006,History!C$6,Ledger!$B$7:$B$1006,"&lt;="&amp;$A95)</f>
        <v>200</v>
      </c>
      <c r="D95" s="1">
        <f>SUMIFS(Ledger!$J$7:$J$1006,Ledger!$C$7:$C$1006,Portfolio!$C$5,Ledger!$E$7:$E$1006,History!D$6,Ledger!$B$7:$B$1006,"&lt;="&amp;$A95)</f>
        <v>80</v>
      </c>
      <c r="E95" s="1">
        <f>SUMIFS(Ledger!$J$7:$J$1006,Ledger!$C$7:$C$1006,Portfolio!$C$5,Ledger!$E$7:$E$1006,History!E$6,Ledger!$B$7:$B$1006,"&lt;="&amp;$A95)</f>
        <v>130</v>
      </c>
      <c r="F95" s="1">
        <f>SUMIFS(Ledger!$J$7:$J$1006,Ledger!$C$7:$C$1006,Portfolio!$C$5,Ledger!$E$7:$E$1006,History!F$6,Ledger!$B$7:$B$1006,"&lt;="&amp;$A95)</f>
        <v>480</v>
      </c>
      <c r="G95" s="1">
        <f>SUMIFS(Ledger!$J$7:$J$1006,Ledger!$C$7:$C$1006,Portfolio!$C$5,Ledger!$E$7:$E$1006,History!G$6,Ledger!$B$7:$B$1006,"&lt;="&amp;$A95)</f>
        <v>600</v>
      </c>
      <c r="H95" s="8">
        <f>SUMIFS(Ledger!$K$7:$K$1006,Ledger!$C$7:$C$1006,Portfolio!$C$5,Ledger!$B$7:$B$1006,"&lt;="&amp;$A95)</f>
        <v>70366.488000000012</v>
      </c>
      <c r="I95" s="8">
        <f>IF(S95=6,SUMPRODUCT(B95:G95,History!B95:G95),NA())</f>
        <v>484602.95399999997</v>
      </c>
      <c r="J95" s="8">
        <f t="shared" si="4"/>
        <v>554969.44200000004</v>
      </c>
      <c r="K95" s="8">
        <f>SUMIFS(Ledger!$L$7:$L$1006,Ledger!$C$7:$C$1006,Portfolio!$C$5,Ledger!$B$7:$B$1006,$A95)</f>
        <v>0</v>
      </c>
      <c r="L95" s="10">
        <f>IF(A95&lt;Holdings!$G$24,"",IF(A95=Holdings!$G$24,IF(K95&gt;0,J95/K95-1,NA()),IF(J94&gt;0,(J95-K95)/J94-1,NA())))</f>
        <v>3.1573214072870837E-3</v>
      </c>
      <c r="M95" s="11">
        <f>IF(A95&lt;Holdings!$G$24,"",IF(A95=Holdings!$G$24,100*(1+L95),M94*(1+L95)))</f>
        <v>100.74373959935426</v>
      </c>
      <c r="N95" s="11">
        <f>IF(A95&lt;Holdings!$G$24,"",IF(A95=Holdings!$G$24,MAX(100,M95),MAX(N94,M95)))</f>
        <v>101.98376835638526</v>
      </c>
      <c r="O95" s="10">
        <f>IF(A95&lt;Holdings!$G$24,"",M95/N95-1)</f>
        <v>-1.215907959684015E-2</v>
      </c>
      <c r="P95" s="11">
        <f>IF(A95&lt;Holdings!$G$24,"",IF(History!H95&gt;0,History!H95/INDEX(History!$H$7:$H$136,MATCH(Holdings!$G$24,History!$A$7:$A$136,0))*100,NA()))</f>
        <v>96.586966199999992</v>
      </c>
      <c r="Q95" s="10">
        <f>IF(A95&lt;=Holdings!$G$24,"",P95/P94-1)</f>
        <v>1.3809631702812464E-3</v>
      </c>
      <c r="R95" s="8">
        <f>IF(A95&gt;Portfolio!$J$5,0,-K95+IF(A95=Portfolio!$J$5,J95,0))</f>
        <v>0</v>
      </c>
      <c r="S95" s="1">
        <f>COUNTIFS(History!B95:G95,"&gt;0")</f>
        <v>6</v>
      </c>
      <c r="T95" s="1" t="str">
        <f t="shared" si="5"/>
        <v>23-Jul</v>
      </c>
      <c r="U95" s="10">
        <f>IF(AND(A95&lt;=Portfolio!$J$5,A95&gt;=Holdings!$G$24),O95,0)</f>
        <v>-1.215907959684015E-2</v>
      </c>
      <c r="V95" s="12">
        <f>IF(AND(A95&gt;Holdings!$G$24,A95&lt;=Portfolio!$J$5),L95,"")</f>
        <v>3.1573214072870837E-3</v>
      </c>
      <c r="W95" s="12">
        <f>IF(AND(A95&gt;Holdings!$G$24,A95&lt;=Portfolio!$J$5),Q95,"")</f>
        <v>1.3809631702812464E-3</v>
      </c>
    </row>
    <row r="96" spans="1:23" ht="20" customHeight="1" x14ac:dyDescent="0.35">
      <c r="A96" s="7">
        <v>46227</v>
      </c>
      <c r="B96" s="1">
        <f>SUMIFS(Ledger!$J$7:$J$1006,Ledger!$C$7:$C$1006,Portfolio!$C$5,Ledger!$E$7:$E$1006,History!B$6,Ledger!$B$7:$B$1006,"&lt;="&amp;$A96)</f>
        <v>100</v>
      </c>
      <c r="C96" s="1">
        <f>SUMIFS(Ledger!$J$7:$J$1006,Ledger!$C$7:$C$1006,Portfolio!$C$5,Ledger!$E$7:$E$1006,History!C$6,Ledger!$B$7:$B$1006,"&lt;="&amp;$A96)</f>
        <v>200</v>
      </c>
      <c r="D96" s="1">
        <f>SUMIFS(Ledger!$J$7:$J$1006,Ledger!$C$7:$C$1006,Portfolio!$C$5,Ledger!$E$7:$E$1006,History!D$6,Ledger!$B$7:$B$1006,"&lt;="&amp;$A96)</f>
        <v>80</v>
      </c>
      <c r="E96" s="1">
        <f>SUMIFS(Ledger!$J$7:$J$1006,Ledger!$C$7:$C$1006,Portfolio!$C$5,Ledger!$E$7:$E$1006,History!E$6,Ledger!$B$7:$B$1006,"&lt;="&amp;$A96)</f>
        <v>130</v>
      </c>
      <c r="F96" s="1">
        <f>SUMIFS(Ledger!$J$7:$J$1006,Ledger!$C$7:$C$1006,Portfolio!$C$5,Ledger!$E$7:$E$1006,History!F$6,Ledger!$B$7:$B$1006,"&lt;="&amp;$A96)</f>
        <v>480</v>
      </c>
      <c r="G96" s="1">
        <f>SUMIFS(Ledger!$J$7:$J$1006,Ledger!$C$7:$C$1006,Portfolio!$C$5,Ledger!$E$7:$E$1006,History!G$6,Ledger!$B$7:$B$1006,"&lt;="&amp;$A96)</f>
        <v>600</v>
      </c>
      <c r="H96" s="8">
        <f>SUMIFS(Ledger!$K$7:$K$1006,Ledger!$C$7:$C$1006,Portfolio!$C$5,Ledger!$B$7:$B$1006,"&lt;="&amp;$A96)</f>
        <v>70466.488000000012</v>
      </c>
      <c r="I96" s="8">
        <f>IF(S96=6,SUMPRODUCT(B96:G96,History!B96:G96),NA())</f>
        <v>483461.05099999998</v>
      </c>
      <c r="J96" s="8">
        <f t="shared" si="4"/>
        <v>553927.53899999999</v>
      </c>
      <c r="K96" s="8">
        <f>SUMIFS(Ledger!$L$7:$L$1006,Ledger!$C$7:$C$1006,Portfolio!$C$5,Ledger!$B$7:$B$1006,$A96)</f>
        <v>0</v>
      </c>
      <c r="L96" s="10">
        <f>IF(A96&lt;Holdings!$G$24,"",IF(A96=Holdings!$G$24,IF(K96&gt;0,J96/K96-1,NA()),IF(J95&gt;0,(J96-K96)/J95-1,NA())))</f>
        <v>-1.8774060716663099E-3</v>
      </c>
      <c r="M96" s="11">
        <f>IF(A96&lt;Holdings!$G$24,"",IF(A96=Holdings!$G$24,100*(1+L96),M95*(1+L96)))</f>
        <v>100.55460269094806</v>
      </c>
      <c r="N96" s="11">
        <f>IF(A96&lt;Holdings!$G$24,"",IF(A96=Holdings!$G$24,MAX(100,M96),MAX(N95,M96)))</f>
        <v>101.98376835638526</v>
      </c>
      <c r="O96" s="10">
        <f>IF(A96&lt;Holdings!$G$24,"",M96/N96-1)</f>
        <v>-1.4013658138645524E-2</v>
      </c>
      <c r="P96" s="11">
        <f>IF(A96&lt;Holdings!$G$24,"",IF(History!H96&gt;0,History!H96/INDEX(History!$H$7:$H$136,MATCH(Holdings!$G$24,History!$A$7:$A$136,0))*100,NA()))</f>
        <v>96.276389600000002</v>
      </c>
      <c r="Q96" s="10">
        <f>IF(A96&lt;=Holdings!$G$24,"",P96/P95-1)</f>
        <v>-3.2155125294740516E-3</v>
      </c>
      <c r="R96" s="8">
        <f>IF(A96&gt;Portfolio!$J$5,0,-K96+IF(A96=Portfolio!$J$5,J96,0))</f>
        <v>0</v>
      </c>
      <c r="S96" s="1">
        <f>COUNTIFS(History!B96:G96,"&gt;0")</f>
        <v>6</v>
      </c>
      <c r="T96" s="1" t="str">
        <f t="shared" si="5"/>
        <v>24-Jul</v>
      </c>
      <c r="U96" s="10">
        <f>IF(AND(A96&lt;=Portfolio!$J$5,A96&gt;=Holdings!$G$24),O96,0)</f>
        <v>-1.4013658138645524E-2</v>
      </c>
      <c r="V96" s="12">
        <f>IF(AND(A96&gt;Holdings!$G$24,A96&lt;=Portfolio!$J$5),L96,"")</f>
        <v>-1.8774060716663099E-3</v>
      </c>
      <c r="W96" s="12">
        <f>IF(AND(A96&gt;Holdings!$G$24,A96&lt;=Portfolio!$J$5),Q96,"")</f>
        <v>-3.2155125294740516E-3</v>
      </c>
    </row>
    <row r="97" spans="1:23" ht="20" customHeight="1" x14ac:dyDescent="0.35">
      <c r="A97" s="7">
        <v>46230</v>
      </c>
      <c r="B97" s="1">
        <f>SUMIFS(Ledger!$J$7:$J$1006,Ledger!$C$7:$C$1006,Portfolio!$C$5,Ledger!$E$7:$E$1006,History!B$6,Ledger!$B$7:$B$1006,"&lt;="&amp;$A97)</f>
        <v>100</v>
      </c>
      <c r="C97" s="1">
        <f>SUMIFS(Ledger!$J$7:$J$1006,Ledger!$C$7:$C$1006,Portfolio!$C$5,Ledger!$E$7:$E$1006,History!C$6,Ledger!$B$7:$B$1006,"&lt;="&amp;$A97)</f>
        <v>200</v>
      </c>
      <c r="D97" s="1">
        <f>SUMIFS(Ledger!$J$7:$J$1006,Ledger!$C$7:$C$1006,Portfolio!$C$5,Ledger!$E$7:$E$1006,History!D$6,Ledger!$B$7:$B$1006,"&lt;="&amp;$A97)</f>
        <v>80</v>
      </c>
      <c r="E97" s="1">
        <f>SUMIFS(Ledger!$J$7:$J$1006,Ledger!$C$7:$C$1006,Portfolio!$C$5,Ledger!$E$7:$E$1006,History!E$6,Ledger!$B$7:$B$1006,"&lt;="&amp;$A97)</f>
        <v>130</v>
      </c>
      <c r="F97" s="1">
        <f>SUMIFS(Ledger!$J$7:$J$1006,Ledger!$C$7:$C$1006,Portfolio!$C$5,Ledger!$E$7:$E$1006,History!F$6,Ledger!$B$7:$B$1006,"&lt;="&amp;$A97)</f>
        <v>480</v>
      </c>
      <c r="G97" s="1">
        <f>SUMIFS(Ledger!$J$7:$J$1006,Ledger!$C$7:$C$1006,Portfolio!$C$5,Ledger!$E$7:$E$1006,History!G$6,Ledger!$B$7:$B$1006,"&lt;="&amp;$A97)</f>
        <v>600</v>
      </c>
      <c r="H97" s="8">
        <f>SUMIFS(Ledger!$K$7:$K$1006,Ledger!$C$7:$C$1006,Portfolio!$C$5,Ledger!$B$7:$B$1006,"&lt;="&amp;$A97)</f>
        <v>70466.488000000012</v>
      </c>
      <c r="I97" s="8">
        <f>IF(S97=6,SUMPRODUCT(B97:G97,History!B97:G97),NA())</f>
        <v>485944.239</v>
      </c>
      <c r="J97" s="8">
        <f t="shared" si="4"/>
        <v>556410.72699999996</v>
      </c>
      <c r="K97" s="8">
        <f>SUMIFS(Ledger!$L$7:$L$1006,Ledger!$C$7:$C$1006,Portfolio!$C$5,Ledger!$B$7:$B$1006,$A97)</f>
        <v>0</v>
      </c>
      <c r="L97" s="10">
        <f>IF(A97&lt;Holdings!$G$24,"",IF(A97=Holdings!$G$24,IF(K97&gt;0,J97/K97-1,NA()),IF(J96&gt;0,(J97-K97)/J96-1,NA())))</f>
        <v>4.4828751509318199E-3</v>
      </c>
      <c r="M97" s="11">
        <f>IF(A97&lt;Holdings!$G$24,"",IF(A97=Holdings!$G$24,100*(1+L97),M96*(1+L97)))</f>
        <v>101.00537642066313</v>
      </c>
      <c r="N97" s="11">
        <f>IF(A97&lt;Holdings!$G$24,"",IF(A97=Holdings!$G$24,MAX(100,M97),MAX(N96,M97)))</f>
        <v>101.98376835638526</v>
      </c>
      <c r="O97" s="10">
        <f>IF(A97&lt;Holdings!$G$24,"",M97/N97-1)</f>
        <v>-9.593604467557082E-3</v>
      </c>
      <c r="P97" s="11">
        <f>IF(A97&lt;Holdings!$G$24,"",IF(History!H97&gt;0,History!H97/INDEX(History!$H$7:$H$136,MATCH(Holdings!$G$24,History!$A$7:$A$136,0))*100,NA()))</f>
        <v>96.774128899999994</v>
      </c>
      <c r="Q97" s="10">
        <f>IF(A97&lt;=Holdings!$G$24,"",P97/P96-1)</f>
        <v>5.169899931519506E-3</v>
      </c>
      <c r="R97" s="8">
        <f>IF(A97&gt;Portfolio!$J$5,0,-K97+IF(A97=Portfolio!$J$5,J97,0))</f>
        <v>0</v>
      </c>
      <c r="S97" s="1">
        <f>COUNTIFS(History!B97:G97,"&gt;0")</f>
        <v>6</v>
      </c>
      <c r="T97" s="1" t="str">
        <f t="shared" si="5"/>
        <v>27-Jul</v>
      </c>
      <c r="U97" s="10">
        <f>IF(AND(A97&lt;=Portfolio!$J$5,A97&gt;=Holdings!$G$24),O97,0)</f>
        <v>-9.593604467557082E-3</v>
      </c>
      <c r="V97" s="12">
        <f>IF(AND(A97&gt;Holdings!$G$24,A97&lt;=Portfolio!$J$5),L97,"")</f>
        <v>4.4828751509318199E-3</v>
      </c>
      <c r="W97" s="12">
        <f>IF(AND(A97&gt;Holdings!$G$24,A97&lt;=Portfolio!$J$5),Q97,"")</f>
        <v>5.169899931519506E-3</v>
      </c>
    </row>
    <row r="98" spans="1:23" ht="20" customHeight="1" x14ac:dyDescent="0.35">
      <c r="A98" s="7">
        <v>46231</v>
      </c>
      <c r="B98" s="1">
        <f>SUMIFS(Ledger!$J$7:$J$1006,Ledger!$C$7:$C$1006,Portfolio!$C$5,Ledger!$E$7:$E$1006,History!B$6,Ledger!$B$7:$B$1006,"&lt;="&amp;$A98)</f>
        <v>100</v>
      </c>
      <c r="C98" s="1">
        <f>SUMIFS(Ledger!$J$7:$J$1006,Ledger!$C$7:$C$1006,Portfolio!$C$5,Ledger!$E$7:$E$1006,History!C$6,Ledger!$B$7:$B$1006,"&lt;="&amp;$A98)</f>
        <v>200</v>
      </c>
      <c r="D98" s="1">
        <f>SUMIFS(Ledger!$J$7:$J$1006,Ledger!$C$7:$C$1006,Portfolio!$C$5,Ledger!$E$7:$E$1006,History!D$6,Ledger!$B$7:$B$1006,"&lt;="&amp;$A98)</f>
        <v>80</v>
      </c>
      <c r="E98" s="1">
        <f>SUMIFS(Ledger!$J$7:$J$1006,Ledger!$C$7:$C$1006,Portfolio!$C$5,Ledger!$E$7:$E$1006,History!E$6,Ledger!$B$7:$B$1006,"&lt;="&amp;$A98)</f>
        <v>130</v>
      </c>
      <c r="F98" s="1">
        <f>SUMIFS(Ledger!$J$7:$J$1006,Ledger!$C$7:$C$1006,Portfolio!$C$5,Ledger!$E$7:$E$1006,History!F$6,Ledger!$B$7:$B$1006,"&lt;="&amp;$A98)</f>
        <v>480</v>
      </c>
      <c r="G98" s="1">
        <f>SUMIFS(Ledger!$J$7:$J$1006,Ledger!$C$7:$C$1006,Portfolio!$C$5,Ledger!$E$7:$E$1006,History!G$6,Ledger!$B$7:$B$1006,"&lt;="&amp;$A98)</f>
        <v>600</v>
      </c>
      <c r="H98" s="8">
        <f>SUMIFS(Ledger!$K$7:$K$1006,Ledger!$C$7:$C$1006,Portfolio!$C$5,Ledger!$B$7:$B$1006,"&lt;="&amp;$A98)</f>
        <v>70406.488000000012</v>
      </c>
      <c r="I98" s="8">
        <f>IF(S98=6,SUMPRODUCT(B98:G98,History!B98:G98),NA())</f>
        <v>484496.38699999999</v>
      </c>
      <c r="J98" s="8">
        <f t="shared" si="4"/>
        <v>554902.875</v>
      </c>
      <c r="K98" s="8">
        <f>SUMIFS(Ledger!$L$7:$L$1006,Ledger!$C$7:$C$1006,Portfolio!$C$5,Ledger!$B$7:$B$1006,$A98)</f>
        <v>0</v>
      </c>
      <c r="L98" s="10">
        <f>IF(A98&lt;Holdings!$G$24,"",IF(A98=Holdings!$G$24,IF(K98&gt;0,J98/K98-1,NA()),IF(J97&gt;0,(J98-K98)/J97-1,NA())))</f>
        <v>-2.7099621319844891E-3</v>
      </c>
      <c r="M98" s="11">
        <f>IF(A98&lt;Holdings!$G$24,"",IF(A98=Holdings!$G$24,100*(1+L98),M97*(1+L98)))</f>
        <v>100.73165567543629</v>
      </c>
      <c r="N98" s="11">
        <f>IF(A98&lt;Holdings!$G$24,"",IF(A98=Holdings!$G$24,MAX(100,M98),MAX(N97,M98)))</f>
        <v>101.98376835638526</v>
      </c>
      <c r="O98" s="10">
        <f>IF(A98&lt;Holdings!$G$24,"",M98/N98-1)</f>
        <v>-1.2277568294725372E-2</v>
      </c>
      <c r="P98" s="11">
        <f>IF(A98&lt;Holdings!$G$24,"",IF(History!H98&gt;0,History!H98/INDEX(History!$H$7:$H$136,MATCH(Holdings!$G$24,History!$A$7:$A$136,0))*100,NA()))</f>
        <v>95.883526900000007</v>
      </c>
      <c r="Q98" s="10">
        <f>IF(A98&lt;=Holdings!$G$24,"",P98/P97-1)</f>
        <v>-9.2028934811727581E-3</v>
      </c>
      <c r="R98" s="8">
        <f>IF(A98&gt;Portfolio!$J$5,0,-K98+IF(A98=Portfolio!$J$5,J98,0))</f>
        <v>0</v>
      </c>
      <c r="S98" s="1">
        <f>COUNTIFS(History!B98:G98,"&gt;0")</f>
        <v>6</v>
      </c>
      <c r="T98" s="1" t="str">
        <f t="shared" si="5"/>
        <v>28-Jul</v>
      </c>
      <c r="U98" s="10">
        <f>IF(AND(A98&lt;=Portfolio!$J$5,A98&gt;=Holdings!$G$24),O98,0)</f>
        <v>-1.2277568294725372E-2</v>
      </c>
      <c r="V98" s="12">
        <f>IF(AND(A98&gt;Holdings!$G$24,A98&lt;=Portfolio!$J$5),L98,"")</f>
        <v>-2.7099621319844891E-3</v>
      </c>
      <c r="W98" s="12">
        <f>IF(AND(A98&gt;Holdings!$G$24,A98&lt;=Portfolio!$J$5),Q98,"")</f>
        <v>-9.2028934811727581E-3</v>
      </c>
    </row>
    <row r="99" spans="1:23" ht="20" customHeight="1" x14ac:dyDescent="0.35">
      <c r="A99" s="7">
        <v>46232</v>
      </c>
      <c r="B99" s="1">
        <f>SUMIFS(Ledger!$J$7:$J$1006,Ledger!$C$7:$C$1006,Portfolio!$C$5,Ledger!$E$7:$E$1006,History!B$6,Ledger!$B$7:$B$1006,"&lt;="&amp;$A99)</f>
        <v>100</v>
      </c>
      <c r="C99" s="1">
        <f>SUMIFS(Ledger!$J$7:$J$1006,Ledger!$C$7:$C$1006,Portfolio!$C$5,Ledger!$E$7:$E$1006,History!C$6,Ledger!$B$7:$B$1006,"&lt;="&amp;$A99)</f>
        <v>200</v>
      </c>
      <c r="D99" s="1">
        <f>SUMIFS(Ledger!$J$7:$J$1006,Ledger!$C$7:$C$1006,Portfolio!$C$5,Ledger!$E$7:$E$1006,History!D$6,Ledger!$B$7:$B$1006,"&lt;="&amp;$A99)</f>
        <v>80</v>
      </c>
      <c r="E99" s="1">
        <f>SUMIFS(Ledger!$J$7:$J$1006,Ledger!$C$7:$C$1006,Portfolio!$C$5,Ledger!$E$7:$E$1006,History!E$6,Ledger!$B$7:$B$1006,"&lt;="&amp;$A99)</f>
        <v>130</v>
      </c>
      <c r="F99" s="1">
        <f>SUMIFS(Ledger!$J$7:$J$1006,Ledger!$C$7:$C$1006,Portfolio!$C$5,Ledger!$E$7:$E$1006,History!F$6,Ledger!$B$7:$B$1006,"&lt;="&amp;$A99)</f>
        <v>480</v>
      </c>
      <c r="G99" s="1">
        <f>SUMIFS(Ledger!$J$7:$J$1006,Ledger!$C$7:$C$1006,Portfolio!$C$5,Ledger!$E$7:$E$1006,History!G$6,Ledger!$B$7:$B$1006,"&lt;="&amp;$A99)</f>
        <v>600</v>
      </c>
      <c r="H99" s="8">
        <f>SUMIFS(Ledger!$K$7:$K$1006,Ledger!$C$7:$C$1006,Portfolio!$C$5,Ledger!$B$7:$B$1006,"&lt;="&amp;$A99)</f>
        <v>70406.488000000012</v>
      </c>
      <c r="I99" s="8">
        <f>IF(S99=6,SUMPRODUCT(B99:G99,History!B99:G99),NA())</f>
        <v>484581.435</v>
      </c>
      <c r="J99" s="8">
        <f t="shared" si="4"/>
        <v>554987.92299999995</v>
      </c>
      <c r="K99" s="8">
        <f>SUMIFS(Ledger!$L$7:$L$1006,Ledger!$C$7:$C$1006,Portfolio!$C$5,Ledger!$B$7:$B$1006,$A99)</f>
        <v>0</v>
      </c>
      <c r="L99" s="10">
        <f>IF(A99&lt;Holdings!$G$24,"",IF(A99=Holdings!$G$24,IF(K99&gt;0,J99/K99-1,NA()),IF(J98&gt;0,(J99-K99)/J98-1,NA())))</f>
        <v>1.5326646127022947E-4</v>
      </c>
      <c r="M99" s="11">
        <f>IF(A99&lt;Holdings!$G$24,"",IF(A99=Holdings!$G$24,100*(1+L99),M98*(1+L99)))</f>
        <v>100.74709445983954</v>
      </c>
      <c r="N99" s="11">
        <f>IF(A99&lt;Holdings!$G$24,"",IF(A99=Holdings!$G$24,MAX(100,M99),MAX(N98,M99)))</f>
        <v>101.98376835638526</v>
      </c>
      <c r="O99" s="10">
        <f>IF(A99&lt;Holdings!$G$24,"",M99/N99-1)</f>
        <v>-1.2126183572900739E-2</v>
      </c>
      <c r="P99" s="11">
        <f>IF(A99&lt;Holdings!$G$24,"",IF(History!H99&gt;0,History!H99/INDEX(History!$H$7:$H$136,MATCH(Holdings!$G$24,History!$A$7:$A$136,0))*100,NA()))</f>
        <v>96.13583220000001</v>
      </c>
      <c r="Q99" s="10">
        <f>IF(A99&lt;=Holdings!$G$24,"",P99/P98-1)</f>
        <v>2.6313727514752916E-3</v>
      </c>
      <c r="R99" s="8">
        <f>IF(A99&gt;Portfolio!$J$5,0,-K99+IF(A99=Portfolio!$J$5,J99,0))</f>
        <v>0</v>
      </c>
      <c r="S99" s="1">
        <f>COUNTIFS(History!B99:G99,"&gt;0")</f>
        <v>6</v>
      </c>
      <c r="T99" s="1" t="str">
        <f t="shared" si="5"/>
        <v>29-Jul</v>
      </c>
      <c r="U99" s="10">
        <f>IF(AND(A99&lt;=Portfolio!$J$5,A99&gt;=Holdings!$G$24),O99,0)</f>
        <v>-1.2126183572900739E-2</v>
      </c>
      <c r="V99" s="12">
        <f>IF(AND(A99&gt;Holdings!$G$24,A99&lt;=Portfolio!$J$5),L99,"")</f>
        <v>1.5326646127022947E-4</v>
      </c>
      <c r="W99" s="12">
        <f>IF(AND(A99&gt;Holdings!$G$24,A99&lt;=Portfolio!$J$5),Q99,"")</f>
        <v>2.6313727514752916E-3</v>
      </c>
    </row>
    <row r="100" spans="1:23" ht="20" customHeight="1" x14ac:dyDescent="0.35">
      <c r="A100" s="7">
        <v>46233</v>
      </c>
      <c r="B100" s="1">
        <f>SUMIFS(Ledger!$J$7:$J$1006,Ledger!$C$7:$C$1006,Portfolio!$C$5,Ledger!$E$7:$E$1006,History!B$6,Ledger!$B$7:$B$1006,"&lt;="&amp;$A100)</f>
        <v>100</v>
      </c>
      <c r="C100" s="1">
        <f>SUMIFS(Ledger!$J$7:$J$1006,Ledger!$C$7:$C$1006,Portfolio!$C$5,Ledger!$E$7:$E$1006,History!C$6,Ledger!$B$7:$B$1006,"&lt;="&amp;$A100)</f>
        <v>200</v>
      </c>
      <c r="D100" s="1">
        <f>SUMIFS(Ledger!$J$7:$J$1006,Ledger!$C$7:$C$1006,Portfolio!$C$5,Ledger!$E$7:$E$1006,History!D$6,Ledger!$B$7:$B$1006,"&lt;="&amp;$A100)</f>
        <v>80</v>
      </c>
      <c r="E100" s="1">
        <f>SUMIFS(Ledger!$J$7:$J$1006,Ledger!$C$7:$C$1006,Portfolio!$C$5,Ledger!$E$7:$E$1006,History!E$6,Ledger!$B$7:$B$1006,"&lt;="&amp;$A100)</f>
        <v>130</v>
      </c>
      <c r="F100" s="1">
        <f>SUMIFS(Ledger!$J$7:$J$1006,Ledger!$C$7:$C$1006,Portfolio!$C$5,Ledger!$E$7:$E$1006,History!F$6,Ledger!$B$7:$B$1006,"&lt;="&amp;$A100)</f>
        <v>480</v>
      </c>
      <c r="G100" s="1">
        <f>SUMIFS(Ledger!$J$7:$J$1006,Ledger!$C$7:$C$1006,Portfolio!$C$5,Ledger!$E$7:$E$1006,History!G$6,Ledger!$B$7:$B$1006,"&lt;="&amp;$A100)</f>
        <v>600</v>
      </c>
      <c r="H100" s="8">
        <f>SUMIFS(Ledger!$K$7:$K$1006,Ledger!$C$7:$C$1006,Portfolio!$C$5,Ledger!$B$7:$B$1006,"&lt;="&amp;$A100)</f>
        <v>70406.488000000012</v>
      </c>
      <c r="I100" s="8">
        <f>IF(S100=6,SUMPRODUCT(B100:G100,History!B100:G100),NA())</f>
        <v>484520.15100000001</v>
      </c>
      <c r="J100" s="8">
        <f t="shared" si="4"/>
        <v>554926.63899999997</v>
      </c>
      <c r="K100" s="8">
        <f>SUMIFS(Ledger!$L$7:$L$1006,Ledger!$C$7:$C$1006,Portfolio!$C$5,Ledger!$B$7:$B$1006,$A100)</f>
        <v>0</v>
      </c>
      <c r="L100" s="10">
        <f>IF(A100&lt;Holdings!$G$24,"",IF(A100=Holdings!$G$24,IF(K100&gt;0,J100/K100-1,NA()),IF(J99&gt;0,(J100-K100)/J99-1,NA())))</f>
        <v>-1.104240244881316E-4</v>
      </c>
      <c r="M100" s="11">
        <f>IF(A100&lt;Holdings!$G$24,"",IF(A100=Holdings!$G$24,100*(1+L100),M99*(1+L100)))</f>
        <v>100.7359695602138</v>
      </c>
      <c r="N100" s="11">
        <f>IF(A100&lt;Holdings!$G$24,"",IF(A100=Holdings!$G$24,MAX(100,M100),MAX(N99,M100)))</f>
        <v>101.98376835638526</v>
      </c>
      <c r="O100" s="10">
        <f>IF(A100&lt;Holdings!$G$24,"",M100/N100-1)</f>
        <v>-1.2235268575397029E-2</v>
      </c>
      <c r="P100" s="11">
        <f>IF(A100&lt;Holdings!$G$24,"",IF(History!H100&gt;0,History!H100/INDEX(History!$H$7:$H$136,MATCH(Holdings!$G$24,History!$A$7:$A$136,0))*100,NA()))</f>
        <v>96.514286300000009</v>
      </c>
      <c r="Q100" s="10">
        <f>IF(A100&lt;=Holdings!$G$24,"",P100/P99-1)</f>
        <v>3.936660154068905E-3</v>
      </c>
      <c r="R100" s="8">
        <f>IF(A100&gt;Portfolio!$J$5,0,-K100+IF(A100=Portfolio!$J$5,J100,0))</f>
        <v>0</v>
      </c>
      <c r="S100" s="1">
        <f>COUNTIFS(History!B100:G100,"&gt;0")</f>
        <v>6</v>
      </c>
      <c r="T100" s="1" t="str">
        <f t="shared" si="5"/>
        <v>30-Jul</v>
      </c>
      <c r="U100" s="10">
        <f>IF(AND(A100&lt;=Portfolio!$J$5,A100&gt;=Holdings!$G$24),O100,0)</f>
        <v>-1.2235268575397029E-2</v>
      </c>
      <c r="V100" s="12">
        <f>IF(AND(A100&gt;Holdings!$G$24,A100&lt;=Portfolio!$J$5),L100,"")</f>
        <v>-1.104240244881316E-4</v>
      </c>
      <c r="W100" s="12">
        <f>IF(AND(A100&gt;Holdings!$G$24,A100&lt;=Portfolio!$J$5),Q100,"")</f>
        <v>3.936660154068905E-3</v>
      </c>
    </row>
    <row r="101" spans="1:23" ht="20" customHeight="1" x14ac:dyDescent="0.35">
      <c r="A101" s="7">
        <v>46234</v>
      </c>
      <c r="B101" s="1">
        <f>SUMIFS(Ledger!$J$7:$J$1006,Ledger!$C$7:$C$1006,Portfolio!$C$5,Ledger!$E$7:$E$1006,History!B$6,Ledger!$B$7:$B$1006,"&lt;="&amp;$A101)</f>
        <v>100</v>
      </c>
      <c r="C101" s="1">
        <f>SUMIFS(Ledger!$J$7:$J$1006,Ledger!$C$7:$C$1006,Portfolio!$C$5,Ledger!$E$7:$E$1006,History!C$6,Ledger!$B$7:$B$1006,"&lt;="&amp;$A101)</f>
        <v>200</v>
      </c>
      <c r="D101" s="1">
        <f>SUMIFS(Ledger!$J$7:$J$1006,Ledger!$C$7:$C$1006,Portfolio!$C$5,Ledger!$E$7:$E$1006,History!D$6,Ledger!$B$7:$B$1006,"&lt;="&amp;$A101)</f>
        <v>80</v>
      </c>
      <c r="E101" s="1">
        <f>SUMIFS(Ledger!$J$7:$J$1006,Ledger!$C$7:$C$1006,Portfolio!$C$5,Ledger!$E$7:$E$1006,History!E$6,Ledger!$B$7:$B$1006,"&lt;="&amp;$A101)</f>
        <v>130</v>
      </c>
      <c r="F101" s="1">
        <f>SUMIFS(Ledger!$J$7:$J$1006,Ledger!$C$7:$C$1006,Portfolio!$C$5,Ledger!$E$7:$E$1006,History!F$6,Ledger!$B$7:$B$1006,"&lt;="&amp;$A101)</f>
        <v>480</v>
      </c>
      <c r="G101" s="1">
        <f>SUMIFS(Ledger!$J$7:$J$1006,Ledger!$C$7:$C$1006,Portfolio!$C$5,Ledger!$E$7:$E$1006,History!G$6,Ledger!$B$7:$B$1006,"&lt;="&amp;$A101)</f>
        <v>600</v>
      </c>
      <c r="H101" s="8">
        <f>SUMIFS(Ledger!$K$7:$K$1006,Ledger!$C$7:$C$1006,Portfolio!$C$5,Ledger!$B$7:$B$1006,"&lt;="&amp;$A101)</f>
        <v>55406.488000000012</v>
      </c>
      <c r="I101" s="8">
        <f>IF(S101=6,SUMPRODUCT(B101:G101,History!B101:G101),NA())</f>
        <v>489809.56599999999</v>
      </c>
      <c r="J101" s="8">
        <f t="shared" si="4"/>
        <v>545216.054</v>
      </c>
      <c r="K101" s="8">
        <f>SUMIFS(Ledger!$L$7:$L$1006,Ledger!$C$7:$C$1006,Portfolio!$C$5,Ledger!$B$7:$B$1006,$A101)</f>
        <v>-15000</v>
      </c>
      <c r="L101" s="10">
        <f>IF(A101&lt;Holdings!$G$24,"",IF(A101=Holdings!$G$24,IF(K101&gt;0,J101/K101-1,NA()),IF(J100&gt;0,(J101-K101)/J100-1,NA())))</f>
        <v>9.5317374014189937E-3</v>
      </c>
      <c r="M101" s="11">
        <f>IF(A101&lt;Holdings!$G$24,"",IF(A101=Holdings!$G$24,100*(1+L101),M100*(1+L101)))</f>
        <v>101.69615836893909</v>
      </c>
      <c r="N101" s="11">
        <f>IF(A101&lt;Holdings!$G$24,"",IF(A101=Holdings!$G$24,MAX(100,M101),MAX(N100,M101)))</f>
        <v>101.98376835638526</v>
      </c>
      <c r="O101" s="10">
        <f>IF(A101&lt;Holdings!$G$24,"",M101/N101-1)</f>
        <v>-2.8201545410746487E-3</v>
      </c>
      <c r="P101" s="11">
        <f>IF(A101&lt;Holdings!$G$24,"",IF(History!H101&gt;0,History!H101/INDEX(History!$H$7:$H$136,MATCH(Holdings!$G$24,History!$A$7:$A$136,0))*100,NA()))</f>
        <v>97.485243300000008</v>
      </c>
      <c r="Q101" s="10">
        <f>IF(A101&lt;=Holdings!$G$24,"",P101/P100-1)</f>
        <v>1.00602412059696E-2</v>
      </c>
      <c r="R101" s="8">
        <f>IF(A101&gt;Portfolio!$J$5,0,-K101+IF(A101=Portfolio!$J$5,J101,0))</f>
        <v>15000</v>
      </c>
      <c r="S101" s="1">
        <f>COUNTIFS(History!B101:G101,"&gt;0")</f>
        <v>6</v>
      </c>
      <c r="T101" s="1" t="str">
        <f t="shared" si="5"/>
        <v>31-Jul</v>
      </c>
      <c r="U101" s="10">
        <f>IF(AND(A101&lt;=Portfolio!$J$5,A101&gt;=Holdings!$G$24),O101,0)</f>
        <v>-2.8201545410746487E-3</v>
      </c>
      <c r="V101" s="12">
        <f>IF(AND(A101&gt;Holdings!$G$24,A101&lt;=Portfolio!$J$5),L101,"")</f>
        <v>9.5317374014189937E-3</v>
      </c>
      <c r="W101" s="12">
        <f>IF(AND(A101&gt;Holdings!$G$24,A101&lt;=Portfolio!$J$5),Q101,"")</f>
        <v>1.00602412059696E-2</v>
      </c>
    </row>
    <row r="102" spans="1:23" ht="20" customHeight="1" x14ac:dyDescent="0.35">
      <c r="A102" s="7">
        <v>46237</v>
      </c>
      <c r="B102" s="1">
        <f>SUMIFS(Ledger!$J$7:$J$1006,Ledger!$C$7:$C$1006,Portfolio!$C$5,Ledger!$E$7:$E$1006,History!B$6,Ledger!$B$7:$B$1006,"&lt;="&amp;$A102)</f>
        <v>100</v>
      </c>
      <c r="C102" s="1">
        <f>SUMIFS(Ledger!$J$7:$J$1006,Ledger!$C$7:$C$1006,Portfolio!$C$5,Ledger!$E$7:$E$1006,History!C$6,Ledger!$B$7:$B$1006,"&lt;="&amp;$A102)</f>
        <v>200</v>
      </c>
      <c r="D102" s="1">
        <f>SUMIFS(Ledger!$J$7:$J$1006,Ledger!$C$7:$C$1006,Portfolio!$C$5,Ledger!$E$7:$E$1006,History!D$6,Ledger!$B$7:$B$1006,"&lt;="&amp;$A102)</f>
        <v>80</v>
      </c>
      <c r="E102" s="1">
        <f>SUMIFS(Ledger!$J$7:$J$1006,Ledger!$C$7:$C$1006,Portfolio!$C$5,Ledger!$E$7:$E$1006,History!E$6,Ledger!$B$7:$B$1006,"&lt;="&amp;$A102)</f>
        <v>130</v>
      </c>
      <c r="F102" s="1">
        <f>SUMIFS(Ledger!$J$7:$J$1006,Ledger!$C$7:$C$1006,Portfolio!$C$5,Ledger!$E$7:$E$1006,History!F$6,Ledger!$B$7:$B$1006,"&lt;="&amp;$A102)</f>
        <v>480</v>
      </c>
      <c r="G102" s="1">
        <f>SUMIFS(Ledger!$J$7:$J$1006,Ledger!$C$7:$C$1006,Portfolio!$C$5,Ledger!$E$7:$E$1006,History!G$6,Ledger!$B$7:$B$1006,"&lt;="&amp;$A102)</f>
        <v>600</v>
      </c>
      <c r="H102" s="8">
        <f>SUMIFS(Ledger!$K$7:$K$1006,Ledger!$C$7:$C$1006,Portfolio!$C$5,Ledger!$B$7:$B$1006,"&lt;="&amp;$A102)</f>
        <v>55406.488000000012</v>
      </c>
      <c r="I102" s="8">
        <f>IF(S102=6,SUMPRODUCT(B102:G102,History!B102:G102),NA())</f>
        <v>489193.82699999999</v>
      </c>
      <c r="J102" s="8">
        <f t="shared" si="4"/>
        <v>544600.31499999994</v>
      </c>
      <c r="K102" s="8">
        <f>SUMIFS(Ledger!$L$7:$L$1006,Ledger!$C$7:$C$1006,Portfolio!$C$5,Ledger!$B$7:$B$1006,$A102)</f>
        <v>0</v>
      </c>
      <c r="L102" s="10">
        <f>IF(A102&lt;Holdings!$G$24,"",IF(A102=Holdings!$G$24,IF(K102&gt;0,J102/K102-1,NA()),IF(J101&gt;0,(J102-K102)/J101-1,NA())))</f>
        <v>-1.1293486233258099E-3</v>
      </c>
      <c r="M102" s="11">
        <f>IF(A102&lt;Holdings!$G$24,"",IF(A102=Holdings!$G$24,100*(1+L102),M101*(1+L102)))</f>
        <v>101.58130795248761</v>
      </c>
      <c r="N102" s="11">
        <f>IF(A102&lt;Holdings!$G$24,"",IF(A102=Holdings!$G$24,MAX(100,M102),MAX(N101,M102)))</f>
        <v>101.98376835638526</v>
      </c>
      <c r="O102" s="10">
        <f>IF(A102&lt;Holdings!$G$24,"",M102/N102-1)</f>
        <v>-3.9463182267519548E-3</v>
      </c>
      <c r="P102" s="11">
        <f>IF(A102&lt;Holdings!$G$24,"",IF(History!H102&gt;0,History!H102/INDEX(History!$H$7:$H$136,MATCH(Holdings!$G$24,History!$A$7:$A$136,0))*100,NA()))</f>
        <v>97.393716099999992</v>
      </c>
      <c r="Q102" s="10">
        <f>IF(A102&lt;=Holdings!$G$24,"",P102/P101-1)</f>
        <v>-9.3888261342645052E-4</v>
      </c>
      <c r="R102" s="8">
        <f>IF(A102&gt;Portfolio!$J$5,0,-K102+IF(A102=Portfolio!$J$5,J102,0))</f>
        <v>0</v>
      </c>
      <c r="S102" s="1">
        <f>COUNTIFS(History!B102:G102,"&gt;0")</f>
        <v>6</v>
      </c>
      <c r="T102" s="1" t="str">
        <f t="shared" si="5"/>
        <v>03-Aug</v>
      </c>
      <c r="U102" s="10">
        <f>IF(AND(A102&lt;=Portfolio!$J$5,A102&gt;=Holdings!$G$24),O102,0)</f>
        <v>-3.9463182267519548E-3</v>
      </c>
      <c r="V102" s="12">
        <f>IF(AND(A102&gt;Holdings!$G$24,A102&lt;=Portfolio!$J$5),L102,"")</f>
        <v>-1.1293486233258099E-3</v>
      </c>
      <c r="W102" s="12">
        <f>IF(AND(A102&gt;Holdings!$G$24,A102&lt;=Portfolio!$J$5),Q102,"")</f>
        <v>-9.3888261342645052E-4</v>
      </c>
    </row>
    <row r="103" spans="1:23" ht="20" customHeight="1" x14ac:dyDescent="0.35">
      <c r="A103" s="7">
        <v>46238</v>
      </c>
      <c r="B103" s="1">
        <f>SUMIFS(Ledger!$J$7:$J$1006,Ledger!$C$7:$C$1006,Portfolio!$C$5,Ledger!$E$7:$E$1006,History!B$6,Ledger!$B$7:$B$1006,"&lt;="&amp;$A103)</f>
        <v>100</v>
      </c>
      <c r="C103" s="1">
        <f>SUMIFS(Ledger!$J$7:$J$1006,Ledger!$C$7:$C$1006,Portfolio!$C$5,Ledger!$E$7:$E$1006,History!C$6,Ledger!$B$7:$B$1006,"&lt;="&amp;$A103)</f>
        <v>200</v>
      </c>
      <c r="D103" s="1">
        <f>SUMIFS(Ledger!$J$7:$J$1006,Ledger!$C$7:$C$1006,Portfolio!$C$5,Ledger!$E$7:$E$1006,History!D$6,Ledger!$B$7:$B$1006,"&lt;="&amp;$A103)</f>
        <v>80</v>
      </c>
      <c r="E103" s="1">
        <f>SUMIFS(Ledger!$J$7:$J$1006,Ledger!$C$7:$C$1006,Portfolio!$C$5,Ledger!$E$7:$E$1006,History!E$6,Ledger!$B$7:$B$1006,"&lt;="&amp;$A103)</f>
        <v>130</v>
      </c>
      <c r="F103" s="1">
        <f>SUMIFS(Ledger!$J$7:$J$1006,Ledger!$C$7:$C$1006,Portfolio!$C$5,Ledger!$E$7:$E$1006,History!F$6,Ledger!$B$7:$B$1006,"&lt;="&amp;$A103)</f>
        <v>480</v>
      </c>
      <c r="G103" s="1">
        <f>SUMIFS(Ledger!$J$7:$J$1006,Ledger!$C$7:$C$1006,Portfolio!$C$5,Ledger!$E$7:$E$1006,History!G$6,Ledger!$B$7:$B$1006,"&lt;="&amp;$A103)</f>
        <v>600</v>
      </c>
      <c r="H103" s="8">
        <f>SUMIFS(Ledger!$K$7:$K$1006,Ledger!$C$7:$C$1006,Portfolio!$C$5,Ledger!$B$7:$B$1006,"&lt;="&amp;$A103)</f>
        <v>55406.488000000012</v>
      </c>
      <c r="I103" s="8">
        <f>IF(S103=6,SUMPRODUCT(B103:G103,History!B103:G103),NA())</f>
        <v>486508.40900000004</v>
      </c>
      <c r="J103" s="8">
        <f t="shared" ref="J103:J134" si="6">SUM(H103:I103)</f>
        <v>541914.89700000011</v>
      </c>
      <c r="K103" s="8">
        <f>SUMIFS(Ledger!$L$7:$L$1006,Ledger!$C$7:$C$1006,Portfolio!$C$5,Ledger!$B$7:$B$1006,$A103)</f>
        <v>0</v>
      </c>
      <c r="L103" s="10">
        <f>IF(A103&lt;Holdings!$G$24,"",IF(A103=Holdings!$G$24,IF(K103&gt;0,J103/K103-1,NA()),IF(J102&gt;0,(J103-K103)/J102-1,NA())))</f>
        <v>-4.9309887013191389E-3</v>
      </c>
      <c r="M103" s="11">
        <f>IF(A103&lt;Holdings!$G$24,"",IF(A103=Holdings!$G$24,100*(1+L103),M102*(1+L103)))</f>
        <v>101.08041167070867</v>
      </c>
      <c r="N103" s="11">
        <f>IF(A103&lt;Holdings!$G$24,"",IF(A103=Holdings!$G$24,MAX(100,M103),MAX(N102,M103)))</f>
        <v>101.98376835638526</v>
      </c>
      <c r="O103" s="10">
        <f>IF(A103&lt;Holdings!$G$24,"",M103/N103-1)</f>
        <v>-8.8578476774830994E-3</v>
      </c>
      <c r="P103" s="11">
        <f>IF(A103&lt;Holdings!$G$24,"",IF(History!H103&gt;0,History!H103/INDEX(History!$H$7:$H$136,MATCH(Holdings!$G$24,History!$A$7:$A$136,0))*100,NA()))</f>
        <v>97.132630200000008</v>
      </c>
      <c r="Q103" s="10">
        <f>IF(A103&lt;=Holdings!$G$24,"",P103/P102-1)</f>
        <v>-2.6807263389756475E-3</v>
      </c>
      <c r="R103" s="8">
        <f>IF(A103&gt;Portfolio!$J$5,0,-K103+IF(A103=Portfolio!$J$5,J103,0))</f>
        <v>0</v>
      </c>
      <c r="S103" s="1">
        <f>COUNTIFS(History!B103:G103,"&gt;0")</f>
        <v>6</v>
      </c>
      <c r="T103" s="1" t="str">
        <f t="shared" ref="T103:T136" si="7">TEXT(A103,"dd-mmm")</f>
        <v>04-Aug</v>
      </c>
      <c r="U103" s="10">
        <f>IF(AND(A103&lt;=Portfolio!$J$5,A103&gt;=Holdings!$G$24),O103,0)</f>
        <v>-8.8578476774830994E-3</v>
      </c>
      <c r="V103" s="12">
        <f>IF(AND(A103&gt;Holdings!$G$24,A103&lt;=Portfolio!$J$5),L103,"")</f>
        <v>-4.9309887013191389E-3</v>
      </c>
      <c r="W103" s="12">
        <f>IF(AND(A103&gt;Holdings!$G$24,A103&lt;=Portfolio!$J$5),Q103,"")</f>
        <v>-2.6807263389756475E-3</v>
      </c>
    </row>
    <row r="104" spans="1:23" ht="20" customHeight="1" x14ac:dyDescent="0.35">
      <c r="A104" s="7">
        <v>46239</v>
      </c>
      <c r="B104" s="1">
        <f>SUMIFS(Ledger!$J$7:$J$1006,Ledger!$C$7:$C$1006,Portfolio!$C$5,Ledger!$E$7:$E$1006,History!B$6,Ledger!$B$7:$B$1006,"&lt;="&amp;$A104)</f>
        <v>100</v>
      </c>
      <c r="C104" s="1">
        <f>SUMIFS(Ledger!$J$7:$J$1006,Ledger!$C$7:$C$1006,Portfolio!$C$5,Ledger!$E$7:$E$1006,History!C$6,Ledger!$B$7:$B$1006,"&lt;="&amp;$A104)</f>
        <v>200</v>
      </c>
      <c r="D104" s="1">
        <f>SUMIFS(Ledger!$J$7:$J$1006,Ledger!$C$7:$C$1006,Portfolio!$C$5,Ledger!$E$7:$E$1006,History!D$6,Ledger!$B$7:$B$1006,"&lt;="&amp;$A104)</f>
        <v>80</v>
      </c>
      <c r="E104" s="1">
        <f>SUMIFS(Ledger!$J$7:$J$1006,Ledger!$C$7:$C$1006,Portfolio!$C$5,Ledger!$E$7:$E$1006,History!E$6,Ledger!$B$7:$B$1006,"&lt;="&amp;$A104)</f>
        <v>130</v>
      </c>
      <c r="F104" s="1">
        <f>SUMIFS(Ledger!$J$7:$J$1006,Ledger!$C$7:$C$1006,Portfolio!$C$5,Ledger!$E$7:$E$1006,History!F$6,Ledger!$B$7:$B$1006,"&lt;="&amp;$A104)</f>
        <v>480</v>
      </c>
      <c r="G104" s="1">
        <f>SUMIFS(Ledger!$J$7:$J$1006,Ledger!$C$7:$C$1006,Portfolio!$C$5,Ledger!$E$7:$E$1006,History!G$6,Ledger!$B$7:$B$1006,"&lt;="&amp;$A104)</f>
        <v>600</v>
      </c>
      <c r="H104" s="8">
        <f>SUMIFS(Ledger!$K$7:$K$1006,Ledger!$C$7:$C$1006,Portfolio!$C$5,Ledger!$B$7:$B$1006,"&lt;="&amp;$A104)</f>
        <v>55406.488000000012</v>
      </c>
      <c r="I104" s="8">
        <f>IF(S104=6,SUMPRODUCT(B104:G104,History!B104:G104),NA())</f>
        <v>493816.10099999997</v>
      </c>
      <c r="J104" s="8">
        <f t="shared" si="6"/>
        <v>549222.58899999992</v>
      </c>
      <c r="K104" s="8">
        <f>SUMIFS(Ledger!$L$7:$L$1006,Ledger!$C$7:$C$1006,Portfolio!$C$5,Ledger!$B$7:$B$1006,$A104)</f>
        <v>0</v>
      </c>
      <c r="L104" s="10">
        <f>IF(A104&lt;Holdings!$G$24,"",IF(A104=Holdings!$G$24,IF(K104&gt;0,J104/K104-1,NA()),IF(J103&gt;0,(J104-K104)/J103-1,NA())))</f>
        <v>1.3484943928381732E-2</v>
      </c>
      <c r="M104" s="11">
        <f>IF(A104&lt;Holdings!$G$24,"",IF(A104=Holdings!$G$24,100*(1+L104),M103*(1+L104)))</f>
        <v>102.44347535434592</v>
      </c>
      <c r="N104" s="11">
        <f>IF(A104&lt;Holdings!$G$24,"",IF(A104=Holdings!$G$24,MAX(100,M104),MAX(N103,M104)))</f>
        <v>102.44347535434592</v>
      </c>
      <c r="O104" s="10">
        <f>IF(A104&lt;Holdings!$G$24,"",M104/N104-1)</f>
        <v>0</v>
      </c>
      <c r="P104" s="11">
        <f>IF(A104&lt;Holdings!$G$24,"",IF(History!H104&gt;0,History!H104/INDEX(History!$H$7:$H$136,MATCH(Holdings!$G$24,History!$A$7:$A$136,0))*100,NA()))</f>
        <v>98.225549700000002</v>
      </c>
      <c r="Q104" s="10">
        <f>IF(A104&lt;=Holdings!$G$24,"",P104/P103-1)</f>
        <v>1.1251826474271587E-2</v>
      </c>
      <c r="R104" s="8">
        <f>IF(A104&gt;Portfolio!$J$5,0,-K104+IF(A104=Portfolio!$J$5,J104,0))</f>
        <v>0</v>
      </c>
      <c r="S104" s="1">
        <f>COUNTIFS(History!B104:G104,"&gt;0")</f>
        <v>6</v>
      </c>
      <c r="T104" s="1" t="str">
        <f t="shared" si="7"/>
        <v>05-Aug</v>
      </c>
      <c r="U104" s="10">
        <f>IF(AND(A104&lt;=Portfolio!$J$5,A104&gt;=Holdings!$G$24),O104,0)</f>
        <v>0</v>
      </c>
      <c r="V104" s="12">
        <f>IF(AND(A104&gt;Holdings!$G$24,A104&lt;=Portfolio!$J$5),L104,"")</f>
        <v>1.3484943928381732E-2</v>
      </c>
      <c r="W104" s="12">
        <f>IF(AND(A104&gt;Holdings!$G$24,A104&lt;=Portfolio!$J$5),Q104,"")</f>
        <v>1.1251826474271587E-2</v>
      </c>
    </row>
    <row r="105" spans="1:23" ht="20" customHeight="1" x14ac:dyDescent="0.35">
      <c r="A105" s="7">
        <v>46240</v>
      </c>
      <c r="B105" s="1">
        <f>SUMIFS(Ledger!$J$7:$J$1006,Ledger!$C$7:$C$1006,Portfolio!$C$5,Ledger!$E$7:$E$1006,History!B$6,Ledger!$B$7:$B$1006,"&lt;="&amp;$A105)</f>
        <v>100</v>
      </c>
      <c r="C105" s="1">
        <f>SUMIFS(Ledger!$J$7:$J$1006,Ledger!$C$7:$C$1006,Portfolio!$C$5,Ledger!$E$7:$E$1006,History!C$6,Ledger!$B$7:$B$1006,"&lt;="&amp;$A105)</f>
        <v>200</v>
      </c>
      <c r="D105" s="1">
        <f>SUMIFS(Ledger!$J$7:$J$1006,Ledger!$C$7:$C$1006,Portfolio!$C$5,Ledger!$E$7:$E$1006,History!D$6,Ledger!$B$7:$B$1006,"&lt;="&amp;$A105)</f>
        <v>80</v>
      </c>
      <c r="E105" s="1">
        <f>SUMIFS(Ledger!$J$7:$J$1006,Ledger!$C$7:$C$1006,Portfolio!$C$5,Ledger!$E$7:$E$1006,History!E$6,Ledger!$B$7:$B$1006,"&lt;="&amp;$A105)</f>
        <v>130</v>
      </c>
      <c r="F105" s="1">
        <f>SUMIFS(Ledger!$J$7:$J$1006,Ledger!$C$7:$C$1006,Portfolio!$C$5,Ledger!$E$7:$E$1006,History!F$6,Ledger!$B$7:$B$1006,"&lt;="&amp;$A105)</f>
        <v>480</v>
      </c>
      <c r="G105" s="1">
        <f>SUMIFS(Ledger!$J$7:$J$1006,Ledger!$C$7:$C$1006,Portfolio!$C$5,Ledger!$E$7:$E$1006,History!G$6,Ledger!$B$7:$B$1006,"&lt;="&amp;$A105)</f>
        <v>600</v>
      </c>
      <c r="H105" s="8">
        <f>SUMIFS(Ledger!$K$7:$K$1006,Ledger!$C$7:$C$1006,Portfolio!$C$5,Ledger!$B$7:$B$1006,"&lt;="&amp;$A105)</f>
        <v>55406.488000000012</v>
      </c>
      <c r="I105" s="8">
        <f>IF(S105=6,SUMPRODUCT(B105:G105,History!B105:G105),NA())</f>
        <v>493768.41399999999</v>
      </c>
      <c r="J105" s="8">
        <f t="shared" si="6"/>
        <v>549174.902</v>
      </c>
      <c r="K105" s="8">
        <f>SUMIFS(Ledger!$L$7:$L$1006,Ledger!$C$7:$C$1006,Portfolio!$C$5,Ledger!$B$7:$B$1006,$A105)</f>
        <v>0</v>
      </c>
      <c r="L105" s="10">
        <f>IF(A105&lt;Holdings!$G$24,"",IF(A105=Holdings!$G$24,IF(K105&gt;0,J105/K105-1,NA()),IF(J104&gt;0,(J105-K105)/J104-1,NA())))</f>
        <v>-8.6826363217773483E-5</v>
      </c>
      <c r="M105" s="11">
        <f>IF(A105&lt;Holdings!$G$24,"",IF(A105=Holdings!$G$24,100*(1+L105),M104*(1+L105)))</f>
        <v>102.43458055994552</v>
      </c>
      <c r="N105" s="11">
        <f>IF(A105&lt;Holdings!$G$24,"",IF(A105=Holdings!$G$24,MAX(100,M105),MAX(N104,M105)))</f>
        <v>102.44347535434592</v>
      </c>
      <c r="O105" s="10">
        <f>IF(A105&lt;Holdings!$G$24,"",M105/N105-1)</f>
        <v>-8.6826363217773483E-5</v>
      </c>
      <c r="P105" s="11">
        <f>IF(A105&lt;Holdings!$G$24,"",IF(History!H105&gt;0,History!H105/INDEX(History!$H$7:$H$136,MATCH(Holdings!$G$24,History!$A$7:$A$136,0))*100,NA()))</f>
        <v>98.391687099999999</v>
      </c>
      <c r="Q105" s="10">
        <f>IF(A105&lt;=Holdings!$G$24,"",P105/P104-1)</f>
        <v>1.6913868184744718E-3</v>
      </c>
      <c r="R105" s="8">
        <f>IF(A105&gt;Portfolio!$J$5,0,-K105+IF(A105=Portfolio!$J$5,J105,0))</f>
        <v>0</v>
      </c>
      <c r="S105" s="1">
        <f>COUNTIFS(History!B105:G105,"&gt;0")</f>
        <v>6</v>
      </c>
      <c r="T105" s="1" t="str">
        <f t="shared" si="7"/>
        <v>06-Aug</v>
      </c>
      <c r="U105" s="10">
        <f>IF(AND(A105&lt;=Portfolio!$J$5,A105&gt;=Holdings!$G$24),O105,0)</f>
        <v>-8.6826363217773483E-5</v>
      </c>
      <c r="V105" s="12">
        <f>IF(AND(A105&gt;Holdings!$G$24,A105&lt;=Portfolio!$J$5),L105,"")</f>
        <v>-8.6826363217773483E-5</v>
      </c>
      <c r="W105" s="12">
        <f>IF(AND(A105&gt;Holdings!$G$24,A105&lt;=Portfolio!$J$5),Q105,"")</f>
        <v>1.6913868184744718E-3</v>
      </c>
    </row>
    <row r="106" spans="1:23" ht="20" customHeight="1" x14ac:dyDescent="0.35">
      <c r="A106" s="7">
        <v>46241</v>
      </c>
      <c r="B106" s="1">
        <f>SUMIFS(Ledger!$J$7:$J$1006,Ledger!$C$7:$C$1006,Portfolio!$C$5,Ledger!$E$7:$E$1006,History!B$6,Ledger!$B$7:$B$1006,"&lt;="&amp;$A106)</f>
        <v>100</v>
      </c>
      <c r="C106" s="1">
        <f>SUMIFS(Ledger!$J$7:$J$1006,Ledger!$C$7:$C$1006,Portfolio!$C$5,Ledger!$E$7:$E$1006,History!C$6,Ledger!$B$7:$B$1006,"&lt;="&amp;$A106)</f>
        <v>200</v>
      </c>
      <c r="D106" s="1">
        <f>SUMIFS(Ledger!$J$7:$J$1006,Ledger!$C$7:$C$1006,Portfolio!$C$5,Ledger!$E$7:$E$1006,History!D$6,Ledger!$B$7:$B$1006,"&lt;="&amp;$A106)</f>
        <v>80</v>
      </c>
      <c r="E106" s="1">
        <f>SUMIFS(Ledger!$J$7:$J$1006,Ledger!$C$7:$C$1006,Portfolio!$C$5,Ledger!$E$7:$E$1006,History!E$6,Ledger!$B$7:$B$1006,"&lt;="&amp;$A106)</f>
        <v>130</v>
      </c>
      <c r="F106" s="1">
        <f>SUMIFS(Ledger!$J$7:$J$1006,Ledger!$C$7:$C$1006,Portfolio!$C$5,Ledger!$E$7:$E$1006,History!F$6,Ledger!$B$7:$B$1006,"&lt;="&amp;$A106)</f>
        <v>480</v>
      </c>
      <c r="G106" s="1">
        <f>SUMIFS(Ledger!$J$7:$J$1006,Ledger!$C$7:$C$1006,Portfolio!$C$5,Ledger!$E$7:$E$1006,History!G$6,Ledger!$B$7:$B$1006,"&lt;="&amp;$A106)</f>
        <v>600</v>
      </c>
      <c r="H106" s="8">
        <f>SUMIFS(Ledger!$K$7:$K$1006,Ledger!$C$7:$C$1006,Portfolio!$C$5,Ledger!$B$7:$B$1006,"&lt;="&amp;$A106)</f>
        <v>55406.488000000012</v>
      </c>
      <c r="I106" s="8">
        <f>IF(S106=6,SUMPRODUCT(B106:G106,History!B106:G106),NA())</f>
        <v>495953.70699999999</v>
      </c>
      <c r="J106" s="8">
        <f t="shared" si="6"/>
        <v>551360.19500000007</v>
      </c>
      <c r="K106" s="8">
        <f>SUMIFS(Ledger!$L$7:$L$1006,Ledger!$C$7:$C$1006,Portfolio!$C$5,Ledger!$B$7:$B$1006,$A106)</f>
        <v>0</v>
      </c>
      <c r="L106" s="10">
        <f>IF(A106&lt;Holdings!$G$24,"",IF(A106=Holdings!$G$24,IF(K106&gt;0,J106/K106-1,NA()),IF(J105&gt;0,(J106-K106)/J105-1,NA())))</f>
        <v>3.9792295533565003E-3</v>
      </c>
      <c r="M106" s="11">
        <f>IF(A106&lt;Holdings!$G$24,"",IF(A106=Holdings!$G$24,100*(1+L106),M105*(1+L106)))</f>
        <v>102.84219127019533</v>
      </c>
      <c r="N106" s="11">
        <f>IF(A106&lt;Holdings!$G$24,"",IF(A106=Holdings!$G$24,MAX(100,M106),MAX(N105,M106)))</f>
        <v>102.84219127019533</v>
      </c>
      <c r="O106" s="10">
        <f>IF(A106&lt;Holdings!$G$24,"",M106/N106-1)</f>
        <v>0</v>
      </c>
      <c r="P106" s="11">
        <f>IF(A106&lt;Holdings!$G$24,"",IF(History!H106&gt;0,History!H106/INDEX(History!$H$7:$H$136,MATCH(Holdings!$G$24,History!$A$7:$A$136,0))*100,NA()))</f>
        <v>98.759670500000013</v>
      </c>
      <c r="Q106" s="10">
        <f>IF(A106&lt;=Holdings!$G$24,"",P106/P105-1)</f>
        <v>3.7399846556753769E-3</v>
      </c>
      <c r="R106" s="8">
        <f>IF(A106&gt;Portfolio!$J$5,0,-K106+IF(A106=Portfolio!$J$5,J106,0))</f>
        <v>0</v>
      </c>
      <c r="S106" s="1">
        <f>COUNTIFS(History!B106:G106,"&gt;0")</f>
        <v>6</v>
      </c>
      <c r="T106" s="1" t="str">
        <f t="shared" si="7"/>
        <v>07-Aug</v>
      </c>
      <c r="U106" s="10">
        <f>IF(AND(A106&lt;=Portfolio!$J$5,A106&gt;=Holdings!$G$24),O106,0)</f>
        <v>0</v>
      </c>
      <c r="V106" s="12">
        <f>IF(AND(A106&gt;Holdings!$G$24,A106&lt;=Portfolio!$J$5),L106,"")</f>
        <v>3.9792295533565003E-3</v>
      </c>
      <c r="W106" s="12">
        <f>IF(AND(A106&gt;Holdings!$G$24,A106&lt;=Portfolio!$J$5),Q106,"")</f>
        <v>3.7399846556753769E-3</v>
      </c>
    </row>
    <row r="107" spans="1:23" ht="20" customHeight="1" x14ac:dyDescent="0.35">
      <c r="A107" s="7">
        <v>46244</v>
      </c>
      <c r="B107" s="1">
        <f>SUMIFS(Ledger!$J$7:$J$1006,Ledger!$C$7:$C$1006,Portfolio!$C$5,Ledger!$E$7:$E$1006,History!B$6,Ledger!$B$7:$B$1006,"&lt;="&amp;$A107)</f>
        <v>100</v>
      </c>
      <c r="C107" s="1">
        <f>SUMIFS(Ledger!$J$7:$J$1006,Ledger!$C$7:$C$1006,Portfolio!$C$5,Ledger!$E$7:$E$1006,History!C$6,Ledger!$B$7:$B$1006,"&lt;="&amp;$A107)</f>
        <v>200</v>
      </c>
      <c r="D107" s="1">
        <f>SUMIFS(Ledger!$J$7:$J$1006,Ledger!$C$7:$C$1006,Portfolio!$C$5,Ledger!$E$7:$E$1006,History!D$6,Ledger!$B$7:$B$1006,"&lt;="&amp;$A107)</f>
        <v>80</v>
      </c>
      <c r="E107" s="1">
        <f>SUMIFS(Ledger!$J$7:$J$1006,Ledger!$C$7:$C$1006,Portfolio!$C$5,Ledger!$E$7:$E$1006,History!E$6,Ledger!$B$7:$B$1006,"&lt;="&amp;$A107)</f>
        <v>130</v>
      </c>
      <c r="F107" s="1">
        <f>SUMIFS(Ledger!$J$7:$J$1006,Ledger!$C$7:$C$1006,Portfolio!$C$5,Ledger!$E$7:$E$1006,History!F$6,Ledger!$B$7:$B$1006,"&lt;="&amp;$A107)</f>
        <v>480</v>
      </c>
      <c r="G107" s="1">
        <f>SUMIFS(Ledger!$J$7:$J$1006,Ledger!$C$7:$C$1006,Portfolio!$C$5,Ledger!$E$7:$E$1006,History!G$6,Ledger!$B$7:$B$1006,"&lt;="&amp;$A107)</f>
        <v>600</v>
      </c>
      <c r="H107" s="8">
        <f>SUMIFS(Ledger!$K$7:$K$1006,Ledger!$C$7:$C$1006,Portfolio!$C$5,Ledger!$B$7:$B$1006,"&lt;="&amp;$A107)</f>
        <v>55406.488000000012</v>
      </c>
      <c r="I107" s="8">
        <f>IF(S107=6,SUMPRODUCT(B107:G107,History!B107:G107),NA())</f>
        <v>496497.48099999991</v>
      </c>
      <c r="J107" s="8">
        <f t="shared" si="6"/>
        <v>551903.96899999992</v>
      </c>
      <c r="K107" s="8">
        <f>SUMIFS(Ledger!$L$7:$L$1006,Ledger!$C$7:$C$1006,Portfolio!$C$5,Ledger!$B$7:$B$1006,$A107)</f>
        <v>0</v>
      </c>
      <c r="L107" s="10">
        <f>IF(A107&lt;Holdings!$G$24,"",IF(A107=Holdings!$G$24,IF(K107&gt;0,J107/K107-1,NA()),IF(J106&gt;0,(J107-K107)/J106-1,NA())))</f>
        <v>9.8624094544930152E-4</v>
      </c>
      <c r="M107" s="11">
        <f>IF(A107&lt;Holdings!$G$24,"",IF(A107=Holdings!$G$24,100*(1+L107),M106*(1+L107)))</f>
        <v>102.94361845014572</v>
      </c>
      <c r="N107" s="11">
        <f>IF(A107&lt;Holdings!$G$24,"",IF(A107=Holdings!$G$24,MAX(100,M107),MAX(N106,M107)))</f>
        <v>102.94361845014572</v>
      </c>
      <c r="O107" s="10">
        <f>IF(A107&lt;Holdings!$G$24,"",M107/N107-1)</f>
        <v>0</v>
      </c>
      <c r="P107" s="11">
        <f>IF(A107&lt;Holdings!$G$24,"",IF(History!H107&gt;0,History!H107/INDEX(History!$H$7:$H$136,MATCH(Holdings!$G$24,History!$A$7:$A$136,0))*100,NA()))</f>
        <v>98.876340000000013</v>
      </c>
      <c r="Q107" s="10">
        <f>IF(A107&lt;=Holdings!$G$24,"",P107/P106-1)</f>
        <v>1.1813476028152969E-3</v>
      </c>
      <c r="R107" s="8">
        <f>IF(A107&gt;Portfolio!$J$5,0,-K107+IF(A107=Portfolio!$J$5,J107,0))</f>
        <v>0</v>
      </c>
      <c r="S107" s="1">
        <f>COUNTIFS(History!B107:G107,"&gt;0")</f>
        <v>6</v>
      </c>
      <c r="T107" s="1" t="str">
        <f t="shared" si="7"/>
        <v>10-Aug</v>
      </c>
      <c r="U107" s="10">
        <f>IF(AND(A107&lt;=Portfolio!$J$5,A107&gt;=Holdings!$G$24),O107,0)</f>
        <v>0</v>
      </c>
      <c r="V107" s="12">
        <f>IF(AND(A107&gt;Holdings!$G$24,A107&lt;=Portfolio!$J$5),L107,"")</f>
        <v>9.8624094544930152E-4</v>
      </c>
      <c r="W107" s="12">
        <f>IF(AND(A107&gt;Holdings!$G$24,A107&lt;=Portfolio!$J$5),Q107,"")</f>
        <v>1.1813476028152969E-3</v>
      </c>
    </row>
    <row r="108" spans="1:23" ht="20" customHeight="1" x14ac:dyDescent="0.35">
      <c r="A108" s="7">
        <v>46245</v>
      </c>
      <c r="B108" s="1">
        <f>SUMIFS(Ledger!$J$7:$J$1006,Ledger!$C$7:$C$1006,Portfolio!$C$5,Ledger!$E$7:$E$1006,History!B$6,Ledger!$B$7:$B$1006,"&lt;="&amp;$A108)</f>
        <v>100</v>
      </c>
      <c r="C108" s="1">
        <f>SUMIFS(Ledger!$J$7:$J$1006,Ledger!$C$7:$C$1006,Portfolio!$C$5,Ledger!$E$7:$E$1006,History!C$6,Ledger!$B$7:$B$1006,"&lt;="&amp;$A108)</f>
        <v>200</v>
      </c>
      <c r="D108" s="1">
        <f>SUMIFS(Ledger!$J$7:$J$1006,Ledger!$C$7:$C$1006,Portfolio!$C$5,Ledger!$E$7:$E$1006,History!D$6,Ledger!$B$7:$B$1006,"&lt;="&amp;$A108)</f>
        <v>80</v>
      </c>
      <c r="E108" s="1">
        <f>SUMIFS(Ledger!$J$7:$J$1006,Ledger!$C$7:$C$1006,Portfolio!$C$5,Ledger!$E$7:$E$1006,History!E$6,Ledger!$B$7:$B$1006,"&lt;="&amp;$A108)</f>
        <v>130</v>
      </c>
      <c r="F108" s="1">
        <f>SUMIFS(Ledger!$J$7:$J$1006,Ledger!$C$7:$C$1006,Portfolio!$C$5,Ledger!$E$7:$E$1006,History!F$6,Ledger!$B$7:$B$1006,"&lt;="&amp;$A108)</f>
        <v>480</v>
      </c>
      <c r="G108" s="1">
        <f>SUMIFS(Ledger!$J$7:$J$1006,Ledger!$C$7:$C$1006,Portfolio!$C$5,Ledger!$E$7:$E$1006,History!G$6,Ledger!$B$7:$B$1006,"&lt;="&amp;$A108)</f>
        <v>600</v>
      </c>
      <c r="H108" s="8">
        <f>SUMIFS(Ledger!$K$7:$K$1006,Ledger!$C$7:$C$1006,Portfolio!$C$5,Ledger!$B$7:$B$1006,"&lt;="&amp;$A108)</f>
        <v>55406.488000000012</v>
      </c>
      <c r="I108" s="8">
        <f>IF(S108=6,SUMPRODUCT(B108:G108,History!B108:G108),NA())</f>
        <v>489134.27899999998</v>
      </c>
      <c r="J108" s="8">
        <f t="shared" si="6"/>
        <v>544540.76699999999</v>
      </c>
      <c r="K108" s="8">
        <f>SUMIFS(Ledger!$L$7:$L$1006,Ledger!$C$7:$C$1006,Portfolio!$C$5,Ledger!$B$7:$B$1006,$A108)</f>
        <v>0</v>
      </c>
      <c r="L108" s="10">
        <f>IF(A108&lt;Holdings!$G$24,"",IF(A108=Holdings!$G$24,IF(K108&gt;0,J108/K108-1,NA()),IF(J107&gt;0,(J108-K108)/J107-1,NA())))</f>
        <v>-1.3341455060273288E-2</v>
      </c>
      <c r="M108" s="11">
        <f>IF(A108&lt;Holdings!$G$24,"",IF(A108=Holdings!$G$24,100*(1+L108),M107*(1+L108)))</f>
        <v>101.57020079085117</v>
      </c>
      <c r="N108" s="11">
        <f>IF(A108&lt;Holdings!$G$24,"",IF(A108=Holdings!$G$24,MAX(100,M108),MAX(N107,M108)))</f>
        <v>102.94361845014572</v>
      </c>
      <c r="O108" s="10">
        <f>IF(A108&lt;Holdings!$G$24,"",M108/N108-1)</f>
        <v>-1.3341455060273399E-2</v>
      </c>
      <c r="P108" s="11">
        <f>IF(A108&lt;Holdings!$G$24,"",IF(History!H108&gt;0,History!H108/INDEX(History!$H$7:$H$136,MATCH(Holdings!$G$24,History!$A$7:$A$136,0))*100,NA()))</f>
        <v>97.591399300000006</v>
      </c>
      <c r="Q108" s="10">
        <f>IF(A108&lt;=Holdings!$G$24,"",P108/P107-1)</f>
        <v>-1.299543146520199E-2</v>
      </c>
      <c r="R108" s="8">
        <f>IF(A108&gt;Portfolio!$J$5,0,-K108+IF(A108=Portfolio!$J$5,J108,0))</f>
        <v>0</v>
      </c>
      <c r="S108" s="1">
        <f>COUNTIFS(History!B108:G108,"&gt;0")</f>
        <v>6</v>
      </c>
      <c r="T108" s="1" t="str">
        <f t="shared" si="7"/>
        <v>11-Aug</v>
      </c>
      <c r="U108" s="10">
        <f>IF(AND(A108&lt;=Portfolio!$J$5,A108&gt;=Holdings!$G$24),O108,0)</f>
        <v>-1.3341455060273399E-2</v>
      </c>
      <c r="V108" s="12">
        <f>IF(AND(A108&gt;Holdings!$G$24,A108&lt;=Portfolio!$J$5),L108,"")</f>
        <v>-1.3341455060273288E-2</v>
      </c>
      <c r="W108" s="12">
        <f>IF(AND(A108&gt;Holdings!$G$24,A108&lt;=Portfolio!$J$5),Q108,"")</f>
        <v>-1.299543146520199E-2</v>
      </c>
    </row>
    <row r="109" spans="1:23" ht="20" customHeight="1" x14ac:dyDescent="0.35">
      <c r="A109" s="7">
        <v>46246</v>
      </c>
      <c r="B109" s="1">
        <f>SUMIFS(Ledger!$J$7:$J$1006,Ledger!$C$7:$C$1006,Portfolio!$C$5,Ledger!$E$7:$E$1006,History!B$6,Ledger!$B$7:$B$1006,"&lt;="&amp;$A109)</f>
        <v>100</v>
      </c>
      <c r="C109" s="1">
        <f>SUMIFS(Ledger!$J$7:$J$1006,Ledger!$C$7:$C$1006,Portfolio!$C$5,Ledger!$E$7:$E$1006,History!C$6,Ledger!$B$7:$B$1006,"&lt;="&amp;$A109)</f>
        <v>200</v>
      </c>
      <c r="D109" s="1">
        <f>SUMIFS(Ledger!$J$7:$J$1006,Ledger!$C$7:$C$1006,Portfolio!$C$5,Ledger!$E$7:$E$1006,History!D$6,Ledger!$B$7:$B$1006,"&lt;="&amp;$A109)</f>
        <v>80</v>
      </c>
      <c r="E109" s="1">
        <f>SUMIFS(Ledger!$J$7:$J$1006,Ledger!$C$7:$C$1006,Portfolio!$C$5,Ledger!$E$7:$E$1006,History!E$6,Ledger!$B$7:$B$1006,"&lt;="&amp;$A109)</f>
        <v>130</v>
      </c>
      <c r="F109" s="1">
        <f>SUMIFS(Ledger!$J$7:$J$1006,Ledger!$C$7:$C$1006,Portfolio!$C$5,Ledger!$E$7:$E$1006,History!F$6,Ledger!$B$7:$B$1006,"&lt;="&amp;$A109)</f>
        <v>480</v>
      </c>
      <c r="G109" s="1">
        <f>SUMIFS(Ledger!$J$7:$J$1006,Ledger!$C$7:$C$1006,Portfolio!$C$5,Ledger!$E$7:$E$1006,History!G$6,Ledger!$B$7:$B$1006,"&lt;="&amp;$A109)</f>
        <v>600</v>
      </c>
      <c r="H109" s="8">
        <f>SUMIFS(Ledger!$K$7:$K$1006,Ledger!$C$7:$C$1006,Portfolio!$C$5,Ledger!$B$7:$B$1006,"&lt;="&amp;$A109)</f>
        <v>55406.488000000012</v>
      </c>
      <c r="I109" s="8">
        <f>IF(S109=6,SUMPRODUCT(B109:G109,History!B109:G109),NA())</f>
        <v>492173.42399999994</v>
      </c>
      <c r="J109" s="8">
        <f t="shared" si="6"/>
        <v>547579.91200000001</v>
      </c>
      <c r="K109" s="8">
        <f>SUMIFS(Ledger!$L$7:$L$1006,Ledger!$C$7:$C$1006,Portfolio!$C$5,Ledger!$B$7:$B$1006,$A109)</f>
        <v>0</v>
      </c>
      <c r="L109" s="10">
        <f>IF(A109&lt;Holdings!$G$24,"",IF(A109=Holdings!$G$24,IF(K109&gt;0,J109/K109-1,NA()),IF(J108&gt;0,(J109-K109)/J108-1,NA())))</f>
        <v>5.5811156559377739E-3</v>
      </c>
      <c r="M109" s="11">
        <f>IF(A109&lt;Holdings!$G$24,"",IF(A109=Holdings!$G$24,100*(1+L109),M108*(1+L109)))</f>
        <v>102.13707582866174</v>
      </c>
      <c r="N109" s="11">
        <f>IF(A109&lt;Holdings!$G$24,"",IF(A109=Holdings!$G$24,MAX(100,M109),MAX(N108,M109)))</f>
        <v>102.94361845014572</v>
      </c>
      <c r="O109" s="10">
        <f>IF(A109&lt;Holdings!$G$24,"",M109/N109-1)</f>
        <v>-7.8347996080454507E-3</v>
      </c>
      <c r="P109" s="11">
        <f>IF(A109&lt;Holdings!$G$24,"",IF(History!H109&gt;0,History!H109/INDEX(History!$H$7:$H$136,MATCH(Holdings!$G$24,History!$A$7:$A$136,0))*100,NA()))</f>
        <v>97.841394199999996</v>
      </c>
      <c r="Q109" s="10">
        <f>IF(A109&lt;=Holdings!$G$24,"",P109/P108-1)</f>
        <v>2.5616488931723413E-3</v>
      </c>
      <c r="R109" s="8">
        <f>IF(A109&gt;Portfolio!$J$5,0,-K109+IF(A109=Portfolio!$J$5,J109,0))</f>
        <v>0</v>
      </c>
      <c r="S109" s="1">
        <f>COUNTIFS(History!B109:G109,"&gt;0")</f>
        <v>6</v>
      </c>
      <c r="T109" s="1" t="str">
        <f t="shared" si="7"/>
        <v>12-Aug</v>
      </c>
      <c r="U109" s="10">
        <f>IF(AND(A109&lt;=Portfolio!$J$5,A109&gt;=Holdings!$G$24),O109,0)</f>
        <v>-7.8347996080454507E-3</v>
      </c>
      <c r="V109" s="12">
        <f>IF(AND(A109&gt;Holdings!$G$24,A109&lt;=Portfolio!$J$5),L109,"")</f>
        <v>5.5811156559377739E-3</v>
      </c>
      <c r="W109" s="12">
        <f>IF(AND(A109&gt;Holdings!$G$24,A109&lt;=Portfolio!$J$5),Q109,"")</f>
        <v>2.5616488931723413E-3</v>
      </c>
    </row>
    <row r="110" spans="1:23" ht="20" customHeight="1" x14ac:dyDescent="0.35">
      <c r="A110" s="7">
        <v>46247</v>
      </c>
      <c r="B110" s="1">
        <f>SUMIFS(Ledger!$J$7:$J$1006,Ledger!$C$7:$C$1006,Portfolio!$C$5,Ledger!$E$7:$E$1006,History!B$6,Ledger!$B$7:$B$1006,"&lt;="&amp;$A110)</f>
        <v>100</v>
      </c>
      <c r="C110" s="1">
        <f>SUMIFS(Ledger!$J$7:$J$1006,Ledger!$C$7:$C$1006,Portfolio!$C$5,Ledger!$E$7:$E$1006,History!C$6,Ledger!$B$7:$B$1006,"&lt;="&amp;$A110)</f>
        <v>200</v>
      </c>
      <c r="D110" s="1">
        <f>SUMIFS(Ledger!$J$7:$J$1006,Ledger!$C$7:$C$1006,Portfolio!$C$5,Ledger!$E$7:$E$1006,History!D$6,Ledger!$B$7:$B$1006,"&lt;="&amp;$A110)</f>
        <v>80</v>
      </c>
      <c r="E110" s="1">
        <f>SUMIFS(Ledger!$J$7:$J$1006,Ledger!$C$7:$C$1006,Portfolio!$C$5,Ledger!$E$7:$E$1006,History!E$6,Ledger!$B$7:$B$1006,"&lt;="&amp;$A110)</f>
        <v>130</v>
      </c>
      <c r="F110" s="1">
        <f>SUMIFS(Ledger!$J$7:$J$1006,Ledger!$C$7:$C$1006,Portfolio!$C$5,Ledger!$E$7:$E$1006,History!F$6,Ledger!$B$7:$B$1006,"&lt;="&amp;$A110)</f>
        <v>480</v>
      </c>
      <c r="G110" s="1">
        <f>SUMIFS(Ledger!$J$7:$J$1006,Ledger!$C$7:$C$1006,Portfolio!$C$5,Ledger!$E$7:$E$1006,History!G$6,Ledger!$B$7:$B$1006,"&lt;="&amp;$A110)</f>
        <v>600</v>
      </c>
      <c r="H110" s="8">
        <f>SUMIFS(Ledger!$K$7:$K$1006,Ledger!$C$7:$C$1006,Portfolio!$C$5,Ledger!$B$7:$B$1006,"&lt;="&amp;$A110)</f>
        <v>55406.488000000012</v>
      </c>
      <c r="I110" s="8">
        <f>IF(S110=6,SUMPRODUCT(B110:G110,History!B110:G110),NA())</f>
        <v>493788.76799999998</v>
      </c>
      <c r="J110" s="8">
        <f t="shared" si="6"/>
        <v>549195.25600000005</v>
      </c>
      <c r="K110" s="8">
        <f>SUMIFS(Ledger!$L$7:$L$1006,Ledger!$C$7:$C$1006,Portfolio!$C$5,Ledger!$B$7:$B$1006,$A110)</f>
        <v>0</v>
      </c>
      <c r="L110" s="10">
        <f>IF(A110&lt;Holdings!$G$24,"",IF(A110=Holdings!$G$24,IF(K110&gt;0,J110/K110-1,NA()),IF(J109&gt;0,(J110-K110)/J109-1,NA())))</f>
        <v>2.9499694283892097E-3</v>
      </c>
      <c r="M110" s="11">
        <f>IF(A110&lt;Holdings!$G$24,"",IF(A110=Holdings!$G$24,100*(1+L110),M109*(1+L110)))</f>
        <v>102.43837707986135</v>
      </c>
      <c r="N110" s="11">
        <f>IF(A110&lt;Holdings!$G$24,"",IF(A110=Holdings!$G$24,MAX(100,M110),MAX(N109,M110)))</f>
        <v>102.94361845014572</v>
      </c>
      <c r="O110" s="10">
        <f>IF(A110&lt;Holdings!$G$24,"",M110/N110-1)</f>
        <v>-4.9079425989776437E-3</v>
      </c>
      <c r="P110" s="11">
        <f>IF(A110&lt;Holdings!$G$24,"",IF(History!H110&gt;0,History!H110/INDEX(History!$H$7:$H$136,MATCH(Holdings!$G$24,History!$A$7:$A$136,0))*100,NA()))</f>
        <v>98.308119500000004</v>
      </c>
      <c r="Q110" s="10">
        <f>IF(A110&lt;=Holdings!$G$24,"",P110/P109-1)</f>
        <v>4.770223317198008E-3</v>
      </c>
      <c r="R110" s="8">
        <f>IF(A110&gt;Portfolio!$J$5,0,-K110+IF(A110=Portfolio!$J$5,J110,0))</f>
        <v>0</v>
      </c>
      <c r="S110" s="1">
        <f>COUNTIFS(History!B110:G110,"&gt;0")</f>
        <v>6</v>
      </c>
      <c r="T110" s="1" t="str">
        <f t="shared" si="7"/>
        <v>13-Aug</v>
      </c>
      <c r="U110" s="10">
        <f>IF(AND(A110&lt;=Portfolio!$J$5,A110&gt;=Holdings!$G$24),O110,0)</f>
        <v>-4.9079425989776437E-3</v>
      </c>
      <c r="V110" s="12">
        <f>IF(AND(A110&gt;Holdings!$G$24,A110&lt;=Portfolio!$J$5),L110,"")</f>
        <v>2.9499694283892097E-3</v>
      </c>
      <c r="W110" s="12">
        <f>IF(AND(A110&gt;Holdings!$G$24,A110&lt;=Portfolio!$J$5),Q110,"")</f>
        <v>4.770223317198008E-3</v>
      </c>
    </row>
    <row r="111" spans="1:23" ht="20" customHeight="1" x14ac:dyDescent="0.35">
      <c r="A111" s="7">
        <v>46248</v>
      </c>
      <c r="B111" s="1">
        <f>SUMIFS(Ledger!$J$7:$J$1006,Ledger!$C$7:$C$1006,Portfolio!$C$5,Ledger!$E$7:$E$1006,History!B$6,Ledger!$B$7:$B$1006,"&lt;="&amp;$A111)</f>
        <v>100</v>
      </c>
      <c r="C111" s="1">
        <f>SUMIFS(Ledger!$J$7:$J$1006,Ledger!$C$7:$C$1006,Portfolio!$C$5,Ledger!$E$7:$E$1006,History!C$6,Ledger!$B$7:$B$1006,"&lt;="&amp;$A111)</f>
        <v>220</v>
      </c>
      <c r="D111" s="1">
        <f>SUMIFS(Ledger!$J$7:$J$1006,Ledger!$C$7:$C$1006,Portfolio!$C$5,Ledger!$E$7:$E$1006,History!D$6,Ledger!$B$7:$B$1006,"&lt;="&amp;$A111)</f>
        <v>80</v>
      </c>
      <c r="E111" s="1">
        <f>SUMIFS(Ledger!$J$7:$J$1006,Ledger!$C$7:$C$1006,Portfolio!$C$5,Ledger!$E$7:$E$1006,History!E$6,Ledger!$B$7:$B$1006,"&lt;="&amp;$A111)</f>
        <v>130</v>
      </c>
      <c r="F111" s="1">
        <f>SUMIFS(Ledger!$J$7:$J$1006,Ledger!$C$7:$C$1006,Portfolio!$C$5,Ledger!$E$7:$E$1006,History!F$6,Ledger!$B$7:$B$1006,"&lt;="&amp;$A111)</f>
        <v>480</v>
      </c>
      <c r="G111" s="1">
        <f>SUMIFS(Ledger!$J$7:$J$1006,Ledger!$C$7:$C$1006,Portfolio!$C$5,Ledger!$E$7:$E$1006,History!G$6,Ledger!$B$7:$B$1006,"&lt;="&amp;$A111)</f>
        <v>600</v>
      </c>
      <c r="H111" s="8">
        <f>SUMIFS(Ledger!$K$7:$K$1006,Ledger!$C$7:$C$1006,Portfolio!$C$5,Ledger!$B$7:$B$1006,"&lt;="&amp;$A111)</f>
        <v>43923.58400000001</v>
      </c>
      <c r="I111" s="8">
        <f>IF(S111=6,SUMPRODUCT(B111:G111,History!B111:G111),NA())</f>
        <v>507044.56000000006</v>
      </c>
      <c r="J111" s="8">
        <f t="shared" si="6"/>
        <v>550968.14400000009</v>
      </c>
      <c r="K111" s="8">
        <f>SUMIFS(Ledger!$L$7:$L$1006,Ledger!$C$7:$C$1006,Portfolio!$C$5,Ledger!$B$7:$B$1006,$A111)</f>
        <v>0</v>
      </c>
      <c r="L111" s="10">
        <f>IF(A111&lt;Holdings!$G$24,"",IF(A111=Holdings!$G$24,IF(K111&gt;0,J111/K111-1,NA()),IF(J110&gt;0,(J111-K111)/J110-1,NA())))</f>
        <v>3.2281560713263158E-3</v>
      </c>
      <c r="M111" s="11">
        <f>IF(A111&lt;Holdings!$G$24,"",IF(A111=Holdings!$G$24,100*(1+L111),M110*(1+L111)))</f>
        <v>102.76906414876852</v>
      </c>
      <c r="N111" s="11">
        <f>IF(A111&lt;Holdings!$G$24,"",IF(A111=Holdings!$G$24,MAX(100,M111),MAX(N110,M111)))</f>
        <v>102.94361845014572</v>
      </c>
      <c r="O111" s="10">
        <f>IF(A111&lt;Holdings!$G$24,"",M111/N111-1)</f>
        <v>-1.6956301323498568E-3</v>
      </c>
      <c r="P111" s="11">
        <f>IF(A111&lt;Holdings!$G$24,"",IF(History!H111&gt;0,History!H111/INDEX(History!$H$7:$H$136,MATCH(Holdings!$G$24,History!$A$7:$A$136,0))*100,NA()))</f>
        <v>98.554955800000002</v>
      </c>
      <c r="Q111" s="10">
        <f>IF(A111&lt;=Holdings!$G$24,"",P111/P110-1)</f>
        <v>2.5108434710725547E-3</v>
      </c>
      <c r="R111" s="8">
        <f>IF(A111&gt;Portfolio!$J$5,0,-K111+IF(A111=Portfolio!$J$5,J111,0))</f>
        <v>0</v>
      </c>
      <c r="S111" s="1">
        <f>COUNTIFS(History!B111:G111,"&gt;0")</f>
        <v>6</v>
      </c>
      <c r="T111" s="1" t="str">
        <f t="shared" si="7"/>
        <v>14-Aug</v>
      </c>
      <c r="U111" s="10">
        <f>IF(AND(A111&lt;=Portfolio!$J$5,A111&gt;=Holdings!$G$24),O111,0)</f>
        <v>-1.6956301323498568E-3</v>
      </c>
      <c r="V111" s="12">
        <f>IF(AND(A111&gt;Holdings!$G$24,A111&lt;=Portfolio!$J$5),L111,"")</f>
        <v>3.2281560713263158E-3</v>
      </c>
      <c r="W111" s="12">
        <f>IF(AND(A111&gt;Holdings!$G$24,A111&lt;=Portfolio!$J$5),Q111,"")</f>
        <v>2.5108434710725547E-3</v>
      </c>
    </row>
    <row r="112" spans="1:23" ht="20" customHeight="1" x14ac:dyDescent="0.35">
      <c r="A112" s="7">
        <v>46251</v>
      </c>
      <c r="B112" s="1">
        <f>SUMIFS(Ledger!$J$7:$J$1006,Ledger!$C$7:$C$1006,Portfolio!$C$5,Ledger!$E$7:$E$1006,History!B$6,Ledger!$B$7:$B$1006,"&lt;="&amp;$A112)</f>
        <v>100</v>
      </c>
      <c r="C112" s="1">
        <f>SUMIFS(Ledger!$J$7:$J$1006,Ledger!$C$7:$C$1006,Portfolio!$C$5,Ledger!$E$7:$E$1006,History!C$6,Ledger!$B$7:$B$1006,"&lt;="&amp;$A112)</f>
        <v>220</v>
      </c>
      <c r="D112" s="1">
        <f>SUMIFS(Ledger!$J$7:$J$1006,Ledger!$C$7:$C$1006,Portfolio!$C$5,Ledger!$E$7:$E$1006,History!D$6,Ledger!$B$7:$B$1006,"&lt;="&amp;$A112)</f>
        <v>80</v>
      </c>
      <c r="E112" s="1">
        <f>SUMIFS(Ledger!$J$7:$J$1006,Ledger!$C$7:$C$1006,Portfolio!$C$5,Ledger!$E$7:$E$1006,History!E$6,Ledger!$B$7:$B$1006,"&lt;="&amp;$A112)</f>
        <v>130</v>
      </c>
      <c r="F112" s="1">
        <f>SUMIFS(Ledger!$J$7:$J$1006,Ledger!$C$7:$C$1006,Portfolio!$C$5,Ledger!$E$7:$E$1006,History!F$6,Ledger!$B$7:$B$1006,"&lt;="&amp;$A112)</f>
        <v>480</v>
      </c>
      <c r="G112" s="1">
        <f>SUMIFS(Ledger!$J$7:$J$1006,Ledger!$C$7:$C$1006,Portfolio!$C$5,Ledger!$E$7:$E$1006,History!G$6,Ledger!$B$7:$B$1006,"&lt;="&amp;$A112)</f>
        <v>600</v>
      </c>
      <c r="H112" s="8">
        <f>SUMIFS(Ledger!$K$7:$K$1006,Ledger!$C$7:$C$1006,Portfolio!$C$5,Ledger!$B$7:$B$1006,"&lt;="&amp;$A112)</f>
        <v>43923.58400000001</v>
      </c>
      <c r="I112" s="8">
        <f>IF(S112=6,SUMPRODUCT(B112:G112,History!B112:G112),NA())</f>
        <v>499839.03500000003</v>
      </c>
      <c r="J112" s="8">
        <f t="shared" si="6"/>
        <v>543762.61900000006</v>
      </c>
      <c r="K112" s="8">
        <f>SUMIFS(Ledger!$L$7:$L$1006,Ledger!$C$7:$C$1006,Portfolio!$C$5,Ledger!$B$7:$B$1006,$A112)</f>
        <v>0</v>
      </c>
      <c r="L112" s="10">
        <f>IF(A112&lt;Holdings!$G$24,"",IF(A112=Holdings!$G$24,IF(K112&gt;0,J112/K112-1,NA()),IF(J111&gt;0,(J112-K112)/J111-1,NA())))</f>
        <v>-1.3077933957648225E-2</v>
      </c>
      <c r="M112" s="11">
        <f>IF(A112&lt;Holdings!$G$24,"",IF(A112=Holdings!$G$24,100*(1+L112),M111*(1+L112)))</f>
        <v>101.42505711494161</v>
      </c>
      <c r="N112" s="11">
        <f>IF(A112&lt;Holdings!$G$24,"",IF(A112=Holdings!$G$24,MAX(100,M112),MAX(N111,M112)))</f>
        <v>102.94361845014572</v>
      </c>
      <c r="O112" s="10">
        <f>IF(A112&lt;Holdings!$G$24,"",M112/N112-1)</f>
        <v>-1.4751388751110706E-2</v>
      </c>
      <c r="P112" s="11">
        <f>IF(A112&lt;Holdings!$G$24,"",IF(History!H112&gt;0,History!H112/INDEX(History!$H$7:$H$136,MATCH(Holdings!$G$24,History!$A$7:$A$136,0))*100,NA()))</f>
        <v>97.3258321</v>
      </c>
      <c r="Q112" s="10">
        <f>IF(A112&lt;=Holdings!$G$24,"",P112/P111-1)</f>
        <v>-1.2471455037677548E-2</v>
      </c>
      <c r="R112" s="8">
        <f>IF(A112&gt;Portfolio!$J$5,0,-K112+IF(A112=Portfolio!$J$5,J112,0))</f>
        <v>0</v>
      </c>
      <c r="S112" s="1">
        <f>COUNTIFS(History!B112:G112,"&gt;0")</f>
        <v>6</v>
      </c>
      <c r="T112" s="1" t="str">
        <f t="shared" si="7"/>
        <v>17-Aug</v>
      </c>
      <c r="U112" s="10">
        <f>IF(AND(A112&lt;=Portfolio!$J$5,A112&gt;=Holdings!$G$24),O112,0)</f>
        <v>-1.4751388751110706E-2</v>
      </c>
      <c r="V112" s="12">
        <f>IF(AND(A112&gt;Holdings!$G$24,A112&lt;=Portfolio!$J$5),L112,"")</f>
        <v>-1.3077933957648225E-2</v>
      </c>
      <c r="W112" s="12">
        <f>IF(AND(A112&gt;Holdings!$G$24,A112&lt;=Portfolio!$J$5),Q112,"")</f>
        <v>-1.2471455037677548E-2</v>
      </c>
    </row>
    <row r="113" spans="1:23" ht="20" customHeight="1" x14ac:dyDescent="0.35">
      <c r="A113" s="7">
        <v>46252</v>
      </c>
      <c r="B113" s="1">
        <f>SUMIFS(Ledger!$J$7:$J$1006,Ledger!$C$7:$C$1006,Portfolio!$C$5,Ledger!$E$7:$E$1006,History!B$6,Ledger!$B$7:$B$1006,"&lt;="&amp;$A113)</f>
        <v>100</v>
      </c>
      <c r="C113" s="1">
        <f>SUMIFS(Ledger!$J$7:$J$1006,Ledger!$C$7:$C$1006,Portfolio!$C$5,Ledger!$E$7:$E$1006,History!C$6,Ledger!$B$7:$B$1006,"&lt;="&amp;$A113)</f>
        <v>220</v>
      </c>
      <c r="D113" s="1">
        <f>SUMIFS(Ledger!$J$7:$J$1006,Ledger!$C$7:$C$1006,Portfolio!$C$5,Ledger!$E$7:$E$1006,History!D$6,Ledger!$B$7:$B$1006,"&lt;="&amp;$A113)</f>
        <v>80</v>
      </c>
      <c r="E113" s="1">
        <f>SUMIFS(Ledger!$J$7:$J$1006,Ledger!$C$7:$C$1006,Portfolio!$C$5,Ledger!$E$7:$E$1006,History!E$6,Ledger!$B$7:$B$1006,"&lt;="&amp;$A113)</f>
        <v>130</v>
      </c>
      <c r="F113" s="1">
        <f>SUMIFS(Ledger!$J$7:$J$1006,Ledger!$C$7:$C$1006,Portfolio!$C$5,Ledger!$E$7:$E$1006,History!F$6,Ledger!$B$7:$B$1006,"&lt;="&amp;$A113)</f>
        <v>480</v>
      </c>
      <c r="G113" s="1">
        <f>SUMIFS(Ledger!$J$7:$J$1006,Ledger!$C$7:$C$1006,Portfolio!$C$5,Ledger!$E$7:$E$1006,History!G$6,Ledger!$B$7:$B$1006,"&lt;="&amp;$A113)</f>
        <v>600</v>
      </c>
      <c r="H113" s="8">
        <f>SUMIFS(Ledger!$K$7:$K$1006,Ledger!$C$7:$C$1006,Portfolio!$C$5,Ledger!$B$7:$B$1006,"&lt;="&amp;$A113)</f>
        <v>43923.58400000001</v>
      </c>
      <c r="I113" s="8">
        <f>IF(S113=6,SUMPRODUCT(B113:G113,History!B113:G113),NA())</f>
        <v>499244.00799999997</v>
      </c>
      <c r="J113" s="8">
        <f t="shared" si="6"/>
        <v>543167.59199999995</v>
      </c>
      <c r="K113" s="8">
        <f>SUMIFS(Ledger!$L$7:$L$1006,Ledger!$C$7:$C$1006,Portfolio!$C$5,Ledger!$B$7:$B$1006,$A113)</f>
        <v>0</v>
      </c>
      <c r="L113" s="10">
        <f>IF(A113&lt;Holdings!$G$24,"",IF(A113=Holdings!$G$24,IF(K113&gt;0,J113/K113-1,NA()),IF(J112&gt;0,(J113-K113)/J112-1,NA())))</f>
        <v>-1.094277133456445E-3</v>
      </c>
      <c r="M113" s="11">
        <f>IF(A113&lt;Holdings!$G$24,"",IF(A113=Holdings!$G$24,100*(1+L113),M112*(1+L113)))</f>
        <v>101.31406999418121</v>
      </c>
      <c r="N113" s="11">
        <f>IF(A113&lt;Holdings!$G$24,"",IF(A113=Holdings!$G$24,MAX(100,M113),MAX(N112,M113)))</f>
        <v>102.94361845014572</v>
      </c>
      <c r="O113" s="10">
        <f>IF(A113&lt;Holdings!$G$24,"",M113/N113-1)</f>
        <v>-1.5829523777170174E-2</v>
      </c>
      <c r="P113" s="11">
        <f>IF(A113&lt;Holdings!$G$24,"",IF(History!H113&gt;0,History!H113/INDEX(History!$H$7:$H$136,MATCH(Holdings!$G$24,History!$A$7:$A$136,0))*100,NA()))</f>
        <v>97.415992599999996</v>
      </c>
      <c r="Q113" s="10">
        <f>IF(A113&lt;=Holdings!$G$24,"",P113/P112-1)</f>
        <v>9.2637790044647339E-4</v>
      </c>
      <c r="R113" s="8">
        <f>IF(A113&gt;Portfolio!$J$5,0,-K113+IF(A113=Portfolio!$J$5,J113,0))</f>
        <v>0</v>
      </c>
      <c r="S113" s="1">
        <f>COUNTIFS(History!B113:G113,"&gt;0")</f>
        <v>6</v>
      </c>
      <c r="T113" s="1" t="str">
        <f t="shared" si="7"/>
        <v>18-Aug</v>
      </c>
      <c r="U113" s="10">
        <f>IF(AND(A113&lt;=Portfolio!$J$5,A113&gt;=Holdings!$G$24),O113,0)</f>
        <v>-1.5829523777170174E-2</v>
      </c>
      <c r="V113" s="12">
        <f>IF(AND(A113&gt;Holdings!$G$24,A113&lt;=Portfolio!$J$5),L113,"")</f>
        <v>-1.094277133456445E-3</v>
      </c>
      <c r="W113" s="12">
        <f>IF(AND(A113&gt;Holdings!$G$24,A113&lt;=Portfolio!$J$5),Q113,"")</f>
        <v>9.2637790044647339E-4</v>
      </c>
    </row>
    <row r="114" spans="1:23" ht="20" customHeight="1" x14ac:dyDescent="0.35">
      <c r="A114" s="7">
        <v>46253</v>
      </c>
      <c r="B114" s="1">
        <f>SUMIFS(Ledger!$J$7:$J$1006,Ledger!$C$7:$C$1006,Portfolio!$C$5,Ledger!$E$7:$E$1006,History!B$6,Ledger!$B$7:$B$1006,"&lt;="&amp;$A114)</f>
        <v>100</v>
      </c>
      <c r="C114" s="1">
        <f>SUMIFS(Ledger!$J$7:$J$1006,Ledger!$C$7:$C$1006,Portfolio!$C$5,Ledger!$E$7:$E$1006,History!C$6,Ledger!$B$7:$B$1006,"&lt;="&amp;$A114)</f>
        <v>220</v>
      </c>
      <c r="D114" s="1">
        <f>SUMIFS(Ledger!$J$7:$J$1006,Ledger!$C$7:$C$1006,Portfolio!$C$5,Ledger!$E$7:$E$1006,History!D$6,Ledger!$B$7:$B$1006,"&lt;="&amp;$A114)</f>
        <v>80</v>
      </c>
      <c r="E114" s="1">
        <f>SUMIFS(Ledger!$J$7:$J$1006,Ledger!$C$7:$C$1006,Portfolio!$C$5,Ledger!$E$7:$E$1006,History!E$6,Ledger!$B$7:$B$1006,"&lt;="&amp;$A114)</f>
        <v>130</v>
      </c>
      <c r="F114" s="1">
        <f>SUMIFS(Ledger!$J$7:$J$1006,Ledger!$C$7:$C$1006,Portfolio!$C$5,Ledger!$E$7:$E$1006,History!F$6,Ledger!$B$7:$B$1006,"&lt;="&amp;$A114)</f>
        <v>480</v>
      </c>
      <c r="G114" s="1">
        <f>SUMIFS(Ledger!$J$7:$J$1006,Ledger!$C$7:$C$1006,Portfolio!$C$5,Ledger!$E$7:$E$1006,History!G$6,Ledger!$B$7:$B$1006,"&lt;="&amp;$A114)</f>
        <v>600</v>
      </c>
      <c r="H114" s="8">
        <f>SUMIFS(Ledger!$K$7:$K$1006,Ledger!$C$7:$C$1006,Portfolio!$C$5,Ledger!$B$7:$B$1006,"&lt;="&amp;$A114)</f>
        <v>43923.58400000001</v>
      </c>
      <c r="I114" s="8">
        <f>IF(S114=6,SUMPRODUCT(B114:G114,History!B114:G114),NA())</f>
        <v>498943.93499999994</v>
      </c>
      <c r="J114" s="8">
        <f t="shared" si="6"/>
        <v>542867.51899999997</v>
      </c>
      <c r="K114" s="8">
        <f>SUMIFS(Ledger!$L$7:$L$1006,Ledger!$C$7:$C$1006,Portfolio!$C$5,Ledger!$B$7:$B$1006,$A114)</f>
        <v>0</v>
      </c>
      <c r="L114" s="10">
        <f>IF(A114&lt;Holdings!$G$24,"",IF(A114=Holdings!$G$24,IF(K114&gt;0,J114/K114-1,NA()),IF(J113&gt;0,(J114-K114)/J113-1,NA())))</f>
        <v>-5.5245011745841399E-4</v>
      </c>
      <c r="M114" s="11">
        <f>IF(A114&lt;Holdings!$G$24,"",IF(A114=Holdings!$G$24,100*(1+L114),M113*(1+L114)))</f>
        <v>101.25809902431274</v>
      </c>
      <c r="N114" s="11">
        <f>IF(A114&lt;Holdings!$G$24,"",IF(A114=Holdings!$G$24,MAX(100,M114),MAX(N113,M114)))</f>
        <v>102.94361845014572</v>
      </c>
      <c r="O114" s="10">
        <f>IF(A114&lt;Holdings!$G$24,"",M114/N114-1)</f>
        <v>-1.6373228872358481E-2</v>
      </c>
      <c r="P114" s="11">
        <f>IF(A114&lt;Holdings!$G$24,"",IF(History!H114&gt;0,History!H114/INDEX(History!$H$7:$H$136,MATCH(Holdings!$G$24,History!$A$7:$A$136,0))*100,NA()))</f>
        <v>97.739345700000001</v>
      </c>
      <c r="Q114" s="10">
        <f>IF(A114&lt;=Holdings!$G$24,"",P114/P113-1)</f>
        <v>3.3193020095552139E-3</v>
      </c>
      <c r="R114" s="8">
        <f>IF(A114&gt;Portfolio!$J$5,0,-K114+IF(A114=Portfolio!$J$5,J114,0))</f>
        <v>0</v>
      </c>
      <c r="S114" s="1">
        <f>COUNTIFS(History!B114:G114,"&gt;0")</f>
        <v>6</v>
      </c>
      <c r="T114" s="1" t="str">
        <f t="shared" si="7"/>
        <v>19-Aug</v>
      </c>
      <c r="U114" s="10">
        <f>IF(AND(A114&lt;=Portfolio!$J$5,A114&gt;=Holdings!$G$24),O114,0)</f>
        <v>-1.6373228872358481E-2</v>
      </c>
      <c r="V114" s="12">
        <f>IF(AND(A114&gt;Holdings!$G$24,A114&lt;=Portfolio!$J$5),L114,"")</f>
        <v>-5.5245011745841399E-4</v>
      </c>
      <c r="W114" s="12">
        <f>IF(AND(A114&gt;Holdings!$G$24,A114&lt;=Portfolio!$J$5),Q114,"")</f>
        <v>3.3193020095552139E-3</v>
      </c>
    </row>
    <row r="115" spans="1:23" ht="20" customHeight="1" x14ac:dyDescent="0.35">
      <c r="A115" s="7">
        <v>46254</v>
      </c>
      <c r="B115" s="1">
        <f>SUMIFS(Ledger!$J$7:$J$1006,Ledger!$C$7:$C$1006,Portfolio!$C$5,Ledger!$E$7:$E$1006,History!B$6,Ledger!$B$7:$B$1006,"&lt;="&amp;$A115)</f>
        <v>100</v>
      </c>
      <c r="C115" s="1">
        <f>SUMIFS(Ledger!$J$7:$J$1006,Ledger!$C$7:$C$1006,Portfolio!$C$5,Ledger!$E$7:$E$1006,History!C$6,Ledger!$B$7:$B$1006,"&lt;="&amp;$A115)</f>
        <v>220</v>
      </c>
      <c r="D115" s="1">
        <f>SUMIFS(Ledger!$J$7:$J$1006,Ledger!$C$7:$C$1006,Portfolio!$C$5,Ledger!$E$7:$E$1006,History!D$6,Ledger!$B$7:$B$1006,"&lt;="&amp;$A115)</f>
        <v>80</v>
      </c>
      <c r="E115" s="1">
        <f>SUMIFS(Ledger!$J$7:$J$1006,Ledger!$C$7:$C$1006,Portfolio!$C$5,Ledger!$E$7:$E$1006,History!E$6,Ledger!$B$7:$B$1006,"&lt;="&amp;$A115)</f>
        <v>130</v>
      </c>
      <c r="F115" s="1">
        <f>SUMIFS(Ledger!$J$7:$J$1006,Ledger!$C$7:$C$1006,Portfolio!$C$5,Ledger!$E$7:$E$1006,History!F$6,Ledger!$B$7:$B$1006,"&lt;="&amp;$A115)</f>
        <v>480</v>
      </c>
      <c r="G115" s="1">
        <f>SUMIFS(Ledger!$J$7:$J$1006,Ledger!$C$7:$C$1006,Portfolio!$C$5,Ledger!$E$7:$E$1006,History!G$6,Ledger!$B$7:$B$1006,"&lt;="&amp;$A115)</f>
        <v>600</v>
      </c>
      <c r="H115" s="8">
        <f>SUMIFS(Ledger!$K$7:$K$1006,Ledger!$C$7:$C$1006,Portfolio!$C$5,Ledger!$B$7:$B$1006,"&lt;="&amp;$A115)</f>
        <v>43923.58400000001</v>
      </c>
      <c r="I115" s="8">
        <f>IF(S115=6,SUMPRODUCT(B115:G115,History!B115:G115),NA())</f>
        <v>500051.42499999999</v>
      </c>
      <c r="J115" s="8">
        <f t="shared" si="6"/>
        <v>543975.00899999996</v>
      </c>
      <c r="K115" s="8">
        <f>SUMIFS(Ledger!$L$7:$L$1006,Ledger!$C$7:$C$1006,Portfolio!$C$5,Ledger!$B$7:$B$1006,$A115)</f>
        <v>0</v>
      </c>
      <c r="L115" s="10">
        <f>IF(A115&lt;Holdings!$G$24,"",IF(A115=Holdings!$G$24,IF(K115&gt;0,J115/K115-1,NA()),IF(J114&gt;0,(J115-K115)/J114-1,NA())))</f>
        <v>2.040074164024519E-3</v>
      </c>
      <c r="M115" s="11">
        <f>IF(A115&lt;Holdings!$G$24,"",IF(A115=Holdings!$G$24,100*(1+L115),M114*(1+L115)))</f>
        <v>101.46467305603048</v>
      </c>
      <c r="N115" s="11">
        <f>IF(A115&lt;Holdings!$G$24,"",IF(A115=Holdings!$G$24,MAX(100,M115),MAX(N114,M115)))</f>
        <v>102.94361845014572</v>
      </c>
      <c r="O115" s="10">
        <f>IF(A115&lt;Holdings!$G$24,"",M115/N115-1)</f>
        <v>-1.4366557309538064E-2</v>
      </c>
      <c r="P115" s="11">
        <f>IF(A115&lt;Holdings!$G$24,"",IF(History!H115&gt;0,History!H115/INDEX(History!$H$7:$H$136,MATCH(Holdings!$G$24,History!$A$7:$A$136,0))*100,NA()))</f>
        <v>98.099471200000011</v>
      </c>
      <c r="Q115" s="10">
        <f>IF(A115&lt;=Holdings!$G$24,"",P115/P114-1)</f>
        <v>3.6845499365769641E-3</v>
      </c>
      <c r="R115" s="8">
        <f>IF(A115&gt;Portfolio!$J$5,0,-K115+IF(A115=Portfolio!$J$5,J115,0))</f>
        <v>0</v>
      </c>
      <c r="S115" s="1">
        <f>COUNTIFS(History!B115:G115,"&gt;0")</f>
        <v>6</v>
      </c>
      <c r="T115" s="1" t="str">
        <f t="shared" si="7"/>
        <v>20-Aug</v>
      </c>
      <c r="U115" s="10">
        <f>IF(AND(A115&lt;=Portfolio!$J$5,A115&gt;=Holdings!$G$24),O115,0)</f>
        <v>-1.4366557309538064E-2</v>
      </c>
      <c r="V115" s="12">
        <f>IF(AND(A115&gt;Holdings!$G$24,A115&lt;=Portfolio!$J$5),L115,"")</f>
        <v>2.040074164024519E-3</v>
      </c>
      <c r="W115" s="12">
        <f>IF(AND(A115&gt;Holdings!$G$24,A115&lt;=Portfolio!$J$5),Q115,"")</f>
        <v>3.6845499365769641E-3</v>
      </c>
    </row>
    <row r="116" spans="1:23" ht="20" customHeight="1" x14ac:dyDescent="0.35">
      <c r="A116" s="7">
        <v>46255</v>
      </c>
      <c r="B116" s="1">
        <f>SUMIFS(Ledger!$J$7:$J$1006,Ledger!$C$7:$C$1006,Portfolio!$C$5,Ledger!$E$7:$E$1006,History!B$6,Ledger!$B$7:$B$1006,"&lt;="&amp;$A116)</f>
        <v>100</v>
      </c>
      <c r="C116" s="1">
        <f>SUMIFS(Ledger!$J$7:$J$1006,Ledger!$C$7:$C$1006,Portfolio!$C$5,Ledger!$E$7:$E$1006,History!C$6,Ledger!$B$7:$B$1006,"&lt;="&amp;$A116)</f>
        <v>220</v>
      </c>
      <c r="D116" s="1">
        <f>SUMIFS(Ledger!$J$7:$J$1006,Ledger!$C$7:$C$1006,Portfolio!$C$5,Ledger!$E$7:$E$1006,History!D$6,Ledger!$B$7:$B$1006,"&lt;="&amp;$A116)</f>
        <v>80</v>
      </c>
      <c r="E116" s="1">
        <f>SUMIFS(Ledger!$J$7:$J$1006,Ledger!$C$7:$C$1006,Portfolio!$C$5,Ledger!$E$7:$E$1006,History!E$6,Ledger!$B$7:$B$1006,"&lt;="&amp;$A116)</f>
        <v>130</v>
      </c>
      <c r="F116" s="1">
        <f>SUMIFS(Ledger!$J$7:$J$1006,Ledger!$C$7:$C$1006,Portfolio!$C$5,Ledger!$E$7:$E$1006,History!F$6,Ledger!$B$7:$B$1006,"&lt;="&amp;$A116)</f>
        <v>480</v>
      </c>
      <c r="G116" s="1">
        <f>SUMIFS(Ledger!$J$7:$J$1006,Ledger!$C$7:$C$1006,Portfolio!$C$5,Ledger!$E$7:$E$1006,History!G$6,Ledger!$B$7:$B$1006,"&lt;="&amp;$A116)</f>
        <v>600</v>
      </c>
      <c r="H116" s="8">
        <f>SUMIFS(Ledger!$K$7:$K$1006,Ledger!$C$7:$C$1006,Portfolio!$C$5,Ledger!$B$7:$B$1006,"&lt;="&amp;$A116)</f>
        <v>43923.58400000001</v>
      </c>
      <c r="I116" s="8">
        <f>IF(S116=6,SUMPRODUCT(B116:G116,History!B116:G116),NA())</f>
        <v>497289.81599999999</v>
      </c>
      <c r="J116" s="8">
        <f t="shared" si="6"/>
        <v>541213.4</v>
      </c>
      <c r="K116" s="8">
        <f>SUMIFS(Ledger!$L$7:$L$1006,Ledger!$C$7:$C$1006,Portfolio!$C$5,Ledger!$B$7:$B$1006,$A116)</f>
        <v>0</v>
      </c>
      <c r="L116" s="10">
        <f>IF(A116&lt;Holdings!$G$24,"",IF(A116=Holdings!$G$24,IF(K116&gt;0,J116/K116-1,NA()),IF(J115&gt;0,(J116-K116)/J115-1,NA())))</f>
        <v>-5.0767203535262428E-3</v>
      </c>
      <c r="M116" s="11">
        <f>IF(A116&lt;Holdings!$G$24,"",IF(A116=Holdings!$G$24,100*(1+L116),M115*(1+L116)))</f>
        <v>100.94956528516305</v>
      </c>
      <c r="N116" s="11">
        <f>IF(A116&lt;Holdings!$G$24,"",IF(A116=Holdings!$G$24,MAX(100,M116),MAX(N115,M116)))</f>
        <v>102.94361845014572</v>
      </c>
      <c r="O116" s="10">
        <f>IF(A116&lt;Holdings!$G$24,"",M116/N116-1)</f>
        <v>-1.9370342669160823E-2</v>
      </c>
      <c r="P116" s="11">
        <f>IF(A116&lt;Holdings!$G$24,"",IF(History!H116&gt;0,History!H116/INDEX(History!$H$7:$H$136,MATCH(Holdings!$G$24,History!$A$7:$A$136,0))*100,NA()))</f>
        <v>97.847237500000006</v>
      </c>
      <c r="Q116" s="10">
        <f>IF(A116&lt;=Holdings!$G$24,"",P116/P115-1)</f>
        <v>-2.5712034623077695E-3</v>
      </c>
      <c r="R116" s="8">
        <f>IF(A116&gt;Portfolio!$J$5,0,-K116+IF(A116=Portfolio!$J$5,J116,0))</f>
        <v>0</v>
      </c>
      <c r="S116" s="1">
        <f>COUNTIFS(History!B116:G116,"&gt;0")</f>
        <v>6</v>
      </c>
      <c r="T116" s="1" t="str">
        <f t="shared" si="7"/>
        <v>21-Aug</v>
      </c>
      <c r="U116" s="10">
        <f>IF(AND(A116&lt;=Portfolio!$J$5,A116&gt;=Holdings!$G$24),O116,0)</f>
        <v>-1.9370342669160823E-2</v>
      </c>
      <c r="V116" s="12">
        <f>IF(AND(A116&gt;Holdings!$G$24,A116&lt;=Portfolio!$J$5),L116,"")</f>
        <v>-5.0767203535262428E-3</v>
      </c>
      <c r="W116" s="12">
        <f>IF(AND(A116&gt;Holdings!$G$24,A116&lt;=Portfolio!$J$5),Q116,"")</f>
        <v>-2.5712034623077695E-3</v>
      </c>
    </row>
    <row r="117" spans="1:23" ht="20" customHeight="1" x14ac:dyDescent="0.35">
      <c r="A117" s="7">
        <v>46258</v>
      </c>
      <c r="B117" s="1">
        <f>SUMIFS(Ledger!$J$7:$J$1006,Ledger!$C$7:$C$1006,Portfolio!$C$5,Ledger!$E$7:$E$1006,History!B$6,Ledger!$B$7:$B$1006,"&lt;="&amp;$A117)</f>
        <v>100</v>
      </c>
      <c r="C117" s="1">
        <f>SUMIFS(Ledger!$J$7:$J$1006,Ledger!$C$7:$C$1006,Portfolio!$C$5,Ledger!$E$7:$E$1006,History!C$6,Ledger!$B$7:$B$1006,"&lt;="&amp;$A117)</f>
        <v>220</v>
      </c>
      <c r="D117" s="1">
        <f>SUMIFS(Ledger!$J$7:$J$1006,Ledger!$C$7:$C$1006,Portfolio!$C$5,Ledger!$E$7:$E$1006,History!D$6,Ledger!$B$7:$B$1006,"&lt;="&amp;$A117)</f>
        <v>80</v>
      </c>
      <c r="E117" s="1">
        <f>SUMIFS(Ledger!$J$7:$J$1006,Ledger!$C$7:$C$1006,Portfolio!$C$5,Ledger!$E$7:$E$1006,History!E$6,Ledger!$B$7:$B$1006,"&lt;="&amp;$A117)</f>
        <v>130</v>
      </c>
      <c r="F117" s="1">
        <f>SUMIFS(Ledger!$J$7:$J$1006,Ledger!$C$7:$C$1006,Portfolio!$C$5,Ledger!$E$7:$E$1006,History!F$6,Ledger!$B$7:$B$1006,"&lt;="&amp;$A117)</f>
        <v>480</v>
      </c>
      <c r="G117" s="1">
        <f>SUMIFS(Ledger!$J$7:$J$1006,Ledger!$C$7:$C$1006,Portfolio!$C$5,Ledger!$E$7:$E$1006,History!G$6,Ledger!$B$7:$B$1006,"&lt;="&amp;$A117)</f>
        <v>600</v>
      </c>
      <c r="H117" s="8">
        <f>SUMIFS(Ledger!$K$7:$K$1006,Ledger!$C$7:$C$1006,Portfolio!$C$5,Ledger!$B$7:$B$1006,"&lt;="&amp;$A117)</f>
        <v>43923.58400000001</v>
      </c>
      <c r="I117" s="8">
        <f>IF(S117=6,SUMPRODUCT(B117:G117,History!B117:G117),NA())</f>
        <v>498931.17799999996</v>
      </c>
      <c r="J117" s="8">
        <f t="shared" si="6"/>
        <v>542854.76199999999</v>
      </c>
      <c r="K117" s="8">
        <f>SUMIFS(Ledger!$L$7:$L$1006,Ledger!$C$7:$C$1006,Portfolio!$C$5,Ledger!$B$7:$B$1006,$A117)</f>
        <v>0</v>
      </c>
      <c r="L117" s="10">
        <f>IF(A117&lt;Holdings!$G$24,"",IF(A117=Holdings!$G$24,IF(K117&gt;0,J117/K117-1,NA()),IF(J116&gt;0,(J117-K117)/J116-1,NA())))</f>
        <v>3.0327445698867805E-3</v>
      </c>
      <c r="M117" s="11">
        <f>IF(A117&lt;Holdings!$G$24,"",IF(A117=Holdings!$G$24,100*(1+L117),M116*(1+L117)))</f>
        <v>101.25571953111405</v>
      </c>
      <c r="N117" s="11">
        <f>IF(A117&lt;Holdings!$G$24,"",IF(A117=Holdings!$G$24,MAX(100,M117),MAX(N116,M117)))</f>
        <v>102.94361845014572</v>
      </c>
      <c r="O117" s="10">
        <f>IF(A117&lt;Holdings!$G$24,"",M117/N117-1)</f>
        <v>-1.6396343400820856E-2</v>
      </c>
      <c r="P117" s="11">
        <f>IF(A117&lt;Holdings!$G$24,"",IF(History!H117&gt;0,History!H117/INDEX(History!$H$7:$H$136,MATCH(Holdings!$G$24,History!$A$7:$A$136,0))*100,NA()))</f>
        <v>99.043367900000007</v>
      </c>
      <c r="Q117" s="10">
        <f>IF(A117&lt;=Holdings!$G$24,"",P117/P116-1)</f>
        <v>1.2224467757712576E-2</v>
      </c>
      <c r="R117" s="8">
        <f>IF(A117&gt;Portfolio!$J$5,0,-K117+IF(A117=Portfolio!$J$5,J117,0))</f>
        <v>0</v>
      </c>
      <c r="S117" s="1">
        <f>COUNTIFS(History!B117:G117,"&gt;0")</f>
        <v>6</v>
      </c>
      <c r="T117" s="1" t="str">
        <f t="shared" si="7"/>
        <v>24-Aug</v>
      </c>
      <c r="U117" s="10">
        <f>IF(AND(A117&lt;=Portfolio!$J$5,A117&gt;=Holdings!$G$24),O117,0)</f>
        <v>-1.6396343400820856E-2</v>
      </c>
      <c r="V117" s="12">
        <f>IF(AND(A117&gt;Holdings!$G$24,A117&lt;=Portfolio!$J$5),L117,"")</f>
        <v>3.0327445698867805E-3</v>
      </c>
      <c r="W117" s="12">
        <f>IF(AND(A117&gt;Holdings!$G$24,A117&lt;=Portfolio!$J$5),Q117,"")</f>
        <v>1.2224467757712576E-2</v>
      </c>
    </row>
    <row r="118" spans="1:23" ht="20" customHeight="1" x14ac:dyDescent="0.35">
      <c r="A118" s="7">
        <v>46259</v>
      </c>
      <c r="B118" s="1">
        <f>SUMIFS(Ledger!$J$7:$J$1006,Ledger!$C$7:$C$1006,Portfolio!$C$5,Ledger!$E$7:$E$1006,History!B$6,Ledger!$B$7:$B$1006,"&lt;="&amp;$A118)</f>
        <v>100</v>
      </c>
      <c r="C118" s="1">
        <f>SUMIFS(Ledger!$J$7:$J$1006,Ledger!$C$7:$C$1006,Portfolio!$C$5,Ledger!$E$7:$E$1006,History!C$6,Ledger!$B$7:$B$1006,"&lt;="&amp;$A118)</f>
        <v>220</v>
      </c>
      <c r="D118" s="1">
        <f>SUMIFS(Ledger!$J$7:$J$1006,Ledger!$C$7:$C$1006,Portfolio!$C$5,Ledger!$E$7:$E$1006,History!D$6,Ledger!$B$7:$B$1006,"&lt;="&amp;$A118)</f>
        <v>80</v>
      </c>
      <c r="E118" s="1">
        <f>SUMIFS(Ledger!$J$7:$J$1006,Ledger!$C$7:$C$1006,Portfolio!$C$5,Ledger!$E$7:$E$1006,History!E$6,Ledger!$B$7:$B$1006,"&lt;="&amp;$A118)</f>
        <v>130</v>
      </c>
      <c r="F118" s="1">
        <f>SUMIFS(Ledger!$J$7:$J$1006,Ledger!$C$7:$C$1006,Portfolio!$C$5,Ledger!$E$7:$E$1006,History!F$6,Ledger!$B$7:$B$1006,"&lt;="&amp;$A118)</f>
        <v>480</v>
      </c>
      <c r="G118" s="1">
        <f>SUMIFS(Ledger!$J$7:$J$1006,Ledger!$C$7:$C$1006,Portfolio!$C$5,Ledger!$E$7:$E$1006,History!G$6,Ledger!$B$7:$B$1006,"&lt;="&amp;$A118)</f>
        <v>600</v>
      </c>
      <c r="H118" s="8">
        <f>SUMIFS(Ledger!$K$7:$K$1006,Ledger!$C$7:$C$1006,Portfolio!$C$5,Ledger!$B$7:$B$1006,"&lt;="&amp;$A118)</f>
        <v>43923.58400000001</v>
      </c>
      <c r="I118" s="8">
        <f>IF(S118=6,SUMPRODUCT(B118:G118,History!B118:G118),NA())</f>
        <v>492357.20599999995</v>
      </c>
      <c r="J118" s="8">
        <f t="shared" si="6"/>
        <v>536280.78999999992</v>
      </c>
      <c r="K118" s="8">
        <f>SUMIFS(Ledger!$L$7:$L$1006,Ledger!$C$7:$C$1006,Portfolio!$C$5,Ledger!$B$7:$B$1006,$A118)</f>
        <v>0</v>
      </c>
      <c r="L118" s="10">
        <f>IF(A118&lt;Holdings!$G$24,"",IF(A118=Holdings!$G$24,IF(K118&gt;0,J118/K118-1,NA()),IF(J117&gt;0,(J118-K118)/J117-1,NA())))</f>
        <v>-1.2110001532970038E-2</v>
      </c>
      <c r="M118" s="11">
        <f>IF(A118&lt;Holdings!$G$24,"",IF(A118=Holdings!$G$24,100*(1+L118),M117*(1+L118)))</f>
        <v>100.02951261237028</v>
      </c>
      <c r="N118" s="11">
        <f>IF(A118&lt;Holdings!$G$24,"",IF(A118=Holdings!$G$24,MAX(100,M118),MAX(N117,M118)))</f>
        <v>102.94361845014572</v>
      </c>
      <c r="O118" s="10">
        <f>IF(A118&lt;Holdings!$G$24,"",M118/N118-1)</f>
        <v>-2.8307785190071821E-2</v>
      </c>
      <c r="P118" s="11">
        <f>IF(A118&lt;Holdings!$G$24,"",IF(History!H118&gt;0,History!H118/INDEX(History!$H$7:$H$136,MATCH(Holdings!$G$24,History!$A$7:$A$136,0))*100,NA()))</f>
        <v>98.278469099999995</v>
      </c>
      <c r="Q118" s="10">
        <f>IF(A118&lt;=Holdings!$G$24,"",P118/P117-1)</f>
        <v>-7.7228674288650767E-3</v>
      </c>
      <c r="R118" s="8">
        <f>IF(A118&gt;Portfolio!$J$5,0,-K118+IF(A118=Portfolio!$J$5,J118,0))</f>
        <v>0</v>
      </c>
      <c r="S118" s="1">
        <f>COUNTIFS(History!B118:G118,"&gt;0")</f>
        <v>6</v>
      </c>
      <c r="T118" s="1" t="str">
        <f t="shared" si="7"/>
        <v>25-Aug</v>
      </c>
      <c r="U118" s="10">
        <f>IF(AND(A118&lt;=Portfolio!$J$5,A118&gt;=Holdings!$G$24),O118,0)</f>
        <v>-2.8307785190071821E-2</v>
      </c>
      <c r="V118" s="12">
        <f>IF(AND(A118&gt;Holdings!$G$24,A118&lt;=Portfolio!$J$5),L118,"")</f>
        <v>-1.2110001532970038E-2</v>
      </c>
      <c r="W118" s="12">
        <f>IF(AND(A118&gt;Holdings!$G$24,A118&lt;=Portfolio!$J$5),Q118,"")</f>
        <v>-7.7228674288650767E-3</v>
      </c>
    </row>
    <row r="119" spans="1:23" ht="20" customHeight="1" x14ac:dyDescent="0.35">
      <c r="A119" s="7">
        <v>46260</v>
      </c>
      <c r="B119" s="1">
        <f>SUMIFS(Ledger!$J$7:$J$1006,Ledger!$C$7:$C$1006,Portfolio!$C$5,Ledger!$E$7:$E$1006,History!B$6,Ledger!$B$7:$B$1006,"&lt;="&amp;$A119)</f>
        <v>100</v>
      </c>
      <c r="C119" s="1">
        <f>SUMIFS(Ledger!$J$7:$J$1006,Ledger!$C$7:$C$1006,Portfolio!$C$5,Ledger!$E$7:$E$1006,History!C$6,Ledger!$B$7:$B$1006,"&lt;="&amp;$A119)</f>
        <v>220</v>
      </c>
      <c r="D119" s="1">
        <f>SUMIFS(Ledger!$J$7:$J$1006,Ledger!$C$7:$C$1006,Portfolio!$C$5,Ledger!$E$7:$E$1006,History!D$6,Ledger!$B$7:$B$1006,"&lt;="&amp;$A119)</f>
        <v>80</v>
      </c>
      <c r="E119" s="1">
        <f>SUMIFS(Ledger!$J$7:$J$1006,Ledger!$C$7:$C$1006,Portfolio!$C$5,Ledger!$E$7:$E$1006,History!E$6,Ledger!$B$7:$B$1006,"&lt;="&amp;$A119)</f>
        <v>130</v>
      </c>
      <c r="F119" s="1">
        <f>SUMIFS(Ledger!$J$7:$J$1006,Ledger!$C$7:$C$1006,Portfolio!$C$5,Ledger!$E$7:$E$1006,History!F$6,Ledger!$B$7:$B$1006,"&lt;="&amp;$A119)</f>
        <v>480</v>
      </c>
      <c r="G119" s="1">
        <f>SUMIFS(Ledger!$J$7:$J$1006,Ledger!$C$7:$C$1006,Portfolio!$C$5,Ledger!$E$7:$E$1006,History!G$6,Ledger!$B$7:$B$1006,"&lt;="&amp;$A119)</f>
        <v>600</v>
      </c>
      <c r="H119" s="8">
        <f>SUMIFS(Ledger!$K$7:$K$1006,Ledger!$C$7:$C$1006,Portfolio!$C$5,Ledger!$B$7:$B$1006,"&lt;="&amp;$A119)</f>
        <v>43923.58400000001</v>
      </c>
      <c r="I119" s="8">
        <f>IF(S119=6,SUMPRODUCT(B119:G119,History!B119:G119),NA())</f>
        <v>488868.85100000002</v>
      </c>
      <c r="J119" s="8">
        <f t="shared" si="6"/>
        <v>532792.43500000006</v>
      </c>
      <c r="K119" s="8">
        <f>SUMIFS(Ledger!$L$7:$L$1006,Ledger!$C$7:$C$1006,Portfolio!$C$5,Ledger!$B$7:$B$1006,$A119)</f>
        <v>0</v>
      </c>
      <c r="L119" s="10">
        <f>IF(A119&lt;Holdings!$G$24,"",IF(A119=Holdings!$G$24,IF(K119&gt;0,J119/K119-1,NA()),IF(J118&gt;0,(J119-K119)/J118-1,NA())))</f>
        <v>-6.5047174261078089E-3</v>
      </c>
      <c r="M119" s="11">
        <f>IF(A119&lt;Holdings!$G$24,"",IF(A119=Holdings!$G$24,100*(1+L119),M118*(1+L119)))</f>
        <v>99.378848898555532</v>
      </c>
      <c r="N119" s="11">
        <f>IF(A119&lt;Holdings!$G$24,"",IF(A119=Holdings!$G$24,MAX(100,M119),MAX(N118,M119)))</f>
        <v>102.94361845014572</v>
      </c>
      <c r="O119" s="10">
        <f>IF(A119&lt;Holdings!$G$24,"",M119/N119-1)</f>
        <v>-3.4628368472559234E-2</v>
      </c>
      <c r="P119" s="11">
        <f>IF(A119&lt;Holdings!$G$24,"",IF(History!H119&gt;0,History!H119/INDEX(History!$H$7:$H$136,MATCH(Holdings!$G$24,History!$A$7:$A$136,0))*100,NA()))</f>
        <v>97.045725300000001</v>
      </c>
      <c r="Q119" s="10">
        <f>IF(A119&lt;=Holdings!$G$24,"",P119/P118-1)</f>
        <v>-1.254337609538525E-2</v>
      </c>
      <c r="R119" s="8">
        <f>IF(A119&gt;Portfolio!$J$5,0,-K119+IF(A119=Portfolio!$J$5,J119,0))</f>
        <v>0</v>
      </c>
      <c r="S119" s="1">
        <f>COUNTIFS(History!B119:G119,"&gt;0")</f>
        <v>6</v>
      </c>
      <c r="T119" s="1" t="str">
        <f t="shared" si="7"/>
        <v>26-Aug</v>
      </c>
      <c r="U119" s="10">
        <f>IF(AND(A119&lt;=Portfolio!$J$5,A119&gt;=Holdings!$G$24),O119,0)</f>
        <v>-3.4628368472559234E-2</v>
      </c>
      <c r="V119" s="12">
        <f>IF(AND(A119&gt;Holdings!$G$24,A119&lt;=Portfolio!$J$5),L119,"")</f>
        <v>-6.5047174261078089E-3</v>
      </c>
      <c r="W119" s="12">
        <f>IF(AND(A119&gt;Holdings!$G$24,A119&lt;=Portfolio!$J$5),Q119,"")</f>
        <v>-1.254337609538525E-2</v>
      </c>
    </row>
    <row r="120" spans="1:23" ht="20" customHeight="1" x14ac:dyDescent="0.35">
      <c r="A120" s="7">
        <v>46261</v>
      </c>
      <c r="B120" s="1">
        <f>SUMIFS(Ledger!$J$7:$J$1006,Ledger!$C$7:$C$1006,Portfolio!$C$5,Ledger!$E$7:$E$1006,History!B$6,Ledger!$B$7:$B$1006,"&lt;="&amp;$A120)</f>
        <v>100</v>
      </c>
      <c r="C120" s="1">
        <f>SUMIFS(Ledger!$J$7:$J$1006,Ledger!$C$7:$C$1006,Portfolio!$C$5,Ledger!$E$7:$E$1006,History!C$6,Ledger!$B$7:$B$1006,"&lt;="&amp;$A120)</f>
        <v>220</v>
      </c>
      <c r="D120" s="1">
        <f>SUMIFS(Ledger!$J$7:$J$1006,Ledger!$C$7:$C$1006,Portfolio!$C$5,Ledger!$E$7:$E$1006,History!D$6,Ledger!$B$7:$B$1006,"&lt;="&amp;$A120)</f>
        <v>80</v>
      </c>
      <c r="E120" s="1">
        <f>SUMIFS(Ledger!$J$7:$J$1006,Ledger!$C$7:$C$1006,Portfolio!$C$5,Ledger!$E$7:$E$1006,History!E$6,Ledger!$B$7:$B$1006,"&lt;="&amp;$A120)</f>
        <v>130</v>
      </c>
      <c r="F120" s="1">
        <f>SUMIFS(Ledger!$J$7:$J$1006,Ledger!$C$7:$C$1006,Portfolio!$C$5,Ledger!$E$7:$E$1006,History!F$6,Ledger!$B$7:$B$1006,"&lt;="&amp;$A120)</f>
        <v>480</v>
      </c>
      <c r="G120" s="1">
        <f>SUMIFS(Ledger!$J$7:$J$1006,Ledger!$C$7:$C$1006,Portfolio!$C$5,Ledger!$E$7:$E$1006,History!G$6,Ledger!$B$7:$B$1006,"&lt;="&amp;$A120)</f>
        <v>600</v>
      </c>
      <c r="H120" s="8">
        <f>SUMIFS(Ledger!$K$7:$K$1006,Ledger!$C$7:$C$1006,Portfolio!$C$5,Ledger!$B$7:$B$1006,"&lt;="&amp;$A120)</f>
        <v>43923.58400000001</v>
      </c>
      <c r="I120" s="8">
        <f>IF(S120=6,SUMPRODUCT(B120:G120,History!B120:G120),NA())</f>
        <v>485152.91999999993</v>
      </c>
      <c r="J120" s="8">
        <f t="shared" si="6"/>
        <v>529076.50399999996</v>
      </c>
      <c r="K120" s="8">
        <f>SUMIFS(Ledger!$L$7:$L$1006,Ledger!$C$7:$C$1006,Portfolio!$C$5,Ledger!$B$7:$B$1006,$A120)</f>
        <v>0</v>
      </c>
      <c r="L120" s="10">
        <f>IF(A120&lt;Holdings!$G$24,"",IF(A120=Holdings!$G$24,IF(K120&gt;0,J120/K120-1,NA()),IF(J119&gt;0,(J120-K120)/J119-1,NA())))</f>
        <v>-6.9744439971264338E-3</v>
      </c>
      <c r="M120" s="11">
        <f>IF(A120&lt;Holdings!$G$24,"",IF(A120=Holdings!$G$24,100*(1+L120),M119*(1+L120)))</f>
        <v>98.685736682413662</v>
      </c>
      <c r="N120" s="11">
        <f>IF(A120&lt;Holdings!$G$24,"",IF(A120=Holdings!$G$24,MAX(100,M120),MAX(N119,M120)))</f>
        <v>102.94361845014572</v>
      </c>
      <c r="O120" s="10">
        <f>IF(A120&lt;Holdings!$G$24,"",M120/N120-1)</f>
        <v>-4.1361298853061945E-2</v>
      </c>
      <c r="P120" s="11">
        <f>IF(A120&lt;Holdings!$G$24,"",IF(History!H120&gt;0,History!H120/INDEX(History!$H$7:$H$136,MATCH(Holdings!$G$24,History!$A$7:$A$136,0))*100,NA()))</f>
        <v>96.373159299999998</v>
      </c>
      <c r="Q120" s="10">
        <f>IF(A120&lt;=Holdings!$G$24,"",P120/P119-1)</f>
        <v>-6.9304031467731786E-3</v>
      </c>
      <c r="R120" s="8">
        <f>IF(A120&gt;Portfolio!$J$5,0,-K120+IF(A120=Portfolio!$J$5,J120,0))</f>
        <v>0</v>
      </c>
      <c r="S120" s="1">
        <f>COUNTIFS(History!B120:G120,"&gt;0")</f>
        <v>6</v>
      </c>
      <c r="T120" s="1" t="str">
        <f t="shared" si="7"/>
        <v>27-Aug</v>
      </c>
      <c r="U120" s="10">
        <f>IF(AND(A120&lt;=Portfolio!$J$5,A120&gt;=Holdings!$G$24),O120,0)</f>
        <v>-4.1361298853061945E-2</v>
      </c>
      <c r="V120" s="12">
        <f>IF(AND(A120&gt;Holdings!$G$24,A120&lt;=Portfolio!$J$5),L120,"")</f>
        <v>-6.9744439971264338E-3</v>
      </c>
      <c r="W120" s="12">
        <f>IF(AND(A120&gt;Holdings!$G$24,A120&lt;=Portfolio!$J$5),Q120,"")</f>
        <v>-6.9304031467731786E-3</v>
      </c>
    </row>
    <row r="121" spans="1:23" ht="20" customHeight="1" x14ac:dyDescent="0.35">
      <c r="A121" s="7">
        <v>46262</v>
      </c>
      <c r="B121" s="1">
        <f>SUMIFS(Ledger!$J$7:$J$1006,Ledger!$C$7:$C$1006,Portfolio!$C$5,Ledger!$E$7:$E$1006,History!B$6,Ledger!$B$7:$B$1006,"&lt;="&amp;$A121)</f>
        <v>100</v>
      </c>
      <c r="C121" s="1">
        <f>SUMIFS(Ledger!$J$7:$J$1006,Ledger!$C$7:$C$1006,Portfolio!$C$5,Ledger!$E$7:$E$1006,History!C$6,Ledger!$B$7:$B$1006,"&lt;="&amp;$A121)</f>
        <v>220</v>
      </c>
      <c r="D121" s="1">
        <f>SUMIFS(Ledger!$J$7:$J$1006,Ledger!$C$7:$C$1006,Portfolio!$C$5,Ledger!$E$7:$E$1006,History!D$6,Ledger!$B$7:$B$1006,"&lt;="&amp;$A121)</f>
        <v>80</v>
      </c>
      <c r="E121" s="1">
        <f>SUMIFS(Ledger!$J$7:$J$1006,Ledger!$C$7:$C$1006,Portfolio!$C$5,Ledger!$E$7:$E$1006,History!E$6,Ledger!$B$7:$B$1006,"&lt;="&amp;$A121)</f>
        <v>130</v>
      </c>
      <c r="F121" s="1">
        <f>SUMIFS(Ledger!$J$7:$J$1006,Ledger!$C$7:$C$1006,Portfolio!$C$5,Ledger!$E$7:$E$1006,History!F$6,Ledger!$B$7:$B$1006,"&lt;="&amp;$A121)</f>
        <v>480</v>
      </c>
      <c r="G121" s="1">
        <f>SUMIFS(Ledger!$J$7:$J$1006,Ledger!$C$7:$C$1006,Portfolio!$C$5,Ledger!$E$7:$E$1006,History!G$6,Ledger!$B$7:$B$1006,"&lt;="&amp;$A121)</f>
        <v>600</v>
      </c>
      <c r="H121" s="8">
        <f>SUMIFS(Ledger!$K$7:$K$1006,Ledger!$C$7:$C$1006,Portfolio!$C$5,Ledger!$B$7:$B$1006,"&lt;="&amp;$A121)</f>
        <v>43923.58400000001</v>
      </c>
      <c r="I121" s="8">
        <f>IF(S121=6,SUMPRODUCT(B121:G121,History!B121:G121),NA())</f>
        <v>487320.52799999999</v>
      </c>
      <c r="J121" s="8">
        <f t="shared" si="6"/>
        <v>531244.11199999996</v>
      </c>
      <c r="K121" s="8">
        <f>SUMIFS(Ledger!$L$7:$L$1006,Ledger!$C$7:$C$1006,Portfolio!$C$5,Ledger!$B$7:$B$1006,$A121)</f>
        <v>0</v>
      </c>
      <c r="L121" s="10">
        <f>IF(A121&lt;Holdings!$G$24,"",IF(A121=Holdings!$G$24,IF(K121&gt;0,J121/K121-1,NA()),IF(J120&gt;0,(J121-K121)/J120-1,NA())))</f>
        <v>4.0969651526994166E-3</v>
      </c>
      <c r="M121" s="11">
        <f>IF(A121&lt;Holdings!$G$24,"",IF(A121=Holdings!$G$24,100*(1+L121),M120*(1+L121)))</f>
        <v>99.090048706669975</v>
      </c>
      <c r="N121" s="11">
        <f>IF(A121&lt;Holdings!$G$24,"",IF(A121=Holdings!$G$24,MAX(100,M121),MAX(N120,M121)))</f>
        <v>102.94361845014572</v>
      </c>
      <c r="O121" s="10">
        <f>IF(A121&lt;Holdings!$G$24,"",M121/N121-1)</f>
        <v>-3.7433789500433967E-2</v>
      </c>
      <c r="P121" s="11">
        <f>IF(A121&lt;Holdings!$G$24,"",IF(History!H121&gt;0,History!H121/INDEX(History!$H$7:$H$136,MATCH(Holdings!$G$24,History!$A$7:$A$136,0))*100,NA()))</f>
        <v>97.370688800000011</v>
      </c>
      <c r="Q121" s="10">
        <f>IF(A121&lt;=Holdings!$G$24,"",P121/P120-1)</f>
        <v>1.0350698340134246E-2</v>
      </c>
      <c r="R121" s="8">
        <f>IF(A121&gt;Portfolio!$J$5,0,-K121+IF(A121=Portfolio!$J$5,J121,0))</f>
        <v>0</v>
      </c>
      <c r="S121" s="1">
        <f>COUNTIFS(History!B121:G121,"&gt;0")</f>
        <v>6</v>
      </c>
      <c r="T121" s="1" t="str">
        <f t="shared" si="7"/>
        <v>28-Aug</v>
      </c>
      <c r="U121" s="10">
        <f>IF(AND(A121&lt;=Portfolio!$J$5,A121&gt;=Holdings!$G$24),O121,0)</f>
        <v>-3.7433789500433967E-2</v>
      </c>
      <c r="V121" s="12">
        <f>IF(AND(A121&gt;Holdings!$G$24,A121&lt;=Portfolio!$J$5),L121,"")</f>
        <v>4.0969651526994166E-3</v>
      </c>
      <c r="W121" s="12">
        <f>IF(AND(A121&gt;Holdings!$G$24,A121&lt;=Portfolio!$J$5),Q121,"")</f>
        <v>1.0350698340134246E-2</v>
      </c>
    </row>
    <row r="122" spans="1:23" ht="20" customHeight="1" x14ac:dyDescent="0.35">
      <c r="A122" s="7">
        <v>46265</v>
      </c>
      <c r="B122" s="1">
        <f>SUMIFS(Ledger!$J$7:$J$1006,Ledger!$C$7:$C$1006,Portfolio!$C$5,Ledger!$E$7:$E$1006,History!B$6,Ledger!$B$7:$B$1006,"&lt;="&amp;$A122)</f>
        <v>90</v>
      </c>
      <c r="C122" s="1">
        <f>SUMIFS(Ledger!$J$7:$J$1006,Ledger!$C$7:$C$1006,Portfolio!$C$5,Ledger!$E$7:$E$1006,History!C$6,Ledger!$B$7:$B$1006,"&lt;="&amp;$A122)</f>
        <v>220</v>
      </c>
      <c r="D122" s="1">
        <f>SUMIFS(Ledger!$J$7:$J$1006,Ledger!$C$7:$C$1006,Portfolio!$C$5,Ledger!$E$7:$E$1006,History!D$6,Ledger!$B$7:$B$1006,"&lt;="&amp;$A122)</f>
        <v>80</v>
      </c>
      <c r="E122" s="1">
        <f>SUMIFS(Ledger!$J$7:$J$1006,Ledger!$C$7:$C$1006,Portfolio!$C$5,Ledger!$E$7:$E$1006,History!E$6,Ledger!$B$7:$B$1006,"&lt;="&amp;$A122)</f>
        <v>130</v>
      </c>
      <c r="F122" s="1">
        <f>SUMIFS(Ledger!$J$7:$J$1006,Ledger!$C$7:$C$1006,Portfolio!$C$5,Ledger!$E$7:$E$1006,History!F$6,Ledger!$B$7:$B$1006,"&lt;="&amp;$A122)</f>
        <v>480</v>
      </c>
      <c r="G122" s="1">
        <f>SUMIFS(Ledger!$J$7:$J$1006,Ledger!$C$7:$C$1006,Portfolio!$C$5,Ledger!$E$7:$E$1006,History!G$6,Ledger!$B$7:$B$1006,"&lt;="&amp;$A122)</f>
        <v>600</v>
      </c>
      <c r="H122" s="8">
        <f>SUMIFS(Ledger!$K$7:$K$1006,Ledger!$C$7:$C$1006,Portfolio!$C$5,Ledger!$B$7:$B$1006,"&lt;="&amp;$A122)</f>
        <v>49454.401000000013</v>
      </c>
      <c r="I122" s="8">
        <f>IF(S122=6,SUMPRODUCT(B122:G122,History!B122:G122),NA())</f>
        <v>483857.81300000002</v>
      </c>
      <c r="J122" s="8">
        <f t="shared" si="6"/>
        <v>533312.21400000004</v>
      </c>
      <c r="K122" s="8">
        <f>SUMIFS(Ledger!$L$7:$L$1006,Ledger!$C$7:$C$1006,Portfolio!$C$5,Ledger!$B$7:$B$1006,$A122)</f>
        <v>0</v>
      </c>
      <c r="L122" s="10">
        <f>IF(A122&lt;Holdings!$G$24,"",IF(A122=Holdings!$G$24,IF(K122&gt;0,J122/K122-1,NA()),IF(J121&gt;0,(J122-K122)/J121-1,NA())))</f>
        <v>3.8929410289634259E-3</v>
      </c>
      <c r="M122" s="11">
        <f>IF(A122&lt;Holdings!$G$24,"",IF(A122=Holdings!$G$24,100*(1+L122),M121*(1+L122)))</f>
        <v>99.475800422842156</v>
      </c>
      <c r="N122" s="11">
        <f>IF(A122&lt;Holdings!$G$24,"",IF(A122=Holdings!$G$24,MAX(100,M122),MAX(N121,M122)))</f>
        <v>102.94361845014572</v>
      </c>
      <c r="O122" s="10">
        <f>IF(A122&lt;Holdings!$G$24,"",M122/N122-1)</f>
        <v>-3.3686576006486391E-2</v>
      </c>
      <c r="P122" s="11">
        <f>IF(A122&lt;Holdings!$G$24,"",IF(History!H122&gt;0,History!H122/INDEX(History!$H$7:$H$136,MATCH(Holdings!$G$24,History!$A$7:$A$136,0))*100,NA()))</f>
        <v>97.455499099999997</v>
      </c>
      <c r="Q122" s="10">
        <f>IF(A122&lt;=Holdings!$G$24,"",P122/P121-1)</f>
        <v>8.710044166801989E-4</v>
      </c>
      <c r="R122" s="8">
        <f>IF(A122&gt;Portfolio!$J$5,0,-K122+IF(A122=Portfolio!$J$5,J122,0))</f>
        <v>0</v>
      </c>
      <c r="S122" s="1">
        <f>COUNTIFS(History!B122:G122,"&gt;0")</f>
        <v>6</v>
      </c>
      <c r="T122" s="1" t="str">
        <f t="shared" si="7"/>
        <v>31-Aug</v>
      </c>
      <c r="U122" s="10">
        <f>IF(AND(A122&lt;=Portfolio!$J$5,A122&gt;=Holdings!$G$24),O122,0)</f>
        <v>-3.3686576006486391E-2</v>
      </c>
      <c r="V122" s="12">
        <f>IF(AND(A122&gt;Holdings!$G$24,A122&lt;=Portfolio!$J$5),L122,"")</f>
        <v>3.8929410289634259E-3</v>
      </c>
      <c r="W122" s="12">
        <f>IF(AND(A122&gt;Holdings!$G$24,A122&lt;=Portfolio!$J$5),Q122,"")</f>
        <v>8.710044166801989E-4</v>
      </c>
    </row>
    <row r="123" spans="1:23" ht="20" customHeight="1" x14ac:dyDescent="0.35">
      <c r="A123" s="7">
        <v>46266</v>
      </c>
      <c r="B123" s="1">
        <f>SUMIFS(Ledger!$J$7:$J$1006,Ledger!$C$7:$C$1006,Portfolio!$C$5,Ledger!$E$7:$E$1006,History!B$6,Ledger!$B$7:$B$1006,"&lt;="&amp;$A123)</f>
        <v>90</v>
      </c>
      <c r="C123" s="1">
        <f>SUMIFS(Ledger!$J$7:$J$1006,Ledger!$C$7:$C$1006,Portfolio!$C$5,Ledger!$E$7:$E$1006,History!C$6,Ledger!$B$7:$B$1006,"&lt;="&amp;$A123)</f>
        <v>220</v>
      </c>
      <c r="D123" s="1">
        <f>SUMIFS(Ledger!$J$7:$J$1006,Ledger!$C$7:$C$1006,Portfolio!$C$5,Ledger!$E$7:$E$1006,History!D$6,Ledger!$B$7:$B$1006,"&lt;="&amp;$A123)</f>
        <v>80</v>
      </c>
      <c r="E123" s="1">
        <f>SUMIFS(Ledger!$J$7:$J$1006,Ledger!$C$7:$C$1006,Portfolio!$C$5,Ledger!$E$7:$E$1006,History!E$6,Ledger!$B$7:$B$1006,"&lt;="&amp;$A123)</f>
        <v>130</v>
      </c>
      <c r="F123" s="1">
        <f>SUMIFS(Ledger!$J$7:$J$1006,Ledger!$C$7:$C$1006,Portfolio!$C$5,Ledger!$E$7:$E$1006,History!F$6,Ledger!$B$7:$B$1006,"&lt;="&amp;$A123)</f>
        <v>480</v>
      </c>
      <c r="G123" s="1">
        <f>SUMIFS(Ledger!$J$7:$J$1006,Ledger!$C$7:$C$1006,Portfolio!$C$5,Ledger!$E$7:$E$1006,History!G$6,Ledger!$B$7:$B$1006,"&lt;="&amp;$A123)</f>
        <v>600</v>
      </c>
      <c r="H123" s="8">
        <f>SUMIFS(Ledger!$K$7:$K$1006,Ledger!$C$7:$C$1006,Portfolio!$C$5,Ledger!$B$7:$B$1006,"&lt;="&amp;$A123)</f>
        <v>49454.401000000013</v>
      </c>
      <c r="I123" s="8">
        <f>IF(S123=6,SUMPRODUCT(B123:G123,History!B123:G123),NA())</f>
        <v>486019.50799999997</v>
      </c>
      <c r="J123" s="8">
        <f t="shared" si="6"/>
        <v>535473.90899999999</v>
      </c>
      <c r="K123" s="8">
        <f>SUMIFS(Ledger!$L$7:$L$1006,Ledger!$C$7:$C$1006,Portfolio!$C$5,Ledger!$B$7:$B$1006,$A123)</f>
        <v>0</v>
      </c>
      <c r="L123" s="10">
        <f>IF(A123&lt;Holdings!$G$24,"",IF(A123=Holdings!$G$24,IF(K123&gt;0,J123/K123-1,NA()),IF(J122&gt;0,(J123-K123)/J122-1,NA())))</f>
        <v>4.0533386321430775E-3</v>
      </c>
      <c r="M123" s="11">
        <f>IF(A123&lt;Holdings!$G$24,"",IF(A123=Holdings!$G$24,100*(1+L123),M122*(1+L123)))</f>
        <v>99.87900952765942</v>
      </c>
      <c r="N123" s="11">
        <f>IF(A123&lt;Holdings!$G$24,"",IF(A123=Holdings!$G$24,MAX(100,M123),MAX(N122,M123)))</f>
        <v>102.94361845014572</v>
      </c>
      <c r="O123" s="10">
        <f>IF(A123&lt;Holdings!$G$24,"",M123/N123-1)</f>
        <v>-2.9769780474254937E-2</v>
      </c>
      <c r="P123" s="11">
        <f>IF(A123&lt;Holdings!$G$24,"",IF(History!H123&gt;0,History!H123/INDEX(History!$H$7:$H$136,MATCH(Holdings!$G$24,History!$A$7:$A$136,0))*100,NA()))</f>
        <v>98.006015099999999</v>
      </c>
      <c r="Q123" s="10">
        <f>IF(A123&lt;=Holdings!$G$24,"",P123/P122-1)</f>
        <v>5.648896215031618E-3</v>
      </c>
      <c r="R123" s="8">
        <f>IF(A123&gt;Portfolio!$J$5,0,-K123+IF(A123=Portfolio!$J$5,J123,0))</f>
        <v>0</v>
      </c>
      <c r="S123" s="1">
        <f>COUNTIFS(History!B123:G123,"&gt;0")</f>
        <v>6</v>
      </c>
      <c r="T123" s="1" t="str">
        <f t="shared" si="7"/>
        <v>01-Sep</v>
      </c>
      <c r="U123" s="10">
        <f>IF(AND(A123&lt;=Portfolio!$J$5,A123&gt;=Holdings!$G$24),O123,0)</f>
        <v>-2.9769780474254937E-2</v>
      </c>
      <c r="V123" s="12">
        <f>IF(AND(A123&gt;Holdings!$G$24,A123&lt;=Portfolio!$J$5),L123,"")</f>
        <v>4.0533386321430775E-3</v>
      </c>
      <c r="W123" s="12">
        <f>IF(AND(A123&gt;Holdings!$G$24,A123&lt;=Portfolio!$J$5),Q123,"")</f>
        <v>5.648896215031618E-3</v>
      </c>
    </row>
    <row r="124" spans="1:23" ht="20" customHeight="1" x14ac:dyDescent="0.35">
      <c r="A124" s="7">
        <v>46267</v>
      </c>
      <c r="B124" s="1">
        <f>SUMIFS(Ledger!$J$7:$J$1006,Ledger!$C$7:$C$1006,Portfolio!$C$5,Ledger!$E$7:$E$1006,History!B$6,Ledger!$B$7:$B$1006,"&lt;="&amp;$A124)</f>
        <v>90</v>
      </c>
      <c r="C124" s="1">
        <f>SUMIFS(Ledger!$J$7:$J$1006,Ledger!$C$7:$C$1006,Portfolio!$C$5,Ledger!$E$7:$E$1006,History!C$6,Ledger!$B$7:$B$1006,"&lt;="&amp;$A124)</f>
        <v>220</v>
      </c>
      <c r="D124" s="1">
        <f>SUMIFS(Ledger!$J$7:$J$1006,Ledger!$C$7:$C$1006,Portfolio!$C$5,Ledger!$E$7:$E$1006,History!D$6,Ledger!$B$7:$B$1006,"&lt;="&amp;$A124)</f>
        <v>80</v>
      </c>
      <c r="E124" s="1">
        <f>SUMIFS(Ledger!$J$7:$J$1006,Ledger!$C$7:$C$1006,Portfolio!$C$5,Ledger!$E$7:$E$1006,History!E$6,Ledger!$B$7:$B$1006,"&lt;="&amp;$A124)</f>
        <v>130</v>
      </c>
      <c r="F124" s="1">
        <f>SUMIFS(Ledger!$J$7:$J$1006,Ledger!$C$7:$C$1006,Portfolio!$C$5,Ledger!$E$7:$E$1006,History!F$6,Ledger!$B$7:$B$1006,"&lt;="&amp;$A124)</f>
        <v>480</v>
      </c>
      <c r="G124" s="1">
        <f>SUMIFS(Ledger!$J$7:$J$1006,Ledger!$C$7:$C$1006,Portfolio!$C$5,Ledger!$E$7:$E$1006,History!G$6,Ledger!$B$7:$B$1006,"&lt;="&amp;$A124)</f>
        <v>600</v>
      </c>
      <c r="H124" s="8">
        <f>SUMIFS(Ledger!$K$7:$K$1006,Ledger!$C$7:$C$1006,Portfolio!$C$5,Ledger!$B$7:$B$1006,"&lt;="&amp;$A124)</f>
        <v>49454.401000000013</v>
      </c>
      <c r="I124" s="8">
        <f>IF(S124=6,SUMPRODUCT(B124:G124,History!B124:G124),NA())</f>
        <v>487833.93800000002</v>
      </c>
      <c r="J124" s="8">
        <f t="shared" si="6"/>
        <v>537288.33900000004</v>
      </c>
      <c r="K124" s="8">
        <f>SUMIFS(Ledger!$L$7:$L$1006,Ledger!$C$7:$C$1006,Portfolio!$C$5,Ledger!$B$7:$B$1006,$A124)</f>
        <v>0</v>
      </c>
      <c r="L124" s="10">
        <f>IF(A124&lt;Holdings!$G$24,"",IF(A124=Holdings!$G$24,IF(K124&gt;0,J124/K124-1,NA()),IF(J123&gt;0,(J124-K124)/J123-1,NA())))</f>
        <v>3.3884564112349747E-3</v>
      </c>
      <c r="M124" s="11">
        <f>IF(A124&lt;Holdings!$G$24,"",IF(A124=Holdings!$G$24,100*(1+L124),M123*(1+L124)))</f>
        <v>100.21744519784122</v>
      </c>
      <c r="N124" s="11">
        <f>IF(A124&lt;Holdings!$G$24,"",IF(A124=Holdings!$G$24,MAX(100,M124),MAX(N123,M124)))</f>
        <v>102.94361845014572</v>
      </c>
      <c r="O124" s="10">
        <f>IF(A124&lt;Holdings!$G$24,"",M124/N124-1)</f>
        <v>-2.6482197666529039E-2</v>
      </c>
      <c r="P124" s="11">
        <f>IF(A124&lt;Holdings!$G$24,"",IF(History!H124&gt;0,History!H124/INDEX(History!$H$7:$H$136,MATCH(Holdings!$G$24,History!$A$7:$A$136,0))*100,NA()))</f>
        <v>97.862048299999998</v>
      </c>
      <c r="Q124" s="10">
        <f>IF(A124&lt;=Holdings!$G$24,"",P124/P123-1)</f>
        <v>-1.468958816998156E-3</v>
      </c>
      <c r="R124" s="8">
        <f>IF(A124&gt;Portfolio!$J$5,0,-K124+IF(A124=Portfolio!$J$5,J124,0))</f>
        <v>0</v>
      </c>
      <c r="S124" s="1">
        <f>COUNTIFS(History!B124:G124,"&gt;0")</f>
        <v>6</v>
      </c>
      <c r="T124" s="1" t="str">
        <f t="shared" si="7"/>
        <v>02-Sep</v>
      </c>
      <c r="U124" s="10">
        <f>IF(AND(A124&lt;=Portfolio!$J$5,A124&gt;=Holdings!$G$24),O124,0)</f>
        <v>-2.6482197666529039E-2</v>
      </c>
      <c r="V124" s="12">
        <f>IF(AND(A124&gt;Holdings!$G$24,A124&lt;=Portfolio!$J$5),L124,"")</f>
        <v>3.3884564112349747E-3</v>
      </c>
      <c r="W124" s="12">
        <f>IF(AND(A124&gt;Holdings!$G$24,A124&lt;=Portfolio!$J$5),Q124,"")</f>
        <v>-1.468958816998156E-3</v>
      </c>
    </row>
    <row r="125" spans="1:23" ht="20" customHeight="1" x14ac:dyDescent="0.35">
      <c r="A125" s="7">
        <v>46268</v>
      </c>
      <c r="B125" s="1">
        <f>SUMIFS(Ledger!$J$7:$J$1006,Ledger!$C$7:$C$1006,Portfolio!$C$5,Ledger!$E$7:$E$1006,History!B$6,Ledger!$B$7:$B$1006,"&lt;="&amp;$A125)</f>
        <v>90</v>
      </c>
      <c r="C125" s="1">
        <f>SUMIFS(Ledger!$J$7:$J$1006,Ledger!$C$7:$C$1006,Portfolio!$C$5,Ledger!$E$7:$E$1006,History!C$6,Ledger!$B$7:$B$1006,"&lt;="&amp;$A125)</f>
        <v>220</v>
      </c>
      <c r="D125" s="1">
        <f>SUMIFS(Ledger!$J$7:$J$1006,Ledger!$C$7:$C$1006,Portfolio!$C$5,Ledger!$E$7:$E$1006,History!D$6,Ledger!$B$7:$B$1006,"&lt;="&amp;$A125)</f>
        <v>80</v>
      </c>
      <c r="E125" s="1">
        <f>SUMIFS(Ledger!$J$7:$J$1006,Ledger!$C$7:$C$1006,Portfolio!$C$5,Ledger!$E$7:$E$1006,History!E$6,Ledger!$B$7:$B$1006,"&lt;="&amp;$A125)</f>
        <v>130</v>
      </c>
      <c r="F125" s="1">
        <f>SUMIFS(Ledger!$J$7:$J$1006,Ledger!$C$7:$C$1006,Portfolio!$C$5,Ledger!$E$7:$E$1006,History!F$6,Ledger!$B$7:$B$1006,"&lt;="&amp;$A125)</f>
        <v>480</v>
      </c>
      <c r="G125" s="1">
        <f>SUMIFS(Ledger!$J$7:$J$1006,Ledger!$C$7:$C$1006,Portfolio!$C$5,Ledger!$E$7:$E$1006,History!G$6,Ledger!$B$7:$B$1006,"&lt;="&amp;$A125)</f>
        <v>600</v>
      </c>
      <c r="H125" s="8">
        <f>SUMIFS(Ledger!$K$7:$K$1006,Ledger!$C$7:$C$1006,Portfolio!$C$5,Ledger!$B$7:$B$1006,"&lt;="&amp;$A125)</f>
        <v>49454.401000000013</v>
      </c>
      <c r="I125" s="8">
        <f>IF(S125=6,SUMPRODUCT(B125:G125,History!B125:G125),NA())</f>
        <v>486823.98300000001</v>
      </c>
      <c r="J125" s="8">
        <f t="shared" si="6"/>
        <v>536278.38400000008</v>
      </c>
      <c r="K125" s="8">
        <f>SUMIFS(Ledger!$L$7:$L$1006,Ledger!$C$7:$C$1006,Portfolio!$C$5,Ledger!$B$7:$B$1006,$A125)</f>
        <v>0</v>
      </c>
      <c r="L125" s="10">
        <f>IF(A125&lt;Holdings!$G$24,"",IF(A125=Holdings!$G$24,IF(K125&gt;0,J125/K125-1,NA()),IF(J124&gt;0,(J125-K125)/J124-1,NA())))</f>
        <v>-1.8797262599811182E-3</v>
      </c>
      <c r="M125" s="11">
        <f>IF(A125&lt;Holdings!$G$24,"",IF(A125=Holdings!$G$24,100*(1+L125),M124*(1+L125)))</f>
        <v>100.02906383439462</v>
      </c>
      <c r="N125" s="11">
        <f>IF(A125&lt;Holdings!$G$24,"",IF(A125=Holdings!$G$24,MAX(100,M125),MAX(N124,M125)))</f>
        <v>102.94361845014572</v>
      </c>
      <c r="O125" s="10">
        <f>IF(A125&lt;Holdings!$G$24,"",M125/N125-1)</f>
        <v>-2.8312144644134341E-2</v>
      </c>
      <c r="P125" s="11">
        <f>IF(A125&lt;Holdings!$G$24,"",IF(History!H125&gt;0,History!H125/INDEX(History!$H$7:$H$136,MATCH(Holdings!$G$24,History!$A$7:$A$136,0))*100,NA()))</f>
        <v>97.995535900000007</v>
      </c>
      <c r="Q125" s="10">
        <f>IF(A125&lt;=Holdings!$G$24,"",P125/P124-1)</f>
        <v>1.3640384839563868E-3</v>
      </c>
      <c r="R125" s="8">
        <f>IF(A125&gt;Portfolio!$J$5,0,-K125+IF(A125=Portfolio!$J$5,J125,0))</f>
        <v>0</v>
      </c>
      <c r="S125" s="1">
        <f>COUNTIFS(History!B125:G125,"&gt;0")</f>
        <v>6</v>
      </c>
      <c r="T125" s="1" t="str">
        <f t="shared" si="7"/>
        <v>03-Sep</v>
      </c>
      <c r="U125" s="10">
        <f>IF(AND(A125&lt;=Portfolio!$J$5,A125&gt;=Holdings!$G$24),O125,0)</f>
        <v>-2.8312144644134341E-2</v>
      </c>
      <c r="V125" s="12">
        <f>IF(AND(A125&gt;Holdings!$G$24,A125&lt;=Portfolio!$J$5),L125,"")</f>
        <v>-1.8797262599811182E-3</v>
      </c>
      <c r="W125" s="12">
        <f>IF(AND(A125&gt;Holdings!$G$24,A125&lt;=Portfolio!$J$5),Q125,"")</f>
        <v>1.3640384839563868E-3</v>
      </c>
    </row>
    <row r="126" spans="1:23" ht="20" customHeight="1" x14ac:dyDescent="0.35">
      <c r="A126" s="7">
        <v>46269</v>
      </c>
      <c r="B126" s="1">
        <f>SUMIFS(Ledger!$J$7:$J$1006,Ledger!$C$7:$C$1006,Portfolio!$C$5,Ledger!$E$7:$E$1006,History!B$6,Ledger!$B$7:$B$1006,"&lt;="&amp;$A126)</f>
        <v>90</v>
      </c>
      <c r="C126" s="1">
        <f>SUMIFS(Ledger!$J$7:$J$1006,Ledger!$C$7:$C$1006,Portfolio!$C$5,Ledger!$E$7:$E$1006,History!C$6,Ledger!$B$7:$B$1006,"&lt;="&amp;$A126)</f>
        <v>220</v>
      </c>
      <c r="D126" s="1">
        <f>SUMIFS(Ledger!$J$7:$J$1006,Ledger!$C$7:$C$1006,Portfolio!$C$5,Ledger!$E$7:$E$1006,History!D$6,Ledger!$B$7:$B$1006,"&lt;="&amp;$A126)</f>
        <v>80</v>
      </c>
      <c r="E126" s="1">
        <f>SUMIFS(Ledger!$J$7:$J$1006,Ledger!$C$7:$C$1006,Portfolio!$C$5,Ledger!$E$7:$E$1006,History!E$6,Ledger!$B$7:$B$1006,"&lt;="&amp;$A126)</f>
        <v>130</v>
      </c>
      <c r="F126" s="1">
        <f>SUMIFS(Ledger!$J$7:$J$1006,Ledger!$C$7:$C$1006,Portfolio!$C$5,Ledger!$E$7:$E$1006,History!F$6,Ledger!$B$7:$B$1006,"&lt;="&amp;$A126)</f>
        <v>480</v>
      </c>
      <c r="G126" s="1">
        <f>SUMIFS(Ledger!$J$7:$J$1006,Ledger!$C$7:$C$1006,Portfolio!$C$5,Ledger!$E$7:$E$1006,History!G$6,Ledger!$B$7:$B$1006,"&lt;="&amp;$A126)</f>
        <v>600</v>
      </c>
      <c r="H126" s="8">
        <f>SUMIFS(Ledger!$K$7:$K$1006,Ledger!$C$7:$C$1006,Portfolio!$C$5,Ledger!$B$7:$B$1006,"&lt;="&amp;$A126)</f>
        <v>49454.401000000013</v>
      </c>
      <c r="I126" s="8">
        <f>IF(S126=6,SUMPRODUCT(B126:G126,History!B126:G126),NA())</f>
        <v>490412.28700000001</v>
      </c>
      <c r="J126" s="8">
        <f t="shared" si="6"/>
        <v>539866.68800000008</v>
      </c>
      <c r="K126" s="8">
        <f>SUMIFS(Ledger!$L$7:$L$1006,Ledger!$C$7:$C$1006,Portfolio!$C$5,Ledger!$B$7:$B$1006,$A126)</f>
        <v>0</v>
      </c>
      <c r="L126" s="10">
        <f>IF(A126&lt;Holdings!$G$24,"",IF(A126=Holdings!$G$24,IF(K126&gt;0,J126/K126-1,NA()),IF(J125&gt;0,(J126-K126)/J125-1,NA())))</f>
        <v>6.6911218260103933E-3</v>
      </c>
      <c r="M126" s="11">
        <f>IF(A126&lt;Holdings!$G$24,"",IF(A126=Holdings!$G$24,100*(1+L126),M125*(1+L126)))</f>
        <v>100.69837048665232</v>
      </c>
      <c r="N126" s="11">
        <f>IF(A126&lt;Holdings!$G$24,"",IF(A126=Holdings!$G$24,MAX(100,M126),MAX(N125,M126)))</f>
        <v>102.94361845014572</v>
      </c>
      <c r="O126" s="10">
        <f>IF(A126&lt;Holdings!$G$24,"",M126/N126-1)</f>
        <v>-2.1810462827093535E-2</v>
      </c>
      <c r="P126" s="11">
        <f>IF(A126&lt;Holdings!$G$24,"",IF(History!H126&gt;0,History!H126/INDEX(History!$H$7:$H$136,MATCH(Holdings!$G$24,History!$A$7:$A$136,0))*100,NA()))</f>
        <v>98.773055299999996</v>
      </c>
      <c r="Q126" s="10">
        <f>IF(A126&lt;=Holdings!$G$24,"",P126/P125-1)</f>
        <v>7.934232849069911E-3</v>
      </c>
      <c r="R126" s="8">
        <f>IF(A126&gt;Portfolio!$J$5,0,-K126+IF(A126=Portfolio!$J$5,J126,0))</f>
        <v>0</v>
      </c>
      <c r="S126" s="1">
        <f>COUNTIFS(History!B126:G126,"&gt;0")</f>
        <v>6</v>
      </c>
      <c r="T126" s="1" t="str">
        <f t="shared" si="7"/>
        <v>04-Sep</v>
      </c>
      <c r="U126" s="10">
        <f>IF(AND(A126&lt;=Portfolio!$J$5,A126&gt;=Holdings!$G$24),O126,0)</f>
        <v>-2.1810462827093535E-2</v>
      </c>
      <c r="V126" s="12">
        <f>IF(AND(A126&gt;Holdings!$G$24,A126&lt;=Portfolio!$J$5),L126,"")</f>
        <v>6.6911218260103933E-3</v>
      </c>
      <c r="W126" s="12">
        <f>IF(AND(A126&gt;Holdings!$G$24,A126&lt;=Portfolio!$J$5),Q126,"")</f>
        <v>7.934232849069911E-3</v>
      </c>
    </row>
    <row r="127" spans="1:23" ht="20" customHeight="1" x14ac:dyDescent="0.35">
      <c r="A127" s="7">
        <v>46272</v>
      </c>
      <c r="B127" s="1">
        <f>SUMIFS(Ledger!$J$7:$J$1006,Ledger!$C$7:$C$1006,Portfolio!$C$5,Ledger!$E$7:$E$1006,History!B$6,Ledger!$B$7:$B$1006,"&lt;="&amp;$A127)</f>
        <v>90</v>
      </c>
      <c r="C127" s="1">
        <f>SUMIFS(Ledger!$J$7:$J$1006,Ledger!$C$7:$C$1006,Portfolio!$C$5,Ledger!$E$7:$E$1006,History!C$6,Ledger!$B$7:$B$1006,"&lt;="&amp;$A127)</f>
        <v>220</v>
      </c>
      <c r="D127" s="1">
        <f>SUMIFS(Ledger!$J$7:$J$1006,Ledger!$C$7:$C$1006,Portfolio!$C$5,Ledger!$E$7:$E$1006,History!D$6,Ledger!$B$7:$B$1006,"&lt;="&amp;$A127)</f>
        <v>80</v>
      </c>
      <c r="E127" s="1">
        <f>SUMIFS(Ledger!$J$7:$J$1006,Ledger!$C$7:$C$1006,Portfolio!$C$5,Ledger!$E$7:$E$1006,History!E$6,Ledger!$B$7:$B$1006,"&lt;="&amp;$A127)</f>
        <v>130</v>
      </c>
      <c r="F127" s="1">
        <f>SUMIFS(Ledger!$J$7:$J$1006,Ledger!$C$7:$C$1006,Portfolio!$C$5,Ledger!$E$7:$E$1006,History!F$6,Ledger!$B$7:$B$1006,"&lt;="&amp;$A127)</f>
        <v>480</v>
      </c>
      <c r="G127" s="1">
        <f>SUMIFS(Ledger!$J$7:$J$1006,Ledger!$C$7:$C$1006,Portfolio!$C$5,Ledger!$E$7:$E$1006,History!G$6,Ledger!$B$7:$B$1006,"&lt;="&amp;$A127)</f>
        <v>600</v>
      </c>
      <c r="H127" s="8">
        <f>SUMIFS(Ledger!$K$7:$K$1006,Ledger!$C$7:$C$1006,Portfolio!$C$5,Ledger!$B$7:$B$1006,"&lt;="&amp;$A127)</f>
        <v>49454.401000000013</v>
      </c>
      <c r="I127" s="8">
        <f>IF(S127=6,SUMPRODUCT(B127:G127,History!B127:G127),NA())</f>
        <v>490849.94199999998</v>
      </c>
      <c r="J127" s="8">
        <f t="shared" si="6"/>
        <v>540304.34299999999</v>
      </c>
      <c r="K127" s="8">
        <f>SUMIFS(Ledger!$L$7:$L$1006,Ledger!$C$7:$C$1006,Portfolio!$C$5,Ledger!$B$7:$B$1006,$A127)</f>
        <v>0</v>
      </c>
      <c r="L127" s="10">
        <f>IF(A127&lt;Holdings!$G$24,"",IF(A127=Holdings!$G$24,IF(K127&gt;0,J127/K127-1,NA()),IF(J126&gt;0,(J127-K127)/J126-1,NA())))</f>
        <v>8.1067235620935207E-4</v>
      </c>
      <c r="M127" s="11">
        <f>IF(A127&lt;Holdings!$G$24,"",IF(A127=Holdings!$G$24,100*(1+L127),M126*(1+L127)))</f>
        <v>100.78000387192118</v>
      </c>
      <c r="N127" s="11">
        <f>IF(A127&lt;Holdings!$G$24,"",IF(A127=Holdings!$G$24,MAX(100,M127),MAX(N126,M127)))</f>
        <v>102.94361845014572</v>
      </c>
      <c r="O127" s="10">
        <f>IF(A127&lt;Holdings!$G$24,"",M127/N127-1)</f>
        <v>-2.1017471610174199E-2</v>
      </c>
      <c r="P127" s="11">
        <f>IF(A127&lt;Holdings!$G$24,"",IF(History!H127&gt;0,History!H127/INDEX(History!$H$7:$H$136,MATCH(Holdings!$G$24,History!$A$7:$A$136,0))*100,NA()))</f>
        <v>99.2424575</v>
      </c>
      <c r="Q127" s="10">
        <f>IF(A127&lt;=Holdings!$G$24,"",P127/P126-1)</f>
        <v>4.7523304667886901E-3</v>
      </c>
      <c r="R127" s="8">
        <f>IF(A127&gt;Portfolio!$J$5,0,-K127+IF(A127=Portfolio!$J$5,J127,0))</f>
        <v>0</v>
      </c>
      <c r="S127" s="1">
        <f>COUNTIFS(History!B127:G127,"&gt;0")</f>
        <v>6</v>
      </c>
      <c r="T127" s="1" t="str">
        <f t="shared" si="7"/>
        <v>07-Sep</v>
      </c>
      <c r="U127" s="10">
        <f>IF(AND(A127&lt;=Portfolio!$J$5,A127&gt;=Holdings!$G$24),O127,0)</f>
        <v>-2.1017471610174199E-2</v>
      </c>
      <c r="V127" s="12">
        <f>IF(AND(A127&gt;Holdings!$G$24,A127&lt;=Portfolio!$J$5),L127,"")</f>
        <v>8.1067235620935207E-4</v>
      </c>
      <c r="W127" s="12">
        <f>IF(AND(A127&gt;Holdings!$G$24,A127&lt;=Portfolio!$J$5),Q127,"")</f>
        <v>4.7523304667886901E-3</v>
      </c>
    </row>
    <row r="128" spans="1:23" ht="20" customHeight="1" x14ac:dyDescent="0.35">
      <c r="A128" s="7">
        <v>46273</v>
      </c>
      <c r="B128" s="1">
        <f>SUMIFS(Ledger!$J$7:$J$1006,Ledger!$C$7:$C$1006,Portfolio!$C$5,Ledger!$E$7:$E$1006,History!B$6,Ledger!$B$7:$B$1006,"&lt;="&amp;$A128)</f>
        <v>90</v>
      </c>
      <c r="C128" s="1">
        <f>SUMIFS(Ledger!$J$7:$J$1006,Ledger!$C$7:$C$1006,Portfolio!$C$5,Ledger!$E$7:$E$1006,History!C$6,Ledger!$B$7:$B$1006,"&lt;="&amp;$A128)</f>
        <v>220</v>
      </c>
      <c r="D128" s="1">
        <f>SUMIFS(Ledger!$J$7:$J$1006,Ledger!$C$7:$C$1006,Portfolio!$C$5,Ledger!$E$7:$E$1006,History!D$6,Ledger!$B$7:$B$1006,"&lt;="&amp;$A128)</f>
        <v>80</v>
      </c>
      <c r="E128" s="1">
        <f>SUMIFS(Ledger!$J$7:$J$1006,Ledger!$C$7:$C$1006,Portfolio!$C$5,Ledger!$E$7:$E$1006,History!E$6,Ledger!$B$7:$B$1006,"&lt;="&amp;$A128)</f>
        <v>130</v>
      </c>
      <c r="F128" s="1">
        <f>SUMIFS(Ledger!$J$7:$J$1006,Ledger!$C$7:$C$1006,Portfolio!$C$5,Ledger!$E$7:$E$1006,History!F$6,Ledger!$B$7:$B$1006,"&lt;="&amp;$A128)</f>
        <v>480</v>
      </c>
      <c r="G128" s="1">
        <f>SUMIFS(Ledger!$J$7:$J$1006,Ledger!$C$7:$C$1006,Portfolio!$C$5,Ledger!$E$7:$E$1006,History!G$6,Ledger!$B$7:$B$1006,"&lt;="&amp;$A128)</f>
        <v>600</v>
      </c>
      <c r="H128" s="8">
        <f>SUMIFS(Ledger!$K$7:$K$1006,Ledger!$C$7:$C$1006,Portfolio!$C$5,Ledger!$B$7:$B$1006,"&lt;="&amp;$A128)</f>
        <v>49454.401000000013</v>
      </c>
      <c r="I128" s="8">
        <f>IF(S128=6,SUMPRODUCT(B128:G128,History!B128:G128),NA())</f>
        <v>491732.02499999997</v>
      </c>
      <c r="J128" s="8">
        <f t="shared" si="6"/>
        <v>541186.42599999998</v>
      </c>
      <c r="K128" s="8">
        <f>SUMIFS(Ledger!$L$7:$L$1006,Ledger!$C$7:$C$1006,Portfolio!$C$5,Ledger!$B$7:$B$1006,$A128)</f>
        <v>0</v>
      </c>
      <c r="L128" s="10">
        <f>IF(A128&lt;Holdings!$G$24,"",IF(A128=Holdings!$G$24,IF(K128&gt;0,J128/K128-1,NA()),IF(J127&gt;0,(J128-K128)/J127-1,NA())))</f>
        <v>1.6325669253411945E-3</v>
      </c>
      <c r="M128" s="11">
        <f>IF(A128&lt;Holdings!$G$24,"",IF(A128=Holdings!$G$24,100*(1+L128),M127*(1+L128)))</f>
        <v>100.94453397297823</v>
      </c>
      <c r="N128" s="11">
        <f>IF(A128&lt;Holdings!$G$24,"",IF(A128=Holdings!$G$24,MAX(100,M128),MAX(N127,M128)))</f>
        <v>102.94361845014572</v>
      </c>
      <c r="O128" s="10">
        <f>IF(A128&lt;Holdings!$G$24,"",M128/N128-1)</f>
        <v>-1.9419217113838094E-2</v>
      </c>
      <c r="P128" s="11">
        <f>IF(A128&lt;Holdings!$G$24,"",IF(History!H128&gt;0,History!H128/INDEX(History!$H$7:$H$136,MATCH(Holdings!$G$24,History!$A$7:$A$136,0))*100,NA()))</f>
        <v>99.562190100000009</v>
      </c>
      <c r="Q128" s="10">
        <f>IF(A128&lt;=Holdings!$G$24,"",P128/P127-1)</f>
        <v>3.2217319890532892E-3</v>
      </c>
      <c r="R128" s="8">
        <f>IF(A128&gt;Portfolio!$J$5,0,-K128+IF(A128=Portfolio!$J$5,J128,0))</f>
        <v>0</v>
      </c>
      <c r="S128" s="1">
        <f>COUNTIFS(History!B128:G128,"&gt;0")</f>
        <v>6</v>
      </c>
      <c r="T128" s="1" t="str">
        <f t="shared" si="7"/>
        <v>08-Sep</v>
      </c>
      <c r="U128" s="10">
        <f>IF(AND(A128&lt;=Portfolio!$J$5,A128&gt;=Holdings!$G$24),O128,0)</f>
        <v>-1.9419217113838094E-2</v>
      </c>
      <c r="V128" s="12">
        <f>IF(AND(A128&gt;Holdings!$G$24,A128&lt;=Portfolio!$J$5),L128,"")</f>
        <v>1.6325669253411945E-3</v>
      </c>
      <c r="W128" s="12">
        <f>IF(AND(A128&gt;Holdings!$G$24,A128&lt;=Portfolio!$J$5),Q128,"")</f>
        <v>3.2217319890532892E-3</v>
      </c>
    </row>
    <row r="129" spans="1:23" ht="20" customHeight="1" x14ac:dyDescent="0.35">
      <c r="A129" s="7">
        <v>46274</v>
      </c>
      <c r="B129" s="1">
        <f>SUMIFS(Ledger!$J$7:$J$1006,Ledger!$C$7:$C$1006,Portfolio!$C$5,Ledger!$E$7:$E$1006,History!B$6,Ledger!$B$7:$B$1006,"&lt;="&amp;$A129)</f>
        <v>90</v>
      </c>
      <c r="C129" s="1">
        <f>SUMIFS(Ledger!$J$7:$J$1006,Ledger!$C$7:$C$1006,Portfolio!$C$5,Ledger!$E$7:$E$1006,History!C$6,Ledger!$B$7:$B$1006,"&lt;="&amp;$A129)</f>
        <v>220</v>
      </c>
      <c r="D129" s="1">
        <f>SUMIFS(Ledger!$J$7:$J$1006,Ledger!$C$7:$C$1006,Portfolio!$C$5,Ledger!$E$7:$E$1006,History!D$6,Ledger!$B$7:$B$1006,"&lt;="&amp;$A129)</f>
        <v>80</v>
      </c>
      <c r="E129" s="1">
        <f>SUMIFS(Ledger!$J$7:$J$1006,Ledger!$C$7:$C$1006,Portfolio!$C$5,Ledger!$E$7:$E$1006,History!E$6,Ledger!$B$7:$B$1006,"&lt;="&amp;$A129)</f>
        <v>130</v>
      </c>
      <c r="F129" s="1">
        <f>SUMIFS(Ledger!$J$7:$J$1006,Ledger!$C$7:$C$1006,Portfolio!$C$5,Ledger!$E$7:$E$1006,History!F$6,Ledger!$B$7:$B$1006,"&lt;="&amp;$A129)</f>
        <v>480</v>
      </c>
      <c r="G129" s="1">
        <f>SUMIFS(Ledger!$J$7:$J$1006,Ledger!$C$7:$C$1006,Portfolio!$C$5,Ledger!$E$7:$E$1006,History!G$6,Ledger!$B$7:$B$1006,"&lt;="&amp;$A129)</f>
        <v>600</v>
      </c>
      <c r="H129" s="8">
        <f>SUMIFS(Ledger!$K$7:$K$1006,Ledger!$C$7:$C$1006,Portfolio!$C$5,Ledger!$B$7:$B$1006,"&lt;="&amp;$A129)</f>
        <v>49454.401000000013</v>
      </c>
      <c r="I129" s="8">
        <f>IF(S129=6,SUMPRODUCT(B129:G129,History!B129:G129),NA())</f>
        <v>495888.36599999992</v>
      </c>
      <c r="J129" s="8">
        <f t="shared" si="6"/>
        <v>545342.76699999999</v>
      </c>
      <c r="K129" s="8">
        <f>SUMIFS(Ledger!$L$7:$L$1006,Ledger!$C$7:$C$1006,Portfolio!$C$5,Ledger!$B$7:$B$1006,$A129)</f>
        <v>0</v>
      </c>
      <c r="L129" s="10">
        <f>IF(A129&lt;Holdings!$G$24,"",IF(A129=Holdings!$G$24,IF(K129&gt;0,J129/K129-1,NA()),IF(J128&gt;0,(J129-K129)/J128-1,NA())))</f>
        <v>7.6800540448145327E-3</v>
      </c>
      <c r="M129" s="11">
        <f>IF(A129&lt;Holdings!$G$24,"",IF(A129=Holdings!$G$24,100*(1+L129),M128*(1+L129)))</f>
        <v>101.71979344941933</v>
      </c>
      <c r="N129" s="11">
        <f>IF(A129&lt;Holdings!$G$24,"",IF(A129=Holdings!$G$24,MAX(100,M129),MAX(N128,M129)))</f>
        <v>102.94361845014572</v>
      </c>
      <c r="O129" s="10">
        <f>IF(A129&lt;Holdings!$G$24,"",M129/N129-1)</f>
        <v>-1.1888303705965719E-2</v>
      </c>
      <c r="P129" s="11">
        <f>IF(A129&lt;Holdings!$G$24,"",IF(History!H129&gt;0,History!H129/INDEX(History!$H$7:$H$136,MATCH(Holdings!$G$24,History!$A$7:$A$136,0))*100,NA()))</f>
        <v>99.824381700000004</v>
      </c>
      <c r="Q129" s="10">
        <f>IF(A129&lt;=Holdings!$G$24,"",P129/P128-1)</f>
        <v>2.6334454850445166E-3</v>
      </c>
      <c r="R129" s="8">
        <f>IF(A129&gt;Portfolio!$J$5,0,-K129+IF(A129=Portfolio!$J$5,J129,0))</f>
        <v>0</v>
      </c>
      <c r="S129" s="1">
        <f>COUNTIFS(History!B129:G129,"&gt;0")</f>
        <v>6</v>
      </c>
      <c r="T129" s="1" t="str">
        <f t="shared" si="7"/>
        <v>09-Sep</v>
      </c>
      <c r="U129" s="10">
        <f>IF(AND(A129&lt;=Portfolio!$J$5,A129&gt;=Holdings!$G$24),O129,0)</f>
        <v>-1.1888303705965719E-2</v>
      </c>
      <c r="V129" s="12">
        <f>IF(AND(A129&gt;Holdings!$G$24,A129&lt;=Portfolio!$J$5),L129,"")</f>
        <v>7.6800540448145327E-3</v>
      </c>
      <c r="W129" s="12">
        <f>IF(AND(A129&gt;Holdings!$G$24,A129&lt;=Portfolio!$J$5),Q129,"")</f>
        <v>2.6334454850445166E-3</v>
      </c>
    </row>
    <row r="130" spans="1:23" ht="20" customHeight="1" x14ac:dyDescent="0.35">
      <c r="A130" s="7">
        <v>46275</v>
      </c>
      <c r="B130" s="1">
        <f>SUMIFS(Ledger!$J$7:$J$1006,Ledger!$C$7:$C$1006,Portfolio!$C$5,Ledger!$E$7:$E$1006,History!B$6,Ledger!$B$7:$B$1006,"&lt;="&amp;$A130)</f>
        <v>90</v>
      </c>
      <c r="C130" s="1">
        <f>SUMIFS(Ledger!$J$7:$J$1006,Ledger!$C$7:$C$1006,Portfolio!$C$5,Ledger!$E$7:$E$1006,History!C$6,Ledger!$B$7:$B$1006,"&lt;="&amp;$A130)</f>
        <v>220</v>
      </c>
      <c r="D130" s="1">
        <f>SUMIFS(Ledger!$J$7:$J$1006,Ledger!$C$7:$C$1006,Portfolio!$C$5,Ledger!$E$7:$E$1006,History!D$6,Ledger!$B$7:$B$1006,"&lt;="&amp;$A130)</f>
        <v>80</v>
      </c>
      <c r="E130" s="1">
        <f>SUMIFS(Ledger!$J$7:$J$1006,Ledger!$C$7:$C$1006,Portfolio!$C$5,Ledger!$E$7:$E$1006,History!E$6,Ledger!$B$7:$B$1006,"&lt;="&amp;$A130)</f>
        <v>130</v>
      </c>
      <c r="F130" s="1">
        <f>SUMIFS(Ledger!$J$7:$J$1006,Ledger!$C$7:$C$1006,Portfolio!$C$5,Ledger!$E$7:$E$1006,History!F$6,Ledger!$B$7:$B$1006,"&lt;="&amp;$A130)</f>
        <v>480</v>
      </c>
      <c r="G130" s="1">
        <f>SUMIFS(Ledger!$J$7:$J$1006,Ledger!$C$7:$C$1006,Portfolio!$C$5,Ledger!$E$7:$E$1006,History!G$6,Ledger!$B$7:$B$1006,"&lt;="&amp;$A130)</f>
        <v>600</v>
      </c>
      <c r="H130" s="8">
        <f>SUMIFS(Ledger!$K$7:$K$1006,Ledger!$C$7:$C$1006,Portfolio!$C$5,Ledger!$B$7:$B$1006,"&lt;="&amp;$A130)</f>
        <v>49454.401000000013</v>
      </c>
      <c r="I130" s="8">
        <f>IF(S130=6,SUMPRODUCT(B130:G130,History!B130:G130),NA())</f>
        <v>494183.30000000005</v>
      </c>
      <c r="J130" s="8">
        <f t="shared" si="6"/>
        <v>543637.70100000012</v>
      </c>
      <c r="K130" s="8">
        <f>SUMIFS(Ledger!$L$7:$L$1006,Ledger!$C$7:$C$1006,Portfolio!$C$5,Ledger!$B$7:$B$1006,$A130)</f>
        <v>0</v>
      </c>
      <c r="L130" s="10">
        <f>IF(A130&lt;Holdings!$G$24,"",IF(A130=Holdings!$G$24,IF(K130&gt;0,J130/K130-1,NA()),IF(J129&gt;0,(J130-K130)/J129-1,NA())))</f>
        <v>-3.1265950575996015E-3</v>
      </c>
      <c r="M130" s="11">
        <f>IF(A130&lt;Holdings!$G$24,"",IF(A130=Holdings!$G$24,100*(1+L130),M129*(1+L130)))</f>
        <v>101.40175684596032</v>
      </c>
      <c r="N130" s="11">
        <f>IF(A130&lt;Holdings!$G$24,"",IF(A130=Holdings!$G$24,MAX(100,M130),MAX(N129,M130)))</f>
        <v>102.94361845014572</v>
      </c>
      <c r="O130" s="10">
        <f>IF(A130&lt;Holdings!$G$24,"",M130/N130-1)</f>
        <v>-1.497772885195503E-2</v>
      </c>
      <c r="P130" s="11">
        <f>IF(A130&lt;Holdings!$G$24,"",IF(History!H130&gt;0,History!H130/INDEX(History!$H$7:$H$136,MATCH(Holdings!$G$24,History!$A$7:$A$136,0))*100,NA()))</f>
        <v>99.674560499999998</v>
      </c>
      <c r="Q130" s="10">
        <f>IF(A130&lt;=Holdings!$G$24,"",P130/P129-1)</f>
        <v>-1.5008477633275952E-3</v>
      </c>
      <c r="R130" s="8">
        <f>IF(A130&gt;Portfolio!$J$5,0,-K130+IF(A130=Portfolio!$J$5,J130,0))</f>
        <v>0</v>
      </c>
      <c r="S130" s="1">
        <f>COUNTIFS(History!B130:G130,"&gt;0")</f>
        <v>6</v>
      </c>
      <c r="T130" s="1" t="str">
        <f t="shared" si="7"/>
        <v>10-Sep</v>
      </c>
      <c r="U130" s="10">
        <f>IF(AND(A130&lt;=Portfolio!$J$5,A130&gt;=Holdings!$G$24),O130,0)</f>
        <v>-1.497772885195503E-2</v>
      </c>
      <c r="V130" s="12">
        <f>IF(AND(A130&gt;Holdings!$G$24,A130&lt;=Portfolio!$J$5),L130,"")</f>
        <v>-3.1265950575996015E-3</v>
      </c>
      <c r="W130" s="12">
        <f>IF(AND(A130&gt;Holdings!$G$24,A130&lt;=Portfolio!$J$5),Q130,"")</f>
        <v>-1.5008477633275952E-3</v>
      </c>
    </row>
    <row r="131" spans="1:23" ht="20" customHeight="1" x14ac:dyDescent="0.35">
      <c r="A131" s="7">
        <v>46276</v>
      </c>
      <c r="B131" s="1">
        <f>SUMIFS(Ledger!$J$7:$J$1006,Ledger!$C$7:$C$1006,Portfolio!$C$5,Ledger!$E$7:$E$1006,History!B$6,Ledger!$B$7:$B$1006,"&lt;="&amp;$A131)</f>
        <v>90</v>
      </c>
      <c r="C131" s="1">
        <f>SUMIFS(Ledger!$J$7:$J$1006,Ledger!$C$7:$C$1006,Portfolio!$C$5,Ledger!$E$7:$E$1006,History!C$6,Ledger!$B$7:$B$1006,"&lt;="&amp;$A131)</f>
        <v>220</v>
      </c>
      <c r="D131" s="1">
        <f>SUMIFS(Ledger!$J$7:$J$1006,Ledger!$C$7:$C$1006,Portfolio!$C$5,Ledger!$E$7:$E$1006,History!D$6,Ledger!$B$7:$B$1006,"&lt;="&amp;$A131)</f>
        <v>80</v>
      </c>
      <c r="E131" s="1">
        <f>SUMIFS(Ledger!$J$7:$J$1006,Ledger!$C$7:$C$1006,Portfolio!$C$5,Ledger!$E$7:$E$1006,History!E$6,Ledger!$B$7:$B$1006,"&lt;="&amp;$A131)</f>
        <v>130</v>
      </c>
      <c r="F131" s="1">
        <f>SUMIFS(Ledger!$J$7:$J$1006,Ledger!$C$7:$C$1006,Portfolio!$C$5,Ledger!$E$7:$E$1006,History!F$6,Ledger!$B$7:$B$1006,"&lt;="&amp;$A131)</f>
        <v>480</v>
      </c>
      <c r="G131" s="1">
        <f>SUMIFS(Ledger!$J$7:$J$1006,Ledger!$C$7:$C$1006,Portfolio!$C$5,Ledger!$E$7:$E$1006,History!G$6,Ledger!$B$7:$B$1006,"&lt;="&amp;$A131)</f>
        <v>600</v>
      </c>
      <c r="H131" s="8">
        <f>SUMIFS(Ledger!$K$7:$K$1006,Ledger!$C$7:$C$1006,Portfolio!$C$5,Ledger!$B$7:$B$1006,"&lt;="&amp;$A131)</f>
        <v>49454.401000000013</v>
      </c>
      <c r="I131" s="8">
        <f>IF(S131=6,SUMPRODUCT(B131:G131,History!B131:G131),NA())</f>
        <v>495834.05499999993</v>
      </c>
      <c r="J131" s="8">
        <f t="shared" si="6"/>
        <v>545288.45600000001</v>
      </c>
      <c r="K131" s="8">
        <f>SUMIFS(Ledger!$L$7:$L$1006,Ledger!$C$7:$C$1006,Portfolio!$C$5,Ledger!$B$7:$B$1006,$A131)</f>
        <v>0</v>
      </c>
      <c r="L131" s="10">
        <f>IF(A131&lt;Holdings!$G$24,"",IF(A131=Holdings!$G$24,IF(K131&gt;0,J131/K131-1,NA()),IF(J130&gt;0,(J131-K131)/J130-1,NA())))</f>
        <v>3.0364983829549441E-3</v>
      </c>
      <c r="M131" s="11">
        <f>IF(A131&lt;Holdings!$G$24,"",IF(A131=Holdings!$G$24,100*(1+L131),M130*(1+L131)))</f>
        <v>101.70966311665187</v>
      </c>
      <c r="N131" s="11">
        <f>IF(A131&lt;Holdings!$G$24,"",IF(A131=Holdings!$G$24,MAX(100,M131),MAX(N130,M131)))</f>
        <v>102.94361845014572</v>
      </c>
      <c r="O131" s="10">
        <f>IF(A131&lt;Holdings!$G$24,"",M131/N131-1)</f>
        <v>-1.1986710318439453E-2</v>
      </c>
      <c r="P131" s="11">
        <f>IF(A131&lt;Holdings!$G$24,"",IF(History!H131&gt;0,History!H131/INDEX(History!$H$7:$H$136,MATCH(Holdings!$G$24,History!$A$7:$A$136,0))*100,NA()))</f>
        <v>100.32490510000001</v>
      </c>
      <c r="Q131" s="10">
        <f>IF(A131&lt;=Holdings!$G$24,"",P131/P130-1)</f>
        <v>6.5246798855964627E-3</v>
      </c>
      <c r="R131" s="8">
        <f>IF(A131&gt;Portfolio!$J$5,0,-K131+IF(A131=Portfolio!$J$5,J131,0))</f>
        <v>0</v>
      </c>
      <c r="S131" s="1">
        <f>COUNTIFS(History!B131:G131,"&gt;0")</f>
        <v>6</v>
      </c>
      <c r="T131" s="1" t="str">
        <f t="shared" si="7"/>
        <v>11-Sep</v>
      </c>
      <c r="U131" s="10">
        <f>IF(AND(A131&lt;=Portfolio!$J$5,A131&gt;=Holdings!$G$24),O131,0)</f>
        <v>-1.1986710318439453E-2</v>
      </c>
      <c r="V131" s="12">
        <f>IF(AND(A131&gt;Holdings!$G$24,A131&lt;=Portfolio!$J$5),L131,"")</f>
        <v>3.0364983829549441E-3</v>
      </c>
      <c r="W131" s="12">
        <f>IF(AND(A131&gt;Holdings!$G$24,A131&lt;=Portfolio!$J$5),Q131,"")</f>
        <v>6.5246798855964627E-3</v>
      </c>
    </row>
    <row r="132" spans="1:23" ht="20" customHeight="1" x14ac:dyDescent="0.35">
      <c r="A132" s="7">
        <v>46279</v>
      </c>
      <c r="B132" s="1">
        <f>SUMIFS(Ledger!$J$7:$J$1006,Ledger!$C$7:$C$1006,Portfolio!$C$5,Ledger!$E$7:$E$1006,History!B$6,Ledger!$B$7:$B$1006,"&lt;="&amp;$A132)</f>
        <v>90</v>
      </c>
      <c r="C132" s="1">
        <f>SUMIFS(Ledger!$J$7:$J$1006,Ledger!$C$7:$C$1006,Portfolio!$C$5,Ledger!$E$7:$E$1006,History!C$6,Ledger!$B$7:$B$1006,"&lt;="&amp;$A132)</f>
        <v>220</v>
      </c>
      <c r="D132" s="1">
        <f>SUMIFS(Ledger!$J$7:$J$1006,Ledger!$C$7:$C$1006,Portfolio!$C$5,Ledger!$E$7:$E$1006,History!D$6,Ledger!$B$7:$B$1006,"&lt;="&amp;$A132)</f>
        <v>80</v>
      </c>
      <c r="E132" s="1">
        <f>SUMIFS(Ledger!$J$7:$J$1006,Ledger!$C$7:$C$1006,Portfolio!$C$5,Ledger!$E$7:$E$1006,History!E$6,Ledger!$B$7:$B$1006,"&lt;="&amp;$A132)</f>
        <v>130</v>
      </c>
      <c r="F132" s="1">
        <f>SUMIFS(Ledger!$J$7:$J$1006,Ledger!$C$7:$C$1006,Portfolio!$C$5,Ledger!$E$7:$E$1006,History!F$6,Ledger!$B$7:$B$1006,"&lt;="&amp;$A132)</f>
        <v>480</v>
      </c>
      <c r="G132" s="1">
        <f>SUMIFS(Ledger!$J$7:$J$1006,Ledger!$C$7:$C$1006,Portfolio!$C$5,Ledger!$E$7:$E$1006,History!G$6,Ledger!$B$7:$B$1006,"&lt;="&amp;$A132)</f>
        <v>600</v>
      </c>
      <c r="H132" s="8">
        <f>SUMIFS(Ledger!$K$7:$K$1006,Ledger!$C$7:$C$1006,Portfolio!$C$5,Ledger!$B$7:$B$1006,"&lt;="&amp;$A132)</f>
        <v>49454.401000000013</v>
      </c>
      <c r="I132" s="8">
        <f>IF(S132=6,SUMPRODUCT(B132:G132,History!B132:G132),NA())</f>
        <v>488535.60300000006</v>
      </c>
      <c r="J132" s="8">
        <f t="shared" si="6"/>
        <v>537990.00400000007</v>
      </c>
      <c r="K132" s="8">
        <f>SUMIFS(Ledger!$L$7:$L$1006,Ledger!$C$7:$C$1006,Portfolio!$C$5,Ledger!$B$7:$B$1006,$A132)</f>
        <v>0</v>
      </c>
      <c r="L132" s="10">
        <f>IF(A132&lt;Holdings!$G$24,"",IF(A132=Holdings!$G$24,IF(K132&gt;0,J132/K132-1,NA()),IF(J131&gt;0,(J132-K132)/J131-1,NA())))</f>
        <v>-1.3384570899479864E-2</v>
      </c>
      <c r="M132" s="11">
        <f>IF(A132&lt;Holdings!$G$24,"",IF(A132=Holdings!$G$24,100*(1+L132),M131*(1+L132)))</f>
        <v>100.34832291950482</v>
      </c>
      <c r="N132" s="11">
        <f>IF(A132&lt;Holdings!$G$24,"",IF(A132=Holdings!$G$24,MAX(100,M132),MAX(N131,M132)))</f>
        <v>102.94361845014572</v>
      </c>
      <c r="O132" s="10">
        <f>IF(A132&lt;Holdings!$G$24,"",M132/N132-1)</f>
        <v>-2.5210844243810704E-2</v>
      </c>
      <c r="P132" s="11">
        <f>IF(A132&lt;Holdings!$G$24,"",IF(History!H132&gt;0,History!H132/INDEX(History!$H$7:$H$136,MATCH(Holdings!$G$24,History!$A$7:$A$136,0))*100,NA()))</f>
        <v>98.578039699999991</v>
      </c>
      <c r="Q132" s="10">
        <f>IF(A132&lt;=Holdings!$G$24,"",P132/P131-1)</f>
        <v>-1.7412081259970402E-2</v>
      </c>
      <c r="R132" s="8">
        <f>IF(A132&gt;Portfolio!$J$5,0,-K132+IF(A132=Portfolio!$J$5,J132,0))</f>
        <v>0</v>
      </c>
      <c r="S132" s="1">
        <f>COUNTIFS(History!B132:G132,"&gt;0")</f>
        <v>6</v>
      </c>
      <c r="T132" s="1" t="str">
        <f t="shared" si="7"/>
        <v>14-Sep</v>
      </c>
      <c r="U132" s="10">
        <f>IF(AND(A132&lt;=Portfolio!$J$5,A132&gt;=Holdings!$G$24),O132,0)</f>
        <v>-2.5210844243810704E-2</v>
      </c>
      <c r="V132" s="12">
        <f>IF(AND(A132&gt;Holdings!$G$24,A132&lt;=Portfolio!$J$5),L132,"")</f>
        <v>-1.3384570899479864E-2</v>
      </c>
      <c r="W132" s="12">
        <f>IF(AND(A132&gt;Holdings!$G$24,A132&lt;=Portfolio!$J$5),Q132,"")</f>
        <v>-1.7412081259970402E-2</v>
      </c>
    </row>
    <row r="133" spans="1:23" ht="20" customHeight="1" x14ac:dyDescent="0.35">
      <c r="A133" s="7">
        <v>46280</v>
      </c>
      <c r="B133" s="1">
        <f>SUMIFS(Ledger!$J$7:$J$1006,Ledger!$C$7:$C$1006,Portfolio!$C$5,Ledger!$E$7:$E$1006,History!B$6,Ledger!$B$7:$B$1006,"&lt;="&amp;$A133)</f>
        <v>90</v>
      </c>
      <c r="C133" s="1">
        <f>SUMIFS(Ledger!$J$7:$J$1006,Ledger!$C$7:$C$1006,Portfolio!$C$5,Ledger!$E$7:$E$1006,History!C$6,Ledger!$B$7:$B$1006,"&lt;="&amp;$A133)</f>
        <v>220</v>
      </c>
      <c r="D133" s="1">
        <f>SUMIFS(Ledger!$J$7:$J$1006,Ledger!$C$7:$C$1006,Portfolio!$C$5,Ledger!$E$7:$E$1006,History!D$6,Ledger!$B$7:$B$1006,"&lt;="&amp;$A133)</f>
        <v>80</v>
      </c>
      <c r="E133" s="1">
        <f>SUMIFS(Ledger!$J$7:$J$1006,Ledger!$C$7:$C$1006,Portfolio!$C$5,Ledger!$E$7:$E$1006,History!E$6,Ledger!$B$7:$B$1006,"&lt;="&amp;$A133)</f>
        <v>130</v>
      </c>
      <c r="F133" s="1">
        <f>SUMIFS(Ledger!$J$7:$J$1006,Ledger!$C$7:$C$1006,Portfolio!$C$5,Ledger!$E$7:$E$1006,History!F$6,Ledger!$B$7:$B$1006,"&lt;="&amp;$A133)</f>
        <v>480</v>
      </c>
      <c r="G133" s="1">
        <f>SUMIFS(Ledger!$J$7:$J$1006,Ledger!$C$7:$C$1006,Portfolio!$C$5,Ledger!$E$7:$E$1006,History!G$6,Ledger!$B$7:$B$1006,"&lt;="&amp;$A133)</f>
        <v>600</v>
      </c>
      <c r="H133" s="8">
        <f>SUMIFS(Ledger!$K$7:$K$1006,Ledger!$C$7:$C$1006,Portfolio!$C$5,Ledger!$B$7:$B$1006,"&lt;="&amp;$A133)</f>
        <v>49454.401000000013</v>
      </c>
      <c r="I133" s="8">
        <f>IF(S133=6,SUMPRODUCT(B133:G133,History!B133:G133),NA())</f>
        <v>487002.82199999999</v>
      </c>
      <c r="J133" s="8">
        <f t="shared" si="6"/>
        <v>536457.223</v>
      </c>
      <c r="K133" s="8">
        <f>SUMIFS(Ledger!$L$7:$L$1006,Ledger!$C$7:$C$1006,Portfolio!$C$5,Ledger!$B$7:$B$1006,$A133)</f>
        <v>0</v>
      </c>
      <c r="L133" s="10">
        <f>IF(A133&lt;Holdings!$G$24,"",IF(A133=Holdings!$G$24,IF(K133&gt;0,J133/K133-1,NA()),IF(J132&gt;0,(J133-K133)/J132-1,NA())))</f>
        <v>-2.8490882518331651E-3</v>
      </c>
      <c r="M133" s="11">
        <f>IF(A133&lt;Holdings!$G$24,"",IF(A133=Holdings!$G$24,100*(1+L133),M132*(1+L133)))</f>
        <v>100.06242169158371</v>
      </c>
      <c r="N133" s="11">
        <f>IF(A133&lt;Holdings!$G$24,"",IF(A133=Holdings!$G$24,MAX(100,M133),MAX(N132,M133)))</f>
        <v>102.94361845014572</v>
      </c>
      <c r="O133" s="10">
        <f>IF(A133&lt;Holdings!$G$24,"",M133/N133-1)</f>
        <v>-2.7988104575489947E-2</v>
      </c>
      <c r="P133" s="11">
        <f>IF(A133&lt;Holdings!$G$24,"",IF(History!H133&gt;0,History!H133/INDEX(History!$H$7:$H$136,MATCH(Holdings!$G$24,History!$A$7:$A$136,0))*100,NA()))</f>
        <v>97.981470200000004</v>
      </c>
      <c r="Q133" s="10">
        <f>IF(A133&lt;=Holdings!$G$24,"",P133/P132-1)</f>
        <v>-6.0517484605649985E-3</v>
      </c>
      <c r="R133" s="8">
        <f>IF(A133&gt;Portfolio!$J$5,0,-K133+IF(A133=Portfolio!$J$5,J133,0))</f>
        <v>0</v>
      </c>
      <c r="S133" s="1">
        <f>COUNTIFS(History!B133:G133,"&gt;0")</f>
        <v>6</v>
      </c>
      <c r="T133" s="1" t="str">
        <f t="shared" si="7"/>
        <v>15-Sep</v>
      </c>
      <c r="U133" s="10">
        <f>IF(AND(A133&lt;=Portfolio!$J$5,A133&gt;=Holdings!$G$24),O133,0)</f>
        <v>-2.7988104575489947E-2</v>
      </c>
      <c r="V133" s="12">
        <f>IF(AND(A133&gt;Holdings!$G$24,A133&lt;=Portfolio!$J$5),L133,"")</f>
        <v>-2.8490882518331651E-3</v>
      </c>
      <c r="W133" s="12">
        <f>IF(AND(A133&gt;Holdings!$G$24,A133&lt;=Portfolio!$J$5),Q133,"")</f>
        <v>-6.0517484605649985E-3</v>
      </c>
    </row>
    <row r="134" spans="1:23" ht="20" customHeight="1" x14ac:dyDescent="0.35">
      <c r="A134" s="7">
        <v>46281</v>
      </c>
      <c r="B134" s="1">
        <f>SUMIFS(Ledger!$J$7:$J$1006,Ledger!$C$7:$C$1006,Portfolio!$C$5,Ledger!$E$7:$E$1006,History!B$6,Ledger!$B$7:$B$1006,"&lt;="&amp;$A134)</f>
        <v>90</v>
      </c>
      <c r="C134" s="1">
        <f>SUMIFS(Ledger!$J$7:$J$1006,Ledger!$C$7:$C$1006,Portfolio!$C$5,Ledger!$E$7:$E$1006,History!C$6,Ledger!$B$7:$B$1006,"&lt;="&amp;$A134)</f>
        <v>220</v>
      </c>
      <c r="D134" s="1">
        <f>SUMIFS(Ledger!$J$7:$J$1006,Ledger!$C$7:$C$1006,Portfolio!$C$5,Ledger!$E$7:$E$1006,History!D$6,Ledger!$B$7:$B$1006,"&lt;="&amp;$A134)</f>
        <v>80</v>
      </c>
      <c r="E134" s="1">
        <f>SUMIFS(Ledger!$J$7:$J$1006,Ledger!$C$7:$C$1006,Portfolio!$C$5,Ledger!$E$7:$E$1006,History!E$6,Ledger!$B$7:$B$1006,"&lt;="&amp;$A134)</f>
        <v>130</v>
      </c>
      <c r="F134" s="1">
        <f>SUMIFS(Ledger!$J$7:$J$1006,Ledger!$C$7:$C$1006,Portfolio!$C$5,Ledger!$E$7:$E$1006,History!F$6,Ledger!$B$7:$B$1006,"&lt;="&amp;$A134)</f>
        <v>480</v>
      </c>
      <c r="G134" s="1">
        <f>SUMIFS(Ledger!$J$7:$J$1006,Ledger!$C$7:$C$1006,Portfolio!$C$5,Ledger!$E$7:$E$1006,History!G$6,Ledger!$B$7:$B$1006,"&lt;="&amp;$A134)</f>
        <v>600</v>
      </c>
      <c r="H134" s="8">
        <f>SUMIFS(Ledger!$K$7:$K$1006,Ledger!$C$7:$C$1006,Portfolio!$C$5,Ledger!$B$7:$B$1006,"&lt;="&amp;$A134)</f>
        <v>49454.401000000013</v>
      </c>
      <c r="I134" s="8">
        <f>IF(S134=6,SUMPRODUCT(B134:G134,History!B134:G134),NA())</f>
        <v>486942.49099999998</v>
      </c>
      <c r="J134" s="8">
        <f t="shared" si="6"/>
        <v>536396.89199999999</v>
      </c>
      <c r="K134" s="8">
        <f>SUMIFS(Ledger!$L$7:$L$1006,Ledger!$C$7:$C$1006,Portfolio!$C$5,Ledger!$B$7:$B$1006,$A134)</f>
        <v>0</v>
      </c>
      <c r="L134" s="10">
        <f>IF(A134&lt;Holdings!$G$24,"",IF(A134=Holdings!$G$24,IF(K134&gt;0,J134/K134-1,NA()),IF(J133&gt;0,(J134-K134)/J133-1,NA())))</f>
        <v>-1.1246190267066858E-4</v>
      </c>
      <c r="M134" s="11">
        <f>IF(A134&lt;Holdings!$G$24,"",IF(A134=Holdings!$G$24,100*(1+L134),M133*(1+L134)))</f>
        <v>100.05116848125444</v>
      </c>
      <c r="N134" s="11">
        <f>IF(A134&lt;Holdings!$G$24,"",IF(A134=Holdings!$G$24,MAX(100,M134),MAX(N133,M134)))</f>
        <v>102.94361845014572</v>
      </c>
      <c r="O134" s="10">
        <f>IF(A134&lt;Holdings!$G$24,"",M134/N134-1)</f>
        <v>-2.8097418882667924E-2</v>
      </c>
      <c r="P134" s="11">
        <f>IF(A134&lt;Holdings!$G$24,"",IF(History!H134&gt;0,History!H134/INDEX(History!$H$7:$H$136,MATCH(Holdings!$G$24,History!$A$7:$A$136,0))*100,NA()))</f>
        <v>97.81150079999999</v>
      </c>
      <c r="Q134" s="10">
        <f>IF(A134&lt;=Holdings!$G$24,"",P134/P133-1)</f>
        <v>-1.7347096308421017E-3</v>
      </c>
      <c r="R134" s="8">
        <f>IF(A134&gt;Portfolio!$J$5,0,-K134+IF(A134=Portfolio!$J$5,J134,0))</f>
        <v>0</v>
      </c>
      <c r="S134" s="1">
        <f>COUNTIFS(History!B134:G134,"&gt;0")</f>
        <v>6</v>
      </c>
      <c r="T134" s="1" t="str">
        <f t="shared" si="7"/>
        <v>16-Sep</v>
      </c>
      <c r="U134" s="10">
        <f>IF(AND(A134&lt;=Portfolio!$J$5,A134&gt;=Holdings!$G$24),O134,0)</f>
        <v>-2.8097418882667924E-2</v>
      </c>
      <c r="V134" s="12">
        <f>IF(AND(A134&gt;Holdings!$G$24,A134&lt;=Portfolio!$J$5),L134,"")</f>
        <v>-1.1246190267066858E-4</v>
      </c>
      <c r="W134" s="12">
        <f>IF(AND(A134&gt;Holdings!$G$24,A134&lt;=Portfolio!$J$5),Q134,"")</f>
        <v>-1.7347096308421017E-3</v>
      </c>
    </row>
    <row r="135" spans="1:23" ht="20" customHeight="1" x14ac:dyDescent="0.35">
      <c r="A135" s="7">
        <v>46282</v>
      </c>
      <c r="B135" s="1">
        <f>SUMIFS(Ledger!$J$7:$J$1006,Ledger!$C$7:$C$1006,Portfolio!$C$5,Ledger!$E$7:$E$1006,History!B$6,Ledger!$B$7:$B$1006,"&lt;="&amp;$A135)</f>
        <v>90</v>
      </c>
      <c r="C135" s="1">
        <f>SUMIFS(Ledger!$J$7:$J$1006,Ledger!$C$7:$C$1006,Portfolio!$C$5,Ledger!$E$7:$E$1006,History!C$6,Ledger!$B$7:$B$1006,"&lt;="&amp;$A135)</f>
        <v>220</v>
      </c>
      <c r="D135" s="1">
        <f>SUMIFS(Ledger!$J$7:$J$1006,Ledger!$C$7:$C$1006,Portfolio!$C$5,Ledger!$E$7:$E$1006,History!D$6,Ledger!$B$7:$B$1006,"&lt;="&amp;$A135)</f>
        <v>80</v>
      </c>
      <c r="E135" s="1">
        <f>SUMIFS(Ledger!$J$7:$J$1006,Ledger!$C$7:$C$1006,Portfolio!$C$5,Ledger!$E$7:$E$1006,History!E$6,Ledger!$B$7:$B$1006,"&lt;="&amp;$A135)</f>
        <v>130</v>
      </c>
      <c r="F135" s="1">
        <f>SUMIFS(Ledger!$J$7:$J$1006,Ledger!$C$7:$C$1006,Portfolio!$C$5,Ledger!$E$7:$E$1006,History!F$6,Ledger!$B$7:$B$1006,"&lt;="&amp;$A135)</f>
        <v>480</v>
      </c>
      <c r="G135" s="1">
        <f>SUMIFS(Ledger!$J$7:$J$1006,Ledger!$C$7:$C$1006,Portfolio!$C$5,Ledger!$E$7:$E$1006,History!G$6,Ledger!$B$7:$B$1006,"&lt;="&amp;$A135)</f>
        <v>600</v>
      </c>
      <c r="H135" s="8">
        <f>SUMIFS(Ledger!$K$7:$K$1006,Ledger!$C$7:$C$1006,Portfolio!$C$5,Ledger!$B$7:$B$1006,"&lt;="&amp;$A135)</f>
        <v>49454.401000000013</v>
      </c>
      <c r="I135" s="8">
        <f>IF(S135=6,SUMPRODUCT(B135:G135,History!B135:G135),NA())</f>
        <v>481538.34899999993</v>
      </c>
      <c r="J135" s="8">
        <f t="shared" ref="J135:J136" si="8">SUM(H135:I135)</f>
        <v>530992.75</v>
      </c>
      <c r="K135" s="8">
        <f>SUMIFS(Ledger!$L$7:$L$1006,Ledger!$C$7:$C$1006,Portfolio!$C$5,Ledger!$B$7:$B$1006,$A135)</f>
        <v>0</v>
      </c>
      <c r="L135" s="10">
        <f>IF(A135&lt;Holdings!$G$24,"",IF(A135=Holdings!$G$24,IF(K135&gt;0,J135/K135-1,NA()),IF(J134&gt;0,(J135-K135)/J134-1,NA())))</f>
        <v>-1.0074894319111793E-2</v>
      </c>
      <c r="M135" s="11">
        <f>IF(A135&lt;Holdings!$G$24,"",IF(A135=Holdings!$G$24,100*(1+L135),M134*(1+L135)))</f>
        <v>99.043163532302145</v>
      </c>
      <c r="N135" s="11">
        <f>IF(A135&lt;Holdings!$G$24,"",IF(A135=Holdings!$G$24,MAX(100,M135),MAX(N134,M135)))</f>
        <v>102.94361845014572</v>
      </c>
      <c r="O135" s="10">
        <f>IF(A135&lt;Holdings!$G$24,"",M135/N135-1)</f>
        <v>-3.7889234675896999E-2</v>
      </c>
      <c r="P135" s="11">
        <f>IF(A135&lt;Holdings!$G$24,"",IF(History!H135&gt;0,History!H135/INDEX(History!$H$7:$H$136,MATCH(Holdings!$G$24,History!$A$7:$A$136,0))*100,NA()))</f>
        <v>97.158046600000006</v>
      </c>
      <c r="Q135" s="10">
        <f>IF(A135&lt;=Holdings!$G$24,"",P135/P134-1)</f>
        <v>-6.6807501638905809E-3</v>
      </c>
      <c r="R135" s="8">
        <f>IF(A135&gt;Portfolio!$J$5,0,-K135+IF(A135=Portfolio!$J$5,J135,0))</f>
        <v>0</v>
      </c>
      <c r="S135" s="1">
        <f>COUNTIFS(History!B135:G135,"&gt;0")</f>
        <v>6</v>
      </c>
      <c r="T135" s="1" t="str">
        <f t="shared" si="7"/>
        <v>17-Sep</v>
      </c>
      <c r="U135" s="10">
        <f>IF(AND(A135&lt;=Portfolio!$J$5,A135&gt;=Holdings!$G$24),O135,0)</f>
        <v>-3.7889234675896999E-2</v>
      </c>
      <c r="V135" s="12">
        <f>IF(AND(A135&gt;Holdings!$G$24,A135&lt;=Portfolio!$J$5),L135,"")</f>
        <v>-1.0074894319111793E-2</v>
      </c>
      <c r="W135" s="12">
        <f>IF(AND(A135&gt;Holdings!$G$24,A135&lt;=Portfolio!$J$5),Q135,"")</f>
        <v>-6.6807501638905809E-3</v>
      </c>
    </row>
    <row r="136" spans="1:23" ht="20" customHeight="1" x14ac:dyDescent="0.35">
      <c r="A136" s="7">
        <v>46283</v>
      </c>
      <c r="B136" s="1">
        <f>SUMIFS(Ledger!$J$7:$J$1006,Ledger!$C$7:$C$1006,Portfolio!$C$5,Ledger!$E$7:$E$1006,History!B$6,Ledger!$B$7:$B$1006,"&lt;="&amp;$A136)</f>
        <v>90</v>
      </c>
      <c r="C136" s="1">
        <f>SUMIFS(Ledger!$J$7:$J$1006,Ledger!$C$7:$C$1006,Portfolio!$C$5,Ledger!$E$7:$E$1006,History!C$6,Ledger!$B$7:$B$1006,"&lt;="&amp;$A136)</f>
        <v>220</v>
      </c>
      <c r="D136" s="1">
        <f>SUMIFS(Ledger!$J$7:$J$1006,Ledger!$C$7:$C$1006,Portfolio!$C$5,Ledger!$E$7:$E$1006,History!D$6,Ledger!$B$7:$B$1006,"&lt;="&amp;$A136)</f>
        <v>80</v>
      </c>
      <c r="E136" s="1">
        <f>SUMIFS(Ledger!$J$7:$J$1006,Ledger!$C$7:$C$1006,Portfolio!$C$5,Ledger!$E$7:$E$1006,History!E$6,Ledger!$B$7:$B$1006,"&lt;="&amp;$A136)</f>
        <v>130</v>
      </c>
      <c r="F136" s="1">
        <f>SUMIFS(Ledger!$J$7:$J$1006,Ledger!$C$7:$C$1006,Portfolio!$C$5,Ledger!$E$7:$E$1006,History!F$6,Ledger!$B$7:$B$1006,"&lt;="&amp;$A136)</f>
        <v>480</v>
      </c>
      <c r="G136" s="1">
        <f>SUMIFS(Ledger!$J$7:$J$1006,Ledger!$C$7:$C$1006,Portfolio!$C$5,Ledger!$E$7:$E$1006,History!G$6,Ledger!$B$7:$B$1006,"&lt;="&amp;$A136)</f>
        <v>600</v>
      </c>
      <c r="H136" s="8">
        <f>SUMIFS(Ledger!$K$7:$K$1006,Ledger!$C$7:$C$1006,Portfolio!$C$5,Ledger!$B$7:$B$1006,"&lt;="&amp;$A136)</f>
        <v>49454.401000000013</v>
      </c>
      <c r="I136" s="8">
        <f>IF(S136=6,SUMPRODUCT(B136:G136,History!B136:G136),NA())</f>
        <v>477459.59400000004</v>
      </c>
      <c r="J136" s="8">
        <f t="shared" si="8"/>
        <v>526913.99500000011</v>
      </c>
      <c r="K136" s="8">
        <f>SUMIFS(Ledger!$L$7:$L$1006,Ledger!$C$7:$C$1006,Portfolio!$C$5,Ledger!$B$7:$B$1006,$A136)</f>
        <v>0</v>
      </c>
      <c r="L136" s="10">
        <f>IF(A136&lt;Holdings!$G$24,"",IF(A136=Holdings!$G$24,IF(K136&gt;0,J136/K136-1,NA()),IF(J135&gt;0,(J136-K136)/J135-1,NA())))</f>
        <v>-7.6813760639855566E-3</v>
      </c>
      <c r="M136" s="11">
        <f>IF(A136&lt;Holdings!$G$24,"",IF(A136=Holdings!$G$24,100*(1+L136),M135*(1+L136)))</f>
        <v>98.282375746643709</v>
      </c>
      <c r="N136" s="11">
        <f>IF(A136&lt;Holdings!$G$24,"",IF(A136=Holdings!$G$24,MAX(100,M136),MAX(N135,M136)))</f>
        <v>102.94361845014572</v>
      </c>
      <c r="O136" s="10">
        <f>IF(A136&lt;Holdings!$G$24,"",M136/N136-1)</f>
        <v>-4.527956927956045E-2</v>
      </c>
      <c r="P136" s="11">
        <f>IF(A136&lt;Holdings!$G$24,"",IF(History!H136&gt;0,History!H136/INDEX(History!$H$7:$H$136,MATCH(Holdings!$G$24,History!$A$7:$A$136,0))*100,NA()))</f>
        <v>96.624133900000004</v>
      </c>
      <c r="Q136" s="10">
        <f>IF(A136&lt;=Holdings!$G$24,"",P136/P135-1)</f>
        <v>-5.4953008904977674E-3</v>
      </c>
      <c r="R136" s="8">
        <f>IF(A136&gt;Portfolio!$J$5,0,-K136+IF(A136=Portfolio!$J$5,J136,0))</f>
        <v>526913.99500000011</v>
      </c>
      <c r="S136" s="1">
        <f>COUNTIFS(History!B136:G136,"&gt;0")</f>
        <v>6</v>
      </c>
      <c r="T136" s="1" t="str">
        <f t="shared" si="7"/>
        <v>18-Sep</v>
      </c>
      <c r="U136" s="10">
        <f>IF(AND(A136&lt;=Portfolio!$J$5,A136&gt;=Holdings!$G$24),O136,0)</f>
        <v>-4.527956927956045E-2</v>
      </c>
      <c r="V136" s="12">
        <f>IF(AND(A136&gt;Holdings!$G$24,A136&lt;=Portfolio!$J$5),L136,"")</f>
        <v>-7.6813760639855566E-3</v>
      </c>
      <c r="W136" s="12">
        <f>IF(AND(A136&gt;Holdings!$G$24,A136&lt;=Portfolio!$J$5),Q136,"")</f>
        <v>-5.4953008904977674E-3</v>
      </c>
    </row>
    <row r="137" spans="1:23" ht="20" customHeight="1" x14ac:dyDescent="0.35">
      <c r="A137" s="1"/>
      <c r="B137" s="1"/>
      <c r="C137" s="1"/>
      <c r="D137" s="1"/>
      <c r="E137" s="1"/>
      <c r="F137" s="1"/>
      <c r="G137" s="1"/>
      <c r="H137" s="1"/>
      <c r="I137" s="1"/>
      <c r="J137" s="1"/>
      <c r="K137" s="1"/>
      <c r="L137" s="1"/>
      <c r="M137" s="1"/>
      <c r="N137" s="1"/>
      <c r="O137" s="1"/>
      <c r="P137" s="1"/>
      <c r="Q137" s="1"/>
      <c r="R137" s="1"/>
      <c r="S137" s="1"/>
      <c r="T137" s="1"/>
      <c r="U137" s="1"/>
    </row>
    <row r="138" spans="1:23" ht="20" customHeight="1" x14ac:dyDescent="0.35">
      <c r="A138" s="1"/>
      <c r="B138" s="1"/>
      <c r="C138" s="1"/>
      <c r="D138" s="1"/>
      <c r="E138" s="1"/>
      <c r="F138" s="1"/>
      <c r="G138" s="1"/>
      <c r="H138" s="1"/>
      <c r="I138" s="1"/>
      <c r="J138" s="1"/>
      <c r="K138" s="1"/>
      <c r="L138" s="1"/>
      <c r="M138" s="1"/>
      <c r="N138" s="1"/>
      <c r="O138" s="1"/>
      <c r="P138" s="1"/>
      <c r="Q138" s="1"/>
      <c r="R138" s="1"/>
      <c r="S138" s="1"/>
      <c r="T138" s="1"/>
      <c r="U138" s="1"/>
    </row>
  </sheetData>
  <pageMargins left="0.25" right="0.25" top="0.25" bottom="0.25" header="0.3" footer="0.3"/>
  <pageSetup paperSize="8" scale="74"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138"/>
  <sheetViews>
    <sheetView showGridLines="0" zoomScale="90" zoomScaleNormal="90" workbookViewId="0">
      <pane ySplit="6" topLeftCell="A7" activePane="bottomLeft" state="frozen"/>
      <selection pane="bottomLeft"/>
    </sheetView>
  </sheetViews>
  <sheetFormatPr defaultRowHeight="14.5" x14ac:dyDescent="0.35"/>
  <cols>
    <col min="1" max="1" width="13" customWidth="1"/>
    <col min="2" max="7" width="20" customWidth="1"/>
    <col min="8" max="10" width="13" customWidth="1"/>
    <col min="11" max="14" width="22" customWidth="1"/>
    <col min="15" max="15" width="13" customWidth="1"/>
  </cols>
  <sheetData>
    <row r="1" spans="1:20" ht="20" customHeight="1" x14ac:dyDescent="0.35">
      <c r="A1" s="1"/>
      <c r="B1" s="1"/>
      <c r="C1" s="1"/>
      <c r="D1" s="1"/>
      <c r="E1" s="1"/>
      <c r="F1" s="1"/>
      <c r="G1" s="1"/>
      <c r="H1" s="1"/>
      <c r="I1" s="1"/>
      <c r="J1" s="1"/>
      <c r="K1" s="1"/>
      <c r="L1" s="1"/>
      <c r="M1" s="1"/>
      <c r="N1" s="1"/>
      <c r="O1" s="1"/>
    </row>
    <row r="2" spans="1:20" ht="20" customHeight="1" x14ac:dyDescent="0.35">
      <c r="A2" s="2" t="s">
        <v>155</v>
      </c>
      <c r="B2" s="1"/>
      <c r="C2" s="1"/>
      <c r="D2" s="1"/>
      <c r="E2" s="1"/>
      <c r="F2" s="1"/>
      <c r="G2" s="1"/>
      <c r="H2" s="1"/>
      <c r="I2" s="1"/>
      <c r="J2" s="1"/>
      <c r="K2" s="1"/>
      <c r="L2" s="1"/>
      <c r="M2" s="1"/>
      <c r="N2" s="1"/>
      <c r="O2" s="1"/>
    </row>
    <row r="3" spans="1:20" ht="20" customHeight="1" x14ac:dyDescent="0.35">
      <c r="A3" s="3"/>
      <c r="B3" s="3"/>
      <c r="C3" s="3"/>
      <c r="D3" s="3"/>
      <c r="E3" s="3"/>
      <c r="F3" s="3"/>
      <c r="G3" s="3"/>
      <c r="H3" s="3"/>
      <c r="I3" s="3"/>
      <c r="J3" s="3"/>
      <c r="K3" s="3"/>
      <c r="L3" s="3"/>
      <c r="M3" s="3"/>
      <c r="N3" s="3"/>
      <c r="O3" s="3"/>
      <c r="P3" s="4"/>
      <c r="Q3" s="4"/>
      <c r="R3" s="4"/>
      <c r="S3" s="4"/>
      <c r="T3" s="4"/>
    </row>
    <row r="4" spans="1:20" ht="20" customHeight="1" x14ac:dyDescent="0.35">
      <c r="A4" s="5" t="s">
        <v>156</v>
      </c>
      <c r="B4" s="1"/>
      <c r="C4" s="1"/>
      <c r="D4" s="1"/>
      <c r="E4" s="1"/>
      <c r="F4" s="1"/>
      <c r="G4" s="1"/>
      <c r="H4" s="1"/>
      <c r="I4" s="1"/>
      <c r="J4" s="1"/>
      <c r="K4" s="1"/>
      <c r="L4" s="1"/>
      <c r="M4" s="1"/>
      <c r="N4" s="1"/>
      <c r="O4" s="1"/>
    </row>
    <row r="5" spans="1:20" ht="20" customHeight="1" x14ac:dyDescent="0.35">
      <c r="A5" s="1"/>
      <c r="B5" s="1"/>
      <c r="C5" s="1"/>
      <c r="D5" s="1"/>
      <c r="E5" s="1"/>
      <c r="F5" s="1"/>
      <c r="G5" s="1"/>
      <c r="H5" s="1"/>
      <c r="I5" s="1"/>
      <c r="J5" s="1"/>
      <c r="K5" s="1"/>
      <c r="L5" s="1"/>
      <c r="M5" s="1"/>
      <c r="N5" s="1"/>
      <c r="O5" s="1"/>
    </row>
    <row r="6" spans="1:20" ht="29" customHeight="1" x14ac:dyDescent="0.35">
      <c r="A6" s="6" t="s">
        <v>72</v>
      </c>
      <c r="B6" s="6" t="s">
        <v>46</v>
      </c>
      <c r="C6" s="6" t="s">
        <v>49</v>
      </c>
      <c r="D6" s="6" t="s">
        <v>52</v>
      </c>
      <c r="E6" s="6" t="s">
        <v>55</v>
      </c>
      <c r="F6" s="6" t="s">
        <v>58</v>
      </c>
      <c r="G6" s="6" t="s">
        <v>61</v>
      </c>
      <c r="H6" s="6" t="s">
        <v>157</v>
      </c>
      <c r="I6" s="1"/>
      <c r="J6" s="1"/>
      <c r="K6" s="6" t="s">
        <v>11</v>
      </c>
      <c r="L6" s="6" t="s">
        <v>42</v>
      </c>
      <c r="M6" s="6" t="s">
        <v>73</v>
      </c>
      <c r="N6" s="6" t="s">
        <v>12</v>
      </c>
      <c r="O6" s="1"/>
    </row>
    <row r="7" spans="1:20" ht="20" customHeight="1" x14ac:dyDescent="0.35">
      <c r="A7" s="7">
        <v>46104</v>
      </c>
      <c r="B7" s="8">
        <v>550</v>
      </c>
      <c r="C7" s="8">
        <v>1200</v>
      </c>
      <c r="D7" s="8">
        <v>850</v>
      </c>
      <c r="E7" s="8">
        <v>430</v>
      </c>
      <c r="F7" s="8">
        <v>250</v>
      </c>
      <c r="G7" s="8">
        <v>100</v>
      </c>
      <c r="H7" s="8">
        <v>1000</v>
      </c>
      <c r="I7" s="1"/>
      <c r="J7" s="1"/>
      <c r="K7" s="1" t="s">
        <v>46</v>
      </c>
      <c r="L7" s="1" t="s">
        <v>47</v>
      </c>
      <c r="M7" s="1" t="s">
        <v>158</v>
      </c>
      <c r="N7" s="1" t="s">
        <v>48</v>
      </c>
      <c r="O7" s="1"/>
    </row>
    <row r="8" spans="1:20" ht="20" customHeight="1" x14ac:dyDescent="0.35">
      <c r="A8" s="7">
        <v>46105</v>
      </c>
      <c r="B8" s="8">
        <v>553.26610000000005</v>
      </c>
      <c r="C8" s="8">
        <v>1220.826</v>
      </c>
      <c r="D8" s="8">
        <v>859.24019999999996</v>
      </c>
      <c r="E8" s="8">
        <v>431.4914</v>
      </c>
      <c r="F8" s="8">
        <v>251.8348</v>
      </c>
      <c r="G8" s="8">
        <v>100.08580000000001</v>
      </c>
      <c r="H8" s="8">
        <v>1007.208993</v>
      </c>
      <c r="I8" s="1"/>
      <c r="J8" s="1"/>
      <c r="K8" s="1" t="s">
        <v>49</v>
      </c>
      <c r="L8" s="1" t="s">
        <v>50</v>
      </c>
      <c r="M8" s="1" t="s">
        <v>158</v>
      </c>
      <c r="N8" s="1" t="s">
        <v>51</v>
      </c>
      <c r="O8" s="1"/>
    </row>
    <row r="9" spans="1:20" ht="20" customHeight="1" x14ac:dyDescent="0.35">
      <c r="A9" s="7">
        <v>46106</v>
      </c>
      <c r="B9" s="8">
        <v>550.68269999999995</v>
      </c>
      <c r="C9" s="8">
        <v>1212.2826</v>
      </c>
      <c r="D9" s="8">
        <v>852.01289999999995</v>
      </c>
      <c r="E9" s="8">
        <v>430.74869999999999</v>
      </c>
      <c r="F9" s="8">
        <v>251.62860000000001</v>
      </c>
      <c r="G9" s="8">
        <v>100.2046</v>
      </c>
      <c r="H9" s="8">
        <v>1008.580923</v>
      </c>
      <c r="I9" s="1"/>
      <c r="J9" s="1"/>
      <c r="K9" s="1" t="s">
        <v>52</v>
      </c>
      <c r="L9" s="1" t="s">
        <v>53</v>
      </c>
      <c r="M9" s="1" t="s">
        <v>158</v>
      </c>
      <c r="N9" s="1" t="s">
        <v>54</v>
      </c>
      <c r="O9" s="1"/>
    </row>
    <row r="10" spans="1:20" ht="20" customHeight="1" x14ac:dyDescent="0.35">
      <c r="A10" s="7">
        <v>46107</v>
      </c>
      <c r="B10" s="8">
        <v>554.25819999999999</v>
      </c>
      <c r="C10" s="8">
        <v>1223.3541</v>
      </c>
      <c r="D10" s="8">
        <v>862.69709999999998</v>
      </c>
      <c r="E10" s="8">
        <v>434.37830000000002</v>
      </c>
      <c r="F10" s="8">
        <v>253.8152</v>
      </c>
      <c r="G10" s="8">
        <v>100.2137</v>
      </c>
      <c r="H10" s="8">
        <v>1016.311462</v>
      </c>
      <c r="I10" s="1"/>
      <c r="J10" s="1"/>
      <c r="K10" s="1" t="s">
        <v>55</v>
      </c>
      <c r="L10" s="1" t="s">
        <v>56</v>
      </c>
      <c r="M10" s="1" t="s">
        <v>158</v>
      </c>
      <c r="N10" s="1" t="s">
        <v>57</v>
      </c>
      <c r="O10" s="1"/>
    </row>
    <row r="11" spans="1:20" ht="20" customHeight="1" x14ac:dyDescent="0.35">
      <c r="A11" s="7">
        <v>46108</v>
      </c>
      <c r="B11" s="8">
        <v>550.76199999999994</v>
      </c>
      <c r="C11" s="8">
        <v>1236.7342000000001</v>
      </c>
      <c r="D11" s="8">
        <v>858.4144</v>
      </c>
      <c r="E11" s="8">
        <v>433.94880000000001</v>
      </c>
      <c r="F11" s="8">
        <v>253.0659</v>
      </c>
      <c r="G11" s="8">
        <v>100.22369999999999</v>
      </c>
      <c r="H11" s="8">
        <v>1013.954757</v>
      </c>
      <c r="I11" s="1"/>
      <c r="J11" s="1"/>
      <c r="K11" s="1" t="s">
        <v>58</v>
      </c>
      <c r="L11" s="1" t="s">
        <v>59</v>
      </c>
      <c r="M11" s="1" t="s">
        <v>159</v>
      </c>
      <c r="N11" s="1" t="s">
        <v>60</v>
      </c>
      <c r="O11" s="1"/>
    </row>
    <row r="12" spans="1:20" ht="20" customHeight="1" x14ac:dyDescent="0.35">
      <c r="A12" s="7">
        <v>46111</v>
      </c>
      <c r="B12" s="8">
        <v>549.21100000000001</v>
      </c>
      <c r="C12" s="8">
        <v>1235.6043</v>
      </c>
      <c r="D12" s="8">
        <v>859.73410000000001</v>
      </c>
      <c r="E12" s="8">
        <v>434.05160000000001</v>
      </c>
      <c r="F12" s="8">
        <v>253.0264</v>
      </c>
      <c r="G12" s="8">
        <v>100.26519999999999</v>
      </c>
      <c r="H12" s="8">
        <v>1012.589336</v>
      </c>
      <c r="I12" s="1"/>
      <c r="J12" s="1"/>
      <c r="K12" s="1" t="s">
        <v>61</v>
      </c>
      <c r="L12" s="1" t="s">
        <v>62</v>
      </c>
      <c r="M12" s="1" t="s">
        <v>159</v>
      </c>
      <c r="N12" s="1" t="s">
        <v>63</v>
      </c>
      <c r="O12" s="1"/>
    </row>
    <row r="13" spans="1:20" ht="20" customHeight="1" x14ac:dyDescent="0.35">
      <c r="A13" s="7">
        <v>46112</v>
      </c>
      <c r="B13" s="8">
        <v>554.87429999999995</v>
      </c>
      <c r="C13" s="8">
        <v>1251.5308</v>
      </c>
      <c r="D13" s="8">
        <v>852.31299999999999</v>
      </c>
      <c r="E13" s="8">
        <v>436.95420000000001</v>
      </c>
      <c r="F13" s="8">
        <v>252.3518</v>
      </c>
      <c r="G13" s="8">
        <v>100.3908</v>
      </c>
      <c r="H13" s="8">
        <v>1009.406176</v>
      </c>
      <c r="I13" s="1"/>
      <c r="J13" s="1"/>
      <c r="K13" s="1"/>
      <c r="L13" s="1"/>
      <c r="M13" s="1"/>
      <c r="N13" s="1"/>
      <c r="O13" s="1"/>
    </row>
    <row r="14" spans="1:20" ht="20" customHeight="1" x14ac:dyDescent="0.35">
      <c r="A14" s="7">
        <v>46113</v>
      </c>
      <c r="B14" s="8">
        <v>551.06700000000001</v>
      </c>
      <c r="C14" s="8">
        <v>1254.5780999999999</v>
      </c>
      <c r="D14" s="8">
        <v>855.06600000000003</v>
      </c>
      <c r="E14" s="8">
        <v>435.08769999999998</v>
      </c>
      <c r="F14" s="8">
        <v>251.4417</v>
      </c>
      <c r="G14" s="8">
        <v>100.4823</v>
      </c>
      <c r="H14" s="8">
        <v>1004.977756</v>
      </c>
      <c r="I14" s="1"/>
      <c r="J14" s="1"/>
      <c r="K14" s="1"/>
      <c r="L14" s="1"/>
      <c r="M14" s="1"/>
      <c r="N14" s="1"/>
      <c r="O14" s="1"/>
    </row>
    <row r="15" spans="1:20" ht="20" customHeight="1" x14ac:dyDescent="0.35">
      <c r="A15" s="7">
        <v>46114</v>
      </c>
      <c r="B15" s="8">
        <v>547.12490000000003</v>
      </c>
      <c r="C15" s="8">
        <v>1248.6719000000001</v>
      </c>
      <c r="D15" s="8">
        <v>853.22410000000002</v>
      </c>
      <c r="E15" s="8">
        <v>428.47809999999998</v>
      </c>
      <c r="F15" s="8">
        <v>251.1859</v>
      </c>
      <c r="G15" s="8">
        <v>100.3655</v>
      </c>
      <c r="H15" s="8">
        <v>1002.368907</v>
      </c>
      <c r="I15" s="1"/>
      <c r="J15" s="1"/>
      <c r="K15" s="1" t="s">
        <v>160</v>
      </c>
      <c r="L15" s="1"/>
      <c r="M15" s="1"/>
      <c r="N15" s="1"/>
      <c r="O15" s="1"/>
    </row>
    <row r="16" spans="1:20" ht="20" customHeight="1" x14ac:dyDescent="0.35">
      <c r="A16" s="7">
        <v>46115</v>
      </c>
      <c r="B16" s="8">
        <v>550.71010000000001</v>
      </c>
      <c r="C16" s="8">
        <v>1225.3833</v>
      </c>
      <c r="D16" s="8">
        <v>846.36159999999995</v>
      </c>
      <c r="E16" s="8">
        <v>418.5711</v>
      </c>
      <c r="F16" s="8">
        <v>249.905</v>
      </c>
      <c r="G16" s="8">
        <v>100.1973</v>
      </c>
      <c r="H16" s="8">
        <v>995.82566399999996</v>
      </c>
      <c r="I16" s="1"/>
      <c r="J16" s="1"/>
      <c r="K16" s="1"/>
      <c r="L16" s="1"/>
      <c r="M16" s="1"/>
      <c r="N16" s="1"/>
      <c r="O16" s="1"/>
    </row>
    <row r="17" spans="1:15" ht="20" customHeight="1" x14ac:dyDescent="0.35">
      <c r="A17" s="7">
        <v>46118</v>
      </c>
      <c r="B17" s="8">
        <v>547.25160000000005</v>
      </c>
      <c r="C17" s="8">
        <v>1221.0833</v>
      </c>
      <c r="D17" s="8">
        <v>843.40449999999998</v>
      </c>
      <c r="E17" s="8">
        <v>416.4298</v>
      </c>
      <c r="F17" s="8">
        <v>249.58779999999999</v>
      </c>
      <c r="G17" s="8">
        <v>100.1797</v>
      </c>
      <c r="H17" s="8">
        <v>994.570967</v>
      </c>
      <c r="I17" s="1"/>
      <c r="J17" s="1"/>
      <c r="K17" s="1" t="s">
        <v>161</v>
      </c>
      <c r="L17" s="1"/>
      <c r="M17" s="1"/>
      <c r="N17" s="1"/>
      <c r="O17" s="1"/>
    </row>
    <row r="18" spans="1:15" ht="20" customHeight="1" x14ac:dyDescent="0.35">
      <c r="A18" s="7">
        <v>46119</v>
      </c>
      <c r="B18" s="8">
        <v>549.08460000000002</v>
      </c>
      <c r="C18" s="8">
        <v>1225.4286</v>
      </c>
      <c r="D18" s="8">
        <v>850.10299999999995</v>
      </c>
      <c r="E18" s="8">
        <v>423.3374</v>
      </c>
      <c r="F18" s="8">
        <v>250.57040000000001</v>
      </c>
      <c r="G18" s="8">
        <v>100.2739</v>
      </c>
      <c r="H18" s="8">
        <v>996.58941900000002</v>
      </c>
      <c r="I18" s="1"/>
      <c r="J18" s="1"/>
      <c r="K18" s="1"/>
      <c r="L18" s="1"/>
      <c r="M18" s="1"/>
      <c r="N18" s="1"/>
      <c r="O18" s="1"/>
    </row>
    <row r="19" spans="1:15" ht="20" customHeight="1" x14ac:dyDescent="0.35">
      <c r="A19" s="7">
        <v>46120</v>
      </c>
      <c r="B19" s="8">
        <v>544.03899999999999</v>
      </c>
      <c r="C19" s="8">
        <v>1209.5273999999999</v>
      </c>
      <c r="D19" s="8">
        <v>837.29970000000003</v>
      </c>
      <c r="E19" s="8">
        <v>424.74130000000002</v>
      </c>
      <c r="F19" s="8">
        <v>250.0711</v>
      </c>
      <c r="G19" s="8">
        <v>100.34399999999999</v>
      </c>
      <c r="H19" s="8">
        <v>992.16424700000005</v>
      </c>
      <c r="I19" s="1"/>
      <c r="J19" s="1"/>
      <c r="K19" s="1" t="s">
        <v>162</v>
      </c>
      <c r="L19" s="1"/>
      <c r="M19" s="1"/>
      <c r="N19" s="1"/>
      <c r="O19" s="1"/>
    </row>
    <row r="20" spans="1:15" ht="20" customHeight="1" x14ac:dyDescent="0.35">
      <c r="A20" s="7">
        <v>46121</v>
      </c>
      <c r="B20" s="8">
        <v>545.40620000000001</v>
      </c>
      <c r="C20" s="8">
        <v>1215.9159</v>
      </c>
      <c r="D20" s="8">
        <v>839.12699999999995</v>
      </c>
      <c r="E20" s="8">
        <v>428.92090000000002</v>
      </c>
      <c r="F20" s="8">
        <v>250.24019999999999</v>
      </c>
      <c r="G20" s="8">
        <v>100.5633</v>
      </c>
      <c r="H20" s="8">
        <v>990.94465700000001</v>
      </c>
      <c r="I20" s="1"/>
      <c r="J20" s="1"/>
      <c r="K20" s="1"/>
      <c r="L20" s="1"/>
      <c r="M20" s="1"/>
      <c r="N20" s="1"/>
      <c r="O20" s="1"/>
    </row>
    <row r="21" spans="1:15" ht="20" customHeight="1" x14ac:dyDescent="0.35">
      <c r="A21" s="7">
        <v>46122</v>
      </c>
      <c r="B21" s="8">
        <v>538.53480000000002</v>
      </c>
      <c r="C21" s="8">
        <v>1201.9039</v>
      </c>
      <c r="D21" s="8">
        <v>833.14580000000001</v>
      </c>
      <c r="E21" s="8">
        <v>427.7294</v>
      </c>
      <c r="F21" s="8">
        <v>249.32130000000001</v>
      </c>
      <c r="G21" s="8">
        <v>100.5699</v>
      </c>
      <c r="H21" s="8">
        <v>985.99511600000005</v>
      </c>
      <c r="I21" s="1"/>
      <c r="J21" s="1"/>
      <c r="K21" s="1" t="s">
        <v>163</v>
      </c>
      <c r="L21" s="1"/>
      <c r="M21" s="1"/>
      <c r="N21" s="1"/>
      <c r="O21" s="1"/>
    </row>
    <row r="22" spans="1:15" ht="20" customHeight="1" x14ac:dyDescent="0.35">
      <c r="A22" s="7">
        <v>46125</v>
      </c>
      <c r="B22" s="8">
        <v>525.8261</v>
      </c>
      <c r="C22" s="8">
        <v>1215.2239999999999</v>
      </c>
      <c r="D22" s="8">
        <v>836.41690000000006</v>
      </c>
      <c r="E22" s="8">
        <v>423.71800000000002</v>
      </c>
      <c r="F22" s="8">
        <v>247.81299999999999</v>
      </c>
      <c r="G22" s="8">
        <v>100.5634</v>
      </c>
      <c r="H22" s="8">
        <v>979.68122000000005</v>
      </c>
      <c r="I22" s="1"/>
      <c r="J22" s="1"/>
      <c r="K22" s="1"/>
      <c r="L22" s="1"/>
      <c r="M22" s="1"/>
      <c r="N22" s="1"/>
      <c r="O22" s="1"/>
    </row>
    <row r="23" spans="1:15" ht="20" customHeight="1" x14ac:dyDescent="0.35">
      <c r="A23" s="7">
        <v>46126</v>
      </c>
      <c r="B23" s="8">
        <v>531.84910000000002</v>
      </c>
      <c r="C23" s="8">
        <v>1214.1178</v>
      </c>
      <c r="D23" s="8">
        <v>839.28279999999995</v>
      </c>
      <c r="E23" s="8">
        <v>426.29230000000001</v>
      </c>
      <c r="F23" s="8">
        <v>249.24770000000001</v>
      </c>
      <c r="G23" s="8">
        <v>100.5509</v>
      </c>
      <c r="H23" s="8">
        <v>983.65432999999996</v>
      </c>
      <c r="I23" s="1"/>
      <c r="J23" s="1"/>
      <c r="K23" s="1"/>
      <c r="L23" s="1"/>
      <c r="M23" s="1"/>
      <c r="N23" s="1"/>
      <c r="O23" s="1"/>
    </row>
    <row r="24" spans="1:15" ht="20" customHeight="1" x14ac:dyDescent="0.35">
      <c r="A24" s="7">
        <v>46127</v>
      </c>
      <c r="B24" s="8">
        <v>528.66010000000006</v>
      </c>
      <c r="C24" s="8">
        <v>1206.0775000000001</v>
      </c>
      <c r="D24" s="8">
        <v>830.33010000000002</v>
      </c>
      <c r="E24" s="8">
        <v>420.57089999999999</v>
      </c>
      <c r="F24" s="8">
        <v>249.47810000000001</v>
      </c>
      <c r="G24" s="8">
        <v>100.4606</v>
      </c>
      <c r="H24" s="8">
        <v>984.74649299999999</v>
      </c>
      <c r="I24" s="1"/>
      <c r="J24" s="1"/>
      <c r="K24" s="1"/>
      <c r="L24" s="1"/>
      <c r="M24" s="1"/>
      <c r="N24" s="1"/>
      <c r="O24" s="1"/>
    </row>
    <row r="25" spans="1:15" ht="20" customHeight="1" x14ac:dyDescent="0.35">
      <c r="A25" s="7">
        <v>46128</v>
      </c>
      <c r="B25" s="8">
        <v>528.77170000000001</v>
      </c>
      <c r="C25" s="8">
        <v>1218.5278000000001</v>
      </c>
      <c r="D25" s="8">
        <v>835.63229999999999</v>
      </c>
      <c r="E25" s="8">
        <v>428.37470000000002</v>
      </c>
      <c r="F25" s="8">
        <v>250.56450000000001</v>
      </c>
      <c r="G25" s="8">
        <v>100.5498</v>
      </c>
      <c r="H25" s="8">
        <v>987.54352300000005</v>
      </c>
      <c r="I25" s="1"/>
      <c r="J25" s="1"/>
      <c r="K25" s="1"/>
      <c r="L25" s="1"/>
      <c r="M25" s="1"/>
      <c r="N25" s="1"/>
      <c r="O25" s="1"/>
    </row>
    <row r="26" spans="1:15" ht="20" customHeight="1" x14ac:dyDescent="0.35">
      <c r="A26" s="7">
        <v>46129</v>
      </c>
      <c r="B26" s="8">
        <v>528.05169999999998</v>
      </c>
      <c r="C26" s="8">
        <v>1223.9804999999999</v>
      </c>
      <c r="D26" s="8">
        <v>835.89260000000002</v>
      </c>
      <c r="E26" s="8">
        <v>423.7047</v>
      </c>
      <c r="F26" s="8">
        <v>250.36760000000001</v>
      </c>
      <c r="G26" s="8">
        <v>100.5003</v>
      </c>
      <c r="H26" s="8">
        <v>988.54471999999998</v>
      </c>
      <c r="I26" s="1"/>
      <c r="J26" s="1"/>
      <c r="K26" s="1"/>
      <c r="L26" s="1"/>
      <c r="M26" s="1"/>
      <c r="N26" s="1"/>
      <c r="O26" s="1"/>
    </row>
    <row r="27" spans="1:15" ht="20" customHeight="1" x14ac:dyDescent="0.35">
      <c r="A27" s="7">
        <v>46132</v>
      </c>
      <c r="B27" s="8">
        <v>524.89509999999996</v>
      </c>
      <c r="C27" s="8">
        <v>1197.259</v>
      </c>
      <c r="D27" s="8">
        <v>826.62760000000003</v>
      </c>
      <c r="E27" s="8">
        <v>421.87909999999999</v>
      </c>
      <c r="F27" s="8">
        <v>249.20949999999999</v>
      </c>
      <c r="G27" s="8">
        <v>100.3258</v>
      </c>
      <c r="H27" s="8">
        <v>977.84281099999998</v>
      </c>
      <c r="I27" s="1"/>
      <c r="J27" s="1"/>
      <c r="K27" s="1"/>
      <c r="L27" s="1"/>
      <c r="M27" s="1"/>
      <c r="N27" s="1"/>
      <c r="O27" s="1"/>
    </row>
    <row r="28" spans="1:15" ht="20" customHeight="1" x14ac:dyDescent="0.35">
      <c r="A28" s="7">
        <v>46133</v>
      </c>
      <c r="B28" s="8">
        <v>522.87310000000002</v>
      </c>
      <c r="C28" s="8">
        <v>1198.1204</v>
      </c>
      <c r="D28" s="8">
        <v>836.8501</v>
      </c>
      <c r="E28" s="8">
        <v>424.17009999999999</v>
      </c>
      <c r="F28" s="8">
        <v>249.32169999999999</v>
      </c>
      <c r="G28" s="8">
        <v>100.3484</v>
      </c>
      <c r="H28" s="8">
        <v>978.30248700000004</v>
      </c>
      <c r="I28" s="1"/>
      <c r="J28" s="1"/>
      <c r="K28" s="1"/>
      <c r="L28" s="1"/>
      <c r="M28" s="1"/>
      <c r="N28" s="1"/>
      <c r="O28" s="1"/>
    </row>
    <row r="29" spans="1:15" ht="20" customHeight="1" x14ac:dyDescent="0.35">
      <c r="A29" s="7">
        <v>46134</v>
      </c>
      <c r="B29" s="8">
        <v>523.24069999999995</v>
      </c>
      <c r="C29" s="8">
        <v>1198.6505999999999</v>
      </c>
      <c r="D29" s="8">
        <v>837.52719999999999</v>
      </c>
      <c r="E29" s="8">
        <v>422.84989999999999</v>
      </c>
      <c r="F29" s="8">
        <v>249.59649999999999</v>
      </c>
      <c r="G29" s="8">
        <v>100.38630000000001</v>
      </c>
      <c r="H29" s="8">
        <v>974.78268800000001</v>
      </c>
      <c r="I29" s="1"/>
      <c r="J29" s="1"/>
      <c r="K29" s="1"/>
      <c r="L29" s="1"/>
      <c r="M29" s="1"/>
      <c r="N29" s="1"/>
      <c r="O29" s="1"/>
    </row>
    <row r="30" spans="1:15" ht="20" customHeight="1" x14ac:dyDescent="0.35">
      <c r="A30" s="7">
        <v>46135</v>
      </c>
      <c r="B30" s="8">
        <v>520.38840000000005</v>
      </c>
      <c r="C30" s="8">
        <v>1194.9614999999999</v>
      </c>
      <c r="D30" s="8">
        <v>834.26900000000001</v>
      </c>
      <c r="E30" s="8">
        <v>419.38080000000002</v>
      </c>
      <c r="F30" s="8">
        <v>249.52510000000001</v>
      </c>
      <c r="G30" s="8">
        <v>100.2829</v>
      </c>
      <c r="H30" s="8">
        <v>971.79288199999996</v>
      </c>
      <c r="I30" s="1"/>
      <c r="J30" s="1"/>
      <c r="K30" s="1"/>
      <c r="L30" s="1"/>
      <c r="M30" s="1"/>
      <c r="N30" s="1"/>
      <c r="O30" s="1"/>
    </row>
    <row r="31" spans="1:15" ht="20" customHeight="1" x14ac:dyDescent="0.35">
      <c r="A31" s="7">
        <v>46136</v>
      </c>
      <c r="B31" s="8">
        <v>521.20579999999995</v>
      </c>
      <c r="C31" s="8">
        <v>1211.8351</v>
      </c>
      <c r="D31" s="8">
        <v>837.68140000000005</v>
      </c>
      <c r="E31" s="8">
        <v>423.25670000000002</v>
      </c>
      <c r="F31" s="8">
        <v>250.50299999999999</v>
      </c>
      <c r="G31" s="8">
        <v>100.21550000000001</v>
      </c>
      <c r="H31" s="8">
        <v>973.282689</v>
      </c>
      <c r="I31" s="1"/>
      <c r="J31" s="1"/>
      <c r="K31" s="1"/>
      <c r="L31" s="1"/>
      <c r="M31" s="1"/>
      <c r="N31" s="1"/>
      <c r="O31" s="1"/>
    </row>
    <row r="32" spans="1:15" ht="20" customHeight="1" x14ac:dyDescent="0.35">
      <c r="A32" s="7">
        <v>46139</v>
      </c>
      <c r="B32" s="8">
        <v>515.25969999999995</v>
      </c>
      <c r="C32" s="8">
        <v>1183.4147</v>
      </c>
      <c r="D32" s="8">
        <v>829.12120000000004</v>
      </c>
      <c r="E32" s="8">
        <v>419.29539999999997</v>
      </c>
      <c r="F32" s="8">
        <v>248.1413</v>
      </c>
      <c r="G32" s="8">
        <v>100.29219999999999</v>
      </c>
      <c r="H32" s="8">
        <v>965.37743999999998</v>
      </c>
      <c r="I32" s="1"/>
      <c r="J32" s="1"/>
      <c r="K32" s="1"/>
      <c r="L32" s="1"/>
      <c r="M32" s="1"/>
      <c r="N32" s="1"/>
      <c r="O32" s="1"/>
    </row>
    <row r="33" spans="1:15" ht="20" customHeight="1" x14ac:dyDescent="0.35">
      <c r="A33" s="7">
        <v>46140</v>
      </c>
      <c r="B33" s="8">
        <v>519.63440000000003</v>
      </c>
      <c r="C33" s="8">
        <v>1203.0545999999999</v>
      </c>
      <c r="D33" s="8">
        <v>832.62</v>
      </c>
      <c r="E33" s="8">
        <v>422.09980000000002</v>
      </c>
      <c r="F33" s="8">
        <v>249.91210000000001</v>
      </c>
      <c r="G33" s="8">
        <v>100.3948</v>
      </c>
      <c r="H33" s="8">
        <v>973.03479200000004</v>
      </c>
      <c r="I33" s="1"/>
      <c r="J33" s="1"/>
      <c r="K33" s="1"/>
      <c r="L33" s="1"/>
      <c r="M33" s="1"/>
      <c r="N33" s="1"/>
      <c r="O33" s="1"/>
    </row>
    <row r="34" spans="1:15" ht="20" customHeight="1" x14ac:dyDescent="0.35">
      <c r="A34" s="7">
        <v>46141</v>
      </c>
      <c r="B34" s="8">
        <v>518.53510000000006</v>
      </c>
      <c r="C34" s="8">
        <v>1188.7043000000001</v>
      </c>
      <c r="D34" s="8">
        <v>829.87249999999995</v>
      </c>
      <c r="E34" s="8">
        <v>425.10700000000003</v>
      </c>
      <c r="F34" s="8">
        <v>250.69200000000001</v>
      </c>
      <c r="G34" s="8">
        <v>100.41379999999999</v>
      </c>
      <c r="H34" s="8">
        <v>972.56869500000005</v>
      </c>
      <c r="I34" s="1"/>
      <c r="J34" s="1"/>
      <c r="K34" s="1"/>
      <c r="L34" s="1"/>
      <c r="M34" s="1"/>
      <c r="N34" s="1"/>
      <c r="O34" s="1"/>
    </row>
    <row r="35" spans="1:15" ht="20" customHeight="1" x14ac:dyDescent="0.35">
      <c r="A35" s="7">
        <v>46142</v>
      </c>
      <c r="B35" s="8">
        <v>521.17280000000005</v>
      </c>
      <c r="C35" s="8">
        <v>1183.9452000000001</v>
      </c>
      <c r="D35" s="8">
        <v>831.8954</v>
      </c>
      <c r="E35" s="8">
        <v>428.67590000000001</v>
      </c>
      <c r="F35" s="8">
        <v>250.64359999999999</v>
      </c>
      <c r="G35" s="8">
        <v>100.31399999999999</v>
      </c>
      <c r="H35" s="8">
        <v>971.47489099999996</v>
      </c>
      <c r="I35" s="1"/>
      <c r="J35" s="1"/>
      <c r="K35" s="1"/>
      <c r="L35" s="1"/>
      <c r="M35" s="1"/>
      <c r="N35" s="1"/>
      <c r="O35" s="1"/>
    </row>
    <row r="36" spans="1:15" ht="20" customHeight="1" x14ac:dyDescent="0.35">
      <c r="A36" s="7">
        <v>46143</v>
      </c>
      <c r="B36" s="8">
        <v>518.6703</v>
      </c>
      <c r="C36" s="8">
        <v>1181.2083</v>
      </c>
      <c r="D36" s="8">
        <v>827.47749999999996</v>
      </c>
      <c r="E36" s="8">
        <v>429.31180000000001</v>
      </c>
      <c r="F36" s="8">
        <v>249.6806</v>
      </c>
      <c r="G36" s="8">
        <v>100.33410000000001</v>
      </c>
      <c r="H36" s="8">
        <v>968.09650199999999</v>
      </c>
      <c r="I36" s="1"/>
      <c r="J36" s="1"/>
      <c r="K36" s="1"/>
      <c r="L36" s="1"/>
      <c r="M36" s="1"/>
      <c r="N36" s="1"/>
      <c r="O36" s="1"/>
    </row>
    <row r="37" spans="1:15" ht="20" customHeight="1" x14ac:dyDescent="0.35">
      <c r="A37" s="7">
        <v>46146</v>
      </c>
      <c r="B37" s="8">
        <v>517.03390000000002</v>
      </c>
      <c r="C37" s="8">
        <v>1176.2397000000001</v>
      </c>
      <c r="D37" s="8">
        <v>822.3646</v>
      </c>
      <c r="E37" s="8">
        <v>431.14330000000001</v>
      </c>
      <c r="F37" s="8">
        <v>250.46979999999999</v>
      </c>
      <c r="G37" s="8">
        <v>100.34269999999999</v>
      </c>
      <c r="H37" s="8">
        <v>966.99595199999999</v>
      </c>
      <c r="I37" s="1"/>
      <c r="J37" s="1"/>
      <c r="K37" s="1"/>
      <c r="L37" s="1"/>
      <c r="M37" s="1"/>
      <c r="N37" s="1"/>
      <c r="O37" s="1"/>
    </row>
    <row r="38" spans="1:15" ht="20" customHeight="1" x14ac:dyDescent="0.35">
      <c r="A38" s="7">
        <v>46147</v>
      </c>
      <c r="B38" s="8">
        <v>514.4941</v>
      </c>
      <c r="C38" s="8">
        <v>1169.0246999999999</v>
      </c>
      <c r="D38" s="8">
        <v>821.28459999999995</v>
      </c>
      <c r="E38" s="8">
        <v>431.66559999999998</v>
      </c>
      <c r="F38" s="8">
        <v>249.34209999999999</v>
      </c>
      <c r="G38" s="8">
        <v>100.4679</v>
      </c>
      <c r="H38" s="8">
        <v>958.09396300000003</v>
      </c>
      <c r="I38" s="1"/>
      <c r="J38" s="1"/>
      <c r="K38" s="1"/>
      <c r="L38" s="1"/>
      <c r="M38" s="1"/>
      <c r="N38" s="1"/>
      <c r="O38" s="1"/>
    </row>
    <row r="39" spans="1:15" ht="20" customHeight="1" x14ac:dyDescent="0.35">
      <c r="A39" s="7">
        <v>46148</v>
      </c>
      <c r="B39" s="8">
        <v>516.56039999999996</v>
      </c>
      <c r="C39" s="8">
        <v>1156.1786999999999</v>
      </c>
      <c r="D39" s="8">
        <v>821.42589999999996</v>
      </c>
      <c r="E39" s="8">
        <v>432.23610000000002</v>
      </c>
      <c r="F39" s="8">
        <v>249.19890000000001</v>
      </c>
      <c r="G39" s="8">
        <v>100.2923</v>
      </c>
      <c r="H39" s="8">
        <v>953.99080800000002</v>
      </c>
      <c r="I39" s="1"/>
      <c r="J39" s="1"/>
      <c r="K39" s="1"/>
      <c r="L39" s="1"/>
      <c r="M39" s="1"/>
      <c r="N39" s="1"/>
      <c r="O39" s="1"/>
    </row>
    <row r="40" spans="1:15" ht="20" customHeight="1" x14ac:dyDescent="0.35">
      <c r="A40" s="7">
        <v>46149</v>
      </c>
      <c r="B40" s="8">
        <v>508.08049999999997</v>
      </c>
      <c r="C40" s="8">
        <v>1166.2968000000001</v>
      </c>
      <c r="D40" s="8">
        <v>814.75319999999999</v>
      </c>
      <c r="E40" s="8">
        <v>429.70229999999998</v>
      </c>
      <c r="F40" s="8">
        <v>248.76230000000001</v>
      </c>
      <c r="G40" s="8">
        <v>100.3462</v>
      </c>
      <c r="H40" s="8">
        <v>951.16391899999996</v>
      </c>
      <c r="I40" s="1"/>
      <c r="J40" s="1"/>
      <c r="K40" s="1"/>
      <c r="L40" s="1"/>
      <c r="M40" s="1"/>
      <c r="N40" s="1"/>
      <c r="O40" s="1"/>
    </row>
    <row r="41" spans="1:15" ht="20" customHeight="1" x14ac:dyDescent="0.35">
      <c r="A41" s="7">
        <v>46150</v>
      </c>
      <c r="B41" s="8">
        <v>508.28710000000001</v>
      </c>
      <c r="C41" s="8">
        <v>1177.2883999999999</v>
      </c>
      <c r="D41" s="8">
        <v>814.88739999999996</v>
      </c>
      <c r="E41" s="8">
        <v>428.86239999999998</v>
      </c>
      <c r="F41" s="8">
        <v>248.61109999999999</v>
      </c>
      <c r="G41" s="8">
        <v>100.47450000000001</v>
      </c>
      <c r="H41" s="8">
        <v>953.82601299999999</v>
      </c>
      <c r="I41" s="1"/>
      <c r="J41" s="1"/>
      <c r="K41" s="1"/>
      <c r="L41" s="1"/>
      <c r="M41" s="1"/>
      <c r="N41" s="1"/>
      <c r="O41" s="1"/>
    </row>
    <row r="42" spans="1:15" ht="20" customHeight="1" x14ac:dyDescent="0.35">
      <c r="A42" s="7">
        <v>46153</v>
      </c>
      <c r="B42" s="8">
        <v>501.93380000000002</v>
      </c>
      <c r="C42" s="8">
        <v>1200.2643</v>
      </c>
      <c r="D42" s="8">
        <v>818.58249999999998</v>
      </c>
      <c r="E42" s="8">
        <v>430.10730000000001</v>
      </c>
      <c r="F42" s="8">
        <v>248.94130000000001</v>
      </c>
      <c r="G42" s="8">
        <v>100.5575</v>
      </c>
      <c r="H42" s="8">
        <v>954.95950800000003</v>
      </c>
      <c r="I42" s="1"/>
      <c r="J42" s="1"/>
      <c r="K42" s="1"/>
      <c r="L42" s="1"/>
      <c r="M42" s="1"/>
      <c r="N42" s="1"/>
      <c r="O42" s="1"/>
    </row>
    <row r="43" spans="1:15" ht="20" customHeight="1" x14ac:dyDescent="0.35">
      <c r="A43" s="7">
        <v>46154</v>
      </c>
      <c r="B43" s="8">
        <v>502.81389999999999</v>
      </c>
      <c r="C43" s="8">
        <v>1214.1103000000001</v>
      </c>
      <c r="D43" s="8">
        <v>819.08900000000006</v>
      </c>
      <c r="E43" s="8">
        <v>429.76170000000002</v>
      </c>
      <c r="F43" s="8">
        <v>248.655</v>
      </c>
      <c r="G43" s="8">
        <v>100.5441</v>
      </c>
      <c r="H43" s="8">
        <v>949.23891000000003</v>
      </c>
      <c r="I43" s="1"/>
      <c r="J43" s="1"/>
      <c r="K43" s="1"/>
      <c r="L43" s="1"/>
      <c r="M43" s="1"/>
      <c r="N43" s="1"/>
      <c r="O43" s="1"/>
    </row>
    <row r="44" spans="1:15" ht="20" customHeight="1" x14ac:dyDescent="0.35">
      <c r="A44" s="7">
        <v>46155</v>
      </c>
      <c r="B44" s="8">
        <v>504.68459999999999</v>
      </c>
      <c r="C44" s="8">
        <v>1227.1495</v>
      </c>
      <c r="D44" s="8">
        <v>822.89189999999996</v>
      </c>
      <c r="E44" s="8">
        <v>434.94889999999998</v>
      </c>
      <c r="F44" s="8">
        <v>249.69229999999999</v>
      </c>
      <c r="G44" s="8">
        <v>100.6947</v>
      </c>
      <c r="H44" s="8">
        <v>953.65521999999999</v>
      </c>
      <c r="I44" s="1"/>
      <c r="J44" s="1"/>
      <c r="K44" s="1"/>
      <c r="L44" s="1"/>
      <c r="M44" s="1"/>
      <c r="N44" s="1"/>
      <c r="O44" s="1"/>
    </row>
    <row r="45" spans="1:15" ht="20" customHeight="1" x14ac:dyDescent="0.35">
      <c r="A45" s="7">
        <v>46156</v>
      </c>
      <c r="B45" s="8">
        <v>497.74770000000001</v>
      </c>
      <c r="C45" s="8">
        <v>1215.7066</v>
      </c>
      <c r="D45" s="8">
        <v>826.87909999999999</v>
      </c>
      <c r="E45" s="8">
        <v>432.36599999999999</v>
      </c>
      <c r="F45" s="8">
        <v>250.52250000000001</v>
      </c>
      <c r="G45" s="8">
        <v>100.7041</v>
      </c>
      <c r="H45" s="8">
        <v>955.69776300000001</v>
      </c>
      <c r="I45" s="1"/>
      <c r="J45" s="1"/>
      <c r="K45" s="1"/>
      <c r="L45" s="1"/>
      <c r="M45" s="1"/>
      <c r="N45" s="1"/>
      <c r="O45" s="1"/>
    </row>
    <row r="46" spans="1:15" ht="20" customHeight="1" x14ac:dyDescent="0.35">
      <c r="A46" s="7">
        <v>46157</v>
      </c>
      <c r="B46" s="8">
        <v>498.98099999999999</v>
      </c>
      <c r="C46" s="8">
        <v>1197.3665000000001</v>
      </c>
      <c r="D46" s="8">
        <v>827.88419999999996</v>
      </c>
      <c r="E46" s="8">
        <v>429.08940000000001</v>
      </c>
      <c r="F46" s="8">
        <v>249.25200000000001</v>
      </c>
      <c r="G46" s="8">
        <v>100.74469999999999</v>
      </c>
      <c r="H46" s="8">
        <v>948.21611199999995</v>
      </c>
      <c r="I46" s="1"/>
      <c r="J46" s="1"/>
      <c r="K46" s="1"/>
      <c r="L46" s="1"/>
      <c r="M46" s="1"/>
      <c r="N46" s="1"/>
      <c r="O46" s="1"/>
    </row>
    <row r="47" spans="1:15" ht="20" customHeight="1" x14ac:dyDescent="0.35">
      <c r="A47" s="7">
        <v>46160</v>
      </c>
      <c r="B47" s="8">
        <v>494.25510000000003</v>
      </c>
      <c r="C47" s="8">
        <v>1203.7823000000001</v>
      </c>
      <c r="D47" s="8">
        <v>823.92970000000003</v>
      </c>
      <c r="E47" s="8">
        <v>426.17509999999999</v>
      </c>
      <c r="F47" s="8">
        <v>248.11279999999999</v>
      </c>
      <c r="G47" s="8">
        <v>100.92059999999999</v>
      </c>
      <c r="H47" s="8">
        <v>942.45118000000002</v>
      </c>
      <c r="I47" s="1"/>
      <c r="J47" s="1"/>
      <c r="K47" s="1"/>
      <c r="L47" s="1"/>
      <c r="M47" s="1"/>
      <c r="N47" s="1"/>
      <c r="O47" s="1"/>
    </row>
    <row r="48" spans="1:15" ht="20" customHeight="1" x14ac:dyDescent="0.35">
      <c r="A48" s="7">
        <v>46161</v>
      </c>
      <c r="B48" s="8">
        <v>495.84210000000002</v>
      </c>
      <c r="C48" s="8">
        <v>1192.6751999999999</v>
      </c>
      <c r="D48" s="8">
        <v>810.79079999999999</v>
      </c>
      <c r="E48" s="8">
        <v>424.73500000000001</v>
      </c>
      <c r="F48" s="8">
        <v>246.59880000000001</v>
      </c>
      <c r="G48" s="8">
        <v>100.8771</v>
      </c>
      <c r="H48" s="8">
        <v>936.25772900000004</v>
      </c>
      <c r="I48" s="1"/>
      <c r="J48" s="1"/>
      <c r="K48" s="1"/>
      <c r="L48" s="1"/>
      <c r="M48" s="1"/>
      <c r="N48" s="1"/>
      <c r="O48" s="1"/>
    </row>
    <row r="49" spans="1:15" ht="20" customHeight="1" x14ac:dyDescent="0.35">
      <c r="A49" s="7">
        <v>46162</v>
      </c>
      <c r="B49" s="8">
        <v>500.75130000000001</v>
      </c>
      <c r="C49" s="8">
        <v>1186.4161999999999</v>
      </c>
      <c r="D49" s="8">
        <v>810.02809999999999</v>
      </c>
      <c r="E49" s="8">
        <v>426.69369999999998</v>
      </c>
      <c r="F49" s="8">
        <v>247.93969999999999</v>
      </c>
      <c r="G49" s="8">
        <v>100.9956</v>
      </c>
      <c r="H49" s="8">
        <v>940.44138799999996</v>
      </c>
      <c r="I49" s="1"/>
      <c r="J49" s="1"/>
      <c r="K49" s="1"/>
      <c r="L49" s="1"/>
      <c r="M49" s="1"/>
      <c r="N49" s="1"/>
      <c r="O49" s="1"/>
    </row>
    <row r="50" spans="1:15" ht="20" customHeight="1" x14ac:dyDescent="0.35">
      <c r="A50" s="7">
        <v>46163</v>
      </c>
      <c r="B50" s="8">
        <v>496.73910000000001</v>
      </c>
      <c r="C50" s="8">
        <v>1173.6746000000001</v>
      </c>
      <c r="D50" s="8">
        <v>804.5693</v>
      </c>
      <c r="E50" s="8">
        <v>426.93509999999998</v>
      </c>
      <c r="F50" s="8">
        <v>247.4453</v>
      </c>
      <c r="G50" s="8">
        <v>100.9927</v>
      </c>
      <c r="H50" s="8">
        <v>937.80746599999998</v>
      </c>
      <c r="I50" s="1"/>
      <c r="J50" s="1"/>
      <c r="K50" s="1"/>
      <c r="L50" s="1"/>
      <c r="M50" s="1"/>
      <c r="N50" s="1"/>
      <c r="O50" s="1"/>
    </row>
    <row r="51" spans="1:15" ht="20" customHeight="1" x14ac:dyDescent="0.35">
      <c r="A51" s="7">
        <v>46164</v>
      </c>
      <c r="B51" s="8">
        <v>497.32729999999998</v>
      </c>
      <c r="C51" s="8">
        <v>1165.3619000000001</v>
      </c>
      <c r="D51" s="8">
        <v>799.56949999999995</v>
      </c>
      <c r="E51" s="8">
        <v>428.43470000000002</v>
      </c>
      <c r="F51" s="8">
        <v>247.37190000000001</v>
      </c>
      <c r="G51" s="8">
        <v>100.9114</v>
      </c>
      <c r="H51" s="8">
        <v>937.94179999999994</v>
      </c>
      <c r="I51" s="1"/>
      <c r="J51" s="1"/>
      <c r="K51" s="1"/>
      <c r="L51" s="1"/>
      <c r="M51" s="1"/>
      <c r="N51" s="1"/>
      <c r="O51" s="1"/>
    </row>
    <row r="52" spans="1:15" ht="20" customHeight="1" x14ac:dyDescent="0.35">
      <c r="A52" s="7">
        <v>46167</v>
      </c>
      <c r="B52" s="8">
        <v>505.80930000000001</v>
      </c>
      <c r="C52" s="8">
        <v>1174.9070999999999</v>
      </c>
      <c r="D52" s="8">
        <v>801.02329999999995</v>
      </c>
      <c r="E52" s="8">
        <v>428.91699999999997</v>
      </c>
      <c r="F52" s="8">
        <v>247.80690000000001</v>
      </c>
      <c r="G52" s="8">
        <v>100.917</v>
      </c>
      <c r="H52" s="8">
        <v>941.36445300000003</v>
      </c>
      <c r="I52" s="1"/>
      <c r="J52" s="1"/>
      <c r="K52" s="1"/>
      <c r="L52" s="1"/>
      <c r="M52" s="1"/>
      <c r="N52" s="1"/>
      <c r="O52" s="1"/>
    </row>
    <row r="53" spans="1:15" ht="20" customHeight="1" x14ac:dyDescent="0.35">
      <c r="A53" s="7">
        <v>46168</v>
      </c>
      <c r="B53" s="8">
        <v>508.1456</v>
      </c>
      <c r="C53" s="8">
        <v>1169.2048</v>
      </c>
      <c r="D53" s="8">
        <v>807.07730000000004</v>
      </c>
      <c r="E53" s="8">
        <v>425.2475</v>
      </c>
      <c r="F53" s="8">
        <v>247.7002</v>
      </c>
      <c r="G53" s="8">
        <v>100.9815</v>
      </c>
      <c r="H53" s="8">
        <v>944.88302399999998</v>
      </c>
      <c r="I53" s="1"/>
      <c r="J53" s="1"/>
      <c r="K53" s="1"/>
      <c r="L53" s="1"/>
      <c r="M53" s="1"/>
      <c r="N53" s="1"/>
      <c r="O53" s="1"/>
    </row>
    <row r="54" spans="1:15" ht="20" customHeight="1" x14ac:dyDescent="0.35">
      <c r="A54" s="7">
        <v>46169</v>
      </c>
      <c r="B54" s="8">
        <v>512.49839999999995</v>
      </c>
      <c r="C54" s="8">
        <v>1172.9928</v>
      </c>
      <c r="D54" s="8">
        <v>811.16160000000002</v>
      </c>
      <c r="E54" s="8">
        <v>423.13339999999999</v>
      </c>
      <c r="F54" s="8">
        <v>247.81739999999999</v>
      </c>
      <c r="G54" s="8">
        <v>101.2033</v>
      </c>
      <c r="H54" s="8">
        <v>945.69688599999995</v>
      </c>
      <c r="I54" s="1"/>
      <c r="J54" s="1"/>
      <c r="K54" s="1"/>
      <c r="L54" s="1"/>
      <c r="M54" s="1"/>
      <c r="N54" s="1"/>
      <c r="O54" s="1"/>
    </row>
    <row r="55" spans="1:15" ht="20" customHeight="1" x14ac:dyDescent="0.35">
      <c r="A55" s="7">
        <v>46170</v>
      </c>
      <c r="B55" s="8">
        <v>512.5412</v>
      </c>
      <c r="C55" s="8">
        <v>1155.7516000000001</v>
      </c>
      <c r="D55" s="8">
        <v>809.15060000000005</v>
      </c>
      <c r="E55" s="8">
        <v>421.8648</v>
      </c>
      <c r="F55" s="8">
        <v>246.34780000000001</v>
      </c>
      <c r="G55" s="8">
        <v>101.35890000000001</v>
      </c>
      <c r="H55" s="8">
        <v>940.87773400000003</v>
      </c>
      <c r="I55" s="1"/>
      <c r="J55" s="1"/>
      <c r="K55" s="1"/>
      <c r="L55" s="1"/>
      <c r="M55" s="1"/>
      <c r="N55" s="1"/>
      <c r="O55" s="1"/>
    </row>
    <row r="56" spans="1:15" ht="20" customHeight="1" x14ac:dyDescent="0.35">
      <c r="A56" s="7">
        <v>46171</v>
      </c>
      <c r="B56" s="8">
        <v>513.9384</v>
      </c>
      <c r="C56" s="8">
        <v>1157.1258</v>
      </c>
      <c r="D56" s="8">
        <v>812.54579999999999</v>
      </c>
      <c r="E56" s="8">
        <v>426.4923</v>
      </c>
      <c r="F56" s="8">
        <v>247.84739999999999</v>
      </c>
      <c r="G56" s="8">
        <v>101.5581</v>
      </c>
      <c r="H56" s="8">
        <v>942.93305799999996</v>
      </c>
      <c r="I56" s="1"/>
      <c r="J56" s="1"/>
      <c r="K56" s="1"/>
      <c r="L56" s="1"/>
      <c r="M56" s="1"/>
      <c r="N56" s="1"/>
      <c r="O56" s="1"/>
    </row>
    <row r="57" spans="1:15" ht="20" customHeight="1" x14ac:dyDescent="0.35">
      <c r="A57" s="7">
        <v>46174</v>
      </c>
      <c r="B57" s="8">
        <v>516.93100000000004</v>
      </c>
      <c r="C57" s="8">
        <v>1148.8268</v>
      </c>
      <c r="D57" s="8">
        <v>820.14430000000004</v>
      </c>
      <c r="E57" s="8">
        <v>425.35250000000002</v>
      </c>
      <c r="F57" s="8">
        <v>247.7209</v>
      </c>
      <c r="G57" s="8">
        <v>101.6674</v>
      </c>
      <c r="H57" s="8">
        <v>944.38493100000005</v>
      </c>
      <c r="I57" s="1"/>
      <c r="J57" s="1"/>
      <c r="K57" s="1"/>
      <c r="L57" s="1"/>
      <c r="M57" s="1"/>
      <c r="N57" s="1"/>
      <c r="O57" s="1"/>
    </row>
    <row r="58" spans="1:15" ht="20" customHeight="1" x14ac:dyDescent="0.35">
      <c r="A58" s="7">
        <v>46175</v>
      </c>
      <c r="B58" s="8">
        <v>519.87350000000004</v>
      </c>
      <c r="C58" s="8">
        <v>1132.0039999999999</v>
      </c>
      <c r="D58" s="8">
        <v>819.30740000000003</v>
      </c>
      <c r="E58" s="8">
        <v>415.60840000000002</v>
      </c>
      <c r="F58" s="8">
        <v>245.07429999999999</v>
      </c>
      <c r="G58" s="8">
        <v>101.6397</v>
      </c>
      <c r="H58" s="8">
        <v>936.38501399999996</v>
      </c>
      <c r="I58" s="1"/>
      <c r="J58" s="1"/>
      <c r="K58" s="1"/>
      <c r="L58" s="1"/>
      <c r="M58" s="1"/>
      <c r="N58" s="1"/>
      <c r="O58" s="1"/>
    </row>
    <row r="59" spans="1:15" ht="20" customHeight="1" x14ac:dyDescent="0.35">
      <c r="A59" s="7">
        <v>46176</v>
      </c>
      <c r="B59" s="8">
        <v>516.7627</v>
      </c>
      <c r="C59" s="8">
        <v>1146.4346</v>
      </c>
      <c r="D59" s="8">
        <v>812.73760000000004</v>
      </c>
      <c r="E59" s="8">
        <v>412.33350000000002</v>
      </c>
      <c r="F59" s="8">
        <v>244.94890000000001</v>
      </c>
      <c r="G59" s="8">
        <v>101.6143</v>
      </c>
      <c r="H59" s="8">
        <v>934.46089500000005</v>
      </c>
      <c r="I59" s="1"/>
      <c r="J59" s="1"/>
      <c r="K59" s="1"/>
      <c r="L59" s="1"/>
      <c r="M59" s="1"/>
      <c r="N59" s="1"/>
      <c r="O59" s="1"/>
    </row>
    <row r="60" spans="1:15" ht="20" customHeight="1" x14ac:dyDescent="0.35">
      <c r="A60" s="7">
        <v>46177</v>
      </c>
      <c r="B60" s="8">
        <v>509.46390000000002</v>
      </c>
      <c r="C60" s="8">
        <v>1133.0826</v>
      </c>
      <c r="D60" s="8">
        <v>818.34450000000004</v>
      </c>
      <c r="E60" s="8">
        <v>410.0675</v>
      </c>
      <c r="F60" s="8">
        <v>243.74369999999999</v>
      </c>
      <c r="G60" s="8">
        <v>101.6433</v>
      </c>
      <c r="H60" s="8">
        <v>928.27478699999995</v>
      </c>
      <c r="I60" s="1"/>
      <c r="J60" s="1"/>
      <c r="K60" s="1"/>
      <c r="L60" s="1"/>
      <c r="M60" s="1"/>
      <c r="N60" s="1"/>
      <c r="O60" s="1"/>
    </row>
    <row r="61" spans="1:15" ht="20" customHeight="1" x14ac:dyDescent="0.35">
      <c r="A61" s="7">
        <v>46178</v>
      </c>
      <c r="B61" s="8">
        <v>512.33979999999997</v>
      </c>
      <c r="C61" s="8">
        <v>1143.9054000000001</v>
      </c>
      <c r="D61" s="8">
        <v>820.76480000000004</v>
      </c>
      <c r="E61" s="8">
        <v>410.745</v>
      </c>
      <c r="F61" s="8">
        <v>243.69220000000001</v>
      </c>
      <c r="G61" s="8">
        <v>101.55419999999999</v>
      </c>
      <c r="H61" s="8">
        <v>923.73102100000006</v>
      </c>
      <c r="I61" s="1"/>
      <c r="J61" s="1"/>
      <c r="K61" s="1"/>
      <c r="L61" s="1"/>
      <c r="M61" s="1"/>
      <c r="N61" s="1"/>
      <c r="O61" s="1"/>
    </row>
    <row r="62" spans="1:15" ht="20" customHeight="1" x14ac:dyDescent="0.35">
      <c r="A62" s="7">
        <v>46181</v>
      </c>
      <c r="B62" s="8">
        <v>518.87580000000003</v>
      </c>
      <c r="C62" s="8">
        <v>1133.9802999999999</v>
      </c>
      <c r="D62" s="8">
        <v>825.06129999999996</v>
      </c>
      <c r="E62" s="8">
        <v>417.28570000000002</v>
      </c>
      <c r="F62" s="8">
        <v>244.08860000000001</v>
      </c>
      <c r="G62" s="8">
        <v>101.6482</v>
      </c>
      <c r="H62" s="8">
        <v>927.19266500000003</v>
      </c>
      <c r="I62" s="1"/>
      <c r="J62" s="1"/>
      <c r="K62" s="1"/>
      <c r="L62" s="1"/>
      <c r="M62" s="1"/>
      <c r="N62" s="1"/>
      <c r="O62" s="1"/>
    </row>
    <row r="63" spans="1:15" ht="20" customHeight="1" x14ac:dyDescent="0.35">
      <c r="A63" s="7">
        <v>46182</v>
      </c>
      <c r="B63" s="8">
        <v>519.43129999999996</v>
      </c>
      <c r="C63" s="8">
        <v>1123.7628999999999</v>
      </c>
      <c r="D63" s="8">
        <v>822.70719999999994</v>
      </c>
      <c r="E63" s="8">
        <v>417.5797</v>
      </c>
      <c r="F63" s="8">
        <v>244.8732</v>
      </c>
      <c r="G63" s="8">
        <v>101.7479</v>
      </c>
      <c r="H63" s="8">
        <v>925.19671700000004</v>
      </c>
      <c r="I63" s="1"/>
      <c r="J63" s="1"/>
      <c r="K63" s="1"/>
      <c r="L63" s="1"/>
      <c r="M63" s="1"/>
      <c r="N63" s="1"/>
      <c r="O63" s="1"/>
    </row>
    <row r="64" spans="1:15" ht="20" customHeight="1" x14ac:dyDescent="0.35">
      <c r="A64" s="7">
        <v>46183</v>
      </c>
      <c r="B64" s="8">
        <v>515.17070000000001</v>
      </c>
      <c r="C64" s="8">
        <v>1120.8454999999999</v>
      </c>
      <c r="D64" s="8">
        <v>814.64300000000003</v>
      </c>
      <c r="E64" s="8">
        <v>413.4846</v>
      </c>
      <c r="F64" s="8">
        <v>244.4134</v>
      </c>
      <c r="G64" s="8">
        <v>101.9452</v>
      </c>
      <c r="H64" s="8">
        <v>925.96194700000001</v>
      </c>
      <c r="I64" s="1"/>
      <c r="J64" s="1"/>
      <c r="K64" s="1"/>
      <c r="L64" s="1"/>
      <c r="M64" s="1"/>
      <c r="N64" s="1"/>
      <c r="O64" s="1"/>
    </row>
    <row r="65" spans="1:15" ht="20" customHeight="1" x14ac:dyDescent="0.35">
      <c r="A65" s="7">
        <v>46184</v>
      </c>
      <c r="B65" s="8">
        <v>511.01260000000002</v>
      </c>
      <c r="C65" s="8">
        <v>1095.8042</v>
      </c>
      <c r="D65" s="8">
        <v>811.94650000000001</v>
      </c>
      <c r="E65" s="8">
        <v>410.45979999999997</v>
      </c>
      <c r="F65" s="8">
        <v>243.32499999999999</v>
      </c>
      <c r="G65" s="8">
        <v>102.03060000000001</v>
      </c>
      <c r="H65" s="8">
        <v>922.62055499999997</v>
      </c>
      <c r="I65" s="1"/>
      <c r="J65" s="1"/>
      <c r="K65" s="1"/>
      <c r="L65" s="1"/>
      <c r="M65" s="1"/>
      <c r="N65" s="1"/>
      <c r="O65" s="1"/>
    </row>
    <row r="66" spans="1:15" ht="20" customHeight="1" x14ac:dyDescent="0.35">
      <c r="A66" s="7">
        <v>46185</v>
      </c>
      <c r="B66" s="8">
        <v>514.15610000000004</v>
      </c>
      <c r="C66" s="8">
        <v>1089.1925000000001</v>
      </c>
      <c r="D66" s="8">
        <v>814.13040000000001</v>
      </c>
      <c r="E66" s="8">
        <v>408.67200000000003</v>
      </c>
      <c r="F66" s="8">
        <v>242.95820000000001</v>
      </c>
      <c r="G66" s="8">
        <v>102.06529999999999</v>
      </c>
      <c r="H66" s="8">
        <v>922.97650999999996</v>
      </c>
      <c r="I66" s="1"/>
      <c r="J66" s="1"/>
      <c r="K66" s="1"/>
      <c r="L66" s="1"/>
      <c r="M66" s="1"/>
      <c r="N66" s="1"/>
      <c r="O66" s="1"/>
    </row>
    <row r="67" spans="1:15" ht="20" customHeight="1" x14ac:dyDescent="0.35">
      <c r="A67" s="7">
        <v>46188</v>
      </c>
      <c r="B67" s="8">
        <v>513.06899999999996</v>
      </c>
      <c r="C67" s="8">
        <v>1107.9206999999999</v>
      </c>
      <c r="D67" s="8">
        <v>814.11649999999997</v>
      </c>
      <c r="E67" s="8">
        <v>417.55799999999999</v>
      </c>
      <c r="F67" s="8">
        <v>244.34719999999999</v>
      </c>
      <c r="G67" s="8">
        <v>101.99890000000001</v>
      </c>
      <c r="H67" s="8">
        <v>928.89092500000004</v>
      </c>
      <c r="I67" s="1"/>
      <c r="J67" s="1"/>
      <c r="K67" s="1"/>
      <c r="L67" s="1"/>
      <c r="M67" s="1"/>
      <c r="N67" s="1"/>
      <c r="O67" s="1"/>
    </row>
    <row r="68" spans="1:15" ht="20" customHeight="1" x14ac:dyDescent="0.35">
      <c r="A68" s="7">
        <v>46189</v>
      </c>
      <c r="B68" s="8">
        <v>513.77070000000003</v>
      </c>
      <c r="C68" s="8">
        <v>1100.9021</v>
      </c>
      <c r="D68" s="8">
        <v>820.61580000000004</v>
      </c>
      <c r="E68" s="8">
        <v>424.60410000000002</v>
      </c>
      <c r="F68" s="8">
        <v>245.39760000000001</v>
      </c>
      <c r="G68" s="8">
        <v>102.07859999999999</v>
      </c>
      <c r="H68" s="8">
        <v>933.50202000000002</v>
      </c>
      <c r="I68" s="1"/>
      <c r="J68" s="1"/>
      <c r="K68" s="1"/>
      <c r="L68" s="1"/>
      <c r="M68" s="1"/>
      <c r="N68" s="1"/>
      <c r="O68" s="1"/>
    </row>
    <row r="69" spans="1:15" ht="20" customHeight="1" x14ac:dyDescent="0.35">
      <c r="A69" s="7">
        <v>46190</v>
      </c>
      <c r="B69" s="8">
        <v>519.43230000000005</v>
      </c>
      <c r="C69" s="8">
        <v>1108.0361</v>
      </c>
      <c r="D69" s="8">
        <v>822.91200000000003</v>
      </c>
      <c r="E69" s="8">
        <v>419.76889999999997</v>
      </c>
      <c r="F69" s="8">
        <v>245.55860000000001</v>
      </c>
      <c r="G69" s="8">
        <v>101.9384</v>
      </c>
      <c r="H69" s="8">
        <v>935.46917499999995</v>
      </c>
      <c r="I69" s="1"/>
      <c r="J69" s="1"/>
      <c r="K69" s="1"/>
      <c r="L69" s="1"/>
      <c r="M69" s="1"/>
      <c r="N69" s="1"/>
      <c r="O69" s="1"/>
    </row>
    <row r="70" spans="1:15" ht="20" customHeight="1" x14ac:dyDescent="0.35">
      <c r="A70" s="7">
        <v>46191</v>
      </c>
      <c r="B70" s="8">
        <v>516.85400000000004</v>
      </c>
      <c r="C70" s="8">
        <v>1110.6331</v>
      </c>
      <c r="D70" s="8">
        <v>819.23630000000003</v>
      </c>
      <c r="E70" s="8">
        <v>419.42570000000001</v>
      </c>
      <c r="F70" s="8">
        <v>246.01140000000001</v>
      </c>
      <c r="G70" s="8">
        <v>101.8597</v>
      </c>
      <c r="H70" s="8">
        <v>934.87624600000004</v>
      </c>
      <c r="I70" s="1"/>
      <c r="J70" s="1"/>
      <c r="K70" s="1"/>
      <c r="L70" s="1"/>
      <c r="M70" s="1"/>
      <c r="N70" s="1"/>
      <c r="O70" s="1"/>
    </row>
    <row r="71" spans="1:15" ht="20" customHeight="1" x14ac:dyDescent="0.35">
      <c r="A71" s="7">
        <v>46192</v>
      </c>
      <c r="B71" s="8">
        <v>521.60239999999999</v>
      </c>
      <c r="C71" s="8">
        <v>1111.5237</v>
      </c>
      <c r="D71" s="8">
        <v>827.75710000000004</v>
      </c>
      <c r="E71" s="8">
        <v>427.02199999999999</v>
      </c>
      <c r="F71" s="8">
        <v>247.8338</v>
      </c>
      <c r="G71" s="8">
        <v>101.8203</v>
      </c>
      <c r="H71" s="8">
        <v>940.67237999999998</v>
      </c>
      <c r="I71" s="1"/>
      <c r="J71" s="1"/>
      <c r="K71" s="1"/>
      <c r="L71" s="1"/>
      <c r="M71" s="1"/>
      <c r="N71" s="1"/>
      <c r="O71" s="1"/>
    </row>
    <row r="72" spans="1:15" ht="20" customHeight="1" x14ac:dyDescent="0.35">
      <c r="A72" s="7">
        <v>46195</v>
      </c>
      <c r="B72" s="8">
        <v>532.09900000000005</v>
      </c>
      <c r="C72" s="8">
        <v>560.55349999999999</v>
      </c>
      <c r="D72" s="8">
        <v>838.47529999999995</v>
      </c>
      <c r="E72" s="8">
        <v>436.9572</v>
      </c>
      <c r="F72" s="8">
        <v>250.76769999999999</v>
      </c>
      <c r="G72" s="8">
        <v>101.7597</v>
      </c>
      <c r="H72" s="8">
        <v>953.55548099999999</v>
      </c>
      <c r="I72" s="1"/>
      <c r="J72" s="1"/>
      <c r="K72" s="1"/>
      <c r="L72" s="1"/>
      <c r="M72" s="1"/>
      <c r="N72" s="1"/>
      <c r="O72" s="1"/>
    </row>
    <row r="73" spans="1:15" ht="20" customHeight="1" x14ac:dyDescent="0.35">
      <c r="A73" s="7">
        <v>46196</v>
      </c>
      <c r="B73" s="8">
        <v>536.77200000000005</v>
      </c>
      <c r="C73" s="8">
        <v>557.36339999999996</v>
      </c>
      <c r="D73" s="8">
        <v>841.84630000000004</v>
      </c>
      <c r="E73" s="8">
        <v>443.80459999999999</v>
      </c>
      <c r="F73" s="8">
        <v>252.30719999999999</v>
      </c>
      <c r="G73" s="8">
        <v>101.6511</v>
      </c>
      <c r="H73" s="8">
        <v>959.03173100000004</v>
      </c>
      <c r="I73" s="1"/>
      <c r="J73" s="1"/>
      <c r="K73" s="1"/>
      <c r="L73" s="1"/>
      <c r="M73" s="1"/>
      <c r="N73" s="1"/>
      <c r="O73" s="1"/>
    </row>
    <row r="74" spans="1:15" ht="20" customHeight="1" x14ac:dyDescent="0.35">
      <c r="A74" s="7">
        <v>46197</v>
      </c>
      <c r="B74" s="8">
        <v>540.55619999999999</v>
      </c>
      <c r="C74" s="8">
        <v>548.71950000000004</v>
      </c>
      <c r="D74" s="8">
        <v>841.49429999999995</v>
      </c>
      <c r="E74" s="8">
        <v>440.61</v>
      </c>
      <c r="F74" s="8">
        <v>252.7116</v>
      </c>
      <c r="G74" s="8">
        <v>101.6859</v>
      </c>
      <c r="H74" s="8">
        <v>956.29538500000001</v>
      </c>
      <c r="I74" s="1"/>
      <c r="J74" s="1"/>
      <c r="K74" s="1"/>
      <c r="L74" s="1"/>
      <c r="M74" s="1"/>
      <c r="N74" s="1"/>
      <c r="O74" s="1"/>
    </row>
    <row r="75" spans="1:15" ht="20" customHeight="1" x14ac:dyDescent="0.35">
      <c r="A75" s="7">
        <v>46198</v>
      </c>
      <c r="B75" s="8">
        <v>540.26480000000004</v>
      </c>
      <c r="C75" s="8">
        <v>547.87130000000002</v>
      </c>
      <c r="D75" s="8">
        <v>848.38459999999998</v>
      </c>
      <c r="E75" s="8">
        <v>441.31369999999998</v>
      </c>
      <c r="F75" s="8">
        <v>253.86609999999999</v>
      </c>
      <c r="G75" s="8">
        <v>101.6905</v>
      </c>
      <c r="H75" s="8">
        <v>964.14383199999997</v>
      </c>
      <c r="I75" s="1"/>
      <c r="J75" s="1"/>
      <c r="K75" s="1"/>
      <c r="L75" s="1"/>
      <c r="M75" s="1"/>
      <c r="N75" s="1"/>
      <c r="O75" s="1"/>
    </row>
    <row r="76" spans="1:15" ht="20" customHeight="1" x14ac:dyDescent="0.35">
      <c r="A76" s="7">
        <v>46199</v>
      </c>
      <c r="B76" s="8">
        <v>548.02260000000001</v>
      </c>
      <c r="C76" s="8">
        <v>557.86199999999997</v>
      </c>
      <c r="D76" s="8">
        <v>852.80330000000004</v>
      </c>
      <c r="E76" s="8">
        <v>444.21539999999999</v>
      </c>
      <c r="F76" s="8">
        <v>254.67070000000001</v>
      </c>
      <c r="G76" s="8">
        <v>101.6652</v>
      </c>
      <c r="H76" s="8">
        <v>970.57310399999994</v>
      </c>
      <c r="I76" s="1"/>
      <c r="J76" s="1"/>
      <c r="K76" s="1"/>
      <c r="L76" s="1"/>
      <c r="M76" s="1"/>
      <c r="N76" s="1"/>
      <c r="O76" s="1"/>
    </row>
    <row r="77" spans="1:15" ht="20" customHeight="1" x14ac:dyDescent="0.35">
      <c r="A77" s="7">
        <v>46202</v>
      </c>
      <c r="B77" s="8">
        <v>552.14070000000004</v>
      </c>
      <c r="C77" s="8">
        <v>554.19979999999998</v>
      </c>
      <c r="D77" s="8">
        <v>858.68190000000004</v>
      </c>
      <c r="E77" s="8">
        <v>446.58319999999998</v>
      </c>
      <c r="F77" s="8">
        <v>255.8587</v>
      </c>
      <c r="G77" s="8">
        <v>101.7094</v>
      </c>
      <c r="H77" s="8">
        <v>972.72532100000001</v>
      </c>
      <c r="I77" s="1"/>
      <c r="J77" s="1"/>
      <c r="K77" s="1"/>
      <c r="L77" s="1"/>
      <c r="M77" s="1"/>
      <c r="N77" s="1"/>
      <c r="O77" s="1"/>
    </row>
    <row r="78" spans="1:15" ht="20" customHeight="1" x14ac:dyDescent="0.35">
      <c r="A78" s="7">
        <v>46203</v>
      </c>
      <c r="B78" s="8">
        <v>553.20069999999998</v>
      </c>
      <c r="C78" s="8">
        <v>560.80029999999999</v>
      </c>
      <c r="D78" s="8">
        <v>856.86289999999997</v>
      </c>
      <c r="E78" s="8">
        <v>448.26979999999998</v>
      </c>
      <c r="F78" s="8">
        <v>256.9846</v>
      </c>
      <c r="G78" s="8">
        <v>101.7877</v>
      </c>
      <c r="H78" s="8">
        <v>971.64858900000002</v>
      </c>
      <c r="I78" s="1"/>
      <c r="J78" s="1"/>
      <c r="K78" s="1"/>
      <c r="L78" s="1"/>
      <c r="M78" s="1"/>
      <c r="N78" s="1"/>
      <c r="O78" s="1"/>
    </row>
    <row r="79" spans="1:15" ht="20" customHeight="1" x14ac:dyDescent="0.35">
      <c r="A79" s="7">
        <v>46204</v>
      </c>
      <c r="B79" s="8">
        <v>557.44799999999998</v>
      </c>
      <c r="C79" s="8">
        <v>572.67370000000005</v>
      </c>
      <c r="D79" s="8">
        <v>865.46979999999996</v>
      </c>
      <c r="E79" s="8">
        <v>456.28829999999999</v>
      </c>
      <c r="F79" s="8">
        <v>259.57600000000002</v>
      </c>
      <c r="G79" s="8">
        <v>101.9024</v>
      </c>
      <c r="H79" s="8">
        <v>980.27093200000002</v>
      </c>
      <c r="I79" s="1"/>
      <c r="J79" s="1"/>
      <c r="K79" s="1"/>
      <c r="L79" s="1"/>
      <c r="M79" s="1"/>
      <c r="N79" s="1"/>
      <c r="O79" s="1"/>
    </row>
    <row r="80" spans="1:15" ht="20" customHeight="1" x14ac:dyDescent="0.35">
      <c r="A80" s="7">
        <v>46205</v>
      </c>
      <c r="B80" s="8">
        <v>544.41</v>
      </c>
      <c r="C80" s="8">
        <v>560.6096</v>
      </c>
      <c r="D80" s="8">
        <v>866.04250000000002</v>
      </c>
      <c r="E80" s="8">
        <v>453.03440000000001</v>
      </c>
      <c r="F80" s="8">
        <v>256.34469999999999</v>
      </c>
      <c r="G80" s="8">
        <v>101.8631</v>
      </c>
      <c r="H80" s="8">
        <v>970.22306800000001</v>
      </c>
      <c r="I80" s="1"/>
      <c r="J80" s="1"/>
      <c r="K80" s="1"/>
      <c r="L80" s="1"/>
      <c r="M80" s="1"/>
      <c r="N80" s="1"/>
      <c r="O80" s="1"/>
    </row>
    <row r="81" spans="1:15" ht="20" customHeight="1" x14ac:dyDescent="0.35">
      <c r="A81" s="7">
        <v>46206</v>
      </c>
      <c r="B81" s="8">
        <v>548.6721</v>
      </c>
      <c r="C81" s="8">
        <v>557.67759999999998</v>
      </c>
      <c r="D81" s="8">
        <v>864.23389999999995</v>
      </c>
      <c r="E81" s="8">
        <v>450.98399999999998</v>
      </c>
      <c r="F81" s="8">
        <v>257.34109999999998</v>
      </c>
      <c r="G81" s="8">
        <v>102.00239999999999</v>
      </c>
      <c r="H81" s="8">
        <v>971.47943299999997</v>
      </c>
      <c r="I81" s="1"/>
      <c r="J81" s="1"/>
      <c r="K81" s="1"/>
      <c r="L81" s="1"/>
      <c r="M81" s="1"/>
      <c r="N81" s="1"/>
      <c r="O81" s="1"/>
    </row>
    <row r="82" spans="1:15" ht="20" customHeight="1" x14ac:dyDescent="0.35">
      <c r="A82" s="7">
        <v>46209</v>
      </c>
      <c r="B82" s="8">
        <v>546.41060000000004</v>
      </c>
      <c r="C82" s="8">
        <v>548.20820000000003</v>
      </c>
      <c r="D82" s="8">
        <v>863.40369999999996</v>
      </c>
      <c r="E82" s="8">
        <v>447.58920000000001</v>
      </c>
      <c r="F82" s="8">
        <v>256.97500000000002</v>
      </c>
      <c r="G82" s="8">
        <v>102.1641</v>
      </c>
      <c r="H82" s="8">
        <v>971.76532799999995</v>
      </c>
      <c r="I82" s="1"/>
      <c r="J82" s="1"/>
      <c r="K82" s="1"/>
      <c r="L82" s="1"/>
      <c r="M82" s="1"/>
      <c r="N82" s="1"/>
      <c r="O82" s="1"/>
    </row>
    <row r="83" spans="1:15" ht="20" customHeight="1" x14ac:dyDescent="0.35">
      <c r="A83" s="7">
        <v>46210</v>
      </c>
      <c r="B83" s="8">
        <v>549.56830000000002</v>
      </c>
      <c r="C83" s="8">
        <v>551.81200000000001</v>
      </c>
      <c r="D83" s="8">
        <v>875.21609999999998</v>
      </c>
      <c r="E83" s="8">
        <v>446.92829999999998</v>
      </c>
      <c r="F83" s="8">
        <v>257.23950000000002</v>
      </c>
      <c r="G83" s="8">
        <v>102.1965</v>
      </c>
      <c r="H83" s="8">
        <v>972.69467199999997</v>
      </c>
      <c r="I83" s="1"/>
      <c r="J83" s="1"/>
      <c r="K83" s="1"/>
      <c r="L83" s="1"/>
      <c r="M83" s="1"/>
      <c r="N83" s="1"/>
      <c r="O83" s="1"/>
    </row>
    <row r="84" spans="1:15" ht="20" customHeight="1" x14ac:dyDescent="0.35">
      <c r="A84" s="7">
        <v>46211</v>
      </c>
      <c r="B84" s="8">
        <v>557.16729999999995</v>
      </c>
      <c r="C84" s="8">
        <v>554.05589999999995</v>
      </c>
      <c r="D84" s="8">
        <v>876.83389999999997</v>
      </c>
      <c r="E84" s="8">
        <v>446.8458</v>
      </c>
      <c r="F84" s="8">
        <v>256.51710000000003</v>
      </c>
      <c r="G84" s="8">
        <v>102.1639</v>
      </c>
      <c r="H84" s="8">
        <v>974.71069599999998</v>
      </c>
      <c r="I84" s="1"/>
      <c r="J84" s="1"/>
      <c r="K84" s="1"/>
      <c r="L84" s="1"/>
      <c r="M84" s="1"/>
      <c r="N84" s="1"/>
      <c r="O84" s="1"/>
    </row>
    <row r="85" spans="1:15" ht="20" customHeight="1" x14ac:dyDescent="0.35">
      <c r="A85" s="7">
        <v>46212</v>
      </c>
      <c r="B85" s="8">
        <v>560.99289999999996</v>
      </c>
      <c r="C85" s="8">
        <v>562.33569999999997</v>
      </c>
      <c r="D85" s="8">
        <v>892.43759999999997</v>
      </c>
      <c r="E85" s="8">
        <v>456.40280000000001</v>
      </c>
      <c r="F85" s="8">
        <v>259.41950000000003</v>
      </c>
      <c r="G85" s="8">
        <v>102.3454</v>
      </c>
      <c r="H85" s="8">
        <v>983.80896700000005</v>
      </c>
      <c r="I85" s="1"/>
      <c r="J85" s="1"/>
      <c r="K85" s="1"/>
      <c r="L85" s="1"/>
      <c r="M85" s="1"/>
      <c r="N85" s="1"/>
      <c r="O85" s="1"/>
    </row>
    <row r="86" spans="1:15" ht="20" customHeight="1" x14ac:dyDescent="0.35">
      <c r="A86" s="7">
        <v>46213</v>
      </c>
      <c r="B86" s="8">
        <v>562.62850000000003</v>
      </c>
      <c r="C86" s="8">
        <v>560.59220000000005</v>
      </c>
      <c r="D86" s="8">
        <v>892.71820000000002</v>
      </c>
      <c r="E86" s="8">
        <v>451.4735</v>
      </c>
      <c r="F86" s="8">
        <v>257.49439999999998</v>
      </c>
      <c r="G86" s="8">
        <v>102.3959</v>
      </c>
      <c r="H86" s="8">
        <v>978.03045399999996</v>
      </c>
      <c r="I86" s="1"/>
      <c r="J86" s="1"/>
      <c r="K86" s="1"/>
      <c r="L86" s="1"/>
      <c r="M86" s="1"/>
      <c r="N86" s="1"/>
      <c r="O86" s="1"/>
    </row>
    <row r="87" spans="1:15" ht="20" customHeight="1" x14ac:dyDescent="0.35">
      <c r="A87" s="7">
        <v>46216</v>
      </c>
      <c r="B87" s="8">
        <v>561.23379999999997</v>
      </c>
      <c r="C87" s="8">
        <v>565.67399999999998</v>
      </c>
      <c r="D87" s="8">
        <v>895.73479999999995</v>
      </c>
      <c r="E87" s="8">
        <v>454.55869999999999</v>
      </c>
      <c r="F87" s="8">
        <v>258.11020000000002</v>
      </c>
      <c r="G87" s="8">
        <v>102.51860000000001</v>
      </c>
      <c r="H87" s="8">
        <v>974.71713599999998</v>
      </c>
      <c r="I87" s="1"/>
      <c r="J87" s="1"/>
      <c r="K87" s="1"/>
      <c r="L87" s="1"/>
      <c r="M87" s="1"/>
      <c r="N87" s="1"/>
      <c r="O87" s="1"/>
    </row>
    <row r="88" spans="1:15" ht="20" customHeight="1" x14ac:dyDescent="0.35">
      <c r="A88" s="7">
        <v>46217</v>
      </c>
      <c r="B88" s="8">
        <v>565.78589999999997</v>
      </c>
      <c r="C88" s="8">
        <v>559.88810000000001</v>
      </c>
      <c r="D88" s="8">
        <v>900.09690000000001</v>
      </c>
      <c r="E88" s="8">
        <v>461.73059999999998</v>
      </c>
      <c r="F88" s="8">
        <v>259.02140000000003</v>
      </c>
      <c r="G88" s="8">
        <v>102.61620000000001</v>
      </c>
      <c r="H88" s="8">
        <v>976.38789099999997</v>
      </c>
      <c r="I88" s="1"/>
      <c r="J88" s="1"/>
      <c r="K88" s="1"/>
      <c r="L88" s="1"/>
      <c r="M88" s="1"/>
      <c r="N88" s="1"/>
      <c r="O88" s="1"/>
    </row>
    <row r="89" spans="1:15" ht="20" customHeight="1" x14ac:dyDescent="0.35">
      <c r="A89" s="7">
        <v>46218</v>
      </c>
      <c r="B89" s="8">
        <v>569.85739999999998</v>
      </c>
      <c r="C89" s="8">
        <v>568.0317</v>
      </c>
      <c r="D89" s="8">
        <v>893.42880000000002</v>
      </c>
      <c r="E89" s="8">
        <v>474.71260000000001</v>
      </c>
      <c r="F89" s="8">
        <v>262.60660000000001</v>
      </c>
      <c r="G89" s="8">
        <v>102.6729</v>
      </c>
      <c r="H89" s="8">
        <v>984.48917600000004</v>
      </c>
      <c r="I89" s="1"/>
      <c r="J89" s="1"/>
      <c r="K89" s="1"/>
      <c r="L89" s="1"/>
      <c r="M89" s="1"/>
      <c r="N89" s="1"/>
      <c r="O89" s="1"/>
    </row>
    <row r="90" spans="1:15" ht="20" customHeight="1" x14ac:dyDescent="0.35">
      <c r="A90" s="7">
        <v>46219</v>
      </c>
      <c r="B90" s="8">
        <v>568.24940000000004</v>
      </c>
      <c r="C90" s="8">
        <v>565.85090000000002</v>
      </c>
      <c r="D90" s="8">
        <v>893.32830000000001</v>
      </c>
      <c r="E90" s="8">
        <v>476.53280000000001</v>
      </c>
      <c r="F90" s="8">
        <v>262.75869999999998</v>
      </c>
      <c r="G90" s="8">
        <v>102.666</v>
      </c>
      <c r="H90" s="8">
        <v>983.89174800000001</v>
      </c>
      <c r="I90" s="1"/>
      <c r="J90" s="1"/>
      <c r="K90" s="1"/>
      <c r="L90" s="1"/>
      <c r="M90" s="1"/>
      <c r="N90" s="1"/>
      <c r="O90" s="1"/>
    </row>
    <row r="91" spans="1:15" ht="20" customHeight="1" x14ac:dyDescent="0.35">
      <c r="A91" s="7">
        <v>46220</v>
      </c>
      <c r="B91" s="8">
        <v>567.14279999999997</v>
      </c>
      <c r="C91" s="8">
        <v>562.83789999999999</v>
      </c>
      <c r="D91" s="8">
        <v>888.84130000000005</v>
      </c>
      <c r="E91" s="8">
        <v>474.08339999999998</v>
      </c>
      <c r="F91" s="8">
        <v>262.61579999999998</v>
      </c>
      <c r="G91" s="8">
        <v>102.845</v>
      </c>
      <c r="H91" s="8">
        <v>975.66513399999997</v>
      </c>
      <c r="I91" s="1"/>
      <c r="J91" s="1"/>
      <c r="K91" s="1"/>
      <c r="L91" s="1"/>
      <c r="M91" s="1"/>
      <c r="N91" s="1"/>
      <c r="O91" s="1"/>
    </row>
    <row r="92" spans="1:15" ht="20" customHeight="1" x14ac:dyDescent="0.35">
      <c r="A92" s="7">
        <v>46223</v>
      </c>
      <c r="B92" s="8">
        <v>571.41039999999998</v>
      </c>
      <c r="C92" s="8">
        <v>556.14599999999996</v>
      </c>
      <c r="D92" s="8">
        <v>882.03970000000004</v>
      </c>
      <c r="E92" s="8">
        <v>468.815</v>
      </c>
      <c r="F92" s="8">
        <v>263.44319999999999</v>
      </c>
      <c r="G92" s="8">
        <v>102.9588</v>
      </c>
      <c r="H92" s="8">
        <v>975.699794</v>
      </c>
      <c r="I92" s="1"/>
      <c r="J92" s="1"/>
      <c r="K92" s="1"/>
      <c r="L92" s="1"/>
      <c r="M92" s="1"/>
      <c r="N92" s="1"/>
      <c r="O92" s="1"/>
    </row>
    <row r="93" spans="1:15" ht="20" customHeight="1" x14ac:dyDescent="0.35">
      <c r="A93" s="7">
        <v>46224</v>
      </c>
      <c r="B93" s="8">
        <v>564.03250000000003</v>
      </c>
      <c r="C93" s="8">
        <v>548.12959999999998</v>
      </c>
      <c r="D93" s="8">
        <v>876.13350000000003</v>
      </c>
      <c r="E93" s="8">
        <v>466.80340000000001</v>
      </c>
      <c r="F93" s="8">
        <v>260.98660000000001</v>
      </c>
      <c r="G93" s="8">
        <v>103.0561</v>
      </c>
      <c r="H93" s="8">
        <v>967.79139199999997</v>
      </c>
      <c r="I93" s="1"/>
      <c r="J93" s="1"/>
      <c r="K93" s="1"/>
      <c r="L93" s="1"/>
      <c r="M93" s="1"/>
      <c r="N93" s="1"/>
      <c r="O93" s="1"/>
    </row>
    <row r="94" spans="1:15" ht="20" customHeight="1" x14ac:dyDescent="0.35">
      <c r="A94" s="7">
        <v>46225</v>
      </c>
      <c r="B94" s="8">
        <v>564.77859999999998</v>
      </c>
      <c r="C94" s="8">
        <v>543.77850000000001</v>
      </c>
      <c r="D94" s="8">
        <v>875.33929999999998</v>
      </c>
      <c r="E94" s="8">
        <v>470.2432</v>
      </c>
      <c r="F94" s="8">
        <v>259.56790000000001</v>
      </c>
      <c r="G94" s="8">
        <v>103.1189</v>
      </c>
      <c r="H94" s="8">
        <v>964.53767100000005</v>
      </c>
      <c r="I94" s="1"/>
      <c r="J94" s="1"/>
      <c r="K94" s="1"/>
      <c r="L94" s="1"/>
      <c r="M94" s="1"/>
      <c r="N94" s="1"/>
      <c r="O94" s="1"/>
    </row>
    <row r="95" spans="1:15" ht="20" customHeight="1" x14ac:dyDescent="0.35">
      <c r="A95" s="7">
        <v>46226</v>
      </c>
      <c r="B95" s="8">
        <v>560.5222</v>
      </c>
      <c r="C95" s="8">
        <v>552.42859999999996</v>
      </c>
      <c r="D95" s="8">
        <v>873.01030000000003</v>
      </c>
      <c r="E95" s="8">
        <v>473.87180000000001</v>
      </c>
      <c r="F95" s="8">
        <v>259.95920000000001</v>
      </c>
      <c r="G95" s="8">
        <v>103.06740000000001</v>
      </c>
      <c r="H95" s="8">
        <v>965.86966199999995</v>
      </c>
      <c r="I95" s="1"/>
      <c r="J95" s="1"/>
      <c r="K95" s="1"/>
      <c r="L95" s="1"/>
      <c r="M95" s="1"/>
      <c r="N95" s="1"/>
      <c r="O95" s="1"/>
    </row>
    <row r="96" spans="1:15" ht="20" customHeight="1" x14ac:dyDescent="0.35">
      <c r="A96" s="7">
        <v>46227</v>
      </c>
      <c r="B96" s="8">
        <v>556.10670000000005</v>
      </c>
      <c r="C96" s="8">
        <v>546.85260000000005</v>
      </c>
      <c r="D96" s="8">
        <v>874.55029999999999</v>
      </c>
      <c r="E96" s="8">
        <v>478.66809999999998</v>
      </c>
      <c r="F96" s="8">
        <v>259.2833</v>
      </c>
      <c r="G96" s="8">
        <v>103.05500000000001</v>
      </c>
      <c r="H96" s="8">
        <v>962.76389600000005</v>
      </c>
      <c r="I96" s="1"/>
      <c r="J96" s="1"/>
      <c r="K96" s="1"/>
      <c r="L96" s="1"/>
      <c r="M96" s="1"/>
      <c r="N96" s="1"/>
      <c r="O96" s="1"/>
    </row>
    <row r="97" spans="1:15" ht="20" customHeight="1" x14ac:dyDescent="0.35">
      <c r="A97" s="7">
        <v>46230</v>
      </c>
      <c r="B97" s="8">
        <v>561.59490000000005</v>
      </c>
      <c r="C97" s="8">
        <v>551.39729999999997</v>
      </c>
      <c r="D97" s="8">
        <v>877.50390000000004</v>
      </c>
      <c r="E97" s="8">
        <v>480.09089999999998</v>
      </c>
      <c r="F97" s="8">
        <v>260.72699999999998</v>
      </c>
      <c r="G97" s="8">
        <v>102.907</v>
      </c>
      <c r="H97" s="8">
        <v>967.74128900000005</v>
      </c>
      <c r="I97" s="1"/>
      <c r="J97" s="1"/>
      <c r="K97" s="1"/>
      <c r="L97" s="1"/>
      <c r="M97" s="1"/>
      <c r="N97" s="1"/>
      <c r="O97" s="1"/>
    </row>
    <row r="98" spans="1:15" ht="20" customHeight="1" x14ac:dyDescent="0.35">
      <c r="A98" s="7">
        <v>46231</v>
      </c>
      <c r="B98" s="8">
        <v>556.00930000000005</v>
      </c>
      <c r="C98" s="8">
        <v>555.4076</v>
      </c>
      <c r="D98" s="8">
        <v>874.29169999999999</v>
      </c>
      <c r="E98" s="8">
        <v>473.95490000000001</v>
      </c>
      <c r="F98" s="8">
        <v>259.47829999999999</v>
      </c>
      <c r="G98" s="8">
        <v>102.84480000000001</v>
      </c>
      <c r="H98" s="8">
        <v>958.83526900000004</v>
      </c>
      <c r="I98" s="1"/>
      <c r="J98" s="1"/>
      <c r="K98" s="1"/>
      <c r="L98" s="1"/>
      <c r="M98" s="1"/>
      <c r="N98" s="1"/>
      <c r="O98" s="1"/>
    </row>
    <row r="99" spans="1:15" ht="20" customHeight="1" x14ac:dyDescent="0.35">
      <c r="A99" s="7">
        <v>46232</v>
      </c>
      <c r="B99" s="8">
        <v>560.43449999999996</v>
      </c>
      <c r="C99" s="8">
        <v>552.28189999999995</v>
      </c>
      <c r="D99" s="8">
        <v>868.38649999999996</v>
      </c>
      <c r="E99" s="8">
        <v>478.54809999999998</v>
      </c>
      <c r="F99" s="8">
        <v>259.67790000000002</v>
      </c>
      <c r="G99" s="8">
        <v>102.9234</v>
      </c>
      <c r="H99" s="8">
        <v>961.35832200000004</v>
      </c>
      <c r="I99" s="1"/>
      <c r="J99" s="1"/>
      <c r="K99" s="1"/>
      <c r="L99" s="1"/>
      <c r="M99" s="1"/>
      <c r="N99" s="1"/>
      <c r="O99" s="1"/>
    </row>
    <row r="100" spans="1:15" ht="20" customHeight="1" x14ac:dyDescent="0.35">
      <c r="A100" s="7">
        <v>46233</v>
      </c>
      <c r="B100" s="8">
        <v>563.16240000000005</v>
      </c>
      <c r="C100" s="8">
        <v>545.62099999999998</v>
      </c>
      <c r="D100" s="8">
        <v>875.82550000000003</v>
      </c>
      <c r="E100" s="8">
        <v>480.88470000000001</v>
      </c>
      <c r="F100" s="8">
        <v>260.0265</v>
      </c>
      <c r="G100" s="8">
        <v>102.8099</v>
      </c>
      <c r="H100" s="8">
        <v>965.14286300000003</v>
      </c>
      <c r="I100" s="1"/>
      <c r="J100" s="1"/>
      <c r="K100" s="1"/>
      <c r="L100" s="1"/>
      <c r="M100" s="1"/>
      <c r="N100" s="1"/>
      <c r="O100" s="1"/>
    </row>
    <row r="101" spans="1:15" ht="20" customHeight="1" x14ac:dyDescent="0.35">
      <c r="A101" s="7">
        <v>46234</v>
      </c>
      <c r="B101" s="8">
        <v>568.84029999999996</v>
      </c>
      <c r="C101" s="8">
        <v>553.25189999999998</v>
      </c>
      <c r="D101" s="8">
        <v>888.06050000000005</v>
      </c>
      <c r="E101" s="8">
        <v>486.82040000000001</v>
      </c>
      <c r="F101" s="8">
        <v>262.9563</v>
      </c>
      <c r="G101" s="8">
        <v>102.87439999999999</v>
      </c>
      <c r="H101" s="8">
        <v>974.85243300000002</v>
      </c>
      <c r="I101" s="1"/>
      <c r="J101" s="1"/>
      <c r="K101" s="1"/>
      <c r="L101" s="1"/>
      <c r="M101" s="1"/>
      <c r="N101" s="1"/>
      <c r="O101" s="1"/>
    </row>
    <row r="102" spans="1:15" ht="20" customHeight="1" x14ac:dyDescent="0.35">
      <c r="A102" s="7">
        <v>46237</v>
      </c>
      <c r="B102" s="8">
        <v>576.98940000000005</v>
      </c>
      <c r="C102" s="8">
        <v>551.63829999999996</v>
      </c>
      <c r="D102" s="8">
        <v>881.43020000000001</v>
      </c>
      <c r="E102" s="8">
        <v>484.98750000000001</v>
      </c>
      <c r="F102" s="8">
        <v>262.42520000000002</v>
      </c>
      <c r="G102" s="8">
        <v>102.73390000000001</v>
      </c>
      <c r="H102" s="8">
        <v>973.93716099999995</v>
      </c>
      <c r="I102" s="1"/>
      <c r="J102" s="1"/>
      <c r="K102" s="1"/>
      <c r="L102" s="1"/>
      <c r="M102" s="1"/>
      <c r="N102" s="1"/>
      <c r="O102" s="1"/>
    </row>
    <row r="103" spans="1:15" ht="20" customHeight="1" x14ac:dyDescent="0.35">
      <c r="A103" s="7">
        <v>46238</v>
      </c>
      <c r="B103" s="8">
        <v>583.66409999999996</v>
      </c>
      <c r="C103" s="8">
        <v>546.12559999999996</v>
      </c>
      <c r="D103" s="8">
        <v>865.42439999999999</v>
      </c>
      <c r="E103" s="8">
        <v>484.24149999999997</v>
      </c>
      <c r="F103" s="8">
        <v>260.5369</v>
      </c>
      <c r="G103" s="8">
        <v>102.7897</v>
      </c>
      <c r="H103" s="8">
        <v>971.32630200000006</v>
      </c>
      <c r="I103" s="1"/>
      <c r="J103" s="1"/>
      <c r="K103" s="1"/>
      <c r="L103" s="1"/>
      <c r="M103" s="1"/>
      <c r="N103" s="1"/>
      <c r="O103" s="1"/>
    </row>
    <row r="104" spans="1:15" ht="20" customHeight="1" x14ac:dyDescent="0.35">
      <c r="A104" s="7">
        <v>46239</v>
      </c>
      <c r="B104" s="8">
        <v>591.48059999999998</v>
      </c>
      <c r="C104" s="8">
        <v>562.27539999999999</v>
      </c>
      <c r="D104" s="8">
        <v>878.57719999999995</v>
      </c>
      <c r="E104" s="8">
        <v>490.22730000000001</v>
      </c>
      <c r="F104" s="8">
        <v>263.60120000000001</v>
      </c>
      <c r="G104" s="8">
        <v>102.7811</v>
      </c>
      <c r="H104" s="8">
        <v>982.25549699999999</v>
      </c>
      <c r="I104" s="1"/>
      <c r="J104" s="1"/>
      <c r="K104" s="1"/>
      <c r="L104" s="1"/>
      <c r="M104" s="1"/>
      <c r="N104" s="1"/>
      <c r="O104" s="1"/>
    </row>
    <row r="105" spans="1:15" ht="20" customHeight="1" x14ac:dyDescent="0.35">
      <c r="A105" s="7">
        <v>46240</v>
      </c>
      <c r="B105" s="8">
        <v>584.34900000000005</v>
      </c>
      <c r="C105" s="8">
        <v>564.8519</v>
      </c>
      <c r="D105" s="8">
        <v>876.66380000000004</v>
      </c>
      <c r="E105" s="8">
        <v>491.04140000000001</v>
      </c>
      <c r="F105" s="8">
        <v>263.88459999999998</v>
      </c>
      <c r="G105" s="8">
        <v>102.88339999999999</v>
      </c>
      <c r="H105" s="8">
        <v>983.91687100000001</v>
      </c>
      <c r="I105" s="1"/>
      <c r="J105" s="1"/>
      <c r="K105" s="1"/>
      <c r="L105" s="1"/>
      <c r="M105" s="1"/>
      <c r="N105" s="1"/>
      <c r="O105" s="1"/>
    </row>
    <row r="106" spans="1:15" ht="20" customHeight="1" x14ac:dyDescent="0.35">
      <c r="A106" s="7">
        <v>46241</v>
      </c>
      <c r="B106" s="8">
        <v>587.57929999999999</v>
      </c>
      <c r="C106" s="8">
        <v>566.04780000000005</v>
      </c>
      <c r="D106" s="8">
        <v>879.70669999999996</v>
      </c>
      <c r="E106" s="8">
        <v>498.10809999999998</v>
      </c>
      <c r="F106" s="8">
        <v>264.93610000000001</v>
      </c>
      <c r="G106" s="8">
        <v>102.8105</v>
      </c>
      <c r="H106" s="8">
        <v>987.59670500000004</v>
      </c>
      <c r="I106" s="1"/>
      <c r="J106" s="1"/>
      <c r="K106" s="1"/>
      <c r="L106" s="1"/>
      <c r="M106" s="1"/>
      <c r="N106" s="1"/>
      <c r="O106" s="1"/>
    </row>
    <row r="107" spans="1:15" ht="20" customHeight="1" x14ac:dyDescent="0.35">
      <c r="A107" s="7">
        <v>46244</v>
      </c>
      <c r="B107" s="8">
        <v>580.63750000000005</v>
      </c>
      <c r="C107" s="8">
        <v>570.88879999999995</v>
      </c>
      <c r="D107" s="8">
        <v>881.50959999999998</v>
      </c>
      <c r="E107" s="8">
        <v>494.64269999999999</v>
      </c>
      <c r="F107" s="8">
        <v>266.15690000000001</v>
      </c>
      <c r="G107" s="8">
        <v>102.79389999999999</v>
      </c>
      <c r="H107" s="8">
        <v>988.76340000000005</v>
      </c>
      <c r="I107" s="1"/>
      <c r="J107" s="1"/>
      <c r="K107" s="1"/>
      <c r="L107" s="1"/>
      <c r="M107" s="1"/>
      <c r="N107" s="1"/>
      <c r="O107" s="1"/>
    </row>
    <row r="108" spans="1:15" ht="20" customHeight="1" x14ac:dyDescent="0.35">
      <c r="A108" s="7">
        <v>46245</v>
      </c>
      <c r="B108" s="8">
        <v>570.89800000000002</v>
      </c>
      <c r="C108" s="8">
        <v>559.00789999999995</v>
      </c>
      <c r="D108" s="8">
        <v>875.70590000000004</v>
      </c>
      <c r="E108" s="8">
        <v>482.37709999999998</v>
      </c>
      <c r="F108" s="8">
        <v>262.10480000000001</v>
      </c>
      <c r="G108" s="8">
        <v>102.77849999999999</v>
      </c>
      <c r="H108" s="8">
        <v>975.913993</v>
      </c>
      <c r="I108" s="1"/>
      <c r="J108" s="1"/>
      <c r="K108" s="1"/>
      <c r="L108" s="1"/>
      <c r="M108" s="1"/>
      <c r="N108" s="1"/>
      <c r="O108" s="1"/>
    </row>
    <row r="109" spans="1:15" ht="20" customHeight="1" x14ac:dyDescent="0.35">
      <c r="A109" s="7">
        <v>46246</v>
      </c>
      <c r="B109" s="8">
        <v>572.25170000000003</v>
      </c>
      <c r="C109" s="8">
        <v>566.23919999999998</v>
      </c>
      <c r="D109" s="8">
        <v>878.91570000000002</v>
      </c>
      <c r="E109" s="8">
        <v>490.62939999999998</v>
      </c>
      <c r="F109" s="8">
        <v>262.27120000000002</v>
      </c>
      <c r="G109" s="8">
        <v>102.8586</v>
      </c>
      <c r="H109" s="8">
        <v>978.41394200000002</v>
      </c>
      <c r="I109" s="1"/>
      <c r="J109" s="1"/>
      <c r="K109" s="1"/>
      <c r="L109" s="1"/>
      <c r="M109" s="1"/>
      <c r="N109" s="1"/>
      <c r="O109" s="1"/>
    </row>
    <row r="110" spans="1:15" ht="20" customHeight="1" x14ac:dyDescent="0.35">
      <c r="A110" s="7">
        <v>46247</v>
      </c>
      <c r="B110" s="8">
        <v>578.20389999999998</v>
      </c>
      <c r="C110" s="8">
        <v>570.15300000000002</v>
      </c>
      <c r="D110" s="8">
        <v>874.36379999999997</v>
      </c>
      <c r="E110" s="8">
        <v>493.5566</v>
      </c>
      <c r="F110" s="8">
        <v>262.62169999999998</v>
      </c>
      <c r="G110" s="8">
        <v>102.9465</v>
      </c>
      <c r="H110" s="8">
        <v>983.08119499999998</v>
      </c>
      <c r="I110" s="1"/>
      <c r="J110" s="1"/>
      <c r="K110" s="1"/>
      <c r="L110" s="1"/>
      <c r="M110" s="1"/>
      <c r="N110" s="1"/>
      <c r="O110" s="1"/>
    </row>
    <row r="111" spans="1:15" ht="20" customHeight="1" x14ac:dyDescent="0.35">
      <c r="A111" s="7">
        <v>46248</v>
      </c>
      <c r="B111" s="8">
        <v>573.64930000000004</v>
      </c>
      <c r="C111" s="8">
        <v>573.14520000000005</v>
      </c>
      <c r="D111" s="8">
        <v>879.32870000000003</v>
      </c>
      <c r="E111" s="8">
        <v>500.08580000000001</v>
      </c>
      <c r="F111" s="8">
        <v>263.36270000000002</v>
      </c>
      <c r="G111" s="8">
        <v>103.0269</v>
      </c>
      <c r="H111" s="8">
        <v>985.54955800000005</v>
      </c>
      <c r="I111" s="1"/>
      <c r="J111" s="1"/>
      <c r="K111" s="1"/>
      <c r="L111" s="1"/>
      <c r="M111" s="1"/>
      <c r="N111" s="1"/>
      <c r="O111" s="1"/>
    </row>
    <row r="112" spans="1:15" ht="20" customHeight="1" x14ac:dyDescent="0.35">
      <c r="A112" s="7">
        <v>46251</v>
      </c>
      <c r="B112" s="8">
        <v>566.02739999999994</v>
      </c>
      <c r="C112" s="8">
        <v>557.04280000000006</v>
      </c>
      <c r="D112" s="8">
        <v>867.92600000000004</v>
      </c>
      <c r="E112" s="8">
        <v>494.2251</v>
      </c>
      <c r="F112" s="8">
        <v>260.8922</v>
      </c>
      <c r="G112" s="8">
        <v>102.9588</v>
      </c>
      <c r="H112" s="8">
        <v>973.25832100000002</v>
      </c>
      <c r="I112" s="1"/>
      <c r="J112" s="1"/>
      <c r="K112" s="1"/>
      <c r="L112" s="1"/>
      <c r="M112" s="1"/>
      <c r="N112" s="1"/>
      <c r="O112" s="1"/>
    </row>
    <row r="113" spans="1:15" ht="20" customHeight="1" x14ac:dyDescent="0.35">
      <c r="A113" s="7">
        <v>46252</v>
      </c>
      <c r="B113" s="8">
        <v>565.4402</v>
      </c>
      <c r="C113" s="8">
        <v>560.47969999999998</v>
      </c>
      <c r="D113" s="8">
        <v>859.47280000000001</v>
      </c>
      <c r="E113" s="8">
        <v>486.24220000000003</v>
      </c>
      <c r="F113" s="8">
        <v>261.61579999999998</v>
      </c>
      <c r="G113" s="8">
        <v>103.0826</v>
      </c>
      <c r="H113" s="8">
        <v>974.15992600000004</v>
      </c>
      <c r="I113" s="1"/>
      <c r="J113" s="1"/>
      <c r="K113" s="1"/>
      <c r="L113" s="1"/>
      <c r="M113" s="1"/>
      <c r="N113" s="1"/>
      <c r="O113" s="1"/>
    </row>
    <row r="114" spans="1:15" ht="20" customHeight="1" x14ac:dyDescent="0.35">
      <c r="A114" s="7">
        <v>46253</v>
      </c>
      <c r="B114" s="8">
        <v>560.97879999999998</v>
      </c>
      <c r="C114" s="8">
        <v>559.01589999999999</v>
      </c>
      <c r="D114" s="8">
        <v>857.88030000000003</v>
      </c>
      <c r="E114" s="8">
        <v>490.33929999999998</v>
      </c>
      <c r="F114" s="8">
        <v>261.6003</v>
      </c>
      <c r="G114" s="8">
        <v>103.1998</v>
      </c>
      <c r="H114" s="8">
        <v>977.39345700000001</v>
      </c>
      <c r="I114" s="1"/>
      <c r="J114" s="1"/>
      <c r="K114" s="1"/>
      <c r="L114" s="1"/>
      <c r="M114" s="1"/>
      <c r="N114" s="1"/>
      <c r="O114" s="1"/>
    </row>
    <row r="115" spans="1:15" ht="20" customHeight="1" x14ac:dyDescent="0.35">
      <c r="A115" s="7">
        <v>46254</v>
      </c>
      <c r="B115" s="8">
        <v>562.10469999999998</v>
      </c>
      <c r="C115" s="8">
        <v>560.99530000000004</v>
      </c>
      <c r="D115" s="8">
        <v>861.13080000000002</v>
      </c>
      <c r="E115" s="8">
        <v>487.03250000000003</v>
      </c>
      <c r="F115" s="8">
        <v>262.95100000000002</v>
      </c>
      <c r="G115" s="8">
        <v>103.3347</v>
      </c>
      <c r="H115" s="8">
        <v>980.99471200000005</v>
      </c>
      <c r="I115" s="1"/>
      <c r="J115" s="1"/>
      <c r="K115" s="1"/>
      <c r="L115" s="1"/>
      <c r="M115" s="1"/>
      <c r="N115" s="1"/>
      <c r="O115" s="1"/>
    </row>
    <row r="116" spans="1:15" ht="20" customHeight="1" x14ac:dyDescent="0.35">
      <c r="A116" s="7">
        <v>46255</v>
      </c>
      <c r="B116" s="8">
        <v>557.9701</v>
      </c>
      <c r="C116" s="8">
        <v>555.65170000000001</v>
      </c>
      <c r="D116" s="8">
        <v>856.5154</v>
      </c>
      <c r="E116" s="8">
        <v>485.846</v>
      </c>
      <c r="F116" s="8">
        <v>261.87650000000002</v>
      </c>
      <c r="G116" s="8">
        <v>103.1125</v>
      </c>
      <c r="H116" s="8">
        <v>978.47237500000006</v>
      </c>
      <c r="I116" s="1"/>
      <c r="J116" s="1"/>
      <c r="K116" s="1"/>
      <c r="L116" s="1"/>
      <c r="M116" s="1"/>
      <c r="N116" s="1"/>
      <c r="O116" s="1"/>
    </row>
    <row r="117" spans="1:15" ht="20" customHeight="1" x14ac:dyDescent="0.35">
      <c r="A117" s="7">
        <v>46258</v>
      </c>
      <c r="B117" s="8">
        <v>564.97140000000002</v>
      </c>
      <c r="C117" s="8">
        <v>553.70280000000002</v>
      </c>
      <c r="D117" s="8">
        <v>866.13990000000001</v>
      </c>
      <c r="E117" s="8">
        <v>479.05220000000003</v>
      </c>
      <c r="F117" s="8">
        <v>264.72879999999998</v>
      </c>
      <c r="G117" s="8">
        <v>103.3027</v>
      </c>
      <c r="H117" s="8">
        <v>990.43367899999998</v>
      </c>
      <c r="I117" s="1"/>
      <c r="J117" s="1"/>
      <c r="K117" s="1"/>
      <c r="L117" s="1"/>
      <c r="M117" s="1"/>
      <c r="N117" s="1"/>
      <c r="O117" s="1"/>
    </row>
    <row r="118" spans="1:15" ht="20" customHeight="1" x14ac:dyDescent="0.35">
      <c r="A118" s="7">
        <v>46259</v>
      </c>
      <c r="B118" s="8">
        <v>562.61059999999998</v>
      </c>
      <c r="C118" s="8">
        <v>539.75720000000001</v>
      </c>
      <c r="D118" s="8">
        <v>858.49869999999999</v>
      </c>
      <c r="E118" s="8">
        <v>470.45060000000001</v>
      </c>
      <c r="F118" s="8">
        <v>261.63909999999998</v>
      </c>
      <c r="G118" s="8">
        <v>103.2072</v>
      </c>
      <c r="H118" s="8">
        <v>982.78469099999995</v>
      </c>
      <c r="I118" s="1"/>
      <c r="J118" s="1"/>
      <c r="K118" s="1"/>
      <c r="L118" s="1"/>
      <c r="M118" s="1"/>
      <c r="N118" s="1"/>
      <c r="O118" s="1"/>
    </row>
    <row r="119" spans="1:15" ht="20" customHeight="1" x14ac:dyDescent="0.35">
      <c r="A119" s="7">
        <v>46260</v>
      </c>
      <c r="B119" s="8">
        <v>557.77480000000003</v>
      </c>
      <c r="C119" s="8">
        <v>537.46690000000001</v>
      </c>
      <c r="D119" s="8">
        <v>846.92399999999998</v>
      </c>
      <c r="E119" s="8">
        <v>468.14609999999999</v>
      </c>
      <c r="F119" s="8">
        <v>258.99849999999998</v>
      </c>
      <c r="G119" s="8">
        <v>103.19410000000001</v>
      </c>
      <c r="H119" s="8">
        <v>970.45725300000004</v>
      </c>
      <c r="I119" s="1"/>
      <c r="J119" s="1"/>
      <c r="K119" s="1"/>
      <c r="L119" s="1"/>
      <c r="M119" s="1"/>
      <c r="N119" s="1"/>
      <c r="O119" s="1"/>
    </row>
    <row r="120" spans="1:15" ht="20" customHeight="1" x14ac:dyDescent="0.35">
      <c r="A120" s="7">
        <v>46261</v>
      </c>
      <c r="B120" s="8">
        <v>547.86419999999998</v>
      </c>
      <c r="C120" s="8">
        <v>529.21659999999997</v>
      </c>
      <c r="D120" s="8">
        <v>846.61659999999995</v>
      </c>
      <c r="E120" s="8">
        <v>468.76319999999998</v>
      </c>
      <c r="F120" s="8">
        <v>256.93779999999998</v>
      </c>
      <c r="G120" s="8">
        <v>103.2336</v>
      </c>
      <c r="H120" s="8">
        <v>963.73159299999998</v>
      </c>
      <c r="I120" s="1"/>
      <c r="J120" s="1"/>
      <c r="K120" s="1"/>
      <c r="L120" s="1"/>
      <c r="M120" s="1"/>
      <c r="N120" s="1"/>
      <c r="O120" s="1"/>
    </row>
    <row r="121" spans="1:15" ht="20" customHeight="1" x14ac:dyDescent="0.35">
      <c r="A121" s="7">
        <v>46262</v>
      </c>
      <c r="B121" s="8">
        <v>552.94259999999997</v>
      </c>
      <c r="C121" s="8">
        <v>529.37699999999995</v>
      </c>
      <c r="D121" s="8">
        <v>843.50789999999995</v>
      </c>
      <c r="E121" s="8">
        <v>474.74880000000002</v>
      </c>
      <c r="F121" s="8">
        <v>258.92540000000002</v>
      </c>
      <c r="G121" s="8">
        <v>103.4686</v>
      </c>
      <c r="H121" s="8">
        <v>973.70688800000005</v>
      </c>
      <c r="I121" s="1"/>
      <c r="J121" s="1"/>
      <c r="K121" s="1"/>
      <c r="L121" s="1"/>
      <c r="M121" s="1"/>
      <c r="N121" s="1"/>
      <c r="O121" s="1"/>
    </row>
    <row r="122" spans="1:15" ht="20" customHeight="1" x14ac:dyDescent="0.35">
      <c r="A122" s="7">
        <v>46265</v>
      </c>
      <c r="B122" s="8">
        <v>555.58169999999996</v>
      </c>
      <c r="C122" s="8">
        <v>537.08029999999997</v>
      </c>
      <c r="D122" s="8">
        <v>849.95569999999998</v>
      </c>
      <c r="E122" s="8">
        <v>475.68740000000003</v>
      </c>
      <c r="F122" s="8">
        <v>257.96969999999999</v>
      </c>
      <c r="G122" s="8">
        <v>103.3942</v>
      </c>
      <c r="H122" s="8">
        <v>974.55499099999997</v>
      </c>
      <c r="I122" s="1"/>
      <c r="J122" s="1"/>
      <c r="K122" s="1"/>
      <c r="L122" s="1"/>
      <c r="M122" s="1"/>
      <c r="N122" s="1"/>
      <c r="O122" s="1"/>
    </row>
    <row r="123" spans="1:15" ht="20" customHeight="1" x14ac:dyDescent="0.35">
      <c r="A123" s="7">
        <v>46266</v>
      </c>
      <c r="B123" s="8">
        <v>565.8605</v>
      </c>
      <c r="C123" s="8">
        <v>535.44129999999996</v>
      </c>
      <c r="D123" s="8">
        <v>862.70899999999995</v>
      </c>
      <c r="E123" s="8">
        <v>475.30290000000002</v>
      </c>
      <c r="F123" s="8">
        <v>259.22199999999998</v>
      </c>
      <c r="G123" s="8">
        <v>103.4372</v>
      </c>
      <c r="H123" s="8">
        <v>980.06015100000002</v>
      </c>
      <c r="I123" s="1"/>
      <c r="J123" s="1"/>
      <c r="K123" s="1"/>
      <c r="L123" s="1"/>
      <c r="M123" s="1"/>
      <c r="N123" s="1"/>
      <c r="O123" s="1"/>
    </row>
    <row r="124" spans="1:15" ht="20" customHeight="1" x14ac:dyDescent="0.35">
      <c r="A124" s="7">
        <v>46267</v>
      </c>
      <c r="B124" s="8">
        <v>568.60940000000005</v>
      </c>
      <c r="C124" s="8">
        <v>538.94410000000005</v>
      </c>
      <c r="D124" s="8">
        <v>861.31769999999995</v>
      </c>
      <c r="E124" s="8">
        <v>481.20460000000003</v>
      </c>
      <c r="F124" s="8">
        <v>259.45119999999997</v>
      </c>
      <c r="G124" s="8">
        <v>103.488</v>
      </c>
      <c r="H124" s="8">
        <v>978.62048300000004</v>
      </c>
      <c r="I124" s="1"/>
      <c r="J124" s="1"/>
      <c r="K124" s="1"/>
      <c r="L124" s="1"/>
      <c r="M124" s="1"/>
      <c r="N124" s="1"/>
      <c r="O124" s="1"/>
    </row>
    <row r="125" spans="1:15" ht="20" customHeight="1" x14ac:dyDescent="0.35">
      <c r="A125" s="7">
        <v>46268</v>
      </c>
      <c r="B125" s="8">
        <v>569.04150000000004</v>
      </c>
      <c r="C125" s="8">
        <v>536.10950000000003</v>
      </c>
      <c r="D125" s="8">
        <v>854.56179999999995</v>
      </c>
      <c r="E125" s="8">
        <v>482.18180000000001</v>
      </c>
      <c r="F125" s="8">
        <v>259.375</v>
      </c>
      <c r="G125" s="8">
        <v>103.52930000000001</v>
      </c>
      <c r="H125" s="8">
        <v>979.95535900000004</v>
      </c>
      <c r="I125" s="1"/>
      <c r="J125" s="1"/>
      <c r="K125" s="1"/>
      <c r="L125" s="1"/>
      <c r="M125" s="1"/>
      <c r="N125" s="1"/>
      <c r="O125" s="1"/>
    </row>
    <row r="126" spans="1:15" ht="20" customHeight="1" x14ac:dyDescent="0.35">
      <c r="A126" s="7">
        <v>46269</v>
      </c>
      <c r="B126" s="8">
        <v>571.2885</v>
      </c>
      <c r="C126" s="8">
        <v>540.41949999999997</v>
      </c>
      <c r="D126" s="8">
        <v>862.9248</v>
      </c>
      <c r="E126" s="8">
        <v>488.55840000000001</v>
      </c>
      <c r="F126" s="8">
        <v>261.17520000000002</v>
      </c>
      <c r="G126" s="8">
        <v>103.65560000000001</v>
      </c>
      <c r="H126" s="8">
        <v>987.73055299999999</v>
      </c>
      <c r="I126" s="1"/>
      <c r="J126" s="1"/>
      <c r="K126" s="1"/>
      <c r="L126" s="1"/>
      <c r="M126" s="1"/>
      <c r="N126" s="1"/>
      <c r="O126" s="1"/>
    </row>
    <row r="127" spans="1:15" ht="20" customHeight="1" x14ac:dyDescent="0.35">
      <c r="A127" s="7">
        <v>46272</v>
      </c>
      <c r="B127" s="8">
        <v>568.1386</v>
      </c>
      <c r="C127" s="8">
        <v>543.63469999999995</v>
      </c>
      <c r="D127" s="8">
        <v>867.15369999999996</v>
      </c>
      <c r="E127" s="8">
        <v>485.70420000000001</v>
      </c>
      <c r="F127" s="8">
        <v>261.17540000000002</v>
      </c>
      <c r="G127" s="8">
        <v>103.733</v>
      </c>
      <c r="H127" s="8">
        <v>992.424575</v>
      </c>
      <c r="I127" s="1"/>
      <c r="J127" s="1"/>
      <c r="K127" s="1"/>
      <c r="L127" s="1"/>
      <c r="M127" s="1"/>
      <c r="N127" s="1"/>
      <c r="O127" s="1"/>
    </row>
    <row r="128" spans="1:15" ht="20" customHeight="1" x14ac:dyDescent="0.35">
      <c r="A128" s="7">
        <v>46273</v>
      </c>
      <c r="B128" s="8">
        <v>562.39089999999999</v>
      </c>
      <c r="C128" s="8">
        <v>551.28840000000002</v>
      </c>
      <c r="D128" s="8">
        <v>869.79579999999999</v>
      </c>
      <c r="E128" s="8">
        <v>481.61079999999998</v>
      </c>
      <c r="F128" s="8">
        <v>261.27359999999999</v>
      </c>
      <c r="G128" s="8">
        <v>103.715</v>
      </c>
      <c r="H128" s="8">
        <v>995.62190099999998</v>
      </c>
      <c r="I128" s="1"/>
      <c r="J128" s="1"/>
      <c r="K128" s="1"/>
      <c r="L128" s="1"/>
      <c r="M128" s="1"/>
      <c r="N128" s="1"/>
      <c r="O128" s="1"/>
    </row>
    <row r="129" spans="1:15" ht="20" customHeight="1" x14ac:dyDescent="0.35">
      <c r="A129" s="7">
        <v>46274</v>
      </c>
      <c r="B129" s="8">
        <v>568.76369999999997</v>
      </c>
      <c r="C129" s="8">
        <v>563.45069999999998</v>
      </c>
      <c r="D129" s="8">
        <v>878.48</v>
      </c>
      <c r="E129" s="8">
        <v>481.84789999999998</v>
      </c>
      <c r="F129" s="8">
        <v>261.6814</v>
      </c>
      <c r="G129" s="8">
        <v>103.6913</v>
      </c>
      <c r="H129" s="8">
        <v>998.24381700000004</v>
      </c>
      <c r="I129" s="1"/>
      <c r="J129" s="1"/>
      <c r="K129" s="1"/>
      <c r="L129" s="1"/>
      <c r="M129" s="1"/>
      <c r="N129" s="1"/>
      <c r="O129" s="1"/>
    </row>
    <row r="130" spans="1:15" ht="20" customHeight="1" x14ac:dyDescent="0.35">
      <c r="A130" s="7">
        <v>46275</v>
      </c>
      <c r="B130" s="8">
        <v>565.03240000000005</v>
      </c>
      <c r="C130" s="8">
        <v>559.74289999999996</v>
      </c>
      <c r="D130" s="8">
        <v>878.64340000000004</v>
      </c>
      <c r="E130" s="8">
        <v>481.279</v>
      </c>
      <c r="F130" s="8">
        <v>260.91730000000001</v>
      </c>
      <c r="G130" s="8">
        <v>103.4815</v>
      </c>
      <c r="H130" s="8">
        <v>996.74560499999995</v>
      </c>
      <c r="I130" s="1"/>
      <c r="J130" s="1"/>
      <c r="K130" s="1"/>
      <c r="L130" s="1"/>
      <c r="M130" s="1"/>
      <c r="N130" s="1"/>
      <c r="O130" s="1"/>
    </row>
    <row r="131" spans="1:15" ht="20" customHeight="1" x14ac:dyDescent="0.35">
      <c r="A131" s="7">
        <v>46276</v>
      </c>
      <c r="B131" s="8">
        <v>567.66480000000001</v>
      </c>
      <c r="C131" s="8">
        <v>567.20219999999995</v>
      </c>
      <c r="D131" s="8">
        <v>873.55759999999998</v>
      </c>
      <c r="E131" s="8">
        <v>476.91030000000001</v>
      </c>
      <c r="F131" s="8">
        <v>262.16989999999998</v>
      </c>
      <c r="G131" s="8">
        <v>103.72539999999999</v>
      </c>
      <c r="H131" s="8">
        <v>1003.249051</v>
      </c>
      <c r="I131" s="1"/>
      <c r="J131" s="1"/>
      <c r="K131" s="1"/>
      <c r="L131" s="1"/>
      <c r="M131" s="1"/>
      <c r="N131" s="1"/>
      <c r="O131" s="1"/>
    </row>
    <row r="132" spans="1:15" ht="20" customHeight="1" x14ac:dyDescent="0.35">
      <c r="A132" s="7">
        <v>46279</v>
      </c>
      <c r="B132" s="8">
        <v>555.49540000000002</v>
      </c>
      <c r="C132" s="8">
        <v>552.17449999999997</v>
      </c>
      <c r="D132" s="8">
        <v>865.39179999999999</v>
      </c>
      <c r="E132" s="8">
        <v>468.8963</v>
      </c>
      <c r="F132" s="8">
        <v>259.7423</v>
      </c>
      <c r="G132" s="8">
        <v>103.6641</v>
      </c>
      <c r="H132" s="8">
        <v>985.78039699999999</v>
      </c>
      <c r="I132" s="1"/>
      <c r="J132" s="1"/>
      <c r="K132" s="1"/>
      <c r="L132" s="1"/>
      <c r="M132" s="1"/>
      <c r="N132" s="1"/>
      <c r="O132" s="1"/>
    </row>
    <row r="133" spans="1:15" ht="20" customHeight="1" x14ac:dyDescent="0.35">
      <c r="A133" s="7">
        <v>46280</v>
      </c>
      <c r="B133" s="8">
        <v>555.51800000000003</v>
      </c>
      <c r="C133" s="8">
        <v>548.93309999999997</v>
      </c>
      <c r="D133" s="8">
        <v>869.43820000000005</v>
      </c>
      <c r="E133" s="8">
        <v>464.27800000000002</v>
      </c>
      <c r="F133" s="8">
        <v>258.6078</v>
      </c>
      <c r="G133" s="8">
        <v>103.66330000000001</v>
      </c>
      <c r="H133" s="8">
        <v>979.81470200000001</v>
      </c>
      <c r="I133" s="1"/>
      <c r="J133" s="1"/>
      <c r="K133" s="1"/>
      <c r="L133" s="1"/>
      <c r="M133" s="1"/>
      <c r="N133" s="1"/>
      <c r="O133" s="1"/>
    </row>
    <row r="134" spans="1:15" ht="20" customHeight="1" x14ac:dyDescent="0.35">
      <c r="A134" s="7">
        <v>46281</v>
      </c>
      <c r="B134" s="8">
        <v>554.35239999999999</v>
      </c>
      <c r="C134" s="8">
        <v>544.35040000000004</v>
      </c>
      <c r="D134" s="8">
        <v>874.90589999999997</v>
      </c>
      <c r="E134" s="8">
        <v>466.10469999999998</v>
      </c>
      <c r="F134" s="8">
        <v>259.38080000000002</v>
      </c>
      <c r="G134" s="8">
        <v>103.6747</v>
      </c>
      <c r="H134" s="8">
        <v>978.11500799999999</v>
      </c>
      <c r="I134" s="1"/>
      <c r="J134" s="1"/>
      <c r="K134" s="1"/>
      <c r="L134" s="1"/>
      <c r="M134" s="1"/>
      <c r="N134" s="1"/>
      <c r="O134" s="1"/>
    </row>
    <row r="135" spans="1:15" ht="20" customHeight="1" x14ac:dyDescent="0.35">
      <c r="A135" s="7">
        <v>46282</v>
      </c>
      <c r="B135" s="8">
        <v>553.55340000000001</v>
      </c>
      <c r="C135" s="8">
        <v>529.57690000000002</v>
      </c>
      <c r="D135" s="8">
        <v>866.18380000000002</v>
      </c>
      <c r="E135" s="8">
        <v>460.10489999999999</v>
      </c>
      <c r="F135" s="8">
        <v>258.02929999999998</v>
      </c>
      <c r="G135" s="8">
        <v>103.7487</v>
      </c>
      <c r="H135" s="8">
        <v>971.580466</v>
      </c>
      <c r="I135" s="1"/>
      <c r="J135" s="1"/>
      <c r="K135" s="1"/>
      <c r="L135" s="1"/>
      <c r="M135" s="1"/>
      <c r="N135" s="1"/>
      <c r="O135" s="1"/>
    </row>
    <row r="136" spans="1:15" ht="20" customHeight="1" x14ac:dyDescent="0.35">
      <c r="A136" s="7">
        <v>46283</v>
      </c>
      <c r="B136" s="8">
        <v>547.4307</v>
      </c>
      <c r="C136" s="8">
        <v>522.94749999999999</v>
      </c>
      <c r="D136" s="8">
        <v>859.55989999999997</v>
      </c>
      <c r="E136" s="8">
        <v>453.3229</v>
      </c>
      <c r="F136" s="8">
        <v>256.74239999999998</v>
      </c>
      <c r="G136" s="8">
        <v>103.68210000000001</v>
      </c>
      <c r="H136" s="8">
        <v>966.24133900000004</v>
      </c>
      <c r="I136" s="1"/>
      <c r="J136" s="1"/>
      <c r="K136" s="1"/>
      <c r="L136" s="1"/>
      <c r="M136" s="1"/>
      <c r="N136" s="1"/>
      <c r="O136" s="1"/>
    </row>
    <row r="137" spans="1:15" ht="20" customHeight="1" x14ac:dyDescent="0.35">
      <c r="A137" s="1"/>
      <c r="B137" s="1"/>
      <c r="C137" s="1"/>
      <c r="D137" s="1"/>
      <c r="E137" s="1"/>
      <c r="F137" s="1"/>
      <c r="G137" s="1"/>
      <c r="H137" s="1"/>
      <c r="I137" s="1"/>
      <c r="J137" s="1"/>
      <c r="K137" s="1"/>
      <c r="L137" s="1"/>
      <c r="M137" s="1"/>
      <c r="N137" s="1"/>
      <c r="O137" s="1"/>
    </row>
    <row r="138" spans="1:15" ht="20" customHeight="1" x14ac:dyDescent="0.35">
      <c r="A138" s="1"/>
      <c r="B138" s="1"/>
      <c r="C138" s="1"/>
      <c r="D138" s="1"/>
      <c r="E138" s="1"/>
      <c r="F138" s="1"/>
      <c r="G138" s="1"/>
      <c r="H138" s="1"/>
      <c r="I138" s="1"/>
      <c r="J138" s="1"/>
      <c r="K138" s="1"/>
      <c r="L138" s="1"/>
      <c r="M138" s="1"/>
      <c r="N138" s="1"/>
      <c r="O138" s="1"/>
    </row>
  </sheetData>
  <pageMargins left="0.25" right="0.25" top="0.25" bottom="0.25" header="0.3" footer="0.3"/>
  <pageSetup paperSize="8" scale="78" orientation="landscape" r:id="rId1"/>
  <tableParts count="2">
    <tablePart r:id="rId2"/>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20"/>
  <sheetViews>
    <sheetView showGridLines="0" zoomScale="90" zoomScaleNormal="90" workbookViewId="0"/>
  </sheetViews>
  <sheetFormatPr defaultRowHeight="14.5" x14ac:dyDescent="0.35"/>
  <cols>
    <col min="1" max="1" width="33.54296875" bestFit="1" customWidth="1"/>
    <col min="2" max="4" width="24" customWidth="1"/>
    <col min="5" max="7" width="13" customWidth="1"/>
  </cols>
  <sheetData>
    <row r="1" spans="1:20" ht="20" customHeight="1" x14ac:dyDescent="0.35">
      <c r="A1" s="1"/>
      <c r="B1" s="1"/>
      <c r="C1" s="1"/>
      <c r="D1" s="1"/>
      <c r="E1" s="1"/>
      <c r="F1" s="1"/>
      <c r="G1" s="1"/>
    </row>
    <row r="2" spans="1:20" ht="20" customHeight="1" x14ac:dyDescent="0.35">
      <c r="A2" s="2" t="s">
        <v>164</v>
      </c>
      <c r="B2" s="1"/>
      <c r="C2" s="1"/>
      <c r="D2" s="1"/>
      <c r="E2" s="1"/>
      <c r="F2" s="1"/>
      <c r="G2" s="1"/>
    </row>
    <row r="3" spans="1:20" ht="20" customHeight="1" x14ac:dyDescent="0.35">
      <c r="A3" s="3"/>
      <c r="B3" s="3"/>
      <c r="C3" s="3"/>
      <c r="D3" s="3"/>
      <c r="E3" s="3"/>
      <c r="F3" s="3"/>
      <c r="G3" s="3"/>
      <c r="H3" s="4"/>
      <c r="I3" s="4"/>
      <c r="J3" s="4"/>
      <c r="K3" s="4"/>
      <c r="L3" s="4"/>
      <c r="M3" s="4"/>
      <c r="N3" s="4"/>
      <c r="O3" s="4"/>
      <c r="P3" s="4"/>
      <c r="Q3" s="4"/>
      <c r="R3" s="4"/>
      <c r="S3" s="4"/>
      <c r="T3" s="4"/>
    </row>
    <row r="4" spans="1:20" ht="20" customHeight="1" x14ac:dyDescent="0.35">
      <c r="A4" s="5" t="s">
        <v>250</v>
      </c>
      <c r="B4" s="1"/>
      <c r="C4" s="1"/>
      <c r="D4" s="1"/>
      <c r="E4" s="1"/>
      <c r="F4" s="1"/>
      <c r="G4" s="1"/>
    </row>
    <row r="5" spans="1:20" ht="20" customHeight="1" x14ac:dyDescent="0.35">
      <c r="A5" s="1"/>
      <c r="B5" s="1"/>
      <c r="C5" s="1"/>
      <c r="D5" s="1"/>
      <c r="E5" s="1"/>
      <c r="F5" s="1"/>
      <c r="G5" s="1"/>
    </row>
    <row r="6" spans="1:20" x14ac:dyDescent="0.35">
      <c r="A6" s="6" t="s">
        <v>11</v>
      </c>
      <c r="B6" s="20" t="s">
        <v>75</v>
      </c>
      <c r="C6" s="20" t="s">
        <v>165</v>
      </c>
      <c r="D6" s="20" t="s">
        <v>166</v>
      </c>
      <c r="E6" s="1"/>
      <c r="F6" s="1"/>
      <c r="G6" s="1"/>
    </row>
    <row r="7" spans="1:20" x14ac:dyDescent="0.35">
      <c r="A7" s="1" t="s">
        <v>46</v>
      </c>
      <c r="B7" s="8">
        <v>547.4307</v>
      </c>
      <c r="C7" s="24">
        <v>46283.645833333336</v>
      </c>
      <c r="D7" s="24">
        <v>46302.618997916667</v>
      </c>
      <c r="E7" s="1"/>
      <c r="F7" s="1"/>
      <c r="G7" s="1"/>
    </row>
    <row r="8" spans="1:20" ht="20" customHeight="1" x14ac:dyDescent="0.35">
      <c r="A8" s="1" t="s">
        <v>49</v>
      </c>
      <c r="B8" s="8">
        <v>522.94749999999999</v>
      </c>
      <c r="C8" s="24">
        <v>46283.645833333336</v>
      </c>
      <c r="D8" s="24">
        <v>46302.618997916667</v>
      </c>
      <c r="E8" s="1"/>
      <c r="F8" s="1"/>
      <c r="G8" s="1"/>
    </row>
    <row r="9" spans="1:20" ht="20" customHeight="1" x14ac:dyDescent="0.35">
      <c r="A9" s="1" t="s">
        <v>52</v>
      </c>
      <c r="B9" s="8">
        <v>859.55989999999997</v>
      </c>
      <c r="C9" s="24">
        <v>46283.645833333336</v>
      </c>
      <c r="D9" s="24">
        <v>46302.618997916667</v>
      </c>
      <c r="E9" s="1"/>
      <c r="F9" s="1"/>
      <c r="G9" s="1"/>
    </row>
    <row r="10" spans="1:20" ht="20" customHeight="1" x14ac:dyDescent="0.35">
      <c r="A10" s="1" t="s">
        <v>55</v>
      </c>
      <c r="B10" s="8">
        <v>453.3229</v>
      </c>
      <c r="C10" s="24">
        <v>46283.645833333336</v>
      </c>
      <c r="D10" s="24">
        <v>46302.618997916667</v>
      </c>
      <c r="E10" s="1"/>
      <c r="F10" s="1"/>
      <c r="G10" s="1"/>
    </row>
    <row r="11" spans="1:20" ht="20" customHeight="1" x14ac:dyDescent="0.35">
      <c r="A11" s="1" t="s">
        <v>58</v>
      </c>
      <c r="B11" s="8">
        <v>256.74239999999998</v>
      </c>
      <c r="C11" s="24">
        <v>46283.645833333336</v>
      </c>
      <c r="D11" s="24">
        <v>46302.618997916667</v>
      </c>
      <c r="E11" s="1"/>
      <c r="F11" s="1"/>
      <c r="G11" s="1"/>
    </row>
    <row r="12" spans="1:20" ht="20" customHeight="1" x14ac:dyDescent="0.35">
      <c r="A12" s="1" t="s">
        <v>61</v>
      </c>
      <c r="B12" s="8">
        <v>103.68210000000001</v>
      </c>
      <c r="C12" s="24">
        <v>46283.645833333336</v>
      </c>
      <c r="D12" s="24">
        <v>46302.618997916667</v>
      </c>
      <c r="E12" s="1"/>
      <c r="F12" s="1"/>
      <c r="G12" s="1"/>
    </row>
    <row r="13" spans="1:20" ht="20" customHeight="1" x14ac:dyDescent="0.35">
      <c r="A13" s="1"/>
      <c r="B13" s="1"/>
      <c r="C13" s="1"/>
      <c r="D13" s="1"/>
      <c r="E13" s="1"/>
      <c r="F13" s="1"/>
      <c r="G13" s="1"/>
    </row>
    <row r="14" spans="1:20" ht="20" customHeight="1" x14ac:dyDescent="0.35">
      <c r="A14" s="1"/>
      <c r="B14" s="1"/>
      <c r="C14" s="1"/>
      <c r="D14" s="1"/>
      <c r="E14" s="1"/>
      <c r="F14" s="1"/>
      <c r="G14" s="1"/>
    </row>
    <row r="15" spans="1:20" ht="20" customHeight="1" x14ac:dyDescent="0.35">
      <c r="A15" s="1"/>
      <c r="B15" s="1"/>
      <c r="C15" s="1"/>
      <c r="D15" s="1"/>
      <c r="E15" s="1"/>
      <c r="F15" s="1"/>
      <c r="G15" s="1"/>
    </row>
    <row r="16" spans="1:20" ht="20" customHeight="1" x14ac:dyDescent="0.35">
      <c r="A16" s="1"/>
      <c r="B16" s="1"/>
      <c r="C16" s="1"/>
      <c r="D16" s="1"/>
      <c r="E16" s="1"/>
      <c r="F16" s="1"/>
      <c r="G16" s="1"/>
    </row>
    <row r="17" spans="1:7" ht="20" customHeight="1" x14ac:dyDescent="0.35">
      <c r="A17" s="1"/>
      <c r="B17" s="1"/>
      <c r="C17" s="1"/>
      <c r="D17" s="1"/>
      <c r="E17" s="1"/>
      <c r="F17" s="1"/>
      <c r="G17" s="1"/>
    </row>
    <row r="18" spans="1:7" ht="20" customHeight="1" x14ac:dyDescent="0.35">
      <c r="A18" s="1"/>
      <c r="B18" s="1"/>
      <c r="C18" s="1"/>
      <c r="D18" s="1"/>
      <c r="E18" s="1"/>
      <c r="F18" s="1"/>
      <c r="G18" s="1"/>
    </row>
    <row r="19" spans="1:7" ht="20" customHeight="1" x14ac:dyDescent="0.35">
      <c r="A19" s="1"/>
      <c r="B19" s="1"/>
      <c r="C19" s="1"/>
      <c r="D19" s="1"/>
      <c r="E19" s="1"/>
      <c r="F19" s="1"/>
      <c r="G19" s="1"/>
    </row>
    <row r="20" spans="1:7" ht="20" customHeight="1" x14ac:dyDescent="0.35">
      <c r="A20" s="1"/>
      <c r="B20" s="1"/>
      <c r="C20" s="1"/>
      <c r="D20" s="1"/>
      <c r="E20" s="1"/>
      <c r="F20" s="1"/>
      <c r="G20" s="1"/>
    </row>
  </sheetData>
  <phoneticPr fontId="8" type="noConversion"/>
  <pageMargins left="0.25" right="0.25" top="0.25" bottom="0.25" header="0.3" footer="0.3"/>
  <pageSetup paperSize="8" orientation="landscape"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80691-CD64-41F7-B5E1-BA0CB203402E}">
  <sheetPr>
    <pageSetUpPr fitToPage="1"/>
  </sheetPr>
  <dimension ref="A1:J24"/>
  <sheetViews>
    <sheetView showGridLines="0" zoomScale="85" zoomScaleNormal="85" workbookViewId="0"/>
  </sheetViews>
  <sheetFormatPr defaultRowHeight="14.5" x14ac:dyDescent="0.35"/>
  <cols>
    <col min="1" max="1" width="31.36328125" bestFit="1" customWidth="1"/>
    <col min="2" max="2" width="14" customWidth="1"/>
    <col min="3" max="4" width="24" customWidth="1"/>
    <col min="5" max="5" width="38" customWidth="1"/>
    <col min="6" max="7" width="24" customWidth="1"/>
  </cols>
  <sheetData>
    <row r="1" spans="1:10" ht="23" customHeight="1" x14ac:dyDescent="0.35">
      <c r="A1" s="1"/>
      <c r="B1" s="1"/>
      <c r="C1" s="1"/>
      <c r="D1" s="1"/>
      <c r="E1" s="1"/>
      <c r="F1" s="1"/>
      <c r="G1" s="1"/>
      <c r="H1" s="1"/>
      <c r="I1" s="1"/>
      <c r="J1" s="1"/>
    </row>
    <row r="2" spans="1:10" ht="23" customHeight="1" x14ac:dyDescent="0.35">
      <c r="A2" s="2" t="s">
        <v>233</v>
      </c>
      <c r="B2" s="1"/>
      <c r="C2" s="1"/>
      <c r="D2" s="1"/>
      <c r="E2" s="1"/>
      <c r="F2" s="1"/>
      <c r="G2" s="1"/>
      <c r="H2" s="1"/>
      <c r="I2" s="1"/>
      <c r="J2" s="1"/>
    </row>
    <row r="3" spans="1:10" ht="23" customHeight="1" x14ac:dyDescent="0.35">
      <c r="A3" s="3"/>
      <c r="B3" s="3"/>
      <c r="C3" s="3"/>
      <c r="D3" s="3"/>
      <c r="E3" s="3"/>
      <c r="F3" s="3"/>
      <c r="G3" s="3"/>
      <c r="H3" s="3"/>
      <c r="I3" s="3"/>
      <c r="J3" s="3"/>
    </row>
    <row r="4" spans="1:10" ht="23" customHeight="1" x14ac:dyDescent="0.35">
      <c r="A4" s="1" t="s">
        <v>234</v>
      </c>
      <c r="B4" s="1"/>
      <c r="C4" s="1"/>
      <c r="D4" s="1"/>
      <c r="E4" s="1"/>
      <c r="F4" s="1"/>
      <c r="G4" s="1"/>
      <c r="H4" s="1"/>
      <c r="I4" s="1"/>
      <c r="J4" s="1"/>
    </row>
    <row r="5" spans="1:10" ht="23" customHeight="1" x14ac:dyDescent="0.35">
      <c r="A5" s="1"/>
      <c r="B5" s="1"/>
      <c r="C5" s="1"/>
      <c r="D5" s="1"/>
      <c r="E5" s="1"/>
      <c r="F5" s="1"/>
      <c r="G5" s="1"/>
      <c r="H5" s="1"/>
      <c r="I5" s="1"/>
      <c r="J5" s="1"/>
    </row>
    <row r="6" spans="1:10" x14ac:dyDescent="0.35">
      <c r="A6" s="26" t="s">
        <v>11</v>
      </c>
      <c r="B6" s="27" t="s">
        <v>75</v>
      </c>
      <c r="C6" s="27" t="s">
        <v>165</v>
      </c>
      <c r="D6" s="27" t="s">
        <v>166</v>
      </c>
      <c r="E6" s="27" t="s">
        <v>235</v>
      </c>
      <c r="F6" s="27" t="s">
        <v>236</v>
      </c>
      <c r="G6" s="27" t="s">
        <v>237</v>
      </c>
      <c r="H6" s="1"/>
      <c r="I6" s="1"/>
      <c r="J6" s="1"/>
    </row>
    <row r="7" spans="1:10" x14ac:dyDescent="0.35">
      <c r="A7" s="1" t="s">
        <v>46</v>
      </c>
      <c r="B7" s="25">
        <v>547.4307</v>
      </c>
      <c r="C7" s="24">
        <v>46283.645833333336</v>
      </c>
      <c r="D7" s="24">
        <v>46302.619000590275</v>
      </c>
      <c r="E7" s="1" t="s">
        <v>238</v>
      </c>
      <c r="F7" s="1" t="s">
        <v>239</v>
      </c>
      <c r="G7" s="24">
        <v>46302.619000590275</v>
      </c>
      <c r="H7" s="1"/>
      <c r="I7" s="1"/>
      <c r="J7" s="1"/>
    </row>
    <row r="8" spans="1:10" ht="23" customHeight="1" x14ac:dyDescent="0.35">
      <c r="A8" s="1" t="s">
        <v>49</v>
      </c>
      <c r="B8" s="25">
        <v>522.94749999999999</v>
      </c>
      <c r="C8" s="24">
        <v>46283.645833333336</v>
      </c>
      <c r="D8" s="24">
        <v>46302.619000590275</v>
      </c>
      <c r="E8" s="1" t="s">
        <v>238</v>
      </c>
      <c r="F8" s="1" t="s">
        <v>239</v>
      </c>
      <c r="G8" s="24">
        <v>46302.619000590275</v>
      </c>
      <c r="H8" s="1"/>
      <c r="I8" s="1"/>
      <c r="J8" s="1"/>
    </row>
    <row r="9" spans="1:10" ht="23" customHeight="1" x14ac:dyDescent="0.35">
      <c r="A9" s="1"/>
      <c r="B9" s="25"/>
      <c r="C9" s="24"/>
      <c r="D9" s="24"/>
      <c r="E9" s="1"/>
      <c r="F9" s="1"/>
      <c r="G9" s="24"/>
      <c r="H9" s="1"/>
      <c r="I9" s="1"/>
      <c r="J9" s="1"/>
    </row>
    <row r="10" spans="1:10" ht="23" customHeight="1" x14ac:dyDescent="0.35">
      <c r="A10" s="1"/>
      <c r="B10" s="25"/>
      <c r="C10" s="24"/>
      <c r="D10" s="24"/>
      <c r="E10" s="1"/>
      <c r="F10" s="1"/>
      <c r="G10" s="24"/>
      <c r="H10" s="1"/>
      <c r="I10" s="1"/>
      <c r="J10" s="1"/>
    </row>
    <row r="11" spans="1:10" ht="23" customHeight="1" x14ac:dyDescent="0.35">
      <c r="A11" s="1"/>
      <c r="B11" s="25"/>
      <c r="C11" s="24"/>
      <c r="D11" s="24"/>
      <c r="E11" s="1"/>
      <c r="F11" s="1"/>
      <c r="G11" s="24"/>
      <c r="H11" s="1"/>
      <c r="I11" s="1"/>
      <c r="J11" s="1"/>
    </row>
    <row r="12" spans="1:10" ht="23" customHeight="1" x14ac:dyDescent="0.35">
      <c r="A12" s="1"/>
      <c r="B12" s="25"/>
      <c r="C12" s="24"/>
      <c r="D12" s="24"/>
      <c r="E12" s="1"/>
      <c r="F12" s="1"/>
      <c r="G12" s="24"/>
      <c r="H12" s="1"/>
      <c r="I12" s="1"/>
      <c r="J12" s="1"/>
    </row>
    <row r="13" spans="1:10" ht="23" customHeight="1" x14ac:dyDescent="0.35">
      <c r="A13" s="1"/>
      <c r="B13" s="25"/>
      <c r="C13" s="24"/>
      <c r="D13" s="24"/>
      <c r="E13" s="1"/>
      <c r="F13" s="1"/>
      <c r="G13" s="24"/>
      <c r="H13" s="1"/>
      <c r="I13" s="1"/>
      <c r="J13" s="1"/>
    </row>
    <row r="14" spans="1:10" ht="23" customHeight="1" x14ac:dyDescent="0.35">
      <c r="A14" s="1"/>
      <c r="B14" s="25"/>
      <c r="C14" s="24"/>
      <c r="D14" s="24"/>
      <c r="E14" s="1"/>
      <c r="F14" s="1"/>
      <c r="G14" s="24"/>
      <c r="H14" s="1"/>
      <c r="I14" s="1"/>
      <c r="J14" s="1"/>
    </row>
    <row r="15" spans="1:10" ht="23" customHeight="1" x14ac:dyDescent="0.35">
      <c r="A15" s="1"/>
      <c r="B15" s="25"/>
      <c r="C15" s="24"/>
      <c r="D15" s="24"/>
      <c r="E15" s="1"/>
      <c r="F15" s="1"/>
      <c r="G15" s="24"/>
      <c r="H15" s="1"/>
      <c r="I15" s="1"/>
      <c r="J15" s="1"/>
    </row>
    <row r="16" spans="1:10" ht="23" customHeight="1" x14ac:dyDescent="0.35">
      <c r="A16" s="1"/>
      <c r="B16" s="25"/>
      <c r="C16" s="24"/>
      <c r="D16" s="24"/>
      <c r="E16" s="1"/>
      <c r="F16" s="1"/>
      <c r="G16" s="24"/>
      <c r="H16" s="1"/>
      <c r="I16" s="1"/>
      <c r="J16" s="1"/>
    </row>
    <row r="17" spans="1:10" ht="23" customHeight="1" x14ac:dyDescent="0.35">
      <c r="A17" s="1"/>
      <c r="B17" s="25"/>
      <c r="C17" s="24"/>
      <c r="D17" s="24"/>
      <c r="E17" s="1"/>
      <c r="F17" s="1"/>
      <c r="G17" s="24"/>
      <c r="H17" s="1"/>
      <c r="I17" s="1"/>
      <c r="J17" s="1"/>
    </row>
    <row r="18" spans="1:10" ht="23" customHeight="1" x14ac:dyDescent="0.35">
      <c r="A18" s="1"/>
      <c r="B18" s="25"/>
      <c r="C18" s="24"/>
      <c r="D18" s="24"/>
      <c r="E18" s="1"/>
      <c r="F18" s="1"/>
      <c r="G18" s="24"/>
      <c r="H18" s="1"/>
      <c r="I18" s="1"/>
      <c r="J18" s="1"/>
    </row>
    <row r="19" spans="1:10" ht="23" customHeight="1" x14ac:dyDescent="0.35">
      <c r="A19" s="1"/>
      <c r="B19" s="25"/>
      <c r="C19" s="24"/>
      <c r="D19" s="24"/>
      <c r="E19" s="1"/>
      <c r="F19" s="1"/>
      <c r="G19" s="24"/>
      <c r="H19" s="1"/>
      <c r="I19" s="1"/>
      <c r="J19" s="1"/>
    </row>
    <row r="20" spans="1:10" ht="23" customHeight="1" x14ac:dyDescent="0.35">
      <c r="A20" s="1"/>
      <c r="B20" s="25"/>
      <c r="C20" s="24"/>
      <c r="D20" s="24"/>
      <c r="E20" s="1"/>
      <c r="F20" s="1"/>
      <c r="G20" s="24"/>
      <c r="H20" s="1"/>
      <c r="I20" s="1"/>
      <c r="J20" s="1"/>
    </row>
    <row r="21" spans="1:10" ht="23" customHeight="1" x14ac:dyDescent="0.35">
      <c r="A21" s="1"/>
      <c r="B21" s="1"/>
      <c r="C21" s="1"/>
      <c r="D21" s="1"/>
      <c r="E21" s="1"/>
      <c r="F21" s="1"/>
      <c r="G21" s="1"/>
      <c r="H21" s="1"/>
      <c r="I21" s="1"/>
      <c r="J21" s="1"/>
    </row>
    <row r="22" spans="1:10" ht="23" customHeight="1" x14ac:dyDescent="0.35">
      <c r="A22" s="1"/>
      <c r="B22" s="1"/>
      <c r="C22" s="1"/>
      <c r="D22" s="1"/>
      <c r="E22" s="1"/>
      <c r="F22" s="1"/>
      <c r="G22" s="1"/>
      <c r="H22" s="1"/>
      <c r="I22" s="1"/>
      <c r="J22" s="1"/>
    </row>
    <row r="23" spans="1:10" ht="23" customHeight="1" x14ac:dyDescent="0.35">
      <c r="A23" s="1"/>
      <c r="B23" s="1"/>
      <c r="C23" s="1"/>
      <c r="D23" s="1"/>
      <c r="E23" s="1"/>
      <c r="F23" s="1"/>
      <c r="G23" s="1"/>
      <c r="H23" s="1"/>
      <c r="I23" s="1"/>
      <c r="J23" s="1"/>
    </row>
    <row r="24" spans="1:10" ht="23" customHeight="1" x14ac:dyDescent="0.35">
      <c r="A24" s="1"/>
      <c r="B24" s="1"/>
      <c r="C24" s="1"/>
      <c r="D24" s="1"/>
      <c r="E24" s="1"/>
      <c r="F24" s="1"/>
      <c r="G24" s="1"/>
      <c r="H24" s="1"/>
      <c r="I24" s="1"/>
      <c r="J24" s="1"/>
    </row>
  </sheetData>
  <phoneticPr fontId="8" type="noConversion"/>
  <pageMargins left="0.25" right="0.25" top="0.25" bottom="0.25" header="0.3" footer="0.3"/>
  <pageSetup paperSize="8" orientation="landscape"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20"/>
  <sheetViews>
    <sheetView showGridLines="0" zoomScale="90" zoomScaleNormal="90" workbookViewId="0"/>
  </sheetViews>
  <sheetFormatPr defaultRowHeight="14.5" x14ac:dyDescent="0.35"/>
  <cols>
    <col min="1" max="1" width="35" customWidth="1"/>
    <col min="2" max="8" width="13" customWidth="1"/>
  </cols>
  <sheetData>
    <row r="1" spans="1:20" ht="20" customHeight="1" x14ac:dyDescent="0.35">
      <c r="A1" s="1"/>
      <c r="B1" s="1"/>
      <c r="C1" s="1"/>
      <c r="D1" s="1"/>
      <c r="E1" s="1"/>
      <c r="F1" s="1"/>
      <c r="G1" s="1"/>
      <c r="H1" s="1"/>
    </row>
    <row r="2" spans="1:20" ht="20" customHeight="1" x14ac:dyDescent="0.35">
      <c r="A2" s="2" t="s">
        <v>167</v>
      </c>
      <c r="B2" s="1"/>
      <c r="C2" s="1"/>
      <c r="D2" s="1"/>
      <c r="E2" s="1"/>
      <c r="F2" s="1"/>
      <c r="G2" s="1"/>
      <c r="H2" s="1"/>
    </row>
    <row r="3" spans="1:20" ht="20" customHeight="1" x14ac:dyDescent="0.35">
      <c r="A3" s="3"/>
      <c r="B3" s="3"/>
      <c r="C3" s="3"/>
      <c r="D3" s="3"/>
      <c r="E3" s="3"/>
      <c r="F3" s="3"/>
      <c r="G3" s="3"/>
      <c r="H3" s="3"/>
      <c r="I3" s="4"/>
      <c r="J3" s="4"/>
      <c r="K3" s="4"/>
      <c r="L3" s="4"/>
      <c r="M3" s="4"/>
      <c r="N3" s="4"/>
      <c r="O3" s="4"/>
      <c r="P3" s="4"/>
      <c r="Q3" s="4"/>
      <c r="R3" s="4"/>
      <c r="S3" s="4"/>
      <c r="T3" s="4"/>
    </row>
    <row r="4" spans="1:20" ht="20" customHeight="1" x14ac:dyDescent="0.35">
      <c r="A4" s="5" t="s">
        <v>168</v>
      </c>
      <c r="B4" s="1"/>
      <c r="C4" s="1"/>
      <c r="D4" s="1"/>
      <c r="E4" s="1"/>
      <c r="F4" s="1"/>
      <c r="G4" s="1"/>
      <c r="H4" s="1"/>
    </row>
    <row r="5" spans="1:20" ht="20" customHeight="1" x14ac:dyDescent="0.35">
      <c r="A5" s="1"/>
      <c r="B5" s="1"/>
      <c r="C5" s="1"/>
      <c r="D5" s="1"/>
      <c r="E5" s="1"/>
      <c r="F5" s="1"/>
      <c r="G5" s="1"/>
      <c r="H5" s="1"/>
    </row>
    <row r="6" spans="1:20" ht="29" customHeight="1" x14ac:dyDescent="0.35">
      <c r="A6" s="6" t="s">
        <v>169</v>
      </c>
      <c r="B6" s="6" t="s">
        <v>170</v>
      </c>
      <c r="C6" s="6" t="s">
        <v>171</v>
      </c>
      <c r="D6" s="6" t="s">
        <v>172</v>
      </c>
      <c r="E6" s="1"/>
      <c r="F6" s="1"/>
      <c r="G6" s="1"/>
      <c r="H6" s="1"/>
    </row>
    <row r="7" spans="1:20" ht="20" customHeight="1" x14ac:dyDescent="0.35">
      <c r="A7" s="1" t="s">
        <v>173</v>
      </c>
      <c r="B7" s="11">
        <f>Holdings!G16-INDEX(Daily!$J$7:$J$136,MATCH(Portfolio!$J$5,Daily!$A$7:$A$136,0))</f>
        <v>0</v>
      </c>
      <c r="C7" s="11">
        <v>0</v>
      </c>
      <c r="D7" s="1" t="str">
        <f>IF(ABS(B7-C7)&lt;=0.01,"OK","Review")</f>
        <v>OK</v>
      </c>
      <c r="E7" s="1"/>
      <c r="F7" s="1"/>
      <c r="G7" s="1"/>
      <c r="H7" s="1"/>
    </row>
    <row r="8" spans="1:20" ht="20" customHeight="1" x14ac:dyDescent="0.35">
      <c r="A8" s="1" t="s">
        <v>174</v>
      </c>
      <c r="B8" s="11">
        <f>COUNTIFS(Ledger!$S$7:$S$1006,"Review*")</f>
        <v>0</v>
      </c>
      <c r="C8" s="11">
        <v>0</v>
      </c>
      <c r="D8" s="1" t="str">
        <f>IF(B8=C8,"OK","Review")</f>
        <v>OK</v>
      </c>
      <c r="E8" s="1"/>
      <c r="F8" s="1"/>
      <c r="G8" s="1"/>
      <c r="H8" s="1"/>
    </row>
    <row r="9" spans="1:20" ht="20" customHeight="1" x14ac:dyDescent="0.35">
      <c r="A9" s="1" t="s">
        <v>175</v>
      </c>
      <c r="B9" s="11">
        <f>MIN(Daily!$S$7:$S$136)</f>
        <v>6</v>
      </c>
      <c r="C9" s="11">
        <v>6</v>
      </c>
      <c r="D9" s="1" t="str">
        <f>IF(B9=C9,"OK","Review")</f>
        <v>OK</v>
      </c>
      <c r="E9" s="1"/>
      <c r="F9" s="1"/>
      <c r="G9" s="1"/>
      <c r="H9" s="1"/>
    </row>
    <row r="10" spans="1:20" ht="20" customHeight="1" x14ac:dyDescent="0.35">
      <c r="A10" s="1" t="s">
        <v>176</v>
      </c>
      <c r="B10" s="11">
        <f>SUM(Holdings!H7:H12)+Holdings!G15/Holdings!G16</f>
        <v>0.99999999999999978</v>
      </c>
      <c r="C10" s="11">
        <v>1</v>
      </c>
      <c r="D10" s="1" t="str">
        <f>IF(ABS(B10-C10)&lt;0.000001,"OK","Review")</f>
        <v>OK</v>
      </c>
      <c r="E10" s="1"/>
      <c r="F10" s="1"/>
      <c r="G10" s="1"/>
      <c r="H10" s="1"/>
    </row>
    <row r="11" spans="1:20" ht="20" customHeight="1" x14ac:dyDescent="0.35">
      <c r="A11" s="1" t="s">
        <v>177</v>
      </c>
      <c r="B11" s="11">
        <f>Holdings!G19-SUM(Holdings!J7:L12)+SUMIFS(Ledger!$H$7:$H$1006,Ledger!$C$7:$C$1006,Portfolio!$C$5,Ledger!$D$7:$D$1006,"FEE",Ledger!$B$7:$B$1006,"&lt;="&amp;Portfolio!$J$5)+SUMIFS(Ledger!$I$7:$I$1006,Ledger!$C$7:$C$1006,Portfolio!$C$5,Ledger!$D$7:$D$1006,"DIVIDEND",Ledger!$B$7:$B$1006,"&lt;="&amp;Portfolio!$J$5)+SUMIFS(Ledger!$I$7:$I$1006,Ledger!$C$7:$C$1006,Portfolio!$C$5,Ledger!$D$7:$D$1006,"FEE",Ledger!$B$7:$B$1006,"&lt;="&amp;Portfolio!$J$5)</f>
        <v>1.4370016288012266E-10</v>
      </c>
      <c r="C11" s="11">
        <v>0</v>
      </c>
      <c r="D11" s="1" t="str">
        <f>IF(ABS(B11-C11)&lt;=0.01,"OK","Review")</f>
        <v>OK</v>
      </c>
      <c r="E11" s="1"/>
      <c r="F11" s="1"/>
      <c r="G11" s="1"/>
      <c r="H11" s="1"/>
    </row>
    <row r="12" spans="1:20" ht="20" customHeight="1" x14ac:dyDescent="0.35">
      <c r="A12" s="1"/>
      <c r="B12" s="1"/>
      <c r="C12" s="1"/>
      <c r="D12" s="1"/>
      <c r="E12" s="1"/>
      <c r="F12" s="1"/>
      <c r="G12" s="1"/>
      <c r="H12" s="1"/>
    </row>
    <row r="13" spans="1:20" ht="20" customHeight="1" x14ac:dyDescent="0.35">
      <c r="A13" s="1"/>
      <c r="B13" s="1"/>
      <c r="C13" s="1"/>
      <c r="D13" s="1"/>
      <c r="E13" s="1"/>
      <c r="F13" s="1"/>
      <c r="G13" s="1"/>
      <c r="H13" s="1"/>
    </row>
    <row r="14" spans="1:20" ht="20" customHeight="1" x14ac:dyDescent="0.35">
      <c r="A14" s="1"/>
      <c r="B14" s="1"/>
      <c r="C14" s="1"/>
      <c r="D14" s="1"/>
      <c r="E14" s="1"/>
      <c r="F14" s="1"/>
      <c r="G14" s="1"/>
      <c r="H14" s="1"/>
    </row>
    <row r="15" spans="1:20" ht="20" customHeight="1" x14ac:dyDescent="0.35">
      <c r="A15" s="1"/>
      <c r="B15" s="1"/>
      <c r="C15" s="1"/>
      <c r="D15" s="1"/>
      <c r="E15" s="1"/>
      <c r="F15" s="1"/>
      <c r="G15" s="1"/>
      <c r="H15" s="1"/>
    </row>
    <row r="16" spans="1:20" ht="20" customHeight="1" x14ac:dyDescent="0.35">
      <c r="A16" s="1"/>
      <c r="B16" s="1"/>
      <c r="C16" s="1"/>
      <c r="D16" s="1"/>
      <c r="E16" s="1"/>
      <c r="F16" s="1"/>
      <c r="G16" s="1"/>
      <c r="H16" s="1"/>
    </row>
    <row r="17" spans="1:8" ht="20" customHeight="1" x14ac:dyDescent="0.35">
      <c r="A17" s="1"/>
      <c r="B17" s="1"/>
      <c r="C17" s="1"/>
      <c r="D17" s="1"/>
      <c r="E17" s="1"/>
      <c r="F17" s="1"/>
      <c r="G17" s="1"/>
      <c r="H17" s="1"/>
    </row>
    <row r="18" spans="1:8" ht="20" customHeight="1" x14ac:dyDescent="0.35">
      <c r="A18" s="1"/>
      <c r="B18" s="1"/>
      <c r="C18" s="1"/>
      <c r="D18" s="1"/>
      <c r="E18" s="1"/>
      <c r="F18" s="1"/>
      <c r="G18" s="1"/>
      <c r="H18" s="1"/>
    </row>
    <row r="19" spans="1:8" ht="20" customHeight="1" x14ac:dyDescent="0.35">
      <c r="A19" s="1"/>
      <c r="B19" s="1"/>
      <c r="C19" s="1"/>
      <c r="D19" s="1"/>
      <c r="E19" s="1"/>
      <c r="F19" s="1"/>
      <c r="G19" s="1"/>
      <c r="H19" s="1"/>
    </row>
    <row r="20" spans="1:8" ht="20" customHeight="1" x14ac:dyDescent="0.35">
      <c r="A20" s="1"/>
      <c r="B20" s="1"/>
      <c r="C20" s="1"/>
      <c r="D20" s="1"/>
      <c r="E20" s="1"/>
      <c r="F20" s="1"/>
      <c r="G20" s="1"/>
      <c r="H20" s="1"/>
    </row>
  </sheetData>
  <conditionalFormatting sqref="D7:D11">
    <cfRule type="containsText" dxfId="66" priority="1" operator="containsText" text="Review"/>
  </conditionalFormatting>
  <pageMargins left="0.25" right="0.25" top="0.25" bottom="0.25" header="0.3" footer="0.3"/>
  <pageSetup paperSize="8"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13C5A"/>
    <pageSetUpPr fitToPage="1"/>
  </sheetPr>
  <dimension ref="A1:T41"/>
  <sheetViews>
    <sheetView showGridLines="0" zoomScale="90" zoomScaleNormal="90" workbookViewId="0">
      <pane ySplit="6" topLeftCell="A7" activePane="bottomLeft" state="frozen"/>
      <selection pane="bottomLeft"/>
    </sheetView>
  </sheetViews>
  <sheetFormatPr defaultRowHeight="14.5" x14ac:dyDescent="0.35"/>
  <cols>
    <col min="1" max="1" width="25" customWidth="1"/>
    <col min="2" max="2" width="110" customWidth="1"/>
    <col min="3" max="10" width="13" customWidth="1"/>
  </cols>
  <sheetData>
    <row r="1" spans="1:20" ht="20" customHeight="1" x14ac:dyDescent="0.35">
      <c r="A1" s="1"/>
      <c r="B1" s="1"/>
      <c r="C1" s="1"/>
      <c r="D1" s="1"/>
      <c r="E1" s="1"/>
      <c r="F1" s="1"/>
      <c r="G1" s="1"/>
      <c r="H1" s="1"/>
      <c r="I1" s="1"/>
      <c r="J1" s="1"/>
    </row>
    <row r="2" spans="1:20" ht="20" customHeight="1" x14ac:dyDescent="0.35">
      <c r="A2" s="2" t="s">
        <v>178</v>
      </c>
      <c r="B2" s="1"/>
      <c r="C2" s="1"/>
      <c r="D2" s="1"/>
      <c r="E2" s="1"/>
      <c r="F2" s="1"/>
      <c r="G2" s="1"/>
      <c r="H2" s="1"/>
      <c r="I2" s="1"/>
      <c r="J2" s="1"/>
    </row>
    <row r="3" spans="1:20" ht="20" customHeight="1" x14ac:dyDescent="0.35">
      <c r="A3" s="3"/>
      <c r="B3" s="3"/>
      <c r="C3" s="3"/>
      <c r="D3" s="3"/>
      <c r="E3" s="3"/>
      <c r="F3" s="3"/>
      <c r="G3" s="3"/>
      <c r="H3" s="3"/>
      <c r="I3" s="3"/>
      <c r="J3" s="3"/>
      <c r="K3" s="4"/>
      <c r="L3" s="4"/>
      <c r="M3" s="4"/>
      <c r="N3" s="4"/>
      <c r="O3" s="4"/>
      <c r="P3" s="4"/>
      <c r="Q3" s="4"/>
      <c r="R3" s="4"/>
      <c r="S3" s="4"/>
      <c r="T3" s="4"/>
    </row>
    <row r="4" spans="1:20" ht="20" customHeight="1" x14ac:dyDescent="0.35">
      <c r="A4" s="5" t="s">
        <v>179</v>
      </c>
      <c r="B4" s="1"/>
      <c r="C4" s="1"/>
      <c r="D4" s="1"/>
      <c r="E4" s="1"/>
      <c r="F4" s="1"/>
      <c r="G4" s="1"/>
      <c r="H4" s="1"/>
      <c r="I4" s="1"/>
      <c r="J4" s="1"/>
    </row>
    <row r="5" spans="1:20" ht="20" customHeight="1" x14ac:dyDescent="0.35">
      <c r="A5" s="1"/>
      <c r="B5" s="1"/>
      <c r="C5" s="1"/>
      <c r="D5" s="1"/>
      <c r="E5" s="1"/>
      <c r="F5" s="1"/>
      <c r="G5" s="1"/>
      <c r="H5" s="1"/>
      <c r="I5" s="1"/>
      <c r="J5" s="1"/>
    </row>
    <row r="6" spans="1:20" ht="29" customHeight="1" x14ac:dyDescent="0.35">
      <c r="A6" s="6" t="s">
        <v>180</v>
      </c>
      <c r="B6" s="6" t="s">
        <v>181</v>
      </c>
      <c r="C6" s="1"/>
      <c r="D6" s="1"/>
      <c r="E6" s="1"/>
      <c r="F6" s="1"/>
      <c r="G6" s="1"/>
      <c r="H6" s="1"/>
      <c r="I6" s="1"/>
      <c r="J6" s="1"/>
    </row>
    <row r="7" spans="1:20" ht="32" customHeight="1" x14ac:dyDescent="0.35">
      <c r="A7" s="1" t="s">
        <v>182</v>
      </c>
      <c r="B7" s="13" t="s">
        <v>183</v>
      </c>
      <c r="C7" s="1"/>
      <c r="D7" s="1"/>
      <c r="E7" s="1"/>
      <c r="F7" s="1"/>
      <c r="G7" s="1"/>
      <c r="H7" s="1"/>
      <c r="I7" s="1"/>
      <c r="J7" s="1"/>
    </row>
    <row r="8" spans="1:20" ht="32" customHeight="1" x14ac:dyDescent="0.35">
      <c r="A8" s="1" t="s">
        <v>184</v>
      </c>
      <c r="B8" s="13" t="s">
        <v>305</v>
      </c>
      <c r="C8" s="1"/>
      <c r="D8" s="1"/>
      <c r="E8" s="1"/>
      <c r="F8" s="1"/>
      <c r="G8" s="1"/>
      <c r="H8" s="1"/>
      <c r="I8" s="1"/>
      <c r="J8" s="1"/>
    </row>
    <row r="9" spans="1:20" ht="32" customHeight="1" x14ac:dyDescent="0.35">
      <c r="A9" s="1" t="s">
        <v>185</v>
      </c>
      <c r="B9" s="13" t="s">
        <v>186</v>
      </c>
      <c r="C9" s="1"/>
      <c r="D9" s="1"/>
      <c r="E9" s="1"/>
      <c r="F9" s="1"/>
      <c r="G9" s="1"/>
      <c r="H9" s="1"/>
      <c r="I9" s="1"/>
      <c r="J9" s="1"/>
    </row>
    <row r="10" spans="1:20" ht="32" customHeight="1" x14ac:dyDescent="0.35">
      <c r="A10" s="1" t="s">
        <v>187</v>
      </c>
      <c r="B10" s="13" t="s">
        <v>188</v>
      </c>
      <c r="C10" s="1"/>
      <c r="D10" s="1"/>
      <c r="E10" s="1"/>
      <c r="F10" s="1"/>
      <c r="G10" s="1"/>
      <c r="H10" s="1"/>
      <c r="I10" s="1"/>
      <c r="J10" s="1"/>
    </row>
    <row r="11" spans="1:20" ht="32" customHeight="1" x14ac:dyDescent="0.35">
      <c r="A11" s="1" t="s">
        <v>189</v>
      </c>
      <c r="B11" s="13" t="s">
        <v>190</v>
      </c>
      <c r="C11" s="1"/>
      <c r="D11" s="1"/>
      <c r="E11" s="1"/>
      <c r="F11" s="1"/>
      <c r="G11" s="1"/>
      <c r="H11" s="1"/>
      <c r="I11" s="1"/>
      <c r="J11" s="1"/>
    </row>
    <row r="12" spans="1:20" ht="32" customHeight="1" x14ac:dyDescent="0.35">
      <c r="A12" s="1" t="s">
        <v>191</v>
      </c>
      <c r="B12" s="13" t="s">
        <v>192</v>
      </c>
      <c r="C12" s="1"/>
      <c r="D12" s="1"/>
      <c r="E12" s="1"/>
      <c r="F12" s="1"/>
      <c r="G12" s="1"/>
      <c r="H12" s="1"/>
      <c r="I12" s="1"/>
      <c r="J12" s="1"/>
    </row>
    <row r="13" spans="1:20" ht="32" customHeight="1" x14ac:dyDescent="0.35">
      <c r="A13" s="1" t="s">
        <v>193</v>
      </c>
      <c r="B13" s="13" t="s">
        <v>306</v>
      </c>
      <c r="C13" s="1"/>
      <c r="D13" s="1"/>
      <c r="E13" s="1"/>
      <c r="F13" s="1"/>
      <c r="G13" s="1"/>
      <c r="H13" s="1"/>
      <c r="I13" s="1"/>
      <c r="J13" s="1"/>
    </row>
    <row r="14" spans="1:20" ht="32" customHeight="1" x14ac:dyDescent="0.35">
      <c r="A14" s="1" t="s">
        <v>194</v>
      </c>
      <c r="B14" s="13" t="s">
        <v>195</v>
      </c>
      <c r="C14" s="1"/>
      <c r="D14" s="1"/>
      <c r="E14" s="1"/>
      <c r="F14" s="1"/>
      <c r="G14" s="1"/>
      <c r="H14" s="1"/>
      <c r="I14" s="1"/>
      <c r="J14" s="1"/>
    </row>
    <row r="15" spans="1:20" ht="32" customHeight="1" x14ac:dyDescent="0.35">
      <c r="A15" s="1" t="s">
        <v>196</v>
      </c>
      <c r="B15" s="13" t="s">
        <v>197</v>
      </c>
      <c r="C15" s="1"/>
      <c r="D15" s="1"/>
      <c r="E15" s="1"/>
      <c r="F15" s="1"/>
      <c r="G15" s="1"/>
      <c r="H15" s="1"/>
      <c r="I15" s="1"/>
      <c r="J15" s="1"/>
    </row>
    <row r="16" spans="1:20" ht="32" customHeight="1" x14ac:dyDescent="0.35">
      <c r="A16" s="1" t="s">
        <v>198</v>
      </c>
      <c r="B16" s="13" t="s">
        <v>199</v>
      </c>
      <c r="C16" s="1"/>
      <c r="D16" s="1"/>
      <c r="E16" s="1"/>
      <c r="F16" s="1"/>
      <c r="G16" s="1"/>
      <c r="H16" s="1"/>
      <c r="I16" s="1"/>
      <c r="J16" s="1"/>
    </row>
    <row r="17" spans="1:10" ht="32" customHeight="1" x14ac:dyDescent="0.35">
      <c r="A17" s="1" t="s">
        <v>200</v>
      </c>
      <c r="B17" s="13" t="s">
        <v>201</v>
      </c>
      <c r="C17" s="1"/>
      <c r="D17" s="1"/>
      <c r="E17" s="1"/>
      <c r="F17" s="1"/>
      <c r="G17" s="1"/>
      <c r="H17" s="1"/>
      <c r="I17" s="1"/>
      <c r="J17" s="1"/>
    </row>
    <row r="18" spans="1:10" ht="32" customHeight="1" x14ac:dyDescent="0.35">
      <c r="A18" s="1" t="s">
        <v>44</v>
      </c>
      <c r="B18" s="13" t="s">
        <v>202</v>
      </c>
      <c r="C18" s="1"/>
      <c r="D18" s="1"/>
      <c r="E18" s="1"/>
      <c r="F18" s="1"/>
      <c r="G18" s="1"/>
      <c r="H18" s="1"/>
      <c r="I18" s="1"/>
      <c r="J18" s="1"/>
    </row>
    <row r="19" spans="1:10" ht="32" customHeight="1" x14ac:dyDescent="0.35">
      <c r="A19" s="1" t="s">
        <v>203</v>
      </c>
      <c r="B19" s="13" t="s">
        <v>204</v>
      </c>
      <c r="C19" s="1"/>
      <c r="D19" s="1"/>
      <c r="E19" s="1"/>
      <c r="F19" s="1"/>
      <c r="G19" s="1"/>
      <c r="H19" s="1"/>
      <c r="I19" s="1"/>
      <c r="J19" s="1"/>
    </row>
    <row r="20" spans="1:10" ht="32" customHeight="1" x14ac:dyDescent="0.35">
      <c r="A20" s="1" t="s">
        <v>144</v>
      </c>
      <c r="B20" s="13" t="s">
        <v>205</v>
      </c>
      <c r="C20" s="1"/>
      <c r="D20" s="1"/>
      <c r="E20" s="1"/>
      <c r="F20" s="1"/>
      <c r="G20" s="1"/>
      <c r="H20" s="1"/>
      <c r="I20" s="1"/>
      <c r="J20" s="1"/>
    </row>
    <row r="21" spans="1:10" ht="32" customHeight="1" x14ac:dyDescent="0.35">
      <c r="A21" s="1" t="s">
        <v>206</v>
      </c>
      <c r="B21" s="13" t="s">
        <v>207</v>
      </c>
      <c r="C21" s="1"/>
      <c r="D21" s="1"/>
      <c r="E21" s="1"/>
      <c r="F21" s="1"/>
      <c r="G21" s="1"/>
      <c r="H21" s="1"/>
      <c r="I21" s="1"/>
      <c r="J21" s="1"/>
    </row>
    <row r="22" spans="1:10" ht="32" customHeight="1" x14ac:dyDescent="0.35">
      <c r="A22" s="1" t="s">
        <v>208</v>
      </c>
      <c r="B22" s="13" t="s">
        <v>209</v>
      </c>
      <c r="C22" s="1"/>
      <c r="D22" s="1"/>
      <c r="E22" s="1"/>
      <c r="F22" s="1"/>
      <c r="G22" s="1"/>
      <c r="H22" s="1"/>
      <c r="I22" s="1"/>
      <c r="J22" s="1"/>
    </row>
    <row r="23" spans="1:10" ht="32" customHeight="1" x14ac:dyDescent="0.35">
      <c r="A23" s="1" t="s">
        <v>210</v>
      </c>
      <c r="B23" s="13" t="s">
        <v>211</v>
      </c>
      <c r="C23" s="1"/>
      <c r="D23" s="1"/>
      <c r="E23" s="1"/>
      <c r="F23" s="1"/>
      <c r="G23" s="1"/>
      <c r="H23" s="1"/>
      <c r="I23" s="1"/>
      <c r="J23" s="1"/>
    </row>
    <row r="24" spans="1:10" ht="32" customHeight="1" x14ac:dyDescent="0.35">
      <c r="A24" s="1" t="s">
        <v>212</v>
      </c>
      <c r="B24" s="13" t="s">
        <v>213</v>
      </c>
      <c r="C24" s="1"/>
      <c r="D24" s="1"/>
      <c r="E24" s="1"/>
      <c r="F24" s="1"/>
      <c r="G24" s="1"/>
      <c r="H24" s="1"/>
      <c r="I24" s="1"/>
      <c r="J24" s="1"/>
    </row>
    <row r="25" spans="1:10" ht="32" customHeight="1" x14ac:dyDescent="0.35">
      <c r="A25" s="1" t="s">
        <v>4</v>
      </c>
      <c r="B25" s="13" t="s">
        <v>214</v>
      </c>
      <c r="C25" s="1"/>
      <c r="D25" s="1"/>
      <c r="E25" s="1"/>
      <c r="F25" s="1"/>
      <c r="G25" s="1"/>
      <c r="H25" s="1"/>
      <c r="I25" s="1"/>
      <c r="J25" s="1"/>
    </row>
    <row r="26" spans="1:10" ht="32" customHeight="1" x14ac:dyDescent="0.35">
      <c r="A26" s="1" t="s">
        <v>41</v>
      </c>
      <c r="B26" s="13" t="s">
        <v>215</v>
      </c>
      <c r="C26" s="1"/>
      <c r="D26" s="1"/>
      <c r="E26" s="1"/>
      <c r="F26" s="1"/>
      <c r="G26" s="1"/>
      <c r="H26" s="1"/>
      <c r="I26" s="1"/>
      <c r="J26" s="1"/>
    </row>
    <row r="27" spans="1:10" ht="32" customHeight="1" x14ac:dyDescent="0.35">
      <c r="A27" s="1" t="s">
        <v>216</v>
      </c>
      <c r="B27" s="13" t="s">
        <v>217</v>
      </c>
      <c r="C27" s="1"/>
      <c r="D27" s="1"/>
      <c r="E27" s="1"/>
      <c r="F27" s="1"/>
      <c r="G27" s="1"/>
      <c r="H27" s="1"/>
      <c r="I27" s="1"/>
      <c r="J27" s="1"/>
    </row>
    <row r="28" spans="1:10" ht="32" customHeight="1" x14ac:dyDescent="0.35">
      <c r="A28" s="1" t="s">
        <v>218</v>
      </c>
      <c r="B28" s="13" t="s">
        <v>219</v>
      </c>
      <c r="C28" s="1"/>
      <c r="D28" s="1"/>
      <c r="E28" s="1"/>
      <c r="F28" s="1"/>
      <c r="G28" s="1"/>
      <c r="H28" s="1"/>
      <c r="I28" s="1"/>
      <c r="J28" s="1"/>
    </row>
    <row r="29" spans="1:10" ht="32" customHeight="1" x14ac:dyDescent="0.35">
      <c r="A29" s="1" t="s">
        <v>220</v>
      </c>
      <c r="B29" s="13" t="s">
        <v>221</v>
      </c>
      <c r="C29" s="1"/>
      <c r="D29" s="1"/>
      <c r="E29" s="1"/>
      <c r="F29" s="1"/>
      <c r="G29" s="1"/>
      <c r="H29" s="1"/>
      <c r="I29" s="1"/>
      <c r="J29" s="1"/>
    </row>
    <row r="30" spans="1:10" ht="32" customHeight="1" x14ac:dyDescent="0.35">
      <c r="A30" s="1" t="s">
        <v>222</v>
      </c>
      <c r="B30" s="13" t="s">
        <v>223</v>
      </c>
      <c r="C30" s="1"/>
      <c r="D30" s="1"/>
      <c r="E30" s="1"/>
      <c r="F30" s="1"/>
      <c r="G30" s="1"/>
      <c r="H30" s="1"/>
      <c r="I30" s="1"/>
      <c r="J30" s="1"/>
    </row>
    <row r="31" spans="1:10" ht="32" customHeight="1" x14ac:dyDescent="0.35">
      <c r="A31" s="1" t="s">
        <v>224</v>
      </c>
      <c r="B31" s="13" t="s">
        <v>225</v>
      </c>
      <c r="C31" s="1"/>
      <c r="D31" s="1"/>
      <c r="E31" s="1"/>
      <c r="F31" s="1"/>
      <c r="G31" s="1"/>
      <c r="H31" s="1"/>
      <c r="I31" s="1"/>
      <c r="J31" s="1"/>
    </row>
    <row r="32" spans="1:10" ht="32" customHeight="1" x14ac:dyDescent="0.35">
      <c r="A32" s="1" t="s">
        <v>226</v>
      </c>
      <c r="B32" s="13" t="s">
        <v>307</v>
      </c>
      <c r="C32" s="1"/>
      <c r="D32" s="1"/>
      <c r="E32" s="1"/>
      <c r="F32" s="1"/>
      <c r="G32" s="1"/>
      <c r="H32" s="1"/>
      <c r="I32" s="1"/>
      <c r="J32" s="1"/>
    </row>
    <row r="33" spans="1:10" ht="20" customHeight="1" x14ac:dyDescent="0.35">
      <c r="A33" s="1"/>
      <c r="B33" s="1"/>
      <c r="C33" s="1"/>
      <c r="D33" s="1"/>
      <c r="E33" s="1"/>
      <c r="F33" s="1"/>
      <c r="G33" s="1"/>
      <c r="H33" s="1"/>
      <c r="I33" s="1"/>
      <c r="J33" s="1"/>
    </row>
    <row r="34" spans="1:10" ht="20" customHeight="1" x14ac:dyDescent="0.35">
      <c r="A34" s="1"/>
      <c r="B34" s="1"/>
      <c r="C34" s="1"/>
      <c r="D34" s="1"/>
      <c r="E34" s="1"/>
      <c r="F34" s="1"/>
      <c r="G34" s="1"/>
      <c r="H34" s="1"/>
      <c r="I34" s="1"/>
      <c r="J34" s="1"/>
    </row>
    <row r="35" spans="1:10" ht="20" customHeight="1" x14ac:dyDescent="0.35">
      <c r="A35" s="1"/>
      <c r="B35" s="1"/>
      <c r="C35" s="1"/>
      <c r="D35" s="1"/>
      <c r="E35" s="1"/>
      <c r="F35" s="1"/>
      <c r="G35" s="1"/>
      <c r="H35" s="1"/>
      <c r="I35" s="1"/>
      <c r="J35" s="1"/>
    </row>
    <row r="36" spans="1:10" ht="20" customHeight="1" x14ac:dyDescent="0.35">
      <c r="A36" s="1" t="s">
        <v>251</v>
      </c>
      <c r="B36" s="1"/>
      <c r="C36" s="1"/>
      <c r="D36" s="1"/>
      <c r="E36" s="1"/>
      <c r="F36" s="1"/>
      <c r="G36" s="1"/>
      <c r="H36" s="1"/>
      <c r="I36" s="1"/>
      <c r="J36" s="1"/>
    </row>
    <row r="37" spans="1:10" ht="20" customHeight="1" x14ac:dyDescent="0.35">
      <c r="A37" s="1"/>
      <c r="B37" s="1"/>
      <c r="C37" s="1"/>
      <c r="D37" s="1"/>
      <c r="E37" s="1"/>
      <c r="F37" s="1"/>
      <c r="G37" s="1"/>
      <c r="H37" s="1"/>
      <c r="I37" s="1"/>
      <c r="J37" s="1"/>
    </row>
    <row r="38" spans="1:10" ht="20" customHeight="1" x14ac:dyDescent="0.35">
      <c r="A38" s="1" t="s">
        <v>252</v>
      </c>
      <c r="B38" s="1"/>
      <c r="C38" s="1"/>
      <c r="D38" s="1"/>
      <c r="E38" s="1"/>
      <c r="F38" s="1"/>
      <c r="G38" s="1"/>
      <c r="H38" s="1"/>
      <c r="I38" s="1"/>
      <c r="J38" s="1"/>
    </row>
    <row r="39" spans="1:10" ht="20" customHeight="1" x14ac:dyDescent="0.35">
      <c r="A39" s="1"/>
      <c r="B39" s="1"/>
      <c r="C39" s="1"/>
      <c r="D39" s="1"/>
      <c r="E39" s="1"/>
      <c r="F39" s="1"/>
      <c r="G39" s="1"/>
      <c r="H39" s="1"/>
      <c r="I39" s="1"/>
      <c r="J39" s="1"/>
    </row>
    <row r="40" spans="1:10" ht="20" customHeight="1" x14ac:dyDescent="0.35">
      <c r="A40" s="1" t="s">
        <v>253</v>
      </c>
      <c r="B40" s="1"/>
      <c r="C40" s="1"/>
      <c r="D40" s="1"/>
      <c r="E40" s="1"/>
      <c r="F40" s="1"/>
      <c r="G40" s="1"/>
      <c r="H40" s="1"/>
      <c r="I40" s="1"/>
      <c r="J40" s="1"/>
    </row>
    <row r="41" spans="1:10" ht="20" customHeight="1" x14ac:dyDescent="0.35">
      <c r="A41" s="1"/>
      <c r="B41" s="1"/>
      <c r="C41" s="1"/>
      <c r="D41" s="1"/>
      <c r="E41" s="1"/>
      <c r="F41" s="1"/>
      <c r="G41" s="1"/>
      <c r="H41" s="1"/>
      <c r="I41" s="1"/>
      <c r="J41" s="1"/>
    </row>
  </sheetData>
  <pageMargins left="0.25" right="0.25" top="0.25" bottom="0.25" header="0.3" footer="0.3"/>
  <pageSetup paperSize="8" scale="6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6EA1F-59F5-4DCC-80CA-960F5D592449}">
  <sheetPr>
    <tabColor rgb="FF213C5A"/>
    <pageSetUpPr fitToPage="1"/>
  </sheetPr>
  <dimension ref="A1:X42"/>
  <sheetViews>
    <sheetView showGridLines="0" topLeftCell="B1" zoomScaleNormal="100" workbookViewId="0">
      <selection activeCell="B2" sqref="B2:I2"/>
    </sheetView>
  </sheetViews>
  <sheetFormatPr defaultRowHeight="14.5" x14ac:dyDescent="0.35"/>
  <cols>
    <col min="1" max="1" width="20" hidden="1" customWidth="1"/>
    <col min="2" max="2" width="24" customWidth="1"/>
    <col min="3" max="3" width="8" customWidth="1"/>
    <col min="4" max="4" width="13" customWidth="1"/>
    <col min="5" max="5" width="12" customWidth="1"/>
    <col min="6" max="6" width="10" customWidth="1"/>
    <col min="7" max="7" width="19" customWidth="1"/>
    <col min="8" max="8" width="25" customWidth="1"/>
    <col min="9" max="9" width="32" customWidth="1"/>
    <col min="10" max="10" width="23" hidden="1" customWidth="1"/>
    <col min="11" max="11" width="14" hidden="1" customWidth="1"/>
    <col min="12" max="24" width="0" hidden="1" customWidth="1"/>
  </cols>
  <sheetData>
    <row r="1" spans="1:24" ht="24" customHeight="1" x14ac:dyDescent="0.35">
      <c r="A1" s="28"/>
      <c r="B1" s="33"/>
      <c r="C1" s="33"/>
      <c r="D1" s="33"/>
      <c r="E1" s="33"/>
      <c r="F1" s="33"/>
      <c r="G1" s="33"/>
      <c r="H1" s="33"/>
      <c r="I1" s="33"/>
      <c r="J1" s="28"/>
      <c r="K1" s="28"/>
    </row>
    <row r="2" spans="1:24" ht="36" customHeight="1" x14ac:dyDescent="0.35">
      <c r="A2" s="28"/>
      <c r="B2" s="230" t="s">
        <v>254</v>
      </c>
      <c r="C2" s="231"/>
      <c r="D2" s="231"/>
      <c r="E2" s="231"/>
      <c r="F2" s="231"/>
      <c r="G2" s="231"/>
      <c r="H2" s="231"/>
      <c r="I2" s="231"/>
      <c r="J2" s="28"/>
      <c r="K2" s="28"/>
      <c r="N2" t="str">
        <f>IF(COUNTIFS(WatchSettings[Instrument],"SYN_BANK",WatchSettings[Follow],"Yes")&gt;0,"SYN_BANK|","")&amp;IF(COUNTIFS(WatchSettings[Instrument],"SYN_BOND_ETF",WatchSettings[Follow],"Yes")&gt;0,"SYN_BOND_ETF|","")&amp;IF(COUNTIFS(WatchSettings[Instrument],"SYN_BROAD_ETF",WatchSettings[Follow],"Yes")&gt;0,"SYN_BROAD_ETF|","")&amp;IF(COUNTIFS(WatchSettings[Instrument],"SYN_HEALTH",WatchSettings[Follow],"Yes")&gt;0,"SYN_HEALTH|","")&amp;IF(COUNTIFS(WatchSettings[Instrument],"SYN_INDUSTRY",WatchSettings[Follow],"Yes")&gt;0,"SYN_INDUSTRY|","")&amp;IF(COUNTIFS(WatchSettings[Instrument],"SYN_TECH",WatchSettings[Follow],"Yes")&gt;0,"SYN_TECH|","")</f>
        <v>SYN_BANK|SYN_TECH|</v>
      </c>
    </row>
    <row r="3" spans="1:24" ht="28" customHeight="1" x14ac:dyDescent="0.35">
      <c r="A3" s="28"/>
      <c r="B3" s="34" t="s">
        <v>317</v>
      </c>
      <c r="C3" s="35"/>
      <c r="D3" s="34" t="s">
        <v>318</v>
      </c>
      <c r="E3" s="161" t="s">
        <v>398</v>
      </c>
      <c r="F3" s="34" t="s">
        <v>0</v>
      </c>
      <c r="G3" s="161" t="s">
        <v>323</v>
      </c>
      <c r="H3" s="161" t="s">
        <v>369</v>
      </c>
      <c r="I3" s="34" t="s">
        <v>319</v>
      </c>
      <c r="J3" s="28"/>
      <c r="K3" s="28"/>
    </row>
    <row r="4" spans="1:24" ht="24" customHeight="1" x14ac:dyDescent="0.35">
      <c r="A4" s="28"/>
      <c r="B4" s="36"/>
      <c r="C4" s="36"/>
      <c r="D4" s="36"/>
      <c r="E4" s="36"/>
      <c r="F4" s="36"/>
      <c r="G4" s="36"/>
      <c r="H4" s="36"/>
      <c r="I4" s="36"/>
      <c r="J4" s="28"/>
      <c r="K4" s="28"/>
    </row>
    <row r="5" spans="1:24" ht="24" customHeight="1" x14ac:dyDescent="0.35">
      <c r="A5" s="28"/>
      <c r="B5" s="37" t="s">
        <v>540</v>
      </c>
      <c r="C5" s="33"/>
      <c r="D5" s="33"/>
      <c r="E5" s="33"/>
      <c r="F5" s="33"/>
      <c r="G5" s="33"/>
      <c r="H5" s="33"/>
      <c r="I5" s="33"/>
      <c r="J5" s="28"/>
      <c r="K5" s="28"/>
    </row>
    <row r="6" spans="1:24" ht="24" customHeight="1" x14ac:dyDescent="0.35">
      <c r="A6" s="28"/>
      <c r="B6" s="33"/>
      <c r="C6" s="33"/>
      <c r="D6" s="33"/>
      <c r="E6" s="33"/>
      <c r="F6" s="33"/>
      <c r="G6" s="33"/>
      <c r="H6" s="33"/>
      <c r="I6" s="33"/>
      <c r="J6" s="28"/>
      <c r="K6" s="28"/>
    </row>
    <row r="7" spans="1:24" ht="36" customHeight="1" x14ac:dyDescent="0.35">
      <c r="A7" s="28" t="s">
        <v>11</v>
      </c>
      <c r="B7" s="38" t="s">
        <v>255</v>
      </c>
      <c r="C7" s="38" t="s">
        <v>227</v>
      </c>
      <c r="D7" s="38" t="s">
        <v>14</v>
      </c>
      <c r="E7" s="38" t="s">
        <v>229</v>
      </c>
      <c r="F7" s="38" t="s">
        <v>187</v>
      </c>
      <c r="G7" s="38" t="s">
        <v>256</v>
      </c>
      <c r="H7" s="38" t="s">
        <v>236</v>
      </c>
      <c r="I7" s="38" t="s">
        <v>228</v>
      </c>
      <c r="J7" s="32" t="s">
        <v>257</v>
      </c>
      <c r="K7" s="32" t="s">
        <v>258</v>
      </c>
      <c r="N7" t="s">
        <v>240</v>
      </c>
      <c r="O7" t="s">
        <v>241</v>
      </c>
      <c r="P7" t="s">
        <v>242</v>
      </c>
      <c r="Q7" t="s">
        <v>243</v>
      </c>
      <c r="R7" t="s">
        <v>244</v>
      </c>
      <c r="S7" t="s">
        <v>245</v>
      </c>
      <c r="T7" t="s">
        <v>246</v>
      </c>
      <c r="U7" t="s">
        <v>247</v>
      </c>
      <c r="V7" t="s">
        <v>248</v>
      </c>
      <c r="W7" t="s">
        <v>249</v>
      </c>
      <c r="X7" t="s">
        <v>295</v>
      </c>
    </row>
    <row r="8" spans="1:24" ht="38" customHeight="1" x14ac:dyDescent="0.35">
      <c r="A8" s="28" t="s">
        <v>46</v>
      </c>
      <c r="B8" s="39" t="str">
        <f>IFERROR(INDEX(DemoInstruments[Name],MATCH(A8,DemoInstruments[Instrument],0)),"Unknown stock")</f>
        <v>Demo Bank</v>
      </c>
      <c r="C8" s="40" t="s">
        <v>230</v>
      </c>
      <c r="D8" s="41">
        <f t="shared" ref="D8" si="0">IF(NOT(W8),"",IF(U8,Q8,IF(N8&gt;0,N8,"")))</f>
        <v>547.4307</v>
      </c>
      <c r="E8" s="42">
        <f>IFERROR(IF(ISNUMBER(D8),D8/INDEX(History!$B$135:$G$135,1,MATCH(A8,History!$B$6:$G$6,0))-1,""),"")</f>
        <v>-1.106072151304649E-2</v>
      </c>
      <c r="F8" s="43">
        <f>IF(W8,IF(C8="Yes",1,5),"")</f>
        <v>1</v>
      </c>
      <c r="G8" s="44">
        <f t="shared" ref="G8" si="1">IF(NOT(W8),"",IF(U8,S8,IF(P8&gt;0,P8,"")))</f>
        <v>46302.619000590275</v>
      </c>
      <c r="H8" s="45" t="str">
        <f t="shared" ref="H8" ca="1" si="2">IF(X8="Synthetic snapshot","Demo price",IF(X8="Follow change: refresh","Waiting for update",IF(X8="Fast quote unavailable","Using 5-min backup",IF(X8="Fast refresh overdue","1-min update overdue",IF(X8="Unknown demo instrument","Unknown stock code",IF(X8="Duplicate instrument","Duplicate stock",X8))))))</f>
        <v>Demo price</v>
      </c>
      <c r="I8" s="46" t="s">
        <v>231</v>
      </c>
      <c r="J8" s="29">
        <f>IF(NOT(W8),"",IF(U8,R8,IF(O8&gt;0,O8,"")))</f>
        <v>46283.645833333336</v>
      </c>
      <c r="K8" s="28" t="str">
        <f>IF(NOT(W8),"",IF(U8,"1-min",IF(N8&gt;0,"5-min","None")))</f>
        <v>1-min</v>
      </c>
      <c r="N8">
        <f>IFERROR(INDEX(QuoteData[Price],MATCH(A8,QuoteData[Instrument],0)),0)</f>
        <v>547.4307</v>
      </c>
      <c r="O8">
        <f>IFERROR(INDEX(QuoteData[ObservedAt],MATCH(A8,QuoteData[Instrument],0)),0)</f>
        <v>46283.645833333336</v>
      </c>
      <c r="P8">
        <f>IFERROR(INDEX(QuoteData[RefreshedAt],MATCH(A8,QuoteData[Instrument],0)),0)</f>
        <v>46302.618997916667</v>
      </c>
      <c r="Q8">
        <f>IFERROR(INDEX(FastQuoteData[Price],MATCH(A8,FastQuoteData[Instrument],0)),0)</f>
        <v>547.4307</v>
      </c>
      <c r="R8">
        <f>IFERROR(INDEX(FastQuoteData[ObservedAt],MATCH(A8,FastQuoteData[Instrument],0)),0)</f>
        <v>46283.645833333336</v>
      </c>
      <c r="S8">
        <f>IFERROR(INDEX(FastQuoteData[RefreshedAt],MATCH(A8,FastQuoteData[Instrument],0)),0)</f>
        <v>46302.619000590275</v>
      </c>
      <c r="T8" t="str">
        <f>IFERROR(INDEX(FastQuoteData[FollowSet],MATCH(A8,FastQuoteData[Instrument],0)),"")</f>
        <v>SYN_BANK|SYN_TECH|</v>
      </c>
      <c r="U8" t="b">
        <f t="shared" ref="U8:U13" si="3">AND(W8,C8="Yes",T8=FollowSelection,V8="OK",Q8&gt;0,OR(R8&gt;O8,AND(R8=O8,S8&gt;=P8)))</f>
        <v>1</v>
      </c>
      <c r="V8" t="str">
        <f>IFERROR(INDEX(FastQuoteData[Status],MATCH(A8,FastQuoteData[Instrument],0)),"Missing")</f>
        <v>OK</v>
      </c>
      <c r="W8" t="b">
        <f>AND(COUNTIF(DemoInstruments[Instrument],A8)=1,COUNTIF(WatchSettings[Instrument],A8)=1,OR(C8="Yes",C8="No"))</f>
        <v>1</v>
      </c>
      <c r="X8" t="str">
        <f ca="1">IF(COUNTIF(DemoInstruments[Instrument],A8)&lt;&gt;1,"Unknown demo instrument",IF(COUNTIF(WatchSettings[Instrument],A8)&lt;&gt;1,"Duplicate instrument",IF(NOT(OR(C8="Yes",C8="No")),"Choose Yes/No",IF(NOT(ISNUMBER(D8)),"Quote unavailable",IF(AND(C8="Yes",T8&lt;&gt;FollowSelection),"Follow change: refresh",IF(AND(C8="Yes",V8&lt;&gt;"OK"),"Fast quote unavailable",IF(AND(C8="Yes",(NOW()-S8)*1440&gt;2),"Fast refresh overdue",IF((NOW()-G8)*1440&gt;IF(C8="Yes",2,6),"Refresh overdue","Synthetic snapshot"))))))))</f>
        <v>Synthetic snapshot</v>
      </c>
    </row>
    <row r="9" spans="1:24" ht="38" customHeight="1" x14ac:dyDescent="0.35">
      <c r="A9" s="28" t="s">
        <v>49</v>
      </c>
      <c r="B9" s="47" t="str">
        <f>IFERROR(INDEX(DemoInstruments[Name],MATCH(A9,DemoInstruments[Instrument],0)),"Unknown stock")</f>
        <v>Demo Technology</v>
      </c>
      <c r="C9" s="48" t="s">
        <v>230</v>
      </c>
      <c r="D9" s="49">
        <f>IF(NOT(W9),"",IF(U9,Q9,IF(N9&gt;0,N9,"")))</f>
        <v>522.94749999999999</v>
      </c>
      <c r="E9" s="50">
        <f>IFERROR(IF(ISNUMBER(D9),D9/INDEX(History!$B$135:$G$135,1,MATCH(A9,History!$B$6:$G$6,0))-1,""),"")</f>
        <v>-1.2518295265522394E-2</v>
      </c>
      <c r="F9" s="51">
        <f>IF(W9,IF(C9="Yes",1,5),"")</f>
        <v>1</v>
      </c>
      <c r="G9" s="52">
        <f>IF(NOT(W9),"",IF(U9,S9,IF(P9&gt;0,P9,"")))</f>
        <v>46302.619000590275</v>
      </c>
      <c r="H9" s="53" t="str">
        <f ca="1">IF(X9="Synthetic snapshot","Demo price",IF(X9="Follow change: refresh","Waiting for update",IF(X9="Fast quote unavailable","Using 5-min backup",IF(X9="Fast refresh overdue","1-min update overdue",IF(X9="Unknown demo instrument","Unknown stock code",IF(X9="Duplicate instrument","Duplicate stock",X9))))))</f>
        <v>Demo price</v>
      </c>
      <c r="I9" s="54" t="s">
        <v>231</v>
      </c>
      <c r="J9" s="29">
        <f>IF(NOT(W9),"",IF(U9,R9,IF(O9&gt;0,O9,"")))</f>
        <v>46283.645833333336</v>
      </c>
      <c r="K9" s="28" t="str">
        <f>IF(NOT(W9),"",IF(U9,"1-min",IF(N9&gt;0,"5-min","None")))</f>
        <v>1-min</v>
      </c>
      <c r="N9">
        <f>IFERROR(INDEX(QuoteData[Price],MATCH(A9,QuoteData[Instrument],0)),0)</f>
        <v>522.94749999999999</v>
      </c>
      <c r="O9">
        <f>IFERROR(INDEX(QuoteData[ObservedAt],MATCH(A9,QuoteData[Instrument],0)),0)</f>
        <v>46283.645833333336</v>
      </c>
      <c r="P9">
        <f>IFERROR(INDEX(QuoteData[RefreshedAt],MATCH(A9,QuoteData[Instrument],0)),0)</f>
        <v>46302.618997916667</v>
      </c>
      <c r="Q9">
        <f>IFERROR(INDEX(FastQuoteData[Price],MATCH(A9,FastQuoteData[Instrument],0)),0)</f>
        <v>522.94749999999999</v>
      </c>
      <c r="R9">
        <f>IFERROR(INDEX(FastQuoteData[ObservedAt],MATCH(A9,FastQuoteData[Instrument],0)),0)</f>
        <v>46283.645833333336</v>
      </c>
      <c r="S9">
        <f>IFERROR(INDEX(FastQuoteData[RefreshedAt],MATCH(A9,FastQuoteData[Instrument],0)),0)</f>
        <v>46302.619000590275</v>
      </c>
      <c r="T9" t="str">
        <f>IFERROR(INDEX(FastQuoteData[FollowSet],MATCH(A9,FastQuoteData[Instrument],0)),"")</f>
        <v>SYN_BANK|SYN_TECH|</v>
      </c>
      <c r="U9" t="b">
        <f t="shared" si="3"/>
        <v>1</v>
      </c>
      <c r="V9" t="str">
        <f>IFERROR(INDEX(FastQuoteData[Status],MATCH(A9,FastQuoteData[Instrument],0)),"Missing")</f>
        <v>OK</v>
      </c>
      <c r="W9" t="b">
        <f>AND(COUNTIF(DemoInstruments[Instrument],A9)=1,COUNTIF(WatchSettings[Instrument],A9)=1,OR(C9="Yes",C9="No"))</f>
        <v>1</v>
      </c>
      <c r="X9" t="str">
        <f ca="1">IF(COUNTIF(DemoInstruments[Instrument],A9)&lt;&gt;1,"Unknown demo instrument",IF(COUNTIF(WatchSettings[Instrument],A9)&lt;&gt;1,"Duplicate instrument",IF(NOT(OR(C9="Yes",C9="No")),"Choose Yes/No",IF(NOT(ISNUMBER(D9)),"Quote unavailable",IF(AND(C9="Yes",T9&lt;&gt;FollowSelection),"Follow change: refresh",IF(AND(C9="Yes",V9&lt;&gt;"OK"),"Fast quote unavailable",IF(AND(C9="Yes",(NOW()-S9)*1440&gt;2),"Fast refresh overdue",IF((NOW()-G9)*1440&gt;IF(C9="Yes",2,6),"Refresh overdue","Synthetic snapshot"))))))))</f>
        <v>Synthetic snapshot</v>
      </c>
    </row>
    <row r="10" spans="1:24" ht="38" customHeight="1" x14ac:dyDescent="0.35">
      <c r="A10" s="28" t="s">
        <v>52</v>
      </c>
      <c r="B10" s="55" t="str">
        <f>IFERROR(INDEX(DemoInstruments[Name],MATCH(A10,DemoInstruments[Instrument],0)),"Unknown stock")</f>
        <v>Demo Healthcare</v>
      </c>
      <c r="C10" s="48" t="s">
        <v>232</v>
      </c>
      <c r="D10" s="56">
        <f>IF(NOT(W10),"",IF(U10,Q10,IF(N10&gt;0,N10,"")))</f>
        <v>859.55989999999997</v>
      </c>
      <c r="E10" s="57">
        <f>IFERROR(IF(ISNUMBER(D10),D10/INDEX(History!$B$135:$G$135,1,MATCH(A10,History!$B$6:$G$6,0))-1,""),"")</f>
        <v>-7.6472222177326188E-3</v>
      </c>
      <c r="F10" s="58">
        <f t="shared" ref="F10" si="4">IF(W10,IF(C10="Yes",1,5),"")</f>
        <v>5</v>
      </c>
      <c r="G10" s="59">
        <f>IF(NOT(W10),"",IF(U10,S10,IF(P10&gt;0,P10,"")))</f>
        <v>46302.618997916667</v>
      </c>
      <c r="H10" s="60" t="str">
        <f ca="1">IF(X10="Synthetic snapshot","Demo price",IF(X10="Follow change: refresh","Waiting for update",IF(X10="Fast quote unavailable","Using 5-min backup",IF(X10="Fast refresh overdue","1-min update overdue",IF(X10="Unknown demo instrument","Unknown stock code",IF(X10="Duplicate instrument","Duplicate stock",X10))))))</f>
        <v>Demo price</v>
      </c>
      <c r="I10" s="54"/>
      <c r="J10" s="29">
        <f t="shared" ref="J10" si="5">IF(NOT(W10),"",IF(U10,R10,IF(O10&gt;0,O10,"")))</f>
        <v>46283.645833333336</v>
      </c>
      <c r="K10" s="28" t="str">
        <f>IF(NOT(W10),"",IF(U10,"1-min",IF(N10&gt;0,"5-min","None")))</f>
        <v>5-min</v>
      </c>
      <c r="N10">
        <f>IFERROR(INDEX(QuoteData[Price],MATCH(A10,QuoteData[Instrument],0)),0)</f>
        <v>859.55989999999997</v>
      </c>
      <c r="O10">
        <f>IFERROR(INDEX(QuoteData[ObservedAt],MATCH(A10,QuoteData[Instrument],0)),0)</f>
        <v>46283.645833333336</v>
      </c>
      <c r="P10">
        <f>IFERROR(INDEX(QuoteData[RefreshedAt],MATCH(A10,QuoteData[Instrument],0)),0)</f>
        <v>46302.618997916667</v>
      </c>
      <c r="Q10">
        <f>IFERROR(INDEX(FastQuoteData[Price],MATCH(A10,FastQuoteData[Instrument],0)),0)</f>
        <v>0</v>
      </c>
      <c r="R10">
        <f>IFERROR(INDEX(FastQuoteData[ObservedAt],MATCH(A10,FastQuoteData[Instrument],0)),0)</f>
        <v>0</v>
      </c>
      <c r="S10">
        <f>IFERROR(INDEX(FastQuoteData[RefreshedAt],MATCH(A10,FastQuoteData[Instrument],0)),0)</f>
        <v>0</v>
      </c>
      <c r="T10" t="str">
        <f>IFERROR(INDEX(FastQuoteData[FollowSet],MATCH(A10,FastQuoteData[Instrument],0)),"")</f>
        <v/>
      </c>
      <c r="U10" t="b">
        <f t="shared" si="3"/>
        <v>0</v>
      </c>
      <c r="V10" t="str">
        <f>IFERROR(INDEX(FastQuoteData[Status],MATCH(A10,FastQuoteData[Instrument],0)),"Missing")</f>
        <v>Missing</v>
      </c>
      <c r="W10" t="b">
        <f>AND(COUNTIF(DemoInstruments[Instrument],A10)=1,COUNTIF(WatchSettings[Instrument],A10)=1,OR(C10="Yes",C10="No"))</f>
        <v>1</v>
      </c>
      <c r="X10" t="str">
        <f ca="1">IF(COUNTIF(DemoInstruments[Instrument],A10)&lt;&gt;1,"Unknown demo instrument",IF(COUNTIF(WatchSettings[Instrument],A10)&lt;&gt;1,"Duplicate instrument",IF(NOT(OR(C10="Yes",C10="No")),"Choose Yes/No",IF(NOT(ISNUMBER(D10)),"Quote unavailable",IF(AND(C10="Yes",T10&lt;&gt;FollowSelection),"Follow change: refresh",IF(AND(C10="Yes",V10&lt;&gt;"OK"),"Fast quote unavailable",IF(AND(C10="Yes",(NOW()-S10)*1440&gt;2),"Fast refresh overdue",IF((NOW()-G10)*1440&gt;IF(C10="Yes",2,6),"Refresh overdue","Synthetic snapshot"))))))))</f>
        <v>Synthetic snapshot</v>
      </c>
    </row>
    <row r="11" spans="1:24" ht="38" customHeight="1" x14ac:dyDescent="0.35">
      <c r="A11" s="28" t="s">
        <v>55</v>
      </c>
      <c r="B11" s="47" t="str">
        <f>IFERROR(INDEX(DemoInstruments[Name],MATCH(A11,DemoInstruments[Instrument],0)),"Unknown stock")</f>
        <v>Demo Industry</v>
      </c>
      <c r="C11" s="48" t="s">
        <v>232</v>
      </c>
      <c r="D11" s="49">
        <f>IF(NOT(W11),"",IF(U11,Q11,IF(N11&gt;0,N11,"")))</f>
        <v>453.3229</v>
      </c>
      <c r="E11" s="50">
        <f>IFERROR(IF(ISNUMBER(D11),D11/INDEX(History!$B$135:$G$135,1,MATCH(A11,History!$B$6:$G$6,0))-1,""),"")</f>
        <v>-1.4740116873347753E-2</v>
      </c>
      <c r="F11" s="51">
        <f>IF(W11,IF(C11="Yes",1,5),"")</f>
        <v>5</v>
      </c>
      <c r="G11" s="52">
        <f>IF(NOT(W11),"",IF(U11,S11,IF(P11&gt;0,P11,"")))</f>
        <v>46302.618997916667</v>
      </c>
      <c r="H11" s="53" t="str">
        <f ca="1">IF(X11="Synthetic snapshot","Demo price",IF(X11="Follow change: refresh","Waiting for update",IF(X11="Fast quote unavailable","Using 5-min backup",IF(X11="Fast refresh overdue","1-min update overdue",IF(X11="Unknown demo instrument","Unknown stock code",IF(X11="Duplicate instrument","Duplicate stock",X11))))))</f>
        <v>Demo price</v>
      </c>
      <c r="I11" s="54"/>
      <c r="J11" s="29">
        <f>IF(NOT(W11),"",IF(U11,R11,IF(O11&gt;0,O11,"")))</f>
        <v>46283.645833333336</v>
      </c>
      <c r="K11" s="28" t="str">
        <f t="shared" ref="K11" si="6">IF(NOT(W11),"",IF(U11,"1-min",IF(N11&gt;0,"5-min","None")))</f>
        <v>5-min</v>
      </c>
      <c r="N11">
        <f>IFERROR(INDEX(QuoteData[Price],MATCH(A11,QuoteData[Instrument],0)),0)</f>
        <v>453.3229</v>
      </c>
      <c r="O11">
        <f>IFERROR(INDEX(QuoteData[ObservedAt],MATCH(A11,QuoteData[Instrument],0)),0)</f>
        <v>46283.645833333336</v>
      </c>
      <c r="P11">
        <f>IFERROR(INDEX(QuoteData[RefreshedAt],MATCH(A11,QuoteData[Instrument],0)),0)</f>
        <v>46302.618997916667</v>
      </c>
      <c r="Q11">
        <f>IFERROR(INDEX(FastQuoteData[Price],MATCH(A11,FastQuoteData[Instrument],0)),0)</f>
        <v>0</v>
      </c>
      <c r="R11">
        <f>IFERROR(INDEX(FastQuoteData[ObservedAt],MATCH(A11,FastQuoteData[Instrument],0)),0)</f>
        <v>0</v>
      </c>
      <c r="S11">
        <f>IFERROR(INDEX(FastQuoteData[RefreshedAt],MATCH(A11,FastQuoteData[Instrument],0)),0)</f>
        <v>0</v>
      </c>
      <c r="T11" t="str">
        <f>IFERROR(INDEX(FastQuoteData[FollowSet],MATCH(A11,FastQuoteData[Instrument],0)),"")</f>
        <v/>
      </c>
      <c r="U11" t="b">
        <f t="shared" si="3"/>
        <v>0</v>
      </c>
      <c r="V11" t="str">
        <f>IFERROR(INDEX(FastQuoteData[Status],MATCH(A11,FastQuoteData[Instrument],0)),"Missing")</f>
        <v>Missing</v>
      </c>
      <c r="W11" t="b">
        <f>AND(COUNTIF(DemoInstruments[Instrument],A11)=1,COUNTIF(WatchSettings[Instrument],A11)=1,OR(C11="Yes",C11="No"))</f>
        <v>1</v>
      </c>
      <c r="X11" t="str">
        <f ca="1">IF(COUNTIF(DemoInstruments[Instrument],A11)&lt;&gt;1,"Unknown demo instrument",IF(COUNTIF(WatchSettings[Instrument],A11)&lt;&gt;1,"Duplicate instrument",IF(NOT(OR(C11="Yes",C11="No")),"Choose Yes/No",IF(NOT(ISNUMBER(D11)),"Quote unavailable",IF(AND(C11="Yes",T11&lt;&gt;FollowSelection),"Follow change: refresh",IF(AND(C11="Yes",V11&lt;&gt;"OK"),"Fast quote unavailable",IF(AND(C11="Yes",(NOW()-S11)*1440&gt;2),"Fast refresh overdue",IF((NOW()-G11)*1440&gt;IF(C11="Yes",2,6),"Refresh overdue","Synthetic snapshot"))))))))</f>
        <v>Synthetic snapshot</v>
      </c>
    </row>
    <row r="12" spans="1:24" ht="38" customHeight="1" x14ac:dyDescent="0.35">
      <c r="A12" s="28" t="s">
        <v>58</v>
      </c>
      <c r="B12" s="55" t="str">
        <f>IFERROR(INDEX(DemoInstruments[Name],MATCH(A12,DemoInstruments[Instrument],0)),"Unknown stock")</f>
        <v>Demo Broad ETF</v>
      </c>
      <c r="C12" s="48" t="s">
        <v>232</v>
      </c>
      <c r="D12" s="56">
        <f>IF(NOT(W12),"",IF(U12,Q12,IF(N12&gt;0,N12,"")))</f>
        <v>256.74239999999998</v>
      </c>
      <c r="E12" s="57">
        <f>IFERROR(IF(ISNUMBER(D12),D12/INDEX(History!$B$135:$G$135,1,MATCH(A12,History!$B$6:$G$6,0))-1,""),"")</f>
        <v>-4.9874180955419289E-3</v>
      </c>
      <c r="F12" s="58">
        <f>IF(W12,IF(C12="Yes",1,5),"")</f>
        <v>5</v>
      </c>
      <c r="G12" s="59">
        <f>IF(NOT(W12),"",IF(U12,S12,IF(P12&gt;0,P12,"")))</f>
        <v>46302.618997916667</v>
      </c>
      <c r="H12" s="60" t="str">
        <f ca="1">IF(X12="Synthetic snapshot","Demo price",IF(X12="Follow change: refresh","Waiting for update",IF(X12="Fast quote unavailable","Using 5-min backup",IF(X12="Fast refresh overdue","1-min update overdue",IF(X12="Unknown demo instrument","Unknown stock code",IF(X12="Duplicate instrument","Duplicate stock",X12))))))</f>
        <v>Demo price</v>
      </c>
      <c r="I12" s="54"/>
      <c r="J12" s="29">
        <f>IF(NOT(W12),"",IF(U12,R12,IF(O12&gt;0,O12,"")))</f>
        <v>46283.645833333336</v>
      </c>
      <c r="K12" s="28" t="str">
        <f>IF(NOT(W12),"",IF(U12,"1-min",IF(N12&gt;0,"5-min","None")))</f>
        <v>5-min</v>
      </c>
      <c r="N12">
        <f>IFERROR(INDEX(QuoteData[Price],MATCH(A12,QuoteData[Instrument],0)),0)</f>
        <v>256.74239999999998</v>
      </c>
      <c r="O12">
        <f>IFERROR(INDEX(QuoteData[ObservedAt],MATCH(A12,QuoteData[Instrument],0)),0)</f>
        <v>46283.645833333336</v>
      </c>
      <c r="P12">
        <f>IFERROR(INDEX(QuoteData[RefreshedAt],MATCH(A12,QuoteData[Instrument],0)),0)</f>
        <v>46302.618997916667</v>
      </c>
      <c r="Q12">
        <f>IFERROR(INDEX(FastQuoteData[Price],MATCH(A12,FastQuoteData[Instrument],0)),0)</f>
        <v>0</v>
      </c>
      <c r="R12">
        <f>IFERROR(INDEX(FastQuoteData[ObservedAt],MATCH(A12,FastQuoteData[Instrument],0)),0)</f>
        <v>0</v>
      </c>
      <c r="S12">
        <f>IFERROR(INDEX(FastQuoteData[RefreshedAt],MATCH(A12,FastQuoteData[Instrument],0)),0)</f>
        <v>0</v>
      </c>
      <c r="T12" t="str">
        <f>IFERROR(INDEX(FastQuoteData[FollowSet],MATCH(A12,FastQuoteData[Instrument],0)),"")</f>
        <v/>
      </c>
      <c r="U12" t="b">
        <f t="shared" si="3"/>
        <v>0</v>
      </c>
      <c r="V12" t="str">
        <f>IFERROR(INDEX(FastQuoteData[Status],MATCH(A12,FastQuoteData[Instrument],0)),"Missing")</f>
        <v>Missing</v>
      </c>
      <c r="W12" t="b">
        <f>AND(COUNTIF(DemoInstruments[Instrument],A12)=1,COUNTIF(WatchSettings[Instrument],A12)=1,OR(C12="Yes",C12="No"))</f>
        <v>1</v>
      </c>
      <c r="X12" t="str">
        <f ca="1">IF(COUNTIF(DemoInstruments[Instrument],A12)&lt;&gt;1,"Unknown demo instrument",IF(COUNTIF(WatchSettings[Instrument],A12)&lt;&gt;1,"Duplicate instrument",IF(NOT(OR(C12="Yes",C12="No")),"Choose Yes/No",IF(NOT(ISNUMBER(D12)),"Quote unavailable",IF(AND(C12="Yes",T12&lt;&gt;FollowSelection),"Follow change: refresh",IF(AND(C12="Yes",V12&lt;&gt;"OK"),"Fast quote unavailable",IF(AND(C12="Yes",(NOW()-S12)*1440&gt;2),"Fast refresh overdue",IF((NOW()-G12)*1440&gt;IF(C12="Yes",2,6),"Refresh overdue","Synthetic snapshot"))))))))</f>
        <v>Synthetic snapshot</v>
      </c>
    </row>
    <row r="13" spans="1:24" ht="38" customHeight="1" x14ac:dyDescent="0.35">
      <c r="A13" s="28" t="s">
        <v>61</v>
      </c>
      <c r="B13" s="61" t="str">
        <f>IFERROR(INDEX(DemoInstruments[Name],MATCH(A13,DemoInstruments[Instrument],0)),"Unknown stock")</f>
        <v>Demo Bond ETF</v>
      </c>
      <c r="C13" s="62" t="s">
        <v>232</v>
      </c>
      <c r="D13" s="63">
        <f>IF(NOT(W13),"",IF(U13,Q13,IF(N13&gt;0,N13,"")))</f>
        <v>103.68210000000001</v>
      </c>
      <c r="E13" s="64">
        <f>IFERROR(IF(ISNUMBER(D13),D13/INDEX(History!$B$135:$G$135,1,MATCH(A13,History!$B$6:$G$6,0))-1,""),"")</f>
        <v>-6.4193575437565542E-4</v>
      </c>
      <c r="F13" s="65">
        <f>IF(W13,IF(C13="Yes",1,5),"")</f>
        <v>5</v>
      </c>
      <c r="G13" s="66">
        <f>IF(NOT(W13),"",IF(U13,S13,IF(P13&gt;0,P13,"")))</f>
        <v>46302.618997916667</v>
      </c>
      <c r="H13" s="67" t="str">
        <f ca="1">IF(X13="Synthetic snapshot","Demo price",IF(X13="Follow change: refresh","Waiting for update",IF(X13="Fast quote unavailable","Using 5-min backup",IF(X13="Fast refresh overdue","1-min update overdue",IF(X13="Unknown demo instrument","Unknown stock code",IF(X13="Duplicate instrument","Duplicate stock",X13))))))</f>
        <v>Demo price</v>
      </c>
      <c r="I13" s="68"/>
      <c r="J13" s="31">
        <f>IF(NOT(W13),"",IF(U13,R13,IF(O13&gt;0,O13,"")))</f>
        <v>46283.645833333336</v>
      </c>
      <c r="K13" s="30" t="str">
        <f>IF(NOT(W13),"",IF(U13,"1-min",IF(N13&gt;0,"5-min","None")))</f>
        <v>5-min</v>
      </c>
      <c r="N13">
        <f>IFERROR(INDEX(QuoteData[Price],MATCH(A13,QuoteData[Instrument],0)),0)</f>
        <v>103.68210000000001</v>
      </c>
      <c r="O13">
        <f>IFERROR(INDEX(QuoteData[ObservedAt],MATCH(A13,QuoteData[Instrument],0)),0)</f>
        <v>46283.645833333336</v>
      </c>
      <c r="P13">
        <f>IFERROR(INDEX(QuoteData[RefreshedAt],MATCH(A13,QuoteData[Instrument],0)),0)</f>
        <v>46302.618997916667</v>
      </c>
      <c r="Q13">
        <f>IFERROR(INDEX(FastQuoteData[Price],MATCH(A13,FastQuoteData[Instrument],0)),0)</f>
        <v>0</v>
      </c>
      <c r="R13">
        <f>IFERROR(INDEX(FastQuoteData[ObservedAt],MATCH(A13,FastQuoteData[Instrument],0)),0)</f>
        <v>0</v>
      </c>
      <c r="S13">
        <f>IFERROR(INDEX(FastQuoteData[RefreshedAt],MATCH(A13,FastQuoteData[Instrument],0)),0)</f>
        <v>0</v>
      </c>
      <c r="T13" t="str">
        <f>IFERROR(INDEX(FastQuoteData[FollowSet],MATCH(A13,FastQuoteData[Instrument],0)),"")</f>
        <v/>
      </c>
      <c r="U13" t="b">
        <f t="shared" si="3"/>
        <v>0</v>
      </c>
      <c r="V13" t="str">
        <f>IFERROR(INDEX(FastQuoteData[Status],MATCH(A13,FastQuoteData[Instrument],0)),"Missing")</f>
        <v>Missing</v>
      </c>
      <c r="W13" t="b">
        <f>AND(COUNTIF(DemoInstruments[Instrument],A13)=1,COUNTIF(WatchSettings[Instrument],A13)=1,OR(C13="Yes",C13="No"))</f>
        <v>1</v>
      </c>
      <c r="X13" t="str">
        <f ca="1">IF(COUNTIF(DemoInstruments[Instrument],A13)&lt;&gt;1,"Unknown demo instrument",IF(COUNTIF(WatchSettings[Instrument],A13)&lt;&gt;1,"Duplicate instrument",IF(NOT(OR(C13="Yes",C13="No")),"Choose Yes/No",IF(NOT(ISNUMBER(D13)),"Quote unavailable",IF(AND(C13="Yes",T13&lt;&gt;FollowSelection),"Follow change: refresh",IF(AND(C13="Yes",V13&lt;&gt;"OK"),"Fast quote unavailable",IF(AND(C13="Yes",(NOW()-S13)*1440&gt;2),"Fast refresh overdue",IF((NOW()-G13)*1440&gt;IF(C13="Yes",2,6),"Refresh overdue","Synthetic snapshot"))))))))</f>
        <v>Synthetic snapshot</v>
      </c>
    </row>
    <row r="14" spans="1:24" ht="24" customHeight="1" x14ac:dyDescent="0.35">
      <c r="A14" s="28"/>
      <c r="B14" s="33"/>
      <c r="C14" s="33"/>
      <c r="D14" s="33"/>
      <c r="E14" s="33"/>
      <c r="F14" s="33"/>
      <c r="G14" s="33"/>
      <c r="H14" s="33"/>
      <c r="I14" s="33"/>
      <c r="J14" s="28"/>
      <c r="K14" s="28"/>
    </row>
    <row r="15" spans="1:24" ht="24" customHeight="1" x14ac:dyDescent="0.35">
      <c r="A15" s="28"/>
      <c r="B15" s="69" t="str">
        <f>COUNTIF(WatchSettings[Follow],"Yes")&amp;" followed (1 min) | "&amp;COUNTIF(WatchSettings[Follow],"No")&amp;" others (5 min)"</f>
        <v>2 followed (1 min) | 4 others (5 min)</v>
      </c>
      <c r="C15" s="33"/>
      <c r="D15" s="33"/>
      <c r="E15" s="33"/>
      <c r="F15" s="33"/>
      <c r="G15" s="33"/>
      <c r="H15" s="33"/>
      <c r="I15" s="33"/>
      <c r="J15" s="28"/>
      <c r="K15" s="28"/>
    </row>
    <row r="16" spans="1:24" ht="24" customHeight="1" x14ac:dyDescent="0.35">
      <c r="A16" s="28"/>
      <c r="B16" s="33"/>
      <c r="C16" s="33"/>
      <c r="D16" s="33"/>
      <c r="E16" s="33"/>
      <c r="F16" s="33"/>
      <c r="G16" s="33"/>
      <c r="H16" s="33"/>
      <c r="I16" s="33"/>
      <c r="J16" s="28"/>
      <c r="K16" s="28"/>
    </row>
    <row r="17" spans="1:11" ht="24" customHeight="1" x14ac:dyDescent="0.35">
      <c r="A17" s="28"/>
      <c r="B17" s="33" t="s">
        <v>259</v>
      </c>
      <c r="C17" s="33"/>
      <c r="D17" s="33"/>
      <c r="E17" s="33"/>
      <c r="F17" s="33"/>
      <c r="G17" s="33"/>
      <c r="H17" s="33"/>
      <c r="I17" s="33"/>
      <c r="J17" s="28"/>
      <c r="K17" s="28"/>
    </row>
    <row r="18" spans="1:11" ht="24" customHeight="1" x14ac:dyDescent="0.35">
      <c r="A18" s="28"/>
      <c r="B18" s="33" t="s">
        <v>260</v>
      </c>
      <c r="C18" s="33"/>
      <c r="D18" s="33"/>
      <c r="E18" s="33"/>
      <c r="F18" s="33"/>
      <c r="G18" s="33"/>
      <c r="H18" s="33"/>
      <c r="I18" s="33"/>
      <c r="J18" s="28"/>
      <c r="K18" s="28"/>
    </row>
    <row r="19" spans="1:11" ht="24" customHeight="1" x14ac:dyDescent="0.35">
      <c r="A19" s="28"/>
      <c r="B19" s="33"/>
      <c r="C19" s="33"/>
      <c r="D19" s="33"/>
      <c r="E19" s="33"/>
      <c r="F19" s="33"/>
      <c r="G19" s="33"/>
      <c r="H19" s="33"/>
      <c r="I19" s="33"/>
      <c r="J19" s="28"/>
      <c r="K19" s="28"/>
    </row>
    <row r="20" spans="1:11" ht="24" customHeight="1" x14ac:dyDescent="0.35">
      <c r="A20" s="28"/>
      <c r="B20" s="70" t="s">
        <v>261</v>
      </c>
      <c r="C20" s="33"/>
      <c r="D20" s="33"/>
      <c r="E20" s="33"/>
      <c r="F20" s="33"/>
      <c r="G20" s="33"/>
      <c r="H20" s="33"/>
      <c r="I20" s="33"/>
      <c r="J20" s="28"/>
      <c r="K20" s="28"/>
    </row>
    <row r="21" spans="1:11" ht="24" customHeight="1" x14ac:dyDescent="0.35">
      <c r="A21" s="28"/>
      <c r="B21" s="33"/>
      <c r="C21" s="33"/>
      <c r="D21" s="33"/>
      <c r="E21" s="33"/>
      <c r="F21" s="33"/>
      <c r="G21" s="33"/>
      <c r="H21" s="33"/>
      <c r="I21" s="33"/>
      <c r="J21" s="28"/>
      <c r="K21" s="28"/>
    </row>
    <row r="22" spans="1:11" ht="24" customHeight="1" x14ac:dyDescent="0.35">
      <c r="A22" s="28"/>
      <c r="B22" s="33"/>
      <c r="C22" s="33"/>
      <c r="D22" s="33"/>
      <c r="E22" s="33"/>
      <c r="F22" s="33"/>
      <c r="G22" s="33"/>
      <c r="H22" s="33"/>
      <c r="I22" s="33"/>
      <c r="J22" s="28"/>
      <c r="K22" s="28"/>
    </row>
    <row r="23" spans="1:11" ht="24" customHeight="1" x14ac:dyDescent="0.35">
      <c r="A23" s="28"/>
      <c r="B23" s="33"/>
      <c r="C23" s="33"/>
      <c r="D23" s="33"/>
      <c r="E23" s="33"/>
      <c r="F23" s="33"/>
      <c r="G23" s="33"/>
      <c r="H23" s="33"/>
      <c r="I23" s="33"/>
      <c r="J23" s="28"/>
      <c r="K23" s="28"/>
    </row>
    <row r="24" spans="1:11" ht="24" customHeight="1" x14ac:dyDescent="0.35">
      <c r="A24" s="28"/>
      <c r="B24" s="33"/>
      <c r="C24" s="33"/>
      <c r="D24" s="33"/>
      <c r="E24" s="33"/>
      <c r="F24" s="33"/>
      <c r="G24" s="33"/>
      <c r="H24" s="33"/>
      <c r="I24" s="33"/>
      <c r="J24" s="28"/>
      <c r="K24" s="28"/>
    </row>
    <row r="25" spans="1:11" ht="24" customHeight="1" x14ac:dyDescent="0.35">
      <c r="A25" s="28"/>
      <c r="B25" s="33"/>
      <c r="C25" s="33"/>
      <c r="D25" s="33"/>
      <c r="E25" s="33"/>
      <c r="F25" s="33"/>
      <c r="G25" s="33"/>
      <c r="H25" s="33"/>
      <c r="I25" s="33"/>
      <c r="J25" s="28"/>
      <c r="K25" s="28"/>
    </row>
    <row r="26" spans="1:11" ht="24" customHeight="1" x14ac:dyDescent="0.35">
      <c r="A26" s="28"/>
      <c r="B26" s="33"/>
      <c r="C26" s="33"/>
      <c r="D26" s="33"/>
      <c r="E26" s="33"/>
      <c r="F26" s="33"/>
      <c r="G26" s="33"/>
      <c r="H26" s="33"/>
      <c r="I26" s="33"/>
      <c r="J26" s="28"/>
      <c r="K26" s="28"/>
    </row>
    <row r="27" spans="1:11" ht="24" customHeight="1" x14ac:dyDescent="0.35">
      <c r="A27" s="28"/>
      <c r="B27" s="33"/>
      <c r="C27" s="33"/>
      <c r="D27" s="33"/>
      <c r="E27" s="33"/>
      <c r="F27" s="33"/>
      <c r="G27" s="33"/>
      <c r="H27" s="33"/>
      <c r="I27" s="33"/>
      <c r="J27" s="28"/>
      <c r="K27" s="28"/>
    </row>
    <row r="28" spans="1:11" ht="24" customHeight="1" x14ac:dyDescent="0.35">
      <c r="A28" s="28"/>
      <c r="B28" s="33"/>
      <c r="C28" s="33"/>
      <c r="D28" s="33"/>
      <c r="E28" s="33"/>
      <c r="F28" s="33"/>
      <c r="G28" s="33"/>
      <c r="H28" s="33"/>
      <c r="I28" s="33"/>
      <c r="J28" s="28"/>
      <c r="K28" s="28"/>
    </row>
    <row r="29" spans="1:11" ht="24" customHeight="1" x14ac:dyDescent="0.35">
      <c r="A29" s="28"/>
      <c r="B29" s="33"/>
      <c r="C29" s="33"/>
      <c r="D29" s="33"/>
      <c r="E29" s="33"/>
      <c r="F29" s="33"/>
      <c r="G29" s="33"/>
      <c r="H29" s="33"/>
      <c r="I29" s="33"/>
      <c r="J29" s="28"/>
      <c r="K29" s="28"/>
    </row>
    <row r="30" spans="1:11" ht="24" customHeight="1" x14ac:dyDescent="0.35">
      <c r="A30" s="28"/>
      <c r="B30" s="33"/>
      <c r="C30" s="33"/>
      <c r="D30" s="33"/>
      <c r="E30" s="33"/>
      <c r="F30" s="33"/>
      <c r="G30" s="33"/>
      <c r="H30" s="33"/>
      <c r="I30" s="33"/>
      <c r="J30" s="28"/>
      <c r="K30" s="28"/>
    </row>
    <row r="31" spans="1:11" ht="24" customHeight="1" x14ac:dyDescent="0.35">
      <c r="A31" s="28"/>
      <c r="B31" s="33"/>
      <c r="C31" s="33"/>
      <c r="D31" s="33"/>
      <c r="E31" s="33"/>
      <c r="F31" s="33"/>
      <c r="G31" s="33"/>
      <c r="H31" s="33"/>
      <c r="I31" s="33"/>
      <c r="J31" s="28"/>
      <c r="K31" s="28"/>
    </row>
    <row r="32" spans="1:11" ht="24" customHeight="1" x14ac:dyDescent="0.35">
      <c r="A32" s="28"/>
      <c r="B32" s="33"/>
      <c r="C32" s="33"/>
      <c r="D32" s="33"/>
      <c r="E32" s="33"/>
      <c r="F32" s="33"/>
      <c r="G32" s="33"/>
      <c r="H32" s="33"/>
      <c r="I32" s="33"/>
      <c r="J32" s="28"/>
      <c r="K32" s="28"/>
    </row>
    <row r="33" spans="1:11" ht="24" customHeight="1" x14ac:dyDescent="0.35">
      <c r="A33" s="28"/>
      <c r="B33" s="33"/>
      <c r="C33" s="33"/>
      <c r="D33" s="33"/>
      <c r="E33" s="33"/>
      <c r="F33" s="33"/>
      <c r="G33" s="33"/>
      <c r="H33" s="33"/>
      <c r="I33" s="33"/>
      <c r="J33" s="28"/>
      <c r="K33" s="28"/>
    </row>
    <row r="34" spans="1:11" ht="24" customHeight="1" x14ac:dyDescent="0.35">
      <c r="A34" s="28"/>
      <c r="B34" s="33"/>
      <c r="C34" s="33"/>
      <c r="D34" s="33"/>
      <c r="E34" s="33"/>
      <c r="F34" s="33"/>
      <c r="G34" s="33"/>
      <c r="H34" s="33"/>
      <c r="I34" s="33"/>
      <c r="J34" s="28"/>
      <c r="K34" s="28"/>
    </row>
    <row r="35" spans="1:11" ht="24" customHeight="1" x14ac:dyDescent="0.35">
      <c r="A35" s="28"/>
      <c r="B35" s="33"/>
      <c r="C35" s="33"/>
      <c r="D35" s="33"/>
      <c r="E35" s="33"/>
      <c r="F35" s="33"/>
      <c r="G35" s="33"/>
      <c r="H35" s="33"/>
      <c r="I35" s="33"/>
      <c r="J35" s="28"/>
      <c r="K35" s="28"/>
    </row>
    <row r="36" spans="1:11" ht="24" customHeight="1" x14ac:dyDescent="0.35">
      <c r="A36" s="28"/>
      <c r="B36" s="33"/>
      <c r="C36" s="33"/>
      <c r="D36" s="33"/>
      <c r="E36" s="33"/>
      <c r="F36" s="33"/>
      <c r="G36" s="33"/>
      <c r="H36" s="33"/>
      <c r="I36" s="33"/>
      <c r="J36" s="28"/>
      <c r="K36" s="28"/>
    </row>
    <row r="37" spans="1:11" ht="24" customHeight="1" x14ac:dyDescent="0.35">
      <c r="A37" s="28"/>
      <c r="B37" s="33"/>
      <c r="C37" s="33"/>
      <c r="D37" s="33"/>
      <c r="E37" s="33"/>
      <c r="F37" s="33"/>
      <c r="G37" s="33"/>
      <c r="H37" s="33"/>
      <c r="I37" s="33"/>
      <c r="J37" s="28"/>
      <c r="K37" s="28"/>
    </row>
    <row r="38" spans="1:11" ht="24" customHeight="1" x14ac:dyDescent="0.35">
      <c r="A38" s="28"/>
      <c r="B38" s="33"/>
      <c r="C38" s="33"/>
      <c r="D38" s="33"/>
      <c r="E38" s="33"/>
      <c r="F38" s="33"/>
      <c r="G38" s="33"/>
      <c r="H38" s="33"/>
      <c r="I38" s="33"/>
      <c r="J38" s="28"/>
      <c r="K38" s="28"/>
    </row>
    <row r="39" spans="1:11" ht="24" customHeight="1" x14ac:dyDescent="0.35">
      <c r="A39" s="28"/>
      <c r="B39" s="33"/>
      <c r="C39" s="33"/>
      <c r="D39" s="33"/>
      <c r="E39" s="33"/>
      <c r="F39" s="33"/>
      <c r="G39" s="33"/>
      <c r="H39" s="33"/>
      <c r="I39" s="33"/>
      <c r="J39" s="28"/>
      <c r="K39" s="28"/>
    </row>
    <row r="40" spans="1:11" ht="24" customHeight="1" x14ac:dyDescent="0.35">
      <c r="A40" s="28"/>
      <c r="B40" s="33"/>
      <c r="C40" s="33"/>
      <c r="D40" s="33"/>
      <c r="E40" s="33"/>
      <c r="F40" s="33"/>
      <c r="G40" s="33"/>
      <c r="H40" s="33"/>
      <c r="I40" s="33"/>
      <c r="J40" s="28"/>
      <c r="K40" s="28"/>
    </row>
    <row r="41" spans="1:11" ht="24" customHeight="1" x14ac:dyDescent="0.35">
      <c r="A41" s="28"/>
      <c r="B41" s="33"/>
      <c r="C41" s="33"/>
      <c r="D41" s="33"/>
      <c r="E41" s="33"/>
      <c r="F41" s="33"/>
      <c r="G41" s="33"/>
      <c r="H41" s="33"/>
      <c r="I41" s="33"/>
      <c r="J41" s="28"/>
      <c r="K41" s="28"/>
    </row>
    <row r="42" spans="1:11" ht="24" customHeight="1" x14ac:dyDescent="0.35">
      <c r="A42" s="28"/>
      <c r="B42" s="33"/>
      <c r="C42" s="33"/>
      <c r="D42" s="33"/>
      <c r="E42" s="33"/>
      <c r="F42" s="33"/>
      <c r="G42" s="33"/>
      <c r="H42" s="33"/>
      <c r="I42" s="33"/>
      <c r="J42" s="28"/>
      <c r="K42" s="28"/>
    </row>
  </sheetData>
  <mergeCells count="1">
    <mergeCell ref="B2:I2"/>
  </mergeCells>
  <conditionalFormatting sqref="H8:H13">
    <cfRule type="expression" dxfId="65" priority="1" stopIfTrue="1">
      <formula>$X8&lt;&gt;"Synthetic snapshot"</formula>
    </cfRule>
  </conditionalFormatting>
  <dataValidations count="1">
    <dataValidation type="list" allowBlank="1" showInputMessage="1" showErrorMessage="1" errorTitle="Choose Yes or No" error="Yes follows this stock every minute. No keeps five-minute monitoring." promptTitle="Follow this stock?" prompt="Yes = 1 minute. No = 5 minutes." sqref="C8:C13" xr:uid="{40FA4356-770E-47CD-B3AC-8E02CD708F5C}">
      <formula1>"Yes,No"</formula1>
    </dataValidation>
  </dataValidations>
  <hyperlinks>
    <hyperlink ref="B3" location="'Holdings'!A1" tooltip="Holdings" display="Holdings" xr:uid="{FD33C5EB-AB0B-4C8E-8FAD-8CAB9479C5B7}"/>
    <hyperlink ref="D3" location="'Transactions'!A1" tooltip="Transactions" display="Transactions" xr:uid="{4F010D05-D6E6-45DE-B08C-4A72A781EAB5}"/>
    <hyperlink ref="F3" location="'Portfolio'!A1" tooltip="Portfolio" display="Portfolio" xr:uid="{B5BDEBAB-C911-4D01-8FB9-4F44AFA3AF22}"/>
    <hyperlink ref="I3" location="'Help'!A1" tooltip="Help" display="Help" xr:uid="{B3145F31-63D9-4E25-BE16-CDCB1C98559E}"/>
    <hyperlink ref="B20" location="'Help'!A1" tooltip="Help and stock codes" display="Help and stock codes" xr:uid="{B28835D9-D585-4125-99C9-C35DEC2407F8}"/>
    <hyperlink ref="G3" location="'Trade plan'!B2" tooltip="Trade plan" display="Trade plan" xr:uid="{273EC0F0-4B97-4193-A4D2-7DE2AF6F67AE}"/>
    <hyperlink ref="H3" location="'Stock view'!B2" tooltip="Stock view" display="Stock view" xr:uid="{9F5B6D3C-9335-4FF3-A338-AE9D561E34DE}"/>
    <hyperlink ref="E3" location="'Headlines'!B2" tooltip="Headlines" display="Headlines" xr:uid="{9BF1AB54-BCAF-4F09-82C2-681602F26CA2}"/>
  </hyperlinks>
  <pageMargins left="0.27777777777777779" right="0.27777777777777779" top="0.27777777777777779" bottom="0.27777777777777779" header="0.3" footer="0.3"/>
  <pageSetup paperSize="8" orientation="landscape"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B47A4-6FB2-4F25-9D79-E157E99AED85}">
  <sheetPr>
    <tabColor rgb="FF6CCAD9"/>
    <pageSetUpPr fitToPage="1"/>
  </sheetPr>
  <dimension ref="A1:O1044"/>
  <sheetViews>
    <sheetView showGridLines="0" topLeftCell="B1" zoomScale="85" zoomScaleNormal="85" workbookViewId="0">
      <pane ySplit="3" topLeftCell="A4" activePane="bottomLeft" state="frozenSplit"/>
      <selection activeCell="B1" sqref="B1"/>
      <selection pane="bottomLeft" activeCell="B2" sqref="B2"/>
    </sheetView>
  </sheetViews>
  <sheetFormatPr defaultRowHeight="14.5" x14ac:dyDescent="0.35"/>
  <cols>
    <col min="1" max="1" width="4" hidden="1" customWidth="1"/>
    <col min="2" max="2" width="16" customWidth="1"/>
    <col min="3" max="3" width="14" customWidth="1"/>
    <col min="4" max="4" width="11" customWidth="1"/>
    <col min="5" max="5" width="14" customWidth="1"/>
    <col min="6" max="7" width="15" customWidth="1"/>
    <col min="8" max="8" width="24" customWidth="1"/>
    <col min="9" max="9" width="3" customWidth="1"/>
    <col min="10" max="10" width="17" customWidth="1"/>
    <col min="11" max="11" width="18" customWidth="1"/>
    <col min="12" max="12" width="14" customWidth="1"/>
    <col min="13" max="13" width="3" customWidth="1"/>
    <col min="14" max="15" width="14" hidden="1" customWidth="1"/>
  </cols>
  <sheetData>
    <row r="1" spans="1:15" ht="22" customHeight="1" x14ac:dyDescent="0.35">
      <c r="A1" s="136"/>
      <c r="B1" s="137"/>
      <c r="C1" s="137"/>
      <c r="D1" s="137"/>
      <c r="E1" s="137"/>
      <c r="F1" s="137"/>
      <c r="G1" s="137"/>
      <c r="H1" s="137"/>
      <c r="I1" s="137"/>
      <c r="J1" s="137"/>
      <c r="K1" s="137"/>
      <c r="L1" s="137"/>
      <c r="M1" s="136"/>
      <c r="N1" s="136"/>
      <c r="O1" s="136"/>
    </row>
    <row r="2" spans="1:15" ht="22" customHeight="1" x14ac:dyDescent="0.35">
      <c r="A2" s="136">
        <v>1000</v>
      </c>
      <c r="B2" s="138" t="s">
        <v>369</v>
      </c>
      <c r="C2" s="137"/>
      <c r="D2" s="137"/>
      <c r="E2" s="137"/>
      <c r="F2" s="137"/>
      <c r="G2" s="137"/>
      <c r="H2" s="137"/>
      <c r="I2" s="137"/>
      <c r="J2" s="137"/>
      <c r="K2" s="137"/>
      <c r="L2" s="137"/>
      <c r="M2" s="136"/>
      <c r="N2" s="136"/>
      <c r="O2" s="136"/>
    </row>
    <row r="3" spans="1:15" ht="22" customHeight="1" x14ac:dyDescent="0.35">
      <c r="A3" s="136"/>
      <c r="B3" s="161" t="s">
        <v>320</v>
      </c>
      <c r="C3" s="137"/>
      <c r="D3" s="137"/>
      <c r="E3" s="161" t="s">
        <v>323</v>
      </c>
      <c r="F3" s="137"/>
      <c r="G3" s="137"/>
      <c r="H3" s="161" t="s">
        <v>317</v>
      </c>
      <c r="I3" s="137"/>
      <c r="J3" s="161" t="s">
        <v>398</v>
      </c>
      <c r="K3" s="161" t="s">
        <v>319</v>
      </c>
      <c r="L3" s="137"/>
      <c r="M3" s="136"/>
      <c r="N3" s="136"/>
      <c r="O3" s="136"/>
    </row>
    <row r="4" spans="1:15" ht="22" customHeight="1" x14ac:dyDescent="0.35">
      <c r="A4" s="136"/>
      <c r="B4" s="136"/>
      <c r="C4" s="136"/>
      <c r="D4" s="136"/>
      <c r="E4" s="136"/>
      <c r="F4" s="136"/>
      <c r="G4" s="136"/>
      <c r="H4" s="136"/>
      <c r="I4" s="136"/>
      <c r="J4" s="136"/>
      <c r="K4" s="136"/>
      <c r="L4" s="136"/>
      <c r="M4" s="136"/>
      <c r="N4" s="136"/>
      <c r="O4" s="136"/>
    </row>
    <row r="5" spans="1:15" ht="28" customHeight="1" x14ac:dyDescent="0.35">
      <c r="A5" s="136" t="str">
        <f>IF(COUNTIFS(DemoInstruments[Name],D5)&lt;&gt;1,"",INDEX(DemoInstruments[Instrument],MATCH(D5,DemoInstruments[Name],0)))</f>
        <v>SYN_BANK</v>
      </c>
      <c r="B5" s="136" t="s">
        <v>158</v>
      </c>
      <c r="C5" s="136"/>
      <c r="D5" s="238" t="s">
        <v>47</v>
      </c>
      <c r="E5" s="238"/>
      <c r="F5" s="238"/>
      <c r="G5" s="238"/>
      <c r="H5" s="238"/>
      <c r="I5" s="136"/>
      <c r="J5" s="136" t="s">
        <v>370</v>
      </c>
      <c r="K5" s="238" t="s">
        <v>371</v>
      </c>
      <c r="L5" s="238"/>
      <c r="M5" s="136"/>
      <c r="N5" s="136"/>
      <c r="O5" s="136"/>
    </row>
    <row r="6" spans="1:15" ht="22" customHeight="1" x14ac:dyDescent="0.35">
      <c r="A6" s="136">
        <f>COUNTIFS(StockSplitRules[Instrument],A5)</f>
        <v>0</v>
      </c>
      <c r="B6" s="239" t="s">
        <v>541</v>
      </c>
      <c r="C6" s="239"/>
      <c r="D6" s="239"/>
      <c r="E6" s="239"/>
      <c r="F6" s="239"/>
      <c r="G6" s="239"/>
      <c r="H6" s="239"/>
      <c r="I6" s="239"/>
      <c r="J6" s="239"/>
      <c r="K6" s="239"/>
      <c r="L6" s="239"/>
      <c r="M6" s="136"/>
      <c r="N6" s="136"/>
      <c r="O6" s="136"/>
    </row>
    <row r="7" spans="1:15" ht="22" customHeight="1" x14ac:dyDescent="0.35">
      <c r="A7" s="136">
        <f>IF(A6=1,INDEX(StockSplitRules[Split date],MATCH(A5,StockSplitRules[Instrument],0)),0)</f>
        <v>0</v>
      </c>
      <c r="B7" s="136"/>
      <c r="C7" s="136"/>
      <c r="D7" s="136"/>
      <c r="E7" s="136"/>
      <c r="F7" s="136"/>
      <c r="G7" s="136"/>
      <c r="H7" s="136"/>
      <c r="I7" s="136"/>
      <c r="J7" s="136"/>
      <c r="K7" s="136"/>
      <c r="L7" s="136"/>
      <c r="M7" s="136"/>
      <c r="N7" s="136"/>
      <c r="O7" s="136"/>
    </row>
    <row r="8" spans="1:15" ht="22" customHeight="1" x14ac:dyDescent="0.35">
      <c r="A8" s="136">
        <f>IF(A6=1,INDEX(StockSplitRules[New / old shares],MATCH(A5,StockSplitRules[Instrument],0)),1)</f>
        <v>1</v>
      </c>
      <c r="B8" s="139" t="s">
        <v>372</v>
      </c>
      <c r="C8" s="136"/>
      <c r="D8" s="136"/>
      <c r="E8" s="136"/>
      <c r="F8" s="139" t="s">
        <v>373</v>
      </c>
      <c r="G8" s="136"/>
      <c r="H8" s="136"/>
      <c r="I8" s="136"/>
      <c r="J8" s="139" t="s">
        <v>374</v>
      </c>
      <c r="K8" s="136"/>
      <c r="L8" s="136"/>
      <c r="M8" s="136"/>
      <c r="N8" s="136"/>
      <c r="O8" s="136"/>
    </row>
    <row r="9" spans="1:15" ht="34" customHeight="1" x14ac:dyDescent="0.35">
      <c r="A9" s="136"/>
      <c r="B9" s="240">
        <f>IF($A$23=0,"n.a.",INDEX(WatchSettings[Price (INR)],$A$23))</f>
        <v>547.4307</v>
      </c>
      <c r="C9" s="241"/>
      <c r="D9" s="241"/>
      <c r="E9" s="241"/>
      <c r="F9" s="242">
        <f>IF($A$13&lt;&gt;"Ready","n.a.",IF($A$10&lt;22,"n.a.",INDEX(StockDaily[Adjusted close],$A$10)/INDEX(StockDaily[Adjusted close],$A$10-21)-1))</f>
        <v>-2.6105456865953891E-2</v>
      </c>
      <c r="G9" s="241"/>
      <c r="H9" s="241"/>
      <c r="I9" s="241"/>
      <c r="J9" s="242">
        <f>IF($A$13&lt;&gt;"Ready","n.a.",IF($A$10&lt;64,"n.a.",INDEX(StockDaily[Adjusted close],$A$10)/INDEX(StockDaily[Adjusted close],$A$10-63)-1))</f>
        <v>1.9857034271534291E-2</v>
      </c>
      <c r="K9" s="241"/>
      <c r="L9" s="241"/>
      <c r="M9" s="136"/>
      <c r="N9" s="136"/>
      <c r="O9" s="136"/>
    </row>
    <row r="10" spans="1:15" ht="22" customHeight="1" x14ac:dyDescent="0.35">
      <c r="A10" s="136">
        <f>ROWS(DemoHistory[Date])</f>
        <v>130</v>
      </c>
      <c r="B10" s="136"/>
      <c r="C10" s="136"/>
      <c r="D10" s="136"/>
      <c r="E10" s="136"/>
      <c r="F10" s="136"/>
      <c r="G10" s="136"/>
      <c r="H10" s="136"/>
      <c r="I10" s="136"/>
      <c r="J10" s="136"/>
      <c r="K10" s="136"/>
      <c r="L10" s="136"/>
      <c r="M10" s="136"/>
      <c r="N10" s="136"/>
      <c r="O10" s="136"/>
    </row>
    <row r="11" spans="1:15" ht="24" customHeight="1" x14ac:dyDescent="0.35">
      <c r="A11" s="136">
        <f>MAX(1,MIN(A10,A2)-IF(K5="21 closes",21,IF(K5="63 closes",63,MIN(A10,A2)))+1)</f>
        <v>1</v>
      </c>
      <c r="B11" s="232" t="str">
        <f ca="1">IF($A$23=0,"No unique Watchlist quote",INDEX(WatchSettings[Status],$A$23)&amp;". Market time: "&amp;IF(ISNUMBER(INDEX(WatchSettings[Price observed],$A$23)),TEXT(INDEX(WatchSettings[Price observed],$A$23),"dd mmm yyyy hh:mm")&amp;" IST","unavailable")&amp;". Refresh: "&amp;INDEX(WatchSettings[Refresh],$A$23)&amp;" min.")</f>
        <v>Demo price. Market time: 18 Sep 2026 15:30 IST. Refresh: 1 min.</v>
      </c>
      <c r="C11" s="232"/>
      <c r="D11" s="232"/>
      <c r="E11" s="232"/>
      <c r="F11" s="232"/>
      <c r="G11" s="232"/>
      <c r="H11" s="232"/>
      <c r="I11" s="232"/>
      <c r="J11" s="232"/>
      <c r="K11" s="232"/>
      <c r="L11" s="232"/>
      <c r="M11" s="136"/>
      <c r="N11" s="136"/>
      <c r="O11" s="136"/>
    </row>
    <row r="12" spans="1:15" ht="24" customHeight="1" x14ac:dyDescent="0.35">
      <c r="A12" s="136" t="b">
        <f>IF(A6=0,TRUE,IF(A6&lt;&gt;1,FALSE,IF(COUNT(A7:A8)&lt;&gt;2,FALSE,AND(A7&gt;0,A7=INT(A7),A8&gt;0))))</f>
        <v>1</v>
      </c>
      <c r="B12" s="232" t="str">
        <f>IF($A$13&lt;&gt;"Ready",$A$13,"Daily history: "&amp;TEXT(MIN(DemoHistory[Date]),"dd mmm yyyy")&amp;" to "&amp;TEXT($A$24,"dd mmm yyyy")&amp;". "&amp;$A$10&amp;" observations. Returns use completed closes, not the current quote.")</f>
        <v>Daily history: 23 Mar 2026 to 18 Sep 2026. 130 observations. Returns use completed closes, not the current quote.</v>
      </c>
      <c r="C12" s="232"/>
      <c r="D12" s="232"/>
      <c r="E12" s="232"/>
      <c r="F12" s="232"/>
      <c r="G12" s="232"/>
      <c r="H12" s="232"/>
      <c r="I12" s="232"/>
      <c r="J12" s="232"/>
      <c r="K12" s="232"/>
      <c r="L12" s="232"/>
      <c r="M12" s="136"/>
      <c r="N12" s="136"/>
      <c r="O12" s="136"/>
    </row>
    <row r="13" spans="1:15" ht="22" customHeight="1" x14ac:dyDescent="0.35">
      <c r="A13" s="136" t="str">
        <f>IF(A5="","Choose a stock",IF(NOT(OR(K5="All closes",K5="63 closes",K5="21 closes")),"Choose a chart range",IF(A10&gt;A2,"History exceeds 1,000 rows; extend and validate the view",IF(COUNT(DemoHistory[Date])=0,"No dated daily history",IF(NOT(A12),"Check split rule",IF(COUNTIFS(StockDaily[Row status],"OK")&lt;&gt;MIN(A10,A2),"Check daily history for missing prices or invalid dates","Ready"))))))</f>
        <v>Ready</v>
      </c>
      <c r="B13" s="136"/>
      <c r="C13" s="136"/>
      <c r="D13" s="136"/>
      <c r="E13" s="136"/>
      <c r="F13" s="136"/>
      <c r="G13" s="136"/>
      <c r="H13" s="136"/>
      <c r="I13" s="136"/>
      <c r="J13" s="136"/>
      <c r="K13" s="136"/>
      <c r="L13" s="136"/>
      <c r="M13" s="136"/>
      <c r="N13" s="136"/>
      <c r="O13" s="136"/>
    </row>
    <row r="14" spans="1:15" ht="22" customHeight="1" x14ac:dyDescent="0.35">
      <c r="A14" s="136"/>
      <c r="B14" s="139" t="s">
        <v>375</v>
      </c>
      <c r="C14" s="136"/>
      <c r="D14" s="136"/>
      <c r="E14" s="136"/>
      <c r="F14" s="139" t="s">
        <v>376</v>
      </c>
      <c r="G14" s="136"/>
      <c r="H14" s="136"/>
      <c r="I14" s="136"/>
      <c r="J14" s="139" t="s">
        <v>377</v>
      </c>
      <c r="K14" s="136"/>
      <c r="L14" s="136"/>
      <c r="M14" s="136"/>
      <c r="N14" s="136"/>
      <c r="O14" s="136"/>
    </row>
    <row r="15" spans="1:15" ht="34" customHeight="1" x14ac:dyDescent="0.35">
      <c r="A15" s="136"/>
      <c r="B15" s="240">
        <f>IF($A$13&lt;&gt;"Ready","n.a.",INDEX(StockDaily[50-session average],$A$10))</f>
        <v>565.72541199999989</v>
      </c>
      <c r="C15" s="241"/>
      <c r="D15" s="241"/>
      <c r="E15" s="241"/>
      <c r="F15" s="240" t="str">
        <f>IF($A$13&lt;&gt;"Ready","n.a.",INDEX(StockDaily[200-session average],$A$10))</f>
        <v>n.a.</v>
      </c>
      <c r="G15" s="241"/>
      <c r="H15" s="241"/>
      <c r="I15" s="241"/>
      <c r="J15" s="243" t="str">
        <f>IF($A$13&lt;&gt;"Ready","n.a.",IF($A$10&lt;63,"n.a.",TEXT(MIN(INDEX(StockDaily[Adjusted close],$A$10-62):INDEX(StockDaily[Adjusted close],$A$10)),"#,##0.00")&amp;" to "&amp;TEXT(MAX(INDEX(StockDaily[Adjusted close],$A$10-62):INDEX(StockDaily[Adjusted close],$A$10)),"#,##0.00")))</f>
        <v>540.26 to 591.48</v>
      </c>
      <c r="K15" s="241"/>
      <c r="L15" s="241"/>
      <c r="M15" s="136"/>
      <c r="N15" s="136"/>
      <c r="O15" s="136"/>
    </row>
    <row r="16" spans="1:15" ht="22" customHeight="1" x14ac:dyDescent="0.35">
      <c r="A16" s="136"/>
      <c r="B16" s="136"/>
      <c r="C16" s="136"/>
      <c r="D16" s="136"/>
      <c r="E16" s="136"/>
      <c r="F16" s="136"/>
      <c r="G16" s="136"/>
      <c r="H16" s="136"/>
      <c r="I16" s="136"/>
      <c r="J16" s="136"/>
      <c r="K16" s="136"/>
      <c r="L16" s="136"/>
      <c r="M16" s="136"/>
      <c r="N16" s="136"/>
      <c r="O16" s="136"/>
    </row>
    <row r="17" spans="1:15" ht="30" customHeight="1" x14ac:dyDescent="0.35">
      <c r="A17" s="136"/>
      <c r="B17" s="237" t="str">
        <f>IF($A$13&lt;&gt;"Ready",$A$13,IF($A$10&lt;200,"200-session average needs 200 closes; "&amp;$A$10&amp;" available. ","")&amp;"Split-adjusted prices. Dividends excluded.")</f>
        <v>200-session average needs 200 closes; 130 available. Split-adjusted prices. Dividends excluded.</v>
      </c>
      <c r="C17" s="237"/>
      <c r="D17" s="237"/>
      <c r="E17" s="237"/>
      <c r="F17" s="237"/>
      <c r="G17" s="237"/>
      <c r="H17" s="237"/>
      <c r="I17" s="237"/>
      <c r="J17" s="237"/>
      <c r="K17" s="237"/>
      <c r="L17" s="237"/>
      <c r="M17" s="136"/>
      <c r="N17" s="136"/>
      <c r="O17" s="136"/>
    </row>
    <row r="18" spans="1:15" ht="22" customHeight="1" x14ac:dyDescent="0.35">
      <c r="A18" s="136"/>
      <c r="B18" s="136"/>
      <c r="C18" s="136"/>
      <c r="D18" s="136"/>
      <c r="E18" s="136"/>
      <c r="F18" s="136"/>
      <c r="G18" s="136"/>
      <c r="H18" s="136"/>
      <c r="I18" s="136"/>
      <c r="J18" s="136"/>
      <c r="K18" s="136"/>
      <c r="L18" s="136"/>
      <c r="M18" s="136"/>
      <c r="N18" s="136"/>
      <c r="O18" s="136"/>
    </row>
    <row r="19" spans="1:15" ht="22" customHeight="1" x14ac:dyDescent="0.35">
      <c r="A19" s="136"/>
      <c r="B19" s="140" t="s">
        <v>378</v>
      </c>
      <c r="C19" s="136"/>
      <c r="D19" s="136"/>
      <c r="E19" s="136"/>
      <c r="F19" s="136"/>
      <c r="G19" s="136"/>
      <c r="H19" s="136"/>
      <c r="I19" s="136"/>
      <c r="J19" s="136"/>
      <c r="K19" s="136"/>
      <c r="L19" s="136"/>
      <c r="M19" s="136"/>
      <c r="N19" s="136"/>
      <c r="O19" s="136"/>
    </row>
    <row r="20" spans="1:15" ht="22" customHeight="1" x14ac:dyDescent="0.35">
      <c r="A20" s="136"/>
      <c r="B20" s="136" t="s">
        <v>335</v>
      </c>
      <c r="C20" s="136"/>
      <c r="D20" s="234">
        <f>IF($A$22=0,"n.a.",IF(COUNT(INDEX(PlanInputs[Entry],$A$22))&lt;&gt;1,"n.a.",IF(INDEX(PlanInputs[Entry],$A$22)&lt;=0,"n.a.",INDEX(PlanInputs[Entry],$A$22))))</f>
        <v>550</v>
      </c>
      <c r="E20" s="235"/>
      <c r="F20" s="167" t="s">
        <v>336</v>
      </c>
      <c r="G20" s="136"/>
      <c r="H20" s="166">
        <f>IF($A$22=0,"n.a.",IF(COUNT(INDEX(PlanInputs[Stop],$A$22))&lt;&gt;1,"n.a.",IF(INDEX(PlanInputs[Stop],$A$22)&lt;=0,"n.a.",INDEX(PlanInputs[Stop],$A$22))))</f>
        <v>525</v>
      </c>
      <c r="I20" s="136"/>
      <c r="J20" s="167" t="s">
        <v>337</v>
      </c>
      <c r="K20" s="234">
        <f>IF($A$22=0,"n.a.",IF(COUNT(INDEX(PlanInputs[Target],$A$22))&lt;&gt;1,"n.a.",IF(INDEX(PlanInputs[Target],$A$22)&lt;=0,"n.a.",INDEX(PlanInputs[Target],$A$22))))</f>
        <v>600</v>
      </c>
      <c r="L20" s="235"/>
      <c r="M20" s="136"/>
      <c r="N20" s="136"/>
      <c r="O20" s="136"/>
    </row>
    <row r="21" spans="1:15" ht="22" customHeight="1" x14ac:dyDescent="0.35">
      <c r="A21" s="136" t="str">
        <f>"PLAN-"&amp;A5</f>
        <v>PLAN-SYN_BANK</v>
      </c>
      <c r="B21" s="136" t="s">
        <v>379</v>
      </c>
      <c r="C21" s="136"/>
      <c r="D21" s="236">
        <f>IF(AND(ISNUMBER($B$9),ISNUMBER(D20)),IF(D20&gt;0,$B$9/D20-1,"n.a."),"n.a.")</f>
        <v>-4.6714545454545897E-3</v>
      </c>
      <c r="E21" s="235"/>
      <c r="F21" s="167" t="s">
        <v>380</v>
      </c>
      <c r="G21" s="136"/>
      <c r="H21" s="168">
        <f>IF(AND(ISNUMBER($B$9),ISNUMBER(H20)),IF(H20&gt;0,$B$9/H20-1,"n.a."),"n.a.")</f>
        <v>4.2725142857142906E-2</v>
      </c>
      <c r="I21" s="136"/>
      <c r="J21" s="167" t="s">
        <v>381</v>
      </c>
      <c r="K21" s="236">
        <f>IF(AND(ISNUMBER($B$9),ISNUMBER(K20)),IF(K20&gt;0,$B$9/K20-1,"n.a."),"n.a.")</f>
        <v>-8.7615499999999957E-2</v>
      </c>
      <c r="L21" s="235"/>
      <c r="M21" s="136"/>
      <c r="N21" s="136"/>
      <c r="O21" s="136"/>
    </row>
    <row r="22" spans="1:15" ht="22" customHeight="1" x14ac:dyDescent="0.35">
      <c r="A22" s="136">
        <f>IF(COUNTIFS(PlanInputs[PlanID],A21)=1,MATCH(A21,PlanInputs[PlanID],0),0)</f>
        <v>1</v>
      </c>
      <c r="B22" s="233" t="str">
        <f>IF(COUNTIFS(PlanResults[PlanID],$A$21)&lt;&gt;1,"No unique draft", "Draft: "&amp;INDEX(PlanResults[Plan status],MATCH($A$21,PlanResults[PlanID],0)))</f>
        <v>Draft: Calculated draft</v>
      </c>
      <c r="C22" s="233"/>
      <c r="D22" s="233"/>
      <c r="E22" s="233"/>
      <c r="F22" s="233"/>
      <c r="G22" s="233"/>
      <c r="H22" s="233"/>
      <c r="I22" s="233"/>
      <c r="J22" s="233"/>
      <c r="K22" s="233"/>
      <c r="L22" s="233"/>
      <c r="M22" s="136"/>
      <c r="N22" s="136"/>
      <c r="O22" s="136"/>
    </row>
    <row r="23" spans="1:15" ht="22" customHeight="1" x14ac:dyDescent="0.35">
      <c r="A23" s="136">
        <f>IF(COUNTIFS(WatchSettings[Instrument],A5)=1,MATCH(A5,WatchSettings[Instrument],0),0)</f>
        <v>1</v>
      </c>
      <c r="B23" s="232" t="s">
        <v>382</v>
      </c>
      <c r="C23" s="232"/>
      <c r="D23" s="232"/>
      <c r="E23" s="232"/>
      <c r="F23" s="232"/>
      <c r="G23" s="232"/>
      <c r="H23" s="232"/>
      <c r="I23" s="232"/>
      <c r="J23" s="232"/>
      <c r="K23" s="232"/>
      <c r="L23" s="232"/>
      <c r="M23" s="136"/>
      <c r="N23" s="136"/>
      <c r="O23" s="136"/>
    </row>
    <row r="24" spans="1:15" ht="22" customHeight="1" x14ac:dyDescent="0.35">
      <c r="A24" s="136">
        <f>IF(A13="Ready",MAX(DemoHistory[Date]),0)</f>
        <v>46283</v>
      </c>
      <c r="B24" s="136"/>
      <c r="C24" s="136"/>
      <c r="D24" s="136"/>
      <c r="E24" s="136"/>
      <c r="F24" s="136"/>
      <c r="G24" s="136"/>
      <c r="H24" s="136"/>
      <c r="I24" s="136"/>
      <c r="J24" s="136"/>
      <c r="K24" s="136"/>
      <c r="L24" s="136"/>
      <c r="M24" s="136"/>
      <c r="N24" s="136"/>
      <c r="O24" s="136"/>
    </row>
    <row r="25" spans="1:15" ht="22" customHeight="1" x14ac:dyDescent="0.35">
      <c r="A25" s="136"/>
      <c r="B25" s="136"/>
      <c r="C25" s="136"/>
      <c r="D25" s="136"/>
      <c r="E25" s="136"/>
      <c r="F25" s="136"/>
      <c r="G25" s="136"/>
      <c r="H25" s="136"/>
      <c r="I25" s="136"/>
      <c r="J25" s="136"/>
      <c r="K25" s="136"/>
      <c r="L25" s="136"/>
      <c r="M25" s="136"/>
      <c r="N25" s="136"/>
      <c r="O25" s="136"/>
    </row>
    <row r="26" spans="1:15" ht="22" customHeight="1" x14ac:dyDescent="0.35">
      <c r="A26" s="136"/>
      <c r="B26" s="136"/>
      <c r="C26" s="136"/>
      <c r="D26" s="136"/>
      <c r="E26" s="136"/>
      <c r="F26" s="136"/>
      <c r="G26" s="136"/>
      <c r="H26" s="136"/>
      <c r="I26" s="136"/>
      <c r="J26" s="136"/>
      <c r="K26" s="136"/>
      <c r="L26" s="136"/>
      <c r="M26" s="136"/>
      <c r="N26" s="136"/>
      <c r="O26" s="136"/>
    </row>
    <row r="27" spans="1:15" ht="22" customHeight="1" x14ac:dyDescent="0.35">
      <c r="A27" s="136"/>
      <c r="B27" s="136"/>
      <c r="C27" s="136"/>
      <c r="D27" s="136"/>
      <c r="E27" s="136"/>
      <c r="F27" s="136"/>
      <c r="G27" s="136"/>
      <c r="H27" s="136"/>
      <c r="I27" s="136"/>
      <c r="J27" s="136"/>
      <c r="K27" s="136"/>
      <c r="L27" s="136"/>
      <c r="M27" s="136"/>
      <c r="N27" s="136"/>
      <c r="O27" s="136"/>
    </row>
    <row r="28" spans="1:15" ht="22" customHeight="1" x14ac:dyDescent="0.35">
      <c r="A28" s="136"/>
      <c r="B28" s="136"/>
      <c r="C28" s="136"/>
      <c r="D28" s="136"/>
      <c r="E28" s="136"/>
      <c r="F28" s="136"/>
      <c r="G28" s="136"/>
      <c r="H28" s="136"/>
      <c r="I28" s="136"/>
      <c r="J28" s="136"/>
      <c r="K28" s="136"/>
      <c r="L28" s="136"/>
      <c r="M28" s="136"/>
      <c r="N28" s="136"/>
      <c r="O28" s="136"/>
    </row>
    <row r="29" spans="1:15" ht="22" customHeight="1" x14ac:dyDescent="0.35">
      <c r="A29" s="136"/>
      <c r="B29" s="136"/>
      <c r="C29" s="136"/>
      <c r="D29" s="136"/>
      <c r="E29" s="136"/>
      <c r="F29" s="136"/>
      <c r="G29" s="136"/>
      <c r="H29" s="136"/>
      <c r="I29" s="136"/>
      <c r="J29" s="136"/>
      <c r="K29" s="136"/>
      <c r="L29" s="136"/>
      <c r="M29" s="136"/>
      <c r="N29" s="136"/>
      <c r="O29" s="136"/>
    </row>
    <row r="30" spans="1:15" ht="22" customHeight="1" x14ac:dyDescent="0.35">
      <c r="A30" s="136"/>
      <c r="B30" s="136"/>
      <c r="C30" s="136"/>
      <c r="D30" s="136"/>
      <c r="E30" s="136"/>
      <c r="F30" s="136"/>
      <c r="G30" s="136"/>
      <c r="H30" s="136"/>
      <c r="I30" s="136"/>
      <c r="J30" s="136"/>
      <c r="K30" s="136"/>
      <c r="L30" s="136"/>
      <c r="M30" s="136"/>
      <c r="N30" s="136"/>
      <c r="O30" s="136"/>
    </row>
    <row r="31" spans="1:15" ht="22" customHeight="1" x14ac:dyDescent="0.35">
      <c r="A31" s="136"/>
      <c r="B31" s="136"/>
      <c r="C31" s="136"/>
      <c r="D31" s="136"/>
      <c r="E31" s="136"/>
      <c r="F31" s="136"/>
      <c r="G31" s="136"/>
      <c r="H31" s="136"/>
      <c r="I31" s="136"/>
      <c r="J31" s="136"/>
      <c r="K31" s="136"/>
      <c r="L31" s="136"/>
      <c r="M31" s="136"/>
      <c r="N31" s="136"/>
      <c r="O31" s="136"/>
    </row>
    <row r="32" spans="1:15" ht="22" customHeight="1" x14ac:dyDescent="0.35">
      <c r="A32" s="136"/>
      <c r="B32" s="136"/>
      <c r="C32" s="136"/>
      <c r="D32" s="136"/>
      <c r="E32" s="136"/>
      <c r="F32" s="136"/>
      <c r="G32" s="136"/>
      <c r="H32" s="136"/>
      <c r="I32" s="136"/>
      <c r="J32" s="136"/>
      <c r="K32" s="136"/>
      <c r="L32" s="136"/>
      <c r="M32" s="136"/>
      <c r="N32" s="136"/>
      <c r="O32" s="136"/>
    </row>
    <row r="33" spans="1:15" ht="22" customHeight="1" x14ac:dyDescent="0.35">
      <c r="A33" s="136"/>
      <c r="B33" s="136"/>
      <c r="C33" s="136"/>
      <c r="D33" s="136"/>
      <c r="E33" s="136"/>
      <c r="F33" s="136"/>
      <c r="G33" s="136"/>
      <c r="H33" s="136"/>
      <c r="I33" s="136"/>
      <c r="J33" s="136"/>
      <c r="K33" s="136"/>
      <c r="L33" s="136"/>
      <c r="M33" s="136"/>
      <c r="N33" s="136"/>
      <c r="O33" s="136"/>
    </row>
    <row r="34" spans="1:15" ht="22" customHeight="1" x14ac:dyDescent="0.35">
      <c r="A34" s="136"/>
      <c r="B34" s="136"/>
      <c r="C34" s="136"/>
      <c r="D34" s="136"/>
      <c r="E34" s="136"/>
      <c r="F34" s="136"/>
      <c r="G34" s="136"/>
      <c r="H34" s="136"/>
      <c r="I34" s="136"/>
      <c r="J34" s="136"/>
      <c r="K34" s="136"/>
      <c r="L34" s="136"/>
      <c r="M34" s="136"/>
      <c r="N34" s="136"/>
      <c r="O34" s="136"/>
    </row>
    <row r="35" spans="1:15" ht="22" customHeight="1" x14ac:dyDescent="0.35">
      <c r="A35" s="136"/>
      <c r="B35" s="136"/>
      <c r="C35" s="136"/>
      <c r="D35" s="136"/>
      <c r="E35" s="136"/>
      <c r="F35" s="136"/>
      <c r="G35" s="136"/>
      <c r="H35" s="136"/>
      <c r="I35" s="136"/>
      <c r="J35" s="136"/>
      <c r="K35" s="136"/>
      <c r="L35" s="136"/>
      <c r="M35" s="136"/>
      <c r="N35" s="136"/>
      <c r="O35" s="136"/>
    </row>
    <row r="36" spans="1:15" ht="22" customHeight="1" x14ac:dyDescent="0.35">
      <c r="A36" s="136"/>
      <c r="B36" s="136"/>
      <c r="C36" s="136"/>
      <c r="D36" s="136"/>
      <c r="E36" s="136"/>
      <c r="F36" s="136"/>
      <c r="G36" s="136"/>
      <c r="H36" s="136"/>
      <c r="I36" s="136"/>
      <c r="J36" s="136"/>
      <c r="K36" s="136"/>
      <c r="L36" s="136"/>
      <c r="M36" s="136"/>
      <c r="N36" s="136"/>
      <c r="O36" s="136"/>
    </row>
    <row r="37" spans="1:15" ht="22" customHeight="1" x14ac:dyDescent="0.35">
      <c r="A37" s="136"/>
      <c r="B37" s="136"/>
      <c r="C37" s="136"/>
      <c r="D37" s="136"/>
      <c r="E37" s="136"/>
      <c r="F37" s="136"/>
      <c r="G37" s="136"/>
      <c r="H37" s="136"/>
      <c r="I37" s="136"/>
      <c r="J37" s="136"/>
      <c r="K37" s="136"/>
      <c r="L37" s="136"/>
      <c r="M37" s="136"/>
      <c r="N37" s="136"/>
      <c r="O37" s="136"/>
    </row>
    <row r="38" spans="1:15" ht="22" customHeight="1" x14ac:dyDescent="0.35">
      <c r="A38" s="136"/>
      <c r="B38" s="136"/>
      <c r="C38" s="136"/>
      <c r="D38" s="136"/>
      <c r="E38" s="136"/>
      <c r="F38" s="136"/>
      <c r="G38" s="136"/>
      <c r="H38" s="136"/>
      <c r="I38" s="136"/>
      <c r="J38" s="136"/>
      <c r="K38" s="136"/>
      <c r="L38" s="136"/>
      <c r="M38" s="136"/>
      <c r="N38" s="136"/>
      <c r="O38" s="136"/>
    </row>
    <row r="39" spans="1:15" ht="22" customHeight="1" x14ac:dyDescent="0.35">
      <c r="A39" s="136"/>
      <c r="B39" s="136"/>
      <c r="C39" s="136"/>
      <c r="D39" s="136"/>
      <c r="E39" s="136"/>
      <c r="F39" s="136"/>
      <c r="G39" s="136"/>
      <c r="H39" s="136"/>
      <c r="I39" s="136"/>
      <c r="J39" s="136"/>
      <c r="K39" s="136"/>
      <c r="L39" s="136"/>
      <c r="M39" s="136"/>
      <c r="N39" s="136"/>
      <c r="O39" s="136"/>
    </row>
    <row r="40" spans="1:15" ht="22" customHeight="1" x14ac:dyDescent="0.35">
      <c r="A40" s="136"/>
      <c r="B40" s="136"/>
      <c r="C40" s="136"/>
      <c r="D40" s="136"/>
      <c r="E40" s="136"/>
      <c r="F40" s="136"/>
      <c r="G40" s="136"/>
      <c r="H40" s="136"/>
      <c r="I40" s="136"/>
      <c r="J40" s="136"/>
      <c r="K40" s="136"/>
      <c r="L40" s="136"/>
      <c r="M40" s="136"/>
      <c r="N40" s="136"/>
      <c r="O40" s="136"/>
    </row>
    <row r="41" spans="1:15" ht="22" customHeight="1" x14ac:dyDescent="0.35">
      <c r="A41" s="136"/>
      <c r="B41" s="232" t="s">
        <v>383</v>
      </c>
      <c r="C41" s="232"/>
      <c r="D41" s="232"/>
      <c r="E41" s="232"/>
      <c r="F41" s="232"/>
      <c r="G41" s="232"/>
      <c r="H41" s="232"/>
      <c r="I41" s="232"/>
      <c r="J41" s="232"/>
      <c r="K41" s="232"/>
      <c r="L41" s="232"/>
      <c r="M41" s="136"/>
      <c r="N41" s="136"/>
      <c r="O41" s="136"/>
    </row>
    <row r="42" spans="1:15" ht="22" customHeight="1" x14ac:dyDescent="0.35">
      <c r="A42" s="136"/>
      <c r="B42" s="136"/>
      <c r="C42" s="136"/>
      <c r="D42" s="136"/>
      <c r="E42" s="136"/>
      <c r="F42" s="136"/>
      <c r="G42" s="136"/>
      <c r="H42" s="136"/>
      <c r="I42" s="136"/>
      <c r="J42" s="136"/>
      <c r="K42" s="136"/>
      <c r="L42" s="136"/>
      <c r="M42" s="136"/>
      <c r="N42" s="136"/>
      <c r="O42" s="136"/>
    </row>
    <row r="43" spans="1:15" ht="22" customHeight="1" x14ac:dyDescent="0.35">
      <c r="A43" s="136"/>
      <c r="B43" s="140" t="s">
        <v>384</v>
      </c>
      <c r="C43" s="136"/>
      <c r="D43" s="136"/>
      <c r="E43" s="136"/>
      <c r="F43" s="136"/>
      <c r="G43" s="136"/>
      <c r="H43" s="136"/>
      <c r="I43" s="136"/>
      <c r="J43" s="136"/>
      <c r="K43" s="136"/>
      <c r="L43" s="136"/>
      <c r="M43" s="136"/>
      <c r="N43" s="136"/>
      <c r="O43" s="136"/>
    </row>
    <row r="44" spans="1:15" ht="36" customHeight="1" x14ac:dyDescent="0.35">
      <c r="A44" s="136" t="s">
        <v>385</v>
      </c>
      <c r="B44" s="141" t="s">
        <v>72</v>
      </c>
      <c r="C44" s="141" t="s">
        <v>386</v>
      </c>
      <c r="D44" s="141" t="s">
        <v>387</v>
      </c>
      <c r="E44" s="141" t="s">
        <v>388</v>
      </c>
      <c r="F44" s="141" t="s">
        <v>375</v>
      </c>
      <c r="G44" s="141" t="s">
        <v>376</v>
      </c>
      <c r="H44" s="141" t="s">
        <v>389</v>
      </c>
      <c r="I44" s="136"/>
      <c r="J44" s="141" t="s">
        <v>11</v>
      </c>
      <c r="K44" s="141" t="s">
        <v>390</v>
      </c>
      <c r="L44" s="141" t="s">
        <v>391</v>
      </c>
      <c r="M44" s="136"/>
      <c r="N44" s="136"/>
      <c r="O44" s="136"/>
    </row>
    <row r="45" spans="1:15" ht="22" customHeight="1" x14ac:dyDescent="0.35">
      <c r="A45" s="136">
        <v>1</v>
      </c>
      <c r="B45" s="165">
        <f>IF($A45&gt;MIN($A$10,$A$2),"",INDEX(DemoHistory[Date],$A45))</f>
        <v>46104</v>
      </c>
      <c r="C45" s="166">
        <f>IF(OR($A45&gt;MIN($A$10,$A$2),$A$5=""),"",INDEX(DemoHistory[],$A45,MATCH($A$5,DemoHistory[#Headers],0)))</f>
        <v>550</v>
      </c>
      <c r="D45" s="166">
        <f>IF($A45&gt;MIN($A$10,$A$2),"",IF(AND($A$12,$A$6=1,B45&lt;$A$7,$A$7&lt;=MAX(DemoHistory[Date])),$A$8,1))</f>
        <v>1</v>
      </c>
      <c r="E45" s="166">
        <f t="shared" ref="E45:E108" si="0">IF($A45&gt;MIN($A$10,$A$2),"",IF(H45="OK",C45/D45,"n.a."))</f>
        <v>550</v>
      </c>
      <c r="F45" s="166" t="str">
        <f>IF($A45&gt;MIN($A$10,$A$2),"",IF($A45&lt;50,"n.a.",IF(COUNT(INDEX(StockDaily[Adjusted close],MAX(1,$A45-50+1)):E45)=50,AVERAGE(INDEX(StockDaily[Adjusted close],MAX(1,$A45-50+1)):E45),"n.a.")))</f>
        <v>n.a.</v>
      </c>
      <c r="G45" s="166" t="str">
        <f>IF($A45&gt;MIN($A$10,$A$2),"",IF($A45&lt;200,"n.a.",IF(COUNT(INDEX(StockDaily[Adjusted close],MAX(1,$A45-200+1)):E45)=200,AVERAGE(INDEX(StockDaily[Adjusted close],MAX(1,$A45-200+1)):E45),"n.a.")))</f>
        <v>n.a.</v>
      </c>
      <c r="H45" s="136" t="str">
        <f>IF($A45&gt;MIN($A$10,$A$2),"",IF($A$5="","Choose stock",IF(NOT($A$12),"Check split rule",IF(NOT(ISNUMBER(B45)),"Invalid date",IF(OR(B45&lt;=0,B45&lt;&gt;INT(B45)),"Invalid date",IF(COUNTIFS(DemoHistory[Date],B45)&lt;&gt;1,"Duplicate date",IF(AND($A45&gt;1,B45&lt;=B44),"Dates out of order",IF(NOT(ISNUMBER(C45)),"Missing price",IF(C45&lt;=0,"Nonpositive price","OK")))))))))</f>
        <v>OK</v>
      </c>
      <c r="I45" s="136"/>
      <c r="J45" s="136" t="s">
        <v>49</v>
      </c>
      <c r="K45" s="165">
        <v>46195</v>
      </c>
      <c r="L45" s="136">
        <v>2</v>
      </c>
      <c r="M45" s="136"/>
      <c r="N45" s="136">
        <f t="shared" ref="N45:N108" si="1">IF(AND($A$13="Ready",ISNUMBER(E45)),E45,NA())</f>
        <v>550</v>
      </c>
      <c r="O45" s="136" t="e">
        <f t="shared" ref="O45:O108" si="2">IF(AND($A$13="Ready",ISNUMBER(F45)),F45,NA())</f>
        <v>#N/A</v>
      </c>
    </row>
    <row r="46" spans="1:15" ht="22" customHeight="1" x14ac:dyDescent="0.35">
      <c r="A46" s="136">
        <v>2</v>
      </c>
      <c r="B46" s="165">
        <f>IF($A46&gt;MIN($A$10,$A$2),"",INDEX(DemoHistory[Date],$A46))</f>
        <v>46105</v>
      </c>
      <c r="C46" s="166">
        <f>IF(OR($A46&gt;MIN($A$10,$A$2),$A$5=""),"",INDEX(DemoHistory[],$A46,MATCH($A$5,DemoHistory[#Headers],0)))</f>
        <v>553.26610000000005</v>
      </c>
      <c r="D46" s="166">
        <f>IF($A46&gt;MIN($A$10,$A$2),"",IF(AND($A$12,$A$6=1,B46&lt;$A$7,$A$7&lt;=MAX(DemoHistory[Date])),$A$8,1))</f>
        <v>1</v>
      </c>
      <c r="E46" s="166">
        <f t="shared" si="0"/>
        <v>553.26610000000005</v>
      </c>
      <c r="F46" s="166" t="str">
        <f>IF($A46&gt;MIN($A$10,$A$2),"",IF($A46&lt;50,"n.a.",IF(COUNT(INDEX(StockDaily[Adjusted close],MAX(1,$A46-50+1)):E46)=50,AVERAGE(INDEX(StockDaily[Adjusted close],MAX(1,$A46-50+1)):E46),"n.a.")))</f>
        <v>n.a.</v>
      </c>
      <c r="G46" s="166" t="str">
        <f>IF($A46&gt;MIN($A$10,$A$2),"",IF($A46&lt;200,"n.a.",IF(COUNT(INDEX(StockDaily[Adjusted close],MAX(1,$A46-200+1)):E46)=200,AVERAGE(INDEX(StockDaily[Adjusted close],MAX(1,$A46-200+1)):E46),"n.a.")))</f>
        <v>n.a.</v>
      </c>
      <c r="H46" s="136" t="str">
        <f>IF($A46&gt;MIN($A$10,$A$2),"",IF($A$5="","Choose stock",IF(NOT($A$12),"Check split rule",IF(NOT(ISNUMBER(B46)),"Invalid date",IF(OR(B46&lt;=0,B46&lt;&gt;INT(B46)),"Invalid date",IF(COUNTIFS(DemoHistory[Date],B46)&lt;&gt;1,"Duplicate date",IF(AND($A46&gt;1,B46&lt;=B45),"Dates out of order",IF(NOT(ISNUMBER(C46)),"Missing price",IF(C46&lt;=0,"Nonpositive price","OK")))))))))</f>
        <v>OK</v>
      </c>
      <c r="I46" s="136"/>
      <c r="J46" s="136"/>
      <c r="K46" s="136"/>
      <c r="L46" s="136"/>
      <c r="M46" s="136"/>
      <c r="N46" s="136">
        <f t="shared" si="1"/>
        <v>553.26610000000005</v>
      </c>
      <c r="O46" s="136" t="e">
        <f t="shared" si="2"/>
        <v>#N/A</v>
      </c>
    </row>
    <row r="47" spans="1:15" ht="22" customHeight="1" x14ac:dyDescent="0.35">
      <c r="A47" s="136">
        <v>3</v>
      </c>
      <c r="B47" s="165">
        <f>IF($A47&gt;MIN($A$10,$A$2),"",INDEX(DemoHistory[Date],$A47))</f>
        <v>46106</v>
      </c>
      <c r="C47" s="166">
        <f>IF(OR($A47&gt;MIN($A$10,$A$2),$A$5=""),"",INDEX(DemoHistory[],$A47,MATCH($A$5,DemoHistory[#Headers],0)))</f>
        <v>550.68269999999995</v>
      </c>
      <c r="D47" s="166">
        <f>IF($A47&gt;MIN($A$10,$A$2),"",IF(AND($A$12,$A$6=1,B47&lt;$A$7,$A$7&lt;=MAX(DemoHistory[Date])),$A$8,1))</f>
        <v>1</v>
      </c>
      <c r="E47" s="166">
        <f t="shared" si="0"/>
        <v>550.68269999999995</v>
      </c>
      <c r="F47" s="166" t="str">
        <f>IF($A47&gt;MIN($A$10,$A$2),"",IF($A47&lt;50,"n.a.",IF(COUNT(INDEX(StockDaily[Adjusted close],MAX(1,$A47-50+1)):E47)=50,AVERAGE(INDEX(StockDaily[Adjusted close],MAX(1,$A47-50+1)):E47),"n.a.")))</f>
        <v>n.a.</v>
      </c>
      <c r="G47" s="166" t="str">
        <f>IF($A47&gt;MIN($A$10,$A$2),"",IF($A47&lt;200,"n.a.",IF(COUNT(INDEX(StockDaily[Adjusted close],MAX(1,$A47-200+1)):E47)=200,AVERAGE(INDEX(StockDaily[Adjusted close],MAX(1,$A47-200+1)):E47),"n.a.")))</f>
        <v>n.a.</v>
      </c>
      <c r="H47" s="136" t="str">
        <f>IF($A47&gt;MIN($A$10,$A$2),"",IF($A$5="","Choose stock",IF(NOT($A$12),"Check split rule",IF(NOT(ISNUMBER(B47)),"Invalid date",IF(OR(B47&lt;=0,B47&lt;&gt;INT(B47)),"Invalid date",IF(COUNTIFS(DemoHistory[Date],B47)&lt;&gt;1,"Duplicate date",IF(AND($A47&gt;1,B47&lt;=B46),"Dates out of order",IF(NOT(ISNUMBER(C47)),"Missing price",IF(C47&lt;=0,"Nonpositive price","OK")))))))))</f>
        <v>OK</v>
      </c>
      <c r="I47" s="136"/>
      <c r="J47" s="149" t="s">
        <v>392</v>
      </c>
      <c r="K47" s="149"/>
      <c r="L47" s="149"/>
      <c r="M47" s="136"/>
      <c r="N47" s="136">
        <f t="shared" si="1"/>
        <v>550.68269999999995</v>
      </c>
      <c r="O47" s="136" t="e">
        <f t="shared" si="2"/>
        <v>#N/A</v>
      </c>
    </row>
    <row r="48" spans="1:15" ht="22" customHeight="1" x14ac:dyDescent="0.35">
      <c r="A48" s="136">
        <v>4</v>
      </c>
      <c r="B48" s="165">
        <f>IF($A48&gt;MIN($A$10,$A$2),"",INDEX(DemoHistory[Date],$A48))</f>
        <v>46107</v>
      </c>
      <c r="C48" s="166">
        <f>IF(OR($A48&gt;MIN($A$10,$A$2),$A$5=""),"",INDEX(DemoHistory[],$A48,MATCH($A$5,DemoHistory[#Headers],0)))</f>
        <v>554.25819999999999</v>
      </c>
      <c r="D48" s="166">
        <f>IF($A48&gt;MIN($A$10,$A$2),"",IF(AND($A$12,$A$6=1,B48&lt;$A$7,$A$7&lt;=MAX(DemoHistory[Date])),$A$8,1))</f>
        <v>1</v>
      </c>
      <c r="E48" s="166">
        <f t="shared" si="0"/>
        <v>554.25819999999999</v>
      </c>
      <c r="F48" s="166" t="str">
        <f>IF($A48&gt;MIN($A$10,$A$2),"",IF($A48&lt;50,"n.a.",IF(COUNT(INDEX(StockDaily[Adjusted close],MAX(1,$A48-50+1)):E48)=50,AVERAGE(INDEX(StockDaily[Adjusted close],MAX(1,$A48-50+1)):E48),"n.a.")))</f>
        <v>n.a.</v>
      </c>
      <c r="G48" s="166" t="str">
        <f>IF($A48&gt;MIN($A$10,$A$2),"",IF($A48&lt;200,"n.a.",IF(COUNT(INDEX(StockDaily[Adjusted close],MAX(1,$A48-200+1)):E48)=200,AVERAGE(INDEX(StockDaily[Adjusted close],MAX(1,$A48-200+1)):E48),"n.a.")))</f>
        <v>n.a.</v>
      </c>
      <c r="H48" s="136" t="str">
        <f>IF($A48&gt;MIN($A$10,$A$2),"",IF($A$5="","Choose stock",IF(NOT($A$12),"Check split rule",IF(NOT(ISNUMBER(B48)),"Invalid date",IF(OR(B48&lt;=0,B48&lt;&gt;INT(B48)),"Invalid date",IF(COUNTIFS(DemoHistory[Date],B48)&lt;&gt;1,"Duplicate date",IF(AND($A48&gt;1,B48&lt;=B47),"Dates out of order",IF(NOT(ISNUMBER(C48)),"Missing price",IF(C48&lt;=0,"Nonpositive price","OK")))))))))</f>
        <v>OK</v>
      </c>
      <c r="I48" s="136"/>
      <c r="J48" s="233" t="s">
        <v>393</v>
      </c>
      <c r="K48" s="233"/>
      <c r="L48" s="233"/>
      <c r="M48" s="136"/>
      <c r="N48" s="136">
        <f t="shared" si="1"/>
        <v>554.25819999999999</v>
      </c>
      <c r="O48" s="136" t="e">
        <f t="shared" si="2"/>
        <v>#N/A</v>
      </c>
    </row>
    <row r="49" spans="1:15" ht="22" customHeight="1" x14ac:dyDescent="0.35">
      <c r="A49" s="136">
        <v>5</v>
      </c>
      <c r="B49" s="165">
        <f>IF($A49&gt;MIN($A$10,$A$2),"",INDEX(DemoHistory[Date],$A49))</f>
        <v>46108</v>
      </c>
      <c r="C49" s="166">
        <f>IF(OR($A49&gt;MIN($A$10,$A$2),$A$5=""),"",INDEX(DemoHistory[],$A49,MATCH($A$5,DemoHistory[#Headers],0)))</f>
        <v>550.76199999999994</v>
      </c>
      <c r="D49" s="166">
        <f>IF($A49&gt;MIN($A$10,$A$2),"",IF(AND($A$12,$A$6=1,B49&lt;$A$7,$A$7&lt;=MAX(DemoHistory[Date])),$A$8,1))</f>
        <v>1</v>
      </c>
      <c r="E49" s="166">
        <f t="shared" si="0"/>
        <v>550.76199999999994</v>
      </c>
      <c r="F49" s="166" t="str">
        <f>IF($A49&gt;MIN($A$10,$A$2),"",IF($A49&lt;50,"n.a.",IF(COUNT(INDEX(StockDaily[Adjusted close],MAX(1,$A49-50+1)):E49)=50,AVERAGE(INDEX(StockDaily[Adjusted close],MAX(1,$A49-50+1)):E49),"n.a.")))</f>
        <v>n.a.</v>
      </c>
      <c r="G49" s="166" t="str">
        <f>IF($A49&gt;MIN($A$10,$A$2),"",IF($A49&lt;200,"n.a.",IF(COUNT(INDEX(StockDaily[Adjusted close],MAX(1,$A49-200+1)):E49)=200,AVERAGE(INDEX(StockDaily[Adjusted close],MAX(1,$A49-200+1)):E49),"n.a.")))</f>
        <v>n.a.</v>
      </c>
      <c r="H49" s="136" t="str">
        <f>IF($A49&gt;MIN($A$10,$A$2),"",IF($A$5="","Choose stock",IF(NOT($A$12),"Check split rule",IF(NOT(ISNUMBER(B49)),"Invalid date",IF(OR(B49&lt;=0,B49&lt;&gt;INT(B49)),"Invalid date",IF(COUNTIFS(DemoHistory[Date],B49)&lt;&gt;1,"Duplicate date",IF(AND($A49&gt;1,B49&lt;=B48),"Dates out of order",IF(NOT(ISNUMBER(C49)),"Missing price",IF(C49&lt;=0,"Nonpositive price","OK")))))))))</f>
        <v>OK</v>
      </c>
      <c r="I49" s="136"/>
      <c r="J49" s="233"/>
      <c r="K49" s="233"/>
      <c r="L49" s="233"/>
      <c r="M49" s="136"/>
      <c r="N49" s="136">
        <f t="shared" si="1"/>
        <v>550.76199999999994</v>
      </c>
      <c r="O49" s="136" t="e">
        <f t="shared" si="2"/>
        <v>#N/A</v>
      </c>
    </row>
    <row r="50" spans="1:15" ht="22" customHeight="1" x14ac:dyDescent="0.35">
      <c r="A50" s="136">
        <v>6</v>
      </c>
      <c r="B50" s="165">
        <f>IF($A50&gt;MIN($A$10,$A$2),"",INDEX(DemoHistory[Date],$A50))</f>
        <v>46111</v>
      </c>
      <c r="C50" s="166">
        <f>IF(OR($A50&gt;MIN($A$10,$A$2),$A$5=""),"",INDEX(DemoHistory[],$A50,MATCH($A$5,DemoHistory[#Headers],0)))</f>
        <v>549.21100000000001</v>
      </c>
      <c r="D50" s="166">
        <f>IF($A50&gt;MIN($A$10,$A$2),"",IF(AND($A$12,$A$6=1,B50&lt;$A$7,$A$7&lt;=MAX(DemoHistory[Date])),$A$8,1))</f>
        <v>1</v>
      </c>
      <c r="E50" s="166">
        <f t="shared" si="0"/>
        <v>549.21100000000001</v>
      </c>
      <c r="F50" s="166" t="str">
        <f>IF($A50&gt;MIN($A$10,$A$2),"",IF($A50&lt;50,"n.a.",IF(COUNT(INDEX(StockDaily[Adjusted close],MAX(1,$A50-50+1)):E50)=50,AVERAGE(INDEX(StockDaily[Adjusted close],MAX(1,$A50-50+1)):E50),"n.a.")))</f>
        <v>n.a.</v>
      </c>
      <c r="G50" s="166" t="str">
        <f>IF($A50&gt;MIN($A$10,$A$2),"",IF($A50&lt;200,"n.a.",IF(COUNT(INDEX(StockDaily[Adjusted close],MAX(1,$A50-200+1)):E50)=200,AVERAGE(INDEX(StockDaily[Adjusted close],MAX(1,$A50-200+1)):E50),"n.a.")))</f>
        <v>n.a.</v>
      </c>
      <c r="H50" s="136" t="str">
        <f>IF($A50&gt;MIN($A$10,$A$2),"",IF($A$5="","Choose stock",IF(NOT($A$12),"Check split rule",IF(NOT(ISNUMBER(B50)),"Invalid date",IF(OR(B50&lt;=0,B50&lt;&gt;INT(B50)),"Invalid date",IF(COUNTIFS(DemoHistory[Date],B50)&lt;&gt;1,"Duplicate date",IF(AND($A50&gt;1,B50&lt;=B49),"Dates out of order",IF(NOT(ISNUMBER(C50)),"Missing price",IF(C50&lt;=0,"Nonpositive price","OK")))))))))</f>
        <v>OK</v>
      </c>
      <c r="I50" s="136"/>
      <c r="J50" s="233"/>
      <c r="K50" s="233"/>
      <c r="L50" s="233"/>
      <c r="M50" s="136"/>
      <c r="N50" s="136">
        <f t="shared" si="1"/>
        <v>549.21100000000001</v>
      </c>
      <c r="O50" s="136" t="e">
        <f t="shared" si="2"/>
        <v>#N/A</v>
      </c>
    </row>
    <row r="51" spans="1:15" ht="22" customHeight="1" x14ac:dyDescent="0.35">
      <c r="A51" s="136">
        <v>7</v>
      </c>
      <c r="B51" s="165">
        <f>IF($A51&gt;MIN($A$10,$A$2),"",INDEX(DemoHistory[Date],$A51))</f>
        <v>46112</v>
      </c>
      <c r="C51" s="166">
        <f>IF(OR($A51&gt;MIN($A$10,$A$2),$A$5=""),"",INDEX(DemoHistory[],$A51,MATCH($A$5,DemoHistory[#Headers],0)))</f>
        <v>554.87429999999995</v>
      </c>
      <c r="D51" s="166">
        <f>IF($A51&gt;MIN($A$10,$A$2),"",IF(AND($A$12,$A$6=1,B51&lt;$A$7,$A$7&lt;=MAX(DemoHistory[Date])),$A$8,1))</f>
        <v>1</v>
      </c>
      <c r="E51" s="166">
        <f t="shared" si="0"/>
        <v>554.87429999999995</v>
      </c>
      <c r="F51" s="166" t="str">
        <f>IF($A51&gt;MIN($A$10,$A$2),"",IF($A51&lt;50,"n.a.",IF(COUNT(INDEX(StockDaily[Adjusted close],MAX(1,$A51-50+1)):E51)=50,AVERAGE(INDEX(StockDaily[Adjusted close],MAX(1,$A51-50+1)):E51),"n.a.")))</f>
        <v>n.a.</v>
      </c>
      <c r="G51" s="166" t="str">
        <f>IF($A51&gt;MIN($A$10,$A$2),"",IF($A51&lt;200,"n.a.",IF(COUNT(INDEX(StockDaily[Adjusted close],MAX(1,$A51-200+1)):E51)=200,AVERAGE(INDEX(StockDaily[Adjusted close],MAX(1,$A51-200+1)):E51),"n.a.")))</f>
        <v>n.a.</v>
      </c>
      <c r="H51" s="136" t="str">
        <f>IF($A51&gt;MIN($A$10,$A$2),"",IF($A$5="","Choose stock",IF(NOT($A$12),"Check split rule",IF(NOT(ISNUMBER(B51)),"Invalid date",IF(OR(B51&lt;=0,B51&lt;&gt;INT(B51)),"Invalid date",IF(COUNTIFS(DemoHistory[Date],B51)&lt;&gt;1,"Duplicate date",IF(AND($A51&gt;1,B51&lt;=B50),"Dates out of order",IF(NOT(ISNUMBER(C51)),"Missing price",IF(C51&lt;=0,"Nonpositive price","OK")))))))))</f>
        <v>OK</v>
      </c>
      <c r="I51" s="136"/>
      <c r="J51" s="233"/>
      <c r="K51" s="233"/>
      <c r="L51" s="233"/>
      <c r="M51" s="136"/>
      <c r="N51" s="136">
        <f t="shared" si="1"/>
        <v>554.87429999999995</v>
      </c>
      <c r="O51" s="136" t="e">
        <f t="shared" si="2"/>
        <v>#N/A</v>
      </c>
    </row>
    <row r="52" spans="1:15" ht="22" customHeight="1" x14ac:dyDescent="0.35">
      <c r="A52" s="136">
        <v>8</v>
      </c>
      <c r="B52" s="165">
        <f>IF($A52&gt;MIN($A$10,$A$2),"",INDEX(DemoHistory[Date],$A52))</f>
        <v>46113</v>
      </c>
      <c r="C52" s="166">
        <f>IF(OR($A52&gt;MIN($A$10,$A$2),$A$5=""),"",INDEX(DemoHistory[],$A52,MATCH($A$5,DemoHistory[#Headers],0)))</f>
        <v>551.06700000000001</v>
      </c>
      <c r="D52" s="166">
        <f>IF($A52&gt;MIN($A$10,$A$2),"",IF(AND($A$12,$A$6=1,B52&lt;$A$7,$A$7&lt;=MAX(DemoHistory[Date])),$A$8,1))</f>
        <v>1</v>
      </c>
      <c r="E52" s="166">
        <f t="shared" si="0"/>
        <v>551.06700000000001</v>
      </c>
      <c r="F52" s="166" t="str">
        <f>IF($A52&gt;MIN($A$10,$A$2),"",IF($A52&lt;50,"n.a.",IF(COUNT(INDEX(StockDaily[Adjusted close],MAX(1,$A52-50+1)):E52)=50,AVERAGE(INDEX(StockDaily[Adjusted close],MAX(1,$A52-50+1)):E52),"n.a.")))</f>
        <v>n.a.</v>
      </c>
      <c r="G52" s="166" t="str">
        <f>IF($A52&gt;MIN($A$10,$A$2),"",IF($A52&lt;200,"n.a.",IF(COUNT(INDEX(StockDaily[Adjusted close],MAX(1,$A52-200+1)):E52)=200,AVERAGE(INDEX(StockDaily[Adjusted close],MAX(1,$A52-200+1)):E52),"n.a.")))</f>
        <v>n.a.</v>
      </c>
      <c r="H52" s="136" t="str">
        <f>IF($A52&gt;MIN($A$10,$A$2),"",IF($A$5="","Choose stock",IF(NOT($A$12),"Check split rule",IF(NOT(ISNUMBER(B52)),"Invalid date",IF(OR(B52&lt;=0,B52&lt;&gt;INT(B52)),"Invalid date",IF(COUNTIFS(DemoHistory[Date],B52)&lt;&gt;1,"Duplicate date",IF(AND($A52&gt;1,B52&lt;=B51),"Dates out of order",IF(NOT(ISNUMBER(C52)),"Missing price",IF(C52&lt;=0,"Nonpositive price","OK")))))))))</f>
        <v>OK</v>
      </c>
      <c r="I52" s="136"/>
      <c r="J52" s="233" t="s">
        <v>394</v>
      </c>
      <c r="K52" s="233"/>
      <c r="L52" s="233"/>
      <c r="M52" s="136"/>
      <c r="N52" s="136">
        <f t="shared" si="1"/>
        <v>551.06700000000001</v>
      </c>
      <c r="O52" s="136" t="e">
        <f t="shared" si="2"/>
        <v>#N/A</v>
      </c>
    </row>
    <row r="53" spans="1:15" ht="22" customHeight="1" x14ac:dyDescent="0.35">
      <c r="A53" s="136">
        <v>9</v>
      </c>
      <c r="B53" s="165">
        <f>IF($A53&gt;MIN($A$10,$A$2),"",INDEX(DemoHistory[Date],$A53))</f>
        <v>46114</v>
      </c>
      <c r="C53" s="166">
        <f>IF(OR($A53&gt;MIN($A$10,$A$2),$A$5=""),"",INDEX(DemoHistory[],$A53,MATCH($A$5,DemoHistory[#Headers],0)))</f>
        <v>547.12490000000003</v>
      </c>
      <c r="D53" s="166">
        <f>IF($A53&gt;MIN($A$10,$A$2),"",IF(AND($A$12,$A$6=1,B53&lt;$A$7,$A$7&lt;=MAX(DemoHistory[Date])),$A$8,1))</f>
        <v>1</v>
      </c>
      <c r="E53" s="166">
        <f t="shared" si="0"/>
        <v>547.12490000000003</v>
      </c>
      <c r="F53" s="166" t="str">
        <f>IF($A53&gt;MIN($A$10,$A$2),"",IF($A53&lt;50,"n.a.",IF(COUNT(INDEX(StockDaily[Adjusted close],MAX(1,$A53-50+1)):E53)=50,AVERAGE(INDEX(StockDaily[Adjusted close],MAX(1,$A53-50+1)):E53),"n.a.")))</f>
        <v>n.a.</v>
      </c>
      <c r="G53" s="166" t="str">
        <f>IF($A53&gt;MIN($A$10,$A$2),"",IF($A53&lt;200,"n.a.",IF(COUNT(INDEX(StockDaily[Adjusted close],MAX(1,$A53-200+1)):E53)=200,AVERAGE(INDEX(StockDaily[Adjusted close],MAX(1,$A53-200+1)):E53),"n.a.")))</f>
        <v>n.a.</v>
      </c>
      <c r="H53" s="136" t="str">
        <f>IF($A53&gt;MIN($A$10,$A$2),"",IF($A$5="","Choose stock",IF(NOT($A$12),"Check split rule",IF(NOT(ISNUMBER(B53)),"Invalid date",IF(OR(B53&lt;=0,B53&lt;&gt;INT(B53)),"Invalid date",IF(COUNTIFS(DemoHistory[Date],B53)&lt;&gt;1,"Duplicate date",IF(AND($A53&gt;1,B53&lt;=B52),"Dates out of order",IF(NOT(ISNUMBER(C53)),"Missing price",IF(C53&lt;=0,"Nonpositive price","OK")))))))))</f>
        <v>OK</v>
      </c>
      <c r="I53" s="136"/>
      <c r="J53" s="233"/>
      <c r="K53" s="233"/>
      <c r="L53" s="233"/>
      <c r="M53" s="136"/>
      <c r="N53" s="136">
        <f t="shared" si="1"/>
        <v>547.12490000000003</v>
      </c>
      <c r="O53" s="136" t="e">
        <f t="shared" si="2"/>
        <v>#N/A</v>
      </c>
    </row>
    <row r="54" spans="1:15" ht="22" customHeight="1" x14ac:dyDescent="0.35">
      <c r="A54" s="136">
        <v>10</v>
      </c>
      <c r="B54" s="165">
        <f>IF($A54&gt;MIN($A$10,$A$2),"",INDEX(DemoHistory[Date],$A54))</f>
        <v>46115</v>
      </c>
      <c r="C54" s="166">
        <f>IF(OR($A54&gt;MIN($A$10,$A$2),$A$5=""),"",INDEX(DemoHistory[],$A54,MATCH($A$5,DemoHistory[#Headers],0)))</f>
        <v>550.71010000000001</v>
      </c>
      <c r="D54" s="166">
        <f>IF($A54&gt;MIN($A$10,$A$2),"",IF(AND($A$12,$A$6=1,B54&lt;$A$7,$A$7&lt;=MAX(DemoHistory[Date])),$A$8,1))</f>
        <v>1</v>
      </c>
      <c r="E54" s="166">
        <f t="shared" si="0"/>
        <v>550.71010000000001</v>
      </c>
      <c r="F54" s="166" t="str">
        <f>IF($A54&gt;MIN($A$10,$A$2),"",IF($A54&lt;50,"n.a.",IF(COUNT(INDEX(StockDaily[Adjusted close],MAX(1,$A54-50+1)):E54)=50,AVERAGE(INDEX(StockDaily[Adjusted close],MAX(1,$A54-50+1)):E54),"n.a.")))</f>
        <v>n.a.</v>
      </c>
      <c r="G54" s="166" t="str">
        <f>IF($A54&gt;MIN($A$10,$A$2),"",IF($A54&lt;200,"n.a.",IF(COUNT(INDEX(StockDaily[Adjusted close],MAX(1,$A54-200+1)):E54)=200,AVERAGE(INDEX(StockDaily[Adjusted close],MAX(1,$A54-200+1)):E54),"n.a.")))</f>
        <v>n.a.</v>
      </c>
      <c r="H54" s="136" t="str">
        <f>IF($A54&gt;MIN($A$10,$A$2),"",IF($A$5="","Choose stock",IF(NOT($A$12),"Check split rule",IF(NOT(ISNUMBER(B54)),"Invalid date",IF(OR(B54&lt;=0,B54&lt;&gt;INT(B54)),"Invalid date",IF(COUNTIFS(DemoHistory[Date],B54)&lt;&gt;1,"Duplicate date",IF(AND($A54&gt;1,B54&lt;=B53),"Dates out of order",IF(NOT(ISNUMBER(C54)),"Missing price",IF(C54&lt;=0,"Nonpositive price","OK")))))))))</f>
        <v>OK</v>
      </c>
      <c r="I54" s="136"/>
      <c r="J54" s="233"/>
      <c r="K54" s="233"/>
      <c r="L54" s="233"/>
      <c r="M54" s="136"/>
      <c r="N54" s="136">
        <f t="shared" si="1"/>
        <v>550.71010000000001</v>
      </c>
      <c r="O54" s="136" t="e">
        <f t="shared" si="2"/>
        <v>#N/A</v>
      </c>
    </row>
    <row r="55" spans="1:15" ht="22" customHeight="1" x14ac:dyDescent="0.35">
      <c r="A55" s="136">
        <v>11</v>
      </c>
      <c r="B55" s="165">
        <f>IF($A55&gt;MIN($A$10,$A$2),"",INDEX(DemoHistory[Date],$A55))</f>
        <v>46118</v>
      </c>
      <c r="C55" s="166">
        <f>IF(OR($A55&gt;MIN($A$10,$A$2),$A$5=""),"",INDEX(DemoHistory[],$A55,MATCH($A$5,DemoHistory[#Headers],0)))</f>
        <v>547.25160000000005</v>
      </c>
      <c r="D55" s="166">
        <f>IF($A55&gt;MIN($A$10,$A$2),"",IF(AND($A$12,$A$6=1,B55&lt;$A$7,$A$7&lt;=MAX(DemoHistory[Date])),$A$8,1))</f>
        <v>1</v>
      </c>
      <c r="E55" s="166">
        <f t="shared" si="0"/>
        <v>547.25160000000005</v>
      </c>
      <c r="F55" s="166" t="str">
        <f>IF($A55&gt;MIN($A$10,$A$2),"",IF($A55&lt;50,"n.a.",IF(COUNT(INDEX(StockDaily[Adjusted close],MAX(1,$A55-50+1)):E55)=50,AVERAGE(INDEX(StockDaily[Adjusted close],MAX(1,$A55-50+1)):E55),"n.a.")))</f>
        <v>n.a.</v>
      </c>
      <c r="G55" s="166" t="str">
        <f>IF($A55&gt;MIN($A$10,$A$2),"",IF($A55&lt;200,"n.a.",IF(COUNT(INDEX(StockDaily[Adjusted close],MAX(1,$A55-200+1)):E55)=200,AVERAGE(INDEX(StockDaily[Adjusted close],MAX(1,$A55-200+1)):E55),"n.a.")))</f>
        <v>n.a.</v>
      </c>
      <c r="H55" s="136" t="str">
        <f>IF($A55&gt;MIN($A$10,$A$2),"",IF($A$5="","Choose stock",IF(NOT($A$12),"Check split rule",IF(NOT(ISNUMBER(B55)),"Invalid date",IF(OR(B55&lt;=0,B55&lt;&gt;INT(B55)),"Invalid date",IF(COUNTIFS(DemoHistory[Date],B55)&lt;&gt;1,"Duplicate date",IF(AND($A55&gt;1,B55&lt;=B54),"Dates out of order",IF(NOT(ISNUMBER(C55)),"Missing price",IF(C55&lt;=0,"Nonpositive price","OK")))))))))</f>
        <v>OK</v>
      </c>
      <c r="I55" s="136"/>
      <c r="J55" s="233"/>
      <c r="K55" s="233"/>
      <c r="L55" s="233"/>
      <c r="M55" s="136"/>
      <c r="N55" s="136">
        <f t="shared" si="1"/>
        <v>547.25160000000005</v>
      </c>
      <c r="O55" s="136" t="e">
        <f t="shared" si="2"/>
        <v>#N/A</v>
      </c>
    </row>
    <row r="56" spans="1:15" ht="22" customHeight="1" x14ac:dyDescent="0.35">
      <c r="A56" s="136">
        <v>12</v>
      </c>
      <c r="B56" s="165">
        <f>IF($A56&gt;MIN($A$10,$A$2),"",INDEX(DemoHistory[Date],$A56))</f>
        <v>46119</v>
      </c>
      <c r="C56" s="166">
        <f>IF(OR($A56&gt;MIN($A$10,$A$2),$A$5=""),"",INDEX(DemoHistory[],$A56,MATCH($A$5,DemoHistory[#Headers],0)))</f>
        <v>549.08460000000002</v>
      </c>
      <c r="D56" s="166">
        <f>IF($A56&gt;MIN($A$10,$A$2),"",IF(AND($A$12,$A$6=1,B56&lt;$A$7,$A$7&lt;=MAX(DemoHistory[Date])),$A$8,1))</f>
        <v>1</v>
      </c>
      <c r="E56" s="166">
        <f t="shared" si="0"/>
        <v>549.08460000000002</v>
      </c>
      <c r="F56" s="166" t="str">
        <f>IF($A56&gt;MIN($A$10,$A$2),"",IF($A56&lt;50,"n.a.",IF(COUNT(INDEX(StockDaily[Adjusted close],MAX(1,$A56-50+1)):E56)=50,AVERAGE(INDEX(StockDaily[Adjusted close],MAX(1,$A56-50+1)):E56),"n.a.")))</f>
        <v>n.a.</v>
      </c>
      <c r="G56" s="166" t="str">
        <f>IF($A56&gt;MIN($A$10,$A$2),"",IF($A56&lt;200,"n.a.",IF(COUNT(INDEX(StockDaily[Adjusted close],MAX(1,$A56-200+1)):E56)=200,AVERAGE(INDEX(StockDaily[Adjusted close],MAX(1,$A56-200+1)):E56),"n.a.")))</f>
        <v>n.a.</v>
      </c>
      <c r="H56" s="136" t="str">
        <f>IF($A56&gt;MIN($A$10,$A$2),"",IF($A$5="","Choose stock",IF(NOT($A$12),"Check split rule",IF(NOT(ISNUMBER(B56)),"Invalid date",IF(OR(B56&lt;=0,B56&lt;&gt;INT(B56)),"Invalid date",IF(COUNTIFS(DemoHistory[Date],B56)&lt;&gt;1,"Duplicate date",IF(AND($A56&gt;1,B56&lt;=B55),"Dates out of order",IF(NOT(ISNUMBER(C56)),"Missing price",IF(C56&lt;=0,"Nonpositive price","OK")))))))))</f>
        <v>OK</v>
      </c>
      <c r="I56" s="136"/>
      <c r="J56" s="233" t="s">
        <v>395</v>
      </c>
      <c r="K56" s="233"/>
      <c r="L56" s="233"/>
      <c r="M56" s="136"/>
      <c r="N56" s="136">
        <f t="shared" si="1"/>
        <v>549.08460000000002</v>
      </c>
      <c r="O56" s="136" t="e">
        <f t="shared" si="2"/>
        <v>#N/A</v>
      </c>
    </row>
    <row r="57" spans="1:15" ht="22" customHeight="1" x14ac:dyDescent="0.35">
      <c r="A57" s="136">
        <v>13</v>
      </c>
      <c r="B57" s="165">
        <f>IF($A57&gt;MIN($A$10,$A$2),"",INDEX(DemoHistory[Date],$A57))</f>
        <v>46120</v>
      </c>
      <c r="C57" s="166">
        <f>IF(OR($A57&gt;MIN($A$10,$A$2),$A$5=""),"",INDEX(DemoHistory[],$A57,MATCH($A$5,DemoHistory[#Headers],0)))</f>
        <v>544.03899999999999</v>
      </c>
      <c r="D57" s="166">
        <f>IF($A57&gt;MIN($A$10,$A$2),"",IF(AND($A$12,$A$6=1,B57&lt;$A$7,$A$7&lt;=MAX(DemoHistory[Date])),$A$8,1))</f>
        <v>1</v>
      </c>
      <c r="E57" s="166">
        <f t="shared" si="0"/>
        <v>544.03899999999999</v>
      </c>
      <c r="F57" s="166" t="str">
        <f>IF($A57&gt;MIN($A$10,$A$2),"",IF($A57&lt;50,"n.a.",IF(COUNT(INDEX(StockDaily[Adjusted close],MAX(1,$A57-50+1)):E57)=50,AVERAGE(INDEX(StockDaily[Adjusted close],MAX(1,$A57-50+1)):E57),"n.a.")))</f>
        <v>n.a.</v>
      </c>
      <c r="G57" s="166" t="str">
        <f>IF($A57&gt;MIN($A$10,$A$2),"",IF($A57&lt;200,"n.a.",IF(COUNT(INDEX(StockDaily[Adjusted close],MAX(1,$A57-200+1)):E57)=200,AVERAGE(INDEX(StockDaily[Adjusted close],MAX(1,$A57-200+1)):E57),"n.a.")))</f>
        <v>n.a.</v>
      </c>
      <c r="H57" s="136" t="str">
        <f>IF($A57&gt;MIN($A$10,$A$2),"",IF($A$5="","Choose stock",IF(NOT($A$12),"Check split rule",IF(NOT(ISNUMBER(B57)),"Invalid date",IF(OR(B57&lt;=0,B57&lt;&gt;INT(B57)),"Invalid date",IF(COUNTIFS(DemoHistory[Date],B57)&lt;&gt;1,"Duplicate date",IF(AND($A57&gt;1,B57&lt;=B56),"Dates out of order",IF(NOT(ISNUMBER(C57)),"Missing price",IF(C57&lt;=0,"Nonpositive price","OK")))))))))</f>
        <v>OK</v>
      </c>
      <c r="I57" s="136"/>
      <c r="J57" s="233"/>
      <c r="K57" s="233"/>
      <c r="L57" s="233"/>
      <c r="M57" s="136"/>
      <c r="N57" s="136">
        <f t="shared" si="1"/>
        <v>544.03899999999999</v>
      </c>
      <c r="O57" s="136" t="e">
        <f t="shared" si="2"/>
        <v>#N/A</v>
      </c>
    </row>
    <row r="58" spans="1:15" ht="22" customHeight="1" x14ac:dyDescent="0.35">
      <c r="A58" s="136">
        <v>14</v>
      </c>
      <c r="B58" s="165">
        <f>IF($A58&gt;MIN($A$10,$A$2),"",INDEX(DemoHistory[Date],$A58))</f>
        <v>46121</v>
      </c>
      <c r="C58" s="166">
        <f>IF(OR($A58&gt;MIN($A$10,$A$2),$A$5=""),"",INDEX(DemoHistory[],$A58,MATCH($A$5,DemoHistory[#Headers],0)))</f>
        <v>545.40620000000001</v>
      </c>
      <c r="D58" s="166">
        <f>IF($A58&gt;MIN($A$10,$A$2),"",IF(AND($A$12,$A$6=1,B58&lt;$A$7,$A$7&lt;=MAX(DemoHistory[Date])),$A$8,1))</f>
        <v>1</v>
      </c>
      <c r="E58" s="166">
        <f t="shared" si="0"/>
        <v>545.40620000000001</v>
      </c>
      <c r="F58" s="166" t="str">
        <f>IF($A58&gt;MIN($A$10,$A$2),"",IF($A58&lt;50,"n.a.",IF(COUNT(INDEX(StockDaily[Adjusted close],MAX(1,$A58-50+1)):E58)=50,AVERAGE(INDEX(StockDaily[Adjusted close],MAX(1,$A58-50+1)):E58),"n.a.")))</f>
        <v>n.a.</v>
      </c>
      <c r="G58" s="166" t="str">
        <f>IF($A58&gt;MIN($A$10,$A$2),"",IF($A58&lt;200,"n.a.",IF(COUNT(INDEX(StockDaily[Adjusted close],MAX(1,$A58-200+1)):E58)=200,AVERAGE(INDEX(StockDaily[Adjusted close],MAX(1,$A58-200+1)):E58),"n.a.")))</f>
        <v>n.a.</v>
      </c>
      <c r="H58" s="136" t="str">
        <f>IF($A58&gt;MIN($A$10,$A$2),"",IF($A$5="","Choose stock",IF(NOT($A$12),"Check split rule",IF(NOT(ISNUMBER(B58)),"Invalid date",IF(OR(B58&lt;=0,B58&lt;&gt;INT(B58)),"Invalid date",IF(COUNTIFS(DemoHistory[Date],B58)&lt;&gt;1,"Duplicate date",IF(AND($A58&gt;1,B58&lt;=B57),"Dates out of order",IF(NOT(ISNUMBER(C58)),"Missing price",IF(C58&lt;=0,"Nonpositive price","OK")))))))))</f>
        <v>OK</v>
      </c>
      <c r="I58" s="136"/>
      <c r="J58" s="233"/>
      <c r="K58" s="233"/>
      <c r="L58" s="233"/>
      <c r="M58" s="136"/>
      <c r="N58" s="136">
        <f t="shared" si="1"/>
        <v>545.40620000000001</v>
      </c>
      <c r="O58" s="136" t="e">
        <f t="shared" si="2"/>
        <v>#N/A</v>
      </c>
    </row>
    <row r="59" spans="1:15" ht="22" customHeight="1" x14ac:dyDescent="0.35">
      <c r="A59" s="136">
        <v>15</v>
      </c>
      <c r="B59" s="165">
        <f>IF($A59&gt;MIN($A$10,$A$2),"",INDEX(DemoHistory[Date],$A59))</f>
        <v>46122</v>
      </c>
      <c r="C59" s="166">
        <f>IF(OR($A59&gt;MIN($A$10,$A$2),$A$5=""),"",INDEX(DemoHistory[],$A59,MATCH($A$5,DemoHistory[#Headers],0)))</f>
        <v>538.53480000000002</v>
      </c>
      <c r="D59" s="166">
        <f>IF($A59&gt;MIN($A$10,$A$2),"",IF(AND($A$12,$A$6=1,B59&lt;$A$7,$A$7&lt;=MAX(DemoHistory[Date])),$A$8,1))</f>
        <v>1</v>
      </c>
      <c r="E59" s="166">
        <f t="shared" si="0"/>
        <v>538.53480000000002</v>
      </c>
      <c r="F59" s="166" t="str">
        <f>IF($A59&gt;MIN($A$10,$A$2),"",IF($A59&lt;50,"n.a.",IF(COUNT(INDEX(StockDaily[Adjusted close],MAX(1,$A59-50+1)):E59)=50,AVERAGE(INDEX(StockDaily[Adjusted close],MAX(1,$A59-50+1)):E59),"n.a.")))</f>
        <v>n.a.</v>
      </c>
      <c r="G59" s="166" t="str">
        <f>IF($A59&gt;MIN($A$10,$A$2),"",IF($A59&lt;200,"n.a.",IF(COUNT(INDEX(StockDaily[Adjusted close],MAX(1,$A59-200+1)):E59)=200,AVERAGE(INDEX(StockDaily[Adjusted close],MAX(1,$A59-200+1)):E59),"n.a.")))</f>
        <v>n.a.</v>
      </c>
      <c r="H59" s="136" t="str">
        <f>IF($A59&gt;MIN($A$10,$A$2),"",IF($A$5="","Choose stock",IF(NOT($A$12),"Check split rule",IF(NOT(ISNUMBER(B59)),"Invalid date",IF(OR(B59&lt;=0,B59&lt;&gt;INT(B59)),"Invalid date",IF(COUNTIFS(DemoHistory[Date],B59)&lt;&gt;1,"Duplicate date",IF(AND($A59&gt;1,B59&lt;=B58),"Dates out of order",IF(NOT(ISNUMBER(C59)),"Missing price",IF(C59&lt;=0,"Nonpositive price","OK")))))))))</f>
        <v>OK</v>
      </c>
      <c r="I59" s="136"/>
      <c r="J59" s="233"/>
      <c r="K59" s="233"/>
      <c r="L59" s="233"/>
      <c r="M59" s="136"/>
      <c r="N59" s="136">
        <f t="shared" si="1"/>
        <v>538.53480000000002</v>
      </c>
      <c r="O59" s="136" t="e">
        <f t="shared" si="2"/>
        <v>#N/A</v>
      </c>
    </row>
    <row r="60" spans="1:15" ht="22" customHeight="1" x14ac:dyDescent="0.35">
      <c r="A60" s="136">
        <v>16</v>
      </c>
      <c r="B60" s="165">
        <f>IF($A60&gt;MIN($A$10,$A$2),"",INDEX(DemoHistory[Date],$A60))</f>
        <v>46125</v>
      </c>
      <c r="C60" s="166">
        <f>IF(OR($A60&gt;MIN($A$10,$A$2),$A$5=""),"",INDEX(DemoHistory[],$A60,MATCH($A$5,DemoHistory[#Headers],0)))</f>
        <v>525.8261</v>
      </c>
      <c r="D60" s="166">
        <f>IF($A60&gt;MIN($A$10,$A$2),"",IF(AND($A$12,$A$6=1,B60&lt;$A$7,$A$7&lt;=MAX(DemoHistory[Date])),$A$8,1))</f>
        <v>1</v>
      </c>
      <c r="E60" s="166">
        <f t="shared" si="0"/>
        <v>525.8261</v>
      </c>
      <c r="F60" s="166" t="str">
        <f>IF($A60&gt;MIN($A$10,$A$2),"",IF($A60&lt;50,"n.a.",IF(COUNT(INDEX(StockDaily[Adjusted close],MAX(1,$A60-50+1)):E60)=50,AVERAGE(INDEX(StockDaily[Adjusted close],MAX(1,$A60-50+1)):E60),"n.a.")))</f>
        <v>n.a.</v>
      </c>
      <c r="G60" s="166" t="str">
        <f>IF($A60&gt;MIN($A$10,$A$2),"",IF($A60&lt;200,"n.a.",IF(COUNT(INDEX(StockDaily[Adjusted close],MAX(1,$A60-200+1)):E60)=200,AVERAGE(INDEX(StockDaily[Adjusted close],MAX(1,$A60-200+1)):E60),"n.a.")))</f>
        <v>n.a.</v>
      </c>
      <c r="H60" s="136" t="str">
        <f>IF($A60&gt;MIN($A$10,$A$2),"",IF($A$5="","Choose stock",IF(NOT($A$12),"Check split rule",IF(NOT(ISNUMBER(B60)),"Invalid date",IF(OR(B60&lt;=0,B60&lt;&gt;INT(B60)),"Invalid date",IF(COUNTIFS(DemoHistory[Date],B60)&lt;&gt;1,"Duplicate date",IF(AND($A60&gt;1,B60&lt;=B59),"Dates out of order",IF(NOT(ISNUMBER(C60)),"Missing price",IF(C60&lt;=0,"Nonpositive price","OK")))))))))</f>
        <v>OK</v>
      </c>
      <c r="I60" s="136"/>
      <c r="J60" s="136"/>
      <c r="K60" s="136"/>
      <c r="L60" s="136"/>
      <c r="M60" s="136"/>
      <c r="N60" s="136">
        <f t="shared" si="1"/>
        <v>525.8261</v>
      </c>
      <c r="O60" s="136" t="e">
        <f t="shared" si="2"/>
        <v>#N/A</v>
      </c>
    </row>
    <row r="61" spans="1:15" ht="22" customHeight="1" x14ac:dyDescent="0.35">
      <c r="A61" s="136">
        <v>17</v>
      </c>
      <c r="B61" s="165">
        <f>IF($A61&gt;MIN($A$10,$A$2),"",INDEX(DemoHistory[Date],$A61))</f>
        <v>46126</v>
      </c>
      <c r="C61" s="166">
        <f>IF(OR($A61&gt;MIN($A$10,$A$2),$A$5=""),"",INDEX(DemoHistory[],$A61,MATCH($A$5,DemoHistory[#Headers],0)))</f>
        <v>531.84910000000002</v>
      </c>
      <c r="D61" s="166">
        <f>IF($A61&gt;MIN($A$10,$A$2),"",IF(AND($A$12,$A$6=1,B61&lt;$A$7,$A$7&lt;=MAX(DemoHistory[Date])),$A$8,1))</f>
        <v>1</v>
      </c>
      <c r="E61" s="166">
        <f t="shared" si="0"/>
        <v>531.84910000000002</v>
      </c>
      <c r="F61" s="166" t="str">
        <f>IF($A61&gt;MIN($A$10,$A$2),"",IF($A61&lt;50,"n.a.",IF(COUNT(INDEX(StockDaily[Adjusted close],MAX(1,$A61-50+1)):E61)=50,AVERAGE(INDEX(StockDaily[Adjusted close],MAX(1,$A61-50+1)):E61),"n.a.")))</f>
        <v>n.a.</v>
      </c>
      <c r="G61" s="166" t="str">
        <f>IF($A61&gt;MIN($A$10,$A$2),"",IF($A61&lt;200,"n.a.",IF(COUNT(INDEX(StockDaily[Adjusted close],MAX(1,$A61-200+1)):E61)=200,AVERAGE(INDEX(StockDaily[Adjusted close],MAX(1,$A61-200+1)):E61),"n.a.")))</f>
        <v>n.a.</v>
      </c>
      <c r="H61" s="136" t="str">
        <f>IF($A61&gt;MIN($A$10,$A$2),"",IF($A$5="","Choose stock",IF(NOT($A$12),"Check split rule",IF(NOT(ISNUMBER(B61)),"Invalid date",IF(OR(B61&lt;=0,B61&lt;&gt;INT(B61)),"Invalid date",IF(COUNTIFS(DemoHistory[Date],B61)&lt;&gt;1,"Duplicate date",IF(AND($A61&gt;1,B61&lt;=B60),"Dates out of order",IF(NOT(ISNUMBER(C61)),"Missing price",IF(C61&lt;=0,"Nonpositive price","OK")))))))))</f>
        <v>OK</v>
      </c>
      <c r="I61" s="136"/>
      <c r="J61" s="136"/>
      <c r="K61" s="136"/>
      <c r="L61" s="136"/>
      <c r="M61" s="136"/>
      <c r="N61" s="136">
        <f t="shared" si="1"/>
        <v>531.84910000000002</v>
      </c>
      <c r="O61" s="136" t="e">
        <f t="shared" si="2"/>
        <v>#N/A</v>
      </c>
    </row>
    <row r="62" spans="1:15" ht="22" customHeight="1" x14ac:dyDescent="0.35">
      <c r="A62" s="136">
        <v>18</v>
      </c>
      <c r="B62" s="165">
        <f>IF($A62&gt;MIN($A$10,$A$2),"",INDEX(DemoHistory[Date],$A62))</f>
        <v>46127</v>
      </c>
      <c r="C62" s="166">
        <f>IF(OR($A62&gt;MIN($A$10,$A$2),$A$5=""),"",INDEX(DemoHistory[],$A62,MATCH($A$5,DemoHistory[#Headers],0)))</f>
        <v>528.66010000000006</v>
      </c>
      <c r="D62" s="166">
        <f>IF($A62&gt;MIN($A$10,$A$2),"",IF(AND($A$12,$A$6=1,B62&lt;$A$7,$A$7&lt;=MAX(DemoHistory[Date])),$A$8,1))</f>
        <v>1</v>
      </c>
      <c r="E62" s="166">
        <f t="shared" si="0"/>
        <v>528.66010000000006</v>
      </c>
      <c r="F62" s="166" t="str">
        <f>IF($A62&gt;MIN($A$10,$A$2),"",IF($A62&lt;50,"n.a.",IF(COUNT(INDEX(StockDaily[Adjusted close],MAX(1,$A62-50+1)):E62)=50,AVERAGE(INDEX(StockDaily[Adjusted close],MAX(1,$A62-50+1)):E62),"n.a.")))</f>
        <v>n.a.</v>
      </c>
      <c r="G62" s="166" t="str">
        <f>IF($A62&gt;MIN($A$10,$A$2),"",IF($A62&lt;200,"n.a.",IF(COUNT(INDEX(StockDaily[Adjusted close],MAX(1,$A62-200+1)):E62)=200,AVERAGE(INDEX(StockDaily[Adjusted close],MAX(1,$A62-200+1)):E62),"n.a.")))</f>
        <v>n.a.</v>
      </c>
      <c r="H62" s="136" t="str">
        <f>IF($A62&gt;MIN($A$10,$A$2),"",IF($A$5="","Choose stock",IF(NOT($A$12),"Check split rule",IF(NOT(ISNUMBER(B62)),"Invalid date",IF(OR(B62&lt;=0,B62&lt;&gt;INT(B62)),"Invalid date",IF(COUNTIFS(DemoHistory[Date],B62)&lt;&gt;1,"Duplicate date",IF(AND($A62&gt;1,B62&lt;=B61),"Dates out of order",IF(NOT(ISNUMBER(C62)),"Missing price",IF(C62&lt;=0,"Nonpositive price","OK")))))))))</f>
        <v>OK</v>
      </c>
      <c r="I62" s="136"/>
      <c r="J62" s="136"/>
      <c r="K62" s="136"/>
      <c r="L62" s="136"/>
      <c r="M62" s="136"/>
      <c r="N62" s="136">
        <f t="shared" si="1"/>
        <v>528.66010000000006</v>
      </c>
      <c r="O62" s="136" t="e">
        <f t="shared" si="2"/>
        <v>#N/A</v>
      </c>
    </row>
    <row r="63" spans="1:15" ht="22" customHeight="1" x14ac:dyDescent="0.35">
      <c r="A63" s="136">
        <v>19</v>
      </c>
      <c r="B63" s="165">
        <f>IF($A63&gt;MIN($A$10,$A$2),"",INDEX(DemoHistory[Date],$A63))</f>
        <v>46128</v>
      </c>
      <c r="C63" s="166">
        <f>IF(OR($A63&gt;MIN($A$10,$A$2),$A$5=""),"",INDEX(DemoHistory[],$A63,MATCH($A$5,DemoHistory[#Headers],0)))</f>
        <v>528.77170000000001</v>
      </c>
      <c r="D63" s="166">
        <f>IF($A63&gt;MIN($A$10,$A$2),"",IF(AND($A$12,$A$6=1,B63&lt;$A$7,$A$7&lt;=MAX(DemoHistory[Date])),$A$8,1))</f>
        <v>1</v>
      </c>
      <c r="E63" s="166">
        <f t="shared" si="0"/>
        <v>528.77170000000001</v>
      </c>
      <c r="F63" s="166" t="str">
        <f>IF($A63&gt;MIN($A$10,$A$2),"",IF($A63&lt;50,"n.a.",IF(COUNT(INDEX(StockDaily[Adjusted close],MAX(1,$A63-50+1)):E63)=50,AVERAGE(INDEX(StockDaily[Adjusted close],MAX(1,$A63-50+1)):E63),"n.a.")))</f>
        <v>n.a.</v>
      </c>
      <c r="G63" s="166" t="str">
        <f>IF($A63&gt;MIN($A$10,$A$2),"",IF($A63&lt;200,"n.a.",IF(COUNT(INDEX(StockDaily[Adjusted close],MAX(1,$A63-200+1)):E63)=200,AVERAGE(INDEX(StockDaily[Adjusted close],MAX(1,$A63-200+1)):E63),"n.a.")))</f>
        <v>n.a.</v>
      </c>
      <c r="H63" s="136" t="str">
        <f>IF($A63&gt;MIN($A$10,$A$2),"",IF($A$5="","Choose stock",IF(NOT($A$12),"Check split rule",IF(NOT(ISNUMBER(B63)),"Invalid date",IF(OR(B63&lt;=0,B63&lt;&gt;INT(B63)),"Invalid date",IF(COUNTIFS(DemoHistory[Date],B63)&lt;&gt;1,"Duplicate date",IF(AND($A63&gt;1,B63&lt;=B62),"Dates out of order",IF(NOT(ISNUMBER(C63)),"Missing price",IF(C63&lt;=0,"Nonpositive price","OK")))))))))</f>
        <v>OK</v>
      </c>
      <c r="I63" s="136"/>
      <c r="J63" s="136"/>
      <c r="K63" s="136"/>
      <c r="L63" s="136"/>
      <c r="M63" s="136"/>
      <c r="N63" s="136">
        <f t="shared" si="1"/>
        <v>528.77170000000001</v>
      </c>
      <c r="O63" s="136" t="e">
        <f t="shared" si="2"/>
        <v>#N/A</v>
      </c>
    </row>
    <row r="64" spans="1:15" ht="22" customHeight="1" x14ac:dyDescent="0.35">
      <c r="A64" s="136">
        <v>20</v>
      </c>
      <c r="B64" s="165">
        <f>IF($A64&gt;MIN($A$10,$A$2),"",INDEX(DemoHistory[Date],$A64))</f>
        <v>46129</v>
      </c>
      <c r="C64" s="166">
        <f>IF(OR($A64&gt;MIN($A$10,$A$2),$A$5=""),"",INDEX(DemoHistory[],$A64,MATCH($A$5,DemoHistory[#Headers],0)))</f>
        <v>528.05169999999998</v>
      </c>
      <c r="D64" s="166">
        <f>IF($A64&gt;MIN($A$10,$A$2),"",IF(AND($A$12,$A$6=1,B64&lt;$A$7,$A$7&lt;=MAX(DemoHistory[Date])),$A$8,1))</f>
        <v>1</v>
      </c>
      <c r="E64" s="166">
        <f t="shared" si="0"/>
        <v>528.05169999999998</v>
      </c>
      <c r="F64" s="166" t="str">
        <f>IF($A64&gt;MIN($A$10,$A$2),"",IF($A64&lt;50,"n.a.",IF(COUNT(INDEX(StockDaily[Adjusted close],MAX(1,$A64-50+1)):E64)=50,AVERAGE(INDEX(StockDaily[Adjusted close],MAX(1,$A64-50+1)):E64),"n.a.")))</f>
        <v>n.a.</v>
      </c>
      <c r="G64" s="166" t="str">
        <f>IF($A64&gt;MIN($A$10,$A$2),"",IF($A64&lt;200,"n.a.",IF(COUNT(INDEX(StockDaily[Adjusted close],MAX(1,$A64-200+1)):E64)=200,AVERAGE(INDEX(StockDaily[Adjusted close],MAX(1,$A64-200+1)):E64),"n.a.")))</f>
        <v>n.a.</v>
      </c>
      <c r="H64" s="136" t="str">
        <f>IF($A64&gt;MIN($A$10,$A$2),"",IF($A$5="","Choose stock",IF(NOT($A$12),"Check split rule",IF(NOT(ISNUMBER(B64)),"Invalid date",IF(OR(B64&lt;=0,B64&lt;&gt;INT(B64)),"Invalid date",IF(COUNTIFS(DemoHistory[Date],B64)&lt;&gt;1,"Duplicate date",IF(AND($A64&gt;1,B64&lt;=B63),"Dates out of order",IF(NOT(ISNUMBER(C64)),"Missing price",IF(C64&lt;=0,"Nonpositive price","OK")))))))))</f>
        <v>OK</v>
      </c>
      <c r="I64" s="136"/>
      <c r="J64" s="136"/>
      <c r="K64" s="136"/>
      <c r="L64" s="136"/>
      <c r="M64" s="136"/>
      <c r="N64" s="136">
        <f t="shared" si="1"/>
        <v>528.05169999999998</v>
      </c>
      <c r="O64" s="136" t="e">
        <f t="shared" si="2"/>
        <v>#N/A</v>
      </c>
    </row>
    <row r="65" spans="1:15" ht="22" customHeight="1" x14ac:dyDescent="0.35">
      <c r="A65" s="136">
        <v>21</v>
      </c>
      <c r="B65" s="165">
        <f>IF($A65&gt;MIN($A$10,$A$2),"",INDEX(DemoHistory[Date],$A65))</f>
        <v>46132</v>
      </c>
      <c r="C65" s="166">
        <f>IF(OR($A65&gt;MIN($A$10,$A$2),$A$5=""),"",INDEX(DemoHistory[],$A65,MATCH($A$5,DemoHistory[#Headers],0)))</f>
        <v>524.89509999999996</v>
      </c>
      <c r="D65" s="166">
        <f>IF($A65&gt;MIN($A$10,$A$2),"",IF(AND($A$12,$A$6=1,B65&lt;$A$7,$A$7&lt;=MAX(DemoHistory[Date])),$A$8,1))</f>
        <v>1</v>
      </c>
      <c r="E65" s="166">
        <f t="shared" si="0"/>
        <v>524.89509999999996</v>
      </c>
      <c r="F65" s="166" t="str">
        <f>IF($A65&gt;MIN($A$10,$A$2),"",IF($A65&lt;50,"n.a.",IF(COUNT(INDEX(StockDaily[Adjusted close],MAX(1,$A65-50+1)):E65)=50,AVERAGE(INDEX(StockDaily[Adjusted close],MAX(1,$A65-50+1)):E65),"n.a.")))</f>
        <v>n.a.</v>
      </c>
      <c r="G65" s="166" t="str">
        <f>IF($A65&gt;MIN($A$10,$A$2),"",IF($A65&lt;200,"n.a.",IF(COUNT(INDEX(StockDaily[Adjusted close],MAX(1,$A65-200+1)):E65)=200,AVERAGE(INDEX(StockDaily[Adjusted close],MAX(1,$A65-200+1)):E65),"n.a.")))</f>
        <v>n.a.</v>
      </c>
      <c r="H65" s="136" t="str">
        <f>IF($A65&gt;MIN($A$10,$A$2),"",IF($A$5="","Choose stock",IF(NOT($A$12),"Check split rule",IF(NOT(ISNUMBER(B65)),"Invalid date",IF(OR(B65&lt;=0,B65&lt;&gt;INT(B65)),"Invalid date",IF(COUNTIFS(DemoHistory[Date],B65)&lt;&gt;1,"Duplicate date",IF(AND($A65&gt;1,B65&lt;=B64),"Dates out of order",IF(NOT(ISNUMBER(C65)),"Missing price",IF(C65&lt;=0,"Nonpositive price","OK")))))))))</f>
        <v>OK</v>
      </c>
      <c r="I65" s="136"/>
      <c r="J65" s="136"/>
      <c r="K65" s="136"/>
      <c r="L65" s="136"/>
      <c r="M65" s="136"/>
      <c r="N65" s="136">
        <f t="shared" si="1"/>
        <v>524.89509999999996</v>
      </c>
      <c r="O65" s="136" t="e">
        <f t="shared" si="2"/>
        <v>#N/A</v>
      </c>
    </row>
    <row r="66" spans="1:15" ht="22" customHeight="1" x14ac:dyDescent="0.35">
      <c r="A66" s="136">
        <v>22</v>
      </c>
      <c r="B66" s="165">
        <f>IF($A66&gt;MIN($A$10,$A$2),"",INDEX(DemoHistory[Date],$A66))</f>
        <v>46133</v>
      </c>
      <c r="C66" s="166">
        <f>IF(OR($A66&gt;MIN($A$10,$A$2),$A$5=""),"",INDEX(DemoHistory[],$A66,MATCH($A$5,DemoHistory[#Headers],0)))</f>
        <v>522.87310000000002</v>
      </c>
      <c r="D66" s="166">
        <f>IF($A66&gt;MIN($A$10,$A$2),"",IF(AND($A$12,$A$6=1,B66&lt;$A$7,$A$7&lt;=MAX(DemoHistory[Date])),$A$8,1))</f>
        <v>1</v>
      </c>
      <c r="E66" s="166">
        <f t="shared" si="0"/>
        <v>522.87310000000002</v>
      </c>
      <c r="F66" s="166" t="str">
        <f>IF($A66&gt;MIN($A$10,$A$2),"",IF($A66&lt;50,"n.a.",IF(COUNT(INDEX(StockDaily[Adjusted close],MAX(1,$A66-50+1)):E66)=50,AVERAGE(INDEX(StockDaily[Adjusted close],MAX(1,$A66-50+1)):E66),"n.a.")))</f>
        <v>n.a.</v>
      </c>
      <c r="G66" s="166" t="str">
        <f>IF($A66&gt;MIN($A$10,$A$2),"",IF($A66&lt;200,"n.a.",IF(COUNT(INDEX(StockDaily[Adjusted close],MAX(1,$A66-200+1)):E66)=200,AVERAGE(INDEX(StockDaily[Adjusted close],MAX(1,$A66-200+1)):E66),"n.a.")))</f>
        <v>n.a.</v>
      </c>
      <c r="H66" s="136" t="str">
        <f>IF($A66&gt;MIN($A$10,$A$2),"",IF($A$5="","Choose stock",IF(NOT($A$12),"Check split rule",IF(NOT(ISNUMBER(B66)),"Invalid date",IF(OR(B66&lt;=0,B66&lt;&gt;INT(B66)),"Invalid date",IF(COUNTIFS(DemoHistory[Date],B66)&lt;&gt;1,"Duplicate date",IF(AND($A66&gt;1,B66&lt;=B65),"Dates out of order",IF(NOT(ISNUMBER(C66)),"Missing price",IF(C66&lt;=0,"Nonpositive price","OK")))))))))</f>
        <v>OK</v>
      </c>
      <c r="I66" s="136"/>
      <c r="J66" s="136"/>
      <c r="K66" s="136"/>
      <c r="L66" s="136"/>
      <c r="M66" s="136"/>
      <c r="N66" s="136">
        <f t="shared" si="1"/>
        <v>522.87310000000002</v>
      </c>
      <c r="O66" s="136" t="e">
        <f t="shared" si="2"/>
        <v>#N/A</v>
      </c>
    </row>
    <row r="67" spans="1:15" ht="22" customHeight="1" x14ac:dyDescent="0.35">
      <c r="A67" s="136">
        <v>23</v>
      </c>
      <c r="B67" s="165">
        <f>IF($A67&gt;MIN($A$10,$A$2),"",INDEX(DemoHistory[Date],$A67))</f>
        <v>46134</v>
      </c>
      <c r="C67" s="166">
        <f>IF(OR($A67&gt;MIN($A$10,$A$2),$A$5=""),"",INDEX(DemoHistory[],$A67,MATCH($A$5,DemoHistory[#Headers],0)))</f>
        <v>523.24069999999995</v>
      </c>
      <c r="D67" s="166">
        <f>IF($A67&gt;MIN($A$10,$A$2),"",IF(AND($A$12,$A$6=1,B67&lt;$A$7,$A$7&lt;=MAX(DemoHistory[Date])),$A$8,1))</f>
        <v>1</v>
      </c>
      <c r="E67" s="166">
        <f t="shared" si="0"/>
        <v>523.24069999999995</v>
      </c>
      <c r="F67" s="166" t="str">
        <f>IF($A67&gt;MIN($A$10,$A$2),"",IF($A67&lt;50,"n.a.",IF(COUNT(INDEX(StockDaily[Adjusted close],MAX(1,$A67-50+1)):E67)=50,AVERAGE(INDEX(StockDaily[Adjusted close],MAX(1,$A67-50+1)):E67),"n.a.")))</f>
        <v>n.a.</v>
      </c>
      <c r="G67" s="166" t="str">
        <f>IF($A67&gt;MIN($A$10,$A$2),"",IF($A67&lt;200,"n.a.",IF(COUNT(INDEX(StockDaily[Adjusted close],MAX(1,$A67-200+1)):E67)=200,AVERAGE(INDEX(StockDaily[Adjusted close],MAX(1,$A67-200+1)):E67),"n.a.")))</f>
        <v>n.a.</v>
      </c>
      <c r="H67" s="136" t="str">
        <f>IF($A67&gt;MIN($A$10,$A$2),"",IF($A$5="","Choose stock",IF(NOT($A$12),"Check split rule",IF(NOT(ISNUMBER(B67)),"Invalid date",IF(OR(B67&lt;=0,B67&lt;&gt;INT(B67)),"Invalid date",IF(COUNTIFS(DemoHistory[Date],B67)&lt;&gt;1,"Duplicate date",IF(AND($A67&gt;1,B67&lt;=B66),"Dates out of order",IF(NOT(ISNUMBER(C67)),"Missing price",IF(C67&lt;=0,"Nonpositive price","OK")))))))))</f>
        <v>OK</v>
      </c>
      <c r="I67" s="136"/>
      <c r="J67" s="136"/>
      <c r="K67" s="136"/>
      <c r="L67" s="136"/>
      <c r="M67" s="136"/>
      <c r="N67" s="136">
        <f t="shared" si="1"/>
        <v>523.24069999999995</v>
      </c>
      <c r="O67" s="136" t="e">
        <f t="shared" si="2"/>
        <v>#N/A</v>
      </c>
    </row>
    <row r="68" spans="1:15" ht="22" customHeight="1" x14ac:dyDescent="0.35">
      <c r="A68" s="136">
        <v>24</v>
      </c>
      <c r="B68" s="165">
        <f>IF($A68&gt;MIN($A$10,$A$2),"",INDEX(DemoHistory[Date],$A68))</f>
        <v>46135</v>
      </c>
      <c r="C68" s="166">
        <f>IF(OR($A68&gt;MIN($A$10,$A$2),$A$5=""),"",INDEX(DemoHistory[],$A68,MATCH($A$5,DemoHistory[#Headers],0)))</f>
        <v>520.38840000000005</v>
      </c>
      <c r="D68" s="166">
        <f>IF($A68&gt;MIN($A$10,$A$2),"",IF(AND($A$12,$A$6=1,B68&lt;$A$7,$A$7&lt;=MAX(DemoHistory[Date])),$A$8,1))</f>
        <v>1</v>
      </c>
      <c r="E68" s="166">
        <f t="shared" si="0"/>
        <v>520.38840000000005</v>
      </c>
      <c r="F68" s="166" t="str">
        <f>IF($A68&gt;MIN($A$10,$A$2),"",IF($A68&lt;50,"n.a.",IF(COUNT(INDEX(StockDaily[Adjusted close],MAX(1,$A68-50+1)):E68)=50,AVERAGE(INDEX(StockDaily[Adjusted close],MAX(1,$A68-50+1)):E68),"n.a.")))</f>
        <v>n.a.</v>
      </c>
      <c r="G68" s="166" t="str">
        <f>IF($A68&gt;MIN($A$10,$A$2),"",IF($A68&lt;200,"n.a.",IF(COUNT(INDEX(StockDaily[Adjusted close],MAX(1,$A68-200+1)):E68)=200,AVERAGE(INDEX(StockDaily[Adjusted close],MAX(1,$A68-200+1)):E68),"n.a.")))</f>
        <v>n.a.</v>
      </c>
      <c r="H68" s="136" t="str">
        <f>IF($A68&gt;MIN($A$10,$A$2),"",IF($A$5="","Choose stock",IF(NOT($A$12),"Check split rule",IF(NOT(ISNUMBER(B68)),"Invalid date",IF(OR(B68&lt;=0,B68&lt;&gt;INT(B68)),"Invalid date",IF(COUNTIFS(DemoHistory[Date],B68)&lt;&gt;1,"Duplicate date",IF(AND($A68&gt;1,B68&lt;=B67),"Dates out of order",IF(NOT(ISNUMBER(C68)),"Missing price",IF(C68&lt;=0,"Nonpositive price","OK")))))))))</f>
        <v>OK</v>
      </c>
      <c r="I68" s="136"/>
      <c r="J68" s="136"/>
      <c r="K68" s="136"/>
      <c r="L68" s="136"/>
      <c r="M68" s="136"/>
      <c r="N68" s="136">
        <f t="shared" si="1"/>
        <v>520.38840000000005</v>
      </c>
      <c r="O68" s="136" t="e">
        <f t="shared" si="2"/>
        <v>#N/A</v>
      </c>
    </row>
    <row r="69" spans="1:15" ht="22" customHeight="1" x14ac:dyDescent="0.35">
      <c r="A69" s="136">
        <v>25</v>
      </c>
      <c r="B69" s="165">
        <f>IF($A69&gt;MIN($A$10,$A$2),"",INDEX(DemoHistory[Date],$A69))</f>
        <v>46136</v>
      </c>
      <c r="C69" s="166">
        <f>IF(OR($A69&gt;MIN($A$10,$A$2),$A$5=""),"",INDEX(DemoHistory[],$A69,MATCH($A$5,DemoHistory[#Headers],0)))</f>
        <v>521.20579999999995</v>
      </c>
      <c r="D69" s="166">
        <f>IF($A69&gt;MIN($A$10,$A$2),"",IF(AND($A$12,$A$6=1,B69&lt;$A$7,$A$7&lt;=MAX(DemoHistory[Date])),$A$8,1))</f>
        <v>1</v>
      </c>
      <c r="E69" s="166">
        <f t="shared" si="0"/>
        <v>521.20579999999995</v>
      </c>
      <c r="F69" s="166" t="str">
        <f>IF($A69&gt;MIN($A$10,$A$2),"",IF($A69&lt;50,"n.a.",IF(COUNT(INDEX(StockDaily[Adjusted close],MAX(1,$A69-50+1)):E69)=50,AVERAGE(INDEX(StockDaily[Adjusted close],MAX(1,$A69-50+1)):E69),"n.a.")))</f>
        <v>n.a.</v>
      </c>
      <c r="G69" s="166" t="str">
        <f>IF($A69&gt;MIN($A$10,$A$2),"",IF($A69&lt;200,"n.a.",IF(COUNT(INDEX(StockDaily[Adjusted close],MAX(1,$A69-200+1)):E69)=200,AVERAGE(INDEX(StockDaily[Adjusted close],MAX(1,$A69-200+1)):E69),"n.a.")))</f>
        <v>n.a.</v>
      </c>
      <c r="H69" s="136" t="str">
        <f>IF($A69&gt;MIN($A$10,$A$2),"",IF($A$5="","Choose stock",IF(NOT($A$12),"Check split rule",IF(NOT(ISNUMBER(B69)),"Invalid date",IF(OR(B69&lt;=0,B69&lt;&gt;INT(B69)),"Invalid date",IF(COUNTIFS(DemoHistory[Date],B69)&lt;&gt;1,"Duplicate date",IF(AND($A69&gt;1,B69&lt;=B68),"Dates out of order",IF(NOT(ISNUMBER(C69)),"Missing price",IF(C69&lt;=0,"Nonpositive price","OK")))))))))</f>
        <v>OK</v>
      </c>
      <c r="I69" s="136"/>
      <c r="J69" s="136"/>
      <c r="K69" s="136"/>
      <c r="L69" s="136"/>
      <c r="M69" s="136"/>
      <c r="N69" s="136">
        <f t="shared" si="1"/>
        <v>521.20579999999995</v>
      </c>
      <c r="O69" s="136" t="e">
        <f t="shared" si="2"/>
        <v>#N/A</v>
      </c>
    </row>
    <row r="70" spans="1:15" ht="22" customHeight="1" x14ac:dyDescent="0.35">
      <c r="A70" s="136">
        <v>26</v>
      </c>
      <c r="B70" s="165">
        <f>IF($A70&gt;MIN($A$10,$A$2),"",INDEX(DemoHistory[Date],$A70))</f>
        <v>46139</v>
      </c>
      <c r="C70" s="166">
        <f>IF(OR($A70&gt;MIN($A$10,$A$2),$A$5=""),"",INDEX(DemoHistory[],$A70,MATCH($A$5,DemoHistory[#Headers],0)))</f>
        <v>515.25969999999995</v>
      </c>
      <c r="D70" s="166">
        <f>IF($A70&gt;MIN($A$10,$A$2),"",IF(AND($A$12,$A$6=1,B70&lt;$A$7,$A$7&lt;=MAX(DemoHistory[Date])),$A$8,1))</f>
        <v>1</v>
      </c>
      <c r="E70" s="166">
        <f t="shared" si="0"/>
        <v>515.25969999999995</v>
      </c>
      <c r="F70" s="166" t="str">
        <f>IF($A70&gt;MIN($A$10,$A$2),"",IF($A70&lt;50,"n.a.",IF(COUNT(INDEX(StockDaily[Adjusted close],MAX(1,$A70-50+1)):E70)=50,AVERAGE(INDEX(StockDaily[Adjusted close],MAX(1,$A70-50+1)):E70),"n.a.")))</f>
        <v>n.a.</v>
      </c>
      <c r="G70" s="166" t="str">
        <f>IF($A70&gt;MIN($A$10,$A$2),"",IF($A70&lt;200,"n.a.",IF(COUNT(INDEX(StockDaily[Adjusted close],MAX(1,$A70-200+1)):E70)=200,AVERAGE(INDEX(StockDaily[Adjusted close],MAX(1,$A70-200+1)):E70),"n.a.")))</f>
        <v>n.a.</v>
      </c>
      <c r="H70" s="136" t="str">
        <f>IF($A70&gt;MIN($A$10,$A$2),"",IF($A$5="","Choose stock",IF(NOT($A$12),"Check split rule",IF(NOT(ISNUMBER(B70)),"Invalid date",IF(OR(B70&lt;=0,B70&lt;&gt;INT(B70)),"Invalid date",IF(COUNTIFS(DemoHistory[Date],B70)&lt;&gt;1,"Duplicate date",IF(AND($A70&gt;1,B70&lt;=B69),"Dates out of order",IF(NOT(ISNUMBER(C70)),"Missing price",IF(C70&lt;=0,"Nonpositive price","OK")))))))))</f>
        <v>OK</v>
      </c>
      <c r="I70" s="136"/>
      <c r="J70" s="136"/>
      <c r="K70" s="136"/>
      <c r="L70" s="136"/>
      <c r="M70" s="136"/>
      <c r="N70" s="136">
        <f t="shared" si="1"/>
        <v>515.25969999999995</v>
      </c>
      <c r="O70" s="136" t="e">
        <f t="shared" si="2"/>
        <v>#N/A</v>
      </c>
    </row>
    <row r="71" spans="1:15" ht="22" customHeight="1" x14ac:dyDescent="0.35">
      <c r="A71" s="136">
        <v>27</v>
      </c>
      <c r="B71" s="165">
        <f>IF($A71&gt;MIN($A$10,$A$2),"",INDEX(DemoHistory[Date],$A71))</f>
        <v>46140</v>
      </c>
      <c r="C71" s="166">
        <f>IF(OR($A71&gt;MIN($A$10,$A$2),$A$5=""),"",INDEX(DemoHistory[],$A71,MATCH($A$5,DemoHistory[#Headers],0)))</f>
        <v>519.63440000000003</v>
      </c>
      <c r="D71" s="166">
        <f>IF($A71&gt;MIN($A$10,$A$2),"",IF(AND($A$12,$A$6=1,B71&lt;$A$7,$A$7&lt;=MAX(DemoHistory[Date])),$A$8,1))</f>
        <v>1</v>
      </c>
      <c r="E71" s="166">
        <f t="shared" si="0"/>
        <v>519.63440000000003</v>
      </c>
      <c r="F71" s="166" t="str">
        <f>IF($A71&gt;MIN($A$10,$A$2),"",IF($A71&lt;50,"n.a.",IF(COUNT(INDEX(StockDaily[Adjusted close],MAX(1,$A71-50+1)):E71)=50,AVERAGE(INDEX(StockDaily[Adjusted close],MAX(1,$A71-50+1)):E71),"n.a.")))</f>
        <v>n.a.</v>
      </c>
      <c r="G71" s="166" t="str">
        <f>IF($A71&gt;MIN($A$10,$A$2),"",IF($A71&lt;200,"n.a.",IF(COUNT(INDEX(StockDaily[Adjusted close],MAX(1,$A71-200+1)):E71)=200,AVERAGE(INDEX(StockDaily[Adjusted close],MAX(1,$A71-200+1)):E71),"n.a.")))</f>
        <v>n.a.</v>
      </c>
      <c r="H71" s="136" t="str">
        <f>IF($A71&gt;MIN($A$10,$A$2),"",IF($A$5="","Choose stock",IF(NOT($A$12),"Check split rule",IF(NOT(ISNUMBER(B71)),"Invalid date",IF(OR(B71&lt;=0,B71&lt;&gt;INT(B71)),"Invalid date",IF(COUNTIFS(DemoHistory[Date],B71)&lt;&gt;1,"Duplicate date",IF(AND($A71&gt;1,B71&lt;=B70),"Dates out of order",IF(NOT(ISNUMBER(C71)),"Missing price",IF(C71&lt;=0,"Nonpositive price","OK")))))))))</f>
        <v>OK</v>
      </c>
      <c r="I71" s="136"/>
      <c r="J71" s="136"/>
      <c r="K71" s="136"/>
      <c r="L71" s="136"/>
      <c r="M71" s="136"/>
      <c r="N71" s="136">
        <f t="shared" si="1"/>
        <v>519.63440000000003</v>
      </c>
      <c r="O71" s="136" t="e">
        <f t="shared" si="2"/>
        <v>#N/A</v>
      </c>
    </row>
    <row r="72" spans="1:15" ht="22" customHeight="1" x14ac:dyDescent="0.35">
      <c r="A72" s="136">
        <v>28</v>
      </c>
      <c r="B72" s="165">
        <f>IF($A72&gt;MIN($A$10,$A$2),"",INDEX(DemoHistory[Date],$A72))</f>
        <v>46141</v>
      </c>
      <c r="C72" s="166">
        <f>IF(OR($A72&gt;MIN($A$10,$A$2),$A$5=""),"",INDEX(DemoHistory[],$A72,MATCH($A$5,DemoHistory[#Headers],0)))</f>
        <v>518.53510000000006</v>
      </c>
      <c r="D72" s="166">
        <f>IF($A72&gt;MIN($A$10,$A$2),"",IF(AND($A$12,$A$6=1,B72&lt;$A$7,$A$7&lt;=MAX(DemoHistory[Date])),$A$8,1))</f>
        <v>1</v>
      </c>
      <c r="E72" s="166">
        <f t="shared" si="0"/>
        <v>518.53510000000006</v>
      </c>
      <c r="F72" s="166" t="str">
        <f>IF($A72&gt;MIN($A$10,$A$2),"",IF($A72&lt;50,"n.a.",IF(COUNT(INDEX(StockDaily[Adjusted close],MAX(1,$A72-50+1)):E72)=50,AVERAGE(INDEX(StockDaily[Adjusted close],MAX(1,$A72-50+1)):E72),"n.a.")))</f>
        <v>n.a.</v>
      </c>
      <c r="G72" s="166" t="str">
        <f>IF($A72&gt;MIN($A$10,$A$2),"",IF($A72&lt;200,"n.a.",IF(COUNT(INDEX(StockDaily[Adjusted close],MAX(1,$A72-200+1)):E72)=200,AVERAGE(INDEX(StockDaily[Adjusted close],MAX(1,$A72-200+1)):E72),"n.a.")))</f>
        <v>n.a.</v>
      </c>
      <c r="H72" s="136" t="str">
        <f>IF($A72&gt;MIN($A$10,$A$2),"",IF($A$5="","Choose stock",IF(NOT($A$12),"Check split rule",IF(NOT(ISNUMBER(B72)),"Invalid date",IF(OR(B72&lt;=0,B72&lt;&gt;INT(B72)),"Invalid date",IF(COUNTIFS(DemoHistory[Date],B72)&lt;&gt;1,"Duplicate date",IF(AND($A72&gt;1,B72&lt;=B71),"Dates out of order",IF(NOT(ISNUMBER(C72)),"Missing price",IF(C72&lt;=0,"Nonpositive price","OK")))))))))</f>
        <v>OK</v>
      </c>
      <c r="I72" s="136"/>
      <c r="J72" s="136"/>
      <c r="K72" s="136"/>
      <c r="L72" s="136"/>
      <c r="M72" s="136"/>
      <c r="N72" s="136">
        <f t="shared" si="1"/>
        <v>518.53510000000006</v>
      </c>
      <c r="O72" s="136" t="e">
        <f t="shared" si="2"/>
        <v>#N/A</v>
      </c>
    </row>
    <row r="73" spans="1:15" ht="22" customHeight="1" x14ac:dyDescent="0.35">
      <c r="A73" s="136">
        <v>29</v>
      </c>
      <c r="B73" s="165">
        <f>IF($A73&gt;MIN($A$10,$A$2),"",INDEX(DemoHistory[Date],$A73))</f>
        <v>46142</v>
      </c>
      <c r="C73" s="166">
        <f>IF(OR($A73&gt;MIN($A$10,$A$2),$A$5=""),"",INDEX(DemoHistory[],$A73,MATCH($A$5,DemoHistory[#Headers],0)))</f>
        <v>521.17280000000005</v>
      </c>
      <c r="D73" s="166">
        <f>IF($A73&gt;MIN($A$10,$A$2),"",IF(AND($A$12,$A$6=1,B73&lt;$A$7,$A$7&lt;=MAX(DemoHistory[Date])),$A$8,1))</f>
        <v>1</v>
      </c>
      <c r="E73" s="166">
        <f t="shared" si="0"/>
        <v>521.17280000000005</v>
      </c>
      <c r="F73" s="166" t="str">
        <f>IF($A73&gt;MIN($A$10,$A$2),"",IF($A73&lt;50,"n.a.",IF(COUNT(INDEX(StockDaily[Adjusted close],MAX(1,$A73-50+1)):E73)=50,AVERAGE(INDEX(StockDaily[Adjusted close],MAX(1,$A73-50+1)):E73),"n.a.")))</f>
        <v>n.a.</v>
      </c>
      <c r="G73" s="166" t="str">
        <f>IF($A73&gt;MIN($A$10,$A$2),"",IF($A73&lt;200,"n.a.",IF(COUNT(INDEX(StockDaily[Adjusted close],MAX(1,$A73-200+1)):E73)=200,AVERAGE(INDEX(StockDaily[Adjusted close],MAX(1,$A73-200+1)):E73),"n.a.")))</f>
        <v>n.a.</v>
      </c>
      <c r="H73" s="136" t="str">
        <f>IF($A73&gt;MIN($A$10,$A$2),"",IF($A$5="","Choose stock",IF(NOT($A$12),"Check split rule",IF(NOT(ISNUMBER(B73)),"Invalid date",IF(OR(B73&lt;=0,B73&lt;&gt;INT(B73)),"Invalid date",IF(COUNTIFS(DemoHistory[Date],B73)&lt;&gt;1,"Duplicate date",IF(AND($A73&gt;1,B73&lt;=B72),"Dates out of order",IF(NOT(ISNUMBER(C73)),"Missing price",IF(C73&lt;=0,"Nonpositive price","OK")))))))))</f>
        <v>OK</v>
      </c>
      <c r="I73" s="136"/>
      <c r="J73" s="136"/>
      <c r="K73" s="136"/>
      <c r="L73" s="136"/>
      <c r="M73" s="136"/>
      <c r="N73" s="136">
        <f t="shared" si="1"/>
        <v>521.17280000000005</v>
      </c>
      <c r="O73" s="136" t="e">
        <f t="shared" si="2"/>
        <v>#N/A</v>
      </c>
    </row>
    <row r="74" spans="1:15" ht="22" customHeight="1" x14ac:dyDescent="0.35">
      <c r="A74" s="136">
        <v>30</v>
      </c>
      <c r="B74" s="165">
        <f>IF($A74&gt;MIN($A$10,$A$2),"",INDEX(DemoHistory[Date],$A74))</f>
        <v>46143</v>
      </c>
      <c r="C74" s="166">
        <f>IF(OR($A74&gt;MIN($A$10,$A$2),$A$5=""),"",INDEX(DemoHistory[],$A74,MATCH($A$5,DemoHistory[#Headers],0)))</f>
        <v>518.6703</v>
      </c>
      <c r="D74" s="166">
        <f>IF($A74&gt;MIN($A$10,$A$2),"",IF(AND($A$12,$A$6=1,B74&lt;$A$7,$A$7&lt;=MAX(DemoHistory[Date])),$A$8,1))</f>
        <v>1</v>
      </c>
      <c r="E74" s="166">
        <f t="shared" si="0"/>
        <v>518.6703</v>
      </c>
      <c r="F74" s="166" t="str">
        <f>IF($A74&gt;MIN($A$10,$A$2),"",IF($A74&lt;50,"n.a.",IF(COUNT(INDEX(StockDaily[Adjusted close],MAX(1,$A74-50+1)):E74)=50,AVERAGE(INDEX(StockDaily[Adjusted close],MAX(1,$A74-50+1)):E74),"n.a.")))</f>
        <v>n.a.</v>
      </c>
      <c r="G74" s="166" t="str">
        <f>IF($A74&gt;MIN($A$10,$A$2),"",IF($A74&lt;200,"n.a.",IF(COUNT(INDEX(StockDaily[Adjusted close],MAX(1,$A74-200+1)):E74)=200,AVERAGE(INDEX(StockDaily[Adjusted close],MAX(1,$A74-200+1)):E74),"n.a.")))</f>
        <v>n.a.</v>
      </c>
      <c r="H74" s="136" t="str">
        <f>IF($A74&gt;MIN($A$10,$A$2),"",IF($A$5="","Choose stock",IF(NOT($A$12),"Check split rule",IF(NOT(ISNUMBER(B74)),"Invalid date",IF(OR(B74&lt;=0,B74&lt;&gt;INT(B74)),"Invalid date",IF(COUNTIFS(DemoHistory[Date],B74)&lt;&gt;1,"Duplicate date",IF(AND($A74&gt;1,B74&lt;=B73),"Dates out of order",IF(NOT(ISNUMBER(C74)),"Missing price",IF(C74&lt;=0,"Nonpositive price","OK")))))))))</f>
        <v>OK</v>
      </c>
      <c r="I74" s="136"/>
      <c r="J74" s="136"/>
      <c r="K74" s="136"/>
      <c r="L74" s="136"/>
      <c r="M74" s="136"/>
      <c r="N74" s="136">
        <f t="shared" si="1"/>
        <v>518.6703</v>
      </c>
      <c r="O74" s="136" t="e">
        <f t="shared" si="2"/>
        <v>#N/A</v>
      </c>
    </row>
    <row r="75" spans="1:15" ht="22" customHeight="1" x14ac:dyDescent="0.35">
      <c r="A75" s="136">
        <v>31</v>
      </c>
      <c r="B75" s="165">
        <f>IF($A75&gt;MIN($A$10,$A$2),"",INDEX(DemoHistory[Date],$A75))</f>
        <v>46146</v>
      </c>
      <c r="C75" s="166">
        <f>IF(OR($A75&gt;MIN($A$10,$A$2),$A$5=""),"",INDEX(DemoHistory[],$A75,MATCH($A$5,DemoHistory[#Headers],0)))</f>
        <v>517.03390000000002</v>
      </c>
      <c r="D75" s="166">
        <f>IF($A75&gt;MIN($A$10,$A$2),"",IF(AND($A$12,$A$6=1,B75&lt;$A$7,$A$7&lt;=MAX(DemoHistory[Date])),$A$8,1))</f>
        <v>1</v>
      </c>
      <c r="E75" s="166">
        <f t="shared" si="0"/>
        <v>517.03390000000002</v>
      </c>
      <c r="F75" s="166" t="str">
        <f>IF($A75&gt;MIN($A$10,$A$2),"",IF($A75&lt;50,"n.a.",IF(COUNT(INDEX(StockDaily[Adjusted close],MAX(1,$A75-50+1)):E75)=50,AVERAGE(INDEX(StockDaily[Adjusted close],MAX(1,$A75-50+1)):E75),"n.a.")))</f>
        <v>n.a.</v>
      </c>
      <c r="G75" s="166" t="str">
        <f>IF($A75&gt;MIN($A$10,$A$2),"",IF($A75&lt;200,"n.a.",IF(COUNT(INDEX(StockDaily[Adjusted close],MAX(1,$A75-200+1)):E75)=200,AVERAGE(INDEX(StockDaily[Adjusted close],MAX(1,$A75-200+1)):E75),"n.a.")))</f>
        <v>n.a.</v>
      </c>
      <c r="H75" s="136" t="str">
        <f>IF($A75&gt;MIN($A$10,$A$2),"",IF($A$5="","Choose stock",IF(NOT($A$12),"Check split rule",IF(NOT(ISNUMBER(B75)),"Invalid date",IF(OR(B75&lt;=0,B75&lt;&gt;INT(B75)),"Invalid date",IF(COUNTIFS(DemoHistory[Date],B75)&lt;&gt;1,"Duplicate date",IF(AND($A75&gt;1,B75&lt;=B74),"Dates out of order",IF(NOT(ISNUMBER(C75)),"Missing price",IF(C75&lt;=0,"Nonpositive price","OK")))))))))</f>
        <v>OK</v>
      </c>
      <c r="I75" s="136"/>
      <c r="J75" s="136"/>
      <c r="K75" s="136"/>
      <c r="L75" s="136"/>
      <c r="M75" s="136"/>
      <c r="N75" s="136">
        <f t="shared" si="1"/>
        <v>517.03390000000002</v>
      </c>
      <c r="O75" s="136" t="e">
        <f t="shared" si="2"/>
        <v>#N/A</v>
      </c>
    </row>
    <row r="76" spans="1:15" ht="22" customHeight="1" x14ac:dyDescent="0.35">
      <c r="A76" s="136">
        <v>32</v>
      </c>
      <c r="B76" s="165">
        <f>IF($A76&gt;MIN($A$10,$A$2),"",INDEX(DemoHistory[Date],$A76))</f>
        <v>46147</v>
      </c>
      <c r="C76" s="166">
        <f>IF(OR($A76&gt;MIN($A$10,$A$2),$A$5=""),"",INDEX(DemoHistory[],$A76,MATCH($A$5,DemoHistory[#Headers],0)))</f>
        <v>514.4941</v>
      </c>
      <c r="D76" s="166">
        <f>IF($A76&gt;MIN($A$10,$A$2),"",IF(AND($A$12,$A$6=1,B76&lt;$A$7,$A$7&lt;=MAX(DemoHistory[Date])),$A$8,1))</f>
        <v>1</v>
      </c>
      <c r="E76" s="166">
        <f t="shared" si="0"/>
        <v>514.4941</v>
      </c>
      <c r="F76" s="166" t="str">
        <f>IF($A76&gt;MIN($A$10,$A$2),"",IF($A76&lt;50,"n.a.",IF(COUNT(INDEX(StockDaily[Adjusted close],MAX(1,$A76-50+1)):E76)=50,AVERAGE(INDEX(StockDaily[Adjusted close],MAX(1,$A76-50+1)):E76),"n.a.")))</f>
        <v>n.a.</v>
      </c>
      <c r="G76" s="166" t="str">
        <f>IF($A76&gt;MIN($A$10,$A$2),"",IF($A76&lt;200,"n.a.",IF(COUNT(INDEX(StockDaily[Adjusted close],MAX(1,$A76-200+1)):E76)=200,AVERAGE(INDEX(StockDaily[Adjusted close],MAX(1,$A76-200+1)):E76),"n.a.")))</f>
        <v>n.a.</v>
      </c>
      <c r="H76" s="136" t="str">
        <f>IF($A76&gt;MIN($A$10,$A$2),"",IF($A$5="","Choose stock",IF(NOT($A$12),"Check split rule",IF(NOT(ISNUMBER(B76)),"Invalid date",IF(OR(B76&lt;=0,B76&lt;&gt;INT(B76)),"Invalid date",IF(COUNTIFS(DemoHistory[Date],B76)&lt;&gt;1,"Duplicate date",IF(AND($A76&gt;1,B76&lt;=B75),"Dates out of order",IF(NOT(ISNUMBER(C76)),"Missing price",IF(C76&lt;=0,"Nonpositive price","OK")))))))))</f>
        <v>OK</v>
      </c>
      <c r="I76" s="136"/>
      <c r="J76" s="136"/>
      <c r="K76" s="136"/>
      <c r="L76" s="136"/>
      <c r="M76" s="136"/>
      <c r="N76" s="136">
        <f t="shared" si="1"/>
        <v>514.4941</v>
      </c>
      <c r="O76" s="136" t="e">
        <f t="shared" si="2"/>
        <v>#N/A</v>
      </c>
    </row>
    <row r="77" spans="1:15" ht="22" customHeight="1" x14ac:dyDescent="0.35">
      <c r="A77" s="136">
        <v>33</v>
      </c>
      <c r="B77" s="165">
        <f>IF($A77&gt;MIN($A$10,$A$2),"",INDEX(DemoHistory[Date],$A77))</f>
        <v>46148</v>
      </c>
      <c r="C77" s="166">
        <f>IF(OR($A77&gt;MIN($A$10,$A$2),$A$5=""),"",INDEX(DemoHistory[],$A77,MATCH($A$5,DemoHistory[#Headers],0)))</f>
        <v>516.56039999999996</v>
      </c>
      <c r="D77" s="166">
        <f>IF($A77&gt;MIN($A$10,$A$2),"",IF(AND($A$12,$A$6=1,B77&lt;$A$7,$A$7&lt;=MAX(DemoHistory[Date])),$A$8,1))</f>
        <v>1</v>
      </c>
      <c r="E77" s="166">
        <f t="shared" si="0"/>
        <v>516.56039999999996</v>
      </c>
      <c r="F77" s="166" t="str">
        <f>IF($A77&gt;MIN($A$10,$A$2),"",IF($A77&lt;50,"n.a.",IF(COUNT(INDEX(StockDaily[Adjusted close],MAX(1,$A77-50+1)):E77)=50,AVERAGE(INDEX(StockDaily[Adjusted close],MAX(1,$A77-50+1)):E77),"n.a.")))</f>
        <v>n.a.</v>
      </c>
      <c r="G77" s="166" t="str">
        <f>IF($A77&gt;MIN($A$10,$A$2),"",IF($A77&lt;200,"n.a.",IF(COUNT(INDEX(StockDaily[Adjusted close],MAX(1,$A77-200+1)):E77)=200,AVERAGE(INDEX(StockDaily[Adjusted close],MAX(1,$A77-200+1)):E77),"n.a.")))</f>
        <v>n.a.</v>
      </c>
      <c r="H77" s="136" t="str">
        <f>IF($A77&gt;MIN($A$10,$A$2),"",IF($A$5="","Choose stock",IF(NOT($A$12),"Check split rule",IF(NOT(ISNUMBER(B77)),"Invalid date",IF(OR(B77&lt;=0,B77&lt;&gt;INT(B77)),"Invalid date",IF(COUNTIFS(DemoHistory[Date],B77)&lt;&gt;1,"Duplicate date",IF(AND($A77&gt;1,B77&lt;=B76),"Dates out of order",IF(NOT(ISNUMBER(C77)),"Missing price",IF(C77&lt;=0,"Nonpositive price","OK")))))))))</f>
        <v>OK</v>
      </c>
      <c r="I77" s="136"/>
      <c r="J77" s="136"/>
      <c r="K77" s="136"/>
      <c r="L77" s="136"/>
      <c r="M77" s="136"/>
      <c r="N77" s="136">
        <f t="shared" si="1"/>
        <v>516.56039999999996</v>
      </c>
      <c r="O77" s="136" t="e">
        <f t="shared" si="2"/>
        <v>#N/A</v>
      </c>
    </row>
    <row r="78" spans="1:15" ht="22" customHeight="1" x14ac:dyDescent="0.35">
      <c r="A78" s="136">
        <v>34</v>
      </c>
      <c r="B78" s="165">
        <f>IF($A78&gt;MIN($A$10,$A$2),"",INDEX(DemoHistory[Date],$A78))</f>
        <v>46149</v>
      </c>
      <c r="C78" s="166">
        <f>IF(OR($A78&gt;MIN($A$10,$A$2),$A$5=""),"",INDEX(DemoHistory[],$A78,MATCH($A$5,DemoHistory[#Headers],0)))</f>
        <v>508.08049999999997</v>
      </c>
      <c r="D78" s="166">
        <f>IF($A78&gt;MIN($A$10,$A$2),"",IF(AND($A$12,$A$6=1,B78&lt;$A$7,$A$7&lt;=MAX(DemoHistory[Date])),$A$8,1))</f>
        <v>1</v>
      </c>
      <c r="E78" s="166">
        <f t="shared" si="0"/>
        <v>508.08049999999997</v>
      </c>
      <c r="F78" s="166" t="str">
        <f>IF($A78&gt;MIN($A$10,$A$2),"",IF($A78&lt;50,"n.a.",IF(COUNT(INDEX(StockDaily[Adjusted close],MAX(1,$A78-50+1)):E78)=50,AVERAGE(INDEX(StockDaily[Adjusted close],MAX(1,$A78-50+1)):E78),"n.a.")))</f>
        <v>n.a.</v>
      </c>
      <c r="G78" s="166" t="str">
        <f>IF($A78&gt;MIN($A$10,$A$2),"",IF($A78&lt;200,"n.a.",IF(COUNT(INDEX(StockDaily[Adjusted close],MAX(1,$A78-200+1)):E78)=200,AVERAGE(INDEX(StockDaily[Adjusted close],MAX(1,$A78-200+1)):E78),"n.a.")))</f>
        <v>n.a.</v>
      </c>
      <c r="H78" s="136" t="str">
        <f>IF($A78&gt;MIN($A$10,$A$2),"",IF($A$5="","Choose stock",IF(NOT($A$12),"Check split rule",IF(NOT(ISNUMBER(B78)),"Invalid date",IF(OR(B78&lt;=0,B78&lt;&gt;INT(B78)),"Invalid date",IF(COUNTIFS(DemoHistory[Date],B78)&lt;&gt;1,"Duplicate date",IF(AND($A78&gt;1,B78&lt;=B77),"Dates out of order",IF(NOT(ISNUMBER(C78)),"Missing price",IF(C78&lt;=0,"Nonpositive price","OK")))))))))</f>
        <v>OK</v>
      </c>
      <c r="I78" s="136"/>
      <c r="J78" s="136"/>
      <c r="K78" s="136"/>
      <c r="L78" s="136"/>
      <c r="M78" s="136"/>
      <c r="N78" s="136">
        <f t="shared" si="1"/>
        <v>508.08049999999997</v>
      </c>
      <c r="O78" s="136" t="e">
        <f t="shared" si="2"/>
        <v>#N/A</v>
      </c>
    </row>
    <row r="79" spans="1:15" ht="22" customHeight="1" x14ac:dyDescent="0.35">
      <c r="A79" s="136">
        <v>35</v>
      </c>
      <c r="B79" s="165">
        <f>IF($A79&gt;MIN($A$10,$A$2),"",INDEX(DemoHistory[Date],$A79))</f>
        <v>46150</v>
      </c>
      <c r="C79" s="166">
        <f>IF(OR($A79&gt;MIN($A$10,$A$2),$A$5=""),"",INDEX(DemoHistory[],$A79,MATCH($A$5,DemoHistory[#Headers],0)))</f>
        <v>508.28710000000001</v>
      </c>
      <c r="D79" s="166">
        <f>IF($A79&gt;MIN($A$10,$A$2),"",IF(AND($A$12,$A$6=1,B79&lt;$A$7,$A$7&lt;=MAX(DemoHistory[Date])),$A$8,1))</f>
        <v>1</v>
      </c>
      <c r="E79" s="166">
        <f t="shared" si="0"/>
        <v>508.28710000000001</v>
      </c>
      <c r="F79" s="166" t="str">
        <f>IF($A79&gt;MIN($A$10,$A$2),"",IF($A79&lt;50,"n.a.",IF(COUNT(INDEX(StockDaily[Adjusted close],MAX(1,$A79-50+1)):E79)=50,AVERAGE(INDEX(StockDaily[Adjusted close],MAX(1,$A79-50+1)):E79),"n.a.")))</f>
        <v>n.a.</v>
      </c>
      <c r="G79" s="166" t="str">
        <f>IF($A79&gt;MIN($A$10,$A$2),"",IF($A79&lt;200,"n.a.",IF(COUNT(INDEX(StockDaily[Adjusted close],MAX(1,$A79-200+1)):E79)=200,AVERAGE(INDEX(StockDaily[Adjusted close],MAX(1,$A79-200+1)):E79),"n.a.")))</f>
        <v>n.a.</v>
      </c>
      <c r="H79" s="136" t="str">
        <f>IF($A79&gt;MIN($A$10,$A$2),"",IF($A$5="","Choose stock",IF(NOT($A$12),"Check split rule",IF(NOT(ISNUMBER(B79)),"Invalid date",IF(OR(B79&lt;=0,B79&lt;&gt;INT(B79)),"Invalid date",IF(COUNTIFS(DemoHistory[Date],B79)&lt;&gt;1,"Duplicate date",IF(AND($A79&gt;1,B79&lt;=B78),"Dates out of order",IF(NOT(ISNUMBER(C79)),"Missing price",IF(C79&lt;=0,"Nonpositive price","OK")))))))))</f>
        <v>OK</v>
      </c>
      <c r="I79" s="136"/>
      <c r="J79" s="136"/>
      <c r="K79" s="136"/>
      <c r="L79" s="136"/>
      <c r="M79" s="136"/>
      <c r="N79" s="136">
        <f t="shared" si="1"/>
        <v>508.28710000000001</v>
      </c>
      <c r="O79" s="136" t="e">
        <f t="shared" si="2"/>
        <v>#N/A</v>
      </c>
    </row>
    <row r="80" spans="1:15" ht="22" customHeight="1" x14ac:dyDescent="0.35">
      <c r="A80" s="136">
        <v>36</v>
      </c>
      <c r="B80" s="165">
        <f>IF($A80&gt;MIN($A$10,$A$2),"",INDEX(DemoHistory[Date],$A80))</f>
        <v>46153</v>
      </c>
      <c r="C80" s="166">
        <f>IF(OR($A80&gt;MIN($A$10,$A$2),$A$5=""),"",INDEX(DemoHistory[],$A80,MATCH($A$5,DemoHistory[#Headers],0)))</f>
        <v>501.93380000000002</v>
      </c>
      <c r="D80" s="166">
        <f>IF($A80&gt;MIN($A$10,$A$2),"",IF(AND($A$12,$A$6=1,B80&lt;$A$7,$A$7&lt;=MAX(DemoHistory[Date])),$A$8,1))</f>
        <v>1</v>
      </c>
      <c r="E80" s="166">
        <f t="shared" si="0"/>
        <v>501.93380000000002</v>
      </c>
      <c r="F80" s="166" t="str">
        <f>IF($A80&gt;MIN($A$10,$A$2),"",IF($A80&lt;50,"n.a.",IF(COUNT(INDEX(StockDaily[Adjusted close],MAX(1,$A80-50+1)):E80)=50,AVERAGE(INDEX(StockDaily[Adjusted close],MAX(1,$A80-50+1)):E80),"n.a.")))</f>
        <v>n.a.</v>
      </c>
      <c r="G80" s="166" t="str">
        <f>IF($A80&gt;MIN($A$10,$A$2),"",IF($A80&lt;200,"n.a.",IF(COUNT(INDEX(StockDaily[Adjusted close],MAX(1,$A80-200+1)):E80)=200,AVERAGE(INDEX(StockDaily[Adjusted close],MAX(1,$A80-200+1)):E80),"n.a.")))</f>
        <v>n.a.</v>
      </c>
      <c r="H80" s="136" t="str">
        <f>IF($A80&gt;MIN($A$10,$A$2),"",IF($A$5="","Choose stock",IF(NOT($A$12),"Check split rule",IF(NOT(ISNUMBER(B80)),"Invalid date",IF(OR(B80&lt;=0,B80&lt;&gt;INT(B80)),"Invalid date",IF(COUNTIFS(DemoHistory[Date],B80)&lt;&gt;1,"Duplicate date",IF(AND($A80&gt;1,B80&lt;=B79),"Dates out of order",IF(NOT(ISNUMBER(C80)),"Missing price",IF(C80&lt;=0,"Nonpositive price","OK")))))))))</f>
        <v>OK</v>
      </c>
      <c r="I80" s="136"/>
      <c r="J80" s="136"/>
      <c r="K80" s="136"/>
      <c r="L80" s="136"/>
      <c r="M80" s="136"/>
      <c r="N80" s="136">
        <f t="shared" si="1"/>
        <v>501.93380000000002</v>
      </c>
      <c r="O80" s="136" t="e">
        <f t="shared" si="2"/>
        <v>#N/A</v>
      </c>
    </row>
    <row r="81" spans="1:15" ht="22" customHeight="1" x14ac:dyDescent="0.35">
      <c r="A81" s="136">
        <v>37</v>
      </c>
      <c r="B81" s="165">
        <f>IF($A81&gt;MIN($A$10,$A$2),"",INDEX(DemoHistory[Date],$A81))</f>
        <v>46154</v>
      </c>
      <c r="C81" s="166">
        <f>IF(OR($A81&gt;MIN($A$10,$A$2),$A$5=""),"",INDEX(DemoHistory[],$A81,MATCH($A$5,DemoHistory[#Headers],0)))</f>
        <v>502.81389999999999</v>
      </c>
      <c r="D81" s="166">
        <f>IF($A81&gt;MIN($A$10,$A$2),"",IF(AND($A$12,$A$6=1,B81&lt;$A$7,$A$7&lt;=MAX(DemoHistory[Date])),$A$8,1))</f>
        <v>1</v>
      </c>
      <c r="E81" s="166">
        <f t="shared" si="0"/>
        <v>502.81389999999999</v>
      </c>
      <c r="F81" s="166" t="str">
        <f>IF($A81&gt;MIN($A$10,$A$2),"",IF($A81&lt;50,"n.a.",IF(COUNT(INDEX(StockDaily[Adjusted close],MAX(1,$A81-50+1)):E81)=50,AVERAGE(INDEX(StockDaily[Adjusted close],MAX(1,$A81-50+1)):E81),"n.a.")))</f>
        <v>n.a.</v>
      </c>
      <c r="G81" s="166" t="str">
        <f>IF($A81&gt;MIN($A$10,$A$2),"",IF($A81&lt;200,"n.a.",IF(COUNT(INDEX(StockDaily[Adjusted close],MAX(1,$A81-200+1)):E81)=200,AVERAGE(INDEX(StockDaily[Adjusted close],MAX(1,$A81-200+1)):E81),"n.a.")))</f>
        <v>n.a.</v>
      </c>
      <c r="H81" s="136" t="str">
        <f>IF($A81&gt;MIN($A$10,$A$2),"",IF($A$5="","Choose stock",IF(NOT($A$12),"Check split rule",IF(NOT(ISNUMBER(B81)),"Invalid date",IF(OR(B81&lt;=0,B81&lt;&gt;INT(B81)),"Invalid date",IF(COUNTIFS(DemoHistory[Date],B81)&lt;&gt;1,"Duplicate date",IF(AND($A81&gt;1,B81&lt;=B80),"Dates out of order",IF(NOT(ISNUMBER(C81)),"Missing price",IF(C81&lt;=0,"Nonpositive price","OK")))))))))</f>
        <v>OK</v>
      </c>
      <c r="I81" s="136"/>
      <c r="J81" s="136"/>
      <c r="K81" s="136"/>
      <c r="L81" s="136"/>
      <c r="M81" s="136"/>
      <c r="N81" s="136">
        <f t="shared" si="1"/>
        <v>502.81389999999999</v>
      </c>
      <c r="O81" s="136" t="e">
        <f t="shared" si="2"/>
        <v>#N/A</v>
      </c>
    </row>
    <row r="82" spans="1:15" ht="22" customHeight="1" x14ac:dyDescent="0.35">
      <c r="A82" s="136">
        <v>38</v>
      </c>
      <c r="B82" s="165">
        <f>IF($A82&gt;MIN($A$10,$A$2),"",INDEX(DemoHistory[Date],$A82))</f>
        <v>46155</v>
      </c>
      <c r="C82" s="166">
        <f>IF(OR($A82&gt;MIN($A$10,$A$2),$A$5=""),"",INDEX(DemoHistory[],$A82,MATCH($A$5,DemoHistory[#Headers],0)))</f>
        <v>504.68459999999999</v>
      </c>
      <c r="D82" s="166">
        <f>IF($A82&gt;MIN($A$10,$A$2),"",IF(AND($A$12,$A$6=1,B82&lt;$A$7,$A$7&lt;=MAX(DemoHistory[Date])),$A$8,1))</f>
        <v>1</v>
      </c>
      <c r="E82" s="166">
        <f t="shared" si="0"/>
        <v>504.68459999999999</v>
      </c>
      <c r="F82" s="166" t="str">
        <f>IF($A82&gt;MIN($A$10,$A$2),"",IF($A82&lt;50,"n.a.",IF(COUNT(INDEX(StockDaily[Adjusted close],MAX(1,$A82-50+1)):E82)=50,AVERAGE(INDEX(StockDaily[Adjusted close],MAX(1,$A82-50+1)):E82),"n.a.")))</f>
        <v>n.a.</v>
      </c>
      <c r="G82" s="166" t="str">
        <f>IF($A82&gt;MIN($A$10,$A$2),"",IF($A82&lt;200,"n.a.",IF(COUNT(INDEX(StockDaily[Adjusted close],MAX(1,$A82-200+1)):E82)=200,AVERAGE(INDEX(StockDaily[Adjusted close],MAX(1,$A82-200+1)):E82),"n.a.")))</f>
        <v>n.a.</v>
      </c>
      <c r="H82" s="136" t="str">
        <f>IF($A82&gt;MIN($A$10,$A$2),"",IF($A$5="","Choose stock",IF(NOT($A$12),"Check split rule",IF(NOT(ISNUMBER(B82)),"Invalid date",IF(OR(B82&lt;=0,B82&lt;&gt;INT(B82)),"Invalid date",IF(COUNTIFS(DemoHistory[Date],B82)&lt;&gt;1,"Duplicate date",IF(AND($A82&gt;1,B82&lt;=B81),"Dates out of order",IF(NOT(ISNUMBER(C82)),"Missing price",IF(C82&lt;=0,"Nonpositive price","OK")))))))))</f>
        <v>OK</v>
      </c>
      <c r="I82" s="136"/>
      <c r="J82" s="136"/>
      <c r="K82" s="136"/>
      <c r="L82" s="136"/>
      <c r="M82" s="136"/>
      <c r="N82" s="136">
        <f t="shared" si="1"/>
        <v>504.68459999999999</v>
      </c>
      <c r="O82" s="136" t="e">
        <f t="shared" si="2"/>
        <v>#N/A</v>
      </c>
    </row>
    <row r="83" spans="1:15" ht="22" customHeight="1" x14ac:dyDescent="0.35">
      <c r="A83" s="136">
        <v>39</v>
      </c>
      <c r="B83" s="165">
        <f>IF($A83&gt;MIN($A$10,$A$2),"",INDEX(DemoHistory[Date],$A83))</f>
        <v>46156</v>
      </c>
      <c r="C83" s="166">
        <f>IF(OR($A83&gt;MIN($A$10,$A$2),$A$5=""),"",INDEX(DemoHistory[],$A83,MATCH($A$5,DemoHistory[#Headers],0)))</f>
        <v>497.74770000000001</v>
      </c>
      <c r="D83" s="166">
        <f>IF($A83&gt;MIN($A$10,$A$2),"",IF(AND($A$12,$A$6=1,B83&lt;$A$7,$A$7&lt;=MAX(DemoHistory[Date])),$A$8,1))</f>
        <v>1</v>
      </c>
      <c r="E83" s="166">
        <f t="shared" si="0"/>
        <v>497.74770000000001</v>
      </c>
      <c r="F83" s="166" t="str">
        <f>IF($A83&gt;MIN($A$10,$A$2),"",IF($A83&lt;50,"n.a.",IF(COUNT(INDEX(StockDaily[Adjusted close],MAX(1,$A83-50+1)):E83)=50,AVERAGE(INDEX(StockDaily[Adjusted close],MAX(1,$A83-50+1)):E83),"n.a.")))</f>
        <v>n.a.</v>
      </c>
      <c r="G83" s="166" t="str">
        <f>IF($A83&gt;MIN($A$10,$A$2),"",IF($A83&lt;200,"n.a.",IF(COUNT(INDEX(StockDaily[Adjusted close],MAX(1,$A83-200+1)):E83)=200,AVERAGE(INDEX(StockDaily[Adjusted close],MAX(1,$A83-200+1)):E83),"n.a.")))</f>
        <v>n.a.</v>
      </c>
      <c r="H83" s="136" t="str">
        <f>IF($A83&gt;MIN($A$10,$A$2),"",IF($A$5="","Choose stock",IF(NOT($A$12),"Check split rule",IF(NOT(ISNUMBER(B83)),"Invalid date",IF(OR(B83&lt;=0,B83&lt;&gt;INT(B83)),"Invalid date",IF(COUNTIFS(DemoHistory[Date],B83)&lt;&gt;1,"Duplicate date",IF(AND($A83&gt;1,B83&lt;=B82),"Dates out of order",IF(NOT(ISNUMBER(C83)),"Missing price",IF(C83&lt;=0,"Nonpositive price","OK")))))))))</f>
        <v>OK</v>
      </c>
      <c r="I83" s="136"/>
      <c r="J83" s="136"/>
      <c r="K83" s="136"/>
      <c r="L83" s="136"/>
      <c r="M83" s="136"/>
      <c r="N83" s="136">
        <f t="shared" si="1"/>
        <v>497.74770000000001</v>
      </c>
      <c r="O83" s="136" t="e">
        <f t="shared" si="2"/>
        <v>#N/A</v>
      </c>
    </row>
    <row r="84" spans="1:15" ht="22" customHeight="1" x14ac:dyDescent="0.35">
      <c r="A84" s="136">
        <v>40</v>
      </c>
      <c r="B84" s="165">
        <f>IF($A84&gt;MIN($A$10,$A$2),"",INDEX(DemoHistory[Date],$A84))</f>
        <v>46157</v>
      </c>
      <c r="C84" s="166">
        <f>IF(OR($A84&gt;MIN($A$10,$A$2),$A$5=""),"",INDEX(DemoHistory[],$A84,MATCH($A$5,DemoHistory[#Headers],0)))</f>
        <v>498.98099999999999</v>
      </c>
      <c r="D84" s="166">
        <f>IF($A84&gt;MIN($A$10,$A$2),"",IF(AND($A$12,$A$6=1,B84&lt;$A$7,$A$7&lt;=MAX(DemoHistory[Date])),$A$8,1))</f>
        <v>1</v>
      </c>
      <c r="E84" s="166">
        <f t="shared" si="0"/>
        <v>498.98099999999999</v>
      </c>
      <c r="F84" s="166" t="str">
        <f>IF($A84&gt;MIN($A$10,$A$2),"",IF($A84&lt;50,"n.a.",IF(COUNT(INDEX(StockDaily[Adjusted close],MAX(1,$A84-50+1)):E84)=50,AVERAGE(INDEX(StockDaily[Adjusted close],MAX(1,$A84-50+1)):E84),"n.a.")))</f>
        <v>n.a.</v>
      </c>
      <c r="G84" s="166" t="str">
        <f>IF($A84&gt;MIN($A$10,$A$2),"",IF($A84&lt;200,"n.a.",IF(COUNT(INDEX(StockDaily[Adjusted close],MAX(1,$A84-200+1)):E84)=200,AVERAGE(INDEX(StockDaily[Adjusted close],MAX(1,$A84-200+1)):E84),"n.a.")))</f>
        <v>n.a.</v>
      </c>
      <c r="H84" s="136" t="str">
        <f>IF($A84&gt;MIN($A$10,$A$2),"",IF($A$5="","Choose stock",IF(NOT($A$12),"Check split rule",IF(NOT(ISNUMBER(B84)),"Invalid date",IF(OR(B84&lt;=0,B84&lt;&gt;INT(B84)),"Invalid date",IF(COUNTIFS(DemoHistory[Date],B84)&lt;&gt;1,"Duplicate date",IF(AND($A84&gt;1,B84&lt;=B83),"Dates out of order",IF(NOT(ISNUMBER(C84)),"Missing price",IF(C84&lt;=0,"Nonpositive price","OK")))))))))</f>
        <v>OK</v>
      </c>
      <c r="I84" s="136"/>
      <c r="J84" s="136"/>
      <c r="K84" s="136"/>
      <c r="L84" s="136"/>
      <c r="M84" s="136"/>
      <c r="N84" s="136">
        <f t="shared" si="1"/>
        <v>498.98099999999999</v>
      </c>
      <c r="O84" s="136" t="e">
        <f t="shared" si="2"/>
        <v>#N/A</v>
      </c>
    </row>
    <row r="85" spans="1:15" ht="22" customHeight="1" x14ac:dyDescent="0.35">
      <c r="A85" s="136">
        <v>41</v>
      </c>
      <c r="B85" s="165">
        <f>IF($A85&gt;MIN($A$10,$A$2),"",INDEX(DemoHistory[Date],$A85))</f>
        <v>46160</v>
      </c>
      <c r="C85" s="166">
        <f>IF(OR($A85&gt;MIN($A$10,$A$2),$A$5=""),"",INDEX(DemoHistory[],$A85,MATCH($A$5,DemoHistory[#Headers],0)))</f>
        <v>494.25510000000003</v>
      </c>
      <c r="D85" s="166">
        <f>IF($A85&gt;MIN($A$10,$A$2),"",IF(AND($A$12,$A$6=1,B85&lt;$A$7,$A$7&lt;=MAX(DemoHistory[Date])),$A$8,1))</f>
        <v>1</v>
      </c>
      <c r="E85" s="166">
        <f t="shared" si="0"/>
        <v>494.25510000000003</v>
      </c>
      <c r="F85" s="166" t="str">
        <f>IF($A85&gt;MIN($A$10,$A$2),"",IF($A85&lt;50,"n.a.",IF(COUNT(INDEX(StockDaily[Adjusted close],MAX(1,$A85-50+1)):E85)=50,AVERAGE(INDEX(StockDaily[Adjusted close],MAX(1,$A85-50+1)):E85),"n.a.")))</f>
        <v>n.a.</v>
      </c>
      <c r="G85" s="166" t="str">
        <f>IF($A85&gt;MIN($A$10,$A$2),"",IF($A85&lt;200,"n.a.",IF(COUNT(INDEX(StockDaily[Adjusted close],MAX(1,$A85-200+1)):E85)=200,AVERAGE(INDEX(StockDaily[Adjusted close],MAX(1,$A85-200+1)):E85),"n.a.")))</f>
        <v>n.a.</v>
      </c>
      <c r="H85" s="136" t="str">
        <f>IF($A85&gt;MIN($A$10,$A$2),"",IF($A$5="","Choose stock",IF(NOT($A$12),"Check split rule",IF(NOT(ISNUMBER(B85)),"Invalid date",IF(OR(B85&lt;=0,B85&lt;&gt;INT(B85)),"Invalid date",IF(COUNTIFS(DemoHistory[Date],B85)&lt;&gt;1,"Duplicate date",IF(AND($A85&gt;1,B85&lt;=B84),"Dates out of order",IF(NOT(ISNUMBER(C85)),"Missing price",IF(C85&lt;=0,"Nonpositive price","OK")))))))))</f>
        <v>OK</v>
      </c>
      <c r="I85" s="136"/>
      <c r="J85" s="136"/>
      <c r="K85" s="136"/>
      <c r="L85" s="136"/>
      <c r="M85" s="136"/>
      <c r="N85" s="136">
        <f t="shared" si="1"/>
        <v>494.25510000000003</v>
      </c>
      <c r="O85" s="136" t="e">
        <f t="shared" si="2"/>
        <v>#N/A</v>
      </c>
    </row>
    <row r="86" spans="1:15" ht="22" customHeight="1" x14ac:dyDescent="0.35">
      <c r="A86" s="136">
        <v>42</v>
      </c>
      <c r="B86" s="165">
        <f>IF($A86&gt;MIN($A$10,$A$2),"",INDEX(DemoHistory[Date],$A86))</f>
        <v>46161</v>
      </c>
      <c r="C86" s="166">
        <f>IF(OR($A86&gt;MIN($A$10,$A$2),$A$5=""),"",INDEX(DemoHistory[],$A86,MATCH($A$5,DemoHistory[#Headers],0)))</f>
        <v>495.84210000000002</v>
      </c>
      <c r="D86" s="166">
        <f>IF($A86&gt;MIN($A$10,$A$2),"",IF(AND($A$12,$A$6=1,B86&lt;$A$7,$A$7&lt;=MAX(DemoHistory[Date])),$A$8,1))</f>
        <v>1</v>
      </c>
      <c r="E86" s="166">
        <f t="shared" si="0"/>
        <v>495.84210000000002</v>
      </c>
      <c r="F86" s="166" t="str">
        <f>IF($A86&gt;MIN($A$10,$A$2),"",IF($A86&lt;50,"n.a.",IF(COUNT(INDEX(StockDaily[Adjusted close],MAX(1,$A86-50+1)):E86)=50,AVERAGE(INDEX(StockDaily[Adjusted close],MAX(1,$A86-50+1)):E86),"n.a.")))</f>
        <v>n.a.</v>
      </c>
      <c r="G86" s="166" t="str">
        <f>IF($A86&gt;MIN($A$10,$A$2),"",IF($A86&lt;200,"n.a.",IF(COUNT(INDEX(StockDaily[Adjusted close],MAX(1,$A86-200+1)):E86)=200,AVERAGE(INDEX(StockDaily[Adjusted close],MAX(1,$A86-200+1)):E86),"n.a.")))</f>
        <v>n.a.</v>
      </c>
      <c r="H86" s="136" t="str">
        <f>IF($A86&gt;MIN($A$10,$A$2),"",IF($A$5="","Choose stock",IF(NOT($A$12),"Check split rule",IF(NOT(ISNUMBER(B86)),"Invalid date",IF(OR(B86&lt;=0,B86&lt;&gt;INT(B86)),"Invalid date",IF(COUNTIFS(DemoHistory[Date],B86)&lt;&gt;1,"Duplicate date",IF(AND($A86&gt;1,B86&lt;=B85),"Dates out of order",IF(NOT(ISNUMBER(C86)),"Missing price",IF(C86&lt;=0,"Nonpositive price","OK")))))))))</f>
        <v>OK</v>
      </c>
      <c r="I86" s="136"/>
      <c r="J86" s="136"/>
      <c r="K86" s="136"/>
      <c r="L86" s="136"/>
      <c r="M86" s="136"/>
      <c r="N86" s="136">
        <f t="shared" si="1"/>
        <v>495.84210000000002</v>
      </c>
      <c r="O86" s="136" t="e">
        <f t="shared" si="2"/>
        <v>#N/A</v>
      </c>
    </row>
    <row r="87" spans="1:15" ht="22" customHeight="1" x14ac:dyDescent="0.35">
      <c r="A87" s="136">
        <v>43</v>
      </c>
      <c r="B87" s="165">
        <f>IF($A87&gt;MIN($A$10,$A$2),"",INDEX(DemoHistory[Date],$A87))</f>
        <v>46162</v>
      </c>
      <c r="C87" s="166">
        <f>IF(OR($A87&gt;MIN($A$10,$A$2),$A$5=""),"",INDEX(DemoHistory[],$A87,MATCH($A$5,DemoHistory[#Headers],0)))</f>
        <v>500.75130000000001</v>
      </c>
      <c r="D87" s="166">
        <f>IF($A87&gt;MIN($A$10,$A$2),"",IF(AND($A$12,$A$6=1,B87&lt;$A$7,$A$7&lt;=MAX(DemoHistory[Date])),$A$8,1))</f>
        <v>1</v>
      </c>
      <c r="E87" s="166">
        <f t="shared" si="0"/>
        <v>500.75130000000001</v>
      </c>
      <c r="F87" s="166" t="str">
        <f>IF($A87&gt;MIN($A$10,$A$2),"",IF($A87&lt;50,"n.a.",IF(COUNT(INDEX(StockDaily[Adjusted close],MAX(1,$A87-50+1)):E87)=50,AVERAGE(INDEX(StockDaily[Adjusted close],MAX(1,$A87-50+1)):E87),"n.a.")))</f>
        <v>n.a.</v>
      </c>
      <c r="G87" s="166" t="str">
        <f>IF($A87&gt;MIN($A$10,$A$2),"",IF($A87&lt;200,"n.a.",IF(COUNT(INDEX(StockDaily[Adjusted close],MAX(1,$A87-200+1)):E87)=200,AVERAGE(INDEX(StockDaily[Adjusted close],MAX(1,$A87-200+1)):E87),"n.a.")))</f>
        <v>n.a.</v>
      </c>
      <c r="H87" s="136" t="str">
        <f>IF($A87&gt;MIN($A$10,$A$2),"",IF($A$5="","Choose stock",IF(NOT($A$12),"Check split rule",IF(NOT(ISNUMBER(B87)),"Invalid date",IF(OR(B87&lt;=0,B87&lt;&gt;INT(B87)),"Invalid date",IF(COUNTIFS(DemoHistory[Date],B87)&lt;&gt;1,"Duplicate date",IF(AND($A87&gt;1,B87&lt;=B86),"Dates out of order",IF(NOT(ISNUMBER(C87)),"Missing price",IF(C87&lt;=0,"Nonpositive price","OK")))))))))</f>
        <v>OK</v>
      </c>
      <c r="I87" s="136"/>
      <c r="J87" s="136"/>
      <c r="K87" s="136"/>
      <c r="L87" s="136"/>
      <c r="M87" s="136"/>
      <c r="N87" s="136">
        <f t="shared" si="1"/>
        <v>500.75130000000001</v>
      </c>
      <c r="O87" s="136" t="e">
        <f t="shared" si="2"/>
        <v>#N/A</v>
      </c>
    </row>
    <row r="88" spans="1:15" ht="22" customHeight="1" x14ac:dyDescent="0.35">
      <c r="A88" s="136">
        <v>44</v>
      </c>
      <c r="B88" s="165">
        <f>IF($A88&gt;MIN($A$10,$A$2),"",INDEX(DemoHistory[Date],$A88))</f>
        <v>46163</v>
      </c>
      <c r="C88" s="166">
        <f>IF(OR($A88&gt;MIN($A$10,$A$2),$A$5=""),"",INDEX(DemoHistory[],$A88,MATCH($A$5,DemoHistory[#Headers],0)))</f>
        <v>496.73910000000001</v>
      </c>
      <c r="D88" s="166">
        <f>IF($A88&gt;MIN($A$10,$A$2),"",IF(AND($A$12,$A$6=1,B88&lt;$A$7,$A$7&lt;=MAX(DemoHistory[Date])),$A$8,1))</f>
        <v>1</v>
      </c>
      <c r="E88" s="166">
        <f t="shared" si="0"/>
        <v>496.73910000000001</v>
      </c>
      <c r="F88" s="166" t="str">
        <f>IF($A88&gt;MIN($A$10,$A$2),"",IF($A88&lt;50,"n.a.",IF(COUNT(INDEX(StockDaily[Adjusted close],MAX(1,$A88-50+1)):E88)=50,AVERAGE(INDEX(StockDaily[Adjusted close],MAX(1,$A88-50+1)):E88),"n.a.")))</f>
        <v>n.a.</v>
      </c>
      <c r="G88" s="166" t="str">
        <f>IF($A88&gt;MIN($A$10,$A$2),"",IF($A88&lt;200,"n.a.",IF(COUNT(INDEX(StockDaily[Adjusted close],MAX(1,$A88-200+1)):E88)=200,AVERAGE(INDEX(StockDaily[Adjusted close],MAX(1,$A88-200+1)):E88),"n.a.")))</f>
        <v>n.a.</v>
      </c>
      <c r="H88" s="136" t="str">
        <f>IF($A88&gt;MIN($A$10,$A$2),"",IF($A$5="","Choose stock",IF(NOT($A$12),"Check split rule",IF(NOT(ISNUMBER(B88)),"Invalid date",IF(OR(B88&lt;=0,B88&lt;&gt;INT(B88)),"Invalid date",IF(COUNTIFS(DemoHistory[Date],B88)&lt;&gt;1,"Duplicate date",IF(AND($A88&gt;1,B88&lt;=B87),"Dates out of order",IF(NOT(ISNUMBER(C88)),"Missing price",IF(C88&lt;=0,"Nonpositive price","OK")))))))))</f>
        <v>OK</v>
      </c>
      <c r="I88" s="136"/>
      <c r="J88" s="136"/>
      <c r="K88" s="136"/>
      <c r="L88" s="136"/>
      <c r="M88" s="136"/>
      <c r="N88" s="136">
        <f t="shared" si="1"/>
        <v>496.73910000000001</v>
      </c>
      <c r="O88" s="136" t="e">
        <f t="shared" si="2"/>
        <v>#N/A</v>
      </c>
    </row>
    <row r="89" spans="1:15" ht="22" customHeight="1" x14ac:dyDescent="0.35">
      <c r="A89" s="136">
        <v>45</v>
      </c>
      <c r="B89" s="165">
        <f>IF($A89&gt;MIN($A$10,$A$2),"",INDEX(DemoHistory[Date],$A89))</f>
        <v>46164</v>
      </c>
      <c r="C89" s="166">
        <f>IF(OR($A89&gt;MIN($A$10,$A$2),$A$5=""),"",INDEX(DemoHistory[],$A89,MATCH($A$5,DemoHistory[#Headers],0)))</f>
        <v>497.32729999999998</v>
      </c>
      <c r="D89" s="166">
        <f>IF($A89&gt;MIN($A$10,$A$2),"",IF(AND($A$12,$A$6=1,B89&lt;$A$7,$A$7&lt;=MAX(DemoHistory[Date])),$A$8,1))</f>
        <v>1</v>
      </c>
      <c r="E89" s="166">
        <f t="shared" si="0"/>
        <v>497.32729999999998</v>
      </c>
      <c r="F89" s="166" t="str">
        <f>IF($A89&gt;MIN($A$10,$A$2),"",IF($A89&lt;50,"n.a.",IF(COUNT(INDEX(StockDaily[Adjusted close],MAX(1,$A89-50+1)):E89)=50,AVERAGE(INDEX(StockDaily[Adjusted close],MAX(1,$A89-50+1)):E89),"n.a.")))</f>
        <v>n.a.</v>
      </c>
      <c r="G89" s="166" t="str">
        <f>IF($A89&gt;MIN($A$10,$A$2),"",IF($A89&lt;200,"n.a.",IF(COUNT(INDEX(StockDaily[Adjusted close],MAX(1,$A89-200+1)):E89)=200,AVERAGE(INDEX(StockDaily[Adjusted close],MAX(1,$A89-200+1)):E89),"n.a.")))</f>
        <v>n.a.</v>
      </c>
      <c r="H89" s="136" t="str">
        <f>IF($A89&gt;MIN($A$10,$A$2),"",IF($A$5="","Choose stock",IF(NOT($A$12),"Check split rule",IF(NOT(ISNUMBER(B89)),"Invalid date",IF(OR(B89&lt;=0,B89&lt;&gt;INT(B89)),"Invalid date",IF(COUNTIFS(DemoHistory[Date],B89)&lt;&gt;1,"Duplicate date",IF(AND($A89&gt;1,B89&lt;=B88),"Dates out of order",IF(NOT(ISNUMBER(C89)),"Missing price",IF(C89&lt;=0,"Nonpositive price","OK")))))))))</f>
        <v>OK</v>
      </c>
      <c r="I89" s="136"/>
      <c r="J89" s="136"/>
      <c r="K89" s="136"/>
      <c r="L89" s="136"/>
      <c r="M89" s="136"/>
      <c r="N89" s="136">
        <f t="shared" si="1"/>
        <v>497.32729999999998</v>
      </c>
      <c r="O89" s="136" t="e">
        <f t="shared" si="2"/>
        <v>#N/A</v>
      </c>
    </row>
    <row r="90" spans="1:15" ht="22" customHeight="1" x14ac:dyDescent="0.35">
      <c r="A90" s="136">
        <v>46</v>
      </c>
      <c r="B90" s="165">
        <f>IF($A90&gt;MIN($A$10,$A$2),"",INDEX(DemoHistory[Date],$A90))</f>
        <v>46167</v>
      </c>
      <c r="C90" s="166">
        <f>IF(OR($A90&gt;MIN($A$10,$A$2),$A$5=""),"",INDEX(DemoHistory[],$A90,MATCH($A$5,DemoHistory[#Headers],0)))</f>
        <v>505.80930000000001</v>
      </c>
      <c r="D90" s="166">
        <f>IF($A90&gt;MIN($A$10,$A$2),"",IF(AND($A$12,$A$6=1,B90&lt;$A$7,$A$7&lt;=MAX(DemoHistory[Date])),$A$8,1))</f>
        <v>1</v>
      </c>
      <c r="E90" s="166">
        <f t="shared" si="0"/>
        <v>505.80930000000001</v>
      </c>
      <c r="F90" s="166" t="str">
        <f>IF($A90&gt;MIN($A$10,$A$2),"",IF($A90&lt;50,"n.a.",IF(COUNT(INDEX(StockDaily[Adjusted close],MAX(1,$A90-50+1)):E90)=50,AVERAGE(INDEX(StockDaily[Adjusted close],MAX(1,$A90-50+1)):E90),"n.a.")))</f>
        <v>n.a.</v>
      </c>
      <c r="G90" s="166" t="str">
        <f>IF($A90&gt;MIN($A$10,$A$2),"",IF($A90&lt;200,"n.a.",IF(COUNT(INDEX(StockDaily[Adjusted close],MAX(1,$A90-200+1)):E90)=200,AVERAGE(INDEX(StockDaily[Adjusted close],MAX(1,$A90-200+1)):E90),"n.a.")))</f>
        <v>n.a.</v>
      </c>
      <c r="H90" s="136" t="str">
        <f>IF($A90&gt;MIN($A$10,$A$2),"",IF($A$5="","Choose stock",IF(NOT($A$12),"Check split rule",IF(NOT(ISNUMBER(B90)),"Invalid date",IF(OR(B90&lt;=0,B90&lt;&gt;INT(B90)),"Invalid date",IF(COUNTIFS(DemoHistory[Date],B90)&lt;&gt;1,"Duplicate date",IF(AND($A90&gt;1,B90&lt;=B89),"Dates out of order",IF(NOT(ISNUMBER(C90)),"Missing price",IF(C90&lt;=0,"Nonpositive price","OK")))))))))</f>
        <v>OK</v>
      </c>
      <c r="I90" s="136"/>
      <c r="J90" s="136"/>
      <c r="K90" s="136"/>
      <c r="L90" s="136"/>
      <c r="M90" s="136"/>
      <c r="N90" s="136">
        <f t="shared" si="1"/>
        <v>505.80930000000001</v>
      </c>
      <c r="O90" s="136" t="e">
        <f t="shared" si="2"/>
        <v>#N/A</v>
      </c>
    </row>
    <row r="91" spans="1:15" ht="22" customHeight="1" x14ac:dyDescent="0.35">
      <c r="A91" s="136">
        <v>47</v>
      </c>
      <c r="B91" s="165">
        <f>IF($A91&gt;MIN($A$10,$A$2),"",INDEX(DemoHistory[Date],$A91))</f>
        <v>46168</v>
      </c>
      <c r="C91" s="166">
        <f>IF(OR($A91&gt;MIN($A$10,$A$2),$A$5=""),"",INDEX(DemoHistory[],$A91,MATCH($A$5,DemoHistory[#Headers],0)))</f>
        <v>508.1456</v>
      </c>
      <c r="D91" s="166">
        <f>IF($A91&gt;MIN($A$10,$A$2),"",IF(AND($A$12,$A$6=1,B91&lt;$A$7,$A$7&lt;=MAX(DemoHistory[Date])),$A$8,1))</f>
        <v>1</v>
      </c>
      <c r="E91" s="166">
        <f t="shared" si="0"/>
        <v>508.1456</v>
      </c>
      <c r="F91" s="166" t="str">
        <f>IF($A91&gt;MIN($A$10,$A$2),"",IF($A91&lt;50,"n.a.",IF(COUNT(INDEX(StockDaily[Adjusted close],MAX(1,$A91-50+1)):E91)=50,AVERAGE(INDEX(StockDaily[Adjusted close],MAX(1,$A91-50+1)):E91),"n.a.")))</f>
        <v>n.a.</v>
      </c>
      <c r="G91" s="166" t="str">
        <f>IF($A91&gt;MIN($A$10,$A$2),"",IF($A91&lt;200,"n.a.",IF(COUNT(INDEX(StockDaily[Adjusted close],MAX(1,$A91-200+1)):E91)=200,AVERAGE(INDEX(StockDaily[Adjusted close],MAX(1,$A91-200+1)):E91),"n.a.")))</f>
        <v>n.a.</v>
      </c>
      <c r="H91" s="136" t="str">
        <f>IF($A91&gt;MIN($A$10,$A$2),"",IF($A$5="","Choose stock",IF(NOT($A$12),"Check split rule",IF(NOT(ISNUMBER(B91)),"Invalid date",IF(OR(B91&lt;=0,B91&lt;&gt;INT(B91)),"Invalid date",IF(COUNTIFS(DemoHistory[Date],B91)&lt;&gt;1,"Duplicate date",IF(AND($A91&gt;1,B91&lt;=B90),"Dates out of order",IF(NOT(ISNUMBER(C91)),"Missing price",IF(C91&lt;=0,"Nonpositive price","OK")))))))))</f>
        <v>OK</v>
      </c>
      <c r="I91" s="136"/>
      <c r="J91" s="136"/>
      <c r="K91" s="136"/>
      <c r="L91" s="136"/>
      <c r="M91" s="136"/>
      <c r="N91" s="136">
        <f t="shared" si="1"/>
        <v>508.1456</v>
      </c>
      <c r="O91" s="136" t="e">
        <f t="shared" si="2"/>
        <v>#N/A</v>
      </c>
    </row>
    <row r="92" spans="1:15" ht="22" customHeight="1" x14ac:dyDescent="0.35">
      <c r="A92" s="136">
        <v>48</v>
      </c>
      <c r="B92" s="165">
        <f>IF($A92&gt;MIN($A$10,$A$2),"",INDEX(DemoHistory[Date],$A92))</f>
        <v>46169</v>
      </c>
      <c r="C92" s="166">
        <f>IF(OR($A92&gt;MIN($A$10,$A$2),$A$5=""),"",INDEX(DemoHistory[],$A92,MATCH($A$5,DemoHistory[#Headers],0)))</f>
        <v>512.49839999999995</v>
      </c>
      <c r="D92" s="166">
        <f>IF($A92&gt;MIN($A$10,$A$2),"",IF(AND($A$12,$A$6=1,B92&lt;$A$7,$A$7&lt;=MAX(DemoHistory[Date])),$A$8,1))</f>
        <v>1</v>
      </c>
      <c r="E92" s="166">
        <f t="shared" si="0"/>
        <v>512.49839999999995</v>
      </c>
      <c r="F92" s="166" t="str">
        <f>IF($A92&gt;MIN($A$10,$A$2),"",IF($A92&lt;50,"n.a.",IF(COUNT(INDEX(StockDaily[Adjusted close],MAX(1,$A92-50+1)):E92)=50,AVERAGE(INDEX(StockDaily[Adjusted close],MAX(1,$A92-50+1)):E92),"n.a.")))</f>
        <v>n.a.</v>
      </c>
      <c r="G92" s="166" t="str">
        <f>IF($A92&gt;MIN($A$10,$A$2),"",IF($A92&lt;200,"n.a.",IF(COUNT(INDEX(StockDaily[Adjusted close],MAX(1,$A92-200+1)):E92)=200,AVERAGE(INDEX(StockDaily[Adjusted close],MAX(1,$A92-200+1)):E92),"n.a.")))</f>
        <v>n.a.</v>
      </c>
      <c r="H92" s="136" t="str">
        <f>IF($A92&gt;MIN($A$10,$A$2),"",IF($A$5="","Choose stock",IF(NOT($A$12),"Check split rule",IF(NOT(ISNUMBER(B92)),"Invalid date",IF(OR(B92&lt;=0,B92&lt;&gt;INT(B92)),"Invalid date",IF(COUNTIFS(DemoHistory[Date],B92)&lt;&gt;1,"Duplicate date",IF(AND($A92&gt;1,B92&lt;=B91),"Dates out of order",IF(NOT(ISNUMBER(C92)),"Missing price",IF(C92&lt;=0,"Nonpositive price","OK")))))))))</f>
        <v>OK</v>
      </c>
      <c r="I92" s="136"/>
      <c r="J92" s="136"/>
      <c r="K92" s="136"/>
      <c r="L92" s="136"/>
      <c r="M92" s="136"/>
      <c r="N92" s="136">
        <f t="shared" si="1"/>
        <v>512.49839999999995</v>
      </c>
      <c r="O92" s="136" t="e">
        <f t="shared" si="2"/>
        <v>#N/A</v>
      </c>
    </row>
    <row r="93" spans="1:15" ht="22" customHeight="1" x14ac:dyDescent="0.35">
      <c r="A93" s="136">
        <v>49</v>
      </c>
      <c r="B93" s="165">
        <f>IF($A93&gt;MIN($A$10,$A$2),"",INDEX(DemoHistory[Date],$A93))</f>
        <v>46170</v>
      </c>
      <c r="C93" s="166">
        <f>IF(OR($A93&gt;MIN($A$10,$A$2),$A$5=""),"",INDEX(DemoHistory[],$A93,MATCH($A$5,DemoHistory[#Headers],0)))</f>
        <v>512.5412</v>
      </c>
      <c r="D93" s="166">
        <f>IF($A93&gt;MIN($A$10,$A$2),"",IF(AND($A$12,$A$6=1,B93&lt;$A$7,$A$7&lt;=MAX(DemoHistory[Date])),$A$8,1))</f>
        <v>1</v>
      </c>
      <c r="E93" s="166">
        <f t="shared" si="0"/>
        <v>512.5412</v>
      </c>
      <c r="F93" s="166" t="str">
        <f>IF($A93&gt;MIN($A$10,$A$2),"",IF($A93&lt;50,"n.a.",IF(COUNT(INDEX(StockDaily[Adjusted close],MAX(1,$A93-50+1)):E93)=50,AVERAGE(INDEX(StockDaily[Adjusted close],MAX(1,$A93-50+1)):E93),"n.a.")))</f>
        <v>n.a.</v>
      </c>
      <c r="G93" s="166" t="str">
        <f>IF($A93&gt;MIN($A$10,$A$2),"",IF($A93&lt;200,"n.a.",IF(COUNT(INDEX(StockDaily[Adjusted close],MAX(1,$A93-200+1)):E93)=200,AVERAGE(INDEX(StockDaily[Adjusted close],MAX(1,$A93-200+1)):E93),"n.a.")))</f>
        <v>n.a.</v>
      </c>
      <c r="H93" s="136" t="str">
        <f>IF($A93&gt;MIN($A$10,$A$2),"",IF($A$5="","Choose stock",IF(NOT($A$12),"Check split rule",IF(NOT(ISNUMBER(B93)),"Invalid date",IF(OR(B93&lt;=0,B93&lt;&gt;INT(B93)),"Invalid date",IF(COUNTIFS(DemoHistory[Date],B93)&lt;&gt;1,"Duplicate date",IF(AND($A93&gt;1,B93&lt;=B92),"Dates out of order",IF(NOT(ISNUMBER(C93)),"Missing price",IF(C93&lt;=0,"Nonpositive price","OK")))))))))</f>
        <v>OK</v>
      </c>
      <c r="I93" s="136"/>
      <c r="J93" s="136"/>
      <c r="K93" s="136"/>
      <c r="L93" s="136"/>
      <c r="M93" s="136"/>
      <c r="N93" s="136">
        <f t="shared" si="1"/>
        <v>512.5412</v>
      </c>
      <c r="O93" s="136" t="e">
        <f t="shared" si="2"/>
        <v>#N/A</v>
      </c>
    </row>
    <row r="94" spans="1:15" ht="22" customHeight="1" x14ac:dyDescent="0.35">
      <c r="A94" s="136">
        <v>50</v>
      </c>
      <c r="B94" s="165">
        <f>IF($A94&gt;MIN($A$10,$A$2),"",INDEX(DemoHistory[Date],$A94))</f>
        <v>46171</v>
      </c>
      <c r="C94" s="166">
        <f>IF(OR($A94&gt;MIN($A$10,$A$2),$A$5=""),"",INDEX(DemoHistory[],$A94,MATCH($A$5,DemoHistory[#Headers],0)))</f>
        <v>513.9384</v>
      </c>
      <c r="D94" s="166">
        <f>IF($A94&gt;MIN($A$10,$A$2),"",IF(AND($A$12,$A$6=1,B94&lt;$A$7,$A$7&lt;=MAX(DemoHistory[Date])),$A$8,1))</f>
        <v>1</v>
      </c>
      <c r="E94" s="166">
        <f t="shared" si="0"/>
        <v>513.9384</v>
      </c>
      <c r="F94" s="166">
        <f>IF($A94&gt;MIN($A$10,$A$2),"",IF($A94&lt;50,"n.a.",IF(COUNT(INDEX(StockDaily[Adjusted close],MAX(1,$A94-50+1)):E94)=50,AVERAGE(INDEX(StockDaily[Adjusted close],MAX(1,$A94-50+1)):E94),"n.a.")))</f>
        <v>523.87542800000006</v>
      </c>
      <c r="G94" s="166" t="str">
        <f>IF($A94&gt;MIN($A$10,$A$2),"",IF($A94&lt;200,"n.a.",IF(COUNT(INDEX(StockDaily[Adjusted close],MAX(1,$A94-200+1)):E94)=200,AVERAGE(INDEX(StockDaily[Adjusted close],MAX(1,$A94-200+1)):E94),"n.a.")))</f>
        <v>n.a.</v>
      </c>
      <c r="H94" s="136" t="str">
        <f>IF($A94&gt;MIN($A$10,$A$2),"",IF($A$5="","Choose stock",IF(NOT($A$12),"Check split rule",IF(NOT(ISNUMBER(B94)),"Invalid date",IF(OR(B94&lt;=0,B94&lt;&gt;INT(B94)),"Invalid date",IF(COUNTIFS(DemoHistory[Date],B94)&lt;&gt;1,"Duplicate date",IF(AND($A94&gt;1,B94&lt;=B93),"Dates out of order",IF(NOT(ISNUMBER(C94)),"Missing price",IF(C94&lt;=0,"Nonpositive price","OK")))))))))</f>
        <v>OK</v>
      </c>
      <c r="I94" s="136"/>
      <c r="J94" s="136"/>
      <c r="K94" s="136"/>
      <c r="L94" s="136"/>
      <c r="M94" s="136"/>
      <c r="N94" s="136">
        <f t="shared" si="1"/>
        <v>513.9384</v>
      </c>
      <c r="O94" s="136">
        <f t="shared" si="2"/>
        <v>523.87542800000006</v>
      </c>
    </row>
    <row r="95" spans="1:15" ht="22" customHeight="1" x14ac:dyDescent="0.35">
      <c r="A95" s="136">
        <v>51</v>
      </c>
      <c r="B95" s="165">
        <f>IF($A95&gt;MIN($A$10,$A$2),"",INDEX(DemoHistory[Date],$A95))</f>
        <v>46174</v>
      </c>
      <c r="C95" s="166">
        <f>IF(OR($A95&gt;MIN($A$10,$A$2),$A$5=""),"",INDEX(DemoHistory[],$A95,MATCH($A$5,DemoHistory[#Headers],0)))</f>
        <v>516.93100000000004</v>
      </c>
      <c r="D95" s="166">
        <f>IF($A95&gt;MIN($A$10,$A$2),"",IF(AND($A$12,$A$6=1,B95&lt;$A$7,$A$7&lt;=MAX(DemoHistory[Date])),$A$8,1))</f>
        <v>1</v>
      </c>
      <c r="E95" s="166">
        <f t="shared" si="0"/>
        <v>516.93100000000004</v>
      </c>
      <c r="F95" s="166">
        <f>IF($A95&gt;MIN($A$10,$A$2),"",IF($A95&lt;50,"n.a.",IF(COUNT(INDEX(StockDaily[Adjusted close],MAX(1,$A95-50+1)):E95)=50,AVERAGE(INDEX(StockDaily[Adjusted close],MAX(1,$A95-50+1)):E95),"n.a.")))</f>
        <v>523.21404800000005</v>
      </c>
      <c r="G95" s="166" t="str">
        <f>IF($A95&gt;MIN($A$10,$A$2),"",IF($A95&lt;200,"n.a.",IF(COUNT(INDEX(StockDaily[Adjusted close],MAX(1,$A95-200+1)):E95)=200,AVERAGE(INDEX(StockDaily[Adjusted close],MAX(1,$A95-200+1)):E95),"n.a.")))</f>
        <v>n.a.</v>
      </c>
      <c r="H95" s="136" t="str">
        <f>IF($A95&gt;MIN($A$10,$A$2),"",IF($A$5="","Choose stock",IF(NOT($A$12),"Check split rule",IF(NOT(ISNUMBER(B95)),"Invalid date",IF(OR(B95&lt;=0,B95&lt;&gt;INT(B95)),"Invalid date",IF(COUNTIFS(DemoHistory[Date],B95)&lt;&gt;1,"Duplicate date",IF(AND($A95&gt;1,B95&lt;=B94),"Dates out of order",IF(NOT(ISNUMBER(C95)),"Missing price",IF(C95&lt;=0,"Nonpositive price","OK")))))))))</f>
        <v>OK</v>
      </c>
      <c r="I95" s="136"/>
      <c r="J95" s="136"/>
      <c r="K95" s="136"/>
      <c r="L95" s="136"/>
      <c r="M95" s="136"/>
      <c r="N95" s="136">
        <f t="shared" si="1"/>
        <v>516.93100000000004</v>
      </c>
      <c r="O95" s="136">
        <f t="shared" si="2"/>
        <v>523.21404800000005</v>
      </c>
    </row>
    <row r="96" spans="1:15" ht="22" customHeight="1" x14ac:dyDescent="0.35">
      <c r="A96" s="136">
        <v>52</v>
      </c>
      <c r="B96" s="165">
        <f>IF($A96&gt;MIN($A$10,$A$2),"",INDEX(DemoHistory[Date],$A96))</f>
        <v>46175</v>
      </c>
      <c r="C96" s="166">
        <f>IF(OR($A96&gt;MIN($A$10,$A$2),$A$5=""),"",INDEX(DemoHistory[],$A96,MATCH($A$5,DemoHistory[#Headers],0)))</f>
        <v>519.87350000000004</v>
      </c>
      <c r="D96" s="166">
        <f>IF($A96&gt;MIN($A$10,$A$2),"",IF(AND($A$12,$A$6=1,B96&lt;$A$7,$A$7&lt;=MAX(DemoHistory[Date])),$A$8,1))</f>
        <v>1</v>
      </c>
      <c r="E96" s="166">
        <f t="shared" si="0"/>
        <v>519.87350000000004</v>
      </c>
      <c r="F96" s="166">
        <f>IF($A96&gt;MIN($A$10,$A$2),"",IF($A96&lt;50,"n.a.",IF(COUNT(INDEX(StockDaily[Adjusted close],MAX(1,$A96-50+1)):E96)=50,AVERAGE(INDEX(StockDaily[Adjusted close],MAX(1,$A96-50+1)):E96),"n.a.")))</f>
        <v>522.54619600000001</v>
      </c>
      <c r="G96" s="166" t="str">
        <f>IF($A96&gt;MIN($A$10,$A$2),"",IF($A96&lt;200,"n.a.",IF(COUNT(INDEX(StockDaily[Adjusted close],MAX(1,$A96-200+1)):E96)=200,AVERAGE(INDEX(StockDaily[Adjusted close],MAX(1,$A96-200+1)):E96),"n.a.")))</f>
        <v>n.a.</v>
      </c>
      <c r="H96" s="136" t="str">
        <f>IF($A96&gt;MIN($A$10,$A$2),"",IF($A$5="","Choose stock",IF(NOT($A$12),"Check split rule",IF(NOT(ISNUMBER(B96)),"Invalid date",IF(OR(B96&lt;=0,B96&lt;&gt;INT(B96)),"Invalid date",IF(COUNTIFS(DemoHistory[Date],B96)&lt;&gt;1,"Duplicate date",IF(AND($A96&gt;1,B96&lt;=B95),"Dates out of order",IF(NOT(ISNUMBER(C96)),"Missing price",IF(C96&lt;=0,"Nonpositive price","OK")))))))))</f>
        <v>OK</v>
      </c>
      <c r="I96" s="136"/>
      <c r="J96" s="136"/>
      <c r="K96" s="136"/>
      <c r="L96" s="136"/>
      <c r="M96" s="136"/>
      <c r="N96" s="136">
        <f t="shared" si="1"/>
        <v>519.87350000000004</v>
      </c>
      <c r="O96" s="136">
        <f t="shared" si="2"/>
        <v>522.54619600000001</v>
      </c>
    </row>
    <row r="97" spans="1:15" ht="22" customHeight="1" x14ac:dyDescent="0.35">
      <c r="A97" s="136">
        <v>53</v>
      </c>
      <c r="B97" s="165">
        <f>IF($A97&gt;MIN($A$10,$A$2),"",INDEX(DemoHistory[Date],$A97))</f>
        <v>46176</v>
      </c>
      <c r="C97" s="166">
        <f>IF(OR($A97&gt;MIN($A$10,$A$2),$A$5=""),"",INDEX(DemoHistory[],$A97,MATCH($A$5,DemoHistory[#Headers],0)))</f>
        <v>516.7627</v>
      </c>
      <c r="D97" s="166">
        <f>IF($A97&gt;MIN($A$10,$A$2),"",IF(AND($A$12,$A$6=1,B97&lt;$A$7,$A$7&lt;=MAX(DemoHistory[Date])),$A$8,1))</f>
        <v>1</v>
      </c>
      <c r="E97" s="166">
        <f t="shared" si="0"/>
        <v>516.7627</v>
      </c>
      <c r="F97" s="166">
        <f>IF($A97&gt;MIN($A$10,$A$2),"",IF($A97&lt;50,"n.a.",IF(COUNT(INDEX(StockDaily[Adjusted close],MAX(1,$A97-50+1)):E97)=50,AVERAGE(INDEX(StockDaily[Adjusted close],MAX(1,$A97-50+1)):E97),"n.a.")))</f>
        <v>521.86779600000011</v>
      </c>
      <c r="G97" s="166" t="str">
        <f>IF($A97&gt;MIN($A$10,$A$2),"",IF($A97&lt;200,"n.a.",IF(COUNT(INDEX(StockDaily[Adjusted close],MAX(1,$A97-200+1)):E97)=200,AVERAGE(INDEX(StockDaily[Adjusted close],MAX(1,$A97-200+1)):E97),"n.a.")))</f>
        <v>n.a.</v>
      </c>
      <c r="H97" s="136" t="str">
        <f>IF($A97&gt;MIN($A$10,$A$2),"",IF($A$5="","Choose stock",IF(NOT($A$12),"Check split rule",IF(NOT(ISNUMBER(B97)),"Invalid date",IF(OR(B97&lt;=0,B97&lt;&gt;INT(B97)),"Invalid date",IF(COUNTIFS(DemoHistory[Date],B97)&lt;&gt;1,"Duplicate date",IF(AND($A97&gt;1,B97&lt;=B96),"Dates out of order",IF(NOT(ISNUMBER(C97)),"Missing price",IF(C97&lt;=0,"Nonpositive price","OK")))))))))</f>
        <v>OK</v>
      </c>
      <c r="I97" s="136"/>
      <c r="J97" s="136"/>
      <c r="K97" s="136"/>
      <c r="L97" s="136"/>
      <c r="M97" s="136"/>
      <c r="N97" s="136">
        <f t="shared" si="1"/>
        <v>516.7627</v>
      </c>
      <c r="O97" s="136">
        <f t="shared" si="2"/>
        <v>521.86779600000011</v>
      </c>
    </row>
    <row r="98" spans="1:15" ht="22" customHeight="1" x14ac:dyDescent="0.35">
      <c r="A98" s="136">
        <v>54</v>
      </c>
      <c r="B98" s="165">
        <f>IF($A98&gt;MIN($A$10,$A$2),"",INDEX(DemoHistory[Date],$A98))</f>
        <v>46177</v>
      </c>
      <c r="C98" s="166">
        <f>IF(OR($A98&gt;MIN($A$10,$A$2),$A$5=""),"",INDEX(DemoHistory[],$A98,MATCH($A$5,DemoHistory[#Headers],0)))</f>
        <v>509.46390000000002</v>
      </c>
      <c r="D98" s="166">
        <f>IF($A98&gt;MIN($A$10,$A$2),"",IF(AND($A$12,$A$6=1,B98&lt;$A$7,$A$7&lt;=MAX(DemoHistory[Date])),$A$8,1))</f>
        <v>1</v>
      </c>
      <c r="E98" s="166">
        <f t="shared" si="0"/>
        <v>509.46390000000002</v>
      </c>
      <c r="F98" s="166">
        <f>IF($A98&gt;MIN($A$10,$A$2),"",IF($A98&lt;50,"n.a.",IF(COUNT(INDEX(StockDaily[Adjusted close],MAX(1,$A98-50+1)):E98)=50,AVERAGE(INDEX(StockDaily[Adjusted close],MAX(1,$A98-50+1)):E98),"n.a.")))</f>
        <v>520.97191000000009</v>
      </c>
      <c r="G98" s="166" t="str">
        <f>IF($A98&gt;MIN($A$10,$A$2),"",IF($A98&lt;200,"n.a.",IF(COUNT(INDEX(StockDaily[Adjusted close],MAX(1,$A98-200+1)):E98)=200,AVERAGE(INDEX(StockDaily[Adjusted close],MAX(1,$A98-200+1)):E98),"n.a.")))</f>
        <v>n.a.</v>
      </c>
      <c r="H98" s="136" t="str">
        <f>IF($A98&gt;MIN($A$10,$A$2),"",IF($A$5="","Choose stock",IF(NOT($A$12),"Check split rule",IF(NOT(ISNUMBER(B98)),"Invalid date",IF(OR(B98&lt;=0,B98&lt;&gt;INT(B98)),"Invalid date",IF(COUNTIFS(DemoHistory[Date],B98)&lt;&gt;1,"Duplicate date",IF(AND($A98&gt;1,B98&lt;=B97),"Dates out of order",IF(NOT(ISNUMBER(C98)),"Missing price",IF(C98&lt;=0,"Nonpositive price","OK")))))))))</f>
        <v>OK</v>
      </c>
      <c r="I98" s="136"/>
      <c r="J98" s="136"/>
      <c r="K98" s="136"/>
      <c r="L98" s="136"/>
      <c r="M98" s="136"/>
      <c r="N98" s="136">
        <f t="shared" si="1"/>
        <v>509.46390000000002</v>
      </c>
      <c r="O98" s="136">
        <f t="shared" si="2"/>
        <v>520.97191000000009</v>
      </c>
    </row>
    <row r="99" spans="1:15" ht="22" customHeight="1" x14ac:dyDescent="0.35">
      <c r="A99" s="136">
        <v>55</v>
      </c>
      <c r="B99" s="165">
        <f>IF($A99&gt;MIN($A$10,$A$2),"",INDEX(DemoHistory[Date],$A99))</f>
        <v>46178</v>
      </c>
      <c r="C99" s="166">
        <f>IF(OR($A99&gt;MIN($A$10,$A$2),$A$5=""),"",INDEX(DemoHistory[],$A99,MATCH($A$5,DemoHistory[#Headers],0)))</f>
        <v>512.33979999999997</v>
      </c>
      <c r="D99" s="166">
        <f>IF($A99&gt;MIN($A$10,$A$2),"",IF(AND($A$12,$A$6=1,B99&lt;$A$7,$A$7&lt;=MAX(DemoHistory[Date])),$A$8,1))</f>
        <v>1</v>
      </c>
      <c r="E99" s="166">
        <f t="shared" si="0"/>
        <v>512.33979999999997</v>
      </c>
      <c r="F99" s="166">
        <f>IF($A99&gt;MIN($A$10,$A$2),"",IF($A99&lt;50,"n.a.",IF(COUNT(INDEX(StockDaily[Adjusted close],MAX(1,$A99-50+1)):E99)=50,AVERAGE(INDEX(StockDaily[Adjusted close],MAX(1,$A99-50+1)):E99),"n.a.")))</f>
        <v>520.20346600000016</v>
      </c>
      <c r="G99" s="166" t="str">
        <f>IF($A99&gt;MIN($A$10,$A$2),"",IF($A99&lt;200,"n.a.",IF(COUNT(INDEX(StockDaily[Adjusted close],MAX(1,$A99-200+1)):E99)=200,AVERAGE(INDEX(StockDaily[Adjusted close],MAX(1,$A99-200+1)):E99),"n.a.")))</f>
        <v>n.a.</v>
      </c>
      <c r="H99" s="136" t="str">
        <f>IF($A99&gt;MIN($A$10,$A$2),"",IF($A$5="","Choose stock",IF(NOT($A$12),"Check split rule",IF(NOT(ISNUMBER(B99)),"Invalid date",IF(OR(B99&lt;=0,B99&lt;&gt;INT(B99)),"Invalid date",IF(COUNTIFS(DemoHistory[Date],B99)&lt;&gt;1,"Duplicate date",IF(AND($A99&gt;1,B99&lt;=B98),"Dates out of order",IF(NOT(ISNUMBER(C99)),"Missing price",IF(C99&lt;=0,"Nonpositive price","OK")))))))))</f>
        <v>OK</v>
      </c>
      <c r="I99" s="136"/>
      <c r="J99" s="136"/>
      <c r="K99" s="136"/>
      <c r="L99" s="136"/>
      <c r="M99" s="136"/>
      <c r="N99" s="136">
        <f t="shared" si="1"/>
        <v>512.33979999999997</v>
      </c>
      <c r="O99" s="136">
        <f t="shared" si="2"/>
        <v>520.20346600000016</v>
      </c>
    </row>
    <row r="100" spans="1:15" ht="22" customHeight="1" x14ac:dyDescent="0.35">
      <c r="A100" s="136">
        <v>56</v>
      </c>
      <c r="B100" s="165">
        <f>IF($A100&gt;MIN($A$10,$A$2),"",INDEX(DemoHistory[Date],$A100))</f>
        <v>46181</v>
      </c>
      <c r="C100" s="166">
        <f>IF(OR($A100&gt;MIN($A$10,$A$2),$A$5=""),"",INDEX(DemoHistory[],$A100,MATCH($A$5,DemoHistory[#Headers],0)))</f>
        <v>518.87580000000003</v>
      </c>
      <c r="D100" s="166">
        <f>IF($A100&gt;MIN($A$10,$A$2),"",IF(AND($A$12,$A$6=1,B100&lt;$A$7,$A$7&lt;=MAX(DemoHistory[Date])),$A$8,1))</f>
        <v>1</v>
      </c>
      <c r="E100" s="166">
        <f t="shared" si="0"/>
        <v>518.87580000000003</v>
      </c>
      <c r="F100" s="166">
        <f>IF($A100&gt;MIN($A$10,$A$2),"",IF($A100&lt;50,"n.a.",IF(COUNT(INDEX(StockDaily[Adjusted close],MAX(1,$A100-50+1)):E100)=50,AVERAGE(INDEX(StockDaily[Adjusted close],MAX(1,$A100-50+1)):E100),"n.a.")))</f>
        <v>519.59676200000013</v>
      </c>
      <c r="G100" s="166" t="str">
        <f>IF($A100&gt;MIN($A$10,$A$2),"",IF($A100&lt;200,"n.a.",IF(COUNT(INDEX(StockDaily[Adjusted close],MAX(1,$A100-200+1)):E100)=200,AVERAGE(INDEX(StockDaily[Adjusted close],MAX(1,$A100-200+1)):E100),"n.a.")))</f>
        <v>n.a.</v>
      </c>
      <c r="H100" s="136" t="str">
        <f>IF($A100&gt;MIN($A$10,$A$2),"",IF($A$5="","Choose stock",IF(NOT($A$12),"Check split rule",IF(NOT(ISNUMBER(B100)),"Invalid date",IF(OR(B100&lt;=0,B100&lt;&gt;INT(B100)),"Invalid date",IF(COUNTIFS(DemoHistory[Date],B100)&lt;&gt;1,"Duplicate date",IF(AND($A100&gt;1,B100&lt;=B99),"Dates out of order",IF(NOT(ISNUMBER(C100)),"Missing price",IF(C100&lt;=0,"Nonpositive price","OK")))))))))</f>
        <v>OK</v>
      </c>
      <c r="I100" s="136"/>
      <c r="J100" s="136"/>
      <c r="K100" s="136"/>
      <c r="L100" s="136"/>
      <c r="M100" s="136"/>
      <c r="N100" s="136">
        <f t="shared" si="1"/>
        <v>518.87580000000003</v>
      </c>
      <c r="O100" s="136">
        <f t="shared" si="2"/>
        <v>519.59676200000013</v>
      </c>
    </row>
    <row r="101" spans="1:15" ht="22" customHeight="1" x14ac:dyDescent="0.35">
      <c r="A101" s="136">
        <v>57</v>
      </c>
      <c r="B101" s="165">
        <f>IF($A101&gt;MIN($A$10,$A$2),"",INDEX(DemoHistory[Date],$A101))</f>
        <v>46182</v>
      </c>
      <c r="C101" s="166">
        <f>IF(OR($A101&gt;MIN($A$10,$A$2),$A$5=""),"",INDEX(DemoHistory[],$A101,MATCH($A$5,DemoHistory[#Headers],0)))</f>
        <v>519.43129999999996</v>
      </c>
      <c r="D101" s="166">
        <f>IF($A101&gt;MIN($A$10,$A$2),"",IF(AND($A$12,$A$6=1,B101&lt;$A$7,$A$7&lt;=MAX(DemoHistory[Date])),$A$8,1))</f>
        <v>1</v>
      </c>
      <c r="E101" s="166">
        <f t="shared" si="0"/>
        <v>519.43129999999996</v>
      </c>
      <c r="F101" s="166">
        <f>IF($A101&gt;MIN($A$10,$A$2),"",IF($A101&lt;50,"n.a.",IF(COUNT(INDEX(StockDaily[Adjusted close],MAX(1,$A101-50+1)):E101)=50,AVERAGE(INDEX(StockDaily[Adjusted close],MAX(1,$A101-50+1)):E101),"n.a.")))</f>
        <v>518.88790200000005</v>
      </c>
      <c r="G101" s="166" t="str">
        <f>IF($A101&gt;MIN($A$10,$A$2),"",IF($A101&lt;200,"n.a.",IF(COUNT(INDEX(StockDaily[Adjusted close],MAX(1,$A101-200+1)):E101)=200,AVERAGE(INDEX(StockDaily[Adjusted close],MAX(1,$A101-200+1)):E101),"n.a.")))</f>
        <v>n.a.</v>
      </c>
      <c r="H101" s="136" t="str">
        <f>IF($A101&gt;MIN($A$10,$A$2),"",IF($A$5="","Choose stock",IF(NOT($A$12),"Check split rule",IF(NOT(ISNUMBER(B101)),"Invalid date",IF(OR(B101&lt;=0,B101&lt;&gt;INT(B101)),"Invalid date",IF(COUNTIFS(DemoHistory[Date],B101)&lt;&gt;1,"Duplicate date",IF(AND($A101&gt;1,B101&lt;=B100),"Dates out of order",IF(NOT(ISNUMBER(C101)),"Missing price",IF(C101&lt;=0,"Nonpositive price","OK")))))))))</f>
        <v>OK</v>
      </c>
      <c r="I101" s="136"/>
      <c r="J101" s="136"/>
      <c r="K101" s="136"/>
      <c r="L101" s="136"/>
      <c r="M101" s="136"/>
      <c r="N101" s="136">
        <f t="shared" si="1"/>
        <v>519.43129999999996</v>
      </c>
      <c r="O101" s="136">
        <f t="shared" si="2"/>
        <v>518.88790200000005</v>
      </c>
    </row>
    <row r="102" spans="1:15" ht="22" customHeight="1" x14ac:dyDescent="0.35">
      <c r="A102" s="136">
        <v>58</v>
      </c>
      <c r="B102" s="165">
        <f>IF($A102&gt;MIN($A$10,$A$2),"",INDEX(DemoHistory[Date],$A102))</f>
        <v>46183</v>
      </c>
      <c r="C102" s="166">
        <f>IF(OR($A102&gt;MIN($A$10,$A$2),$A$5=""),"",INDEX(DemoHistory[],$A102,MATCH($A$5,DemoHistory[#Headers],0)))</f>
        <v>515.17070000000001</v>
      </c>
      <c r="D102" s="166">
        <f>IF($A102&gt;MIN($A$10,$A$2),"",IF(AND($A$12,$A$6=1,B102&lt;$A$7,$A$7&lt;=MAX(DemoHistory[Date])),$A$8,1))</f>
        <v>1</v>
      </c>
      <c r="E102" s="166">
        <f t="shared" si="0"/>
        <v>515.17070000000001</v>
      </c>
      <c r="F102" s="166">
        <f>IF($A102&gt;MIN($A$10,$A$2),"",IF($A102&lt;50,"n.a.",IF(COUNT(INDEX(StockDaily[Adjusted close],MAX(1,$A102-50+1)):E102)=50,AVERAGE(INDEX(StockDaily[Adjusted close],MAX(1,$A102-50+1)):E102),"n.a.")))</f>
        <v>518.16997600000013</v>
      </c>
      <c r="G102" s="166" t="str">
        <f>IF($A102&gt;MIN($A$10,$A$2),"",IF($A102&lt;200,"n.a.",IF(COUNT(INDEX(StockDaily[Adjusted close],MAX(1,$A102-200+1)):E102)=200,AVERAGE(INDEX(StockDaily[Adjusted close],MAX(1,$A102-200+1)):E102),"n.a.")))</f>
        <v>n.a.</v>
      </c>
      <c r="H102" s="136" t="str">
        <f>IF($A102&gt;MIN($A$10,$A$2),"",IF($A$5="","Choose stock",IF(NOT($A$12),"Check split rule",IF(NOT(ISNUMBER(B102)),"Invalid date",IF(OR(B102&lt;=0,B102&lt;&gt;INT(B102)),"Invalid date",IF(COUNTIFS(DemoHistory[Date],B102)&lt;&gt;1,"Duplicate date",IF(AND($A102&gt;1,B102&lt;=B101),"Dates out of order",IF(NOT(ISNUMBER(C102)),"Missing price",IF(C102&lt;=0,"Nonpositive price","OK")))))))))</f>
        <v>OK</v>
      </c>
      <c r="I102" s="136"/>
      <c r="J102" s="136"/>
      <c r="K102" s="136"/>
      <c r="L102" s="136"/>
      <c r="M102" s="136"/>
      <c r="N102" s="136">
        <f t="shared" si="1"/>
        <v>515.17070000000001</v>
      </c>
      <c r="O102" s="136">
        <f t="shared" si="2"/>
        <v>518.16997600000013</v>
      </c>
    </row>
    <row r="103" spans="1:15" ht="22" customHeight="1" x14ac:dyDescent="0.35">
      <c r="A103" s="136">
        <v>59</v>
      </c>
      <c r="B103" s="165">
        <f>IF($A103&gt;MIN($A$10,$A$2),"",INDEX(DemoHistory[Date],$A103))</f>
        <v>46184</v>
      </c>
      <c r="C103" s="166">
        <f>IF(OR($A103&gt;MIN($A$10,$A$2),$A$5=""),"",INDEX(DemoHistory[],$A103,MATCH($A$5,DemoHistory[#Headers],0)))</f>
        <v>511.01260000000002</v>
      </c>
      <c r="D103" s="166">
        <f>IF($A103&gt;MIN($A$10,$A$2),"",IF(AND($A$12,$A$6=1,B103&lt;$A$7,$A$7&lt;=MAX(DemoHistory[Date])),$A$8,1))</f>
        <v>1</v>
      </c>
      <c r="E103" s="166">
        <f t="shared" si="0"/>
        <v>511.01260000000002</v>
      </c>
      <c r="F103" s="166">
        <f>IF($A103&gt;MIN($A$10,$A$2),"",IF($A103&lt;50,"n.a.",IF(COUNT(INDEX(StockDaily[Adjusted close],MAX(1,$A103-50+1)):E103)=50,AVERAGE(INDEX(StockDaily[Adjusted close],MAX(1,$A103-50+1)):E103),"n.a.")))</f>
        <v>517.44772999999998</v>
      </c>
      <c r="G103" s="166" t="str">
        <f>IF($A103&gt;MIN($A$10,$A$2),"",IF($A103&lt;200,"n.a.",IF(COUNT(INDEX(StockDaily[Adjusted close],MAX(1,$A103-200+1)):E103)=200,AVERAGE(INDEX(StockDaily[Adjusted close],MAX(1,$A103-200+1)):E103),"n.a.")))</f>
        <v>n.a.</v>
      </c>
      <c r="H103" s="136" t="str">
        <f>IF($A103&gt;MIN($A$10,$A$2),"",IF($A$5="","Choose stock",IF(NOT($A$12),"Check split rule",IF(NOT(ISNUMBER(B103)),"Invalid date",IF(OR(B103&lt;=0,B103&lt;&gt;INT(B103)),"Invalid date",IF(COUNTIFS(DemoHistory[Date],B103)&lt;&gt;1,"Duplicate date",IF(AND($A103&gt;1,B103&lt;=B102),"Dates out of order",IF(NOT(ISNUMBER(C103)),"Missing price",IF(C103&lt;=0,"Nonpositive price","OK")))))))))</f>
        <v>OK</v>
      </c>
      <c r="I103" s="136"/>
      <c r="J103" s="136"/>
      <c r="K103" s="136"/>
      <c r="L103" s="136"/>
      <c r="M103" s="136"/>
      <c r="N103" s="136">
        <f t="shared" si="1"/>
        <v>511.01260000000002</v>
      </c>
      <c r="O103" s="136">
        <f t="shared" si="2"/>
        <v>517.44772999999998</v>
      </c>
    </row>
    <row r="104" spans="1:15" ht="22" customHeight="1" x14ac:dyDescent="0.35">
      <c r="A104" s="136">
        <v>60</v>
      </c>
      <c r="B104" s="165">
        <f>IF($A104&gt;MIN($A$10,$A$2),"",INDEX(DemoHistory[Date],$A104))</f>
        <v>46185</v>
      </c>
      <c r="C104" s="166">
        <f>IF(OR($A104&gt;MIN($A$10,$A$2),$A$5=""),"",INDEX(DemoHistory[],$A104,MATCH($A$5,DemoHistory[#Headers],0)))</f>
        <v>514.15610000000004</v>
      </c>
      <c r="D104" s="166">
        <f>IF($A104&gt;MIN($A$10,$A$2),"",IF(AND($A$12,$A$6=1,B104&lt;$A$7,$A$7&lt;=MAX(DemoHistory[Date])),$A$8,1))</f>
        <v>1</v>
      </c>
      <c r="E104" s="166">
        <f t="shared" si="0"/>
        <v>514.15610000000004</v>
      </c>
      <c r="F104" s="166">
        <f>IF($A104&gt;MIN($A$10,$A$2),"",IF($A104&lt;50,"n.a.",IF(COUNT(INDEX(StockDaily[Adjusted close],MAX(1,$A104-50+1)):E104)=50,AVERAGE(INDEX(StockDaily[Adjusted close],MAX(1,$A104-50+1)):E104),"n.a.")))</f>
        <v>516.71665000000007</v>
      </c>
      <c r="G104" s="166" t="str">
        <f>IF($A104&gt;MIN($A$10,$A$2),"",IF($A104&lt;200,"n.a.",IF(COUNT(INDEX(StockDaily[Adjusted close],MAX(1,$A104-200+1)):E104)=200,AVERAGE(INDEX(StockDaily[Adjusted close],MAX(1,$A104-200+1)):E104),"n.a.")))</f>
        <v>n.a.</v>
      </c>
      <c r="H104" s="136" t="str">
        <f>IF($A104&gt;MIN($A$10,$A$2),"",IF($A$5="","Choose stock",IF(NOT($A$12),"Check split rule",IF(NOT(ISNUMBER(B104)),"Invalid date",IF(OR(B104&lt;=0,B104&lt;&gt;INT(B104)),"Invalid date",IF(COUNTIFS(DemoHistory[Date],B104)&lt;&gt;1,"Duplicate date",IF(AND($A104&gt;1,B104&lt;=B103),"Dates out of order",IF(NOT(ISNUMBER(C104)),"Missing price",IF(C104&lt;=0,"Nonpositive price","OK")))))))))</f>
        <v>OK</v>
      </c>
      <c r="I104" s="136"/>
      <c r="J104" s="136"/>
      <c r="K104" s="136"/>
      <c r="L104" s="136"/>
      <c r="M104" s="136"/>
      <c r="N104" s="136">
        <f t="shared" si="1"/>
        <v>514.15610000000004</v>
      </c>
      <c r="O104" s="136">
        <f t="shared" si="2"/>
        <v>516.71665000000007</v>
      </c>
    </row>
    <row r="105" spans="1:15" ht="22" customHeight="1" x14ac:dyDescent="0.35">
      <c r="A105" s="136">
        <v>61</v>
      </c>
      <c r="B105" s="165">
        <f>IF($A105&gt;MIN($A$10,$A$2),"",INDEX(DemoHistory[Date],$A105))</f>
        <v>46188</v>
      </c>
      <c r="C105" s="166">
        <f>IF(OR($A105&gt;MIN($A$10,$A$2),$A$5=""),"",INDEX(DemoHistory[],$A105,MATCH($A$5,DemoHistory[#Headers],0)))</f>
        <v>513.06899999999996</v>
      </c>
      <c r="D105" s="166">
        <f>IF($A105&gt;MIN($A$10,$A$2),"",IF(AND($A$12,$A$6=1,B105&lt;$A$7,$A$7&lt;=MAX(DemoHistory[Date])),$A$8,1))</f>
        <v>1</v>
      </c>
      <c r="E105" s="166">
        <f t="shared" si="0"/>
        <v>513.06899999999996</v>
      </c>
      <c r="F105" s="166">
        <f>IF($A105&gt;MIN($A$10,$A$2),"",IF($A105&lt;50,"n.a.",IF(COUNT(INDEX(StockDaily[Adjusted close],MAX(1,$A105-50+1)):E105)=50,AVERAGE(INDEX(StockDaily[Adjusted close],MAX(1,$A105-50+1)):E105),"n.a.")))</f>
        <v>516.03299800000002</v>
      </c>
      <c r="G105" s="166" t="str">
        <f>IF($A105&gt;MIN($A$10,$A$2),"",IF($A105&lt;200,"n.a.",IF(COUNT(INDEX(StockDaily[Adjusted close],MAX(1,$A105-200+1)):E105)=200,AVERAGE(INDEX(StockDaily[Adjusted close],MAX(1,$A105-200+1)):E105),"n.a.")))</f>
        <v>n.a.</v>
      </c>
      <c r="H105" s="136" t="str">
        <f>IF($A105&gt;MIN($A$10,$A$2),"",IF($A$5="","Choose stock",IF(NOT($A$12),"Check split rule",IF(NOT(ISNUMBER(B105)),"Invalid date",IF(OR(B105&lt;=0,B105&lt;&gt;INT(B105)),"Invalid date",IF(COUNTIFS(DemoHistory[Date],B105)&lt;&gt;1,"Duplicate date",IF(AND($A105&gt;1,B105&lt;=B104),"Dates out of order",IF(NOT(ISNUMBER(C105)),"Missing price",IF(C105&lt;=0,"Nonpositive price","OK")))))))))</f>
        <v>OK</v>
      </c>
      <c r="I105" s="136"/>
      <c r="J105" s="136"/>
      <c r="K105" s="136"/>
      <c r="L105" s="136"/>
      <c r="M105" s="136"/>
      <c r="N105" s="136">
        <f t="shared" si="1"/>
        <v>513.06899999999996</v>
      </c>
      <c r="O105" s="136">
        <f t="shared" si="2"/>
        <v>516.03299800000002</v>
      </c>
    </row>
    <row r="106" spans="1:15" ht="22" customHeight="1" x14ac:dyDescent="0.35">
      <c r="A106" s="136">
        <v>62</v>
      </c>
      <c r="B106" s="165">
        <f>IF($A106&gt;MIN($A$10,$A$2),"",INDEX(DemoHistory[Date],$A106))</f>
        <v>46189</v>
      </c>
      <c r="C106" s="166">
        <f>IF(OR($A106&gt;MIN($A$10,$A$2),$A$5=""),"",INDEX(DemoHistory[],$A106,MATCH($A$5,DemoHistory[#Headers],0)))</f>
        <v>513.77070000000003</v>
      </c>
      <c r="D106" s="166">
        <f>IF($A106&gt;MIN($A$10,$A$2),"",IF(AND($A$12,$A$6=1,B106&lt;$A$7,$A$7&lt;=MAX(DemoHistory[Date])),$A$8,1))</f>
        <v>1</v>
      </c>
      <c r="E106" s="166">
        <f t="shared" si="0"/>
        <v>513.77070000000003</v>
      </c>
      <c r="F106" s="166">
        <f>IF($A106&gt;MIN($A$10,$A$2),"",IF($A106&lt;50,"n.a.",IF(COUNT(INDEX(StockDaily[Adjusted close],MAX(1,$A106-50+1)):E106)=50,AVERAGE(INDEX(StockDaily[Adjusted close],MAX(1,$A106-50+1)):E106),"n.a.")))</f>
        <v>515.32672000000002</v>
      </c>
      <c r="G106" s="166" t="str">
        <f>IF($A106&gt;MIN($A$10,$A$2),"",IF($A106&lt;200,"n.a.",IF(COUNT(INDEX(StockDaily[Adjusted close],MAX(1,$A106-200+1)):E106)=200,AVERAGE(INDEX(StockDaily[Adjusted close],MAX(1,$A106-200+1)):E106),"n.a.")))</f>
        <v>n.a.</v>
      </c>
      <c r="H106" s="136" t="str">
        <f>IF($A106&gt;MIN($A$10,$A$2),"",IF($A$5="","Choose stock",IF(NOT($A$12),"Check split rule",IF(NOT(ISNUMBER(B106)),"Invalid date",IF(OR(B106&lt;=0,B106&lt;&gt;INT(B106)),"Invalid date",IF(COUNTIFS(DemoHistory[Date],B106)&lt;&gt;1,"Duplicate date",IF(AND($A106&gt;1,B106&lt;=B105),"Dates out of order",IF(NOT(ISNUMBER(C106)),"Missing price",IF(C106&lt;=0,"Nonpositive price","OK")))))))))</f>
        <v>OK</v>
      </c>
      <c r="I106" s="136"/>
      <c r="J106" s="136"/>
      <c r="K106" s="136"/>
      <c r="L106" s="136"/>
      <c r="M106" s="136"/>
      <c r="N106" s="136">
        <f t="shared" si="1"/>
        <v>513.77070000000003</v>
      </c>
      <c r="O106" s="136">
        <f t="shared" si="2"/>
        <v>515.32672000000002</v>
      </c>
    </row>
    <row r="107" spans="1:15" ht="22" customHeight="1" x14ac:dyDescent="0.35">
      <c r="A107" s="136">
        <v>63</v>
      </c>
      <c r="B107" s="165">
        <f>IF($A107&gt;MIN($A$10,$A$2),"",INDEX(DemoHistory[Date],$A107))</f>
        <v>46190</v>
      </c>
      <c r="C107" s="166">
        <f>IF(OR($A107&gt;MIN($A$10,$A$2),$A$5=""),"",INDEX(DemoHistory[],$A107,MATCH($A$5,DemoHistory[#Headers],0)))</f>
        <v>519.43230000000005</v>
      </c>
      <c r="D107" s="166">
        <f>IF($A107&gt;MIN($A$10,$A$2),"",IF(AND($A$12,$A$6=1,B107&lt;$A$7,$A$7&lt;=MAX(DemoHistory[Date])),$A$8,1))</f>
        <v>1</v>
      </c>
      <c r="E107" s="166">
        <f t="shared" si="0"/>
        <v>519.43230000000005</v>
      </c>
      <c r="F107" s="166">
        <f>IF($A107&gt;MIN($A$10,$A$2),"",IF($A107&lt;50,"n.a.",IF(COUNT(INDEX(StockDaily[Adjusted close],MAX(1,$A107-50+1)):E107)=50,AVERAGE(INDEX(StockDaily[Adjusted close],MAX(1,$A107-50+1)):E107),"n.a.")))</f>
        <v>514.83458600000006</v>
      </c>
      <c r="G107" s="166" t="str">
        <f>IF($A107&gt;MIN($A$10,$A$2),"",IF($A107&lt;200,"n.a.",IF(COUNT(INDEX(StockDaily[Adjusted close],MAX(1,$A107-200+1)):E107)=200,AVERAGE(INDEX(StockDaily[Adjusted close],MAX(1,$A107-200+1)):E107),"n.a.")))</f>
        <v>n.a.</v>
      </c>
      <c r="H107" s="136" t="str">
        <f>IF($A107&gt;MIN($A$10,$A$2),"",IF($A$5="","Choose stock",IF(NOT($A$12),"Check split rule",IF(NOT(ISNUMBER(B107)),"Invalid date",IF(OR(B107&lt;=0,B107&lt;&gt;INT(B107)),"Invalid date",IF(COUNTIFS(DemoHistory[Date],B107)&lt;&gt;1,"Duplicate date",IF(AND($A107&gt;1,B107&lt;=B106),"Dates out of order",IF(NOT(ISNUMBER(C107)),"Missing price",IF(C107&lt;=0,"Nonpositive price","OK")))))))))</f>
        <v>OK</v>
      </c>
      <c r="I107" s="136"/>
      <c r="J107" s="136"/>
      <c r="K107" s="136"/>
      <c r="L107" s="136"/>
      <c r="M107" s="136"/>
      <c r="N107" s="136">
        <f t="shared" si="1"/>
        <v>519.43230000000005</v>
      </c>
      <c r="O107" s="136">
        <f t="shared" si="2"/>
        <v>514.83458600000006</v>
      </c>
    </row>
    <row r="108" spans="1:15" ht="22" customHeight="1" x14ac:dyDescent="0.35">
      <c r="A108" s="136">
        <v>64</v>
      </c>
      <c r="B108" s="165">
        <f>IF($A108&gt;MIN($A$10,$A$2),"",INDEX(DemoHistory[Date],$A108))</f>
        <v>46191</v>
      </c>
      <c r="C108" s="166">
        <f>IF(OR($A108&gt;MIN($A$10,$A$2),$A$5=""),"",INDEX(DemoHistory[],$A108,MATCH($A$5,DemoHistory[#Headers],0)))</f>
        <v>516.85400000000004</v>
      </c>
      <c r="D108" s="166">
        <f>IF($A108&gt;MIN($A$10,$A$2),"",IF(AND($A$12,$A$6=1,B108&lt;$A$7,$A$7&lt;=MAX(DemoHistory[Date])),$A$8,1))</f>
        <v>1</v>
      </c>
      <c r="E108" s="166">
        <f t="shared" si="0"/>
        <v>516.85400000000004</v>
      </c>
      <c r="F108" s="166">
        <f>IF($A108&gt;MIN($A$10,$A$2),"",IF($A108&lt;50,"n.a.",IF(COUNT(INDEX(StockDaily[Adjusted close],MAX(1,$A108-50+1)):E108)=50,AVERAGE(INDEX(StockDaily[Adjusted close],MAX(1,$A108-50+1)):E108),"n.a.")))</f>
        <v>514.26354200000014</v>
      </c>
      <c r="G108" s="166" t="str">
        <f>IF($A108&gt;MIN($A$10,$A$2),"",IF($A108&lt;200,"n.a.",IF(COUNT(INDEX(StockDaily[Adjusted close],MAX(1,$A108-200+1)):E108)=200,AVERAGE(INDEX(StockDaily[Adjusted close],MAX(1,$A108-200+1)):E108),"n.a.")))</f>
        <v>n.a.</v>
      </c>
      <c r="H108" s="136" t="str">
        <f>IF($A108&gt;MIN($A$10,$A$2),"",IF($A$5="","Choose stock",IF(NOT($A$12),"Check split rule",IF(NOT(ISNUMBER(B108)),"Invalid date",IF(OR(B108&lt;=0,B108&lt;&gt;INT(B108)),"Invalid date",IF(COUNTIFS(DemoHistory[Date],B108)&lt;&gt;1,"Duplicate date",IF(AND($A108&gt;1,B108&lt;=B107),"Dates out of order",IF(NOT(ISNUMBER(C108)),"Missing price",IF(C108&lt;=0,"Nonpositive price","OK")))))))))</f>
        <v>OK</v>
      </c>
      <c r="I108" s="136"/>
      <c r="J108" s="136"/>
      <c r="K108" s="136"/>
      <c r="L108" s="136"/>
      <c r="M108" s="136"/>
      <c r="N108" s="136">
        <f t="shared" si="1"/>
        <v>516.85400000000004</v>
      </c>
      <c r="O108" s="136">
        <f t="shared" si="2"/>
        <v>514.26354200000014</v>
      </c>
    </row>
    <row r="109" spans="1:15" ht="22" customHeight="1" x14ac:dyDescent="0.35">
      <c r="A109" s="136">
        <v>65</v>
      </c>
      <c r="B109" s="165">
        <f>IF($A109&gt;MIN($A$10,$A$2),"",INDEX(DemoHistory[Date],$A109))</f>
        <v>46192</v>
      </c>
      <c r="C109" s="166">
        <f>IF(OR($A109&gt;MIN($A$10,$A$2),$A$5=""),"",INDEX(DemoHistory[],$A109,MATCH($A$5,DemoHistory[#Headers],0)))</f>
        <v>521.60239999999999</v>
      </c>
      <c r="D109" s="166">
        <f>IF($A109&gt;MIN($A$10,$A$2),"",IF(AND($A$12,$A$6=1,B109&lt;$A$7,$A$7&lt;=MAX(DemoHistory[Date])),$A$8,1))</f>
        <v>1</v>
      </c>
      <c r="E109" s="166">
        <f t="shared" ref="E109:E172" si="3">IF($A109&gt;MIN($A$10,$A$2),"",IF(H109="OK",C109/D109,"n.a."))</f>
        <v>521.60239999999999</v>
      </c>
      <c r="F109" s="166">
        <f>IF($A109&gt;MIN($A$10,$A$2),"",IF($A109&lt;50,"n.a.",IF(COUNT(INDEX(StockDaily[Adjusted close],MAX(1,$A109-50+1)):E109)=50,AVERAGE(INDEX(StockDaily[Adjusted close],MAX(1,$A109-50+1)):E109),"n.a.")))</f>
        <v>513.92489400000011</v>
      </c>
      <c r="G109" s="166" t="str">
        <f>IF($A109&gt;MIN($A$10,$A$2),"",IF($A109&lt;200,"n.a.",IF(COUNT(INDEX(StockDaily[Adjusted close],MAX(1,$A109-200+1)):E109)=200,AVERAGE(INDEX(StockDaily[Adjusted close],MAX(1,$A109-200+1)):E109),"n.a.")))</f>
        <v>n.a.</v>
      </c>
      <c r="H109" s="136" t="str">
        <f>IF($A109&gt;MIN($A$10,$A$2),"",IF($A$5="","Choose stock",IF(NOT($A$12),"Check split rule",IF(NOT(ISNUMBER(B109)),"Invalid date",IF(OR(B109&lt;=0,B109&lt;&gt;INT(B109)),"Invalid date",IF(COUNTIFS(DemoHistory[Date],B109)&lt;&gt;1,"Duplicate date",IF(AND($A109&gt;1,B109&lt;=B108),"Dates out of order",IF(NOT(ISNUMBER(C109)),"Missing price",IF(C109&lt;=0,"Nonpositive price","OK")))))))))</f>
        <v>OK</v>
      </c>
      <c r="I109" s="136"/>
      <c r="J109" s="136"/>
      <c r="K109" s="136"/>
      <c r="L109" s="136"/>
      <c r="M109" s="136"/>
      <c r="N109" s="136">
        <f t="shared" ref="N109:N172" si="4">IF(AND($A$13="Ready",ISNUMBER(E109)),E109,NA())</f>
        <v>521.60239999999999</v>
      </c>
      <c r="O109" s="136">
        <f t="shared" ref="O109:O172" si="5">IF(AND($A$13="Ready",ISNUMBER(F109)),F109,NA())</f>
        <v>513.92489400000011</v>
      </c>
    </row>
    <row r="110" spans="1:15" ht="22" customHeight="1" x14ac:dyDescent="0.35">
      <c r="A110" s="136">
        <v>66</v>
      </c>
      <c r="B110" s="165">
        <f>IF($A110&gt;MIN($A$10,$A$2),"",INDEX(DemoHistory[Date],$A110))</f>
        <v>46195</v>
      </c>
      <c r="C110" s="166">
        <f>IF(OR($A110&gt;MIN($A$10,$A$2),$A$5=""),"",INDEX(DemoHistory[],$A110,MATCH($A$5,DemoHistory[#Headers],0)))</f>
        <v>532.09900000000005</v>
      </c>
      <c r="D110" s="166">
        <f>IF($A110&gt;MIN($A$10,$A$2),"",IF(AND($A$12,$A$6=1,B110&lt;$A$7,$A$7&lt;=MAX(DemoHistory[Date])),$A$8,1))</f>
        <v>1</v>
      </c>
      <c r="E110" s="166">
        <f t="shared" si="3"/>
        <v>532.09900000000005</v>
      </c>
      <c r="F110" s="166">
        <f>IF($A110&gt;MIN($A$10,$A$2),"",IF($A110&lt;50,"n.a.",IF(COUNT(INDEX(StockDaily[Adjusted close],MAX(1,$A110-50+1)):E110)=50,AVERAGE(INDEX(StockDaily[Adjusted close],MAX(1,$A110-50+1)):E110),"n.a.")))</f>
        <v>514.05035200000009</v>
      </c>
      <c r="G110" s="166" t="str">
        <f>IF($A110&gt;MIN($A$10,$A$2),"",IF($A110&lt;200,"n.a.",IF(COUNT(INDEX(StockDaily[Adjusted close],MAX(1,$A110-200+1)):E110)=200,AVERAGE(INDEX(StockDaily[Adjusted close],MAX(1,$A110-200+1)):E110),"n.a.")))</f>
        <v>n.a.</v>
      </c>
      <c r="H110" s="136" t="str">
        <f>IF($A110&gt;MIN($A$10,$A$2),"",IF($A$5="","Choose stock",IF(NOT($A$12),"Check split rule",IF(NOT(ISNUMBER(B110)),"Invalid date",IF(OR(B110&lt;=0,B110&lt;&gt;INT(B110)),"Invalid date",IF(COUNTIFS(DemoHistory[Date],B110)&lt;&gt;1,"Duplicate date",IF(AND($A110&gt;1,B110&lt;=B109),"Dates out of order",IF(NOT(ISNUMBER(C110)),"Missing price",IF(C110&lt;=0,"Nonpositive price","OK")))))))))</f>
        <v>OK</v>
      </c>
      <c r="I110" s="136"/>
      <c r="J110" s="136"/>
      <c r="K110" s="136"/>
      <c r="L110" s="136"/>
      <c r="M110" s="136"/>
      <c r="N110" s="136">
        <f t="shared" si="4"/>
        <v>532.09900000000005</v>
      </c>
      <c r="O110" s="136">
        <f t="shared" si="5"/>
        <v>514.05035200000009</v>
      </c>
    </row>
    <row r="111" spans="1:15" ht="22" customHeight="1" x14ac:dyDescent="0.35">
      <c r="A111" s="136">
        <v>67</v>
      </c>
      <c r="B111" s="165">
        <f>IF($A111&gt;MIN($A$10,$A$2),"",INDEX(DemoHistory[Date],$A111))</f>
        <v>46196</v>
      </c>
      <c r="C111" s="166">
        <f>IF(OR($A111&gt;MIN($A$10,$A$2),$A$5=""),"",INDEX(DemoHistory[],$A111,MATCH($A$5,DemoHistory[#Headers],0)))</f>
        <v>536.77200000000005</v>
      </c>
      <c r="D111" s="166">
        <f>IF($A111&gt;MIN($A$10,$A$2),"",IF(AND($A$12,$A$6=1,B111&lt;$A$7,$A$7&lt;=MAX(DemoHistory[Date])),$A$8,1))</f>
        <v>1</v>
      </c>
      <c r="E111" s="166">
        <f t="shared" si="3"/>
        <v>536.77200000000005</v>
      </c>
      <c r="F111" s="166">
        <f>IF($A111&gt;MIN($A$10,$A$2),"",IF($A111&lt;50,"n.a.",IF(COUNT(INDEX(StockDaily[Adjusted close],MAX(1,$A111-50+1)):E111)=50,AVERAGE(INDEX(StockDaily[Adjusted close],MAX(1,$A111-50+1)):E111),"n.a.")))</f>
        <v>514.14881000000014</v>
      </c>
      <c r="G111" s="166" t="str">
        <f>IF($A111&gt;MIN($A$10,$A$2),"",IF($A111&lt;200,"n.a.",IF(COUNT(INDEX(StockDaily[Adjusted close],MAX(1,$A111-200+1)):E111)=200,AVERAGE(INDEX(StockDaily[Adjusted close],MAX(1,$A111-200+1)):E111),"n.a.")))</f>
        <v>n.a.</v>
      </c>
      <c r="H111" s="136" t="str">
        <f>IF($A111&gt;MIN($A$10,$A$2),"",IF($A$5="","Choose stock",IF(NOT($A$12),"Check split rule",IF(NOT(ISNUMBER(B111)),"Invalid date",IF(OR(B111&lt;=0,B111&lt;&gt;INT(B111)),"Invalid date",IF(COUNTIFS(DemoHistory[Date],B111)&lt;&gt;1,"Duplicate date",IF(AND($A111&gt;1,B111&lt;=B110),"Dates out of order",IF(NOT(ISNUMBER(C111)),"Missing price",IF(C111&lt;=0,"Nonpositive price","OK")))))))))</f>
        <v>OK</v>
      </c>
      <c r="I111" s="136"/>
      <c r="J111" s="136"/>
      <c r="K111" s="136"/>
      <c r="L111" s="136"/>
      <c r="M111" s="136"/>
      <c r="N111" s="136">
        <f t="shared" si="4"/>
        <v>536.77200000000005</v>
      </c>
      <c r="O111" s="136">
        <f t="shared" si="5"/>
        <v>514.14881000000014</v>
      </c>
    </row>
    <row r="112" spans="1:15" ht="22" customHeight="1" x14ac:dyDescent="0.35">
      <c r="A112" s="136">
        <v>68</v>
      </c>
      <c r="B112" s="165">
        <f>IF($A112&gt;MIN($A$10,$A$2),"",INDEX(DemoHistory[Date],$A112))</f>
        <v>46197</v>
      </c>
      <c r="C112" s="166">
        <f>IF(OR($A112&gt;MIN($A$10,$A$2),$A$5=""),"",INDEX(DemoHistory[],$A112,MATCH($A$5,DemoHistory[#Headers],0)))</f>
        <v>540.55619999999999</v>
      </c>
      <c r="D112" s="166">
        <f>IF($A112&gt;MIN($A$10,$A$2),"",IF(AND($A$12,$A$6=1,B112&lt;$A$7,$A$7&lt;=MAX(DemoHistory[Date])),$A$8,1))</f>
        <v>1</v>
      </c>
      <c r="E112" s="166">
        <f t="shared" si="3"/>
        <v>540.55619999999999</v>
      </c>
      <c r="F112" s="166">
        <f>IF($A112&gt;MIN($A$10,$A$2),"",IF($A112&lt;50,"n.a.",IF(COUNT(INDEX(StockDaily[Adjusted close],MAX(1,$A112-50+1)):E112)=50,AVERAGE(INDEX(StockDaily[Adjusted close],MAX(1,$A112-50+1)):E112),"n.a.")))</f>
        <v>514.38673200000005</v>
      </c>
      <c r="G112" s="166" t="str">
        <f>IF($A112&gt;MIN($A$10,$A$2),"",IF($A112&lt;200,"n.a.",IF(COUNT(INDEX(StockDaily[Adjusted close],MAX(1,$A112-200+1)):E112)=200,AVERAGE(INDEX(StockDaily[Adjusted close],MAX(1,$A112-200+1)):E112),"n.a.")))</f>
        <v>n.a.</v>
      </c>
      <c r="H112" s="136" t="str">
        <f>IF($A112&gt;MIN($A$10,$A$2),"",IF($A$5="","Choose stock",IF(NOT($A$12),"Check split rule",IF(NOT(ISNUMBER(B112)),"Invalid date",IF(OR(B112&lt;=0,B112&lt;&gt;INT(B112)),"Invalid date",IF(COUNTIFS(DemoHistory[Date],B112)&lt;&gt;1,"Duplicate date",IF(AND($A112&gt;1,B112&lt;=B111),"Dates out of order",IF(NOT(ISNUMBER(C112)),"Missing price",IF(C112&lt;=0,"Nonpositive price","OK")))))))))</f>
        <v>OK</v>
      </c>
      <c r="I112" s="136"/>
      <c r="J112" s="136"/>
      <c r="K112" s="136"/>
      <c r="L112" s="136"/>
      <c r="M112" s="136"/>
      <c r="N112" s="136">
        <f t="shared" si="4"/>
        <v>540.55619999999999</v>
      </c>
      <c r="O112" s="136">
        <f t="shared" si="5"/>
        <v>514.38673200000005</v>
      </c>
    </row>
    <row r="113" spans="1:15" ht="22" customHeight="1" x14ac:dyDescent="0.35">
      <c r="A113" s="136">
        <v>69</v>
      </c>
      <c r="B113" s="165">
        <f>IF($A113&gt;MIN($A$10,$A$2),"",INDEX(DemoHistory[Date],$A113))</f>
        <v>46198</v>
      </c>
      <c r="C113" s="166">
        <f>IF(OR($A113&gt;MIN($A$10,$A$2),$A$5=""),"",INDEX(DemoHistory[],$A113,MATCH($A$5,DemoHistory[#Headers],0)))</f>
        <v>540.26480000000004</v>
      </c>
      <c r="D113" s="166">
        <f>IF($A113&gt;MIN($A$10,$A$2),"",IF(AND($A$12,$A$6=1,B113&lt;$A$7,$A$7&lt;=MAX(DemoHistory[Date])),$A$8,1))</f>
        <v>1</v>
      </c>
      <c r="E113" s="166">
        <f t="shared" si="3"/>
        <v>540.26480000000004</v>
      </c>
      <c r="F113" s="166">
        <f>IF($A113&gt;MIN($A$10,$A$2),"",IF($A113&lt;50,"n.a.",IF(COUNT(INDEX(StockDaily[Adjusted close],MAX(1,$A113-50+1)):E113)=50,AVERAGE(INDEX(StockDaily[Adjusted close],MAX(1,$A113-50+1)):E113),"n.a.")))</f>
        <v>514.61659400000008</v>
      </c>
      <c r="G113" s="166" t="str">
        <f>IF($A113&gt;MIN($A$10,$A$2),"",IF($A113&lt;200,"n.a.",IF(COUNT(INDEX(StockDaily[Adjusted close],MAX(1,$A113-200+1)):E113)=200,AVERAGE(INDEX(StockDaily[Adjusted close],MAX(1,$A113-200+1)):E113),"n.a.")))</f>
        <v>n.a.</v>
      </c>
      <c r="H113" s="136" t="str">
        <f>IF($A113&gt;MIN($A$10,$A$2),"",IF($A$5="","Choose stock",IF(NOT($A$12),"Check split rule",IF(NOT(ISNUMBER(B113)),"Invalid date",IF(OR(B113&lt;=0,B113&lt;&gt;INT(B113)),"Invalid date",IF(COUNTIFS(DemoHistory[Date],B113)&lt;&gt;1,"Duplicate date",IF(AND($A113&gt;1,B113&lt;=B112),"Dates out of order",IF(NOT(ISNUMBER(C113)),"Missing price",IF(C113&lt;=0,"Nonpositive price","OK")))))))))</f>
        <v>OK</v>
      </c>
      <c r="I113" s="136"/>
      <c r="J113" s="136"/>
      <c r="K113" s="136"/>
      <c r="L113" s="136"/>
      <c r="M113" s="136"/>
      <c r="N113" s="136">
        <f t="shared" si="4"/>
        <v>540.26480000000004</v>
      </c>
      <c r="O113" s="136">
        <f t="shared" si="5"/>
        <v>514.61659400000008</v>
      </c>
    </row>
    <row r="114" spans="1:15" ht="22" customHeight="1" x14ac:dyDescent="0.35">
      <c r="A114" s="136">
        <v>70</v>
      </c>
      <c r="B114" s="165">
        <f>IF($A114&gt;MIN($A$10,$A$2),"",INDEX(DemoHistory[Date],$A114))</f>
        <v>46199</v>
      </c>
      <c r="C114" s="166">
        <f>IF(OR($A114&gt;MIN($A$10,$A$2),$A$5=""),"",INDEX(DemoHistory[],$A114,MATCH($A$5,DemoHistory[#Headers],0)))</f>
        <v>548.02260000000001</v>
      </c>
      <c r="D114" s="166">
        <f>IF($A114&gt;MIN($A$10,$A$2),"",IF(AND($A$12,$A$6=1,B114&lt;$A$7,$A$7&lt;=MAX(DemoHistory[Date])),$A$8,1))</f>
        <v>1</v>
      </c>
      <c r="E114" s="166">
        <f t="shared" si="3"/>
        <v>548.02260000000001</v>
      </c>
      <c r="F114" s="166">
        <f>IF($A114&gt;MIN($A$10,$A$2),"",IF($A114&lt;50,"n.a.",IF(COUNT(INDEX(StockDaily[Adjusted close],MAX(1,$A114-50+1)):E114)=50,AVERAGE(INDEX(StockDaily[Adjusted close],MAX(1,$A114-50+1)):E114),"n.a.")))</f>
        <v>515.01601200000005</v>
      </c>
      <c r="G114" s="166" t="str">
        <f>IF($A114&gt;MIN($A$10,$A$2),"",IF($A114&lt;200,"n.a.",IF(COUNT(INDEX(StockDaily[Adjusted close],MAX(1,$A114-200+1)):E114)=200,AVERAGE(INDEX(StockDaily[Adjusted close],MAX(1,$A114-200+1)):E114),"n.a.")))</f>
        <v>n.a.</v>
      </c>
      <c r="H114" s="136" t="str">
        <f>IF($A114&gt;MIN($A$10,$A$2),"",IF($A$5="","Choose stock",IF(NOT($A$12),"Check split rule",IF(NOT(ISNUMBER(B114)),"Invalid date",IF(OR(B114&lt;=0,B114&lt;&gt;INT(B114)),"Invalid date",IF(COUNTIFS(DemoHistory[Date],B114)&lt;&gt;1,"Duplicate date",IF(AND($A114&gt;1,B114&lt;=B113),"Dates out of order",IF(NOT(ISNUMBER(C114)),"Missing price",IF(C114&lt;=0,"Nonpositive price","OK")))))))))</f>
        <v>OK</v>
      </c>
      <c r="I114" s="136"/>
      <c r="J114" s="136"/>
      <c r="K114" s="136"/>
      <c r="L114" s="136"/>
      <c r="M114" s="136"/>
      <c r="N114" s="136">
        <f t="shared" si="4"/>
        <v>548.02260000000001</v>
      </c>
      <c r="O114" s="136">
        <f t="shared" si="5"/>
        <v>515.01601200000005</v>
      </c>
    </row>
    <row r="115" spans="1:15" ht="22" customHeight="1" x14ac:dyDescent="0.35">
      <c r="A115" s="136">
        <v>71</v>
      </c>
      <c r="B115" s="165">
        <f>IF($A115&gt;MIN($A$10,$A$2),"",INDEX(DemoHistory[Date],$A115))</f>
        <v>46202</v>
      </c>
      <c r="C115" s="166">
        <f>IF(OR($A115&gt;MIN($A$10,$A$2),$A$5=""),"",INDEX(DemoHistory[],$A115,MATCH($A$5,DemoHistory[#Headers],0)))</f>
        <v>552.14070000000004</v>
      </c>
      <c r="D115" s="166">
        <f>IF($A115&gt;MIN($A$10,$A$2),"",IF(AND($A$12,$A$6=1,B115&lt;$A$7,$A$7&lt;=MAX(DemoHistory[Date])),$A$8,1))</f>
        <v>1</v>
      </c>
      <c r="E115" s="166">
        <f t="shared" si="3"/>
        <v>552.14070000000004</v>
      </c>
      <c r="F115" s="166">
        <f>IF($A115&gt;MIN($A$10,$A$2),"",IF($A115&lt;50,"n.a.",IF(COUNT(INDEX(StockDaily[Adjusted close],MAX(1,$A115-50+1)):E115)=50,AVERAGE(INDEX(StockDaily[Adjusted close],MAX(1,$A115-50+1)):E115),"n.a.")))</f>
        <v>515.56092400000011</v>
      </c>
      <c r="G115" s="166" t="str">
        <f>IF($A115&gt;MIN($A$10,$A$2),"",IF($A115&lt;200,"n.a.",IF(COUNT(INDEX(StockDaily[Adjusted close],MAX(1,$A115-200+1)):E115)=200,AVERAGE(INDEX(StockDaily[Adjusted close],MAX(1,$A115-200+1)):E115),"n.a.")))</f>
        <v>n.a.</v>
      </c>
      <c r="H115" s="136" t="str">
        <f>IF($A115&gt;MIN($A$10,$A$2),"",IF($A$5="","Choose stock",IF(NOT($A$12),"Check split rule",IF(NOT(ISNUMBER(B115)),"Invalid date",IF(OR(B115&lt;=0,B115&lt;&gt;INT(B115)),"Invalid date",IF(COUNTIFS(DemoHistory[Date],B115)&lt;&gt;1,"Duplicate date",IF(AND($A115&gt;1,B115&lt;=B114),"Dates out of order",IF(NOT(ISNUMBER(C115)),"Missing price",IF(C115&lt;=0,"Nonpositive price","OK")))))))))</f>
        <v>OK</v>
      </c>
      <c r="I115" s="136"/>
      <c r="J115" s="136"/>
      <c r="K115" s="136"/>
      <c r="L115" s="136"/>
      <c r="M115" s="136"/>
      <c r="N115" s="136">
        <f t="shared" si="4"/>
        <v>552.14070000000004</v>
      </c>
      <c r="O115" s="136">
        <f t="shared" si="5"/>
        <v>515.56092400000011</v>
      </c>
    </row>
    <row r="116" spans="1:15" ht="22" customHeight="1" x14ac:dyDescent="0.35">
      <c r="A116" s="136">
        <v>72</v>
      </c>
      <c r="B116" s="165">
        <f>IF($A116&gt;MIN($A$10,$A$2),"",INDEX(DemoHistory[Date],$A116))</f>
        <v>46203</v>
      </c>
      <c r="C116" s="166">
        <f>IF(OR($A116&gt;MIN($A$10,$A$2),$A$5=""),"",INDEX(DemoHistory[],$A116,MATCH($A$5,DemoHistory[#Headers],0)))</f>
        <v>553.20069999999998</v>
      </c>
      <c r="D116" s="166">
        <f>IF($A116&gt;MIN($A$10,$A$2),"",IF(AND($A$12,$A$6=1,B116&lt;$A$7,$A$7&lt;=MAX(DemoHistory[Date])),$A$8,1))</f>
        <v>1</v>
      </c>
      <c r="E116" s="166">
        <f t="shared" si="3"/>
        <v>553.20069999999998</v>
      </c>
      <c r="F116" s="166">
        <f>IF($A116&gt;MIN($A$10,$A$2),"",IF($A116&lt;50,"n.a.",IF(COUNT(INDEX(StockDaily[Adjusted close],MAX(1,$A116-50+1)):E116)=50,AVERAGE(INDEX(StockDaily[Adjusted close],MAX(1,$A116-50+1)):E116),"n.a.")))</f>
        <v>516.16747600000008</v>
      </c>
      <c r="G116" s="166" t="str">
        <f>IF($A116&gt;MIN($A$10,$A$2),"",IF($A116&lt;200,"n.a.",IF(COUNT(INDEX(StockDaily[Adjusted close],MAX(1,$A116-200+1)):E116)=200,AVERAGE(INDEX(StockDaily[Adjusted close],MAX(1,$A116-200+1)):E116),"n.a.")))</f>
        <v>n.a.</v>
      </c>
      <c r="H116" s="136" t="str">
        <f>IF($A116&gt;MIN($A$10,$A$2),"",IF($A$5="","Choose stock",IF(NOT($A$12),"Check split rule",IF(NOT(ISNUMBER(B116)),"Invalid date",IF(OR(B116&lt;=0,B116&lt;&gt;INT(B116)),"Invalid date",IF(COUNTIFS(DemoHistory[Date],B116)&lt;&gt;1,"Duplicate date",IF(AND($A116&gt;1,B116&lt;=B115),"Dates out of order",IF(NOT(ISNUMBER(C116)),"Missing price",IF(C116&lt;=0,"Nonpositive price","OK")))))))))</f>
        <v>OK</v>
      </c>
      <c r="I116" s="136"/>
      <c r="J116" s="136"/>
      <c r="K116" s="136"/>
      <c r="L116" s="136"/>
      <c r="M116" s="136"/>
      <c r="N116" s="136">
        <f t="shared" si="4"/>
        <v>553.20069999999998</v>
      </c>
      <c r="O116" s="136">
        <f t="shared" si="5"/>
        <v>516.16747600000008</v>
      </c>
    </row>
    <row r="117" spans="1:15" ht="22" customHeight="1" x14ac:dyDescent="0.35">
      <c r="A117" s="136">
        <v>73</v>
      </c>
      <c r="B117" s="165">
        <f>IF($A117&gt;MIN($A$10,$A$2),"",INDEX(DemoHistory[Date],$A117))</f>
        <v>46204</v>
      </c>
      <c r="C117" s="166">
        <f>IF(OR($A117&gt;MIN($A$10,$A$2),$A$5=""),"",INDEX(DemoHistory[],$A117,MATCH($A$5,DemoHistory[#Headers],0)))</f>
        <v>557.44799999999998</v>
      </c>
      <c r="D117" s="166">
        <f>IF($A117&gt;MIN($A$10,$A$2),"",IF(AND($A$12,$A$6=1,B117&lt;$A$7,$A$7&lt;=MAX(DemoHistory[Date])),$A$8,1))</f>
        <v>1</v>
      </c>
      <c r="E117" s="166">
        <f t="shared" si="3"/>
        <v>557.44799999999998</v>
      </c>
      <c r="F117" s="166">
        <f>IF($A117&gt;MIN($A$10,$A$2),"",IF($A117&lt;50,"n.a.",IF(COUNT(INDEX(StockDaily[Adjusted close],MAX(1,$A117-50+1)):E117)=50,AVERAGE(INDEX(StockDaily[Adjusted close],MAX(1,$A117-50+1)):E117),"n.a.")))</f>
        <v>516.85162200000002</v>
      </c>
      <c r="G117" s="166" t="str">
        <f>IF($A117&gt;MIN($A$10,$A$2),"",IF($A117&lt;200,"n.a.",IF(COUNT(INDEX(StockDaily[Adjusted close],MAX(1,$A117-200+1)):E117)=200,AVERAGE(INDEX(StockDaily[Adjusted close],MAX(1,$A117-200+1)):E117),"n.a.")))</f>
        <v>n.a.</v>
      </c>
      <c r="H117" s="136" t="str">
        <f>IF($A117&gt;MIN($A$10,$A$2),"",IF($A$5="","Choose stock",IF(NOT($A$12),"Check split rule",IF(NOT(ISNUMBER(B117)),"Invalid date",IF(OR(B117&lt;=0,B117&lt;&gt;INT(B117)),"Invalid date",IF(COUNTIFS(DemoHistory[Date],B117)&lt;&gt;1,"Duplicate date",IF(AND($A117&gt;1,B117&lt;=B116),"Dates out of order",IF(NOT(ISNUMBER(C117)),"Missing price",IF(C117&lt;=0,"Nonpositive price","OK")))))))))</f>
        <v>OK</v>
      </c>
      <c r="I117" s="136"/>
      <c r="J117" s="136"/>
      <c r="K117" s="136"/>
      <c r="L117" s="136"/>
      <c r="M117" s="136"/>
      <c r="N117" s="136">
        <f t="shared" si="4"/>
        <v>557.44799999999998</v>
      </c>
      <c r="O117" s="136">
        <f t="shared" si="5"/>
        <v>516.85162200000002</v>
      </c>
    </row>
    <row r="118" spans="1:15" ht="22" customHeight="1" x14ac:dyDescent="0.35">
      <c r="A118" s="136">
        <v>74</v>
      </c>
      <c r="B118" s="165">
        <f>IF($A118&gt;MIN($A$10,$A$2),"",INDEX(DemoHistory[Date],$A118))</f>
        <v>46205</v>
      </c>
      <c r="C118" s="166">
        <f>IF(OR($A118&gt;MIN($A$10,$A$2),$A$5=""),"",INDEX(DemoHistory[],$A118,MATCH($A$5,DemoHistory[#Headers],0)))</f>
        <v>544.41</v>
      </c>
      <c r="D118" s="166">
        <f>IF($A118&gt;MIN($A$10,$A$2),"",IF(AND($A$12,$A$6=1,B118&lt;$A$7,$A$7&lt;=MAX(DemoHistory[Date])),$A$8,1))</f>
        <v>1</v>
      </c>
      <c r="E118" s="166">
        <f t="shared" si="3"/>
        <v>544.41</v>
      </c>
      <c r="F118" s="166">
        <f>IF($A118&gt;MIN($A$10,$A$2),"",IF($A118&lt;50,"n.a.",IF(COUNT(INDEX(StockDaily[Adjusted close],MAX(1,$A118-50+1)):E118)=50,AVERAGE(INDEX(StockDaily[Adjusted close],MAX(1,$A118-50+1)):E118),"n.a.")))</f>
        <v>517.33205399999997</v>
      </c>
      <c r="G118" s="166" t="str">
        <f>IF($A118&gt;MIN($A$10,$A$2),"",IF($A118&lt;200,"n.a.",IF(COUNT(INDEX(StockDaily[Adjusted close],MAX(1,$A118-200+1)):E118)=200,AVERAGE(INDEX(StockDaily[Adjusted close],MAX(1,$A118-200+1)):E118),"n.a.")))</f>
        <v>n.a.</v>
      </c>
      <c r="H118" s="136" t="str">
        <f>IF($A118&gt;MIN($A$10,$A$2),"",IF($A$5="","Choose stock",IF(NOT($A$12),"Check split rule",IF(NOT(ISNUMBER(B118)),"Invalid date",IF(OR(B118&lt;=0,B118&lt;&gt;INT(B118)),"Invalid date",IF(COUNTIFS(DemoHistory[Date],B118)&lt;&gt;1,"Duplicate date",IF(AND($A118&gt;1,B118&lt;=B117),"Dates out of order",IF(NOT(ISNUMBER(C118)),"Missing price",IF(C118&lt;=0,"Nonpositive price","OK")))))))))</f>
        <v>OK</v>
      </c>
      <c r="I118" s="136"/>
      <c r="J118" s="136"/>
      <c r="K118" s="136"/>
      <c r="L118" s="136"/>
      <c r="M118" s="136"/>
      <c r="N118" s="136">
        <f t="shared" si="4"/>
        <v>544.41</v>
      </c>
      <c r="O118" s="136">
        <f t="shared" si="5"/>
        <v>517.33205399999997</v>
      </c>
    </row>
    <row r="119" spans="1:15" ht="22" customHeight="1" x14ac:dyDescent="0.35">
      <c r="A119" s="136">
        <v>75</v>
      </c>
      <c r="B119" s="165">
        <f>IF($A119&gt;MIN($A$10,$A$2),"",INDEX(DemoHistory[Date],$A119))</f>
        <v>46206</v>
      </c>
      <c r="C119" s="166">
        <f>IF(OR($A119&gt;MIN($A$10,$A$2),$A$5=""),"",INDEX(DemoHistory[],$A119,MATCH($A$5,DemoHistory[#Headers],0)))</f>
        <v>548.6721</v>
      </c>
      <c r="D119" s="166">
        <f>IF($A119&gt;MIN($A$10,$A$2),"",IF(AND($A$12,$A$6=1,B119&lt;$A$7,$A$7&lt;=MAX(DemoHistory[Date])),$A$8,1))</f>
        <v>1</v>
      </c>
      <c r="E119" s="166">
        <f t="shared" si="3"/>
        <v>548.6721</v>
      </c>
      <c r="F119" s="166">
        <f>IF($A119&gt;MIN($A$10,$A$2),"",IF($A119&lt;50,"n.a.",IF(COUNT(INDEX(StockDaily[Adjusted close],MAX(1,$A119-50+1)):E119)=50,AVERAGE(INDEX(StockDaily[Adjusted close],MAX(1,$A119-50+1)):E119),"n.a.")))</f>
        <v>517.88138000000004</v>
      </c>
      <c r="G119" s="166" t="str">
        <f>IF($A119&gt;MIN($A$10,$A$2),"",IF($A119&lt;200,"n.a.",IF(COUNT(INDEX(StockDaily[Adjusted close],MAX(1,$A119-200+1)):E119)=200,AVERAGE(INDEX(StockDaily[Adjusted close],MAX(1,$A119-200+1)):E119),"n.a.")))</f>
        <v>n.a.</v>
      </c>
      <c r="H119" s="136" t="str">
        <f>IF($A119&gt;MIN($A$10,$A$2),"",IF($A$5="","Choose stock",IF(NOT($A$12),"Check split rule",IF(NOT(ISNUMBER(B119)),"Invalid date",IF(OR(B119&lt;=0,B119&lt;&gt;INT(B119)),"Invalid date",IF(COUNTIFS(DemoHistory[Date],B119)&lt;&gt;1,"Duplicate date",IF(AND($A119&gt;1,B119&lt;=B118),"Dates out of order",IF(NOT(ISNUMBER(C119)),"Missing price",IF(C119&lt;=0,"Nonpositive price","OK")))))))))</f>
        <v>OK</v>
      </c>
      <c r="I119" s="136"/>
      <c r="J119" s="136"/>
      <c r="K119" s="136"/>
      <c r="L119" s="136"/>
      <c r="M119" s="136"/>
      <c r="N119" s="136">
        <f t="shared" si="4"/>
        <v>548.6721</v>
      </c>
      <c r="O119" s="136">
        <f t="shared" si="5"/>
        <v>517.88138000000004</v>
      </c>
    </row>
    <row r="120" spans="1:15" ht="22" customHeight="1" x14ac:dyDescent="0.35">
      <c r="A120" s="136">
        <v>76</v>
      </c>
      <c r="B120" s="165">
        <f>IF($A120&gt;MIN($A$10,$A$2),"",INDEX(DemoHistory[Date],$A120))</f>
        <v>46209</v>
      </c>
      <c r="C120" s="166">
        <f>IF(OR($A120&gt;MIN($A$10,$A$2),$A$5=""),"",INDEX(DemoHistory[],$A120,MATCH($A$5,DemoHistory[#Headers],0)))</f>
        <v>546.41060000000004</v>
      </c>
      <c r="D120" s="166">
        <f>IF($A120&gt;MIN($A$10,$A$2),"",IF(AND($A$12,$A$6=1,B120&lt;$A$7,$A$7&lt;=MAX(DemoHistory[Date])),$A$8,1))</f>
        <v>1</v>
      </c>
      <c r="E120" s="166">
        <f t="shared" si="3"/>
        <v>546.41060000000004</v>
      </c>
      <c r="F120" s="166">
        <f>IF($A120&gt;MIN($A$10,$A$2),"",IF($A120&lt;50,"n.a.",IF(COUNT(INDEX(StockDaily[Adjusted close],MAX(1,$A120-50+1)):E120)=50,AVERAGE(INDEX(StockDaily[Adjusted close],MAX(1,$A120-50+1)):E120),"n.a.")))</f>
        <v>518.50439800000004</v>
      </c>
      <c r="G120" s="166" t="str">
        <f>IF($A120&gt;MIN($A$10,$A$2),"",IF($A120&lt;200,"n.a.",IF(COUNT(INDEX(StockDaily[Adjusted close],MAX(1,$A120-200+1)):E120)=200,AVERAGE(INDEX(StockDaily[Adjusted close],MAX(1,$A120-200+1)):E120),"n.a.")))</f>
        <v>n.a.</v>
      </c>
      <c r="H120" s="136" t="str">
        <f>IF($A120&gt;MIN($A$10,$A$2),"",IF($A$5="","Choose stock",IF(NOT($A$12),"Check split rule",IF(NOT(ISNUMBER(B120)),"Invalid date",IF(OR(B120&lt;=0,B120&lt;&gt;INT(B120)),"Invalid date",IF(COUNTIFS(DemoHistory[Date],B120)&lt;&gt;1,"Duplicate date",IF(AND($A120&gt;1,B120&lt;=B119),"Dates out of order",IF(NOT(ISNUMBER(C120)),"Missing price",IF(C120&lt;=0,"Nonpositive price","OK")))))))))</f>
        <v>OK</v>
      </c>
      <c r="I120" s="136"/>
      <c r="J120" s="136"/>
      <c r="K120" s="136"/>
      <c r="L120" s="136"/>
      <c r="M120" s="136"/>
      <c r="N120" s="136">
        <f t="shared" si="4"/>
        <v>546.41060000000004</v>
      </c>
      <c r="O120" s="136">
        <f t="shared" si="5"/>
        <v>518.50439800000004</v>
      </c>
    </row>
    <row r="121" spans="1:15" ht="22" customHeight="1" x14ac:dyDescent="0.35">
      <c r="A121" s="136">
        <v>77</v>
      </c>
      <c r="B121" s="165">
        <f>IF($A121&gt;MIN($A$10,$A$2),"",INDEX(DemoHistory[Date],$A121))</f>
        <v>46210</v>
      </c>
      <c r="C121" s="166">
        <f>IF(OR($A121&gt;MIN($A$10,$A$2),$A$5=""),"",INDEX(DemoHistory[],$A121,MATCH($A$5,DemoHistory[#Headers],0)))</f>
        <v>549.56830000000002</v>
      </c>
      <c r="D121" s="166">
        <f>IF($A121&gt;MIN($A$10,$A$2),"",IF(AND($A$12,$A$6=1,B121&lt;$A$7,$A$7&lt;=MAX(DemoHistory[Date])),$A$8,1))</f>
        <v>1</v>
      </c>
      <c r="E121" s="166">
        <f t="shared" si="3"/>
        <v>549.56830000000002</v>
      </c>
      <c r="F121" s="166">
        <f>IF($A121&gt;MIN($A$10,$A$2),"",IF($A121&lt;50,"n.a.",IF(COUNT(INDEX(StockDaily[Adjusted close],MAX(1,$A121-50+1)):E121)=50,AVERAGE(INDEX(StockDaily[Adjusted close],MAX(1,$A121-50+1)):E121),"n.a.")))</f>
        <v>519.10307599999999</v>
      </c>
      <c r="G121" s="166" t="str">
        <f>IF($A121&gt;MIN($A$10,$A$2),"",IF($A121&lt;200,"n.a.",IF(COUNT(INDEX(StockDaily[Adjusted close],MAX(1,$A121-200+1)):E121)=200,AVERAGE(INDEX(StockDaily[Adjusted close],MAX(1,$A121-200+1)):E121),"n.a.")))</f>
        <v>n.a.</v>
      </c>
      <c r="H121" s="136" t="str">
        <f>IF($A121&gt;MIN($A$10,$A$2),"",IF($A$5="","Choose stock",IF(NOT($A$12),"Check split rule",IF(NOT(ISNUMBER(B121)),"Invalid date",IF(OR(B121&lt;=0,B121&lt;&gt;INT(B121)),"Invalid date",IF(COUNTIFS(DemoHistory[Date],B121)&lt;&gt;1,"Duplicate date",IF(AND($A121&gt;1,B121&lt;=B120),"Dates out of order",IF(NOT(ISNUMBER(C121)),"Missing price",IF(C121&lt;=0,"Nonpositive price","OK")))))))))</f>
        <v>OK</v>
      </c>
      <c r="I121" s="136"/>
      <c r="J121" s="136"/>
      <c r="K121" s="136"/>
      <c r="L121" s="136"/>
      <c r="M121" s="136"/>
      <c r="N121" s="136">
        <f t="shared" si="4"/>
        <v>549.56830000000002</v>
      </c>
      <c r="O121" s="136">
        <f t="shared" si="5"/>
        <v>519.10307599999999</v>
      </c>
    </row>
    <row r="122" spans="1:15" ht="22" customHeight="1" x14ac:dyDescent="0.35">
      <c r="A122" s="136">
        <v>78</v>
      </c>
      <c r="B122" s="165">
        <f>IF($A122&gt;MIN($A$10,$A$2),"",INDEX(DemoHistory[Date],$A122))</f>
        <v>46211</v>
      </c>
      <c r="C122" s="166">
        <f>IF(OR($A122&gt;MIN($A$10,$A$2),$A$5=""),"",INDEX(DemoHistory[],$A122,MATCH($A$5,DemoHistory[#Headers],0)))</f>
        <v>557.16729999999995</v>
      </c>
      <c r="D122" s="166">
        <f>IF($A122&gt;MIN($A$10,$A$2),"",IF(AND($A$12,$A$6=1,B122&lt;$A$7,$A$7&lt;=MAX(DemoHistory[Date])),$A$8,1))</f>
        <v>1</v>
      </c>
      <c r="E122" s="166">
        <f t="shared" si="3"/>
        <v>557.16729999999995</v>
      </c>
      <c r="F122" s="166">
        <f>IF($A122&gt;MIN($A$10,$A$2),"",IF($A122&lt;50,"n.a.",IF(COUNT(INDEX(StockDaily[Adjusted close],MAX(1,$A122-50+1)):E122)=50,AVERAGE(INDEX(StockDaily[Adjusted close],MAX(1,$A122-50+1)):E122),"n.a.")))</f>
        <v>519.87572</v>
      </c>
      <c r="G122" s="166" t="str">
        <f>IF($A122&gt;MIN($A$10,$A$2),"",IF($A122&lt;200,"n.a.",IF(COUNT(INDEX(StockDaily[Adjusted close],MAX(1,$A122-200+1)):E122)=200,AVERAGE(INDEX(StockDaily[Adjusted close],MAX(1,$A122-200+1)):E122),"n.a.")))</f>
        <v>n.a.</v>
      </c>
      <c r="H122" s="136" t="str">
        <f>IF($A122&gt;MIN($A$10,$A$2),"",IF($A$5="","Choose stock",IF(NOT($A$12),"Check split rule",IF(NOT(ISNUMBER(B122)),"Invalid date",IF(OR(B122&lt;=0,B122&lt;&gt;INT(B122)),"Invalid date",IF(COUNTIFS(DemoHistory[Date],B122)&lt;&gt;1,"Duplicate date",IF(AND($A122&gt;1,B122&lt;=B121),"Dates out of order",IF(NOT(ISNUMBER(C122)),"Missing price",IF(C122&lt;=0,"Nonpositive price","OK")))))))))</f>
        <v>OK</v>
      </c>
      <c r="I122" s="136"/>
      <c r="J122" s="136"/>
      <c r="K122" s="136"/>
      <c r="L122" s="136"/>
      <c r="M122" s="136"/>
      <c r="N122" s="136">
        <f t="shared" si="4"/>
        <v>557.16729999999995</v>
      </c>
      <c r="O122" s="136">
        <f t="shared" si="5"/>
        <v>519.87572</v>
      </c>
    </row>
    <row r="123" spans="1:15" ht="22" customHeight="1" x14ac:dyDescent="0.35">
      <c r="A123" s="136">
        <v>79</v>
      </c>
      <c r="B123" s="165">
        <f>IF($A123&gt;MIN($A$10,$A$2),"",INDEX(DemoHistory[Date],$A123))</f>
        <v>46212</v>
      </c>
      <c r="C123" s="166">
        <f>IF(OR($A123&gt;MIN($A$10,$A$2),$A$5=""),"",INDEX(DemoHistory[],$A123,MATCH($A$5,DemoHistory[#Headers],0)))</f>
        <v>560.99289999999996</v>
      </c>
      <c r="D123" s="166">
        <f>IF($A123&gt;MIN($A$10,$A$2),"",IF(AND($A$12,$A$6=1,B123&lt;$A$7,$A$7&lt;=MAX(DemoHistory[Date])),$A$8,1))</f>
        <v>1</v>
      </c>
      <c r="E123" s="166">
        <f t="shared" si="3"/>
        <v>560.99289999999996</v>
      </c>
      <c r="F123" s="166">
        <f>IF($A123&gt;MIN($A$10,$A$2),"",IF($A123&lt;50,"n.a.",IF(COUNT(INDEX(StockDaily[Adjusted close],MAX(1,$A123-50+1)):E123)=50,AVERAGE(INDEX(StockDaily[Adjusted close],MAX(1,$A123-50+1)):E123),"n.a.")))</f>
        <v>520.67212200000006</v>
      </c>
      <c r="G123" s="166" t="str">
        <f>IF($A123&gt;MIN($A$10,$A$2),"",IF($A123&lt;200,"n.a.",IF(COUNT(INDEX(StockDaily[Adjusted close],MAX(1,$A123-200+1)):E123)=200,AVERAGE(INDEX(StockDaily[Adjusted close],MAX(1,$A123-200+1)):E123),"n.a.")))</f>
        <v>n.a.</v>
      </c>
      <c r="H123" s="136" t="str">
        <f>IF($A123&gt;MIN($A$10,$A$2),"",IF($A$5="","Choose stock",IF(NOT($A$12),"Check split rule",IF(NOT(ISNUMBER(B123)),"Invalid date",IF(OR(B123&lt;=0,B123&lt;&gt;INT(B123)),"Invalid date",IF(COUNTIFS(DemoHistory[Date],B123)&lt;&gt;1,"Duplicate date",IF(AND($A123&gt;1,B123&lt;=B122),"Dates out of order",IF(NOT(ISNUMBER(C123)),"Missing price",IF(C123&lt;=0,"Nonpositive price","OK")))))))))</f>
        <v>OK</v>
      </c>
      <c r="I123" s="136"/>
      <c r="J123" s="136"/>
      <c r="K123" s="136"/>
      <c r="L123" s="136"/>
      <c r="M123" s="136"/>
      <c r="N123" s="136">
        <f t="shared" si="4"/>
        <v>560.99289999999996</v>
      </c>
      <c r="O123" s="136">
        <f t="shared" si="5"/>
        <v>520.67212200000006</v>
      </c>
    </row>
    <row r="124" spans="1:15" ht="22" customHeight="1" x14ac:dyDescent="0.35">
      <c r="A124" s="136">
        <v>80</v>
      </c>
      <c r="B124" s="165">
        <f>IF($A124&gt;MIN($A$10,$A$2),"",INDEX(DemoHistory[Date],$A124))</f>
        <v>46213</v>
      </c>
      <c r="C124" s="166">
        <f>IF(OR($A124&gt;MIN($A$10,$A$2),$A$5=""),"",INDEX(DemoHistory[],$A124,MATCH($A$5,DemoHistory[#Headers],0)))</f>
        <v>562.62850000000003</v>
      </c>
      <c r="D124" s="166">
        <f>IF($A124&gt;MIN($A$10,$A$2),"",IF(AND($A$12,$A$6=1,B124&lt;$A$7,$A$7&lt;=MAX(DemoHistory[Date])),$A$8,1))</f>
        <v>1</v>
      </c>
      <c r="E124" s="166">
        <f t="shared" si="3"/>
        <v>562.62850000000003</v>
      </c>
      <c r="F124" s="166">
        <f>IF($A124&gt;MIN($A$10,$A$2),"",IF($A124&lt;50,"n.a.",IF(COUNT(INDEX(StockDaily[Adjusted close],MAX(1,$A124-50+1)):E124)=50,AVERAGE(INDEX(StockDaily[Adjusted close],MAX(1,$A124-50+1)):E124),"n.a.")))</f>
        <v>521.551286</v>
      </c>
      <c r="G124" s="166" t="str">
        <f>IF($A124&gt;MIN($A$10,$A$2),"",IF($A124&lt;200,"n.a.",IF(COUNT(INDEX(StockDaily[Adjusted close],MAX(1,$A124-200+1)):E124)=200,AVERAGE(INDEX(StockDaily[Adjusted close],MAX(1,$A124-200+1)):E124),"n.a.")))</f>
        <v>n.a.</v>
      </c>
      <c r="H124" s="136" t="str">
        <f>IF($A124&gt;MIN($A$10,$A$2),"",IF($A$5="","Choose stock",IF(NOT($A$12),"Check split rule",IF(NOT(ISNUMBER(B124)),"Invalid date",IF(OR(B124&lt;=0,B124&lt;&gt;INT(B124)),"Invalid date",IF(COUNTIFS(DemoHistory[Date],B124)&lt;&gt;1,"Duplicate date",IF(AND($A124&gt;1,B124&lt;=B123),"Dates out of order",IF(NOT(ISNUMBER(C124)),"Missing price",IF(C124&lt;=0,"Nonpositive price","OK")))))))))</f>
        <v>OK</v>
      </c>
      <c r="I124" s="136"/>
      <c r="J124" s="136"/>
      <c r="K124" s="136"/>
      <c r="L124" s="136"/>
      <c r="M124" s="136"/>
      <c r="N124" s="136">
        <f t="shared" si="4"/>
        <v>562.62850000000003</v>
      </c>
      <c r="O124" s="136">
        <f t="shared" si="5"/>
        <v>521.551286</v>
      </c>
    </row>
    <row r="125" spans="1:15" ht="22" customHeight="1" x14ac:dyDescent="0.35">
      <c r="A125" s="136">
        <v>81</v>
      </c>
      <c r="B125" s="165">
        <f>IF($A125&gt;MIN($A$10,$A$2),"",INDEX(DemoHistory[Date],$A125))</f>
        <v>46216</v>
      </c>
      <c r="C125" s="166">
        <f>IF(OR($A125&gt;MIN($A$10,$A$2),$A$5=""),"",INDEX(DemoHistory[],$A125,MATCH($A$5,DemoHistory[#Headers],0)))</f>
        <v>561.23379999999997</v>
      </c>
      <c r="D125" s="166">
        <f>IF($A125&gt;MIN($A$10,$A$2),"",IF(AND($A$12,$A$6=1,B125&lt;$A$7,$A$7&lt;=MAX(DemoHistory[Date])),$A$8,1))</f>
        <v>1</v>
      </c>
      <c r="E125" s="166">
        <f t="shared" si="3"/>
        <v>561.23379999999997</v>
      </c>
      <c r="F125" s="166">
        <f>IF($A125&gt;MIN($A$10,$A$2),"",IF($A125&lt;50,"n.a.",IF(COUNT(INDEX(StockDaily[Adjusted close],MAX(1,$A125-50+1)):E125)=50,AVERAGE(INDEX(StockDaily[Adjusted close],MAX(1,$A125-50+1)):E125),"n.a.")))</f>
        <v>522.43528399999991</v>
      </c>
      <c r="G125" s="166" t="str">
        <f>IF($A125&gt;MIN($A$10,$A$2),"",IF($A125&lt;200,"n.a.",IF(COUNT(INDEX(StockDaily[Adjusted close],MAX(1,$A125-200+1)):E125)=200,AVERAGE(INDEX(StockDaily[Adjusted close],MAX(1,$A125-200+1)):E125),"n.a.")))</f>
        <v>n.a.</v>
      </c>
      <c r="H125" s="136" t="str">
        <f>IF($A125&gt;MIN($A$10,$A$2),"",IF($A$5="","Choose stock",IF(NOT($A$12),"Check split rule",IF(NOT(ISNUMBER(B125)),"Invalid date",IF(OR(B125&lt;=0,B125&lt;&gt;INT(B125)),"Invalid date",IF(COUNTIFS(DemoHistory[Date],B125)&lt;&gt;1,"Duplicate date",IF(AND($A125&gt;1,B125&lt;=B124),"Dates out of order",IF(NOT(ISNUMBER(C125)),"Missing price",IF(C125&lt;=0,"Nonpositive price","OK")))))))))</f>
        <v>OK</v>
      </c>
      <c r="I125" s="136"/>
      <c r="J125" s="136"/>
      <c r="K125" s="136"/>
      <c r="L125" s="136"/>
      <c r="M125" s="136"/>
      <c r="N125" s="136">
        <f t="shared" si="4"/>
        <v>561.23379999999997</v>
      </c>
      <c r="O125" s="136">
        <f t="shared" si="5"/>
        <v>522.43528399999991</v>
      </c>
    </row>
    <row r="126" spans="1:15" ht="22" customHeight="1" x14ac:dyDescent="0.35">
      <c r="A126" s="136">
        <v>82</v>
      </c>
      <c r="B126" s="165">
        <f>IF($A126&gt;MIN($A$10,$A$2),"",INDEX(DemoHistory[Date],$A126))</f>
        <v>46217</v>
      </c>
      <c r="C126" s="166">
        <f>IF(OR($A126&gt;MIN($A$10,$A$2),$A$5=""),"",INDEX(DemoHistory[],$A126,MATCH($A$5,DemoHistory[#Headers],0)))</f>
        <v>565.78589999999997</v>
      </c>
      <c r="D126" s="166">
        <f>IF($A126&gt;MIN($A$10,$A$2),"",IF(AND($A$12,$A$6=1,B126&lt;$A$7,$A$7&lt;=MAX(DemoHistory[Date])),$A$8,1))</f>
        <v>1</v>
      </c>
      <c r="E126" s="166">
        <f t="shared" si="3"/>
        <v>565.78589999999997</v>
      </c>
      <c r="F126" s="166">
        <f>IF($A126&gt;MIN($A$10,$A$2),"",IF($A126&lt;50,"n.a.",IF(COUNT(INDEX(StockDaily[Adjusted close],MAX(1,$A126-50+1)):E126)=50,AVERAGE(INDEX(StockDaily[Adjusted close],MAX(1,$A126-50+1)):E126),"n.a.")))</f>
        <v>523.46112000000005</v>
      </c>
      <c r="G126" s="166" t="str">
        <f>IF($A126&gt;MIN($A$10,$A$2),"",IF($A126&lt;200,"n.a.",IF(COUNT(INDEX(StockDaily[Adjusted close],MAX(1,$A126-200+1)):E126)=200,AVERAGE(INDEX(StockDaily[Adjusted close],MAX(1,$A126-200+1)):E126),"n.a.")))</f>
        <v>n.a.</v>
      </c>
      <c r="H126" s="136" t="str">
        <f>IF($A126&gt;MIN($A$10,$A$2),"",IF($A$5="","Choose stock",IF(NOT($A$12),"Check split rule",IF(NOT(ISNUMBER(B126)),"Invalid date",IF(OR(B126&lt;=0,B126&lt;&gt;INT(B126)),"Invalid date",IF(COUNTIFS(DemoHistory[Date],B126)&lt;&gt;1,"Duplicate date",IF(AND($A126&gt;1,B126&lt;=B125),"Dates out of order",IF(NOT(ISNUMBER(C126)),"Missing price",IF(C126&lt;=0,"Nonpositive price","OK")))))))))</f>
        <v>OK</v>
      </c>
      <c r="I126" s="136"/>
      <c r="J126" s="136"/>
      <c r="K126" s="136"/>
      <c r="L126" s="136"/>
      <c r="M126" s="136"/>
      <c r="N126" s="136">
        <f t="shared" si="4"/>
        <v>565.78589999999997</v>
      </c>
      <c r="O126" s="136">
        <f t="shared" si="5"/>
        <v>523.46112000000005</v>
      </c>
    </row>
    <row r="127" spans="1:15" ht="22" customHeight="1" x14ac:dyDescent="0.35">
      <c r="A127" s="136">
        <v>83</v>
      </c>
      <c r="B127" s="165">
        <f>IF($A127&gt;MIN($A$10,$A$2),"",INDEX(DemoHistory[Date],$A127))</f>
        <v>46218</v>
      </c>
      <c r="C127" s="166">
        <f>IF(OR($A127&gt;MIN($A$10,$A$2),$A$5=""),"",INDEX(DemoHistory[],$A127,MATCH($A$5,DemoHistory[#Headers],0)))</f>
        <v>569.85739999999998</v>
      </c>
      <c r="D127" s="166">
        <f>IF($A127&gt;MIN($A$10,$A$2),"",IF(AND($A$12,$A$6=1,B127&lt;$A$7,$A$7&lt;=MAX(DemoHistory[Date])),$A$8,1))</f>
        <v>1</v>
      </c>
      <c r="E127" s="166">
        <f t="shared" si="3"/>
        <v>569.85739999999998</v>
      </c>
      <c r="F127" s="166">
        <f>IF($A127&gt;MIN($A$10,$A$2),"",IF($A127&lt;50,"n.a.",IF(COUNT(INDEX(StockDaily[Adjusted close],MAX(1,$A127-50+1)):E127)=50,AVERAGE(INDEX(StockDaily[Adjusted close],MAX(1,$A127-50+1)):E127),"n.a.")))</f>
        <v>524.52706000000001</v>
      </c>
      <c r="G127" s="166" t="str">
        <f>IF($A127&gt;MIN($A$10,$A$2),"",IF($A127&lt;200,"n.a.",IF(COUNT(INDEX(StockDaily[Adjusted close],MAX(1,$A127-200+1)):E127)=200,AVERAGE(INDEX(StockDaily[Adjusted close],MAX(1,$A127-200+1)):E127),"n.a.")))</f>
        <v>n.a.</v>
      </c>
      <c r="H127" s="136" t="str">
        <f>IF($A127&gt;MIN($A$10,$A$2),"",IF($A$5="","Choose stock",IF(NOT($A$12),"Check split rule",IF(NOT(ISNUMBER(B127)),"Invalid date",IF(OR(B127&lt;=0,B127&lt;&gt;INT(B127)),"Invalid date",IF(COUNTIFS(DemoHistory[Date],B127)&lt;&gt;1,"Duplicate date",IF(AND($A127&gt;1,B127&lt;=B126),"Dates out of order",IF(NOT(ISNUMBER(C127)),"Missing price",IF(C127&lt;=0,"Nonpositive price","OK")))))))))</f>
        <v>OK</v>
      </c>
      <c r="I127" s="136"/>
      <c r="J127" s="136"/>
      <c r="K127" s="136"/>
      <c r="L127" s="136"/>
      <c r="M127" s="136"/>
      <c r="N127" s="136">
        <f t="shared" si="4"/>
        <v>569.85739999999998</v>
      </c>
      <c r="O127" s="136">
        <f t="shared" si="5"/>
        <v>524.52706000000001</v>
      </c>
    </row>
    <row r="128" spans="1:15" ht="22" customHeight="1" x14ac:dyDescent="0.35">
      <c r="A128" s="136">
        <v>84</v>
      </c>
      <c r="B128" s="165">
        <f>IF($A128&gt;MIN($A$10,$A$2),"",INDEX(DemoHistory[Date],$A128))</f>
        <v>46219</v>
      </c>
      <c r="C128" s="166">
        <f>IF(OR($A128&gt;MIN($A$10,$A$2),$A$5=""),"",INDEX(DemoHistory[],$A128,MATCH($A$5,DemoHistory[#Headers],0)))</f>
        <v>568.24940000000004</v>
      </c>
      <c r="D128" s="166">
        <f>IF($A128&gt;MIN($A$10,$A$2),"",IF(AND($A$12,$A$6=1,B128&lt;$A$7,$A$7&lt;=MAX(DemoHistory[Date])),$A$8,1))</f>
        <v>1</v>
      </c>
      <c r="E128" s="166">
        <f t="shared" si="3"/>
        <v>568.24940000000004</v>
      </c>
      <c r="F128" s="166">
        <f>IF($A128&gt;MIN($A$10,$A$2),"",IF($A128&lt;50,"n.a.",IF(COUNT(INDEX(StockDaily[Adjusted close],MAX(1,$A128-50+1)):E128)=50,AVERAGE(INDEX(StockDaily[Adjusted close],MAX(1,$A128-50+1)):E128),"n.a.")))</f>
        <v>525.73043799999994</v>
      </c>
      <c r="G128" s="166" t="str">
        <f>IF($A128&gt;MIN($A$10,$A$2),"",IF($A128&lt;200,"n.a.",IF(COUNT(INDEX(StockDaily[Adjusted close],MAX(1,$A128-200+1)):E128)=200,AVERAGE(INDEX(StockDaily[Adjusted close],MAX(1,$A128-200+1)):E128),"n.a.")))</f>
        <v>n.a.</v>
      </c>
      <c r="H128" s="136" t="str">
        <f>IF($A128&gt;MIN($A$10,$A$2),"",IF($A$5="","Choose stock",IF(NOT($A$12),"Check split rule",IF(NOT(ISNUMBER(B128)),"Invalid date",IF(OR(B128&lt;=0,B128&lt;&gt;INT(B128)),"Invalid date",IF(COUNTIFS(DemoHistory[Date],B128)&lt;&gt;1,"Duplicate date",IF(AND($A128&gt;1,B128&lt;=B127),"Dates out of order",IF(NOT(ISNUMBER(C128)),"Missing price",IF(C128&lt;=0,"Nonpositive price","OK")))))))))</f>
        <v>OK</v>
      </c>
      <c r="I128" s="136"/>
      <c r="J128" s="136"/>
      <c r="K128" s="136"/>
      <c r="L128" s="136"/>
      <c r="M128" s="136"/>
      <c r="N128" s="136">
        <f t="shared" si="4"/>
        <v>568.24940000000004</v>
      </c>
      <c r="O128" s="136">
        <f t="shared" si="5"/>
        <v>525.73043799999994</v>
      </c>
    </row>
    <row r="129" spans="1:15" ht="22" customHeight="1" x14ac:dyDescent="0.35">
      <c r="A129" s="136">
        <v>85</v>
      </c>
      <c r="B129" s="165">
        <f>IF($A129&gt;MIN($A$10,$A$2),"",INDEX(DemoHistory[Date],$A129))</f>
        <v>46220</v>
      </c>
      <c r="C129" s="166">
        <f>IF(OR($A129&gt;MIN($A$10,$A$2),$A$5=""),"",INDEX(DemoHistory[],$A129,MATCH($A$5,DemoHistory[#Headers],0)))</f>
        <v>567.14279999999997</v>
      </c>
      <c r="D129" s="166">
        <f>IF($A129&gt;MIN($A$10,$A$2),"",IF(AND($A$12,$A$6=1,B129&lt;$A$7,$A$7&lt;=MAX(DemoHistory[Date])),$A$8,1))</f>
        <v>1</v>
      </c>
      <c r="E129" s="166">
        <f t="shared" si="3"/>
        <v>567.14279999999997</v>
      </c>
      <c r="F129" s="166">
        <f>IF($A129&gt;MIN($A$10,$A$2),"",IF($A129&lt;50,"n.a.",IF(COUNT(INDEX(StockDaily[Adjusted close],MAX(1,$A129-50+1)):E129)=50,AVERAGE(INDEX(StockDaily[Adjusted close],MAX(1,$A129-50+1)):E129),"n.a.")))</f>
        <v>526.90755200000012</v>
      </c>
      <c r="G129" s="166" t="str">
        <f>IF($A129&gt;MIN($A$10,$A$2),"",IF($A129&lt;200,"n.a.",IF(COUNT(INDEX(StockDaily[Adjusted close],MAX(1,$A129-200+1)):E129)=200,AVERAGE(INDEX(StockDaily[Adjusted close],MAX(1,$A129-200+1)):E129),"n.a.")))</f>
        <v>n.a.</v>
      </c>
      <c r="H129" s="136" t="str">
        <f>IF($A129&gt;MIN($A$10,$A$2),"",IF($A$5="","Choose stock",IF(NOT($A$12),"Check split rule",IF(NOT(ISNUMBER(B129)),"Invalid date",IF(OR(B129&lt;=0,B129&lt;&gt;INT(B129)),"Invalid date",IF(COUNTIFS(DemoHistory[Date],B129)&lt;&gt;1,"Duplicate date",IF(AND($A129&gt;1,B129&lt;=B128),"Dates out of order",IF(NOT(ISNUMBER(C129)),"Missing price",IF(C129&lt;=0,"Nonpositive price","OK")))))))))</f>
        <v>OK</v>
      </c>
      <c r="I129" s="136"/>
      <c r="J129" s="136"/>
      <c r="K129" s="136"/>
      <c r="L129" s="136"/>
      <c r="M129" s="136"/>
      <c r="N129" s="136">
        <f t="shared" si="4"/>
        <v>567.14279999999997</v>
      </c>
      <c r="O129" s="136">
        <f t="shared" si="5"/>
        <v>526.90755200000012</v>
      </c>
    </row>
    <row r="130" spans="1:15" ht="22" customHeight="1" x14ac:dyDescent="0.35">
      <c r="A130" s="136">
        <v>86</v>
      </c>
      <c r="B130" s="165">
        <f>IF($A130&gt;MIN($A$10,$A$2),"",INDEX(DemoHistory[Date],$A130))</f>
        <v>46223</v>
      </c>
      <c r="C130" s="166">
        <f>IF(OR($A130&gt;MIN($A$10,$A$2),$A$5=""),"",INDEX(DemoHistory[],$A130,MATCH($A$5,DemoHistory[#Headers],0)))</f>
        <v>571.41039999999998</v>
      </c>
      <c r="D130" s="166">
        <f>IF($A130&gt;MIN($A$10,$A$2),"",IF(AND($A$12,$A$6=1,B130&lt;$A$7,$A$7&lt;=MAX(DemoHistory[Date])),$A$8,1))</f>
        <v>1</v>
      </c>
      <c r="E130" s="166">
        <f t="shared" si="3"/>
        <v>571.41039999999998</v>
      </c>
      <c r="F130" s="166">
        <f>IF($A130&gt;MIN($A$10,$A$2),"",IF($A130&lt;50,"n.a.",IF(COUNT(INDEX(StockDaily[Adjusted close],MAX(1,$A130-50+1)):E130)=50,AVERAGE(INDEX(StockDaily[Adjusted close],MAX(1,$A130-50+1)):E130),"n.a.")))</f>
        <v>528.29708400000015</v>
      </c>
      <c r="G130" s="166" t="str">
        <f>IF($A130&gt;MIN($A$10,$A$2),"",IF($A130&lt;200,"n.a.",IF(COUNT(INDEX(StockDaily[Adjusted close],MAX(1,$A130-200+1)):E130)=200,AVERAGE(INDEX(StockDaily[Adjusted close],MAX(1,$A130-200+1)):E130),"n.a.")))</f>
        <v>n.a.</v>
      </c>
      <c r="H130" s="136" t="str">
        <f>IF($A130&gt;MIN($A$10,$A$2),"",IF($A$5="","Choose stock",IF(NOT($A$12),"Check split rule",IF(NOT(ISNUMBER(B130)),"Invalid date",IF(OR(B130&lt;=0,B130&lt;&gt;INT(B130)),"Invalid date",IF(COUNTIFS(DemoHistory[Date],B130)&lt;&gt;1,"Duplicate date",IF(AND($A130&gt;1,B130&lt;=B129),"Dates out of order",IF(NOT(ISNUMBER(C130)),"Missing price",IF(C130&lt;=0,"Nonpositive price","OK")))))))))</f>
        <v>OK</v>
      </c>
      <c r="I130" s="136"/>
      <c r="J130" s="136"/>
      <c r="K130" s="136"/>
      <c r="L130" s="136"/>
      <c r="M130" s="136"/>
      <c r="N130" s="136">
        <f t="shared" si="4"/>
        <v>571.41039999999998</v>
      </c>
      <c r="O130" s="136">
        <f t="shared" si="5"/>
        <v>528.29708400000015</v>
      </c>
    </row>
    <row r="131" spans="1:15" ht="22" customHeight="1" x14ac:dyDescent="0.35">
      <c r="A131" s="136">
        <v>87</v>
      </c>
      <c r="B131" s="165">
        <f>IF($A131&gt;MIN($A$10,$A$2),"",INDEX(DemoHistory[Date],$A131))</f>
        <v>46224</v>
      </c>
      <c r="C131" s="166">
        <f>IF(OR($A131&gt;MIN($A$10,$A$2),$A$5=""),"",INDEX(DemoHistory[],$A131,MATCH($A$5,DemoHistory[#Headers],0)))</f>
        <v>564.03250000000003</v>
      </c>
      <c r="D131" s="166">
        <f>IF($A131&gt;MIN($A$10,$A$2),"",IF(AND($A$12,$A$6=1,B131&lt;$A$7,$A$7&lt;=MAX(DemoHistory[Date])),$A$8,1))</f>
        <v>1</v>
      </c>
      <c r="E131" s="166">
        <f t="shared" si="3"/>
        <v>564.03250000000003</v>
      </c>
      <c r="F131" s="166">
        <f>IF($A131&gt;MIN($A$10,$A$2),"",IF($A131&lt;50,"n.a.",IF(COUNT(INDEX(StockDaily[Adjusted close],MAX(1,$A131-50+1)):E131)=50,AVERAGE(INDEX(StockDaily[Adjusted close],MAX(1,$A131-50+1)):E131),"n.a.")))</f>
        <v>529.52145600000006</v>
      </c>
      <c r="G131" s="166" t="str">
        <f>IF($A131&gt;MIN($A$10,$A$2),"",IF($A131&lt;200,"n.a.",IF(COUNT(INDEX(StockDaily[Adjusted close],MAX(1,$A131-200+1)):E131)=200,AVERAGE(INDEX(StockDaily[Adjusted close],MAX(1,$A131-200+1)):E131),"n.a.")))</f>
        <v>n.a.</v>
      </c>
      <c r="H131" s="136" t="str">
        <f>IF($A131&gt;MIN($A$10,$A$2),"",IF($A$5="","Choose stock",IF(NOT($A$12),"Check split rule",IF(NOT(ISNUMBER(B131)),"Invalid date",IF(OR(B131&lt;=0,B131&lt;&gt;INT(B131)),"Invalid date",IF(COUNTIFS(DemoHistory[Date],B131)&lt;&gt;1,"Duplicate date",IF(AND($A131&gt;1,B131&lt;=B130),"Dates out of order",IF(NOT(ISNUMBER(C131)),"Missing price",IF(C131&lt;=0,"Nonpositive price","OK")))))))))</f>
        <v>OK</v>
      </c>
      <c r="I131" s="136"/>
      <c r="J131" s="136"/>
      <c r="K131" s="136"/>
      <c r="L131" s="136"/>
      <c r="M131" s="136"/>
      <c r="N131" s="136">
        <f t="shared" si="4"/>
        <v>564.03250000000003</v>
      </c>
      <c r="O131" s="136">
        <f t="shared" si="5"/>
        <v>529.52145600000006</v>
      </c>
    </row>
    <row r="132" spans="1:15" ht="22" customHeight="1" x14ac:dyDescent="0.35">
      <c r="A132" s="136">
        <v>88</v>
      </c>
      <c r="B132" s="165">
        <f>IF($A132&gt;MIN($A$10,$A$2),"",INDEX(DemoHistory[Date],$A132))</f>
        <v>46225</v>
      </c>
      <c r="C132" s="166">
        <f>IF(OR($A132&gt;MIN($A$10,$A$2),$A$5=""),"",INDEX(DemoHistory[],$A132,MATCH($A$5,DemoHistory[#Headers],0)))</f>
        <v>564.77859999999998</v>
      </c>
      <c r="D132" s="166">
        <f>IF($A132&gt;MIN($A$10,$A$2),"",IF(AND($A$12,$A$6=1,B132&lt;$A$7,$A$7&lt;=MAX(DemoHistory[Date])),$A$8,1))</f>
        <v>1</v>
      </c>
      <c r="E132" s="166">
        <f t="shared" si="3"/>
        <v>564.77859999999998</v>
      </c>
      <c r="F132" s="166">
        <f>IF($A132&gt;MIN($A$10,$A$2),"",IF($A132&lt;50,"n.a.",IF(COUNT(INDEX(StockDaily[Adjusted close],MAX(1,$A132-50+1)):E132)=50,AVERAGE(INDEX(StockDaily[Adjusted close],MAX(1,$A132-50+1)):E132),"n.a.")))</f>
        <v>530.72333600000013</v>
      </c>
      <c r="G132" s="166" t="str">
        <f>IF($A132&gt;MIN($A$10,$A$2),"",IF($A132&lt;200,"n.a.",IF(COUNT(INDEX(StockDaily[Adjusted close],MAX(1,$A132-200+1)):E132)=200,AVERAGE(INDEX(StockDaily[Adjusted close],MAX(1,$A132-200+1)):E132),"n.a.")))</f>
        <v>n.a.</v>
      </c>
      <c r="H132" s="136" t="str">
        <f>IF($A132&gt;MIN($A$10,$A$2),"",IF($A$5="","Choose stock",IF(NOT($A$12),"Check split rule",IF(NOT(ISNUMBER(B132)),"Invalid date",IF(OR(B132&lt;=0,B132&lt;&gt;INT(B132)),"Invalid date",IF(COUNTIFS(DemoHistory[Date],B132)&lt;&gt;1,"Duplicate date",IF(AND($A132&gt;1,B132&lt;=B131),"Dates out of order",IF(NOT(ISNUMBER(C132)),"Missing price",IF(C132&lt;=0,"Nonpositive price","OK")))))))))</f>
        <v>OK</v>
      </c>
      <c r="I132" s="136"/>
      <c r="J132" s="136"/>
      <c r="K132" s="136"/>
      <c r="L132" s="136"/>
      <c r="M132" s="136"/>
      <c r="N132" s="136">
        <f t="shared" si="4"/>
        <v>564.77859999999998</v>
      </c>
      <c r="O132" s="136">
        <f t="shared" si="5"/>
        <v>530.72333600000013</v>
      </c>
    </row>
    <row r="133" spans="1:15" ht="22" customHeight="1" x14ac:dyDescent="0.35">
      <c r="A133" s="136">
        <v>89</v>
      </c>
      <c r="B133" s="165">
        <f>IF($A133&gt;MIN($A$10,$A$2),"",INDEX(DemoHistory[Date],$A133))</f>
        <v>46226</v>
      </c>
      <c r="C133" s="166">
        <f>IF(OR($A133&gt;MIN($A$10,$A$2),$A$5=""),"",INDEX(DemoHistory[],$A133,MATCH($A$5,DemoHistory[#Headers],0)))</f>
        <v>560.5222</v>
      </c>
      <c r="D133" s="166">
        <f>IF($A133&gt;MIN($A$10,$A$2),"",IF(AND($A$12,$A$6=1,B133&lt;$A$7,$A$7&lt;=MAX(DemoHistory[Date])),$A$8,1))</f>
        <v>1</v>
      </c>
      <c r="E133" s="166">
        <f t="shared" si="3"/>
        <v>560.5222</v>
      </c>
      <c r="F133" s="166">
        <f>IF($A133&gt;MIN($A$10,$A$2),"",IF($A133&lt;50,"n.a.",IF(COUNT(INDEX(StockDaily[Adjusted close],MAX(1,$A133-50+1)):E133)=50,AVERAGE(INDEX(StockDaily[Adjusted close],MAX(1,$A133-50+1)):E133),"n.a.")))</f>
        <v>531.97882600000014</v>
      </c>
      <c r="G133" s="166" t="str">
        <f>IF($A133&gt;MIN($A$10,$A$2),"",IF($A133&lt;200,"n.a.",IF(COUNT(INDEX(StockDaily[Adjusted close],MAX(1,$A133-200+1)):E133)=200,AVERAGE(INDEX(StockDaily[Adjusted close],MAX(1,$A133-200+1)):E133),"n.a.")))</f>
        <v>n.a.</v>
      </c>
      <c r="H133" s="136" t="str">
        <f>IF($A133&gt;MIN($A$10,$A$2),"",IF($A$5="","Choose stock",IF(NOT($A$12),"Check split rule",IF(NOT(ISNUMBER(B133)),"Invalid date",IF(OR(B133&lt;=0,B133&lt;&gt;INT(B133)),"Invalid date",IF(COUNTIFS(DemoHistory[Date],B133)&lt;&gt;1,"Duplicate date",IF(AND($A133&gt;1,B133&lt;=B132),"Dates out of order",IF(NOT(ISNUMBER(C133)),"Missing price",IF(C133&lt;=0,"Nonpositive price","OK")))))))))</f>
        <v>OK</v>
      </c>
      <c r="I133" s="136"/>
      <c r="J133" s="136"/>
      <c r="K133" s="136"/>
      <c r="L133" s="136"/>
      <c r="M133" s="136"/>
      <c r="N133" s="136">
        <f t="shared" si="4"/>
        <v>560.5222</v>
      </c>
      <c r="O133" s="136">
        <f t="shared" si="5"/>
        <v>531.97882600000014</v>
      </c>
    </row>
    <row r="134" spans="1:15" ht="22" customHeight="1" x14ac:dyDescent="0.35">
      <c r="A134" s="136">
        <v>90</v>
      </c>
      <c r="B134" s="165">
        <f>IF($A134&gt;MIN($A$10,$A$2),"",INDEX(DemoHistory[Date],$A134))</f>
        <v>46227</v>
      </c>
      <c r="C134" s="166">
        <f>IF(OR($A134&gt;MIN($A$10,$A$2),$A$5=""),"",INDEX(DemoHistory[],$A134,MATCH($A$5,DemoHistory[#Headers],0)))</f>
        <v>556.10670000000005</v>
      </c>
      <c r="D134" s="166">
        <f>IF($A134&gt;MIN($A$10,$A$2),"",IF(AND($A$12,$A$6=1,B134&lt;$A$7,$A$7&lt;=MAX(DemoHistory[Date])),$A$8,1))</f>
        <v>1</v>
      </c>
      <c r="E134" s="166">
        <f t="shared" si="3"/>
        <v>556.10670000000005</v>
      </c>
      <c r="F134" s="166">
        <f>IF($A134&gt;MIN($A$10,$A$2),"",IF($A134&lt;50,"n.a.",IF(COUNT(INDEX(StockDaily[Adjusted close],MAX(1,$A134-50+1)):E134)=50,AVERAGE(INDEX(StockDaily[Adjusted close],MAX(1,$A134-50+1)):E134),"n.a.")))</f>
        <v>533.12134000000015</v>
      </c>
      <c r="G134" s="166" t="str">
        <f>IF($A134&gt;MIN($A$10,$A$2),"",IF($A134&lt;200,"n.a.",IF(COUNT(INDEX(StockDaily[Adjusted close],MAX(1,$A134-200+1)):E134)=200,AVERAGE(INDEX(StockDaily[Adjusted close],MAX(1,$A134-200+1)):E134),"n.a.")))</f>
        <v>n.a.</v>
      </c>
      <c r="H134" s="136" t="str">
        <f>IF($A134&gt;MIN($A$10,$A$2),"",IF($A$5="","Choose stock",IF(NOT($A$12),"Check split rule",IF(NOT(ISNUMBER(B134)),"Invalid date",IF(OR(B134&lt;=0,B134&lt;&gt;INT(B134)),"Invalid date",IF(COUNTIFS(DemoHistory[Date],B134)&lt;&gt;1,"Duplicate date",IF(AND($A134&gt;1,B134&lt;=B133),"Dates out of order",IF(NOT(ISNUMBER(C134)),"Missing price",IF(C134&lt;=0,"Nonpositive price","OK")))))))))</f>
        <v>OK</v>
      </c>
      <c r="I134" s="136"/>
      <c r="J134" s="136"/>
      <c r="K134" s="136"/>
      <c r="L134" s="136"/>
      <c r="M134" s="136"/>
      <c r="N134" s="136">
        <f t="shared" si="4"/>
        <v>556.10670000000005</v>
      </c>
      <c r="O134" s="136">
        <f t="shared" si="5"/>
        <v>533.12134000000015</v>
      </c>
    </row>
    <row r="135" spans="1:15" ht="22" customHeight="1" x14ac:dyDescent="0.35">
      <c r="A135" s="136">
        <v>91</v>
      </c>
      <c r="B135" s="165">
        <f>IF($A135&gt;MIN($A$10,$A$2),"",INDEX(DemoHistory[Date],$A135))</f>
        <v>46230</v>
      </c>
      <c r="C135" s="166">
        <f>IF(OR($A135&gt;MIN($A$10,$A$2),$A$5=""),"",INDEX(DemoHistory[],$A135,MATCH($A$5,DemoHistory[#Headers],0)))</f>
        <v>561.59490000000005</v>
      </c>
      <c r="D135" s="166">
        <f>IF($A135&gt;MIN($A$10,$A$2),"",IF(AND($A$12,$A$6=1,B135&lt;$A$7,$A$7&lt;=MAX(DemoHistory[Date])),$A$8,1))</f>
        <v>1</v>
      </c>
      <c r="E135" s="166">
        <f t="shared" si="3"/>
        <v>561.59490000000005</v>
      </c>
      <c r="F135" s="166">
        <f>IF($A135&gt;MIN($A$10,$A$2),"",IF($A135&lt;50,"n.a.",IF(COUNT(INDEX(StockDaily[Adjusted close],MAX(1,$A135-50+1)):E135)=50,AVERAGE(INDEX(StockDaily[Adjusted close],MAX(1,$A135-50+1)):E135),"n.a.")))</f>
        <v>534.46813600000007</v>
      </c>
      <c r="G135" s="166" t="str">
        <f>IF($A135&gt;MIN($A$10,$A$2),"",IF($A135&lt;200,"n.a.",IF(COUNT(INDEX(StockDaily[Adjusted close],MAX(1,$A135-200+1)):E135)=200,AVERAGE(INDEX(StockDaily[Adjusted close],MAX(1,$A135-200+1)):E135),"n.a.")))</f>
        <v>n.a.</v>
      </c>
      <c r="H135" s="136" t="str">
        <f>IF($A135&gt;MIN($A$10,$A$2),"",IF($A$5="","Choose stock",IF(NOT($A$12),"Check split rule",IF(NOT(ISNUMBER(B135)),"Invalid date",IF(OR(B135&lt;=0,B135&lt;&gt;INT(B135)),"Invalid date",IF(COUNTIFS(DemoHistory[Date],B135)&lt;&gt;1,"Duplicate date",IF(AND($A135&gt;1,B135&lt;=B134),"Dates out of order",IF(NOT(ISNUMBER(C135)),"Missing price",IF(C135&lt;=0,"Nonpositive price","OK")))))))))</f>
        <v>OK</v>
      </c>
      <c r="I135" s="136"/>
      <c r="J135" s="136"/>
      <c r="K135" s="136"/>
      <c r="L135" s="136"/>
      <c r="M135" s="136"/>
      <c r="N135" s="136">
        <f t="shared" si="4"/>
        <v>561.59490000000005</v>
      </c>
      <c r="O135" s="136">
        <f t="shared" si="5"/>
        <v>534.46813600000007</v>
      </c>
    </row>
    <row r="136" spans="1:15" ht="22" customHeight="1" x14ac:dyDescent="0.35">
      <c r="A136" s="136">
        <v>92</v>
      </c>
      <c r="B136" s="165">
        <f>IF($A136&gt;MIN($A$10,$A$2),"",INDEX(DemoHistory[Date],$A136))</f>
        <v>46231</v>
      </c>
      <c r="C136" s="166">
        <f>IF(OR($A136&gt;MIN($A$10,$A$2),$A$5=""),"",INDEX(DemoHistory[],$A136,MATCH($A$5,DemoHistory[#Headers],0)))</f>
        <v>556.00930000000005</v>
      </c>
      <c r="D136" s="166">
        <f>IF($A136&gt;MIN($A$10,$A$2),"",IF(AND($A$12,$A$6=1,B136&lt;$A$7,$A$7&lt;=MAX(DemoHistory[Date])),$A$8,1))</f>
        <v>1</v>
      </c>
      <c r="E136" s="166">
        <f t="shared" si="3"/>
        <v>556.00930000000005</v>
      </c>
      <c r="F136" s="166">
        <f>IF($A136&gt;MIN($A$10,$A$2),"",IF($A136&lt;50,"n.a.",IF(COUNT(INDEX(StockDaily[Adjusted close],MAX(1,$A136-50+1)):E136)=50,AVERAGE(INDEX(StockDaily[Adjusted close],MAX(1,$A136-50+1)):E136),"n.a.")))</f>
        <v>535.6714800000002</v>
      </c>
      <c r="G136" s="166" t="str">
        <f>IF($A136&gt;MIN($A$10,$A$2),"",IF($A136&lt;200,"n.a.",IF(COUNT(INDEX(StockDaily[Adjusted close],MAX(1,$A136-200+1)):E136)=200,AVERAGE(INDEX(StockDaily[Adjusted close],MAX(1,$A136-200+1)):E136),"n.a.")))</f>
        <v>n.a.</v>
      </c>
      <c r="H136" s="136" t="str">
        <f>IF($A136&gt;MIN($A$10,$A$2),"",IF($A$5="","Choose stock",IF(NOT($A$12),"Check split rule",IF(NOT(ISNUMBER(B136)),"Invalid date",IF(OR(B136&lt;=0,B136&lt;&gt;INT(B136)),"Invalid date",IF(COUNTIFS(DemoHistory[Date],B136)&lt;&gt;1,"Duplicate date",IF(AND($A136&gt;1,B136&lt;=B135),"Dates out of order",IF(NOT(ISNUMBER(C136)),"Missing price",IF(C136&lt;=0,"Nonpositive price","OK")))))))))</f>
        <v>OK</v>
      </c>
      <c r="I136" s="136"/>
      <c r="J136" s="136"/>
      <c r="K136" s="136"/>
      <c r="L136" s="136"/>
      <c r="M136" s="136"/>
      <c r="N136" s="136">
        <f t="shared" si="4"/>
        <v>556.00930000000005</v>
      </c>
      <c r="O136" s="136">
        <f t="shared" si="5"/>
        <v>535.6714800000002</v>
      </c>
    </row>
    <row r="137" spans="1:15" ht="22" customHeight="1" x14ac:dyDescent="0.35">
      <c r="A137" s="136">
        <v>93</v>
      </c>
      <c r="B137" s="165">
        <f>IF($A137&gt;MIN($A$10,$A$2),"",INDEX(DemoHistory[Date],$A137))</f>
        <v>46232</v>
      </c>
      <c r="C137" s="166">
        <f>IF(OR($A137&gt;MIN($A$10,$A$2),$A$5=""),"",INDEX(DemoHistory[],$A137,MATCH($A$5,DemoHistory[#Headers],0)))</f>
        <v>560.43449999999996</v>
      </c>
      <c r="D137" s="166">
        <f>IF($A137&gt;MIN($A$10,$A$2),"",IF(AND($A$12,$A$6=1,B137&lt;$A$7,$A$7&lt;=MAX(DemoHistory[Date])),$A$8,1))</f>
        <v>1</v>
      </c>
      <c r="E137" s="166">
        <f t="shared" si="3"/>
        <v>560.43449999999996</v>
      </c>
      <c r="F137" s="166">
        <f>IF($A137&gt;MIN($A$10,$A$2),"",IF($A137&lt;50,"n.a.",IF(COUNT(INDEX(StockDaily[Adjusted close],MAX(1,$A137-50+1)):E137)=50,AVERAGE(INDEX(StockDaily[Adjusted close],MAX(1,$A137-50+1)):E137),"n.a.")))</f>
        <v>536.8651440000001</v>
      </c>
      <c r="G137" s="166" t="str">
        <f>IF($A137&gt;MIN($A$10,$A$2),"",IF($A137&lt;200,"n.a.",IF(COUNT(INDEX(StockDaily[Adjusted close],MAX(1,$A137-200+1)):E137)=200,AVERAGE(INDEX(StockDaily[Adjusted close],MAX(1,$A137-200+1)):E137),"n.a.")))</f>
        <v>n.a.</v>
      </c>
      <c r="H137" s="136" t="str">
        <f>IF($A137&gt;MIN($A$10,$A$2),"",IF($A$5="","Choose stock",IF(NOT($A$12),"Check split rule",IF(NOT(ISNUMBER(B137)),"Invalid date",IF(OR(B137&lt;=0,B137&lt;&gt;INT(B137)),"Invalid date",IF(COUNTIFS(DemoHistory[Date],B137)&lt;&gt;1,"Duplicate date",IF(AND($A137&gt;1,B137&lt;=B136),"Dates out of order",IF(NOT(ISNUMBER(C137)),"Missing price",IF(C137&lt;=0,"Nonpositive price","OK")))))))))</f>
        <v>OK</v>
      </c>
      <c r="I137" s="136"/>
      <c r="J137" s="136"/>
      <c r="K137" s="136"/>
      <c r="L137" s="136"/>
      <c r="M137" s="136"/>
      <c r="N137" s="136">
        <f t="shared" si="4"/>
        <v>560.43449999999996</v>
      </c>
      <c r="O137" s="136">
        <f t="shared" si="5"/>
        <v>536.8651440000001</v>
      </c>
    </row>
    <row r="138" spans="1:15" ht="22" customHeight="1" x14ac:dyDescent="0.35">
      <c r="A138" s="136">
        <v>94</v>
      </c>
      <c r="B138" s="165">
        <f>IF($A138&gt;MIN($A$10,$A$2),"",INDEX(DemoHistory[Date],$A138))</f>
        <v>46233</v>
      </c>
      <c r="C138" s="166">
        <f>IF(OR($A138&gt;MIN($A$10,$A$2),$A$5=""),"",INDEX(DemoHistory[],$A138,MATCH($A$5,DemoHistory[#Headers],0)))</f>
        <v>563.16240000000005</v>
      </c>
      <c r="D138" s="166">
        <f>IF($A138&gt;MIN($A$10,$A$2),"",IF(AND($A$12,$A$6=1,B138&lt;$A$7,$A$7&lt;=MAX(DemoHistory[Date])),$A$8,1))</f>
        <v>1</v>
      </c>
      <c r="E138" s="166">
        <f t="shared" si="3"/>
        <v>563.16240000000005</v>
      </c>
      <c r="F138" s="166">
        <f>IF($A138&gt;MIN($A$10,$A$2),"",IF($A138&lt;50,"n.a.",IF(COUNT(INDEX(StockDaily[Adjusted close],MAX(1,$A138-50+1)):E138)=50,AVERAGE(INDEX(StockDaily[Adjusted close],MAX(1,$A138-50+1)):E138),"n.a.")))</f>
        <v>538.19361000000015</v>
      </c>
      <c r="G138" s="166" t="str">
        <f>IF($A138&gt;MIN($A$10,$A$2),"",IF($A138&lt;200,"n.a.",IF(COUNT(INDEX(StockDaily[Adjusted close],MAX(1,$A138-200+1)):E138)=200,AVERAGE(INDEX(StockDaily[Adjusted close],MAX(1,$A138-200+1)):E138),"n.a.")))</f>
        <v>n.a.</v>
      </c>
      <c r="H138" s="136" t="str">
        <f>IF($A138&gt;MIN($A$10,$A$2),"",IF($A$5="","Choose stock",IF(NOT($A$12),"Check split rule",IF(NOT(ISNUMBER(B138)),"Invalid date",IF(OR(B138&lt;=0,B138&lt;&gt;INT(B138)),"Invalid date",IF(COUNTIFS(DemoHistory[Date],B138)&lt;&gt;1,"Duplicate date",IF(AND($A138&gt;1,B138&lt;=B137),"Dates out of order",IF(NOT(ISNUMBER(C138)),"Missing price",IF(C138&lt;=0,"Nonpositive price","OK")))))))))</f>
        <v>OK</v>
      </c>
      <c r="I138" s="136"/>
      <c r="J138" s="136"/>
      <c r="K138" s="136"/>
      <c r="L138" s="136"/>
      <c r="M138" s="136"/>
      <c r="N138" s="136">
        <f t="shared" si="4"/>
        <v>563.16240000000005</v>
      </c>
      <c r="O138" s="136">
        <f t="shared" si="5"/>
        <v>538.19361000000015</v>
      </c>
    </row>
    <row r="139" spans="1:15" ht="22" customHeight="1" x14ac:dyDescent="0.35">
      <c r="A139" s="136">
        <v>95</v>
      </c>
      <c r="B139" s="165">
        <f>IF($A139&gt;MIN($A$10,$A$2),"",INDEX(DemoHistory[Date],$A139))</f>
        <v>46234</v>
      </c>
      <c r="C139" s="166">
        <f>IF(OR($A139&gt;MIN($A$10,$A$2),$A$5=""),"",INDEX(DemoHistory[],$A139,MATCH($A$5,DemoHistory[#Headers],0)))</f>
        <v>568.84029999999996</v>
      </c>
      <c r="D139" s="166">
        <f>IF($A139&gt;MIN($A$10,$A$2),"",IF(AND($A$12,$A$6=1,B139&lt;$A$7,$A$7&lt;=MAX(DemoHistory[Date])),$A$8,1))</f>
        <v>1</v>
      </c>
      <c r="E139" s="166">
        <f t="shared" si="3"/>
        <v>568.84029999999996</v>
      </c>
      <c r="F139" s="166">
        <f>IF($A139&gt;MIN($A$10,$A$2),"",IF($A139&lt;50,"n.a.",IF(COUNT(INDEX(StockDaily[Adjusted close],MAX(1,$A139-50+1)):E139)=50,AVERAGE(INDEX(StockDaily[Adjusted close],MAX(1,$A139-50+1)):E139),"n.a.")))</f>
        <v>539.62387000000024</v>
      </c>
      <c r="G139" s="166" t="str">
        <f>IF($A139&gt;MIN($A$10,$A$2),"",IF($A139&lt;200,"n.a.",IF(COUNT(INDEX(StockDaily[Adjusted close],MAX(1,$A139-200+1)):E139)=200,AVERAGE(INDEX(StockDaily[Adjusted close],MAX(1,$A139-200+1)):E139),"n.a.")))</f>
        <v>n.a.</v>
      </c>
      <c r="H139" s="136" t="str">
        <f>IF($A139&gt;MIN($A$10,$A$2),"",IF($A$5="","Choose stock",IF(NOT($A$12),"Check split rule",IF(NOT(ISNUMBER(B139)),"Invalid date",IF(OR(B139&lt;=0,B139&lt;&gt;INT(B139)),"Invalid date",IF(COUNTIFS(DemoHistory[Date],B139)&lt;&gt;1,"Duplicate date",IF(AND($A139&gt;1,B139&lt;=B138),"Dates out of order",IF(NOT(ISNUMBER(C139)),"Missing price",IF(C139&lt;=0,"Nonpositive price","OK")))))))))</f>
        <v>OK</v>
      </c>
      <c r="I139" s="136"/>
      <c r="J139" s="136"/>
      <c r="K139" s="136"/>
      <c r="L139" s="136"/>
      <c r="M139" s="136"/>
      <c r="N139" s="136">
        <f t="shared" si="4"/>
        <v>568.84029999999996</v>
      </c>
      <c r="O139" s="136">
        <f t="shared" si="5"/>
        <v>539.62387000000024</v>
      </c>
    </row>
    <row r="140" spans="1:15" ht="22" customHeight="1" x14ac:dyDescent="0.35">
      <c r="A140" s="136">
        <v>96</v>
      </c>
      <c r="B140" s="165">
        <f>IF($A140&gt;MIN($A$10,$A$2),"",INDEX(DemoHistory[Date],$A140))</f>
        <v>46237</v>
      </c>
      <c r="C140" s="166">
        <f>IF(OR($A140&gt;MIN($A$10,$A$2),$A$5=""),"",INDEX(DemoHistory[],$A140,MATCH($A$5,DemoHistory[#Headers],0)))</f>
        <v>576.98940000000005</v>
      </c>
      <c r="D140" s="166">
        <f>IF($A140&gt;MIN($A$10,$A$2),"",IF(AND($A$12,$A$6=1,B140&lt;$A$7,$A$7&lt;=MAX(DemoHistory[Date])),$A$8,1))</f>
        <v>1</v>
      </c>
      <c r="E140" s="166">
        <f t="shared" si="3"/>
        <v>576.98940000000005</v>
      </c>
      <c r="F140" s="166">
        <f>IF($A140&gt;MIN($A$10,$A$2),"",IF($A140&lt;50,"n.a.",IF(COUNT(INDEX(StockDaily[Adjusted close],MAX(1,$A140-50+1)):E140)=50,AVERAGE(INDEX(StockDaily[Adjusted close],MAX(1,$A140-50+1)):E140),"n.a.")))</f>
        <v>541.0474720000002</v>
      </c>
      <c r="G140" s="166" t="str">
        <f>IF($A140&gt;MIN($A$10,$A$2),"",IF($A140&lt;200,"n.a.",IF(COUNT(INDEX(StockDaily[Adjusted close],MAX(1,$A140-200+1)):E140)=200,AVERAGE(INDEX(StockDaily[Adjusted close],MAX(1,$A140-200+1)):E140),"n.a.")))</f>
        <v>n.a.</v>
      </c>
      <c r="H140" s="136" t="str">
        <f>IF($A140&gt;MIN($A$10,$A$2),"",IF($A$5="","Choose stock",IF(NOT($A$12),"Check split rule",IF(NOT(ISNUMBER(B140)),"Invalid date",IF(OR(B140&lt;=0,B140&lt;&gt;INT(B140)),"Invalid date",IF(COUNTIFS(DemoHistory[Date],B140)&lt;&gt;1,"Duplicate date",IF(AND($A140&gt;1,B140&lt;=B139),"Dates out of order",IF(NOT(ISNUMBER(C140)),"Missing price",IF(C140&lt;=0,"Nonpositive price","OK")))))))))</f>
        <v>OK</v>
      </c>
      <c r="I140" s="136"/>
      <c r="J140" s="136"/>
      <c r="K140" s="136"/>
      <c r="L140" s="136"/>
      <c r="M140" s="136"/>
      <c r="N140" s="136">
        <f t="shared" si="4"/>
        <v>576.98940000000005</v>
      </c>
      <c r="O140" s="136">
        <f t="shared" si="5"/>
        <v>541.0474720000002</v>
      </c>
    </row>
    <row r="141" spans="1:15" ht="22" customHeight="1" x14ac:dyDescent="0.35">
      <c r="A141" s="136">
        <v>97</v>
      </c>
      <c r="B141" s="165">
        <f>IF($A141&gt;MIN($A$10,$A$2),"",INDEX(DemoHistory[Date],$A141))</f>
        <v>46238</v>
      </c>
      <c r="C141" s="166">
        <f>IF(OR($A141&gt;MIN($A$10,$A$2),$A$5=""),"",INDEX(DemoHistory[],$A141,MATCH($A$5,DemoHistory[#Headers],0)))</f>
        <v>583.66409999999996</v>
      </c>
      <c r="D141" s="166">
        <f>IF($A141&gt;MIN($A$10,$A$2),"",IF(AND($A$12,$A$6=1,B141&lt;$A$7,$A$7&lt;=MAX(DemoHistory[Date])),$A$8,1))</f>
        <v>1</v>
      </c>
      <c r="E141" s="166">
        <f t="shared" si="3"/>
        <v>583.66409999999996</v>
      </c>
      <c r="F141" s="166">
        <f>IF($A141&gt;MIN($A$10,$A$2),"",IF($A141&lt;50,"n.a.",IF(COUNT(INDEX(StockDaily[Adjusted close],MAX(1,$A141-50+1)):E141)=50,AVERAGE(INDEX(StockDaily[Adjusted close],MAX(1,$A141-50+1)):E141),"n.a.")))</f>
        <v>542.55784200000005</v>
      </c>
      <c r="G141" s="166" t="str">
        <f>IF($A141&gt;MIN($A$10,$A$2),"",IF($A141&lt;200,"n.a.",IF(COUNT(INDEX(StockDaily[Adjusted close],MAX(1,$A141-200+1)):E141)=200,AVERAGE(INDEX(StockDaily[Adjusted close],MAX(1,$A141-200+1)):E141),"n.a.")))</f>
        <v>n.a.</v>
      </c>
      <c r="H141" s="136" t="str">
        <f>IF($A141&gt;MIN($A$10,$A$2),"",IF($A$5="","Choose stock",IF(NOT($A$12),"Check split rule",IF(NOT(ISNUMBER(B141)),"Invalid date",IF(OR(B141&lt;=0,B141&lt;&gt;INT(B141)),"Invalid date",IF(COUNTIFS(DemoHistory[Date],B141)&lt;&gt;1,"Duplicate date",IF(AND($A141&gt;1,B141&lt;=B140),"Dates out of order",IF(NOT(ISNUMBER(C141)),"Missing price",IF(C141&lt;=0,"Nonpositive price","OK")))))))))</f>
        <v>OK</v>
      </c>
      <c r="I141" s="136"/>
      <c r="J141" s="136"/>
      <c r="K141" s="136"/>
      <c r="L141" s="136"/>
      <c r="M141" s="136"/>
      <c r="N141" s="136">
        <f t="shared" si="4"/>
        <v>583.66409999999996</v>
      </c>
      <c r="O141" s="136">
        <f t="shared" si="5"/>
        <v>542.55784200000005</v>
      </c>
    </row>
    <row r="142" spans="1:15" ht="22" customHeight="1" x14ac:dyDescent="0.35">
      <c r="A142" s="136">
        <v>98</v>
      </c>
      <c r="B142" s="165">
        <f>IF($A142&gt;MIN($A$10,$A$2),"",INDEX(DemoHistory[Date],$A142))</f>
        <v>46239</v>
      </c>
      <c r="C142" s="166">
        <f>IF(OR($A142&gt;MIN($A$10,$A$2),$A$5=""),"",INDEX(DemoHistory[],$A142,MATCH($A$5,DemoHistory[#Headers],0)))</f>
        <v>591.48059999999998</v>
      </c>
      <c r="D142" s="166">
        <f>IF($A142&gt;MIN($A$10,$A$2),"",IF(AND($A$12,$A$6=1,B142&lt;$A$7,$A$7&lt;=MAX(DemoHistory[Date])),$A$8,1))</f>
        <v>1</v>
      </c>
      <c r="E142" s="166">
        <f t="shared" si="3"/>
        <v>591.48059999999998</v>
      </c>
      <c r="F142" s="166">
        <f>IF($A142&gt;MIN($A$10,$A$2),"",IF($A142&lt;50,"n.a.",IF(COUNT(INDEX(StockDaily[Adjusted close],MAX(1,$A142-50+1)):E142)=50,AVERAGE(INDEX(StockDaily[Adjusted close],MAX(1,$A142-50+1)):E142),"n.a.")))</f>
        <v>544.13748599999997</v>
      </c>
      <c r="G142" s="166" t="str">
        <f>IF($A142&gt;MIN($A$10,$A$2),"",IF($A142&lt;200,"n.a.",IF(COUNT(INDEX(StockDaily[Adjusted close],MAX(1,$A142-200+1)):E142)=200,AVERAGE(INDEX(StockDaily[Adjusted close],MAX(1,$A142-200+1)):E142),"n.a.")))</f>
        <v>n.a.</v>
      </c>
      <c r="H142" s="136" t="str">
        <f>IF($A142&gt;MIN($A$10,$A$2),"",IF($A$5="","Choose stock",IF(NOT($A$12),"Check split rule",IF(NOT(ISNUMBER(B142)),"Invalid date",IF(OR(B142&lt;=0,B142&lt;&gt;INT(B142)),"Invalid date",IF(COUNTIFS(DemoHistory[Date],B142)&lt;&gt;1,"Duplicate date",IF(AND($A142&gt;1,B142&lt;=B141),"Dates out of order",IF(NOT(ISNUMBER(C142)),"Missing price",IF(C142&lt;=0,"Nonpositive price","OK")))))))))</f>
        <v>OK</v>
      </c>
      <c r="I142" s="136"/>
      <c r="J142" s="136"/>
      <c r="K142" s="136"/>
      <c r="L142" s="136"/>
      <c r="M142" s="136"/>
      <c r="N142" s="136">
        <f t="shared" si="4"/>
        <v>591.48059999999998</v>
      </c>
      <c r="O142" s="136">
        <f t="shared" si="5"/>
        <v>544.13748599999997</v>
      </c>
    </row>
    <row r="143" spans="1:15" ht="22" customHeight="1" x14ac:dyDescent="0.35">
      <c r="A143" s="136">
        <v>99</v>
      </c>
      <c r="B143" s="165">
        <f>IF($A143&gt;MIN($A$10,$A$2),"",INDEX(DemoHistory[Date],$A143))</f>
        <v>46240</v>
      </c>
      <c r="C143" s="166">
        <f>IF(OR($A143&gt;MIN($A$10,$A$2),$A$5=""),"",INDEX(DemoHistory[],$A143,MATCH($A$5,DemoHistory[#Headers],0)))</f>
        <v>584.34900000000005</v>
      </c>
      <c r="D143" s="166">
        <f>IF($A143&gt;MIN($A$10,$A$2),"",IF(AND($A$12,$A$6=1,B143&lt;$A$7,$A$7&lt;=MAX(DemoHistory[Date])),$A$8,1))</f>
        <v>1</v>
      </c>
      <c r="E143" s="166">
        <f t="shared" si="3"/>
        <v>584.34900000000005</v>
      </c>
      <c r="F143" s="166">
        <f>IF($A143&gt;MIN($A$10,$A$2),"",IF($A143&lt;50,"n.a.",IF(COUNT(INDEX(StockDaily[Adjusted close],MAX(1,$A143-50+1)):E143)=50,AVERAGE(INDEX(StockDaily[Adjusted close],MAX(1,$A143-50+1)):E143),"n.a.")))</f>
        <v>545.57364199999995</v>
      </c>
      <c r="G143" s="166" t="str">
        <f>IF($A143&gt;MIN($A$10,$A$2),"",IF($A143&lt;200,"n.a.",IF(COUNT(INDEX(StockDaily[Adjusted close],MAX(1,$A143-200+1)):E143)=200,AVERAGE(INDEX(StockDaily[Adjusted close],MAX(1,$A143-200+1)):E143),"n.a.")))</f>
        <v>n.a.</v>
      </c>
      <c r="H143" s="136" t="str">
        <f>IF($A143&gt;MIN($A$10,$A$2),"",IF($A$5="","Choose stock",IF(NOT($A$12),"Check split rule",IF(NOT(ISNUMBER(B143)),"Invalid date",IF(OR(B143&lt;=0,B143&lt;&gt;INT(B143)),"Invalid date",IF(COUNTIFS(DemoHistory[Date],B143)&lt;&gt;1,"Duplicate date",IF(AND($A143&gt;1,B143&lt;=B142),"Dates out of order",IF(NOT(ISNUMBER(C143)),"Missing price",IF(C143&lt;=0,"Nonpositive price","OK")))))))))</f>
        <v>OK</v>
      </c>
      <c r="I143" s="136"/>
      <c r="J143" s="136"/>
      <c r="K143" s="136"/>
      <c r="L143" s="136"/>
      <c r="M143" s="136"/>
      <c r="N143" s="136">
        <f t="shared" si="4"/>
        <v>584.34900000000005</v>
      </c>
      <c r="O143" s="136">
        <f t="shared" si="5"/>
        <v>545.57364199999995</v>
      </c>
    </row>
    <row r="144" spans="1:15" ht="22" customHeight="1" x14ac:dyDescent="0.35">
      <c r="A144" s="136">
        <v>100</v>
      </c>
      <c r="B144" s="165">
        <f>IF($A144&gt;MIN($A$10,$A$2),"",INDEX(DemoHistory[Date],$A144))</f>
        <v>46241</v>
      </c>
      <c r="C144" s="166">
        <f>IF(OR($A144&gt;MIN($A$10,$A$2),$A$5=""),"",INDEX(DemoHistory[],$A144,MATCH($A$5,DemoHistory[#Headers],0)))</f>
        <v>587.57929999999999</v>
      </c>
      <c r="D144" s="166">
        <f>IF($A144&gt;MIN($A$10,$A$2),"",IF(AND($A$12,$A$6=1,B144&lt;$A$7,$A$7&lt;=MAX(DemoHistory[Date])),$A$8,1))</f>
        <v>1</v>
      </c>
      <c r="E144" s="166">
        <f t="shared" si="3"/>
        <v>587.57929999999999</v>
      </c>
      <c r="F144" s="166">
        <f>IF($A144&gt;MIN($A$10,$A$2),"",IF($A144&lt;50,"n.a.",IF(COUNT(INDEX(StockDaily[Adjusted close],MAX(1,$A144-50+1)):E144)=50,AVERAGE(INDEX(StockDaily[Adjusted close],MAX(1,$A144-50+1)):E144),"n.a.")))</f>
        <v>547.04646000000014</v>
      </c>
      <c r="G144" s="166" t="str">
        <f>IF($A144&gt;MIN($A$10,$A$2),"",IF($A144&lt;200,"n.a.",IF(COUNT(INDEX(StockDaily[Adjusted close],MAX(1,$A144-200+1)):E144)=200,AVERAGE(INDEX(StockDaily[Adjusted close],MAX(1,$A144-200+1)):E144),"n.a.")))</f>
        <v>n.a.</v>
      </c>
      <c r="H144" s="136" t="str">
        <f>IF($A144&gt;MIN($A$10,$A$2),"",IF($A$5="","Choose stock",IF(NOT($A$12),"Check split rule",IF(NOT(ISNUMBER(B144)),"Invalid date",IF(OR(B144&lt;=0,B144&lt;&gt;INT(B144)),"Invalid date",IF(COUNTIFS(DemoHistory[Date],B144)&lt;&gt;1,"Duplicate date",IF(AND($A144&gt;1,B144&lt;=B143),"Dates out of order",IF(NOT(ISNUMBER(C144)),"Missing price",IF(C144&lt;=0,"Nonpositive price","OK")))))))))</f>
        <v>OK</v>
      </c>
      <c r="I144" s="136"/>
      <c r="J144" s="136"/>
      <c r="K144" s="136"/>
      <c r="L144" s="136"/>
      <c r="M144" s="136"/>
      <c r="N144" s="136">
        <f t="shared" si="4"/>
        <v>587.57929999999999</v>
      </c>
      <c r="O144" s="136">
        <f t="shared" si="5"/>
        <v>547.04646000000014</v>
      </c>
    </row>
    <row r="145" spans="1:15" ht="22" customHeight="1" x14ac:dyDescent="0.35">
      <c r="A145" s="136">
        <v>101</v>
      </c>
      <c r="B145" s="165">
        <f>IF($A145&gt;MIN($A$10,$A$2),"",INDEX(DemoHistory[Date],$A145))</f>
        <v>46244</v>
      </c>
      <c r="C145" s="166">
        <f>IF(OR($A145&gt;MIN($A$10,$A$2),$A$5=""),"",INDEX(DemoHistory[],$A145,MATCH($A$5,DemoHistory[#Headers],0)))</f>
        <v>580.63750000000005</v>
      </c>
      <c r="D145" s="166">
        <f>IF($A145&gt;MIN($A$10,$A$2),"",IF(AND($A$12,$A$6=1,B145&lt;$A$7,$A$7&lt;=MAX(DemoHistory[Date])),$A$8,1))</f>
        <v>1</v>
      </c>
      <c r="E145" s="166">
        <f t="shared" si="3"/>
        <v>580.63750000000005</v>
      </c>
      <c r="F145" s="166">
        <f>IF($A145&gt;MIN($A$10,$A$2),"",IF($A145&lt;50,"n.a.",IF(COUNT(INDEX(StockDaily[Adjusted close],MAX(1,$A145-50+1)):E145)=50,AVERAGE(INDEX(StockDaily[Adjusted close],MAX(1,$A145-50+1)):E145),"n.a.")))</f>
        <v>548.32059000000004</v>
      </c>
      <c r="G145" s="166" t="str">
        <f>IF($A145&gt;MIN($A$10,$A$2),"",IF($A145&lt;200,"n.a.",IF(COUNT(INDEX(StockDaily[Adjusted close],MAX(1,$A145-200+1)):E145)=200,AVERAGE(INDEX(StockDaily[Adjusted close],MAX(1,$A145-200+1)):E145),"n.a.")))</f>
        <v>n.a.</v>
      </c>
      <c r="H145" s="136" t="str">
        <f>IF($A145&gt;MIN($A$10,$A$2),"",IF($A$5="","Choose stock",IF(NOT($A$12),"Check split rule",IF(NOT(ISNUMBER(B145)),"Invalid date",IF(OR(B145&lt;=0,B145&lt;&gt;INT(B145)),"Invalid date",IF(COUNTIFS(DemoHistory[Date],B145)&lt;&gt;1,"Duplicate date",IF(AND($A145&gt;1,B145&lt;=B144),"Dates out of order",IF(NOT(ISNUMBER(C145)),"Missing price",IF(C145&lt;=0,"Nonpositive price","OK")))))))))</f>
        <v>OK</v>
      </c>
      <c r="I145" s="136"/>
      <c r="J145" s="136"/>
      <c r="K145" s="136"/>
      <c r="L145" s="136"/>
      <c r="M145" s="136"/>
      <c r="N145" s="136">
        <f t="shared" si="4"/>
        <v>580.63750000000005</v>
      </c>
      <c r="O145" s="136">
        <f t="shared" si="5"/>
        <v>548.32059000000004</v>
      </c>
    </row>
    <row r="146" spans="1:15" ht="22" customHeight="1" x14ac:dyDescent="0.35">
      <c r="A146" s="136">
        <v>102</v>
      </c>
      <c r="B146" s="165">
        <f>IF($A146&gt;MIN($A$10,$A$2),"",INDEX(DemoHistory[Date],$A146))</f>
        <v>46245</v>
      </c>
      <c r="C146" s="166">
        <f>IF(OR($A146&gt;MIN($A$10,$A$2),$A$5=""),"",INDEX(DemoHistory[],$A146,MATCH($A$5,DemoHistory[#Headers],0)))</f>
        <v>570.89800000000002</v>
      </c>
      <c r="D146" s="166">
        <f>IF($A146&gt;MIN($A$10,$A$2),"",IF(AND($A$12,$A$6=1,B146&lt;$A$7,$A$7&lt;=MAX(DemoHistory[Date])),$A$8,1))</f>
        <v>1</v>
      </c>
      <c r="E146" s="166">
        <f t="shared" si="3"/>
        <v>570.89800000000002</v>
      </c>
      <c r="F146" s="166">
        <f>IF($A146&gt;MIN($A$10,$A$2),"",IF($A146&lt;50,"n.a.",IF(COUNT(INDEX(StockDaily[Adjusted close],MAX(1,$A146-50+1)):E146)=50,AVERAGE(INDEX(StockDaily[Adjusted close],MAX(1,$A146-50+1)):E146),"n.a.")))</f>
        <v>549.34108000000003</v>
      </c>
      <c r="G146" s="166" t="str">
        <f>IF($A146&gt;MIN($A$10,$A$2),"",IF($A146&lt;200,"n.a.",IF(COUNT(INDEX(StockDaily[Adjusted close],MAX(1,$A146-200+1)):E146)=200,AVERAGE(INDEX(StockDaily[Adjusted close],MAX(1,$A146-200+1)):E146),"n.a.")))</f>
        <v>n.a.</v>
      </c>
      <c r="H146" s="136" t="str">
        <f>IF($A146&gt;MIN($A$10,$A$2),"",IF($A$5="","Choose stock",IF(NOT($A$12),"Check split rule",IF(NOT(ISNUMBER(B146)),"Invalid date",IF(OR(B146&lt;=0,B146&lt;&gt;INT(B146)),"Invalid date",IF(COUNTIFS(DemoHistory[Date],B146)&lt;&gt;1,"Duplicate date",IF(AND($A146&gt;1,B146&lt;=B145),"Dates out of order",IF(NOT(ISNUMBER(C146)),"Missing price",IF(C146&lt;=0,"Nonpositive price","OK")))))))))</f>
        <v>OK</v>
      </c>
      <c r="I146" s="136"/>
      <c r="J146" s="136"/>
      <c r="K146" s="136"/>
      <c r="L146" s="136"/>
      <c r="M146" s="136"/>
      <c r="N146" s="136">
        <f t="shared" si="4"/>
        <v>570.89800000000002</v>
      </c>
      <c r="O146" s="136">
        <f t="shared" si="5"/>
        <v>549.34108000000003</v>
      </c>
    </row>
    <row r="147" spans="1:15" ht="22" customHeight="1" x14ac:dyDescent="0.35">
      <c r="A147" s="136">
        <v>103</v>
      </c>
      <c r="B147" s="165">
        <f>IF($A147&gt;MIN($A$10,$A$2),"",INDEX(DemoHistory[Date],$A147))</f>
        <v>46246</v>
      </c>
      <c r="C147" s="166">
        <f>IF(OR($A147&gt;MIN($A$10,$A$2),$A$5=""),"",INDEX(DemoHistory[],$A147,MATCH($A$5,DemoHistory[#Headers],0)))</f>
        <v>572.25170000000003</v>
      </c>
      <c r="D147" s="166">
        <f>IF($A147&gt;MIN($A$10,$A$2),"",IF(AND($A$12,$A$6=1,B147&lt;$A$7,$A$7&lt;=MAX(DemoHistory[Date])),$A$8,1))</f>
        <v>1</v>
      </c>
      <c r="E147" s="166">
        <f t="shared" si="3"/>
        <v>572.25170000000003</v>
      </c>
      <c r="F147" s="166">
        <f>IF($A147&gt;MIN($A$10,$A$2),"",IF($A147&lt;50,"n.a.",IF(COUNT(INDEX(StockDaily[Adjusted close],MAX(1,$A147-50+1)):E147)=50,AVERAGE(INDEX(StockDaily[Adjusted close],MAX(1,$A147-50+1)):E147),"n.a.")))</f>
        <v>550.45086000000015</v>
      </c>
      <c r="G147" s="166" t="str">
        <f>IF($A147&gt;MIN($A$10,$A$2),"",IF($A147&lt;200,"n.a.",IF(COUNT(INDEX(StockDaily[Adjusted close],MAX(1,$A147-200+1)):E147)=200,AVERAGE(INDEX(StockDaily[Adjusted close],MAX(1,$A147-200+1)):E147),"n.a.")))</f>
        <v>n.a.</v>
      </c>
      <c r="H147" s="136" t="str">
        <f>IF($A147&gt;MIN($A$10,$A$2),"",IF($A$5="","Choose stock",IF(NOT($A$12),"Check split rule",IF(NOT(ISNUMBER(B147)),"Invalid date",IF(OR(B147&lt;=0,B147&lt;&gt;INT(B147)),"Invalid date",IF(COUNTIFS(DemoHistory[Date],B147)&lt;&gt;1,"Duplicate date",IF(AND($A147&gt;1,B147&lt;=B146),"Dates out of order",IF(NOT(ISNUMBER(C147)),"Missing price",IF(C147&lt;=0,"Nonpositive price","OK")))))))))</f>
        <v>OK</v>
      </c>
      <c r="I147" s="136"/>
      <c r="J147" s="136"/>
      <c r="K147" s="136"/>
      <c r="L147" s="136"/>
      <c r="M147" s="136"/>
      <c r="N147" s="136">
        <f t="shared" si="4"/>
        <v>572.25170000000003</v>
      </c>
      <c r="O147" s="136">
        <f t="shared" si="5"/>
        <v>550.45086000000015</v>
      </c>
    </row>
    <row r="148" spans="1:15" ht="22" customHeight="1" x14ac:dyDescent="0.35">
      <c r="A148" s="136">
        <v>104</v>
      </c>
      <c r="B148" s="165">
        <f>IF($A148&gt;MIN($A$10,$A$2),"",INDEX(DemoHistory[Date],$A148))</f>
        <v>46247</v>
      </c>
      <c r="C148" s="166">
        <f>IF(OR($A148&gt;MIN($A$10,$A$2),$A$5=""),"",INDEX(DemoHistory[],$A148,MATCH($A$5,DemoHistory[#Headers],0)))</f>
        <v>578.20389999999998</v>
      </c>
      <c r="D148" s="166">
        <f>IF($A148&gt;MIN($A$10,$A$2),"",IF(AND($A$12,$A$6=1,B148&lt;$A$7,$A$7&lt;=MAX(DemoHistory[Date])),$A$8,1))</f>
        <v>1</v>
      </c>
      <c r="E148" s="166">
        <f t="shared" si="3"/>
        <v>578.20389999999998</v>
      </c>
      <c r="F148" s="166">
        <f>IF($A148&gt;MIN($A$10,$A$2),"",IF($A148&lt;50,"n.a.",IF(COUNT(INDEX(StockDaily[Adjusted close],MAX(1,$A148-50+1)):E148)=50,AVERAGE(INDEX(StockDaily[Adjusted close],MAX(1,$A148-50+1)):E148),"n.a.")))</f>
        <v>551.82566000000008</v>
      </c>
      <c r="G148" s="166" t="str">
        <f>IF($A148&gt;MIN($A$10,$A$2),"",IF($A148&lt;200,"n.a.",IF(COUNT(INDEX(StockDaily[Adjusted close],MAX(1,$A148-200+1)):E148)=200,AVERAGE(INDEX(StockDaily[Adjusted close],MAX(1,$A148-200+1)):E148),"n.a.")))</f>
        <v>n.a.</v>
      </c>
      <c r="H148" s="136" t="str">
        <f>IF($A148&gt;MIN($A$10,$A$2),"",IF($A$5="","Choose stock",IF(NOT($A$12),"Check split rule",IF(NOT(ISNUMBER(B148)),"Invalid date",IF(OR(B148&lt;=0,B148&lt;&gt;INT(B148)),"Invalid date",IF(COUNTIFS(DemoHistory[Date],B148)&lt;&gt;1,"Duplicate date",IF(AND($A148&gt;1,B148&lt;=B147),"Dates out of order",IF(NOT(ISNUMBER(C148)),"Missing price",IF(C148&lt;=0,"Nonpositive price","OK")))))))))</f>
        <v>OK</v>
      </c>
      <c r="I148" s="136"/>
      <c r="J148" s="136"/>
      <c r="K148" s="136"/>
      <c r="L148" s="136"/>
      <c r="M148" s="136"/>
      <c r="N148" s="136">
        <f t="shared" si="4"/>
        <v>578.20389999999998</v>
      </c>
      <c r="O148" s="136">
        <f t="shared" si="5"/>
        <v>551.82566000000008</v>
      </c>
    </row>
    <row r="149" spans="1:15" ht="22" customHeight="1" x14ac:dyDescent="0.35">
      <c r="A149" s="136">
        <v>105</v>
      </c>
      <c r="B149" s="165">
        <f>IF($A149&gt;MIN($A$10,$A$2),"",INDEX(DemoHistory[Date],$A149))</f>
        <v>46248</v>
      </c>
      <c r="C149" s="166">
        <f>IF(OR($A149&gt;MIN($A$10,$A$2),$A$5=""),"",INDEX(DemoHistory[],$A149,MATCH($A$5,DemoHistory[#Headers],0)))</f>
        <v>573.64930000000004</v>
      </c>
      <c r="D149" s="166">
        <f>IF($A149&gt;MIN($A$10,$A$2),"",IF(AND($A$12,$A$6=1,B149&lt;$A$7,$A$7&lt;=MAX(DemoHistory[Date])),$A$8,1))</f>
        <v>1</v>
      </c>
      <c r="E149" s="166">
        <f t="shared" si="3"/>
        <v>573.64930000000004</v>
      </c>
      <c r="F149" s="166">
        <f>IF($A149&gt;MIN($A$10,$A$2),"",IF($A149&lt;50,"n.a.",IF(COUNT(INDEX(StockDaily[Adjusted close],MAX(1,$A149-50+1)):E149)=50,AVERAGE(INDEX(StockDaily[Adjusted close],MAX(1,$A149-50+1)):E149),"n.a.")))</f>
        <v>553.05185000000017</v>
      </c>
      <c r="G149" s="166" t="str">
        <f>IF($A149&gt;MIN($A$10,$A$2),"",IF($A149&lt;200,"n.a.",IF(COUNT(INDEX(StockDaily[Adjusted close],MAX(1,$A149-200+1)):E149)=200,AVERAGE(INDEX(StockDaily[Adjusted close],MAX(1,$A149-200+1)):E149),"n.a.")))</f>
        <v>n.a.</v>
      </c>
      <c r="H149" s="136" t="str">
        <f>IF($A149&gt;MIN($A$10,$A$2),"",IF($A$5="","Choose stock",IF(NOT($A$12),"Check split rule",IF(NOT(ISNUMBER(B149)),"Invalid date",IF(OR(B149&lt;=0,B149&lt;&gt;INT(B149)),"Invalid date",IF(COUNTIFS(DemoHistory[Date],B149)&lt;&gt;1,"Duplicate date",IF(AND($A149&gt;1,B149&lt;=B148),"Dates out of order",IF(NOT(ISNUMBER(C149)),"Missing price",IF(C149&lt;=0,"Nonpositive price","OK")))))))))</f>
        <v>OK</v>
      </c>
      <c r="I149" s="136"/>
      <c r="J149" s="136"/>
      <c r="K149" s="136"/>
      <c r="L149" s="136"/>
      <c r="M149" s="136"/>
      <c r="N149" s="136">
        <f t="shared" si="4"/>
        <v>573.64930000000004</v>
      </c>
      <c r="O149" s="136">
        <f t="shared" si="5"/>
        <v>553.05185000000017</v>
      </c>
    </row>
    <row r="150" spans="1:15" ht="22" customHeight="1" x14ac:dyDescent="0.35">
      <c r="A150" s="136">
        <v>106</v>
      </c>
      <c r="B150" s="165">
        <f>IF($A150&gt;MIN($A$10,$A$2),"",INDEX(DemoHistory[Date],$A150))</f>
        <v>46251</v>
      </c>
      <c r="C150" s="166">
        <f>IF(OR($A150&gt;MIN($A$10,$A$2),$A$5=""),"",INDEX(DemoHistory[],$A150,MATCH($A$5,DemoHistory[#Headers],0)))</f>
        <v>566.02739999999994</v>
      </c>
      <c r="D150" s="166">
        <f>IF($A150&gt;MIN($A$10,$A$2),"",IF(AND($A$12,$A$6=1,B150&lt;$A$7,$A$7&lt;=MAX(DemoHistory[Date])),$A$8,1))</f>
        <v>1</v>
      </c>
      <c r="E150" s="166">
        <f t="shared" si="3"/>
        <v>566.02739999999994</v>
      </c>
      <c r="F150" s="166">
        <f>IF($A150&gt;MIN($A$10,$A$2),"",IF($A150&lt;50,"n.a.",IF(COUNT(INDEX(StockDaily[Adjusted close],MAX(1,$A150-50+1)):E150)=50,AVERAGE(INDEX(StockDaily[Adjusted close],MAX(1,$A150-50+1)):E150),"n.a.")))</f>
        <v>553.99488200000019</v>
      </c>
      <c r="G150" s="166" t="str">
        <f>IF($A150&gt;MIN($A$10,$A$2),"",IF($A150&lt;200,"n.a.",IF(COUNT(INDEX(StockDaily[Adjusted close],MAX(1,$A150-200+1)):E150)=200,AVERAGE(INDEX(StockDaily[Adjusted close],MAX(1,$A150-200+1)):E150),"n.a.")))</f>
        <v>n.a.</v>
      </c>
      <c r="H150" s="136" t="str">
        <f>IF($A150&gt;MIN($A$10,$A$2),"",IF($A$5="","Choose stock",IF(NOT($A$12),"Check split rule",IF(NOT(ISNUMBER(B150)),"Invalid date",IF(OR(B150&lt;=0,B150&lt;&gt;INT(B150)),"Invalid date",IF(COUNTIFS(DemoHistory[Date],B150)&lt;&gt;1,"Duplicate date",IF(AND($A150&gt;1,B150&lt;=B149),"Dates out of order",IF(NOT(ISNUMBER(C150)),"Missing price",IF(C150&lt;=0,"Nonpositive price","OK")))))))))</f>
        <v>OK</v>
      </c>
      <c r="I150" s="136"/>
      <c r="J150" s="136"/>
      <c r="K150" s="136"/>
      <c r="L150" s="136"/>
      <c r="M150" s="136"/>
      <c r="N150" s="136">
        <f t="shared" si="4"/>
        <v>566.02739999999994</v>
      </c>
      <c r="O150" s="136">
        <f t="shared" si="5"/>
        <v>553.99488200000019</v>
      </c>
    </row>
    <row r="151" spans="1:15" ht="22" customHeight="1" x14ac:dyDescent="0.35">
      <c r="A151" s="136">
        <v>107</v>
      </c>
      <c r="B151" s="165">
        <f>IF($A151&gt;MIN($A$10,$A$2),"",INDEX(DemoHistory[Date],$A151))</f>
        <v>46252</v>
      </c>
      <c r="C151" s="166">
        <f>IF(OR($A151&gt;MIN($A$10,$A$2),$A$5=""),"",INDEX(DemoHistory[],$A151,MATCH($A$5,DemoHistory[#Headers],0)))</f>
        <v>565.4402</v>
      </c>
      <c r="D151" s="166">
        <f>IF($A151&gt;MIN($A$10,$A$2),"",IF(AND($A$12,$A$6=1,B151&lt;$A$7,$A$7&lt;=MAX(DemoHistory[Date])),$A$8,1))</f>
        <v>1</v>
      </c>
      <c r="E151" s="166">
        <f t="shared" si="3"/>
        <v>565.4402</v>
      </c>
      <c r="F151" s="166">
        <f>IF($A151&gt;MIN($A$10,$A$2),"",IF($A151&lt;50,"n.a.",IF(COUNT(INDEX(StockDaily[Adjusted close],MAX(1,$A151-50+1)):E151)=50,AVERAGE(INDEX(StockDaily[Adjusted close],MAX(1,$A151-50+1)):E151),"n.a.")))</f>
        <v>554.91506000000004</v>
      </c>
      <c r="G151" s="166" t="str">
        <f>IF($A151&gt;MIN($A$10,$A$2),"",IF($A151&lt;200,"n.a.",IF(COUNT(INDEX(StockDaily[Adjusted close],MAX(1,$A151-200+1)):E151)=200,AVERAGE(INDEX(StockDaily[Adjusted close],MAX(1,$A151-200+1)):E151),"n.a.")))</f>
        <v>n.a.</v>
      </c>
      <c r="H151" s="136" t="str">
        <f>IF($A151&gt;MIN($A$10,$A$2),"",IF($A$5="","Choose stock",IF(NOT($A$12),"Check split rule",IF(NOT(ISNUMBER(B151)),"Invalid date",IF(OR(B151&lt;=0,B151&lt;&gt;INT(B151)),"Invalid date",IF(COUNTIFS(DemoHistory[Date],B151)&lt;&gt;1,"Duplicate date",IF(AND($A151&gt;1,B151&lt;=B150),"Dates out of order",IF(NOT(ISNUMBER(C151)),"Missing price",IF(C151&lt;=0,"Nonpositive price","OK")))))))))</f>
        <v>OK</v>
      </c>
      <c r="I151" s="136"/>
      <c r="J151" s="136"/>
      <c r="K151" s="136"/>
      <c r="L151" s="136"/>
      <c r="M151" s="136"/>
      <c r="N151" s="136">
        <f t="shared" si="4"/>
        <v>565.4402</v>
      </c>
      <c r="O151" s="136">
        <f t="shared" si="5"/>
        <v>554.91506000000004</v>
      </c>
    </row>
    <row r="152" spans="1:15" ht="22" customHeight="1" x14ac:dyDescent="0.35">
      <c r="A152" s="136">
        <v>108</v>
      </c>
      <c r="B152" s="165">
        <f>IF($A152&gt;MIN($A$10,$A$2),"",INDEX(DemoHistory[Date],$A152))</f>
        <v>46253</v>
      </c>
      <c r="C152" s="166">
        <f>IF(OR($A152&gt;MIN($A$10,$A$2),$A$5=""),"",INDEX(DemoHistory[],$A152,MATCH($A$5,DemoHistory[#Headers],0)))</f>
        <v>560.97879999999998</v>
      </c>
      <c r="D152" s="166">
        <f>IF($A152&gt;MIN($A$10,$A$2),"",IF(AND($A$12,$A$6=1,B152&lt;$A$7,$A$7&lt;=MAX(DemoHistory[Date])),$A$8,1))</f>
        <v>1</v>
      </c>
      <c r="E152" s="166">
        <f t="shared" si="3"/>
        <v>560.97879999999998</v>
      </c>
      <c r="F152" s="166">
        <f>IF($A152&gt;MIN($A$10,$A$2),"",IF($A152&lt;50,"n.a.",IF(COUNT(INDEX(StockDaily[Adjusted close],MAX(1,$A152-50+1)):E152)=50,AVERAGE(INDEX(StockDaily[Adjusted close],MAX(1,$A152-50+1)):E152),"n.a.")))</f>
        <v>555.83122200000003</v>
      </c>
      <c r="G152" s="166" t="str">
        <f>IF($A152&gt;MIN($A$10,$A$2),"",IF($A152&lt;200,"n.a.",IF(COUNT(INDEX(StockDaily[Adjusted close],MAX(1,$A152-200+1)):E152)=200,AVERAGE(INDEX(StockDaily[Adjusted close],MAX(1,$A152-200+1)):E152),"n.a.")))</f>
        <v>n.a.</v>
      </c>
      <c r="H152" s="136" t="str">
        <f>IF($A152&gt;MIN($A$10,$A$2),"",IF($A$5="","Choose stock",IF(NOT($A$12),"Check split rule",IF(NOT(ISNUMBER(B152)),"Invalid date",IF(OR(B152&lt;=0,B152&lt;&gt;INT(B152)),"Invalid date",IF(COUNTIFS(DemoHistory[Date],B152)&lt;&gt;1,"Duplicate date",IF(AND($A152&gt;1,B152&lt;=B151),"Dates out of order",IF(NOT(ISNUMBER(C152)),"Missing price",IF(C152&lt;=0,"Nonpositive price","OK")))))))))</f>
        <v>OK</v>
      </c>
      <c r="I152" s="136"/>
      <c r="J152" s="136"/>
      <c r="K152" s="136"/>
      <c r="L152" s="136"/>
      <c r="M152" s="136"/>
      <c r="N152" s="136">
        <f t="shared" si="4"/>
        <v>560.97879999999998</v>
      </c>
      <c r="O152" s="136">
        <f t="shared" si="5"/>
        <v>555.83122200000003</v>
      </c>
    </row>
    <row r="153" spans="1:15" ht="22" customHeight="1" x14ac:dyDescent="0.35">
      <c r="A153" s="136">
        <v>109</v>
      </c>
      <c r="B153" s="165">
        <f>IF($A153&gt;MIN($A$10,$A$2),"",INDEX(DemoHistory[Date],$A153))</f>
        <v>46254</v>
      </c>
      <c r="C153" s="166">
        <f>IF(OR($A153&gt;MIN($A$10,$A$2),$A$5=""),"",INDEX(DemoHistory[],$A153,MATCH($A$5,DemoHistory[#Headers],0)))</f>
        <v>562.10469999999998</v>
      </c>
      <c r="D153" s="166">
        <f>IF($A153&gt;MIN($A$10,$A$2),"",IF(AND($A$12,$A$6=1,B153&lt;$A$7,$A$7&lt;=MAX(DemoHistory[Date])),$A$8,1))</f>
        <v>1</v>
      </c>
      <c r="E153" s="166">
        <f t="shared" si="3"/>
        <v>562.10469999999998</v>
      </c>
      <c r="F153" s="166">
        <f>IF($A153&gt;MIN($A$10,$A$2),"",IF($A153&lt;50,"n.a.",IF(COUNT(INDEX(StockDaily[Adjusted close],MAX(1,$A153-50+1)):E153)=50,AVERAGE(INDEX(StockDaily[Adjusted close],MAX(1,$A153-50+1)):E153),"n.a.")))</f>
        <v>556.85306400000013</v>
      </c>
      <c r="G153" s="166" t="str">
        <f>IF($A153&gt;MIN($A$10,$A$2),"",IF($A153&lt;200,"n.a.",IF(COUNT(INDEX(StockDaily[Adjusted close],MAX(1,$A153-200+1)):E153)=200,AVERAGE(INDEX(StockDaily[Adjusted close],MAX(1,$A153-200+1)):E153),"n.a.")))</f>
        <v>n.a.</v>
      </c>
      <c r="H153" s="136" t="str">
        <f>IF($A153&gt;MIN($A$10,$A$2),"",IF($A$5="","Choose stock",IF(NOT($A$12),"Check split rule",IF(NOT(ISNUMBER(B153)),"Invalid date",IF(OR(B153&lt;=0,B153&lt;&gt;INT(B153)),"Invalid date",IF(COUNTIFS(DemoHistory[Date],B153)&lt;&gt;1,"Duplicate date",IF(AND($A153&gt;1,B153&lt;=B152),"Dates out of order",IF(NOT(ISNUMBER(C153)),"Missing price",IF(C153&lt;=0,"Nonpositive price","OK")))))))))</f>
        <v>OK</v>
      </c>
      <c r="I153" s="136"/>
      <c r="J153" s="136"/>
      <c r="K153" s="136"/>
      <c r="L153" s="136"/>
      <c r="M153" s="136"/>
      <c r="N153" s="136">
        <f t="shared" si="4"/>
        <v>562.10469999999998</v>
      </c>
      <c r="O153" s="136">
        <f t="shared" si="5"/>
        <v>556.85306400000013</v>
      </c>
    </row>
    <row r="154" spans="1:15" ht="22" customHeight="1" x14ac:dyDescent="0.35">
      <c r="A154" s="136">
        <v>110</v>
      </c>
      <c r="B154" s="165">
        <f>IF($A154&gt;MIN($A$10,$A$2),"",INDEX(DemoHistory[Date],$A154))</f>
        <v>46255</v>
      </c>
      <c r="C154" s="166">
        <f>IF(OR($A154&gt;MIN($A$10,$A$2),$A$5=""),"",INDEX(DemoHistory[],$A154,MATCH($A$5,DemoHistory[#Headers],0)))</f>
        <v>557.9701</v>
      </c>
      <c r="D154" s="166">
        <f>IF($A154&gt;MIN($A$10,$A$2),"",IF(AND($A$12,$A$6=1,B154&lt;$A$7,$A$7&lt;=MAX(DemoHistory[Date])),$A$8,1))</f>
        <v>1</v>
      </c>
      <c r="E154" s="166">
        <f t="shared" si="3"/>
        <v>557.9701</v>
      </c>
      <c r="F154" s="166">
        <f>IF($A154&gt;MIN($A$10,$A$2),"",IF($A154&lt;50,"n.a.",IF(COUNT(INDEX(StockDaily[Adjusted close],MAX(1,$A154-50+1)):E154)=50,AVERAGE(INDEX(StockDaily[Adjusted close],MAX(1,$A154-50+1)):E154),"n.a.")))</f>
        <v>557.72934399999997</v>
      </c>
      <c r="G154" s="166" t="str">
        <f>IF($A154&gt;MIN($A$10,$A$2),"",IF($A154&lt;200,"n.a.",IF(COUNT(INDEX(StockDaily[Adjusted close],MAX(1,$A154-200+1)):E154)=200,AVERAGE(INDEX(StockDaily[Adjusted close],MAX(1,$A154-200+1)):E154),"n.a.")))</f>
        <v>n.a.</v>
      </c>
      <c r="H154" s="136" t="str">
        <f>IF($A154&gt;MIN($A$10,$A$2),"",IF($A$5="","Choose stock",IF(NOT($A$12),"Check split rule",IF(NOT(ISNUMBER(B154)),"Invalid date",IF(OR(B154&lt;=0,B154&lt;&gt;INT(B154)),"Invalid date",IF(COUNTIFS(DemoHistory[Date],B154)&lt;&gt;1,"Duplicate date",IF(AND($A154&gt;1,B154&lt;=B153),"Dates out of order",IF(NOT(ISNUMBER(C154)),"Missing price",IF(C154&lt;=0,"Nonpositive price","OK")))))))))</f>
        <v>OK</v>
      </c>
      <c r="I154" s="136"/>
      <c r="J154" s="136"/>
      <c r="K154" s="136"/>
      <c r="L154" s="136"/>
      <c r="M154" s="136"/>
      <c r="N154" s="136">
        <f t="shared" si="4"/>
        <v>557.9701</v>
      </c>
      <c r="O154" s="136">
        <f t="shared" si="5"/>
        <v>557.72934399999997</v>
      </c>
    </row>
    <row r="155" spans="1:15" ht="22" customHeight="1" x14ac:dyDescent="0.35">
      <c r="A155" s="136">
        <v>111</v>
      </c>
      <c r="B155" s="165">
        <f>IF($A155&gt;MIN($A$10,$A$2),"",INDEX(DemoHistory[Date],$A155))</f>
        <v>46258</v>
      </c>
      <c r="C155" s="166">
        <f>IF(OR($A155&gt;MIN($A$10,$A$2),$A$5=""),"",INDEX(DemoHistory[],$A155,MATCH($A$5,DemoHistory[#Headers],0)))</f>
        <v>564.97140000000002</v>
      </c>
      <c r="D155" s="166">
        <f>IF($A155&gt;MIN($A$10,$A$2),"",IF(AND($A$12,$A$6=1,B155&lt;$A$7,$A$7&lt;=MAX(DemoHistory[Date])),$A$8,1))</f>
        <v>1</v>
      </c>
      <c r="E155" s="166">
        <f t="shared" si="3"/>
        <v>564.97140000000002</v>
      </c>
      <c r="F155" s="166">
        <f>IF($A155&gt;MIN($A$10,$A$2),"",IF($A155&lt;50,"n.a.",IF(COUNT(INDEX(StockDaily[Adjusted close],MAX(1,$A155-50+1)):E155)=50,AVERAGE(INDEX(StockDaily[Adjusted close],MAX(1,$A155-50+1)):E155),"n.a.")))</f>
        <v>558.76739200000009</v>
      </c>
      <c r="G155" s="166" t="str">
        <f>IF($A155&gt;MIN($A$10,$A$2),"",IF($A155&lt;200,"n.a.",IF(COUNT(INDEX(StockDaily[Adjusted close],MAX(1,$A155-200+1)):E155)=200,AVERAGE(INDEX(StockDaily[Adjusted close],MAX(1,$A155-200+1)):E155),"n.a.")))</f>
        <v>n.a.</v>
      </c>
      <c r="H155" s="136" t="str">
        <f>IF($A155&gt;MIN($A$10,$A$2),"",IF($A$5="","Choose stock",IF(NOT($A$12),"Check split rule",IF(NOT(ISNUMBER(B155)),"Invalid date",IF(OR(B155&lt;=0,B155&lt;&gt;INT(B155)),"Invalid date",IF(COUNTIFS(DemoHistory[Date],B155)&lt;&gt;1,"Duplicate date",IF(AND($A155&gt;1,B155&lt;=B154),"Dates out of order",IF(NOT(ISNUMBER(C155)),"Missing price",IF(C155&lt;=0,"Nonpositive price","OK")))))))))</f>
        <v>OK</v>
      </c>
      <c r="I155" s="136"/>
      <c r="J155" s="136"/>
      <c r="K155" s="136"/>
      <c r="L155" s="136"/>
      <c r="M155" s="136"/>
      <c r="N155" s="136">
        <f t="shared" si="4"/>
        <v>564.97140000000002</v>
      </c>
      <c r="O155" s="136">
        <f t="shared" si="5"/>
        <v>558.76739200000009</v>
      </c>
    </row>
    <row r="156" spans="1:15" ht="22" customHeight="1" x14ac:dyDescent="0.35">
      <c r="A156" s="136">
        <v>112</v>
      </c>
      <c r="B156" s="165">
        <f>IF($A156&gt;MIN($A$10,$A$2),"",INDEX(DemoHistory[Date],$A156))</f>
        <v>46259</v>
      </c>
      <c r="C156" s="166">
        <f>IF(OR($A156&gt;MIN($A$10,$A$2),$A$5=""),"",INDEX(DemoHistory[],$A156,MATCH($A$5,DemoHistory[#Headers],0)))</f>
        <v>562.61059999999998</v>
      </c>
      <c r="D156" s="166">
        <f>IF($A156&gt;MIN($A$10,$A$2),"",IF(AND($A$12,$A$6=1,B156&lt;$A$7,$A$7&lt;=MAX(DemoHistory[Date])),$A$8,1))</f>
        <v>1</v>
      </c>
      <c r="E156" s="166">
        <f t="shared" si="3"/>
        <v>562.61059999999998</v>
      </c>
      <c r="F156" s="166">
        <f>IF($A156&gt;MIN($A$10,$A$2),"",IF($A156&lt;50,"n.a.",IF(COUNT(INDEX(StockDaily[Adjusted close],MAX(1,$A156-50+1)):E156)=50,AVERAGE(INDEX(StockDaily[Adjusted close],MAX(1,$A156-50+1)):E156),"n.a.")))</f>
        <v>559.74419</v>
      </c>
      <c r="G156" s="166" t="str">
        <f>IF($A156&gt;MIN($A$10,$A$2),"",IF($A156&lt;200,"n.a.",IF(COUNT(INDEX(StockDaily[Adjusted close],MAX(1,$A156-200+1)):E156)=200,AVERAGE(INDEX(StockDaily[Adjusted close],MAX(1,$A156-200+1)):E156),"n.a.")))</f>
        <v>n.a.</v>
      </c>
      <c r="H156" s="136" t="str">
        <f>IF($A156&gt;MIN($A$10,$A$2),"",IF($A$5="","Choose stock",IF(NOT($A$12),"Check split rule",IF(NOT(ISNUMBER(B156)),"Invalid date",IF(OR(B156&lt;=0,B156&lt;&gt;INT(B156)),"Invalid date",IF(COUNTIFS(DemoHistory[Date],B156)&lt;&gt;1,"Duplicate date",IF(AND($A156&gt;1,B156&lt;=B155),"Dates out of order",IF(NOT(ISNUMBER(C156)),"Missing price",IF(C156&lt;=0,"Nonpositive price","OK")))))))))</f>
        <v>OK</v>
      </c>
      <c r="I156" s="136"/>
      <c r="J156" s="136"/>
      <c r="K156" s="136"/>
      <c r="L156" s="136"/>
      <c r="M156" s="136"/>
      <c r="N156" s="136">
        <f t="shared" si="4"/>
        <v>562.61059999999998</v>
      </c>
      <c r="O156" s="136">
        <f t="shared" si="5"/>
        <v>559.74419</v>
      </c>
    </row>
    <row r="157" spans="1:15" ht="22" customHeight="1" x14ac:dyDescent="0.35">
      <c r="A157" s="136">
        <v>113</v>
      </c>
      <c r="B157" s="165">
        <f>IF($A157&gt;MIN($A$10,$A$2),"",INDEX(DemoHistory[Date],$A157))</f>
        <v>46260</v>
      </c>
      <c r="C157" s="166">
        <f>IF(OR($A157&gt;MIN($A$10,$A$2),$A$5=""),"",INDEX(DemoHistory[],$A157,MATCH($A$5,DemoHistory[#Headers],0)))</f>
        <v>557.77480000000003</v>
      </c>
      <c r="D157" s="166">
        <f>IF($A157&gt;MIN($A$10,$A$2),"",IF(AND($A$12,$A$6=1,B157&lt;$A$7,$A$7&lt;=MAX(DemoHistory[Date])),$A$8,1))</f>
        <v>1</v>
      </c>
      <c r="E157" s="166">
        <f t="shared" si="3"/>
        <v>557.77480000000003</v>
      </c>
      <c r="F157" s="166">
        <f>IF($A157&gt;MIN($A$10,$A$2),"",IF($A157&lt;50,"n.a.",IF(COUNT(INDEX(StockDaily[Adjusted close],MAX(1,$A157-50+1)):E157)=50,AVERAGE(INDEX(StockDaily[Adjusted close],MAX(1,$A157-50+1)):E157),"n.a.")))</f>
        <v>560.51103999999998</v>
      </c>
      <c r="G157" s="166" t="str">
        <f>IF($A157&gt;MIN($A$10,$A$2),"",IF($A157&lt;200,"n.a.",IF(COUNT(INDEX(StockDaily[Adjusted close],MAX(1,$A157-200+1)):E157)=200,AVERAGE(INDEX(StockDaily[Adjusted close],MAX(1,$A157-200+1)):E157),"n.a.")))</f>
        <v>n.a.</v>
      </c>
      <c r="H157" s="136" t="str">
        <f>IF($A157&gt;MIN($A$10,$A$2),"",IF($A$5="","Choose stock",IF(NOT($A$12),"Check split rule",IF(NOT(ISNUMBER(B157)),"Invalid date",IF(OR(B157&lt;=0,B157&lt;&gt;INT(B157)),"Invalid date",IF(COUNTIFS(DemoHistory[Date],B157)&lt;&gt;1,"Duplicate date",IF(AND($A157&gt;1,B157&lt;=B156),"Dates out of order",IF(NOT(ISNUMBER(C157)),"Missing price",IF(C157&lt;=0,"Nonpositive price","OK")))))))))</f>
        <v>OK</v>
      </c>
      <c r="I157" s="136"/>
      <c r="J157" s="136"/>
      <c r="K157" s="136"/>
      <c r="L157" s="136"/>
      <c r="M157" s="136"/>
      <c r="N157" s="136">
        <f t="shared" si="4"/>
        <v>557.77480000000003</v>
      </c>
      <c r="O157" s="136">
        <f t="shared" si="5"/>
        <v>560.51103999999998</v>
      </c>
    </row>
    <row r="158" spans="1:15" ht="22" customHeight="1" x14ac:dyDescent="0.35">
      <c r="A158" s="136">
        <v>114</v>
      </c>
      <c r="B158" s="165">
        <f>IF($A158&gt;MIN($A$10,$A$2),"",INDEX(DemoHistory[Date],$A158))</f>
        <v>46261</v>
      </c>
      <c r="C158" s="166">
        <f>IF(OR($A158&gt;MIN($A$10,$A$2),$A$5=""),"",INDEX(DemoHistory[],$A158,MATCH($A$5,DemoHistory[#Headers],0)))</f>
        <v>547.86419999999998</v>
      </c>
      <c r="D158" s="166">
        <f>IF($A158&gt;MIN($A$10,$A$2),"",IF(AND($A$12,$A$6=1,B158&lt;$A$7,$A$7&lt;=MAX(DemoHistory[Date])),$A$8,1))</f>
        <v>1</v>
      </c>
      <c r="E158" s="166">
        <f t="shared" si="3"/>
        <v>547.86419999999998</v>
      </c>
      <c r="F158" s="166">
        <f>IF($A158&gt;MIN($A$10,$A$2),"",IF($A158&lt;50,"n.a.",IF(COUNT(INDEX(StockDaily[Adjusted close],MAX(1,$A158-50+1)):E158)=50,AVERAGE(INDEX(StockDaily[Adjusted close],MAX(1,$A158-50+1)):E158),"n.a.")))</f>
        <v>561.13124400000004</v>
      </c>
      <c r="G158" s="166" t="str">
        <f>IF($A158&gt;MIN($A$10,$A$2),"",IF($A158&lt;200,"n.a.",IF(COUNT(INDEX(StockDaily[Adjusted close],MAX(1,$A158-200+1)):E158)=200,AVERAGE(INDEX(StockDaily[Adjusted close],MAX(1,$A158-200+1)):E158),"n.a.")))</f>
        <v>n.a.</v>
      </c>
      <c r="H158" s="136" t="str">
        <f>IF($A158&gt;MIN($A$10,$A$2),"",IF($A$5="","Choose stock",IF(NOT($A$12),"Check split rule",IF(NOT(ISNUMBER(B158)),"Invalid date",IF(OR(B158&lt;=0,B158&lt;&gt;INT(B158)),"Invalid date",IF(COUNTIFS(DemoHistory[Date],B158)&lt;&gt;1,"Duplicate date",IF(AND($A158&gt;1,B158&lt;=B157),"Dates out of order",IF(NOT(ISNUMBER(C158)),"Missing price",IF(C158&lt;=0,"Nonpositive price","OK")))))))))</f>
        <v>OK</v>
      </c>
      <c r="I158" s="136"/>
      <c r="J158" s="136"/>
      <c r="K158" s="136"/>
      <c r="L158" s="136"/>
      <c r="M158" s="136"/>
      <c r="N158" s="136">
        <f t="shared" si="4"/>
        <v>547.86419999999998</v>
      </c>
      <c r="O158" s="136">
        <f t="shared" si="5"/>
        <v>561.13124400000004</v>
      </c>
    </row>
    <row r="159" spans="1:15" ht="22" customHeight="1" x14ac:dyDescent="0.35">
      <c r="A159" s="136">
        <v>115</v>
      </c>
      <c r="B159" s="165">
        <f>IF($A159&gt;MIN($A$10,$A$2),"",INDEX(DemoHistory[Date],$A159))</f>
        <v>46262</v>
      </c>
      <c r="C159" s="166">
        <f>IF(OR($A159&gt;MIN($A$10,$A$2),$A$5=""),"",INDEX(DemoHistory[],$A159,MATCH($A$5,DemoHistory[#Headers],0)))</f>
        <v>552.94259999999997</v>
      </c>
      <c r="D159" s="166">
        <f>IF($A159&gt;MIN($A$10,$A$2),"",IF(AND($A$12,$A$6=1,B159&lt;$A$7,$A$7&lt;=MAX(DemoHistory[Date])),$A$8,1))</f>
        <v>1</v>
      </c>
      <c r="E159" s="166">
        <f t="shared" si="3"/>
        <v>552.94259999999997</v>
      </c>
      <c r="F159" s="166">
        <f>IF($A159&gt;MIN($A$10,$A$2),"",IF($A159&lt;50,"n.a.",IF(COUNT(INDEX(StockDaily[Adjusted close],MAX(1,$A159-50+1)):E159)=50,AVERAGE(INDEX(StockDaily[Adjusted close],MAX(1,$A159-50+1)):E159),"n.a.")))</f>
        <v>561.75804799999992</v>
      </c>
      <c r="G159" s="166" t="str">
        <f>IF($A159&gt;MIN($A$10,$A$2),"",IF($A159&lt;200,"n.a.",IF(COUNT(INDEX(StockDaily[Adjusted close],MAX(1,$A159-200+1)):E159)=200,AVERAGE(INDEX(StockDaily[Adjusted close],MAX(1,$A159-200+1)):E159),"n.a.")))</f>
        <v>n.a.</v>
      </c>
      <c r="H159" s="136" t="str">
        <f>IF($A159&gt;MIN($A$10,$A$2),"",IF($A$5="","Choose stock",IF(NOT($A$12),"Check split rule",IF(NOT(ISNUMBER(B159)),"Invalid date",IF(OR(B159&lt;=0,B159&lt;&gt;INT(B159)),"Invalid date",IF(COUNTIFS(DemoHistory[Date],B159)&lt;&gt;1,"Duplicate date",IF(AND($A159&gt;1,B159&lt;=B158),"Dates out of order",IF(NOT(ISNUMBER(C159)),"Missing price",IF(C159&lt;=0,"Nonpositive price","OK")))))))))</f>
        <v>OK</v>
      </c>
      <c r="I159" s="136"/>
      <c r="J159" s="136"/>
      <c r="K159" s="136"/>
      <c r="L159" s="136"/>
      <c r="M159" s="136"/>
      <c r="N159" s="136">
        <f t="shared" si="4"/>
        <v>552.94259999999997</v>
      </c>
      <c r="O159" s="136">
        <f t="shared" si="5"/>
        <v>561.75804799999992</v>
      </c>
    </row>
    <row r="160" spans="1:15" ht="22" customHeight="1" x14ac:dyDescent="0.35">
      <c r="A160" s="136">
        <v>116</v>
      </c>
      <c r="B160" s="165">
        <f>IF($A160&gt;MIN($A$10,$A$2),"",INDEX(DemoHistory[Date],$A160))</f>
        <v>46265</v>
      </c>
      <c r="C160" s="166">
        <f>IF(OR($A160&gt;MIN($A$10,$A$2),$A$5=""),"",INDEX(DemoHistory[],$A160,MATCH($A$5,DemoHistory[#Headers],0)))</f>
        <v>555.58169999999996</v>
      </c>
      <c r="D160" s="166">
        <f>IF($A160&gt;MIN($A$10,$A$2),"",IF(AND($A$12,$A$6=1,B160&lt;$A$7,$A$7&lt;=MAX(DemoHistory[Date])),$A$8,1))</f>
        <v>1</v>
      </c>
      <c r="E160" s="166">
        <f t="shared" si="3"/>
        <v>555.58169999999996</v>
      </c>
      <c r="F160" s="166">
        <f>IF($A160&gt;MIN($A$10,$A$2),"",IF($A160&lt;50,"n.a.",IF(COUNT(INDEX(StockDaily[Adjusted close],MAX(1,$A160-50+1)):E160)=50,AVERAGE(INDEX(StockDaily[Adjusted close],MAX(1,$A160-50+1)):E160),"n.a.")))</f>
        <v>562.22770199999979</v>
      </c>
      <c r="G160" s="166" t="str">
        <f>IF($A160&gt;MIN($A$10,$A$2),"",IF($A160&lt;200,"n.a.",IF(COUNT(INDEX(StockDaily[Adjusted close],MAX(1,$A160-200+1)):E160)=200,AVERAGE(INDEX(StockDaily[Adjusted close],MAX(1,$A160-200+1)):E160),"n.a.")))</f>
        <v>n.a.</v>
      </c>
      <c r="H160" s="136" t="str">
        <f>IF($A160&gt;MIN($A$10,$A$2),"",IF($A$5="","Choose stock",IF(NOT($A$12),"Check split rule",IF(NOT(ISNUMBER(B160)),"Invalid date",IF(OR(B160&lt;=0,B160&lt;&gt;INT(B160)),"Invalid date",IF(COUNTIFS(DemoHistory[Date],B160)&lt;&gt;1,"Duplicate date",IF(AND($A160&gt;1,B160&lt;=B159),"Dates out of order",IF(NOT(ISNUMBER(C160)),"Missing price",IF(C160&lt;=0,"Nonpositive price","OK")))))))))</f>
        <v>OK</v>
      </c>
      <c r="I160" s="136"/>
      <c r="J160" s="136"/>
      <c r="K160" s="136"/>
      <c r="L160" s="136"/>
      <c r="M160" s="136"/>
      <c r="N160" s="136">
        <f t="shared" si="4"/>
        <v>555.58169999999996</v>
      </c>
      <c r="O160" s="136">
        <f t="shared" si="5"/>
        <v>562.22770199999979</v>
      </c>
    </row>
    <row r="161" spans="1:15" ht="22" customHeight="1" x14ac:dyDescent="0.35">
      <c r="A161" s="136">
        <v>117</v>
      </c>
      <c r="B161" s="165">
        <f>IF($A161&gt;MIN($A$10,$A$2),"",INDEX(DemoHistory[Date],$A161))</f>
        <v>46266</v>
      </c>
      <c r="C161" s="166">
        <f>IF(OR($A161&gt;MIN($A$10,$A$2),$A$5=""),"",INDEX(DemoHistory[],$A161,MATCH($A$5,DemoHistory[#Headers],0)))</f>
        <v>565.8605</v>
      </c>
      <c r="D161" s="166">
        <f>IF($A161&gt;MIN($A$10,$A$2),"",IF(AND($A$12,$A$6=1,B161&lt;$A$7,$A$7&lt;=MAX(DemoHistory[Date])),$A$8,1))</f>
        <v>1</v>
      </c>
      <c r="E161" s="166">
        <f t="shared" si="3"/>
        <v>565.8605</v>
      </c>
      <c r="F161" s="166">
        <f>IF($A161&gt;MIN($A$10,$A$2),"",IF($A161&lt;50,"n.a.",IF(COUNT(INDEX(StockDaily[Adjusted close],MAX(1,$A161-50+1)):E161)=50,AVERAGE(INDEX(StockDaily[Adjusted close],MAX(1,$A161-50+1)):E161),"n.a.")))</f>
        <v>562.80947199999991</v>
      </c>
      <c r="G161" s="166" t="str">
        <f>IF($A161&gt;MIN($A$10,$A$2),"",IF($A161&lt;200,"n.a.",IF(COUNT(INDEX(StockDaily[Adjusted close],MAX(1,$A161-200+1)):E161)=200,AVERAGE(INDEX(StockDaily[Adjusted close],MAX(1,$A161-200+1)):E161),"n.a.")))</f>
        <v>n.a.</v>
      </c>
      <c r="H161" s="136" t="str">
        <f>IF($A161&gt;MIN($A$10,$A$2),"",IF($A$5="","Choose stock",IF(NOT($A$12),"Check split rule",IF(NOT(ISNUMBER(B161)),"Invalid date",IF(OR(B161&lt;=0,B161&lt;&gt;INT(B161)),"Invalid date",IF(COUNTIFS(DemoHistory[Date],B161)&lt;&gt;1,"Duplicate date",IF(AND($A161&gt;1,B161&lt;=B160),"Dates out of order",IF(NOT(ISNUMBER(C161)),"Missing price",IF(C161&lt;=0,"Nonpositive price","OK")))))))))</f>
        <v>OK</v>
      </c>
      <c r="I161" s="136"/>
      <c r="J161" s="136"/>
      <c r="K161" s="136"/>
      <c r="L161" s="136"/>
      <c r="M161" s="136"/>
      <c r="N161" s="136">
        <f t="shared" si="4"/>
        <v>565.8605</v>
      </c>
      <c r="O161" s="136">
        <f t="shared" si="5"/>
        <v>562.80947199999991</v>
      </c>
    </row>
    <row r="162" spans="1:15" ht="22" customHeight="1" x14ac:dyDescent="0.35">
      <c r="A162" s="136">
        <v>118</v>
      </c>
      <c r="B162" s="165">
        <f>IF($A162&gt;MIN($A$10,$A$2),"",INDEX(DemoHistory[Date],$A162))</f>
        <v>46267</v>
      </c>
      <c r="C162" s="166">
        <f>IF(OR($A162&gt;MIN($A$10,$A$2),$A$5=""),"",INDEX(DemoHistory[],$A162,MATCH($A$5,DemoHistory[#Headers],0)))</f>
        <v>568.60940000000005</v>
      </c>
      <c r="D162" s="166">
        <f>IF($A162&gt;MIN($A$10,$A$2),"",IF(AND($A$12,$A$6=1,B162&lt;$A$7,$A$7&lt;=MAX(DemoHistory[Date])),$A$8,1))</f>
        <v>1</v>
      </c>
      <c r="E162" s="166">
        <f t="shared" si="3"/>
        <v>568.60940000000005</v>
      </c>
      <c r="F162" s="166">
        <f>IF($A162&gt;MIN($A$10,$A$2),"",IF($A162&lt;50,"n.a.",IF(COUNT(INDEX(StockDaily[Adjusted close],MAX(1,$A162-50+1)):E162)=50,AVERAGE(INDEX(StockDaily[Adjusted close],MAX(1,$A162-50+1)):E162),"n.a.")))</f>
        <v>563.3705359999999</v>
      </c>
      <c r="G162" s="166" t="str">
        <f>IF($A162&gt;MIN($A$10,$A$2),"",IF($A162&lt;200,"n.a.",IF(COUNT(INDEX(StockDaily[Adjusted close],MAX(1,$A162-200+1)):E162)=200,AVERAGE(INDEX(StockDaily[Adjusted close],MAX(1,$A162-200+1)):E162),"n.a.")))</f>
        <v>n.a.</v>
      </c>
      <c r="H162" s="136" t="str">
        <f>IF($A162&gt;MIN($A$10,$A$2),"",IF($A$5="","Choose stock",IF(NOT($A$12),"Check split rule",IF(NOT(ISNUMBER(B162)),"Invalid date",IF(OR(B162&lt;=0,B162&lt;&gt;INT(B162)),"Invalid date",IF(COUNTIFS(DemoHistory[Date],B162)&lt;&gt;1,"Duplicate date",IF(AND($A162&gt;1,B162&lt;=B161),"Dates out of order",IF(NOT(ISNUMBER(C162)),"Missing price",IF(C162&lt;=0,"Nonpositive price","OK")))))))))</f>
        <v>OK</v>
      </c>
      <c r="I162" s="136"/>
      <c r="J162" s="136"/>
      <c r="K162" s="136"/>
      <c r="L162" s="136"/>
      <c r="M162" s="136"/>
      <c r="N162" s="136">
        <f t="shared" si="4"/>
        <v>568.60940000000005</v>
      </c>
      <c r="O162" s="136">
        <f t="shared" si="5"/>
        <v>563.3705359999999</v>
      </c>
    </row>
    <row r="163" spans="1:15" ht="22" customHeight="1" x14ac:dyDescent="0.35">
      <c r="A163" s="136">
        <v>119</v>
      </c>
      <c r="B163" s="165">
        <f>IF($A163&gt;MIN($A$10,$A$2),"",INDEX(DemoHistory[Date],$A163))</f>
        <v>46268</v>
      </c>
      <c r="C163" s="166">
        <f>IF(OR($A163&gt;MIN($A$10,$A$2),$A$5=""),"",INDEX(DemoHistory[],$A163,MATCH($A$5,DemoHistory[#Headers],0)))</f>
        <v>569.04150000000004</v>
      </c>
      <c r="D163" s="166">
        <f>IF($A163&gt;MIN($A$10,$A$2),"",IF(AND($A$12,$A$6=1,B163&lt;$A$7,$A$7&lt;=MAX(DemoHistory[Date])),$A$8,1))</f>
        <v>1</v>
      </c>
      <c r="E163" s="166">
        <f t="shared" si="3"/>
        <v>569.04150000000004</v>
      </c>
      <c r="F163" s="166">
        <f>IF($A163&gt;MIN($A$10,$A$2),"",IF($A163&lt;50,"n.a.",IF(COUNT(INDEX(StockDaily[Adjusted close],MAX(1,$A163-50+1)):E163)=50,AVERAGE(INDEX(StockDaily[Adjusted close],MAX(1,$A163-50+1)):E163),"n.a.")))</f>
        <v>563.94606999999985</v>
      </c>
      <c r="G163" s="166" t="str">
        <f>IF($A163&gt;MIN($A$10,$A$2),"",IF($A163&lt;200,"n.a.",IF(COUNT(INDEX(StockDaily[Adjusted close],MAX(1,$A163-200+1)):E163)=200,AVERAGE(INDEX(StockDaily[Adjusted close],MAX(1,$A163-200+1)):E163),"n.a.")))</f>
        <v>n.a.</v>
      </c>
      <c r="H163" s="136" t="str">
        <f>IF($A163&gt;MIN($A$10,$A$2),"",IF($A$5="","Choose stock",IF(NOT($A$12),"Check split rule",IF(NOT(ISNUMBER(B163)),"Invalid date",IF(OR(B163&lt;=0,B163&lt;&gt;INT(B163)),"Invalid date",IF(COUNTIFS(DemoHistory[Date],B163)&lt;&gt;1,"Duplicate date",IF(AND($A163&gt;1,B163&lt;=B162),"Dates out of order",IF(NOT(ISNUMBER(C163)),"Missing price",IF(C163&lt;=0,"Nonpositive price","OK")))))))))</f>
        <v>OK</v>
      </c>
      <c r="I163" s="136"/>
      <c r="J163" s="136"/>
      <c r="K163" s="136"/>
      <c r="L163" s="136"/>
      <c r="M163" s="136"/>
      <c r="N163" s="136">
        <f t="shared" si="4"/>
        <v>569.04150000000004</v>
      </c>
      <c r="O163" s="136">
        <f t="shared" si="5"/>
        <v>563.94606999999985</v>
      </c>
    </row>
    <row r="164" spans="1:15" ht="22" customHeight="1" x14ac:dyDescent="0.35">
      <c r="A164" s="136">
        <v>120</v>
      </c>
      <c r="B164" s="165">
        <f>IF($A164&gt;MIN($A$10,$A$2),"",INDEX(DemoHistory[Date],$A164))</f>
        <v>46269</v>
      </c>
      <c r="C164" s="166">
        <f>IF(OR($A164&gt;MIN($A$10,$A$2),$A$5=""),"",INDEX(DemoHistory[],$A164,MATCH($A$5,DemoHistory[#Headers],0)))</f>
        <v>571.2885</v>
      </c>
      <c r="D164" s="166">
        <f>IF($A164&gt;MIN($A$10,$A$2),"",IF(AND($A$12,$A$6=1,B164&lt;$A$7,$A$7&lt;=MAX(DemoHistory[Date])),$A$8,1))</f>
        <v>1</v>
      </c>
      <c r="E164" s="166">
        <f t="shared" si="3"/>
        <v>571.2885</v>
      </c>
      <c r="F164" s="166">
        <f>IF($A164&gt;MIN($A$10,$A$2),"",IF($A164&lt;50,"n.a.",IF(COUNT(INDEX(StockDaily[Adjusted close],MAX(1,$A164-50+1)):E164)=50,AVERAGE(INDEX(StockDaily[Adjusted close],MAX(1,$A164-50+1)):E164),"n.a.")))</f>
        <v>564.41138799999999</v>
      </c>
      <c r="G164" s="166" t="str">
        <f>IF($A164&gt;MIN($A$10,$A$2),"",IF($A164&lt;200,"n.a.",IF(COUNT(INDEX(StockDaily[Adjusted close],MAX(1,$A164-200+1)):E164)=200,AVERAGE(INDEX(StockDaily[Adjusted close],MAX(1,$A164-200+1)):E164),"n.a.")))</f>
        <v>n.a.</v>
      </c>
      <c r="H164" s="136" t="str">
        <f>IF($A164&gt;MIN($A$10,$A$2),"",IF($A$5="","Choose stock",IF(NOT($A$12),"Check split rule",IF(NOT(ISNUMBER(B164)),"Invalid date",IF(OR(B164&lt;=0,B164&lt;&gt;INT(B164)),"Invalid date",IF(COUNTIFS(DemoHistory[Date],B164)&lt;&gt;1,"Duplicate date",IF(AND($A164&gt;1,B164&lt;=B163),"Dates out of order",IF(NOT(ISNUMBER(C164)),"Missing price",IF(C164&lt;=0,"Nonpositive price","OK")))))))))</f>
        <v>OK</v>
      </c>
      <c r="I164" s="136"/>
      <c r="J164" s="136"/>
      <c r="K164" s="136"/>
      <c r="L164" s="136"/>
      <c r="M164" s="136"/>
      <c r="N164" s="136">
        <f t="shared" si="4"/>
        <v>571.2885</v>
      </c>
      <c r="O164" s="136">
        <f t="shared" si="5"/>
        <v>564.41138799999999</v>
      </c>
    </row>
    <row r="165" spans="1:15" ht="22" customHeight="1" x14ac:dyDescent="0.35">
      <c r="A165" s="136">
        <v>121</v>
      </c>
      <c r="B165" s="165">
        <f>IF($A165&gt;MIN($A$10,$A$2),"",INDEX(DemoHistory[Date],$A165))</f>
        <v>46272</v>
      </c>
      <c r="C165" s="166">
        <f>IF(OR($A165&gt;MIN($A$10,$A$2),$A$5=""),"",INDEX(DemoHistory[],$A165,MATCH($A$5,DemoHistory[#Headers],0)))</f>
        <v>568.1386</v>
      </c>
      <c r="D165" s="166">
        <f>IF($A165&gt;MIN($A$10,$A$2),"",IF(AND($A$12,$A$6=1,B165&lt;$A$7,$A$7&lt;=MAX(DemoHistory[Date])),$A$8,1))</f>
        <v>1</v>
      </c>
      <c r="E165" s="166">
        <f t="shared" si="3"/>
        <v>568.1386</v>
      </c>
      <c r="F165" s="166">
        <f>IF($A165&gt;MIN($A$10,$A$2),"",IF($A165&lt;50,"n.a.",IF(COUNT(INDEX(StockDaily[Adjusted close],MAX(1,$A165-50+1)):E165)=50,AVERAGE(INDEX(StockDaily[Adjusted close],MAX(1,$A165-50+1)):E165),"n.a.")))</f>
        <v>564.7313459999998</v>
      </c>
      <c r="G165" s="166" t="str">
        <f>IF($A165&gt;MIN($A$10,$A$2),"",IF($A165&lt;200,"n.a.",IF(COUNT(INDEX(StockDaily[Adjusted close],MAX(1,$A165-200+1)):E165)=200,AVERAGE(INDEX(StockDaily[Adjusted close],MAX(1,$A165-200+1)):E165),"n.a.")))</f>
        <v>n.a.</v>
      </c>
      <c r="H165" s="136" t="str">
        <f>IF($A165&gt;MIN($A$10,$A$2),"",IF($A$5="","Choose stock",IF(NOT($A$12),"Check split rule",IF(NOT(ISNUMBER(B165)),"Invalid date",IF(OR(B165&lt;=0,B165&lt;&gt;INT(B165)),"Invalid date",IF(COUNTIFS(DemoHistory[Date],B165)&lt;&gt;1,"Duplicate date",IF(AND($A165&gt;1,B165&lt;=B164),"Dates out of order",IF(NOT(ISNUMBER(C165)),"Missing price",IF(C165&lt;=0,"Nonpositive price","OK")))))))))</f>
        <v>OK</v>
      </c>
      <c r="I165" s="136"/>
      <c r="J165" s="136"/>
      <c r="K165" s="136"/>
      <c r="L165" s="136"/>
      <c r="M165" s="136"/>
      <c r="N165" s="136">
        <f t="shared" si="4"/>
        <v>568.1386</v>
      </c>
      <c r="O165" s="136">
        <f t="shared" si="5"/>
        <v>564.7313459999998</v>
      </c>
    </row>
    <row r="166" spans="1:15" ht="22" customHeight="1" x14ac:dyDescent="0.35">
      <c r="A166" s="136">
        <v>122</v>
      </c>
      <c r="B166" s="165">
        <f>IF($A166&gt;MIN($A$10,$A$2),"",INDEX(DemoHistory[Date],$A166))</f>
        <v>46273</v>
      </c>
      <c r="C166" s="166">
        <f>IF(OR($A166&gt;MIN($A$10,$A$2),$A$5=""),"",INDEX(DemoHistory[],$A166,MATCH($A$5,DemoHistory[#Headers],0)))</f>
        <v>562.39089999999999</v>
      </c>
      <c r="D166" s="166">
        <f>IF($A166&gt;MIN($A$10,$A$2),"",IF(AND($A$12,$A$6=1,B166&lt;$A$7,$A$7&lt;=MAX(DemoHistory[Date])),$A$8,1))</f>
        <v>1</v>
      </c>
      <c r="E166" s="166">
        <f t="shared" si="3"/>
        <v>562.39089999999999</v>
      </c>
      <c r="F166" s="166">
        <f>IF($A166&gt;MIN($A$10,$A$2),"",IF($A166&lt;50,"n.a.",IF(COUNT(INDEX(StockDaily[Adjusted close],MAX(1,$A166-50+1)):E166)=50,AVERAGE(INDEX(StockDaily[Adjusted close],MAX(1,$A166-50+1)):E166),"n.a.")))</f>
        <v>564.91514999999981</v>
      </c>
      <c r="G166" s="166" t="str">
        <f>IF($A166&gt;MIN($A$10,$A$2),"",IF($A166&lt;200,"n.a.",IF(COUNT(INDEX(StockDaily[Adjusted close],MAX(1,$A166-200+1)):E166)=200,AVERAGE(INDEX(StockDaily[Adjusted close],MAX(1,$A166-200+1)):E166),"n.a.")))</f>
        <v>n.a.</v>
      </c>
      <c r="H166" s="136" t="str">
        <f>IF($A166&gt;MIN($A$10,$A$2),"",IF($A$5="","Choose stock",IF(NOT($A$12),"Check split rule",IF(NOT(ISNUMBER(B166)),"Invalid date",IF(OR(B166&lt;=0,B166&lt;&gt;INT(B166)),"Invalid date",IF(COUNTIFS(DemoHistory[Date],B166)&lt;&gt;1,"Duplicate date",IF(AND($A166&gt;1,B166&lt;=B165),"Dates out of order",IF(NOT(ISNUMBER(C166)),"Missing price",IF(C166&lt;=0,"Nonpositive price","OK")))))))))</f>
        <v>OK</v>
      </c>
      <c r="I166" s="136"/>
      <c r="J166" s="136"/>
      <c r="K166" s="136"/>
      <c r="L166" s="136"/>
      <c r="M166" s="136"/>
      <c r="N166" s="136">
        <f t="shared" si="4"/>
        <v>562.39089999999999</v>
      </c>
      <c r="O166" s="136">
        <f t="shared" si="5"/>
        <v>564.91514999999981</v>
      </c>
    </row>
    <row r="167" spans="1:15" ht="22" customHeight="1" x14ac:dyDescent="0.35">
      <c r="A167" s="136">
        <v>123</v>
      </c>
      <c r="B167" s="165">
        <f>IF($A167&gt;MIN($A$10,$A$2),"",INDEX(DemoHistory[Date],$A167))</f>
        <v>46274</v>
      </c>
      <c r="C167" s="166">
        <f>IF(OR($A167&gt;MIN($A$10,$A$2),$A$5=""),"",INDEX(DemoHistory[],$A167,MATCH($A$5,DemoHistory[#Headers],0)))</f>
        <v>568.76369999999997</v>
      </c>
      <c r="D167" s="166">
        <f>IF($A167&gt;MIN($A$10,$A$2),"",IF(AND($A$12,$A$6=1,B167&lt;$A$7,$A$7&lt;=MAX(DemoHistory[Date])),$A$8,1))</f>
        <v>1</v>
      </c>
      <c r="E167" s="166">
        <f t="shared" si="3"/>
        <v>568.76369999999997</v>
      </c>
      <c r="F167" s="166">
        <f>IF($A167&gt;MIN($A$10,$A$2),"",IF($A167&lt;50,"n.a.",IF(COUNT(INDEX(StockDaily[Adjusted close],MAX(1,$A167-50+1)):E167)=50,AVERAGE(INDEX(StockDaily[Adjusted close],MAX(1,$A167-50+1)):E167),"n.a.")))</f>
        <v>565.14146399999981</v>
      </c>
      <c r="G167" s="166" t="str">
        <f>IF($A167&gt;MIN($A$10,$A$2),"",IF($A167&lt;200,"n.a.",IF(COUNT(INDEX(StockDaily[Adjusted close],MAX(1,$A167-200+1)):E167)=200,AVERAGE(INDEX(StockDaily[Adjusted close],MAX(1,$A167-200+1)):E167),"n.a.")))</f>
        <v>n.a.</v>
      </c>
      <c r="H167" s="136" t="str">
        <f>IF($A167&gt;MIN($A$10,$A$2),"",IF($A$5="","Choose stock",IF(NOT($A$12),"Check split rule",IF(NOT(ISNUMBER(B167)),"Invalid date",IF(OR(B167&lt;=0,B167&lt;&gt;INT(B167)),"Invalid date",IF(COUNTIFS(DemoHistory[Date],B167)&lt;&gt;1,"Duplicate date",IF(AND($A167&gt;1,B167&lt;=B166),"Dates out of order",IF(NOT(ISNUMBER(C167)),"Missing price",IF(C167&lt;=0,"Nonpositive price","OK")))))))))</f>
        <v>OK</v>
      </c>
      <c r="I167" s="136"/>
      <c r="J167" s="136"/>
      <c r="K167" s="136"/>
      <c r="L167" s="136"/>
      <c r="M167" s="136"/>
      <c r="N167" s="136">
        <f t="shared" si="4"/>
        <v>568.76369999999997</v>
      </c>
      <c r="O167" s="136">
        <f t="shared" si="5"/>
        <v>565.14146399999981</v>
      </c>
    </row>
    <row r="168" spans="1:15" ht="22" customHeight="1" x14ac:dyDescent="0.35">
      <c r="A168" s="136">
        <v>124</v>
      </c>
      <c r="B168" s="165">
        <f>IF($A168&gt;MIN($A$10,$A$2),"",INDEX(DemoHistory[Date],$A168))</f>
        <v>46275</v>
      </c>
      <c r="C168" s="166">
        <f>IF(OR($A168&gt;MIN($A$10,$A$2),$A$5=""),"",INDEX(DemoHistory[],$A168,MATCH($A$5,DemoHistory[#Headers],0)))</f>
        <v>565.03240000000005</v>
      </c>
      <c r="D168" s="166">
        <f>IF($A168&gt;MIN($A$10,$A$2),"",IF(AND($A$12,$A$6=1,B168&lt;$A$7,$A$7&lt;=MAX(DemoHistory[Date])),$A$8,1))</f>
        <v>1</v>
      </c>
      <c r="E168" s="166">
        <f t="shared" si="3"/>
        <v>565.03240000000005</v>
      </c>
      <c r="F168" s="166">
        <f>IF($A168&gt;MIN($A$10,$A$2),"",IF($A168&lt;50,"n.a.",IF(COUNT(INDEX(StockDaily[Adjusted close],MAX(1,$A168-50+1)):E168)=50,AVERAGE(INDEX(StockDaily[Adjusted close],MAX(1,$A168-50+1)):E168),"n.a.")))</f>
        <v>565.55391199999974</v>
      </c>
      <c r="G168" s="166" t="str">
        <f>IF($A168&gt;MIN($A$10,$A$2),"",IF($A168&lt;200,"n.a.",IF(COUNT(INDEX(StockDaily[Adjusted close],MAX(1,$A168-200+1)):E168)=200,AVERAGE(INDEX(StockDaily[Adjusted close],MAX(1,$A168-200+1)):E168),"n.a.")))</f>
        <v>n.a.</v>
      </c>
      <c r="H168" s="136" t="str">
        <f>IF($A168&gt;MIN($A$10,$A$2),"",IF($A$5="","Choose stock",IF(NOT($A$12),"Check split rule",IF(NOT(ISNUMBER(B168)),"Invalid date",IF(OR(B168&lt;=0,B168&lt;&gt;INT(B168)),"Invalid date",IF(COUNTIFS(DemoHistory[Date],B168)&lt;&gt;1,"Duplicate date",IF(AND($A168&gt;1,B168&lt;=B167),"Dates out of order",IF(NOT(ISNUMBER(C168)),"Missing price",IF(C168&lt;=0,"Nonpositive price","OK")))))))))</f>
        <v>OK</v>
      </c>
      <c r="I168" s="136"/>
      <c r="J168" s="136"/>
      <c r="K168" s="136"/>
      <c r="L168" s="136"/>
      <c r="M168" s="136"/>
      <c r="N168" s="136">
        <f t="shared" si="4"/>
        <v>565.03240000000005</v>
      </c>
      <c r="O168" s="136">
        <f t="shared" si="5"/>
        <v>565.55391199999974</v>
      </c>
    </row>
    <row r="169" spans="1:15" ht="22" customHeight="1" x14ac:dyDescent="0.35">
      <c r="A169" s="136">
        <v>125</v>
      </c>
      <c r="B169" s="165">
        <f>IF($A169&gt;MIN($A$10,$A$2),"",INDEX(DemoHistory[Date],$A169))</f>
        <v>46276</v>
      </c>
      <c r="C169" s="166">
        <f>IF(OR($A169&gt;MIN($A$10,$A$2),$A$5=""),"",INDEX(DemoHistory[],$A169,MATCH($A$5,DemoHistory[#Headers],0)))</f>
        <v>567.66480000000001</v>
      </c>
      <c r="D169" s="166">
        <f>IF($A169&gt;MIN($A$10,$A$2),"",IF(AND($A$12,$A$6=1,B169&lt;$A$7,$A$7&lt;=MAX(DemoHistory[Date])),$A$8,1))</f>
        <v>1</v>
      </c>
      <c r="E169" s="166">
        <f t="shared" si="3"/>
        <v>567.66480000000001</v>
      </c>
      <c r="F169" s="166">
        <f>IF($A169&gt;MIN($A$10,$A$2),"",IF($A169&lt;50,"n.a.",IF(COUNT(INDEX(StockDaily[Adjusted close],MAX(1,$A169-50+1)):E169)=50,AVERAGE(INDEX(StockDaily[Adjusted close],MAX(1,$A169-50+1)):E169),"n.a.")))</f>
        <v>565.93376599999976</v>
      </c>
      <c r="G169" s="166" t="str">
        <f>IF($A169&gt;MIN($A$10,$A$2),"",IF($A169&lt;200,"n.a.",IF(COUNT(INDEX(StockDaily[Adjusted close],MAX(1,$A169-200+1)):E169)=200,AVERAGE(INDEX(StockDaily[Adjusted close],MAX(1,$A169-200+1)):E169),"n.a.")))</f>
        <v>n.a.</v>
      </c>
      <c r="H169" s="136" t="str">
        <f>IF($A169&gt;MIN($A$10,$A$2),"",IF($A$5="","Choose stock",IF(NOT($A$12),"Check split rule",IF(NOT(ISNUMBER(B169)),"Invalid date",IF(OR(B169&lt;=0,B169&lt;&gt;INT(B169)),"Invalid date",IF(COUNTIFS(DemoHistory[Date],B169)&lt;&gt;1,"Duplicate date",IF(AND($A169&gt;1,B169&lt;=B168),"Dates out of order",IF(NOT(ISNUMBER(C169)),"Missing price",IF(C169&lt;=0,"Nonpositive price","OK")))))))))</f>
        <v>OK</v>
      </c>
      <c r="I169" s="136"/>
      <c r="J169" s="136"/>
      <c r="K169" s="136"/>
      <c r="L169" s="136"/>
      <c r="M169" s="136"/>
      <c r="N169" s="136">
        <f t="shared" si="4"/>
        <v>567.66480000000001</v>
      </c>
      <c r="O169" s="136">
        <f t="shared" si="5"/>
        <v>565.93376599999976</v>
      </c>
    </row>
    <row r="170" spans="1:15" ht="22" customHeight="1" x14ac:dyDescent="0.35">
      <c r="A170" s="136">
        <v>126</v>
      </c>
      <c r="B170" s="165">
        <f>IF($A170&gt;MIN($A$10,$A$2),"",INDEX(DemoHistory[Date],$A170))</f>
        <v>46279</v>
      </c>
      <c r="C170" s="166">
        <f>IF(OR($A170&gt;MIN($A$10,$A$2),$A$5=""),"",INDEX(DemoHistory[],$A170,MATCH($A$5,DemoHistory[#Headers],0)))</f>
        <v>555.49540000000002</v>
      </c>
      <c r="D170" s="166">
        <f>IF($A170&gt;MIN($A$10,$A$2),"",IF(AND($A$12,$A$6=1,B170&lt;$A$7,$A$7&lt;=MAX(DemoHistory[Date])),$A$8,1))</f>
        <v>1</v>
      </c>
      <c r="E170" s="166">
        <f t="shared" si="3"/>
        <v>555.49540000000002</v>
      </c>
      <c r="F170" s="166">
        <f>IF($A170&gt;MIN($A$10,$A$2),"",IF($A170&lt;50,"n.a.",IF(COUNT(INDEX(StockDaily[Adjusted close],MAX(1,$A170-50+1)):E170)=50,AVERAGE(INDEX(StockDaily[Adjusted close],MAX(1,$A170-50+1)):E170),"n.a.")))</f>
        <v>566.11546199999975</v>
      </c>
      <c r="G170" s="166" t="str">
        <f>IF($A170&gt;MIN($A$10,$A$2),"",IF($A170&lt;200,"n.a.",IF(COUNT(INDEX(StockDaily[Adjusted close],MAX(1,$A170-200+1)):E170)=200,AVERAGE(INDEX(StockDaily[Adjusted close],MAX(1,$A170-200+1)):E170),"n.a.")))</f>
        <v>n.a.</v>
      </c>
      <c r="H170" s="136" t="str">
        <f>IF($A170&gt;MIN($A$10,$A$2),"",IF($A$5="","Choose stock",IF(NOT($A$12),"Check split rule",IF(NOT(ISNUMBER(B170)),"Invalid date",IF(OR(B170&lt;=0,B170&lt;&gt;INT(B170)),"Invalid date",IF(COUNTIFS(DemoHistory[Date],B170)&lt;&gt;1,"Duplicate date",IF(AND($A170&gt;1,B170&lt;=B169),"Dates out of order",IF(NOT(ISNUMBER(C170)),"Missing price",IF(C170&lt;=0,"Nonpositive price","OK")))))))))</f>
        <v>OK</v>
      </c>
      <c r="I170" s="136"/>
      <c r="J170" s="136"/>
      <c r="K170" s="136"/>
      <c r="L170" s="136"/>
      <c r="M170" s="136"/>
      <c r="N170" s="136">
        <f t="shared" si="4"/>
        <v>555.49540000000002</v>
      </c>
      <c r="O170" s="136">
        <f t="shared" si="5"/>
        <v>566.11546199999975</v>
      </c>
    </row>
    <row r="171" spans="1:15" ht="22" customHeight="1" x14ac:dyDescent="0.35">
      <c r="A171" s="136">
        <v>127</v>
      </c>
      <c r="B171" s="165">
        <f>IF($A171&gt;MIN($A$10,$A$2),"",INDEX(DemoHistory[Date],$A171))</f>
        <v>46280</v>
      </c>
      <c r="C171" s="166">
        <f>IF(OR($A171&gt;MIN($A$10,$A$2),$A$5=""),"",INDEX(DemoHistory[],$A171,MATCH($A$5,DemoHistory[#Headers],0)))</f>
        <v>555.51800000000003</v>
      </c>
      <c r="D171" s="166">
        <f>IF($A171&gt;MIN($A$10,$A$2),"",IF(AND($A$12,$A$6=1,B171&lt;$A$7,$A$7&lt;=MAX(DemoHistory[Date])),$A$8,1))</f>
        <v>1</v>
      </c>
      <c r="E171" s="166">
        <f t="shared" si="3"/>
        <v>555.51800000000003</v>
      </c>
      <c r="F171" s="166">
        <f>IF($A171&gt;MIN($A$10,$A$2),"",IF($A171&lt;50,"n.a.",IF(COUNT(INDEX(StockDaily[Adjusted close],MAX(1,$A171-50+1)):E171)=50,AVERAGE(INDEX(StockDaily[Adjusted close],MAX(1,$A171-50+1)):E171),"n.a.")))</f>
        <v>566.2344559999998</v>
      </c>
      <c r="G171" s="166" t="str">
        <f>IF($A171&gt;MIN($A$10,$A$2),"",IF($A171&lt;200,"n.a.",IF(COUNT(INDEX(StockDaily[Adjusted close],MAX(1,$A171-200+1)):E171)=200,AVERAGE(INDEX(StockDaily[Adjusted close],MAX(1,$A171-200+1)):E171),"n.a.")))</f>
        <v>n.a.</v>
      </c>
      <c r="H171" s="136" t="str">
        <f>IF($A171&gt;MIN($A$10,$A$2),"",IF($A$5="","Choose stock",IF(NOT($A$12),"Check split rule",IF(NOT(ISNUMBER(B171)),"Invalid date",IF(OR(B171&lt;=0,B171&lt;&gt;INT(B171)),"Invalid date",IF(COUNTIFS(DemoHistory[Date],B171)&lt;&gt;1,"Duplicate date",IF(AND($A171&gt;1,B171&lt;=B170),"Dates out of order",IF(NOT(ISNUMBER(C171)),"Missing price",IF(C171&lt;=0,"Nonpositive price","OK")))))))))</f>
        <v>OK</v>
      </c>
      <c r="I171" s="136"/>
      <c r="J171" s="136"/>
      <c r="K171" s="136"/>
      <c r="L171" s="136"/>
      <c r="M171" s="136"/>
      <c r="N171" s="136">
        <f t="shared" si="4"/>
        <v>555.51800000000003</v>
      </c>
      <c r="O171" s="136">
        <f t="shared" si="5"/>
        <v>566.2344559999998</v>
      </c>
    </row>
    <row r="172" spans="1:15" ht="22" customHeight="1" x14ac:dyDescent="0.35">
      <c r="A172" s="136">
        <v>128</v>
      </c>
      <c r="B172" s="165">
        <f>IF($A172&gt;MIN($A$10,$A$2),"",INDEX(DemoHistory[Date],$A172))</f>
        <v>46281</v>
      </c>
      <c r="C172" s="166">
        <f>IF(OR($A172&gt;MIN($A$10,$A$2),$A$5=""),"",INDEX(DemoHistory[],$A172,MATCH($A$5,DemoHistory[#Headers],0)))</f>
        <v>554.35239999999999</v>
      </c>
      <c r="D172" s="166">
        <f>IF($A172&gt;MIN($A$10,$A$2),"",IF(AND($A$12,$A$6=1,B172&lt;$A$7,$A$7&lt;=MAX(DemoHistory[Date])),$A$8,1))</f>
        <v>1</v>
      </c>
      <c r="E172" s="166">
        <f t="shared" si="3"/>
        <v>554.35239999999999</v>
      </c>
      <c r="F172" s="166">
        <f>IF($A172&gt;MIN($A$10,$A$2),"",IF($A172&lt;50,"n.a.",IF(COUNT(INDEX(StockDaily[Adjusted close],MAX(1,$A172-50+1)):E172)=50,AVERAGE(INDEX(StockDaily[Adjusted close],MAX(1,$A172-50+1)):E172),"n.a.")))</f>
        <v>566.17815799999971</v>
      </c>
      <c r="G172" s="166" t="str">
        <f>IF($A172&gt;MIN($A$10,$A$2),"",IF($A172&lt;200,"n.a.",IF(COUNT(INDEX(StockDaily[Adjusted close],MAX(1,$A172-200+1)):E172)=200,AVERAGE(INDEX(StockDaily[Adjusted close],MAX(1,$A172-200+1)):E172),"n.a.")))</f>
        <v>n.a.</v>
      </c>
      <c r="H172" s="136" t="str">
        <f>IF($A172&gt;MIN($A$10,$A$2),"",IF($A$5="","Choose stock",IF(NOT($A$12),"Check split rule",IF(NOT(ISNUMBER(B172)),"Invalid date",IF(OR(B172&lt;=0,B172&lt;&gt;INT(B172)),"Invalid date",IF(COUNTIFS(DemoHistory[Date],B172)&lt;&gt;1,"Duplicate date",IF(AND($A172&gt;1,B172&lt;=B171),"Dates out of order",IF(NOT(ISNUMBER(C172)),"Missing price",IF(C172&lt;=0,"Nonpositive price","OK")))))))))</f>
        <v>OK</v>
      </c>
      <c r="I172" s="136"/>
      <c r="J172" s="136"/>
      <c r="K172" s="136"/>
      <c r="L172" s="136"/>
      <c r="M172" s="136"/>
      <c r="N172" s="136">
        <f t="shared" si="4"/>
        <v>554.35239999999999</v>
      </c>
      <c r="O172" s="136">
        <f t="shared" si="5"/>
        <v>566.17815799999971</v>
      </c>
    </row>
    <row r="173" spans="1:15" ht="22" customHeight="1" x14ac:dyDescent="0.35">
      <c r="A173" s="136">
        <v>129</v>
      </c>
      <c r="B173" s="165">
        <f>IF($A173&gt;MIN($A$10,$A$2),"",INDEX(DemoHistory[Date],$A173))</f>
        <v>46282</v>
      </c>
      <c r="C173" s="166">
        <f>IF(OR($A173&gt;MIN($A$10,$A$2),$A$5=""),"",INDEX(DemoHistory[],$A173,MATCH($A$5,DemoHistory[#Headers],0)))</f>
        <v>553.55340000000001</v>
      </c>
      <c r="D173" s="166">
        <f>IF($A173&gt;MIN($A$10,$A$2),"",IF(AND($A$12,$A$6=1,B173&lt;$A$7,$A$7&lt;=MAX(DemoHistory[Date])),$A$8,1))</f>
        <v>1</v>
      </c>
      <c r="E173" s="166">
        <f t="shared" ref="E173:E236" si="6">IF($A173&gt;MIN($A$10,$A$2),"",IF(H173="OK",C173/D173,"n.a."))</f>
        <v>553.55340000000001</v>
      </c>
      <c r="F173" s="166">
        <f>IF($A173&gt;MIN($A$10,$A$2),"",IF($A173&lt;50,"n.a.",IF(COUNT(INDEX(StockDaily[Adjusted close],MAX(1,$A173-50+1)):E173)=50,AVERAGE(INDEX(StockDaily[Adjusted close],MAX(1,$A173-50+1)):E173),"n.a.")))</f>
        <v>566.02936799999986</v>
      </c>
      <c r="G173" s="166" t="str">
        <f>IF($A173&gt;MIN($A$10,$A$2),"",IF($A173&lt;200,"n.a.",IF(COUNT(INDEX(StockDaily[Adjusted close],MAX(1,$A173-200+1)):E173)=200,AVERAGE(INDEX(StockDaily[Adjusted close],MAX(1,$A173-200+1)):E173),"n.a.")))</f>
        <v>n.a.</v>
      </c>
      <c r="H173" s="136" t="str">
        <f>IF($A173&gt;MIN($A$10,$A$2),"",IF($A$5="","Choose stock",IF(NOT($A$12),"Check split rule",IF(NOT(ISNUMBER(B173)),"Invalid date",IF(OR(B173&lt;=0,B173&lt;&gt;INT(B173)),"Invalid date",IF(COUNTIFS(DemoHistory[Date],B173)&lt;&gt;1,"Duplicate date",IF(AND($A173&gt;1,B173&lt;=B172),"Dates out of order",IF(NOT(ISNUMBER(C173)),"Missing price",IF(C173&lt;=0,"Nonpositive price","OK")))))))))</f>
        <v>OK</v>
      </c>
      <c r="I173" s="136"/>
      <c r="J173" s="136"/>
      <c r="K173" s="136"/>
      <c r="L173" s="136"/>
      <c r="M173" s="136"/>
      <c r="N173" s="136">
        <f t="shared" ref="N173:N236" si="7">IF(AND($A$13="Ready",ISNUMBER(E173)),E173,NA())</f>
        <v>553.55340000000001</v>
      </c>
      <c r="O173" s="136">
        <f t="shared" ref="O173:O236" si="8">IF(AND($A$13="Ready",ISNUMBER(F173)),F173,NA())</f>
        <v>566.02936799999986</v>
      </c>
    </row>
    <row r="174" spans="1:15" ht="22" customHeight="1" x14ac:dyDescent="0.35">
      <c r="A174" s="136">
        <v>130</v>
      </c>
      <c r="B174" s="165">
        <f>IF($A174&gt;MIN($A$10,$A$2),"",INDEX(DemoHistory[Date],$A174))</f>
        <v>46283</v>
      </c>
      <c r="C174" s="166">
        <f>IF(OR($A174&gt;MIN($A$10,$A$2),$A$5=""),"",INDEX(DemoHistory[],$A174,MATCH($A$5,DemoHistory[#Headers],0)))</f>
        <v>547.4307</v>
      </c>
      <c r="D174" s="166">
        <f>IF($A174&gt;MIN($A$10,$A$2),"",IF(AND($A$12,$A$6=1,B174&lt;$A$7,$A$7&lt;=MAX(DemoHistory[Date])),$A$8,1))</f>
        <v>1</v>
      </c>
      <c r="E174" s="166">
        <f t="shared" si="6"/>
        <v>547.4307</v>
      </c>
      <c r="F174" s="166">
        <f>IF($A174&gt;MIN($A$10,$A$2),"",IF($A174&lt;50,"n.a.",IF(COUNT(INDEX(StockDaily[Adjusted close],MAX(1,$A174-50+1)):E174)=50,AVERAGE(INDEX(StockDaily[Adjusted close],MAX(1,$A174-50+1)):E174),"n.a.")))</f>
        <v>565.72541199999989</v>
      </c>
      <c r="G174" s="166" t="str">
        <f>IF($A174&gt;MIN($A$10,$A$2),"",IF($A174&lt;200,"n.a.",IF(COUNT(INDEX(StockDaily[Adjusted close],MAX(1,$A174-200+1)):E174)=200,AVERAGE(INDEX(StockDaily[Adjusted close],MAX(1,$A174-200+1)):E174),"n.a.")))</f>
        <v>n.a.</v>
      </c>
      <c r="H174" s="136" t="str">
        <f>IF($A174&gt;MIN($A$10,$A$2),"",IF($A$5="","Choose stock",IF(NOT($A$12),"Check split rule",IF(NOT(ISNUMBER(B174)),"Invalid date",IF(OR(B174&lt;=0,B174&lt;&gt;INT(B174)),"Invalid date",IF(COUNTIFS(DemoHistory[Date],B174)&lt;&gt;1,"Duplicate date",IF(AND($A174&gt;1,B174&lt;=B173),"Dates out of order",IF(NOT(ISNUMBER(C174)),"Missing price",IF(C174&lt;=0,"Nonpositive price","OK")))))))))</f>
        <v>OK</v>
      </c>
      <c r="I174" s="136"/>
      <c r="J174" s="136"/>
      <c r="K174" s="136"/>
      <c r="L174" s="136"/>
      <c r="M174" s="136"/>
      <c r="N174" s="136">
        <f t="shared" si="7"/>
        <v>547.4307</v>
      </c>
      <c r="O174" s="136">
        <f t="shared" si="8"/>
        <v>565.72541199999989</v>
      </c>
    </row>
    <row r="175" spans="1:15" ht="22" customHeight="1" x14ac:dyDescent="0.35">
      <c r="A175" s="136">
        <v>131</v>
      </c>
      <c r="B175" s="165" t="str">
        <f>IF($A175&gt;MIN($A$10,$A$2),"",INDEX(DemoHistory[Date],$A175))</f>
        <v/>
      </c>
      <c r="C175" s="166" t="str">
        <f>IF(OR($A175&gt;MIN($A$10,$A$2),$A$5=""),"",INDEX(DemoHistory[],$A175,MATCH($A$5,DemoHistory[#Headers],0)))</f>
        <v/>
      </c>
      <c r="D175" s="166" t="str">
        <f>IF($A175&gt;MIN($A$10,$A$2),"",IF(AND($A$12,$A$6=1,B175&lt;$A$7,$A$7&lt;=MAX(DemoHistory[Date])),$A$8,1))</f>
        <v/>
      </c>
      <c r="E175" s="166" t="str">
        <f t="shared" si="6"/>
        <v/>
      </c>
      <c r="F175" s="166" t="str">
        <f>IF($A175&gt;MIN($A$10,$A$2),"",IF($A175&lt;50,"n.a.",IF(COUNT(INDEX(StockDaily[Adjusted close],MAX(1,$A175-50+1)):E175)=50,AVERAGE(INDEX(StockDaily[Adjusted close],MAX(1,$A175-50+1)):E175),"n.a.")))</f>
        <v/>
      </c>
      <c r="G175" s="166" t="str">
        <f>IF($A175&gt;MIN($A$10,$A$2),"",IF($A175&lt;200,"n.a.",IF(COUNT(INDEX(StockDaily[Adjusted close],MAX(1,$A175-200+1)):E175)=200,AVERAGE(INDEX(StockDaily[Adjusted close],MAX(1,$A175-200+1)):E175),"n.a.")))</f>
        <v/>
      </c>
      <c r="H175" s="136" t="str">
        <f>IF($A175&gt;MIN($A$10,$A$2),"",IF($A$5="","Choose stock",IF(NOT($A$12),"Check split rule",IF(NOT(ISNUMBER(B175)),"Invalid date",IF(OR(B175&lt;=0,B175&lt;&gt;INT(B175)),"Invalid date",IF(COUNTIFS(DemoHistory[Date],B175)&lt;&gt;1,"Duplicate date",IF(AND($A175&gt;1,B175&lt;=B174),"Dates out of order",IF(NOT(ISNUMBER(C175)),"Missing price",IF(C175&lt;=0,"Nonpositive price","OK")))))))))</f>
        <v/>
      </c>
      <c r="I175" s="136"/>
      <c r="J175" s="136"/>
      <c r="K175" s="136"/>
      <c r="L175" s="136"/>
      <c r="M175" s="136"/>
      <c r="N175" s="136" t="e">
        <f t="shared" si="7"/>
        <v>#N/A</v>
      </c>
      <c r="O175" s="136" t="e">
        <f t="shared" si="8"/>
        <v>#N/A</v>
      </c>
    </row>
    <row r="176" spans="1:15" ht="22" customHeight="1" x14ac:dyDescent="0.35">
      <c r="A176" s="136">
        <v>132</v>
      </c>
      <c r="B176" s="165" t="str">
        <f>IF($A176&gt;MIN($A$10,$A$2),"",INDEX(DemoHistory[Date],$A176))</f>
        <v/>
      </c>
      <c r="C176" s="166" t="str">
        <f>IF(OR($A176&gt;MIN($A$10,$A$2),$A$5=""),"",INDEX(DemoHistory[],$A176,MATCH($A$5,DemoHistory[#Headers],0)))</f>
        <v/>
      </c>
      <c r="D176" s="166" t="str">
        <f>IF($A176&gt;MIN($A$10,$A$2),"",IF(AND($A$12,$A$6=1,B176&lt;$A$7,$A$7&lt;=MAX(DemoHistory[Date])),$A$8,1))</f>
        <v/>
      </c>
      <c r="E176" s="166" t="str">
        <f t="shared" si="6"/>
        <v/>
      </c>
      <c r="F176" s="166" t="str">
        <f>IF($A176&gt;MIN($A$10,$A$2),"",IF($A176&lt;50,"n.a.",IF(COUNT(INDEX(StockDaily[Adjusted close],MAX(1,$A176-50+1)):E176)=50,AVERAGE(INDEX(StockDaily[Adjusted close],MAX(1,$A176-50+1)):E176),"n.a.")))</f>
        <v/>
      </c>
      <c r="G176" s="166" t="str">
        <f>IF($A176&gt;MIN($A$10,$A$2),"",IF($A176&lt;200,"n.a.",IF(COUNT(INDEX(StockDaily[Adjusted close],MAX(1,$A176-200+1)):E176)=200,AVERAGE(INDEX(StockDaily[Adjusted close],MAX(1,$A176-200+1)):E176),"n.a.")))</f>
        <v/>
      </c>
      <c r="H176" s="136" t="str">
        <f>IF($A176&gt;MIN($A$10,$A$2),"",IF($A$5="","Choose stock",IF(NOT($A$12),"Check split rule",IF(NOT(ISNUMBER(B176)),"Invalid date",IF(OR(B176&lt;=0,B176&lt;&gt;INT(B176)),"Invalid date",IF(COUNTIFS(DemoHistory[Date],B176)&lt;&gt;1,"Duplicate date",IF(AND($A176&gt;1,B176&lt;=B175),"Dates out of order",IF(NOT(ISNUMBER(C176)),"Missing price",IF(C176&lt;=0,"Nonpositive price","OK")))))))))</f>
        <v/>
      </c>
      <c r="I176" s="136"/>
      <c r="J176" s="136"/>
      <c r="K176" s="136"/>
      <c r="L176" s="136"/>
      <c r="M176" s="136"/>
      <c r="N176" s="136" t="e">
        <f t="shared" si="7"/>
        <v>#N/A</v>
      </c>
      <c r="O176" s="136" t="e">
        <f t="shared" si="8"/>
        <v>#N/A</v>
      </c>
    </row>
    <row r="177" spans="1:15" ht="22" customHeight="1" x14ac:dyDescent="0.35">
      <c r="A177" s="136">
        <v>133</v>
      </c>
      <c r="B177" s="165" t="str">
        <f>IF($A177&gt;MIN($A$10,$A$2),"",INDEX(DemoHistory[Date],$A177))</f>
        <v/>
      </c>
      <c r="C177" s="166" t="str">
        <f>IF(OR($A177&gt;MIN($A$10,$A$2),$A$5=""),"",INDEX(DemoHistory[],$A177,MATCH($A$5,DemoHistory[#Headers],0)))</f>
        <v/>
      </c>
      <c r="D177" s="166" t="str">
        <f>IF($A177&gt;MIN($A$10,$A$2),"",IF(AND($A$12,$A$6=1,B177&lt;$A$7,$A$7&lt;=MAX(DemoHistory[Date])),$A$8,1))</f>
        <v/>
      </c>
      <c r="E177" s="166" t="str">
        <f t="shared" si="6"/>
        <v/>
      </c>
      <c r="F177" s="166" t="str">
        <f>IF($A177&gt;MIN($A$10,$A$2),"",IF($A177&lt;50,"n.a.",IF(COUNT(INDEX(StockDaily[Adjusted close],MAX(1,$A177-50+1)):E177)=50,AVERAGE(INDEX(StockDaily[Adjusted close],MAX(1,$A177-50+1)):E177),"n.a.")))</f>
        <v/>
      </c>
      <c r="G177" s="166" t="str">
        <f>IF($A177&gt;MIN($A$10,$A$2),"",IF($A177&lt;200,"n.a.",IF(COUNT(INDEX(StockDaily[Adjusted close],MAX(1,$A177-200+1)):E177)=200,AVERAGE(INDEX(StockDaily[Adjusted close],MAX(1,$A177-200+1)):E177),"n.a.")))</f>
        <v/>
      </c>
      <c r="H177" s="136" t="str">
        <f>IF($A177&gt;MIN($A$10,$A$2),"",IF($A$5="","Choose stock",IF(NOT($A$12),"Check split rule",IF(NOT(ISNUMBER(B177)),"Invalid date",IF(OR(B177&lt;=0,B177&lt;&gt;INT(B177)),"Invalid date",IF(COUNTIFS(DemoHistory[Date],B177)&lt;&gt;1,"Duplicate date",IF(AND($A177&gt;1,B177&lt;=B176),"Dates out of order",IF(NOT(ISNUMBER(C177)),"Missing price",IF(C177&lt;=0,"Nonpositive price","OK")))))))))</f>
        <v/>
      </c>
      <c r="I177" s="136"/>
      <c r="J177" s="136"/>
      <c r="K177" s="136"/>
      <c r="L177" s="136"/>
      <c r="M177" s="136"/>
      <c r="N177" s="136" t="e">
        <f t="shared" si="7"/>
        <v>#N/A</v>
      </c>
      <c r="O177" s="136" t="e">
        <f t="shared" si="8"/>
        <v>#N/A</v>
      </c>
    </row>
    <row r="178" spans="1:15" ht="22" customHeight="1" x14ac:dyDescent="0.35">
      <c r="A178" s="136">
        <v>134</v>
      </c>
      <c r="B178" s="165" t="str">
        <f>IF($A178&gt;MIN($A$10,$A$2),"",INDEX(DemoHistory[Date],$A178))</f>
        <v/>
      </c>
      <c r="C178" s="166" t="str">
        <f>IF(OR($A178&gt;MIN($A$10,$A$2),$A$5=""),"",INDEX(DemoHistory[],$A178,MATCH($A$5,DemoHistory[#Headers],0)))</f>
        <v/>
      </c>
      <c r="D178" s="166" t="str">
        <f>IF($A178&gt;MIN($A$10,$A$2),"",IF(AND($A$12,$A$6=1,B178&lt;$A$7,$A$7&lt;=MAX(DemoHistory[Date])),$A$8,1))</f>
        <v/>
      </c>
      <c r="E178" s="166" t="str">
        <f t="shared" si="6"/>
        <v/>
      </c>
      <c r="F178" s="166" t="str">
        <f>IF($A178&gt;MIN($A$10,$A$2),"",IF($A178&lt;50,"n.a.",IF(COUNT(INDEX(StockDaily[Adjusted close],MAX(1,$A178-50+1)):E178)=50,AVERAGE(INDEX(StockDaily[Adjusted close],MAX(1,$A178-50+1)):E178),"n.a.")))</f>
        <v/>
      </c>
      <c r="G178" s="166" t="str">
        <f>IF($A178&gt;MIN($A$10,$A$2),"",IF($A178&lt;200,"n.a.",IF(COUNT(INDEX(StockDaily[Adjusted close],MAX(1,$A178-200+1)):E178)=200,AVERAGE(INDEX(StockDaily[Adjusted close],MAX(1,$A178-200+1)):E178),"n.a.")))</f>
        <v/>
      </c>
      <c r="H178" s="136" t="str">
        <f>IF($A178&gt;MIN($A$10,$A$2),"",IF($A$5="","Choose stock",IF(NOT($A$12),"Check split rule",IF(NOT(ISNUMBER(B178)),"Invalid date",IF(OR(B178&lt;=0,B178&lt;&gt;INT(B178)),"Invalid date",IF(COUNTIFS(DemoHistory[Date],B178)&lt;&gt;1,"Duplicate date",IF(AND($A178&gt;1,B178&lt;=B177),"Dates out of order",IF(NOT(ISNUMBER(C178)),"Missing price",IF(C178&lt;=0,"Nonpositive price","OK")))))))))</f>
        <v/>
      </c>
      <c r="I178" s="136"/>
      <c r="J178" s="136"/>
      <c r="K178" s="136"/>
      <c r="L178" s="136"/>
      <c r="M178" s="136"/>
      <c r="N178" s="136" t="e">
        <f t="shared" si="7"/>
        <v>#N/A</v>
      </c>
      <c r="O178" s="136" t="e">
        <f t="shared" si="8"/>
        <v>#N/A</v>
      </c>
    </row>
    <row r="179" spans="1:15" ht="22" customHeight="1" x14ac:dyDescent="0.35">
      <c r="A179" s="136">
        <v>135</v>
      </c>
      <c r="B179" s="165" t="str">
        <f>IF($A179&gt;MIN($A$10,$A$2),"",INDEX(DemoHistory[Date],$A179))</f>
        <v/>
      </c>
      <c r="C179" s="166" t="str">
        <f>IF(OR($A179&gt;MIN($A$10,$A$2),$A$5=""),"",INDEX(DemoHistory[],$A179,MATCH($A$5,DemoHistory[#Headers],0)))</f>
        <v/>
      </c>
      <c r="D179" s="166" t="str">
        <f>IF($A179&gt;MIN($A$10,$A$2),"",IF(AND($A$12,$A$6=1,B179&lt;$A$7,$A$7&lt;=MAX(DemoHistory[Date])),$A$8,1))</f>
        <v/>
      </c>
      <c r="E179" s="166" t="str">
        <f t="shared" si="6"/>
        <v/>
      </c>
      <c r="F179" s="166" t="str">
        <f>IF($A179&gt;MIN($A$10,$A$2),"",IF($A179&lt;50,"n.a.",IF(COUNT(INDEX(StockDaily[Adjusted close],MAX(1,$A179-50+1)):E179)=50,AVERAGE(INDEX(StockDaily[Adjusted close],MAX(1,$A179-50+1)):E179),"n.a.")))</f>
        <v/>
      </c>
      <c r="G179" s="166" t="str">
        <f>IF($A179&gt;MIN($A$10,$A$2),"",IF($A179&lt;200,"n.a.",IF(COUNT(INDEX(StockDaily[Adjusted close],MAX(1,$A179-200+1)):E179)=200,AVERAGE(INDEX(StockDaily[Adjusted close],MAX(1,$A179-200+1)):E179),"n.a.")))</f>
        <v/>
      </c>
      <c r="H179" s="136" t="str">
        <f>IF($A179&gt;MIN($A$10,$A$2),"",IF($A$5="","Choose stock",IF(NOT($A$12),"Check split rule",IF(NOT(ISNUMBER(B179)),"Invalid date",IF(OR(B179&lt;=0,B179&lt;&gt;INT(B179)),"Invalid date",IF(COUNTIFS(DemoHistory[Date],B179)&lt;&gt;1,"Duplicate date",IF(AND($A179&gt;1,B179&lt;=B178),"Dates out of order",IF(NOT(ISNUMBER(C179)),"Missing price",IF(C179&lt;=0,"Nonpositive price","OK")))))))))</f>
        <v/>
      </c>
      <c r="I179" s="136"/>
      <c r="J179" s="136"/>
      <c r="K179" s="136"/>
      <c r="L179" s="136"/>
      <c r="M179" s="136"/>
      <c r="N179" s="136" t="e">
        <f t="shared" si="7"/>
        <v>#N/A</v>
      </c>
      <c r="O179" s="136" t="e">
        <f t="shared" si="8"/>
        <v>#N/A</v>
      </c>
    </row>
    <row r="180" spans="1:15" ht="22" customHeight="1" x14ac:dyDescent="0.35">
      <c r="A180" s="136">
        <v>136</v>
      </c>
      <c r="B180" s="165" t="str">
        <f>IF($A180&gt;MIN($A$10,$A$2),"",INDEX(DemoHistory[Date],$A180))</f>
        <v/>
      </c>
      <c r="C180" s="166" t="str">
        <f>IF(OR($A180&gt;MIN($A$10,$A$2),$A$5=""),"",INDEX(DemoHistory[],$A180,MATCH($A$5,DemoHistory[#Headers],0)))</f>
        <v/>
      </c>
      <c r="D180" s="166" t="str">
        <f>IF($A180&gt;MIN($A$10,$A$2),"",IF(AND($A$12,$A$6=1,B180&lt;$A$7,$A$7&lt;=MAX(DemoHistory[Date])),$A$8,1))</f>
        <v/>
      </c>
      <c r="E180" s="166" t="str">
        <f t="shared" si="6"/>
        <v/>
      </c>
      <c r="F180" s="166" t="str">
        <f>IF($A180&gt;MIN($A$10,$A$2),"",IF($A180&lt;50,"n.a.",IF(COUNT(INDEX(StockDaily[Adjusted close],MAX(1,$A180-50+1)):E180)=50,AVERAGE(INDEX(StockDaily[Adjusted close],MAX(1,$A180-50+1)):E180),"n.a.")))</f>
        <v/>
      </c>
      <c r="G180" s="166" t="str">
        <f>IF($A180&gt;MIN($A$10,$A$2),"",IF($A180&lt;200,"n.a.",IF(COUNT(INDEX(StockDaily[Adjusted close],MAX(1,$A180-200+1)):E180)=200,AVERAGE(INDEX(StockDaily[Adjusted close],MAX(1,$A180-200+1)):E180),"n.a.")))</f>
        <v/>
      </c>
      <c r="H180" s="136" t="str">
        <f>IF($A180&gt;MIN($A$10,$A$2),"",IF($A$5="","Choose stock",IF(NOT($A$12),"Check split rule",IF(NOT(ISNUMBER(B180)),"Invalid date",IF(OR(B180&lt;=0,B180&lt;&gt;INT(B180)),"Invalid date",IF(COUNTIFS(DemoHistory[Date],B180)&lt;&gt;1,"Duplicate date",IF(AND($A180&gt;1,B180&lt;=B179),"Dates out of order",IF(NOT(ISNUMBER(C180)),"Missing price",IF(C180&lt;=0,"Nonpositive price","OK")))))))))</f>
        <v/>
      </c>
      <c r="I180" s="136"/>
      <c r="J180" s="136"/>
      <c r="K180" s="136"/>
      <c r="L180" s="136"/>
      <c r="M180" s="136"/>
      <c r="N180" s="136" t="e">
        <f t="shared" si="7"/>
        <v>#N/A</v>
      </c>
      <c r="O180" s="136" t="e">
        <f t="shared" si="8"/>
        <v>#N/A</v>
      </c>
    </row>
    <row r="181" spans="1:15" ht="22" customHeight="1" x14ac:dyDescent="0.35">
      <c r="A181" s="136">
        <v>137</v>
      </c>
      <c r="B181" s="165" t="str">
        <f>IF($A181&gt;MIN($A$10,$A$2),"",INDEX(DemoHistory[Date],$A181))</f>
        <v/>
      </c>
      <c r="C181" s="166" t="str">
        <f>IF(OR($A181&gt;MIN($A$10,$A$2),$A$5=""),"",INDEX(DemoHistory[],$A181,MATCH($A$5,DemoHistory[#Headers],0)))</f>
        <v/>
      </c>
      <c r="D181" s="166" t="str">
        <f>IF($A181&gt;MIN($A$10,$A$2),"",IF(AND($A$12,$A$6=1,B181&lt;$A$7,$A$7&lt;=MAX(DemoHistory[Date])),$A$8,1))</f>
        <v/>
      </c>
      <c r="E181" s="166" t="str">
        <f t="shared" si="6"/>
        <v/>
      </c>
      <c r="F181" s="166" t="str">
        <f>IF($A181&gt;MIN($A$10,$A$2),"",IF($A181&lt;50,"n.a.",IF(COUNT(INDEX(StockDaily[Adjusted close],MAX(1,$A181-50+1)):E181)=50,AVERAGE(INDEX(StockDaily[Adjusted close],MAX(1,$A181-50+1)):E181),"n.a.")))</f>
        <v/>
      </c>
      <c r="G181" s="166" t="str">
        <f>IF($A181&gt;MIN($A$10,$A$2),"",IF($A181&lt;200,"n.a.",IF(COUNT(INDEX(StockDaily[Adjusted close],MAX(1,$A181-200+1)):E181)=200,AVERAGE(INDEX(StockDaily[Adjusted close],MAX(1,$A181-200+1)):E181),"n.a.")))</f>
        <v/>
      </c>
      <c r="H181" s="136" t="str">
        <f>IF($A181&gt;MIN($A$10,$A$2),"",IF($A$5="","Choose stock",IF(NOT($A$12),"Check split rule",IF(NOT(ISNUMBER(B181)),"Invalid date",IF(OR(B181&lt;=0,B181&lt;&gt;INT(B181)),"Invalid date",IF(COUNTIFS(DemoHistory[Date],B181)&lt;&gt;1,"Duplicate date",IF(AND($A181&gt;1,B181&lt;=B180),"Dates out of order",IF(NOT(ISNUMBER(C181)),"Missing price",IF(C181&lt;=0,"Nonpositive price","OK")))))))))</f>
        <v/>
      </c>
      <c r="I181" s="136"/>
      <c r="J181" s="136"/>
      <c r="K181" s="136"/>
      <c r="L181" s="136"/>
      <c r="M181" s="136"/>
      <c r="N181" s="136" t="e">
        <f t="shared" si="7"/>
        <v>#N/A</v>
      </c>
      <c r="O181" s="136" t="e">
        <f t="shared" si="8"/>
        <v>#N/A</v>
      </c>
    </row>
    <row r="182" spans="1:15" ht="22" customHeight="1" x14ac:dyDescent="0.35">
      <c r="A182" s="136">
        <v>138</v>
      </c>
      <c r="B182" s="165" t="str">
        <f>IF($A182&gt;MIN($A$10,$A$2),"",INDEX(DemoHistory[Date],$A182))</f>
        <v/>
      </c>
      <c r="C182" s="166" t="str">
        <f>IF(OR($A182&gt;MIN($A$10,$A$2),$A$5=""),"",INDEX(DemoHistory[],$A182,MATCH($A$5,DemoHistory[#Headers],0)))</f>
        <v/>
      </c>
      <c r="D182" s="166" t="str">
        <f>IF($A182&gt;MIN($A$10,$A$2),"",IF(AND($A$12,$A$6=1,B182&lt;$A$7,$A$7&lt;=MAX(DemoHistory[Date])),$A$8,1))</f>
        <v/>
      </c>
      <c r="E182" s="166" t="str">
        <f t="shared" si="6"/>
        <v/>
      </c>
      <c r="F182" s="166" t="str">
        <f>IF($A182&gt;MIN($A$10,$A$2),"",IF($A182&lt;50,"n.a.",IF(COUNT(INDEX(StockDaily[Adjusted close],MAX(1,$A182-50+1)):E182)=50,AVERAGE(INDEX(StockDaily[Adjusted close],MAX(1,$A182-50+1)):E182),"n.a.")))</f>
        <v/>
      </c>
      <c r="G182" s="166" t="str">
        <f>IF($A182&gt;MIN($A$10,$A$2),"",IF($A182&lt;200,"n.a.",IF(COUNT(INDEX(StockDaily[Adjusted close],MAX(1,$A182-200+1)):E182)=200,AVERAGE(INDEX(StockDaily[Adjusted close],MAX(1,$A182-200+1)):E182),"n.a.")))</f>
        <v/>
      </c>
      <c r="H182" s="136" t="str">
        <f>IF($A182&gt;MIN($A$10,$A$2),"",IF($A$5="","Choose stock",IF(NOT($A$12),"Check split rule",IF(NOT(ISNUMBER(B182)),"Invalid date",IF(OR(B182&lt;=0,B182&lt;&gt;INT(B182)),"Invalid date",IF(COUNTIFS(DemoHistory[Date],B182)&lt;&gt;1,"Duplicate date",IF(AND($A182&gt;1,B182&lt;=B181),"Dates out of order",IF(NOT(ISNUMBER(C182)),"Missing price",IF(C182&lt;=0,"Nonpositive price","OK")))))))))</f>
        <v/>
      </c>
      <c r="I182" s="136"/>
      <c r="J182" s="136"/>
      <c r="K182" s="136"/>
      <c r="L182" s="136"/>
      <c r="M182" s="136"/>
      <c r="N182" s="136" t="e">
        <f t="shared" si="7"/>
        <v>#N/A</v>
      </c>
      <c r="O182" s="136" t="e">
        <f t="shared" si="8"/>
        <v>#N/A</v>
      </c>
    </row>
    <row r="183" spans="1:15" ht="22" customHeight="1" x14ac:dyDescent="0.35">
      <c r="A183" s="136">
        <v>139</v>
      </c>
      <c r="B183" s="165" t="str">
        <f>IF($A183&gt;MIN($A$10,$A$2),"",INDEX(DemoHistory[Date],$A183))</f>
        <v/>
      </c>
      <c r="C183" s="166" t="str">
        <f>IF(OR($A183&gt;MIN($A$10,$A$2),$A$5=""),"",INDEX(DemoHistory[],$A183,MATCH($A$5,DemoHistory[#Headers],0)))</f>
        <v/>
      </c>
      <c r="D183" s="166" t="str">
        <f>IF($A183&gt;MIN($A$10,$A$2),"",IF(AND($A$12,$A$6=1,B183&lt;$A$7,$A$7&lt;=MAX(DemoHistory[Date])),$A$8,1))</f>
        <v/>
      </c>
      <c r="E183" s="166" t="str">
        <f t="shared" si="6"/>
        <v/>
      </c>
      <c r="F183" s="166" t="str">
        <f>IF($A183&gt;MIN($A$10,$A$2),"",IF($A183&lt;50,"n.a.",IF(COUNT(INDEX(StockDaily[Adjusted close],MAX(1,$A183-50+1)):E183)=50,AVERAGE(INDEX(StockDaily[Adjusted close],MAX(1,$A183-50+1)):E183),"n.a.")))</f>
        <v/>
      </c>
      <c r="G183" s="166" t="str">
        <f>IF($A183&gt;MIN($A$10,$A$2),"",IF($A183&lt;200,"n.a.",IF(COUNT(INDEX(StockDaily[Adjusted close],MAX(1,$A183-200+1)):E183)=200,AVERAGE(INDEX(StockDaily[Adjusted close],MAX(1,$A183-200+1)):E183),"n.a.")))</f>
        <v/>
      </c>
      <c r="H183" s="136" t="str">
        <f>IF($A183&gt;MIN($A$10,$A$2),"",IF($A$5="","Choose stock",IF(NOT($A$12),"Check split rule",IF(NOT(ISNUMBER(B183)),"Invalid date",IF(OR(B183&lt;=0,B183&lt;&gt;INT(B183)),"Invalid date",IF(COUNTIFS(DemoHistory[Date],B183)&lt;&gt;1,"Duplicate date",IF(AND($A183&gt;1,B183&lt;=B182),"Dates out of order",IF(NOT(ISNUMBER(C183)),"Missing price",IF(C183&lt;=0,"Nonpositive price","OK")))))))))</f>
        <v/>
      </c>
      <c r="I183" s="136"/>
      <c r="J183" s="136"/>
      <c r="K183" s="136"/>
      <c r="L183" s="136"/>
      <c r="M183" s="136"/>
      <c r="N183" s="136" t="e">
        <f t="shared" si="7"/>
        <v>#N/A</v>
      </c>
      <c r="O183" s="136" t="e">
        <f t="shared" si="8"/>
        <v>#N/A</v>
      </c>
    </row>
    <row r="184" spans="1:15" ht="22" customHeight="1" x14ac:dyDescent="0.35">
      <c r="A184" s="136">
        <v>140</v>
      </c>
      <c r="B184" s="165" t="str">
        <f>IF($A184&gt;MIN($A$10,$A$2),"",INDEX(DemoHistory[Date],$A184))</f>
        <v/>
      </c>
      <c r="C184" s="166" t="str">
        <f>IF(OR($A184&gt;MIN($A$10,$A$2),$A$5=""),"",INDEX(DemoHistory[],$A184,MATCH($A$5,DemoHistory[#Headers],0)))</f>
        <v/>
      </c>
      <c r="D184" s="166" t="str">
        <f>IF($A184&gt;MIN($A$10,$A$2),"",IF(AND($A$12,$A$6=1,B184&lt;$A$7,$A$7&lt;=MAX(DemoHistory[Date])),$A$8,1))</f>
        <v/>
      </c>
      <c r="E184" s="166" t="str">
        <f t="shared" si="6"/>
        <v/>
      </c>
      <c r="F184" s="166" t="str">
        <f>IF($A184&gt;MIN($A$10,$A$2),"",IF($A184&lt;50,"n.a.",IF(COUNT(INDEX(StockDaily[Adjusted close],MAX(1,$A184-50+1)):E184)=50,AVERAGE(INDEX(StockDaily[Adjusted close],MAX(1,$A184-50+1)):E184),"n.a.")))</f>
        <v/>
      </c>
      <c r="G184" s="166" t="str">
        <f>IF($A184&gt;MIN($A$10,$A$2),"",IF($A184&lt;200,"n.a.",IF(COUNT(INDEX(StockDaily[Adjusted close],MAX(1,$A184-200+1)):E184)=200,AVERAGE(INDEX(StockDaily[Adjusted close],MAX(1,$A184-200+1)):E184),"n.a.")))</f>
        <v/>
      </c>
      <c r="H184" s="136" t="str">
        <f>IF($A184&gt;MIN($A$10,$A$2),"",IF($A$5="","Choose stock",IF(NOT($A$12),"Check split rule",IF(NOT(ISNUMBER(B184)),"Invalid date",IF(OR(B184&lt;=0,B184&lt;&gt;INT(B184)),"Invalid date",IF(COUNTIFS(DemoHistory[Date],B184)&lt;&gt;1,"Duplicate date",IF(AND($A184&gt;1,B184&lt;=B183),"Dates out of order",IF(NOT(ISNUMBER(C184)),"Missing price",IF(C184&lt;=0,"Nonpositive price","OK")))))))))</f>
        <v/>
      </c>
      <c r="I184" s="136"/>
      <c r="J184" s="136"/>
      <c r="K184" s="136"/>
      <c r="L184" s="136"/>
      <c r="M184" s="136"/>
      <c r="N184" s="136" t="e">
        <f t="shared" si="7"/>
        <v>#N/A</v>
      </c>
      <c r="O184" s="136" t="e">
        <f t="shared" si="8"/>
        <v>#N/A</v>
      </c>
    </row>
    <row r="185" spans="1:15" ht="22" customHeight="1" x14ac:dyDescent="0.35">
      <c r="A185" s="136">
        <v>141</v>
      </c>
      <c r="B185" s="165" t="str">
        <f>IF($A185&gt;MIN($A$10,$A$2),"",INDEX(DemoHistory[Date],$A185))</f>
        <v/>
      </c>
      <c r="C185" s="166" t="str">
        <f>IF(OR($A185&gt;MIN($A$10,$A$2),$A$5=""),"",INDEX(DemoHistory[],$A185,MATCH($A$5,DemoHistory[#Headers],0)))</f>
        <v/>
      </c>
      <c r="D185" s="166" t="str">
        <f>IF($A185&gt;MIN($A$10,$A$2),"",IF(AND($A$12,$A$6=1,B185&lt;$A$7,$A$7&lt;=MAX(DemoHistory[Date])),$A$8,1))</f>
        <v/>
      </c>
      <c r="E185" s="166" t="str">
        <f t="shared" si="6"/>
        <v/>
      </c>
      <c r="F185" s="166" t="str">
        <f>IF($A185&gt;MIN($A$10,$A$2),"",IF($A185&lt;50,"n.a.",IF(COUNT(INDEX(StockDaily[Adjusted close],MAX(1,$A185-50+1)):E185)=50,AVERAGE(INDEX(StockDaily[Adjusted close],MAX(1,$A185-50+1)):E185),"n.a.")))</f>
        <v/>
      </c>
      <c r="G185" s="166" t="str">
        <f>IF($A185&gt;MIN($A$10,$A$2),"",IF($A185&lt;200,"n.a.",IF(COUNT(INDEX(StockDaily[Adjusted close],MAX(1,$A185-200+1)):E185)=200,AVERAGE(INDEX(StockDaily[Adjusted close],MAX(1,$A185-200+1)):E185),"n.a.")))</f>
        <v/>
      </c>
      <c r="H185" s="136" t="str">
        <f>IF($A185&gt;MIN($A$10,$A$2),"",IF($A$5="","Choose stock",IF(NOT($A$12),"Check split rule",IF(NOT(ISNUMBER(B185)),"Invalid date",IF(OR(B185&lt;=0,B185&lt;&gt;INT(B185)),"Invalid date",IF(COUNTIFS(DemoHistory[Date],B185)&lt;&gt;1,"Duplicate date",IF(AND($A185&gt;1,B185&lt;=B184),"Dates out of order",IF(NOT(ISNUMBER(C185)),"Missing price",IF(C185&lt;=0,"Nonpositive price","OK")))))))))</f>
        <v/>
      </c>
      <c r="I185" s="136"/>
      <c r="J185" s="136"/>
      <c r="K185" s="136"/>
      <c r="L185" s="136"/>
      <c r="M185" s="136"/>
      <c r="N185" s="136" t="e">
        <f t="shared" si="7"/>
        <v>#N/A</v>
      </c>
      <c r="O185" s="136" t="e">
        <f t="shared" si="8"/>
        <v>#N/A</v>
      </c>
    </row>
    <row r="186" spans="1:15" ht="22" customHeight="1" x14ac:dyDescent="0.35">
      <c r="A186" s="136">
        <v>142</v>
      </c>
      <c r="B186" s="165" t="str">
        <f>IF($A186&gt;MIN($A$10,$A$2),"",INDEX(DemoHistory[Date],$A186))</f>
        <v/>
      </c>
      <c r="C186" s="166" t="str">
        <f>IF(OR($A186&gt;MIN($A$10,$A$2),$A$5=""),"",INDEX(DemoHistory[],$A186,MATCH($A$5,DemoHistory[#Headers],0)))</f>
        <v/>
      </c>
      <c r="D186" s="166" t="str">
        <f>IF($A186&gt;MIN($A$10,$A$2),"",IF(AND($A$12,$A$6=1,B186&lt;$A$7,$A$7&lt;=MAX(DemoHistory[Date])),$A$8,1))</f>
        <v/>
      </c>
      <c r="E186" s="166" t="str">
        <f t="shared" si="6"/>
        <v/>
      </c>
      <c r="F186" s="166" t="str">
        <f>IF($A186&gt;MIN($A$10,$A$2),"",IF($A186&lt;50,"n.a.",IF(COUNT(INDEX(StockDaily[Adjusted close],MAX(1,$A186-50+1)):E186)=50,AVERAGE(INDEX(StockDaily[Adjusted close],MAX(1,$A186-50+1)):E186),"n.a.")))</f>
        <v/>
      </c>
      <c r="G186" s="166" t="str">
        <f>IF($A186&gt;MIN($A$10,$A$2),"",IF($A186&lt;200,"n.a.",IF(COUNT(INDEX(StockDaily[Adjusted close],MAX(1,$A186-200+1)):E186)=200,AVERAGE(INDEX(StockDaily[Adjusted close],MAX(1,$A186-200+1)):E186),"n.a.")))</f>
        <v/>
      </c>
      <c r="H186" s="136" t="str">
        <f>IF($A186&gt;MIN($A$10,$A$2),"",IF($A$5="","Choose stock",IF(NOT($A$12),"Check split rule",IF(NOT(ISNUMBER(B186)),"Invalid date",IF(OR(B186&lt;=0,B186&lt;&gt;INT(B186)),"Invalid date",IF(COUNTIFS(DemoHistory[Date],B186)&lt;&gt;1,"Duplicate date",IF(AND($A186&gt;1,B186&lt;=B185),"Dates out of order",IF(NOT(ISNUMBER(C186)),"Missing price",IF(C186&lt;=0,"Nonpositive price","OK")))))))))</f>
        <v/>
      </c>
      <c r="I186" s="136"/>
      <c r="J186" s="136"/>
      <c r="K186" s="136"/>
      <c r="L186" s="136"/>
      <c r="M186" s="136"/>
      <c r="N186" s="136" t="e">
        <f t="shared" si="7"/>
        <v>#N/A</v>
      </c>
      <c r="O186" s="136" t="e">
        <f t="shared" si="8"/>
        <v>#N/A</v>
      </c>
    </row>
    <row r="187" spans="1:15" ht="22" customHeight="1" x14ac:dyDescent="0.35">
      <c r="A187" s="136">
        <v>143</v>
      </c>
      <c r="B187" s="165" t="str">
        <f>IF($A187&gt;MIN($A$10,$A$2),"",INDEX(DemoHistory[Date],$A187))</f>
        <v/>
      </c>
      <c r="C187" s="166" t="str">
        <f>IF(OR($A187&gt;MIN($A$10,$A$2),$A$5=""),"",INDEX(DemoHistory[],$A187,MATCH($A$5,DemoHistory[#Headers],0)))</f>
        <v/>
      </c>
      <c r="D187" s="166" t="str">
        <f>IF($A187&gt;MIN($A$10,$A$2),"",IF(AND($A$12,$A$6=1,B187&lt;$A$7,$A$7&lt;=MAX(DemoHistory[Date])),$A$8,1))</f>
        <v/>
      </c>
      <c r="E187" s="166" t="str">
        <f t="shared" si="6"/>
        <v/>
      </c>
      <c r="F187" s="166" t="str">
        <f>IF($A187&gt;MIN($A$10,$A$2),"",IF($A187&lt;50,"n.a.",IF(COUNT(INDEX(StockDaily[Adjusted close],MAX(1,$A187-50+1)):E187)=50,AVERAGE(INDEX(StockDaily[Adjusted close],MAX(1,$A187-50+1)):E187),"n.a.")))</f>
        <v/>
      </c>
      <c r="G187" s="166" t="str">
        <f>IF($A187&gt;MIN($A$10,$A$2),"",IF($A187&lt;200,"n.a.",IF(COUNT(INDEX(StockDaily[Adjusted close],MAX(1,$A187-200+1)):E187)=200,AVERAGE(INDEX(StockDaily[Adjusted close],MAX(1,$A187-200+1)):E187),"n.a.")))</f>
        <v/>
      </c>
      <c r="H187" s="136" t="str">
        <f>IF($A187&gt;MIN($A$10,$A$2),"",IF($A$5="","Choose stock",IF(NOT($A$12),"Check split rule",IF(NOT(ISNUMBER(B187)),"Invalid date",IF(OR(B187&lt;=0,B187&lt;&gt;INT(B187)),"Invalid date",IF(COUNTIFS(DemoHistory[Date],B187)&lt;&gt;1,"Duplicate date",IF(AND($A187&gt;1,B187&lt;=B186),"Dates out of order",IF(NOT(ISNUMBER(C187)),"Missing price",IF(C187&lt;=0,"Nonpositive price","OK")))))))))</f>
        <v/>
      </c>
      <c r="I187" s="136"/>
      <c r="J187" s="136"/>
      <c r="K187" s="136"/>
      <c r="L187" s="136"/>
      <c r="M187" s="136"/>
      <c r="N187" s="136" t="e">
        <f t="shared" si="7"/>
        <v>#N/A</v>
      </c>
      <c r="O187" s="136" t="e">
        <f t="shared" si="8"/>
        <v>#N/A</v>
      </c>
    </row>
    <row r="188" spans="1:15" ht="22" customHeight="1" x14ac:dyDescent="0.35">
      <c r="A188" s="136">
        <v>144</v>
      </c>
      <c r="B188" s="165" t="str">
        <f>IF($A188&gt;MIN($A$10,$A$2),"",INDEX(DemoHistory[Date],$A188))</f>
        <v/>
      </c>
      <c r="C188" s="166" t="str">
        <f>IF(OR($A188&gt;MIN($A$10,$A$2),$A$5=""),"",INDEX(DemoHistory[],$A188,MATCH($A$5,DemoHistory[#Headers],0)))</f>
        <v/>
      </c>
      <c r="D188" s="166" t="str">
        <f>IF($A188&gt;MIN($A$10,$A$2),"",IF(AND($A$12,$A$6=1,B188&lt;$A$7,$A$7&lt;=MAX(DemoHistory[Date])),$A$8,1))</f>
        <v/>
      </c>
      <c r="E188" s="166" t="str">
        <f t="shared" si="6"/>
        <v/>
      </c>
      <c r="F188" s="166" t="str">
        <f>IF($A188&gt;MIN($A$10,$A$2),"",IF($A188&lt;50,"n.a.",IF(COUNT(INDEX(StockDaily[Adjusted close],MAX(1,$A188-50+1)):E188)=50,AVERAGE(INDEX(StockDaily[Adjusted close],MAX(1,$A188-50+1)):E188),"n.a.")))</f>
        <v/>
      </c>
      <c r="G188" s="166" t="str">
        <f>IF($A188&gt;MIN($A$10,$A$2),"",IF($A188&lt;200,"n.a.",IF(COUNT(INDEX(StockDaily[Adjusted close],MAX(1,$A188-200+1)):E188)=200,AVERAGE(INDEX(StockDaily[Adjusted close],MAX(1,$A188-200+1)):E188),"n.a.")))</f>
        <v/>
      </c>
      <c r="H188" s="136" t="str">
        <f>IF($A188&gt;MIN($A$10,$A$2),"",IF($A$5="","Choose stock",IF(NOT($A$12),"Check split rule",IF(NOT(ISNUMBER(B188)),"Invalid date",IF(OR(B188&lt;=0,B188&lt;&gt;INT(B188)),"Invalid date",IF(COUNTIFS(DemoHistory[Date],B188)&lt;&gt;1,"Duplicate date",IF(AND($A188&gt;1,B188&lt;=B187),"Dates out of order",IF(NOT(ISNUMBER(C188)),"Missing price",IF(C188&lt;=0,"Nonpositive price","OK")))))))))</f>
        <v/>
      </c>
      <c r="I188" s="136"/>
      <c r="J188" s="136"/>
      <c r="K188" s="136"/>
      <c r="L188" s="136"/>
      <c r="M188" s="136"/>
      <c r="N188" s="136" t="e">
        <f t="shared" si="7"/>
        <v>#N/A</v>
      </c>
      <c r="O188" s="136" t="e">
        <f t="shared" si="8"/>
        <v>#N/A</v>
      </c>
    </row>
    <row r="189" spans="1:15" ht="22" customHeight="1" x14ac:dyDescent="0.35">
      <c r="A189" s="136">
        <v>145</v>
      </c>
      <c r="B189" s="165" t="str">
        <f>IF($A189&gt;MIN($A$10,$A$2),"",INDEX(DemoHistory[Date],$A189))</f>
        <v/>
      </c>
      <c r="C189" s="166" t="str">
        <f>IF(OR($A189&gt;MIN($A$10,$A$2),$A$5=""),"",INDEX(DemoHistory[],$A189,MATCH($A$5,DemoHistory[#Headers],0)))</f>
        <v/>
      </c>
      <c r="D189" s="166" t="str">
        <f>IF($A189&gt;MIN($A$10,$A$2),"",IF(AND($A$12,$A$6=1,B189&lt;$A$7,$A$7&lt;=MAX(DemoHistory[Date])),$A$8,1))</f>
        <v/>
      </c>
      <c r="E189" s="166" t="str">
        <f t="shared" si="6"/>
        <v/>
      </c>
      <c r="F189" s="166" t="str">
        <f>IF($A189&gt;MIN($A$10,$A$2),"",IF($A189&lt;50,"n.a.",IF(COUNT(INDEX(StockDaily[Adjusted close],MAX(1,$A189-50+1)):E189)=50,AVERAGE(INDEX(StockDaily[Adjusted close],MAX(1,$A189-50+1)):E189),"n.a.")))</f>
        <v/>
      </c>
      <c r="G189" s="166" t="str">
        <f>IF($A189&gt;MIN($A$10,$A$2),"",IF($A189&lt;200,"n.a.",IF(COUNT(INDEX(StockDaily[Adjusted close],MAX(1,$A189-200+1)):E189)=200,AVERAGE(INDEX(StockDaily[Adjusted close],MAX(1,$A189-200+1)):E189),"n.a.")))</f>
        <v/>
      </c>
      <c r="H189" s="136" t="str">
        <f>IF($A189&gt;MIN($A$10,$A$2),"",IF($A$5="","Choose stock",IF(NOT($A$12),"Check split rule",IF(NOT(ISNUMBER(B189)),"Invalid date",IF(OR(B189&lt;=0,B189&lt;&gt;INT(B189)),"Invalid date",IF(COUNTIFS(DemoHistory[Date],B189)&lt;&gt;1,"Duplicate date",IF(AND($A189&gt;1,B189&lt;=B188),"Dates out of order",IF(NOT(ISNUMBER(C189)),"Missing price",IF(C189&lt;=0,"Nonpositive price","OK")))))))))</f>
        <v/>
      </c>
      <c r="I189" s="136"/>
      <c r="J189" s="136"/>
      <c r="K189" s="136"/>
      <c r="L189" s="136"/>
      <c r="M189" s="136"/>
      <c r="N189" s="136" t="e">
        <f t="shared" si="7"/>
        <v>#N/A</v>
      </c>
      <c r="O189" s="136" t="e">
        <f t="shared" si="8"/>
        <v>#N/A</v>
      </c>
    </row>
    <row r="190" spans="1:15" ht="22" customHeight="1" x14ac:dyDescent="0.35">
      <c r="A190" s="136">
        <v>146</v>
      </c>
      <c r="B190" s="165" t="str">
        <f>IF($A190&gt;MIN($A$10,$A$2),"",INDEX(DemoHistory[Date],$A190))</f>
        <v/>
      </c>
      <c r="C190" s="166" t="str">
        <f>IF(OR($A190&gt;MIN($A$10,$A$2),$A$5=""),"",INDEX(DemoHistory[],$A190,MATCH($A$5,DemoHistory[#Headers],0)))</f>
        <v/>
      </c>
      <c r="D190" s="166" t="str">
        <f>IF($A190&gt;MIN($A$10,$A$2),"",IF(AND($A$12,$A$6=1,B190&lt;$A$7,$A$7&lt;=MAX(DemoHistory[Date])),$A$8,1))</f>
        <v/>
      </c>
      <c r="E190" s="166" t="str">
        <f t="shared" si="6"/>
        <v/>
      </c>
      <c r="F190" s="166" t="str">
        <f>IF($A190&gt;MIN($A$10,$A$2),"",IF($A190&lt;50,"n.a.",IF(COUNT(INDEX(StockDaily[Adjusted close],MAX(1,$A190-50+1)):E190)=50,AVERAGE(INDEX(StockDaily[Adjusted close],MAX(1,$A190-50+1)):E190),"n.a.")))</f>
        <v/>
      </c>
      <c r="G190" s="166" t="str">
        <f>IF($A190&gt;MIN($A$10,$A$2),"",IF($A190&lt;200,"n.a.",IF(COUNT(INDEX(StockDaily[Adjusted close],MAX(1,$A190-200+1)):E190)=200,AVERAGE(INDEX(StockDaily[Adjusted close],MAX(1,$A190-200+1)):E190),"n.a.")))</f>
        <v/>
      </c>
      <c r="H190" s="136" t="str">
        <f>IF($A190&gt;MIN($A$10,$A$2),"",IF($A$5="","Choose stock",IF(NOT($A$12),"Check split rule",IF(NOT(ISNUMBER(B190)),"Invalid date",IF(OR(B190&lt;=0,B190&lt;&gt;INT(B190)),"Invalid date",IF(COUNTIFS(DemoHistory[Date],B190)&lt;&gt;1,"Duplicate date",IF(AND($A190&gt;1,B190&lt;=B189),"Dates out of order",IF(NOT(ISNUMBER(C190)),"Missing price",IF(C190&lt;=0,"Nonpositive price","OK")))))))))</f>
        <v/>
      </c>
      <c r="I190" s="136"/>
      <c r="J190" s="136"/>
      <c r="K190" s="136"/>
      <c r="L190" s="136"/>
      <c r="M190" s="136"/>
      <c r="N190" s="136" t="e">
        <f t="shared" si="7"/>
        <v>#N/A</v>
      </c>
      <c r="O190" s="136" t="e">
        <f t="shared" si="8"/>
        <v>#N/A</v>
      </c>
    </row>
    <row r="191" spans="1:15" ht="22" customHeight="1" x14ac:dyDescent="0.35">
      <c r="A191" s="136">
        <v>147</v>
      </c>
      <c r="B191" s="165" t="str">
        <f>IF($A191&gt;MIN($A$10,$A$2),"",INDEX(DemoHistory[Date],$A191))</f>
        <v/>
      </c>
      <c r="C191" s="166" t="str">
        <f>IF(OR($A191&gt;MIN($A$10,$A$2),$A$5=""),"",INDEX(DemoHistory[],$A191,MATCH($A$5,DemoHistory[#Headers],0)))</f>
        <v/>
      </c>
      <c r="D191" s="166" t="str">
        <f>IF($A191&gt;MIN($A$10,$A$2),"",IF(AND($A$12,$A$6=1,B191&lt;$A$7,$A$7&lt;=MAX(DemoHistory[Date])),$A$8,1))</f>
        <v/>
      </c>
      <c r="E191" s="166" t="str">
        <f t="shared" si="6"/>
        <v/>
      </c>
      <c r="F191" s="166" t="str">
        <f>IF($A191&gt;MIN($A$10,$A$2),"",IF($A191&lt;50,"n.a.",IF(COUNT(INDEX(StockDaily[Adjusted close],MAX(1,$A191-50+1)):E191)=50,AVERAGE(INDEX(StockDaily[Adjusted close],MAX(1,$A191-50+1)):E191),"n.a.")))</f>
        <v/>
      </c>
      <c r="G191" s="166" t="str">
        <f>IF($A191&gt;MIN($A$10,$A$2),"",IF($A191&lt;200,"n.a.",IF(COUNT(INDEX(StockDaily[Adjusted close],MAX(1,$A191-200+1)):E191)=200,AVERAGE(INDEX(StockDaily[Adjusted close],MAX(1,$A191-200+1)):E191),"n.a.")))</f>
        <v/>
      </c>
      <c r="H191" s="136" t="str">
        <f>IF($A191&gt;MIN($A$10,$A$2),"",IF($A$5="","Choose stock",IF(NOT($A$12),"Check split rule",IF(NOT(ISNUMBER(B191)),"Invalid date",IF(OR(B191&lt;=0,B191&lt;&gt;INT(B191)),"Invalid date",IF(COUNTIFS(DemoHistory[Date],B191)&lt;&gt;1,"Duplicate date",IF(AND($A191&gt;1,B191&lt;=B190),"Dates out of order",IF(NOT(ISNUMBER(C191)),"Missing price",IF(C191&lt;=0,"Nonpositive price","OK")))))))))</f>
        <v/>
      </c>
      <c r="I191" s="136"/>
      <c r="J191" s="136"/>
      <c r="K191" s="136"/>
      <c r="L191" s="136"/>
      <c r="M191" s="136"/>
      <c r="N191" s="136" t="e">
        <f t="shared" si="7"/>
        <v>#N/A</v>
      </c>
      <c r="O191" s="136" t="e">
        <f t="shared" si="8"/>
        <v>#N/A</v>
      </c>
    </row>
    <row r="192" spans="1:15" ht="22" customHeight="1" x14ac:dyDescent="0.35">
      <c r="A192" s="136">
        <v>148</v>
      </c>
      <c r="B192" s="165" t="str">
        <f>IF($A192&gt;MIN($A$10,$A$2),"",INDEX(DemoHistory[Date],$A192))</f>
        <v/>
      </c>
      <c r="C192" s="166" t="str">
        <f>IF(OR($A192&gt;MIN($A$10,$A$2),$A$5=""),"",INDEX(DemoHistory[],$A192,MATCH($A$5,DemoHistory[#Headers],0)))</f>
        <v/>
      </c>
      <c r="D192" s="166" t="str">
        <f>IF($A192&gt;MIN($A$10,$A$2),"",IF(AND($A$12,$A$6=1,B192&lt;$A$7,$A$7&lt;=MAX(DemoHistory[Date])),$A$8,1))</f>
        <v/>
      </c>
      <c r="E192" s="166" t="str">
        <f t="shared" si="6"/>
        <v/>
      </c>
      <c r="F192" s="166" t="str">
        <f>IF($A192&gt;MIN($A$10,$A$2),"",IF($A192&lt;50,"n.a.",IF(COUNT(INDEX(StockDaily[Adjusted close],MAX(1,$A192-50+1)):E192)=50,AVERAGE(INDEX(StockDaily[Adjusted close],MAX(1,$A192-50+1)):E192),"n.a.")))</f>
        <v/>
      </c>
      <c r="G192" s="166" t="str">
        <f>IF($A192&gt;MIN($A$10,$A$2),"",IF($A192&lt;200,"n.a.",IF(COUNT(INDEX(StockDaily[Adjusted close],MAX(1,$A192-200+1)):E192)=200,AVERAGE(INDEX(StockDaily[Adjusted close],MAX(1,$A192-200+1)):E192),"n.a.")))</f>
        <v/>
      </c>
      <c r="H192" s="136" t="str">
        <f>IF($A192&gt;MIN($A$10,$A$2),"",IF($A$5="","Choose stock",IF(NOT($A$12),"Check split rule",IF(NOT(ISNUMBER(B192)),"Invalid date",IF(OR(B192&lt;=0,B192&lt;&gt;INT(B192)),"Invalid date",IF(COUNTIFS(DemoHistory[Date],B192)&lt;&gt;1,"Duplicate date",IF(AND($A192&gt;1,B192&lt;=B191),"Dates out of order",IF(NOT(ISNUMBER(C192)),"Missing price",IF(C192&lt;=0,"Nonpositive price","OK")))))))))</f>
        <v/>
      </c>
      <c r="I192" s="136"/>
      <c r="J192" s="136"/>
      <c r="K192" s="136"/>
      <c r="L192" s="136"/>
      <c r="M192" s="136"/>
      <c r="N192" s="136" t="e">
        <f t="shared" si="7"/>
        <v>#N/A</v>
      </c>
      <c r="O192" s="136" t="e">
        <f t="shared" si="8"/>
        <v>#N/A</v>
      </c>
    </row>
    <row r="193" spans="1:15" ht="22" customHeight="1" x14ac:dyDescent="0.35">
      <c r="A193" s="136">
        <v>149</v>
      </c>
      <c r="B193" s="165" t="str">
        <f>IF($A193&gt;MIN($A$10,$A$2),"",INDEX(DemoHistory[Date],$A193))</f>
        <v/>
      </c>
      <c r="C193" s="166" t="str">
        <f>IF(OR($A193&gt;MIN($A$10,$A$2),$A$5=""),"",INDEX(DemoHistory[],$A193,MATCH($A$5,DemoHistory[#Headers],0)))</f>
        <v/>
      </c>
      <c r="D193" s="166" t="str">
        <f>IF($A193&gt;MIN($A$10,$A$2),"",IF(AND($A$12,$A$6=1,B193&lt;$A$7,$A$7&lt;=MAX(DemoHistory[Date])),$A$8,1))</f>
        <v/>
      </c>
      <c r="E193" s="166" t="str">
        <f t="shared" si="6"/>
        <v/>
      </c>
      <c r="F193" s="166" t="str">
        <f>IF($A193&gt;MIN($A$10,$A$2),"",IF($A193&lt;50,"n.a.",IF(COUNT(INDEX(StockDaily[Adjusted close],MAX(1,$A193-50+1)):E193)=50,AVERAGE(INDEX(StockDaily[Adjusted close],MAX(1,$A193-50+1)):E193),"n.a.")))</f>
        <v/>
      </c>
      <c r="G193" s="166" t="str">
        <f>IF($A193&gt;MIN($A$10,$A$2),"",IF($A193&lt;200,"n.a.",IF(COUNT(INDEX(StockDaily[Adjusted close],MAX(1,$A193-200+1)):E193)=200,AVERAGE(INDEX(StockDaily[Adjusted close],MAX(1,$A193-200+1)):E193),"n.a.")))</f>
        <v/>
      </c>
      <c r="H193" s="136" t="str">
        <f>IF($A193&gt;MIN($A$10,$A$2),"",IF($A$5="","Choose stock",IF(NOT($A$12),"Check split rule",IF(NOT(ISNUMBER(B193)),"Invalid date",IF(OR(B193&lt;=0,B193&lt;&gt;INT(B193)),"Invalid date",IF(COUNTIFS(DemoHistory[Date],B193)&lt;&gt;1,"Duplicate date",IF(AND($A193&gt;1,B193&lt;=B192),"Dates out of order",IF(NOT(ISNUMBER(C193)),"Missing price",IF(C193&lt;=0,"Nonpositive price","OK")))))))))</f>
        <v/>
      </c>
      <c r="I193" s="136"/>
      <c r="J193" s="136"/>
      <c r="K193" s="136"/>
      <c r="L193" s="136"/>
      <c r="M193" s="136"/>
      <c r="N193" s="136" t="e">
        <f t="shared" si="7"/>
        <v>#N/A</v>
      </c>
      <c r="O193" s="136" t="e">
        <f t="shared" si="8"/>
        <v>#N/A</v>
      </c>
    </row>
    <row r="194" spans="1:15" ht="22" customHeight="1" x14ac:dyDescent="0.35">
      <c r="A194" s="136">
        <v>150</v>
      </c>
      <c r="B194" s="165" t="str">
        <f>IF($A194&gt;MIN($A$10,$A$2),"",INDEX(DemoHistory[Date],$A194))</f>
        <v/>
      </c>
      <c r="C194" s="166" t="str">
        <f>IF(OR($A194&gt;MIN($A$10,$A$2),$A$5=""),"",INDEX(DemoHistory[],$A194,MATCH($A$5,DemoHistory[#Headers],0)))</f>
        <v/>
      </c>
      <c r="D194" s="166" t="str">
        <f>IF($A194&gt;MIN($A$10,$A$2),"",IF(AND($A$12,$A$6=1,B194&lt;$A$7,$A$7&lt;=MAX(DemoHistory[Date])),$A$8,1))</f>
        <v/>
      </c>
      <c r="E194" s="166" t="str">
        <f t="shared" si="6"/>
        <v/>
      </c>
      <c r="F194" s="166" t="str">
        <f>IF($A194&gt;MIN($A$10,$A$2),"",IF($A194&lt;50,"n.a.",IF(COUNT(INDEX(StockDaily[Adjusted close],MAX(1,$A194-50+1)):E194)=50,AVERAGE(INDEX(StockDaily[Adjusted close],MAX(1,$A194-50+1)):E194),"n.a.")))</f>
        <v/>
      </c>
      <c r="G194" s="166" t="str">
        <f>IF($A194&gt;MIN($A$10,$A$2),"",IF($A194&lt;200,"n.a.",IF(COUNT(INDEX(StockDaily[Adjusted close],MAX(1,$A194-200+1)):E194)=200,AVERAGE(INDEX(StockDaily[Adjusted close],MAX(1,$A194-200+1)):E194),"n.a.")))</f>
        <v/>
      </c>
      <c r="H194" s="136" t="str">
        <f>IF($A194&gt;MIN($A$10,$A$2),"",IF($A$5="","Choose stock",IF(NOT($A$12),"Check split rule",IF(NOT(ISNUMBER(B194)),"Invalid date",IF(OR(B194&lt;=0,B194&lt;&gt;INT(B194)),"Invalid date",IF(COUNTIFS(DemoHistory[Date],B194)&lt;&gt;1,"Duplicate date",IF(AND($A194&gt;1,B194&lt;=B193),"Dates out of order",IF(NOT(ISNUMBER(C194)),"Missing price",IF(C194&lt;=0,"Nonpositive price","OK")))))))))</f>
        <v/>
      </c>
      <c r="I194" s="136"/>
      <c r="J194" s="136"/>
      <c r="K194" s="136"/>
      <c r="L194" s="136"/>
      <c r="M194" s="136"/>
      <c r="N194" s="136" t="e">
        <f t="shared" si="7"/>
        <v>#N/A</v>
      </c>
      <c r="O194" s="136" t="e">
        <f t="shared" si="8"/>
        <v>#N/A</v>
      </c>
    </row>
    <row r="195" spans="1:15" ht="22" customHeight="1" x14ac:dyDescent="0.35">
      <c r="A195" s="136">
        <v>151</v>
      </c>
      <c r="B195" s="165" t="str">
        <f>IF($A195&gt;MIN($A$10,$A$2),"",INDEX(DemoHistory[Date],$A195))</f>
        <v/>
      </c>
      <c r="C195" s="166" t="str">
        <f>IF(OR($A195&gt;MIN($A$10,$A$2),$A$5=""),"",INDEX(DemoHistory[],$A195,MATCH($A$5,DemoHistory[#Headers],0)))</f>
        <v/>
      </c>
      <c r="D195" s="166" t="str">
        <f>IF($A195&gt;MIN($A$10,$A$2),"",IF(AND($A$12,$A$6=1,B195&lt;$A$7,$A$7&lt;=MAX(DemoHistory[Date])),$A$8,1))</f>
        <v/>
      </c>
      <c r="E195" s="166" t="str">
        <f t="shared" si="6"/>
        <v/>
      </c>
      <c r="F195" s="166" t="str">
        <f>IF($A195&gt;MIN($A$10,$A$2),"",IF($A195&lt;50,"n.a.",IF(COUNT(INDEX(StockDaily[Adjusted close],MAX(1,$A195-50+1)):E195)=50,AVERAGE(INDEX(StockDaily[Adjusted close],MAX(1,$A195-50+1)):E195),"n.a.")))</f>
        <v/>
      </c>
      <c r="G195" s="166" t="str">
        <f>IF($A195&gt;MIN($A$10,$A$2),"",IF($A195&lt;200,"n.a.",IF(COUNT(INDEX(StockDaily[Adjusted close],MAX(1,$A195-200+1)):E195)=200,AVERAGE(INDEX(StockDaily[Adjusted close],MAX(1,$A195-200+1)):E195),"n.a.")))</f>
        <v/>
      </c>
      <c r="H195" s="136" t="str">
        <f>IF($A195&gt;MIN($A$10,$A$2),"",IF($A$5="","Choose stock",IF(NOT($A$12),"Check split rule",IF(NOT(ISNUMBER(B195)),"Invalid date",IF(OR(B195&lt;=0,B195&lt;&gt;INT(B195)),"Invalid date",IF(COUNTIFS(DemoHistory[Date],B195)&lt;&gt;1,"Duplicate date",IF(AND($A195&gt;1,B195&lt;=B194),"Dates out of order",IF(NOT(ISNUMBER(C195)),"Missing price",IF(C195&lt;=0,"Nonpositive price","OK")))))))))</f>
        <v/>
      </c>
      <c r="I195" s="136"/>
      <c r="J195" s="136"/>
      <c r="K195" s="136"/>
      <c r="L195" s="136"/>
      <c r="M195" s="136"/>
      <c r="N195" s="136" t="e">
        <f t="shared" si="7"/>
        <v>#N/A</v>
      </c>
      <c r="O195" s="136" t="e">
        <f t="shared" si="8"/>
        <v>#N/A</v>
      </c>
    </row>
    <row r="196" spans="1:15" ht="22" customHeight="1" x14ac:dyDescent="0.35">
      <c r="A196" s="136">
        <v>152</v>
      </c>
      <c r="B196" s="165" t="str">
        <f>IF($A196&gt;MIN($A$10,$A$2),"",INDEX(DemoHistory[Date],$A196))</f>
        <v/>
      </c>
      <c r="C196" s="166" t="str">
        <f>IF(OR($A196&gt;MIN($A$10,$A$2),$A$5=""),"",INDEX(DemoHistory[],$A196,MATCH($A$5,DemoHistory[#Headers],0)))</f>
        <v/>
      </c>
      <c r="D196" s="166" t="str">
        <f>IF($A196&gt;MIN($A$10,$A$2),"",IF(AND($A$12,$A$6=1,B196&lt;$A$7,$A$7&lt;=MAX(DemoHistory[Date])),$A$8,1))</f>
        <v/>
      </c>
      <c r="E196" s="166" t="str">
        <f t="shared" si="6"/>
        <v/>
      </c>
      <c r="F196" s="166" t="str">
        <f>IF($A196&gt;MIN($A$10,$A$2),"",IF($A196&lt;50,"n.a.",IF(COUNT(INDEX(StockDaily[Adjusted close],MAX(1,$A196-50+1)):E196)=50,AVERAGE(INDEX(StockDaily[Adjusted close],MAX(1,$A196-50+1)):E196),"n.a.")))</f>
        <v/>
      </c>
      <c r="G196" s="166" t="str">
        <f>IF($A196&gt;MIN($A$10,$A$2),"",IF($A196&lt;200,"n.a.",IF(COUNT(INDEX(StockDaily[Adjusted close],MAX(1,$A196-200+1)):E196)=200,AVERAGE(INDEX(StockDaily[Adjusted close],MAX(1,$A196-200+1)):E196),"n.a.")))</f>
        <v/>
      </c>
      <c r="H196" s="136" t="str">
        <f>IF($A196&gt;MIN($A$10,$A$2),"",IF($A$5="","Choose stock",IF(NOT($A$12),"Check split rule",IF(NOT(ISNUMBER(B196)),"Invalid date",IF(OR(B196&lt;=0,B196&lt;&gt;INT(B196)),"Invalid date",IF(COUNTIFS(DemoHistory[Date],B196)&lt;&gt;1,"Duplicate date",IF(AND($A196&gt;1,B196&lt;=B195),"Dates out of order",IF(NOT(ISNUMBER(C196)),"Missing price",IF(C196&lt;=0,"Nonpositive price","OK")))))))))</f>
        <v/>
      </c>
      <c r="I196" s="136"/>
      <c r="J196" s="136"/>
      <c r="K196" s="136"/>
      <c r="L196" s="136"/>
      <c r="M196" s="136"/>
      <c r="N196" s="136" t="e">
        <f t="shared" si="7"/>
        <v>#N/A</v>
      </c>
      <c r="O196" s="136" t="e">
        <f t="shared" si="8"/>
        <v>#N/A</v>
      </c>
    </row>
    <row r="197" spans="1:15" ht="22" customHeight="1" x14ac:dyDescent="0.35">
      <c r="A197" s="136">
        <v>153</v>
      </c>
      <c r="B197" s="165" t="str">
        <f>IF($A197&gt;MIN($A$10,$A$2),"",INDEX(DemoHistory[Date],$A197))</f>
        <v/>
      </c>
      <c r="C197" s="166" t="str">
        <f>IF(OR($A197&gt;MIN($A$10,$A$2),$A$5=""),"",INDEX(DemoHistory[],$A197,MATCH($A$5,DemoHistory[#Headers],0)))</f>
        <v/>
      </c>
      <c r="D197" s="166" t="str">
        <f>IF($A197&gt;MIN($A$10,$A$2),"",IF(AND($A$12,$A$6=1,B197&lt;$A$7,$A$7&lt;=MAX(DemoHistory[Date])),$A$8,1))</f>
        <v/>
      </c>
      <c r="E197" s="166" t="str">
        <f t="shared" si="6"/>
        <v/>
      </c>
      <c r="F197" s="166" t="str">
        <f>IF($A197&gt;MIN($A$10,$A$2),"",IF($A197&lt;50,"n.a.",IF(COUNT(INDEX(StockDaily[Adjusted close],MAX(1,$A197-50+1)):E197)=50,AVERAGE(INDEX(StockDaily[Adjusted close],MAX(1,$A197-50+1)):E197),"n.a.")))</f>
        <v/>
      </c>
      <c r="G197" s="166" t="str">
        <f>IF($A197&gt;MIN($A$10,$A$2),"",IF($A197&lt;200,"n.a.",IF(COUNT(INDEX(StockDaily[Adjusted close],MAX(1,$A197-200+1)):E197)=200,AVERAGE(INDEX(StockDaily[Adjusted close],MAX(1,$A197-200+1)):E197),"n.a.")))</f>
        <v/>
      </c>
      <c r="H197" s="136" t="str">
        <f>IF($A197&gt;MIN($A$10,$A$2),"",IF($A$5="","Choose stock",IF(NOT($A$12),"Check split rule",IF(NOT(ISNUMBER(B197)),"Invalid date",IF(OR(B197&lt;=0,B197&lt;&gt;INT(B197)),"Invalid date",IF(COUNTIFS(DemoHistory[Date],B197)&lt;&gt;1,"Duplicate date",IF(AND($A197&gt;1,B197&lt;=B196),"Dates out of order",IF(NOT(ISNUMBER(C197)),"Missing price",IF(C197&lt;=0,"Nonpositive price","OK")))))))))</f>
        <v/>
      </c>
      <c r="I197" s="136"/>
      <c r="J197" s="136"/>
      <c r="K197" s="136"/>
      <c r="L197" s="136"/>
      <c r="M197" s="136"/>
      <c r="N197" s="136" t="e">
        <f t="shared" si="7"/>
        <v>#N/A</v>
      </c>
      <c r="O197" s="136" t="e">
        <f t="shared" si="8"/>
        <v>#N/A</v>
      </c>
    </row>
    <row r="198" spans="1:15" ht="22" customHeight="1" x14ac:dyDescent="0.35">
      <c r="A198" s="136">
        <v>154</v>
      </c>
      <c r="B198" s="165" t="str">
        <f>IF($A198&gt;MIN($A$10,$A$2),"",INDEX(DemoHistory[Date],$A198))</f>
        <v/>
      </c>
      <c r="C198" s="166" t="str">
        <f>IF(OR($A198&gt;MIN($A$10,$A$2),$A$5=""),"",INDEX(DemoHistory[],$A198,MATCH($A$5,DemoHistory[#Headers],0)))</f>
        <v/>
      </c>
      <c r="D198" s="166" t="str">
        <f>IF($A198&gt;MIN($A$10,$A$2),"",IF(AND($A$12,$A$6=1,B198&lt;$A$7,$A$7&lt;=MAX(DemoHistory[Date])),$A$8,1))</f>
        <v/>
      </c>
      <c r="E198" s="166" t="str">
        <f t="shared" si="6"/>
        <v/>
      </c>
      <c r="F198" s="166" t="str">
        <f>IF($A198&gt;MIN($A$10,$A$2),"",IF($A198&lt;50,"n.a.",IF(COUNT(INDEX(StockDaily[Adjusted close],MAX(1,$A198-50+1)):E198)=50,AVERAGE(INDEX(StockDaily[Adjusted close],MAX(1,$A198-50+1)):E198),"n.a.")))</f>
        <v/>
      </c>
      <c r="G198" s="166" t="str">
        <f>IF($A198&gt;MIN($A$10,$A$2),"",IF($A198&lt;200,"n.a.",IF(COUNT(INDEX(StockDaily[Adjusted close],MAX(1,$A198-200+1)):E198)=200,AVERAGE(INDEX(StockDaily[Adjusted close],MAX(1,$A198-200+1)):E198),"n.a.")))</f>
        <v/>
      </c>
      <c r="H198" s="136" t="str">
        <f>IF($A198&gt;MIN($A$10,$A$2),"",IF($A$5="","Choose stock",IF(NOT($A$12),"Check split rule",IF(NOT(ISNUMBER(B198)),"Invalid date",IF(OR(B198&lt;=0,B198&lt;&gt;INT(B198)),"Invalid date",IF(COUNTIFS(DemoHistory[Date],B198)&lt;&gt;1,"Duplicate date",IF(AND($A198&gt;1,B198&lt;=B197),"Dates out of order",IF(NOT(ISNUMBER(C198)),"Missing price",IF(C198&lt;=0,"Nonpositive price","OK")))))))))</f>
        <v/>
      </c>
      <c r="I198" s="136"/>
      <c r="J198" s="136"/>
      <c r="K198" s="136"/>
      <c r="L198" s="136"/>
      <c r="M198" s="136"/>
      <c r="N198" s="136" t="e">
        <f t="shared" si="7"/>
        <v>#N/A</v>
      </c>
      <c r="O198" s="136" t="e">
        <f t="shared" si="8"/>
        <v>#N/A</v>
      </c>
    </row>
    <row r="199" spans="1:15" ht="22" customHeight="1" x14ac:dyDescent="0.35">
      <c r="A199" s="136">
        <v>155</v>
      </c>
      <c r="B199" s="165" t="str">
        <f>IF($A199&gt;MIN($A$10,$A$2),"",INDEX(DemoHistory[Date],$A199))</f>
        <v/>
      </c>
      <c r="C199" s="166" t="str">
        <f>IF(OR($A199&gt;MIN($A$10,$A$2),$A$5=""),"",INDEX(DemoHistory[],$A199,MATCH($A$5,DemoHistory[#Headers],0)))</f>
        <v/>
      </c>
      <c r="D199" s="166" t="str">
        <f>IF($A199&gt;MIN($A$10,$A$2),"",IF(AND($A$12,$A$6=1,B199&lt;$A$7,$A$7&lt;=MAX(DemoHistory[Date])),$A$8,1))</f>
        <v/>
      </c>
      <c r="E199" s="166" t="str">
        <f t="shared" si="6"/>
        <v/>
      </c>
      <c r="F199" s="166" t="str">
        <f>IF($A199&gt;MIN($A$10,$A$2),"",IF($A199&lt;50,"n.a.",IF(COUNT(INDEX(StockDaily[Adjusted close],MAX(1,$A199-50+1)):E199)=50,AVERAGE(INDEX(StockDaily[Adjusted close],MAX(1,$A199-50+1)):E199),"n.a.")))</f>
        <v/>
      </c>
      <c r="G199" s="166" t="str">
        <f>IF($A199&gt;MIN($A$10,$A$2),"",IF($A199&lt;200,"n.a.",IF(COUNT(INDEX(StockDaily[Adjusted close],MAX(1,$A199-200+1)):E199)=200,AVERAGE(INDEX(StockDaily[Adjusted close],MAX(1,$A199-200+1)):E199),"n.a.")))</f>
        <v/>
      </c>
      <c r="H199" s="136" t="str">
        <f>IF($A199&gt;MIN($A$10,$A$2),"",IF($A$5="","Choose stock",IF(NOT($A$12),"Check split rule",IF(NOT(ISNUMBER(B199)),"Invalid date",IF(OR(B199&lt;=0,B199&lt;&gt;INT(B199)),"Invalid date",IF(COUNTIFS(DemoHistory[Date],B199)&lt;&gt;1,"Duplicate date",IF(AND($A199&gt;1,B199&lt;=B198),"Dates out of order",IF(NOT(ISNUMBER(C199)),"Missing price",IF(C199&lt;=0,"Nonpositive price","OK")))))))))</f>
        <v/>
      </c>
      <c r="I199" s="136"/>
      <c r="J199" s="136"/>
      <c r="K199" s="136"/>
      <c r="L199" s="136"/>
      <c r="M199" s="136"/>
      <c r="N199" s="136" t="e">
        <f t="shared" si="7"/>
        <v>#N/A</v>
      </c>
      <c r="O199" s="136" t="e">
        <f t="shared" si="8"/>
        <v>#N/A</v>
      </c>
    </row>
    <row r="200" spans="1:15" ht="22" customHeight="1" x14ac:dyDescent="0.35">
      <c r="A200" s="136">
        <v>156</v>
      </c>
      <c r="B200" s="165" t="str">
        <f>IF($A200&gt;MIN($A$10,$A$2),"",INDEX(DemoHistory[Date],$A200))</f>
        <v/>
      </c>
      <c r="C200" s="166" t="str">
        <f>IF(OR($A200&gt;MIN($A$10,$A$2),$A$5=""),"",INDEX(DemoHistory[],$A200,MATCH($A$5,DemoHistory[#Headers],0)))</f>
        <v/>
      </c>
      <c r="D200" s="166" t="str">
        <f>IF($A200&gt;MIN($A$10,$A$2),"",IF(AND($A$12,$A$6=1,B200&lt;$A$7,$A$7&lt;=MAX(DemoHistory[Date])),$A$8,1))</f>
        <v/>
      </c>
      <c r="E200" s="166" t="str">
        <f t="shared" si="6"/>
        <v/>
      </c>
      <c r="F200" s="166" t="str">
        <f>IF($A200&gt;MIN($A$10,$A$2),"",IF($A200&lt;50,"n.a.",IF(COUNT(INDEX(StockDaily[Adjusted close],MAX(1,$A200-50+1)):E200)=50,AVERAGE(INDEX(StockDaily[Adjusted close],MAX(1,$A200-50+1)):E200),"n.a.")))</f>
        <v/>
      </c>
      <c r="G200" s="166" t="str">
        <f>IF($A200&gt;MIN($A$10,$A$2),"",IF($A200&lt;200,"n.a.",IF(COUNT(INDEX(StockDaily[Adjusted close],MAX(1,$A200-200+1)):E200)=200,AVERAGE(INDEX(StockDaily[Adjusted close],MAX(1,$A200-200+1)):E200),"n.a.")))</f>
        <v/>
      </c>
      <c r="H200" s="136" t="str">
        <f>IF($A200&gt;MIN($A$10,$A$2),"",IF($A$5="","Choose stock",IF(NOT($A$12),"Check split rule",IF(NOT(ISNUMBER(B200)),"Invalid date",IF(OR(B200&lt;=0,B200&lt;&gt;INT(B200)),"Invalid date",IF(COUNTIFS(DemoHistory[Date],B200)&lt;&gt;1,"Duplicate date",IF(AND($A200&gt;1,B200&lt;=B199),"Dates out of order",IF(NOT(ISNUMBER(C200)),"Missing price",IF(C200&lt;=0,"Nonpositive price","OK")))))))))</f>
        <v/>
      </c>
      <c r="I200" s="136"/>
      <c r="J200" s="136"/>
      <c r="K200" s="136"/>
      <c r="L200" s="136"/>
      <c r="M200" s="136"/>
      <c r="N200" s="136" t="e">
        <f t="shared" si="7"/>
        <v>#N/A</v>
      </c>
      <c r="O200" s="136" t="e">
        <f t="shared" si="8"/>
        <v>#N/A</v>
      </c>
    </row>
    <row r="201" spans="1:15" ht="22" customHeight="1" x14ac:dyDescent="0.35">
      <c r="A201" s="136">
        <v>157</v>
      </c>
      <c r="B201" s="165" t="str">
        <f>IF($A201&gt;MIN($A$10,$A$2),"",INDEX(DemoHistory[Date],$A201))</f>
        <v/>
      </c>
      <c r="C201" s="166" t="str">
        <f>IF(OR($A201&gt;MIN($A$10,$A$2),$A$5=""),"",INDEX(DemoHistory[],$A201,MATCH($A$5,DemoHistory[#Headers],0)))</f>
        <v/>
      </c>
      <c r="D201" s="166" t="str">
        <f>IF($A201&gt;MIN($A$10,$A$2),"",IF(AND($A$12,$A$6=1,B201&lt;$A$7,$A$7&lt;=MAX(DemoHistory[Date])),$A$8,1))</f>
        <v/>
      </c>
      <c r="E201" s="166" t="str">
        <f t="shared" si="6"/>
        <v/>
      </c>
      <c r="F201" s="166" t="str">
        <f>IF($A201&gt;MIN($A$10,$A$2),"",IF($A201&lt;50,"n.a.",IF(COUNT(INDEX(StockDaily[Adjusted close],MAX(1,$A201-50+1)):E201)=50,AVERAGE(INDEX(StockDaily[Adjusted close],MAX(1,$A201-50+1)):E201),"n.a.")))</f>
        <v/>
      </c>
      <c r="G201" s="166" t="str">
        <f>IF($A201&gt;MIN($A$10,$A$2),"",IF($A201&lt;200,"n.a.",IF(COUNT(INDEX(StockDaily[Adjusted close],MAX(1,$A201-200+1)):E201)=200,AVERAGE(INDEX(StockDaily[Adjusted close],MAX(1,$A201-200+1)):E201),"n.a.")))</f>
        <v/>
      </c>
      <c r="H201" s="136" t="str">
        <f>IF($A201&gt;MIN($A$10,$A$2),"",IF($A$5="","Choose stock",IF(NOT($A$12),"Check split rule",IF(NOT(ISNUMBER(B201)),"Invalid date",IF(OR(B201&lt;=0,B201&lt;&gt;INT(B201)),"Invalid date",IF(COUNTIFS(DemoHistory[Date],B201)&lt;&gt;1,"Duplicate date",IF(AND($A201&gt;1,B201&lt;=B200),"Dates out of order",IF(NOT(ISNUMBER(C201)),"Missing price",IF(C201&lt;=0,"Nonpositive price","OK")))))))))</f>
        <v/>
      </c>
      <c r="I201" s="136"/>
      <c r="J201" s="136"/>
      <c r="K201" s="136"/>
      <c r="L201" s="136"/>
      <c r="M201" s="136"/>
      <c r="N201" s="136" t="e">
        <f t="shared" si="7"/>
        <v>#N/A</v>
      </c>
      <c r="O201" s="136" t="e">
        <f t="shared" si="8"/>
        <v>#N/A</v>
      </c>
    </row>
    <row r="202" spans="1:15" ht="22" customHeight="1" x14ac:dyDescent="0.35">
      <c r="A202" s="136">
        <v>158</v>
      </c>
      <c r="B202" s="165" t="str">
        <f>IF($A202&gt;MIN($A$10,$A$2),"",INDEX(DemoHistory[Date],$A202))</f>
        <v/>
      </c>
      <c r="C202" s="166" t="str">
        <f>IF(OR($A202&gt;MIN($A$10,$A$2),$A$5=""),"",INDEX(DemoHistory[],$A202,MATCH($A$5,DemoHistory[#Headers],0)))</f>
        <v/>
      </c>
      <c r="D202" s="166" t="str">
        <f>IF($A202&gt;MIN($A$10,$A$2),"",IF(AND($A$12,$A$6=1,B202&lt;$A$7,$A$7&lt;=MAX(DemoHistory[Date])),$A$8,1))</f>
        <v/>
      </c>
      <c r="E202" s="166" t="str">
        <f t="shared" si="6"/>
        <v/>
      </c>
      <c r="F202" s="166" t="str">
        <f>IF($A202&gt;MIN($A$10,$A$2),"",IF($A202&lt;50,"n.a.",IF(COUNT(INDEX(StockDaily[Adjusted close],MAX(1,$A202-50+1)):E202)=50,AVERAGE(INDEX(StockDaily[Adjusted close],MAX(1,$A202-50+1)):E202),"n.a.")))</f>
        <v/>
      </c>
      <c r="G202" s="166" t="str">
        <f>IF($A202&gt;MIN($A$10,$A$2),"",IF($A202&lt;200,"n.a.",IF(COUNT(INDEX(StockDaily[Adjusted close],MAX(1,$A202-200+1)):E202)=200,AVERAGE(INDEX(StockDaily[Adjusted close],MAX(1,$A202-200+1)):E202),"n.a.")))</f>
        <v/>
      </c>
      <c r="H202" s="136" t="str">
        <f>IF($A202&gt;MIN($A$10,$A$2),"",IF($A$5="","Choose stock",IF(NOT($A$12),"Check split rule",IF(NOT(ISNUMBER(B202)),"Invalid date",IF(OR(B202&lt;=0,B202&lt;&gt;INT(B202)),"Invalid date",IF(COUNTIFS(DemoHistory[Date],B202)&lt;&gt;1,"Duplicate date",IF(AND($A202&gt;1,B202&lt;=B201),"Dates out of order",IF(NOT(ISNUMBER(C202)),"Missing price",IF(C202&lt;=0,"Nonpositive price","OK")))))))))</f>
        <v/>
      </c>
      <c r="I202" s="136"/>
      <c r="J202" s="136"/>
      <c r="K202" s="136"/>
      <c r="L202" s="136"/>
      <c r="M202" s="136"/>
      <c r="N202" s="136" t="e">
        <f t="shared" si="7"/>
        <v>#N/A</v>
      </c>
      <c r="O202" s="136" t="e">
        <f t="shared" si="8"/>
        <v>#N/A</v>
      </c>
    </row>
    <row r="203" spans="1:15" ht="22" customHeight="1" x14ac:dyDescent="0.35">
      <c r="A203" s="136">
        <v>159</v>
      </c>
      <c r="B203" s="165" t="str">
        <f>IF($A203&gt;MIN($A$10,$A$2),"",INDEX(DemoHistory[Date],$A203))</f>
        <v/>
      </c>
      <c r="C203" s="166" t="str">
        <f>IF(OR($A203&gt;MIN($A$10,$A$2),$A$5=""),"",INDEX(DemoHistory[],$A203,MATCH($A$5,DemoHistory[#Headers],0)))</f>
        <v/>
      </c>
      <c r="D203" s="166" t="str">
        <f>IF($A203&gt;MIN($A$10,$A$2),"",IF(AND($A$12,$A$6=1,B203&lt;$A$7,$A$7&lt;=MAX(DemoHistory[Date])),$A$8,1))</f>
        <v/>
      </c>
      <c r="E203" s="166" t="str">
        <f t="shared" si="6"/>
        <v/>
      </c>
      <c r="F203" s="166" t="str">
        <f>IF($A203&gt;MIN($A$10,$A$2),"",IF($A203&lt;50,"n.a.",IF(COUNT(INDEX(StockDaily[Adjusted close],MAX(1,$A203-50+1)):E203)=50,AVERAGE(INDEX(StockDaily[Adjusted close],MAX(1,$A203-50+1)):E203),"n.a.")))</f>
        <v/>
      </c>
      <c r="G203" s="166" t="str">
        <f>IF($A203&gt;MIN($A$10,$A$2),"",IF($A203&lt;200,"n.a.",IF(COUNT(INDEX(StockDaily[Adjusted close],MAX(1,$A203-200+1)):E203)=200,AVERAGE(INDEX(StockDaily[Adjusted close],MAX(1,$A203-200+1)):E203),"n.a.")))</f>
        <v/>
      </c>
      <c r="H203" s="136" t="str">
        <f>IF($A203&gt;MIN($A$10,$A$2),"",IF($A$5="","Choose stock",IF(NOT($A$12),"Check split rule",IF(NOT(ISNUMBER(B203)),"Invalid date",IF(OR(B203&lt;=0,B203&lt;&gt;INT(B203)),"Invalid date",IF(COUNTIFS(DemoHistory[Date],B203)&lt;&gt;1,"Duplicate date",IF(AND($A203&gt;1,B203&lt;=B202),"Dates out of order",IF(NOT(ISNUMBER(C203)),"Missing price",IF(C203&lt;=0,"Nonpositive price","OK")))))))))</f>
        <v/>
      </c>
      <c r="I203" s="136"/>
      <c r="J203" s="136"/>
      <c r="K203" s="136"/>
      <c r="L203" s="136"/>
      <c r="M203" s="136"/>
      <c r="N203" s="136" t="e">
        <f t="shared" si="7"/>
        <v>#N/A</v>
      </c>
      <c r="O203" s="136" t="e">
        <f t="shared" si="8"/>
        <v>#N/A</v>
      </c>
    </row>
    <row r="204" spans="1:15" ht="22" customHeight="1" x14ac:dyDescent="0.35">
      <c r="A204" s="136">
        <v>160</v>
      </c>
      <c r="B204" s="165" t="str">
        <f>IF($A204&gt;MIN($A$10,$A$2),"",INDEX(DemoHistory[Date],$A204))</f>
        <v/>
      </c>
      <c r="C204" s="166" t="str">
        <f>IF(OR($A204&gt;MIN($A$10,$A$2),$A$5=""),"",INDEX(DemoHistory[],$A204,MATCH($A$5,DemoHistory[#Headers],0)))</f>
        <v/>
      </c>
      <c r="D204" s="166" t="str">
        <f>IF($A204&gt;MIN($A$10,$A$2),"",IF(AND($A$12,$A$6=1,B204&lt;$A$7,$A$7&lt;=MAX(DemoHistory[Date])),$A$8,1))</f>
        <v/>
      </c>
      <c r="E204" s="166" t="str">
        <f t="shared" si="6"/>
        <v/>
      </c>
      <c r="F204" s="166" t="str">
        <f>IF($A204&gt;MIN($A$10,$A$2),"",IF($A204&lt;50,"n.a.",IF(COUNT(INDEX(StockDaily[Adjusted close],MAX(1,$A204-50+1)):E204)=50,AVERAGE(INDEX(StockDaily[Adjusted close],MAX(1,$A204-50+1)):E204),"n.a.")))</f>
        <v/>
      </c>
      <c r="G204" s="166" t="str">
        <f>IF($A204&gt;MIN($A$10,$A$2),"",IF($A204&lt;200,"n.a.",IF(COUNT(INDEX(StockDaily[Adjusted close],MAX(1,$A204-200+1)):E204)=200,AVERAGE(INDEX(StockDaily[Adjusted close],MAX(1,$A204-200+1)):E204),"n.a.")))</f>
        <v/>
      </c>
      <c r="H204" s="136" t="str">
        <f>IF($A204&gt;MIN($A$10,$A$2),"",IF($A$5="","Choose stock",IF(NOT($A$12),"Check split rule",IF(NOT(ISNUMBER(B204)),"Invalid date",IF(OR(B204&lt;=0,B204&lt;&gt;INT(B204)),"Invalid date",IF(COUNTIFS(DemoHistory[Date],B204)&lt;&gt;1,"Duplicate date",IF(AND($A204&gt;1,B204&lt;=B203),"Dates out of order",IF(NOT(ISNUMBER(C204)),"Missing price",IF(C204&lt;=0,"Nonpositive price","OK")))))))))</f>
        <v/>
      </c>
      <c r="I204" s="136"/>
      <c r="J204" s="136"/>
      <c r="K204" s="136"/>
      <c r="L204" s="136"/>
      <c r="M204" s="136"/>
      <c r="N204" s="136" t="e">
        <f t="shared" si="7"/>
        <v>#N/A</v>
      </c>
      <c r="O204" s="136" t="e">
        <f t="shared" si="8"/>
        <v>#N/A</v>
      </c>
    </row>
    <row r="205" spans="1:15" ht="22" customHeight="1" x14ac:dyDescent="0.35">
      <c r="A205" s="136">
        <v>161</v>
      </c>
      <c r="B205" s="165" t="str">
        <f>IF($A205&gt;MIN($A$10,$A$2),"",INDEX(DemoHistory[Date],$A205))</f>
        <v/>
      </c>
      <c r="C205" s="166" t="str">
        <f>IF(OR($A205&gt;MIN($A$10,$A$2),$A$5=""),"",INDEX(DemoHistory[],$A205,MATCH($A$5,DemoHistory[#Headers],0)))</f>
        <v/>
      </c>
      <c r="D205" s="166" t="str">
        <f>IF($A205&gt;MIN($A$10,$A$2),"",IF(AND($A$12,$A$6=1,B205&lt;$A$7,$A$7&lt;=MAX(DemoHistory[Date])),$A$8,1))</f>
        <v/>
      </c>
      <c r="E205" s="166" t="str">
        <f t="shared" si="6"/>
        <v/>
      </c>
      <c r="F205" s="166" t="str">
        <f>IF($A205&gt;MIN($A$10,$A$2),"",IF($A205&lt;50,"n.a.",IF(COUNT(INDEX(StockDaily[Adjusted close],MAX(1,$A205-50+1)):E205)=50,AVERAGE(INDEX(StockDaily[Adjusted close],MAX(1,$A205-50+1)):E205),"n.a.")))</f>
        <v/>
      </c>
      <c r="G205" s="166" t="str">
        <f>IF($A205&gt;MIN($A$10,$A$2),"",IF($A205&lt;200,"n.a.",IF(COUNT(INDEX(StockDaily[Adjusted close],MAX(1,$A205-200+1)):E205)=200,AVERAGE(INDEX(StockDaily[Adjusted close],MAX(1,$A205-200+1)):E205),"n.a.")))</f>
        <v/>
      </c>
      <c r="H205" s="136" t="str">
        <f>IF($A205&gt;MIN($A$10,$A$2),"",IF($A$5="","Choose stock",IF(NOT($A$12),"Check split rule",IF(NOT(ISNUMBER(B205)),"Invalid date",IF(OR(B205&lt;=0,B205&lt;&gt;INT(B205)),"Invalid date",IF(COUNTIFS(DemoHistory[Date],B205)&lt;&gt;1,"Duplicate date",IF(AND($A205&gt;1,B205&lt;=B204),"Dates out of order",IF(NOT(ISNUMBER(C205)),"Missing price",IF(C205&lt;=0,"Nonpositive price","OK")))))))))</f>
        <v/>
      </c>
      <c r="I205" s="136"/>
      <c r="J205" s="136"/>
      <c r="K205" s="136"/>
      <c r="L205" s="136"/>
      <c r="M205" s="136"/>
      <c r="N205" s="136" t="e">
        <f t="shared" si="7"/>
        <v>#N/A</v>
      </c>
      <c r="O205" s="136" t="e">
        <f t="shared" si="8"/>
        <v>#N/A</v>
      </c>
    </row>
    <row r="206" spans="1:15" ht="22" customHeight="1" x14ac:dyDescent="0.35">
      <c r="A206" s="136">
        <v>162</v>
      </c>
      <c r="B206" s="165" t="str">
        <f>IF($A206&gt;MIN($A$10,$A$2),"",INDEX(DemoHistory[Date],$A206))</f>
        <v/>
      </c>
      <c r="C206" s="166" t="str">
        <f>IF(OR($A206&gt;MIN($A$10,$A$2),$A$5=""),"",INDEX(DemoHistory[],$A206,MATCH($A$5,DemoHistory[#Headers],0)))</f>
        <v/>
      </c>
      <c r="D206" s="166" t="str">
        <f>IF($A206&gt;MIN($A$10,$A$2),"",IF(AND($A$12,$A$6=1,B206&lt;$A$7,$A$7&lt;=MAX(DemoHistory[Date])),$A$8,1))</f>
        <v/>
      </c>
      <c r="E206" s="166" t="str">
        <f t="shared" si="6"/>
        <v/>
      </c>
      <c r="F206" s="166" t="str">
        <f>IF($A206&gt;MIN($A$10,$A$2),"",IF($A206&lt;50,"n.a.",IF(COUNT(INDEX(StockDaily[Adjusted close],MAX(1,$A206-50+1)):E206)=50,AVERAGE(INDEX(StockDaily[Adjusted close],MAX(1,$A206-50+1)):E206),"n.a.")))</f>
        <v/>
      </c>
      <c r="G206" s="166" t="str">
        <f>IF($A206&gt;MIN($A$10,$A$2),"",IF($A206&lt;200,"n.a.",IF(COUNT(INDEX(StockDaily[Adjusted close],MAX(1,$A206-200+1)):E206)=200,AVERAGE(INDEX(StockDaily[Adjusted close],MAX(1,$A206-200+1)):E206),"n.a.")))</f>
        <v/>
      </c>
      <c r="H206" s="136" t="str">
        <f>IF($A206&gt;MIN($A$10,$A$2),"",IF($A$5="","Choose stock",IF(NOT($A$12),"Check split rule",IF(NOT(ISNUMBER(B206)),"Invalid date",IF(OR(B206&lt;=0,B206&lt;&gt;INT(B206)),"Invalid date",IF(COUNTIFS(DemoHistory[Date],B206)&lt;&gt;1,"Duplicate date",IF(AND($A206&gt;1,B206&lt;=B205),"Dates out of order",IF(NOT(ISNUMBER(C206)),"Missing price",IF(C206&lt;=0,"Nonpositive price","OK")))))))))</f>
        <v/>
      </c>
      <c r="I206" s="136"/>
      <c r="J206" s="136"/>
      <c r="K206" s="136"/>
      <c r="L206" s="136"/>
      <c r="M206" s="136"/>
      <c r="N206" s="136" t="e">
        <f t="shared" si="7"/>
        <v>#N/A</v>
      </c>
      <c r="O206" s="136" t="e">
        <f t="shared" si="8"/>
        <v>#N/A</v>
      </c>
    </row>
    <row r="207" spans="1:15" ht="22" customHeight="1" x14ac:dyDescent="0.35">
      <c r="A207" s="136">
        <v>163</v>
      </c>
      <c r="B207" s="165" t="str">
        <f>IF($A207&gt;MIN($A$10,$A$2),"",INDEX(DemoHistory[Date],$A207))</f>
        <v/>
      </c>
      <c r="C207" s="166" t="str">
        <f>IF(OR($A207&gt;MIN($A$10,$A$2),$A$5=""),"",INDEX(DemoHistory[],$A207,MATCH($A$5,DemoHistory[#Headers],0)))</f>
        <v/>
      </c>
      <c r="D207" s="166" t="str">
        <f>IF($A207&gt;MIN($A$10,$A$2),"",IF(AND($A$12,$A$6=1,B207&lt;$A$7,$A$7&lt;=MAX(DemoHistory[Date])),$A$8,1))</f>
        <v/>
      </c>
      <c r="E207" s="166" t="str">
        <f t="shared" si="6"/>
        <v/>
      </c>
      <c r="F207" s="166" t="str">
        <f>IF($A207&gt;MIN($A$10,$A$2),"",IF($A207&lt;50,"n.a.",IF(COUNT(INDEX(StockDaily[Adjusted close],MAX(1,$A207-50+1)):E207)=50,AVERAGE(INDEX(StockDaily[Adjusted close],MAX(1,$A207-50+1)):E207),"n.a.")))</f>
        <v/>
      </c>
      <c r="G207" s="166" t="str">
        <f>IF($A207&gt;MIN($A$10,$A$2),"",IF($A207&lt;200,"n.a.",IF(COUNT(INDEX(StockDaily[Adjusted close],MAX(1,$A207-200+1)):E207)=200,AVERAGE(INDEX(StockDaily[Adjusted close],MAX(1,$A207-200+1)):E207),"n.a.")))</f>
        <v/>
      </c>
      <c r="H207" s="136" t="str">
        <f>IF($A207&gt;MIN($A$10,$A$2),"",IF($A$5="","Choose stock",IF(NOT($A$12),"Check split rule",IF(NOT(ISNUMBER(B207)),"Invalid date",IF(OR(B207&lt;=0,B207&lt;&gt;INT(B207)),"Invalid date",IF(COUNTIFS(DemoHistory[Date],B207)&lt;&gt;1,"Duplicate date",IF(AND($A207&gt;1,B207&lt;=B206),"Dates out of order",IF(NOT(ISNUMBER(C207)),"Missing price",IF(C207&lt;=0,"Nonpositive price","OK")))))))))</f>
        <v/>
      </c>
      <c r="I207" s="136"/>
      <c r="J207" s="136"/>
      <c r="K207" s="136"/>
      <c r="L207" s="136"/>
      <c r="M207" s="136"/>
      <c r="N207" s="136" t="e">
        <f t="shared" si="7"/>
        <v>#N/A</v>
      </c>
      <c r="O207" s="136" t="e">
        <f t="shared" si="8"/>
        <v>#N/A</v>
      </c>
    </row>
    <row r="208" spans="1:15" ht="22" customHeight="1" x14ac:dyDescent="0.35">
      <c r="A208" s="136">
        <v>164</v>
      </c>
      <c r="B208" s="165" t="str">
        <f>IF($A208&gt;MIN($A$10,$A$2),"",INDEX(DemoHistory[Date],$A208))</f>
        <v/>
      </c>
      <c r="C208" s="166" t="str">
        <f>IF(OR($A208&gt;MIN($A$10,$A$2),$A$5=""),"",INDEX(DemoHistory[],$A208,MATCH($A$5,DemoHistory[#Headers],0)))</f>
        <v/>
      </c>
      <c r="D208" s="166" t="str">
        <f>IF($A208&gt;MIN($A$10,$A$2),"",IF(AND($A$12,$A$6=1,B208&lt;$A$7,$A$7&lt;=MAX(DemoHistory[Date])),$A$8,1))</f>
        <v/>
      </c>
      <c r="E208" s="166" t="str">
        <f t="shared" si="6"/>
        <v/>
      </c>
      <c r="F208" s="166" t="str">
        <f>IF($A208&gt;MIN($A$10,$A$2),"",IF($A208&lt;50,"n.a.",IF(COUNT(INDEX(StockDaily[Adjusted close],MAX(1,$A208-50+1)):E208)=50,AVERAGE(INDEX(StockDaily[Adjusted close],MAX(1,$A208-50+1)):E208),"n.a.")))</f>
        <v/>
      </c>
      <c r="G208" s="166" t="str">
        <f>IF($A208&gt;MIN($A$10,$A$2),"",IF($A208&lt;200,"n.a.",IF(COUNT(INDEX(StockDaily[Adjusted close],MAX(1,$A208-200+1)):E208)=200,AVERAGE(INDEX(StockDaily[Adjusted close],MAX(1,$A208-200+1)):E208),"n.a.")))</f>
        <v/>
      </c>
      <c r="H208" s="136" t="str">
        <f>IF($A208&gt;MIN($A$10,$A$2),"",IF($A$5="","Choose stock",IF(NOT($A$12),"Check split rule",IF(NOT(ISNUMBER(B208)),"Invalid date",IF(OR(B208&lt;=0,B208&lt;&gt;INT(B208)),"Invalid date",IF(COUNTIFS(DemoHistory[Date],B208)&lt;&gt;1,"Duplicate date",IF(AND($A208&gt;1,B208&lt;=B207),"Dates out of order",IF(NOT(ISNUMBER(C208)),"Missing price",IF(C208&lt;=0,"Nonpositive price","OK")))))))))</f>
        <v/>
      </c>
      <c r="I208" s="136"/>
      <c r="J208" s="136"/>
      <c r="K208" s="136"/>
      <c r="L208" s="136"/>
      <c r="M208" s="136"/>
      <c r="N208" s="136" t="e">
        <f t="shared" si="7"/>
        <v>#N/A</v>
      </c>
      <c r="O208" s="136" t="e">
        <f t="shared" si="8"/>
        <v>#N/A</v>
      </c>
    </row>
    <row r="209" spans="1:15" ht="22" customHeight="1" x14ac:dyDescent="0.35">
      <c r="A209" s="136">
        <v>165</v>
      </c>
      <c r="B209" s="165" t="str">
        <f>IF($A209&gt;MIN($A$10,$A$2),"",INDEX(DemoHistory[Date],$A209))</f>
        <v/>
      </c>
      <c r="C209" s="166" t="str">
        <f>IF(OR($A209&gt;MIN($A$10,$A$2),$A$5=""),"",INDEX(DemoHistory[],$A209,MATCH($A$5,DemoHistory[#Headers],0)))</f>
        <v/>
      </c>
      <c r="D209" s="166" t="str">
        <f>IF($A209&gt;MIN($A$10,$A$2),"",IF(AND($A$12,$A$6=1,B209&lt;$A$7,$A$7&lt;=MAX(DemoHistory[Date])),$A$8,1))</f>
        <v/>
      </c>
      <c r="E209" s="166" t="str">
        <f t="shared" si="6"/>
        <v/>
      </c>
      <c r="F209" s="166" t="str">
        <f>IF($A209&gt;MIN($A$10,$A$2),"",IF($A209&lt;50,"n.a.",IF(COUNT(INDEX(StockDaily[Adjusted close],MAX(1,$A209-50+1)):E209)=50,AVERAGE(INDEX(StockDaily[Adjusted close],MAX(1,$A209-50+1)):E209),"n.a.")))</f>
        <v/>
      </c>
      <c r="G209" s="166" t="str">
        <f>IF($A209&gt;MIN($A$10,$A$2),"",IF($A209&lt;200,"n.a.",IF(COUNT(INDEX(StockDaily[Adjusted close],MAX(1,$A209-200+1)):E209)=200,AVERAGE(INDEX(StockDaily[Adjusted close],MAX(1,$A209-200+1)):E209),"n.a.")))</f>
        <v/>
      </c>
      <c r="H209" s="136" t="str">
        <f>IF($A209&gt;MIN($A$10,$A$2),"",IF($A$5="","Choose stock",IF(NOT($A$12),"Check split rule",IF(NOT(ISNUMBER(B209)),"Invalid date",IF(OR(B209&lt;=0,B209&lt;&gt;INT(B209)),"Invalid date",IF(COUNTIFS(DemoHistory[Date],B209)&lt;&gt;1,"Duplicate date",IF(AND($A209&gt;1,B209&lt;=B208),"Dates out of order",IF(NOT(ISNUMBER(C209)),"Missing price",IF(C209&lt;=0,"Nonpositive price","OK")))))))))</f>
        <v/>
      </c>
      <c r="I209" s="136"/>
      <c r="J209" s="136"/>
      <c r="K209" s="136"/>
      <c r="L209" s="136"/>
      <c r="M209" s="136"/>
      <c r="N209" s="136" t="e">
        <f t="shared" si="7"/>
        <v>#N/A</v>
      </c>
      <c r="O209" s="136" t="e">
        <f t="shared" si="8"/>
        <v>#N/A</v>
      </c>
    </row>
    <row r="210" spans="1:15" ht="22" customHeight="1" x14ac:dyDescent="0.35">
      <c r="A210" s="136">
        <v>166</v>
      </c>
      <c r="B210" s="165" t="str">
        <f>IF($A210&gt;MIN($A$10,$A$2),"",INDEX(DemoHistory[Date],$A210))</f>
        <v/>
      </c>
      <c r="C210" s="166" t="str">
        <f>IF(OR($A210&gt;MIN($A$10,$A$2),$A$5=""),"",INDEX(DemoHistory[],$A210,MATCH($A$5,DemoHistory[#Headers],0)))</f>
        <v/>
      </c>
      <c r="D210" s="166" t="str">
        <f>IF($A210&gt;MIN($A$10,$A$2),"",IF(AND($A$12,$A$6=1,B210&lt;$A$7,$A$7&lt;=MAX(DemoHistory[Date])),$A$8,1))</f>
        <v/>
      </c>
      <c r="E210" s="166" t="str">
        <f t="shared" si="6"/>
        <v/>
      </c>
      <c r="F210" s="166" t="str">
        <f>IF($A210&gt;MIN($A$10,$A$2),"",IF($A210&lt;50,"n.a.",IF(COUNT(INDEX(StockDaily[Adjusted close],MAX(1,$A210-50+1)):E210)=50,AVERAGE(INDEX(StockDaily[Adjusted close],MAX(1,$A210-50+1)):E210),"n.a.")))</f>
        <v/>
      </c>
      <c r="G210" s="166" t="str">
        <f>IF($A210&gt;MIN($A$10,$A$2),"",IF($A210&lt;200,"n.a.",IF(COUNT(INDEX(StockDaily[Adjusted close],MAX(1,$A210-200+1)):E210)=200,AVERAGE(INDEX(StockDaily[Adjusted close],MAX(1,$A210-200+1)):E210),"n.a.")))</f>
        <v/>
      </c>
      <c r="H210" s="136" t="str">
        <f>IF($A210&gt;MIN($A$10,$A$2),"",IF($A$5="","Choose stock",IF(NOT($A$12),"Check split rule",IF(NOT(ISNUMBER(B210)),"Invalid date",IF(OR(B210&lt;=0,B210&lt;&gt;INT(B210)),"Invalid date",IF(COUNTIFS(DemoHistory[Date],B210)&lt;&gt;1,"Duplicate date",IF(AND($A210&gt;1,B210&lt;=B209),"Dates out of order",IF(NOT(ISNUMBER(C210)),"Missing price",IF(C210&lt;=0,"Nonpositive price","OK")))))))))</f>
        <v/>
      </c>
      <c r="I210" s="136"/>
      <c r="J210" s="136"/>
      <c r="K210" s="136"/>
      <c r="L210" s="136"/>
      <c r="M210" s="136"/>
      <c r="N210" s="136" t="e">
        <f t="shared" si="7"/>
        <v>#N/A</v>
      </c>
      <c r="O210" s="136" t="e">
        <f t="shared" si="8"/>
        <v>#N/A</v>
      </c>
    </row>
    <row r="211" spans="1:15" ht="22" customHeight="1" x14ac:dyDescent="0.35">
      <c r="A211" s="136">
        <v>167</v>
      </c>
      <c r="B211" s="165" t="str">
        <f>IF($A211&gt;MIN($A$10,$A$2),"",INDEX(DemoHistory[Date],$A211))</f>
        <v/>
      </c>
      <c r="C211" s="166" t="str">
        <f>IF(OR($A211&gt;MIN($A$10,$A$2),$A$5=""),"",INDEX(DemoHistory[],$A211,MATCH($A$5,DemoHistory[#Headers],0)))</f>
        <v/>
      </c>
      <c r="D211" s="166" t="str">
        <f>IF($A211&gt;MIN($A$10,$A$2),"",IF(AND($A$12,$A$6=1,B211&lt;$A$7,$A$7&lt;=MAX(DemoHistory[Date])),$A$8,1))</f>
        <v/>
      </c>
      <c r="E211" s="166" t="str">
        <f t="shared" si="6"/>
        <v/>
      </c>
      <c r="F211" s="166" t="str">
        <f>IF($A211&gt;MIN($A$10,$A$2),"",IF($A211&lt;50,"n.a.",IF(COUNT(INDEX(StockDaily[Adjusted close],MAX(1,$A211-50+1)):E211)=50,AVERAGE(INDEX(StockDaily[Adjusted close],MAX(1,$A211-50+1)):E211),"n.a.")))</f>
        <v/>
      </c>
      <c r="G211" s="166" t="str">
        <f>IF($A211&gt;MIN($A$10,$A$2),"",IF($A211&lt;200,"n.a.",IF(COUNT(INDEX(StockDaily[Adjusted close],MAX(1,$A211-200+1)):E211)=200,AVERAGE(INDEX(StockDaily[Adjusted close],MAX(1,$A211-200+1)):E211),"n.a.")))</f>
        <v/>
      </c>
      <c r="H211" s="136" t="str">
        <f>IF($A211&gt;MIN($A$10,$A$2),"",IF($A$5="","Choose stock",IF(NOT($A$12),"Check split rule",IF(NOT(ISNUMBER(B211)),"Invalid date",IF(OR(B211&lt;=0,B211&lt;&gt;INT(B211)),"Invalid date",IF(COUNTIFS(DemoHistory[Date],B211)&lt;&gt;1,"Duplicate date",IF(AND($A211&gt;1,B211&lt;=B210),"Dates out of order",IF(NOT(ISNUMBER(C211)),"Missing price",IF(C211&lt;=0,"Nonpositive price","OK")))))))))</f>
        <v/>
      </c>
      <c r="I211" s="136"/>
      <c r="J211" s="136"/>
      <c r="K211" s="136"/>
      <c r="L211" s="136"/>
      <c r="M211" s="136"/>
      <c r="N211" s="136" t="e">
        <f t="shared" si="7"/>
        <v>#N/A</v>
      </c>
      <c r="O211" s="136" t="e">
        <f t="shared" si="8"/>
        <v>#N/A</v>
      </c>
    </row>
    <row r="212" spans="1:15" ht="22" customHeight="1" x14ac:dyDescent="0.35">
      <c r="A212" s="136">
        <v>168</v>
      </c>
      <c r="B212" s="165" t="str">
        <f>IF($A212&gt;MIN($A$10,$A$2),"",INDEX(DemoHistory[Date],$A212))</f>
        <v/>
      </c>
      <c r="C212" s="166" t="str">
        <f>IF(OR($A212&gt;MIN($A$10,$A$2),$A$5=""),"",INDEX(DemoHistory[],$A212,MATCH($A$5,DemoHistory[#Headers],0)))</f>
        <v/>
      </c>
      <c r="D212" s="166" t="str">
        <f>IF($A212&gt;MIN($A$10,$A$2),"",IF(AND($A$12,$A$6=1,B212&lt;$A$7,$A$7&lt;=MAX(DemoHistory[Date])),$A$8,1))</f>
        <v/>
      </c>
      <c r="E212" s="166" t="str">
        <f t="shared" si="6"/>
        <v/>
      </c>
      <c r="F212" s="166" t="str">
        <f>IF($A212&gt;MIN($A$10,$A$2),"",IF($A212&lt;50,"n.a.",IF(COUNT(INDEX(StockDaily[Adjusted close],MAX(1,$A212-50+1)):E212)=50,AVERAGE(INDEX(StockDaily[Adjusted close],MAX(1,$A212-50+1)):E212),"n.a.")))</f>
        <v/>
      </c>
      <c r="G212" s="166" t="str">
        <f>IF($A212&gt;MIN($A$10,$A$2),"",IF($A212&lt;200,"n.a.",IF(COUNT(INDEX(StockDaily[Adjusted close],MAX(1,$A212-200+1)):E212)=200,AVERAGE(INDEX(StockDaily[Adjusted close],MAX(1,$A212-200+1)):E212),"n.a.")))</f>
        <v/>
      </c>
      <c r="H212" s="136" t="str">
        <f>IF($A212&gt;MIN($A$10,$A$2),"",IF($A$5="","Choose stock",IF(NOT($A$12),"Check split rule",IF(NOT(ISNUMBER(B212)),"Invalid date",IF(OR(B212&lt;=0,B212&lt;&gt;INT(B212)),"Invalid date",IF(COUNTIFS(DemoHistory[Date],B212)&lt;&gt;1,"Duplicate date",IF(AND($A212&gt;1,B212&lt;=B211),"Dates out of order",IF(NOT(ISNUMBER(C212)),"Missing price",IF(C212&lt;=0,"Nonpositive price","OK")))))))))</f>
        <v/>
      </c>
      <c r="I212" s="136"/>
      <c r="J212" s="136"/>
      <c r="K212" s="136"/>
      <c r="L212" s="136"/>
      <c r="M212" s="136"/>
      <c r="N212" s="136" t="e">
        <f t="shared" si="7"/>
        <v>#N/A</v>
      </c>
      <c r="O212" s="136" t="e">
        <f t="shared" si="8"/>
        <v>#N/A</v>
      </c>
    </row>
    <row r="213" spans="1:15" ht="22" customHeight="1" x14ac:dyDescent="0.35">
      <c r="A213" s="136">
        <v>169</v>
      </c>
      <c r="B213" s="165" t="str">
        <f>IF($A213&gt;MIN($A$10,$A$2),"",INDEX(DemoHistory[Date],$A213))</f>
        <v/>
      </c>
      <c r="C213" s="166" t="str">
        <f>IF(OR($A213&gt;MIN($A$10,$A$2),$A$5=""),"",INDEX(DemoHistory[],$A213,MATCH($A$5,DemoHistory[#Headers],0)))</f>
        <v/>
      </c>
      <c r="D213" s="166" t="str">
        <f>IF($A213&gt;MIN($A$10,$A$2),"",IF(AND($A$12,$A$6=1,B213&lt;$A$7,$A$7&lt;=MAX(DemoHistory[Date])),$A$8,1))</f>
        <v/>
      </c>
      <c r="E213" s="166" t="str">
        <f t="shared" si="6"/>
        <v/>
      </c>
      <c r="F213" s="166" t="str">
        <f>IF($A213&gt;MIN($A$10,$A$2),"",IF($A213&lt;50,"n.a.",IF(COUNT(INDEX(StockDaily[Adjusted close],MAX(1,$A213-50+1)):E213)=50,AVERAGE(INDEX(StockDaily[Adjusted close],MAX(1,$A213-50+1)):E213),"n.a.")))</f>
        <v/>
      </c>
      <c r="G213" s="166" t="str">
        <f>IF($A213&gt;MIN($A$10,$A$2),"",IF($A213&lt;200,"n.a.",IF(COUNT(INDEX(StockDaily[Adjusted close],MAX(1,$A213-200+1)):E213)=200,AVERAGE(INDEX(StockDaily[Adjusted close],MAX(1,$A213-200+1)):E213),"n.a.")))</f>
        <v/>
      </c>
      <c r="H213" s="136" t="str">
        <f>IF($A213&gt;MIN($A$10,$A$2),"",IF($A$5="","Choose stock",IF(NOT($A$12),"Check split rule",IF(NOT(ISNUMBER(B213)),"Invalid date",IF(OR(B213&lt;=0,B213&lt;&gt;INT(B213)),"Invalid date",IF(COUNTIFS(DemoHistory[Date],B213)&lt;&gt;1,"Duplicate date",IF(AND($A213&gt;1,B213&lt;=B212),"Dates out of order",IF(NOT(ISNUMBER(C213)),"Missing price",IF(C213&lt;=0,"Nonpositive price","OK")))))))))</f>
        <v/>
      </c>
      <c r="I213" s="136"/>
      <c r="J213" s="136"/>
      <c r="K213" s="136"/>
      <c r="L213" s="136"/>
      <c r="M213" s="136"/>
      <c r="N213" s="136" t="e">
        <f t="shared" si="7"/>
        <v>#N/A</v>
      </c>
      <c r="O213" s="136" t="e">
        <f t="shared" si="8"/>
        <v>#N/A</v>
      </c>
    </row>
    <row r="214" spans="1:15" ht="22" customHeight="1" x14ac:dyDescent="0.35">
      <c r="A214" s="136">
        <v>170</v>
      </c>
      <c r="B214" s="165" t="str">
        <f>IF($A214&gt;MIN($A$10,$A$2),"",INDEX(DemoHistory[Date],$A214))</f>
        <v/>
      </c>
      <c r="C214" s="166" t="str">
        <f>IF(OR($A214&gt;MIN($A$10,$A$2),$A$5=""),"",INDEX(DemoHistory[],$A214,MATCH($A$5,DemoHistory[#Headers],0)))</f>
        <v/>
      </c>
      <c r="D214" s="166" t="str">
        <f>IF($A214&gt;MIN($A$10,$A$2),"",IF(AND($A$12,$A$6=1,B214&lt;$A$7,$A$7&lt;=MAX(DemoHistory[Date])),$A$8,1))</f>
        <v/>
      </c>
      <c r="E214" s="166" t="str">
        <f t="shared" si="6"/>
        <v/>
      </c>
      <c r="F214" s="166" t="str">
        <f>IF($A214&gt;MIN($A$10,$A$2),"",IF($A214&lt;50,"n.a.",IF(COUNT(INDEX(StockDaily[Adjusted close],MAX(1,$A214-50+1)):E214)=50,AVERAGE(INDEX(StockDaily[Adjusted close],MAX(1,$A214-50+1)):E214),"n.a.")))</f>
        <v/>
      </c>
      <c r="G214" s="166" t="str">
        <f>IF($A214&gt;MIN($A$10,$A$2),"",IF($A214&lt;200,"n.a.",IF(COUNT(INDEX(StockDaily[Adjusted close],MAX(1,$A214-200+1)):E214)=200,AVERAGE(INDEX(StockDaily[Adjusted close],MAX(1,$A214-200+1)):E214),"n.a.")))</f>
        <v/>
      </c>
      <c r="H214" s="136" t="str">
        <f>IF($A214&gt;MIN($A$10,$A$2),"",IF($A$5="","Choose stock",IF(NOT($A$12),"Check split rule",IF(NOT(ISNUMBER(B214)),"Invalid date",IF(OR(B214&lt;=0,B214&lt;&gt;INT(B214)),"Invalid date",IF(COUNTIFS(DemoHistory[Date],B214)&lt;&gt;1,"Duplicate date",IF(AND($A214&gt;1,B214&lt;=B213),"Dates out of order",IF(NOT(ISNUMBER(C214)),"Missing price",IF(C214&lt;=0,"Nonpositive price","OK")))))))))</f>
        <v/>
      </c>
      <c r="I214" s="136"/>
      <c r="J214" s="136"/>
      <c r="K214" s="136"/>
      <c r="L214" s="136"/>
      <c r="M214" s="136"/>
      <c r="N214" s="136" t="e">
        <f t="shared" si="7"/>
        <v>#N/A</v>
      </c>
      <c r="O214" s="136" t="e">
        <f t="shared" si="8"/>
        <v>#N/A</v>
      </c>
    </row>
    <row r="215" spans="1:15" ht="22" customHeight="1" x14ac:dyDescent="0.35">
      <c r="A215" s="136">
        <v>171</v>
      </c>
      <c r="B215" s="165" t="str">
        <f>IF($A215&gt;MIN($A$10,$A$2),"",INDEX(DemoHistory[Date],$A215))</f>
        <v/>
      </c>
      <c r="C215" s="166" t="str">
        <f>IF(OR($A215&gt;MIN($A$10,$A$2),$A$5=""),"",INDEX(DemoHistory[],$A215,MATCH($A$5,DemoHistory[#Headers],0)))</f>
        <v/>
      </c>
      <c r="D215" s="166" t="str">
        <f>IF($A215&gt;MIN($A$10,$A$2),"",IF(AND($A$12,$A$6=1,B215&lt;$A$7,$A$7&lt;=MAX(DemoHistory[Date])),$A$8,1))</f>
        <v/>
      </c>
      <c r="E215" s="166" t="str">
        <f t="shared" si="6"/>
        <v/>
      </c>
      <c r="F215" s="166" t="str">
        <f>IF($A215&gt;MIN($A$10,$A$2),"",IF($A215&lt;50,"n.a.",IF(COUNT(INDEX(StockDaily[Adjusted close],MAX(1,$A215-50+1)):E215)=50,AVERAGE(INDEX(StockDaily[Adjusted close],MAX(1,$A215-50+1)):E215),"n.a.")))</f>
        <v/>
      </c>
      <c r="G215" s="166" t="str">
        <f>IF($A215&gt;MIN($A$10,$A$2),"",IF($A215&lt;200,"n.a.",IF(COUNT(INDEX(StockDaily[Adjusted close],MAX(1,$A215-200+1)):E215)=200,AVERAGE(INDEX(StockDaily[Adjusted close],MAX(1,$A215-200+1)):E215),"n.a.")))</f>
        <v/>
      </c>
      <c r="H215" s="136" t="str">
        <f>IF($A215&gt;MIN($A$10,$A$2),"",IF($A$5="","Choose stock",IF(NOT($A$12),"Check split rule",IF(NOT(ISNUMBER(B215)),"Invalid date",IF(OR(B215&lt;=0,B215&lt;&gt;INT(B215)),"Invalid date",IF(COUNTIFS(DemoHistory[Date],B215)&lt;&gt;1,"Duplicate date",IF(AND($A215&gt;1,B215&lt;=B214),"Dates out of order",IF(NOT(ISNUMBER(C215)),"Missing price",IF(C215&lt;=0,"Nonpositive price","OK")))))))))</f>
        <v/>
      </c>
      <c r="I215" s="136"/>
      <c r="J215" s="136"/>
      <c r="K215" s="136"/>
      <c r="L215" s="136"/>
      <c r="M215" s="136"/>
      <c r="N215" s="136" t="e">
        <f t="shared" si="7"/>
        <v>#N/A</v>
      </c>
      <c r="O215" s="136" t="e">
        <f t="shared" si="8"/>
        <v>#N/A</v>
      </c>
    </row>
    <row r="216" spans="1:15" ht="22" customHeight="1" x14ac:dyDescent="0.35">
      <c r="A216" s="136">
        <v>172</v>
      </c>
      <c r="B216" s="165" t="str">
        <f>IF($A216&gt;MIN($A$10,$A$2),"",INDEX(DemoHistory[Date],$A216))</f>
        <v/>
      </c>
      <c r="C216" s="166" t="str">
        <f>IF(OR($A216&gt;MIN($A$10,$A$2),$A$5=""),"",INDEX(DemoHistory[],$A216,MATCH($A$5,DemoHistory[#Headers],0)))</f>
        <v/>
      </c>
      <c r="D216" s="166" t="str">
        <f>IF($A216&gt;MIN($A$10,$A$2),"",IF(AND($A$12,$A$6=1,B216&lt;$A$7,$A$7&lt;=MAX(DemoHistory[Date])),$A$8,1))</f>
        <v/>
      </c>
      <c r="E216" s="166" t="str">
        <f t="shared" si="6"/>
        <v/>
      </c>
      <c r="F216" s="166" t="str">
        <f>IF($A216&gt;MIN($A$10,$A$2),"",IF($A216&lt;50,"n.a.",IF(COUNT(INDEX(StockDaily[Adjusted close],MAX(1,$A216-50+1)):E216)=50,AVERAGE(INDEX(StockDaily[Adjusted close],MAX(1,$A216-50+1)):E216),"n.a.")))</f>
        <v/>
      </c>
      <c r="G216" s="166" t="str">
        <f>IF($A216&gt;MIN($A$10,$A$2),"",IF($A216&lt;200,"n.a.",IF(COUNT(INDEX(StockDaily[Adjusted close],MAX(1,$A216-200+1)):E216)=200,AVERAGE(INDEX(StockDaily[Adjusted close],MAX(1,$A216-200+1)):E216),"n.a.")))</f>
        <v/>
      </c>
      <c r="H216" s="136" t="str">
        <f>IF($A216&gt;MIN($A$10,$A$2),"",IF($A$5="","Choose stock",IF(NOT($A$12),"Check split rule",IF(NOT(ISNUMBER(B216)),"Invalid date",IF(OR(B216&lt;=0,B216&lt;&gt;INT(B216)),"Invalid date",IF(COUNTIFS(DemoHistory[Date],B216)&lt;&gt;1,"Duplicate date",IF(AND($A216&gt;1,B216&lt;=B215),"Dates out of order",IF(NOT(ISNUMBER(C216)),"Missing price",IF(C216&lt;=0,"Nonpositive price","OK")))))))))</f>
        <v/>
      </c>
      <c r="I216" s="136"/>
      <c r="J216" s="136"/>
      <c r="K216" s="136"/>
      <c r="L216" s="136"/>
      <c r="M216" s="136"/>
      <c r="N216" s="136" t="e">
        <f t="shared" si="7"/>
        <v>#N/A</v>
      </c>
      <c r="O216" s="136" t="e">
        <f t="shared" si="8"/>
        <v>#N/A</v>
      </c>
    </row>
    <row r="217" spans="1:15" ht="22" customHeight="1" x14ac:dyDescent="0.35">
      <c r="A217" s="136">
        <v>173</v>
      </c>
      <c r="B217" s="165" t="str">
        <f>IF($A217&gt;MIN($A$10,$A$2),"",INDEX(DemoHistory[Date],$A217))</f>
        <v/>
      </c>
      <c r="C217" s="166" t="str">
        <f>IF(OR($A217&gt;MIN($A$10,$A$2),$A$5=""),"",INDEX(DemoHistory[],$A217,MATCH($A$5,DemoHistory[#Headers],0)))</f>
        <v/>
      </c>
      <c r="D217" s="166" t="str">
        <f>IF($A217&gt;MIN($A$10,$A$2),"",IF(AND($A$12,$A$6=1,B217&lt;$A$7,$A$7&lt;=MAX(DemoHistory[Date])),$A$8,1))</f>
        <v/>
      </c>
      <c r="E217" s="166" t="str">
        <f t="shared" si="6"/>
        <v/>
      </c>
      <c r="F217" s="166" t="str">
        <f>IF($A217&gt;MIN($A$10,$A$2),"",IF($A217&lt;50,"n.a.",IF(COUNT(INDEX(StockDaily[Adjusted close],MAX(1,$A217-50+1)):E217)=50,AVERAGE(INDEX(StockDaily[Adjusted close],MAX(1,$A217-50+1)):E217),"n.a.")))</f>
        <v/>
      </c>
      <c r="G217" s="166" t="str">
        <f>IF($A217&gt;MIN($A$10,$A$2),"",IF($A217&lt;200,"n.a.",IF(COUNT(INDEX(StockDaily[Adjusted close],MAX(1,$A217-200+1)):E217)=200,AVERAGE(INDEX(StockDaily[Adjusted close],MAX(1,$A217-200+1)):E217),"n.a.")))</f>
        <v/>
      </c>
      <c r="H217" s="136" t="str">
        <f>IF($A217&gt;MIN($A$10,$A$2),"",IF($A$5="","Choose stock",IF(NOT($A$12),"Check split rule",IF(NOT(ISNUMBER(B217)),"Invalid date",IF(OR(B217&lt;=0,B217&lt;&gt;INT(B217)),"Invalid date",IF(COUNTIFS(DemoHistory[Date],B217)&lt;&gt;1,"Duplicate date",IF(AND($A217&gt;1,B217&lt;=B216),"Dates out of order",IF(NOT(ISNUMBER(C217)),"Missing price",IF(C217&lt;=0,"Nonpositive price","OK")))))))))</f>
        <v/>
      </c>
      <c r="I217" s="136"/>
      <c r="J217" s="136"/>
      <c r="K217" s="136"/>
      <c r="L217" s="136"/>
      <c r="M217" s="136"/>
      <c r="N217" s="136" t="e">
        <f t="shared" si="7"/>
        <v>#N/A</v>
      </c>
      <c r="O217" s="136" t="e">
        <f t="shared" si="8"/>
        <v>#N/A</v>
      </c>
    </row>
    <row r="218" spans="1:15" ht="22" customHeight="1" x14ac:dyDescent="0.35">
      <c r="A218" s="136">
        <v>174</v>
      </c>
      <c r="B218" s="165" t="str">
        <f>IF($A218&gt;MIN($A$10,$A$2),"",INDEX(DemoHistory[Date],$A218))</f>
        <v/>
      </c>
      <c r="C218" s="166" t="str">
        <f>IF(OR($A218&gt;MIN($A$10,$A$2),$A$5=""),"",INDEX(DemoHistory[],$A218,MATCH($A$5,DemoHistory[#Headers],0)))</f>
        <v/>
      </c>
      <c r="D218" s="166" t="str">
        <f>IF($A218&gt;MIN($A$10,$A$2),"",IF(AND($A$12,$A$6=1,B218&lt;$A$7,$A$7&lt;=MAX(DemoHistory[Date])),$A$8,1))</f>
        <v/>
      </c>
      <c r="E218" s="166" t="str">
        <f t="shared" si="6"/>
        <v/>
      </c>
      <c r="F218" s="166" t="str">
        <f>IF($A218&gt;MIN($A$10,$A$2),"",IF($A218&lt;50,"n.a.",IF(COUNT(INDEX(StockDaily[Adjusted close],MAX(1,$A218-50+1)):E218)=50,AVERAGE(INDEX(StockDaily[Adjusted close],MAX(1,$A218-50+1)):E218),"n.a.")))</f>
        <v/>
      </c>
      <c r="G218" s="166" t="str">
        <f>IF($A218&gt;MIN($A$10,$A$2),"",IF($A218&lt;200,"n.a.",IF(COUNT(INDEX(StockDaily[Adjusted close],MAX(1,$A218-200+1)):E218)=200,AVERAGE(INDEX(StockDaily[Adjusted close],MAX(1,$A218-200+1)):E218),"n.a.")))</f>
        <v/>
      </c>
      <c r="H218" s="136" t="str">
        <f>IF($A218&gt;MIN($A$10,$A$2),"",IF($A$5="","Choose stock",IF(NOT($A$12),"Check split rule",IF(NOT(ISNUMBER(B218)),"Invalid date",IF(OR(B218&lt;=0,B218&lt;&gt;INT(B218)),"Invalid date",IF(COUNTIFS(DemoHistory[Date],B218)&lt;&gt;1,"Duplicate date",IF(AND($A218&gt;1,B218&lt;=B217),"Dates out of order",IF(NOT(ISNUMBER(C218)),"Missing price",IF(C218&lt;=0,"Nonpositive price","OK")))))))))</f>
        <v/>
      </c>
      <c r="I218" s="136"/>
      <c r="J218" s="136"/>
      <c r="K218" s="136"/>
      <c r="L218" s="136"/>
      <c r="M218" s="136"/>
      <c r="N218" s="136" t="e">
        <f t="shared" si="7"/>
        <v>#N/A</v>
      </c>
      <c r="O218" s="136" t="e">
        <f t="shared" si="8"/>
        <v>#N/A</v>
      </c>
    </row>
    <row r="219" spans="1:15" ht="22" customHeight="1" x14ac:dyDescent="0.35">
      <c r="A219" s="136">
        <v>175</v>
      </c>
      <c r="B219" s="165" t="str">
        <f>IF($A219&gt;MIN($A$10,$A$2),"",INDEX(DemoHistory[Date],$A219))</f>
        <v/>
      </c>
      <c r="C219" s="166" t="str">
        <f>IF(OR($A219&gt;MIN($A$10,$A$2),$A$5=""),"",INDEX(DemoHistory[],$A219,MATCH($A$5,DemoHistory[#Headers],0)))</f>
        <v/>
      </c>
      <c r="D219" s="166" t="str">
        <f>IF($A219&gt;MIN($A$10,$A$2),"",IF(AND($A$12,$A$6=1,B219&lt;$A$7,$A$7&lt;=MAX(DemoHistory[Date])),$A$8,1))</f>
        <v/>
      </c>
      <c r="E219" s="166" t="str">
        <f t="shared" si="6"/>
        <v/>
      </c>
      <c r="F219" s="166" t="str">
        <f>IF($A219&gt;MIN($A$10,$A$2),"",IF($A219&lt;50,"n.a.",IF(COUNT(INDEX(StockDaily[Adjusted close],MAX(1,$A219-50+1)):E219)=50,AVERAGE(INDEX(StockDaily[Adjusted close],MAX(1,$A219-50+1)):E219),"n.a.")))</f>
        <v/>
      </c>
      <c r="G219" s="166" t="str">
        <f>IF($A219&gt;MIN($A$10,$A$2),"",IF($A219&lt;200,"n.a.",IF(COUNT(INDEX(StockDaily[Adjusted close],MAX(1,$A219-200+1)):E219)=200,AVERAGE(INDEX(StockDaily[Adjusted close],MAX(1,$A219-200+1)):E219),"n.a.")))</f>
        <v/>
      </c>
      <c r="H219" s="136" t="str">
        <f>IF($A219&gt;MIN($A$10,$A$2),"",IF($A$5="","Choose stock",IF(NOT($A$12),"Check split rule",IF(NOT(ISNUMBER(B219)),"Invalid date",IF(OR(B219&lt;=0,B219&lt;&gt;INT(B219)),"Invalid date",IF(COUNTIFS(DemoHistory[Date],B219)&lt;&gt;1,"Duplicate date",IF(AND($A219&gt;1,B219&lt;=B218),"Dates out of order",IF(NOT(ISNUMBER(C219)),"Missing price",IF(C219&lt;=0,"Nonpositive price","OK")))))))))</f>
        <v/>
      </c>
      <c r="I219" s="136"/>
      <c r="J219" s="136"/>
      <c r="K219" s="136"/>
      <c r="L219" s="136"/>
      <c r="M219" s="136"/>
      <c r="N219" s="136" t="e">
        <f t="shared" si="7"/>
        <v>#N/A</v>
      </c>
      <c r="O219" s="136" t="e">
        <f t="shared" si="8"/>
        <v>#N/A</v>
      </c>
    </row>
    <row r="220" spans="1:15" ht="22" customHeight="1" x14ac:dyDescent="0.35">
      <c r="A220" s="136">
        <v>176</v>
      </c>
      <c r="B220" s="165" t="str">
        <f>IF($A220&gt;MIN($A$10,$A$2),"",INDEX(DemoHistory[Date],$A220))</f>
        <v/>
      </c>
      <c r="C220" s="166" t="str">
        <f>IF(OR($A220&gt;MIN($A$10,$A$2),$A$5=""),"",INDEX(DemoHistory[],$A220,MATCH($A$5,DemoHistory[#Headers],0)))</f>
        <v/>
      </c>
      <c r="D220" s="166" t="str">
        <f>IF($A220&gt;MIN($A$10,$A$2),"",IF(AND($A$12,$A$6=1,B220&lt;$A$7,$A$7&lt;=MAX(DemoHistory[Date])),$A$8,1))</f>
        <v/>
      </c>
      <c r="E220" s="166" t="str">
        <f t="shared" si="6"/>
        <v/>
      </c>
      <c r="F220" s="166" t="str">
        <f>IF($A220&gt;MIN($A$10,$A$2),"",IF($A220&lt;50,"n.a.",IF(COUNT(INDEX(StockDaily[Adjusted close],MAX(1,$A220-50+1)):E220)=50,AVERAGE(INDEX(StockDaily[Adjusted close],MAX(1,$A220-50+1)):E220),"n.a.")))</f>
        <v/>
      </c>
      <c r="G220" s="166" t="str">
        <f>IF($A220&gt;MIN($A$10,$A$2),"",IF($A220&lt;200,"n.a.",IF(COUNT(INDEX(StockDaily[Adjusted close],MAX(1,$A220-200+1)):E220)=200,AVERAGE(INDEX(StockDaily[Adjusted close],MAX(1,$A220-200+1)):E220),"n.a.")))</f>
        <v/>
      </c>
      <c r="H220" s="136" t="str">
        <f>IF($A220&gt;MIN($A$10,$A$2),"",IF($A$5="","Choose stock",IF(NOT($A$12),"Check split rule",IF(NOT(ISNUMBER(B220)),"Invalid date",IF(OR(B220&lt;=0,B220&lt;&gt;INT(B220)),"Invalid date",IF(COUNTIFS(DemoHistory[Date],B220)&lt;&gt;1,"Duplicate date",IF(AND($A220&gt;1,B220&lt;=B219),"Dates out of order",IF(NOT(ISNUMBER(C220)),"Missing price",IF(C220&lt;=0,"Nonpositive price","OK")))))))))</f>
        <v/>
      </c>
      <c r="I220" s="136"/>
      <c r="J220" s="136"/>
      <c r="K220" s="136"/>
      <c r="L220" s="136"/>
      <c r="M220" s="136"/>
      <c r="N220" s="136" t="e">
        <f t="shared" si="7"/>
        <v>#N/A</v>
      </c>
      <c r="O220" s="136" t="e">
        <f t="shared" si="8"/>
        <v>#N/A</v>
      </c>
    </row>
    <row r="221" spans="1:15" ht="22" customHeight="1" x14ac:dyDescent="0.35">
      <c r="A221" s="136">
        <v>177</v>
      </c>
      <c r="B221" s="165" t="str">
        <f>IF($A221&gt;MIN($A$10,$A$2),"",INDEX(DemoHistory[Date],$A221))</f>
        <v/>
      </c>
      <c r="C221" s="166" t="str">
        <f>IF(OR($A221&gt;MIN($A$10,$A$2),$A$5=""),"",INDEX(DemoHistory[],$A221,MATCH($A$5,DemoHistory[#Headers],0)))</f>
        <v/>
      </c>
      <c r="D221" s="166" t="str">
        <f>IF($A221&gt;MIN($A$10,$A$2),"",IF(AND($A$12,$A$6=1,B221&lt;$A$7,$A$7&lt;=MAX(DemoHistory[Date])),$A$8,1))</f>
        <v/>
      </c>
      <c r="E221" s="166" t="str">
        <f t="shared" si="6"/>
        <v/>
      </c>
      <c r="F221" s="166" t="str">
        <f>IF($A221&gt;MIN($A$10,$A$2),"",IF($A221&lt;50,"n.a.",IF(COUNT(INDEX(StockDaily[Adjusted close],MAX(1,$A221-50+1)):E221)=50,AVERAGE(INDEX(StockDaily[Adjusted close],MAX(1,$A221-50+1)):E221),"n.a.")))</f>
        <v/>
      </c>
      <c r="G221" s="166" t="str">
        <f>IF($A221&gt;MIN($A$10,$A$2),"",IF($A221&lt;200,"n.a.",IF(COUNT(INDEX(StockDaily[Adjusted close],MAX(1,$A221-200+1)):E221)=200,AVERAGE(INDEX(StockDaily[Adjusted close],MAX(1,$A221-200+1)):E221),"n.a.")))</f>
        <v/>
      </c>
      <c r="H221" s="136" t="str">
        <f>IF($A221&gt;MIN($A$10,$A$2),"",IF($A$5="","Choose stock",IF(NOT($A$12),"Check split rule",IF(NOT(ISNUMBER(B221)),"Invalid date",IF(OR(B221&lt;=0,B221&lt;&gt;INT(B221)),"Invalid date",IF(COUNTIFS(DemoHistory[Date],B221)&lt;&gt;1,"Duplicate date",IF(AND($A221&gt;1,B221&lt;=B220),"Dates out of order",IF(NOT(ISNUMBER(C221)),"Missing price",IF(C221&lt;=0,"Nonpositive price","OK")))))))))</f>
        <v/>
      </c>
      <c r="I221" s="136"/>
      <c r="J221" s="136"/>
      <c r="K221" s="136"/>
      <c r="L221" s="136"/>
      <c r="M221" s="136"/>
      <c r="N221" s="136" t="e">
        <f t="shared" si="7"/>
        <v>#N/A</v>
      </c>
      <c r="O221" s="136" t="e">
        <f t="shared" si="8"/>
        <v>#N/A</v>
      </c>
    </row>
    <row r="222" spans="1:15" ht="22" customHeight="1" x14ac:dyDescent="0.35">
      <c r="A222" s="136">
        <v>178</v>
      </c>
      <c r="B222" s="165" t="str">
        <f>IF($A222&gt;MIN($A$10,$A$2),"",INDEX(DemoHistory[Date],$A222))</f>
        <v/>
      </c>
      <c r="C222" s="166" t="str">
        <f>IF(OR($A222&gt;MIN($A$10,$A$2),$A$5=""),"",INDEX(DemoHistory[],$A222,MATCH($A$5,DemoHistory[#Headers],0)))</f>
        <v/>
      </c>
      <c r="D222" s="166" t="str">
        <f>IF($A222&gt;MIN($A$10,$A$2),"",IF(AND($A$12,$A$6=1,B222&lt;$A$7,$A$7&lt;=MAX(DemoHistory[Date])),$A$8,1))</f>
        <v/>
      </c>
      <c r="E222" s="166" t="str">
        <f t="shared" si="6"/>
        <v/>
      </c>
      <c r="F222" s="166" t="str">
        <f>IF($A222&gt;MIN($A$10,$A$2),"",IF($A222&lt;50,"n.a.",IF(COUNT(INDEX(StockDaily[Adjusted close],MAX(1,$A222-50+1)):E222)=50,AVERAGE(INDEX(StockDaily[Adjusted close],MAX(1,$A222-50+1)):E222),"n.a.")))</f>
        <v/>
      </c>
      <c r="G222" s="166" t="str">
        <f>IF($A222&gt;MIN($A$10,$A$2),"",IF($A222&lt;200,"n.a.",IF(COUNT(INDEX(StockDaily[Adjusted close],MAX(1,$A222-200+1)):E222)=200,AVERAGE(INDEX(StockDaily[Adjusted close],MAX(1,$A222-200+1)):E222),"n.a.")))</f>
        <v/>
      </c>
      <c r="H222" s="136" t="str">
        <f>IF($A222&gt;MIN($A$10,$A$2),"",IF($A$5="","Choose stock",IF(NOT($A$12),"Check split rule",IF(NOT(ISNUMBER(B222)),"Invalid date",IF(OR(B222&lt;=0,B222&lt;&gt;INT(B222)),"Invalid date",IF(COUNTIFS(DemoHistory[Date],B222)&lt;&gt;1,"Duplicate date",IF(AND($A222&gt;1,B222&lt;=B221),"Dates out of order",IF(NOT(ISNUMBER(C222)),"Missing price",IF(C222&lt;=0,"Nonpositive price","OK")))))))))</f>
        <v/>
      </c>
      <c r="I222" s="136"/>
      <c r="J222" s="136"/>
      <c r="K222" s="136"/>
      <c r="L222" s="136"/>
      <c r="M222" s="136"/>
      <c r="N222" s="136" t="e">
        <f t="shared" si="7"/>
        <v>#N/A</v>
      </c>
      <c r="O222" s="136" t="e">
        <f t="shared" si="8"/>
        <v>#N/A</v>
      </c>
    </row>
    <row r="223" spans="1:15" ht="22" customHeight="1" x14ac:dyDescent="0.35">
      <c r="A223" s="136">
        <v>179</v>
      </c>
      <c r="B223" s="165" t="str">
        <f>IF($A223&gt;MIN($A$10,$A$2),"",INDEX(DemoHistory[Date],$A223))</f>
        <v/>
      </c>
      <c r="C223" s="166" t="str">
        <f>IF(OR($A223&gt;MIN($A$10,$A$2),$A$5=""),"",INDEX(DemoHistory[],$A223,MATCH($A$5,DemoHistory[#Headers],0)))</f>
        <v/>
      </c>
      <c r="D223" s="166" t="str">
        <f>IF($A223&gt;MIN($A$10,$A$2),"",IF(AND($A$12,$A$6=1,B223&lt;$A$7,$A$7&lt;=MAX(DemoHistory[Date])),$A$8,1))</f>
        <v/>
      </c>
      <c r="E223" s="166" t="str">
        <f t="shared" si="6"/>
        <v/>
      </c>
      <c r="F223" s="166" t="str">
        <f>IF($A223&gt;MIN($A$10,$A$2),"",IF($A223&lt;50,"n.a.",IF(COUNT(INDEX(StockDaily[Adjusted close],MAX(1,$A223-50+1)):E223)=50,AVERAGE(INDEX(StockDaily[Adjusted close],MAX(1,$A223-50+1)):E223),"n.a.")))</f>
        <v/>
      </c>
      <c r="G223" s="166" t="str">
        <f>IF($A223&gt;MIN($A$10,$A$2),"",IF($A223&lt;200,"n.a.",IF(COUNT(INDEX(StockDaily[Adjusted close],MAX(1,$A223-200+1)):E223)=200,AVERAGE(INDEX(StockDaily[Adjusted close],MAX(1,$A223-200+1)):E223),"n.a.")))</f>
        <v/>
      </c>
      <c r="H223" s="136" t="str">
        <f>IF($A223&gt;MIN($A$10,$A$2),"",IF($A$5="","Choose stock",IF(NOT($A$12),"Check split rule",IF(NOT(ISNUMBER(B223)),"Invalid date",IF(OR(B223&lt;=0,B223&lt;&gt;INT(B223)),"Invalid date",IF(COUNTIFS(DemoHistory[Date],B223)&lt;&gt;1,"Duplicate date",IF(AND($A223&gt;1,B223&lt;=B222),"Dates out of order",IF(NOT(ISNUMBER(C223)),"Missing price",IF(C223&lt;=0,"Nonpositive price","OK")))))))))</f>
        <v/>
      </c>
      <c r="I223" s="136"/>
      <c r="J223" s="136"/>
      <c r="K223" s="136"/>
      <c r="L223" s="136"/>
      <c r="M223" s="136"/>
      <c r="N223" s="136" t="e">
        <f t="shared" si="7"/>
        <v>#N/A</v>
      </c>
      <c r="O223" s="136" t="e">
        <f t="shared" si="8"/>
        <v>#N/A</v>
      </c>
    </row>
    <row r="224" spans="1:15" ht="22" customHeight="1" x14ac:dyDescent="0.35">
      <c r="A224" s="136">
        <v>180</v>
      </c>
      <c r="B224" s="165" t="str">
        <f>IF($A224&gt;MIN($A$10,$A$2),"",INDEX(DemoHistory[Date],$A224))</f>
        <v/>
      </c>
      <c r="C224" s="166" t="str">
        <f>IF(OR($A224&gt;MIN($A$10,$A$2),$A$5=""),"",INDEX(DemoHistory[],$A224,MATCH($A$5,DemoHistory[#Headers],0)))</f>
        <v/>
      </c>
      <c r="D224" s="166" t="str">
        <f>IF($A224&gt;MIN($A$10,$A$2),"",IF(AND($A$12,$A$6=1,B224&lt;$A$7,$A$7&lt;=MAX(DemoHistory[Date])),$A$8,1))</f>
        <v/>
      </c>
      <c r="E224" s="166" t="str">
        <f t="shared" si="6"/>
        <v/>
      </c>
      <c r="F224" s="166" t="str">
        <f>IF($A224&gt;MIN($A$10,$A$2),"",IF($A224&lt;50,"n.a.",IF(COUNT(INDEX(StockDaily[Adjusted close],MAX(1,$A224-50+1)):E224)=50,AVERAGE(INDEX(StockDaily[Adjusted close],MAX(1,$A224-50+1)):E224),"n.a.")))</f>
        <v/>
      </c>
      <c r="G224" s="166" t="str">
        <f>IF($A224&gt;MIN($A$10,$A$2),"",IF($A224&lt;200,"n.a.",IF(COUNT(INDEX(StockDaily[Adjusted close],MAX(1,$A224-200+1)):E224)=200,AVERAGE(INDEX(StockDaily[Adjusted close],MAX(1,$A224-200+1)):E224),"n.a.")))</f>
        <v/>
      </c>
      <c r="H224" s="136" t="str">
        <f>IF($A224&gt;MIN($A$10,$A$2),"",IF($A$5="","Choose stock",IF(NOT($A$12),"Check split rule",IF(NOT(ISNUMBER(B224)),"Invalid date",IF(OR(B224&lt;=0,B224&lt;&gt;INT(B224)),"Invalid date",IF(COUNTIFS(DemoHistory[Date],B224)&lt;&gt;1,"Duplicate date",IF(AND($A224&gt;1,B224&lt;=B223),"Dates out of order",IF(NOT(ISNUMBER(C224)),"Missing price",IF(C224&lt;=0,"Nonpositive price","OK")))))))))</f>
        <v/>
      </c>
      <c r="I224" s="136"/>
      <c r="J224" s="136"/>
      <c r="K224" s="136"/>
      <c r="L224" s="136"/>
      <c r="M224" s="136"/>
      <c r="N224" s="136" t="e">
        <f t="shared" si="7"/>
        <v>#N/A</v>
      </c>
      <c r="O224" s="136" t="e">
        <f t="shared" si="8"/>
        <v>#N/A</v>
      </c>
    </row>
    <row r="225" spans="1:15" ht="22" customHeight="1" x14ac:dyDescent="0.35">
      <c r="A225" s="136">
        <v>181</v>
      </c>
      <c r="B225" s="165" t="str">
        <f>IF($A225&gt;MIN($A$10,$A$2),"",INDEX(DemoHistory[Date],$A225))</f>
        <v/>
      </c>
      <c r="C225" s="166" t="str">
        <f>IF(OR($A225&gt;MIN($A$10,$A$2),$A$5=""),"",INDEX(DemoHistory[],$A225,MATCH($A$5,DemoHistory[#Headers],0)))</f>
        <v/>
      </c>
      <c r="D225" s="166" t="str">
        <f>IF($A225&gt;MIN($A$10,$A$2),"",IF(AND($A$12,$A$6=1,B225&lt;$A$7,$A$7&lt;=MAX(DemoHistory[Date])),$A$8,1))</f>
        <v/>
      </c>
      <c r="E225" s="166" t="str">
        <f t="shared" si="6"/>
        <v/>
      </c>
      <c r="F225" s="166" t="str">
        <f>IF($A225&gt;MIN($A$10,$A$2),"",IF($A225&lt;50,"n.a.",IF(COUNT(INDEX(StockDaily[Adjusted close],MAX(1,$A225-50+1)):E225)=50,AVERAGE(INDEX(StockDaily[Adjusted close],MAX(1,$A225-50+1)):E225),"n.a.")))</f>
        <v/>
      </c>
      <c r="G225" s="166" t="str">
        <f>IF($A225&gt;MIN($A$10,$A$2),"",IF($A225&lt;200,"n.a.",IF(COUNT(INDEX(StockDaily[Adjusted close],MAX(1,$A225-200+1)):E225)=200,AVERAGE(INDEX(StockDaily[Adjusted close],MAX(1,$A225-200+1)):E225),"n.a.")))</f>
        <v/>
      </c>
      <c r="H225" s="136" t="str">
        <f>IF($A225&gt;MIN($A$10,$A$2),"",IF($A$5="","Choose stock",IF(NOT($A$12),"Check split rule",IF(NOT(ISNUMBER(B225)),"Invalid date",IF(OR(B225&lt;=0,B225&lt;&gt;INT(B225)),"Invalid date",IF(COUNTIFS(DemoHistory[Date],B225)&lt;&gt;1,"Duplicate date",IF(AND($A225&gt;1,B225&lt;=B224),"Dates out of order",IF(NOT(ISNUMBER(C225)),"Missing price",IF(C225&lt;=0,"Nonpositive price","OK")))))))))</f>
        <v/>
      </c>
      <c r="I225" s="136"/>
      <c r="J225" s="136"/>
      <c r="K225" s="136"/>
      <c r="L225" s="136"/>
      <c r="M225" s="136"/>
      <c r="N225" s="136" t="e">
        <f t="shared" si="7"/>
        <v>#N/A</v>
      </c>
      <c r="O225" s="136" t="e">
        <f t="shared" si="8"/>
        <v>#N/A</v>
      </c>
    </row>
    <row r="226" spans="1:15" ht="22" customHeight="1" x14ac:dyDescent="0.35">
      <c r="A226" s="136">
        <v>182</v>
      </c>
      <c r="B226" s="165" t="str">
        <f>IF($A226&gt;MIN($A$10,$A$2),"",INDEX(DemoHistory[Date],$A226))</f>
        <v/>
      </c>
      <c r="C226" s="166" t="str">
        <f>IF(OR($A226&gt;MIN($A$10,$A$2),$A$5=""),"",INDEX(DemoHistory[],$A226,MATCH($A$5,DemoHistory[#Headers],0)))</f>
        <v/>
      </c>
      <c r="D226" s="166" t="str">
        <f>IF($A226&gt;MIN($A$10,$A$2),"",IF(AND($A$12,$A$6=1,B226&lt;$A$7,$A$7&lt;=MAX(DemoHistory[Date])),$A$8,1))</f>
        <v/>
      </c>
      <c r="E226" s="166" t="str">
        <f t="shared" si="6"/>
        <v/>
      </c>
      <c r="F226" s="166" t="str">
        <f>IF($A226&gt;MIN($A$10,$A$2),"",IF($A226&lt;50,"n.a.",IF(COUNT(INDEX(StockDaily[Adjusted close],MAX(1,$A226-50+1)):E226)=50,AVERAGE(INDEX(StockDaily[Adjusted close],MAX(1,$A226-50+1)):E226),"n.a.")))</f>
        <v/>
      </c>
      <c r="G226" s="166" t="str">
        <f>IF($A226&gt;MIN($A$10,$A$2),"",IF($A226&lt;200,"n.a.",IF(COUNT(INDEX(StockDaily[Adjusted close],MAX(1,$A226-200+1)):E226)=200,AVERAGE(INDEX(StockDaily[Adjusted close],MAX(1,$A226-200+1)):E226),"n.a.")))</f>
        <v/>
      </c>
      <c r="H226" s="136" t="str">
        <f>IF($A226&gt;MIN($A$10,$A$2),"",IF($A$5="","Choose stock",IF(NOT($A$12),"Check split rule",IF(NOT(ISNUMBER(B226)),"Invalid date",IF(OR(B226&lt;=0,B226&lt;&gt;INT(B226)),"Invalid date",IF(COUNTIFS(DemoHistory[Date],B226)&lt;&gt;1,"Duplicate date",IF(AND($A226&gt;1,B226&lt;=B225),"Dates out of order",IF(NOT(ISNUMBER(C226)),"Missing price",IF(C226&lt;=0,"Nonpositive price","OK")))))))))</f>
        <v/>
      </c>
      <c r="I226" s="136"/>
      <c r="J226" s="136"/>
      <c r="K226" s="136"/>
      <c r="L226" s="136"/>
      <c r="M226" s="136"/>
      <c r="N226" s="136" t="e">
        <f t="shared" si="7"/>
        <v>#N/A</v>
      </c>
      <c r="O226" s="136" t="e">
        <f t="shared" si="8"/>
        <v>#N/A</v>
      </c>
    </row>
    <row r="227" spans="1:15" ht="22" customHeight="1" x14ac:dyDescent="0.35">
      <c r="A227" s="136">
        <v>183</v>
      </c>
      <c r="B227" s="165" t="str">
        <f>IF($A227&gt;MIN($A$10,$A$2),"",INDEX(DemoHistory[Date],$A227))</f>
        <v/>
      </c>
      <c r="C227" s="166" t="str">
        <f>IF(OR($A227&gt;MIN($A$10,$A$2),$A$5=""),"",INDEX(DemoHistory[],$A227,MATCH($A$5,DemoHistory[#Headers],0)))</f>
        <v/>
      </c>
      <c r="D227" s="166" t="str">
        <f>IF($A227&gt;MIN($A$10,$A$2),"",IF(AND($A$12,$A$6=1,B227&lt;$A$7,$A$7&lt;=MAX(DemoHistory[Date])),$A$8,1))</f>
        <v/>
      </c>
      <c r="E227" s="166" t="str">
        <f t="shared" si="6"/>
        <v/>
      </c>
      <c r="F227" s="166" t="str">
        <f>IF($A227&gt;MIN($A$10,$A$2),"",IF($A227&lt;50,"n.a.",IF(COUNT(INDEX(StockDaily[Adjusted close],MAX(1,$A227-50+1)):E227)=50,AVERAGE(INDEX(StockDaily[Adjusted close],MAX(1,$A227-50+1)):E227),"n.a.")))</f>
        <v/>
      </c>
      <c r="G227" s="166" t="str">
        <f>IF($A227&gt;MIN($A$10,$A$2),"",IF($A227&lt;200,"n.a.",IF(COUNT(INDEX(StockDaily[Adjusted close],MAX(1,$A227-200+1)):E227)=200,AVERAGE(INDEX(StockDaily[Adjusted close],MAX(1,$A227-200+1)):E227),"n.a.")))</f>
        <v/>
      </c>
      <c r="H227" s="136" t="str">
        <f>IF($A227&gt;MIN($A$10,$A$2),"",IF($A$5="","Choose stock",IF(NOT($A$12),"Check split rule",IF(NOT(ISNUMBER(B227)),"Invalid date",IF(OR(B227&lt;=0,B227&lt;&gt;INT(B227)),"Invalid date",IF(COUNTIFS(DemoHistory[Date],B227)&lt;&gt;1,"Duplicate date",IF(AND($A227&gt;1,B227&lt;=B226),"Dates out of order",IF(NOT(ISNUMBER(C227)),"Missing price",IF(C227&lt;=0,"Nonpositive price","OK")))))))))</f>
        <v/>
      </c>
      <c r="I227" s="136"/>
      <c r="J227" s="136"/>
      <c r="K227" s="136"/>
      <c r="L227" s="136"/>
      <c r="M227" s="136"/>
      <c r="N227" s="136" t="e">
        <f t="shared" si="7"/>
        <v>#N/A</v>
      </c>
      <c r="O227" s="136" t="e">
        <f t="shared" si="8"/>
        <v>#N/A</v>
      </c>
    </row>
    <row r="228" spans="1:15" ht="22" customHeight="1" x14ac:dyDescent="0.35">
      <c r="A228" s="136">
        <v>184</v>
      </c>
      <c r="B228" s="165" t="str">
        <f>IF($A228&gt;MIN($A$10,$A$2),"",INDEX(DemoHistory[Date],$A228))</f>
        <v/>
      </c>
      <c r="C228" s="166" t="str">
        <f>IF(OR($A228&gt;MIN($A$10,$A$2),$A$5=""),"",INDEX(DemoHistory[],$A228,MATCH($A$5,DemoHistory[#Headers],0)))</f>
        <v/>
      </c>
      <c r="D228" s="166" t="str">
        <f>IF($A228&gt;MIN($A$10,$A$2),"",IF(AND($A$12,$A$6=1,B228&lt;$A$7,$A$7&lt;=MAX(DemoHistory[Date])),$A$8,1))</f>
        <v/>
      </c>
      <c r="E228" s="166" t="str">
        <f t="shared" si="6"/>
        <v/>
      </c>
      <c r="F228" s="166" t="str">
        <f>IF($A228&gt;MIN($A$10,$A$2),"",IF($A228&lt;50,"n.a.",IF(COUNT(INDEX(StockDaily[Adjusted close],MAX(1,$A228-50+1)):E228)=50,AVERAGE(INDEX(StockDaily[Adjusted close],MAX(1,$A228-50+1)):E228),"n.a.")))</f>
        <v/>
      </c>
      <c r="G228" s="166" t="str">
        <f>IF($A228&gt;MIN($A$10,$A$2),"",IF($A228&lt;200,"n.a.",IF(COUNT(INDEX(StockDaily[Adjusted close],MAX(1,$A228-200+1)):E228)=200,AVERAGE(INDEX(StockDaily[Adjusted close],MAX(1,$A228-200+1)):E228),"n.a.")))</f>
        <v/>
      </c>
      <c r="H228" s="136" t="str">
        <f>IF($A228&gt;MIN($A$10,$A$2),"",IF($A$5="","Choose stock",IF(NOT($A$12),"Check split rule",IF(NOT(ISNUMBER(B228)),"Invalid date",IF(OR(B228&lt;=0,B228&lt;&gt;INT(B228)),"Invalid date",IF(COUNTIFS(DemoHistory[Date],B228)&lt;&gt;1,"Duplicate date",IF(AND($A228&gt;1,B228&lt;=B227),"Dates out of order",IF(NOT(ISNUMBER(C228)),"Missing price",IF(C228&lt;=0,"Nonpositive price","OK")))))))))</f>
        <v/>
      </c>
      <c r="I228" s="136"/>
      <c r="J228" s="136"/>
      <c r="K228" s="136"/>
      <c r="L228" s="136"/>
      <c r="M228" s="136"/>
      <c r="N228" s="136" t="e">
        <f t="shared" si="7"/>
        <v>#N/A</v>
      </c>
      <c r="O228" s="136" t="e">
        <f t="shared" si="8"/>
        <v>#N/A</v>
      </c>
    </row>
    <row r="229" spans="1:15" ht="22" customHeight="1" x14ac:dyDescent="0.35">
      <c r="A229" s="136">
        <v>185</v>
      </c>
      <c r="B229" s="165" t="str">
        <f>IF($A229&gt;MIN($A$10,$A$2),"",INDEX(DemoHistory[Date],$A229))</f>
        <v/>
      </c>
      <c r="C229" s="166" t="str">
        <f>IF(OR($A229&gt;MIN($A$10,$A$2),$A$5=""),"",INDEX(DemoHistory[],$A229,MATCH($A$5,DemoHistory[#Headers],0)))</f>
        <v/>
      </c>
      <c r="D229" s="166" t="str">
        <f>IF($A229&gt;MIN($A$10,$A$2),"",IF(AND($A$12,$A$6=1,B229&lt;$A$7,$A$7&lt;=MAX(DemoHistory[Date])),$A$8,1))</f>
        <v/>
      </c>
      <c r="E229" s="166" t="str">
        <f t="shared" si="6"/>
        <v/>
      </c>
      <c r="F229" s="166" t="str">
        <f>IF($A229&gt;MIN($A$10,$A$2),"",IF($A229&lt;50,"n.a.",IF(COUNT(INDEX(StockDaily[Adjusted close],MAX(1,$A229-50+1)):E229)=50,AVERAGE(INDEX(StockDaily[Adjusted close],MAX(1,$A229-50+1)):E229),"n.a.")))</f>
        <v/>
      </c>
      <c r="G229" s="166" t="str">
        <f>IF($A229&gt;MIN($A$10,$A$2),"",IF($A229&lt;200,"n.a.",IF(COUNT(INDEX(StockDaily[Adjusted close],MAX(1,$A229-200+1)):E229)=200,AVERAGE(INDEX(StockDaily[Adjusted close],MAX(1,$A229-200+1)):E229),"n.a.")))</f>
        <v/>
      </c>
      <c r="H229" s="136" t="str">
        <f>IF($A229&gt;MIN($A$10,$A$2),"",IF($A$5="","Choose stock",IF(NOT($A$12),"Check split rule",IF(NOT(ISNUMBER(B229)),"Invalid date",IF(OR(B229&lt;=0,B229&lt;&gt;INT(B229)),"Invalid date",IF(COUNTIFS(DemoHistory[Date],B229)&lt;&gt;1,"Duplicate date",IF(AND($A229&gt;1,B229&lt;=B228),"Dates out of order",IF(NOT(ISNUMBER(C229)),"Missing price",IF(C229&lt;=0,"Nonpositive price","OK")))))))))</f>
        <v/>
      </c>
      <c r="I229" s="136"/>
      <c r="J229" s="136"/>
      <c r="K229" s="136"/>
      <c r="L229" s="136"/>
      <c r="M229" s="136"/>
      <c r="N229" s="136" t="e">
        <f t="shared" si="7"/>
        <v>#N/A</v>
      </c>
      <c r="O229" s="136" t="e">
        <f t="shared" si="8"/>
        <v>#N/A</v>
      </c>
    </row>
    <row r="230" spans="1:15" ht="22" customHeight="1" x14ac:dyDescent="0.35">
      <c r="A230" s="136">
        <v>186</v>
      </c>
      <c r="B230" s="165" t="str">
        <f>IF($A230&gt;MIN($A$10,$A$2),"",INDEX(DemoHistory[Date],$A230))</f>
        <v/>
      </c>
      <c r="C230" s="166" t="str">
        <f>IF(OR($A230&gt;MIN($A$10,$A$2),$A$5=""),"",INDEX(DemoHistory[],$A230,MATCH($A$5,DemoHistory[#Headers],0)))</f>
        <v/>
      </c>
      <c r="D230" s="166" t="str">
        <f>IF($A230&gt;MIN($A$10,$A$2),"",IF(AND($A$12,$A$6=1,B230&lt;$A$7,$A$7&lt;=MAX(DemoHistory[Date])),$A$8,1))</f>
        <v/>
      </c>
      <c r="E230" s="166" t="str">
        <f t="shared" si="6"/>
        <v/>
      </c>
      <c r="F230" s="166" t="str">
        <f>IF($A230&gt;MIN($A$10,$A$2),"",IF($A230&lt;50,"n.a.",IF(COUNT(INDEX(StockDaily[Adjusted close],MAX(1,$A230-50+1)):E230)=50,AVERAGE(INDEX(StockDaily[Adjusted close],MAX(1,$A230-50+1)):E230),"n.a.")))</f>
        <v/>
      </c>
      <c r="G230" s="166" t="str">
        <f>IF($A230&gt;MIN($A$10,$A$2),"",IF($A230&lt;200,"n.a.",IF(COUNT(INDEX(StockDaily[Adjusted close],MAX(1,$A230-200+1)):E230)=200,AVERAGE(INDEX(StockDaily[Adjusted close],MAX(1,$A230-200+1)):E230),"n.a.")))</f>
        <v/>
      </c>
      <c r="H230" s="136" t="str">
        <f>IF($A230&gt;MIN($A$10,$A$2),"",IF($A$5="","Choose stock",IF(NOT($A$12),"Check split rule",IF(NOT(ISNUMBER(B230)),"Invalid date",IF(OR(B230&lt;=0,B230&lt;&gt;INT(B230)),"Invalid date",IF(COUNTIFS(DemoHistory[Date],B230)&lt;&gt;1,"Duplicate date",IF(AND($A230&gt;1,B230&lt;=B229),"Dates out of order",IF(NOT(ISNUMBER(C230)),"Missing price",IF(C230&lt;=0,"Nonpositive price","OK")))))))))</f>
        <v/>
      </c>
      <c r="I230" s="136"/>
      <c r="J230" s="136"/>
      <c r="K230" s="136"/>
      <c r="L230" s="136"/>
      <c r="M230" s="136"/>
      <c r="N230" s="136" t="e">
        <f t="shared" si="7"/>
        <v>#N/A</v>
      </c>
      <c r="O230" s="136" t="e">
        <f t="shared" si="8"/>
        <v>#N/A</v>
      </c>
    </row>
    <row r="231" spans="1:15" ht="22" customHeight="1" x14ac:dyDescent="0.35">
      <c r="A231" s="136">
        <v>187</v>
      </c>
      <c r="B231" s="165" t="str">
        <f>IF($A231&gt;MIN($A$10,$A$2),"",INDEX(DemoHistory[Date],$A231))</f>
        <v/>
      </c>
      <c r="C231" s="166" t="str">
        <f>IF(OR($A231&gt;MIN($A$10,$A$2),$A$5=""),"",INDEX(DemoHistory[],$A231,MATCH($A$5,DemoHistory[#Headers],0)))</f>
        <v/>
      </c>
      <c r="D231" s="166" t="str">
        <f>IF($A231&gt;MIN($A$10,$A$2),"",IF(AND($A$12,$A$6=1,B231&lt;$A$7,$A$7&lt;=MAX(DemoHistory[Date])),$A$8,1))</f>
        <v/>
      </c>
      <c r="E231" s="166" t="str">
        <f t="shared" si="6"/>
        <v/>
      </c>
      <c r="F231" s="166" t="str">
        <f>IF($A231&gt;MIN($A$10,$A$2),"",IF($A231&lt;50,"n.a.",IF(COUNT(INDEX(StockDaily[Adjusted close],MAX(1,$A231-50+1)):E231)=50,AVERAGE(INDEX(StockDaily[Adjusted close],MAX(1,$A231-50+1)):E231),"n.a.")))</f>
        <v/>
      </c>
      <c r="G231" s="166" t="str">
        <f>IF($A231&gt;MIN($A$10,$A$2),"",IF($A231&lt;200,"n.a.",IF(COUNT(INDEX(StockDaily[Adjusted close],MAX(1,$A231-200+1)):E231)=200,AVERAGE(INDEX(StockDaily[Adjusted close],MAX(1,$A231-200+1)):E231),"n.a.")))</f>
        <v/>
      </c>
      <c r="H231" s="136" t="str">
        <f>IF($A231&gt;MIN($A$10,$A$2),"",IF($A$5="","Choose stock",IF(NOT($A$12),"Check split rule",IF(NOT(ISNUMBER(B231)),"Invalid date",IF(OR(B231&lt;=0,B231&lt;&gt;INT(B231)),"Invalid date",IF(COUNTIFS(DemoHistory[Date],B231)&lt;&gt;1,"Duplicate date",IF(AND($A231&gt;1,B231&lt;=B230),"Dates out of order",IF(NOT(ISNUMBER(C231)),"Missing price",IF(C231&lt;=0,"Nonpositive price","OK")))))))))</f>
        <v/>
      </c>
      <c r="I231" s="136"/>
      <c r="J231" s="136"/>
      <c r="K231" s="136"/>
      <c r="L231" s="136"/>
      <c r="M231" s="136"/>
      <c r="N231" s="136" t="e">
        <f t="shared" si="7"/>
        <v>#N/A</v>
      </c>
      <c r="O231" s="136" t="e">
        <f t="shared" si="8"/>
        <v>#N/A</v>
      </c>
    </row>
    <row r="232" spans="1:15" ht="22" customHeight="1" x14ac:dyDescent="0.35">
      <c r="A232" s="136">
        <v>188</v>
      </c>
      <c r="B232" s="165" t="str">
        <f>IF($A232&gt;MIN($A$10,$A$2),"",INDEX(DemoHistory[Date],$A232))</f>
        <v/>
      </c>
      <c r="C232" s="166" t="str">
        <f>IF(OR($A232&gt;MIN($A$10,$A$2),$A$5=""),"",INDEX(DemoHistory[],$A232,MATCH($A$5,DemoHistory[#Headers],0)))</f>
        <v/>
      </c>
      <c r="D232" s="166" t="str">
        <f>IF($A232&gt;MIN($A$10,$A$2),"",IF(AND($A$12,$A$6=1,B232&lt;$A$7,$A$7&lt;=MAX(DemoHistory[Date])),$A$8,1))</f>
        <v/>
      </c>
      <c r="E232" s="166" t="str">
        <f t="shared" si="6"/>
        <v/>
      </c>
      <c r="F232" s="166" t="str">
        <f>IF($A232&gt;MIN($A$10,$A$2),"",IF($A232&lt;50,"n.a.",IF(COUNT(INDEX(StockDaily[Adjusted close],MAX(1,$A232-50+1)):E232)=50,AVERAGE(INDEX(StockDaily[Adjusted close],MAX(1,$A232-50+1)):E232),"n.a.")))</f>
        <v/>
      </c>
      <c r="G232" s="166" t="str">
        <f>IF($A232&gt;MIN($A$10,$A$2),"",IF($A232&lt;200,"n.a.",IF(COUNT(INDEX(StockDaily[Adjusted close],MAX(1,$A232-200+1)):E232)=200,AVERAGE(INDEX(StockDaily[Adjusted close],MAX(1,$A232-200+1)):E232),"n.a.")))</f>
        <v/>
      </c>
      <c r="H232" s="136" t="str">
        <f>IF($A232&gt;MIN($A$10,$A$2),"",IF($A$5="","Choose stock",IF(NOT($A$12),"Check split rule",IF(NOT(ISNUMBER(B232)),"Invalid date",IF(OR(B232&lt;=0,B232&lt;&gt;INT(B232)),"Invalid date",IF(COUNTIFS(DemoHistory[Date],B232)&lt;&gt;1,"Duplicate date",IF(AND($A232&gt;1,B232&lt;=B231),"Dates out of order",IF(NOT(ISNUMBER(C232)),"Missing price",IF(C232&lt;=0,"Nonpositive price","OK")))))))))</f>
        <v/>
      </c>
      <c r="I232" s="136"/>
      <c r="J232" s="136"/>
      <c r="K232" s="136"/>
      <c r="L232" s="136"/>
      <c r="M232" s="136"/>
      <c r="N232" s="136" t="e">
        <f t="shared" si="7"/>
        <v>#N/A</v>
      </c>
      <c r="O232" s="136" t="e">
        <f t="shared" si="8"/>
        <v>#N/A</v>
      </c>
    </row>
    <row r="233" spans="1:15" ht="22" customHeight="1" x14ac:dyDescent="0.35">
      <c r="A233" s="136">
        <v>189</v>
      </c>
      <c r="B233" s="165" t="str">
        <f>IF($A233&gt;MIN($A$10,$A$2),"",INDEX(DemoHistory[Date],$A233))</f>
        <v/>
      </c>
      <c r="C233" s="166" t="str">
        <f>IF(OR($A233&gt;MIN($A$10,$A$2),$A$5=""),"",INDEX(DemoHistory[],$A233,MATCH($A$5,DemoHistory[#Headers],0)))</f>
        <v/>
      </c>
      <c r="D233" s="166" t="str">
        <f>IF($A233&gt;MIN($A$10,$A$2),"",IF(AND($A$12,$A$6=1,B233&lt;$A$7,$A$7&lt;=MAX(DemoHistory[Date])),$A$8,1))</f>
        <v/>
      </c>
      <c r="E233" s="166" t="str">
        <f t="shared" si="6"/>
        <v/>
      </c>
      <c r="F233" s="166" t="str">
        <f>IF($A233&gt;MIN($A$10,$A$2),"",IF($A233&lt;50,"n.a.",IF(COUNT(INDEX(StockDaily[Adjusted close],MAX(1,$A233-50+1)):E233)=50,AVERAGE(INDEX(StockDaily[Adjusted close],MAX(1,$A233-50+1)):E233),"n.a.")))</f>
        <v/>
      </c>
      <c r="G233" s="166" t="str">
        <f>IF($A233&gt;MIN($A$10,$A$2),"",IF($A233&lt;200,"n.a.",IF(COUNT(INDEX(StockDaily[Adjusted close],MAX(1,$A233-200+1)):E233)=200,AVERAGE(INDEX(StockDaily[Adjusted close],MAX(1,$A233-200+1)):E233),"n.a.")))</f>
        <v/>
      </c>
      <c r="H233" s="136" t="str">
        <f>IF($A233&gt;MIN($A$10,$A$2),"",IF($A$5="","Choose stock",IF(NOT($A$12),"Check split rule",IF(NOT(ISNUMBER(B233)),"Invalid date",IF(OR(B233&lt;=0,B233&lt;&gt;INT(B233)),"Invalid date",IF(COUNTIFS(DemoHistory[Date],B233)&lt;&gt;1,"Duplicate date",IF(AND($A233&gt;1,B233&lt;=B232),"Dates out of order",IF(NOT(ISNUMBER(C233)),"Missing price",IF(C233&lt;=0,"Nonpositive price","OK")))))))))</f>
        <v/>
      </c>
      <c r="I233" s="136"/>
      <c r="J233" s="136"/>
      <c r="K233" s="136"/>
      <c r="L233" s="136"/>
      <c r="M233" s="136"/>
      <c r="N233" s="136" t="e">
        <f t="shared" si="7"/>
        <v>#N/A</v>
      </c>
      <c r="O233" s="136" t="e">
        <f t="shared" si="8"/>
        <v>#N/A</v>
      </c>
    </row>
    <row r="234" spans="1:15" ht="22" customHeight="1" x14ac:dyDescent="0.35">
      <c r="A234" s="136">
        <v>190</v>
      </c>
      <c r="B234" s="165" t="str">
        <f>IF($A234&gt;MIN($A$10,$A$2),"",INDEX(DemoHistory[Date],$A234))</f>
        <v/>
      </c>
      <c r="C234" s="166" t="str">
        <f>IF(OR($A234&gt;MIN($A$10,$A$2),$A$5=""),"",INDEX(DemoHistory[],$A234,MATCH($A$5,DemoHistory[#Headers],0)))</f>
        <v/>
      </c>
      <c r="D234" s="166" t="str">
        <f>IF($A234&gt;MIN($A$10,$A$2),"",IF(AND($A$12,$A$6=1,B234&lt;$A$7,$A$7&lt;=MAX(DemoHistory[Date])),$A$8,1))</f>
        <v/>
      </c>
      <c r="E234" s="166" t="str">
        <f t="shared" si="6"/>
        <v/>
      </c>
      <c r="F234" s="166" t="str">
        <f>IF($A234&gt;MIN($A$10,$A$2),"",IF($A234&lt;50,"n.a.",IF(COUNT(INDEX(StockDaily[Adjusted close],MAX(1,$A234-50+1)):E234)=50,AVERAGE(INDEX(StockDaily[Adjusted close],MAX(1,$A234-50+1)):E234),"n.a.")))</f>
        <v/>
      </c>
      <c r="G234" s="166" t="str">
        <f>IF($A234&gt;MIN($A$10,$A$2),"",IF($A234&lt;200,"n.a.",IF(COUNT(INDEX(StockDaily[Adjusted close],MAX(1,$A234-200+1)):E234)=200,AVERAGE(INDEX(StockDaily[Adjusted close],MAX(1,$A234-200+1)):E234),"n.a.")))</f>
        <v/>
      </c>
      <c r="H234" s="136" t="str">
        <f>IF($A234&gt;MIN($A$10,$A$2),"",IF($A$5="","Choose stock",IF(NOT($A$12),"Check split rule",IF(NOT(ISNUMBER(B234)),"Invalid date",IF(OR(B234&lt;=0,B234&lt;&gt;INT(B234)),"Invalid date",IF(COUNTIFS(DemoHistory[Date],B234)&lt;&gt;1,"Duplicate date",IF(AND($A234&gt;1,B234&lt;=B233),"Dates out of order",IF(NOT(ISNUMBER(C234)),"Missing price",IF(C234&lt;=0,"Nonpositive price","OK")))))))))</f>
        <v/>
      </c>
      <c r="I234" s="136"/>
      <c r="J234" s="136"/>
      <c r="K234" s="136"/>
      <c r="L234" s="136"/>
      <c r="M234" s="136"/>
      <c r="N234" s="136" t="e">
        <f t="shared" si="7"/>
        <v>#N/A</v>
      </c>
      <c r="O234" s="136" t="e">
        <f t="shared" si="8"/>
        <v>#N/A</v>
      </c>
    </row>
    <row r="235" spans="1:15" ht="22" customHeight="1" x14ac:dyDescent="0.35">
      <c r="A235" s="136">
        <v>191</v>
      </c>
      <c r="B235" s="165" t="str">
        <f>IF($A235&gt;MIN($A$10,$A$2),"",INDEX(DemoHistory[Date],$A235))</f>
        <v/>
      </c>
      <c r="C235" s="166" t="str">
        <f>IF(OR($A235&gt;MIN($A$10,$A$2),$A$5=""),"",INDEX(DemoHistory[],$A235,MATCH($A$5,DemoHistory[#Headers],0)))</f>
        <v/>
      </c>
      <c r="D235" s="166" t="str">
        <f>IF($A235&gt;MIN($A$10,$A$2),"",IF(AND($A$12,$A$6=1,B235&lt;$A$7,$A$7&lt;=MAX(DemoHistory[Date])),$A$8,1))</f>
        <v/>
      </c>
      <c r="E235" s="166" t="str">
        <f t="shared" si="6"/>
        <v/>
      </c>
      <c r="F235" s="166" t="str">
        <f>IF($A235&gt;MIN($A$10,$A$2),"",IF($A235&lt;50,"n.a.",IF(COUNT(INDEX(StockDaily[Adjusted close],MAX(1,$A235-50+1)):E235)=50,AVERAGE(INDEX(StockDaily[Adjusted close],MAX(1,$A235-50+1)):E235),"n.a.")))</f>
        <v/>
      </c>
      <c r="G235" s="166" t="str">
        <f>IF($A235&gt;MIN($A$10,$A$2),"",IF($A235&lt;200,"n.a.",IF(COUNT(INDEX(StockDaily[Adjusted close],MAX(1,$A235-200+1)):E235)=200,AVERAGE(INDEX(StockDaily[Adjusted close],MAX(1,$A235-200+1)):E235),"n.a.")))</f>
        <v/>
      </c>
      <c r="H235" s="136" t="str">
        <f>IF($A235&gt;MIN($A$10,$A$2),"",IF($A$5="","Choose stock",IF(NOT($A$12),"Check split rule",IF(NOT(ISNUMBER(B235)),"Invalid date",IF(OR(B235&lt;=0,B235&lt;&gt;INT(B235)),"Invalid date",IF(COUNTIFS(DemoHistory[Date],B235)&lt;&gt;1,"Duplicate date",IF(AND($A235&gt;1,B235&lt;=B234),"Dates out of order",IF(NOT(ISNUMBER(C235)),"Missing price",IF(C235&lt;=0,"Nonpositive price","OK")))))))))</f>
        <v/>
      </c>
      <c r="I235" s="136"/>
      <c r="J235" s="136"/>
      <c r="K235" s="136"/>
      <c r="L235" s="136"/>
      <c r="M235" s="136"/>
      <c r="N235" s="136" t="e">
        <f t="shared" si="7"/>
        <v>#N/A</v>
      </c>
      <c r="O235" s="136" t="e">
        <f t="shared" si="8"/>
        <v>#N/A</v>
      </c>
    </row>
    <row r="236" spans="1:15" ht="22" customHeight="1" x14ac:dyDescent="0.35">
      <c r="A236" s="136">
        <v>192</v>
      </c>
      <c r="B236" s="165" t="str">
        <f>IF($A236&gt;MIN($A$10,$A$2),"",INDEX(DemoHistory[Date],$A236))</f>
        <v/>
      </c>
      <c r="C236" s="166" t="str">
        <f>IF(OR($A236&gt;MIN($A$10,$A$2),$A$5=""),"",INDEX(DemoHistory[],$A236,MATCH($A$5,DemoHistory[#Headers],0)))</f>
        <v/>
      </c>
      <c r="D236" s="166" t="str">
        <f>IF($A236&gt;MIN($A$10,$A$2),"",IF(AND($A$12,$A$6=1,B236&lt;$A$7,$A$7&lt;=MAX(DemoHistory[Date])),$A$8,1))</f>
        <v/>
      </c>
      <c r="E236" s="166" t="str">
        <f t="shared" si="6"/>
        <v/>
      </c>
      <c r="F236" s="166" t="str">
        <f>IF($A236&gt;MIN($A$10,$A$2),"",IF($A236&lt;50,"n.a.",IF(COUNT(INDEX(StockDaily[Adjusted close],MAX(1,$A236-50+1)):E236)=50,AVERAGE(INDEX(StockDaily[Adjusted close],MAX(1,$A236-50+1)):E236),"n.a.")))</f>
        <v/>
      </c>
      <c r="G236" s="166" t="str">
        <f>IF($A236&gt;MIN($A$10,$A$2),"",IF($A236&lt;200,"n.a.",IF(COUNT(INDEX(StockDaily[Adjusted close],MAX(1,$A236-200+1)):E236)=200,AVERAGE(INDEX(StockDaily[Adjusted close],MAX(1,$A236-200+1)):E236),"n.a.")))</f>
        <v/>
      </c>
      <c r="H236" s="136" t="str">
        <f>IF($A236&gt;MIN($A$10,$A$2),"",IF($A$5="","Choose stock",IF(NOT($A$12),"Check split rule",IF(NOT(ISNUMBER(B236)),"Invalid date",IF(OR(B236&lt;=0,B236&lt;&gt;INT(B236)),"Invalid date",IF(COUNTIFS(DemoHistory[Date],B236)&lt;&gt;1,"Duplicate date",IF(AND($A236&gt;1,B236&lt;=B235),"Dates out of order",IF(NOT(ISNUMBER(C236)),"Missing price",IF(C236&lt;=0,"Nonpositive price","OK")))))))))</f>
        <v/>
      </c>
      <c r="I236" s="136"/>
      <c r="J236" s="136"/>
      <c r="K236" s="136"/>
      <c r="L236" s="136"/>
      <c r="M236" s="136"/>
      <c r="N236" s="136" t="e">
        <f t="shared" si="7"/>
        <v>#N/A</v>
      </c>
      <c r="O236" s="136" t="e">
        <f t="shared" si="8"/>
        <v>#N/A</v>
      </c>
    </row>
    <row r="237" spans="1:15" ht="22" customHeight="1" x14ac:dyDescent="0.35">
      <c r="A237" s="136">
        <v>193</v>
      </c>
      <c r="B237" s="165" t="str">
        <f>IF($A237&gt;MIN($A$10,$A$2),"",INDEX(DemoHistory[Date],$A237))</f>
        <v/>
      </c>
      <c r="C237" s="166" t="str">
        <f>IF(OR($A237&gt;MIN($A$10,$A$2),$A$5=""),"",INDEX(DemoHistory[],$A237,MATCH($A$5,DemoHistory[#Headers],0)))</f>
        <v/>
      </c>
      <c r="D237" s="166" t="str">
        <f>IF($A237&gt;MIN($A$10,$A$2),"",IF(AND($A$12,$A$6=1,B237&lt;$A$7,$A$7&lt;=MAX(DemoHistory[Date])),$A$8,1))</f>
        <v/>
      </c>
      <c r="E237" s="166" t="str">
        <f t="shared" ref="E237:E300" si="9">IF($A237&gt;MIN($A$10,$A$2),"",IF(H237="OK",C237/D237,"n.a."))</f>
        <v/>
      </c>
      <c r="F237" s="166" t="str">
        <f>IF($A237&gt;MIN($A$10,$A$2),"",IF($A237&lt;50,"n.a.",IF(COUNT(INDEX(StockDaily[Adjusted close],MAX(1,$A237-50+1)):E237)=50,AVERAGE(INDEX(StockDaily[Adjusted close],MAX(1,$A237-50+1)):E237),"n.a.")))</f>
        <v/>
      </c>
      <c r="G237" s="166" t="str">
        <f>IF($A237&gt;MIN($A$10,$A$2),"",IF($A237&lt;200,"n.a.",IF(COUNT(INDEX(StockDaily[Adjusted close],MAX(1,$A237-200+1)):E237)=200,AVERAGE(INDEX(StockDaily[Adjusted close],MAX(1,$A237-200+1)):E237),"n.a.")))</f>
        <v/>
      </c>
      <c r="H237" s="136" t="str">
        <f>IF($A237&gt;MIN($A$10,$A$2),"",IF($A$5="","Choose stock",IF(NOT($A$12),"Check split rule",IF(NOT(ISNUMBER(B237)),"Invalid date",IF(OR(B237&lt;=0,B237&lt;&gt;INT(B237)),"Invalid date",IF(COUNTIFS(DemoHistory[Date],B237)&lt;&gt;1,"Duplicate date",IF(AND($A237&gt;1,B237&lt;=B236),"Dates out of order",IF(NOT(ISNUMBER(C237)),"Missing price",IF(C237&lt;=0,"Nonpositive price","OK")))))))))</f>
        <v/>
      </c>
      <c r="I237" s="136"/>
      <c r="J237" s="136"/>
      <c r="K237" s="136"/>
      <c r="L237" s="136"/>
      <c r="M237" s="136"/>
      <c r="N237" s="136" t="e">
        <f t="shared" ref="N237:N300" si="10">IF(AND($A$13="Ready",ISNUMBER(E237)),E237,NA())</f>
        <v>#N/A</v>
      </c>
      <c r="O237" s="136" t="e">
        <f t="shared" ref="O237:O300" si="11">IF(AND($A$13="Ready",ISNUMBER(F237)),F237,NA())</f>
        <v>#N/A</v>
      </c>
    </row>
    <row r="238" spans="1:15" ht="22" customHeight="1" x14ac:dyDescent="0.35">
      <c r="A238" s="136">
        <v>194</v>
      </c>
      <c r="B238" s="165" t="str">
        <f>IF($A238&gt;MIN($A$10,$A$2),"",INDEX(DemoHistory[Date],$A238))</f>
        <v/>
      </c>
      <c r="C238" s="166" t="str">
        <f>IF(OR($A238&gt;MIN($A$10,$A$2),$A$5=""),"",INDEX(DemoHistory[],$A238,MATCH($A$5,DemoHistory[#Headers],0)))</f>
        <v/>
      </c>
      <c r="D238" s="166" t="str">
        <f>IF($A238&gt;MIN($A$10,$A$2),"",IF(AND($A$12,$A$6=1,B238&lt;$A$7,$A$7&lt;=MAX(DemoHistory[Date])),$A$8,1))</f>
        <v/>
      </c>
      <c r="E238" s="166" t="str">
        <f t="shared" si="9"/>
        <v/>
      </c>
      <c r="F238" s="166" t="str">
        <f>IF($A238&gt;MIN($A$10,$A$2),"",IF($A238&lt;50,"n.a.",IF(COUNT(INDEX(StockDaily[Adjusted close],MAX(1,$A238-50+1)):E238)=50,AVERAGE(INDEX(StockDaily[Adjusted close],MAX(1,$A238-50+1)):E238),"n.a.")))</f>
        <v/>
      </c>
      <c r="G238" s="166" t="str">
        <f>IF($A238&gt;MIN($A$10,$A$2),"",IF($A238&lt;200,"n.a.",IF(COUNT(INDEX(StockDaily[Adjusted close],MAX(1,$A238-200+1)):E238)=200,AVERAGE(INDEX(StockDaily[Adjusted close],MAX(1,$A238-200+1)):E238),"n.a.")))</f>
        <v/>
      </c>
      <c r="H238" s="136" t="str">
        <f>IF($A238&gt;MIN($A$10,$A$2),"",IF($A$5="","Choose stock",IF(NOT($A$12),"Check split rule",IF(NOT(ISNUMBER(B238)),"Invalid date",IF(OR(B238&lt;=0,B238&lt;&gt;INT(B238)),"Invalid date",IF(COUNTIFS(DemoHistory[Date],B238)&lt;&gt;1,"Duplicate date",IF(AND($A238&gt;1,B238&lt;=B237),"Dates out of order",IF(NOT(ISNUMBER(C238)),"Missing price",IF(C238&lt;=0,"Nonpositive price","OK")))))))))</f>
        <v/>
      </c>
      <c r="I238" s="136"/>
      <c r="J238" s="136"/>
      <c r="K238" s="136"/>
      <c r="L238" s="136"/>
      <c r="M238" s="136"/>
      <c r="N238" s="136" t="e">
        <f t="shared" si="10"/>
        <v>#N/A</v>
      </c>
      <c r="O238" s="136" t="e">
        <f t="shared" si="11"/>
        <v>#N/A</v>
      </c>
    </row>
    <row r="239" spans="1:15" ht="22" customHeight="1" x14ac:dyDescent="0.35">
      <c r="A239" s="136">
        <v>195</v>
      </c>
      <c r="B239" s="165" t="str">
        <f>IF($A239&gt;MIN($A$10,$A$2),"",INDEX(DemoHistory[Date],$A239))</f>
        <v/>
      </c>
      <c r="C239" s="166" t="str">
        <f>IF(OR($A239&gt;MIN($A$10,$A$2),$A$5=""),"",INDEX(DemoHistory[],$A239,MATCH($A$5,DemoHistory[#Headers],0)))</f>
        <v/>
      </c>
      <c r="D239" s="166" t="str">
        <f>IF($A239&gt;MIN($A$10,$A$2),"",IF(AND($A$12,$A$6=1,B239&lt;$A$7,$A$7&lt;=MAX(DemoHistory[Date])),$A$8,1))</f>
        <v/>
      </c>
      <c r="E239" s="166" t="str">
        <f t="shared" si="9"/>
        <v/>
      </c>
      <c r="F239" s="166" t="str">
        <f>IF($A239&gt;MIN($A$10,$A$2),"",IF($A239&lt;50,"n.a.",IF(COUNT(INDEX(StockDaily[Adjusted close],MAX(1,$A239-50+1)):E239)=50,AVERAGE(INDEX(StockDaily[Adjusted close],MAX(1,$A239-50+1)):E239),"n.a.")))</f>
        <v/>
      </c>
      <c r="G239" s="166" t="str">
        <f>IF($A239&gt;MIN($A$10,$A$2),"",IF($A239&lt;200,"n.a.",IF(COUNT(INDEX(StockDaily[Adjusted close],MAX(1,$A239-200+1)):E239)=200,AVERAGE(INDEX(StockDaily[Adjusted close],MAX(1,$A239-200+1)):E239),"n.a.")))</f>
        <v/>
      </c>
      <c r="H239" s="136" t="str">
        <f>IF($A239&gt;MIN($A$10,$A$2),"",IF($A$5="","Choose stock",IF(NOT($A$12),"Check split rule",IF(NOT(ISNUMBER(B239)),"Invalid date",IF(OR(B239&lt;=0,B239&lt;&gt;INT(B239)),"Invalid date",IF(COUNTIFS(DemoHistory[Date],B239)&lt;&gt;1,"Duplicate date",IF(AND($A239&gt;1,B239&lt;=B238),"Dates out of order",IF(NOT(ISNUMBER(C239)),"Missing price",IF(C239&lt;=0,"Nonpositive price","OK")))))))))</f>
        <v/>
      </c>
      <c r="I239" s="136"/>
      <c r="J239" s="136"/>
      <c r="K239" s="136"/>
      <c r="L239" s="136"/>
      <c r="M239" s="136"/>
      <c r="N239" s="136" t="e">
        <f t="shared" si="10"/>
        <v>#N/A</v>
      </c>
      <c r="O239" s="136" t="e">
        <f t="shared" si="11"/>
        <v>#N/A</v>
      </c>
    </row>
    <row r="240" spans="1:15" ht="22" customHeight="1" x14ac:dyDescent="0.35">
      <c r="A240" s="136">
        <v>196</v>
      </c>
      <c r="B240" s="165" t="str">
        <f>IF($A240&gt;MIN($A$10,$A$2),"",INDEX(DemoHistory[Date],$A240))</f>
        <v/>
      </c>
      <c r="C240" s="166" t="str">
        <f>IF(OR($A240&gt;MIN($A$10,$A$2),$A$5=""),"",INDEX(DemoHistory[],$A240,MATCH($A$5,DemoHistory[#Headers],0)))</f>
        <v/>
      </c>
      <c r="D240" s="166" t="str">
        <f>IF($A240&gt;MIN($A$10,$A$2),"",IF(AND($A$12,$A$6=1,B240&lt;$A$7,$A$7&lt;=MAX(DemoHistory[Date])),$A$8,1))</f>
        <v/>
      </c>
      <c r="E240" s="166" t="str">
        <f t="shared" si="9"/>
        <v/>
      </c>
      <c r="F240" s="166" t="str">
        <f>IF($A240&gt;MIN($A$10,$A$2),"",IF($A240&lt;50,"n.a.",IF(COUNT(INDEX(StockDaily[Adjusted close],MAX(1,$A240-50+1)):E240)=50,AVERAGE(INDEX(StockDaily[Adjusted close],MAX(1,$A240-50+1)):E240),"n.a.")))</f>
        <v/>
      </c>
      <c r="G240" s="166" t="str">
        <f>IF($A240&gt;MIN($A$10,$A$2),"",IF($A240&lt;200,"n.a.",IF(COUNT(INDEX(StockDaily[Adjusted close],MAX(1,$A240-200+1)):E240)=200,AVERAGE(INDEX(StockDaily[Adjusted close],MAX(1,$A240-200+1)):E240),"n.a.")))</f>
        <v/>
      </c>
      <c r="H240" s="136" t="str">
        <f>IF($A240&gt;MIN($A$10,$A$2),"",IF($A$5="","Choose stock",IF(NOT($A$12),"Check split rule",IF(NOT(ISNUMBER(B240)),"Invalid date",IF(OR(B240&lt;=0,B240&lt;&gt;INT(B240)),"Invalid date",IF(COUNTIFS(DemoHistory[Date],B240)&lt;&gt;1,"Duplicate date",IF(AND($A240&gt;1,B240&lt;=B239),"Dates out of order",IF(NOT(ISNUMBER(C240)),"Missing price",IF(C240&lt;=0,"Nonpositive price","OK")))))))))</f>
        <v/>
      </c>
      <c r="I240" s="136"/>
      <c r="J240" s="136"/>
      <c r="K240" s="136"/>
      <c r="L240" s="136"/>
      <c r="M240" s="136"/>
      <c r="N240" s="136" t="e">
        <f t="shared" si="10"/>
        <v>#N/A</v>
      </c>
      <c r="O240" s="136" t="e">
        <f t="shared" si="11"/>
        <v>#N/A</v>
      </c>
    </row>
    <row r="241" spans="1:15" ht="22" customHeight="1" x14ac:dyDescent="0.35">
      <c r="A241" s="136">
        <v>197</v>
      </c>
      <c r="B241" s="165" t="str">
        <f>IF($A241&gt;MIN($A$10,$A$2),"",INDEX(DemoHistory[Date],$A241))</f>
        <v/>
      </c>
      <c r="C241" s="166" t="str">
        <f>IF(OR($A241&gt;MIN($A$10,$A$2),$A$5=""),"",INDEX(DemoHistory[],$A241,MATCH($A$5,DemoHistory[#Headers],0)))</f>
        <v/>
      </c>
      <c r="D241" s="166" t="str">
        <f>IF($A241&gt;MIN($A$10,$A$2),"",IF(AND($A$12,$A$6=1,B241&lt;$A$7,$A$7&lt;=MAX(DemoHistory[Date])),$A$8,1))</f>
        <v/>
      </c>
      <c r="E241" s="166" t="str">
        <f t="shared" si="9"/>
        <v/>
      </c>
      <c r="F241" s="166" t="str">
        <f>IF($A241&gt;MIN($A$10,$A$2),"",IF($A241&lt;50,"n.a.",IF(COUNT(INDEX(StockDaily[Adjusted close],MAX(1,$A241-50+1)):E241)=50,AVERAGE(INDEX(StockDaily[Adjusted close],MAX(1,$A241-50+1)):E241),"n.a.")))</f>
        <v/>
      </c>
      <c r="G241" s="166" t="str">
        <f>IF($A241&gt;MIN($A$10,$A$2),"",IF($A241&lt;200,"n.a.",IF(COUNT(INDEX(StockDaily[Adjusted close],MAX(1,$A241-200+1)):E241)=200,AVERAGE(INDEX(StockDaily[Adjusted close],MAX(1,$A241-200+1)):E241),"n.a.")))</f>
        <v/>
      </c>
      <c r="H241" s="136" t="str">
        <f>IF($A241&gt;MIN($A$10,$A$2),"",IF($A$5="","Choose stock",IF(NOT($A$12),"Check split rule",IF(NOT(ISNUMBER(B241)),"Invalid date",IF(OR(B241&lt;=0,B241&lt;&gt;INT(B241)),"Invalid date",IF(COUNTIFS(DemoHistory[Date],B241)&lt;&gt;1,"Duplicate date",IF(AND($A241&gt;1,B241&lt;=B240),"Dates out of order",IF(NOT(ISNUMBER(C241)),"Missing price",IF(C241&lt;=0,"Nonpositive price","OK")))))))))</f>
        <v/>
      </c>
      <c r="I241" s="136"/>
      <c r="J241" s="136"/>
      <c r="K241" s="136"/>
      <c r="L241" s="136"/>
      <c r="M241" s="136"/>
      <c r="N241" s="136" t="e">
        <f t="shared" si="10"/>
        <v>#N/A</v>
      </c>
      <c r="O241" s="136" t="e">
        <f t="shared" si="11"/>
        <v>#N/A</v>
      </c>
    </row>
    <row r="242" spans="1:15" ht="22" customHeight="1" x14ac:dyDescent="0.35">
      <c r="A242" s="136">
        <v>198</v>
      </c>
      <c r="B242" s="165" t="str">
        <f>IF($A242&gt;MIN($A$10,$A$2),"",INDEX(DemoHistory[Date],$A242))</f>
        <v/>
      </c>
      <c r="C242" s="166" t="str">
        <f>IF(OR($A242&gt;MIN($A$10,$A$2),$A$5=""),"",INDEX(DemoHistory[],$A242,MATCH($A$5,DemoHistory[#Headers],0)))</f>
        <v/>
      </c>
      <c r="D242" s="166" t="str">
        <f>IF($A242&gt;MIN($A$10,$A$2),"",IF(AND($A$12,$A$6=1,B242&lt;$A$7,$A$7&lt;=MAX(DemoHistory[Date])),$A$8,1))</f>
        <v/>
      </c>
      <c r="E242" s="166" t="str">
        <f t="shared" si="9"/>
        <v/>
      </c>
      <c r="F242" s="166" t="str">
        <f>IF($A242&gt;MIN($A$10,$A$2),"",IF($A242&lt;50,"n.a.",IF(COUNT(INDEX(StockDaily[Adjusted close],MAX(1,$A242-50+1)):E242)=50,AVERAGE(INDEX(StockDaily[Adjusted close],MAX(1,$A242-50+1)):E242),"n.a.")))</f>
        <v/>
      </c>
      <c r="G242" s="166" t="str">
        <f>IF($A242&gt;MIN($A$10,$A$2),"",IF($A242&lt;200,"n.a.",IF(COUNT(INDEX(StockDaily[Adjusted close],MAX(1,$A242-200+1)):E242)=200,AVERAGE(INDEX(StockDaily[Adjusted close],MAX(1,$A242-200+1)):E242),"n.a.")))</f>
        <v/>
      </c>
      <c r="H242" s="136" t="str">
        <f>IF($A242&gt;MIN($A$10,$A$2),"",IF($A$5="","Choose stock",IF(NOT($A$12),"Check split rule",IF(NOT(ISNUMBER(B242)),"Invalid date",IF(OR(B242&lt;=0,B242&lt;&gt;INT(B242)),"Invalid date",IF(COUNTIFS(DemoHistory[Date],B242)&lt;&gt;1,"Duplicate date",IF(AND($A242&gt;1,B242&lt;=B241),"Dates out of order",IF(NOT(ISNUMBER(C242)),"Missing price",IF(C242&lt;=0,"Nonpositive price","OK")))))))))</f>
        <v/>
      </c>
      <c r="I242" s="136"/>
      <c r="J242" s="136"/>
      <c r="K242" s="136"/>
      <c r="L242" s="136"/>
      <c r="M242" s="136"/>
      <c r="N242" s="136" t="e">
        <f t="shared" si="10"/>
        <v>#N/A</v>
      </c>
      <c r="O242" s="136" t="e">
        <f t="shared" si="11"/>
        <v>#N/A</v>
      </c>
    </row>
    <row r="243" spans="1:15" ht="22" customHeight="1" x14ac:dyDescent="0.35">
      <c r="A243" s="136">
        <v>199</v>
      </c>
      <c r="B243" s="165" t="str">
        <f>IF($A243&gt;MIN($A$10,$A$2),"",INDEX(DemoHistory[Date],$A243))</f>
        <v/>
      </c>
      <c r="C243" s="166" t="str">
        <f>IF(OR($A243&gt;MIN($A$10,$A$2),$A$5=""),"",INDEX(DemoHistory[],$A243,MATCH($A$5,DemoHistory[#Headers],0)))</f>
        <v/>
      </c>
      <c r="D243" s="166" t="str">
        <f>IF($A243&gt;MIN($A$10,$A$2),"",IF(AND($A$12,$A$6=1,B243&lt;$A$7,$A$7&lt;=MAX(DemoHistory[Date])),$A$8,1))</f>
        <v/>
      </c>
      <c r="E243" s="166" t="str">
        <f t="shared" si="9"/>
        <v/>
      </c>
      <c r="F243" s="166" t="str">
        <f>IF($A243&gt;MIN($A$10,$A$2),"",IF($A243&lt;50,"n.a.",IF(COUNT(INDEX(StockDaily[Adjusted close],MAX(1,$A243-50+1)):E243)=50,AVERAGE(INDEX(StockDaily[Adjusted close],MAX(1,$A243-50+1)):E243),"n.a.")))</f>
        <v/>
      </c>
      <c r="G243" s="166" t="str">
        <f>IF($A243&gt;MIN($A$10,$A$2),"",IF($A243&lt;200,"n.a.",IF(COUNT(INDEX(StockDaily[Adjusted close],MAX(1,$A243-200+1)):E243)=200,AVERAGE(INDEX(StockDaily[Adjusted close],MAX(1,$A243-200+1)):E243),"n.a.")))</f>
        <v/>
      </c>
      <c r="H243" s="136" t="str">
        <f>IF($A243&gt;MIN($A$10,$A$2),"",IF($A$5="","Choose stock",IF(NOT($A$12),"Check split rule",IF(NOT(ISNUMBER(B243)),"Invalid date",IF(OR(B243&lt;=0,B243&lt;&gt;INT(B243)),"Invalid date",IF(COUNTIFS(DemoHistory[Date],B243)&lt;&gt;1,"Duplicate date",IF(AND($A243&gt;1,B243&lt;=B242),"Dates out of order",IF(NOT(ISNUMBER(C243)),"Missing price",IF(C243&lt;=0,"Nonpositive price","OK")))))))))</f>
        <v/>
      </c>
      <c r="I243" s="136"/>
      <c r="J243" s="136"/>
      <c r="K243" s="136"/>
      <c r="L243" s="136"/>
      <c r="M243" s="136"/>
      <c r="N243" s="136" t="e">
        <f t="shared" si="10"/>
        <v>#N/A</v>
      </c>
      <c r="O243" s="136" t="e">
        <f t="shared" si="11"/>
        <v>#N/A</v>
      </c>
    </row>
    <row r="244" spans="1:15" ht="22" customHeight="1" x14ac:dyDescent="0.35">
      <c r="A244" s="136">
        <v>200</v>
      </c>
      <c r="B244" s="165" t="str">
        <f>IF($A244&gt;MIN($A$10,$A$2),"",INDEX(DemoHistory[Date],$A244))</f>
        <v/>
      </c>
      <c r="C244" s="166" t="str">
        <f>IF(OR($A244&gt;MIN($A$10,$A$2),$A$5=""),"",INDEX(DemoHistory[],$A244,MATCH($A$5,DemoHistory[#Headers],0)))</f>
        <v/>
      </c>
      <c r="D244" s="166" t="str">
        <f>IF($A244&gt;MIN($A$10,$A$2),"",IF(AND($A$12,$A$6=1,B244&lt;$A$7,$A$7&lt;=MAX(DemoHistory[Date])),$A$8,1))</f>
        <v/>
      </c>
      <c r="E244" s="166" t="str">
        <f t="shared" si="9"/>
        <v/>
      </c>
      <c r="F244" s="166" t="str">
        <f>IF($A244&gt;MIN($A$10,$A$2),"",IF($A244&lt;50,"n.a.",IF(COUNT(INDEX(StockDaily[Adjusted close],MAX(1,$A244-50+1)):E244)=50,AVERAGE(INDEX(StockDaily[Adjusted close],MAX(1,$A244-50+1)):E244),"n.a.")))</f>
        <v/>
      </c>
      <c r="G244" s="166" t="str">
        <f>IF($A244&gt;MIN($A$10,$A$2),"",IF($A244&lt;200,"n.a.",IF(COUNT(INDEX(StockDaily[Adjusted close],MAX(1,$A244-200+1)):E244)=200,AVERAGE(INDEX(StockDaily[Adjusted close],MAX(1,$A244-200+1)):E244),"n.a.")))</f>
        <v/>
      </c>
      <c r="H244" s="136" t="str">
        <f>IF($A244&gt;MIN($A$10,$A$2),"",IF($A$5="","Choose stock",IF(NOT($A$12),"Check split rule",IF(NOT(ISNUMBER(B244)),"Invalid date",IF(OR(B244&lt;=0,B244&lt;&gt;INT(B244)),"Invalid date",IF(COUNTIFS(DemoHistory[Date],B244)&lt;&gt;1,"Duplicate date",IF(AND($A244&gt;1,B244&lt;=B243),"Dates out of order",IF(NOT(ISNUMBER(C244)),"Missing price",IF(C244&lt;=0,"Nonpositive price","OK")))))))))</f>
        <v/>
      </c>
      <c r="I244" s="136"/>
      <c r="J244" s="136"/>
      <c r="K244" s="136"/>
      <c r="L244" s="136"/>
      <c r="M244" s="136"/>
      <c r="N244" s="136" t="e">
        <f t="shared" si="10"/>
        <v>#N/A</v>
      </c>
      <c r="O244" s="136" t="e">
        <f t="shared" si="11"/>
        <v>#N/A</v>
      </c>
    </row>
    <row r="245" spans="1:15" ht="22" customHeight="1" x14ac:dyDescent="0.35">
      <c r="A245" s="136">
        <v>201</v>
      </c>
      <c r="B245" s="165" t="str">
        <f>IF($A245&gt;MIN($A$10,$A$2),"",INDEX(DemoHistory[Date],$A245))</f>
        <v/>
      </c>
      <c r="C245" s="166" t="str">
        <f>IF(OR($A245&gt;MIN($A$10,$A$2),$A$5=""),"",INDEX(DemoHistory[],$A245,MATCH($A$5,DemoHistory[#Headers],0)))</f>
        <v/>
      </c>
      <c r="D245" s="166" t="str">
        <f>IF($A245&gt;MIN($A$10,$A$2),"",IF(AND($A$12,$A$6=1,B245&lt;$A$7,$A$7&lt;=MAX(DemoHistory[Date])),$A$8,1))</f>
        <v/>
      </c>
      <c r="E245" s="166" t="str">
        <f t="shared" si="9"/>
        <v/>
      </c>
      <c r="F245" s="166" t="str">
        <f>IF($A245&gt;MIN($A$10,$A$2),"",IF($A245&lt;50,"n.a.",IF(COUNT(INDEX(StockDaily[Adjusted close],MAX(1,$A245-50+1)):E245)=50,AVERAGE(INDEX(StockDaily[Adjusted close],MAX(1,$A245-50+1)):E245),"n.a.")))</f>
        <v/>
      </c>
      <c r="G245" s="166" t="str">
        <f>IF($A245&gt;MIN($A$10,$A$2),"",IF($A245&lt;200,"n.a.",IF(COUNT(INDEX(StockDaily[Adjusted close],MAX(1,$A245-200+1)):E245)=200,AVERAGE(INDEX(StockDaily[Adjusted close],MAX(1,$A245-200+1)):E245),"n.a.")))</f>
        <v/>
      </c>
      <c r="H245" s="136" t="str">
        <f>IF($A245&gt;MIN($A$10,$A$2),"",IF($A$5="","Choose stock",IF(NOT($A$12),"Check split rule",IF(NOT(ISNUMBER(B245)),"Invalid date",IF(OR(B245&lt;=0,B245&lt;&gt;INT(B245)),"Invalid date",IF(COUNTIFS(DemoHistory[Date],B245)&lt;&gt;1,"Duplicate date",IF(AND($A245&gt;1,B245&lt;=B244),"Dates out of order",IF(NOT(ISNUMBER(C245)),"Missing price",IF(C245&lt;=0,"Nonpositive price","OK")))))))))</f>
        <v/>
      </c>
      <c r="I245" s="136"/>
      <c r="J245" s="136"/>
      <c r="K245" s="136"/>
      <c r="L245" s="136"/>
      <c r="M245" s="136"/>
      <c r="N245" s="136" t="e">
        <f t="shared" si="10"/>
        <v>#N/A</v>
      </c>
      <c r="O245" s="136" t="e">
        <f t="shared" si="11"/>
        <v>#N/A</v>
      </c>
    </row>
    <row r="246" spans="1:15" ht="22" customHeight="1" x14ac:dyDescent="0.35">
      <c r="A246" s="136">
        <v>202</v>
      </c>
      <c r="B246" s="165" t="str">
        <f>IF($A246&gt;MIN($A$10,$A$2),"",INDEX(DemoHistory[Date],$A246))</f>
        <v/>
      </c>
      <c r="C246" s="166" t="str">
        <f>IF(OR($A246&gt;MIN($A$10,$A$2),$A$5=""),"",INDEX(DemoHistory[],$A246,MATCH($A$5,DemoHistory[#Headers],0)))</f>
        <v/>
      </c>
      <c r="D246" s="166" t="str">
        <f>IF($A246&gt;MIN($A$10,$A$2),"",IF(AND($A$12,$A$6=1,B246&lt;$A$7,$A$7&lt;=MAX(DemoHistory[Date])),$A$8,1))</f>
        <v/>
      </c>
      <c r="E246" s="166" t="str">
        <f t="shared" si="9"/>
        <v/>
      </c>
      <c r="F246" s="166" t="str">
        <f>IF($A246&gt;MIN($A$10,$A$2),"",IF($A246&lt;50,"n.a.",IF(COUNT(INDEX(StockDaily[Adjusted close],MAX(1,$A246-50+1)):E246)=50,AVERAGE(INDEX(StockDaily[Adjusted close],MAX(1,$A246-50+1)):E246),"n.a.")))</f>
        <v/>
      </c>
      <c r="G246" s="166" t="str">
        <f>IF($A246&gt;MIN($A$10,$A$2),"",IF($A246&lt;200,"n.a.",IF(COUNT(INDEX(StockDaily[Adjusted close],MAX(1,$A246-200+1)):E246)=200,AVERAGE(INDEX(StockDaily[Adjusted close],MAX(1,$A246-200+1)):E246),"n.a.")))</f>
        <v/>
      </c>
      <c r="H246" s="136" t="str">
        <f>IF($A246&gt;MIN($A$10,$A$2),"",IF($A$5="","Choose stock",IF(NOT($A$12),"Check split rule",IF(NOT(ISNUMBER(B246)),"Invalid date",IF(OR(B246&lt;=0,B246&lt;&gt;INT(B246)),"Invalid date",IF(COUNTIFS(DemoHistory[Date],B246)&lt;&gt;1,"Duplicate date",IF(AND($A246&gt;1,B246&lt;=B245),"Dates out of order",IF(NOT(ISNUMBER(C246)),"Missing price",IF(C246&lt;=0,"Nonpositive price","OK")))))))))</f>
        <v/>
      </c>
      <c r="I246" s="136"/>
      <c r="J246" s="136"/>
      <c r="K246" s="136"/>
      <c r="L246" s="136"/>
      <c r="M246" s="136"/>
      <c r="N246" s="136" t="e">
        <f t="shared" si="10"/>
        <v>#N/A</v>
      </c>
      <c r="O246" s="136" t="e">
        <f t="shared" si="11"/>
        <v>#N/A</v>
      </c>
    </row>
    <row r="247" spans="1:15" ht="22" customHeight="1" x14ac:dyDescent="0.35">
      <c r="A247" s="136">
        <v>203</v>
      </c>
      <c r="B247" s="165" t="str">
        <f>IF($A247&gt;MIN($A$10,$A$2),"",INDEX(DemoHistory[Date],$A247))</f>
        <v/>
      </c>
      <c r="C247" s="166" t="str">
        <f>IF(OR($A247&gt;MIN($A$10,$A$2),$A$5=""),"",INDEX(DemoHistory[],$A247,MATCH($A$5,DemoHistory[#Headers],0)))</f>
        <v/>
      </c>
      <c r="D247" s="166" t="str">
        <f>IF($A247&gt;MIN($A$10,$A$2),"",IF(AND($A$12,$A$6=1,B247&lt;$A$7,$A$7&lt;=MAX(DemoHistory[Date])),$A$8,1))</f>
        <v/>
      </c>
      <c r="E247" s="166" t="str">
        <f t="shared" si="9"/>
        <v/>
      </c>
      <c r="F247" s="166" t="str">
        <f>IF($A247&gt;MIN($A$10,$A$2),"",IF($A247&lt;50,"n.a.",IF(COUNT(INDEX(StockDaily[Adjusted close],MAX(1,$A247-50+1)):E247)=50,AVERAGE(INDEX(StockDaily[Adjusted close],MAX(1,$A247-50+1)):E247),"n.a.")))</f>
        <v/>
      </c>
      <c r="G247" s="166" t="str">
        <f>IF($A247&gt;MIN($A$10,$A$2),"",IF($A247&lt;200,"n.a.",IF(COUNT(INDEX(StockDaily[Adjusted close],MAX(1,$A247-200+1)):E247)=200,AVERAGE(INDEX(StockDaily[Adjusted close],MAX(1,$A247-200+1)):E247),"n.a.")))</f>
        <v/>
      </c>
      <c r="H247" s="136" t="str">
        <f>IF($A247&gt;MIN($A$10,$A$2),"",IF($A$5="","Choose stock",IF(NOT($A$12),"Check split rule",IF(NOT(ISNUMBER(B247)),"Invalid date",IF(OR(B247&lt;=0,B247&lt;&gt;INT(B247)),"Invalid date",IF(COUNTIFS(DemoHistory[Date],B247)&lt;&gt;1,"Duplicate date",IF(AND($A247&gt;1,B247&lt;=B246),"Dates out of order",IF(NOT(ISNUMBER(C247)),"Missing price",IF(C247&lt;=0,"Nonpositive price","OK")))))))))</f>
        <v/>
      </c>
      <c r="I247" s="136"/>
      <c r="J247" s="136"/>
      <c r="K247" s="136"/>
      <c r="L247" s="136"/>
      <c r="M247" s="136"/>
      <c r="N247" s="136" t="e">
        <f t="shared" si="10"/>
        <v>#N/A</v>
      </c>
      <c r="O247" s="136" t="e">
        <f t="shared" si="11"/>
        <v>#N/A</v>
      </c>
    </row>
    <row r="248" spans="1:15" ht="22" customHeight="1" x14ac:dyDescent="0.35">
      <c r="A248" s="136">
        <v>204</v>
      </c>
      <c r="B248" s="165" t="str">
        <f>IF($A248&gt;MIN($A$10,$A$2),"",INDEX(DemoHistory[Date],$A248))</f>
        <v/>
      </c>
      <c r="C248" s="166" t="str">
        <f>IF(OR($A248&gt;MIN($A$10,$A$2),$A$5=""),"",INDEX(DemoHistory[],$A248,MATCH($A$5,DemoHistory[#Headers],0)))</f>
        <v/>
      </c>
      <c r="D248" s="166" t="str">
        <f>IF($A248&gt;MIN($A$10,$A$2),"",IF(AND($A$12,$A$6=1,B248&lt;$A$7,$A$7&lt;=MAX(DemoHistory[Date])),$A$8,1))</f>
        <v/>
      </c>
      <c r="E248" s="166" t="str">
        <f t="shared" si="9"/>
        <v/>
      </c>
      <c r="F248" s="166" t="str">
        <f>IF($A248&gt;MIN($A$10,$A$2),"",IF($A248&lt;50,"n.a.",IF(COUNT(INDEX(StockDaily[Adjusted close],MAX(1,$A248-50+1)):E248)=50,AVERAGE(INDEX(StockDaily[Adjusted close],MAX(1,$A248-50+1)):E248),"n.a.")))</f>
        <v/>
      </c>
      <c r="G248" s="166" t="str">
        <f>IF($A248&gt;MIN($A$10,$A$2),"",IF($A248&lt;200,"n.a.",IF(COUNT(INDEX(StockDaily[Adjusted close],MAX(1,$A248-200+1)):E248)=200,AVERAGE(INDEX(StockDaily[Adjusted close],MAX(1,$A248-200+1)):E248),"n.a.")))</f>
        <v/>
      </c>
      <c r="H248" s="136" t="str">
        <f>IF($A248&gt;MIN($A$10,$A$2),"",IF($A$5="","Choose stock",IF(NOT($A$12),"Check split rule",IF(NOT(ISNUMBER(B248)),"Invalid date",IF(OR(B248&lt;=0,B248&lt;&gt;INT(B248)),"Invalid date",IF(COUNTIFS(DemoHistory[Date],B248)&lt;&gt;1,"Duplicate date",IF(AND($A248&gt;1,B248&lt;=B247),"Dates out of order",IF(NOT(ISNUMBER(C248)),"Missing price",IF(C248&lt;=0,"Nonpositive price","OK")))))))))</f>
        <v/>
      </c>
      <c r="I248" s="136"/>
      <c r="J248" s="136"/>
      <c r="K248" s="136"/>
      <c r="L248" s="136"/>
      <c r="M248" s="136"/>
      <c r="N248" s="136" t="e">
        <f t="shared" si="10"/>
        <v>#N/A</v>
      </c>
      <c r="O248" s="136" t="e">
        <f t="shared" si="11"/>
        <v>#N/A</v>
      </c>
    </row>
    <row r="249" spans="1:15" ht="22" customHeight="1" x14ac:dyDescent="0.35">
      <c r="A249" s="136">
        <v>205</v>
      </c>
      <c r="B249" s="165" t="str">
        <f>IF($A249&gt;MIN($A$10,$A$2),"",INDEX(DemoHistory[Date],$A249))</f>
        <v/>
      </c>
      <c r="C249" s="166" t="str">
        <f>IF(OR($A249&gt;MIN($A$10,$A$2),$A$5=""),"",INDEX(DemoHistory[],$A249,MATCH($A$5,DemoHistory[#Headers],0)))</f>
        <v/>
      </c>
      <c r="D249" s="166" t="str">
        <f>IF($A249&gt;MIN($A$10,$A$2),"",IF(AND($A$12,$A$6=1,B249&lt;$A$7,$A$7&lt;=MAX(DemoHistory[Date])),$A$8,1))</f>
        <v/>
      </c>
      <c r="E249" s="166" t="str">
        <f t="shared" si="9"/>
        <v/>
      </c>
      <c r="F249" s="166" t="str">
        <f>IF($A249&gt;MIN($A$10,$A$2),"",IF($A249&lt;50,"n.a.",IF(COUNT(INDEX(StockDaily[Adjusted close],MAX(1,$A249-50+1)):E249)=50,AVERAGE(INDEX(StockDaily[Adjusted close],MAX(1,$A249-50+1)):E249),"n.a.")))</f>
        <v/>
      </c>
      <c r="G249" s="166" t="str">
        <f>IF($A249&gt;MIN($A$10,$A$2),"",IF($A249&lt;200,"n.a.",IF(COUNT(INDEX(StockDaily[Adjusted close],MAX(1,$A249-200+1)):E249)=200,AVERAGE(INDEX(StockDaily[Adjusted close],MAX(1,$A249-200+1)):E249),"n.a.")))</f>
        <v/>
      </c>
      <c r="H249" s="136" t="str">
        <f>IF($A249&gt;MIN($A$10,$A$2),"",IF($A$5="","Choose stock",IF(NOT($A$12),"Check split rule",IF(NOT(ISNUMBER(B249)),"Invalid date",IF(OR(B249&lt;=0,B249&lt;&gt;INT(B249)),"Invalid date",IF(COUNTIFS(DemoHistory[Date],B249)&lt;&gt;1,"Duplicate date",IF(AND($A249&gt;1,B249&lt;=B248),"Dates out of order",IF(NOT(ISNUMBER(C249)),"Missing price",IF(C249&lt;=0,"Nonpositive price","OK")))))))))</f>
        <v/>
      </c>
      <c r="I249" s="136"/>
      <c r="J249" s="136"/>
      <c r="K249" s="136"/>
      <c r="L249" s="136"/>
      <c r="M249" s="136"/>
      <c r="N249" s="136" t="e">
        <f t="shared" si="10"/>
        <v>#N/A</v>
      </c>
      <c r="O249" s="136" t="e">
        <f t="shared" si="11"/>
        <v>#N/A</v>
      </c>
    </row>
    <row r="250" spans="1:15" ht="22" customHeight="1" x14ac:dyDescent="0.35">
      <c r="A250" s="136">
        <v>206</v>
      </c>
      <c r="B250" s="165" t="str">
        <f>IF($A250&gt;MIN($A$10,$A$2),"",INDEX(DemoHistory[Date],$A250))</f>
        <v/>
      </c>
      <c r="C250" s="166" t="str">
        <f>IF(OR($A250&gt;MIN($A$10,$A$2),$A$5=""),"",INDEX(DemoHistory[],$A250,MATCH($A$5,DemoHistory[#Headers],0)))</f>
        <v/>
      </c>
      <c r="D250" s="166" t="str">
        <f>IF($A250&gt;MIN($A$10,$A$2),"",IF(AND($A$12,$A$6=1,B250&lt;$A$7,$A$7&lt;=MAX(DemoHistory[Date])),$A$8,1))</f>
        <v/>
      </c>
      <c r="E250" s="166" t="str">
        <f t="shared" si="9"/>
        <v/>
      </c>
      <c r="F250" s="166" t="str">
        <f>IF($A250&gt;MIN($A$10,$A$2),"",IF($A250&lt;50,"n.a.",IF(COUNT(INDEX(StockDaily[Adjusted close],MAX(1,$A250-50+1)):E250)=50,AVERAGE(INDEX(StockDaily[Adjusted close],MAX(1,$A250-50+1)):E250),"n.a.")))</f>
        <v/>
      </c>
      <c r="G250" s="166" t="str">
        <f>IF($A250&gt;MIN($A$10,$A$2),"",IF($A250&lt;200,"n.a.",IF(COUNT(INDEX(StockDaily[Adjusted close],MAX(1,$A250-200+1)):E250)=200,AVERAGE(INDEX(StockDaily[Adjusted close],MAX(1,$A250-200+1)):E250),"n.a.")))</f>
        <v/>
      </c>
      <c r="H250" s="136" t="str">
        <f>IF($A250&gt;MIN($A$10,$A$2),"",IF($A$5="","Choose stock",IF(NOT($A$12),"Check split rule",IF(NOT(ISNUMBER(B250)),"Invalid date",IF(OR(B250&lt;=0,B250&lt;&gt;INT(B250)),"Invalid date",IF(COUNTIFS(DemoHistory[Date],B250)&lt;&gt;1,"Duplicate date",IF(AND($A250&gt;1,B250&lt;=B249),"Dates out of order",IF(NOT(ISNUMBER(C250)),"Missing price",IF(C250&lt;=0,"Nonpositive price","OK")))))))))</f>
        <v/>
      </c>
      <c r="I250" s="136"/>
      <c r="J250" s="136"/>
      <c r="K250" s="136"/>
      <c r="L250" s="136"/>
      <c r="M250" s="136"/>
      <c r="N250" s="136" t="e">
        <f t="shared" si="10"/>
        <v>#N/A</v>
      </c>
      <c r="O250" s="136" t="e">
        <f t="shared" si="11"/>
        <v>#N/A</v>
      </c>
    </row>
    <row r="251" spans="1:15" ht="22" customHeight="1" x14ac:dyDescent="0.35">
      <c r="A251" s="136">
        <v>207</v>
      </c>
      <c r="B251" s="165" t="str">
        <f>IF($A251&gt;MIN($A$10,$A$2),"",INDEX(DemoHistory[Date],$A251))</f>
        <v/>
      </c>
      <c r="C251" s="166" t="str">
        <f>IF(OR($A251&gt;MIN($A$10,$A$2),$A$5=""),"",INDEX(DemoHistory[],$A251,MATCH($A$5,DemoHistory[#Headers],0)))</f>
        <v/>
      </c>
      <c r="D251" s="166" t="str">
        <f>IF($A251&gt;MIN($A$10,$A$2),"",IF(AND($A$12,$A$6=1,B251&lt;$A$7,$A$7&lt;=MAX(DemoHistory[Date])),$A$8,1))</f>
        <v/>
      </c>
      <c r="E251" s="166" t="str">
        <f t="shared" si="9"/>
        <v/>
      </c>
      <c r="F251" s="166" t="str">
        <f>IF($A251&gt;MIN($A$10,$A$2),"",IF($A251&lt;50,"n.a.",IF(COUNT(INDEX(StockDaily[Adjusted close],MAX(1,$A251-50+1)):E251)=50,AVERAGE(INDEX(StockDaily[Adjusted close],MAX(1,$A251-50+1)):E251),"n.a.")))</f>
        <v/>
      </c>
      <c r="G251" s="166" t="str">
        <f>IF($A251&gt;MIN($A$10,$A$2),"",IF($A251&lt;200,"n.a.",IF(COUNT(INDEX(StockDaily[Adjusted close],MAX(1,$A251-200+1)):E251)=200,AVERAGE(INDEX(StockDaily[Adjusted close],MAX(1,$A251-200+1)):E251),"n.a.")))</f>
        <v/>
      </c>
      <c r="H251" s="136" t="str">
        <f>IF($A251&gt;MIN($A$10,$A$2),"",IF($A$5="","Choose stock",IF(NOT($A$12),"Check split rule",IF(NOT(ISNUMBER(B251)),"Invalid date",IF(OR(B251&lt;=0,B251&lt;&gt;INT(B251)),"Invalid date",IF(COUNTIFS(DemoHistory[Date],B251)&lt;&gt;1,"Duplicate date",IF(AND($A251&gt;1,B251&lt;=B250),"Dates out of order",IF(NOT(ISNUMBER(C251)),"Missing price",IF(C251&lt;=0,"Nonpositive price","OK")))))))))</f>
        <v/>
      </c>
      <c r="I251" s="136"/>
      <c r="J251" s="136"/>
      <c r="K251" s="136"/>
      <c r="L251" s="136"/>
      <c r="M251" s="136"/>
      <c r="N251" s="136" t="e">
        <f t="shared" si="10"/>
        <v>#N/A</v>
      </c>
      <c r="O251" s="136" t="e">
        <f t="shared" si="11"/>
        <v>#N/A</v>
      </c>
    </row>
    <row r="252" spans="1:15" ht="22" customHeight="1" x14ac:dyDescent="0.35">
      <c r="A252" s="136">
        <v>208</v>
      </c>
      <c r="B252" s="165" t="str">
        <f>IF($A252&gt;MIN($A$10,$A$2),"",INDEX(DemoHistory[Date],$A252))</f>
        <v/>
      </c>
      <c r="C252" s="166" t="str">
        <f>IF(OR($A252&gt;MIN($A$10,$A$2),$A$5=""),"",INDEX(DemoHistory[],$A252,MATCH($A$5,DemoHistory[#Headers],0)))</f>
        <v/>
      </c>
      <c r="D252" s="166" t="str">
        <f>IF($A252&gt;MIN($A$10,$A$2),"",IF(AND($A$12,$A$6=1,B252&lt;$A$7,$A$7&lt;=MAX(DemoHistory[Date])),$A$8,1))</f>
        <v/>
      </c>
      <c r="E252" s="166" t="str">
        <f t="shared" si="9"/>
        <v/>
      </c>
      <c r="F252" s="166" t="str">
        <f>IF($A252&gt;MIN($A$10,$A$2),"",IF($A252&lt;50,"n.a.",IF(COUNT(INDEX(StockDaily[Adjusted close],MAX(1,$A252-50+1)):E252)=50,AVERAGE(INDEX(StockDaily[Adjusted close],MAX(1,$A252-50+1)):E252),"n.a.")))</f>
        <v/>
      </c>
      <c r="G252" s="166" t="str">
        <f>IF($A252&gt;MIN($A$10,$A$2),"",IF($A252&lt;200,"n.a.",IF(COUNT(INDEX(StockDaily[Adjusted close],MAX(1,$A252-200+1)):E252)=200,AVERAGE(INDEX(StockDaily[Adjusted close],MAX(1,$A252-200+1)):E252),"n.a.")))</f>
        <v/>
      </c>
      <c r="H252" s="136" t="str">
        <f>IF($A252&gt;MIN($A$10,$A$2),"",IF($A$5="","Choose stock",IF(NOT($A$12),"Check split rule",IF(NOT(ISNUMBER(B252)),"Invalid date",IF(OR(B252&lt;=0,B252&lt;&gt;INT(B252)),"Invalid date",IF(COUNTIFS(DemoHistory[Date],B252)&lt;&gt;1,"Duplicate date",IF(AND($A252&gt;1,B252&lt;=B251),"Dates out of order",IF(NOT(ISNUMBER(C252)),"Missing price",IF(C252&lt;=0,"Nonpositive price","OK")))))))))</f>
        <v/>
      </c>
      <c r="I252" s="136"/>
      <c r="J252" s="136"/>
      <c r="K252" s="136"/>
      <c r="L252" s="136"/>
      <c r="M252" s="136"/>
      <c r="N252" s="136" t="e">
        <f t="shared" si="10"/>
        <v>#N/A</v>
      </c>
      <c r="O252" s="136" t="e">
        <f t="shared" si="11"/>
        <v>#N/A</v>
      </c>
    </row>
    <row r="253" spans="1:15" ht="22" customHeight="1" x14ac:dyDescent="0.35">
      <c r="A253" s="136">
        <v>209</v>
      </c>
      <c r="B253" s="165" t="str">
        <f>IF($A253&gt;MIN($A$10,$A$2),"",INDEX(DemoHistory[Date],$A253))</f>
        <v/>
      </c>
      <c r="C253" s="166" t="str">
        <f>IF(OR($A253&gt;MIN($A$10,$A$2),$A$5=""),"",INDEX(DemoHistory[],$A253,MATCH($A$5,DemoHistory[#Headers],0)))</f>
        <v/>
      </c>
      <c r="D253" s="166" t="str">
        <f>IF($A253&gt;MIN($A$10,$A$2),"",IF(AND($A$12,$A$6=1,B253&lt;$A$7,$A$7&lt;=MAX(DemoHistory[Date])),$A$8,1))</f>
        <v/>
      </c>
      <c r="E253" s="166" t="str">
        <f t="shared" si="9"/>
        <v/>
      </c>
      <c r="F253" s="166" t="str">
        <f>IF($A253&gt;MIN($A$10,$A$2),"",IF($A253&lt;50,"n.a.",IF(COUNT(INDEX(StockDaily[Adjusted close],MAX(1,$A253-50+1)):E253)=50,AVERAGE(INDEX(StockDaily[Adjusted close],MAX(1,$A253-50+1)):E253),"n.a.")))</f>
        <v/>
      </c>
      <c r="G253" s="166" t="str">
        <f>IF($A253&gt;MIN($A$10,$A$2),"",IF($A253&lt;200,"n.a.",IF(COUNT(INDEX(StockDaily[Adjusted close],MAX(1,$A253-200+1)):E253)=200,AVERAGE(INDEX(StockDaily[Adjusted close],MAX(1,$A253-200+1)):E253),"n.a.")))</f>
        <v/>
      </c>
      <c r="H253" s="136" t="str">
        <f>IF($A253&gt;MIN($A$10,$A$2),"",IF($A$5="","Choose stock",IF(NOT($A$12),"Check split rule",IF(NOT(ISNUMBER(B253)),"Invalid date",IF(OR(B253&lt;=0,B253&lt;&gt;INT(B253)),"Invalid date",IF(COUNTIFS(DemoHistory[Date],B253)&lt;&gt;1,"Duplicate date",IF(AND($A253&gt;1,B253&lt;=B252),"Dates out of order",IF(NOT(ISNUMBER(C253)),"Missing price",IF(C253&lt;=0,"Nonpositive price","OK")))))))))</f>
        <v/>
      </c>
      <c r="I253" s="136"/>
      <c r="J253" s="136"/>
      <c r="K253" s="136"/>
      <c r="L253" s="136"/>
      <c r="M253" s="136"/>
      <c r="N253" s="136" t="e">
        <f t="shared" si="10"/>
        <v>#N/A</v>
      </c>
      <c r="O253" s="136" t="e">
        <f t="shared" si="11"/>
        <v>#N/A</v>
      </c>
    </row>
    <row r="254" spans="1:15" ht="22" customHeight="1" x14ac:dyDescent="0.35">
      <c r="A254" s="136">
        <v>210</v>
      </c>
      <c r="B254" s="165" t="str">
        <f>IF($A254&gt;MIN($A$10,$A$2),"",INDEX(DemoHistory[Date],$A254))</f>
        <v/>
      </c>
      <c r="C254" s="166" t="str">
        <f>IF(OR($A254&gt;MIN($A$10,$A$2),$A$5=""),"",INDEX(DemoHistory[],$A254,MATCH($A$5,DemoHistory[#Headers],0)))</f>
        <v/>
      </c>
      <c r="D254" s="166" t="str">
        <f>IF($A254&gt;MIN($A$10,$A$2),"",IF(AND($A$12,$A$6=1,B254&lt;$A$7,$A$7&lt;=MAX(DemoHistory[Date])),$A$8,1))</f>
        <v/>
      </c>
      <c r="E254" s="166" t="str">
        <f t="shared" si="9"/>
        <v/>
      </c>
      <c r="F254" s="166" t="str">
        <f>IF($A254&gt;MIN($A$10,$A$2),"",IF($A254&lt;50,"n.a.",IF(COUNT(INDEX(StockDaily[Adjusted close],MAX(1,$A254-50+1)):E254)=50,AVERAGE(INDEX(StockDaily[Adjusted close],MAX(1,$A254-50+1)):E254),"n.a.")))</f>
        <v/>
      </c>
      <c r="G254" s="166" t="str">
        <f>IF($A254&gt;MIN($A$10,$A$2),"",IF($A254&lt;200,"n.a.",IF(COUNT(INDEX(StockDaily[Adjusted close],MAX(1,$A254-200+1)):E254)=200,AVERAGE(INDEX(StockDaily[Adjusted close],MAX(1,$A254-200+1)):E254),"n.a.")))</f>
        <v/>
      </c>
      <c r="H254" s="136" t="str">
        <f>IF($A254&gt;MIN($A$10,$A$2),"",IF($A$5="","Choose stock",IF(NOT($A$12),"Check split rule",IF(NOT(ISNUMBER(B254)),"Invalid date",IF(OR(B254&lt;=0,B254&lt;&gt;INT(B254)),"Invalid date",IF(COUNTIFS(DemoHistory[Date],B254)&lt;&gt;1,"Duplicate date",IF(AND($A254&gt;1,B254&lt;=B253),"Dates out of order",IF(NOT(ISNUMBER(C254)),"Missing price",IF(C254&lt;=0,"Nonpositive price","OK")))))))))</f>
        <v/>
      </c>
      <c r="I254" s="136"/>
      <c r="J254" s="136"/>
      <c r="K254" s="136"/>
      <c r="L254" s="136"/>
      <c r="M254" s="136"/>
      <c r="N254" s="136" t="e">
        <f t="shared" si="10"/>
        <v>#N/A</v>
      </c>
      <c r="O254" s="136" t="e">
        <f t="shared" si="11"/>
        <v>#N/A</v>
      </c>
    </row>
    <row r="255" spans="1:15" ht="22" customHeight="1" x14ac:dyDescent="0.35">
      <c r="A255" s="136">
        <v>211</v>
      </c>
      <c r="B255" s="165" t="str">
        <f>IF($A255&gt;MIN($A$10,$A$2),"",INDEX(DemoHistory[Date],$A255))</f>
        <v/>
      </c>
      <c r="C255" s="166" t="str">
        <f>IF(OR($A255&gt;MIN($A$10,$A$2),$A$5=""),"",INDEX(DemoHistory[],$A255,MATCH($A$5,DemoHistory[#Headers],0)))</f>
        <v/>
      </c>
      <c r="D255" s="166" t="str">
        <f>IF($A255&gt;MIN($A$10,$A$2),"",IF(AND($A$12,$A$6=1,B255&lt;$A$7,$A$7&lt;=MAX(DemoHistory[Date])),$A$8,1))</f>
        <v/>
      </c>
      <c r="E255" s="166" t="str">
        <f t="shared" si="9"/>
        <v/>
      </c>
      <c r="F255" s="166" t="str">
        <f>IF($A255&gt;MIN($A$10,$A$2),"",IF($A255&lt;50,"n.a.",IF(COUNT(INDEX(StockDaily[Adjusted close],MAX(1,$A255-50+1)):E255)=50,AVERAGE(INDEX(StockDaily[Adjusted close],MAX(1,$A255-50+1)):E255),"n.a.")))</f>
        <v/>
      </c>
      <c r="G255" s="166" t="str">
        <f>IF($A255&gt;MIN($A$10,$A$2),"",IF($A255&lt;200,"n.a.",IF(COUNT(INDEX(StockDaily[Adjusted close],MAX(1,$A255-200+1)):E255)=200,AVERAGE(INDEX(StockDaily[Adjusted close],MAX(1,$A255-200+1)):E255),"n.a.")))</f>
        <v/>
      </c>
      <c r="H255" s="136" t="str">
        <f>IF($A255&gt;MIN($A$10,$A$2),"",IF($A$5="","Choose stock",IF(NOT($A$12),"Check split rule",IF(NOT(ISNUMBER(B255)),"Invalid date",IF(OR(B255&lt;=0,B255&lt;&gt;INT(B255)),"Invalid date",IF(COUNTIFS(DemoHistory[Date],B255)&lt;&gt;1,"Duplicate date",IF(AND($A255&gt;1,B255&lt;=B254),"Dates out of order",IF(NOT(ISNUMBER(C255)),"Missing price",IF(C255&lt;=0,"Nonpositive price","OK")))))))))</f>
        <v/>
      </c>
      <c r="I255" s="136"/>
      <c r="J255" s="136"/>
      <c r="K255" s="136"/>
      <c r="L255" s="136"/>
      <c r="M255" s="136"/>
      <c r="N255" s="136" t="e">
        <f t="shared" si="10"/>
        <v>#N/A</v>
      </c>
      <c r="O255" s="136" t="e">
        <f t="shared" si="11"/>
        <v>#N/A</v>
      </c>
    </row>
    <row r="256" spans="1:15" ht="22" customHeight="1" x14ac:dyDescent="0.35">
      <c r="A256" s="136">
        <v>212</v>
      </c>
      <c r="B256" s="165" t="str">
        <f>IF($A256&gt;MIN($A$10,$A$2),"",INDEX(DemoHistory[Date],$A256))</f>
        <v/>
      </c>
      <c r="C256" s="166" t="str">
        <f>IF(OR($A256&gt;MIN($A$10,$A$2),$A$5=""),"",INDEX(DemoHistory[],$A256,MATCH($A$5,DemoHistory[#Headers],0)))</f>
        <v/>
      </c>
      <c r="D256" s="166" t="str">
        <f>IF($A256&gt;MIN($A$10,$A$2),"",IF(AND($A$12,$A$6=1,B256&lt;$A$7,$A$7&lt;=MAX(DemoHistory[Date])),$A$8,1))</f>
        <v/>
      </c>
      <c r="E256" s="166" t="str">
        <f t="shared" si="9"/>
        <v/>
      </c>
      <c r="F256" s="166" t="str">
        <f>IF($A256&gt;MIN($A$10,$A$2),"",IF($A256&lt;50,"n.a.",IF(COUNT(INDEX(StockDaily[Adjusted close],MAX(1,$A256-50+1)):E256)=50,AVERAGE(INDEX(StockDaily[Adjusted close],MAX(1,$A256-50+1)):E256),"n.a.")))</f>
        <v/>
      </c>
      <c r="G256" s="166" t="str">
        <f>IF($A256&gt;MIN($A$10,$A$2),"",IF($A256&lt;200,"n.a.",IF(COUNT(INDEX(StockDaily[Adjusted close],MAX(1,$A256-200+1)):E256)=200,AVERAGE(INDEX(StockDaily[Adjusted close],MAX(1,$A256-200+1)):E256),"n.a.")))</f>
        <v/>
      </c>
      <c r="H256" s="136" t="str">
        <f>IF($A256&gt;MIN($A$10,$A$2),"",IF($A$5="","Choose stock",IF(NOT($A$12),"Check split rule",IF(NOT(ISNUMBER(B256)),"Invalid date",IF(OR(B256&lt;=0,B256&lt;&gt;INT(B256)),"Invalid date",IF(COUNTIFS(DemoHistory[Date],B256)&lt;&gt;1,"Duplicate date",IF(AND($A256&gt;1,B256&lt;=B255),"Dates out of order",IF(NOT(ISNUMBER(C256)),"Missing price",IF(C256&lt;=0,"Nonpositive price","OK")))))))))</f>
        <v/>
      </c>
      <c r="I256" s="136"/>
      <c r="J256" s="136"/>
      <c r="K256" s="136"/>
      <c r="L256" s="136"/>
      <c r="M256" s="136"/>
      <c r="N256" s="136" t="e">
        <f t="shared" si="10"/>
        <v>#N/A</v>
      </c>
      <c r="O256" s="136" t="e">
        <f t="shared" si="11"/>
        <v>#N/A</v>
      </c>
    </row>
    <row r="257" spans="1:15" ht="22" customHeight="1" x14ac:dyDescent="0.35">
      <c r="A257" s="136">
        <v>213</v>
      </c>
      <c r="B257" s="165" t="str">
        <f>IF($A257&gt;MIN($A$10,$A$2),"",INDEX(DemoHistory[Date],$A257))</f>
        <v/>
      </c>
      <c r="C257" s="166" t="str">
        <f>IF(OR($A257&gt;MIN($A$10,$A$2),$A$5=""),"",INDEX(DemoHistory[],$A257,MATCH($A$5,DemoHistory[#Headers],0)))</f>
        <v/>
      </c>
      <c r="D257" s="166" t="str">
        <f>IF($A257&gt;MIN($A$10,$A$2),"",IF(AND($A$12,$A$6=1,B257&lt;$A$7,$A$7&lt;=MAX(DemoHistory[Date])),$A$8,1))</f>
        <v/>
      </c>
      <c r="E257" s="166" t="str">
        <f t="shared" si="9"/>
        <v/>
      </c>
      <c r="F257" s="166" t="str">
        <f>IF($A257&gt;MIN($A$10,$A$2),"",IF($A257&lt;50,"n.a.",IF(COUNT(INDEX(StockDaily[Adjusted close],MAX(1,$A257-50+1)):E257)=50,AVERAGE(INDEX(StockDaily[Adjusted close],MAX(1,$A257-50+1)):E257),"n.a.")))</f>
        <v/>
      </c>
      <c r="G257" s="166" t="str">
        <f>IF($A257&gt;MIN($A$10,$A$2),"",IF($A257&lt;200,"n.a.",IF(COUNT(INDEX(StockDaily[Adjusted close],MAX(1,$A257-200+1)):E257)=200,AVERAGE(INDEX(StockDaily[Adjusted close],MAX(1,$A257-200+1)):E257),"n.a.")))</f>
        <v/>
      </c>
      <c r="H257" s="136" t="str">
        <f>IF($A257&gt;MIN($A$10,$A$2),"",IF($A$5="","Choose stock",IF(NOT($A$12),"Check split rule",IF(NOT(ISNUMBER(B257)),"Invalid date",IF(OR(B257&lt;=0,B257&lt;&gt;INT(B257)),"Invalid date",IF(COUNTIFS(DemoHistory[Date],B257)&lt;&gt;1,"Duplicate date",IF(AND($A257&gt;1,B257&lt;=B256),"Dates out of order",IF(NOT(ISNUMBER(C257)),"Missing price",IF(C257&lt;=0,"Nonpositive price","OK")))))))))</f>
        <v/>
      </c>
      <c r="I257" s="136"/>
      <c r="J257" s="136"/>
      <c r="K257" s="136"/>
      <c r="L257" s="136"/>
      <c r="M257" s="136"/>
      <c r="N257" s="136" t="e">
        <f t="shared" si="10"/>
        <v>#N/A</v>
      </c>
      <c r="O257" s="136" t="e">
        <f t="shared" si="11"/>
        <v>#N/A</v>
      </c>
    </row>
    <row r="258" spans="1:15" ht="22" customHeight="1" x14ac:dyDescent="0.35">
      <c r="A258" s="136">
        <v>214</v>
      </c>
      <c r="B258" s="165" t="str">
        <f>IF($A258&gt;MIN($A$10,$A$2),"",INDEX(DemoHistory[Date],$A258))</f>
        <v/>
      </c>
      <c r="C258" s="166" t="str">
        <f>IF(OR($A258&gt;MIN($A$10,$A$2),$A$5=""),"",INDEX(DemoHistory[],$A258,MATCH($A$5,DemoHistory[#Headers],0)))</f>
        <v/>
      </c>
      <c r="D258" s="166" t="str">
        <f>IF($A258&gt;MIN($A$10,$A$2),"",IF(AND($A$12,$A$6=1,B258&lt;$A$7,$A$7&lt;=MAX(DemoHistory[Date])),$A$8,1))</f>
        <v/>
      </c>
      <c r="E258" s="166" t="str">
        <f t="shared" si="9"/>
        <v/>
      </c>
      <c r="F258" s="166" t="str">
        <f>IF($A258&gt;MIN($A$10,$A$2),"",IF($A258&lt;50,"n.a.",IF(COUNT(INDEX(StockDaily[Adjusted close],MAX(1,$A258-50+1)):E258)=50,AVERAGE(INDEX(StockDaily[Adjusted close],MAX(1,$A258-50+1)):E258),"n.a.")))</f>
        <v/>
      </c>
      <c r="G258" s="166" t="str">
        <f>IF($A258&gt;MIN($A$10,$A$2),"",IF($A258&lt;200,"n.a.",IF(COUNT(INDEX(StockDaily[Adjusted close],MAX(1,$A258-200+1)):E258)=200,AVERAGE(INDEX(StockDaily[Adjusted close],MAX(1,$A258-200+1)):E258),"n.a.")))</f>
        <v/>
      </c>
      <c r="H258" s="136" t="str">
        <f>IF($A258&gt;MIN($A$10,$A$2),"",IF($A$5="","Choose stock",IF(NOT($A$12),"Check split rule",IF(NOT(ISNUMBER(B258)),"Invalid date",IF(OR(B258&lt;=0,B258&lt;&gt;INT(B258)),"Invalid date",IF(COUNTIFS(DemoHistory[Date],B258)&lt;&gt;1,"Duplicate date",IF(AND($A258&gt;1,B258&lt;=B257),"Dates out of order",IF(NOT(ISNUMBER(C258)),"Missing price",IF(C258&lt;=0,"Nonpositive price","OK")))))))))</f>
        <v/>
      </c>
      <c r="I258" s="136"/>
      <c r="J258" s="136"/>
      <c r="K258" s="136"/>
      <c r="L258" s="136"/>
      <c r="M258" s="136"/>
      <c r="N258" s="136" t="e">
        <f t="shared" si="10"/>
        <v>#N/A</v>
      </c>
      <c r="O258" s="136" t="e">
        <f t="shared" si="11"/>
        <v>#N/A</v>
      </c>
    </row>
    <row r="259" spans="1:15" ht="22" customHeight="1" x14ac:dyDescent="0.35">
      <c r="A259" s="136">
        <v>215</v>
      </c>
      <c r="B259" s="165" t="str">
        <f>IF($A259&gt;MIN($A$10,$A$2),"",INDEX(DemoHistory[Date],$A259))</f>
        <v/>
      </c>
      <c r="C259" s="166" t="str">
        <f>IF(OR($A259&gt;MIN($A$10,$A$2),$A$5=""),"",INDEX(DemoHistory[],$A259,MATCH($A$5,DemoHistory[#Headers],0)))</f>
        <v/>
      </c>
      <c r="D259" s="166" t="str">
        <f>IF($A259&gt;MIN($A$10,$A$2),"",IF(AND($A$12,$A$6=1,B259&lt;$A$7,$A$7&lt;=MAX(DemoHistory[Date])),$A$8,1))</f>
        <v/>
      </c>
      <c r="E259" s="166" t="str">
        <f t="shared" si="9"/>
        <v/>
      </c>
      <c r="F259" s="166" t="str">
        <f>IF($A259&gt;MIN($A$10,$A$2),"",IF($A259&lt;50,"n.a.",IF(COUNT(INDEX(StockDaily[Adjusted close],MAX(1,$A259-50+1)):E259)=50,AVERAGE(INDEX(StockDaily[Adjusted close],MAX(1,$A259-50+1)):E259),"n.a.")))</f>
        <v/>
      </c>
      <c r="G259" s="166" t="str">
        <f>IF($A259&gt;MIN($A$10,$A$2),"",IF($A259&lt;200,"n.a.",IF(COUNT(INDEX(StockDaily[Adjusted close],MAX(1,$A259-200+1)):E259)=200,AVERAGE(INDEX(StockDaily[Adjusted close],MAX(1,$A259-200+1)):E259),"n.a.")))</f>
        <v/>
      </c>
      <c r="H259" s="136" t="str">
        <f>IF($A259&gt;MIN($A$10,$A$2),"",IF($A$5="","Choose stock",IF(NOT($A$12),"Check split rule",IF(NOT(ISNUMBER(B259)),"Invalid date",IF(OR(B259&lt;=0,B259&lt;&gt;INT(B259)),"Invalid date",IF(COUNTIFS(DemoHistory[Date],B259)&lt;&gt;1,"Duplicate date",IF(AND($A259&gt;1,B259&lt;=B258),"Dates out of order",IF(NOT(ISNUMBER(C259)),"Missing price",IF(C259&lt;=0,"Nonpositive price","OK")))))))))</f>
        <v/>
      </c>
      <c r="I259" s="136"/>
      <c r="J259" s="136"/>
      <c r="K259" s="136"/>
      <c r="L259" s="136"/>
      <c r="M259" s="136"/>
      <c r="N259" s="136" t="e">
        <f t="shared" si="10"/>
        <v>#N/A</v>
      </c>
      <c r="O259" s="136" t="e">
        <f t="shared" si="11"/>
        <v>#N/A</v>
      </c>
    </row>
    <row r="260" spans="1:15" ht="22" customHeight="1" x14ac:dyDescent="0.35">
      <c r="A260" s="136">
        <v>216</v>
      </c>
      <c r="B260" s="165" t="str">
        <f>IF($A260&gt;MIN($A$10,$A$2),"",INDEX(DemoHistory[Date],$A260))</f>
        <v/>
      </c>
      <c r="C260" s="166" t="str">
        <f>IF(OR($A260&gt;MIN($A$10,$A$2),$A$5=""),"",INDEX(DemoHistory[],$A260,MATCH($A$5,DemoHistory[#Headers],0)))</f>
        <v/>
      </c>
      <c r="D260" s="166" t="str">
        <f>IF($A260&gt;MIN($A$10,$A$2),"",IF(AND($A$12,$A$6=1,B260&lt;$A$7,$A$7&lt;=MAX(DemoHistory[Date])),$A$8,1))</f>
        <v/>
      </c>
      <c r="E260" s="166" t="str">
        <f t="shared" si="9"/>
        <v/>
      </c>
      <c r="F260" s="166" t="str">
        <f>IF($A260&gt;MIN($A$10,$A$2),"",IF($A260&lt;50,"n.a.",IF(COUNT(INDEX(StockDaily[Adjusted close],MAX(1,$A260-50+1)):E260)=50,AVERAGE(INDEX(StockDaily[Adjusted close],MAX(1,$A260-50+1)):E260),"n.a.")))</f>
        <v/>
      </c>
      <c r="G260" s="166" t="str">
        <f>IF($A260&gt;MIN($A$10,$A$2),"",IF($A260&lt;200,"n.a.",IF(COUNT(INDEX(StockDaily[Adjusted close],MAX(1,$A260-200+1)):E260)=200,AVERAGE(INDEX(StockDaily[Adjusted close],MAX(1,$A260-200+1)):E260),"n.a.")))</f>
        <v/>
      </c>
      <c r="H260" s="136" t="str">
        <f>IF($A260&gt;MIN($A$10,$A$2),"",IF($A$5="","Choose stock",IF(NOT($A$12),"Check split rule",IF(NOT(ISNUMBER(B260)),"Invalid date",IF(OR(B260&lt;=0,B260&lt;&gt;INT(B260)),"Invalid date",IF(COUNTIFS(DemoHistory[Date],B260)&lt;&gt;1,"Duplicate date",IF(AND($A260&gt;1,B260&lt;=B259),"Dates out of order",IF(NOT(ISNUMBER(C260)),"Missing price",IF(C260&lt;=0,"Nonpositive price","OK")))))))))</f>
        <v/>
      </c>
      <c r="I260" s="136"/>
      <c r="J260" s="136"/>
      <c r="K260" s="136"/>
      <c r="L260" s="136"/>
      <c r="M260" s="136"/>
      <c r="N260" s="136" t="e">
        <f t="shared" si="10"/>
        <v>#N/A</v>
      </c>
      <c r="O260" s="136" t="e">
        <f t="shared" si="11"/>
        <v>#N/A</v>
      </c>
    </row>
    <row r="261" spans="1:15" ht="22" customHeight="1" x14ac:dyDescent="0.35">
      <c r="A261" s="136">
        <v>217</v>
      </c>
      <c r="B261" s="165" t="str">
        <f>IF($A261&gt;MIN($A$10,$A$2),"",INDEX(DemoHistory[Date],$A261))</f>
        <v/>
      </c>
      <c r="C261" s="166" t="str">
        <f>IF(OR($A261&gt;MIN($A$10,$A$2),$A$5=""),"",INDEX(DemoHistory[],$A261,MATCH($A$5,DemoHistory[#Headers],0)))</f>
        <v/>
      </c>
      <c r="D261" s="166" t="str">
        <f>IF($A261&gt;MIN($A$10,$A$2),"",IF(AND($A$12,$A$6=1,B261&lt;$A$7,$A$7&lt;=MAX(DemoHistory[Date])),$A$8,1))</f>
        <v/>
      </c>
      <c r="E261" s="166" t="str">
        <f t="shared" si="9"/>
        <v/>
      </c>
      <c r="F261" s="166" t="str">
        <f>IF($A261&gt;MIN($A$10,$A$2),"",IF($A261&lt;50,"n.a.",IF(COUNT(INDEX(StockDaily[Adjusted close],MAX(1,$A261-50+1)):E261)=50,AVERAGE(INDEX(StockDaily[Adjusted close],MAX(1,$A261-50+1)):E261),"n.a.")))</f>
        <v/>
      </c>
      <c r="G261" s="166" t="str">
        <f>IF($A261&gt;MIN($A$10,$A$2),"",IF($A261&lt;200,"n.a.",IF(COUNT(INDEX(StockDaily[Adjusted close],MAX(1,$A261-200+1)):E261)=200,AVERAGE(INDEX(StockDaily[Adjusted close],MAX(1,$A261-200+1)):E261),"n.a.")))</f>
        <v/>
      </c>
      <c r="H261" s="136" t="str">
        <f>IF($A261&gt;MIN($A$10,$A$2),"",IF($A$5="","Choose stock",IF(NOT($A$12),"Check split rule",IF(NOT(ISNUMBER(B261)),"Invalid date",IF(OR(B261&lt;=0,B261&lt;&gt;INT(B261)),"Invalid date",IF(COUNTIFS(DemoHistory[Date],B261)&lt;&gt;1,"Duplicate date",IF(AND($A261&gt;1,B261&lt;=B260),"Dates out of order",IF(NOT(ISNUMBER(C261)),"Missing price",IF(C261&lt;=0,"Nonpositive price","OK")))))))))</f>
        <v/>
      </c>
      <c r="I261" s="136"/>
      <c r="J261" s="136"/>
      <c r="K261" s="136"/>
      <c r="L261" s="136"/>
      <c r="M261" s="136"/>
      <c r="N261" s="136" t="e">
        <f t="shared" si="10"/>
        <v>#N/A</v>
      </c>
      <c r="O261" s="136" t="e">
        <f t="shared" si="11"/>
        <v>#N/A</v>
      </c>
    </row>
    <row r="262" spans="1:15" ht="22" customHeight="1" x14ac:dyDescent="0.35">
      <c r="A262" s="136">
        <v>218</v>
      </c>
      <c r="B262" s="165" t="str">
        <f>IF($A262&gt;MIN($A$10,$A$2),"",INDEX(DemoHistory[Date],$A262))</f>
        <v/>
      </c>
      <c r="C262" s="166" t="str">
        <f>IF(OR($A262&gt;MIN($A$10,$A$2),$A$5=""),"",INDEX(DemoHistory[],$A262,MATCH($A$5,DemoHistory[#Headers],0)))</f>
        <v/>
      </c>
      <c r="D262" s="166" t="str">
        <f>IF($A262&gt;MIN($A$10,$A$2),"",IF(AND($A$12,$A$6=1,B262&lt;$A$7,$A$7&lt;=MAX(DemoHistory[Date])),$A$8,1))</f>
        <v/>
      </c>
      <c r="E262" s="166" t="str">
        <f t="shared" si="9"/>
        <v/>
      </c>
      <c r="F262" s="166" t="str">
        <f>IF($A262&gt;MIN($A$10,$A$2),"",IF($A262&lt;50,"n.a.",IF(COUNT(INDEX(StockDaily[Adjusted close],MAX(1,$A262-50+1)):E262)=50,AVERAGE(INDEX(StockDaily[Adjusted close],MAX(1,$A262-50+1)):E262),"n.a.")))</f>
        <v/>
      </c>
      <c r="G262" s="166" t="str">
        <f>IF($A262&gt;MIN($A$10,$A$2),"",IF($A262&lt;200,"n.a.",IF(COUNT(INDEX(StockDaily[Adjusted close],MAX(1,$A262-200+1)):E262)=200,AVERAGE(INDEX(StockDaily[Adjusted close],MAX(1,$A262-200+1)):E262),"n.a.")))</f>
        <v/>
      </c>
      <c r="H262" s="136" t="str">
        <f>IF($A262&gt;MIN($A$10,$A$2),"",IF($A$5="","Choose stock",IF(NOT($A$12),"Check split rule",IF(NOT(ISNUMBER(B262)),"Invalid date",IF(OR(B262&lt;=0,B262&lt;&gt;INT(B262)),"Invalid date",IF(COUNTIFS(DemoHistory[Date],B262)&lt;&gt;1,"Duplicate date",IF(AND($A262&gt;1,B262&lt;=B261),"Dates out of order",IF(NOT(ISNUMBER(C262)),"Missing price",IF(C262&lt;=0,"Nonpositive price","OK")))))))))</f>
        <v/>
      </c>
      <c r="I262" s="136"/>
      <c r="J262" s="136"/>
      <c r="K262" s="136"/>
      <c r="L262" s="136"/>
      <c r="M262" s="136"/>
      <c r="N262" s="136" t="e">
        <f t="shared" si="10"/>
        <v>#N/A</v>
      </c>
      <c r="O262" s="136" t="e">
        <f t="shared" si="11"/>
        <v>#N/A</v>
      </c>
    </row>
    <row r="263" spans="1:15" ht="22" customHeight="1" x14ac:dyDescent="0.35">
      <c r="A263" s="136">
        <v>219</v>
      </c>
      <c r="B263" s="165" t="str">
        <f>IF($A263&gt;MIN($A$10,$A$2),"",INDEX(DemoHistory[Date],$A263))</f>
        <v/>
      </c>
      <c r="C263" s="166" t="str">
        <f>IF(OR($A263&gt;MIN($A$10,$A$2),$A$5=""),"",INDEX(DemoHistory[],$A263,MATCH($A$5,DemoHistory[#Headers],0)))</f>
        <v/>
      </c>
      <c r="D263" s="166" t="str">
        <f>IF($A263&gt;MIN($A$10,$A$2),"",IF(AND($A$12,$A$6=1,B263&lt;$A$7,$A$7&lt;=MAX(DemoHistory[Date])),$A$8,1))</f>
        <v/>
      </c>
      <c r="E263" s="166" t="str">
        <f t="shared" si="9"/>
        <v/>
      </c>
      <c r="F263" s="166" t="str">
        <f>IF($A263&gt;MIN($A$10,$A$2),"",IF($A263&lt;50,"n.a.",IF(COUNT(INDEX(StockDaily[Adjusted close],MAX(1,$A263-50+1)):E263)=50,AVERAGE(INDEX(StockDaily[Adjusted close],MAX(1,$A263-50+1)):E263),"n.a.")))</f>
        <v/>
      </c>
      <c r="G263" s="166" t="str">
        <f>IF($A263&gt;MIN($A$10,$A$2),"",IF($A263&lt;200,"n.a.",IF(COUNT(INDEX(StockDaily[Adjusted close],MAX(1,$A263-200+1)):E263)=200,AVERAGE(INDEX(StockDaily[Adjusted close],MAX(1,$A263-200+1)):E263),"n.a.")))</f>
        <v/>
      </c>
      <c r="H263" s="136" t="str">
        <f>IF($A263&gt;MIN($A$10,$A$2),"",IF($A$5="","Choose stock",IF(NOT($A$12),"Check split rule",IF(NOT(ISNUMBER(B263)),"Invalid date",IF(OR(B263&lt;=0,B263&lt;&gt;INT(B263)),"Invalid date",IF(COUNTIFS(DemoHistory[Date],B263)&lt;&gt;1,"Duplicate date",IF(AND($A263&gt;1,B263&lt;=B262),"Dates out of order",IF(NOT(ISNUMBER(C263)),"Missing price",IF(C263&lt;=0,"Nonpositive price","OK")))))))))</f>
        <v/>
      </c>
      <c r="I263" s="136"/>
      <c r="J263" s="136"/>
      <c r="K263" s="136"/>
      <c r="L263" s="136"/>
      <c r="M263" s="136"/>
      <c r="N263" s="136" t="e">
        <f t="shared" si="10"/>
        <v>#N/A</v>
      </c>
      <c r="O263" s="136" t="e">
        <f t="shared" si="11"/>
        <v>#N/A</v>
      </c>
    </row>
    <row r="264" spans="1:15" ht="22" customHeight="1" x14ac:dyDescent="0.35">
      <c r="A264" s="136">
        <v>220</v>
      </c>
      <c r="B264" s="165" t="str">
        <f>IF($A264&gt;MIN($A$10,$A$2),"",INDEX(DemoHistory[Date],$A264))</f>
        <v/>
      </c>
      <c r="C264" s="166" t="str">
        <f>IF(OR($A264&gt;MIN($A$10,$A$2),$A$5=""),"",INDEX(DemoHistory[],$A264,MATCH($A$5,DemoHistory[#Headers],0)))</f>
        <v/>
      </c>
      <c r="D264" s="166" t="str">
        <f>IF($A264&gt;MIN($A$10,$A$2),"",IF(AND($A$12,$A$6=1,B264&lt;$A$7,$A$7&lt;=MAX(DemoHistory[Date])),$A$8,1))</f>
        <v/>
      </c>
      <c r="E264" s="166" t="str">
        <f t="shared" si="9"/>
        <v/>
      </c>
      <c r="F264" s="166" t="str">
        <f>IF($A264&gt;MIN($A$10,$A$2),"",IF($A264&lt;50,"n.a.",IF(COUNT(INDEX(StockDaily[Adjusted close],MAX(1,$A264-50+1)):E264)=50,AVERAGE(INDEX(StockDaily[Adjusted close],MAX(1,$A264-50+1)):E264),"n.a.")))</f>
        <v/>
      </c>
      <c r="G264" s="166" t="str">
        <f>IF($A264&gt;MIN($A$10,$A$2),"",IF($A264&lt;200,"n.a.",IF(COUNT(INDEX(StockDaily[Adjusted close],MAX(1,$A264-200+1)):E264)=200,AVERAGE(INDEX(StockDaily[Adjusted close],MAX(1,$A264-200+1)):E264),"n.a.")))</f>
        <v/>
      </c>
      <c r="H264" s="136" t="str">
        <f>IF($A264&gt;MIN($A$10,$A$2),"",IF($A$5="","Choose stock",IF(NOT($A$12),"Check split rule",IF(NOT(ISNUMBER(B264)),"Invalid date",IF(OR(B264&lt;=0,B264&lt;&gt;INT(B264)),"Invalid date",IF(COUNTIFS(DemoHistory[Date],B264)&lt;&gt;1,"Duplicate date",IF(AND($A264&gt;1,B264&lt;=B263),"Dates out of order",IF(NOT(ISNUMBER(C264)),"Missing price",IF(C264&lt;=0,"Nonpositive price","OK")))))))))</f>
        <v/>
      </c>
      <c r="I264" s="136"/>
      <c r="J264" s="136"/>
      <c r="K264" s="136"/>
      <c r="L264" s="136"/>
      <c r="M264" s="136"/>
      <c r="N264" s="136" t="e">
        <f t="shared" si="10"/>
        <v>#N/A</v>
      </c>
      <c r="O264" s="136" t="e">
        <f t="shared" si="11"/>
        <v>#N/A</v>
      </c>
    </row>
    <row r="265" spans="1:15" ht="22" customHeight="1" x14ac:dyDescent="0.35">
      <c r="A265" s="136">
        <v>221</v>
      </c>
      <c r="B265" s="165" t="str">
        <f>IF($A265&gt;MIN($A$10,$A$2),"",INDEX(DemoHistory[Date],$A265))</f>
        <v/>
      </c>
      <c r="C265" s="166" t="str">
        <f>IF(OR($A265&gt;MIN($A$10,$A$2),$A$5=""),"",INDEX(DemoHistory[],$A265,MATCH($A$5,DemoHistory[#Headers],0)))</f>
        <v/>
      </c>
      <c r="D265" s="166" t="str">
        <f>IF($A265&gt;MIN($A$10,$A$2),"",IF(AND($A$12,$A$6=1,B265&lt;$A$7,$A$7&lt;=MAX(DemoHistory[Date])),$A$8,1))</f>
        <v/>
      </c>
      <c r="E265" s="166" t="str">
        <f t="shared" si="9"/>
        <v/>
      </c>
      <c r="F265" s="166" t="str">
        <f>IF($A265&gt;MIN($A$10,$A$2),"",IF($A265&lt;50,"n.a.",IF(COUNT(INDEX(StockDaily[Adjusted close],MAX(1,$A265-50+1)):E265)=50,AVERAGE(INDEX(StockDaily[Adjusted close],MAX(1,$A265-50+1)):E265),"n.a.")))</f>
        <v/>
      </c>
      <c r="G265" s="166" t="str">
        <f>IF($A265&gt;MIN($A$10,$A$2),"",IF($A265&lt;200,"n.a.",IF(COUNT(INDEX(StockDaily[Adjusted close],MAX(1,$A265-200+1)):E265)=200,AVERAGE(INDEX(StockDaily[Adjusted close],MAX(1,$A265-200+1)):E265),"n.a.")))</f>
        <v/>
      </c>
      <c r="H265" s="136" t="str">
        <f>IF($A265&gt;MIN($A$10,$A$2),"",IF($A$5="","Choose stock",IF(NOT($A$12),"Check split rule",IF(NOT(ISNUMBER(B265)),"Invalid date",IF(OR(B265&lt;=0,B265&lt;&gt;INT(B265)),"Invalid date",IF(COUNTIFS(DemoHistory[Date],B265)&lt;&gt;1,"Duplicate date",IF(AND($A265&gt;1,B265&lt;=B264),"Dates out of order",IF(NOT(ISNUMBER(C265)),"Missing price",IF(C265&lt;=0,"Nonpositive price","OK")))))))))</f>
        <v/>
      </c>
      <c r="I265" s="136"/>
      <c r="J265" s="136"/>
      <c r="K265" s="136"/>
      <c r="L265" s="136"/>
      <c r="M265" s="136"/>
      <c r="N265" s="136" t="e">
        <f t="shared" si="10"/>
        <v>#N/A</v>
      </c>
      <c r="O265" s="136" t="e">
        <f t="shared" si="11"/>
        <v>#N/A</v>
      </c>
    </row>
    <row r="266" spans="1:15" ht="22" customHeight="1" x14ac:dyDescent="0.35">
      <c r="A266" s="136">
        <v>222</v>
      </c>
      <c r="B266" s="165" t="str">
        <f>IF($A266&gt;MIN($A$10,$A$2),"",INDEX(DemoHistory[Date],$A266))</f>
        <v/>
      </c>
      <c r="C266" s="166" t="str">
        <f>IF(OR($A266&gt;MIN($A$10,$A$2),$A$5=""),"",INDEX(DemoHistory[],$A266,MATCH($A$5,DemoHistory[#Headers],0)))</f>
        <v/>
      </c>
      <c r="D266" s="166" t="str">
        <f>IF($A266&gt;MIN($A$10,$A$2),"",IF(AND($A$12,$A$6=1,B266&lt;$A$7,$A$7&lt;=MAX(DemoHistory[Date])),$A$8,1))</f>
        <v/>
      </c>
      <c r="E266" s="166" t="str">
        <f t="shared" si="9"/>
        <v/>
      </c>
      <c r="F266" s="166" t="str">
        <f>IF($A266&gt;MIN($A$10,$A$2),"",IF($A266&lt;50,"n.a.",IF(COUNT(INDEX(StockDaily[Adjusted close],MAX(1,$A266-50+1)):E266)=50,AVERAGE(INDEX(StockDaily[Adjusted close],MAX(1,$A266-50+1)):E266),"n.a.")))</f>
        <v/>
      </c>
      <c r="G266" s="166" t="str">
        <f>IF($A266&gt;MIN($A$10,$A$2),"",IF($A266&lt;200,"n.a.",IF(COUNT(INDEX(StockDaily[Adjusted close],MAX(1,$A266-200+1)):E266)=200,AVERAGE(INDEX(StockDaily[Adjusted close],MAX(1,$A266-200+1)):E266),"n.a.")))</f>
        <v/>
      </c>
      <c r="H266" s="136" t="str">
        <f>IF($A266&gt;MIN($A$10,$A$2),"",IF($A$5="","Choose stock",IF(NOT($A$12),"Check split rule",IF(NOT(ISNUMBER(B266)),"Invalid date",IF(OR(B266&lt;=0,B266&lt;&gt;INT(B266)),"Invalid date",IF(COUNTIFS(DemoHistory[Date],B266)&lt;&gt;1,"Duplicate date",IF(AND($A266&gt;1,B266&lt;=B265),"Dates out of order",IF(NOT(ISNUMBER(C266)),"Missing price",IF(C266&lt;=0,"Nonpositive price","OK")))))))))</f>
        <v/>
      </c>
      <c r="I266" s="136"/>
      <c r="J266" s="136"/>
      <c r="K266" s="136"/>
      <c r="L266" s="136"/>
      <c r="M266" s="136"/>
      <c r="N266" s="136" t="e">
        <f t="shared" si="10"/>
        <v>#N/A</v>
      </c>
      <c r="O266" s="136" t="e">
        <f t="shared" si="11"/>
        <v>#N/A</v>
      </c>
    </row>
    <row r="267" spans="1:15" ht="22" customHeight="1" x14ac:dyDescent="0.35">
      <c r="A267" s="136">
        <v>223</v>
      </c>
      <c r="B267" s="165" t="str">
        <f>IF($A267&gt;MIN($A$10,$A$2),"",INDEX(DemoHistory[Date],$A267))</f>
        <v/>
      </c>
      <c r="C267" s="166" t="str">
        <f>IF(OR($A267&gt;MIN($A$10,$A$2),$A$5=""),"",INDEX(DemoHistory[],$A267,MATCH($A$5,DemoHistory[#Headers],0)))</f>
        <v/>
      </c>
      <c r="D267" s="166" t="str">
        <f>IF($A267&gt;MIN($A$10,$A$2),"",IF(AND($A$12,$A$6=1,B267&lt;$A$7,$A$7&lt;=MAX(DemoHistory[Date])),$A$8,1))</f>
        <v/>
      </c>
      <c r="E267" s="166" t="str">
        <f t="shared" si="9"/>
        <v/>
      </c>
      <c r="F267" s="166" t="str">
        <f>IF($A267&gt;MIN($A$10,$A$2),"",IF($A267&lt;50,"n.a.",IF(COUNT(INDEX(StockDaily[Adjusted close],MAX(1,$A267-50+1)):E267)=50,AVERAGE(INDEX(StockDaily[Adjusted close],MAX(1,$A267-50+1)):E267),"n.a.")))</f>
        <v/>
      </c>
      <c r="G267" s="166" t="str">
        <f>IF($A267&gt;MIN($A$10,$A$2),"",IF($A267&lt;200,"n.a.",IF(COUNT(INDEX(StockDaily[Adjusted close],MAX(1,$A267-200+1)):E267)=200,AVERAGE(INDEX(StockDaily[Adjusted close],MAX(1,$A267-200+1)):E267),"n.a.")))</f>
        <v/>
      </c>
      <c r="H267" s="136" t="str">
        <f>IF($A267&gt;MIN($A$10,$A$2),"",IF($A$5="","Choose stock",IF(NOT($A$12),"Check split rule",IF(NOT(ISNUMBER(B267)),"Invalid date",IF(OR(B267&lt;=0,B267&lt;&gt;INT(B267)),"Invalid date",IF(COUNTIFS(DemoHistory[Date],B267)&lt;&gt;1,"Duplicate date",IF(AND($A267&gt;1,B267&lt;=B266),"Dates out of order",IF(NOT(ISNUMBER(C267)),"Missing price",IF(C267&lt;=0,"Nonpositive price","OK")))))))))</f>
        <v/>
      </c>
      <c r="I267" s="136"/>
      <c r="J267" s="136"/>
      <c r="K267" s="136"/>
      <c r="L267" s="136"/>
      <c r="M267" s="136"/>
      <c r="N267" s="136" t="e">
        <f t="shared" si="10"/>
        <v>#N/A</v>
      </c>
      <c r="O267" s="136" t="e">
        <f t="shared" si="11"/>
        <v>#N/A</v>
      </c>
    </row>
    <row r="268" spans="1:15" ht="22" customHeight="1" x14ac:dyDescent="0.35">
      <c r="A268" s="136">
        <v>224</v>
      </c>
      <c r="B268" s="165" t="str">
        <f>IF($A268&gt;MIN($A$10,$A$2),"",INDEX(DemoHistory[Date],$A268))</f>
        <v/>
      </c>
      <c r="C268" s="166" t="str">
        <f>IF(OR($A268&gt;MIN($A$10,$A$2),$A$5=""),"",INDEX(DemoHistory[],$A268,MATCH($A$5,DemoHistory[#Headers],0)))</f>
        <v/>
      </c>
      <c r="D268" s="166" t="str">
        <f>IF($A268&gt;MIN($A$10,$A$2),"",IF(AND($A$12,$A$6=1,B268&lt;$A$7,$A$7&lt;=MAX(DemoHistory[Date])),$A$8,1))</f>
        <v/>
      </c>
      <c r="E268" s="166" t="str">
        <f t="shared" si="9"/>
        <v/>
      </c>
      <c r="F268" s="166" t="str">
        <f>IF($A268&gt;MIN($A$10,$A$2),"",IF($A268&lt;50,"n.a.",IF(COUNT(INDEX(StockDaily[Adjusted close],MAX(1,$A268-50+1)):E268)=50,AVERAGE(INDEX(StockDaily[Adjusted close],MAX(1,$A268-50+1)):E268),"n.a.")))</f>
        <v/>
      </c>
      <c r="G268" s="166" t="str">
        <f>IF($A268&gt;MIN($A$10,$A$2),"",IF($A268&lt;200,"n.a.",IF(COUNT(INDEX(StockDaily[Adjusted close],MAX(1,$A268-200+1)):E268)=200,AVERAGE(INDEX(StockDaily[Adjusted close],MAX(1,$A268-200+1)):E268),"n.a.")))</f>
        <v/>
      </c>
      <c r="H268" s="136" t="str">
        <f>IF($A268&gt;MIN($A$10,$A$2),"",IF($A$5="","Choose stock",IF(NOT($A$12),"Check split rule",IF(NOT(ISNUMBER(B268)),"Invalid date",IF(OR(B268&lt;=0,B268&lt;&gt;INT(B268)),"Invalid date",IF(COUNTIFS(DemoHistory[Date],B268)&lt;&gt;1,"Duplicate date",IF(AND($A268&gt;1,B268&lt;=B267),"Dates out of order",IF(NOT(ISNUMBER(C268)),"Missing price",IF(C268&lt;=0,"Nonpositive price","OK")))))))))</f>
        <v/>
      </c>
      <c r="I268" s="136"/>
      <c r="J268" s="136"/>
      <c r="K268" s="136"/>
      <c r="L268" s="136"/>
      <c r="M268" s="136"/>
      <c r="N268" s="136" t="e">
        <f t="shared" si="10"/>
        <v>#N/A</v>
      </c>
      <c r="O268" s="136" t="e">
        <f t="shared" si="11"/>
        <v>#N/A</v>
      </c>
    </row>
    <row r="269" spans="1:15" ht="22" customHeight="1" x14ac:dyDescent="0.35">
      <c r="A269" s="136">
        <v>225</v>
      </c>
      <c r="B269" s="165" t="str">
        <f>IF($A269&gt;MIN($A$10,$A$2),"",INDEX(DemoHistory[Date],$A269))</f>
        <v/>
      </c>
      <c r="C269" s="166" t="str">
        <f>IF(OR($A269&gt;MIN($A$10,$A$2),$A$5=""),"",INDEX(DemoHistory[],$A269,MATCH($A$5,DemoHistory[#Headers],0)))</f>
        <v/>
      </c>
      <c r="D269" s="166" t="str">
        <f>IF($A269&gt;MIN($A$10,$A$2),"",IF(AND($A$12,$A$6=1,B269&lt;$A$7,$A$7&lt;=MAX(DemoHistory[Date])),$A$8,1))</f>
        <v/>
      </c>
      <c r="E269" s="166" t="str">
        <f t="shared" si="9"/>
        <v/>
      </c>
      <c r="F269" s="166" t="str">
        <f>IF($A269&gt;MIN($A$10,$A$2),"",IF($A269&lt;50,"n.a.",IF(COUNT(INDEX(StockDaily[Adjusted close],MAX(1,$A269-50+1)):E269)=50,AVERAGE(INDEX(StockDaily[Adjusted close],MAX(1,$A269-50+1)):E269),"n.a.")))</f>
        <v/>
      </c>
      <c r="G269" s="166" t="str">
        <f>IF($A269&gt;MIN($A$10,$A$2),"",IF($A269&lt;200,"n.a.",IF(COUNT(INDEX(StockDaily[Adjusted close],MAX(1,$A269-200+1)):E269)=200,AVERAGE(INDEX(StockDaily[Adjusted close],MAX(1,$A269-200+1)):E269),"n.a.")))</f>
        <v/>
      </c>
      <c r="H269" s="136" t="str">
        <f>IF($A269&gt;MIN($A$10,$A$2),"",IF($A$5="","Choose stock",IF(NOT($A$12),"Check split rule",IF(NOT(ISNUMBER(B269)),"Invalid date",IF(OR(B269&lt;=0,B269&lt;&gt;INT(B269)),"Invalid date",IF(COUNTIFS(DemoHistory[Date],B269)&lt;&gt;1,"Duplicate date",IF(AND($A269&gt;1,B269&lt;=B268),"Dates out of order",IF(NOT(ISNUMBER(C269)),"Missing price",IF(C269&lt;=0,"Nonpositive price","OK")))))))))</f>
        <v/>
      </c>
      <c r="I269" s="136"/>
      <c r="J269" s="136"/>
      <c r="K269" s="136"/>
      <c r="L269" s="136"/>
      <c r="M269" s="136"/>
      <c r="N269" s="136" t="e">
        <f t="shared" si="10"/>
        <v>#N/A</v>
      </c>
      <c r="O269" s="136" t="e">
        <f t="shared" si="11"/>
        <v>#N/A</v>
      </c>
    </row>
    <row r="270" spans="1:15" ht="22" customHeight="1" x14ac:dyDescent="0.35">
      <c r="A270" s="136">
        <v>226</v>
      </c>
      <c r="B270" s="165" t="str">
        <f>IF($A270&gt;MIN($A$10,$A$2),"",INDEX(DemoHistory[Date],$A270))</f>
        <v/>
      </c>
      <c r="C270" s="166" t="str">
        <f>IF(OR($A270&gt;MIN($A$10,$A$2),$A$5=""),"",INDEX(DemoHistory[],$A270,MATCH($A$5,DemoHistory[#Headers],0)))</f>
        <v/>
      </c>
      <c r="D270" s="166" t="str">
        <f>IF($A270&gt;MIN($A$10,$A$2),"",IF(AND($A$12,$A$6=1,B270&lt;$A$7,$A$7&lt;=MAX(DemoHistory[Date])),$A$8,1))</f>
        <v/>
      </c>
      <c r="E270" s="166" t="str">
        <f t="shared" si="9"/>
        <v/>
      </c>
      <c r="F270" s="166" t="str">
        <f>IF($A270&gt;MIN($A$10,$A$2),"",IF($A270&lt;50,"n.a.",IF(COUNT(INDEX(StockDaily[Adjusted close],MAX(1,$A270-50+1)):E270)=50,AVERAGE(INDEX(StockDaily[Adjusted close],MAX(1,$A270-50+1)):E270),"n.a.")))</f>
        <v/>
      </c>
      <c r="G270" s="166" t="str">
        <f>IF($A270&gt;MIN($A$10,$A$2),"",IF($A270&lt;200,"n.a.",IF(COUNT(INDEX(StockDaily[Adjusted close],MAX(1,$A270-200+1)):E270)=200,AVERAGE(INDEX(StockDaily[Adjusted close],MAX(1,$A270-200+1)):E270),"n.a.")))</f>
        <v/>
      </c>
      <c r="H270" s="136" t="str">
        <f>IF($A270&gt;MIN($A$10,$A$2),"",IF($A$5="","Choose stock",IF(NOT($A$12),"Check split rule",IF(NOT(ISNUMBER(B270)),"Invalid date",IF(OR(B270&lt;=0,B270&lt;&gt;INT(B270)),"Invalid date",IF(COUNTIFS(DemoHistory[Date],B270)&lt;&gt;1,"Duplicate date",IF(AND($A270&gt;1,B270&lt;=B269),"Dates out of order",IF(NOT(ISNUMBER(C270)),"Missing price",IF(C270&lt;=0,"Nonpositive price","OK")))))))))</f>
        <v/>
      </c>
      <c r="I270" s="136"/>
      <c r="J270" s="136"/>
      <c r="K270" s="136"/>
      <c r="L270" s="136"/>
      <c r="M270" s="136"/>
      <c r="N270" s="136" t="e">
        <f t="shared" si="10"/>
        <v>#N/A</v>
      </c>
      <c r="O270" s="136" t="e">
        <f t="shared" si="11"/>
        <v>#N/A</v>
      </c>
    </row>
    <row r="271" spans="1:15" ht="22" customHeight="1" x14ac:dyDescent="0.35">
      <c r="A271" s="136">
        <v>227</v>
      </c>
      <c r="B271" s="165" t="str">
        <f>IF($A271&gt;MIN($A$10,$A$2),"",INDEX(DemoHistory[Date],$A271))</f>
        <v/>
      </c>
      <c r="C271" s="166" t="str">
        <f>IF(OR($A271&gt;MIN($A$10,$A$2),$A$5=""),"",INDEX(DemoHistory[],$A271,MATCH($A$5,DemoHistory[#Headers],0)))</f>
        <v/>
      </c>
      <c r="D271" s="166" t="str">
        <f>IF($A271&gt;MIN($A$10,$A$2),"",IF(AND($A$12,$A$6=1,B271&lt;$A$7,$A$7&lt;=MAX(DemoHistory[Date])),$A$8,1))</f>
        <v/>
      </c>
      <c r="E271" s="166" t="str">
        <f t="shared" si="9"/>
        <v/>
      </c>
      <c r="F271" s="166" t="str">
        <f>IF($A271&gt;MIN($A$10,$A$2),"",IF($A271&lt;50,"n.a.",IF(COUNT(INDEX(StockDaily[Adjusted close],MAX(1,$A271-50+1)):E271)=50,AVERAGE(INDEX(StockDaily[Adjusted close],MAX(1,$A271-50+1)):E271),"n.a.")))</f>
        <v/>
      </c>
      <c r="G271" s="166" t="str">
        <f>IF($A271&gt;MIN($A$10,$A$2),"",IF($A271&lt;200,"n.a.",IF(COUNT(INDEX(StockDaily[Adjusted close],MAX(1,$A271-200+1)):E271)=200,AVERAGE(INDEX(StockDaily[Adjusted close],MAX(1,$A271-200+1)):E271),"n.a.")))</f>
        <v/>
      </c>
      <c r="H271" s="136" t="str">
        <f>IF($A271&gt;MIN($A$10,$A$2),"",IF($A$5="","Choose stock",IF(NOT($A$12),"Check split rule",IF(NOT(ISNUMBER(B271)),"Invalid date",IF(OR(B271&lt;=0,B271&lt;&gt;INT(B271)),"Invalid date",IF(COUNTIFS(DemoHistory[Date],B271)&lt;&gt;1,"Duplicate date",IF(AND($A271&gt;1,B271&lt;=B270),"Dates out of order",IF(NOT(ISNUMBER(C271)),"Missing price",IF(C271&lt;=0,"Nonpositive price","OK")))))))))</f>
        <v/>
      </c>
      <c r="I271" s="136"/>
      <c r="J271" s="136"/>
      <c r="K271" s="136"/>
      <c r="L271" s="136"/>
      <c r="M271" s="136"/>
      <c r="N271" s="136" t="e">
        <f t="shared" si="10"/>
        <v>#N/A</v>
      </c>
      <c r="O271" s="136" t="e">
        <f t="shared" si="11"/>
        <v>#N/A</v>
      </c>
    </row>
    <row r="272" spans="1:15" ht="22" customHeight="1" x14ac:dyDescent="0.35">
      <c r="A272" s="136">
        <v>228</v>
      </c>
      <c r="B272" s="165" t="str">
        <f>IF($A272&gt;MIN($A$10,$A$2),"",INDEX(DemoHistory[Date],$A272))</f>
        <v/>
      </c>
      <c r="C272" s="166" t="str">
        <f>IF(OR($A272&gt;MIN($A$10,$A$2),$A$5=""),"",INDEX(DemoHistory[],$A272,MATCH($A$5,DemoHistory[#Headers],0)))</f>
        <v/>
      </c>
      <c r="D272" s="166" t="str">
        <f>IF($A272&gt;MIN($A$10,$A$2),"",IF(AND($A$12,$A$6=1,B272&lt;$A$7,$A$7&lt;=MAX(DemoHistory[Date])),$A$8,1))</f>
        <v/>
      </c>
      <c r="E272" s="166" t="str">
        <f t="shared" si="9"/>
        <v/>
      </c>
      <c r="F272" s="166" t="str">
        <f>IF($A272&gt;MIN($A$10,$A$2),"",IF($A272&lt;50,"n.a.",IF(COUNT(INDEX(StockDaily[Adjusted close],MAX(1,$A272-50+1)):E272)=50,AVERAGE(INDEX(StockDaily[Adjusted close],MAX(1,$A272-50+1)):E272),"n.a.")))</f>
        <v/>
      </c>
      <c r="G272" s="166" t="str">
        <f>IF($A272&gt;MIN($A$10,$A$2),"",IF($A272&lt;200,"n.a.",IF(COUNT(INDEX(StockDaily[Adjusted close],MAX(1,$A272-200+1)):E272)=200,AVERAGE(INDEX(StockDaily[Adjusted close],MAX(1,$A272-200+1)):E272),"n.a.")))</f>
        <v/>
      </c>
      <c r="H272" s="136" t="str">
        <f>IF($A272&gt;MIN($A$10,$A$2),"",IF($A$5="","Choose stock",IF(NOT($A$12),"Check split rule",IF(NOT(ISNUMBER(B272)),"Invalid date",IF(OR(B272&lt;=0,B272&lt;&gt;INT(B272)),"Invalid date",IF(COUNTIFS(DemoHistory[Date],B272)&lt;&gt;1,"Duplicate date",IF(AND($A272&gt;1,B272&lt;=B271),"Dates out of order",IF(NOT(ISNUMBER(C272)),"Missing price",IF(C272&lt;=0,"Nonpositive price","OK")))))))))</f>
        <v/>
      </c>
      <c r="I272" s="136"/>
      <c r="J272" s="136"/>
      <c r="K272" s="136"/>
      <c r="L272" s="136"/>
      <c r="M272" s="136"/>
      <c r="N272" s="136" t="e">
        <f t="shared" si="10"/>
        <v>#N/A</v>
      </c>
      <c r="O272" s="136" t="e">
        <f t="shared" si="11"/>
        <v>#N/A</v>
      </c>
    </row>
    <row r="273" spans="1:15" ht="22" customHeight="1" x14ac:dyDescent="0.35">
      <c r="A273" s="136">
        <v>229</v>
      </c>
      <c r="B273" s="165" t="str">
        <f>IF($A273&gt;MIN($A$10,$A$2),"",INDEX(DemoHistory[Date],$A273))</f>
        <v/>
      </c>
      <c r="C273" s="166" t="str">
        <f>IF(OR($A273&gt;MIN($A$10,$A$2),$A$5=""),"",INDEX(DemoHistory[],$A273,MATCH($A$5,DemoHistory[#Headers],0)))</f>
        <v/>
      </c>
      <c r="D273" s="166" t="str">
        <f>IF($A273&gt;MIN($A$10,$A$2),"",IF(AND($A$12,$A$6=1,B273&lt;$A$7,$A$7&lt;=MAX(DemoHistory[Date])),$A$8,1))</f>
        <v/>
      </c>
      <c r="E273" s="166" t="str">
        <f t="shared" si="9"/>
        <v/>
      </c>
      <c r="F273" s="166" t="str">
        <f>IF($A273&gt;MIN($A$10,$A$2),"",IF($A273&lt;50,"n.a.",IF(COUNT(INDEX(StockDaily[Adjusted close],MAX(1,$A273-50+1)):E273)=50,AVERAGE(INDEX(StockDaily[Adjusted close],MAX(1,$A273-50+1)):E273),"n.a.")))</f>
        <v/>
      </c>
      <c r="G273" s="166" t="str">
        <f>IF($A273&gt;MIN($A$10,$A$2),"",IF($A273&lt;200,"n.a.",IF(COUNT(INDEX(StockDaily[Adjusted close],MAX(1,$A273-200+1)):E273)=200,AVERAGE(INDEX(StockDaily[Adjusted close],MAX(1,$A273-200+1)):E273),"n.a.")))</f>
        <v/>
      </c>
      <c r="H273" s="136" t="str">
        <f>IF($A273&gt;MIN($A$10,$A$2),"",IF($A$5="","Choose stock",IF(NOT($A$12),"Check split rule",IF(NOT(ISNUMBER(B273)),"Invalid date",IF(OR(B273&lt;=0,B273&lt;&gt;INT(B273)),"Invalid date",IF(COUNTIFS(DemoHistory[Date],B273)&lt;&gt;1,"Duplicate date",IF(AND($A273&gt;1,B273&lt;=B272),"Dates out of order",IF(NOT(ISNUMBER(C273)),"Missing price",IF(C273&lt;=0,"Nonpositive price","OK")))))))))</f>
        <v/>
      </c>
      <c r="I273" s="136"/>
      <c r="J273" s="136"/>
      <c r="K273" s="136"/>
      <c r="L273" s="136"/>
      <c r="M273" s="136"/>
      <c r="N273" s="136" t="e">
        <f t="shared" si="10"/>
        <v>#N/A</v>
      </c>
      <c r="O273" s="136" t="e">
        <f t="shared" si="11"/>
        <v>#N/A</v>
      </c>
    </row>
    <row r="274" spans="1:15" ht="22" customHeight="1" x14ac:dyDescent="0.35">
      <c r="A274" s="136">
        <v>230</v>
      </c>
      <c r="B274" s="165" t="str">
        <f>IF($A274&gt;MIN($A$10,$A$2),"",INDEX(DemoHistory[Date],$A274))</f>
        <v/>
      </c>
      <c r="C274" s="166" t="str">
        <f>IF(OR($A274&gt;MIN($A$10,$A$2),$A$5=""),"",INDEX(DemoHistory[],$A274,MATCH($A$5,DemoHistory[#Headers],0)))</f>
        <v/>
      </c>
      <c r="D274" s="166" t="str">
        <f>IF($A274&gt;MIN($A$10,$A$2),"",IF(AND($A$12,$A$6=1,B274&lt;$A$7,$A$7&lt;=MAX(DemoHistory[Date])),$A$8,1))</f>
        <v/>
      </c>
      <c r="E274" s="166" t="str">
        <f t="shared" si="9"/>
        <v/>
      </c>
      <c r="F274" s="166" t="str">
        <f>IF($A274&gt;MIN($A$10,$A$2),"",IF($A274&lt;50,"n.a.",IF(COUNT(INDEX(StockDaily[Adjusted close],MAX(1,$A274-50+1)):E274)=50,AVERAGE(INDEX(StockDaily[Adjusted close],MAX(1,$A274-50+1)):E274),"n.a.")))</f>
        <v/>
      </c>
      <c r="G274" s="166" t="str">
        <f>IF($A274&gt;MIN($A$10,$A$2),"",IF($A274&lt;200,"n.a.",IF(COUNT(INDEX(StockDaily[Adjusted close],MAX(1,$A274-200+1)):E274)=200,AVERAGE(INDEX(StockDaily[Adjusted close],MAX(1,$A274-200+1)):E274),"n.a.")))</f>
        <v/>
      </c>
      <c r="H274" s="136" t="str">
        <f>IF($A274&gt;MIN($A$10,$A$2),"",IF($A$5="","Choose stock",IF(NOT($A$12),"Check split rule",IF(NOT(ISNUMBER(B274)),"Invalid date",IF(OR(B274&lt;=0,B274&lt;&gt;INT(B274)),"Invalid date",IF(COUNTIFS(DemoHistory[Date],B274)&lt;&gt;1,"Duplicate date",IF(AND($A274&gt;1,B274&lt;=B273),"Dates out of order",IF(NOT(ISNUMBER(C274)),"Missing price",IF(C274&lt;=0,"Nonpositive price","OK")))))))))</f>
        <v/>
      </c>
      <c r="I274" s="136"/>
      <c r="J274" s="136"/>
      <c r="K274" s="136"/>
      <c r="L274" s="136"/>
      <c r="M274" s="136"/>
      <c r="N274" s="136" t="e">
        <f t="shared" si="10"/>
        <v>#N/A</v>
      </c>
      <c r="O274" s="136" t="e">
        <f t="shared" si="11"/>
        <v>#N/A</v>
      </c>
    </row>
    <row r="275" spans="1:15" ht="22" customHeight="1" x14ac:dyDescent="0.35">
      <c r="A275" s="136">
        <v>231</v>
      </c>
      <c r="B275" s="165" t="str">
        <f>IF($A275&gt;MIN($A$10,$A$2),"",INDEX(DemoHistory[Date],$A275))</f>
        <v/>
      </c>
      <c r="C275" s="166" t="str">
        <f>IF(OR($A275&gt;MIN($A$10,$A$2),$A$5=""),"",INDEX(DemoHistory[],$A275,MATCH($A$5,DemoHistory[#Headers],0)))</f>
        <v/>
      </c>
      <c r="D275" s="166" t="str">
        <f>IF($A275&gt;MIN($A$10,$A$2),"",IF(AND($A$12,$A$6=1,B275&lt;$A$7,$A$7&lt;=MAX(DemoHistory[Date])),$A$8,1))</f>
        <v/>
      </c>
      <c r="E275" s="166" t="str">
        <f t="shared" si="9"/>
        <v/>
      </c>
      <c r="F275" s="166" t="str">
        <f>IF($A275&gt;MIN($A$10,$A$2),"",IF($A275&lt;50,"n.a.",IF(COUNT(INDEX(StockDaily[Adjusted close],MAX(1,$A275-50+1)):E275)=50,AVERAGE(INDEX(StockDaily[Adjusted close],MAX(1,$A275-50+1)):E275),"n.a.")))</f>
        <v/>
      </c>
      <c r="G275" s="166" t="str">
        <f>IF($A275&gt;MIN($A$10,$A$2),"",IF($A275&lt;200,"n.a.",IF(COUNT(INDEX(StockDaily[Adjusted close],MAX(1,$A275-200+1)):E275)=200,AVERAGE(INDEX(StockDaily[Adjusted close],MAX(1,$A275-200+1)):E275),"n.a.")))</f>
        <v/>
      </c>
      <c r="H275" s="136" t="str">
        <f>IF($A275&gt;MIN($A$10,$A$2),"",IF($A$5="","Choose stock",IF(NOT($A$12),"Check split rule",IF(NOT(ISNUMBER(B275)),"Invalid date",IF(OR(B275&lt;=0,B275&lt;&gt;INT(B275)),"Invalid date",IF(COUNTIFS(DemoHistory[Date],B275)&lt;&gt;1,"Duplicate date",IF(AND($A275&gt;1,B275&lt;=B274),"Dates out of order",IF(NOT(ISNUMBER(C275)),"Missing price",IF(C275&lt;=0,"Nonpositive price","OK")))))))))</f>
        <v/>
      </c>
      <c r="I275" s="136"/>
      <c r="J275" s="136"/>
      <c r="K275" s="136"/>
      <c r="L275" s="136"/>
      <c r="M275" s="136"/>
      <c r="N275" s="136" t="e">
        <f t="shared" si="10"/>
        <v>#N/A</v>
      </c>
      <c r="O275" s="136" t="e">
        <f t="shared" si="11"/>
        <v>#N/A</v>
      </c>
    </row>
    <row r="276" spans="1:15" ht="22" customHeight="1" x14ac:dyDescent="0.35">
      <c r="A276" s="136">
        <v>232</v>
      </c>
      <c r="B276" s="165" t="str">
        <f>IF($A276&gt;MIN($A$10,$A$2),"",INDEX(DemoHistory[Date],$A276))</f>
        <v/>
      </c>
      <c r="C276" s="166" t="str">
        <f>IF(OR($A276&gt;MIN($A$10,$A$2),$A$5=""),"",INDEX(DemoHistory[],$A276,MATCH($A$5,DemoHistory[#Headers],0)))</f>
        <v/>
      </c>
      <c r="D276" s="166" t="str">
        <f>IF($A276&gt;MIN($A$10,$A$2),"",IF(AND($A$12,$A$6=1,B276&lt;$A$7,$A$7&lt;=MAX(DemoHistory[Date])),$A$8,1))</f>
        <v/>
      </c>
      <c r="E276" s="166" t="str">
        <f t="shared" si="9"/>
        <v/>
      </c>
      <c r="F276" s="166" t="str">
        <f>IF($A276&gt;MIN($A$10,$A$2),"",IF($A276&lt;50,"n.a.",IF(COUNT(INDEX(StockDaily[Adjusted close],MAX(1,$A276-50+1)):E276)=50,AVERAGE(INDEX(StockDaily[Adjusted close],MAX(1,$A276-50+1)):E276),"n.a.")))</f>
        <v/>
      </c>
      <c r="G276" s="166" t="str">
        <f>IF($A276&gt;MIN($A$10,$A$2),"",IF($A276&lt;200,"n.a.",IF(COUNT(INDEX(StockDaily[Adjusted close],MAX(1,$A276-200+1)):E276)=200,AVERAGE(INDEX(StockDaily[Adjusted close],MAX(1,$A276-200+1)):E276),"n.a.")))</f>
        <v/>
      </c>
      <c r="H276" s="136" t="str">
        <f>IF($A276&gt;MIN($A$10,$A$2),"",IF($A$5="","Choose stock",IF(NOT($A$12),"Check split rule",IF(NOT(ISNUMBER(B276)),"Invalid date",IF(OR(B276&lt;=0,B276&lt;&gt;INT(B276)),"Invalid date",IF(COUNTIFS(DemoHistory[Date],B276)&lt;&gt;1,"Duplicate date",IF(AND($A276&gt;1,B276&lt;=B275),"Dates out of order",IF(NOT(ISNUMBER(C276)),"Missing price",IF(C276&lt;=0,"Nonpositive price","OK")))))))))</f>
        <v/>
      </c>
      <c r="I276" s="136"/>
      <c r="J276" s="136"/>
      <c r="K276" s="136"/>
      <c r="L276" s="136"/>
      <c r="M276" s="136"/>
      <c r="N276" s="136" t="e">
        <f t="shared" si="10"/>
        <v>#N/A</v>
      </c>
      <c r="O276" s="136" t="e">
        <f t="shared" si="11"/>
        <v>#N/A</v>
      </c>
    </row>
    <row r="277" spans="1:15" ht="22" customHeight="1" x14ac:dyDescent="0.35">
      <c r="A277" s="136">
        <v>233</v>
      </c>
      <c r="B277" s="165" t="str">
        <f>IF($A277&gt;MIN($A$10,$A$2),"",INDEX(DemoHistory[Date],$A277))</f>
        <v/>
      </c>
      <c r="C277" s="166" t="str">
        <f>IF(OR($A277&gt;MIN($A$10,$A$2),$A$5=""),"",INDEX(DemoHistory[],$A277,MATCH($A$5,DemoHistory[#Headers],0)))</f>
        <v/>
      </c>
      <c r="D277" s="166" t="str">
        <f>IF($A277&gt;MIN($A$10,$A$2),"",IF(AND($A$12,$A$6=1,B277&lt;$A$7,$A$7&lt;=MAX(DemoHistory[Date])),$A$8,1))</f>
        <v/>
      </c>
      <c r="E277" s="166" t="str">
        <f t="shared" si="9"/>
        <v/>
      </c>
      <c r="F277" s="166" t="str">
        <f>IF($A277&gt;MIN($A$10,$A$2),"",IF($A277&lt;50,"n.a.",IF(COUNT(INDEX(StockDaily[Adjusted close],MAX(1,$A277-50+1)):E277)=50,AVERAGE(INDEX(StockDaily[Adjusted close],MAX(1,$A277-50+1)):E277),"n.a.")))</f>
        <v/>
      </c>
      <c r="G277" s="166" t="str">
        <f>IF($A277&gt;MIN($A$10,$A$2),"",IF($A277&lt;200,"n.a.",IF(COUNT(INDEX(StockDaily[Adjusted close],MAX(1,$A277-200+1)):E277)=200,AVERAGE(INDEX(StockDaily[Adjusted close],MAX(1,$A277-200+1)):E277),"n.a.")))</f>
        <v/>
      </c>
      <c r="H277" s="136" t="str">
        <f>IF($A277&gt;MIN($A$10,$A$2),"",IF($A$5="","Choose stock",IF(NOT($A$12),"Check split rule",IF(NOT(ISNUMBER(B277)),"Invalid date",IF(OR(B277&lt;=0,B277&lt;&gt;INT(B277)),"Invalid date",IF(COUNTIFS(DemoHistory[Date],B277)&lt;&gt;1,"Duplicate date",IF(AND($A277&gt;1,B277&lt;=B276),"Dates out of order",IF(NOT(ISNUMBER(C277)),"Missing price",IF(C277&lt;=0,"Nonpositive price","OK")))))))))</f>
        <v/>
      </c>
      <c r="I277" s="136"/>
      <c r="J277" s="136"/>
      <c r="K277" s="136"/>
      <c r="L277" s="136"/>
      <c r="M277" s="136"/>
      <c r="N277" s="136" t="e">
        <f t="shared" si="10"/>
        <v>#N/A</v>
      </c>
      <c r="O277" s="136" t="e">
        <f t="shared" si="11"/>
        <v>#N/A</v>
      </c>
    </row>
    <row r="278" spans="1:15" ht="22" customHeight="1" x14ac:dyDescent="0.35">
      <c r="A278" s="136">
        <v>234</v>
      </c>
      <c r="B278" s="165" t="str">
        <f>IF($A278&gt;MIN($A$10,$A$2),"",INDEX(DemoHistory[Date],$A278))</f>
        <v/>
      </c>
      <c r="C278" s="166" t="str">
        <f>IF(OR($A278&gt;MIN($A$10,$A$2),$A$5=""),"",INDEX(DemoHistory[],$A278,MATCH($A$5,DemoHistory[#Headers],0)))</f>
        <v/>
      </c>
      <c r="D278" s="166" t="str">
        <f>IF($A278&gt;MIN($A$10,$A$2),"",IF(AND($A$12,$A$6=1,B278&lt;$A$7,$A$7&lt;=MAX(DemoHistory[Date])),$A$8,1))</f>
        <v/>
      </c>
      <c r="E278" s="166" t="str">
        <f t="shared" si="9"/>
        <v/>
      </c>
      <c r="F278" s="166" t="str">
        <f>IF($A278&gt;MIN($A$10,$A$2),"",IF($A278&lt;50,"n.a.",IF(COUNT(INDEX(StockDaily[Adjusted close],MAX(1,$A278-50+1)):E278)=50,AVERAGE(INDEX(StockDaily[Adjusted close],MAX(1,$A278-50+1)):E278),"n.a.")))</f>
        <v/>
      </c>
      <c r="G278" s="166" t="str">
        <f>IF($A278&gt;MIN($A$10,$A$2),"",IF($A278&lt;200,"n.a.",IF(COUNT(INDEX(StockDaily[Adjusted close],MAX(1,$A278-200+1)):E278)=200,AVERAGE(INDEX(StockDaily[Adjusted close],MAX(1,$A278-200+1)):E278),"n.a.")))</f>
        <v/>
      </c>
      <c r="H278" s="136" t="str">
        <f>IF($A278&gt;MIN($A$10,$A$2),"",IF($A$5="","Choose stock",IF(NOT($A$12),"Check split rule",IF(NOT(ISNUMBER(B278)),"Invalid date",IF(OR(B278&lt;=0,B278&lt;&gt;INT(B278)),"Invalid date",IF(COUNTIFS(DemoHistory[Date],B278)&lt;&gt;1,"Duplicate date",IF(AND($A278&gt;1,B278&lt;=B277),"Dates out of order",IF(NOT(ISNUMBER(C278)),"Missing price",IF(C278&lt;=0,"Nonpositive price","OK")))))))))</f>
        <v/>
      </c>
      <c r="I278" s="136"/>
      <c r="J278" s="136"/>
      <c r="K278" s="136"/>
      <c r="L278" s="136"/>
      <c r="M278" s="136"/>
      <c r="N278" s="136" t="e">
        <f t="shared" si="10"/>
        <v>#N/A</v>
      </c>
      <c r="O278" s="136" t="e">
        <f t="shared" si="11"/>
        <v>#N/A</v>
      </c>
    </row>
    <row r="279" spans="1:15" ht="22" customHeight="1" x14ac:dyDescent="0.35">
      <c r="A279" s="136">
        <v>235</v>
      </c>
      <c r="B279" s="165" t="str">
        <f>IF($A279&gt;MIN($A$10,$A$2),"",INDEX(DemoHistory[Date],$A279))</f>
        <v/>
      </c>
      <c r="C279" s="166" t="str">
        <f>IF(OR($A279&gt;MIN($A$10,$A$2),$A$5=""),"",INDEX(DemoHistory[],$A279,MATCH($A$5,DemoHistory[#Headers],0)))</f>
        <v/>
      </c>
      <c r="D279" s="166" t="str">
        <f>IF($A279&gt;MIN($A$10,$A$2),"",IF(AND($A$12,$A$6=1,B279&lt;$A$7,$A$7&lt;=MAX(DemoHistory[Date])),$A$8,1))</f>
        <v/>
      </c>
      <c r="E279" s="166" t="str">
        <f t="shared" si="9"/>
        <v/>
      </c>
      <c r="F279" s="166" t="str">
        <f>IF($A279&gt;MIN($A$10,$A$2),"",IF($A279&lt;50,"n.a.",IF(COUNT(INDEX(StockDaily[Adjusted close],MAX(1,$A279-50+1)):E279)=50,AVERAGE(INDEX(StockDaily[Adjusted close],MAX(1,$A279-50+1)):E279),"n.a.")))</f>
        <v/>
      </c>
      <c r="G279" s="166" t="str">
        <f>IF($A279&gt;MIN($A$10,$A$2),"",IF($A279&lt;200,"n.a.",IF(COUNT(INDEX(StockDaily[Adjusted close],MAX(1,$A279-200+1)):E279)=200,AVERAGE(INDEX(StockDaily[Adjusted close],MAX(1,$A279-200+1)):E279),"n.a.")))</f>
        <v/>
      </c>
      <c r="H279" s="136" t="str">
        <f>IF($A279&gt;MIN($A$10,$A$2),"",IF($A$5="","Choose stock",IF(NOT($A$12),"Check split rule",IF(NOT(ISNUMBER(B279)),"Invalid date",IF(OR(B279&lt;=0,B279&lt;&gt;INT(B279)),"Invalid date",IF(COUNTIFS(DemoHistory[Date],B279)&lt;&gt;1,"Duplicate date",IF(AND($A279&gt;1,B279&lt;=B278),"Dates out of order",IF(NOT(ISNUMBER(C279)),"Missing price",IF(C279&lt;=0,"Nonpositive price","OK")))))))))</f>
        <v/>
      </c>
      <c r="I279" s="136"/>
      <c r="J279" s="136"/>
      <c r="K279" s="136"/>
      <c r="L279" s="136"/>
      <c r="M279" s="136"/>
      <c r="N279" s="136" t="e">
        <f t="shared" si="10"/>
        <v>#N/A</v>
      </c>
      <c r="O279" s="136" t="e">
        <f t="shared" si="11"/>
        <v>#N/A</v>
      </c>
    </row>
    <row r="280" spans="1:15" ht="22" customHeight="1" x14ac:dyDescent="0.35">
      <c r="A280" s="136">
        <v>236</v>
      </c>
      <c r="B280" s="165" t="str">
        <f>IF($A280&gt;MIN($A$10,$A$2),"",INDEX(DemoHistory[Date],$A280))</f>
        <v/>
      </c>
      <c r="C280" s="166" t="str">
        <f>IF(OR($A280&gt;MIN($A$10,$A$2),$A$5=""),"",INDEX(DemoHistory[],$A280,MATCH($A$5,DemoHistory[#Headers],0)))</f>
        <v/>
      </c>
      <c r="D280" s="166" t="str">
        <f>IF($A280&gt;MIN($A$10,$A$2),"",IF(AND($A$12,$A$6=1,B280&lt;$A$7,$A$7&lt;=MAX(DemoHistory[Date])),$A$8,1))</f>
        <v/>
      </c>
      <c r="E280" s="166" t="str">
        <f t="shared" si="9"/>
        <v/>
      </c>
      <c r="F280" s="166" t="str">
        <f>IF($A280&gt;MIN($A$10,$A$2),"",IF($A280&lt;50,"n.a.",IF(COUNT(INDEX(StockDaily[Adjusted close],MAX(1,$A280-50+1)):E280)=50,AVERAGE(INDEX(StockDaily[Adjusted close],MAX(1,$A280-50+1)):E280),"n.a.")))</f>
        <v/>
      </c>
      <c r="G280" s="166" t="str">
        <f>IF($A280&gt;MIN($A$10,$A$2),"",IF($A280&lt;200,"n.a.",IF(COUNT(INDEX(StockDaily[Adjusted close],MAX(1,$A280-200+1)):E280)=200,AVERAGE(INDEX(StockDaily[Adjusted close],MAX(1,$A280-200+1)):E280),"n.a.")))</f>
        <v/>
      </c>
      <c r="H280" s="136" t="str">
        <f>IF($A280&gt;MIN($A$10,$A$2),"",IF($A$5="","Choose stock",IF(NOT($A$12),"Check split rule",IF(NOT(ISNUMBER(B280)),"Invalid date",IF(OR(B280&lt;=0,B280&lt;&gt;INT(B280)),"Invalid date",IF(COUNTIFS(DemoHistory[Date],B280)&lt;&gt;1,"Duplicate date",IF(AND($A280&gt;1,B280&lt;=B279),"Dates out of order",IF(NOT(ISNUMBER(C280)),"Missing price",IF(C280&lt;=0,"Nonpositive price","OK")))))))))</f>
        <v/>
      </c>
      <c r="I280" s="136"/>
      <c r="J280" s="136"/>
      <c r="K280" s="136"/>
      <c r="L280" s="136"/>
      <c r="M280" s="136"/>
      <c r="N280" s="136" t="e">
        <f t="shared" si="10"/>
        <v>#N/A</v>
      </c>
      <c r="O280" s="136" t="e">
        <f t="shared" si="11"/>
        <v>#N/A</v>
      </c>
    </row>
    <row r="281" spans="1:15" ht="22" customHeight="1" x14ac:dyDescent="0.35">
      <c r="A281" s="136">
        <v>237</v>
      </c>
      <c r="B281" s="165" t="str">
        <f>IF($A281&gt;MIN($A$10,$A$2),"",INDEX(DemoHistory[Date],$A281))</f>
        <v/>
      </c>
      <c r="C281" s="166" t="str">
        <f>IF(OR($A281&gt;MIN($A$10,$A$2),$A$5=""),"",INDEX(DemoHistory[],$A281,MATCH($A$5,DemoHistory[#Headers],0)))</f>
        <v/>
      </c>
      <c r="D281" s="166" t="str">
        <f>IF($A281&gt;MIN($A$10,$A$2),"",IF(AND($A$12,$A$6=1,B281&lt;$A$7,$A$7&lt;=MAX(DemoHistory[Date])),$A$8,1))</f>
        <v/>
      </c>
      <c r="E281" s="166" t="str">
        <f t="shared" si="9"/>
        <v/>
      </c>
      <c r="F281" s="166" t="str">
        <f>IF($A281&gt;MIN($A$10,$A$2),"",IF($A281&lt;50,"n.a.",IF(COUNT(INDEX(StockDaily[Adjusted close],MAX(1,$A281-50+1)):E281)=50,AVERAGE(INDEX(StockDaily[Adjusted close],MAX(1,$A281-50+1)):E281),"n.a.")))</f>
        <v/>
      </c>
      <c r="G281" s="166" t="str">
        <f>IF($A281&gt;MIN($A$10,$A$2),"",IF($A281&lt;200,"n.a.",IF(COUNT(INDEX(StockDaily[Adjusted close],MAX(1,$A281-200+1)):E281)=200,AVERAGE(INDEX(StockDaily[Adjusted close],MAX(1,$A281-200+1)):E281),"n.a.")))</f>
        <v/>
      </c>
      <c r="H281" s="136" t="str">
        <f>IF($A281&gt;MIN($A$10,$A$2),"",IF($A$5="","Choose stock",IF(NOT($A$12),"Check split rule",IF(NOT(ISNUMBER(B281)),"Invalid date",IF(OR(B281&lt;=0,B281&lt;&gt;INT(B281)),"Invalid date",IF(COUNTIFS(DemoHistory[Date],B281)&lt;&gt;1,"Duplicate date",IF(AND($A281&gt;1,B281&lt;=B280),"Dates out of order",IF(NOT(ISNUMBER(C281)),"Missing price",IF(C281&lt;=0,"Nonpositive price","OK")))))))))</f>
        <v/>
      </c>
      <c r="I281" s="136"/>
      <c r="J281" s="136"/>
      <c r="K281" s="136"/>
      <c r="L281" s="136"/>
      <c r="M281" s="136"/>
      <c r="N281" s="136" t="e">
        <f t="shared" si="10"/>
        <v>#N/A</v>
      </c>
      <c r="O281" s="136" t="e">
        <f t="shared" si="11"/>
        <v>#N/A</v>
      </c>
    </row>
    <row r="282" spans="1:15" ht="22" customHeight="1" x14ac:dyDescent="0.35">
      <c r="A282" s="136">
        <v>238</v>
      </c>
      <c r="B282" s="165" t="str">
        <f>IF($A282&gt;MIN($A$10,$A$2),"",INDEX(DemoHistory[Date],$A282))</f>
        <v/>
      </c>
      <c r="C282" s="166" t="str">
        <f>IF(OR($A282&gt;MIN($A$10,$A$2),$A$5=""),"",INDEX(DemoHistory[],$A282,MATCH($A$5,DemoHistory[#Headers],0)))</f>
        <v/>
      </c>
      <c r="D282" s="166" t="str">
        <f>IF($A282&gt;MIN($A$10,$A$2),"",IF(AND($A$12,$A$6=1,B282&lt;$A$7,$A$7&lt;=MAX(DemoHistory[Date])),$A$8,1))</f>
        <v/>
      </c>
      <c r="E282" s="166" t="str">
        <f t="shared" si="9"/>
        <v/>
      </c>
      <c r="F282" s="166" t="str">
        <f>IF($A282&gt;MIN($A$10,$A$2),"",IF($A282&lt;50,"n.a.",IF(COUNT(INDEX(StockDaily[Adjusted close],MAX(1,$A282-50+1)):E282)=50,AVERAGE(INDEX(StockDaily[Adjusted close],MAX(1,$A282-50+1)):E282),"n.a.")))</f>
        <v/>
      </c>
      <c r="G282" s="166" t="str">
        <f>IF($A282&gt;MIN($A$10,$A$2),"",IF($A282&lt;200,"n.a.",IF(COUNT(INDEX(StockDaily[Adjusted close],MAX(1,$A282-200+1)):E282)=200,AVERAGE(INDEX(StockDaily[Adjusted close],MAX(1,$A282-200+1)):E282),"n.a.")))</f>
        <v/>
      </c>
      <c r="H282" s="136" t="str">
        <f>IF($A282&gt;MIN($A$10,$A$2),"",IF($A$5="","Choose stock",IF(NOT($A$12),"Check split rule",IF(NOT(ISNUMBER(B282)),"Invalid date",IF(OR(B282&lt;=0,B282&lt;&gt;INT(B282)),"Invalid date",IF(COUNTIFS(DemoHistory[Date],B282)&lt;&gt;1,"Duplicate date",IF(AND($A282&gt;1,B282&lt;=B281),"Dates out of order",IF(NOT(ISNUMBER(C282)),"Missing price",IF(C282&lt;=0,"Nonpositive price","OK")))))))))</f>
        <v/>
      </c>
      <c r="I282" s="136"/>
      <c r="J282" s="136"/>
      <c r="K282" s="136"/>
      <c r="L282" s="136"/>
      <c r="M282" s="136"/>
      <c r="N282" s="136" t="e">
        <f t="shared" si="10"/>
        <v>#N/A</v>
      </c>
      <c r="O282" s="136" t="e">
        <f t="shared" si="11"/>
        <v>#N/A</v>
      </c>
    </row>
    <row r="283" spans="1:15" ht="22" customHeight="1" x14ac:dyDescent="0.35">
      <c r="A283" s="136">
        <v>239</v>
      </c>
      <c r="B283" s="165" t="str">
        <f>IF($A283&gt;MIN($A$10,$A$2),"",INDEX(DemoHistory[Date],$A283))</f>
        <v/>
      </c>
      <c r="C283" s="166" t="str">
        <f>IF(OR($A283&gt;MIN($A$10,$A$2),$A$5=""),"",INDEX(DemoHistory[],$A283,MATCH($A$5,DemoHistory[#Headers],0)))</f>
        <v/>
      </c>
      <c r="D283" s="166" t="str">
        <f>IF($A283&gt;MIN($A$10,$A$2),"",IF(AND($A$12,$A$6=1,B283&lt;$A$7,$A$7&lt;=MAX(DemoHistory[Date])),$A$8,1))</f>
        <v/>
      </c>
      <c r="E283" s="166" t="str">
        <f t="shared" si="9"/>
        <v/>
      </c>
      <c r="F283" s="166" t="str">
        <f>IF($A283&gt;MIN($A$10,$A$2),"",IF($A283&lt;50,"n.a.",IF(COUNT(INDEX(StockDaily[Adjusted close],MAX(1,$A283-50+1)):E283)=50,AVERAGE(INDEX(StockDaily[Adjusted close],MAX(1,$A283-50+1)):E283),"n.a.")))</f>
        <v/>
      </c>
      <c r="G283" s="166" t="str">
        <f>IF($A283&gt;MIN($A$10,$A$2),"",IF($A283&lt;200,"n.a.",IF(COUNT(INDEX(StockDaily[Adjusted close],MAX(1,$A283-200+1)):E283)=200,AVERAGE(INDEX(StockDaily[Adjusted close],MAX(1,$A283-200+1)):E283),"n.a.")))</f>
        <v/>
      </c>
      <c r="H283" s="136" t="str">
        <f>IF($A283&gt;MIN($A$10,$A$2),"",IF($A$5="","Choose stock",IF(NOT($A$12),"Check split rule",IF(NOT(ISNUMBER(B283)),"Invalid date",IF(OR(B283&lt;=0,B283&lt;&gt;INT(B283)),"Invalid date",IF(COUNTIFS(DemoHistory[Date],B283)&lt;&gt;1,"Duplicate date",IF(AND($A283&gt;1,B283&lt;=B282),"Dates out of order",IF(NOT(ISNUMBER(C283)),"Missing price",IF(C283&lt;=0,"Nonpositive price","OK")))))))))</f>
        <v/>
      </c>
      <c r="I283" s="136"/>
      <c r="J283" s="136"/>
      <c r="K283" s="136"/>
      <c r="L283" s="136"/>
      <c r="M283" s="136"/>
      <c r="N283" s="136" t="e">
        <f t="shared" si="10"/>
        <v>#N/A</v>
      </c>
      <c r="O283" s="136" t="e">
        <f t="shared" si="11"/>
        <v>#N/A</v>
      </c>
    </row>
    <row r="284" spans="1:15" ht="22" customHeight="1" x14ac:dyDescent="0.35">
      <c r="A284" s="136">
        <v>240</v>
      </c>
      <c r="B284" s="165" t="str">
        <f>IF($A284&gt;MIN($A$10,$A$2),"",INDEX(DemoHistory[Date],$A284))</f>
        <v/>
      </c>
      <c r="C284" s="166" t="str">
        <f>IF(OR($A284&gt;MIN($A$10,$A$2),$A$5=""),"",INDEX(DemoHistory[],$A284,MATCH($A$5,DemoHistory[#Headers],0)))</f>
        <v/>
      </c>
      <c r="D284" s="166" t="str">
        <f>IF($A284&gt;MIN($A$10,$A$2),"",IF(AND($A$12,$A$6=1,B284&lt;$A$7,$A$7&lt;=MAX(DemoHistory[Date])),$A$8,1))</f>
        <v/>
      </c>
      <c r="E284" s="166" t="str">
        <f t="shared" si="9"/>
        <v/>
      </c>
      <c r="F284" s="166" t="str">
        <f>IF($A284&gt;MIN($A$10,$A$2),"",IF($A284&lt;50,"n.a.",IF(COUNT(INDEX(StockDaily[Adjusted close],MAX(1,$A284-50+1)):E284)=50,AVERAGE(INDEX(StockDaily[Adjusted close],MAX(1,$A284-50+1)):E284),"n.a.")))</f>
        <v/>
      </c>
      <c r="G284" s="166" t="str">
        <f>IF($A284&gt;MIN($A$10,$A$2),"",IF($A284&lt;200,"n.a.",IF(COUNT(INDEX(StockDaily[Adjusted close],MAX(1,$A284-200+1)):E284)=200,AVERAGE(INDEX(StockDaily[Adjusted close],MAX(1,$A284-200+1)):E284),"n.a.")))</f>
        <v/>
      </c>
      <c r="H284" s="136" t="str">
        <f>IF($A284&gt;MIN($A$10,$A$2),"",IF($A$5="","Choose stock",IF(NOT($A$12),"Check split rule",IF(NOT(ISNUMBER(B284)),"Invalid date",IF(OR(B284&lt;=0,B284&lt;&gt;INT(B284)),"Invalid date",IF(COUNTIFS(DemoHistory[Date],B284)&lt;&gt;1,"Duplicate date",IF(AND($A284&gt;1,B284&lt;=B283),"Dates out of order",IF(NOT(ISNUMBER(C284)),"Missing price",IF(C284&lt;=0,"Nonpositive price","OK")))))))))</f>
        <v/>
      </c>
      <c r="I284" s="136"/>
      <c r="J284" s="136"/>
      <c r="K284" s="136"/>
      <c r="L284" s="136"/>
      <c r="M284" s="136"/>
      <c r="N284" s="136" t="e">
        <f t="shared" si="10"/>
        <v>#N/A</v>
      </c>
      <c r="O284" s="136" t="e">
        <f t="shared" si="11"/>
        <v>#N/A</v>
      </c>
    </row>
    <row r="285" spans="1:15" ht="22" customHeight="1" x14ac:dyDescent="0.35">
      <c r="A285" s="136">
        <v>241</v>
      </c>
      <c r="B285" s="165" t="str">
        <f>IF($A285&gt;MIN($A$10,$A$2),"",INDEX(DemoHistory[Date],$A285))</f>
        <v/>
      </c>
      <c r="C285" s="166" t="str">
        <f>IF(OR($A285&gt;MIN($A$10,$A$2),$A$5=""),"",INDEX(DemoHistory[],$A285,MATCH($A$5,DemoHistory[#Headers],0)))</f>
        <v/>
      </c>
      <c r="D285" s="166" t="str">
        <f>IF($A285&gt;MIN($A$10,$A$2),"",IF(AND($A$12,$A$6=1,B285&lt;$A$7,$A$7&lt;=MAX(DemoHistory[Date])),$A$8,1))</f>
        <v/>
      </c>
      <c r="E285" s="166" t="str">
        <f t="shared" si="9"/>
        <v/>
      </c>
      <c r="F285" s="166" t="str">
        <f>IF($A285&gt;MIN($A$10,$A$2),"",IF($A285&lt;50,"n.a.",IF(COUNT(INDEX(StockDaily[Adjusted close],MAX(1,$A285-50+1)):E285)=50,AVERAGE(INDEX(StockDaily[Adjusted close],MAX(1,$A285-50+1)):E285),"n.a.")))</f>
        <v/>
      </c>
      <c r="G285" s="166" t="str">
        <f>IF($A285&gt;MIN($A$10,$A$2),"",IF($A285&lt;200,"n.a.",IF(COUNT(INDEX(StockDaily[Adjusted close],MAX(1,$A285-200+1)):E285)=200,AVERAGE(INDEX(StockDaily[Adjusted close],MAX(1,$A285-200+1)):E285),"n.a.")))</f>
        <v/>
      </c>
      <c r="H285" s="136" t="str">
        <f>IF($A285&gt;MIN($A$10,$A$2),"",IF($A$5="","Choose stock",IF(NOT($A$12),"Check split rule",IF(NOT(ISNUMBER(B285)),"Invalid date",IF(OR(B285&lt;=0,B285&lt;&gt;INT(B285)),"Invalid date",IF(COUNTIFS(DemoHistory[Date],B285)&lt;&gt;1,"Duplicate date",IF(AND($A285&gt;1,B285&lt;=B284),"Dates out of order",IF(NOT(ISNUMBER(C285)),"Missing price",IF(C285&lt;=0,"Nonpositive price","OK")))))))))</f>
        <v/>
      </c>
      <c r="I285" s="136"/>
      <c r="J285" s="136"/>
      <c r="K285" s="136"/>
      <c r="L285" s="136"/>
      <c r="M285" s="136"/>
      <c r="N285" s="136" t="e">
        <f t="shared" si="10"/>
        <v>#N/A</v>
      </c>
      <c r="O285" s="136" t="e">
        <f t="shared" si="11"/>
        <v>#N/A</v>
      </c>
    </row>
    <row r="286" spans="1:15" ht="22" customHeight="1" x14ac:dyDescent="0.35">
      <c r="A286" s="136">
        <v>242</v>
      </c>
      <c r="B286" s="165" t="str">
        <f>IF($A286&gt;MIN($A$10,$A$2),"",INDEX(DemoHistory[Date],$A286))</f>
        <v/>
      </c>
      <c r="C286" s="166" t="str">
        <f>IF(OR($A286&gt;MIN($A$10,$A$2),$A$5=""),"",INDEX(DemoHistory[],$A286,MATCH($A$5,DemoHistory[#Headers],0)))</f>
        <v/>
      </c>
      <c r="D286" s="166" t="str">
        <f>IF($A286&gt;MIN($A$10,$A$2),"",IF(AND($A$12,$A$6=1,B286&lt;$A$7,$A$7&lt;=MAX(DemoHistory[Date])),$A$8,1))</f>
        <v/>
      </c>
      <c r="E286" s="166" t="str">
        <f t="shared" si="9"/>
        <v/>
      </c>
      <c r="F286" s="166" t="str">
        <f>IF($A286&gt;MIN($A$10,$A$2),"",IF($A286&lt;50,"n.a.",IF(COUNT(INDEX(StockDaily[Adjusted close],MAX(1,$A286-50+1)):E286)=50,AVERAGE(INDEX(StockDaily[Adjusted close],MAX(1,$A286-50+1)):E286),"n.a.")))</f>
        <v/>
      </c>
      <c r="G286" s="166" t="str">
        <f>IF($A286&gt;MIN($A$10,$A$2),"",IF($A286&lt;200,"n.a.",IF(COUNT(INDEX(StockDaily[Adjusted close],MAX(1,$A286-200+1)):E286)=200,AVERAGE(INDEX(StockDaily[Adjusted close],MAX(1,$A286-200+1)):E286),"n.a.")))</f>
        <v/>
      </c>
      <c r="H286" s="136" t="str">
        <f>IF($A286&gt;MIN($A$10,$A$2),"",IF($A$5="","Choose stock",IF(NOT($A$12),"Check split rule",IF(NOT(ISNUMBER(B286)),"Invalid date",IF(OR(B286&lt;=0,B286&lt;&gt;INT(B286)),"Invalid date",IF(COUNTIFS(DemoHistory[Date],B286)&lt;&gt;1,"Duplicate date",IF(AND($A286&gt;1,B286&lt;=B285),"Dates out of order",IF(NOT(ISNUMBER(C286)),"Missing price",IF(C286&lt;=0,"Nonpositive price","OK")))))))))</f>
        <v/>
      </c>
      <c r="I286" s="136"/>
      <c r="J286" s="136"/>
      <c r="K286" s="136"/>
      <c r="L286" s="136"/>
      <c r="M286" s="136"/>
      <c r="N286" s="136" t="e">
        <f t="shared" si="10"/>
        <v>#N/A</v>
      </c>
      <c r="O286" s="136" t="e">
        <f t="shared" si="11"/>
        <v>#N/A</v>
      </c>
    </row>
    <row r="287" spans="1:15" ht="22" customHeight="1" x14ac:dyDescent="0.35">
      <c r="A287" s="136">
        <v>243</v>
      </c>
      <c r="B287" s="165" t="str">
        <f>IF($A287&gt;MIN($A$10,$A$2),"",INDEX(DemoHistory[Date],$A287))</f>
        <v/>
      </c>
      <c r="C287" s="166" t="str">
        <f>IF(OR($A287&gt;MIN($A$10,$A$2),$A$5=""),"",INDEX(DemoHistory[],$A287,MATCH($A$5,DemoHistory[#Headers],0)))</f>
        <v/>
      </c>
      <c r="D287" s="166" t="str">
        <f>IF($A287&gt;MIN($A$10,$A$2),"",IF(AND($A$12,$A$6=1,B287&lt;$A$7,$A$7&lt;=MAX(DemoHistory[Date])),$A$8,1))</f>
        <v/>
      </c>
      <c r="E287" s="166" t="str">
        <f t="shared" si="9"/>
        <v/>
      </c>
      <c r="F287" s="166" t="str">
        <f>IF($A287&gt;MIN($A$10,$A$2),"",IF($A287&lt;50,"n.a.",IF(COUNT(INDEX(StockDaily[Adjusted close],MAX(1,$A287-50+1)):E287)=50,AVERAGE(INDEX(StockDaily[Adjusted close],MAX(1,$A287-50+1)):E287),"n.a.")))</f>
        <v/>
      </c>
      <c r="G287" s="166" t="str">
        <f>IF($A287&gt;MIN($A$10,$A$2),"",IF($A287&lt;200,"n.a.",IF(COUNT(INDEX(StockDaily[Adjusted close],MAX(1,$A287-200+1)):E287)=200,AVERAGE(INDEX(StockDaily[Adjusted close],MAX(1,$A287-200+1)):E287),"n.a.")))</f>
        <v/>
      </c>
      <c r="H287" s="136" t="str">
        <f>IF($A287&gt;MIN($A$10,$A$2),"",IF($A$5="","Choose stock",IF(NOT($A$12),"Check split rule",IF(NOT(ISNUMBER(B287)),"Invalid date",IF(OR(B287&lt;=0,B287&lt;&gt;INT(B287)),"Invalid date",IF(COUNTIFS(DemoHistory[Date],B287)&lt;&gt;1,"Duplicate date",IF(AND($A287&gt;1,B287&lt;=B286),"Dates out of order",IF(NOT(ISNUMBER(C287)),"Missing price",IF(C287&lt;=0,"Nonpositive price","OK")))))))))</f>
        <v/>
      </c>
      <c r="I287" s="136"/>
      <c r="J287" s="136"/>
      <c r="K287" s="136"/>
      <c r="L287" s="136"/>
      <c r="M287" s="136"/>
      <c r="N287" s="136" t="e">
        <f t="shared" si="10"/>
        <v>#N/A</v>
      </c>
      <c r="O287" s="136" t="e">
        <f t="shared" si="11"/>
        <v>#N/A</v>
      </c>
    </row>
    <row r="288" spans="1:15" ht="22" customHeight="1" x14ac:dyDescent="0.35">
      <c r="A288" s="136">
        <v>244</v>
      </c>
      <c r="B288" s="165" t="str">
        <f>IF($A288&gt;MIN($A$10,$A$2),"",INDEX(DemoHistory[Date],$A288))</f>
        <v/>
      </c>
      <c r="C288" s="166" t="str">
        <f>IF(OR($A288&gt;MIN($A$10,$A$2),$A$5=""),"",INDEX(DemoHistory[],$A288,MATCH($A$5,DemoHistory[#Headers],0)))</f>
        <v/>
      </c>
      <c r="D288" s="166" t="str">
        <f>IF($A288&gt;MIN($A$10,$A$2),"",IF(AND($A$12,$A$6=1,B288&lt;$A$7,$A$7&lt;=MAX(DemoHistory[Date])),$A$8,1))</f>
        <v/>
      </c>
      <c r="E288" s="166" t="str">
        <f t="shared" si="9"/>
        <v/>
      </c>
      <c r="F288" s="166" t="str">
        <f>IF($A288&gt;MIN($A$10,$A$2),"",IF($A288&lt;50,"n.a.",IF(COUNT(INDEX(StockDaily[Adjusted close],MAX(1,$A288-50+1)):E288)=50,AVERAGE(INDEX(StockDaily[Adjusted close],MAX(1,$A288-50+1)):E288),"n.a.")))</f>
        <v/>
      </c>
      <c r="G288" s="166" t="str">
        <f>IF($A288&gt;MIN($A$10,$A$2),"",IF($A288&lt;200,"n.a.",IF(COUNT(INDEX(StockDaily[Adjusted close],MAX(1,$A288-200+1)):E288)=200,AVERAGE(INDEX(StockDaily[Adjusted close],MAX(1,$A288-200+1)):E288),"n.a.")))</f>
        <v/>
      </c>
      <c r="H288" s="136" t="str">
        <f>IF($A288&gt;MIN($A$10,$A$2),"",IF($A$5="","Choose stock",IF(NOT($A$12),"Check split rule",IF(NOT(ISNUMBER(B288)),"Invalid date",IF(OR(B288&lt;=0,B288&lt;&gt;INT(B288)),"Invalid date",IF(COUNTIFS(DemoHistory[Date],B288)&lt;&gt;1,"Duplicate date",IF(AND($A288&gt;1,B288&lt;=B287),"Dates out of order",IF(NOT(ISNUMBER(C288)),"Missing price",IF(C288&lt;=0,"Nonpositive price","OK")))))))))</f>
        <v/>
      </c>
      <c r="I288" s="136"/>
      <c r="J288" s="136"/>
      <c r="K288" s="136"/>
      <c r="L288" s="136"/>
      <c r="M288" s="136"/>
      <c r="N288" s="136" t="e">
        <f t="shared" si="10"/>
        <v>#N/A</v>
      </c>
      <c r="O288" s="136" t="e">
        <f t="shared" si="11"/>
        <v>#N/A</v>
      </c>
    </row>
    <row r="289" spans="1:15" ht="22" customHeight="1" x14ac:dyDescent="0.35">
      <c r="A289" s="136">
        <v>245</v>
      </c>
      <c r="B289" s="165" t="str">
        <f>IF($A289&gt;MIN($A$10,$A$2),"",INDEX(DemoHistory[Date],$A289))</f>
        <v/>
      </c>
      <c r="C289" s="166" t="str">
        <f>IF(OR($A289&gt;MIN($A$10,$A$2),$A$5=""),"",INDEX(DemoHistory[],$A289,MATCH($A$5,DemoHistory[#Headers],0)))</f>
        <v/>
      </c>
      <c r="D289" s="166" t="str">
        <f>IF($A289&gt;MIN($A$10,$A$2),"",IF(AND($A$12,$A$6=1,B289&lt;$A$7,$A$7&lt;=MAX(DemoHistory[Date])),$A$8,1))</f>
        <v/>
      </c>
      <c r="E289" s="166" t="str">
        <f t="shared" si="9"/>
        <v/>
      </c>
      <c r="F289" s="166" t="str">
        <f>IF($A289&gt;MIN($A$10,$A$2),"",IF($A289&lt;50,"n.a.",IF(COUNT(INDEX(StockDaily[Adjusted close],MAX(1,$A289-50+1)):E289)=50,AVERAGE(INDEX(StockDaily[Adjusted close],MAX(1,$A289-50+1)):E289),"n.a.")))</f>
        <v/>
      </c>
      <c r="G289" s="166" t="str">
        <f>IF($A289&gt;MIN($A$10,$A$2),"",IF($A289&lt;200,"n.a.",IF(COUNT(INDEX(StockDaily[Adjusted close],MAX(1,$A289-200+1)):E289)=200,AVERAGE(INDEX(StockDaily[Adjusted close],MAX(1,$A289-200+1)):E289),"n.a.")))</f>
        <v/>
      </c>
      <c r="H289" s="136" t="str">
        <f>IF($A289&gt;MIN($A$10,$A$2),"",IF($A$5="","Choose stock",IF(NOT($A$12),"Check split rule",IF(NOT(ISNUMBER(B289)),"Invalid date",IF(OR(B289&lt;=0,B289&lt;&gt;INT(B289)),"Invalid date",IF(COUNTIFS(DemoHistory[Date],B289)&lt;&gt;1,"Duplicate date",IF(AND($A289&gt;1,B289&lt;=B288),"Dates out of order",IF(NOT(ISNUMBER(C289)),"Missing price",IF(C289&lt;=0,"Nonpositive price","OK")))))))))</f>
        <v/>
      </c>
      <c r="I289" s="136"/>
      <c r="J289" s="136"/>
      <c r="K289" s="136"/>
      <c r="L289" s="136"/>
      <c r="M289" s="136"/>
      <c r="N289" s="136" t="e">
        <f t="shared" si="10"/>
        <v>#N/A</v>
      </c>
      <c r="O289" s="136" t="e">
        <f t="shared" si="11"/>
        <v>#N/A</v>
      </c>
    </row>
    <row r="290" spans="1:15" ht="22" customHeight="1" x14ac:dyDescent="0.35">
      <c r="A290" s="136">
        <v>246</v>
      </c>
      <c r="B290" s="165" t="str">
        <f>IF($A290&gt;MIN($A$10,$A$2),"",INDEX(DemoHistory[Date],$A290))</f>
        <v/>
      </c>
      <c r="C290" s="166" t="str">
        <f>IF(OR($A290&gt;MIN($A$10,$A$2),$A$5=""),"",INDEX(DemoHistory[],$A290,MATCH($A$5,DemoHistory[#Headers],0)))</f>
        <v/>
      </c>
      <c r="D290" s="166" t="str">
        <f>IF($A290&gt;MIN($A$10,$A$2),"",IF(AND($A$12,$A$6=1,B290&lt;$A$7,$A$7&lt;=MAX(DemoHistory[Date])),$A$8,1))</f>
        <v/>
      </c>
      <c r="E290" s="166" t="str">
        <f t="shared" si="9"/>
        <v/>
      </c>
      <c r="F290" s="166" t="str">
        <f>IF($A290&gt;MIN($A$10,$A$2),"",IF($A290&lt;50,"n.a.",IF(COUNT(INDEX(StockDaily[Adjusted close],MAX(1,$A290-50+1)):E290)=50,AVERAGE(INDEX(StockDaily[Adjusted close],MAX(1,$A290-50+1)):E290),"n.a.")))</f>
        <v/>
      </c>
      <c r="G290" s="166" t="str">
        <f>IF($A290&gt;MIN($A$10,$A$2),"",IF($A290&lt;200,"n.a.",IF(COUNT(INDEX(StockDaily[Adjusted close],MAX(1,$A290-200+1)):E290)=200,AVERAGE(INDEX(StockDaily[Adjusted close],MAX(1,$A290-200+1)):E290),"n.a.")))</f>
        <v/>
      </c>
      <c r="H290" s="136" t="str">
        <f>IF($A290&gt;MIN($A$10,$A$2),"",IF($A$5="","Choose stock",IF(NOT($A$12),"Check split rule",IF(NOT(ISNUMBER(B290)),"Invalid date",IF(OR(B290&lt;=0,B290&lt;&gt;INT(B290)),"Invalid date",IF(COUNTIFS(DemoHistory[Date],B290)&lt;&gt;1,"Duplicate date",IF(AND($A290&gt;1,B290&lt;=B289),"Dates out of order",IF(NOT(ISNUMBER(C290)),"Missing price",IF(C290&lt;=0,"Nonpositive price","OK")))))))))</f>
        <v/>
      </c>
      <c r="I290" s="136"/>
      <c r="J290" s="136"/>
      <c r="K290" s="136"/>
      <c r="L290" s="136"/>
      <c r="M290" s="136"/>
      <c r="N290" s="136" t="e">
        <f t="shared" si="10"/>
        <v>#N/A</v>
      </c>
      <c r="O290" s="136" t="e">
        <f t="shared" si="11"/>
        <v>#N/A</v>
      </c>
    </row>
    <row r="291" spans="1:15" ht="22" customHeight="1" x14ac:dyDescent="0.35">
      <c r="A291" s="136">
        <v>247</v>
      </c>
      <c r="B291" s="165" t="str">
        <f>IF($A291&gt;MIN($A$10,$A$2),"",INDEX(DemoHistory[Date],$A291))</f>
        <v/>
      </c>
      <c r="C291" s="166" t="str">
        <f>IF(OR($A291&gt;MIN($A$10,$A$2),$A$5=""),"",INDEX(DemoHistory[],$A291,MATCH($A$5,DemoHistory[#Headers],0)))</f>
        <v/>
      </c>
      <c r="D291" s="166" t="str">
        <f>IF($A291&gt;MIN($A$10,$A$2),"",IF(AND($A$12,$A$6=1,B291&lt;$A$7,$A$7&lt;=MAX(DemoHistory[Date])),$A$8,1))</f>
        <v/>
      </c>
      <c r="E291" s="166" t="str">
        <f t="shared" si="9"/>
        <v/>
      </c>
      <c r="F291" s="166" t="str">
        <f>IF($A291&gt;MIN($A$10,$A$2),"",IF($A291&lt;50,"n.a.",IF(COUNT(INDEX(StockDaily[Adjusted close],MAX(1,$A291-50+1)):E291)=50,AVERAGE(INDEX(StockDaily[Adjusted close],MAX(1,$A291-50+1)):E291),"n.a.")))</f>
        <v/>
      </c>
      <c r="G291" s="166" t="str">
        <f>IF($A291&gt;MIN($A$10,$A$2),"",IF($A291&lt;200,"n.a.",IF(COUNT(INDEX(StockDaily[Adjusted close],MAX(1,$A291-200+1)):E291)=200,AVERAGE(INDEX(StockDaily[Adjusted close],MAX(1,$A291-200+1)):E291),"n.a.")))</f>
        <v/>
      </c>
      <c r="H291" s="136" t="str">
        <f>IF($A291&gt;MIN($A$10,$A$2),"",IF($A$5="","Choose stock",IF(NOT($A$12),"Check split rule",IF(NOT(ISNUMBER(B291)),"Invalid date",IF(OR(B291&lt;=0,B291&lt;&gt;INT(B291)),"Invalid date",IF(COUNTIFS(DemoHistory[Date],B291)&lt;&gt;1,"Duplicate date",IF(AND($A291&gt;1,B291&lt;=B290),"Dates out of order",IF(NOT(ISNUMBER(C291)),"Missing price",IF(C291&lt;=0,"Nonpositive price","OK")))))))))</f>
        <v/>
      </c>
      <c r="I291" s="136"/>
      <c r="J291" s="136"/>
      <c r="K291" s="136"/>
      <c r="L291" s="136"/>
      <c r="M291" s="136"/>
      <c r="N291" s="136" t="e">
        <f t="shared" si="10"/>
        <v>#N/A</v>
      </c>
      <c r="O291" s="136" t="e">
        <f t="shared" si="11"/>
        <v>#N/A</v>
      </c>
    </row>
    <row r="292" spans="1:15" ht="22" customHeight="1" x14ac:dyDescent="0.35">
      <c r="A292" s="136">
        <v>248</v>
      </c>
      <c r="B292" s="165" t="str">
        <f>IF($A292&gt;MIN($A$10,$A$2),"",INDEX(DemoHistory[Date],$A292))</f>
        <v/>
      </c>
      <c r="C292" s="166" t="str">
        <f>IF(OR($A292&gt;MIN($A$10,$A$2),$A$5=""),"",INDEX(DemoHistory[],$A292,MATCH($A$5,DemoHistory[#Headers],0)))</f>
        <v/>
      </c>
      <c r="D292" s="166" t="str">
        <f>IF($A292&gt;MIN($A$10,$A$2),"",IF(AND($A$12,$A$6=1,B292&lt;$A$7,$A$7&lt;=MAX(DemoHistory[Date])),$A$8,1))</f>
        <v/>
      </c>
      <c r="E292" s="166" t="str">
        <f t="shared" si="9"/>
        <v/>
      </c>
      <c r="F292" s="166" t="str">
        <f>IF($A292&gt;MIN($A$10,$A$2),"",IF($A292&lt;50,"n.a.",IF(COUNT(INDEX(StockDaily[Adjusted close],MAX(1,$A292-50+1)):E292)=50,AVERAGE(INDEX(StockDaily[Adjusted close],MAX(1,$A292-50+1)):E292),"n.a.")))</f>
        <v/>
      </c>
      <c r="G292" s="166" t="str">
        <f>IF($A292&gt;MIN($A$10,$A$2),"",IF($A292&lt;200,"n.a.",IF(COUNT(INDEX(StockDaily[Adjusted close],MAX(1,$A292-200+1)):E292)=200,AVERAGE(INDEX(StockDaily[Adjusted close],MAX(1,$A292-200+1)):E292),"n.a.")))</f>
        <v/>
      </c>
      <c r="H292" s="136" t="str">
        <f>IF($A292&gt;MIN($A$10,$A$2),"",IF($A$5="","Choose stock",IF(NOT($A$12),"Check split rule",IF(NOT(ISNUMBER(B292)),"Invalid date",IF(OR(B292&lt;=0,B292&lt;&gt;INT(B292)),"Invalid date",IF(COUNTIFS(DemoHistory[Date],B292)&lt;&gt;1,"Duplicate date",IF(AND($A292&gt;1,B292&lt;=B291),"Dates out of order",IF(NOT(ISNUMBER(C292)),"Missing price",IF(C292&lt;=0,"Nonpositive price","OK")))))))))</f>
        <v/>
      </c>
      <c r="I292" s="136"/>
      <c r="J292" s="136"/>
      <c r="K292" s="136"/>
      <c r="L292" s="136"/>
      <c r="M292" s="136"/>
      <c r="N292" s="136" t="e">
        <f t="shared" si="10"/>
        <v>#N/A</v>
      </c>
      <c r="O292" s="136" t="e">
        <f t="shared" si="11"/>
        <v>#N/A</v>
      </c>
    </row>
    <row r="293" spans="1:15" ht="22" customHeight="1" x14ac:dyDescent="0.35">
      <c r="A293" s="136">
        <v>249</v>
      </c>
      <c r="B293" s="165" t="str">
        <f>IF($A293&gt;MIN($A$10,$A$2),"",INDEX(DemoHistory[Date],$A293))</f>
        <v/>
      </c>
      <c r="C293" s="166" t="str">
        <f>IF(OR($A293&gt;MIN($A$10,$A$2),$A$5=""),"",INDEX(DemoHistory[],$A293,MATCH($A$5,DemoHistory[#Headers],0)))</f>
        <v/>
      </c>
      <c r="D293" s="166" t="str">
        <f>IF($A293&gt;MIN($A$10,$A$2),"",IF(AND($A$12,$A$6=1,B293&lt;$A$7,$A$7&lt;=MAX(DemoHistory[Date])),$A$8,1))</f>
        <v/>
      </c>
      <c r="E293" s="166" t="str">
        <f t="shared" si="9"/>
        <v/>
      </c>
      <c r="F293" s="166" t="str">
        <f>IF($A293&gt;MIN($A$10,$A$2),"",IF($A293&lt;50,"n.a.",IF(COUNT(INDEX(StockDaily[Adjusted close],MAX(1,$A293-50+1)):E293)=50,AVERAGE(INDEX(StockDaily[Adjusted close],MAX(1,$A293-50+1)):E293),"n.a.")))</f>
        <v/>
      </c>
      <c r="G293" s="166" t="str">
        <f>IF($A293&gt;MIN($A$10,$A$2),"",IF($A293&lt;200,"n.a.",IF(COUNT(INDEX(StockDaily[Adjusted close],MAX(1,$A293-200+1)):E293)=200,AVERAGE(INDEX(StockDaily[Adjusted close],MAX(1,$A293-200+1)):E293),"n.a.")))</f>
        <v/>
      </c>
      <c r="H293" s="136" t="str">
        <f>IF($A293&gt;MIN($A$10,$A$2),"",IF($A$5="","Choose stock",IF(NOT($A$12),"Check split rule",IF(NOT(ISNUMBER(B293)),"Invalid date",IF(OR(B293&lt;=0,B293&lt;&gt;INT(B293)),"Invalid date",IF(COUNTIFS(DemoHistory[Date],B293)&lt;&gt;1,"Duplicate date",IF(AND($A293&gt;1,B293&lt;=B292),"Dates out of order",IF(NOT(ISNUMBER(C293)),"Missing price",IF(C293&lt;=0,"Nonpositive price","OK")))))))))</f>
        <v/>
      </c>
      <c r="I293" s="136"/>
      <c r="J293" s="136"/>
      <c r="K293" s="136"/>
      <c r="L293" s="136"/>
      <c r="M293" s="136"/>
      <c r="N293" s="136" t="e">
        <f t="shared" si="10"/>
        <v>#N/A</v>
      </c>
      <c r="O293" s="136" t="e">
        <f t="shared" si="11"/>
        <v>#N/A</v>
      </c>
    </row>
    <row r="294" spans="1:15" ht="22" customHeight="1" x14ac:dyDescent="0.35">
      <c r="A294" s="136">
        <v>250</v>
      </c>
      <c r="B294" s="165" t="str">
        <f>IF($A294&gt;MIN($A$10,$A$2),"",INDEX(DemoHistory[Date],$A294))</f>
        <v/>
      </c>
      <c r="C294" s="166" t="str">
        <f>IF(OR($A294&gt;MIN($A$10,$A$2),$A$5=""),"",INDEX(DemoHistory[],$A294,MATCH($A$5,DemoHistory[#Headers],0)))</f>
        <v/>
      </c>
      <c r="D294" s="166" t="str">
        <f>IF($A294&gt;MIN($A$10,$A$2),"",IF(AND($A$12,$A$6=1,B294&lt;$A$7,$A$7&lt;=MAX(DemoHistory[Date])),$A$8,1))</f>
        <v/>
      </c>
      <c r="E294" s="166" t="str">
        <f t="shared" si="9"/>
        <v/>
      </c>
      <c r="F294" s="166" t="str">
        <f>IF($A294&gt;MIN($A$10,$A$2),"",IF($A294&lt;50,"n.a.",IF(COUNT(INDEX(StockDaily[Adjusted close],MAX(1,$A294-50+1)):E294)=50,AVERAGE(INDEX(StockDaily[Adjusted close],MAX(1,$A294-50+1)):E294),"n.a.")))</f>
        <v/>
      </c>
      <c r="G294" s="166" t="str">
        <f>IF($A294&gt;MIN($A$10,$A$2),"",IF($A294&lt;200,"n.a.",IF(COUNT(INDEX(StockDaily[Adjusted close],MAX(1,$A294-200+1)):E294)=200,AVERAGE(INDEX(StockDaily[Adjusted close],MAX(1,$A294-200+1)):E294),"n.a.")))</f>
        <v/>
      </c>
      <c r="H294" s="136" t="str">
        <f>IF($A294&gt;MIN($A$10,$A$2),"",IF($A$5="","Choose stock",IF(NOT($A$12),"Check split rule",IF(NOT(ISNUMBER(B294)),"Invalid date",IF(OR(B294&lt;=0,B294&lt;&gt;INT(B294)),"Invalid date",IF(COUNTIFS(DemoHistory[Date],B294)&lt;&gt;1,"Duplicate date",IF(AND($A294&gt;1,B294&lt;=B293),"Dates out of order",IF(NOT(ISNUMBER(C294)),"Missing price",IF(C294&lt;=0,"Nonpositive price","OK")))))))))</f>
        <v/>
      </c>
      <c r="I294" s="136"/>
      <c r="J294" s="136"/>
      <c r="K294" s="136"/>
      <c r="L294" s="136"/>
      <c r="M294" s="136"/>
      <c r="N294" s="136" t="e">
        <f t="shared" si="10"/>
        <v>#N/A</v>
      </c>
      <c r="O294" s="136" t="e">
        <f t="shared" si="11"/>
        <v>#N/A</v>
      </c>
    </row>
    <row r="295" spans="1:15" ht="22" customHeight="1" x14ac:dyDescent="0.35">
      <c r="A295" s="136">
        <v>251</v>
      </c>
      <c r="B295" s="165" t="str">
        <f>IF($A295&gt;MIN($A$10,$A$2),"",INDEX(DemoHistory[Date],$A295))</f>
        <v/>
      </c>
      <c r="C295" s="166" t="str">
        <f>IF(OR($A295&gt;MIN($A$10,$A$2),$A$5=""),"",INDEX(DemoHistory[],$A295,MATCH($A$5,DemoHistory[#Headers],0)))</f>
        <v/>
      </c>
      <c r="D295" s="166" t="str">
        <f>IF($A295&gt;MIN($A$10,$A$2),"",IF(AND($A$12,$A$6=1,B295&lt;$A$7,$A$7&lt;=MAX(DemoHistory[Date])),$A$8,1))</f>
        <v/>
      </c>
      <c r="E295" s="166" t="str">
        <f t="shared" si="9"/>
        <v/>
      </c>
      <c r="F295" s="166" t="str">
        <f>IF($A295&gt;MIN($A$10,$A$2),"",IF($A295&lt;50,"n.a.",IF(COUNT(INDEX(StockDaily[Adjusted close],MAX(1,$A295-50+1)):E295)=50,AVERAGE(INDEX(StockDaily[Adjusted close],MAX(1,$A295-50+1)):E295),"n.a.")))</f>
        <v/>
      </c>
      <c r="G295" s="166" t="str">
        <f>IF($A295&gt;MIN($A$10,$A$2),"",IF($A295&lt;200,"n.a.",IF(COUNT(INDEX(StockDaily[Adjusted close],MAX(1,$A295-200+1)):E295)=200,AVERAGE(INDEX(StockDaily[Adjusted close],MAX(1,$A295-200+1)):E295),"n.a.")))</f>
        <v/>
      </c>
      <c r="H295" s="136" t="str">
        <f>IF($A295&gt;MIN($A$10,$A$2),"",IF($A$5="","Choose stock",IF(NOT($A$12),"Check split rule",IF(NOT(ISNUMBER(B295)),"Invalid date",IF(OR(B295&lt;=0,B295&lt;&gt;INT(B295)),"Invalid date",IF(COUNTIFS(DemoHistory[Date],B295)&lt;&gt;1,"Duplicate date",IF(AND($A295&gt;1,B295&lt;=B294),"Dates out of order",IF(NOT(ISNUMBER(C295)),"Missing price",IF(C295&lt;=0,"Nonpositive price","OK")))))))))</f>
        <v/>
      </c>
      <c r="I295" s="136"/>
      <c r="J295" s="136"/>
      <c r="K295" s="136"/>
      <c r="L295" s="136"/>
      <c r="M295" s="136"/>
      <c r="N295" s="136" t="e">
        <f t="shared" si="10"/>
        <v>#N/A</v>
      </c>
      <c r="O295" s="136" t="e">
        <f t="shared" si="11"/>
        <v>#N/A</v>
      </c>
    </row>
    <row r="296" spans="1:15" ht="22" customHeight="1" x14ac:dyDescent="0.35">
      <c r="A296" s="136">
        <v>252</v>
      </c>
      <c r="B296" s="165" t="str">
        <f>IF($A296&gt;MIN($A$10,$A$2),"",INDEX(DemoHistory[Date],$A296))</f>
        <v/>
      </c>
      <c r="C296" s="166" t="str">
        <f>IF(OR($A296&gt;MIN($A$10,$A$2),$A$5=""),"",INDEX(DemoHistory[],$A296,MATCH($A$5,DemoHistory[#Headers],0)))</f>
        <v/>
      </c>
      <c r="D296" s="166" t="str">
        <f>IF($A296&gt;MIN($A$10,$A$2),"",IF(AND($A$12,$A$6=1,B296&lt;$A$7,$A$7&lt;=MAX(DemoHistory[Date])),$A$8,1))</f>
        <v/>
      </c>
      <c r="E296" s="166" t="str">
        <f t="shared" si="9"/>
        <v/>
      </c>
      <c r="F296" s="166" t="str">
        <f>IF($A296&gt;MIN($A$10,$A$2),"",IF($A296&lt;50,"n.a.",IF(COUNT(INDEX(StockDaily[Adjusted close],MAX(1,$A296-50+1)):E296)=50,AVERAGE(INDEX(StockDaily[Adjusted close],MAX(1,$A296-50+1)):E296),"n.a.")))</f>
        <v/>
      </c>
      <c r="G296" s="166" t="str">
        <f>IF($A296&gt;MIN($A$10,$A$2),"",IF($A296&lt;200,"n.a.",IF(COUNT(INDEX(StockDaily[Adjusted close],MAX(1,$A296-200+1)):E296)=200,AVERAGE(INDEX(StockDaily[Adjusted close],MAX(1,$A296-200+1)):E296),"n.a.")))</f>
        <v/>
      </c>
      <c r="H296" s="136" t="str">
        <f>IF($A296&gt;MIN($A$10,$A$2),"",IF($A$5="","Choose stock",IF(NOT($A$12),"Check split rule",IF(NOT(ISNUMBER(B296)),"Invalid date",IF(OR(B296&lt;=0,B296&lt;&gt;INT(B296)),"Invalid date",IF(COUNTIFS(DemoHistory[Date],B296)&lt;&gt;1,"Duplicate date",IF(AND($A296&gt;1,B296&lt;=B295),"Dates out of order",IF(NOT(ISNUMBER(C296)),"Missing price",IF(C296&lt;=0,"Nonpositive price","OK")))))))))</f>
        <v/>
      </c>
      <c r="I296" s="136"/>
      <c r="J296" s="136"/>
      <c r="K296" s="136"/>
      <c r="L296" s="136"/>
      <c r="M296" s="136"/>
      <c r="N296" s="136" t="e">
        <f t="shared" si="10"/>
        <v>#N/A</v>
      </c>
      <c r="O296" s="136" t="e">
        <f t="shared" si="11"/>
        <v>#N/A</v>
      </c>
    </row>
    <row r="297" spans="1:15" ht="22" customHeight="1" x14ac:dyDescent="0.35">
      <c r="A297" s="136">
        <v>253</v>
      </c>
      <c r="B297" s="165" t="str">
        <f>IF($A297&gt;MIN($A$10,$A$2),"",INDEX(DemoHistory[Date],$A297))</f>
        <v/>
      </c>
      <c r="C297" s="166" t="str">
        <f>IF(OR($A297&gt;MIN($A$10,$A$2),$A$5=""),"",INDEX(DemoHistory[],$A297,MATCH($A$5,DemoHistory[#Headers],0)))</f>
        <v/>
      </c>
      <c r="D297" s="166" t="str">
        <f>IF($A297&gt;MIN($A$10,$A$2),"",IF(AND($A$12,$A$6=1,B297&lt;$A$7,$A$7&lt;=MAX(DemoHistory[Date])),$A$8,1))</f>
        <v/>
      </c>
      <c r="E297" s="166" t="str">
        <f t="shared" si="9"/>
        <v/>
      </c>
      <c r="F297" s="166" t="str">
        <f>IF($A297&gt;MIN($A$10,$A$2),"",IF($A297&lt;50,"n.a.",IF(COUNT(INDEX(StockDaily[Adjusted close],MAX(1,$A297-50+1)):E297)=50,AVERAGE(INDEX(StockDaily[Adjusted close],MAX(1,$A297-50+1)):E297),"n.a.")))</f>
        <v/>
      </c>
      <c r="G297" s="166" t="str">
        <f>IF($A297&gt;MIN($A$10,$A$2),"",IF($A297&lt;200,"n.a.",IF(COUNT(INDEX(StockDaily[Adjusted close],MAX(1,$A297-200+1)):E297)=200,AVERAGE(INDEX(StockDaily[Adjusted close],MAX(1,$A297-200+1)):E297),"n.a.")))</f>
        <v/>
      </c>
      <c r="H297" s="136" t="str">
        <f>IF($A297&gt;MIN($A$10,$A$2),"",IF($A$5="","Choose stock",IF(NOT($A$12),"Check split rule",IF(NOT(ISNUMBER(B297)),"Invalid date",IF(OR(B297&lt;=0,B297&lt;&gt;INT(B297)),"Invalid date",IF(COUNTIFS(DemoHistory[Date],B297)&lt;&gt;1,"Duplicate date",IF(AND($A297&gt;1,B297&lt;=B296),"Dates out of order",IF(NOT(ISNUMBER(C297)),"Missing price",IF(C297&lt;=0,"Nonpositive price","OK")))))))))</f>
        <v/>
      </c>
      <c r="I297" s="136"/>
      <c r="J297" s="136"/>
      <c r="K297" s="136"/>
      <c r="L297" s="136"/>
      <c r="M297" s="136"/>
      <c r="N297" s="136" t="e">
        <f t="shared" si="10"/>
        <v>#N/A</v>
      </c>
      <c r="O297" s="136" t="e">
        <f t="shared" si="11"/>
        <v>#N/A</v>
      </c>
    </row>
    <row r="298" spans="1:15" ht="22" customHeight="1" x14ac:dyDescent="0.35">
      <c r="A298" s="136">
        <v>254</v>
      </c>
      <c r="B298" s="165" t="str">
        <f>IF($A298&gt;MIN($A$10,$A$2),"",INDEX(DemoHistory[Date],$A298))</f>
        <v/>
      </c>
      <c r="C298" s="166" t="str">
        <f>IF(OR($A298&gt;MIN($A$10,$A$2),$A$5=""),"",INDEX(DemoHistory[],$A298,MATCH($A$5,DemoHistory[#Headers],0)))</f>
        <v/>
      </c>
      <c r="D298" s="166" t="str">
        <f>IF($A298&gt;MIN($A$10,$A$2),"",IF(AND($A$12,$A$6=1,B298&lt;$A$7,$A$7&lt;=MAX(DemoHistory[Date])),$A$8,1))</f>
        <v/>
      </c>
      <c r="E298" s="166" t="str">
        <f t="shared" si="9"/>
        <v/>
      </c>
      <c r="F298" s="166" t="str">
        <f>IF($A298&gt;MIN($A$10,$A$2),"",IF($A298&lt;50,"n.a.",IF(COUNT(INDEX(StockDaily[Adjusted close],MAX(1,$A298-50+1)):E298)=50,AVERAGE(INDEX(StockDaily[Adjusted close],MAX(1,$A298-50+1)):E298),"n.a.")))</f>
        <v/>
      </c>
      <c r="G298" s="166" t="str">
        <f>IF($A298&gt;MIN($A$10,$A$2),"",IF($A298&lt;200,"n.a.",IF(COUNT(INDEX(StockDaily[Adjusted close],MAX(1,$A298-200+1)):E298)=200,AVERAGE(INDEX(StockDaily[Adjusted close],MAX(1,$A298-200+1)):E298),"n.a.")))</f>
        <v/>
      </c>
      <c r="H298" s="136" t="str">
        <f>IF($A298&gt;MIN($A$10,$A$2),"",IF($A$5="","Choose stock",IF(NOT($A$12),"Check split rule",IF(NOT(ISNUMBER(B298)),"Invalid date",IF(OR(B298&lt;=0,B298&lt;&gt;INT(B298)),"Invalid date",IF(COUNTIFS(DemoHistory[Date],B298)&lt;&gt;1,"Duplicate date",IF(AND($A298&gt;1,B298&lt;=B297),"Dates out of order",IF(NOT(ISNUMBER(C298)),"Missing price",IF(C298&lt;=0,"Nonpositive price","OK")))))))))</f>
        <v/>
      </c>
      <c r="I298" s="136"/>
      <c r="J298" s="136"/>
      <c r="K298" s="136"/>
      <c r="L298" s="136"/>
      <c r="M298" s="136"/>
      <c r="N298" s="136" t="e">
        <f t="shared" si="10"/>
        <v>#N/A</v>
      </c>
      <c r="O298" s="136" t="e">
        <f t="shared" si="11"/>
        <v>#N/A</v>
      </c>
    </row>
    <row r="299" spans="1:15" ht="22" customHeight="1" x14ac:dyDescent="0.35">
      <c r="A299" s="136">
        <v>255</v>
      </c>
      <c r="B299" s="165" t="str">
        <f>IF($A299&gt;MIN($A$10,$A$2),"",INDEX(DemoHistory[Date],$A299))</f>
        <v/>
      </c>
      <c r="C299" s="166" t="str">
        <f>IF(OR($A299&gt;MIN($A$10,$A$2),$A$5=""),"",INDEX(DemoHistory[],$A299,MATCH($A$5,DemoHistory[#Headers],0)))</f>
        <v/>
      </c>
      <c r="D299" s="166" t="str">
        <f>IF($A299&gt;MIN($A$10,$A$2),"",IF(AND($A$12,$A$6=1,B299&lt;$A$7,$A$7&lt;=MAX(DemoHistory[Date])),$A$8,1))</f>
        <v/>
      </c>
      <c r="E299" s="166" t="str">
        <f t="shared" si="9"/>
        <v/>
      </c>
      <c r="F299" s="166" t="str">
        <f>IF($A299&gt;MIN($A$10,$A$2),"",IF($A299&lt;50,"n.a.",IF(COUNT(INDEX(StockDaily[Adjusted close],MAX(1,$A299-50+1)):E299)=50,AVERAGE(INDEX(StockDaily[Adjusted close],MAX(1,$A299-50+1)):E299),"n.a.")))</f>
        <v/>
      </c>
      <c r="G299" s="166" t="str">
        <f>IF($A299&gt;MIN($A$10,$A$2),"",IF($A299&lt;200,"n.a.",IF(COUNT(INDEX(StockDaily[Adjusted close],MAX(1,$A299-200+1)):E299)=200,AVERAGE(INDEX(StockDaily[Adjusted close],MAX(1,$A299-200+1)):E299),"n.a.")))</f>
        <v/>
      </c>
      <c r="H299" s="136" t="str">
        <f>IF($A299&gt;MIN($A$10,$A$2),"",IF($A$5="","Choose stock",IF(NOT($A$12),"Check split rule",IF(NOT(ISNUMBER(B299)),"Invalid date",IF(OR(B299&lt;=0,B299&lt;&gt;INT(B299)),"Invalid date",IF(COUNTIFS(DemoHistory[Date],B299)&lt;&gt;1,"Duplicate date",IF(AND($A299&gt;1,B299&lt;=B298),"Dates out of order",IF(NOT(ISNUMBER(C299)),"Missing price",IF(C299&lt;=0,"Nonpositive price","OK")))))))))</f>
        <v/>
      </c>
      <c r="I299" s="136"/>
      <c r="J299" s="136"/>
      <c r="K299" s="136"/>
      <c r="L299" s="136"/>
      <c r="M299" s="136"/>
      <c r="N299" s="136" t="e">
        <f t="shared" si="10"/>
        <v>#N/A</v>
      </c>
      <c r="O299" s="136" t="e">
        <f t="shared" si="11"/>
        <v>#N/A</v>
      </c>
    </row>
    <row r="300" spans="1:15" ht="22" customHeight="1" x14ac:dyDescent="0.35">
      <c r="A300" s="136">
        <v>256</v>
      </c>
      <c r="B300" s="165" t="str">
        <f>IF($A300&gt;MIN($A$10,$A$2),"",INDEX(DemoHistory[Date],$A300))</f>
        <v/>
      </c>
      <c r="C300" s="166" t="str">
        <f>IF(OR($A300&gt;MIN($A$10,$A$2),$A$5=""),"",INDEX(DemoHistory[],$A300,MATCH($A$5,DemoHistory[#Headers],0)))</f>
        <v/>
      </c>
      <c r="D300" s="166" t="str">
        <f>IF($A300&gt;MIN($A$10,$A$2),"",IF(AND($A$12,$A$6=1,B300&lt;$A$7,$A$7&lt;=MAX(DemoHistory[Date])),$A$8,1))</f>
        <v/>
      </c>
      <c r="E300" s="166" t="str">
        <f t="shared" si="9"/>
        <v/>
      </c>
      <c r="F300" s="166" t="str">
        <f>IF($A300&gt;MIN($A$10,$A$2),"",IF($A300&lt;50,"n.a.",IF(COUNT(INDEX(StockDaily[Adjusted close],MAX(1,$A300-50+1)):E300)=50,AVERAGE(INDEX(StockDaily[Adjusted close],MAX(1,$A300-50+1)):E300),"n.a.")))</f>
        <v/>
      </c>
      <c r="G300" s="166" t="str">
        <f>IF($A300&gt;MIN($A$10,$A$2),"",IF($A300&lt;200,"n.a.",IF(COUNT(INDEX(StockDaily[Adjusted close],MAX(1,$A300-200+1)):E300)=200,AVERAGE(INDEX(StockDaily[Adjusted close],MAX(1,$A300-200+1)):E300),"n.a.")))</f>
        <v/>
      </c>
      <c r="H300" s="136" t="str">
        <f>IF($A300&gt;MIN($A$10,$A$2),"",IF($A$5="","Choose stock",IF(NOT($A$12),"Check split rule",IF(NOT(ISNUMBER(B300)),"Invalid date",IF(OR(B300&lt;=0,B300&lt;&gt;INT(B300)),"Invalid date",IF(COUNTIFS(DemoHistory[Date],B300)&lt;&gt;1,"Duplicate date",IF(AND($A300&gt;1,B300&lt;=B299),"Dates out of order",IF(NOT(ISNUMBER(C300)),"Missing price",IF(C300&lt;=0,"Nonpositive price","OK")))))))))</f>
        <v/>
      </c>
      <c r="I300" s="136"/>
      <c r="J300" s="136"/>
      <c r="K300" s="136"/>
      <c r="L300" s="136"/>
      <c r="M300" s="136"/>
      <c r="N300" s="136" t="e">
        <f t="shared" si="10"/>
        <v>#N/A</v>
      </c>
      <c r="O300" s="136" t="e">
        <f t="shared" si="11"/>
        <v>#N/A</v>
      </c>
    </row>
    <row r="301" spans="1:15" ht="22" customHeight="1" x14ac:dyDescent="0.35">
      <c r="A301" s="136">
        <v>257</v>
      </c>
      <c r="B301" s="165" t="str">
        <f>IF($A301&gt;MIN($A$10,$A$2),"",INDEX(DemoHistory[Date],$A301))</f>
        <v/>
      </c>
      <c r="C301" s="166" t="str">
        <f>IF(OR($A301&gt;MIN($A$10,$A$2),$A$5=""),"",INDEX(DemoHistory[],$A301,MATCH($A$5,DemoHistory[#Headers],0)))</f>
        <v/>
      </c>
      <c r="D301" s="166" t="str">
        <f>IF($A301&gt;MIN($A$10,$A$2),"",IF(AND($A$12,$A$6=1,B301&lt;$A$7,$A$7&lt;=MAX(DemoHistory[Date])),$A$8,1))</f>
        <v/>
      </c>
      <c r="E301" s="166" t="str">
        <f t="shared" ref="E301:E364" si="12">IF($A301&gt;MIN($A$10,$A$2),"",IF(H301="OK",C301/D301,"n.a."))</f>
        <v/>
      </c>
      <c r="F301" s="166" t="str">
        <f>IF($A301&gt;MIN($A$10,$A$2),"",IF($A301&lt;50,"n.a.",IF(COUNT(INDEX(StockDaily[Adjusted close],MAX(1,$A301-50+1)):E301)=50,AVERAGE(INDEX(StockDaily[Adjusted close],MAX(1,$A301-50+1)):E301),"n.a.")))</f>
        <v/>
      </c>
      <c r="G301" s="166" t="str">
        <f>IF($A301&gt;MIN($A$10,$A$2),"",IF($A301&lt;200,"n.a.",IF(COUNT(INDEX(StockDaily[Adjusted close],MAX(1,$A301-200+1)):E301)=200,AVERAGE(INDEX(StockDaily[Adjusted close],MAX(1,$A301-200+1)):E301),"n.a.")))</f>
        <v/>
      </c>
      <c r="H301" s="136" t="str">
        <f>IF($A301&gt;MIN($A$10,$A$2),"",IF($A$5="","Choose stock",IF(NOT($A$12),"Check split rule",IF(NOT(ISNUMBER(B301)),"Invalid date",IF(OR(B301&lt;=0,B301&lt;&gt;INT(B301)),"Invalid date",IF(COUNTIFS(DemoHistory[Date],B301)&lt;&gt;1,"Duplicate date",IF(AND($A301&gt;1,B301&lt;=B300),"Dates out of order",IF(NOT(ISNUMBER(C301)),"Missing price",IF(C301&lt;=0,"Nonpositive price","OK")))))))))</f>
        <v/>
      </c>
      <c r="I301" s="136"/>
      <c r="J301" s="136"/>
      <c r="K301" s="136"/>
      <c r="L301" s="136"/>
      <c r="M301" s="136"/>
      <c r="N301" s="136" t="e">
        <f t="shared" ref="N301:N364" si="13">IF(AND($A$13="Ready",ISNUMBER(E301)),E301,NA())</f>
        <v>#N/A</v>
      </c>
      <c r="O301" s="136" t="e">
        <f t="shared" ref="O301:O364" si="14">IF(AND($A$13="Ready",ISNUMBER(F301)),F301,NA())</f>
        <v>#N/A</v>
      </c>
    </row>
    <row r="302" spans="1:15" ht="22" customHeight="1" x14ac:dyDescent="0.35">
      <c r="A302" s="136">
        <v>258</v>
      </c>
      <c r="B302" s="165" t="str">
        <f>IF($A302&gt;MIN($A$10,$A$2),"",INDEX(DemoHistory[Date],$A302))</f>
        <v/>
      </c>
      <c r="C302" s="166" t="str">
        <f>IF(OR($A302&gt;MIN($A$10,$A$2),$A$5=""),"",INDEX(DemoHistory[],$A302,MATCH($A$5,DemoHistory[#Headers],0)))</f>
        <v/>
      </c>
      <c r="D302" s="166" t="str">
        <f>IF($A302&gt;MIN($A$10,$A$2),"",IF(AND($A$12,$A$6=1,B302&lt;$A$7,$A$7&lt;=MAX(DemoHistory[Date])),$A$8,1))</f>
        <v/>
      </c>
      <c r="E302" s="166" t="str">
        <f t="shared" si="12"/>
        <v/>
      </c>
      <c r="F302" s="166" t="str">
        <f>IF($A302&gt;MIN($A$10,$A$2),"",IF($A302&lt;50,"n.a.",IF(COUNT(INDEX(StockDaily[Adjusted close],MAX(1,$A302-50+1)):E302)=50,AVERAGE(INDEX(StockDaily[Adjusted close],MAX(1,$A302-50+1)):E302),"n.a.")))</f>
        <v/>
      </c>
      <c r="G302" s="166" t="str">
        <f>IF($A302&gt;MIN($A$10,$A$2),"",IF($A302&lt;200,"n.a.",IF(COUNT(INDEX(StockDaily[Adjusted close],MAX(1,$A302-200+1)):E302)=200,AVERAGE(INDEX(StockDaily[Adjusted close],MAX(1,$A302-200+1)):E302),"n.a.")))</f>
        <v/>
      </c>
      <c r="H302" s="136" t="str">
        <f>IF($A302&gt;MIN($A$10,$A$2),"",IF($A$5="","Choose stock",IF(NOT($A$12),"Check split rule",IF(NOT(ISNUMBER(B302)),"Invalid date",IF(OR(B302&lt;=0,B302&lt;&gt;INT(B302)),"Invalid date",IF(COUNTIFS(DemoHistory[Date],B302)&lt;&gt;1,"Duplicate date",IF(AND($A302&gt;1,B302&lt;=B301),"Dates out of order",IF(NOT(ISNUMBER(C302)),"Missing price",IF(C302&lt;=0,"Nonpositive price","OK")))))))))</f>
        <v/>
      </c>
      <c r="I302" s="136"/>
      <c r="J302" s="136"/>
      <c r="K302" s="136"/>
      <c r="L302" s="136"/>
      <c r="M302" s="136"/>
      <c r="N302" s="136" t="e">
        <f t="shared" si="13"/>
        <v>#N/A</v>
      </c>
      <c r="O302" s="136" t="e">
        <f t="shared" si="14"/>
        <v>#N/A</v>
      </c>
    </row>
    <row r="303" spans="1:15" ht="22" customHeight="1" x14ac:dyDescent="0.35">
      <c r="A303" s="136">
        <v>259</v>
      </c>
      <c r="B303" s="165" t="str">
        <f>IF($A303&gt;MIN($A$10,$A$2),"",INDEX(DemoHistory[Date],$A303))</f>
        <v/>
      </c>
      <c r="C303" s="166" t="str">
        <f>IF(OR($A303&gt;MIN($A$10,$A$2),$A$5=""),"",INDEX(DemoHistory[],$A303,MATCH($A$5,DemoHistory[#Headers],0)))</f>
        <v/>
      </c>
      <c r="D303" s="166" t="str">
        <f>IF($A303&gt;MIN($A$10,$A$2),"",IF(AND($A$12,$A$6=1,B303&lt;$A$7,$A$7&lt;=MAX(DemoHistory[Date])),$A$8,1))</f>
        <v/>
      </c>
      <c r="E303" s="166" t="str">
        <f t="shared" si="12"/>
        <v/>
      </c>
      <c r="F303" s="166" t="str">
        <f>IF($A303&gt;MIN($A$10,$A$2),"",IF($A303&lt;50,"n.a.",IF(COUNT(INDEX(StockDaily[Adjusted close],MAX(1,$A303-50+1)):E303)=50,AVERAGE(INDEX(StockDaily[Adjusted close],MAX(1,$A303-50+1)):E303),"n.a.")))</f>
        <v/>
      </c>
      <c r="G303" s="166" t="str">
        <f>IF($A303&gt;MIN($A$10,$A$2),"",IF($A303&lt;200,"n.a.",IF(COUNT(INDEX(StockDaily[Adjusted close],MAX(1,$A303-200+1)):E303)=200,AVERAGE(INDEX(StockDaily[Adjusted close],MAX(1,$A303-200+1)):E303),"n.a.")))</f>
        <v/>
      </c>
      <c r="H303" s="136" t="str">
        <f>IF($A303&gt;MIN($A$10,$A$2),"",IF($A$5="","Choose stock",IF(NOT($A$12),"Check split rule",IF(NOT(ISNUMBER(B303)),"Invalid date",IF(OR(B303&lt;=0,B303&lt;&gt;INT(B303)),"Invalid date",IF(COUNTIFS(DemoHistory[Date],B303)&lt;&gt;1,"Duplicate date",IF(AND($A303&gt;1,B303&lt;=B302),"Dates out of order",IF(NOT(ISNUMBER(C303)),"Missing price",IF(C303&lt;=0,"Nonpositive price","OK")))))))))</f>
        <v/>
      </c>
      <c r="I303" s="136"/>
      <c r="J303" s="136"/>
      <c r="K303" s="136"/>
      <c r="L303" s="136"/>
      <c r="M303" s="136"/>
      <c r="N303" s="136" t="e">
        <f t="shared" si="13"/>
        <v>#N/A</v>
      </c>
      <c r="O303" s="136" t="e">
        <f t="shared" si="14"/>
        <v>#N/A</v>
      </c>
    </row>
    <row r="304" spans="1:15" ht="22" customHeight="1" x14ac:dyDescent="0.35">
      <c r="A304" s="136">
        <v>260</v>
      </c>
      <c r="B304" s="165" t="str">
        <f>IF($A304&gt;MIN($A$10,$A$2),"",INDEX(DemoHistory[Date],$A304))</f>
        <v/>
      </c>
      <c r="C304" s="166" t="str">
        <f>IF(OR($A304&gt;MIN($A$10,$A$2),$A$5=""),"",INDEX(DemoHistory[],$A304,MATCH($A$5,DemoHistory[#Headers],0)))</f>
        <v/>
      </c>
      <c r="D304" s="166" t="str">
        <f>IF($A304&gt;MIN($A$10,$A$2),"",IF(AND($A$12,$A$6=1,B304&lt;$A$7,$A$7&lt;=MAX(DemoHistory[Date])),$A$8,1))</f>
        <v/>
      </c>
      <c r="E304" s="166" t="str">
        <f t="shared" si="12"/>
        <v/>
      </c>
      <c r="F304" s="166" t="str">
        <f>IF($A304&gt;MIN($A$10,$A$2),"",IF($A304&lt;50,"n.a.",IF(COUNT(INDEX(StockDaily[Adjusted close],MAX(1,$A304-50+1)):E304)=50,AVERAGE(INDEX(StockDaily[Adjusted close],MAX(1,$A304-50+1)):E304),"n.a.")))</f>
        <v/>
      </c>
      <c r="G304" s="166" t="str">
        <f>IF($A304&gt;MIN($A$10,$A$2),"",IF($A304&lt;200,"n.a.",IF(COUNT(INDEX(StockDaily[Adjusted close],MAX(1,$A304-200+1)):E304)=200,AVERAGE(INDEX(StockDaily[Adjusted close],MAX(1,$A304-200+1)):E304),"n.a.")))</f>
        <v/>
      </c>
      <c r="H304" s="136" t="str">
        <f>IF($A304&gt;MIN($A$10,$A$2),"",IF($A$5="","Choose stock",IF(NOT($A$12),"Check split rule",IF(NOT(ISNUMBER(B304)),"Invalid date",IF(OR(B304&lt;=0,B304&lt;&gt;INT(B304)),"Invalid date",IF(COUNTIFS(DemoHistory[Date],B304)&lt;&gt;1,"Duplicate date",IF(AND($A304&gt;1,B304&lt;=B303),"Dates out of order",IF(NOT(ISNUMBER(C304)),"Missing price",IF(C304&lt;=0,"Nonpositive price","OK")))))))))</f>
        <v/>
      </c>
      <c r="I304" s="136"/>
      <c r="J304" s="136"/>
      <c r="K304" s="136"/>
      <c r="L304" s="136"/>
      <c r="M304" s="136"/>
      <c r="N304" s="136" t="e">
        <f t="shared" si="13"/>
        <v>#N/A</v>
      </c>
      <c r="O304" s="136" t="e">
        <f t="shared" si="14"/>
        <v>#N/A</v>
      </c>
    </row>
    <row r="305" spans="1:15" ht="22" customHeight="1" x14ac:dyDescent="0.35">
      <c r="A305" s="136">
        <v>261</v>
      </c>
      <c r="B305" s="165" t="str">
        <f>IF($A305&gt;MIN($A$10,$A$2),"",INDEX(DemoHistory[Date],$A305))</f>
        <v/>
      </c>
      <c r="C305" s="166" t="str">
        <f>IF(OR($A305&gt;MIN($A$10,$A$2),$A$5=""),"",INDEX(DemoHistory[],$A305,MATCH($A$5,DemoHistory[#Headers],0)))</f>
        <v/>
      </c>
      <c r="D305" s="166" t="str">
        <f>IF($A305&gt;MIN($A$10,$A$2),"",IF(AND($A$12,$A$6=1,B305&lt;$A$7,$A$7&lt;=MAX(DemoHistory[Date])),$A$8,1))</f>
        <v/>
      </c>
      <c r="E305" s="166" t="str">
        <f t="shared" si="12"/>
        <v/>
      </c>
      <c r="F305" s="166" t="str">
        <f>IF($A305&gt;MIN($A$10,$A$2),"",IF($A305&lt;50,"n.a.",IF(COUNT(INDEX(StockDaily[Adjusted close],MAX(1,$A305-50+1)):E305)=50,AVERAGE(INDEX(StockDaily[Adjusted close],MAX(1,$A305-50+1)):E305),"n.a.")))</f>
        <v/>
      </c>
      <c r="G305" s="166" t="str">
        <f>IF($A305&gt;MIN($A$10,$A$2),"",IF($A305&lt;200,"n.a.",IF(COUNT(INDEX(StockDaily[Adjusted close],MAX(1,$A305-200+1)):E305)=200,AVERAGE(INDEX(StockDaily[Adjusted close],MAX(1,$A305-200+1)):E305),"n.a.")))</f>
        <v/>
      </c>
      <c r="H305" s="136" t="str">
        <f>IF($A305&gt;MIN($A$10,$A$2),"",IF($A$5="","Choose stock",IF(NOT($A$12),"Check split rule",IF(NOT(ISNUMBER(B305)),"Invalid date",IF(OR(B305&lt;=0,B305&lt;&gt;INT(B305)),"Invalid date",IF(COUNTIFS(DemoHistory[Date],B305)&lt;&gt;1,"Duplicate date",IF(AND($A305&gt;1,B305&lt;=B304),"Dates out of order",IF(NOT(ISNUMBER(C305)),"Missing price",IF(C305&lt;=0,"Nonpositive price","OK")))))))))</f>
        <v/>
      </c>
      <c r="I305" s="136"/>
      <c r="J305" s="136"/>
      <c r="K305" s="136"/>
      <c r="L305" s="136"/>
      <c r="M305" s="136"/>
      <c r="N305" s="136" t="e">
        <f t="shared" si="13"/>
        <v>#N/A</v>
      </c>
      <c r="O305" s="136" t="e">
        <f t="shared" si="14"/>
        <v>#N/A</v>
      </c>
    </row>
    <row r="306" spans="1:15" ht="22" customHeight="1" x14ac:dyDescent="0.35">
      <c r="A306" s="136">
        <v>262</v>
      </c>
      <c r="B306" s="165" t="str">
        <f>IF($A306&gt;MIN($A$10,$A$2),"",INDEX(DemoHistory[Date],$A306))</f>
        <v/>
      </c>
      <c r="C306" s="166" t="str">
        <f>IF(OR($A306&gt;MIN($A$10,$A$2),$A$5=""),"",INDEX(DemoHistory[],$A306,MATCH($A$5,DemoHistory[#Headers],0)))</f>
        <v/>
      </c>
      <c r="D306" s="166" t="str">
        <f>IF($A306&gt;MIN($A$10,$A$2),"",IF(AND($A$12,$A$6=1,B306&lt;$A$7,$A$7&lt;=MAX(DemoHistory[Date])),$A$8,1))</f>
        <v/>
      </c>
      <c r="E306" s="166" t="str">
        <f t="shared" si="12"/>
        <v/>
      </c>
      <c r="F306" s="166" t="str">
        <f>IF($A306&gt;MIN($A$10,$A$2),"",IF($A306&lt;50,"n.a.",IF(COUNT(INDEX(StockDaily[Adjusted close],MAX(1,$A306-50+1)):E306)=50,AVERAGE(INDEX(StockDaily[Adjusted close],MAX(1,$A306-50+1)):E306),"n.a.")))</f>
        <v/>
      </c>
      <c r="G306" s="166" t="str">
        <f>IF($A306&gt;MIN($A$10,$A$2),"",IF($A306&lt;200,"n.a.",IF(COUNT(INDEX(StockDaily[Adjusted close],MAX(1,$A306-200+1)):E306)=200,AVERAGE(INDEX(StockDaily[Adjusted close],MAX(1,$A306-200+1)):E306),"n.a.")))</f>
        <v/>
      </c>
      <c r="H306" s="136" t="str">
        <f>IF($A306&gt;MIN($A$10,$A$2),"",IF($A$5="","Choose stock",IF(NOT($A$12),"Check split rule",IF(NOT(ISNUMBER(B306)),"Invalid date",IF(OR(B306&lt;=0,B306&lt;&gt;INT(B306)),"Invalid date",IF(COUNTIFS(DemoHistory[Date],B306)&lt;&gt;1,"Duplicate date",IF(AND($A306&gt;1,B306&lt;=B305),"Dates out of order",IF(NOT(ISNUMBER(C306)),"Missing price",IF(C306&lt;=0,"Nonpositive price","OK")))))))))</f>
        <v/>
      </c>
      <c r="I306" s="136"/>
      <c r="J306" s="136"/>
      <c r="K306" s="136"/>
      <c r="L306" s="136"/>
      <c r="M306" s="136"/>
      <c r="N306" s="136" t="e">
        <f t="shared" si="13"/>
        <v>#N/A</v>
      </c>
      <c r="O306" s="136" t="e">
        <f t="shared" si="14"/>
        <v>#N/A</v>
      </c>
    </row>
    <row r="307" spans="1:15" ht="22" customHeight="1" x14ac:dyDescent="0.35">
      <c r="A307" s="136">
        <v>263</v>
      </c>
      <c r="B307" s="165" t="str">
        <f>IF($A307&gt;MIN($A$10,$A$2),"",INDEX(DemoHistory[Date],$A307))</f>
        <v/>
      </c>
      <c r="C307" s="166" t="str">
        <f>IF(OR($A307&gt;MIN($A$10,$A$2),$A$5=""),"",INDEX(DemoHistory[],$A307,MATCH($A$5,DemoHistory[#Headers],0)))</f>
        <v/>
      </c>
      <c r="D307" s="166" t="str">
        <f>IF($A307&gt;MIN($A$10,$A$2),"",IF(AND($A$12,$A$6=1,B307&lt;$A$7,$A$7&lt;=MAX(DemoHistory[Date])),$A$8,1))</f>
        <v/>
      </c>
      <c r="E307" s="166" t="str">
        <f t="shared" si="12"/>
        <v/>
      </c>
      <c r="F307" s="166" t="str">
        <f>IF($A307&gt;MIN($A$10,$A$2),"",IF($A307&lt;50,"n.a.",IF(COUNT(INDEX(StockDaily[Adjusted close],MAX(1,$A307-50+1)):E307)=50,AVERAGE(INDEX(StockDaily[Adjusted close],MAX(1,$A307-50+1)):E307),"n.a.")))</f>
        <v/>
      </c>
      <c r="G307" s="166" t="str">
        <f>IF($A307&gt;MIN($A$10,$A$2),"",IF($A307&lt;200,"n.a.",IF(COUNT(INDEX(StockDaily[Adjusted close],MAX(1,$A307-200+1)):E307)=200,AVERAGE(INDEX(StockDaily[Adjusted close],MAX(1,$A307-200+1)):E307),"n.a.")))</f>
        <v/>
      </c>
      <c r="H307" s="136" t="str">
        <f>IF($A307&gt;MIN($A$10,$A$2),"",IF($A$5="","Choose stock",IF(NOT($A$12),"Check split rule",IF(NOT(ISNUMBER(B307)),"Invalid date",IF(OR(B307&lt;=0,B307&lt;&gt;INT(B307)),"Invalid date",IF(COUNTIFS(DemoHistory[Date],B307)&lt;&gt;1,"Duplicate date",IF(AND($A307&gt;1,B307&lt;=B306),"Dates out of order",IF(NOT(ISNUMBER(C307)),"Missing price",IF(C307&lt;=0,"Nonpositive price","OK")))))))))</f>
        <v/>
      </c>
      <c r="I307" s="136"/>
      <c r="J307" s="136"/>
      <c r="K307" s="136"/>
      <c r="L307" s="136"/>
      <c r="M307" s="136"/>
      <c r="N307" s="136" t="e">
        <f t="shared" si="13"/>
        <v>#N/A</v>
      </c>
      <c r="O307" s="136" t="e">
        <f t="shared" si="14"/>
        <v>#N/A</v>
      </c>
    </row>
    <row r="308" spans="1:15" ht="22" customHeight="1" x14ac:dyDescent="0.35">
      <c r="A308" s="136">
        <v>264</v>
      </c>
      <c r="B308" s="165" t="str">
        <f>IF($A308&gt;MIN($A$10,$A$2),"",INDEX(DemoHistory[Date],$A308))</f>
        <v/>
      </c>
      <c r="C308" s="166" t="str">
        <f>IF(OR($A308&gt;MIN($A$10,$A$2),$A$5=""),"",INDEX(DemoHistory[],$A308,MATCH($A$5,DemoHistory[#Headers],0)))</f>
        <v/>
      </c>
      <c r="D308" s="166" t="str">
        <f>IF($A308&gt;MIN($A$10,$A$2),"",IF(AND($A$12,$A$6=1,B308&lt;$A$7,$A$7&lt;=MAX(DemoHistory[Date])),$A$8,1))</f>
        <v/>
      </c>
      <c r="E308" s="166" t="str">
        <f t="shared" si="12"/>
        <v/>
      </c>
      <c r="F308" s="166" t="str">
        <f>IF($A308&gt;MIN($A$10,$A$2),"",IF($A308&lt;50,"n.a.",IF(COUNT(INDEX(StockDaily[Adjusted close],MAX(1,$A308-50+1)):E308)=50,AVERAGE(INDEX(StockDaily[Adjusted close],MAX(1,$A308-50+1)):E308),"n.a.")))</f>
        <v/>
      </c>
      <c r="G308" s="166" t="str">
        <f>IF($A308&gt;MIN($A$10,$A$2),"",IF($A308&lt;200,"n.a.",IF(COUNT(INDEX(StockDaily[Adjusted close],MAX(1,$A308-200+1)):E308)=200,AVERAGE(INDEX(StockDaily[Adjusted close],MAX(1,$A308-200+1)):E308),"n.a.")))</f>
        <v/>
      </c>
      <c r="H308" s="136" t="str">
        <f>IF($A308&gt;MIN($A$10,$A$2),"",IF($A$5="","Choose stock",IF(NOT($A$12),"Check split rule",IF(NOT(ISNUMBER(B308)),"Invalid date",IF(OR(B308&lt;=0,B308&lt;&gt;INT(B308)),"Invalid date",IF(COUNTIFS(DemoHistory[Date],B308)&lt;&gt;1,"Duplicate date",IF(AND($A308&gt;1,B308&lt;=B307),"Dates out of order",IF(NOT(ISNUMBER(C308)),"Missing price",IF(C308&lt;=0,"Nonpositive price","OK")))))))))</f>
        <v/>
      </c>
      <c r="I308" s="136"/>
      <c r="J308" s="136"/>
      <c r="K308" s="136"/>
      <c r="L308" s="136"/>
      <c r="M308" s="136"/>
      <c r="N308" s="136" t="e">
        <f t="shared" si="13"/>
        <v>#N/A</v>
      </c>
      <c r="O308" s="136" t="e">
        <f t="shared" si="14"/>
        <v>#N/A</v>
      </c>
    </row>
    <row r="309" spans="1:15" ht="22" customHeight="1" x14ac:dyDescent="0.35">
      <c r="A309" s="136">
        <v>265</v>
      </c>
      <c r="B309" s="165" t="str">
        <f>IF($A309&gt;MIN($A$10,$A$2),"",INDEX(DemoHistory[Date],$A309))</f>
        <v/>
      </c>
      <c r="C309" s="166" t="str">
        <f>IF(OR($A309&gt;MIN($A$10,$A$2),$A$5=""),"",INDEX(DemoHistory[],$A309,MATCH($A$5,DemoHistory[#Headers],0)))</f>
        <v/>
      </c>
      <c r="D309" s="166" t="str">
        <f>IF($A309&gt;MIN($A$10,$A$2),"",IF(AND($A$12,$A$6=1,B309&lt;$A$7,$A$7&lt;=MAX(DemoHistory[Date])),$A$8,1))</f>
        <v/>
      </c>
      <c r="E309" s="166" t="str">
        <f t="shared" si="12"/>
        <v/>
      </c>
      <c r="F309" s="166" t="str">
        <f>IF($A309&gt;MIN($A$10,$A$2),"",IF($A309&lt;50,"n.a.",IF(COUNT(INDEX(StockDaily[Adjusted close],MAX(1,$A309-50+1)):E309)=50,AVERAGE(INDEX(StockDaily[Adjusted close],MAX(1,$A309-50+1)):E309),"n.a.")))</f>
        <v/>
      </c>
      <c r="G309" s="166" t="str">
        <f>IF($A309&gt;MIN($A$10,$A$2),"",IF($A309&lt;200,"n.a.",IF(COUNT(INDEX(StockDaily[Adjusted close],MAX(1,$A309-200+1)):E309)=200,AVERAGE(INDEX(StockDaily[Adjusted close],MAX(1,$A309-200+1)):E309),"n.a.")))</f>
        <v/>
      </c>
      <c r="H309" s="136" t="str">
        <f>IF($A309&gt;MIN($A$10,$A$2),"",IF($A$5="","Choose stock",IF(NOT($A$12),"Check split rule",IF(NOT(ISNUMBER(B309)),"Invalid date",IF(OR(B309&lt;=0,B309&lt;&gt;INT(B309)),"Invalid date",IF(COUNTIFS(DemoHistory[Date],B309)&lt;&gt;1,"Duplicate date",IF(AND($A309&gt;1,B309&lt;=B308),"Dates out of order",IF(NOT(ISNUMBER(C309)),"Missing price",IF(C309&lt;=0,"Nonpositive price","OK")))))))))</f>
        <v/>
      </c>
      <c r="I309" s="136"/>
      <c r="J309" s="136"/>
      <c r="K309" s="136"/>
      <c r="L309" s="136"/>
      <c r="M309" s="136"/>
      <c r="N309" s="136" t="e">
        <f t="shared" si="13"/>
        <v>#N/A</v>
      </c>
      <c r="O309" s="136" t="e">
        <f t="shared" si="14"/>
        <v>#N/A</v>
      </c>
    </row>
    <row r="310" spans="1:15" ht="22" customHeight="1" x14ac:dyDescent="0.35">
      <c r="A310" s="136">
        <v>266</v>
      </c>
      <c r="B310" s="165" t="str">
        <f>IF($A310&gt;MIN($A$10,$A$2),"",INDEX(DemoHistory[Date],$A310))</f>
        <v/>
      </c>
      <c r="C310" s="166" t="str">
        <f>IF(OR($A310&gt;MIN($A$10,$A$2),$A$5=""),"",INDEX(DemoHistory[],$A310,MATCH($A$5,DemoHistory[#Headers],0)))</f>
        <v/>
      </c>
      <c r="D310" s="166" t="str">
        <f>IF($A310&gt;MIN($A$10,$A$2),"",IF(AND($A$12,$A$6=1,B310&lt;$A$7,$A$7&lt;=MAX(DemoHistory[Date])),$A$8,1))</f>
        <v/>
      </c>
      <c r="E310" s="166" t="str">
        <f t="shared" si="12"/>
        <v/>
      </c>
      <c r="F310" s="166" t="str">
        <f>IF($A310&gt;MIN($A$10,$A$2),"",IF($A310&lt;50,"n.a.",IF(COUNT(INDEX(StockDaily[Adjusted close],MAX(1,$A310-50+1)):E310)=50,AVERAGE(INDEX(StockDaily[Adjusted close],MAX(1,$A310-50+1)):E310),"n.a.")))</f>
        <v/>
      </c>
      <c r="G310" s="166" t="str">
        <f>IF($A310&gt;MIN($A$10,$A$2),"",IF($A310&lt;200,"n.a.",IF(COUNT(INDEX(StockDaily[Adjusted close],MAX(1,$A310-200+1)):E310)=200,AVERAGE(INDEX(StockDaily[Adjusted close],MAX(1,$A310-200+1)):E310),"n.a.")))</f>
        <v/>
      </c>
      <c r="H310" s="136" t="str">
        <f>IF($A310&gt;MIN($A$10,$A$2),"",IF($A$5="","Choose stock",IF(NOT($A$12),"Check split rule",IF(NOT(ISNUMBER(B310)),"Invalid date",IF(OR(B310&lt;=0,B310&lt;&gt;INT(B310)),"Invalid date",IF(COUNTIFS(DemoHistory[Date],B310)&lt;&gt;1,"Duplicate date",IF(AND($A310&gt;1,B310&lt;=B309),"Dates out of order",IF(NOT(ISNUMBER(C310)),"Missing price",IF(C310&lt;=0,"Nonpositive price","OK")))))))))</f>
        <v/>
      </c>
      <c r="I310" s="136"/>
      <c r="J310" s="136"/>
      <c r="K310" s="136"/>
      <c r="L310" s="136"/>
      <c r="M310" s="136"/>
      <c r="N310" s="136" t="e">
        <f t="shared" si="13"/>
        <v>#N/A</v>
      </c>
      <c r="O310" s="136" t="e">
        <f t="shared" si="14"/>
        <v>#N/A</v>
      </c>
    </row>
    <row r="311" spans="1:15" ht="22" customHeight="1" x14ac:dyDescent="0.35">
      <c r="A311" s="136">
        <v>267</v>
      </c>
      <c r="B311" s="165" t="str">
        <f>IF($A311&gt;MIN($A$10,$A$2),"",INDEX(DemoHistory[Date],$A311))</f>
        <v/>
      </c>
      <c r="C311" s="166" t="str">
        <f>IF(OR($A311&gt;MIN($A$10,$A$2),$A$5=""),"",INDEX(DemoHistory[],$A311,MATCH($A$5,DemoHistory[#Headers],0)))</f>
        <v/>
      </c>
      <c r="D311" s="166" t="str">
        <f>IF($A311&gt;MIN($A$10,$A$2),"",IF(AND($A$12,$A$6=1,B311&lt;$A$7,$A$7&lt;=MAX(DemoHistory[Date])),$A$8,1))</f>
        <v/>
      </c>
      <c r="E311" s="166" t="str">
        <f t="shared" si="12"/>
        <v/>
      </c>
      <c r="F311" s="166" t="str">
        <f>IF($A311&gt;MIN($A$10,$A$2),"",IF($A311&lt;50,"n.a.",IF(COUNT(INDEX(StockDaily[Adjusted close],MAX(1,$A311-50+1)):E311)=50,AVERAGE(INDEX(StockDaily[Adjusted close],MAX(1,$A311-50+1)):E311),"n.a.")))</f>
        <v/>
      </c>
      <c r="G311" s="166" t="str">
        <f>IF($A311&gt;MIN($A$10,$A$2),"",IF($A311&lt;200,"n.a.",IF(COUNT(INDEX(StockDaily[Adjusted close],MAX(1,$A311-200+1)):E311)=200,AVERAGE(INDEX(StockDaily[Adjusted close],MAX(1,$A311-200+1)):E311),"n.a.")))</f>
        <v/>
      </c>
      <c r="H311" s="136" t="str">
        <f>IF($A311&gt;MIN($A$10,$A$2),"",IF($A$5="","Choose stock",IF(NOT($A$12),"Check split rule",IF(NOT(ISNUMBER(B311)),"Invalid date",IF(OR(B311&lt;=0,B311&lt;&gt;INT(B311)),"Invalid date",IF(COUNTIFS(DemoHistory[Date],B311)&lt;&gt;1,"Duplicate date",IF(AND($A311&gt;1,B311&lt;=B310),"Dates out of order",IF(NOT(ISNUMBER(C311)),"Missing price",IF(C311&lt;=0,"Nonpositive price","OK")))))))))</f>
        <v/>
      </c>
      <c r="I311" s="136"/>
      <c r="J311" s="136"/>
      <c r="K311" s="136"/>
      <c r="L311" s="136"/>
      <c r="M311" s="136"/>
      <c r="N311" s="136" t="e">
        <f t="shared" si="13"/>
        <v>#N/A</v>
      </c>
      <c r="O311" s="136" t="e">
        <f t="shared" si="14"/>
        <v>#N/A</v>
      </c>
    </row>
    <row r="312" spans="1:15" ht="22" customHeight="1" x14ac:dyDescent="0.35">
      <c r="A312" s="136">
        <v>268</v>
      </c>
      <c r="B312" s="165" t="str">
        <f>IF($A312&gt;MIN($A$10,$A$2),"",INDEX(DemoHistory[Date],$A312))</f>
        <v/>
      </c>
      <c r="C312" s="166" t="str">
        <f>IF(OR($A312&gt;MIN($A$10,$A$2),$A$5=""),"",INDEX(DemoHistory[],$A312,MATCH($A$5,DemoHistory[#Headers],0)))</f>
        <v/>
      </c>
      <c r="D312" s="166" t="str">
        <f>IF($A312&gt;MIN($A$10,$A$2),"",IF(AND($A$12,$A$6=1,B312&lt;$A$7,$A$7&lt;=MAX(DemoHistory[Date])),$A$8,1))</f>
        <v/>
      </c>
      <c r="E312" s="166" t="str">
        <f t="shared" si="12"/>
        <v/>
      </c>
      <c r="F312" s="166" t="str">
        <f>IF($A312&gt;MIN($A$10,$A$2),"",IF($A312&lt;50,"n.a.",IF(COUNT(INDEX(StockDaily[Adjusted close],MAX(1,$A312-50+1)):E312)=50,AVERAGE(INDEX(StockDaily[Adjusted close],MAX(1,$A312-50+1)):E312),"n.a.")))</f>
        <v/>
      </c>
      <c r="G312" s="166" t="str">
        <f>IF($A312&gt;MIN($A$10,$A$2),"",IF($A312&lt;200,"n.a.",IF(COUNT(INDEX(StockDaily[Adjusted close],MAX(1,$A312-200+1)):E312)=200,AVERAGE(INDEX(StockDaily[Adjusted close],MAX(1,$A312-200+1)):E312),"n.a.")))</f>
        <v/>
      </c>
      <c r="H312" s="136" t="str">
        <f>IF($A312&gt;MIN($A$10,$A$2),"",IF($A$5="","Choose stock",IF(NOT($A$12),"Check split rule",IF(NOT(ISNUMBER(B312)),"Invalid date",IF(OR(B312&lt;=0,B312&lt;&gt;INT(B312)),"Invalid date",IF(COUNTIFS(DemoHistory[Date],B312)&lt;&gt;1,"Duplicate date",IF(AND($A312&gt;1,B312&lt;=B311),"Dates out of order",IF(NOT(ISNUMBER(C312)),"Missing price",IF(C312&lt;=0,"Nonpositive price","OK")))))))))</f>
        <v/>
      </c>
      <c r="I312" s="136"/>
      <c r="J312" s="136"/>
      <c r="K312" s="136"/>
      <c r="L312" s="136"/>
      <c r="M312" s="136"/>
      <c r="N312" s="136" t="e">
        <f t="shared" si="13"/>
        <v>#N/A</v>
      </c>
      <c r="O312" s="136" t="e">
        <f t="shared" si="14"/>
        <v>#N/A</v>
      </c>
    </row>
    <row r="313" spans="1:15" ht="22" customHeight="1" x14ac:dyDescent="0.35">
      <c r="A313" s="136">
        <v>269</v>
      </c>
      <c r="B313" s="165" t="str">
        <f>IF($A313&gt;MIN($A$10,$A$2),"",INDEX(DemoHistory[Date],$A313))</f>
        <v/>
      </c>
      <c r="C313" s="166" t="str">
        <f>IF(OR($A313&gt;MIN($A$10,$A$2),$A$5=""),"",INDEX(DemoHistory[],$A313,MATCH($A$5,DemoHistory[#Headers],0)))</f>
        <v/>
      </c>
      <c r="D313" s="166" t="str">
        <f>IF($A313&gt;MIN($A$10,$A$2),"",IF(AND($A$12,$A$6=1,B313&lt;$A$7,$A$7&lt;=MAX(DemoHistory[Date])),$A$8,1))</f>
        <v/>
      </c>
      <c r="E313" s="166" t="str">
        <f t="shared" si="12"/>
        <v/>
      </c>
      <c r="F313" s="166" t="str">
        <f>IF($A313&gt;MIN($A$10,$A$2),"",IF($A313&lt;50,"n.a.",IF(COUNT(INDEX(StockDaily[Adjusted close],MAX(1,$A313-50+1)):E313)=50,AVERAGE(INDEX(StockDaily[Adjusted close],MAX(1,$A313-50+1)):E313),"n.a.")))</f>
        <v/>
      </c>
      <c r="G313" s="166" t="str">
        <f>IF($A313&gt;MIN($A$10,$A$2),"",IF($A313&lt;200,"n.a.",IF(COUNT(INDEX(StockDaily[Adjusted close],MAX(1,$A313-200+1)):E313)=200,AVERAGE(INDEX(StockDaily[Adjusted close],MAX(1,$A313-200+1)):E313),"n.a.")))</f>
        <v/>
      </c>
      <c r="H313" s="136" t="str">
        <f>IF($A313&gt;MIN($A$10,$A$2),"",IF($A$5="","Choose stock",IF(NOT($A$12),"Check split rule",IF(NOT(ISNUMBER(B313)),"Invalid date",IF(OR(B313&lt;=0,B313&lt;&gt;INT(B313)),"Invalid date",IF(COUNTIFS(DemoHistory[Date],B313)&lt;&gt;1,"Duplicate date",IF(AND($A313&gt;1,B313&lt;=B312),"Dates out of order",IF(NOT(ISNUMBER(C313)),"Missing price",IF(C313&lt;=0,"Nonpositive price","OK")))))))))</f>
        <v/>
      </c>
      <c r="I313" s="136"/>
      <c r="J313" s="136"/>
      <c r="K313" s="136"/>
      <c r="L313" s="136"/>
      <c r="M313" s="136"/>
      <c r="N313" s="136" t="e">
        <f t="shared" si="13"/>
        <v>#N/A</v>
      </c>
      <c r="O313" s="136" t="e">
        <f t="shared" si="14"/>
        <v>#N/A</v>
      </c>
    </row>
    <row r="314" spans="1:15" ht="22" customHeight="1" x14ac:dyDescent="0.35">
      <c r="A314" s="136">
        <v>270</v>
      </c>
      <c r="B314" s="165" t="str">
        <f>IF($A314&gt;MIN($A$10,$A$2),"",INDEX(DemoHistory[Date],$A314))</f>
        <v/>
      </c>
      <c r="C314" s="166" t="str">
        <f>IF(OR($A314&gt;MIN($A$10,$A$2),$A$5=""),"",INDEX(DemoHistory[],$A314,MATCH($A$5,DemoHistory[#Headers],0)))</f>
        <v/>
      </c>
      <c r="D314" s="166" t="str">
        <f>IF($A314&gt;MIN($A$10,$A$2),"",IF(AND($A$12,$A$6=1,B314&lt;$A$7,$A$7&lt;=MAX(DemoHistory[Date])),$A$8,1))</f>
        <v/>
      </c>
      <c r="E314" s="166" t="str">
        <f t="shared" si="12"/>
        <v/>
      </c>
      <c r="F314" s="166" t="str">
        <f>IF($A314&gt;MIN($A$10,$A$2),"",IF($A314&lt;50,"n.a.",IF(COUNT(INDEX(StockDaily[Adjusted close],MAX(1,$A314-50+1)):E314)=50,AVERAGE(INDEX(StockDaily[Adjusted close],MAX(1,$A314-50+1)):E314),"n.a.")))</f>
        <v/>
      </c>
      <c r="G314" s="166" t="str">
        <f>IF($A314&gt;MIN($A$10,$A$2),"",IF($A314&lt;200,"n.a.",IF(COUNT(INDEX(StockDaily[Adjusted close],MAX(1,$A314-200+1)):E314)=200,AVERAGE(INDEX(StockDaily[Adjusted close],MAX(1,$A314-200+1)):E314),"n.a.")))</f>
        <v/>
      </c>
      <c r="H314" s="136" t="str">
        <f>IF($A314&gt;MIN($A$10,$A$2),"",IF($A$5="","Choose stock",IF(NOT($A$12),"Check split rule",IF(NOT(ISNUMBER(B314)),"Invalid date",IF(OR(B314&lt;=0,B314&lt;&gt;INT(B314)),"Invalid date",IF(COUNTIFS(DemoHistory[Date],B314)&lt;&gt;1,"Duplicate date",IF(AND($A314&gt;1,B314&lt;=B313),"Dates out of order",IF(NOT(ISNUMBER(C314)),"Missing price",IF(C314&lt;=0,"Nonpositive price","OK")))))))))</f>
        <v/>
      </c>
      <c r="I314" s="136"/>
      <c r="J314" s="136"/>
      <c r="K314" s="136"/>
      <c r="L314" s="136"/>
      <c r="M314" s="136"/>
      <c r="N314" s="136" t="e">
        <f t="shared" si="13"/>
        <v>#N/A</v>
      </c>
      <c r="O314" s="136" t="e">
        <f t="shared" si="14"/>
        <v>#N/A</v>
      </c>
    </row>
    <row r="315" spans="1:15" ht="22" customHeight="1" x14ac:dyDescent="0.35">
      <c r="A315" s="136">
        <v>271</v>
      </c>
      <c r="B315" s="165" t="str">
        <f>IF($A315&gt;MIN($A$10,$A$2),"",INDEX(DemoHistory[Date],$A315))</f>
        <v/>
      </c>
      <c r="C315" s="166" t="str">
        <f>IF(OR($A315&gt;MIN($A$10,$A$2),$A$5=""),"",INDEX(DemoHistory[],$A315,MATCH($A$5,DemoHistory[#Headers],0)))</f>
        <v/>
      </c>
      <c r="D315" s="166" t="str">
        <f>IF($A315&gt;MIN($A$10,$A$2),"",IF(AND($A$12,$A$6=1,B315&lt;$A$7,$A$7&lt;=MAX(DemoHistory[Date])),$A$8,1))</f>
        <v/>
      </c>
      <c r="E315" s="166" t="str">
        <f t="shared" si="12"/>
        <v/>
      </c>
      <c r="F315" s="166" t="str">
        <f>IF($A315&gt;MIN($A$10,$A$2),"",IF($A315&lt;50,"n.a.",IF(COUNT(INDEX(StockDaily[Adjusted close],MAX(1,$A315-50+1)):E315)=50,AVERAGE(INDEX(StockDaily[Adjusted close],MAX(1,$A315-50+1)):E315),"n.a.")))</f>
        <v/>
      </c>
      <c r="G315" s="166" t="str">
        <f>IF($A315&gt;MIN($A$10,$A$2),"",IF($A315&lt;200,"n.a.",IF(COUNT(INDEX(StockDaily[Adjusted close],MAX(1,$A315-200+1)):E315)=200,AVERAGE(INDEX(StockDaily[Adjusted close],MAX(1,$A315-200+1)):E315),"n.a.")))</f>
        <v/>
      </c>
      <c r="H315" s="136" t="str">
        <f>IF($A315&gt;MIN($A$10,$A$2),"",IF($A$5="","Choose stock",IF(NOT($A$12),"Check split rule",IF(NOT(ISNUMBER(B315)),"Invalid date",IF(OR(B315&lt;=0,B315&lt;&gt;INT(B315)),"Invalid date",IF(COUNTIFS(DemoHistory[Date],B315)&lt;&gt;1,"Duplicate date",IF(AND($A315&gt;1,B315&lt;=B314),"Dates out of order",IF(NOT(ISNUMBER(C315)),"Missing price",IF(C315&lt;=0,"Nonpositive price","OK")))))))))</f>
        <v/>
      </c>
      <c r="I315" s="136"/>
      <c r="J315" s="136"/>
      <c r="K315" s="136"/>
      <c r="L315" s="136"/>
      <c r="M315" s="136"/>
      <c r="N315" s="136" t="e">
        <f t="shared" si="13"/>
        <v>#N/A</v>
      </c>
      <c r="O315" s="136" t="e">
        <f t="shared" si="14"/>
        <v>#N/A</v>
      </c>
    </row>
    <row r="316" spans="1:15" ht="22" customHeight="1" x14ac:dyDescent="0.35">
      <c r="A316" s="136">
        <v>272</v>
      </c>
      <c r="B316" s="165" t="str">
        <f>IF($A316&gt;MIN($A$10,$A$2),"",INDEX(DemoHistory[Date],$A316))</f>
        <v/>
      </c>
      <c r="C316" s="166" t="str">
        <f>IF(OR($A316&gt;MIN($A$10,$A$2),$A$5=""),"",INDEX(DemoHistory[],$A316,MATCH($A$5,DemoHistory[#Headers],0)))</f>
        <v/>
      </c>
      <c r="D316" s="166" t="str">
        <f>IF($A316&gt;MIN($A$10,$A$2),"",IF(AND($A$12,$A$6=1,B316&lt;$A$7,$A$7&lt;=MAX(DemoHistory[Date])),$A$8,1))</f>
        <v/>
      </c>
      <c r="E316" s="166" t="str">
        <f t="shared" si="12"/>
        <v/>
      </c>
      <c r="F316" s="166" t="str">
        <f>IF($A316&gt;MIN($A$10,$A$2),"",IF($A316&lt;50,"n.a.",IF(COUNT(INDEX(StockDaily[Adjusted close],MAX(1,$A316-50+1)):E316)=50,AVERAGE(INDEX(StockDaily[Adjusted close],MAX(1,$A316-50+1)):E316),"n.a.")))</f>
        <v/>
      </c>
      <c r="G316" s="166" t="str">
        <f>IF($A316&gt;MIN($A$10,$A$2),"",IF($A316&lt;200,"n.a.",IF(COUNT(INDEX(StockDaily[Adjusted close],MAX(1,$A316-200+1)):E316)=200,AVERAGE(INDEX(StockDaily[Adjusted close],MAX(1,$A316-200+1)):E316),"n.a.")))</f>
        <v/>
      </c>
      <c r="H316" s="136" t="str">
        <f>IF($A316&gt;MIN($A$10,$A$2),"",IF($A$5="","Choose stock",IF(NOT($A$12),"Check split rule",IF(NOT(ISNUMBER(B316)),"Invalid date",IF(OR(B316&lt;=0,B316&lt;&gt;INT(B316)),"Invalid date",IF(COUNTIFS(DemoHistory[Date],B316)&lt;&gt;1,"Duplicate date",IF(AND($A316&gt;1,B316&lt;=B315),"Dates out of order",IF(NOT(ISNUMBER(C316)),"Missing price",IF(C316&lt;=0,"Nonpositive price","OK")))))))))</f>
        <v/>
      </c>
      <c r="I316" s="136"/>
      <c r="J316" s="136"/>
      <c r="K316" s="136"/>
      <c r="L316" s="136"/>
      <c r="M316" s="136"/>
      <c r="N316" s="136" t="e">
        <f t="shared" si="13"/>
        <v>#N/A</v>
      </c>
      <c r="O316" s="136" t="e">
        <f t="shared" si="14"/>
        <v>#N/A</v>
      </c>
    </row>
    <row r="317" spans="1:15" ht="22" customHeight="1" x14ac:dyDescent="0.35">
      <c r="A317" s="136">
        <v>273</v>
      </c>
      <c r="B317" s="165" t="str">
        <f>IF($A317&gt;MIN($A$10,$A$2),"",INDEX(DemoHistory[Date],$A317))</f>
        <v/>
      </c>
      <c r="C317" s="166" t="str">
        <f>IF(OR($A317&gt;MIN($A$10,$A$2),$A$5=""),"",INDEX(DemoHistory[],$A317,MATCH($A$5,DemoHistory[#Headers],0)))</f>
        <v/>
      </c>
      <c r="D317" s="166" t="str">
        <f>IF($A317&gt;MIN($A$10,$A$2),"",IF(AND($A$12,$A$6=1,B317&lt;$A$7,$A$7&lt;=MAX(DemoHistory[Date])),$A$8,1))</f>
        <v/>
      </c>
      <c r="E317" s="166" t="str">
        <f t="shared" si="12"/>
        <v/>
      </c>
      <c r="F317" s="166" t="str">
        <f>IF($A317&gt;MIN($A$10,$A$2),"",IF($A317&lt;50,"n.a.",IF(COUNT(INDEX(StockDaily[Adjusted close],MAX(1,$A317-50+1)):E317)=50,AVERAGE(INDEX(StockDaily[Adjusted close],MAX(1,$A317-50+1)):E317),"n.a.")))</f>
        <v/>
      </c>
      <c r="G317" s="166" t="str">
        <f>IF($A317&gt;MIN($A$10,$A$2),"",IF($A317&lt;200,"n.a.",IF(COUNT(INDEX(StockDaily[Adjusted close],MAX(1,$A317-200+1)):E317)=200,AVERAGE(INDEX(StockDaily[Adjusted close],MAX(1,$A317-200+1)):E317),"n.a.")))</f>
        <v/>
      </c>
      <c r="H317" s="136" t="str">
        <f>IF($A317&gt;MIN($A$10,$A$2),"",IF($A$5="","Choose stock",IF(NOT($A$12),"Check split rule",IF(NOT(ISNUMBER(B317)),"Invalid date",IF(OR(B317&lt;=0,B317&lt;&gt;INT(B317)),"Invalid date",IF(COUNTIFS(DemoHistory[Date],B317)&lt;&gt;1,"Duplicate date",IF(AND($A317&gt;1,B317&lt;=B316),"Dates out of order",IF(NOT(ISNUMBER(C317)),"Missing price",IF(C317&lt;=0,"Nonpositive price","OK")))))))))</f>
        <v/>
      </c>
      <c r="I317" s="136"/>
      <c r="J317" s="136"/>
      <c r="K317" s="136"/>
      <c r="L317" s="136"/>
      <c r="M317" s="136"/>
      <c r="N317" s="136" t="e">
        <f t="shared" si="13"/>
        <v>#N/A</v>
      </c>
      <c r="O317" s="136" t="e">
        <f t="shared" si="14"/>
        <v>#N/A</v>
      </c>
    </row>
    <row r="318" spans="1:15" ht="22" customHeight="1" x14ac:dyDescent="0.35">
      <c r="A318" s="136">
        <v>274</v>
      </c>
      <c r="B318" s="165" t="str">
        <f>IF($A318&gt;MIN($A$10,$A$2),"",INDEX(DemoHistory[Date],$A318))</f>
        <v/>
      </c>
      <c r="C318" s="166" t="str">
        <f>IF(OR($A318&gt;MIN($A$10,$A$2),$A$5=""),"",INDEX(DemoHistory[],$A318,MATCH($A$5,DemoHistory[#Headers],0)))</f>
        <v/>
      </c>
      <c r="D318" s="166" t="str">
        <f>IF($A318&gt;MIN($A$10,$A$2),"",IF(AND($A$12,$A$6=1,B318&lt;$A$7,$A$7&lt;=MAX(DemoHistory[Date])),$A$8,1))</f>
        <v/>
      </c>
      <c r="E318" s="166" t="str">
        <f t="shared" si="12"/>
        <v/>
      </c>
      <c r="F318" s="166" t="str">
        <f>IF($A318&gt;MIN($A$10,$A$2),"",IF($A318&lt;50,"n.a.",IF(COUNT(INDEX(StockDaily[Adjusted close],MAX(1,$A318-50+1)):E318)=50,AVERAGE(INDEX(StockDaily[Adjusted close],MAX(1,$A318-50+1)):E318),"n.a.")))</f>
        <v/>
      </c>
      <c r="G318" s="166" t="str">
        <f>IF($A318&gt;MIN($A$10,$A$2),"",IF($A318&lt;200,"n.a.",IF(COUNT(INDEX(StockDaily[Adjusted close],MAX(1,$A318-200+1)):E318)=200,AVERAGE(INDEX(StockDaily[Adjusted close],MAX(1,$A318-200+1)):E318),"n.a.")))</f>
        <v/>
      </c>
      <c r="H318" s="136" t="str">
        <f>IF($A318&gt;MIN($A$10,$A$2),"",IF($A$5="","Choose stock",IF(NOT($A$12),"Check split rule",IF(NOT(ISNUMBER(B318)),"Invalid date",IF(OR(B318&lt;=0,B318&lt;&gt;INT(B318)),"Invalid date",IF(COUNTIFS(DemoHistory[Date],B318)&lt;&gt;1,"Duplicate date",IF(AND($A318&gt;1,B318&lt;=B317),"Dates out of order",IF(NOT(ISNUMBER(C318)),"Missing price",IF(C318&lt;=0,"Nonpositive price","OK")))))))))</f>
        <v/>
      </c>
      <c r="I318" s="136"/>
      <c r="J318" s="136"/>
      <c r="K318" s="136"/>
      <c r="L318" s="136"/>
      <c r="M318" s="136"/>
      <c r="N318" s="136" t="e">
        <f t="shared" si="13"/>
        <v>#N/A</v>
      </c>
      <c r="O318" s="136" t="e">
        <f t="shared" si="14"/>
        <v>#N/A</v>
      </c>
    </row>
    <row r="319" spans="1:15" ht="22" customHeight="1" x14ac:dyDescent="0.35">
      <c r="A319" s="136">
        <v>275</v>
      </c>
      <c r="B319" s="165" t="str">
        <f>IF($A319&gt;MIN($A$10,$A$2),"",INDEX(DemoHistory[Date],$A319))</f>
        <v/>
      </c>
      <c r="C319" s="166" t="str">
        <f>IF(OR($A319&gt;MIN($A$10,$A$2),$A$5=""),"",INDEX(DemoHistory[],$A319,MATCH($A$5,DemoHistory[#Headers],0)))</f>
        <v/>
      </c>
      <c r="D319" s="166" t="str">
        <f>IF($A319&gt;MIN($A$10,$A$2),"",IF(AND($A$12,$A$6=1,B319&lt;$A$7,$A$7&lt;=MAX(DemoHistory[Date])),$A$8,1))</f>
        <v/>
      </c>
      <c r="E319" s="166" t="str">
        <f t="shared" si="12"/>
        <v/>
      </c>
      <c r="F319" s="166" t="str">
        <f>IF($A319&gt;MIN($A$10,$A$2),"",IF($A319&lt;50,"n.a.",IF(COUNT(INDEX(StockDaily[Adjusted close],MAX(1,$A319-50+1)):E319)=50,AVERAGE(INDEX(StockDaily[Adjusted close],MAX(1,$A319-50+1)):E319),"n.a.")))</f>
        <v/>
      </c>
      <c r="G319" s="166" t="str">
        <f>IF($A319&gt;MIN($A$10,$A$2),"",IF($A319&lt;200,"n.a.",IF(COUNT(INDEX(StockDaily[Adjusted close],MAX(1,$A319-200+1)):E319)=200,AVERAGE(INDEX(StockDaily[Adjusted close],MAX(1,$A319-200+1)):E319),"n.a.")))</f>
        <v/>
      </c>
      <c r="H319" s="136" t="str">
        <f>IF($A319&gt;MIN($A$10,$A$2),"",IF($A$5="","Choose stock",IF(NOT($A$12),"Check split rule",IF(NOT(ISNUMBER(B319)),"Invalid date",IF(OR(B319&lt;=0,B319&lt;&gt;INT(B319)),"Invalid date",IF(COUNTIFS(DemoHistory[Date],B319)&lt;&gt;1,"Duplicate date",IF(AND($A319&gt;1,B319&lt;=B318),"Dates out of order",IF(NOT(ISNUMBER(C319)),"Missing price",IF(C319&lt;=0,"Nonpositive price","OK")))))))))</f>
        <v/>
      </c>
      <c r="I319" s="136"/>
      <c r="J319" s="136"/>
      <c r="K319" s="136"/>
      <c r="L319" s="136"/>
      <c r="M319" s="136"/>
      <c r="N319" s="136" t="e">
        <f t="shared" si="13"/>
        <v>#N/A</v>
      </c>
      <c r="O319" s="136" t="e">
        <f t="shared" si="14"/>
        <v>#N/A</v>
      </c>
    </row>
    <row r="320" spans="1:15" ht="22" customHeight="1" x14ac:dyDescent="0.35">
      <c r="A320" s="136">
        <v>276</v>
      </c>
      <c r="B320" s="165" t="str">
        <f>IF($A320&gt;MIN($A$10,$A$2),"",INDEX(DemoHistory[Date],$A320))</f>
        <v/>
      </c>
      <c r="C320" s="166" t="str">
        <f>IF(OR($A320&gt;MIN($A$10,$A$2),$A$5=""),"",INDEX(DemoHistory[],$A320,MATCH($A$5,DemoHistory[#Headers],0)))</f>
        <v/>
      </c>
      <c r="D320" s="166" t="str">
        <f>IF($A320&gt;MIN($A$10,$A$2),"",IF(AND($A$12,$A$6=1,B320&lt;$A$7,$A$7&lt;=MAX(DemoHistory[Date])),$A$8,1))</f>
        <v/>
      </c>
      <c r="E320" s="166" t="str">
        <f t="shared" si="12"/>
        <v/>
      </c>
      <c r="F320" s="166" t="str">
        <f>IF($A320&gt;MIN($A$10,$A$2),"",IF($A320&lt;50,"n.a.",IF(COUNT(INDEX(StockDaily[Adjusted close],MAX(1,$A320-50+1)):E320)=50,AVERAGE(INDEX(StockDaily[Adjusted close],MAX(1,$A320-50+1)):E320),"n.a.")))</f>
        <v/>
      </c>
      <c r="G320" s="166" t="str">
        <f>IF($A320&gt;MIN($A$10,$A$2),"",IF($A320&lt;200,"n.a.",IF(COUNT(INDEX(StockDaily[Adjusted close],MAX(1,$A320-200+1)):E320)=200,AVERAGE(INDEX(StockDaily[Adjusted close],MAX(1,$A320-200+1)):E320),"n.a.")))</f>
        <v/>
      </c>
      <c r="H320" s="136" t="str">
        <f>IF($A320&gt;MIN($A$10,$A$2),"",IF($A$5="","Choose stock",IF(NOT($A$12),"Check split rule",IF(NOT(ISNUMBER(B320)),"Invalid date",IF(OR(B320&lt;=0,B320&lt;&gt;INT(B320)),"Invalid date",IF(COUNTIFS(DemoHistory[Date],B320)&lt;&gt;1,"Duplicate date",IF(AND($A320&gt;1,B320&lt;=B319),"Dates out of order",IF(NOT(ISNUMBER(C320)),"Missing price",IF(C320&lt;=0,"Nonpositive price","OK")))))))))</f>
        <v/>
      </c>
      <c r="I320" s="136"/>
      <c r="J320" s="136"/>
      <c r="K320" s="136"/>
      <c r="L320" s="136"/>
      <c r="M320" s="136"/>
      <c r="N320" s="136" t="e">
        <f t="shared" si="13"/>
        <v>#N/A</v>
      </c>
      <c r="O320" s="136" t="e">
        <f t="shared" si="14"/>
        <v>#N/A</v>
      </c>
    </row>
    <row r="321" spans="1:15" ht="22" customHeight="1" x14ac:dyDescent="0.35">
      <c r="A321" s="136">
        <v>277</v>
      </c>
      <c r="B321" s="165" t="str">
        <f>IF($A321&gt;MIN($A$10,$A$2),"",INDEX(DemoHistory[Date],$A321))</f>
        <v/>
      </c>
      <c r="C321" s="166" t="str">
        <f>IF(OR($A321&gt;MIN($A$10,$A$2),$A$5=""),"",INDEX(DemoHistory[],$A321,MATCH($A$5,DemoHistory[#Headers],0)))</f>
        <v/>
      </c>
      <c r="D321" s="166" t="str">
        <f>IF($A321&gt;MIN($A$10,$A$2),"",IF(AND($A$12,$A$6=1,B321&lt;$A$7,$A$7&lt;=MAX(DemoHistory[Date])),$A$8,1))</f>
        <v/>
      </c>
      <c r="E321" s="166" t="str">
        <f t="shared" si="12"/>
        <v/>
      </c>
      <c r="F321" s="166" t="str">
        <f>IF($A321&gt;MIN($A$10,$A$2),"",IF($A321&lt;50,"n.a.",IF(COUNT(INDEX(StockDaily[Adjusted close],MAX(1,$A321-50+1)):E321)=50,AVERAGE(INDEX(StockDaily[Adjusted close],MAX(1,$A321-50+1)):E321),"n.a.")))</f>
        <v/>
      </c>
      <c r="G321" s="166" t="str">
        <f>IF($A321&gt;MIN($A$10,$A$2),"",IF($A321&lt;200,"n.a.",IF(COUNT(INDEX(StockDaily[Adjusted close],MAX(1,$A321-200+1)):E321)=200,AVERAGE(INDEX(StockDaily[Adjusted close],MAX(1,$A321-200+1)):E321),"n.a.")))</f>
        <v/>
      </c>
      <c r="H321" s="136" t="str">
        <f>IF($A321&gt;MIN($A$10,$A$2),"",IF($A$5="","Choose stock",IF(NOT($A$12),"Check split rule",IF(NOT(ISNUMBER(B321)),"Invalid date",IF(OR(B321&lt;=0,B321&lt;&gt;INT(B321)),"Invalid date",IF(COUNTIFS(DemoHistory[Date],B321)&lt;&gt;1,"Duplicate date",IF(AND($A321&gt;1,B321&lt;=B320),"Dates out of order",IF(NOT(ISNUMBER(C321)),"Missing price",IF(C321&lt;=0,"Nonpositive price","OK")))))))))</f>
        <v/>
      </c>
      <c r="I321" s="136"/>
      <c r="J321" s="136"/>
      <c r="K321" s="136"/>
      <c r="L321" s="136"/>
      <c r="M321" s="136"/>
      <c r="N321" s="136" t="e">
        <f t="shared" si="13"/>
        <v>#N/A</v>
      </c>
      <c r="O321" s="136" t="e">
        <f t="shared" si="14"/>
        <v>#N/A</v>
      </c>
    </row>
    <row r="322" spans="1:15" ht="22" customHeight="1" x14ac:dyDescent="0.35">
      <c r="A322" s="136">
        <v>278</v>
      </c>
      <c r="B322" s="165" t="str">
        <f>IF($A322&gt;MIN($A$10,$A$2),"",INDEX(DemoHistory[Date],$A322))</f>
        <v/>
      </c>
      <c r="C322" s="166" t="str">
        <f>IF(OR($A322&gt;MIN($A$10,$A$2),$A$5=""),"",INDEX(DemoHistory[],$A322,MATCH($A$5,DemoHistory[#Headers],0)))</f>
        <v/>
      </c>
      <c r="D322" s="166" t="str">
        <f>IF($A322&gt;MIN($A$10,$A$2),"",IF(AND($A$12,$A$6=1,B322&lt;$A$7,$A$7&lt;=MAX(DemoHistory[Date])),$A$8,1))</f>
        <v/>
      </c>
      <c r="E322" s="166" t="str">
        <f t="shared" si="12"/>
        <v/>
      </c>
      <c r="F322" s="166" t="str">
        <f>IF($A322&gt;MIN($A$10,$A$2),"",IF($A322&lt;50,"n.a.",IF(COUNT(INDEX(StockDaily[Adjusted close],MAX(1,$A322-50+1)):E322)=50,AVERAGE(INDEX(StockDaily[Adjusted close],MAX(1,$A322-50+1)):E322),"n.a.")))</f>
        <v/>
      </c>
      <c r="G322" s="166" t="str">
        <f>IF($A322&gt;MIN($A$10,$A$2),"",IF($A322&lt;200,"n.a.",IF(COUNT(INDEX(StockDaily[Adjusted close],MAX(1,$A322-200+1)):E322)=200,AVERAGE(INDEX(StockDaily[Adjusted close],MAX(1,$A322-200+1)):E322),"n.a.")))</f>
        <v/>
      </c>
      <c r="H322" s="136" t="str">
        <f>IF($A322&gt;MIN($A$10,$A$2),"",IF($A$5="","Choose stock",IF(NOT($A$12),"Check split rule",IF(NOT(ISNUMBER(B322)),"Invalid date",IF(OR(B322&lt;=0,B322&lt;&gt;INT(B322)),"Invalid date",IF(COUNTIFS(DemoHistory[Date],B322)&lt;&gt;1,"Duplicate date",IF(AND($A322&gt;1,B322&lt;=B321),"Dates out of order",IF(NOT(ISNUMBER(C322)),"Missing price",IF(C322&lt;=0,"Nonpositive price","OK")))))))))</f>
        <v/>
      </c>
      <c r="I322" s="136"/>
      <c r="J322" s="136"/>
      <c r="K322" s="136"/>
      <c r="L322" s="136"/>
      <c r="M322" s="136"/>
      <c r="N322" s="136" t="e">
        <f t="shared" si="13"/>
        <v>#N/A</v>
      </c>
      <c r="O322" s="136" t="e">
        <f t="shared" si="14"/>
        <v>#N/A</v>
      </c>
    </row>
    <row r="323" spans="1:15" ht="22" customHeight="1" x14ac:dyDescent="0.35">
      <c r="A323" s="136">
        <v>279</v>
      </c>
      <c r="B323" s="165" t="str">
        <f>IF($A323&gt;MIN($A$10,$A$2),"",INDEX(DemoHistory[Date],$A323))</f>
        <v/>
      </c>
      <c r="C323" s="166" t="str">
        <f>IF(OR($A323&gt;MIN($A$10,$A$2),$A$5=""),"",INDEX(DemoHistory[],$A323,MATCH($A$5,DemoHistory[#Headers],0)))</f>
        <v/>
      </c>
      <c r="D323" s="166" t="str">
        <f>IF($A323&gt;MIN($A$10,$A$2),"",IF(AND($A$12,$A$6=1,B323&lt;$A$7,$A$7&lt;=MAX(DemoHistory[Date])),$A$8,1))</f>
        <v/>
      </c>
      <c r="E323" s="166" t="str">
        <f t="shared" si="12"/>
        <v/>
      </c>
      <c r="F323" s="166" t="str">
        <f>IF($A323&gt;MIN($A$10,$A$2),"",IF($A323&lt;50,"n.a.",IF(COUNT(INDEX(StockDaily[Adjusted close],MAX(1,$A323-50+1)):E323)=50,AVERAGE(INDEX(StockDaily[Adjusted close],MAX(1,$A323-50+1)):E323),"n.a.")))</f>
        <v/>
      </c>
      <c r="G323" s="166" t="str">
        <f>IF($A323&gt;MIN($A$10,$A$2),"",IF($A323&lt;200,"n.a.",IF(COUNT(INDEX(StockDaily[Adjusted close],MAX(1,$A323-200+1)):E323)=200,AVERAGE(INDEX(StockDaily[Adjusted close],MAX(1,$A323-200+1)):E323),"n.a.")))</f>
        <v/>
      </c>
      <c r="H323" s="136" t="str">
        <f>IF($A323&gt;MIN($A$10,$A$2),"",IF($A$5="","Choose stock",IF(NOT($A$12),"Check split rule",IF(NOT(ISNUMBER(B323)),"Invalid date",IF(OR(B323&lt;=0,B323&lt;&gt;INT(B323)),"Invalid date",IF(COUNTIFS(DemoHistory[Date],B323)&lt;&gt;1,"Duplicate date",IF(AND($A323&gt;1,B323&lt;=B322),"Dates out of order",IF(NOT(ISNUMBER(C323)),"Missing price",IF(C323&lt;=0,"Nonpositive price","OK")))))))))</f>
        <v/>
      </c>
      <c r="I323" s="136"/>
      <c r="J323" s="136"/>
      <c r="K323" s="136"/>
      <c r="L323" s="136"/>
      <c r="M323" s="136"/>
      <c r="N323" s="136" t="e">
        <f t="shared" si="13"/>
        <v>#N/A</v>
      </c>
      <c r="O323" s="136" t="e">
        <f t="shared" si="14"/>
        <v>#N/A</v>
      </c>
    </row>
    <row r="324" spans="1:15" ht="22" customHeight="1" x14ac:dyDescent="0.35">
      <c r="A324" s="136">
        <v>280</v>
      </c>
      <c r="B324" s="165" t="str">
        <f>IF($A324&gt;MIN($A$10,$A$2),"",INDEX(DemoHistory[Date],$A324))</f>
        <v/>
      </c>
      <c r="C324" s="166" t="str">
        <f>IF(OR($A324&gt;MIN($A$10,$A$2),$A$5=""),"",INDEX(DemoHistory[],$A324,MATCH($A$5,DemoHistory[#Headers],0)))</f>
        <v/>
      </c>
      <c r="D324" s="166" t="str">
        <f>IF($A324&gt;MIN($A$10,$A$2),"",IF(AND($A$12,$A$6=1,B324&lt;$A$7,$A$7&lt;=MAX(DemoHistory[Date])),$A$8,1))</f>
        <v/>
      </c>
      <c r="E324" s="166" t="str">
        <f t="shared" si="12"/>
        <v/>
      </c>
      <c r="F324" s="166" t="str">
        <f>IF($A324&gt;MIN($A$10,$A$2),"",IF($A324&lt;50,"n.a.",IF(COUNT(INDEX(StockDaily[Adjusted close],MAX(1,$A324-50+1)):E324)=50,AVERAGE(INDEX(StockDaily[Adjusted close],MAX(1,$A324-50+1)):E324),"n.a.")))</f>
        <v/>
      </c>
      <c r="G324" s="166" t="str">
        <f>IF($A324&gt;MIN($A$10,$A$2),"",IF($A324&lt;200,"n.a.",IF(COUNT(INDEX(StockDaily[Adjusted close],MAX(1,$A324-200+1)):E324)=200,AVERAGE(INDEX(StockDaily[Adjusted close],MAX(1,$A324-200+1)):E324),"n.a.")))</f>
        <v/>
      </c>
      <c r="H324" s="136" t="str">
        <f>IF($A324&gt;MIN($A$10,$A$2),"",IF($A$5="","Choose stock",IF(NOT($A$12),"Check split rule",IF(NOT(ISNUMBER(B324)),"Invalid date",IF(OR(B324&lt;=0,B324&lt;&gt;INT(B324)),"Invalid date",IF(COUNTIFS(DemoHistory[Date],B324)&lt;&gt;1,"Duplicate date",IF(AND($A324&gt;1,B324&lt;=B323),"Dates out of order",IF(NOT(ISNUMBER(C324)),"Missing price",IF(C324&lt;=0,"Nonpositive price","OK")))))))))</f>
        <v/>
      </c>
      <c r="I324" s="136"/>
      <c r="J324" s="136"/>
      <c r="K324" s="136"/>
      <c r="L324" s="136"/>
      <c r="M324" s="136"/>
      <c r="N324" s="136" t="e">
        <f t="shared" si="13"/>
        <v>#N/A</v>
      </c>
      <c r="O324" s="136" t="e">
        <f t="shared" si="14"/>
        <v>#N/A</v>
      </c>
    </row>
    <row r="325" spans="1:15" ht="22" customHeight="1" x14ac:dyDescent="0.35">
      <c r="A325" s="136">
        <v>281</v>
      </c>
      <c r="B325" s="165" t="str">
        <f>IF($A325&gt;MIN($A$10,$A$2),"",INDEX(DemoHistory[Date],$A325))</f>
        <v/>
      </c>
      <c r="C325" s="166" t="str">
        <f>IF(OR($A325&gt;MIN($A$10,$A$2),$A$5=""),"",INDEX(DemoHistory[],$A325,MATCH($A$5,DemoHistory[#Headers],0)))</f>
        <v/>
      </c>
      <c r="D325" s="166" t="str">
        <f>IF($A325&gt;MIN($A$10,$A$2),"",IF(AND($A$12,$A$6=1,B325&lt;$A$7,$A$7&lt;=MAX(DemoHistory[Date])),$A$8,1))</f>
        <v/>
      </c>
      <c r="E325" s="166" t="str">
        <f t="shared" si="12"/>
        <v/>
      </c>
      <c r="F325" s="166" t="str">
        <f>IF($A325&gt;MIN($A$10,$A$2),"",IF($A325&lt;50,"n.a.",IF(COUNT(INDEX(StockDaily[Adjusted close],MAX(1,$A325-50+1)):E325)=50,AVERAGE(INDEX(StockDaily[Adjusted close],MAX(1,$A325-50+1)):E325),"n.a.")))</f>
        <v/>
      </c>
      <c r="G325" s="166" t="str">
        <f>IF($A325&gt;MIN($A$10,$A$2),"",IF($A325&lt;200,"n.a.",IF(COUNT(INDEX(StockDaily[Adjusted close],MAX(1,$A325-200+1)):E325)=200,AVERAGE(INDEX(StockDaily[Adjusted close],MAX(1,$A325-200+1)):E325),"n.a.")))</f>
        <v/>
      </c>
      <c r="H325" s="136" t="str">
        <f>IF($A325&gt;MIN($A$10,$A$2),"",IF($A$5="","Choose stock",IF(NOT($A$12),"Check split rule",IF(NOT(ISNUMBER(B325)),"Invalid date",IF(OR(B325&lt;=0,B325&lt;&gt;INT(B325)),"Invalid date",IF(COUNTIFS(DemoHistory[Date],B325)&lt;&gt;1,"Duplicate date",IF(AND($A325&gt;1,B325&lt;=B324),"Dates out of order",IF(NOT(ISNUMBER(C325)),"Missing price",IF(C325&lt;=0,"Nonpositive price","OK")))))))))</f>
        <v/>
      </c>
      <c r="I325" s="136"/>
      <c r="J325" s="136"/>
      <c r="K325" s="136"/>
      <c r="L325" s="136"/>
      <c r="M325" s="136"/>
      <c r="N325" s="136" t="e">
        <f t="shared" si="13"/>
        <v>#N/A</v>
      </c>
      <c r="O325" s="136" t="e">
        <f t="shared" si="14"/>
        <v>#N/A</v>
      </c>
    </row>
    <row r="326" spans="1:15" ht="22" customHeight="1" x14ac:dyDescent="0.35">
      <c r="A326" s="136">
        <v>282</v>
      </c>
      <c r="B326" s="165" t="str">
        <f>IF($A326&gt;MIN($A$10,$A$2),"",INDEX(DemoHistory[Date],$A326))</f>
        <v/>
      </c>
      <c r="C326" s="166" t="str">
        <f>IF(OR($A326&gt;MIN($A$10,$A$2),$A$5=""),"",INDEX(DemoHistory[],$A326,MATCH($A$5,DemoHistory[#Headers],0)))</f>
        <v/>
      </c>
      <c r="D326" s="166" t="str">
        <f>IF($A326&gt;MIN($A$10,$A$2),"",IF(AND($A$12,$A$6=1,B326&lt;$A$7,$A$7&lt;=MAX(DemoHistory[Date])),$A$8,1))</f>
        <v/>
      </c>
      <c r="E326" s="166" t="str">
        <f t="shared" si="12"/>
        <v/>
      </c>
      <c r="F326" s="166" t="str">
        <f>IF($A326&gt;MIN($A$10,$A$2),"",IF($A326&lt;50,"n.a.",IF(COUNT(INDEX(StockDaily[Adjusted close],MAX(1,$A326-50+1)):E326)=50,AVERAGE(INDEX(StockDaily[Adjusted close],MAX(1,$A326-50+1)):E326),"n.a.")))</f>
        <v/>
      </c>
      <c r="G326" s="166" t="str">
        <f>IF($A326&gt;MIN($A$10,$A$2),"",IF($A326&lt;200,"n.a.",IF(COUNT(INDEX(StockDaily[Adjusted close],MAX(1,$A326-200+1)):E326)=200,AVERAGE(INDEX(StockDaily[Adjusted close],MAX(1,$A326-200+1)):E326),"n.a.")))</f>
        <v/>
      </c>
      <c r="H326" s="136" t="str">
        <f>IF($A326&gt;MIN($A$10,$A$2),"",IF($A$5="","Choose stock",IF(NOT($A$12),"Check split rule",IF(NOT(ISNUMBER(B326)),"Invalid date",IF(OR(B326&lt;=0,B326&lt;&gt;INT(B326)),"Invalid date",IF(COUNTIFS(DemoHistory[Date],B326)&lt;&gt;1,"Duplicate date",IF(AND($A326&gt;1,B326&lt;=B325),"Dates out of order",IF(NOT(ISNUMBER(C326)),"Missing price",IF(C326&lt;=0,"Nonpositive price","OK")))))))))</f>
        <v/>
      </c>
      <c r="I326" s="136"/>
      <c r="J326" s="136"/>
      <c r="K326" s="136"/>
      <c r="L326" s="136"/>
      <c r="M326" s="136"/>
      <c r="N326" s="136" t="e">
        <f t="shared" si="13"/>
        <v>#N/A</v>
      </c>
      <c r="O326" s="136" t="e">
        <f t="shared" si="14"/>
        <v>#N/A</v>
      </c>
    </row>
    <row r="327" spans="1:15" ht="22" customHeight="1" x14ac:dyDescent="0.35">
      <c r="A327" s="136">
        <v>283</v>
      </c>
      <c r="B327" s="165" t="str">
        <f>IF($A327&gt;MIN($A$10,$A$2),"",INDEX(DemoHistory[Date],$A327))</f>
        <v/>
      </c>
      <c r="C327" s="166" t="str">
        <f>IF(OR($A327&gt;MIN($A$10,$A$2),$A$5=""),"",INDEX(DemoHistory[],$A327,MATCH($A$5,DemoHistory[#Headers],0)))</f>
        <v/>
      </c>
      <c r="D327" s="166" t="str">
        <f>IF($A327&gt;MIN($A$10,$A$2),"",IF(AND($A$12,$A$6=1,B327&lt;$A$7,$A$7&lt;=MAX(DemoHistory[Date])),$A$8,1))</f>
        <v/>
      </c>
      <c r="E327" s="166" t="str">
        <f t="shared" si="12"/>
        <v/>
      </c>
      <c r="F327" s="166" t="str">
        <f>IF($A327&gt;MIN($A$10,$A$2),"",IF($A327&lt;50,"n.a.",IF(COUNT(INDEX(StockDaily[Adjusted close],MAX(1,$A327-50+1)):E327)=50,AVERAGE(INDEX(StockDaily[Adjusted close],MAX(1,$A327-50+1)):E327),"n.a.")))</f>
        <v/>
      </c>
      <c r="G327" s="166" t="str">
        <f>IF($A327&gt;MIN($A$10,$A$2),"",IF($A327&lt;200,"n.a.",IF(COUNT(INDEX(StockDaily[Adjusted close],MAX(1,$A327-200+1)):E327)=200,AVERAGE(INDEX(StockDaily[Adjusted close],MAX(1,$A327-200+1)):E327),"n.a.")))</f>
        <v/>
      </c>
      <c r="H327" s="136" t="str">
        <f>IF($A327&gt;MIN($A$10,$A$2),"",IF($A$5="","Choose stock",IF(NOT($A$12),"Check split rule",IF(NOT(ISNUMBER(B327)),"Invalid date",IF(OR(B327&lt;=0,B327&lt;&gt;INT(B327)),"Invalid date",IF(COUNTIFS(DemoHistory[Date],B327)&lt;&gt;1,"Duplicate date",IF(AND($A327&gt;1,B327&lt;=B326),"Dates out of order",IF(NOT(ISNUMBER(C327)),"Missing price",IF(C327&lt;=0,"Nonpositive price","OK")))))))))</f>
        <v/>
      </c>
      <c r="I327" s="136"/>
      <c r="J327" s="136"/>
      <c r="K327" s="136"/>
      <c r="L327" s="136"/>
      <c r="M327" s="136"/>
      <c r="N327" s="136" t="e">
        <f t="shared" si="13"/>
        <v>#N/A</v>
      </c>
      <c r="O327" s="136" t="e">
        <f t="shared" si="14"/>
        <v>#N/A</v>
      </c>
    </row>
    <row r="328" spans="1:15" ht="22" customHeight="1" x14ac:dyDescent="0.35">
      <c r="A328" s="136">
        <v>284</v>
      </c>
      <c r="B328" s="165" t="str">
        <f>IF($A328&gt;MIN($A$10,$A$2),"",INDEX(DemoHistory[Date],$A328))</f>
        <v/>
      </c>
      <c r="C328" s="166" t="str">
        <f>IF(OR($A328&gt;MIN($A$10,$A$2),$A$5=""),"",INDEX(DemoHistory[],$A328,MATCH($A$5,DemoHistory[#Headers],0)))</f>
        <v/>
      </c>
      <c r="D328" s="166" t="str">
        <f>IF($A328&gt;MIN($A$10,$A$2),"",IF(AND($A$12,$A$6=1,B328&lt;$A$7,$A$7&lt;=MAX(DemoHistory[Date])),$A$8,1))</f>
        <v/>
      </c>
      <c r="E328" s="166" t="str">
        <f t="shared" si="12"/>
        <v/>
      </c>
      <c r="F328" s="166" t="str">
        <f>IF($A328&gt;MIN($A$10,$A$2),"",IF($A328&lt;50,"n.a.",IF(COUNT(INDEX(StockDaily[Adjusted close],MAX(1,$A328-50+1)):E328)=50,AVERAGE(INDEX(StockDaily[Adjusted close],MAX(1,$A328-50+1)):E328),"n.a.")))</f>
        <v/>
      </c>
      <c r="G328" s="166" t="str">
        <f>IF($A328&gt;MIN($A$10,$A$2),"",IF($A328&lt;200,"n.a.",IF(COUNT(INDEX(StockDaily[Adjusted close],MAX(1,$A328-200+1)):E328)=200,AVERAGE(INDEX(StockDaily[Adjusted close],MAX(1,$A328-200+1)):E328),"n.a.")))</f>
        <v/>
      </c>
      <c r="H328" s="136" t="str">
        <f>IF($A328&gt;MIN($A$10,$A$2),"",IF($A$5="","Choose stock",IF(NOT($A$12),"Check split rule",IF(NOT(ISNUMBER(B328)),"Invalid date",IF(OR(B328&lt;=0,B328&lt;&gt;INT(B328)),"Invalid date",IF(COUNTIFS(DemoHistory[Date],B328)&lt;&gt;1,"Duplicate date",IF(AND($A328&gt;1,B328&lt;=B327),"Dates out of order",IF(NOT(ISNUMBER(C328)),"Missing price",IF(C328&lt;=0,"Nonpositive price","OK")))))))))</f>
        <v/>
      </c>
      <c r="I328" s="136"/>
      <c r="J328" s="136"/>
      <c r="K328" s="136"/>
      <c r="L328" s="136"/>
      <c r="M328" s="136"/>
      <c r="N328" s="136" t="e">
        <f t="shared" si="13"/>
        <v>#N/A</v>
      </c>
      <c r="O328" s="136" t="e">
        <f t="shared" si="14"/>
        <v>#N/A</v>
      </c>
    </row>
    <row r="329" spans="1:15" ht="22" customHeight="1" x14ac:dyDescent="0.35">
      <c r="A329" s="136">
        <v>285</v>
      </c>
      <c r="B329" s="165" t="str">
        <f>IF($A329&gt;MIN($A$10,$A$2),"",INDEX(DemoHistory[Date],$A329))</f>
        <v/>
      </c>
      <c r="C329" s="166" t="str">
        <f>IF(OR($A329&gt;MIN($A$10,$A$2),$A$5=""),"",INDEX(DemoHistory[],$A329,MATCH($A$5,DemoHistory[#Headers],0)))</f>
        <v/>
      </c>
      <c r="D329" s="166" t="str">
        <f>IF($A329&gt;MIN($A$10,$A$2),"",IF(AND($A$12,$A$6=1,B329&lt;$A$7,$A$7&lt;=MAX(DemoHistory[Date])),$A$8,1))</f>
        <v/>
      </c>
      <c r="E329" s="166" t="str">
        <f t="shared" si="12"/>
        <v/>
      </c>
      <c r="F329" s="166" t="str">
        <f>IF($A329&gt;MIN($A$10,$A$2),"",IF($A329&lt;50,"n.a.",IF(COUNT(INDEX(StockDaily[Adjusted close],MAX(1,$A329-50+1)):E329)=50,AVERAGE(INDEX(StockDaily[Adjusted close],MAX(1,$A329-50+1)):E329),"n.a.")))</f>
        <v/>
      </c>
      <c r="G329" s="166" t="str">
        <f>IF($A329&gt;MIN($A$10,$A$2),"",IF($A329&lt;200,"n.a.",IF(COUNT(INDEX(StockDaily[Adjusted close],MAX(1,$A329-200+1)):E329)=200,AVERAGE(INDEX(StockDaily[Adjusted close],MAX(1,$A329-200+1)):E329),"n.a.")))</f>
        <v/>
      </c>
      <c r="H329" s="136" t="str">
        <f>IF($A329&gt;MIN($A$10,$A$2),"",IF($A$5="","Choose stock",IF(NOT($A$12),"Check split rule",IF(NOT(ISNUMBER(B329)),"Invalid date",IF(OR(B329&lt;=0,B329&lt;&gt;INT(B329)),"Invalid date",IF(COUNTIFS(DemoHistory[Date],B329)&lt;&gt;1,"Duplicate date",IF(AND($A329&gt;1,B329&lt;=B328),"Dates out of order",IF(NOT(ISNUMBER(C329)),"Missing price",IF(C329&lt;=0,"Nonpositive price","OK")))))))))</f>
        <v/>
      </c>
      <c r="I329" s="136"/>
      <c r="J329" s="136"/>
      <c r="K329" s="136"/>
      <c r="L329" s="136"/>
      <c r="M329" s="136"/>
      <c r="N329" s="136" t="e">
        <f t="shared" si="13"/>
        <v>#N/A</v>
      </c>
      <c r="O329" s="136" t="e">
        <f t="shared" si="14"/>
        <v>#N/A</v>
      </c>
    </row>
    <row r="330" spans="1:15" ht="22" customHeight="1" x14ac:dyDescent="0.35">
      <c r="A330" s="136">
        <v>286</v>
      </c>
      <c r="B330" s="165" t="str">
        <f>IF($A330&gt;MIN($A$10,$A$2),"",INDEX(DemoHistory[Date],$A330))</f>
        <v/>
      </c>
      <c r="C330" s="166" t="str">
        <f>IF(OR($A330&gt;MIN($A$10,$A$2),$A$5=""),"",INDEX(DemoHistory[],$A330,MATCH($A$5,DemoHistory[#Headers],0)))</f>
        <v/>
      </c>
      <c r="D330" s="166" t="str">
        <f>IF($A330&gt;MIN($A$10,$A$2),"",IF(AND($A$12,$A$6=1,B330&lt;$A$7,$A$7&lt;=MAX(DemoHistory[Date])),$A$8,1))</f>
        <v/>
      </c>
      <c r="E330" s="166" t="str">
        <f t="shared" si="12"/>
        <v/>
      </c>
      <c r="F330" s="166" t="str">
        <f>IF($A330&gt;MIN($A$10,$A$2),"",IF($A330&lt;50,"n.a.",IF(COUNT(INDEX(StockDaily[Adjusted close],MAX(1,$A330-50+1)):E330)=50,AVERAGE(INDEX(StockDaily[Adjusted close],MAX(1,$A330-50+1)):E330),"n.a.")))</f>
        <v/>
      </c>
      <c r="G330" s="166" t="str">
        <f>IF($A330&gt;MIN($A$10,$A$2),"",IF($A330&lt;200,"n.a.",IF(COUNT(INDEX(StockDaily[Adjusted close],MAX(1,$A330-200+1)):E330)=200,AVERAGE(INDEX(StockDaily[Adjusted close],MAX(1,$A330-200+1)):E330),"n.a.")))</f>
        <v/>
      </c>
      <c r="H330" s="136" t="str">
        <f>IF($A330&gt;MIN($A$10,$A$2),"",IF($A$5="","Choose stock",IF(NOT($A$12),"Check split rule",IF(NOT(ISNUMBER(B330)),"Invalid date",IF(OR(B330&lt;=0,B330&lt;&gt;INT(B330)),"Invalid date",IF(COUNTIFS(DemoHistory[Date],B330)&lt;&gt;1,"Duplicate date",IF(AND($A330&gt;1,B330&lt;=B329),"Dates out of order",IF(NOT(ISNUMBER(C330)),"Missing price",IF(C330&lt;=0,"Nonpositive price","OK")))))))))</f>
        <v/>
      </c>
      <c r="I330" s="136"/>
      <c r="J330" s="136"/>
      <c r="K330" s="136"/>
      <c r="L330" s="136"/>
      <c r="M330" s="136"/>
      <c r="N330" s="136" t="e">
        <f t="shared" si="13"/>
        <v>#N/A</v>
      </c>
      <c r="O330" s="136" t="e">
        <f t="shared" si="14"/>
        <v>#N/A</v>
      </c>
    </row>
    <row r="331" spans="1:15" ht="22" customHeight="1" x14ac:dyDescent="0.35">
      <c r="A331" s="136">
        <v>287</v>
      </c>
      <c r="B331" s="165" t="str">
        <f>IF($A331&gt;MIN($A$10,$A$2),"",INDEX(DemoHistory[Date],$A331))</f>
        <v/>
      </c>
      <c r="C331" s="166" t="str">
        <f>IF(OR($A331&gt;MIN($A$10,$A$2),$A$5=""),"",INDEX(DemoHistory[],$A331,MATCH($A$5,DemoHistory[#Headers],0)))</f>
        <v/>
      </c>
      <c r="D331" s="166" t="str">
        <f>IF($A331&gt;MIN($A$10,$A$2),"",IF(AND($A$12,$A$6=1,B331&lt;$A$7,$A$7&lt;=MAX(DemoHistory[Date])),$A$8,1))</f>
        <v/>
      </c>
      <c r="E331" s="166" t="str">
        <f t="shared" si="12"/>
        <v/>
      </c>
      <c r="F331" s="166" t="str">
        <f>IF($A331&gt;MIN($A$10,$A$2),"",IF($A331&lt;50,"n.a.",IF(COUNT(INDEX(StockDaily[Adjusted close],MAX(1,$A331-50+1)):E331)=50,AVERAGE(INDEX(StockDaily[Adjusted close],MAX(1,$A331-50+1)):E331),"n.a.")))</f>
        <v/>
      </c>
      <c r="G331" s="166" t="str">
        <f>IF($A331&gt;MIN($A$10,$A$2),"",IF($A331&lt;200,"n.a.",IF(COUNT(INDEX(StockDaily[Adjusted close],MAX(1,$A331-200+1)):E331)=200,AVERAGE(INDEX(StockDaily[Adjusted close],MAX(1,$A331-200+1)):E331),"n.a.")))</f>
        <v/>
      </c>
      <c r="H331" s="136" t="str">
        <f>IF($A331&gt;MIN($A$10,$A$2),"",IF($A$5="","Choose stock",IF(NOT($A$12),"Check split rule",IF(NOT(ISNUMBER(B331)),"Invalid date",IF(OR(B331&lt;=0,B331&lt;&gt;INT(B331)),"Invalid date",IF(COUNTIFS(DemoHistory[Date],B331)&lt;&gt;1,"Duplicate date",IF(AND($A331&gt;1,B331&lt;=B330),"Dates out of order",IF(NOT(ISNUMBER(C331)),"Missing price",IF(C331&lt;=0,"Nonpositive price","OK")))))))))</f>
        <v/>
      </c>
      <c r="I331" s="136"/>
      <c r="J331" s="136"/>
      <c r="K331" s="136"/>
      <c r="L331" s="136"/>
      <c r="M331" s="136"/>
      <c r="N331" s="136" t="e">
        <f t="shared" si="13"/>
        <v>#N/A</v>
      </c>
      <c r="O331" s="136" t="e">
        <f t="shared" si="14"/>
        <v>#N/A</v>
      </c>
    </row>
    <row r="332" spans="1:15" ht="22" customHeight="1" x14ac:dyDescent="0.35">
      <c r="A332" s="136">
        <v>288</v>
      </c>
      <c r="B332" s="165" t="str">
        <f>IF($A332&gt;MIN($A$10,$A$2),"",INDEX(DemoHistory[Date],$A332))</f>
        <v/>
      </c>
      <c r="C332" s="166" t="str">
        <f>IF(OR($A332&gt;MIN($A$10,$A$2),$A$5=""),"",INDEX(DemoHistory[],$A332,MATCH($A$5,DemoHistory[#Headers],0)))</f>
        <v/>
      </c>
      <c r="D332" s="166" t="str">
        <f>IF($A332&gt;MIN($A$10,$A$2),"",IF(AND($A$12,$A$6=1,B332&lt;$A$7,$A$7&lt;=MAX(DemoHistory[Date])),$A$8,1))</f>
        <v/>
      </c>
      <c r="E332" s="166" t="str">
        <f t="shared" si="12"/>
        <v/>
      </c>
      <c r="F332" s="166" t="str">
        <f>IF($A332&gt;MIN($A$10,$A$2),"",IF($A332&lt;50,"n.a.",IF(COUNT(INDEX(StockDaily[Adjusted close],MAX(1,$A332-50+1)):E332)=50,AVERAGE(INDEX(StockDaily[Adjusted close],MAX(1,$A332-50+1)):E332),"n.a.")))</f>
        <v/>
      </c>
      <c r="G332" s="166" t="str">
        <f>IF($A332&gt;MIN($A$10,$A$2),"",IF($A332&lt;200,"n.a.",IF(COUNT(INDEX(StockDaily[Adjusted close],MAX(1,$A332-200+1)):E332)=200,AVERAGE(INDEX(StockDaily[Adjusted close],MAX(1,$A332-200+1)):E332),"n.a.")))</f>
        <v/>
      </c>
      <c r="H332" s="136" t="str">
        <f>IF($A332&gt;MIN($A$10,$A$2),"",IF($A$5="","Choose stock",IF(NOT($A$12),"Check split rule",IF(NOT(ISNUMBER(B332)),"Invalid date",IF(OR(B332&lt;=0,B332&lt;&gt;INT(B332)),"Invalid date",IF(COUNTIFS(DemoHistory[Date],B332)&lt;&gt;1,"Duplicate date",IF(AND($A332&gt;1,B332&lt;=B331),"Dates out of order",IF(NOT(ISNUMBER(C332)),"Missing price",IF(C332&lt;=0,"Nonpositive price","OK")))))))))</f>
        <v/>
      </c>
      <c r="I332" s="136"/>
      <c r="J332" s="136"/>
      <c r="K332" s="136"/>
      <c r="L332" s="136"/>
      <c r="M332" s="136"/>
      <c r="N332" s="136" t="e">
        <f t="shared" si="13"/>
        <v>#N/A</v>
      </c>
      <c r="O332" s="136" t="e">
        <f t="shared" si="14"/>
        <v>#N/A</v>
      </c>
    </row>
    <row r="333" spans="1:15" ht="22" customHeight="1" x14ac:dyDescent="0.35">
      <c r="A333" s="136">
        <v>289</v>
      </c>
      <c r="B333" s="165" t="str">
        <f>IF($A333&gt;MIN($A$10,$A$2),"",INDEX(DemoHistory[Date],$A333))</f>
        <v/>
      </c>
      <c r="C333" s="166" t="str">
        <f>IF(OR($A333&gt;MIN($A$10,$A$2),$A$5=""),"",INDEX(DemoHistory[],$A333,MATCH($A$5,DemoHistory[#Headers],0)))</f>
        <v/>
      </c>
      <c r="D333" s="166" t="str">
        <f>IF($A333&gt;MIN($A$10,$A$2),"",IF(AND($A$12,$A$6=1,B333&lt;$A$7,$A$7&lt;=MAX(DemoHistory[Date])),$A$8,1))</f>
        <v/>
      </c>
      <c r="E333" s="166" t="str">
        <f t="shared" si="12"/>
        <v/>
      </c>
      <c r="F333" s="166" t="str">
        <f>IF($A333&gt;MIN($A$10,$A$2),"",IF($A333&lt;50,"n.a.",IF(COUNT(INDEX(StockDaily[Adjusted close],MAX(1,$A333-50+1)):E333)=50,AVERAGE(INDEX(StockDaily[Adjusted close],MAX(1,$A333-50+1)):E333),"n.a.")))</f>
        <v/>
      </c>
      <c r="G333" s="166" t="str">
        <f>IF($A333&gt;MIN($A$10,$A$2),"",IF($A333&lt;200,"n.a.",IF(COUNT(INDEX(StockDaily[Adjusted close],MAX(1,$A333-200+1)):E333)=200,AVERAGE(INDEX(StockDaily[Adjusted close],MAX(1,$A333-200+1)):E333),"n.a.")))</f>
        <v/>
      </c>
      <c r="H333" s="136" t="str">
        <f>IF($A333&gt;MIN($A$10,$A$2),"",IF($A$5="","Choose stock",IF(NOT($A$12),"Check split rule",IF(NOT(ISNUMBER(B333)),"Invalid date",IF(OR(B333&lt;=0,B333&lt;&gt;INT(B333)),"Invalid date",IF(COUNTIFS(DemoHistory[Date],B333)&lt;&gt;1,"Duplicate date",IF(AND($A333&gt;1,B333&lt;=B332),"Dates out of order",IF(NOT(ISNUMBER(C333)),"Missing price",IF(C333&lt;=0,"Nonpositive price","OK")))))))))</f>
        <v/>
      </c>
      <c r="I333" s="136"/>
      <c r="J333" s="136"/>
      <c r="K333" s="136"/>
      <c r="L333" s="136"/>
      <c r="M333" s="136"/>
      <c r="N333" s="136" t="e">
        <f t="shared" si="13"/>
        <v>#N/A</v>
      </c>
      <c r="O333" s="136" t="e">
        <f t="shared" si="14"/>
        <v>#N/A</v>
      </c>
    </row>
    <row r="334" spans="1:15" ht="22" customHeight="1" x14ac:dyDescent="0.35">
      <c r="A334" s="136">
        <v>290</v>
      </c>
      <c r="B334" s="165" t="str">
        <f>IF($A334&gt;MIN($A$10,$A$2),"",INDEX(DemoHistory[Date],$A334))</f>
        <v/>
      </c>
      <c r="C334" s="166" t="str">
        <f>IF(OR($A334&gt;MIN($A$10,$A$2),$A$5=""),"",INDEX(DemoHistory[],$A334,MATCH($A$5,DemoHistory[#Headers],0)))</f>
        <v/>
      </c>
      <c r="D334" s="166" t="str">
        <f>IF($A334&gt;MIN($A$10,$A$2),"",IF(AND($A$12,$A$6=1,B334&lt;$A$7,$A$7&lt;=MAX(DemoHistory[Date])),$A$8,1))</f>
        <v/>
      </c>
      <c r="E334" s="166" t="str">
        <f t="shared" si="12"/>
        <v/>
      </c>
      <c r="F334" s="166" t="str">
        <f>IF($A334&gt;MIN($A$10,$A$2),"",IF($A334&lt;50,"n.a.",IF(COUNT(INDEX(StockDaily[Adjusted close],MAX(1,$A334-50+1)):E334)=50,AVERAGE(INDEX(StockDaily[Adjusted close],MAX(1,$A334-50+1)):E334),"n.a.")))</f>
        <v/>
      </c>
      <c r="G334" s="166" t="str">
        <f>IF($A334&gt;MIN($A$10,$A$2),"",IF($A334&lt;200,"n.a.",IF(COUNT(INDEX(StockDaily[Adjusted close],MAX(1,$A334-200+1)):E334)=200,AVERAGE(INDEX(StockDaily[Adjusted close],MAX(1,$A334-200+1)):E334),"n.a.")))</f>
        <v/>
      </c>
      <c r="H334" s="136" t="str">
        <f>IF($A334&gt;MIN($A$10,$A$2),"",IF($A$5="","Choose stock",IF(NOT($A$12),"Check split rule",IF(NOT(ISNUMBER(B334)),"Invalid date",IF(OR(B334&lt;=0,B334&lt;&gt;INT(B334)),"Invalid date",IF(COUNTIFS(DemoHistory[Date],B334)&lt;&gt;1,"Duplicate date",IF(AND($A334&gt;1,B334&lt;=B333),"Dates out of order",IF(NOT(ISNUMBER(C334)),"Missing price",IF(C334&lt;=0,"Nonpositive price","OK")))))))))</f>
        <v/>
      </c>
      <c r="I334" s="136"/>
      <c r="J334" s="136"/>
      <c r="K334" s="136"/>
      <c r="L334" s="136"/>
      <c r="M334" s="136"/>
      <c r="N334" s="136" t="e">
        <f t="shared" si="13"/>
        <v>#N/A</v>
      </c>
      <c r="O334" s="136" t="e">
        <f t="shared" si="14"/>
        <v>#N/A</v>
      </c>
    </row>
    <row r="335" spans="1:15" ht="22" customHeight="1" x14ac:dyDescent="0.35">
      <c r="A335" s="136">
        <v>291</v>
      </c>
      <c r="B335" s="165" t="str">
        <f>IF($A335&gt;MIN($A$10,$A$2),"",INDEX(DemoHistory[Date],$A335))</f>
        <v/>
      </c>
      <c r="C335" s="166" t="str">
        <f>IF(OR($A335&gt;MIN($A$10,$A$2),$A$5=""),"",INDEX(DemoHistory[],$A335,MATCH($A$5,DemoHistory[#Headers],0)))</f>
        <v/>
      </c>
      <c r="D335" s="166" t="str">
        <f>IF($A335&gt;MIN($A$10,$A$2),"",IF(AND($A$12,$A$6=1,B335&lt;$A$7,$A$7&lt;=MAX(DemoHistory[Date])),$A$8,1))</f>
        <v/>
      </c>
      <c r="E335" s="166" t="str">
        <f t="shared" si="12"/>
        <v/>
      </c>
      <c r="F335" s="166" t="str">
        <f>IF($A335&gt;MIN($A$10,$A$2),"",IF($A335&lt;50,"n.a.",IF(COUNT(INDEX(StockDaily[Adjusted close],MAX(1,$A335-50+1)):E335)=50,AVERAGE(INDEX(StockDaily[Adjusted close],MAX(1,$A335-50+1)):E335),"n.a.")))</f>
        <v/>
      </c>
      <c r="G335" s="166" t="str">
        <f>IF($A335&gt;MIN($A$10,$A$2),"",IF($A335&lt;200,"n.a.",IF(COUNT(INDEX(StockDaily[Adjusted close],MAX(1,$A335-200+1)):E335)=200,AVERAGE(INDEX(StockDaily[Adjusted close],MAX(1,$A335-200+1)):E335),"n.a.")))</f>
        <v/>
      </c>
      <c r="H335" s="136" t="str">
        <f>IF($A335&gt;MIN($A$10,$A$2),"",IF($A$5="","Choose stock",IF(NOT($A$12),"Check split rule",IF(NOT(ISNUMBER(B335)),"Invalid date",IF(OR(B335&lt;=0,B335&lt;&gt;INT(B335)),"Invalid date",IF(COUNTIFS(DemoHistory[Date],B335)&lt;&gt;1,"Duplicate date",IF(AND($A335&gt;1,B335&lt;=B334),"Dates out of order",IF(NOT(ISNUMBER(C335)),"Missing price",IF(C335&lt;=0,"Nonpositive price","OK")))))))))</f>
        <v/>
      </c>
      <c r="I335" s="136"/>
      <c r="J335" s="136"/>
      <c r="K335" s="136"/>
      <c r="L335" s="136"/>
      <c r="M335" s="136"/>
      <c r="N335" s="136" t="e">
        <f t="shared" si="13"/>
        <v>#N/A</v>
      </c>
      <c r="O335" s="136" t="e">
        <f t="shared" si="14"/>
        <v>#N/A</v>
      </c>
    </row>
    <row r="336" spans="1:15" ht="22" customHeight="1" x14ac:dyDescent="0.35">
      <c r="A336" s="136">
        <v>292</v>
      </c>
      <c r="B336" s="165" t="str">
        <f>IF($A336&gt;MIN($A$10,$A$2),"",INDEX(DemoHistory[Date],$A336))</f>
        <v/>
      </c>
      <c r="C336" s="166" t="str">
        <f>IF(OR($A336&gt;MIN($A$10,$A$2),$A$5=""),"",INDEX(DemoHistory[],$A336,MATCH($A$5,DemoHistory[#Headers],0)))</f>
        <v/>
      </c>
      <c r="D336" s="166" t="str">
        <f>IF($A336&gt;MIN($A$10,$A$2),"",IF(AND($A$12,$A$6=1,B336&lt;$A$7,$A$7&lt;=MAX(DemoHistory[Date])),$A$8,1))</f>
        <v/>
      </c>
      <c r="E336" s="166" t="str">
        <f t="shared" si="12"/>
        <v/>
      </c>
      <c r="F336" s="166" t="str">
        <f>IF($A336&gt;MIN($A$10,$A$2),"",IF($A336&lt;50,"n.a.",IF(COUNT(INDEX(StockDaily[Adjusted close],MAX(1,$A336-50+1)):E336)=50,AVERAGE(INDEX(StockDaily[Adjusted close],MAX(1,$A336-50+1)):E336),"n.a.")))</f>
        <v/>
      </c>
      <c r="G336" s="166" t="str">
        <f>IF($A336&gt;MIN($A$10,$A$2),"",IF($A336&lt;200,"n.a.",IF(COUNT(INDEX(StockDaily[Adjusted close],MAX(1,$A336-200+1)):E336)=200,AVERAGE(INDEX(StockDaily[Adjusted close],MAX(1,$A336-200+1)):E336),"n.a.")))</f>
        <v/>
      </c>
      <c r="H336" s="136" t="str">
        <f>IF($A336&gt;MIN($A$10,$A$2),"",IF($A$5="","Choose stock",IF(NOT($A$12),"Check split rule",IF(NOT(ISNUMBER(B336)),"Invalid date",IF(OR(B336&lt;=0,B336&lt;&gt;INT(B336)),"Invalid date",IF(COUNTIFS(DemoHistory[Date],B336)&lt;&gt;1,"Duplicate date",IF(AND($A336&gt;1,B336&lt;=B335),"Dates out of order",IF(NOT(ISNUMBER(C336)),"Missing price",IF(C336&lt;=0,"Nonpositive price","OK")))))))))</f>
        <v/>
      </c>
      <c r="I336" s="136"/>
      <c r="J336" s="136"/>
      <c r="K336" s="136"/>
      <c r="L336" s="136"/>
      <c r="M336" s="136"/>
      <c r="N336" s="136" t="e">
        <f t="shared" si="13"/>
        <v>#N/A</v>
      </c>
      <c r="O336" s="136" t="e">
        <f t="shared" si="14"/>
        <v>#N/A</v>
      </c>
    </row>
    <row r="337" spans="1:15" ht="22" customHeight="1" x14ac:dyDescent="0.35">
      <c r="A337" s="136">
        <v>293</v>
      </c>
      <c r="B337" s="165" t="str">
        <f>IF($A337&gt;MIN($A$10,$A$2),"",INDEX(DemoHistory[Date],$A337))</f>
        <v/>
      </c>
      <c r="C337" s="166" t="str">
        <f>IF(OR($A337&gt;MIN($A$10,$A$2),$A$5=""),"",INDEX(DemoHistory[],$A337,MATCH($A$5,DemoHistory[#Headers],0)))</f>
        <v/>
      </c>
      <c r="D337" s="166" t="str">
        <f>IF($A337&gt;MIN($A$10,$A$2),"",IF(AND($A$12,$A$6=1,B337&lt;$A$7,$A$7&lt;=MAX(DemoHistory[Date])),$A$8,1))</f>
        <v/>
      </c>
      <c r="E337" s="166" t="str">
        <f t="shared" si="12"/>
        <v/>
      </c>
      <c r="F337" s="166" t="str">
        <f>IF($A337&gt;MIN($A$10,$A$2),"",IF($A337&lt;50,"n.a.",IF(COUNT(INDEX(StockDaily[Adjusted close],MAX(1,$A337-50+1)):E337)=50,AVERAGE(INDEX(StockDaily[Adjusted close],MAX(1,$A337-50+1)):E337),"n.a.")))</f>
        <v/>
      </c>
      <c r="G337" s="166" t="str">
        <f>IF($A337&gt;MIN($A$10,$A$2),"",IF($A337&lt;200,"n.a.",IF(COUNT(INDEX(StockDaily[Adjusted close],MAX(1,$A337-200+1)):E337)=200,AVERAGE(INDEX(StockDaily[Adjusted close],MAX(1,$A337-200+1)):E337),"n.a.")))</f>
        <v/>
      </c>
      <c r="H337" s="136" t="str">
        <f>IF($A337&gt;MIN($A$10,$A$2),"",IF($A$5="","Choose stock",IF(NOT($A$12),"Check split rule",IF(NOT(ISNUMBER(B337)),"Invalid date",IF(OR(B337&lt;=0,B337&lt;&gt;INT(B337)),"Invalid date",IF(COUNTIFS(DemoHistory[Date],B337)&lt;&gt;1,"Duplicate date",IF(AND($A337&gt;1,B337&lt;=B336),"Dates out of order",IF(NOT(ISNUMBER(C337)),"Missing price",IF(C337&lt;=0,"Nonpositive price","OK")))))))))</f>
        <v/>
      </c>
      <c r="I337" s="136"/>
      <c r="J337" s="136"/>
      <c r="K337" s="136"/>
      <c r="L337" s="136"/>
      <c r="M337" s="136"/>
      <c r="N337" s="136" t="e">
        <f t="shared" si="13"/>
        <v>#N/A</v>
      </c>
      <c r="O337" s="136" t="e">
        <f t="shared" si="14"/>
        <v>#N/A</v>
      </c>
    </row>
    <row r="338" spans="1:15" ht="22" customHeight="1" x14ac:dyDescent="0.35">
      <c r="A338" s="136">
        <v>294</v>
      </c>
      <c r="B338" s="165" t="str">
        <f>IF($A338&gt;MIN($A$10,$A$2),"",INDEX(DemoHistory[Date],$A338))</f>
        <v/>
      </c>
      <c r="C338" s="166" t="str">
        <f>IF(OR($A338&gt;MIN($A$10,$A$2),$A$5=""),"",INDEX(DemoHistory[],$A338,MATCH($A$5,DemoHistory[#Headers],0)))</f>
        <v/>
      </c>
      <c r="D338" s="166" t="str">
        <f>IF($A338&gt;MIN($A$10,$A$2),"",IF(AND($A$12,$A$6=1,B338&lt;$A$7,$A$7&lt;=MAX(DemoHistory[Date])),$A$8,1))</f>
        <v/>
      </c>
      <c r="E338" s="166" t="str">
        <f t="shared" si="12"/>
        <v/>
      </c>
      <c r="F338" s="166" t="str">
        <f>IF($A338&gt;MIN($A$10,$A$2),"",IF($A338&lt;50,"n.a.",IF(COUNT(INDEX(StockDaily[Adjusted close],MAX(1,$A338-50+1)):E338)=50,AVERAGE(INDEX(StockDaily[Adjusted close],MAX(1,$A338-50+1)):E338),"n.a.")))</f>
        <v/>
      </c>
      <c r="G338" s="166" t="str">
        <f>IF($A338&gt;MIN($A$10,$A$2),"",IF($A338&lt;200,"n.a.",IF(COUNT(INDEX(StockDaily[Adjusted close],MAX(1,$A338-200+1)):E338)=200,AVERAGE(INDEX(StockDaily[Adjusted close],MAX(1,$A338-200+1)):E338),"n.a.")))</f>
        <v/>
      </c>
      <c r="H338" s="136" t="str">
        <f>IF($A338&gt;MIN($A$10,$A$2),"",IF($A$5="","Choose stock",IF(NOT($A$12),"Check split rule",IF(NOT(ISNUMBER(B338)),"Invalid date",IF(OR(B338&lt;=0,B338&lt;&gt;INT(B338)),"Invalid date",IF(COUNTIFS(DemoHistory[Date],B338)&lt;&gt;1,"Duplicate date",IF(AND($A338&gt;1,B338&lt;=B337),"Dates out of order",IF(NOT(ISNUMBER(C338)),"Missing price",IF(C338&lt;=0,"Nonpositive price","OK")))))))))</f>
        <v/>
      </c>
      <c r="I338" s="136"/>
      <c r="J338" s="136"/>
      <c r="K338" s="136"/>
      <c r="L338" s="136"/>
      <c r="M338" s="136"/>
      <c r="N338" s="136" t="e">
        <f t="shared" si="13"/>
        <v>#N/A</v>
      </c>
      <c r="O338" s="136" t="e">
        <f t="shared" si="14"/>
        <v>#N/A</v>
      </c>
    </row>
    <row r="339" spans="1:15" ht="22" customHeight="1" x14ac:dyDescent="0.35">
      <c r="A339" s="136">
        <v>295</v>
      </c>
      <c r="B339" s="165" t="str">
        <f>IF($A339&gt;MIN($A$10,$A$2),"",INDEX(DemoHistory[Date],$A339))</f>
        <v/>
      </c>
      <c r="C339" s="166" t="str">
        <f>IF(OR($A339&gt;MIN($A$10,$A$2),$A$5=""),"",INDEX(DemoHistory[],$A339,MATCH($A$5,DemoHistory[#Headers],0)))</f>
        <v/>
      </c>
      <c r="D339" s="166" t="str">
        <f>IF($A339&gt;MIN($A$10,$A$2),"",IF(AND($A$12,$A$6=1,B339&lt;$A$7,$A$7&lt;=MAX(DemoHistory[Date])),$A$8,1))</f>
        <v/>
      </c>
      <c r="E339" s="166" t="str">
        <f t="shared" si="12"/>
        <v/>
      </c>
      <c r="F339" s="166" t="str">
        <f>IF($A339&gt;MIN($A$10,$A$2),"",IF($A339&lt;50,"n.a.",IF(COUNT(INDEX(StockDaily[Adjusted close],MAX(1,$A339-50+1)):E339)=50,AVERAGE(INDEX(StockDaily[Adjusted close],MAX(1,$A339-50+1)):E339),"n.a.")))</f>
        <v/>
      </c>
      <c r="G339" s="166" t="str">
        <f>IF($A339&gt;MIN($A$10,$A$2),"",IF($A339&lt;200,"n.a.",IF(COUNT(INDEX(StockDaily[Adjusted close],MAX(1,$A339-200+1)):E339)=200,AVERAGE(INDEX(StockDaily[Adjusted close],MAX(1,$A339-200+1)):E339),"n.a.")))</f>
        <v/>
      </c>
      <c r="H339" s="136" t="str">
        <f>IF($A339&gt;MIN($A$10,$A$2),"",IF($A$5="","Choose stock",IF(NOT($A$12),"Check split rule",IF(NOT(ISNUMBER(B339)),"Invalid date",IF(OR(B339&lt;=0,B339&lt;&gt;INT(B339)),"Invalid date",IF(COUNTIFS(DemoHistory[Date],B339)&lt;&gt;1,"Duplicate date",IF(AND($A339&gt;1,B339&lt;=B338),"Dates out of order",IF(NOT(ISNUMBER(C339)),"Missing price",IF(C339&lt;=0,"Nonpositive price","OK")))))))))</f>
        <v/>
      </c>
      <c r="I339" s="136"/>
      <c r="J339" s="136"/>
      <c r="K339" s="136"/>
      <c r="L339" s="136"/>
      <c r="M339" s="136"/>
      <c r="N339" s="136" t="e">
        <f t="shared" si="13"/>
        <v>#N/A</v>
      </c>
      <c r="O339" s="136" t="e">
        <f t="shared" si="14"/>
        <v>#N/A</v>
      </c>
    </row>
    <row r="340" spans="1:15" ht="22" customHeight="1" x14ac:dyDescent="0.35">
      <c r="A340" s="136">
        <v>296</v>
      </c>
      <c r="B340" s="165" t="str">
        <f>IF($A340&gt;MIN($A$10,$A$2),"",INDEX(DemoHistory[Date],$A340))</f>
        <v/>
      </c>
      <c r="C340" s="166" t="str">
        <f>IF(OR($A340&gt;MIN($A$10,$A$2),$A$5=""),"",INDEX(DemoHistory[],$A340,MATCH($A$5,DemoHistory[#Headers],0)))</f>
        <v/>
      </c>
      <c r="D340" s="166" t="str">
        <f>IF($A340&gt;MIN($A$10,$A$2),"",IF(AND($A$12,$A$6=1,B340&lt;$A$7,$A$7&lt;=MAX(DemoHistory[Date])),$A$8,1))</f>
        <v/>
      </c>
      <c r="E340" s="166" t="str">
        <f t="shared" si="12"/>
        <v/>
      </c>
      <c r="F340" s="166" t="str">
        <f>IF($A340&gt;MIN($A$10,$A$2),"",IF($A340&lt;50,"n.a.",IF(COUNT(INDEX(StockDaily[Adjusted close],MAX(1,$A340-50+1)):E340)=50,AVERAGE(INDEX(StockDaily[Adjusted close],MAX(1,$A340-50+1)):E340),"n.a.")))</f>
        <v/>
      </c>
      <c r="G340" s="166" t="str">
        <f>IF($A340&gt;MIN($A$10,$A$2),"",IF($A340&lt;200,"n.a.",IF(COUNT(INDEX(StockDaily[Adjusted close],MAX(1,$A340-200+1)):E340)=200,AVERAGE(INDEX(StockDaily[Adjusted close],MAX(1,$A340-200+1)):E340),"n.a.")))</f>
        <v/>
      </c>
      <c r="H340" s="136" t="str">
        <f>IF($A340&gt;MIN($A$10,$A$2),"",IF($A$5="","Choose stock",IF(NOT($A$12),"Check split rule",IF(NOT(ISNUMBER(B340)),"Invalid date",IF(OR(B340&lt;=0,B340&lt;&gt;INT(B340)),"Invalid date",IF(COUNTIFS(DemoHistory[Date],B340)&lt;&gt;1,"Duplicate date",IF(AND($A340&gt;1,B340&lt;=B339),"Dates out of order",IF(NOT(ISNUMBER(C340)),"Missing price",IF(C340&lt;=0,"Nonpositive price","OK")))))))))</f>
        <v/>
      </c>
      <c r="I340" s="136"/>
      <c r="J340" s="136"/>
      <c r="K340" s="136"/>
      <c r="L340" s="136"/>
      <c r="M340" s="136"/>
      <c r="N340" s="136" t="e">
        <f t="shared" si="13"/>
        <v>#N/A</v>
      </c>
      <c r="O340" s="136" t="e">
        <f t="shared" si="14"/>
        <v>#N/A</v>
      </c>
    </row>
    <row r="341" spans="1:15" ht="22" customHeight="1" x14ac:dyDescent="0.35">
      <c r="A341" s="136">
        <v>297</v>
      </c>
      <c r="B341" s="165" t="str">
        <f>IF($A341&gt;MIN($A$10,$A$2),"",INDEX(DemoHistory[Date],$A341))</f>
        <v/>
      </c>
      <c r="C341" s="166" t="str">
        <f>IF(OR($A341&gt;MIN($A$10,$A$2),$A$5=""),"",INDEX(DemoHistory[],$A341,MATCH($A$5,DemoHistory[#Headers],0)))</f>
        <v/>
      </c>
      <c r="D341" s="166" t="str">
        <f>IF($A341&gt;MIN($A$10,$A$2),"",IF(AND($A$12,$A$6=1,B341&lt;$A$7,$A$7&lt;=MAX(DemoHistory[Date])),$A$8,1))</f>
        <v/>
      </c>
      <c r="E341" s="166" t="str">
        <f t="shared" si="12"/>
        <v/>
      </c>
      <c r="F341" s="166" t="str">
        <f>IF($A341&gt;MIN($A$10,$A$2),"",IF($A341&lt;50,"n.a.",IF(COUNT(INDEX(StockDaily[Adjusted close],MAX(1,$A341-50+1)):E341)=50,AVERAGE(INDEX(StockDaily[Adjusted close],MAX(1,$A341-50+1)):E341),"n.a.")))</f>
        <v/>
      </c>
      <c r="G341" s="166" t="str">
        <f>IF($A341&gt;MIN($A$10,$A$2),"",IF($A341&lt;200,"n.a.",IF(COUNT(INDEX(StockDaily[Adjusted close],MAX(1,$A341-200+1)):E341)=200,AVERAGE(INDEX(StockDaily[Adjusted close],MAX(1,$A341-200+1)):E341),"n.a.")))</f>
        <v/>
      </c>
      <c r="H341" s="136" t="str">
        <f>IF($A341&gt;MIN($A$10,$A$2),"",IF($A$5="","Choose stock",IF(NOT($A$12),"Check split rule",IF(NOT(ISNUMBER(B341)),"Invalid date",IF(OR(B341&lt;=0,B341&lt;&gt;INT(B341)),"Invalid date",IF(COUNTIFS(DemoHistory[Date],B341)&lt;&gt;1,"Duplicate date",IF(AND($A341&gt;1,B341&lt;=B340),"Dates out of order",IF(NOT(ISNUMBER(C341)),"Missing price",IF(C341&lt;=0,"Nonpositive price","OK")))))))))</f>
        <v/>
      </c>
      <c r="I341" s="136"/>
      <c r="J341" s="136"/>
      <c r="K341" s="136"/>
      <c r="L341" s="136"/>
      <c r="M341" s="136"/>
      <c r="N341" s="136" t="e">
        <f t="shared" si="13"/>
        <v>#N/A</v>
      </c>
      <c r="O341" s="136" t="e">
        <f t="shared" si="14"/>
        <v>#N/A</v>
      </c>
    </row>
    <row r="342" spans="1:15" ht="22" customHeight="1" x14ac:dyDescent="0.35">
      <c r="A342" s="136">
        <v>298</v>
      </c>
      <c r="B342" s="165" t="str">
        <f>IF($A342&gt;MIN($A$10,$A$2),"",INDEX(DemoHistory[Date],$A342))</f>
        <v/>
      </c>
      <c r="C342" s="166" t="str">
        <f>IF(OR($A342&gt;MIN($A$10,$A$2),$A$5=""),"",INDEX(DemoHistory[],$A342,MATCH($A$5,DemoHistory[#Headers],0)))</f>
        <v/>
      </c>
      <c r="D342" s="166" t="str">
        <f>IF($A342&gt;MIN($A$10,$A$2),"",IF(AND($A$12,$A$6=1,B342&lt;$A$7,$A$7&lt;=MAX(DemoHistory[Date])),$A$8,1))</f>
        <v/>
      </c>
      <c r="E342" s="166" t="str">
        <f t="shared" si="12"/>
        <v/>
      </c>
      <c r="F342" s="166" t="str">
        <f>IF($A342&gt;MIN($A$10,$A$2),"",IF($A342&lt;50,"n.a.",IF(COUNT(INDEX(StockDaily[Adjusted close],MAX(1,$A342-50+1)):E342)=50,AVERAGE(INDEX(StockDaily[Adjusted close],MAX(1,$A342-50+1)):E342),"n.a.")))</f>
        <v/>
      </c>
      <c r="G342" s="166" t="str">
        <f>IF($A342&gt;MIN($A$10,$A$2),"",IF($A342&lt;200,"n.a.",IF(COUNT(INDEX(StockDaily[Adjusted close],MAX(1,$A342-200+1)):E342)=200,AVERAGE(INDEX(StockDaily[Adjusted close],MAX(1,$A342-200+1)):E342),"n.a.")))</f>
        <v/>
      </c>
      <c r="H342" s="136" t="str">
        <f>IF($A342&gt;MIN($A$10,$A$2),"",IF($A$5="","Choose stock",IF(NOT($A$12),"Check split rule",IF(NOT(ISNUMBER(B342)),"Invalid date",IF(OR(B342&lt;=0,B342&lt;&gt;INT(B342)),"Invalid date",IF(COUNTIFS(DemoHistory[Date],B342)&lt;&gt;1,"Duplicate date",IF(AND($A342&gt;1,B342&lt;=B341),"Dates out of order",IF(NOT(ISNUMBER(C342)),"Missing price",IF(C342&lt;=0,"Nonpositive price","OK")))))))))</f>
        <v/>
      </c>
      <c r="I342" s="136"/>
      <c r="J342" s="136"/>
      <c r="K342" s="136"/>
      <c r="L342" s="136"/>
      <c r="M342" s="136"/>
      <c r="N342" s="136" t="e">
        <f t="shared" si="13"/>
        <v>#N/A</v>
      </c>
      <c r="O342" s="136" t="e">
        <f t="shared" si="14"/>
        <v>#N/A</v>
      </c>
    </row>
    <row r="343" spans="1:15" ht="22" customHeight="1" x14ac:dyDescent="0.35">
      <c r="A343" s="136">
        <v>299</v>
      </c>
      <c r="B343" s="165" t="str">
        <f>IF($A343&gt;MIN($A$10,$A$2),"",INDEX(DemoHistory[Date],$A343))</f>
        <v/>
      </c>
      <c r="C343" s="166" t="str">
        <f>IF(OR($A343&gt;MIN($A$10,$A$2),$A$5=""),"",INDEX(DemoHistory[],$A343,MATCH($A$5,DemoHistory[#Headers],0)))</f>
        <v/>
      </c>
      <c r="D343" s="166" t="str">
        <f>IF($A343&gt;MIN($A$10,$A$2),"",IF(AND($A$12,$A$6=1,B343&lt;$A$7,$A$7&lt;=MAX(DemoHistory[Date])),$A$8,1))</f>
        <v/>
      </c>
      <c r="E343" s="166" t="str">
        <f t="shared" si="12"/>
        <v/>
      </c>
      <c r="F343" s="166" t="str">
        <f>IF($A343&gt;MIN($A$10,$A$2),"",IF($A343&lt;50,"n.a.",IF(COUNT(INDEX(StockDaily[Adjusted close],MAX(1,$A343-50+1)):E343)=50,AVERAGE(INDEX(StockDaily[Adjusted close],MAX(1,$A343-50+1)):E343),"n.a.")))</f>
        <v/>
      </c>
      <c r="G343" s="166" t="str">
        <f>IF($A343&gt;MIN($A$10,$A$2),"",IF($A343&lt;200,"n.a.",IF(COUNT(INDEX(StockDaily[Adjusted close],MAX(1,$A343-200+1)):E343)=200,AVERAGE(INDEX(StockDaily[Adjusted close],MAX(1,$A343-200+1)):E343),"n.a.")))</f>
        <v/>
      </c>
      <c r="H343" s="136" t="str">
        <f>IF($A343&gt;MIN($A$10,$A$2),"",IF($A$5="","Choose stock",IF(NOT($A$12),"Check split rule",IF(NOT(ISNUMBER(B343)),"Invalid date",IF(OR(B343&lt;=0,B343&lt;&gt;INT(B343)),"Invalid date",IF(COUNTIFS(DemoHistory[Date],B343)&lt;&gt;1,"Duplicate date",IF(AND($A343&gt;1,B343&lt;=B342),"Dates out of order",IF(NOT(ISNUMBER(C343)),"Missing price",IF(C343&lt;=0,"Nonpositive price","OK")))))))))</f>
        <v/>
      </c>
      <c r="I343" s="136"/>
      <c r="J343" s="136"/>
      <c r="K343" s="136"/>
      <c r="L343" s="136"/>
      <c r="M343" s="136"/>
      <c r="N343" s="136" t="e">
        <f t="shared" si="13"/>
        <v>#N/A</v>
      </c>
      <c r="O343" s="136" t="e">
        <f t="shared" si="14"/>
        <v>#N/A</v>
      </c>
    </row>
    <row r="344" spans="1:15" ht="22" customHeight="1" x14ac:dyDescent="0.35">
      <c r="A344" s="136">
        <v>300</v>
      </c>
      <c r="B344" s="165" t="str">
        <f>IF($A344&gt;MIN($A$10,$A$2),"",INDEX(DemoHistory[Date],$A344))</f>
        <v/>
      </c>
      <c r="C344" s="166" t="str">
        <f>IF(OR($A344&gt;MIN($A$10,$A$2),$A$5=""),"",INDEX(DemoHistory[],$A344,MATCH($A$5,DemoHistory[#Headers],0)))</f>
        <v/>
      </c>
      <c r="D344" s="166" t="str">
        <f>IF($A344&gt;MIN($A$10,$A$2),"",IF(AND($A$12,$A$6=1,B344&lt;$A$7,$A$7&lt;=MAX(DemoHistory[Date])),$A$8,1))</f>
        <v/>
      </c>
      <c r="E344" s="166" t="str">
        <f t="shared" si="12"/>
        <v/>
      </c>
      <c r="F344" s="166" t="str">
        <f>IF($A344&gt;MIN($A$10,$A$2),"",IF($A344&lt;50,"n.a.",IF(COUNT(INDEX(StockDaily[Adjusted close],MAX(1,$A344-50+1)):E344)=50,AVERAGE(INDEX(StockDaily[Adjusted close],MAX(1,$A344-50+1)):E344),"n.a.")))</f>
        <v/>
      </c>
      <c r="G344" s="166" t="str">
        <f>IF($A344&gt;MIN($A$10,$A$2),"",IF($A344&lt;200,"n.a.",IF(COUNT(INDEX(StockDaily[Adjusted close],MAX(1,$A344-200+1)):E344)=200,AVERAGE(INDEX(StockDaily[Adjusted close],MAX(1,$A344-200+1)):E344),"n.a.")))</f>
        <v/>
      </c>
      <c r="H344" s="136" t="str">
        <f>IF($A344&gt;MIN($A$10,$A$2),"",IF($A$5="","Choose stock",IF(NOT($A$12),"Check split rule",IF(NOT(ISNUMBER(B344)),"Invalid date",IF(OR(B344&lt;=0,B344&lt;&gt;INT(B344)),"Invalid date",IF(COUNTIFS(DemoHistory[Date],B344)&lt;&gt;1,"Duplicate date",IF(AND($A344&gt;1,B344&lt;=B343),"Dates out of order",IF(NOT(ISNUMBER(C344)),"Missing price",IF(C344&lt;=0,"Nonpositive price","OK")))))))))</f>
        <v/>
      </c>
      <c r="I344" s="136"/>
      <c r="J344" s="136"/>
      <c r="K344" s="136"/>
      <c r="L344" s="136"/>
      <c r="M344" s="136"/>
      <c r="N344" s="136" t="e">
        <f t="shared" si="13"/>
        <v>#N/A</v>
      </c>
      <c r="O344" s="136" t="e">
        <f t="shared" si="14"/>
        <v>#N/A</v>
      </c>
    </row>
    <row r="345" spans="1:15" ht="22" customHeight="1" x14ac:dyDescent="0.35">
      <c r="A345" s="136">
        <v>301</v>
      </c>
      <c r="B345" s="165" t="str">
        <f>IF($A345&gt;MIN($A$10,$A$2),"",INDEX(DemoHistory[Date],$A345))</f>
        <v/>
      </c>
      <c r="C345" s="166" t="str">
        <f>IF(OR($A345&gt;MIN($A$10,$A$2),$A$5=""),"",INDEX(DemoHistory[],$A345,MATCH($A$5,DemoHistory[#Headers],0)))</f>
        <v/>
      </c>
      <c r="D345" s="166" t="str">
        <f>IF($A345&gt;MIN($A$10,$A$2),"",IF(AND($A$12,$A$6=1,B345&lt;$A$7,$A$7&lt;=MAX(DemoHistory[Date])),$A$8,1))</f>
        <v/>
      </c>
      <c r="E345" s="166" t="str">
        <f t="shared" si="12"/>
        <v/>
      </c>
      <c r="F345" s="166" t="str">
        <f>IF($A345&gt;MIN($A$10,$A$2),"",IF($A345&lt;50,"n.a.",IF(COUNT(INDEX(StockDaily[Adjusted close],MAX(1,$A345-50+1)):E345)=50,AVERAGE(INDEX(StockDaily[Adjusted close],MAX(1,$A345-50+1)):E345),"n.a.")))</f>
        <v/>
      </c>
      <c r="G345" s="166" t="str">
        <f>IF($A345&gt;MIN($A$10,$A$2),"",IF($A345&lt;200,"n.a.",IF(COUNT(INDEX(StockDaily[Adjusted close],MAX(1,$A345-200+1)):E345)=200,AVERAGE(INDEX(StockDaily[Adjusted close],MAX(1,$A345-200+1)):E345),"n.a.")))</f>
        <v/>
      </c>
      <c r="H345" s="136" t="str">
        <f>IF($A345&gt;MIN($A$10,$A$2),"",IF($A$5="","Choose stock",IF(NOT($A$12),"Check split rule",IF(NOT(ISNUMBER(B345)),"Invalid date",IF(OR(B345&lt;=0,B345&lt;&gt;INT(B345)),"Invalid date",IF(COUNTIFS(DemoHistory[Date],B345)&lt;&gt;1,"Duplicate date",IF(AND($A345&gt;1,B345&lt;=B344),"Dates out of order",IF(NOT(ISNUMBER(C345)),"Missing price",IF(C345&lt;=0,"Nonpositive price","OK")))))))))</f>
        <v/>
      </c>
      <c r="I345" s="136"/>
      <c r="J345" s="136"/>
      <c r="K345" s="136"/>
      <c r="L345" s="136"/>
      <c r="M345" s="136"/>
      <c r="N345" s="136" t="e">
        <f t="shared" si="13"/>
        <v>#N/A</v>
      </c>
      <c r="O345" s="136" t="e">
        <f t="shared" si="14"/>
        <v>#N/A</v>
      </c>
    </row>
    <row r="346" spans="1:15" ht="22" customHeight="1" x14ac:dyDescent="0.35">
      <c r="A346" s="136">
        <v>302</v>
      </c>
      <c r="B346" s="165" t="str">
        <f>IF($A346&gt;MIN($A$10,$A$2),"",INDEX(DemoHistory[Date],$A346))</f>
        <v/>
      </c>
      <c r="C346" s="166" t="str">
        <f>IF(OR($A346&gt;MIN($A$10,$A$2),$A$5=""),"",INDEX(DemoHistory[],$A346,MATCH($A$5,DemoHistory[#Headers],0)))</f>
        <v/>
      </c>
      <c r="D346" s="166" t="str">
        <f>IF($A346&gt;MIN($A$10,$A$2),"",IF(AND($A$12,$A$6=1,B346&lt;$A$7,$A$7&lt;=MAX(DemoHistory[Date])),$A$8,1))</f>
        <v/>
      </c>
      <c r="E346" s="166" t="str">
        <f t="shared" si="12"/>
        <v/>
      </c>
      <c r="F346" s="166" t="str">
        <f>IF($A346&gt;MIN($A$10,$A$2),"",IF($A346&lt;50,"n.a.",IF(COUNT(INDEX(StockDaily[Adjusted close],MAX(1,$A346-50+1)):E346)=50,AVERAGE(INDEX(StockDaily[Adjusted close],MAX(1,$A346-50+1)):E346),"n.a.")))</f>
        <v/>
      </c>
      <c r="G346" s="166" t="str">
        <f>IF($A346&gt;MIN($A$10,$A$2),"",IF($A346&lt;200,"n.a.",IF(COUNT(INDEX(StockDaily[Adjusted close],MAX(1,$A346-200+1)):E346)=200,AVERAGE(INDEX(StockDaily[Adjusted close],MAX(1,$A346-200+1)):E346),"n.a.")))</f>
        <v/>
      </c>
      <c r="H346" s="136" t="str">
        <f>IF($A346&gt;MIN($A$10,$A$2),"",IF($A$5="","Choose stock",IF(NOT($A$12),"Check split rule",IF(NOT(ISNUMBER(B346)),"Invalid date",IF(OR(B346&lt;=0,B346&lt;&gt;INT(B346)),"Invalid date",IF(COUNTIFS(DemoHistory[Date],B346)&lt;&gt;1,"Duplicate date",IF(AND($A346&gt;1,B346&lt;=B345),"Dates out of order",IF(NOT(ISNUMBER(C346)),"Missing price",IF(C346&lt;=0,"Nonpositive price","OK")))))))))</f>
        <v/>
      </c>
      <c r="I346" s="136"/>
      <c r="J346" s="136"/>
      <c r="K346" s="136"/>
      <c r="L346" s="136"/>
      <c r="M346" s="136"/>
      <c r="N346" s="136" t="e">
        <f t="shared" si="13"/>
        <v>#N/A</v>
      </c>
      <c r="O346" s="136" t="e">
        <f t="shared" si="14"/>
        <v>#N/A</v>
      </c>
    </row>
    <row r="347" spans="1:15" ht="22" customHeight="1" x14ac:dyDescent="0.35">
      <c r="A347" s="136">
        <v>303</v>
      </c>
      <c r="B347" s="165" t="str">
        <f>IF($A347&gt;MIN($A$10,$A$2),"",INDEX(DemoHistory[Date],$A347))</f>
        <v/>
      </c>
      <c r="C347" s="166" t="str">
        <f>IF(OR($A347&gt;MIN($A$10,$A$2),$A$5=""),"",INDEX(DemoHistory[],$A347,MATCH($A$5,DemoHistory[#Headers],0)))</f>
        <v/>
      </c>
      <c r="D347" s="166" t="str">
        <f>IF($A347&gt;MIN($A$10,$A$2),"",IF(AND($A$12,$A$6=1,B347&lt;$A$7,$A$7&lt;=MAX(DemoHistory[Date])),$A$8,1))</f>
        <v/>
      </c>
      <c r="E347" s="166" t="str">
        <f t="shared" si="12"/>
        <v/>
      </c>
      <c r="F347" s="166" t="str">
        <f>IF($A347&gt;MIN($A$10,$A$2),"",IF($A347&lt;50,"n.a.",IF(COUNT(INDEX(StockDaily[Adjusted close],MAX(1,$A347-50+1)):E347)=50,AVERAGE(INDEX(StockDaily[Adjusted close],MAX(1,$A347-50+1)):E347),"n.a.")))</f>
        <v/>
      </c>
      <c r="G347" s="166" t="str">
        <f>IF($A347&gt;MIN($A$10,$A$2),"",IF($A347&lt;200,"n.a.",IF(COUNT(INDEX(StockDaily[Adjusted close],MAX(1,$A347-200+1)):E347)=200,AVERAGE(INDEX(StockDaily[Adjusted close],MAX(1,$A347-200+1)):E347),"n.a.")))</f>
        <v/>
      </c>
      <c r="H347" s="136" t="str">
        <f>IF($A347&gt;MIN($A$10,$A$2),"",IF($A$5="","Choose stock",IF(NOT($A$12),"Check split rule",IF(NOT(ISNUMBER(B347)),"Invalid date",IF(OR(B347&lt;=0,B347&lt;&gt;INT(B347)),"Invalid date",IF(COUNTIFS(DemoHistory[Date],B347)&lt;&gt;1,"Duplicate date",IF(AND($A347&gt;1,B347&lt;=B346),"Dates out of order",IF(NOT(ISNUMBER(C347)),"Missing price",IF(C347&lt;=0,"Nonpositive price","OK")))))))))</f>
        <v/>
      </c>
      <c r="I347" s="136"/>
      <c r="J347" s="136"/>
      <c r="K347" s="136"/>
      <c r="L347" s="136"/>
      <c r="M347" s="136"/>
      <c r="N347" s="136" t="e">
        <f t="shared" si="13"/>
        <v>#N/A</v>
      </c>
      <c r="O347" s="136" t="e">
        <f t="shared" si="14"/>
        <v>#N/A</v>
      </c>
    </row>
    <row r="348" spans="1:15" ht="22" customHeight="1" x14ac:dyDescent="0.35">
      <c r="A348" s="136">
        <v>304</v>
      </c>
      <c r="B348" s="165" t="str">
        <f>IF($A348&gt;MIN($A$10,$A$2),"",INDEX(DemoHistory[Date],$A348))</f>
        <v/>
      </c>
      <c r="C348" s="166" t="str">
        <f>IF(OR($A348&gt;MIN($A$10,$A$2),$A$5=""),"",INDEX(DemoHistory[],$A348,MATCH($A$5,DemoHistory[#Headers],0)))</f>
        <v/>
      </c>
      <c r="D348" s="166" t="str">
        <f>IF($A348&gt;MIN($A$10,$A$2),"",IF(AND($A$12,$A$6=1,B348&lt;$A$7,$A$7&lt;=MAX(DemoHistory[Date])),$A$8,1))</f>
        <v/>
      </c>
      <c r="E348" s="166" t="str">
        <f t="shared" si="12"/>
        <v/>
      </c>
      <c r="F348" s="166" t="str">
        <f>IF($A348&gt;MIN($A$10,$A$2),"",IF($A348&lt;50,"n.a.",IF(COUNT(INDEX(StockDaily[Adjusted close],MAX(1,$A348-50+1)):E348)=50,AVERAGE(INDEX(StockDaily[Adjusted close],MAX(1,$A348-50+1)):E348),"n.a.")))</f>
        <v/>
      </c>
      <c r="G348" s="166" t="str">
        <f>IF($A348&gt;MIN($A$10,$A$2),"",IF($A348&lt;200,"n.a.",IF(COUNT(INDEX(StockDaily[Adjusted close],MAX(1,$A348-200+1)):E348)=200,AVERAGE(INDEX(StockDaily[Adjusted close],MAX(1,$A348-200+1)):E348),"n.a.")))</f>
        <v/>
      </c>
      <c r="H348" s="136" t="str">
        <f>IF($A348&gt;MIN($A$10,$A$2),"",IF($A$5="","Choose stock",IF(NOT($A$12),"Check split rule",IF(NOT(ISNUMBER(B348)),"Invalid date",IF(OR(B348&lt;=0,B348&lt;&gt;INT(B348)),"Invalid date",IF(COUNTIFS(DemoHistory[Date],B348)&lt;&gt;1,"Duplicate date",IF(AND($A348&gt;1,B348&lt;=B347),"Dates out of order",IF(NOT(ISNUMBER(C348)),"Missing price",IF(C348&lt;=0,"Nonpositive price","OK")))))))))</f>
        <v/>
      </c>
      <c r="I348" s="136"/>
      <c r="J348" s="136"/>
      <c r="K348" s="136"/>
      <c r="L348" s="136"/>
      <c r="M348" s="136"/>
      <c r="N348" s="136" t="e">
        <f t="shared" si="13"/>
        <v>#N/A</v>
      </c>
      <c r="O348" s="136" t="e">
        <f t="shared" si="14"/>
        <v>#N/A</v>
      </c>
    </row>
    <row r="349" spans="1:15" ht="22" customHeight="1" x14ac:dyDescent="0.35">
      <c r="A349" s="136">
        <v>305</v>
      </c>
      <c r="B349" s="165" t="str">
        <f>IF($A349&gt;MIN($A$10,$A$2),"",INDEX(DemoHistory[Date],$A349))</f>
        <v/>
      </c>
      <c r="C349" s="166" t="str">
        <f>IF(OR($A349&gt;MIN($A$10,$A$2),$A$5=""),"",INDEX(DemoHistory[],$A349,MATCH($A$5,DemoHistory[#Headers],0)))</f>
        <v/>
      </c>
      <c r="D349" s="166" t="str">
        <f>IF($A349&gt;MIN($A$10,$A$2),"",IF(AND($A$12,$A$6=1,B349&lt;$A$7,$A$7&lt;=MAX(DemoHistory[Date])),$A$8,1))</f>
        <v/>
      </c>
      <c r="E349" s="166" t="str">
        <f t="shared" si="12"/>
        <v/>
      </c>
      <c r="F349" s="166" t="str">
        <f>IF($A349&gt;MIN($A$10,$A$2),"",IF($A349&lt;50,"n.a.",IF(COUNT(INDEX(StockDaily[Adjusted close],MAX(1,$A349-50+1)):E349)=50,AVERAGE(INDEX(StockDaily[Adjusted close],MAX(1,$A349-50+1)):E349),"n.a.")))</f>
        <v/>
      </c>
      <c r="G349" s="166" t="str">
        <f>IF($A349&gt;MIN($A$10,$A$2),"",IF($A349&lt;200,"n.a.",IF(COUNT(INDEX(StockDaily[Adjusted close],MAX(1,$A349-200+1)):E349)=200,AVERAGE(INDEX(StockDaily[Adjusted close],MAX(1,$A349-200+1)):E349),"n.a.")))</f>
        <v/>
      </c>
      <c r="H349" s="136" t="str">
        <f>IF($A349&gt;MIN($A$10,$A$2),"",IF($A$5="","Choose stock",IF(NOT($A$12),"Check split rule",IF(NOT(ISNUMBER(B349)),"Invalid date",IF(OR(B349&lt;=0,B349&lt;&gt;INT(B349)),"Invalid date",IF(COUNTIFS(DemoHistory[Date],B349)&lt;&gt;1,"Duplicate date",IF(AND($A349&gt;1,B349&lt;=B348),"Dates out of order",IF(NOT(ISNUMBER(C349)),"Missing price",IF(C349&lt;=0,"Nonpositive price","OK")))))))))</f>
        <v/>
      </c>
      <c r="I349" s="136"/>
      <c r="J349" s="136"/>
      <c r="K349" s="136"/>
      <c r="L349" s="136"/>
      <c r="M349" s="136"/>
      <c r="N349" s="136" t="e">
        <f t="shared" si="13"/>
        <v>#N/A</v>
      </c>
      <c r="O349" s="136" t="e">
        <f t="shared" si="14"/>
        <v>#N/A</v>
      </c>
    </row>
    <row r="350" spans="1:15" ht="22" customHeight="1" x14ac:dyDescent="0.35">
      <c r="A350" s="136">
        <v>306</v>
      </c>
      <c r="B350" s="165" t="str">
        <f>IF($A350&gt;MIN($A$10,$A$2),"",INDEX(DemoHistory[Date],$A350))</f>
        <v/>
      </c>
      <c r="C350" s="166" t="str">
        <f>IF(OR($A350&gt;MIN($A$10,$A$2),$A$5=""),"",INDEX(DemoHistory[],$A350,MATCH($A$5,DemoHistory[#Headers],0)))</f>
        <v/>
      </c>
      <c r="D350" s="166" t="str">
        <f>IF($A350&gt;MIN($A$10,$A$2),"",IF(AND($A$12,$A$6=1,B350&lt;$A$7,$A$7&lt;=MAX(DemoHistory[Date])),$A$8,1))</f>
        <v/>
      </c>
      <c r="E350" s="166" t="str">
        <f t="shared" si="12"/>
        <v/>
      </c>
      <c r="F350" s="166" t="str">
        <f>IF($A350&gt;MIN($A$10,$A$2),"",IF($A350&lt;50,"n.a.",IF(COUNT(INDEX(StockDaily[Adjusted close],MAX(1,$A350-50+1)):E350)=50,AVERAGE(INDEX(StockDaily[Adjusted close],MAX(1,$A350-50+1)):E350),"n.a.")))</f>
        <v/>
      </c>
      <c r="G350" s="166" t="str">
        <f>IF($A350&gt;MIN($A$10,$A$2),"",IF($A350&lt;200,"n.a.",IF(COUNT(INDEX(StockDaily[Adjusted close],MAX(1,$A350-200+1)):E350)=200,AVERAGE(INDEX(StockDaily[Adjusted close],MAX(1,$A350-200+1)):E350),"n.a.")))</f>
        <v/>
      </c>
      <c r="H350" s="136" t="str">
        <f>IF($A350&gt;MIN($A$10,$A$2),"",IF($A$5="","Choose stock",IF(NOT($A$12),"Check split rule",IF(NOT(ISNUMBER(B350)),"Invalid date",IF(OR(B350&lt;=0,B350&lt;&gt;INT(B350)),"Invalid date",IF(COUNTIFS(DemoHistory[Date],B350)&lt;&gt;1,"Duplicate date",IF(AND($A350&gt;1,B350&lt;=B349),"Dates out of order",IF(NOT(ISNUMBER(C350)),"Missing price",IF(C350&lt;=0,"Nonpositive price","OK")))))))))</f>
        <v/>
      </c>
      <c r="I350" s="136"/>
      <c r="J350" s="136"/>
      <c r="K350" s="136"/>
      <c r="L350" s="136"/>
      <c r="M350" s="136"/>
      <c r="N350" s="136" t="e">
        <f t="shared" si="13"/>
        <v>#N/A</v>
      </c>
      <c r="O350" s="136" t="e">
        <f t="shared" si="14"/>
        <v>#N/A</v>
      </c>
    </row>
    <row r="351" spans="1:15" ht="22" customHeight="1" x14ac:dyDescent="0.35">
      <c r="A351" s="136">
        <v>307</v>
      </c>
      <c r="B351" s="165" t="str">
        <f>IF($A351&gt;MIN($A$10,$A$2),"",INDEX(DemoHistory[Date],$A351))</f>
        <v/>
      </c>
      <c r="C351" s="166" t="str">
        <f>IF(OR($A351&gt;MIN($A$10,$A$2),$A$5=""),"",INDEX(DemoHistory[],$A351,MATCH($A$5,DemoHistory[#Headers],0)))</f>
        <v/>
      </c>
      <c r="D351" s="166" t="str">
        <f>IF($A351&gt;MIN($A$10,$A$2),"",IF(AND($A$12,$A$6=1,B351&lt;$A$7,$A$7&lt;=MAX(DemoHistory[Date])),$A$8,1))</f>
        <v/>
      </c>
      <c r="E351" s="166" t="str">
        <f t="shared" si="12"/>
        <v/>
      </c>
      <c r="F351" s="166" t="str">
        <f>IF($A351&gt;MIN($A$10,$A$2),"",IF($A351&lt;50,"n.a.",IF(COUNT(INDEX(StockDaily[Adjusted close],MAX(1,$A351-50+1)):E351)=50,AVERAGE(INDEX(StockDaily[Adjusted close],MAX(1,$A351-50+1)):E351),"n.a.")))</f>
        <v/>
      </c>
      <c r="G351" s="166" t="str">
        <f>IF($A351&gt;MIN($A$10,$A$2),"",IF($A351&lt;200,"n.a.",IF(COUNT(INDEX(StockDaily[Adjusted close],MAX(1,$A351-200+1)):E351)=200,AVERAGE(INDEX(StockDaily[Adjusted close],MAX(1,$A351-200+1)):E351),"n.a.")))</f>
        <v/>
      </c>
      <c r="H351" s="136" t="str">
        <f>IF($A351&gt;MIN($A$10,$A$2),"",IF($A$5="","Choose stock",IF(NOT($A$12),"Check split rule",IF(NOT(ISNUMBER(B351)),"Invalid date",IF(OR(B351&lt;=0,B351&lt;&gt;INT(B351)),"Invalid date",IF(COUNTIFS(DemoHistory[Date],B351)&lt;&gt;1,"Duplicate date",IF(AND($A351&gt;1,B351&lt;=B350),"Dates out of order",IF(NOT(ISNUMBER(C351)),"Missing price",IF(C351&lt;=0,"Nonpositive price","OK")))))))))</f>
        <v/>
      </c>
      <c r="I351" s="136"/>
      <c r="J351" s="136"/>
      <c r="K351" s="136"/>
      <c r="L351" s="136"/>
      <c r="M351" s="136"/>
      <c r="N351" s="136" t="e">
        <f t="shared" si="13"/>
        <v>#N/A</v>
      </c>
      <c r="O351" s="136" t="e">
        <f t="shared" si="14"/>
        <v>#N/A</v>
      </c>
    </row>
    <row r="352" spans="1:15" ht="22" customHeight="1" x14ac:dyDescent="0.35">
      <c r="A352" s="136">
        <v>308</v>
      </c>
      <c r="B352" s="165" t="str">
        <f>IF($A352&gt;MIN($A$10,$A$2),"",INDEX(DemoHistory[Date],$A352))</f>
        <v/>
      </c>
      <c r="C352" s="166" t="str">
        <f>IF(OR($A352&gt;MIN($A$10,$A$2),$A$5=""),"",INDEX(DemoHistory[],$A352,MATCH($A$5,DemoHistory[#Headers],0)))</f>
        <v/>
      </c>
      <c r="D352" s="166" t="str">
        <f>IF($A352&gt;MIN($A$10,$A$2),"",IF(AND($A$12,$A$6=1,B352&lt;$A$7,$A$7&lt;=MAX(DemoHistory[Date])),$A$8,1))</f>
        <v/>
      </c>
      <c r="E352" s="166" t="str">
        <f t="shared" si="12"/>
        <v/>
      </c>
      <c r="F352" s="166" t="str">
        <f>IF($A352&gt;MIN($A$10,$A$2),"",IF($A352&lt;50,"n.a.",IF(COUNT(INDEX(StockDaily[Adjusted close],MAX(1,$A352-50+1)):E352)=50,AVERAGE(INDEX(StockDaily[Adjusted close],MAX(1,$A352-50+1)):E352),"n.a.")))</f>
        <v/>
      </c>
      <c r="G352" s="166" t="str">
        <f>IF($A352&gt;MIN($A$10,$A$2),"",IF($A352&lt;200,"n.a.",IF(COUNT(INDEX(StockDaily[Adjusted close],MAX(1,$A352-200+1)):E352)=200,AVERAGE(INDEX(StockDaily[Adjusted close],MAX(1,$A352-200+1)):E352),"n.a.")))</f>
        <v/>
      </c>
      <c r="H352" s="136" t="str">
        <f>IF($A352&gt;MIN($A$10,$A$2),"",IF($A$5="","Choose stock",IF(NOT($A$12),"Check split rule",IF(NOT(ISNUMBER(B352)),"Invalid date",IF(OR(B352&lt;=0,B352&lt;&gt;INT(B352)),"Invalid date",IF(COUNTIFS(DemoHistory[Date],B352)&lt;&gt;1,"Duplicate date",IF(AND($A352&gt;1,B352&lt;=B351),"Dates out of order",IF(NOT(ISNUMBER(C352)),"Missing price",IF(C352&lt;=0,"Nonpositive price","OK")))))))))</f>
        <v/>
      </c>
      <c r="I352" s="136"/>
      <c r="J352" s="136"/>
      <c r="K352" s="136"/>
      <c r="L352" s="136"/>
      <c r="M352" s="136"/>
      <c r="N352" s="136" t="e">
        <f t="shared" si="13"/>
        <v>#N/A</v>
      </c>
      <c r="O352" s="136" t="e">
        <f t="shared" si="14"/>
        <v>#N/A</v>
      </c>
    </row>
    <row r="353" spans="1:15" ht="22" customHeight="1" x14ac:dyDescent="0.35">
      <c r="A353" s="136">
        <v>309</v>
      </c>
      <c r="B353" s="165" t="str">
        <f>IF($A353&gt;MIN($A$10,$A$2),"",INDEX(DemoHistory[Date],$A353))</f>
        <v/>
      </c>
      <c r="C353" s="166" t="str">
        <f>IF(OR($A353&gt;MIN($A$10,$A$2),$A$5=""),"",INDEX(DemoHistory[],$A353,MATCH($A$5,DemoHistory[#Headers],0)))</f>
        <v/>
      </c>
      <c r="D353" s="166" t="str">
        <f>IF($A353&gt;MIN($A$10,$A$2),"",IF(AND($A$12,$A$6=1,B353&lt;$A$7,$A$7&lt;=MAX(DemoHistory[Date])),$A$8,1))</f>
        <v/>
      </c>
      <c r="E353" s="166" t="str">
        <f t="shared" si="12"/>
        <v/>
      </c>
      <c r="F353" s="166" t="str">
        <f>IF($A353&gt;MIN($A$10,$A$2),"",IF($A353&lt;50,"n.a.",IF(COUNT(INDEX(StockDaily[Adjusted close],MAX(1,$A353-50+1)):E353)=50,AVERAGE(INDEX(StockDaily[Adjusted close],MAX(1,$A353-50+1)):E353),"n.a.")))</f>
        <v/>
      </c>
      <c r="G353" s="166" t="str">
        <f>IF($A353&gt;MIN($A$10,$A$2),"",IF($A353&lt;200,"n.a.",IF(COUNT(INDEX(StockDaily[Adjusted close],MAX(1,$A353-200+1)):E353)=200,AVERAGE(INDEX(StockDaily[Adjusted close],MAX(1,$A353-200+1)):E353),"n.a.")))</f>
        <v/>
      </c>
      <c r="H353" s="136" t="str">
        <f>IF($A353&gt;MIN($A$10,$A$2),"",IF($A$5="","Choose stock",IF(NOT($A$12),"Check split rule",IF(NOT(ISNUMBER(B353)),"Invalid date",IF(OR(B353&lt;=0,B353&lt;&gt;INT(B353)),"Invalid date",IF(COUNTIFS(DemoHistory[Date],B353)&lt;&gt;1,"Duplicate date",IF(AND($A353&gt;1,B353&lt;=B352),"Dates out of order",IF(NOT(ISNUMBER(C353)),"Missing price",IF(C353&lt;=0,"Nonpositive price","OK")))))))))</f>
        <v/>
      </c>
      <c r="I353" s="136"/>
      <c r="J353" s="136"/>
      <c r="K353" s="136"/>
      <c r="L353" s="136"/>
      <c r="M353" s="136"/>
      <c r="N353" s="136" t="e">
        <f t="shared" si="13"/>
        <v>#N/A</v>
      </c>
      <c r="O353" s="136" t="e">
        <f t="shared" si="14"/>
        <v>#N/A</v>
      </c>
    </row>
    <row r="354" spans="1:15" ht="22" customHeight="1" x14ac:dyDescent="0.35">
      <c r="A354" s="136">
        <v>310</v>
      </c>
      <c r="B354" s="165" t="str">
        <f>IF($A354&gt;MIN($A$10,$A$2),"",INDEX(DemoHistory[Date],$A354))</f>
        <v/>
      </c>
      <c r="C354" s="166" t="str">
        <f>IF(OR($A354&gt;MIN($A$10,$A$2),$A$5=""),"",INDEX(DemoHistory[],$A354,MATCH($A$5,DemoHistory[#Headers],0)))</f>
        <v/>
      </c>
      <c r="D354" s="166" t="str">
        <f>IF($A354&gt;MIN($A$10,$A$2),"",IF(AND($A$12,$A$6=1,B354&lt;$A$7,$A$7&lt;=MAX(DemoHistory[Date])),$A$8,1))</f>
        <v/>
      </c>
      <c r="E354" s="166" t="str">
        <f t="shared" si="12"/>
        <v/>
      </c>
      <c r="F354" s="166" t="str">
        <f>IF($A354&gt;MIN($A$10,$A$2),"",IF($A354&lt;50,"n.a.",IF(COUNT(INDEX(StockDaily[Adjusted close],MAX(1,$A354-50+1)):E354)=50,AVERAGE(INDEX(StockDaily[Adjusted close],MAX(1,$A354-50+1)):E354),"n.a.")))</f>
        <v/>
      </c>
      <c r="G354" s="166" t="str">
        <f>IF($A354&gt;MIN($A$10,$A$2),"",IF($A354&lt;200,"n.a.",IF(COUNT(INDEX(StockDaily[Adjusted close],MAX(1,$A354-200+1)):E354)=200,AVERAGE(INDEX(StockDaily[Adjusted close],MAX(1,$A354-200+1)):E354),"n.a.")))</f>
        <v/>
      </c>
      <c r="H354" s="136" t="str">
        <f>IF($A354&gt;MIN($A$10,$A$2),"",IF($A$5="","Choose stock",IF(NOT($A$12),"Check split rule",IF(NOT(ISNUMBER(B354)),"Invalid date",IF(OR(B354&lt;=0,B354&lt;&gt;INT(B354)),"Invalid date",IF(COUNTIFS(DemoHistory[Date],B354)&lt;&gt;1,"Duplicate date",IF(AND($A354&gt;1,B354&lt;=B353),"Dates out of order",IF(NOT(ISNUMBER(C354)),"Missing price",IF(C354&lt;=0,"Nonpositive price","OK")))))))))</f>
        <v/>
      </c>
      <c r="I354" s="136"/>
      <c r="J354" s="136"/>
      <c r="K354" s="136"/>
      <c r="L354" s="136"/>
      <c r="M354" s="136"/>
      <c r="N354" s="136" t="e">
        <f t="shared" si="13"/>
        <v>#N/A</v>
      </c>
      <c r="O354" s="136" t="e">
        <f t="shared" si="14"/>
        <v>#N/A</v>
      </c>
    </row>
    <row r="355" spans="1:15" ht="22" customHeight="1" x14ac:dyDescent="0.35">
      <c r="A355" s="136">
        <v>311</v>
      </c>
      <c r="B355" s="165" t="str">
        <f>IF($A355&gt;MIN($A$10,$A$2),"",INDEX(DemoHistory[Date],$A355))</f>
        <v/>
      </c>
      <c r="C355" s="166" t="str">
        <f>IF(OR($A355&gt;MIN($A$10,$A$2),$A$5=""),"",INDEX(DemoHistory[],$A355,MATCH($A$5,DemoHistory[#Headers],0)))</f>
        <v/>
      </c>
      <c r="D355" s="166" t="str">
        <f>IF($A355&gt;MIN($A$10,$A$2),"",IF(AND($A$12,$A$6=1,B355&lt;$A$7,$A$7&lt;=MAX(DemoHistory[Date])),$A$8,1))</f>
        <v/>
      </c>
      <c r="E355" s="166" t="str">
        <f t="shared" si="12"/>
        <v/>
      </c>
      <c r="F355" s="166" t="str">
        <f>IF($A355&gt;MIN($A$10,$A$2),"",IF($A355&lt;50,"n.a.",IF(COUNT(INDEX(StockDaily[Adjusted close],MAX(1,$A355-50+1)):E355)=50,AVERAGE(INDEX(StockDaily[Adjusted close],MAX(1,$A355-50+1)):E355),"n.a.")))</f>
        <v/>
      </c>
      <c r="G355" s="166" t="str">
        <f>IF($A355&gt;MIN($A$10,$A$2),"",IF($A355&lt;200,"n.a.",IF(COUNT(INDEX(StockDaily[Adjusted close],MAX(1,$A355-200+1)):E355)=200,AVERAGE(INDEX(StockDaily[Adjusted close],MAX(1,$A355-200+1)):E355),"n.a.")))</f>
        <v/>
      </c>
      <c r="H355" s="136" t="str">
        <f>IF($A355&gt;MIN($A$10,$A$2),"",IF($A$5="","Choose stock",IF(NOT($A$12),"Check split rule",IF(NOT(ISNUMBER(B355)),"Invalid date",IF(OR(B355&lt;=0,B355&lt;&gt;INT(B355)),"Invalid date",IF(COUNTIFS(DemoHistory[Date],B355)&lt;&gt;1,"Duplicate date",IF(AND($A355&gt;1,B355&lt;=B354),"Dates out of order",IF(NOT(ISNUMBER(C355)),"Missing price",IF(C355&lt;=0,"Nonpositive price","OK")))))))))</f>
        <v/>
      </c>
      <c r="I355" s="136"/>
      <c r="J355" s="136"/>
      <c r="K355" s="136"/>
      <c r="L355" s="136"/>
      <c r="M355" s="136"/>
      <c r="N355" s="136" t="e">
        <f t="shared" si="13"/>
        <v>#N/A</v>
      </c>
      <c r="O355" s="136" t="e">
        <f t="shared" si="14"/>
        <v>#N/A</v>
      </c>
    </row>
    <row r="356" spans="1:15" ht="22" customHeight="1" x14ac:dyDescent="0.35">
      <c r="A356" s="136">
        <v>312</v>
      </c>
      <c r="B356" s="165" t="str">
        <f>IF($A356&gt;MIN($A$10,$A$2),"",INDEX(DemoHistory[Date],$A356))</f>
        <v/>
      </c>
      <c r="C356" s="166" t="str">
        <f>IF(OR($A356&gt;MIN($A$10,$A$2),$A$5=""),"",INDEX(DemoHistory[],$A356,MATCH($A$5,DemoHistory[#Headers],0)))</f>
        <v/>
      </c>
      <c r="D356" s="166" t="str">
        <f>IF($A356&gt;MIN($A$10,$A$2),"",IF(AND($A$12,$A$6=1,B356&lt;$A$7,$A$7&lt;=MAX(DemoHistory[Date])),$A$8,1))</f>
        <v/>
      </c>
      <c r="E356" s="166" t="str">
        <f t="shared" si="12"/>
        <v/>
      </c>
      <c r="F356" s="166" t="str">
        <f>IF($A356&gt;MIN($A$10,$A$2),"",IF($A356&lt;50,"n.a.",IF(COUNT(INDEX(StockDaily[Adjusted close],MAX(1,$A356-50+1)):E356)=50,AVERAGE(INDEX(StockDaily[Adjusted close],MAX(1,$A356-50+1)):E356),"n.a.")))</f>
        <v/>
      </c>
      <c r="G356" s="166" t="str">
        <f>IF($A356&gt;MIN($A$10,$A$2),"",IF($A356&lt;200,"n.a.",IF(COUNT(INDEX(StockDaily[Adjusted close],MAX(1,$A356-200+1)):E356)=200,AVERAGE(INDEX(StockDaily[Adjusted close],MAX(1,$A356-200+1)):E356),"n.a.")))</f>
        <v/>
      </c>
      <c r="H356" s="136" t="str">
        <f>IF($A356&gt;MIN($A$10,$A$2),"",IF($A$5="","Choose stock",IF(NOT($A$12),"Check split rule",IF(NOT(ISNUMBER(B356)),"Invalid date",IF(OR(B356&lt;=0,B356&lt;&gt;INT(B356)),"Invalid date",IF(COUNTIFS(DemoHistory[Date],B356)&lt;&gt;1,"Duplicate date",IF(AND($A356&gt;1,B356&lt;=B355),"Dates out of order",IF(NOT(ISNUMBER(C356)),"Missing price",IF(C356&lt;=0,"Nonpositive price","OK")))))))))</f>
        <v/>
      </c>
      <c r="I356" s="136"/>
      <c r="J356" s="136"/>
      <c r="K356" s="136"/>
      <c r="L356" s="136"/>
      <c r="M356" s="136"/>
      <c r="N356" s="136" t="e">
        <f t="shared" si="13"/>
        <v>#N/A</v>
      </c>
      <c r="O356" s="136" t="e">
        <f t="shared" si="14"/>
        <v>#N/A</v>
      </c>
    </row>
    <row r="357" spans="1:15" ht="22" customHeight="1" x14ac:dyDescent="0.35">
      <c r="A357" s="136">
        <v>313</v>
      </c>
      <c r="B357" s="165" t="str">
        <f>IF($A357&gt;MIN($A$10,$A$2),"",INDEX(DemoHistory[Date],$A357))</f>
        <v/>
      </c>
      <c r="C357" s="166" t="str">
        <f>IF(OR($A357&gt;MIN($A$10,$A$2),$A$5=""),"",INDEX(DemoHistory[],$A357,MATCH($A$5,DemoHistory[#Headers],0)))</f>
        <v/>
      </c>
      <c r="D357" s="166" t="str">
        <f>IF($A357&gt;MIN($A$10,$A$2),"",IF(AND($A$12,$A$6=1,B357&lt;$A$7,$A$7&lt;=MAX(DemoHistory[Date])),$A$8,1))</f>
        <v/>
      </c>
      <c r="E357" s="166" t="str">
        <f t="shared" si="12"/>
        <v/>
      </c>
      <c r="F357" s="166" t="str">
        <f>IF($A357&gt;MIN($A$10,$A$2),"",IF($A357&lt;50,"n.a.",IF(COUNT(INDEX(StockDaily[Adjusted close],MAX(1,$A357-50+1)):E357)=50,AVERAGE(INDEX(StockDaily[Adjusted close],MAX(1,$A357-50+1)):E357),"n.a.")))</f>
        <v/>
      </c>
      <c r="G357" s="166" t="str">
        <f>IF($A357&gt;MIN($A$10,$A$2),"",IF($A357&lt;200,"n.a.",IF(COUNT(INDEX(StockDaily[Adjusted close],MAX(1,$A357-200+1)):E357)=200,AVERAGE(INDEX(StockDaily[Adjusted close],MAX(1,$A357-200+1)):E357),"n.a.")))</f>
        <v/>
      </c>
      <c r="H357" s="136" t="str">
        <f>IF($A357&gt;MIN($A$10,$A$2),"",IF($A$5="","Choose stock",IF(NOT($A$12),"Check split rule",IF(NOT(ISNUMBER(B357)),"Invalid date",IF(OR(B357&lt;=0,B357&lt;&gt;INT(B357)),"Invalid date",IF(COUNTIFS(DemoHistory[Date],B357)&lt;&gt;1,"Duplicate date",IF(AND($A357&gt;1,B357&lt;=B356),"Dates out of order",IF(NOT(ISNUMBER(C357)),"Missing price",IF(C357&lt;=0,"Nonpositive price","OK")))))))))</f>
        <v/>
      </c>
      <c r="I357" s="136"/>
      <c r="J357" s="136"/>
      <c r="K357" s="136"/>
      <c r="L357" s="136"/>
      <c r="M357" s="136"/>
      <c r="N357" s="136" t="e">
        <f t="shared" si="13"/>
        <v>#N/A</v>
      </c>
      <c r="O357" s="136" t="e">
        <f t="shared" si="14"/>
        <v>#N/A</v>
      </c>
    </row>
    <row r="358" spans="1:15" ht="22" customHeight="1" x14ac:dyDescent="0.35">
      <c r="A358" s="136">
        <v>314</v>
      </c>
      <c r="B358" s="165" t="str">
        <f>IF($A358&gt;MIN($A$10,$A$2),"",INDEX(DemoHistory[Date],$A358))</f>
        <v/>
      </c>
      <c r="C358" s="166" t="str">
        <f>IF(OR($A358&gt;MIN($A$10,$A$2),$A$5=""),"",INDEX(DemoHistory[],$A358,MATCH($A$5,DemoHistory[#Headers],0)))</f>
        <v/>
      </c>
      <c r="D358" s="166" t="str">
        <f>IF($A358&gt;MIN($A$10,$A$2),"",IF(AND($A$12,$A$6=1,B358&lt;$A$7,$A$7&lt;=MAX(DemoHistory[Date])),$A$8,1))</f>
        <v/>
      </c>
      <c r="E358" s="166" t="str">
        <f t="shared" si="12"/>
        <v/>
      </c>
      <c r="F358" s="166" t="str">
        <f>IF($A358&gt;MIN($A$10,$A$2),"",IF($A358&lt;50,"n.a.",IF(COUNT(INDEX(StockDaily[Adjusted close],MAX(1,$A358-50+1)):E358)=50,AVERAGE(INDEX(StockDaily[Adjusted close],MAX(1,$A358-50+1)):E358),"n.a.")))</f>
        <v/>
      </c>
      <c r="G358" s="166" t="str">
        <f>IF($A358&gt;MIN($A$10,$A$2),"",IF($A358&lt;200,"n.a.",IF(COUNT(INDEX(StockDaily[Adjusted close],MAX(1,$A358-200+1)):E358)=200,AVERAGE(INDEX(StockDaily[Adjusted close],MAX(1,$A358-200+1)):E358),"n.a.")))</f>
        <v/>
      </c>
      <c r="H358" s="136" t="str">
        <f>IF($A358&gt;MIN($A$10,$A$2),"",IF($A$5="","Choose stock",IF(NOT($A$12),"Check split rule",IF(NOT(ISNUMBER(B358)),"Invalid date",IF(OR(B358&lt;=0,B358&lt;&gt;INT(B358)),"Invalid date",IF(COUNTIFS(DemoHistory[Date],B358)&lt;&gt;1,"Duplicate date",IF(AND($A358&gt;1,B358&lt;=B357),"Dates out of order",IF(NOT(ISNUMBER(C358)),"Missing price",IF(C358&lt;=0,"Nonpositive price","OK")))))))))</f>
        <v/>
      </c>
      <c r="I358" s="136"/>
      <c r="J358" s="136"/>
      <c r="K358" s="136"/>
      <c r="L358" s="136"/>
      <c r="M358" s="136"/>
      <c r="N358" s="136" t="e">
        <f t="shared" si="13"/>
        <v>#N/A</v>
      </c>
      <c r="O358" s="136" t="e">
        <f t="shared" si="14"/>
        <v>#N/A</v>
      </c>
    </row>
    <row r="359" spans="1:15" ht="22" customHeight="1" x14ac:dyDescent="0.35">
      <c r="A359" s="136">
        <v>315</v>
      </c>
      <c r="B359" s="165" t="str">
        <f>IF($A359&gt;MIN($A$10,$A$2),"",INDEX(DemoHistory[Date],$A359))</f>
        <v/>
      </c>
      <c r="C359" s="166" t="str">
        <f>IF(OR($A359&gt;MIN($A$10,$A$2),$A$5=""),"",INDEX(DemoHistory[],$A359,MATCH($A$5,DemoHistory[#Headers],0)))</f>
        <v/>
      </c>
      <c r="D359" s="166" t="str">
        <f>IF($A359&gt;MIN($A$10,$A$2),"",IF(AND($A$12,$A$6=1,B359&lt;$A$7,$A$7&lt;=MAX(DemoHistory[Date])),$A$8,1))</f>
        <v/>
      </c>
      <c r="E359" s="166" t="str">
        <f t="shared" si="12"/>
        <v/>
      </c>
      <c r="F359" s="166" t="str">
        <f>IF($A359&gt;MIN($A$10,$A$2),"",IF($A359&lt;50,"n.a.",IF(COUNT(INDEX(StockDaily[Adjusted close],MAX(1,$A359-50+1)):E359)=50,AVERAGE(INDEX(StockDaily[Adjusted close],MAX(1,$A359-50+1)):E359),"n.a.")))</f>
        <v/>
      </c>
      <c r="G359" s="166" t="str">
        <f>IF($A359&gt;MIN($A$10,$A$2),"",IF($A359&lt;200,"n.a.",IF(COUNT(INDEX(StockDaily[Adjusted close],MAX(1,$A359-200+1)):E359)=200,AVERAGE(INDEX(StockDaily[Adjusted close],MAX(1,$A359-200+1)):E359),"n.a.")))</f>
        <v/>
      </c>
      <c r="H359" s="136" t="str">
        <f>IF($A359&gt;MIN($A$10,$A$2),"",IF($A$5="","Choose stock",IF(NOT($A$12),"Check split rule",IF(NOT(ISNUMBER(B359)),"Invalid date",IF(OR(B359&lt;=0,B359&lt;&gt;INT(B359)),"Invalid date",IF(COUNTIFS(DemoHistory[Date],B359)&lt;&gt;1,"Duplicate date",IF(AND($A359&gt;1,B359&lt;=B358),"Dates out of order",IF(NOT(ISNUMBER(C359)),"Missing price",IF(C359&lt;=0,"Nonpositive price","OK")))))))))</f>
        <v/>
      </c>
      <c r="I359" s="136"/>
      <c r="J359" s="136"/>
      <c r="K359" s="136"/>
      <c r="L359" s="136"/>
      <c r="M359" s="136"/>
      <c r="N359" s="136" t="e">
        <f t="shared" si="13"/>
        <v>#N/A</v>
      </c>
      <c r="O359" s="136" t="e">
        <f t="shared" si="14"/>
        <v>#N/A</v>
      </c>
    </row>
    <row r="360" spans="1:15" ht="22" customHeight="1" x14ac:dyDescent="0.35">
      <c r="A360" s="136">
        <v>316</v>
      </c>
      <c r="B360" s="165" t="str">
        <f>IF($A360&gt;MIN($A$10,$A$2),"",INDEX(DemoHistory[Date],$A360))</f>
        <v/>
      </c>
      <c r="C360" s="166" t="str">
        <f>IF(OR($A360&gt;MIN($A$10,$A$2),$A$5=""),"",INDEX(DemoHistory[],$A360,MATCH($A$5,DemoHistory[#Headers],0)))</f>
        <v/>
      </c>
      <c r="D360" s="166" t="str">
        <f>IF($A360&gt;MIN($A$10,$A$2),"",IF(AND($A$12,$A$6=1,B360&lt;$A$7,$A$7&lt;=MAX(DemoHistory[Date])),$A$8,1))</f>
        <v/>
      </c>
      <c r="E360" s="166" t="str">
        <f t="shared" si="12"/>
        <v/>
      </c>
      <c r="F360" s="166" t="str">
        <f>IF($A360&gt;MIN($A$10,$A$2),"",IF($A360&lt;50,"n.a.",IF(COUNT(INDEX(StockDaily[Adjusted close],MAX(1,$A360-50+1)):E360)=50,AVERAGE(INDEX(StockDaily[Adjusted close],MAX(1,$A360-50+1)):E360),"n.a.")))</f>
        <v/>
      </c>
      <c r="G360" s="166" t="str">
        <f>IF($A360&gt;MIN($A$10,$A$2),"",IF($A360&lt;200,"n.a.",IF(COUNT(INDEX(StockDaily[Adjusted close],MAX(1,$A360-200+1)):E360)=200,AVERAGE(INDEX(StockDaily[Adjusted close],MAX(1,$A360-200+1)):E360),"n.a.")))</f>
        <v/>
      </c>
      <c r="H360" s="136" t="str">
        <f>IF($A360&gt;MIN($A$10,$A$2),"",IF($A$5="","Choose stock",IF(NOT($A$12),"Check split rule",IF(NOT(ISNUMBER(B360)),"Invalid date",IF(OR(B360&lt;=0,B360&lt;&gt;INT(B360)),"Invalid date",IF(COUNTIFS(DemoHistory[Date],B360)&lt;&gt;1,"Duplicate date",IF(AND($A360&gt;1,B360&lt;=B359),"Dates out of order",IF(NOT(ISNUMBER(C360)),"Missing price",IF(C360&lt;=0,"Nonpositive price","OK")))))))))</f>
        <v/>
      </c>
      <c r="I360" s="136"/>
      <c r="J360" s="136"/>
      <c r="K360" s="136"/>
      <c r="L360" s="136"/>
      <c r="M360" s="136"/>
      <c r="N360" s="136" t="e">
        <f t="shared" si="13"/>
        <v>#N/A</v>
      </c>
      <c r="O360" s="136" t="e">
        <f t="shared" si="14"/>
        <v>#N/A</v>
      </c>
    </row>
    <row r="361" spans="1:15" ht="22" customHeight="1" x14ac:dyDescent="0.35">
      <c r="A361" s="136">
        <v>317</v>
      </c>
      <c r="B361" s="165" t="str">
        <f>IF($A361&gt;MIN($A$10,$A$2),"",INDEX(DemoHistory[Date],$A361))</f>
        <v/>
      </c>
      <c r="C361" s="166" t="str">
        <f>IF(OR($A361&gt;MIN($A$10,$A$2),$A$5=""),"",INDEX(DemoHistory[],$A361,MATCH($A$5,DemoHistory[#Headers],0)))</f>
        <v/>
      </c>
      <c r="D361" s="166" t="str">
        <f>IF($A361&gt;MIN($A$10,$A$2),"",IF(AND($A$12,$A$6=1,B361&lt;$A$7,$A$7&lt;=MAX(DemoHistory[Date])),$A$8,1))</f>
        <v/>
      </c>
      <c r="E361" s="166" t="str">
        <f t="shared" si="12"/>
        <v/>
      </c>
      <c r="F361" s="166" t="str">
        <f>IF($A361&gt;MIN($A$10,$A$2),"",IF($A361&lt;50,"n.a.",IF(COUNT(INDEX(StockDaily[Adjusted close],MAX(1,$A361-50+1)):E361)=50,AVERAGE(INDEX(StockDaily[Adjusted close],MAX(1,$A361-50+1)):E361),"n.a.")))</f>
        <v/>
      </c>
      <c r="G361" s="166" t="str">
        <f>IF($A361&gt;MIN($A$10,$A$2),"",IF($A361&lt;200,"n.a.",IF(COUNT(INDEX(StockDaily[Adjusted close],MAX(1,$A361-200+1)):E361)=200,AVERAGE(INDEX(StockDaily[Adjusted close],MAX(1,$A361-200+1)):E361),"n.a.")))</f>
        <v/>
      </c>
      <c r="H361" s="136" t="str">
        <f>IF($A361&gt;MIN($A$10,$A$2),"",IF($A$5="","Choose stock",IF(NOT($A$12),"Check split rule",IF(NOT(ISNUMBER(B361)),"Invalid date",IF(OR(B361&lt;=0,B361&lt;&gt;INT(B361)),"Invalid date",IF(COUNTIFS(DemoHistory[Date],B361)&lt;&gt;1,"Duplicate date",IF(AND($A361&gt;1,B361&lt;=B360),"Dates out of order",IF(NOT(ISNUMBER(C361)),"Missing price",IF(C361&lt;=0,"Nonpositive price","OK")))))))))</f>
        <v/>
      </c>
      <c r="I361" s="136"/>
      <c r="J361" s="136"/>
      <c r="K361" s="136"/>
      <c r="L361" s="136"/>
      <c r="M361" s="136"/>
      <c r="N361" s="136" t="e">
        <f t="shared" si="13"/>
        <v>#N/A</v>
      </c>
      <c r="O361" s="136" t="e">
        <f t="shared" si="14"/>
        <v>#N/A</v>
      </c>
    </row>
    <row r="362" spans="1:15" ht="22" customHeight="1" x14ac:dyDescent="0.35">
      <c r="A362" s="136">
        <v>318</v>
      </c>
      <c r="B362" s="165" t="str">
        <f>IF($A362&gt;MIN($A$10,$A$2),"",INDEX(DemoHistory[Date],$A362))</f>
        <v/>
      </c>
      <c r="C362" s="166" t="str">
        <f>IF(OR($A362&gt;MIN($A$10,$A$2),$A$5=""),"",INDEX(DemoHistory[],$A362,MATCH($A$5,DemoHistory[#Headers],0)))</f>
        <v/>
      </c>
      <c r="D362" s="166" t="str">
        <f>IF($A362&gt;MIN($A$10,$A$2),"",IF(AND($A$12,$A$6=1,B362&lt;$A$7,$A$7&lt;=MAX(DemoHistory[Date])),$A$8,1))</f>
        <v/>
      </c>
      <c r="E362" s="166" t="str">
        <f t="shared" si="12"/>
        <v/>
      </c>
      <c r="F362" s="166" t="str">
        <f>IF($A362&gt;MIN($A$10,$A$2),"",IF($A362&lt;50,"n.a.",IF(COUNT(INDEX(StockDaily[Adjusted close],MAX(1,$A362-50+1)):E362)=50,AVERAGE(INDEX(StockDaily[Adjusted close],MAX(1,$A362-50+1)):E362),"n.a.")))</f>
        <v/>
      </c>
      <c r="G362" s="166" t="str">
        <f>IF($A362&gt;MIN($A$10,$A$2),"",IF($A362&lt;200,"n.a.",IF(COUNT(INDEX(StockDaily[Adjusted close],MAX(1,$A362-200+1)):E362)=200,AVERAGE(INDEX(StockDaily[Adjusted close],MAX(1,$A362-200+1)):E362),"n.a.")))</f>
        <v/>
      </c>
      <c r="H362" s="136" t="str">
        <f>IF($A362&gt;MIN($A$10,$A$2),"",IF($A$5="","Choose stock",IF(NOT($A$12),"Check split rule",IF(NOT(ISNUMBER(B362)),"Invalid date",IF(OR(B362&lt;=0,B362&lt;&gt;INT(B362)),"Invalid date",IF(COUNTIFS(DemoHistory[Date],B362)&lt;&gt;1,"Duplicate date",IF(AND($A362&gt;1,B362&lt;=B361),"Dates out of order",IF(NOT(ISNUMBER(C362)),"Missing price",IF(C362&lt;=0,"Nonpositive price","OK")))))))))</f>
        <v/>
      </c>
      <c r="I362" s="136"/>
      <c r="J362" s="136"/>
      <c r="K362" s="136"/>
      <c r="L362" s="136"/>
      <c r="M362" s="136"/>
      <c r="N362" s="136" t="e">
        <f t="shared" si="13"/>
        <v>#N/A</v>
      </c>
      <c r="O362" s="136" t="e">
        <f t="shared" si="14"/>
        <v>#N/A</v>
      </c>
    </row>
    <row r="363" spans="1:15" ht="22" customHeight="1" x14ac:dyDescent="0.35">
      <c r="A363" s="136">
        <v>319</v>
      </c>
      <c r="B363" s="165" t="str">
        <f>IF($A363&gt;MIN($A$10,$A$2),"",INDEX(DemoHistory[Date],$A363))</f>
        <v/>
      </c>
      <c r="C363" s="166" t="str">
        <f>IF(OR($A363&gt;MIN($A$10,$A$2),$A$5=""),"",INDEX(DemoHistory[],$A363,MATCH($A$5,DemoHistory[#Headers],0)))</f>
        <v/>
      </c>
      <c r="D363" s="166" t="str">
        <f>IF($A363&gt;MIN($A$10,$A$2),"",IF(AND($A$12,$A$6=1,B363&lt;$A$7,$A$7&lt;=MAX(DemoHistory[Date])),$A$8,1))</f>
        <v/>
      </c>
      <c r="E363" s="166" t="str">
        <f t="shared" si="12"/>
        <v/>
      </c>
      <c r="F363" s="166" t="str">
        <f>IF($A363&gt;MIN($A$10,$A$2),"",IF($A363&lt;50,"n.a.",IF(COUNT(INDEX(StockDaily[Adjusted close],MAX(1,$A363-50+1)):E363)=50,AVERAGE(INDEX(StockDaily[Adjusted close],MAX(1,$A363-50+1)):E363),"n.a.")))</f>
        <v/>
      </c>
      <c r="G363" s="166" t="str">
        <f>IF($A363&gt;MIN($A$10,$A$2),"",IF($A363&lt;200,"n.a.",IF(COUNT(INDEX(StockDaily[Adjusted close],MAX(1,$A363-200+1)):E363)=200,AVERAGE(INDEX(StockDaily[Adjusted close],MAX(1,$A363-200+1)):E363),"n.a.")))</f>
        <v/>
      </c>
      <c r="H363" s="136" t="str">
        <f>IF($A363&gt;MIN($A$10,$A$2),"",IF($A$5="","Choose stock",IF(NOT($A$12),"Check split rule",IF(NOT(ISNUMBER(B363)),"Invalid date",IF(OR(B363&lt;=0,B363&lt;&gt;INT(B363)),"Invalid date",IF(COUNTIFS(DemoHistory[Date],B363)&lt;&gt;1,"Duplicate date",IF(AND($A363&gt;1,B363&lt;=B362),"Dates out of order",IF(NOT(ISNUMBER(C363)),"Missing price",IF(C363&lt;=0,"Nonpositive price","OK")))))))))</f>
        <v/>
      </c>
      <c r="I363" s="136"/>
      <c r="J363" s="136"/>
      <c r="K363" s="136"/>
      <c r="L363" s="136"/>
      <c r="M363" s="136"/>
      <c r="N363" s="136" t="e">
        <f t="shared" si="13"/>
        <v>#N/A</v>
      </c>
      <c r="O363" s="136" t="e">
        <f t="shared" si="14"/>
        <v>#N/A</v>
      </c>
    </row>
    <row r="364" spans="1:15" ht="22" customHeight="1" x14ac:dyDescent="0.35">
      <c r="A364" s="136">
        <v>320</v>
      </c>
      <c r="B364" s="165" t="str">
        <f>IF($A364&gt;MIN($A$10,$A$2),"",INDEX(DemoHistory[Date],$A364))</f>
        <v/>
      </c>
      <c r="C364" s="166" t="str">
        <f>IF(OR($A364&gt;MIN($A$10,$A$2),$A$5=""),"",INDEX(DemoHistory[],$A364,MATCH($A$5,DemoHistory[#Headers],0)))</f>
        <v/>
      </c>
      <c r="D364" s="166" t="str">
        <f>IF($A364&gt;MIN($A$10,$A$2),"",IF(AND($A$12,$A$6=1,B364&lt;$A$7,$A$7&lt;=MAX(DemoHistory[Date])),$A$8,1))</f>
        <v/>
      </c>
      <c r="E364" s="166" t="str">
        <f t="shared" si="12"/>
        <v/>
      </c>
      <c r="F364" s="166" t="str">
        <f>IF($A364&gt;MIN($A$10,$A$2),"",IF($A364&lt;50,"n.a.",IF(COUNT(INDEX(StockDaily[Adjusted close],MAX(1,$A364-50+1)):E364)=50,AVERAGE(INDEX(StockDaily[Adjusted close],MAX(1,$A364-50+1)):E364),"n.a.")))</f>
        <v/>
      </c>
      <c r="G364" s="166" t="str">
        <f>IF($A364&gt;MIN($A$10,$A$2),"",IF($A364&lt;200,"n.a.",IF(COUNT(INDEX(StockDaily[Adjusted close],MAX(1,$A364-200+1)):E364)=200,AVERAGE(INDEX(StockDaily[Adjusted close],MAX(1,$A364-200+1)):E364),"n.a.")))</f>
        <v/>
      </c>
      <c r="H364" s="136" t="str">
        <f>IF($A364&gt;MIN($A$10,$A$2),"",IF($A$5="","Choose stock",IF(NOT($A$12),"Check split rule",IF(NOT(ISNUMBER(B364)),"Invalid date",IF(OR(B364&lt;=0,B364&lt;&gt;INT(B364)),"Invalid date",IF(COUNTIFS(DemoHistory[Date],B364)&lt;&gt;1,"Duplicate date",IF(AND($A364&gt;1,B364&lt;=B363),"Dates out of order",IF(NOT(ISNUMBER(C364)),"Missing price",IF(C364&lt;=0,"Nonpositive price","OK")))))))))</f>
        <v/>
      </c>
      <c r="I364" s="136"/>
      <c r="J364" s="136"/>
      <c r="K364" s="136"/>
      <c r="L364" s="136"/>
      <c r="M364" s="136"/>
      <c r="N364" s="136" t="e">
        <f t="shared" si="13"/>
        <v>#N/A</v>
      </c>
      <c r="O364" s="136" t="e">
        <f t="shared" si="14"/>
        <v>#N/A</v>
      </c>
    </row>
    <row r="365" spans="1:15" ht="22" customHeight="1" x14ac:dyDescent="0.35">
      <c r="A365" s="136">
        <v>321</v>
      </c>
      <c r="B365" s="165" t="str">
        <f>IF($A365&gt;MIN($A$10,$A$2),"",INDEX(DemoHistory[Date],$A365))</f>
        <v/>
      </c>
      <c r="C365" s="166" t="str">
        <f>IF(OR($A365&gt;MIN($A$10,$A$2),$A$5=""),"",INDEX(DemoHistory[],$A365,MATCH($A$5,DemoHistory[#Headers],0)))</f>
        <v/>
      </c>
      <c r="D365" s="166" t="str">
        <f>IF($A365&gt;MIN($A$10,$A$2),"",IF(AND($A$12,$A$6=1,B365&lt;$A$7,$A$7&lt;=MAX(DemoHistory[Date])),$A$8,1))</f>
        <v/>
      </c>
      <c r="E365" s="166" t="str">
        <f t="shared" ref="E365:E428" si="15">IF($A365&gt;MIN($A$10,$A$2),"",IF(H365="OK",C365/D365,"n.a."))</f>
        <v/>
      </c>
      <c r="F365" s="166" t="str">
        <f>IF($A365&gt;MIN($A$10,$A$2),"",IF($A365&lt;50,"n.a.",IF(COUNT(INDEX(StockDaily[Adjusted close],MAX(1,$A365-50+1)):E365)=50,AVERAGE(INDEX(StockDaily[Adjusted close],MAX(1,$A365-50+1)):E365),"n.a.")))</f>
        <v/>
      </c>
      <c r="G365" s="166" t="str">
        <f>IF($A365&gt;MIN($A$10,$A$2),"",IF($A365&lt;200,"n.a.",IF(COUNT(INDEX(StockDaily[Adjusted close],MAX(1,$A365-200+1)):E365)=200,AVERAGE(INDEX(StockDaily[Adjusted close],MAX(1,$A365-200+1)):E365),"n.a.")))</f>
        <v/>
      </c>
      <c r="H365" s="136" t="str">
        <f>IF($A365&gt;MIN($A$10,$A$2),"",IF($A$5="","Choose stock",IF(NOT($A$12),"Check split rule",IF(NOT(ISNUMBER(B365)),"Invalid date",IF(OR(B365&lt;=0,B365&lt;&gt;INT(B365)),"Invalid date",IF(COUNTIFS(DemoHistory[Date],B365)&lt;&gt;1,"Duplicate date",IF(AND($A365&gt;1,B365&lt;=B364),"Dates out of order",IF(NOT(ISNUMBER(C365)),"Missing price",IF(C365&lt;=0,"Nonpositive price","OK")))))))))</f>
        <v/>
      </c>
      <c r="I365" s="136"/>
      <c r="J365" s="136"/>
      <c r="K365" s="136"/>
      <c r="L365" s="136"/>
      <c r="M365" s="136"/>
      <c r="N365" s="136" t="e">
        <f t="shared" ref="N365:N428" si="16">IF(AND($A$13="Ready",ISNUMBER(E365)),E365,NA())</f>
        <v>#N/A</v>
      </c>
      <c r="O365" s="136" t="e">
        <f t="shared" ref="O365:O428" si="17">IF(AND($A$13="Ready",ISNUMBER(F365)),F365,NA())</f>
        <v>#N/A</v>
      </c>
    </row>
    <row r="366" spans="1:15" ht="22" customHeight="1" x14ac:dyDescent="0.35">
      <c r="A366" s="136">
        <v>322</v>
      </c>
      <c r="B366" s="165" t="str">
        <f>IF($A366&gt;MIN($A$10,$A$2),"",INDEX(DemoHistory[Date],$A366))</f>
        <v/>
      </c>
      <c r="C366" s="166" t="str">
        <f>IF(OR($A366&gt;MIN($A$10,$A$2),$A$5=""),"",INDEX(DemoHistory[],$A366,MATCH($A$5,DemoHistory[#Headers],0)))</f>
        <v/>
      </c>
      <c r="D366" s="166" t="str">
        <f>IF($A366&gt;MIN($A$10,$A$2),"",IF(AND($A$12,$A$6=1,B366&lt;$A$7,$A$7&lt;=MAX(DemoHistory[Date])),$A$8,1))</f>
        <v/>
      </c>
      <c r="E366" s="166" t="str">
        <f t="shared" si="15"/>
        <v/>
      </c>
      <c r="F366" s="166" t="str">
        <f>IF($A366&gt;MIN($A$10,$A$2),"",IF($A366&lt;50,"n.a.",IF(COUNT(INDEX(StockDaily[Adjusted close],MAX(1,$A366-50+1)):E366)=50,AVERAGE(INDEX(StockDaily[Adjusted close],MAX(1,$A366-50+1)):E366),"n.a.")))</f>
        <v/>
      </c>
      <c r="G366" s="166" t="str">
        <f>IF($A366&gt;MIN($A$10,$A$2),"",IF($A366&lt;200,"n.a.",IF(COUNT(INDEX(StockDaily[Adjusted close],MAX(1,$A366-200+1)):E366)=200,AVERAGE(INDEX(StockDaily[Adjusted close],MAX(1,$A366-200+1)):E366),"n.a.")))</f>
        <v/>
      </c>
      <c r="H366" s="136" t="str">
        <f>IF($A366&gt;MIN($A$10,$A$2),"",IF($A$5="","Choose stock",IF(NOT($A$12),"Check split rule",IF(NOT(ISNUMBER(B366)),"Invalid date",IF(OR(B366&lt;=0,B366&lt;&gt;INT(B366)),"Invalid date",IF(COUNTIFS(DemoHistory[Date],B366)&lt;&gt;1,"Duplicate date",IF(AND($A366&gt;1,B366&lt;=B365),"Dates out of order",IF(NOT(ISNUMBER(C366)),"Missing price",IF(C366&lt;=0,"Nonpositive price","OK")))))))))</f>
        <v/>
      </c>
      <c r="I366" s="136"/>
      <c r="J366" s="136"/>
      <c r="K366" s="136"/>
      <c r="L366" s="136"/>
      <c r="M366" s="136"/>
      <c r="N366" s="136" t="e">
        <f t="shared" si="16"/>
        <v>#N/A</v>
      </c>
      <c r="O366" s="136" t="e">
        <f t="shared" si="17"/>
        <v>#N/A</v>
      </c>
    </row>
    <row r="367" spans="1:15" ht="22" customHeight="1" x14ac:dyDescent="0.35">
      <c r="A367" s="136">
        <v>323</v>
      </c>
      <c r="B367" s="165" t="str">
        <f>IF($A367&gt;MIN($A$10,$A$2),"",INDEX(DemoHistory[Date],$A367))</f>
        <v/>
      </c>
      <c r="C367" s="166" t="str">
        <f>IF(OR($A367&gt;MIN($A$10,$A$2),$A$5=""),"",INDEX(DemoHistory[],$A367,MATCH($A$5,DemoHistory[#Headers],0)))</f>
        <v/>
      </c>
      <c r="D367" s="166" t="str">
        <f>IF($A367&gt;MIN($A$10,$A$2),"",IF(AND($A$12,$A$6=1,B367&lt;$A$7,$A$7&lt;=MAX(DemoHistory[Date])),$A$8,1))</f>
        <v/>
      </c>
      <c r="E367" s="166" t="str">
        <f t="shared" si="15"/>
        <v/>
      </c>
      <c r="F367" s="166" t="str">
        <f>IF($A367&gt;MIN($A$10,$A$2),"",IF($A367&lt;50,"n.a.",IF(COUNT(INDEX(StockDaily[Adjusted close],MAX(1,$A367-50+1)):E367)=50,AVERAGE(INDEX(StockDaily[Adjusted close],MAX(1,$A367-50+1)):E367),"n.a.")))</f>
        <v/>
      </c>
      <c r="G367" s="166" t="str">
        <f>IF($A367&gt;MIN($A$10,$A$2),"",IF($A367&lt;200,"n.a.",IF(COUNT(INDEX(StockDaily[Adjusted close],MAX(1,$A367-200+1)):E367)=200,AVERAGE(INDEX(StockDaily[Adjusted close],MAX(1,$A367-200+1)):E367),"n.a.")))</f>
        <v/>
      </c>
      <c r="H367" s="136" t="str">
        <f>IF($A367&gt;MIN($A$10,$A$2),"",IF($A$5="","Choose stock",IF(NOT($A$12),"Check split rule",IF(NOT(ISNUMBER(B367)),"Invalid date",IF(OR(B367&lt;=0,B367&lt;&gt;INT(B367)),"Invalid date",IF(COUNTIFS(DemoHistory[Date],B367)&lt;&gt;1,"Duplicate date",IF(AND($A367&gt;1,B367&lt;=B366),"Dates out of order",IF(NOT(ISNUMBER(C367)),"Missing price",IF(C367&lt;=0,"Nonpositive price","OK")))))))))</f>
        <v/>
      </c>
      <c r="I367" s="136"/>
      <c r="J367" s="136"/>
      <c r="K367" s="136"/>
      <c r="L367" s="136"/>
      <c r="M367" s="136"/>
      <c r="N367" s="136" t="e">
        <f t="shared" si="16"/>
        <v>#N/A</v>
      </c>
      <c r="O367" s="136" t="e">
        <f t="shared" si="17"/>
        <v>#N/A</v>
      </c>
    </row>
    <row r="368" spans="1:15" ht="22" customHeight="1" x14ac:dyDescent="0.35">
      <c r="A368" s="136">
        <v>324</v>
      </c>
      <c r="B368" s="165" t="str">
        <f>IF($A368&gt;MIN($A$10,$A$2),"",INDEX(DemoHistory[Date],$A368))</f>
        <v/>
      </c>
      <c r="C368" s="166" t="str">
        <f>IF(OR($A368&gt;MIN($A$10,$A$2),$A$5=""),"",INDEX(DemoHistory[],$A368,MATCH($A$5,DemoHistory[#Headers],0)))</f>
        <v/>
      </c>
      <c r="D368" s="166" t="str">
        <f>IF($A368&gt;MIN($A$10,$A$2),"",IF(AND($A$12,$A$6=1,B368&lt;$A$7,$A$7&lt;=MAX(DemoHistory[Date])),$A$8,1))</f>
        <v/>
      </c>
      <c r="E368" s="166" t="str">
        <f t="shared" si="15"/>
        <v/>
      </c>
      <c r="F368" s="166" t="str">
        <f>IF($A368&gt;MIN($A$10,$A$2),"",IF($A368&lt;50,"n.a.",IF(COUNT(INDEX(StockDaily[Adjusted close],MAX(1,$A368-50+1)):E368)=50,AVERAGE(INDEX(StockDaily[Adjusted close],MAX(1,$A368-50+1)):E368),"n.a.")))</f>
        <v/>
      </c>
      <c r="G368" s="166" t="str">
        <f>IF($A368&gt;MIN($A$10,$A$2),"",IF($A368&lt;200,"n.a.",IF(COUNT(INDEX(StockDaily[Adjusted close],MAX(1,$A368-200+1)):E368)=200,AVERAGE(INDEX(StockDaily[Adjusted close],MAX(1,$A368-200+1)):E368),"n.a.")))</f>
        <v/>
      </c>
      <c r="H368" s="136" t="str">
        <f>IF($A368&gt;MIN($A$10,$A$2),"",IF($A$5="","Choose stock",IF(NOT($A$12),"Check split rule",IF(NOT(ISNUMBER(B368)),"Invalid date",IF(OR(B368&lt;=0,B368&lt;&gt;INT(B368)),"Invalid date",IF(COUNTIFS(DemoHistory[Date],B368)&lt;&gt;1,"Duplicate date",IF(AND($A368&gt;1,B368&lt;=B367),"Dates out of order",IF(NOT(ISNUMBER(C368)),"Missing price",IF(C368&lt;=0,"Nonpositive price","OK")))))))))</f>
        <v/>
      </c>
      <c r="I368" s="136"/>
      <c r="J368" s="136"/>
      <c r="K368" s="136"/>
      <c r="L368" s="136"/>
      <c r="M368" s="136"/>
      <c r="N368" s="136" t="e">
        <f t="shared" si="16"/>
        <v>#N/A</v>
      </c>
      <c r="O368" s="136" t="e">
        <f t="shared" si="17"/>
        <v>#N/A</v>
      </c>
    </row>
    <row r="369" spans="1:15" ht="22" customHeight="1" x14ac:dyDescent="0.35">
      <c r="A369" s="136">
        <v>325</v>
      </c>
      <c r="B369" s="165" t="str">
        <f>IF($A369&gt;MIN($A$10,$A$2),"",INDEX(DemoHistory[Date],$A369))</f>
        <v/>
      </c>
      <c r="C369" s="166" t="str">
        <f>IF(OR($A369&gt;MIN($A$10,$A$2),$A$5=""),"",INDEX(DemoHistory[],$A369,MATCH($A$5,DemoHistory[#Headers],0)))</f>
        <v/>
      </c>
      <c r="D369" s="166" t="str">
        <f>IF($A369&gt;MIN($A$10,$A$2),"",IF(AND($A$12,$A$6=1,B369&lt;$A$7,$A$7&lt;=MAX(DemoHistory[Date])),$A$8,1))</f>
        <v/>
      </c>
      <c r="E369" s="166" t="str">
        <f t="shared" si="15"/>
        <v/>
      </c>
      <c r="F369" s="166" t="str">
        <f>IF($A369&gt;MIN($A$10,$A$2),"",IF($A369&lt;50,"n.a.",IF(COUNT(INDEX(StockDaily[Adjusted close],MAX(1,$A369-50+1)):E369)=50,AVERAGE(INDEX(StockDaily[Adjusted close],MAX(1,$A369-50+1)):E369),"n.a.")))</f>
        <v/>
      </c>
      <c r="G369" s="166" t="str">
        <f>IF($A369&gt;MIN($A$10,$A$2),"",IF($A369&lt;200,"n.a.",IF(COUNT(INDEX(StockDaily[Adjusted close],MAX(1,$A369-200+1)):E369)=200,AVERAGE(INDEX(StockDaily[Adjusted close],MAX(1,$A369-200+1)):E369),"n.a.")))</f>
        <v/>
      </c>
      <c r="H369" s="136" t="str">
        <f>IF($A369&gt;MIN($A$10,$A$2),"",IF($A$5="","Choose stock",IF(NOT($A$12),"Check split rule",IF(NOT(ISNUMBER(B369)),"Invalid date",IF(OR(B369&lt;=0,B369&lt;&gt;INT(B369)),"Invalid date",IF(COUNTIFS(DemoHistory[Date],B369)&lt;&gt;1,"Duplicate date",IF(AND($A369&gt;1,B369&lt;=B368),"Dates out of order",IF(NOT(ISNUMBER(C369)),"Missing price",IF(C369&lt;=0,"Nonpositive price","OK")))))))))</f>
        <v/>
      </c>
      <c r="I369" s="136"/>
      <c r="J369" s="136"/>
      <c r="K369" s="136"/>
      <c r="L369" s="136"/>
      <c r="M369" s="136"/>
      <c r="N369" s="136" t="e">
        <f t="shared" si="16"/>
        <v>#N/A</v>
      </c>
      <c r="O369" s="136" t="e">
        <f t="shared" si="17"/>
        <v>#N/A</v>
      </c>
    </row>
    <row r="370" spans="1:15" ht="22" customHeight="1" x14ac:dyDescent="0.35">
      <c r="A370" s="136">
        <v>326</v>
      </c>
      <c r="B370" s="165" t="str">
        <f>IF($A370&gt;MIN($A$10,$A$2),"",INDEX(DemoHistory[Date],$A370))</f>
        <v/>
      </c>
      <c r="C370" s="166" t="str">
        <f>IF(OR($A370&gt;MIN($A$10,$A$2),$A$5=""),"",INDEX(DemoHistory[],$A370,MATCH($A$5,DemoHistory[#Headers],0)))</f>
        <v/>
      </c>
      <c r="D370" s="166" t="str">
        <f>IF($A370&gt;MIN($A$10,$A$2),"",IF(AND($A$12,$A$6=1,B370&lt;$A$7,$A$7&lt;=MAX(DemoHistory[Date])),$A$8,1))</f>
        <v/>
      </c>
      <c r="E370" s="166" t="str">
        <f t="shared" si="15"/>
        <v/>
      </c>
      <c r="F370" s="166" t="str">
        <f>IF($A370&gt;MIN($A$10,$A$2),"",IF($A370&lt;50,"n.a.",IF(COUNT(INDEX(StockDaily[Adjusted close],MAX(1,$A370-50+1)):E370)=50,AVERAGE(INDEX(StockDaily[Adjusted close],MAX(1,$A370-50+1)):E370),"n.a.")))</f>
        <v/>
      </c>
      <c r="G370" s="166" t="str">
        <f>IF($A370&gt;MIN($A$10,$A$2),"",IF($A370&lt;200,"n.a.",IF(COUNT(INDEX(StockDaily[Adjusted close],MAX(1,$A370-200+1)):E370)=200,AVERAGE(INDEX(StockDaily[Adjusted close],MAX(1,$A370-200+1)):E370),"n.a.")))</f>
        <v/>
      </c>
      <c r="H370" s="136" t="str">
        <f>IF($A370&gt;MIN($A$10,$A$2),"",IF($A$5="","Choose stock",IF(NOT($A$12),"Check split rule",IF(NOT(ISNUMBER(B370)),"Invalid date",IF(OR(B370&lt;=0,B370&lt;&gt;INT(B370)),"Invalid date",IF(COUNTIFS(DemoHistory[Date],B370)&lt;&gt;1,"Duplicate date",IF(AND($A370&gt;1,B370&lt;=B369),"Dates out of order",IF(NOT(ISNUMBER(C370)),"Missing price",IF(C370&lt;=0,"Nonpositive price","OK")))))))))</f>
        <v/>
      </c>
      <c r="I370" s="136"/>
      <c r="J370" s="136"/>
      <c r="K370" s="136"/>
      <c r="L370" s="136"/>
      <c r="M370" s="136"/>
      <c r="N370" s="136" t="e">
        <f t="shared" si="16"/>
        <v>#N/A</v>
      </c>
      <c r="O370" s="136" t="e">
        <f t="shared" si="17"/>
        <v>#N/A</v>
      </c>
    </row>
    <row r="371" spans="1:15" ht="22" customHeight="1" x14ac:dyDescent="0.35">
      <c r="A371" s="136">
        <v>327</v>
      </c>
      <c r="B371" s="165" t="str">
        <f>IF($A371&gt;MIN($A$10,$A$2),"",INDEX(DemoHistory[Date],$A371))</f>
        <v/>
      </c>
      <c r="C371" s="166" t="str">
        <f>IF(OR($A371&gt;MIN($A$10,$A$2),$A$5=""),"",INDEX(DemoHistory[],$A371,MATCH($A$5,DemoHistory[#Headers],0)))</f>
        <v/>
      </c>
      <c r="D371" s="166" t="str">
        <f>IF($A371&gt;MIN($A$10,$A$2),"",IF(AND($A$12,$A$6=1,B371&lt;$A$7,$A$7&lt;=MAX(DemoHistory[Date])),$A$8,1))</f>
        <v/>
      </c>
      <c r="E371" s="166" t="str">
        <f t="shared" si="15"/>
        <v/>
      </c>
      <c r="F371" s="166" t="str">
        <f>IF($A371&gt;MIN($A$10,$A$2),"",IF($A371&lt;50,"n.a.",IF(COUNT(INDEX(StockDaily[Adjusted close],MAX(1,$A371-50+1)):E371)=50,AVERAGE(INDEX(StockDaily[Adjusted close],MAX(1,$A371-50+1)):E371),"n.a.")))</f>
        <v/>
      </c>
      <c r="G371" s="166" t="str">
        <f>IF($A371&gt;MIN($A$10,$A$2),"",IF($A371&lt;200,"n.a.",IF(COUNT(INDEX(StockDaily[Adjusted close],MAX(1,$A371-200+1)):E371)=200,AVERAGE(INDEX(StockDaily[Adjusted close],MAX(1,$A371-200+1)):E371),"n.a.")))</f>
        <v/>
      </c>
      <c r="H371" s="136" t="str">
        <f>IF($A371&gt;MIN($A$10,$A$2),"",IF($A$5="","Choose stock",IF(NOT($A$12),"Check split rule",IF(NOT(ISNUMBER(B371)),"Invalid date",IF(OR(B371&lt;=0,B371&lt;&gt;INT(B371)),"Invalid date",IF(COUNTIFS(DemoHistory[Date],B371)&lt;&gt;1,"Duplicate date",IF(AND($A371&gt;1,B371&lt;=B370),"Dates out of order",IF(NOT(ISNUMBER(C371)),"Missing price",IF(C371&lt;=0,"Nonpositive price","OK")))))))))</f>
        <v/>
      </c>
      <c r="I371" s="136"/>
      <c r="J371" s="136"/>
      <c r="K371" s="136"/>
      <c r="L371" s="136"/>
      <c r="M371" s="136"/>
      <c r="N371" s="136" t="e">
        <f t="shared" si="16"/>
        <v>#N/A</v>
      </c>
      <c r="O371" s="136" t="e">
        <f t="shared" si="17"/>
        <v>#N/A</v>
      </c>
    </row>
    <row r="372" spans="1:15" ht="22" customHeight="1" x14ac:dyDescent="0.35">
      <c r="A372" s="136">
        <v>328</v>
      </c>
      <c r="B372" s="165" t="str">
        <f>IF($A372&gt;MIN($A$10,$A$2),"",INDEX(DemoHistory[Date],$A372))</f>
        <v/>
      </c>
      <c r="C372" s="166" t="str">
        <f>IF(OR($A372&gt;MIN($A$10,$A$2),$A$5=""),"",INDEX(DemoHistory[],$A372,MATCH($A$5,DemoHistory[#Headers],0)))</f>
        <v/>
      </c>
      <c r="D372" s="166" t="str">
        <f>IF($A372&gt;MIN($A$10,$A$2),"",IF(AND($A$12,$A$6=1,B372&lt;$A$7,$A$7&lt;=MAX(DemoHistory[Date])),$A$8,1))</f>
        <v/>
      </c>
      <c r="E372" s="166" t="str">
        <f t="shared" si="15"/>
        <v/>
      </c>
      <c r="F372" s="166" t="str">
        <f>IF($A372&gt;MIN($A$10,$A$2),"",IF($A372&lt;50,"n.a.",IF(COUNT(INDEX(StockDaily[Adjusted close],MAX(1,$A372-50+1)):E372)=50,AVERAGE(INDEX(StockDaily[Adjusted close],MAX(1,$A372-50+1)):E372),"n.a.")))</f>
        <v/>
      </c>
      <c r="G372" s="166" t="str">
        <f>IF($A372&gt;MIN($A$10,$A$2),"",IF($A372&lt;200,"n.a.",IF(COUNT(INDEX(StockDaily[Adjusted close],MAX(1,$A372-200+1)):E372)=200,AVERAGE(INDEX(StockDaily[Adjusted close],MAX(1,$A372-200+1)):E372),"n.a.")))</f>
        <v/>
      </c>
      <c r="H372" s="136" t="str">
        <f>IF($A372&gt;MIN($A$10,$A$2),"",IF($A$5="","Choose stock",IF(NOT($A$12),"Check split rule",IF(NOT(ISNUMBER(B372)),"Invalid date",IF(OR(B372&lt;=0,B372&lt;&gt;INT(B372)),"Invalid date",IF(COUNTIFS(DemoHistory[Date],B372)&lt;&gt;1,"Duplicate date",IF(AND($A372&gt;1,B372&lt;=B371),"Dates out of order",IF(NOT(ISNUMBER(C372)),"Missing price",IF(C372&lt;=0,"Nonpositive price","OK")))))))))</f>
        <v/>
      </c>
      <c r="I372" s="136"/>
      <c r="J372" s="136"/>
      <c r="K372" s="136"/>
      <c r="L372" s="136"/>
      <c r="M372" s="136"/>
      <c r="N372" s="136" t="e">
        <f t="shared" si="16"/>
        <v>#N/A</v>
      </c>
      <c r="O372" s="136" t="e">
        <f t="shared" si="17"/>
        <v>#N/A</v>
      </c>
    </row>
    <row r="373" spans="1:15" ht="22" customHeight="1" x14ac:dyDescent="0.35">
      <c r="A373" s="136">
        <v>329</v>
      </c>
      <c r="B373" s="165" t="str">
        <f>IF($A373&gt;MIN($A$10,$A$2),"",INDEX(DemoHistory[Date],$A373))</f>
        <v/>
      </c>
      <c r="C373" s="166" t="str">
        <f>IF(OR($A373&gt;MIN($A$10,$A$2),$A$5=""),"",INDEX(DemoHistory[],$A373,MATCH($A$5,DemoHistory[#Headers],0)))</f>
        <v/>
      </c>
      <c r="D373" s="166" t="str">
        <f>IF($A373&gt;MIN($A$10,$A$2),"",IF(AND($A$12,$A$6=1,B373&lt;$A$7,$A$7&lt;=MAX(DemoHistory[Date])),$A$8,1))</f>
        <v/>
      </c>
      <c r="E373" s="166" t="str">
        <f t="shared" si="15"/>
        <v/>
      </c>
      <c r="F373" s="166" t="str">
        <f>IF($A373&gt;MIN($A$10,$A$2),"",IF($A373&lt;50,"n.a.",IF(COUNT(INDEX(StockDaily[Adjusted close],MAX(1,$A373-50+1)):E373)=50,AVERAGE(INDEX(StockDaily[Adjusted close],MAX(1,$A373-50+1)):E373),"n.a.")))</f>
        <v/>
      </c>
      <c r="G373" s="166" t="str">
        <f>IF($A373&gt;MIN($A$10,$A$2),"",IF($A373&lt;200,"n.a.",IF(COUNT(INDEX(StockDaily[Adjusted close],MAX(1,$A373-200+1)):E373)=200,AVERAGE(INDEX(StockDaily[Adjusted close],MAX(1,$A373-200+1)):E373),"n.a.")))</f>
        <v/>
      </c>
      <c r="H373" s="136" t="str">
        <f>IF($A373&gt;MIN($A$10,$A$2),"",IF($A$5="","Choose stock",IF(NOT($A$12),"Check split rule",IF(NOT(ISNUMBER(B373)),"Invalid date",IF(OR(B373&lt;=0,B373&lt;&gt;INT(B373)),"Invalid date",IF(COUNTIFS(DemoHistory[Date],B373)&lt;&gt;1,"Duplicate date",IF(AND($A373&gt;1,B373&lt;=B372),"Dates out of order",IF(NOT(ISNUMBER(C373)),"Missing price",IF(C373&lt;=0,"Nonpositive price","OK")))))))))</f>
        <v/>
      </c>
      <c r="I373" s="136"/>
      <c r="J373" s="136"/>
      <c r="K373" s="136"/>
      <c r="L373" s="136"/>
      <c r="M373" s="136"/>
      <c r="N373" s="136" t="e">
        <f t="shared" si="16"/>
        <v>#N/A</v>
      </c>
      <c r="O373" s="136" t="e">
        <f t="shared" si="17"/>
        <v>#N/A</v>
      </c>
    </row>
    <row r="374" spans="1:15" ht="22" customHeight="1" x14ac:dyDescent="0.35">
      <c r="A374" s="136">
        <v>330</v>
      </c>
      <c r="B374" s="165" t="str">
        <f>IF($A374&gt;MIN($A$10,$A$2),"",INDEX(DemoHistory[Date],$A374))</f>
        <v/>
      </c>
      <c r="C374" s="166" t="str">
        <f>IF(OR($A374&gt;MIN($A$10,$A$2),$A$5=""),"",INDEX(DemoHistory[],$A374,MATCH($A$5,DemoHistory[#Headers],0)))</f>
        <v/>
      </c>
      <c r="D374" s="166" t="str">
        <f>IF($A374&gt;MIN($A$10,$A$2),"",IF(AND($A$12,$A$6=1,B374&lt;$A$7,$A$7&lt;=MAX(DemoHistory[Date])),$A$8,1))</f>
        <v/>
      </c>
      <c r="E374" s="166" t="str">
        <f t="shared" si="15"/>
        <v/>
      </c>
      <c r="F374" s="166" t="str">
        <f>IF($A374&gt;MIN($A$10,$A$2),"",IF($A374&lt;50,"n.a.",IF(COUNT(INDEX(StockDaily[Adjusted close],MAX(1,$A374-50+1)):E374)=50,AVERAGE(INDEX(StockDaily[Adjusted close],MAX(1,$A374-50+1)):E374),"n.a.")))</f>
        <v/>
      </c>
      <c r="G374" s="166" t="str">
        <f>IF($A374&gt;MIN($A$10,$A$2),"",IF($A374&lt;200,"n.a.",IF(COUNT(INDEX(StockDaily[Adjusted close],MAX(1,$A374-200+1)):E374)=200,AVERAGE(INDEX(StockDaily[Adjusted close],MAX(1,$A374-200+1)):E374),"n.a.")))</f>
        <v/>
      </c>
      <c r="H374" s="136" t="str">
        <f>IF($A374&gt;MIN($A$10,$A$2),"",IF($A$5="","Choose stock",IF(NOT($A$12),"Check split rule",IF(NOT(ISNUMBER(B374)),"Invalid date",IF(OR(B374&lt;=0,B374&lt;&gt;INT(B374)),"Invalid date",IF(COUNTIFS(DemoHistory[Date],B374)&lt;&gt;1,"Duplicate date",IF(AND($A374&gt;1,B374&lt;=B373),"Dates out of order",IF(NOT(ISNUMBER(C374)),"Missing price",IF(C374&lt;=0,"Nonpositive price","OK")))))))))</f>
        <v/>
      </c>
      <c r="I374" s="136"/>
      <c r="J374" s="136"/>
      <c r="K374" s="136"/>
      <c r="L374" s="136"/>
      <c r="M374" s="136"/>
      <c r="N374" s="136" t="e">
        <f t="shared" si="16"/>
        <v>#N/A</v>
      </c>
      <c r="O374" s="136" t="e">
        <f t="shared" si="17"/>
        <v>#N/A</v>
      </c>
    </row>
    <row r="375" spans="1:15" ht="22" customHeight="1" x14ac:dyDescent="0.35">
      <c r="A375" s="136">
        <v>331</v>
      </c>
      <c r="B375" s="165" t="str">
        <f>IF($A375&gt;MIN($A$10,$A$2),"",INDEX(DemoHistory[Date],$A375))</f>
        <v/>
      </c>
      <c r="C375" s="166" t="str">
        <f>IF(OR($A375&gt;MIN($A$10,$A$2),$A$5=""),"",INDEX(DemoHistory[],$A375,MATCH($A$5,DemoHistory[#Headers],0)))</f>
        <v/>
      </c>
      <c r="D375" s="166" t="str">
        <f>IF($A375&gt;MIN($A$10,$A$2),"",IF(AND($A$12,$A$6=1,B375&lt;$A$7,$A$7&lt;=MAX(DemoHistory[Date])),$A$8,1))</f>
        <v/>
      </c>
      <c r="E375" s="166" t="str">
        <f t="shared" si="15"/>
        <v/>
      </c>
      <c r="F375" s="166" t="str">
        <f>IF($A375&gt;MIN($A$10,$A$2),"",IF($A375&lt;50,"n.a.",IF(COUNT(INDEX(StockDaily[Adjusted close],MAX(1,$A375-50+1)):E375)=50,AVERAGE(INDEX(StockDaily[Adjusted close],MAX(1,$A375-50+1)):E375),"n.a.")))</f>
        <v/>
      </c>
      <c r="G375" s="166" t="str">
        <f>IF($A375&gt;MIN($A$10,$A$2),"",IF($A375&lt;200,"n.a.",IF(COUNT(INDEX(StockDaily[Adjusted close],MAX(1,$A375-200+1)):E375)=200,AVERAGE(INDEX(StockDaily[Adjusted close],MAX(1,$A375-200+1)):E375),"n.a.")))</f>
        <v/>
      </c>
      <c r="H375" s="136" t="str">
        <f>IF($A375&gt;MIN($A$10,$A$2),"",IF($A$5="","Choose stock",IF(NOT($A$12),"Check split rule",IF(NOT(ISNUMBER(B375)),"Invalid date",IF(OR(B375&lt;=0,B375&lt;&gt;INT(B375)),"Invalid date",IF(COUNTIFS(DemoHistory[Date],B375)&lt;&gt;1,"Duplicate date",IF(AND($A375&gt;1,B375&lt;=B374),"Dates out of order",IF(NOT(ISNUMBER(C375)),"Missing price",IF(C375&lt;=0,"Nonpositive price","OK")))))))))</f>
        <v/>
      </c>
      <c r="I375" s="136"/>
      <c r="J375" s="136"/>
      <c r="K375" s="136"/>
      <c r="L375" s="136"/>
      <c r="M375" s="136"/>
      <c r="N375" s="136" t="e">
        <f t="shared" si="16"/>
        <v>#N/A</v>
      </c>
      <c r="O375" s="136" t="e">
        <f t="shared" si="17"/>
        <v>#N/A</v>
      </c>
    </row>
    <row r="376" spans="1:15" ht="22" customHeight="1" x14ac:dyDescent="0.35">
      <c r="A376" s="136">
        <v>332</v>
      </c>
      <c r="B376" s="165" t="str">
        <f>IF($A376&gt;MIN($A$10,$A$2),"",INDEX(DemoHistory[Date],$A376))</f>
        <v/>
      </c>
      <c r="C376" s="166" t="str">
        <f>IF(OR($A376&gt;MIN($A$10,$A$2),$A$5=""),"",INDEX(DemoHistory[],$A376,MATCH($A$5,DemoHistory[#Headers],0)))</f>
        <v/>
      </c>
      <c r="D376" s="166" t="str">
        <f>IF($A376&gt;MIN($A$10,$A$2),"",IF(AND($A$12,$A$6=1,B376&lt;$A$7,$A$7&lt;=MAX(DemoHistory[Date])),$A$8,1))</f>
        <v/>
      </c>
      <c r="E376" s="166" t="str">
        <f t="shared" si="15"/>
        <v/>
      </c>
      <c r="F376" s="166" t="str">
        <f>IF($A376&gt;MIN($A$10,$A$2),"",IF($A376&lt;50,"n.a.",IF(COUNT(INDEX(StockDaily[Adjusted close],MAX(1,$A376-50+1)):E376)=50,AVERAGE(INDEX(StockDaily[Adjusted close],MAX(1,$A376-50+1)):E376),"n.a.")))</f>
        <v/>
      </c>
      <c r="G376" s="166" t="str">
        <f>IF($A376&gt;MIN($A$10,$A$2),"",IF($A376&lt;200,"n.a.",IF(COUNT(INDEX(StockDaily[Adjusted close],MAX(1,$A376-200+1)):E376)=200,AVERAGE(INDEX(StockDaily[Adjusted close],MAX(1,$A376-200+1)):E376),"n.a.")))</f>
        <v/>
      </c>
      <c r="H376" s="136" t="str">
        <f>IF($A376&gt;MIN($A$10,$A$2),"",IF($A$5="","Choose stock",IF(NOT($A$12),"Check split rule",IF(NOT(ISNUMBER(B376)),"Invalid date",IF(OR(B376&lt;=0,B376&lt;&gt;INT(B376)),"Invalid date",IF(COUNTIFS(DemoHistory[Date],B376)&lt;&gt;1,"Duplicate date",IF(AND($A376&gt;1,B376&lt;=B375),"Dates out of order",IF(NOT(ISNUMBER(C376)),"Missing price",IF(C376&lt;=0,"Nonpositive price","OK")))))))))</f>
        <v/>
      </c>
      <c r="I376" s="136"/>
      <c r="J376" s="136"/>
      <c r="K376" s="136"/>
      <c r="L376" s="136"/>
      <c r="M376" s="136"/>
      <c r="N376" s="136" t="e">
        <f t="shared" si="16"/>
        <v>#N/A</v>
      </c>
      <c r="O376" s="136" t="e">
        <f t="shared" si="17"/>
        <v>#N/A</v>
      </c>
    </row>
    <row r="377" spans="1:15" ht="22" customHeight="1" x14ac:dyDescent="0.35">
      <c r="A377" s="136">
        <v>333</v>
      </c>
      <c r="B377" s="165" t="str">
        <f>IF($A377&gt;MIN($A$10,$A$2),"",INDEX(DemoHistory[Date],$A377))</f>
        <v/>
      </c>
      <c r="C377" s="166" t="str">
        <f>IF(OR($A377&gt;MIN($A$10,$A$2),$A$5=""),"",INDEX(DemoHistory[],$A377,MATCH($A$5,DemoHistory[#Headers],0)))</f>
        <v/>
      </c>
      <c r="D377" s="166" t="str">
        <f>IF($A377&gt;MIN($A$10,$A$2),"",IF(AND($A$12,$A$6=1,B377&lt;$A$7,$A$7&lt;=MAX(DemoHistory[Date])),$A$8,1))</f>
        <v/>
      </c>
      <c r="E377" s="166" t="str">
        <f t="shared" si="15"/>
        <v/>
      </c>
      <c r="F377" s="166" t="str">
        <f>IF($A377&gt;MIN($A$10,$A$2),"",IF($A377&lt;50,"n.a.",IF(COUNT(INDEX(StockDaily[Adjusted close],MAX(1,$A377-50+1)):E377)=50,AVERAGE(INDEX(StockDaily[Adjusted close],MAX(1,$A377-50+1)):E377),"n.a.")))</f>
        <v/>
      </c>
      <c r="G377" s="166" t="str">
        <f>IF($A377&gt;MIN($A$10,$A$2),"",IF($A377&lt;200,"n.a.",IF(COUNT(INDEX(StockDaily[Adjusted close],MAX(1,$A377-200+1)):E377)=200,AVERAGE(INDEX(StockDaily[Adjusted close],MAX(1,$A377-200+1)):E377),"n.a.")))</f>
        <v/>
      </c>
      <c r="H377" s="136" t="str">
        <f>IF($A377&gt;MIN($A$10,$A$2),"",IF($A$5="","Choose stock",IF(NOT($A$12),"Check split rule",IF(NOT(ISNUMBER(B377)),"Invalid date",IF(OR(B377&lt;=0,B377&lt;&gt;INT(B377)),"Invalid date",IF(COUNTIFS(DemoHistory[Date],B377)&lt;&gt;1,"Duplicate date",IF(AND($A377&gt;1,B377&lt;=B376),"Dates out of order",IF(NOT(ISNUMBER(C377)),"Missing price",IF(C377&lt;=0,"Nonpositive price","OK")))))))))</f>
        <v/>
      </c>
      <c r="I377" s="136"/>
      <c r="J377" s="136"/>
      <c r="K377" s="136"/>
      <c r="L377" s="136"/>
      <c r="M377" s="136"/>
      <c r="N377" s="136" t="e">
        <f t="shared" si="16"/>
        <v>#N/A</v>
      </c>
      <c r="O377" s="136" t="e">
        <f t="shared" si="17"/>
        <v>#N/A</v>
      </c>
    </row>
    <row r="378" spans="1:15" ht="22" customHeight="1" x14ac:dyDescent="0.35">
      <c r="A378" s="136">
        <v>334</v>
      </c>
      <c r="B378" s="165" t="str">
        <f>IF($A378&gt;MIN($A$10,$A$2),"",INDEX(DemoHistory[Date],$A378))</f>
        <v/>
      </c>
      <c r="C378" s="166" t="str">
        <f>IF(OR($A378&gt;MIN($A$10,$A$2),$A$5=""),"",INDEX(DemoHistory[],$A378,MATCH($A$5,DemoHistory[#Headers],0)))</f>
        <v/>
      </c>
      <c r="D378" s="166" t="str">
        <f>IF($A378&gt;MIN($A$10,$A$2),"",IF(AND($A$12,$A$6=1,B378&lt;$A$7,$A$7&lt;=MAX(DemoHistory[Date])),$A$8,1))</f>
        <v/>
      </c>
      <c r="E378" s="166" t="str">
        <f t="shared" si="15"/>
        <v/>
      </c>
      <c r="F378" s="166" t="str">
        <f>IF($A378&gt;MIN($A$10,$A$2),"",IF($A378&lt;50,"n.a.",IF(COUNT(INDEX(StockDaily[Adjusted close],MAX(1,$A378-50+1)):E378)=50,AVERAGE(INDEX(StockDaily[Adjusted close],MAX(1,$A378-50+1)):E378),"n.a.")))</f>
        <v/>
      </c>
      <c r="G378" s="166" t="str">
        <f>IF($A378&gt;MIN($A$10,$A$2),"",IF($A378&lt;200,"n.a.",IF(COUNT(INDEX(StockDaily[Adjusted close],MAX(1,$A378-200+1)):E378)=200,AVERAGE(INDEX(StockDaily[Adjusted close],MAX(1,$A378-200+1)):E378),"n.a.")))</f>
        <v/>
      </c>
      <c r="H378" s="136" t="str">
        <f>IF($A378&gt;MIN($A$10,$A$2),"",IF($A$5="","Choose stock",IF(NOT($A$12),"Check split rule",IF(NOT(ISNUMBER(B378)),"Invalid date",IF(OR(B378&lt;=0,B378&lt;&gt;INT(B378)),"Invalid date",IF(COUNTIFS(DemoHistory[Date],B378)&lt;&gt;1,"Duplicate date",IF(AND($A378&gt;1,B378&lt;=B377),"Dates out of order",IF(NOT(ISNUMBER(C378)),"Missing price",IF(C378&lt;=0,"Nonpositive price","OK")))))))))</f>
        <v/>
      </c>
      <c r="I378" s="136"/>
      <c r="J378" s="136"/>
      <c r="K378" s="136"/>
      <c r="L378" s="136"/>
      <c r="M378" s="136"/>
      <c r="N378" s="136" t="e">
        <f t="shared" si="16"/>
        <v>#N/A</v>
      </c>
      <c r="O378" s="136" t="e">
        <f t="shared" si="17"/>
        <v>#N/A</v>
      </c>
    </row>
    <row r="379" spans="1:15" ht="22" customHeight="1" x14ac:dyDescent="0.35">
      <c r="A379" s="136">
        <v>335</v>
      </c>
      <c r="B379" s="165" t="str">
        <f>IF($A379&gt;MIN($A$10,$A$2),"",INDEX(DemoHistory[Date],$A379))</f>
        <v/>
      </c>
      <c r="C379" s="166" t="str">
        <f>IF(OR($A379&gt;MIN($A$10,$A$2),$A$5=""),"",INDEX(DemoHistory[],$A379,MATCH($A$5,DemoHistory[#Headers],0)))</f>
        <v/>
      </c>
      <c r="D379" s="166" t="str">
        <f>IF($A379&gt;MIN($A$10,$A$2),"",IF(AND($A$12,$A$6=1,B379&lt;$A$7,$A$7&lt;=MAX(DemoHistory[Date])),$A$8,1))</f>
        <v/>
      </c>
      <c r="E379" s="166" t="str">
        <f t="shared" si="15"/>
        <v/>
      </c>
      <c r="F379" s="166" t="str">
        <f>IF($A379&gt;MIN($A$10,$A$2),"",IF($A379&lt;50,"n.a.",IF(COUNT(INDEX(StockDaily[Adjusted close],MAX(1,$A379-50+1)):E379)=50,AVERAGE(INDEX(StockDaily[Adjusted close],MAX(1,$A379-50+1)):E379),"n.a.")))</f>
        <v/>
      </c>
      <c r="G379" s="166" t="str">
        <f>IF($A379&gt;MIN($A$10,$A$2),"",IF($A379&lt;200,"n.a.",IF(COUNT(INDEX(StockDaily[Adjusted close],MAX(1,$A379-200+1)):E379)=200,AVERAGE(INDEX(StockDaily[Adjusted close],MAX(1,$A379-200+1)):E379),"n.a.")))</f>
        <v/>
      </c>
      <c r="H379" s="136" t="str">
        <f>IF($A379&gt;MIN($A$10,$A$2),"",IF($A$5="","Choose stock",IF(NOT($A$12),"Check split rule",IF(NOT(ISNUMBER(B379)),"Invalid date",IF(OR(B379&lt;=0,B379&lt;&gt;INT(B379)),"Invalid date",IF(COUNTIFS(DemoHistory[Date],B379)&lt;&gt;1,"Duplicate date",IF(AND($A379&gt;1,B379&lt;=B378),"Dates out of order",IF(NOT(ISNUMBER(C379)),"Missing price",IF(C379&lt;=0,"Nonpositive price","OK")))))))))</f>
        <v/>
      </c>
      <c r="I379" s="136"/>
      <c r="J379" s="136"/>
      <c r="K379" s="136"/>
      <c r="L379" s="136"/>
      <c r="M379" s="136"/>
      <c r="N379" s="136" t="e">
        <f t="shared" si="16"/>
        <v>#N/A</v>
      </c>
      <c r="O379" s="136" t="e">
        <f t="shared" si="17"/>
        <v>#N/A</v>
      </c>
    </row>
    <row r="380" spans="1:15" ht="22" customHeight="1" x14ac:dyDescent="0.35">
      <c r="A380" s="136">
        <v>336</v>
      </c>
      <c r="B380" s="165" t="str">
        <f>IF($A380&gt;MIN($A$10,$A$2),"",INDEX(DemoHistory[Date],$A380))</f>
        <v/>
      </c>
      <c r="C380" s="166" t="str">
        <f>IF(OR($A380&gt;MIN($A$10,$A$2),$A$5=""),"",INDEX(DemoHistory[],$A380,MATCH($A$5,DemoHistory[#Headers],0)))</f>
        <v/>
      </c>
      <c r="D380" s="166" t="str">
        <f>IF($A380&gt;MIN($A$10,$A$2),"",IF(AND($A$12,$A$6=1,B380&lt;$A$7,$A$7&lt;=MAX(DemoHistory[Date])),$A$8,1))</f>
        <v/>
      </c>
      <c r="E380" s="166" t="str">
        <f t="shared" si="15"/>
        <v/>
      </c>
      <c r="F380" s="166" t="str">
        <f>IF($A380&gt;MIN($A$10,$A$2),"",IF($A380&lt;50,"n.a.",IF(COUNT(INDEX(StockDaily[Adjusted close],MAX(1,$A380-50+1)):E380)=50,AVERAGE(INDEX(StockDaily[Adjusted close],MAX(1,$A380-50+1)):E380),"n.a.")))</f>
        <v/>
      </c>
      <c r="G380" s="166" t="str">
        <f>IF($A380&gt;MIN($A$10,$A$2),"",IF($A380&lt;200,"n.a.",IF(COUNT(INDEX(StockDaily[Adjusted close],MAX(1,$A380-200+1)):E380)=200,AVERAGE(INDEX(StockDaily[Adjusted close],MAX(1,$A380-200+1)):E380),"n.a.")))</f>
        <v/>
      </c>
      <c r="H380" s="136" t="str">
        <f>IF($A380&gt;MIN($A$10,$A$2),"",IF($A$5="","Choose stock",IF(NOT($A$12),"Check split rule",IF(NOT(ISNUMBER(B380)),"Invalid date",IF(OR(B380&lt;=0,B380&lt;&gt;INT(B380)),"Invalid date",IF(COUNTIFS(DemoHistory[Date],B380)&lt;&gt;1,"Duplicate date",IF(AND($A380&gt;1,B380&lt;=B379),"Dates out of order",IF(NOT(ISNUMBER(C380)),"Missing price",IF(C380&lt;=0,"Nonpositive price","OK")))))))))</f>
        <v/>
      </c>
      <c r="I380" s="136"/>
      <c r="J380" s="136"/>
      <c r="K380" s="136"/>
      <c r="L380" s="136"/>
      <c r="M380" s="136"/>
      <c r="N380" s="136" t="e">
        <f t="shared" si="16"/>
        <v>#N/A</v>
      </c>
      <c r="O380" s="136" t="e">
        <f t="shared" si="17"/>
        <v>#N/A</v>
      </c>
    </row>
    <row r="381" spans="1:15" ht="22" customHeight="1" x14ac:dyDescent="0.35">
      <c r="A381" s="136">
        <v>337</v>
      </c>
      <c r="B381" s="165" t="str">
        <f>IF($A381&gt;MIN($A$10,$A$2),"",INDEX(DemoHistory[Date],$A381))</f>
        <v/>
      </c>
      <c r="C381" s="166" t="str">
        <f>IF(OR($A381&gt;MIN($A$10,$A$2),$A$5=""),"",INDEX(DemoHistory[],$A381,MATCH($A$5,DemoHistory[#Headers],0)))</f>
        <v/>
      </c>
      <c r="D381" s="166" t="str">
        <f>IF($A381&gt;MIN($A$10,$A$2),"",IF(AND($A$12,$A$6=1,B381&lt;$A$7,$A$7&lt;=MAX(DemoHistory[Date])),$A$8,1))</f>
        <v/>
      </c>
      <c r="E381" s="166" t="str">
        <f t="shared" si="15"/>
        <v/>
      </c>
      <c r="F381" s="166" t="str">
        <f>IF($A381&gt;MIN($A$10,$A$2),"",IF($A381&lt;50,"n.a.",IF(COUNT(INDEX(StockDaily[Adjusted close],MAX(1,$A381-50+1)):E381)=50,AVERAGE(INDEX(StockDaily[Adjusted close],MAX(1,$A381-50+1)):E381),"n.a.")))</f>
        <v/>
      </c>
      <c r="G381" s="166" t="str">
        <f>IF($A381&gt;MIN($A$10,$A$2),"",IF($A381&lt;200,"n.a.",IF(COUNT(INDEX(StockDaily[Adjusted close],MAX(1,$A381-200+1)):E381)=200,AVERAGE(INDEX(StockDaily[Adjusted close],MAX(1,$A381-200+1)):E381),"n.a.")))</f>
        <v/>
      </c>
      <c r="H381" s="136" t="str">
        <f>IF($A381&gt;MIN($A$10,$A$2),"",IF($A$5="","Choose stock",IF(NOT($A$12),"Check split rule",IF(NOT(ISNUMBER(B381)),"Invalid date",IF(OR(B381&lt;=0,B381&lt;&gt;INT(B381)),"Invalid date",IF(COUNTIFS(DemoHistory[Date],B381)&lt;&gt;1,"Duplicate date",IF(AND($A381&gt;1,B381&lt;=B380),"Dates out of order",IF(NOT(ISNUMBER(C381)),"Missing price",IF(C381&lt;=0,"Nonpositive price","OK")))))))))</f>
        <v/>
      </c>
      <c r="I381" s="136"/>
      <c r="J381" s="136"/>
      <c r="K381" s="136"/>
      <c r="L381" s="136"/>
      <c r="M381" s="136"/>
      <c r="N381" s="136" t="e">
        <f t="shared" si="16"/>
        <v>#N/A</v>
      </c>
      <c r="O381" s="136" t="e">
        <f t="shared" si="17"/>
        <v>#N/A</v>
      </c>
    </row>
    <row r="382" spans="1:15" ht="22" customHeight="1" x14ac:dyDescent="0.35">
      <c r="A382" s="136">
        <v>338</v>
      </c>
      <c r="B382" s="165" t="str">
        <f>IF($A382&gt;MIN($A$10,$A$2),"",INDEX(DemoHistory[Date],$A382))</f>
        <v/>
      </c>
      <c r="C382" s="166" t="str">
        <f>IF(OR($A382&gt;MIN($A$10,$A$2),$A$5=""),"",INDEX(DemoHistory[],$A382,MATCH($A$5,DemoHistory[#Headers],0)))</f>
        <v/>
      </c>
      <c r="D382" s="166" t="str">
        <f>IF($A382&gt;MIN($A$10,$A$2),"",IF(AND($A$12,$A$6=1,B382&lt;$A$7,$A$7&lt;=MAX(DemoHistory[Date])),$A$8,1))</f>
        <v/>
      </c>
      <c r="E382" s="166" t="str">
        <f t="shared" si="15"/>
        <v/>
      </c>
      <c r="F382" s="166" t="str">
        <f>IF($A382&gt;MIN($A$10,$A$2),"",IF($A382&lt;50,"n.a.",IF(COUNT(INDEX(StockDaily[Adjusted close],MAX(1,$A382-50+1)):E382)=50,AVERAGE(INDEX(StockDaily[Adjusted close],MAX(1,$A382-50+1)):E382),"n.a.")))</f>
        <v/>
      </c>
      <c r="G382" s="166" t="str">
        <f>IF($A382&gt;MIN($A$10,$A$2),"",IF($A382&lt;200,"n.a.",IF(COUNT(INDEX(StockDaily[Adjusted close],MAX(1,$A382-200+1)):E382)=200,AVERAGE(INDEX(StockDaily[Adjusted close],MAX(1,$A382-200+1)):E382),"n.a.")))</f>
        <v/>
      </c>
      <c r="H382" s="136" t="str">
        <f>IF($A382&gt;MIN($A$10,$A$2),"",IF($A$5="","Choose stock",IF(NOT($A$12),"Check split rule",IF(NOT(ISNUMBER(B382)),"Invalid date",IF(OR(B382&lt;=0,B382&lt;&gt;INT(B382)),"Invalid date",IF(COUNTIFS(DemoHistory[Date],B382)&lt;&gt;1,"Duplicate date",IF(AND($A382&gt;1,B382&lt;=B381),"Dates out of order",IF(NOT(ISNUMBER(C382)),"Missing price",IF(C382&lt;=0,"Nonpositive price","OK")))))))))</f>
        <v/>
      </c>
      <c r="I382" s="136"/>
      <c r="J382" s="136"/>
      <c r="K382" s="136"/>
      <c r="L382" s="136"/>
      <c r="M382" s="136"/>
      <c r="N382" s="136" t="e">
        <f t="shared" si="16"/>
        <v>#N/A</v>
      </c>
      <c r="O382" s="136" t="e">
        <f t="shared" si="17"/>
        <v>#N/A</v>
      </c>
    </row>
    <row r="383" spans="1:15" ht="22" customHeight="1" x14ac:dyDescent="0.35">
      <c r="A383" s="136">
        <v>339</v>
      </c>
      <c r="B383" s="165" t="str">
        <f>IF($A383&gt;MIN($A$10,$A$2),"",INDEX(DemoHistory[Date],$A383))</f>
        <v/>
      </c>
      <c r="C383" s="166" t="str">
        <f>IF(OR($A383&gt;MIN($A$10,$A$2),$A$5=""),"",INDEX(DemoHistory[],$A383,MATCH($A$5,DemoHistory[#Headers],0)))</f>
        <v/>
      </c>
      <c r="D383" s="166" t="str">
        <f>IF($A383&gt;MIN($A$10,$A$2),"",IF(AND($A$12,$A$6=1,B383&lt;$A$7,$A$7&lt;=MAX(DemoHistory[Date])),$A$8,1))</f>
        <v/>
      </c>
      <c r="E383" s="166" t="str">
        <f t="shared" si="15"/>
        <v/>
      </c>
      <c r="F383" s="166" t="str">
        <f>IF($A383&gt;MIN($A$10,$A$2),"",IF($A383&lt;50,"n.a.",IF(COUNT(INDEX(StockDaily[Adjusted close],MAX(1,$A383-50+1)):E383)=50,AVERAGE(INDEX(StockDaily[Adjusted close],MAX(1,$A383-50+1)):E383),"n.a.")))</f>
        <v/>
      </c>
      <c r="G383" s="166" t="str">
        <f>IF($A383&gt;MIN($A$10,$A$2),"",IF($A383&lt;200,"n.a.",IF(COUNT(INDEX(StockDaily[Adjusted close],MAX(1,$A383-200+1)):E383)=200,AVERAGE(INDEX(StockDaily[Adjusted close],MAX(1,$A383-200+1)):E383),"n.a.")))</f>
        <v/>
      </c>
      <c r="H383" s="136" t="str">
        <f>IF($A383&gt;MIN($A$10,$A$2),"",IF($A$5="","Choose stock",IF(NOT($A$12),"Check split rule",IF(NOT(ISNUMBER(B383)),"Invalid date",IF(OR(B383&lt;=0,B383&lt;&gt;INT(B383)),"Invalid date",IF(COUNTIFS(DemoHistory[Date],B383)&lt;&gt;1,"Duplicate date",IF(AND($A383&gt;1,B383&lt;=B382),"Dates out of order",IF(NOT(ISNUMBER(C383)),"Missing price",IF(C383&lt;=0,"Nonpositive price","OK")))))))))</f>
        <v/>
      </c>
      <c r="I383" s="136"/>
      <c r="J383" s="136"/>
      <c r="K383" s="136"/>
      <c r="L383" s="136"/>
      <c r="M383" s="136"/>
      <c r="N383" s="136" t="e">
        <f t="shared" si="16"/>
        <v>#N/A</v>
      </c>
      <c r="O383" s="136" t="e">
        <f t="shared" si="17"/>
        <v>#N/A</v>
      </c>
    </row>
    <row r="384" spans="1:15" ht="22" customHeight="1" x14ac:dyDescent="0.35">
      <c r="A384" s="136">
        <v>340</v>
      </c>
      <c r="B384" s="165" t="str">
        <f>IF($A384&gt;MIN($A$10,$A$2),"",INDEX(DemoHistory[Date],$A384))</f>
        <v/>
      </c>
      <c r="C384" s="166" t="str">
        <f>IF(OR($A384&gt;MIN($A$10,$A$2),$A$5=""),"",INDEX(DemoHistory[],$A384,MATCH($A$5,DemoHistory[#Headers],0)))</f>
        <v/>
      </c>
      <c r="D384" s="166" t="str">
        <f>IF($A384&gt;MIN($A$10,$A$2),"",IF(AND($A$12,$A$6=1,B384&lt;$A$7,$A$7&lt;=MAX(DemoHistory[Date])),$A$8,1))</f>
        <v/>
      </c>
      <c r="E384" s="166" t="str">
        <f t="shared" si="15"/>
        <v/>
      </c>
      <c r="F384" s="166" t="str">
        <f>IF($A384&gt;MIN($A$10,$A$2),"",IF($A384&lt;50,"n.a.",IF(COUNT(INDEX(StockDaily[Adjusted close],MAX(1,$A384-50+1)):E384)=50,AVERAGE(INDEX(StockDaily[Adjusted close],MAX(1,$A384-50+1)):E384),"n.a.")))</f>
        <v/>
      </c>
      <c r="G384" s="166" t="str">
        <f>IF($A384&gt;MIN($A$10,$A$2),"",IF($A384&lt;200,"n.a.",IF(COUNT(INDEX(StockDaily[Adjusted close],MAX(1,$A384-200+1)):E384)=200,AVERAGE(INDEX(StockDaily[Adjusted close],MAX(1,$A384-200+1)):E384),"n.a.")))</f>
        <v/>
      </c>
      <c r="H384" s="136" t="str">
        <f>IF($A384&gt;MIN($A$10,$A$2),"",IF($A$5="","Choose stock",IF(NOT($A$12),"Check split rule",IF(NOT(ISNUMBER(B384)),"Invalid date",IF(OR(B384&lt;=0,B384&lt;&gt;INT(B384)),"Invalid date",IF(COUNTIFS(DemoHistory[Date],B384)&lt;&gt;1,"Duplicate date",IF(AND($A384&gt;1,B384&lt;=B383),"Dates out of order",IF(NOT(ISNUMBER(C384)),"Missing price",IF(C384&lt;=0,"Nonpositive price","OK")))))))))</f>
        <v/>
      </c>
      <c r="I384" s="136"/>
      <c r="J384" s="136"/>
      <c r="K384" s="136"/>
      <c r="L384" s="136"/>
      <c r="M384" s="136"/>
      <c r="N384" s="136" t="e">
        <f t="shared" si="16"/>
        <v>#N/A</v>
      </c>
      <c r="O384" s="136" t="e">
        <f t="shared" si="17"/>
        <v>#N/A</v>
      </c>
    </row>
    <row r="385" spans="1:15" ht="22" customHeight="1" x14ac:dyDescent="0.35">
      <c r="A385" s="136">
        <v>341</v>
      </c>
      <c r="B385" s="165" t="str">
        <f>IF($A385&gt;MIN($A$10,$A$2),"",INDEX(DemoHistory[Date],$A385))</f>
        <v/>
      </c>
      <c r="C385" s="166" t="str">
        <f>IF(OR($A385&gt;MIN($A$10,$A$2),$A$5=""),"",INDEX(DemoHistory[],$A385,MATCH($A$5,DemoHistory[#Headers],0)))</f>
        <v/>
      </c>
      <c r="D385" s="166" t="str">
        <f>IF($A385&gt;MIN($A$10,$A$2),"",IF(AND($A$12,$A$6=1,B385&lt;$A$7,$A$7&lt;=MAX(DemoHistory[Date])),$A$8,1))</f>
        <v/>
      </c>
      <c r="E385" s="166" t="str">
        <f t="shared" si="15"/>
        <v/>
      </c>
      <c r="F385" s="166" t="str">
        <f>IF($A385&gt;MIN($A$10,$A$2),"",IF($A385&lt;50,"n.a.",IF(COUNT(INDEX(StockDaily[Adjusted close],MAX(1,$A385-50+1)):E385)=50,AVERAGE(INDEX(StockDaily[Adjusted close],MAX(1,$A385-50+1)):E385),"n.a.")))</f>
        <v/>
      </c>
      <c r="G385" s="166" t="str">
        <f>IF($A385&gt;MIN($A$10,$A$2),"",IF($A385&lt;200,"n.a.",IF(COUNT(INDEX(StockDaily[Adjusted close],MAX(1,$A385-200+1)):E385)=200,AVERAGE(INDEX(StockDaily[Adjusted close],MAX(1,$A385-200+1)):E385),"n.a.")))</f>
        <v/>
      </c>
      <c r="H385" s="136" t="str">
        <f>IF($A385&gt;MIN($A$10,$A$2),"",IF($A$5="","Choose stock",IF(NOT($A$12),"Check split rule",IF(NOT(ISNUMBER(B385)),"Invalid date",IF(OR(B385&lt;=0,B385&lt;&gt;INT(B385)),"Invalid date",IF(COUNTIFS(DemoHistory[Date],B385)&lt;&gt;1,"Duplicate date",IF(AND($A385&gt;1,B385&lt;=B384),"Dates out of order",IF(NOT(ISNUMBER(C385)),"Missing price",IF(C385&lt;=0,"Nonpositive price","OK")))))))))</f>
        <v/>
      </c>
      <c r="I385" s="136"/>
      <c r="J385" s="136"/>
      <c r="K385" s="136"/>
      <c r="L385" s="136"/>
      <c r="M385" s="136"/>
      <c r="N385" s="136" t="e">
        <f t="shared" si="16"/>
        <v>#N/A</v>
      </c>
      <c r="O385" s="136" t="e">
        <f t="shared" si="17"/>
        <v>#N/A</v>
      </c>
    </row>
    <row r="386" spans="1:15" ht="22" customHeight="1" x14ac:dyDescent="0.35">
      <c r="A386" s="136">
        <v>342</v>
      </c>
      <c r="B386" s="165" t="str">
        <f>IF($A386&gt;MIN($A$10,$A$2),"",INDEX(DemoHistory[Date],$A386))</f>
        <v/>
      </c>
      <c r="C386" s="166" t="str">
        <f>IF(OR($A386&gt;MIN($A$10,$A$2),$A$5=""),"",INDEX(DemoHistory[],$A386,MATCH($A$5,DemoHistory[#Headers],0)))</f>
        <v/>
      </c>
      <c r="D386" s="166" t="str">
        <f>IF($A386&gt;MIN($A$10,$A$2),"",IF(AND($A$12,$A$6=1,B386&lt;$A$7,$A$7&lt;=MAX(DemoHistory[Date])),$A$8,1))</f>
        <v/>
      </c>
      <c r="E386" s="166" t="str">
        <f t="shared" si="15"/>
        <v/>
      </c>
      <c r="F386" s="166" t="str">
        <f>IF($A386&gt;MIN($A$10,$A$2),"",IF($A386&lt;50,"n.a.",IF(COUNT(INDEX(StockDaily[Adjusted close],MAX(1,$A386-50+1)):E386)=50,AVERAGE(INDEX(StockDaily[Adjusted close],MAX(1,$A386-50+1)):E386),"n.a.")))</f>
        <v/>
      </c>
      <c r="G386" s="166" t="str">
        <f>IF($A386&gt;MIN($A$10,$A$2),"",IF($A386&lt;200,"n.a.",IF(COUNT(INDEX(StockDaily[Adjusted close],MAX(1,$A386-200+1)):E386)=200,AVERAGE(INDEX(StockDaily[Adjusted close],MAX(1,$A386-200+1)):E386),"n.a.")))</f>
        <v/>
      </c>
      <c r="H386" s="136" t="str">
        <f>IF($A386&gt;MIN($A$10,$A$2),"",IF($A$5="","Choose stock",IF(NOT($A$12),"Check split rule",IF(NOT(ISNUMBER(B386)),"Invalid date",IF(OR(B386&lt;=0,B386&lt;&gt;INT(B386)),"Invalid date",IF(COUNTIFS(DemoHistory[Date],B386)&lt;&gt;1,"Duplicate date",IF(AND($A386&gt;1,B386&lt;=B385),"Dates out of order",IF(NOT(ISNUMBER(C386)),"Missing price",IF(C386&lt;=0,"Nonpositive price","OK")))))))))</f>
        <v/>
      </c>
      <c r="I386" s="136"/>
      <c r="J386" s="136"/>
      <c r="K386" s="136"/>
      <c r="L386" s="136"/>
      <c r="M386" s="136"/>
      <c r="N386" s="136" t="e">
        <f t="shared" si="16"/>
        <v>#N/A</v>
      </c>
      <c r="O386" s="136" t="e">
        <f t="shared" si="17"/>
        <v>#N/A</v>
      </c>
    </row>
    <row r="387" spans="1:15" ht="22" customHeight="1" x14ac:dyDescent="0.35">
      <c r="A387" s="136">
        <v>343</v>
      </c>
      <c r="B387" s="165" t="str">
        <f>IF($A387&gt;MIN($A$10,$A$2),"",INDEX(DemoHistory[Date],$A387))</f>
        <v/>
      </c>
      <c r="C387" s="166" t="str">
        <f>IF(OR($A387&gt;MIN($A$10,$A$2),$A$5=""),"",INDEX(DemoHistory[],$A387,MATCH($A$5,DemoHistory[#Headers],0)))</f>
        <v/>
      </c>
      <c r="D387" s="166" t="str">
        <f>IF($A387&gt;MIN($A$10,$A$2),"",IF(AND($A$12,$A$6=1,B387&lt;$A$7,$A$7&lt;=MAX(DemoHistory[Date])),$A$8,1))</f>
        <v/>
      </c>
      <c r="E387" s="166" t="str">
        <f t="shared" si="15"/>
        <v/>
      </c>
      <c r="F387" s="166" t="str">
        <f>IF($A387&gt;MIN($A$10,$A$2),"",IF($A387&lt;50,"n.a.",IF(COUNT(INDEX(StockDaily[Adjusted close],MAX(1,$A387-50+1)):E387)=50,AVERAGE(INDEX(StockDaily[Adjusted close],MAX(1,$A387-50+1)):E387),"n.a.")))</f>
        <v/>
      </c>
      <c r="G387" s="166" t="str">
        <f>IF($A387&gt;MIN($A$10,$A$2),"",IF($A387&lt;200,"n.a.",IF(COUNT(INDEX(StockDaily[Adjusted close],MAX(1,$A387-200+1)):E387)=200,AVERAGE(INDEX(StockDaily[Adjusted close],MAX(1,$A387-200+1)):E387),"n.a.")))</f>
        <v/>
      </c>
      <c r="H387" s="136" t="str">
        <f>IF($A387&gt;MIN($A$10,$A$2),"",IF($A$5="","Choose stock",IF(NOT($A$12),"Check split rule",IF(NOT(ISNUMBER(B387)),"Invalid date",IF(OR(B387&lt;=0,B387&lt;&gt;INT(B387)),"Invalid date",IF(COUNTIFS(DemoHistory[Date],B387)&lt;&gt;1,"Duplicate date",IF(AND($A387&gt;1,B387&lt;=B386),"Dates out of order",IF(NOT(ISNUMBER(C387)),"Missing price",IF(C387&lt;=0,"Nonpositive price","OK")))))))))</f>
        <v/>
      </c>
      <c r="I387" s="136"/>
      <c r="J387" s="136"/>
      <c r="K387" s="136"/>
      <c r="L387" s="136"/>
      <c r="M387" s="136"/>
      <c r="N387" s="136" t="e">
        <f t="shared" si="16"/>
        <v>#N/A</v>
      </c>
      <c r="O387" s="136" t="e">
        <f t="shared" si="17"/>
        <v>#N/A</v>
      </c>
    </row>
    <row r="388" spans="1:15" ht="22" customHeight="1" x14ac:dyDescent="0.35">
      <c r="A388" s="136">
        <v>344</v>
      </c>
      <c r="B388" s="165" t="str">
        <f>IF($A388&gt;MIN($A$10,$A$2),"",INDEX(DemoHistory[Date],$A388))</f>
        <v/>
      </c>
      <c r="C388" s="166" t="str">
        <f>IF(OR($A388&gt;MIN($A$10,$A$2),$A$5=""),"",INDEX(DemoHistory[],$A388,MATCH($A$5,DemoHistory[#Headers],0)))</f>
        <v/>
      </c>
      <c r="D388" s="166" t="str">
        <f>IF($A388&gt;MIN($A$10,$A$2),"",IF(AND($A$12,$A$6=1,B388&lt;$A$7,$A$7&lt;=MAX(DemoHistory[Date])),$A$8,1))</f>
        <v/>
      </c>
      <c r="E388" s="166" t="str">
        <f t="shared" si="15"/>
        <v/>
      </c>
      <c r="F388" s="166" t="str">
        <f>IF($A388&gt;MIN($A$10,$A$2),"",IF($A388&lt;50,"n.a.",IF(COUNT(INDEX(StockDaily[Adjusted close],MAX(1,$A388-50+1)):E388)=50,AVERAGE(INDEX(StockDaily[Adjusted close],MAX(1,$A388-50+1)):E388),"n.a.")))</f>
        <v/>
      </c>
      <c r="G388" s="166" t="str">
        <f>IF($A388&gt;MIN($A$10,$A$2),"",IF($A388&lt;200,"n.a.",IF(COUNT(INDEX(StockDaily[Adjusted close],MAX(1,$A388-200+1)):E388)=200,AVERAGE(INDEX(StockDaily[Adjusted close],MAX(1,$A388-200+1)):E388),"n.a.")))</f>
        <v/>
      </c>
      <c r="H388" s="136" t="str">
        <f>IF($A388&gt;MIN($A$10,$A$2),"",IF($A$5="","Choose stock",IF(NOT($A$12),"Check split rule",IF(NOT(ISNUMBER(B388)),"Invalid date",IF(OR(B388&lt;=0,B388&lt;&gt;INT(B388)),"Invalid date",IF(COUNTIFS(DemoHistory[Date],B388)&lt;&gt;1,"Duplicate date",IF(AND($A388&gt;1,B388&lt;=B387),"Dates out of order",IF(NOT(ISNUMBER(C388)),"Missing price",IF(C388&lt;=0,"Nonpositive price","OK")))))))))</f>
        <v/>
      </c>
      <c r="I388" s="136"/>
      <c r="J388" s="136"/>
      <c r="K388" s="136"/>
      <c r="L388" s="136"/>
      <c r="M388" s="136"/>
      <c r="N388" s="136" t="e">
        <f t="shared" si="16"/>
        <v>#N/A</v>
      </c>
      <c r="O388" s="136" t="e">
        <f t="shared" si="17"/>
        <v>#N/A</v>
      </c>
    </row>
    <row r="389" spans="1:15" ht="22" customHeight="1" x14ac:dyDescent="0.35">
      <c r="A389" s="136">
        <v>345</v>
      </c>
      <c r="B389" s="165" t="str">
        <f>IF($A389&gt;MIN($A$10,$A$2),"",INDEX(DemoHistory[Date],$A389))</f>
        <v/>
      </c>
      <c r="C389" s="166" t="str">
        <f>IF(OR($A389&gt;MIN($A$10,$A$2),$A$5=""),"",INDEX(DemoHistory[],$A389,MATCH($A$5,DemoHistory[#Headers],0)))</f>
        <v/>
      </c>
      <c r="D389" s="166" t="str">
        <f>IF($A389&gt;MIN($A$10,$A$2),"",IF(AND($A$12,$A$6=1,B389&lt;$A$7,$A$7&lt;=MAX(DemoHistory[Date])),$A$8,1))</f>
        <v/>
      </c>
      <c r="E389" s="166" t="str">
        <f t="shared" si="15"/>
        <v/>
      </c>
      <c r="F389" s="166" t="str">
        <f>IF($A389&gt;MIN($A$10,$A$2),"",IF($A389&lt;50,"n.a.",IF(COUNT(INDEX(StockDaily[Adjusted close],MAX(1,$A389-50+1)):E389)=50,AVERAGE(INDEX(StockDaily[Adjusted close],MAX(1,$A389-50+1)):E389),"n.a.")))</f>
        <v/>
      </c>
      <c r="G389" s="166" t="str">
        <f>IF($A389&gt;MIN($A$10,$A$2),"",IF($A389&lt;200,"n.a.",IF(COUNT(INDEX(StockDaily[Adjusted close],MAX(1,$A389-200+1)):E389)=200,AVERAGE(INDEX(StockDaily[Adjusted close],MAX(1,$A389-200+1)):E389),"n.a.")))</f>
        <v/>
      </c>
      <c r="H389" s="136" t="str">
        <f>IF($A389&gt;MIN($A$10,$A$2),"",IF($A$5="","Choose stock",IF(NOT($A$12),"Check split rule",IF(NOT(ISNUMBER(B389)),"Invalid date",IF(OR(B389&lt;=0,B389&lt;&gt;INT(B389)),"Invalid date",IF(COUNTIFS(DemoHistory[Date],B389)&lt;&gt;1,"Duplicate date",IF(AND($A389&gt;1,B389&lt;=B388),"Dates out of order",IF(NOT(ISNUMBER(C389)),"Missing price",IF(C389&lt;=0,"Nonpositive price","OK")))))))))</f>
        <v/>
      </c>
      <c r="I389" s="136"/>
      <c r="J389" s="136"/>
      <c r="K389" s="136"/>
      <c r="L389" s="136"/>
      <c r="M389" s="136"/>
      <c r="N389" s="136" t="e">
        <f t="shared" si="16"/>
        <v>#N/A</v>
      </c>
      <c r="O389" s="136" t="e">
        <f t="shared" si="17"/>
        <v>#N/A</v>
      </c>
    </row>
    <row r="390" spans="1:15" ht="22" customHeight="1" x14ac:dyDescent="0.35">
      <c r="A390" s="136">
        <v>346</v>
      </c>
      <c r="B390" s="165" t="str">
        <f>IF($A390&gt;MIN($A$10,$A$2),"",INDEX(DemoHistory[Date],$A390))</f>
        <v/>
      </c>
      <c r="C390" s="166" t="str">
        <f>IF(OR($A390&gt;MIN($A$10,$A$2),$A$5=""),"",INDEX(DemoHistory[],$A390,MATCH($A$5,DemoHistory[#Headers],0)))</f>
        <v/>
      </c>
      <c r="D390" s="166" t="str">
        <f>IF($A390&gt;MIN($A$10,$A$2),"",IF(AND($A$12,$A$6=1,B390&lt;$A$7,$A$7&lt;=MAX(DemoHistory[Date])),$A$8,1))</f>
        <v/>
      </c>
      <c r="E390" s="166" t="str">
        <f t="shared" si="15"/>
        <v/>
      </c>
      <c r="F390" s="166" t="str">
        <f>IF($A390&gt;MIN($A$10,$A$2),"",IF($A390&lt;50,"n.a.",IF(COUNT(INDEX(StockDaily[Adjusted close],MAX(1,$A390-50+1)):E390)=50,AVERAGE(INDEX(StockDaily[Adjusted close],MAX(1,$A390-50+1)):E390),"n.a.")))</f>
        <v/>
      </c>
      <c r="G390" s="166" t="str">
        <f>IF($A390&gt;MIN($A$10,$A$2),"",IF($A390&lt;200,"n.a.",IF(COUNT(INDEX(StockDaily[Adjusted close],MAX(1,$A390-200+1)):E390)=200,AVERAGE(INDEX(StockDaily[Adjusted close],MAX(1,$A390-200+1)):E390),"n.a.")))</f>
        <v/>
      </c>
      <c r="H390" s="136" t="str">
        <f>IF($A390&gt;MIN($A$10,$A$2),"",IF($A$5="","Choose stock",IF(NOT($A$12),"Check split rule",IF(NOT(ISNUMBER(B390)),"Invalid date",IF(OR(B390&lt;=0,B390&lt;&gt;INT(B390)),"Invalid date",IF(COUNTIFS(DemoHistory[Date],B390)&lt;&gt;1,"Duplicate date",IF(AND($A390&gt;1,B390&lt;=B389),"Dates out of order",IF(NOT(ISNUMBER(C390)),"Missing price",IF(C390&lt;=0,"Nonpositive price","OK")))))))))</f>
        <v/>
      </c>
      <c r="I390" s="136"/>
      <c r="J390" s="136"/>
      <c r="K390" s="136"/>
      <c r="L390" s="136"/>
      <c r="M390" s="136"/>
      <c r="N390" s="136" t="e">
        <f t="shared" si="16"/>
        <v>#N/A</v>
      </c>
      <c r="O390" s="136" t="e">
        <f t="shared" si="17"/>
        <v>#N/A</v>
      </c>
    </row>
    <row r="391" spans="1:15" ht="22" customHeight="1" x14ac:dyDescent="0.35">
      <c r="A391" s="136">
        <v>347</v>
      </c>
      <c r="B391" s="165" t="str">
        <f>IF($A391&gt;MIN($A$10,$A$2),"",INDEX(DemoHistory[Date],$A391))</f>
        <v/>
      </c>
      <c r="C391" s="166" t="str">
        <f>IF(OR($A391&gt;MIN($A$10,$A$2),$A$5=""),"",INDEX(DemoHistory[],$A391,MATCH($A$5,DemoHistory[#Headers],0)))</f>
        <v/>
      </c>
      <c r="D391" s="166" t="str">
        <f>IF($A391&gt;MIN($A$10,$A$2),"",IF(AND($A$12,$A$6=1,B391&lt;$A$7,$A$7&lt;=MAX(DemoHistory[Date])),$A$8,1))</f>
        <v/>
      </c>
      <c r="E391" s="166" t="str">
        <f t="shared" si="15"/>
        <v/>
      </c>
      <c r="F391" s="166" t="str">
        <f>IF($A391&gt;MIN($A$10,$A$2),"",IF($A391&lt;50,"n.a.",IF(COUNT(INDEX(StockDaily[Adjusted close],MAX(1,$A391-50+1)):E391)=50,AVERAGE(INDEX(StockDaily[Adjusted close],MAX(1,$A391-50+1)):E391),"n.a.")))</f>
        <v/>
      </c>
      <c r="G391" s="166" t="str">
        <f>IF($A391&gt;MIN($A$10,$A$2),"",IF($A391&lt;200,"n.a.",IF(COUNT(INDEX(StockDaily[Adjusted close],MAX(1,$A391-200+1)):E391)=200,AVERAGE(INDEX(StockDaily[Adjusted close],MAX(1,$A391-200+1)):E391),"n.a.")))</f>
        <v/>
      </c>
      <c r="H391" s="136" t="str">
        <f>IF($A391&gt;MIN($A$10,$A$2),"",IF($A$5="","Choose stock",IF(NOT($A$12),"Check split rule",IF(NOT(ISNUMBER(B391)),"Invalid date",IF(OR(B391&lt;=0,B391&lt;&gt;INT(B391)),"Invalid date",IF(COUNTIFS(DemoHistory[Date],B391)&lt;&gt;1,"Duplicate date",IF(AND($A391&gt;1,B391&lt;=B390),"Dates out of order",IF(NOT(ISNUMBER(C391)),"Missing price",IF(C391&lt;=0,"Nonpositive price","OK")))))))))</f>
        <v/>
      </c>
      <c r="I391" s="136"/>
      <c r="J391" s="136"/>
      <c r="K391" s="136"/>
      <c r="L391" s="136"/>
      <c r="M391" s="136"/>
      <c r="N391" s="136" t="e">
        <f t="shared" si="16"/>
        <v>#N/A</v>
      </c>
      <c r="O391" s="136" t="e">
        <f t="shared" si="17"/>
        <v>#N/A</v>
      </c>
    </row>
    <row r="392" spans="1:15" ht="22" customHeight="1" x14ac:dyDescent="0.35">
      <c r="A392" s="136">
        <v>348</v>
      </c>
      <c r="B392" s="165" t="str">
        <f>IF($A392&gt;MIN($A$10,$A$2),"",INDEX(DemoHistory[Date],$A392))</f>
        <v/>
      </c>
      <c r="C392" s="166" t="str">
        <f>IF(OR($A392&gt;MIN($A$10,$A$2),$A$5=""),"",INDEX(DemoHistory[],$A392,MATCH($A$5,DemoHistory[#Headers],0)))</f>
        <v/>
      </c>
      <c r="D392" s="166" t="str">
        <f>IF($A392&gt;MIN($A$10,$A$2),"",IF(AND($A$12,$A$6=1,B392&lt;$A$7,$A$7&lt;=MAX(DemoHistory[Date])),$A$8,1))</f>
        <v/>
      </c>
      <c r="E392" s="166" t="str">
        <f t="shared" si="15"/>
        <v/>
      </c>
      <c r="F392" s="166" t="str">
        <f>IF($A392&gt;MIN($A$10,$A$2),"",IF($A392&lt;50,"n.a.",IF(COUNT(INDEX(StockDaily[Adjusted close],MAX(1,$A392-50+1)):E392)=50,AVERAGE(INDEX(StockDaily[Adjusted close],MAX(1,$A392-50+1)):E392),"n.a.")))</f>
        <v/>
      </c>
      <c r="G392" s="166" t="str">
        <f>IF($A392&gt;MIN($A$10,$A$2),"",IF($A392&lt;200,"n.a.",IF(COUNT(INDEX(StockDaily[Adjusted close],MAX(1,$A392-200+1)):E392)=200,AVERAGE(INDEX(StockDaily[Adjusted close],MAX(1,$A392-200+1)):E392),"n.a.")))</f>
        <v/>
      </c>
      <c r="H392" s="136" t="str">
        <f>IF($A392&gt;MIN($A$10,$A$2),"",IF($A$5="","Choose stock",IF(NOT($A$12),"Check split rule",IF(NOT(ISNUMBER(B392)),"Invalid date",IF(OR(B392&lt;=0,B392&lt;&gt;INT(B392)),"Invalid date",IF(COUNTIFS(DemoHistory[Date],B392)&lt;&gt;1,"Duplicate date",IF(AND($A392&gt;1,B392&lt;=B391),"Dates out of order",IF(NOT(ISNUMBER(C392)),"Missing price",IF(C392&lt;=0,"Nonpositive price","OK")))))))))</f>
        <v/>
      </c>
      <c r="I392" s="136"/>
      <c r="J392" s="136"/>
      <c r="K392" s="136"/>
      <c r="L392" s="136"/>
      <c r="M392" s="136"/>
      <c r="N392" s="136" t="e">
        <f t="shared" si="16"/>
        <v>#N/A</v>
      </c>
      <c r="O392" s="136" t="e">
        <f t="shared" si="17"/>
        <v>#N/A</v>
      </c>
    </row>
    <row r="393" spans="1:15" ht="22" customHeight="1" x14ac:dyDescent="0.35">
      <c r="A393" s="136">
        <v>349</v>
      </c>
      <c r="B393" s="165" t="str">
        <f>IF($A393&gt;MIN($A$10,$A$2),"",INDEX(DemoHistory[Date],$A393))</f>
        <v/>
      </c>
      <c r="C393" s="166" t="str">
        <f>IF(OR($A393&gt;MIN($A$10,$A$2),$A$5=""),"",INDEX(DemoHistory[],$A393,MATCH($A$5,DemoHistory[#Headers],0)))</f>
        <v/>
      </c>
      <c r="D393" s="166" t="str">
        <f>IF($A393&gt;MIN($A$10,$A$2),"",IF(AND($A$12,$A$6=1,B393&lt;$A$7,$A$7&lt;=MAX(DemoHistory[Date])),$A$8,1))</f>
        <v/>
      </c>
      <c r="E393" s="166" t="str">
        <f t="shared" si="15"/>
        <v/>
      </c>
      <c r="F393" s="166" t="str">
        <f>IF($A393&gt;MIN($A$10,$A$2),"",IF($A393&lt;50,"n.a.",IF(COUNT(INDEX(StockDaily[Adjusted close],MAX(1,$A393-50+1)):E393)=50,AVERAGE(INDEX(StockDaily[Adjusted close],MAX(1,$A393-50+1)):E393),"n.a.")))</f>
        <v/>
      </c>
      <c r="G393" s="166" t="str">
        <f>IF($A393&gt;MIN($A$10,$A$2),"",IF($A393&lt;200,"n.a.",IF(COUNT(INDEX(StockDaily[Adjusted close],MAX(1,$A393-200+1)):E393)=200,AVERAGE(INDEX(StockDaily[Adjusted close],MAX(1,$A393-200+1)):E393),"n.a.")))</f>
        <v/>
      </c>
      <c r="H393" s="136" t="str">
        <f>IF($A393&gt;MIN($A$10,$A$2),"",IF($A$5="","Choose stock",IF(NOT($A$12),"Check split rule",IF(NOT(ISNUMBER(B393)),"Invalid date",IF(OR(B393&lt;=0,B393&lt;&gt;INT(B393)),"Invalid date",IF(COUNTIFS(DemoHistory[Date],B393)&lt;&gt;1,"Duplicate date",IF(AND($A393&gt;1,B393&lt;=B392),"Dates out of order",IF(NOT(ISNUMBER(C393)),"Missing price",IF(C393&lt;=0,"Nonpositive price","OK")))))))))</f>
        <v/>
      </c>
      <c r="I393" s="136"/>
      <c r="J393" s="136"/>
      <c r="K393" s="136"/>
      <c r="L393" s="136"/>
      <c r="M393" s="136"/>
      <c r="N393" s="136" t="e">
        <f t="shared" si="16"/>
        <v>#N/A</v>
      </c>
      <c r="O393" s="136" t="e">
        <f t="shared" si="17"/>
        <v>#N/A</v>
      </c>
    </row>
    <row r="394" spans="1:15" ht="22" customHeight="1" x14ac:dyDescent="0.35">
      <c r="A394" s="136">
        <v>350</v>
      </c>
      <c r="B394" s="165" t="str">
        <f>IF($A394&gt;MIN($A$10,$A$2),"",INDEX(DemoHistory[Date],$A394))</f>
        <v/>
      </c>
      <c r="C394" s="166" t="str">
        <f>IF(OR($A394&gt;MIN($A$10,$A$2),$A$5=""),"",INDEX(DemoHistory[],$A394,MATCH($A$5,DemoHistory[#Headers],0)))</f>
        <v/>
      </c>
      <c r="D394" s="166" t="str">
        <f>IF($A394&gt;MIN($A$10,$A$2),"",IF(AND($A$12,$A$6=1,B394&lt;$A$7,$A$7&lt;=MAX(DemoHistory[Date])),$A$8,1))</f>
        <v/>
      </c>
      <c r="E394" s="166" t="str">
        <f t="shared" si="15"/>
        <v/>
      </c>
      <c r="F394" s="166" t="str">
        <f>IF($A394&gt;MIN($A$10,$A$2),"",IF($A394&lt;50,"n.a.",IF(COUNT(INDEX(StockDaily[Adjusted close],MAX(1,$A394-50+1)):E394)=50,AVERAGE(INDEX(StockDaily[Adjusted close],MAX(1,$A394-50+1)):E394),"n.a.")))</f>
        <v/>
      </c>
      <c r="G394" s="166" t="str">
        <f>IF($A394&gt;MIN($A$10,$A$2),"",IF($A394&lt;200,"n.a.",IF(COUNT(INDEX(StockDaily[Adjusted close],MAX(1,$A394-200+1)):E394)=200,AVERAGE(INDEX(StockDaily[Adjusted close],MAX(1,$A394-200+1)):E394),"n.a.")))</f>
        <v/>
      </c>
      <c r="H394" s="136" t="str">
        <f>IF($A394&gt;MIN($A$10,$A$2),"",IF($A$5="","Choose stock",IF(NOT($A$12),"Check split rule",IF(NOT(ISNUMBER(B394)),"Invalid date",IF(OR(B394&lt;=0,B394&lt;&gt;INT(B394)),"Invalid date",IF(COUNTIFS(DemoHistory[Date],B394)&lt;&gt;1,"Duplicate date",IF(AND($A394&gt;1,B394&lt;=B393),"Dates out of order",IF(NOT(ISNUMBER(C394)),"Missing price",IF(C394&lt;=0,"Nonpositive price","OK")))))))))</f>
        <v/>
      </c>
      <c r="I394" s="136"/>
      <c r="J394" s="136"/>
      <c r="K394" s="136"/>
      <c r="L394" s="136"/>
      <c r="M394" s="136"/>
      <c r="N394" s="136" t="e">
        <f t="shared" si="16"/>
        <v>#N/A</v>
      </c>
      <c r="O394" s="136" t="e">
        <f t="shared" si="17"/>
        <v>#N/A</v>
      </c>
    </row>
    <row r="395" spans="1:15" ht="22" customHeight="1" x14ac:dyDescent="0.35">
      <c r="A395" s="136">
        <v>351</v>
      </c>
      <c r="B395" s="165" t="str">
        <f>IF($A395&gt;MIN($A$10,$A$2),"",INDEX(DemoHistory[Date],$A395))</f>
        <v/>
      </c>
      <c r="C395" s="166" t="str">
        <f>IF(OR($A395&gt;MIN($A$10,$A$2),$A$5=""),"",INDEX(DemoHistory[],$A395,MATCH($A$5,DemoHistory[#Headers],0)))</f>
        <v/>
      </c>
      <c r="D395" s="166" t="str">
        <f>IF($A395&gt;MIN($A$10,$A$2),"",IF(AND($A$12,$A$6=1,B395&lt;$A$7,$A$7&lt;=MAX(DemoHistory[Date])),$A$8,1))</f>
        <v/>
      </c>
      <c r="E395" s="166" t="str">
        <f t="shared" si="15"/>
        <v/>
      </c>
      <c r="F395" s="166" t="str">
        <f>IF($A395&gt;MIN($A$10,$A$2),"",IF($A395&lt;50,"n.a.",IF(COUNT(INDEX(StockDaily[Adjusted close],MAX(1,$A395-50+1)):E395)=50,AVERAGE(INDEX(StockDaily[Adjusted close],MAX(1,$A395-50+1)):E395),"n.a.")))</f>
        <v/>
      </c>
      <c r="G395" s="166" t="str">
        <f>IF($A395&gt;MIN($A$10,$A$2),"",IF($A395&lt;200,"n.a.",IF(COUNT(INDEX(StockDaily[Adjusted close],MAX(1,$A395-200+1)):E395)=200,AVERAGE(INDEX(StockDaily[Adjusted close],MAX(1,$A395-200+1)):E395),"n.a.")))</f>
        <v/>
      </c>
      <c r="H395" s="136" t="str">
        <f>IF($A395&gt;MIN($A$10,$A$2),"",IF($A$5="","Choose stock",IF(NOT($A$12),"Check split rule",IF(NOT(ISNUMBER(B395)),"Invalid date",IF(OR(B395&lt;=0,B395&lt;&gt;INT(B395)),"Invalid date",IF(COUNTIFS(DemoHistory[Date],B395)&lt;&gt;1,"Duplicate date",IF(AND($A395&gt;1,B395&lt;=B394),"Dates out of order",IF(NOT(ISNUMBER(C395)),"Missing price",IF(C395&lt;=0,"Nonpositive price","OK")))))))))</f>
        <v/>
      </c>
      <c r="I395" s="136"/>
      <c r="J395" s="136"/>
      <c r="K395" s="136"/>
      <c r="L395" s="136"/>
      <c r="M395" s="136"/>
      <c r="N395" s="136" t="e">
        <f t="shared" si="16"/>
        <v>#N/A</v>
      </c>
      <c r="O395" s="136" t="e">
        <f t="shared" si="17"/>
        <v>#N/A</v>
      </c>
    </row>
    <row r="396" spans="1:15" ht="22" customHeight="1" x14ac:dyDescent="0.35">
      <c r="A396" s="136">
        <v>352</v>
      </c>
      <c r="B396" s="165" t="str">
        <f>IF($A396&gt;MIN($A$10,$A$2),"",INDEX(DemoHistory[Date],$A396))</f>
        <v/>
      </c>
      <c r="C396" s="166" t="str">
        <f>IF(OR($A396&gt;MIN($A$10,$A$2),$A$5=""),"",INDEX(DemoHistory[],$A396,MATCH($A$5,DemoHistory[#Headers],0)))</f>
        <v/>
      </c>
      <c r="D396" s="166" t="str">
        <f>IF($A396&gt;MIN($A$10,$A$2),"",IF(AND($A$12,$A$6=1,B396&lt;$A$7,$A$7&lt;=MAX(DemoHistory[Date])),$A$8,1))</f>
        <v/>
      </c>
      <c r="E396" s="166" t="str">
        <f t="shared" si="15"/>
        <v/>
      </c>
      <c r="F396" s="166" t="str">
        <f>IF($A396&gt;MIN($A$10,$A$2),"",IF($A396&lt;50,"n.a.",IF(COUNT(INDEX(StockDaily[Adjusted close],MAX(1,$A396-50+1)):E396)=50,AVERAGE(INDEX(StockDaily[Adjusted close],MAX(1,$A396-50+1)):E396),"n.a.")))</f>
        <v/>
      </c>
      <c r="G396" s="166" t="str">
        <f>IF($A396&gt;MIN($A$10,$A$2),"",IF($A396&lt;200,"n.a.",IF(COUNT(INDEX(StockDaily[Adjusted close],MAX(1,$A396-200+1)):E396)=200,AVERAGE(INDEX(StockDaily[Adjusted close],MAX(1,$A396-200+1)):E396),"n.a.")))</f>
        <v/>
      </c>
      <c r="H396" s="136" t="str">
        <f>IF($A396&gt;MIN($A$10,$A$2),"",IF($A$5="","Choose stock",IF(NOT($A$12),"Check split rule",IF(NOT(ISNUMBER(B396)),"Invalid date",IF(OR(B396&lt;=0,B396&lt;&gt;INT(B396)),"Invalid date",IF(COUNTIFS(DemoHistory[Date],B396)&lt;&gt;1,"Duplicate date",IF(AND($A396&gt;1,B396&lt;=B395),"Dates out of order",IF(NOT(ISNUMBER(C396)),"Missing price",IF(C396&lt;=0,"Nonpositive price","OK")))))))))</f>
        <v/>
      </c>
      <c r="I396" s="136"/>
      <c r="J396" s="136"/>
      <c r="K396" s="136"/>
      <c r="L396" s="136"/>
      <c r="M396" s="136"/>
      <c r="N396" s="136" t="e">
        <f t="shared" si="16"/>
        <v>#N/A</v>
      </c>
      <c r="O396" s="136" t="e">
        <f t="shared" si="17"/>
        <v>#N/A</v>
      </c>
    </row>
    <row r="397" spans="1:15" ht="22" customHeight="1" x14ac:dyDescent="0.35">
      <c r="A397" s="136">
        <v>353</v>
      </c>
      <c r="B397" s="165" t="str">
        <f>IF($A397&gt;MIN($A$10,$A$2),"",INDEX(DemoHistory[Date],$A397))</f>
        <v/>
      </c>
      <c r="C397" s="166" t="str">
        <f>IF(OR($A397&gt;MIN($A$10,$A$2),$A$5=""),"",INDEX(DemoHistory[],$A397,MATCH($A$5,DemoHistory[#Headers],0)))</f>
        <v/>
      </c>
      <c r="D397" s="166" t="str">
        <f>IF($A397&gt;MIN($A$10,$A$2),"",IF(AND($A$12,$A$6=1,B397&lt;$A$7,$A$7&lt;=MAX(DemoHistory[Date])),$A$8,1))</f>
        <v/>
      </c>
      <c r="E397" s="166" t="str">
        <f t="shared" si="15"/>
        <v/>
      </c>
      <c r="F397" s="166" t="str">
        <f>IF($A397&gt;MIN($A$10,$A$2),"",IF($A397&lt;50,"n.a.",IF(COUNT(INDEX(StockDaily[Adjusted close],MAX(1,$A397-50+1)):E397)=50,AVERAGE(INDEX(StockDaily[Adjusted close],MAX(1,$A397-50+1)):E397),"n.a.")))</f>
        <v/>
      </c>
      <c r="G397" s="166" t="str">
        <f>IF($A397&gt;MIN($A$10,$A$2),"",IF($A397&lt;200,"n.a.",IF(COUNT(INDEX(StockDaily[Adjusted close],MAX(1,$A397-200+1)):E397)=200,AVERAGE(INDEX(StockDaily[Adjusted close],MAX(1,$A397-200+1)):E397),"n.a.")))</f>
        <v/>
      </c>
      <c r="H397" s="136" t="str">
        <f>IF($A397&gt;MIN($A$10,$A$2),"",IF($A$5="","Choose stock",IF(NOT($A$12),"Check split rule",IF(NOT(ISNUMBER(B397)),"Invalid date",IF(OR(B397&lt;=0,B397&lt;&gt;INT(B397)),"Invalid date",IF(COUNTIFS(DemoHistory[Date],B397)&lt;&gt;1,"Duplicate date",IF(AND($A397&gt;1,B397&lt;=B396),"Dates out of order",IF(NOT(ISNUMBER(C397)),"Missing price",IF(C397&lt;=0,"Nonpositive price","OK")))))))))</f>
        <v/>
      </c>
      <c r="I397" s="136"/>
      <c r="J397" s="136"/>
      <c r="K397" s="136"/>
      <c r="L397" s="136"/>
      <c r="M397" s="136"/>
      <c r="N397" s="136" t="e">
        <f t="shared" si="16"/>
        <v>#N/A</v>
      </c>
      <c r="O397" s="136" t="e">
        <f t="shared" si="17"/>
        <v>#N/A</v>
      </c>
    </row>
    <row r="398" spans="1:15" ht="22" customHeight="1" x14ac:dyDescent="0.35">
      <c r="A398" s="136">
        <v>354</v>
      </c>
      <c r="B398" s="165" t="str">
        <f>IF($A398&gt;MIN($A$10,$A$2),"",INDEX(DemoHistory[Date],$A398))</f>
        <v/>
      </c>
      <c r="C398" s="166" t="str">
        <f>IF(OR($A398&gt;MIN($A$10,$A$2),$A$5=""),"",INDEX(DemoHistory[],$A398,MATCH($A$5,DemoHistory[#Headers],0)))</f>
        <v/>
      </c>
      <c r="D398" s="166" t="str">
        <f>IF($A398&gt;MIN($A$10,$A$2),"",IF(AND($A$12,$A$6=1,B398&lt;$A$7,$A$7&lt;=MAX(DemoHistory[Date])),$A$8,1))</f>
        <v/>
      </c>
      <c r="E398" s="166" t="str">
        <f t="shared" si="15"/>
        <v/>
      </c>
      <c r="F398" s="166" t="str">
        <f>IF($A398&gt;MIN($A$10,$A$2),"",IF($A398&lt;50,"n.a.",IF(COUNT(INDEX(StockDaily[Adjusted close],MAX(1,$A398-50+1)):E398)=50,AVERAGE(INDEX(StockDaily[Adjusted close],MAX(1,$A398-50+1)):E398),"n.a.")))</f>
        <v/>
      </c>
      <c r="G398" s="166" t="str">
        <f>IF($A398&gt;MIN($A$10,$A$2),"",IF($A398&lt;200,"n.a.",IF(COUNT(INDEX(StockDaily[Adjusted close],MAX(1,$A398-200+1)):E398)=200,AVERAGE(INDEX(StockDaily[Adjusted close],MAX(1,$A398-200+1)):E398),"n.a.")))</f>
        <v/>
      </c>
      <c r="H398" s="136" t="str">
        <f>IF($A398&gt;MIN($A$10,$A$2),"",IF($A$5="","Choose stock",IF(NOT($A$12),"Check split rule",IF(NOT(ISNUMBER(B398)),"Invalid date",IF(OR(B398&lt;=0,B398&lt;&gt;INT(B398)),"Invalid date",IF(COUNTIFS(DemoHistory[Date],B398)&lt;&gt;1,"Duplicate date",IF(AND($A398&gt;1,B398&lt;=B397),"Dates out of order",IF(NOT(ISNUMBER(C398)),"Missing price",IF(C398&lt;=0,"Nonpositive price","OK")))))))))</f>
        <v/>
      </c>
      <c r="I398" s="136"/>
      <c r="J398" s="136"/>
      <c r="K398" s="136"/>
      <c r="L398" s="136"/>
      <c r="M398" s="136"/>
      <c r="N398" s="136" t="e">
        <f t="shared" si="16"/>
        <v>#N/A</v>
      </c>
      <c r="O398" s="136" t="e">
        <f t="shared" si="17"/>
        <v>#N/A</v>
      </c>
    </row>
    <row r="399" spans="1:15" ht="22" customHeight="1" x14ac:dyDescent="0.35">
      <c r="A399" s="136">
        <v>355</v>
      </c>
      <c r="B399" s="165" t="str">
        <f>IF($A399&gt;MIN($A$10,$A$2),"",INDEX(DemoHistory[Date],$A399))</f>
        <v/>
      </c>
      <c r="C399" s="166" t="str">
        <f>IF(OR($A399&gt;MIN($A$10,$A$2),$A$5=""),"",INDEX(DemoHistory[],$A399,MATCH($A$5,DemoHistory[#Headers],0)))</f>
        <v/>
      </c>
      <c r="D399" s="166" t="str">
        <f>IF($A399&gt;MIN($A$10,$A$2),"",IF(AND($A$12,$A$6=1,B399&lt;$A$7,$A$7&lt;=MAX(DemoHistory[Date])),$A$8,1))</f>
        <v/>
      </c>
      <c r="E399" s="166" t="str">
        <f t="shared" si="15"/>
        <v/>
      </c>
      <c r="F399" s="166" t="str">
        <f>IF($A399&gt;MIN($A$10,$A$2),"",IF($A399&lt;50,"n.a.",IF(COUNT(INDEX(StockDaily[Adjusted close],MAX(1,$A399-50+1)):E399)=50,AVERAGE(INDEX(StockDaily[Adjusted close],MAX(1,$A399-50+1)):E399),"n.a.")))</f>
        <v/>
      </c>
      <c r="G399" s="166" t="str">
        <f>IF($A399&gt;MIN($A$10,$A$2),"",IF($A399&lt;200,"n.a.",IF(COUNT(INDEX(StockDaily[Adjusted close],MAX(1,$A399-200+1)):E399)=200,AVERAGE(INDEX(StockDaily[Adjusted close],MAX(1,$A399-200+1)):E399),"n.a.")))</f>
        <v/>
      </c>
      <c r="H399" s="136" t="str">
        <f>IF($A399&gt;MIN($A$10,$A$2),"",IF($A$5="","Choose stock",IF(NOT($A$12),"Check split rule",IF(NOT(ISNUMBER(B399)),"Invalid date",IF(OR(B399&lt;=0,B399&lt;&gt;INT(B399)),"Invalid date",IF(COUNTIFS(DemoHistory[Date],B399)&lt;&gt;1,"Duplicate date",IF(AND($A399&gt;1,B399&lt;=B398),"Dates out of order",IF(NOT(ISNUMBER(C399)),"Missing price",IF(C399&lt;=0,"Nonpositive price","OK")))))))))</f>
        <v/>
      </c>
      <c r="I399" s="136"/>
      <c r="J399" s="136"/>
      <c r="K399" s="136"/>
      <c r="L399" s="136"/>
      <c r="M399" s="136"/>
      <c r="N399" s="136" t="e">
        <f t="shared" si="16"/>
        <v>#N/A</v>
      </c>
      <c r="O399" s="136" t="e">
        <f t="shared" si="17"/>
        <v>#N/A</v>
      </c>
    </row>
    <row r="400" spans="1:15" ht="22" customHeight="1" x14ac:dyDescent="0.35">
      <c r="A400" s="136">
        <v>356</v>
      </c>
      <c r="B400" s="165" t="str">
        <f>IF($A400&gt;MIN($A$10,$A$2),"",INDEX(DemoHistory[Date],$A400))</f>
        <v/>
      </c>
      <c r="C400" s="166" t="str">
        <f>IF(OR($A400&gt;MIN($A$10,$A$2),$A$5=""),"",INDEX(DemoHistory[],$A400,MATCH($A$5,DemoHistory[#Headers],0)))</f>
        <v/>
      </c>
      <c r="D400" s="166" t="str">
        <f>IF($A400&gt;MIN($A$10,$A$2),"",IF(AND($A$12,$A$6=1,B400&lt;$A$7,$A$7&lt;=MAX(DemoHistory[Date])),$A$8,1))</f>
        <v/>
      </c>
      <c r="E400" s="166" t="str">
        <f t="shared" si="15"/>
        <v/>
      </c>
      <c r="F400" s="166" t="str">
        <f>IF($A400&gt;MIN($A$10,$A$2),"",IF($A400&lt;50,"n.a.",IF(COUNT(INDEX(StockDaily[Adjusted close],MAX(1,$A400-50+1)):E400)=50,AVERAGE(INDEX(StockDaily[Adjusted close],MAX(1,$A400-50+1)):E400),"n.a.")))</f>
        <v/>
      </c>
      <c r="G400" s="166" t="str">
        <f>IF($A400&gt;MIN($A$10,$A$2),"",IF($A400&lt;200,"n.a.",IF(COUNT(INDEX(StockDaily[Adjusted close],MAX(1,$A400-200+1)):E400)=200,AVERAGE(INDEX(StockDaily[Adjusted close],MAX(1,$A400-200+1)):E400),"n.a.")))</f>
        <v/>
      </c>
      <c r="H400" s="136" t="str">
        <f>IF($A400&gt;MIN($A$10,$A$2),"",IF($A$5="","Choose stock",IF(NOT($A$12),"Check split rule",IF(NOT(ISNUMBER(B400)),"Invalid date",IF(OR(B400&lt;=0,B400&lt;&gt;INT(B400)),"Invalid date",IF(COUNTIFS(DemoHistory[Date],B400)&lt;&gt;1,"Duplicate date",IF(AND($A400&gt;1,B400&lt;=B399),"Dates out of order",IF(NOT(ISNUMBER(C400)),"Missing price",IF(C400&lt;=0,"Nonpositive price","OK")))))))))</f>
        <v/>
      </c>
      <c r="I400" s="136"/>
      <c r="J400" s="136"/>
      <c r="K400" s="136"/>
      <c r="L400" s="136"/>
      <c r="M400" s="136"/>
      <c r="N400" s="136" t="e">
        <f t="shared" si="16"/>
        <v>#N/A</v>
      </c>
      <c r="O400" s="136" t="e">
        <f t="shared" si="17"/>
        <v>#N/A</v>
      </c>
    </row>
    <row r="401" spans="1:15" ht="22" customHeight="1" x14ac:dyDescent="0.35">
      <c r="A401" s="136">
        <v>357</v>
      </c>
      <c r="B401" s="165" t="str">
        <f>IF($A401&gt;MIN($A$10,$A$2),"",INDEX(DemoHistory[Date],$A401))</f>
        <v/>
      </c>
      <c r="C401" s="166" t="str">
        <f>IF(OR($A401&gt;MIN($A$10,$A$2),$A$5=""),"",INDEX(DemoHistory[],$A401,MATCH($A$5,DemoHistory[#Headers],0)))</f>
        <v/>
      </c>
      <c r="D401" s="166" t="str">
        <f>IF($A401&gt;MIN($A$10,$A$2),"",IF(AND($A$12,$A$6=1,B401&lt;$A$7,$A$7&lt;=MAX(DemoHistory[Date])),$A$8,1))</f>
        <v/>
      </c>
      <c r="E401" s="166" t="str">
        <f t="shared" si="15"/>
        <v/>
      </c>
      <c r="F401" s="166" t="str">
        <f>IF($A401&gt;MIN($A$10,$A$2),"",IF($A401&lt;50,"n.a.",IF(COUNT(INDEX(StockDaily[Adjusted close],MAX(1,$A401-50+1)):E401)=50,AVERAGE(INDEX(StockDaily[Adjusted close],MAX(1,$A401-50+1)):E401),"n.a.")))</f>
        <v/>
      </c>
      <c r="G401" s="166" t="str">
        <f>IF($A401&gt;MIN($A$10,$A$2),"",IF($A401&lt;200,"n.a.",IF(COUNT(INDEX(StockDaily[Adjusted close],MAX(1,$A401-200+1)):E401)=200,AVERAGE(INDEX(StockDaily[Adjusted close],MAX(1,$A401-200+1)):E401),"n.a.")))</f>
        <v/>
      </c>
      <c r="H401" s="136" t="str">
        <f>IF($A401&gt;MIN($A$10,$A$2),"",IF($A$5="","Choose stock",IF(NOT($A$12),"Check split rule",IF(NOT(ISNUMBER(B401)),"Invalid date",IF(OR(B401&lt;=0,B401&lt;&gt;INT(B401)),"Invalid date",IF(COUNTIFS(DemoHistory[Date],B401)&lt;&gt;1,"Duplicate date",IF(AND($A401&gt;1,B401&lt;=B400),"Dates out of order",IF(NOT(ISNUMBER(C401)),"Missing price",IF(C401&lt;=0,"Nonpositive price","OK")))))))))</f>
        <v/>
      </c>
      <c r="I401" s="136"/>
      <c r="J401" s="136"/>
      <c r="K401" s="136"/>
      <c r="L401" s="136"/>
      <c r="M401" s="136"/>
      <c r="N401" s="136" t="e">
        <f t="shared" si="16"/>
        <v>#N/A</v>
      </c>
      <c r="O401" s="136" t="e">
        <f t="shared" si="17"/>
        <v>#N/A</v>
      </c>
    </row>
    <row r="402" spans="1:15" ht="22" customHeight="1" x14ac:dyDescent="0.35">
      <c r="A402" s="136">
        <v>358</v>
      </c>
      <c r="B402" s="165" t="str">
        <f>IF($A402&gt;MIN($A$10,$A$2),"",INDEX(DemoHistory[Date],$A402))</f>
        <v/>
      </c>
      <c r="C402" s="166" t="str">
        <f>IF(OR($A402&gt;MIN($A$10,$A$2),$A$5=""),"",INDEX(DemoHistory[],$A402,MATCH($A$5,DemoHistory[#Headers],0)))</f>
        <v/>
      </c>
      <c r="D402" s="166" t="str">
        <f>IF($A402&gt;MIN($A$10,$A$2),"",IF(AND($A$12,$A$6=1,B402&lt;$A$7,$A$7&lt;=MAX(DemoHistory[Date])),$A$8,1))</f>
        <v/>
      </c>
      <c r="E402" s="166" t="str">
        <f t="shared" si="15"/>
        <v/>
      </c>
      <c r="F402" s="166" t="str">
        <f>IF($A402&gt;MIN($A$10,$A$2),"",IF($A402&lt;50,"n.a.",IF(COUNT(INDEX(StockDaily[Adjusted close],MAX(1,$A402-50+1)):E402)=50,AVERAGE(INDEX(StockDaily[Adjusted close],MAX(1,$A402-50+1)):E402),"n.a.")))</f>
        <v/>
      </c>
      <c r="G402" s="166" t="str">
        <f>IF($A402&gt;MIN($A$10,$A$2),"",IF($A402&lt;200,"n.a.",IF(COUNT(INDEX(StockDaily[Adjusted close],MAX(1,$A402-200+1)):E402)=200,AVERAGE(INDEX(StockDaily[Adjusted close],MAX(1,$A402-200+1)):E402),"n.a.")))</f>
        <v/>
      </c>
      <c r="H402" s="136" t="str">
        <f>IF($A402&gt;MIN($A$10,$A$2),"",IF($A$5="","Choose stock",IF(NOT($A$12),"Check split rule",IF(NOT(ISNUMBER(B402)),"Invalid date",IF(OR(B402&lt;=0,B402&lt;&gt;INT(B402)),"Invalid date",IF(COUNTIFS(DemoHistory[Date],B402)&lt;&gt;1,"Duplicate date",IF(AND($A402&gt;1,B402&lt;=B401),"Dates out of order",IF(NOT(ISNUMBER(C402)),"Missing price",IF(C402&lt;=0,"Nonpositive price","OK")))))))))</f>
        <v/>
      </c>
      <c r="I402" s="136"/>
      <c r="J402" s="136"/>
      <c r="K402" s="136"/>
      <c r="L402" s="136"/>
      <c r="M402" s="136"/>
      <c r="N402" s="136" t="e">
        <f t="shared" si="16"/>
        <v>#N/A</v>
      </c>
      <c r="O402" s="136" t="e">
        <f t="shared" si="17"/>
        <v>#N/A</v>
      </c>
    </row>
    <row r="403" spans="1:15" ht="22" customHeight="1" x14ac:dyDescent="0.35">
      <c r="A403" s="136">
        <v>359</v>
      </c>
      <c r="B403" s="165" t="str">
        <f>IF($A403&gt;MIN($A$10,$A$2),"",INDEX(DemoHistory[Date],$A403))</f>
        <v/>
      </c>
      <c r="C403" s="166" t="str">
        <f>IF(OR($A403&gt;MIN($A$10,$A$2),$A$5=""),"",INDEX(DemoHistory[],$A403,MATCH($A$5,DemoHistory[#Headers],0)))</f>
        <v/>
      </c>
      <c r="D403" s="166" t="str">
        <f>IF($A403&gt;MIN($A$10,$A$2),"",IF(AND($A$12,$A$6=1,B403&lt;$A$7,$A$7&lt;=MAX(DemoHistory[Date])),$A$8,1))</f>
        <v/>
      </c>
      <c r="E403" s="166" t="str">
        <f t="shared" si="15"/>
        <v/>
      </c>
      <c r="F403" s="166" t="str">
        <f>IF($A403&gt;MIN($A$10,$A$2),"",IF($A403&lt;50,"n.a.",IF(COUNT(INDEX(StockDaily[Adjusted close],MAX(1,$A403-50+1)):E403)=50,AVERAGE(INDEX(StockDaily[Adjusted close],MAX(1,$A403-50+1)):E403),"n.a.")))</f>
        <v/>
      </c>
      <c r="G403" s="166" t="str">
        <f>IF($A403&gt;MIN($A$10,$A$2),"",IF($A403&lt;200,"n.a.",IF(COUNT(INDEX(StockDaily[Adjusted close],MAX(1,$A403-200+1)):E403)=200,AVERAGE(INDEX(StockDaily[Adjusted close],MAX(1,$A403-200+1)):E403),"n.a.")))</f>
        <v/>
      </c>
      <c r="H403" s="136" t="str">
        <f>IF($A403&gt;MIN($A$10,$A$2),"",IF($A$5="","Choose stock",IF(NOT($A$12),"Check split rule",IF(NOT(ISNUMBER(B403)),"Invalid date",IF(OR(B403&lt;=0,B403&lt;&gt;INT(B403)),"Invalid date",IF(COUNTIFS(DemoHistory[Date],B403)&lt;&gt;1,"Duplicate date",IF(AND($A403&gt;1,B403&lt;=B402),"Dates out of order",IF(NOT(ISNUMBER(C403)),"Missing price",IF(C403&lt;=0,"Nonpositive price","OK")))))))))</f>
        <v/>
      </c>
      <c r="I403" s="136"/>
      <c r="J403" s="136"/>
      <c r="K403" s="136"/>
      <c r="L403" s="136"/>
      <c r="M403" s="136"/>
      <c r="N403" s="136" t="e">
        <f t="shared" si="16"/>
        <v>#N/A</v>
      </c>
      <c r="O403" s="136" t="e">
        <f t="shared" si="17"/>
        <v>#N/A</v>
      </c>
    </row>
    <row r="404" spans="1:15" ht="22" customHeight="1" x14ac:dyDescent="0.35">
      <c r="A404" s="136">
        <v>360</v>
      </c>
      <c r="B404" s="165" t="str">
        <f>IF($A404&gt;MIN($A$10,$A$2),"",INDEX(DemoHistory[Date],$A404))</f>
        <v/>
      </c>
      <c r="C404" s="166" t="str">
        <f>IF(OR($A404&gt;MIN($A$10,$A$2),$A$5=""),"",INDEX(DemoHistory[],$A404,MATCH($A$5,DemoHistory[#Headers],0)))</f>
        <v/>
      </c>
      <c r="D404" s="166" t="str">
        <f>IF($A404&gt;MIN($A$10,$A$2),"",IF(AND($A$12,$A$6=1,B404&lt;$A$7,$A$7&lt;=MAX(DemoHistory[Date])),$A$8,1))</f>
        <v/>
      </c>
      <c r="E404" s="166" t="str">
        <f t="shared" si="15"/>
        <v/>
      </c>
      <c r="F404" s="166" t="str">
        <f>IF($A404&gt;MIN($A$10,$A$2),"",IF($A404&lt;50,"n.a.",IF(COUNT(INDEX(StockDaily[Adjusted close],MAX(1,$A404-50+1)):E404)=50,AVERAGE(INDEX(StockDaily[Adjusted close],MAX(1,$A404-50+1)):E404),"n.a.")))</f>
        <v/>
      </c>
      <c r="G404" s="166" t="str">
        <f>IF($A404&gt;MIN($A$10,$A$2),"",IF($A404&lt;200,"n.a.",IF(COUNT(INDEX(StockDaily[Adjusted close],MAX(1,$A404-200+1)):E404)=200,AVERAGE(INDEX(StockDaily[Adjusted close],MAX(1,$A404-200+1)):E404),"n.a.")))</f>
        <v/>
      </c>
      <c r="H404" s="136" t="str">
        <f>IF($A404&gt;MIN($A$10,$A$2),"",IF($A$5="","Choose stock",IF(NOT($A$12),"Check split rule",IF(NOT(ISNUMBER(B404)),"Invalid date",IF(OR(B404&lt;=0,B404&lt;&gt;INT(B404)),"Invalid date",IF(COUNTIFS(DemoHistory[Date],B404)&lt;&gt;1,"Duplicate date",IF(AND($A404&gt;1,B404&lt;=B403),"Dates out of order",IF(NOT(ISNUMBER(C404)),"Missing price",IF(C404&lt;=0,"Nonpositive price","OK")))))))))</f>
        <v/>
      </c>
      <c r="I404" s="136"/>
      <c r="J404" s="136"/>
      <c r="K404" s="136"/>
      <c r="L404" s="136"/>
      <c r="M404" s="136"/>
      <c r="N404" s="136" t="e">
        <f t="shared" si="16"/>
        <v>#N/A</v>
      </c>
      <c r="O404" s="136" t="e">
        <f t="shared" si="17"/>
        <v>#N/A</v>
      </c>
    </row>
    <row r="405" spans="1:15" ht="22" customHeight="1" x14ac:dyDescent="0.35">
      <c r="A405" s="136">
        <v>361</v>
      </c>
      <c r="B405" s="165" t="str">
        <f>IF($A405&gt;MIN($A$10,$A$2),"",INDEX(DemoHistory[Date],$A405))</f>
        <v/>
      </c>
      <c r="C405" s="166" t="str">
        <f>IF(OR($A405&gt;MIN($A$10,$A$2),$A$5=""),"",INDEX(DemoHistory[],$A405,MATCH($A$5,DemoHistory[#Headers],0)))</f>
        <v/>
      </c>
      <c r="D405" s="166" t="str">
        <f>IF($A405&gt;MIN($A$10,$A$2),"",IF(AND($A$12,$A$6=1,B405&lt;$A$7,$A$7&lt;=MAX(DemoHistory[Date])),$A$8,1))</f>
        <v/>
      </c>
      <c r="E405" s="166" t="str">
        <f t="shared" si="15"/>
        <v/>
      </c>
      <c r="F405" s="166" t="str">
        <f>IF($A405&gt;MIN($A$10,$A$2),"",IF($A405&lt;50,"n.a.",IF(COUNT(INDEX(StockDaily[Adjusted close],MAX(1,$A405-50+1)):E405)=50,AVERAGE(INDEX(StockDaily[Adjusted close],MAX(1,$A405-50+1)):E405),"n.a.")))</f>
        <v/>
      </c>
      <c r="G405" s="166" t="str">
        <f>IF($A405&gt;MIN($A$10,$A$2),"",IF($A405&lt;200,"n.a.",IF(COUNT(INDEX(StockDaily[Adjusted close],MAX(1,$A405-200+1)):E405)=200,AVERAGE(INDEX(StockDaily[Adjusted close],MAX(1,$A405-200+1)):E405),"n.a.")))</f>
        <v/>
      </c>
      <c r="H405" s="136" t="str">
        <f>IF($A405&gt;MIN($A$10,$A$2),"",IF($A$5="","Choose stock",IF(NOT($A$12),"Check split rule",IF(NOT(ISNUMBER(B405)),"Invalid date",IF(OR(B405&lt;=0,B405&lt;&gt;INT(B405)),"Invalid date",IF(COUNTIFS(DemoHistory[Date],B405)&lt;&gt;1,"Duplicate date",IF(AND($A405&gt;1,B405&lt;=B404),"Dates out of order",IF(NOT(ISNUMBER(C405)),"Missing price",IF(C405&lt;=0,"Nonpositive price","OK")))))))))</f>
        <v/>
      </c>
      <c r="I405" s="136"/>
      <c r="J405" s="136"/>
      <c r="K405" s="136"/>
      <c r="L405" s="136"/>
      <c r="M405" s="136"/>
      <c r="N405" s="136" t="e">
        <f t="shared" si="16"/>
        <v>#N/A</v>
      </c>
      <c r="O405" s="136" t="e">
        <f t="shared" si="17"/>
        <v>#N/A</v>
      </c>
    </row>
    <row r="406" spans="1:15" ht="22" customHeight="1" x14ac:dyDescent="0.35">
      <c r="A406" s="136">
        <v>362</v>
      </c>
      <c r="B406" s="165" t="str">
        <f>IF($A406&gt;MIN($A$10,$A$2),"",INDEX(DemoHistory[Date],$A406))</f>
        <v/>
      </c>
      <c r="C406" s="166" t="str">
        <f>IF(OR($A406&gt;MIN($A$10,$A$2),$A$5=""),"",INDEX(DemoHistory[],$A406,MATCH($A$5,DemoHistory[#Headers],0)))</f>
        <v/>
      </c>
      <c r="D406" s="166" t="str">
        <f>IF($A406&gt;MIN($A$10,$A$2),"",IF(AND($A$12,$A$6=1,B406&lt;$A$7,$A$7&lt;=MAX(DemoHistory[Date])),$A$8,1))</f>
        <v/>
      </c>
      <c r="E406" s="166" t="str">
        <f t="shared" si="15"/>
        <v/>
      </c>
      <c r="F406" s="166" t="str">
        <f>IF($A406&gt;MIN($A$10,$A$2),"",IF($A406&lt;50,"n.a.",IF(COUNT(INDEX(StockDaily[Adjusted close],MAX(1,$A406-50+1)):E406)=50,AVERAGE(INDEX(StockDaily[Adjusted close],MAX(1,$A406-50+1)):E406),"n.a.")))</f>
        <v/>
      </c>
      <c r="G406" s="166" t="str">
        <f>IF($A406&gt;MIN($A$10,$A$2),"",IF($A406&lt;200,"n.a.",IF(COUNT(INDEX(StockDaily[Adjusted close],MAX(1,$A406-200+1)):E406)=200,AVERAGE(INDEX(StockDaily[Adjusted close],MAX(1,$A406-200+1)):E406),"n.a.")))</f>
        <v/>
      </c>
      <c r="H406" s="136" t="str">
        <f>IF($A406&gt;MIN($A$10,$A$2),"",IF($A$5="","Choose stock",IF(NOT($A$12),"Check split rule",IF(NOT(ISNUMBER(B406)),"Invalid date",IF(OR(B406&lt;=0,B406&lt;&gt;INT(B406)),"Invalid date",IF(COUNTIFS(DemoHistory[Date],B406)&lt;&gt;1,"Duplicate date",IF(AND($A406&gt;1,B406&lt;=B405),"Dates out of order",IF(NOT(ISNUMBER(C406)),"Missing price",IF(C406&lt;=0,"Nonpositive price","OK")))))))))</f>
        <v/>
      </c>
      <c r="I406" s="136"/>
      <c r="J406" s="136"/>
      <c r="K406" s="136"/>
      <c r="L406" s="136"/>
      <c r="M406" s="136"/>
      <c r="N406" s="136" t="e">
        <f t="shared" si="16"/>
        <v>#N/A</v>
      </c>
      <c r="O406" s="136" t="e">
        <f t="shared" si="17"/>
        <v>#N/A</v>
      </c>
    </row>
    <row r="407" spans="1:15" ht="22" customHeight="1" x14ac:dyDescent="0.35">
      <c r="A407" s="136">
        <v>363</v>
      </c>
      <c r="B407" s="165" t="str">
        <f>IF($A407&gt;MIN($A$10,$A$2),"",INDEX(DemoHistory[Date],$A407))</f>
        <v/>
      </c>
      <c r="C407" s="166" t="str">
        <f>IF(OR($A407&gt;MIN($A$10,$A$2),$A$5=""),"",INDEX(DemoHistory[],$A407,MATCH($A$5,DemoHistory[#Headers],0)))</f>
        <v/>
      </c>
      <c r="D407" s="166" t="str">
        <f>IF($A407&gt;MIN($A$10,$A$2),"",IF(AND($A$12,$A$6=1,B407&lt;$A$7,$A$7&lt;=MAX(DemoHistory[Date])),$A$8,1))</f>
        <v/>
      </c>
      <c r="E407" s="166" t="str">
        <f t="shared" si="15"/>
        <v/>
      </c>
      <c r="F407" s="166" t="str">
        <f>IF($A407&gt;MIN($A$10,$A$2),"",IF($A407&lt;50,"n.a.",IF(COUNT(INDEX(StockDaily[Adjusted close],MAX(1,$A407-50+1)):E407)=50,AVERAGE(INDEX(StockDaily[Adjusted close],MAX(1,$A407-50+1)):E407),"n.a.")))</f>
        <v/>
      </c>
      <c r="G407" s="166" t="str">
        <f>IF($A407&gt;MIN($A$10,$A$2),"",IF($A407&lt;200,"n.a.",IF(COUNT(INDEX(StockDaily[Adjusted close],MAX(1,$A407-200+1)):E407)=200,AVERAGE(INDEX(StockDaily[Adjusted close],MAX(1,$A407-200+1)):E407),"n.a.")))</f>
        <v/>
      </c>
      <c r="H407" s="136" t="str">
        <f>IF($A407&gt;MIN($A$10,$A$2),"",IF($A$5="","Choose stock",IF(NOT($A$12),"Check split rule",IF(NOT(ISNUMBER(B407)),"Invalid date",IF(OR(B407&lt;=0,B407&lt;&gt;INT(B407)),"Invalid date",IF(COUNTIFS(DemoHistory[Date],B407)&lt;&gt;1,"Duplicate date",IF(AND($A407&gt;1,B407&lt;=B406),"Dates out of order",IF(NOT(ISNUMBER(C407)),"Missing price",IF(C407&lt;=0,"Nonpositive price","OK")))))))))</f>
        <v/>
      </c>
      <c r="I407" s="136"/>
      <c r="J407" s="136"/>
      <c r="K407" s="136"/>
      <c r="L407" s="136"/>
      <c r="M407" s="136"/>
      <c r="N407" s="136" t="e">
        <f t="shared" si="16"/>
        <v>#N/A</v>
      </c>
      <c r="O407" s="136" t="e">
        <f t="shared" si="17"/>
        <v>#N/A</v>
      </c>
    </row>
    <row r="408" spans="1:15" ht="22" customHeight="1" x14ac:dyDescent="0.35">
      <c r="A408" s="136">
        <v>364</v>
      </c>
      <c r="B408" s="165" t="str">
        <f>IF($A408&gt;MIN($A$10,$A$2),"",INDEX(DemoHistory[Date],$A408))</f>
        <v/>
      </c>
      <c r="C408" s="166" t="str">
        <f>IF(OR($A408&gt;MIN($A$10,$A$2),$A$5=""),"",INDEX(DemoHistory[],$A408,MATCH($A$5,DemoHistory[#Headers],0)))</f>
        <v/>
      </c>
      <c r="D408" s="166" t="str">
        <f>IF($A408&gt;MIN($A$10,$A$2),"",IF(AND($A$12,$A$6=1,B408&lt;$A$7,$A$7&lt;=MAX(DemoHistory[Date])),$A$8,1))</f>
        <v/>
      </c>
      <c r="E408" s="166" t="str">
        <f t="shared" si="15"/>
        <v/>
      </c>
      <c r="F408" s="166" t="str">
        <f>IF($A408&gt;MIN($A$10,$A$2),"",IF($A408&lt;50,"n.a.",IF(COUNT(INDEX(StockDaily[Adjusted close],MAX(1,$A408-50+1)):E408)=50,AVERAGE(INDEX(StockDaily[Adjusted close],MAX(1,$A408-50+1)):E408),"n.a.")))</f>
        <v/>
      </c>
      <c r="G408" s="166" t="str">
        <f>IF($A408&gt;MIN($A$10,$A$2),"",IF($A408&lt;200,"n.a.",IF(COUNT(INDEX(StockDaily[Adjusted close],MAX(1,$A408-200+1)):E408)=200,AVERAGE(INDEX(StockDaily[Adjusted close],MAX(1,$A408-200+1)):E408),"n.a.")))</f>
        <v/>
      </c>
      <c r="H408" s="136" t="str">
        <f>IF($A408&gt;MIN($A$10,$A$2),"",IF($A$5="","Choose stock",IF(NOT($A$12),"Check split rule",IF(NOT(ISNUMBER(B408)),"Invalid date",IF(OR(B408&lt;=0,B408&lt;&gt;INT(B408)),"Invalid date",IF(COUNTIFS(DemoHistory[Date],B408)&lt;&gt;1,"Duplicate date",IF(AND($A408&gt;1,B408&lt;=B407),"Dates out of order",IF(NOT(ISNUMBER(C408)),"Missing price",IF(C408&lt;=0,"Nonpositive price","OK")))))))))</f>
        <v/>
      </c>
      <c r="I408" s="136"/>
      <c r="J408" s="136"/>
      <c r="K408" s="136"/>
      <c r="L408" s="136"/>
      <c r="M408" s="136"/>
      <c r="N408" s="136" t="e">
        <f t="shared" si="16"/>
        <v>#N/A</v>
      </c>
      <c r="O408" s="136" t="e">
        <f t="shared" si="17"/>
        <v>#N/A</v>
      </c>
    </row>
    <row r="409" spans="1:15" ht="22" customHeight="1" x14ac:dyDescent="0.35">
      <c r="A409" s="136">
        <v>365</v>
      </c>
      <c r="B409" s="165" t="str">
        <f>IF($A409&gt;MIN($A$10,$A$2),"",INDEX(DemoHistory[Date],$A409))</f>
        <v/>
      </c>
      <c r="C409" s="166" t="str">
        <f>IF(OR($A409&gt;MIN($A$10,$A$2),$A$5=""),"",INDEX(DemoHistory[],$A409,MATCH($A$5,DemoHistory[#Headers],0)))</f>
        <v/>
      </c>
      <c r="D409" s="166" t="str">
        <f>IF($A409&gt;MIN($A$10,$A$2),"",IF(AND($A$12,$A$6=1,B409&lt;$A$7,$A$7&lt;=MAX(DemoHistory[Date])),$A$8,1))</f>
        <v/>
      </c>
      <c r="E409" s="166" t="str">
        <f t="shared" si="15"/>
        <v/>
      </c>
      <c r="F409" s="166" t="str">
        <f>IF($A409&gt;MIN($A$10,$A$2),"",IF($A409&lt;50,"n.a.",IF(COUNT(INDEX(StockDaily[Adjusted close],MAX(1,$A409-50+1)):E409)=50,AVERAGE(INDEX(StockDaily[Adjusted close],MAX(1,$A409-50+1)):E409),"n.a.")))</f>
        <v/>
      </c>
      <c r="G409" s="166" t="str">
        <f>IF($A409&gt;MIN($A$10,$A$2),"",IF($A409&lt;200,"n.a.",IF(COUNT(INDEX(StockDaily[Adjusted close],MAX(1,$A409-200+1)):E409)=200,AVERAGE(INDEX(StockDaily[Adjusted close],MAX(1,$A409-200+1)):E409),"n.a.")))</f>
        <v/>
      </c>
      <c r="H409" s="136" t="str">
        <f>IF($A409&gt;MIN($A$10,$A$2),"",IF($A$5="","Choose stock",IF(NOT($A$12),"Check split rule",IF(NOT(ISNUMBER(B409)),"Invalid date",IF(OR(B409&lt;=0,B409&lt;&gt;INT(B409)),"Invalid date",IF(COUNTIFS(DemoHistory[Date],B409)&lt;&gt;1,"Duplicate date",IF(AND($A409&gt;1,B409&lt;=B408),"Dates out of order",IF(NOT(ISNUMBER(C409)),"Missing price",IF(C409&lt;=0,"Nonpositive price","OK")))))))))</f>
        <v/>
      </c>
      <c r="I409" s="136"/>
      <c r="J409" s="136"/>
      <c r="K409" s="136"/>
      <c r="L409" s="136"/>
      <c r="M409" s="136"/>
      <c r="N409" s="136" t="e">
        <f t="shared" si="16"/>
        <v>#N/A</v>
      </c>
      <c r="O409" s="136" t="e">
        <f t="shared" si="17"/>
        <v>#N/A</v>
      </c>
    </row>
    <row r="410" spans="1:15" ht="22" customHeight="1" x14ac:dyDescent="0.35">
      <c r="A410" s="136">
        <v>366</v>
      </c>
      <c r="B410" s="165" t="str">
        <f>IF($A410&gt;MIN($A$10,$A$2),"",INDEX(DemoHistory[Date],$A410))</f>
        <v/>
      </c>
      <c r="C410" s="166" t="str">
        <f>IF(OR($A410&gt;MIN($A$10,$A$2),$A$5=""),"",INDEX(DemoHistory[],$A410,MATCH($A$5,DemoHistory[#Headers],0)))</f>
        <v/>
      </c>
      <c r="D410" s="166" t="str">
        <f>IF($A410&gt;MIN($A$10,$A$2),"",IF(AND($A$12,$A$6=1,B410&lt;$A$7,$A$7&lt;=MAX(DemoHistory[Date])),$A$8,1))</f>
        <v/>
      </c>
      <c r="E410" s="166" t="str">
        <f t="shared" si="15"/>
        <v/>
      </c>
      <c r="F410" s="166" t="str">
        <f>IF($A410&gt;MIN($A$10,$A$2),"",IF($A410&lt;50,"n.a.",IF(COUNT(INDEX(StockDaily[Adjusted close],MAX(1,$A410-50+1)):E410)=50,AVERAGE(INDEX(StockDaily[Adjusted close],MAX(1,$A410-50+1)):E410),"n.a.")))</f>
        <v/>
      </c>
      <c r="G410" s="166" t="str">
        <f>IF($A410&gt;MIN($A$10,$A$2),"",IF($A410&lt;200,"n.a.",IF(COUNT(INDEX(StockDaily[Adjusted close],MAX(1,$A410-200+1)):E410)=200,AVERAGE(INDEX(StockDaily[Adjusted close],MAX(1,$A410-200+1)):E410),"n.a.")))</f>
        <v/>
      </c>
      <c r="H410" s="136" t="str">
        <f>IF($A410&gt;MIN($A$10,$A$2),"",IF($A$5="","Choose stock",IF(NOT($A$12),"Check split rule",IF(NOT(ISNUMBER(B410)),"Invalid date",IF(OR(B410&lt;=0,B410&lt;&gt;INT(B410)),"Invalid date",IF(COUNTIFS(DemoHistory[Date],B410)&lt;&gt;1,"Duplicate date",IF(AND($A410&gt;1,B410&lt;=B409),"Dates out of order",IF(NOT(ISNUMBER(C410)),"Missing price",IF(C410&lt;=0,"Nonpositive price","OK")))))))))</f>
        <v/>
      </c>
      <c r="I410" s="136"/>
      <c r="J410" s="136"/>
      <c r="K410" s="136"/>
      <c r="L410" s="136"/>
      <c r="M410" s="136"/>
      <c r="N410" s="136" t="e">
        <f t="shared" si="16"/>
        <v>#N/A</v>
      </c>
      <c r="O410" s="136" t="e">
        <f t="shared" si="17"/>
        <v>#N/A</v>
      </c>
    </row>
    <row r="411" spans="1:15" ht="22" customHeight="1" x14ac:dyDescent="0.35">
      <c r="A411" s="136">
        <v>367</v>
      </c>
      <c r="B411" s="165" t="str">
        <f>IF($A411&gt;MIN($A$10,$A$2),"",INDEX(DemoHistory[Date],$A411))</f>
        <v/>
      </c>
      <c r="C411" s="166" t="str">
        <f>IF(OR($A411&gt;MIN($A$10,$A$2),$A$5=""),"",INDEX(DemoHistory[],$A411,MATCH($A$5,DemoHistory[#Headers],0)))</f>
        <v/>
      </c>
      <c r="D411" s="166" t="str">
        <f>IF($A411&gt;MIN($A$10,$A$2),"",IF(AND($A$12,$A$6=1,B411&lt;$A$7,$A$7&lt;=MAX(DemoHistory[Date])),$A$8,1))</f>
        <v/>
      </c>
      <c r="E411" s="166" t="str">
        <f t="shared" si="15"/>
        <v/>
      </c>
      <c r="F411" s="166" t="str">
        <f>IF($A411&gt;MIN($A$10,$A$2),"",IF($A411&lt;50,"n.a.",IF(COUNT(INDEX(StockDaily[Adjusted close],MAX(1,$A411-50+1)):E411)=50,AVERAGE(INDEX(StockDaily[Adjusted close],MAX(1,$A411-50+1)):E411),"n.a.")))</f>
        <v/>
      </c>
      <c r="G411" s="166" t="str">
        <f>IF($A411&gt;MIN($A$10,$A$2),"",IF($A411&lt;200,"n.a.",IF(COUNT(INDEX(StockDaily[Adjusted close],MAX(1,$A411-200+1)):E411)=200,AVERAGE(INDEX(StockDaily[Adjusted close],MAX(1,$A411-200+1)):E411),"n.a.")))</f>
        <v/>
      </c>
      <c r="H411" s="136" t="str">
        <f>IF($A411&gt;MIN($A$10,$A$2),"",IF($A$5="","Choose stock",IF(NOT($A$12),"Check split rule",IF(NOT(ISNUMBER(B411)),"Invalid date",IF(OR(B411&lt;=0,B411&lt;&gt;INT(B411)),"Invalid date",IF(COUNTIFS(DemoHistory[Date],B411)&lt;&gt;1,"Duplicate date",IF(AND($A411&gt;1,B411&lt;=B410),"Dates out of order",IF(NOT(ISNUMBER(C411)),"Missing price",IF(C411&lt;=0,"Nonpositive price","OK")))))))))</f>
        <v/>
      </c>
      <c r="I411" s="136"/>
      <c r="J411" s="136"/>
      <c r="K411" s="136"/>
      <c r="L411" s="136"/>
      <c r="M411" s="136"/>
      <c r="N411" s="136" t="e">
        <f t="shared" si="16"/>
        <v>#N/A</v>
      </c>
      <c r="O411" s="136" t="e">
        <f t="shared" si="17"/>
        <v>#N/A</v>
      </c>
    </row>
    <row r="412" spans="1:15" ht="22" customHeight="1" x14ac:dyDescent="0.35">
      <c r="A412" s="136">
        <v>368</v>
      </c>
      <c r="B412" s="165" t="str">
        <f>IF($A412&gt;MIN($A$10,$A$2),"",INDEX(DemoHistory[Date],$A412))</f>
        <v/>
      </c>
      <c r="C412" s="166" t="str">
        <f>IF(OR($A412&gt;MIN($A$10,$A$2),$A$5=""),"",INDEX(DemoHistory[],$A412,MATCH($A$5,DemoHistory[#Headers],0)))</f>
        <v/>
      </c>
      <c r="D412" s="166" t="str">
        <f>IF($A412&gt;MIN($A$10,$A$2),"",IF(AND($A$12,$A$6=1,B412&lt;$A$7,$A$7&lt;=MAX(DemoHistory[Date])),$A$8,1))</f>
        <v/>
      </c>
      <c r="E412" s="166" t="str">
        <f t="shared" si="15"/>
        <v/>
      </c>
      <c r="F412" s="166" t="str">
        <f>IF($A412&gt;MIN($A$10,$A$2),"",IF($A412&lt;50,"n.a.",IF(COUNT(INDEX(StockDaily[Adjusted close],MAX(1,$A412-50+1)):E412)=50,AVERAGE(INDEX(StockDaily[Adjusted close],MAX(1,$A412-50+1)):E412),"n.a.")))</f>
        <v/>
      </c>
      <c r="G412" s="166" t="str">
        <f>IF($A412&gt;MIN($A$10,$A$2),"",IF($A412&lt;200,"n.a.",IF(COUNT(INDEX(StockDaily[Adjusted close],MAX(1,$A412-200+1)):E412)=200,AVERAGE(INDEX(StockDaily[Adjusted close],MAX(1,$A412-200+1)):E412),"n.a.")))</f>
        <v/>
      </c>
      <c r="H412" s="136" t="str">
        <f>IF($A412&gt;MIN($A$10,$A$2),"",IF($A$5="","Choose stock",IF(NOT($A$12),"Check split rule",IF(NOT(ISNUMBER(B412)),"Invalid date",IF(OR(B412&lt;=0,B412&lt;&gt;INT(B412)),"Invalid date",IF(COUNTIFS(DemoHistory[Date],B412)&lt;&gt;1,"Duplicate date",IF(AND($A412&gt;1,B412&lt;=B411),"Dates out of order",IF(NOT(ISNUMBER(C412)),"Missing price",IF(C412&lt;=0,"Nonpositive price","OK")))))))))</f>
        <v/>
      </c>
      <c r="I412" s="136"/>
      <c r="J412" s="136"/>
      <c r="K412" s="136"/>
      <c r="L412" s="136"/>
      <c r="M412" s="136"/>
      <c r="N412" s="136" t="e">
        <f t="shared" si="16"/>
        <v>#N/A</v>
      </c>
      <c r="O412" s="136" t="e">
        <f t="shared" si="17"/>
        <v>#N/A</v>
      </c>
    </row>
    <row r="413" spans="1:15" ht="22" customHeight="1" x14ac:dyDescent="0.35">
      <c r="A413" s="136">
        <v>369</v>
      </c>
      <c r="B413" s="165" t="str">
        <f>IF($A413&gt;MIN($A$10,$A$2),"",INDEX(DemoHistory[Date],$A413))</f>
        <v/>
      </c>
      <c r="C413" s="166" t="str">
        <f>IF(OR($A413&gt;MIN($A$10,$A$2),$A$5=""),"",INDEX(DemoHistory[],$A413,MATCH($A$5,DemoHistory[#Headers],0)))</f>
        <v/>
      </c>
      <c r="D413" s="166" t="str">
        <f>IF($A413&gt;MIN($A$10,$A$2),"",IF(AND($A$12,$A$6=1,B413&lt;$A$7,$A$7&lt;=MAX(DemoHistory[Date])),$A$8,1))</f>
        <v/>
      </c>
      <c r="E413" s="166" t="str">
        <f t="shared" si="15"/>
        <v/>
      </c>
      <c r="F413" s="166" t="str">
        <f>IF($A413&gt;MIN($A$10,$A$2),"",IF($A413&lt;50,"n.a.",IF(COUNT(INDEX(StockDaily[Adjusted close],MAX(1,$A413-50+1)):E413)=50,AVERAGE(INDEX(StockDaily[Adjusted close],MAX(1,$A413-50+1)):E413),"n.a.")))</f>
        <v/>
      </c>
      <c r="G413" s="166" t="str">
        <f>IF($A413&gt;MIN($A$10,$A$2),"",IF($A413&lt;200,"n.a.",IF(COUNT(INDEX(StockDaily[Adjusted close],MAX(1,$A413-200+1)):E413)=200,AVERAGE(INDEX(StockDaily[Adjusted close],MAX(1,$A413-200+1)):E413),"n.a.")))</f>
        <v/>
      </c>
      <c r="H413" s="136" t="str">
        <f>IF($A413&gt;MIN($A$10,$A$2),"",IF($A$5="","Choose stock",IF(NOT($A$12),"Check split rule",IF(NOT(ISNUMBER(B413)),"Invalid date",IF(OR(B413&lt;=0,B413&lt;&gt;INT(B413)),"Invalid date",IF(COUNTIFS(DemoHistory[Date],B413)&lt;&gt;1,"Duplicate date",IF(AND($A413&gt;1,B413&lt;=B412),"Dates out of order",IF(NOT(ISNUMBER(C413)),"Missing price",IF(C413&lt;=0,"Nonpositive price","OK")))))))))</f>
        <v/>
      </c>
      <c r="I413" s="136"/>
      <c r="J413" s="136"/>
      <c r="K413" s="136"/>
      <c r="L413" s="136"/>
      <c r="M413" s="136"/>
      <c r="N413" s="136" t="e">
        <f t="shared" si="16"/>
        <v>#N/A</v>
      </c>
      <c r="O413" s="136" t="e">
        <f t="shared" si="17"/>
        <v>#N/A</v>
      </c>
    </row>
    <row r="414" spans="1:15" ht="22" customHeight="1" x14ac:dyDescent="0.35">
      <c r="A414" s="136">
        <v>370</v>
      </c>
      <c r="B414" s="165" t="str">
        <f>IF($A414&gt;MIN($A$10,$A$2),"",INDEX(DemoHistory[Date],$A414))</f>
        <v/>
      </c>
      <c r="C414" s="166" t="str">
        <f>IF(OR($A414&gt;MIN($A$10,$A$2),$A$5=""),"",INDEX(DemoHistory[],$A414,MATCH($A$5,DemoHistory[#Headers],0)))</f>
        <v/>
      </c>
      <c r="D414" s="166" t="str">
        <f>IF($A414&gt;MIN($A$10,$A$2),"",IF(AND($A$12,$A$6=1,B414&lt;$A$7,$A$7&lt;=MAX(DemoHistory[Date])),$A$8,1))</f>
        <v/>
      </c>
      <c r="E414" s="166" t="str">
        <f t="shared" si="15"/>
        <v/>
      </c>
      <c r="F414" s="166" t="str">
        <f>IF($A414&gt;MIN($A$10,$A$2),"",IF($A414&lt;50,"n.a.",IF(COUNT(INDEX(StockDaily[Adjusted close],MAX(1,$A414-50+1)):E414)=50,AVERAGE(INDEX(StockDaily[Adjusted close],MAX(1,$A414-50+1)):E414),"n.a.")))</f>
        <v/>
      </c>
      <c r="G414" s="166" t="str">
        <f>IF($A414&gt;MIN($A$10,$A$2),"",IF($A414&lt;200,"n.a.",IF(COUNT(INDEX(StockDaily[Adjusted close],MAX(1,$A414-200+1)):E414)=200,AVERAGE(INDEX(StockDaily[Adjusted close],MAX(1,$A414-200+1)):E414),"n.a.")))</f>
        <v/>
      </c>
      <c r="H414" s="136" t="str">
        <f>IF($A414&gt;MIN($A$10,$A$2),"",IF($A$5="","Choose stock",IF(NOT($A$12),"Check split rule",IF(NOT(ISNUMBER(B414)),"Invalid date",IF(OR(B414&lt;=0,B414&lt;&gt;INT(B414)),"Invalid date",IF(COUNTIFS(DemoHistory[Date],B414)&lt;&gt;1,"Duplicate date",IF(AND($A414&gt;1,B414&lt;=B413),"Dates out of order",IF(NOT(ISNUMBER(C414)),"Missing price",IF(C414&lt;=0,"Nonpositive price","OK")))))))))</f>
        <v/>
      </c>
      <c r="I414" s="136"/>
      <c r="J414" s="136"/>
      <c r="K414" s="136"/>
      <c r="L414" s="136"/>
      <c r="M414" s="136"/>
      <c r="N414" s="136" t="e">
        <f t="shared" si="16"/>
        <v>#N/A</v>
      </c>
      <c r="O414" s="136" t="e">
        <f t="shared" si="17"/>
        <v>#N/A</v>
      </c>
    </row>
    <row r="415" spans="1:15" ht="22" customHeight="1" x14ac:dyDescent="0.35">
      <c r="A415" s="136">
        <v>371</v>
      </c>
      <c r="B415" s="165" t="str">
        <f>IF($A415&gt;MIN($A$10,$A$2),"",INDEX(DemoHistory[Date],$A415))</f>
        <v/>
      </c>
      <c r="C415" s="166" t="str">
        <f>IF(OR($A415&gt;MIN($A$10,$A$2),$A$5=""),"",INDEX(DemoHistory[],$A415,MATCH($A$5,DemoHistory[#Headers],0)))</f>
        <v/>
      </c>
      <c r="D415" s="166" t="str">
        <f>IF($A415&gt;MIN($A$10,$A$2),"",IF(AND($A$12,$A$6=1,B415&lt;$A$7,$A$7&lt;=MAX(DemoHistory[Date])),$A$8,1))</f>
        <v/>
      </c>
      <c r="E415" s="166" t="str">
        <f t="shared" si="15"/>
        <v/>
      </c>
      <c r="F415" s="166" t="str">
        <f>IF($A415&gt;MIN($A$10,$A$2),"",IF($A415&lt;50,"n.a.",IF(COUNT(INDEX(StockDaily[Adjusted close],MAX(1,$A415-50+1)):E415)=50,AVERAGE(INDEX(StockDaily[Adjusted close],MAX(1,$A415-50+1)):E415),"n.a.")))</f>
        <v/>
      </c>
      <c r="G415" s="166" t="str">
        <f>IF($A415&gt;MIN($A$10,$A$2),"",IF($A415&lt;200,"n.a.",IF(COUNT(INDEX(StockDaily[Adjusted close],MAX(1,$A415-200+1)):E415)=200,AVERAGE(INDEX(StockDaily[Adjusted close],MAX(1,$A415-200+1)):E415),"n.a.")))</f>
        <v/>
      </c>
      <c r="H415" s="136" t="str">
        <f>IF($A415&gt;MIN($A$10,$A$2),"",IF($A$5="","Choose stock",IF(NOT($A$12),"Check split rule",IF(NOT(ISNUMBER(B415)),"Invalid date",IF(OR(B415&lt;=0,B415&lt;&gt;INT(B415)),"Invalid date",IF(COUNTIFS(DemoHistory[Date],B415)&lt;&gt;1,"Duplicate date",IF(AND($A415&gt;1,B415&lt;=B414),"Dates out of order",IF(NOT(ISNUMBER(C415)),"Missing price",IF(C415&lt;=0,"Nonpositive price","OK")))))))))</f>
        <v/>
      </c>
      <c r="I415" s="136"/>
      <c r="J415" s="136"/>
      <c r="K415" s="136"/>
      <c r="L415" s="136"/>
      <c r="M415" s="136"/>
      <c r="N415" s="136" t="e">
        <f t="shared" si="16"/>
        <v>#N/A</v>
      </c>
      <c r="O415" s="136" t="e">
        <f t="shared" si="17"/>
        <v>#N/A</v>
      </c>
    </row>
    <row r="416" spans="1:15" ht="22" customHeight="1" x14ac:dyDescent="0.35">
      <c r="A416" s="136">
        <v>372</v>
      </c>
      <c r="B416" s="165" t="str">
        <f>IF($A416&gt;MIN($A$10,$A$2),"",INDEX(DemoHistory[Date],$A416))</f>
        <v/>
      </c>
      <c r="C416" s="166" t="str">
        <f>IF(OR($A416&gt;MIN($A$10,$A$2),$A$5=""),"",INDEX(DemoHistory[],$A416,MATCH($A$5,DemoHistory[#Headers],0)))</f>
        <v/>
      </c>
      <c r="D416" s="166" t="str">
        <f>IF($A416&gt;MIN($A$10,$A$2),"",IF(AND($A$12,$A$6=1,B416&lt;$A$7,$A$7&lt;=MAX(DemoHistory[Date])),$A$8,1))</f>
        <v/>
      </c>
      <c r="E416" s="166" t="str">
        <f t="shared" si="15"/>
        <v/>
      </c>
      <c r="F416" s="166" t="str">
        <f>IF($A416&gt;MIN($A$10,$A$2),"",IF($A416&lt;50,"n.a.",IF(COUNT(INDEX(StockDaily[Adjusted close],MAX(1,$A416-50+1)):E416)=50,AVERAGE(INDEX(StockDaily[Adjusted close],MAX(1,$A416-50+1)):E416),"n.a.")))</f>
        <v/>
      </c>
      <c r="G416" s="166" t="str">
        <f>IF($A416&gt;MIN($A$10,$A$2),"",IF($A416&lt;200,"n.a.",IF(COUNT(INDEX(StockDaily[Adjusted close],MAX(1,$A416-200+1)):E416)=200,AVERAGE(INDEX(StockDaily[Adjusted close],MAX(1,$A416-200+1)):E416),"n.a.")))</f>
        <v/>
      </c>
      <c r="H416" s="136" t="str">
        <f>IF($A416&gt;MIN($A$10,$A$2),"",IF($A$5="","Choose stock",IF(NOT($A$12),"Check split rule",IF(NOT(ISNUMBER(B416)),"Invalid date",IF(OR(B416&lt;=0,B416&lt;&gt;INT(B416)),"Invalid date",IF(COUNTIFS(DemoHistory[Date],B416)&lt;&gt;1,"Duplicate date",IF(AND($A416&gt;1,B416&lt;=B415),"Dates out of order",IF(NOT(ISNUMBER(C416)),"Missing price",IF(C416&lt;=0,"Nonpositive price","OK")))))))))</f>
        <v/>
      </c>
      <c r="I416" s="136"/>
      <c r="J416" s="136"/>
      <c r="K416" s="136"/>
      <c r="L416" s="136"/>
      <c r="M416" s="136"/>
      <c r="N416" s="136" t="e">
        <f t="shared" si="16"/>
        <v>#N/A</v>
      </c>
      <c r="O416" s="136" t="e">
        <f t="shared" si="17"/>
        <v>#N/A</v>
      </c>
    </row>
    <row r="417" spans="1:15" ht="22" customHeight="1" x14ac:dyDescent="0.35">
      <c r="A417" s="136">
        <v>373</v>
      </c>
      <c r="B417" s="165" t="str">
        <f>IF($A417&gt;MIN($A$10,$A$2),"",INDEX(DemoHistory[Date],$A417))</f>
        <v/>
      </c>
      <c r="C417" s="166" t="str">
        <f>IF(OR($A417&gt;MIN($A$10,$A$2),$A$5=""),"",INDEX(DemoHistory[],$A417,MATCH($A$5,DemoHistory[#Headers],0)))</f>
        <v/>
      </c>
      <c r="D417" s="166" t="str">
        <f>IF($A417&gt;MIN($A$10,$A$2),"",IF(AND($A$12,$A$6=1,B417&lt;$A$7,$A$7&lt;=MAX(DemoHistory[Date])),$A$8,1))</f>
        <v/>
      </c>
      <c r="E417" s="166" t="str">
        <f t="shared" si="15"/>
        <v/>
      </c>
      <c r="F417" s="166" t="str">
        <f>IF($A417&gt;MIN($A$10,$A$2),"",IF($A417&lt;50,"n.a.",IF(COUNT(INDEX(StockDaily[Adjusted close],MAX(1,$A417-50+1)):E417)=50,AVERAGE(INDEX(StockDaily[Adjusted close],MAX(1,$A417-50+1)):E417),"n.a.")))</f>
        <v/>
      </c>
      <c r="G417" s="166" t="str">
        <f>IF($A417&gt;MIN($A$10,$A$2),"",IF($A417&lt;200,"n.a.",IF(COUNT(INDEX(StockDaily[Adjusted close],MAX(1,$A417-200+1)):E417)=200,AVERAGE(INDEX(StockDaily[Adjusted close],MAX(1,$A417-200+1)):E417),"n.a.")))</f>
        <v/>
      </c>
      <c r="H417" s="136" t="str">
        <f>IF($A417&gt;MIN($A$10,$A$2),"",IF($A$5="","Choose stock",IF(NOT($A$12),"Check split rule",IF(NOT(ISNUMBER(B417)),"Invalid date",IF(OR(B417&lt;=0,B417&lt;&gt;INT(B417)),"Invalid date",IF(COUNTIFS(DemoHistory[Date],B417)&lt;&gt;1,"Duplicate date",IF(AND($A417&gt;1,B417&lt;=B416),"Dates out of order",IF(NOT(ISNUMBER(C417)),"Missing price",IF(C417&lt;=0,"Nonpositive price","OK")))))))))</f>
        <v/>
      </c>
      <c r="I417" s="136"/>
      <c r="J417" s="136"/>
      <c r="K417" s="136"/>
      <c r="L417" s="136"/>
      <c r="M417" s="136"/>
      <c r="N417" s="136" t="e">
        <f t="shared" si="16"/>
        <v>#N/A</v>
      </c>
      <c r="O417" s="136" t="e">
        <f t="shared" si="17"/>
        <v>#N/A</v>
      </c>
    </row>
    <row r="418" spans="1:15" ht="22" customHeight="1" x14ac:dyDescent="0.35">
      <c r="A418" s="136">
        <v>374</v>
      </c>
      <c r="B418" s="165" t="str">
        <f>IF($A418&gt;MIN($A$10,$A$2),"",INDEX(DemoHistory[Date],$A418))</f>
        <v/>
      </c>
      <c r="C418" s="166" t="str">
        <f>IF(OR($A418&gt;MIN($A$10,$A$2),$A$5=""),"",INDEX(DemoHistory[],$A418,MATCH($A$5,DemoHistory[#Headers],0)))</f>
        <v/>
      </c>
      <c r="D418" s="166" t="str">
        <f>IF($A418&gt;MIN($A$10,$A$2),"",IF(AND($A$12,$A$6=1,B418&lt;$A$7,$A$7&lt;=MAX(DemoHistory[Date])),$A$8,1))</f>
        <v/>
      </c>
      <c r="E418" s="166" t="str">
        <f t="shared" si="15"/>
        <v/>
      </c>
      <c r="F418" s="166" t="str">
        <f>IF($A418&gt;MIN($A$10,$A$2),"",IF($A418&lt;50,"n.a.",IF(COUNT(INDEX(StockDaily[Adjusted close],MAX(1,$A418-50+1)):E418)=50,AVERAGE(INDEX(StockDaily[Adjusted close],MAX(1,$A418-50+1)):E418),"n.a.")))</f>
        <v/>
      </c>
      <c r="G418" s="166" t="str">
        <f>IF($A418&gt;MIN($A$10,$A$2),"",IF($A418&lt;200,"n.a.",IF(COUNT(INDEX(StockDaily[Adjusted close],MAX(1,$A418-200+1)):E418)=200,AVERAGE(INDEX(StockDaily[Adjusted close],MAX(1,$A418-200+1)):E418),"n.a.")))</f>
        <v/>
      </c>
      <c r="H418" s="136" t="str">
        <f>IF($A418&gt;MIN($A$10,$A$2),"",IF($A$5="","Choose stock",IF(NOT($A$12),"Check split rule",IF(NOT(ISNUMBER(B418)),"Invalid date",IF(OR(B418&lt;=0,B418&lt;&gt;INT(B418)),"Invalid date",IF(COUNTIFS(DemoHistory[Date],B418)&lt;&gt;1,"Duplicate date",IF(AND($A418&gt;1,B418&lt;=B417),"Dates out of order",IF(NOT(ISNUMBER(C418)),"Missing price",IF(C418&lt;=0,"Nonpositive price","OK")))))))))</f>
        <v/>
      </c>
      <c r="I418" s="136"/>
      <c r="J418" s="136"/>
      <c r="K418" s="136"/>
      <c r="L418" s="136"/>
      <c r="M418" s="136"/>
      <c r="N418" s="136" t="e">
        <f t="shared" si="16"/>
        <v>#N/A</v>
      </c>
      <c r="O418" s="136" t="e">
        <f t="shared" si="17"/>
        <v>#N/A</v>
      </c>
    </row>
    <row r="419" spans="1:15" ht="22" customHeight="1" x14ac:dyDescent="0.35">
      <c r="A419" s="136">
        <v>375</v>
      </c>
      <c r="B419" s="165" t="str">
        <f>IF($A419&gt;MIN($A$10,$A$2),"",INDEX(DemoHistory[Date],$A419))</f>
        <v/>
      </c>
      <c r="C419" s="166" t="str">
        <f>IF(OR($A419&gt;MIN($A$10,$A$2),$A$5=""),"",INDEX(DemoHistory[],$A419,MATCH($A$5,DemoHistory[#Headers],0)))</f>
        <v/>
      </c>
      <c r="D419" s="166" t="str">
        <f>IF($A419&gt;MIN($A$10,$A$2),"",IF(AND($A$12,$A$6=1,B419&lt;$A$7,$A$7&lt;=MAX(DemoHistory[Date])),$A$8,1))</f>
        <v/>
      </c>
      <c r="E419" s="166" t="str">
        <f t="shared" si="15"/>
        <v/>
      </c>
      <c r="F419" s="166" t="str">
        <f>IF($A419&gt;MIN($A$10,$A$2),"",IF($A419&lt;50,"n.a.",IF(COUNT(INDEX(StockDaily[Adjusted close],MAX(1,$A419-50+1)):E419)=50,AVERAGE(INDEX(StockDaily[Adjusted close],MAX(1,$A419-50+1)):E419),"n.a.")))</f>
        <v/>
      </c>
      <c r="G419" s="166" t="str">
        <f>IF($A419&gt;MIN($A$10,$A$2),"",IF($A419&lt;200,"n.a.",IF(COUNT(INDEX(StockDaily[Adjusted close],MAX(1,$A419-200+1)):E419)=200,AVERAGE(INDEX(StockDaily[Adjusted close],MAX(1,$A419-200+1)):E419),"n.a.")))</f>
        <v/>
      </c>
      <c r="H419" s="136" t="str">
        <f>IF($A419&gt;MIN($A$10,$A$2),"",IF($A$5="","Choose stock",IF(NOT($A$12),"Check split rule",IF(NOT(ISNUMBER(B419)),"Invalid date",IF(OR(B419&lt;=0,B419&lt;&gt;INT(B419)),"Invalid date",IF(COUNTIFS(DemoHistory[Date],B419)&lt;&gt;1,"Duplicate date",IF(AND($A419&gt;1,B419&lt;=B418),"Dates out of order",IF(NOT(ISNUMBER(C419)),"Missing price",IF(C419&lt;=0,"Nonpositive price","OK")))))))))</f>
        <v/>
      </c>
      <c r="I419" s="136"/>
      <c r="J419" s="136"/>
      <c r="K419" s="136"/>
      <c r="L419" s="136"/>
      <c r="M419" s="136"/>
      <c r="N419" s="136" t="e">
        <f t="shared" si="16"/>
        <v>#N/A</v>
      </c>
      <c r="O419" s="136" t="e">
        <f t="shared" si="17"/>
        <v>#N/A</v>
      </c>
    </row>
    <row r="420" spans="1:15" ht="22" customHeight="1" x14ac:dyDescent="0.35">
      <c r="A420" s="136">
        <v>376</v>
      </c>
      <c r="B420" s="165" t="str">
        <f>IF($A420&gt;MIN($A$10,$A$2),"",INDEX(DemoHistory[Date],$A420))</f>
        <v/>
      </c>
      <c r="C420" s="166" t="str">
        <f>IF(OR($A420&gt;MIN($A$10,$A$2),$A$5=""),"",INDEX(DemoHistory[],$A420,MATCH($A$5,DemoHistory[#Headers],0)))</f>
        <v/>
      </c>
      <c r="D420" s="166" t="str">
        <f>IF($A420&gt;MIN($A$10,$A$2),"",IF(AND($A$12,$A$6=1,B420&lt;$A$7,$A$7&lt;=MAX(DemoHistory[Date])),$A$8,1))</f>
        <v/>
      </c>
      <c r="E420" s="166" t="str">
        <f t="shared" si="15"/>
        <v/>
      </c>
      <c r="F420" s="166" t="str">
        <f>IF($A420&gt;MIN($A$10,$A$2),"",IF($A420&lt;50,"n.a.",IF(COUNT(INDEX(StockDaily[Adjusted close],MAX(1,$A420-50+1)):E420)=50,AVERAGE(INDEX(StockDaily[Adjusted close],MAX(1,$A420-50+1)):E420),"n.a.")))</f>
        <v/>
      </c>
      <c r="G420" s="166" t="str">
        <f>IF($A420&gt;MIN($A$10,$A$2),"",IF($A420&lt;200,"n.a.",IF(COUNT(INDEX(StockDaily[Adjusted close],MAX(1,$A420-200+1)):E420)=200,AVERAGE(INDEX(StockDaily[Adjusted close],MAX(1,$A420-200+1)):E420),"n.a.")))</f>
        <v/>
      </c>
      <c r="H420" s="136" t="str">
        <f>IF($A420&gt;MIN($A$10,$A$2),"",IF($A$5="","Choose stock",IF(NOT($A$12),"Check split rule",IF(NOT(ISNUMBER(B420)),"Invalid date",IF(OR(B420&lt;=0,B420&lt;&gt;INT(B420)),"Invalid date",IF(COUNTIFS(DemoHistory[Date],B420)&lt;&gt;1,"Duplicate date",IF(AND($A420&gt;1,B420&lt;=B419),"Dates out of order",IF(NOT(ISNUMBER(C420)),"Missing price",IF(C420&lt;=0,"Nonpositive price","OK")))))))))</f>
        <v/>
      </c>
      <c r="I420" s="136"/>
      <c r="J420" s="136"/>
      <c r="K420" s="136"/>
      <c r="L420" s="136"/>
      <c r="M420" s="136"/>
      <c r="N420" s="136" t="e">
        <f t="shared" si="16"/>
        <v>#N/A</v>
      </c>
      <c r="O420" s="136" t="e">
        <f t="shared" si="17"/>
        <v>#N/A</v>
      </c>
    </row>
    <row r="421" spans="1:15" ht="22" customHeight="1" x14ac:dyDescent="0.35">
      <c r="A421" s="136">
        <v>377</v>
      </c>
      <c r="B421" s="165" t="str">
        <f>IF($A421&gt;MIN($A$10,$A$2),"",INDEX(DemoHistory[Date],$A421))</f>
        <v/>
      </c>
      <c r="C421" s="166" t="str">
        <f>IF(OR($A421&gt;MIN($A$10,$A$2),$A$5=""),"",INDEX(DemoHistory[],$A421,MATCH($A$5,DemoHistory[#Headers],0)))</f>
        <v/>
      </c>
      <c r="D421" s="166" t="str">
        <f>IF($A421&gt;MIN($A$10,$A$2),"",IF(AND($A$12,$A$6=1,B421&lt;$A$7,$A$7&lt;=MAX(DemoHistory[Date])),$A$8,1))</f>
        <v/>
      </c>
      <c r="E421" s="166" t="str">
        <f t="shared" si="15"/>
        <v/>
      </c>
      <c r="F421" s="166" t="str">
        <f>IF($A421&gt;MIN($A$10,$A$2),"",IF($A421&lt;50,"n.a.",IF(COUNT(INDEX(StockDaily[Adjusted close],MAX(1,$A421-50+1)):E421)=50,AVERAGE(INDEX(StockDaily[Adjusted close],MAX(1,$A421-50+1)):E421),"n.a.")))</f>
        <v/>
      </c>
      <c r="G421" s="166" t="str">
        <f>IF($A421&gt;MIN($A$10,$A$2),"",IF($A421&lt;200,"n.a.",IF(COUNT(INDEX(StockDaily[Adjusted close],MAX(1,$A421-200+1)):E421)=200,AVERAGE(INDEX(StockDaily[Adjusted close],MAX(1,$A421-200+1)):E421),"n.a.")))</f>
        <v/>
      </c>
      <c r="H421" s="136" t="str">
        <f>IF($A421&gt;MIN($A$10,$A$2),"",IF($A$5="","Choose stock",IF(NOT($A$12),"Check split rule",IF(NOT(ISNUMBER(B421)),"Invalid date",IF(OR(B421&lt;=0,B421&lt;&gt;INT(B421)),"Invalid date",IF(COUNTIFS(DemoHistory[Date],B421)&lt;&gt;1,"Duplicate date",IF(AND($A421&gt;1,B421&lt;=B420),"Dates out of order",IF(NOT(ISNUMBER(C421)),"Missing price",IF(C421&lt;=0,"Nonpositive price","OK")))))))))</f>
        <v/>
      </c>
      <c r="I421" s="136"/>
      <c r="J421" s="136"/>
      <c r="K421" s="136"/>
      <c r="L421" s="136"/>
      <c r="M421" s="136"/>
      <c r="N421" s="136" t="e">
        <f t="shared" si="16"/>
        <v>#N/A</v>
      </c>
      <c r="O421" s="136" t="e">
        <f t="shared" si="17"/>
        <v>#N/A</v>
      </c>
    </row>
    <row r="422" spans="1:15" ht="22" customHeight="1" x14ac:dyDescent="0.35">
      <c r="A422" s="136">
        <v>378</v>
      </c>
      <c r="B422" s="165" t="str">
        <f>IF($A422&gt;MIN($A$10,$A$2),"",INDEX(DemoHistory[Date],$A422))</f>
        <v/>
      </c>
      <c r="C422" s="166" t="str">
        <f>IF(OR($A422&gt;MIN($A$10,$A$2),$A$5=""),"",INDEX(DemoHistory[],$A422,MATCH($A$5,DemoHistory[#Headers],0)))</f>
        <v/>
      </c>
      <c r="D422" s="166" t="str">
        <f>IF($A422&gt;MIN($A$10,$A$2),"",IF(AND($A$12,$A$6=1,B422&lt;$A$7,$A$7&lt;=MAX(DemoHistory[Date])),$A$8,1))</f>
        <v/>
      </c>
      <c r="E422" s="166" t="str">
        <f t="shared" si="15"/>
        <v/>
      </c>
      <c r="F422" s="166" t="str">
        <f>IF($A422&gt;MIN($A$10,$A$2),"",IF($A422&lt;50,"n.a.",IF(COUNT(INDEX(StockDaily[Adjusted close],MAX(1,$A422-50+1)):E422)=50,AVERAGE(INDEX(StockDaily[Adjusted close],MAX(1,$A422-50+1)):E422),"n.a.")))</f>
        <v/>
      </c>
      <c r="G422" s="166" t="str">
        <f>IF($A422&gt;MIN($A$10,$A$2),"",IF($A422&lt;200,"n.a.",IF(COUNT(INDEX(StockDaily[Adjusted close],MAX(1,$A422-200+1)):E422)=200,AVERAGE(INDEX(StockDaily[Adjusted close],MAX(1,$A422-200+1)):E422),"n.a.")))</f>
        <v/>
      </c>
      <c r="H422" s="136" t="str">
        <f>IF($A422&gt;MIN($A$10,$A$2),"",IF($A$5="","Choose stock",IF(NOT($A$12),"Check split rule",IF(NOT(ISNUMBER(B422)),"Invalid date",IF(OR(B422&lt;=0,B422&lt;&gt;INT(B422)),"Invalid date",IF(COUNTIFS(DemoHistory[Date],B422)&lt;&gt;1,"Duplicate date",IF(AND($A422&gt;1,B422&lt;=B421),"Dates out of order",IF(NOT(ISNUMBER(C422)),"Missing price",IF(C422&lt;=0,"Nonpositive price","OK")))))))))</f>
        <v/>
      </c>
      <c r="I422" s="136"/>
      <c r="J422" s="136"/>
      <c r="K422" s="136"/>
      <c r="L422" s="136"/>
      <c r="M422" s="136"/>
      <c r="N422" s="136" t="e">
        <f t="shared" si="16"/>
        <v>#N/A</v>
      </c>
      <c r="O422" s="136" t="e">
        <f t="shared" si="17"/>
        <v>#N/A</v>
      </c>
    </row>
    <row r="423" spans="1:15" ht="22" customHeight="1" x14ac:dyDescent="0.35">
      <c r="A423" s="136">
        <v>379</v>
      </c>
      <c r="B423" s="165" t="str">
        <f>IF($A423&gt;MIN($A$10,$A$2),"",INDEX(DemoHistory[Date],$A423))</f>
        <v/>
      </c>
      <c r="C423" s="166" t="str">
        <f>IF(OR($A423&gt;MIN($A$10,$A$2),$A$5=""),"",INDEX(DemoHistory[],$A423,MATCH($A$5,DemoHistory[#Headers],0)))</f>
        <v/>
      </c>
      <c r="D423" s="166" t="str">
        <f>IF($A423&gt;MIN($A$10,$A$2),"",IF(AND($A$12,$A$6=1,B423&lt;$A$7,$A$7&lt;=MAX(DemoHistory[Date])),$A$8,1))</f>
        <v/>
      </c>
      <c r="E423" s="166" t="str">
        <f t="shared" si="15"/>
        <v/>
      </c>
      <c r="F423" s="166" t="str">
        <f>IF($A423&gt;MIN($A$10,$A$2),"",IF($A423&lt;50,"n.a.",IF(COUNT(INDEX(StockDaily[Adjusted close],MAX(1,$A423-50+1)):E423)=50,AVERAGE(INDEX(StockDaily[Adjusted close],MAX(1,$A423-50+1)):E423),"n.a.")))</f>
        <v/>
      </c>
      <c r="G423" s="166" t="str">
        <f>IF($A423&gt;MIN($A$10,$A$2),"",IF($A423&lt;200,"n.a.",IF(COUNT(INDEX(StockDaily[Adjusted close],MAX(1,$A423-200+1)):E423)=200,AVERAGE(INDEX(StockDaily[Adjusted close],MAX(1,$A423-200+1)):E423),"n.a.")))</f>
        <v/>
      </c>
      <c r="H423" s="136" t="str">
        <f>IF($A423&gt;MIN($A$10,$A$2),"",IF($A$5="","Choose stock",IF(NOT($A$12),"Check split rule",IF(NOT(ISNUMBER(B423)),"Invalid date",IF(OR(B423&lt;=0,B423&lt;&gt;INT(B423)),"Invalid date",IF(COUNTIFS(DemoHistory[Date],B423)&lt;&gt;1,"Duplicate date",IF(AND($A423&gt;1,B423&lt;=B422),"Dates out of order",IF(NOT(ISNUMBER(C423)),"Missing price",IF(C423&lt;=0,"Nonpositive price","OK")))))))))</f>
        <v/>
      </c>
      <c r="I423" s="136"/>
      <c r="J423" s="136"/>
      <c r="K423" s="136"/>
      <c r="L423" s="136"/>
      <c r="M423" s="136"/>
      <c r="N423" s="136" t="e">
        <f t="shared" si="16"/>
        <v>#N/A</v>
      </c>
      <c r="O423" s="136" t="e">
        <f t="shared" si="17"/>
        <v>#N/A</v>
      </c>
    </row>
    <row r="424" spans="1:15" ht="22" customHeight="1" x14ac:dyDescent="0.35">
      <c r="A424" s="136">
        <v>380</v>
      </c>
      <c r="B424" s="165" t="str">
        <f>IF($A424&gt;MIN($A$10,$A$2),"",INDEX(DemoHistory[Date],$A424))</f>
        <v/>
      </c>
      <c r="C424" s="166" t="str">
        <f>IF(OR($A424&gt;MIN($A$10,$A$2),$A$5=""),"",INDEX(DemoHistory[],$A424,MATCH($A$5,DemoHistory[#Headers],0)))</f>
        <v/>
      </c>
      <c r="D424" s="166" t="str">
        <f>IF($A424&gt;MIN($A$10,$A$2),"",IF(AND($A$12,$A$6=1,B424&lt;$A$7,$A$7&lt;=MAX(DemoHistory[Date])),$A$8,1))</f>
        <v/>
      </c>
      <c r="E424" s="166" t="str">
        <f t="shared" si="15"/>
        <v/>
      </c>
      <c r="F424" s="166" t="str">
        <f>IF($A424&gt;MIN($A$10,$A$2),"",IF($A424&lt;50,"n.a.",IF(COUNT(INDEX(StockDaily[Adjusted close],MAX(1,$A424-50+1)):E424)=50,AVERAGE(INDEX(StockDaily[Adjusted close],MAX(1,$A424-50+1)):E424),"n.a.")))</f>
        <v/>
      </c>
      <c r="G424" s="166" t="str">
        <f>IF($A424&gt;MIN($A$10,$A$2),"",IF($A424&lt;200,"n.a.",IF(COUNT(INDEX(StockDaily[Adjusted close],MAX(1,$A424-200+1)):E424)=200,AVERAGE(INDEX(StockDaily[Adjusted close],MAX(1,$A424-200+1)):E424),"n.a.")))</f>
        <v/>
      </c>
      <c r="H424" s="136" t="str">
        <f>IF($A424&gt;MIN($A$10,$A$2),"",IF($A$5="","Choose stock",IF(NOT($A$12),"Check split rule",IF(NOT(ISNUMBER(B424)),"Invalid date",IF(OR(B424&lt;=0,B424&lt;&gt;INT(B424)),"Invalid date",IF(COUNTIFS(DemoHistory[Date],B424)&lt;&gt;1,"Duplicate date",IF(AND($A424&gt;1,B424&lt;=B423),"Dates out of order",IF(NOT(ISNUMBER(C424)),"Missing price",IF(C424&lt;=0,"Nonpositive price","OK")))))))))</f>
        <v/>
      </c>
      <c r="I424" s="136"/>
      <c r="J424" s="136"/>
      <c r="K424" s="136"/>
      <c r="L424" s="136"/>
      <c r="M424" s="136"/>
      <c r="N424" s="136" t="e">
        <f t="shared" si="16"/>
        <v>#N/A</v>
      </c>
      <c r="O424" s="136" t="e">
        <f t="shared" si="17"/>
        <v>#N/A</v>
      </c>
    </row>
    <row r="425" spans="1:15" ht="22" customHeight="1" x14ac:dyDescent="0.35">
      <c r="A425" s="136">
        <v>381</v>
      </c>
      <c r="B425" s="165" t="str">
        <f>IF($A425&gt;MIN($A$10,$A$2),"",INDEX(DemoHistory[Date],$A425))</f>
        <v/>
      </c>
      <c r="C425" s="166" t="str">
        <f>IF(OR($A425&gt;MIN($A$10,$A$2),$A$5=""),"",INDEX(DemoHistory[],$A425,MATCH($A$5,DemoHistory[#Headers],0)))</f>
        <v/>
      </c>
      <c r="D425" s="166" t="str">
        <f>IF($A425&gt;MIN($A$10,$A$2),"",IF(AND($A$12,$A$6=1,B425&lt;$A$7,$A$7&lt;=MAX(DemoHistory[Date])),$A$8,1))</f>
        <v/>
      </c>
      <c r="E425" s="166" t="str">
        <f t="shared" si="15"/>
        <v/>
      </c>
      <c r="F425" s="166" t="str">
        <f>IF($A425&gt;MIN($A$10,$A$2),"",IF($A425&lt;50,"n.a.",IF(COUNT(INDEX(StockDaily[Adjusted close],MAX(1,$A425-50+1)):E425)=50,AVERAGE(INDEX(StockDaily[Adjusted close],MAX(1,$A425-50+1)):E425),"n.a.")))</f>
        <v/>
      </c>
      <c r="G425" s="166" t="str">
        <f>IF($A425&gt;MIN($A$10,$A$2),"",IF($A425&lt;200,"n.a.",IF(COUNT(INDEX(StockDaily[Adjusted close],MAX(1,$A425-200+1)):E425)=200,AVERAGE(INDEX(StockDaily[Adjusted close],MAX(1,$A425-200+1)):E425),"n.a.")))</f>
        <v/>
      </c>
      <c r="H425" s="136" t="str">
        <f>IF($A425&gt;MIN($A$10,$A$2),"",IF($A$5="","Choose stock",IF(NOT($A$12),"Check split rule",IF(NOT(ISNUMBER(B425)),"Invalid date",IF(OR(B425&lt;=0,B425&lt;&gt;INT(B425)),"Invalid date",IF(COUNTIFS(DemoHistory[Date],B425)&lt;&gt;1,"Duplicate date",IF(AND($A425&gt;1,B425&lt;=B424),"Dates out of order",IF(NOT(ISNUMBER(C425)),"Missing price",IF(C425&lt;=0,"Nonpositive price","OK")))))))))</f>
        <v/>
      </c>
      <c r="I425" s="136"/>
      <c r="J425" s="136"/>
      <c r="K425" s="136"/>
      <c r="L425" s="136"/>
      <c r="M425" s="136"/>
      <c r="N425" s="136" t="e">
        <f t="shared" si="16"/>
        <v>#N/A</v>
      </c>
      <c r="O425" s="136" t="e">
        <f t="shared" si="17"/>
        <v>#N/A</v>
      </c>
    </row>
    <row r="426" spans="1:15" ht="22" customHeight="1" x14ac:dyDescent="0.35">
      <c r="A426" s="136">
        <v>382</v>
      </c>
      <c r="B426" s="165" t="str">
        <f>IF($A426&gt;MIN($A$10,$A$2),"",INDEX(DemoHistory[Date],$A426))</f>
        <v/>
      </c>
      <c r="C426" s="166" t="str">
        <f>IF(OR($A426&gt;MIN($A$10,$A$2),$A$5=""),"",INDEX(DemoHistory[],$A426,MATCH($A$5,DemoHistory[#Headers],0)))</f>
        <v/>
      </c>
      <c r="D426" s="166" t="str">
        <f>IF($A426&gt;MIN($A$10,$A$2),"",IF(AND($A$12,$A$6=1,B426&lt;$A$7,$A$7&lt;=MAX(DemoHistory[Date])),$A$8,1))</f>
        <v/>
      </c>
      <c r="E426" s="166" t="str">
        <f t="shared" si="15"/>
        <v/>
      </c>
      <c r="F426" s="166" t="str">
        <f>IF($A426&gt;MIN($A$10,$A$2),"",IF($A426&lt;50,"n.a.",IF(COUNT(INDEX(StockDaily[Adjusted close],MAX(1,$A426-50+1)):E426)=50,AVERAGE(INDEX(StockDaily[Adjusted close],MAX(1,$A426-50+1)):E426),"n.a.")))</f>
        <v/>
      </c>
      <c r="G426" s="166" t="str">
        <f>IF($A426&gt;MIN($A$10,$A$2),"",IF($A426&lt;200,"n.a.",IF(COUNT(INDEX(StockDaily[Adjusted close],MAX(1,$A426-200+1)):E426)=200,AVERAGE(INDEX(StockDaily[Adjusted close],MAX(1,$A426-200+1)):E426),"n.a.")))</f>
        <v/>
      </c>
      <c r="H426" s="136" t="str">
        <f>IF($A426&gt;MIN($A$10,$A$2),"",IF($A$5="","Choose stock",IF(NOT($A$12),"Check split rule",IF(NOT(ISNUMBER(B426)),"Invalid date",IF(OR(B426&lt;=0,B426&lt;&gt;INT(B426)),"Invalid date",IF(COUNTIFS(DemoHistory[Date],B426)&lt;&gt;1,"Duplicate date",IF(AND($A426&gt;1,B426&lt;=B425),"Dates out of order",IF(NOT(ISNUMBER(C426)),"Missing price",IF(C426&lt;=0,"Nonpositive price","OK")))))))))</f>
        <v/>
      </c>
      <c r="I426" s="136"/>
      <c r="J426" s="136"/>
      <c r="K426" s="136"/>
      <c r="L426" s="136"/>
      <c r="M426" s="136"/>
      <c r="N426" s="136" t="e">
        <f t="shared" si="16"/>
        <v>#N/A</v>
      </c>
      <c r="O426" s="136" t="e">
        <f t="shared" si="17"/>
        <v>#N/A</v>
      </c>
    </row>
    <row r="427" spans="1:15" ht="22" customHeight="1" x14ac:dyDescent="0.35">
      <c r="A427" s="136">
        <v>383</v>
      </c>
      <c r="B427" s="165" t="str">
        <f>IF($A427&gt;MIN($A$10,$A$2),"",INDEX(DemoHistory[Date],$A427))</f>
        <v/>
      </c>
      <c r="C427" s="166" t="str">
        <f>IF(OR($A427&gt;MIN($A$10,$A$2),$A$5=""),"",INDEX(DemoHistory[],$A427,MATCH($A$5,DemoHistory[#Headers],0)))</f>
        <v/>
      </c>
      <c r="D427" s="166" t="str">
        <f>IF($A427&gt;MIN($A$10,$A$2),"",IF(AND($A$12,$A$6=1,B427&lt;$A$7,$A$7&lt;=MAX(DemoHistory[Date])),$A$8,1))</f>
        <v/>
      </c>
      <c r="E427" s="166" t="str">
        <f t="shared" si="15"/>
        <v/>
      </c>
      <c r="F427" s="166" t="str">
        <f>IF($A427&gt;MIN($A$10,$A$2),"",IF($A427&lt;50,"n.a.",IF(COUNT(INDEX(StockDaily[Adjusted close],MAX(1,$A427-50+1)):E427)=50,AVERAGE(INDEX(StockDaily[Adjusted close],MAX(1,$A427-50+1)):E427),"n.a.")))</f>
        <v/>
      </c>
      <c r="G427" s="166" t="str">
        <f>IF($A427&gt;MIN($A$10,$A$2),"",IF($A427&lt;200,"n.a.",IF(COUNT(INDEX(StockDaily[Adjusted close],MAX(1,$A427-200+1)):E427)=200,AVERAGE(INDEX(StockDaily[Adjusted close],MAX(1,$A427-200+1)):E427),"n.a.")))</f>
        <v/>
      </c>
      <c r="H427" s="136" t="str">
        <f>IF($A427&gt;MIN($A$10,$A$2),"",IF($A$5="","Choose stock",IF(NOT($A$12),"Check split rule",IF(NOT(ISNUMBER(B427)),"Invalid date",IF(OR(B427&lt;=0,B427&lt;&gt;INT(B427)),"Invalid date",IF(COUNTIFS(DemoHistory[Date],B427)&lt;&gt;1,"Duplicate date",IF(AND($A427&gt;1,B427&lt;=B426),"Dates out of order",IF(NOT(ISNUMBER(C427)),"Missing price",IF(C427&lt;=0,"Nonpositive price","OK")))))))))</f>
        <v/>
      </c>
      <c r="I427" s="136"/>
      <c r="J427" s="136"/>
      <c r="K427" s="136"/>
      <c r="L427" s="136"/>
      <c r="M427" s="136"/>
      <c r="N427" s="136" t="e">
        <f t="shared" si="16"/>
        <v>#N/A</v>
      </c>
      <c r="O427" s="136" t="e">
        <f t="shared" si="17"/>
        <v>#N/A</v>
      </c>
    </row>
    <row r="428" spans="1:15" ht="22" customHeight="1" x14ac:dyDescent="0.35">
      <c r="A428" s="136">
        <v>384</v>
      </c>
      <c r="B428" s="165" t="str">
        <f>IF($A428&gt;MIN($A$10,$A$2),"",INDEX(DemoHistory[Date],$A428))</f>
        <v/>
      </c>
      <c r="C428" s="166" t="str">
        <f>IF(OR($A428&gt;MIN($A$10,$A$2),$A$5=""),"",INDEX(DemoHistory[],$A428,MATCH($A$5,DemoHistory[#Headers],0)))</f>
        <v/>
      </c>
      <c r="D428" s="166" t="str">
        <f>IF($A428&gt;MIN($A$10,$A$2),"",IF(AND($A$12,$A$6=1,B428&lt;$A$7,$A$7&lt;=MAX(DemoHistory[Date])),$A$8,1))</f>
        <v/>
      </c>
      <c r="E428" s="166" t="str">
        <f t="shared" si="15"/>
        <v/>
      </c>
      <c r="F428" s="166" t="str">
        <f>IF($A428&gt;MIN($A$10,$A$2),"",IF($A428&lt;50,"n.a.",IF(COUNT(INDEX(StockDaily[Adjusted close],MAX(1,$A428-50+1)):E428)=50,AVERAGE(INDEX(StockDaily[Adjusted close],MAX(1,$A428-50+1)):E428),"n.a.")))</f>
        <v/>
      </c>
      <c r="G428" s="166" t="str">
        <f>IF($A428&gt;MIN($A$10,$A$2),"",IF($A428&lt;200,"n.a.",IF(COUNT(INDEX(StockDaily[Adjusted close],MAX(1,$A428-200+1)):E428)=200,AVERAGE(INDEX(StockDaily[Adjusted close],MAX(1,$A428-200+1)):E428),"n.a.")))</f>
        <v/>
      </c>
      <c r="H428" s="136" t="str">
        <f>IF($A428&gt;MIN($A$10,$A$2),"",IF($A$5="","Choose stock",IF(NOT($A$12),"Check split rule",IF(NOT(ISNUMBER(B428)),"Invalid date",IF(OR(B428&lt;=0,B428&lt;&gt;INT(B428)),"Invalid date",IF(COUNTIFS(DemoHistory[Date],B428)&lt;&gt;1,"Duplicate date",IF(AND($A428&gt;1,B428&lt;=B427),"Dates out of order",IF(NOT(ISNUMBER(C428)),"Missing price",IF(C428&lt;=0,"Nonpositive price","OK")))))))))</f>
        <v/>
      </c>
      <c r="I428" s="136"/>
      <c r="J428" s="136"/>
      <c r="K428" s="136"/>
      <c r="L428" s="136"/>
      <c r="M428" s="136"/>
      <c r="N428" s="136" t="e">
        <f t="shared" si="16"/>
        <v>#N/A</v>
      </c>
      <c r="O428" s="136" t="e">
        <f t="shared" si="17"/>
        <v>#N/A</v>
      </c>
    </row>
    <row r="429" spans="1:15" ht="22" customHeight="1" x14ac:dyDescent="0.35">
      <c r="A429" s="136">
        <v>385</v>
      </c>
      <c r="B429" s="165" t="str">
        <f>IF($A429&gt;MIN($A$10,$A$2),"",INDEX(DemoHistory[Date],$A429))</f>
        <v/>
      </c>
      <c r="C429" s="166" t="str">
        <f>IF(OR($A429&gt;MIN($A$10,$A$2),$A$5=""),"",INDEX(DemoHistory[],$A429,MATCH($A$5,DemoHistory[#Headers],0)))</f>
        <v/>
      </c>
      <c r="D429" s="166" t="str">
        <f>IF($A429&gt;MIN($A$10,$A$2),"",IF(AND($A$12,$A$6=1,B429&lt;$A$7,$A$7&lt;=MAX(DemoHistory[Date])),$A$8,1))</f>
        <v/>
      </c>
      <c r="E429" s="166" t="str">
        <f t="shared" ref="E429:E492" si="18">IF($A429&gt;MIN($A$10,$A$2),"",IF(H429="OK",C429/D429,"n.a."))</f>
        <v/>
      </c>
      <c r="F429" s="166" t="str">
        <f>IF($A429&gt;MIN($A$10,$A$2),"",IF($A429&lt;50,"n.a.",IF(COUNT(INDEX(StockDaily[Adjusted close],MAX(1,$A429-50+1)):E429)=50,AVERAGE(INDEX(StockDaily[Adjusted close],MAX(1,$A429-50+1)):E429),"n.a.")))</f>
        <v/>
      </c>
      <c r="G429" s="166" t="str">
        <f>IF($A429&gt;MIN($A$10,$A$2),"",IF($A429&lt;200,"n.a.",IF(COUNT(INDEX(StockDaily[Adjusted close],MAX(1,$A429-200+1)):E429)=200,AVERAGE(INDEX(StockDaily[Adjusted close],MAX(1,$A429-200+1)):E429),"n.a.")))</f>
        <v/>
      </c>
      <c r="H429" s="136" t="str">
        <f>IF($A429&gt;MIN($A$10,$A$2),"",IF($A$5="","Choose stock",IF(NOT($A$12),"Check split rule",IF(NOT(ISNUMBER(B429)),"Invalid date",IF(OR(B429&lt;=0,B429&lt;&gt;INT(B429)),"Invalid date",IF(COUNTIFS(DemoHistory[Date],B429)&lt;&gt;1,"Duplicate date",IF(AND($A429&gt;1,B429&lt;=B428),"Dates out of order",IF(NOT(ISNUMBER(C429)),"Missing price",IF(C429&lt;=0,"Nonpositive price","OK")))))))))</f>
        <v/>
      </c>
      <c r="I429" s="136"/>
      <c r="J429" s="136"/>
      <c r="K429" s="136"/>
      <c r="L429" s="136"/>
      <c r="M429" s="136"/>
      <c r="N429" s="136" t="e">
        <f t="shared" ref="N429:N492" si="19">IF(AND($A$13="Ready",ISNUMBER(E429)),E429,NA())</f>
        <v>#N/A</v>
      </c>
      <c r="O429" s="136" t="e">
        <f t="shared" ref="O429:O492" si="20">IF(AND($A$13="Ready",ISNUMBER(F429)),F429,NA())</f>
        <v>#N/A</v>
      </c>
    </row>
    <row r="430" spans="1:15" ht="22" customHeight="1" x14ac:dyDescent="0.35">
      <c r="A430" s="136">
        <v>386</v>
      </c>
      <c r="B430" s="165" t="str">
        <f>IF($A430&gt;MIN($A$10,$A$2),"",INDEX(DemoHistory[Date],$A430))</f>
        <v/>
      </c>
      <c r="C430" s="166" t="str">
        <f>IF(OR($A430&gt;MIN($A$10,$A$2),$A$5=""),"",INDEX(DemoHistory[],$A430,MATCH($A$5,DemoHistory[#Headers],0)))</f>
        <v/>
      </c>
      <c r="D430" s="166" t="str">
        <f>IF($A430&gt;MIN($A$10,$A$2),"",IF(AND($A$12,$A$6=1,B430&lt;$A$7,$A$7&lt;=MAX(DemoHistory[Date])),$A$8,1))</f>
        <v/>
      </c>
      <c r="E430" s="166" t="str">
        <f t="shared" si="18"/>
        <v/>
      </c>
      <c r="F430" s="166" t="str">
        <f>IF($A430&gt;MIN($A$10,$A$2),"",IF($A430&lt;50,"n.a.",IF(COUNT(INDEX(StockDaily[Adjusted close],MAX(1,$A430-50+1)):E430)=50,AVERAGE(INDEX(StockDaily[Adjusted close],MAX(1,$A430-50+1)):E430),"n.a.")))</f>
        <v/>
      </c>
      <c r="G430" s="166" t="str">
        <f>IF($A430&gt;MIN($A$10,$A$2),"",IF($A430&lt;200,"n.a.",IF(COUNT(INDEX(StockDaily[Adjusted close],MAX(1,$A430-200+1)):E430)=200,AVERAGE(INDEX(StockDaily[Adjusted close],MAX(1,$A430-200+1)):E430),"n.a.")))</f>
        <v/>
      </c>
      <c r="H430" s="136" t="str">
        <f>IF($A430&gt;MIN($A$10,$A$2),"",IF($A$5="","Choose stock",IF(NOT($A$12),"Check split rule",IF(NOT(ISNUMBER(B430)),"Invalid date",IF(OR(B430&lt;=0,B430&lt;&gt;INT(B430)),"Invalid date",IF(COUNTIFS(DemoHistory[Date],B430)&lt;&gt;1,"Duplicate date",IF(AND($A430&gt;1,B430&lt;=B429),"Dates out of order",IF(NOT(ISNUMBER(C430)),"Missing price",IF(C430&lt;=0,"Nonpositive price","OK")))))))))</f>
        <v/>
      </c>
      <c r="I430" s="136"/>
      <c r="J430" s="136"/>
      <c r="K430" s="136"/>
      <c r="L430" s="136"/>
      <c r="M430" s="136"/>
      <c r="N430" s="136" t="e">
        <f t="shared" si="19"/>
        <v>#N/A</v>
      </c>
      <c r="O430" s="136" t="e">
        <f t="shared" si="20"/>
        <v>#N/A</v>
      </c>
    </row>
    <row r="431" spans="1:15" ht="22" customHeight="1" x14ac:dyDescent="0.35">
      <c r="A431" s="136">
        <v>387</v>
      </c>
      <c r="B431" s="165" t="str">
        <f>IF($A431&gt;MIN($A$10,$A$2),"",INDEX(DemoHistory[Date],$A431))</f>
        <v/>
      </c>
      <c r="C431" s="166" t="str">
        <f>IF(OR($A431&gt;MIN($A$10,$A$2),$A$5=""),"",INDEX(DemoHistory[],$A431,MATCH($A$5,DemoHistory[#Headers],0)))</f>
        <v/>
      </c>
      <c r="D431" s="166" t="str">
        <f>IF($A431&gt;MIN($A$10,$A$2),"",IF(AND($A$12,$A$6=1,B431&lt;$A$7,$A$7&lt;=MAX(DemoHistory[Date])),$A$8,1))</f>
        <v/>
      </c>
      <c r="E431" s="166" t="str">
        <f t="shared" si="18"/>
        <v/>
      </c>
      <c r="F431" s="166" t="str">
        <f>IF($A431&gt;MIN($A$10,$A$2),"",IF($A431&lt;50,"n.a.",IF(COUNT(INDEX(StockDaily[Adjusted close],MAX(1,$A431-50+1)):E431)=50,AVERAGE(INDEX(StockDaily[Adjusted close],MAX(1,$A431-50+1)):E431),"n.a.")))</f>
        <v/>
      </c>
      <c r="G431" s="166" t="str">
        <f>IF($A431&gt;MIN($A$10,$A$2),"",IF($A431&lt;200,"n.a.",IF(COUNT(INDEX(StockDaily[Adjusted close],MAX(1,$A431-200+1)):E431)=200,AVERAGE(INDEX(StockDaily[Adjusted close],MAX(1,$A431-200+1)):E431),"n.a.")))</f>
        <v/>
      </c>
      <c r="H431" s="136" t="str">
        <f>IF($A431&gt;MIN($A$10,$A$2),"",IF($A$5="","Choose stock",IF(NOT($A$12),"Check split rule",IF(NOT(ISNUMBER(B431)),"Invalid date",IF(OR(B431&lt;=0,B431&lt;&gt;INT(B431)),"Invalid date",IF(COUNTIFS(DemoHistory[Date],B431)&lt;&gt;1,"Duplicate date",IF(AND($A431&gt;1,B431&lt;=B430),"Dates out of order",IF(NOT(ISNUMBER(C431)),"Missing price",IF(C431&lt;=0,"Nonpositive price","OK")))))))))</f>
        <v/>
      </c>
      <c r="I431" s="136"/>
      <c r="J431" s="136"/>
      <c r="K431" s="136"/>
      <c r="L431" s="136"/>
      <c r="M431" s="136"/>
      <c r="N431" s="136" t="e">
        <f t="shared" si="19"/>
        <v>#N/A</v>
      </c>
      <c r="O431" s="136" t="e">
        <f t="shared" si="20"/>
        <v>#N/A</v>
      </c>
    </row>
    <row r="432" spans="1:15" ht="22" customHeight="1" x14ac:dyDescent="0.35">
      <c r="A432" s="136">
        <v>388</v>
      </c>
      <c r="B432" s="165" t="str">
        <f>IF($A432&gt;MIN($A$10,$A$2),"",INDEX(DemoHistory[Date],$A432))</f>
        <v/>
      </c>
      <c r="C432" s="166" t="str">
        <f>IF(OR($A432&gt;MIN($A$10,$A$2),$A$5=""),"",INDEX(DemoHistory[],$A432,MATCH($A$5,DemoHistory[#Headers],0)))</f>
        <v/>
      </c>
      <c r="D432" s="166" t="str">
        <f>IF($A432&gt;MIN($A$10,$A$2),"",IF(AND($A$12,$A$6=1,B432&lt;$A$7,$A$7&lt;=MAX(DemoHistory[Date])),$A$8,1))</f>
        <v/>
      </c>
      <c r="E432" s="166" t="str">
        <f t="shared" si="18"/>
        <v/>
      </c>
      <c r="F432" s="166" t="str">
        <f>IF($A432&gt;MIN($A$10,$A$2),"",IF($A432&lt;50,"n.a.",IF(COUNT(INDEX(StockDaily[Adjusted close],MAX(1,$A432-50+1)):E432)=50,AVERAGE(INDEX(StockDaily[Adjusted close],MAX(1,$A432-50+1)):E432),"n.a.")))</f>
        <v/>
      </c>
      <c r="G432" s="166" t="str">
        <f>IF($A432&gt;MIN($A$10,$A$2),"",IF($A432&lt;200,"n.a.",IF(COUNT(INDEX(StockDaily[Adjusted close],MAX(1,$A432-200+1)):E432)=200,AVERAGE(INDEX(StockDaily[Adjusted close],MAX(1,$A432-200+1)):E432),"n.a.")))</f>
        <v/>
      </c>
      <c r="H432" s="136" t="str">
        <f>IF($A432&gt;MIN($A$10,$A$2),"",IF($A$5="","Choose stock",IF(NOT($A$12),"Check split rule",IF(NOT(ISNUMBER(B432)),"Invalid date",IF(OR(B432&lt;=0,B432&lt;&gt;INT(B432)),"Invalid date",IF(COUNTIFS(DemoHistory[Date],B432)&lt;&gt;1,"Duplicate date",IF(AND($A432&gt;1,B432&lt;=B431),"Dates out of order",IF(NOT(ISNUMBER(C432)),"Missing price",IF(C432&lt;=0,"Nonpositive price","OK")))))))))</f>
        <v/>
      </c>
      <c r="I432" s="136"/>
      <c r="J432" s="136"/>
      <c r="K432" s="136"/>
      <c r="L432" s="136"/>
      <c r="M432" s="136"/>
      <c r="N432" s="136" t="e">
        <f t="shared" si="19"/>
        <v>#N/A</v>
      </c>
      <c r="O432" s="136" t="e">
        <f t="shared" si="20"/>
        <v>#N/A</v>
      </c>
    </row>
    <row r="433" spans="1:15" ht="22" customHeight="1" x14ac:dyDescent="0.35">
      <c r="A433" s="136">
        <v>389</v>
      </c>
      <c r="B433" s="165" t="str">
        <f>IF($A433&gt;MIN($A$10,$A$2),"",INDEX(DemoHistory[Date],$A433))</f>
        <v/>
      </c>
      <c r="C433" s="166" t="str">
        <f>IF(OR($A433&gt;MIN($A$10,$A$2),$A$5=""),"",INDEX(DemoHistory[],$A433,MATCH($A$5,DemoHistory[#Headers],0)))</f>
        <v/>
      </c>
      <c r="D433" s="166" t="str">
        <f>IF($A433&gt;MIN($A$10,$A$2),"",IF(AND($A$12,$A$6=1,B433&lt;$A$7,$A$7&lt;=MAX(DemoHistory[Date])),$A$8,1))</f>
        <v/>
      </c>
      <c r="E433" s="166" t="str">
        <f t="shared" si="18"/>
        <v/>
      </c>
      <c r="F433" s="166" t="str">
        <f>IF($A433&gt;MIN($A$10,$A$2),"",IF($A433&lt;50,"n.a.",IF(COUNT(INDEX(StockDaily[Adjusted close],MAX(1,$A433-50+1)):E433)=50,AVERAGE(INDEX(StockDaily[Adjusted close],MAX(1,$A433-50+1)):E433),"n.a.")))</f>
        <v/>
      </c>
      <c r="G433" s="166" t="str">
        <f>IF($A433&gt;MIN($A$10,$A$2),"",IF($A433&lt;200,"n.a.",IF(COUNT(INDEX(StockDaily[Adjusted close],MAX(1,$A433-200+1)):E433)=200,AVERAGE(INDEX(StockDaily[Adjusted close],MAX(1,$A433-200+1)):E433),"n.a.")))</f>
        <v/>
      </c>
      <c r="H433" s="136" t="str">
        <f>IF($A433&gt;MIN($A$10,$A$2),"",IF($A$5="","Choose stock",IF(NOT($A$12),"Check split rule",IF(NOT(ISNUMBER(B433)),"Invalid date",IF(OR(B433&lt;=0,B433&lt;&gt;INT(B433)),"Invalid date",IF(COUNTIFS(DemoHistory[Date],B433)&lt;&gt;1,"Duplicate date",IF(AND($A433&gt;1,B433&lt;=B432),"Dates out of order",IF(NOT(ISNUMBER(C433)),"Missing price",IF(C433&lt;=0,"Nonpositive price","OK")))))))))</f>
        <v/>
      </c>
      <c r="I433" s="136"/>
      <c r="J433" s="136"/>
      <c r="K433" s="136"/>
      <c r="L433" s="136"/>
      <c r="M433" s="136"/>
      <c r="N433" s="136" t="e">
        <f t="shared" si="19"/>
        <v>#N/A</v>
      </c>
      <c r="O433" s="136" t="e">
        <f t="shared" si="20"/>
        <v>#N/A</v>
      </c>
    </row>
    <row r="434" spans="1:15" ht="22" customHeight="1" x14ac:dyDescent="0.35">
      <c r="A434" s="136">
        <v>390</v>
      </c>
      <c r="B434" s="165" t="str">
        <f>IF($A434&gt;MIN($A$10,$A$2),"",INDEX(DemoHistory[Date],$A434))</f>
        <v/>
      </c>
      <c r="C434" s="166" t="str">
        <f>IF(OR($A434&gt;MIN($A$10,$A$2),$A$5=""),"",INDEX(DemoHistory[],$A434,MATCH($A$5,DemoHistory[#Headers],0)))</f>
        <v/>
      </c>
      <c r="D434" s="166" t="str">
        <f>IF($A434&gt;MIN($A$10,$A$2),"",IF(AND($A$12,$A$6=1,B434&lt;$A$7,$A$7&lt;=MAX(DemoHistory[Date])),$A$8,1))</f>
        <v/>
      </c>
      <c r="E434" s="166" t="str">
        <f t="shared" si="18"/>
        <v/>
      </c>
      <c r="F434" s="166" t="str">
        <f>IF($A434&gt;MIN($A$10,$A$2),"",IF($A434&lt;50,"n.a.",IF(COUNT(INDEX(StockDaily[Adjusted close],MAX(1,$A434-50+1)):E434)=50,AVERAGE(INDEX(StockDaily[Adjusted close],MAX(1,$A434-50+1)):E434),"n.a.")))</f>
        <v/>
      </c>
      <c r="G434" s="166" t="str">
        <f>IF($A434&gt;MIN($A$10,$A$2),"",IF($A434&lt;200,"n.a.",IF(COUNT(INDEX(StockDaily[Adjusted close],MAX(1,$A434-200+1)):E434)=200,AVERAGE(INDEX(StockDaily[Adjusted close],MAX(1,$A434-200+1)):E434),"n.a.")))</f>
        <v/>
      </c>
      <c r="H434" s="136" t="str">
        <f>IF($A434&gt;MIN($A$10,$A$2),"",IF($A$5="","Choose stock",IF(NOT($A$12),"Check split rule",IF(NOT(ISNUMBER(B434)),"Invalid date",IF(OR(B434&lt;=0,B434&lt;&gt;INT(B434)),"Invalid date",IF(COUNTIFS(DemoHistory[Date],B434)&lt;&gt;1,"Duplicate date",IF(AND($A434&gt;1,B434&lt;=B433),"Dates out of order",IF(NOT(ISNUMBER(C434)),"Missing price",IF(C434&lt;=0,"Nonpositive price","OK")))))))))</f>
        <v/>
      </c>
      <c r="I434" s="136"/>
      <c r="J434" s="136"/>
      <c r="K434" s="136"/>
      <c r="L434" s="136"/>
      <c r="M434" s="136"/>
      <c r="N434" s="136" t="e">
        <f t="shared" si="19"/>
        <v>#N/A</v>
      </c>
      <c r="O434" s="136" t="e">
        <f t="shared" si="20"/>
        <v>#N/A</v>
      </c>
    </row>
    <row r="435" spans="1:15" ht="22" customHeight="1" x14ac:dyDescent="0.35">
      <c r="A435" s="136">
        <v>391</v>
      </c>
      <c r="B435" s="165" t="str">
        <f>IF($A435&gt;MIN($A$10,$A$2),"",INDEX(DemoHistory[Date],$A435))</f>
        <v/>
      </c>
      <c r="C435" s="166" t="str">
        <f>IF(OR($A435&gt;MIN($A$10,$A$2),$A$5=""),"",INDEX(DemoHistory[],$A435,MATCH($A$5,DemoHistory[#Headers],0)))</f>
        <v/>
      </c>
      <c r="D435" s="166" t="str">
        <f>IF($A435&gt;MIN($A$10,$A$2),"",IF(AND($A$12,$A$6=1,B435&lt;$A$7,$A$7&lt;=MAX(DemoHistory[Date])),$A$8,1))</f>
        <v/>
      </c>
      <c r="E435" s="166" t="str">
        <f t="shared" si="18"/>
        <v/>
      </c>
      <c r="F435" s="166" t="str">
        <f>IF($A435&gt;MIN($A$10,$A$2),"",IF($A435&lt;50,"n.a.",IF(COUNT(INDEX(StockDaily[Adjusted close],MAX(1,$A435-50+1)):E435)=50,AVERAGE(INDEX(StockDaily[Adjusted close],MAX(1,$A435-50+1)):E435),"n.a.")))</f>
        <v/>
      </c>
      <c r="G435" s="166" t="str">
        <f>IF($A435&gt;MIN($A$10,$A$2),"",IF($A435&lt;200,"n.a.",IF(COUNT(INDEX(StockDaily[Adjusted close],MAX(1,$A435-200+1)):E435)=200,AVERAGE(INDEX(StockDaily[Adjusted close],MAX(1,$A435-200+1)):E435),"n.a.")))</f>
        <v/>
      </c>
      <c r="H435" s="136" t="str">
        <f>IF($A435&gt;MIN($A$10,$A$2),"",IF($A$5="","Choose stock",IF(NOT($A$12),"Check split rule",IF(NOT(ISNUMBER(B435)),"Invalid date",IF(OR(B435&lt;=0,B435&lt;&gt;INT(B435)),"Invalid date",IF(COUNTIFS(DemoHistory[Date],B435)&lt;&gt;1,"Duplicate date",IF(AND($A435&gt;1,B435&lt;=B434),"Dates out of order",IF(NOT(ISNUMBER(C435)),"Missing price",IF(C435&lt;=0,"Nonpositive price","OK")))))))))</f>
        <v/>
      </c>
      <c r="I435" s="136"/>
      <c r="J435" s="136"/>
      <c r="K435" s="136"/>
      <c r="L435" s="136"/>
      <c r="M435" s="136"/>
      <c r="N435" s="136" t="e">
        <f t="shared" si="19"/>
        <v>#N/A</v>
      </c>
      <c r="O435" s="136" t="e">
        <f t="shared" si="20"/>
        <v>#N/A</v>
      </c>
    </row>
    <row r="436" spans="1:15" ht="22" customHeight="1" x14ac:dyDescent="0.35">
      <c r="A436" s="136">
        <v>392</v>
      </c>
      <c r="B436" s="165" t="str">
        <f>IF($A436&gt;MIN($A$10,$A$2),"",INDEX(DemoHistory[Date],$A436))</f>
        <v/>
      </c>
      <c r="C436" s="166" t="str">
        <f>IF(OR($A436&gt;MIN($A$10,$A$2),$A$5=""),"",INDEX(DemoHistory[],$A436,MATCH($A$5,DemoHistory[#Headers],0)))</f>
        <v/>
      </c>
      <c r="D436" s="166" t="str">
        <f>IF($A436&gt;MIN($A$10,$A$2),"",IF(AND($A$12,$A$6=1,B436&lt;$A$7,$A$7&lt;=MAX(DemoHistory[Date])),$A$8,1))</f>
        <v/>
      </c>
      <c r="E436" s="166" t="str">
        <f t="shared" si="18"/>
        <v/>
      </c>
      <c r="F436" s="166" t="str">
        <f>IF($A436&gt;MIN($A$10,$A$2),"",IF($A436&lt;50,"n.a.",IF(COUNT(INDEX(StockDaily[Adjusted close],MAX(1,$A436-50+1)):E436)=50,AVERAGE(INDEX(StockDaily[Adjusted close],MAX(1,$A436-50+1)):E436),"n.a.")))</f>
        <v/>
      </c>
      <c r="G436" s="166" t="str">
        <f>IF($A436&gt;MIN($A$10,$A$2),"",IF($A436&lt;200,"n.a.",IF(COUNT(INDEX(StockDaily[Adjusted close],MAX(1,$A436-200+1)):E436)=200,AVERAGE(INDEX(StockDaily[Adjusted close],MAX(1,$A436-200+1)):E436),"n.a.")))</f>
        <v/>
      </c>
      <c r="H436" s="136" t="str">
        <f>IF($A436&gt;MIN($A$10,$A$2),"",IF($A$5="","Choose stock",IF(NOT($A$12),"Check split rule",IF(NOT(ISNUMBER(B436)),"Invalid date",IF(OR(B436&lt;=0,B436&lt;&gt;INT(B436)),"Invalid date",IF(COUNTIFS(DemoHistory[Date],B436)&lt;&gt;1,"Duplicate date",IF(AND($A436&gt;1,B436&lt;=B435),"Dates out of order",IF(NOT(ISNUMBER(C436)),"Missing price",IF(C436&lt;=0,"Nonpositive price","OK")))))))))</f>
        <v/>
      </c>
      <c r="I436" s="136"/>
      <c r="J436" s="136"/>
      <c r="K436" s="136"/>
      <c r="L436" s="136"/>
      <c r="M436" s="136"/>
      <c r="N436" s="136" t="e">
        <f t="shared" si="19"/>
        <v>#N/A</v>
      </c>
      <c r="O436" s="136" t="e">
        <f t="shared" si="20"/>
        <v>#N/A</v>
      </c>
    </row>
    <row r="437" spans="1:15" ht="22" customHeight="1" x14ac:dyDescent="0.35">
      <c r="A437" s="136">
        <v>393</v>
      </c>
      <c r="B437" s="165" t="str">
        <f>IF($A437&gt;MIN($A$10,$A$2),"",INDEX(DemoHistory[Date],$A437))</f>
        <v/>
      </c>
      <c r="C437" s="166" t="str">
        <f>IF(OR($A437&gt;MIN($A$10,$A$2),$A$5=""),"",INDEX(DemoHistory[],$A437,MATCH($A$5,DemoHistory[#Headers],0)))</f>
        <v/>
      </c>
      <c r="D437" s="166" t="str">
        <f>IF($A437&gt;MIN($A$10,$A$2),"",IF(AND($A$12,$A$6=1,B437&lt;$A$7,$A$7&lt;=MAX(DemoHistory[Date])),$A$8,1))</f>
        <v/>
      </c>
      <c r="E437" s="166" t="str">
        <f t="shared" si="18"/>
        <v/>
      </c>
      <c r="F437" s="166" t="str">
        <f>IF($A437&gt;MIN($A$10,$A$2),"",IF($A437&lt;50,"n.a.",IF(COUNT(INDEX(StockDaily[Adjusted close],MAX(1,$A437-50+1)):E437)=50,AVERAGE(INDEX(StockDaily[Adjusted close],MAX(1,$A437-50+1)):E437),"n.a.")))</f>
        <v/>
      </c>
      <c r="G437" s="166" t="str">
        <f>IF($A437&gt;MIN($A$10,$A$2),"",IF($A437&lt;200,"n.a.",IF(COUNT(INDEX(StockDaily[Adjusted close],MAX(1,$A437-200+1)):E437)=200,AVERAGE(INDEX(StockDaily[Adjusted close],MAX(1,$A437-200+1)):E437),"n.a.")))</f>
        <v/>
      </c>
      <c r="H437" s="136" t="str">
        <f>IF($A437&gt;MIN($A$10,$A$2),"",IF($A$5="","Choose stock",IF(NOT($A$12),"Check split rule",IF(NOT(ISNUMBER(B437)),"Invalid date",IF(OR(B437&lt;=0,B437&lt;&gt;INT(B437)),"Invalid date",IF(COUNTIFS(DemoHistory[Date],B437)&lt;&gt;1,"Duplicate date",IF(AND($A437&gt;1,B437&lt;=B436),"Dates out of order",IF(NOT(ISNUMBER(C437)),"Missing price",IF(C437&lt;=0,"Nonpositive price","OK")))))))))</f>
        <v/>
      </c>
      <c r="I437" s="136"/>
      <c r="J437" s="136"/>
      <c r="K437" s="136"/>
      <c r="L437" s="136"/>
      <c r="M437" s="136"/>
      <c r="N437" s="136" t="e">
        <f t="shared" si="19"/>
        <v>#N/A</v>
      </c>
      <c r="O437" s="136" t="e">
        <f t="shared" si="20"/>
        <v>#N/A</v>
      </c>
    </row>
    <row r="438" spans="1:15" ht="22" customHeight="1" x14ac:dyDescent="0.35">
      <c r="A438" s="136">
        <v>394</v>
      </c>
      <c r="B438" s="165" t="str">
        <f>IF($A438&gt;MIN($A$10,$A$2),"",INDEX(DemoHistory[Date],$A438))</f>
        <v/>
      </c>
      <c r="C438" s="166" t="str">
        <f>IF(OR($A438&gt;MIN($A$10,$A$2),$A$5=""),"",INDEX(DemoHistory[],$A438,MATCH($A$5,DemoHistory[#Headers],0)))</f>
        <v/>
      </c>
      <c r="D438" s="166" t="str">
        <f>IF($A438&gt;MIN($A$10,$A$2),"",IF(AND($A$12,$A$6=1,B438&lt;$A$7,$A$7&lt;=MAX(DemoHistory[Date])),$A$8,1))</f>
        <v/>
      </c>
      <c r="E438" s="166" t="str">
        <f t="shared" si="18"/>
        <v/>
      </c>
      <c r="F438" s="166" t="str">
        <f>IF($A438&gt;MIN($A$10,$A$2),"",IF($A438&lt;50,"n.a.",IF(COUNT(INDEX(StockDaily[Adjusted close],MAX(1,$A438-50+1)):E438)=50,AVERAGE(INDEX(StockDaily[Adjusted close],MAX(1,$A438-50+1)):E438),"n.a.")))</f>
        <v/>
      </c>
      <c r="G438" s="166" t="str">
        <f>IF($A438&gt;MIN($A$10,$A$2),"",IF($A438&lt;200,"n.a.",IF(COUNT(INDEX(StockDaily[Adjusted close],MAX(1,$A438-200+1)):E438)=200,AVERAGE(INDEX(StockDaily[Adjusted close],MAX(1,$A438-200+1)):E438),"n.a.")))</f>
        <v/>
      </c>
      <c r="H438" s="136" t="str">
        <f>IF($A438&gt;MIN($A$10,$A$2),"",IF($A$5="","Choose stock",IF(NOT($A$12),"Check split rule",IF(NOT(ISNUMBER(B438)),"Invalid date",IF(OR(B438&lt;=0,B438&lt;&gt;INT(B438)),"Invalid date",IF(COUNTIFS(DemoHistory[Date],B438)&lt;&gt;1,"Duplicate date",IF(AND($A438&gt;1,B438&lt;=B437),"Dates out of order",IF(NOT(ISNUMBER(C438)),"Missing price",IF(C438&lt;=0,"Nonpositive price","OK")))))))))</f>
        <v/>
      </c>
      <c r="I438" s="136"/>
      <c r="J438" s="136"/>
      <c r="K438" s="136"/>
      <c r="L438" s="136"/>
      <c r="M438" s="136"/>
      <c r="N438" s="136" t="e">
        <f t="shared" si="19"/>
        <v>#N/A</v>
      </c>
      <c r="O438" s="136" t="e">
        <f t="shared" si="20"/>
        <v>#N/A</v>
      </c>
    </row>
    <row r="439" spans="1:15" ht="22" customHeight="1" x14ac:dyDescent="0.35">
      <c r="A439" s="136">
        <v>395</v>
      </c>
      <c r="B439" s="165" t="str">
        <f>IF($A439&gt;MIN($A$10,$A$2),"",INDEX(DemoHistory[Date],$A439))</f>
        <v/>
      </c>
      <c r="C439" s="166" t="str">
        <f>IF(OR($A439&gt;MIN($A$10,$A$2),$A$5=""),"",INDEX(DemoHistory[],$A439,MATCH($A$5,DemoHistory[#Headers],0)))</f>
        <v/>
      </c>
      <c r="D439" s="166" t="str">
        <f>IF($A439&gt;MIN($A$10,$A$2),"",IF(AND($A$12,$A$6=1,B439&lt;$A$7,$A$7&lt;=MAX(DemoHistory[Date])),$A$8,1))</f>
        <v/>
      </c>
      <c r="E439" s="166" t="str">
        <f t="shared" si="18"/>
        <v/>
      </c>
      <c r="F439" s="166" t="str">
        <f>IF($A439&gt;MIN($A$10,$A$2),"",IF($A439&lt;50,"n.a.",IF(COUNT(INDEX(StockDaily[Adjusted close],MAX(1,$A439-50+1)):E439)=50,AVERAGE(INDEX(StockDaily[Adjusted close],MAX(1,$A439-50+1)):E439),"n.a.")))</f>
        <v/>
      </c>
      <c r="G439" s="166" t="str">
        <f>IF($A439&gt;MIN($A$10,$A$2),"",IF($A439&lt;200,"n.a.",IF(COUNT(INDEX(StockDaily[Adjusted close],MAX(1,$A439-200+1)):E439)=200,AVERAGE(INDEX(StockDaily[Adjusted close],MAX(1,$A439-200+1)):E439),"n.a.")))</f>
        <v/>
      </c>
      <c r="H439" s="136" t="str">
        <f>IF($A439&gt;MIN($A$10,$A$2),"",IF($A$5="","Choose stock",IF(NOT($A$12),"Check split rule",IF(NOT(ISNUMBER(B439)),"Invalid date",IF(OR(B439&lt;=0,B439&lt;&gt;INT(B439)),"Invalid date",IF(COUNTIFS(DemoHistory[Date],B439)&lt;&gt;1,"Duplicate date",IF(AND($A439&gt;1,B439&lt;=B438),"Dates out of order",IF(NOT(ISNUMBER(C439)),"Missing price",IF(C439&lt;=0,"Nonpositive price","OK")))))))))</f>
        <v/>
      </c>
      <c r="I439" s="136"/>
      <c r="J439" s="136"/>
      <c r="K439" s="136"/>
      <c r="L439" s="136"/>
      <c r="M439" s="136"/>
      <c r="N439" s="136" t="e">
        <f t="shared" si="19"/>
        <v>#N/A</v>
      </c>
      <c r="O439" s="136" t="e">
        <f t="shared" si="20"/>
        <v>#N/A</v>
      </c>
    </row>
    <row r="440" spans="1:15" ht="22" customHeight="1" x14ac:dyDescent="0.35">
      <c r="A440" s="136">
        <v>396</v>
      </c>
      <c r="B440" s="165" t="str">
        <f>IF($A440&gt;MIN($A$10,$A$2),"",INDEX(DemoHistory[Date],$A440))</f>
        <v/>
      </c>
      <c r="C440" s="166" t="str">
        <f>IF(OR($A440&gt;MIN($A$10,$A$2),$A$5=""),"",INDEX(DemoHistory[],$A440,MATCH($A$5,DemoHistory[#Headers],0)))</f>
        <v/>
      </c>
      <c r="D440" s="166" t="str">
        <f>IF($A440&gt;MIN($A$10,$A$2),"",IF(AND($A$12,$A$6=1,B440&lt;$A$7,$A$7&lt;=MAX(DemoHistory[Date])),$A$8,1))</f>
        <v/>
      </c>
      <c r="E440" s="166" t="str">
        <f t="shared" si="18"/>
        <v/>
      </c>
      <c r="F440" s="166" t="str">
        <f>IF($A440&gt;MIN($A$10,$A$2),"",IF($A440&lt;50,"n.a.",IF(COUNT(INDEX(StockDaily[Adjusted close],MAX(1,$A440-50+1)):E440)=50,AVERAGE(INDEX(StockDaily[Adjusted close],MAX(1,$A440-50+1)):E440),"n.a.")))</f>
        <v/>
      </c>
      <c r="G440" s="166" t="str">
        <f>IF($A440&gt;MIN($A$10,$A$2),"",IF($A440&lt;200,"n.a.",IF(COUNT(INDEX(StockDaily[Adjusted close],MAX(1,$A440-200+1)):E440)=200,AVERAGE(INDEX(StockDaily[Adjusted close],MAX(1,$A440-200+1)):E440),"n.a.")))</f>
        <v/>
      </c>
      <c r="H440" s="136" t="str">
        <f>IF($A440&gt;MIN($A$10,$A$2),"",IF($A$5="","Choose stock",IF(NOT($A$12),"Check split rule",IF(NOT(ISNUMBER(B440)),"Invalid date",IF(OR(B440&lt;=0,B440&lt;&gt;INT(B440)),"Invalid date",IF(COUNTIFS(DemoHistory[Date],B440)&lt;&gt;1,"Duplicate date",IF(AND($A440&gt;1,B440&lt;=B439),"Dates out of order",IF(NOT(ISNUMBER(C440)),"Missing price",IF(C440&lt;=0,"Nonpositive price","OK")))))))))</f>
        <v/>
      </c>
      <c r="I440" s="136"/>
      <c r="J440" s="136"/>
      <c r="K440" s="136"/>
      <c r="L440" s="136"/>
      <c r="M440" s="136"/>
      <c r="N440" s="136" t="e">
        <f t="shared" si="19"/>
        <v>#N/A</v>
      </c>
      <c r="O440" s="136" t="e">
        <f t="shared" si="20"/>
        <v>#N/A</v>
      </c>
    </row>
    <row r="441" spans="1:15" ht="22" customHeight="1" x14ac:dyDescent="0.35">
      <c r="A441" s="136">
        <v>397</v>
      </c>
      <c r="B441" s="165" t="str">
        <f>IF($A441&gt;MIN($A$10,$A$2),"",INDEX(DemoHistory[Date],$A441))</f>
        <v/>
      </c>
      <c r="C441" s="166" t="str">
        <f>IF(OR($A441&gt;MIN($A$10,$A$2),$A$5=""),"",INDEX(DemoHistory[],$A441,MATCH($A$5,DemoHistory[#Headers],0)))</f>
        <v/>
      </c>
      <c r="D441" s="166" t="str">
        <f>IF($A441&gt;MIN($A$10,$A$2),"",IF(AND($A$12,$A$6=1,B441&lt;$A$7,$A$7&lt;=MAX(DemoHistory[Date])),$A$8,1))</f>
        <v/>
      </c>
      <c r="E441" s="166" t="str">
        <f t="shared" si="18"/>
        <v/>
      </c>
      <c r="F441" s="166" t="str">
        <f>IF($A441&gt;MIN($A$10,$A$2),"",IF($A441&lt;50,"n.a.",IF(COUNT(INDEX(StockDaily[Adjusted close],MAX(1,$A441-50+1)):E441)=50,AVERAGE(INDEX(StockDaily[Adjusted close],MAX(1,$A441-50+1)):E441),"n.a.")))</f>
        <v/>
      </c>
      <c r="G441" s="166" t="str">
        <f>IF($A441&gt;MIN($A$10,$A$2),"",IF($A441&lt;200,"n.a.",IF(COUNT(INDEX(StockDaily[Adjusted close],MAX(1,$A441-200+1)):E441)=200,AVERAGE(INDEX(StockDaily[Adjusted close],MAX(1,$A441-200+1)):E441),"n.a.")))</f>
        <v/>
      </c>
      <c r="H441" s="136" t="str">
        <f>IF($A441&gt;MIN($A$10,$A$2),"",IF($A$5="","Choose stock",IF(NOT($A$12),"Check split rule",IF(NOT(ISNUMBER(B441)),"Invalid date",IF(OR(B441&lt;=0,B441&lt;&gt;INT(B441)),"Invalid date",IF(COUNTIFS(DemoHistory[Date],B441)&lt;&gt;1,"Duplicate date",IF(AND($A441&gt;1,B441&lt;=B440),"Dates out of order",IF(NOT(ISNUMBER(C441)),"Missing price",IF(C441&lt;=0,"Nonpositive price","OK")))))))))</f>
        <v/>
      </c>
      <c r="I441" s="136"/>
      <c r="J441" s="136"/>
      <c r="K441" s="136"/>
      <c r="L441" s="136"/>
      <c r="M441" s="136"/>
      <c r="N441" s="136" t="e">
        <f t="shared" si="19"/>
        <v>#N/A</v>
      </c>
      <c r="O441" s="136" t="e">
        <f t="shared" si="20"/>
        <v>#N/A</v>
      </c>
    </row>
    <row r="442" spans="1:15" ht="22" customHeight="1" x14ac:dyDescent="0.35">
      <c r="A442" s="136">
        <v>398</v>
      </c>
      <c r="B442" s="165" t="str">
        <f>IF($A442&gt;MIN($A$10,$A$2),"",INDEX(DemoHistory[Date],$A442))</f>
        <v/>
      </c>
      <c r="C442" s="166" t="str">
        <f>IF(OR($A442&gt;MIN($A$10,$A$2),$A$5=""),"",INDEX(DemoHistory[],$A442,MATCH($A$5,DemoHistory[#Headers],0)))</f>
        <v/>
      </c>
      <c r="D442" s="166" t="str">
        <f>IF($A442&gt;MIN($A$10,$A$2),"",IF(AND($A$12,$A$6=1,B442&lt;$A$7,$A$7&lt;=MAX(DemoHistory[Date])),$A$8,1))</f>
        <v/>
      </c>
      <c r="E442" s="166" t="str">
        <f t="shared" si="18"/>
        <v/>
      </c>
      <c r="F442" s="166" t="str">
        <f>IF($A442&gt;MIN($A$10,$A$2),"",IF($A442&lt;50,"n.a.",IF(COUNT(INDEX(StockDaily[Adjusted close],MAX(1,$A442-50+1)):E442)=50,AVERAGE(INDEX(StockDaily[Adjusted close],MAX(1,$A442-50+1)):E442),"n.a.")))</f>
        <v/>
      </c>
      <c r="G442" s="166" t="str">
        <f>IF($A442&gt;MIN($A$10,$A$2),"",IF($A442&lt;200,"n.a.",IF(COUNT(INDEX(StockDaily[Adjusted close],MAX(1,$A442-200+1)):E442)=200,AVERAGE(INDEX(StockDaily[Adjusted close],MAX(1,$A442-200+1)):E442),"n.a.")))</f>
        <v/>
      </c>
      <c r="H442" s="136" t="str">
        <f>IF($A442&gt;MIN($A$10,$A$2),"",IF($A$5="","Choose stock",IF(NOT($A$12),"Check split rule",IF(NOT(ISNUMBER(B442)),"Invalid date",IF(OR(B442&lt;=0,B442&lt;&gt;INT(B442)),"Invalid date",IF(COUNTIFS(DemoHistory[Date],B442)&lt;&gt;1,"Duplicate date",IF(AND($A442&gt;1,B442&lt;=B441),"Dates out of order",IF(NOT(ISNUMBER(C442)),"Missing price",IF(C442&lt;=0,"Nonpositive price","OK")))))))))</f>
        <v/>
      </c>
      <c r="I442" s="136"/>
      <c r="J442" s="136"/>
      <c r="K442" s="136"/>
      <c r="L442" s="136"/>
      <c r="M442" s="136"/>
      <c r="N442" s="136" t="e">
        <f t="shared" si="19"/>
        <v>#N/A</v>
      </c>
      <c r="O442" s="136" t="e">
        <f t="shared" si="20"/>
        <v>#N/A</v>
      </c>
    </row>
    <row r="443" spans="1:15" ht="22" customHeight="1" x14ac:dyDescent="0.35">
      <c r="A443" s="136">
        <v>399</v>
      </c>
      <c r="B443" s="165" t="str">
        <f>IF($A443&gt;MIN($A$10,$A$2),"",INDEX(DemoHistory[Date],$A443))</f>
        <v/>
      </c>
      <c r="C443" s="166" t="str">
        <f>IF(OR($A443&gt;MIN($A$10,$A$2),$A$5=""),"",INDEX(DemoHistory[],$A443,MATCH($A$5,DemoHistory[#Headers],0)))</f>
        <v/>
      </c>
      <c r="D443" s="166" t="str">
        <f>IF($A443&gt;MIN($A$10,$A$2),"",IF(AND($A$12,$A$6=1,B443&lt;$A$7,$A$7&lt;=MAX(DemoHistory[Date])),$A$8,1))</f>
        <v/>
      </c>
      <c r="E443" s="166" t="str">
        <f t="shared" si="18"/>
        <v/>
      </c>
      <c r="F443" s="166" t="str">
        <f>IF($A443&gt;MIN($A$10,$A$2),"",IF($A443&lt;50,"n.a.",IF(COUNT(INDEX(StockDaily[Adjusted close],MAX(1,$A443-50+1)):E443)=50,AVERAGE(INDEX(StockDaily[Adjusted close],MAX(1,$A443-50+1)):E443),"n.a.")))</f>
        <v/>
      </c>
      <c r="G443" s="166" t="str">
        <f>IF($A443&gt;MIN($A$10,$A$2),"",IF($A443&lt;200,"n.a.",IF(COUNT(INDEX(StockDaily[Adjusted close],MAX(1,$A443-200+1)):E443)=200,AVERAGE(INDEX(StockDaily[Adjusted close],MAX(1,$A443-200+1)):E443),"n.a.")))</f>
        <v/>
      </c>
      <c r="H443" s="136" t="str">
        <f>IF($A443&gt;MIN($A$10,$A$2),"",IF($A$5="","Choose stock",IF(NOT($A$12),"Check split rule",IF(NOT(ISNUMBER(B443)),"Invalid date",IF(OR(B443&lt;=0,B443&lt;&gt;INT(B443)),"Invalid date",IF(COUNTIFS(DemoHistory[Date],B443)&lt;&gt;1,"Duplicate date",IF(AND($A443&gt;1,B443&lt;=B442),"Dates out of order",IF(NOT(ISNUMBER(C443)),"Missing price",IF(C443&lt;=0,"Nonpositive price","OK")))))))))</f>
        <v/>
      </c>
      <c r="I443" s="136"/>
      <c r="J443" s="136"/>
      <c r="K443" s="136"/>
      <c r="L443" s="136"/>
      <c r="M443" s="136"/>
      <c r="N443" s="136" t="e">
        <f t="shared" si="19"/>
        <v>#N/A</v>
      </c>
      <c r="O443" s="136" t="e">
        <f t="shared" si="20"/>
        <v>#N/A</v>
      </c>
    </row>
    <row r="444" spans="1:15" ht="22" customHeight="1" x14ac:dyDescent="0.35">
      <c r="A444" s="136">
        <v>400</v>
      </c>
      <c r="B444" s="165" t="str">
        <f>IF($A444&gt;MIN($A$10,$A$2),"",INDEX(DemoHistory[Date],$A444))</f>
        <v/>
      </c>
      <c r="C444" s="166" t="str">
        <f>IF(OR($A444&gt;MIN($A$10,$A$2),$A$5=""),"",INDEX(DemoHistory[],$A444,MATCH($A$5,DemoHistory[#Headers],0)))</f>
        <v/>
      </c>
      <c r="D444" s="166" t="str">
        <f>IF($A444&gt;MIN($A$10,$A$2),"",IF(AND($A$12,$A$6=1,B444&lt;$A$7,$A$7&lt;=MAX(DemoHistory[Date])),$A$8,1))</f>
        <v/>
      </c>
      <c r="E444" s="166" t="str">
        <f t="shared" si="18"/>
        <v/>
      </c>
      <c r="F444" s="166" t="str">
        <f>IF($A444&gt;MIN($A$10,$A$2),"",IF($A444&lt;50,"n.a.",IF(COUNT(INDEX(StockDaily[Adjusted close],MAX(1,$A444-50+1)):E444)=50,AVERAGE(INDEX(StockDaily[Adjusted close],MAX(1,$A444-50+1)):E444),"n.a.")))</f>
        <v/>
      </c>
      <c r="G444" s="166" t="str">
        <f>IF($A444&gt;MIN($A$10,$A$2),"",IF($A444&lt;200,"n.a.",IF(COUNT(INDEX(StockDaily[Adjusted close],MAX(1,$A444-200+1)):E444)=200,AVERAGE(INDEX(StockDaily[Adjusted close],MAX(1,$A444-200+1)):E444),"n.a.")))</f>
        <v/>
      </c>
      <c r="H444" s="136" t="str">
        <f>IF($A444&gt;MIN($A$10,$A$2),"",IF($A$5="","Choose stock",IF(NOT($A$12),"Check split rule",IF(NOT(ISNUMBER(B444)),"Invalid date",IF(OR(B444&lt;=0,B444&lt;&gt;INT(B444)),"Invalid date",IF(COUNTIFS(DemoHistory[Date],B444)&lt;&gt;1,"Duplicate date",IF(AND($A444&gt;1,B444&lt;=B443),"Dates out of order",IF(NOT(ISNUMBER(C444)),"Missing price",IF(C444&lt;=0,"Nonpositive price","OK")))))))))</f>
        <v/>
      </c>
      <c r="I444" s="136"/>
      <c r="J444" s="136"/>
      <c r="K444" s="136"/>
      <c r="L444" s="136"/>
      <c r="M444" s="136"/>
      <c r="N444" s="136" t="e">
        <f t="shared" si="19"/>
        <v>#N/A</v>
      </c>
      <c r="O444" s="136" t="e">
        <f t="shared" si="20"/>
        <v>#N/A</v>
      </c>
    </row>
    <row r="445" spans="1:15" ht="22" customHeight="1" x14ac:dyDescent="0.35">
      <c r="A445" s="136">
        <v>401</v>
      </c>
      <c r="B445" s="165" t="str">
        <f>IF($A445&gt;MIN($A$10,$A$2),"",INDEX(DemoHistory[Date],$A445))</f>
        <v/>
      </c>
      <c r="C445" s="166" t="str">
        <f>IF(OR($A445&gt;MIN($A$10,$A$2),$A$5=""),"",INDEX(DemoHistory[],$A445,MATCH($A$5,DemoHistory[#Headers],0)))</f>
        <v/>
      </c>
      <c r="D445" s="166" t="str">
        <f>IF($A445&gt;MIN($A$10,$A$2),"",IF(AND($A$12,$A$6=1,B445&lt;$A$7,$A$7&lt;=MAX(DemoHistory[Date])),$A$8,1))</f>
        <v/>
      </c>
      <c r="E445" s="166" t="str">
        <f t="shared" si="18"/>
        <v/>
      </c>
      <c r="F445" s="166" t="str">
        <f>IF($A445&gt;MIN($A$10,$A$2),"",IF($A445&lt;50,"n.a.",IF(COUNT(INDEX(StockDaily[Adjusted close],MAX(1,$A445-50+1)):E445)=50,AVERAGE(INDEX(StockDaily[Adjusted close],MAX(1,$A445-50+1)):E445),"n.a.")))</f>
        <v/>
      </c>
      <c r="G445" s="166" t="str">
        <f>IF($A445&gt;MIN($A$10,$A$2),"",IF($A445&lt;200,"n.a.",IF(COUNT(INDEX(StockDaily[Adjusted close],MAX(1,$A445-200+1)):E445)=200,AVERAGE(INDEX(StockDaily[Adjusted close],MAX(1,$A445-200+1)):E445),"n.a.")))</f>
        <v/>
      </c>
      <c r="H445" s="136" t="str">
        <f>IF($A445&gt;MIN($A$10,$A$2),"",IF($A$5="","Choose stock",IF(NOT($A$12),"Check split rule",IF(NOT(ISNUMBER(B445)),"Invalid date",IF(OR(B445&lt;=0,B445&lt;&gt;INT(B445)),"Invalid date",IF(COUNTIFS(DemoHistory[Date],B445)&lt;&gt;1,"Duplicate date",IF(AND($A445&gt;1,B445&lt;=B444),"Dates out of order",IF(NOT(ISNUMBER(C445)),"Missing price",IF(C445&lt;=0,"Nonpositive price","OK")))))))))</f>
        <v/>
      </c>
      <c r="I445" s="136"/>
      <c r="J445" s="136"/>
      <c r="K445" s="136"/>
      <c r="L445" s="136"/>
      <c r="M445" s="136"/>
      <c r="N445" s="136" t="e">
        <f t="shared" si="19"/>
        <v>#N/A</v>
      </c>
      <c r="O445" s="136" t="e">
        <f t="shared" si="20"/>
        <v>#N/A</v>
      </c>
    </row>
    <row r="446" spans="1:15" ht="22" customHeight="1" x14ac:dyDescent="0.35">
      <c r="A446" s="136">
        <v>402</v>
      </c>
      <c r="B446" s="165" t="str">
        <f>IF($A446&gt;MIN($A$10,$A$2),"",INDEX(DemoHistory[Date],$A446))</f>
        <v/>
      </c>
      <c r="C446" s="166" t="str">
        <f>IF(OR($A446&gt;MIN($A$10,$A$2),$A$5=""),"",INDEX(DemoHistory[],$A446,MATCH($A$5,DemoHistory[#Headers],0)))</f>
        <v/>
      </c>
      <c r="D446" s="166" t="str">
        <f>IF($A446&gt;MIN($A$10,$A$2),"",IF(AND($A$12,$A$6=1,B446&lt;$A$7,$A$7&lt;=MAX(DemoHistory[Date])),$A$8,1))</f>
        <v/>
      </c>
      <c r="E446" s="166" t="str">
        <f t="shared" si="18"/>
        <v/>
      </c>
      <c r="F446" s="166" t="str">
        <f>IF($A446&gt;MIN($A$10,$A$2),"",IF($A446&lt;50,"n.a.",IF(COUNT(INDEX(StockDaily[Adjusted close],MAX(1,$A446-50+1)):E446)=50,AVERAGE(INDEX(StockDaily[Adjusted close],MAX(1,$A446-50+1)):E446),"n.a.")))</f>
        <v/>
      </c>
      <c r="G446" s="166" t="str">
        <f>IF($A446&gt;MIN($A$10,$A$2),"",IF($A446&lt;200,"n.a.",IF(COUNT(INDEX(StockDaily[Adjusted close],MAX(1,$A446-200+1)):E446)=200,AVERAGE(INDEX(StockDaily[Adjusted close],MAX(1,$A446-200+1)):E446),"n.a.")))</f>
        <v/>
      </c>
      <c r="H446" s="136" t="str">
        <f>IF($A446&gt;MIN($A$10,$A$2),"",IF($A$5="","Choose stock",IF(NOT($A$12),"Check split rule",IF(NOT(ISNUMBER(B446)),"Invalid date",IF(OR(B446&lt;=0,B446&lt;&gt;INT(B446)),"Invalid date",IF(COUNTIFS(DemoHistory[Date],B446)&lt;&gt;1,"Duplicate date",IF(AND($A446&gt;1,B446&lt;=B445),"Dates out of order",IF(NOT(ISNUMBER(C446)),"Missing price",IF(C446&lt;=0,"Nonpositive price","OK")))))))))</f>
        <v/>
      </c>
      <c r="I446" s="136"/>
      <c r="J446" s="136"/>
      <c r="K446" s="136"/>
      <c r="L446" s="136"/>
      <c r="M446" s="136"/>
      <c r="N446" s="136" t="e">
        <f t="shared" si="19"/>
        <v>#N/A</v>
      </c>
      <c r="O446" s="136" t="e">
        <f t="shared" si="20"/>
        <v>#N/A</v>
      </c>
    </row>
    <row r="447" spans="1:15" ht="22" customHeight="1" x14ac:dyDescent="0.35">
      <c r="A447" s="136">
        <v>403</v>
      </c>
      <c r="B447" s="165" t="str">
        <f>IF($A447&gt;MIN($A$10,$A$2),"",INDEX(DemoHistory[Date],$A447))</f>
        <v/>
      </c>
      <c r="C447" s="166" t="str">
        <f>IF(OR($A447&gt;MIN($A$10,$A$2),$A$5=""),"",INDEX(DemoHistory[],$A447,MATCH($A$5,DemoHistory[#Headers],0)))</f>
        <v/>
      </c>
      <c r="D447" s="166" t="str">
        <f>IF($A447&gt;MIN($A$10,$A$2),"",IF(AND($A$12,$A$6=1,B447&lt;$A$7,$A$7&lt;=MAX(DemoHistory[Date])),$A$8,1))</f>
        <v/>
      </c>
      <c r="E447" s="166" t="str">
        <f t="shared" si="18"/>
        <v/>
      </c>
      <c r="F447" s="166" t="str">
        <f>IF($A447&gt;MIN($A$10,$A$2),"",IF($A447&lt;50,"n.a.",IF(COUNT(INDEX(StockDaily[Adjusted close],MAX(1,$A447-50+1)):E447)=50,AVERAGE(INDEX(StockDaily[Adjusted close],MAX(1,$A447-50+1)):E447),"n.a.")))</f>
        <v/>
      </c>
      <c r="G447" s="166" t="str">
        <f>IF($A447&gt;MIN($A$10,$A$2),"",IF($A447&lt;200,"n.a.",IF(COUNT(INDEX(StockDaily[Adjusted close],MAX(1,$A447-200+1)):E447)=200,AVERAGE(INDEX(StockDaily[Adjusted close],MAX(1,$A447-200+1)):E447),"n.a.")))</f>
        <v/>
      </c>
      <c r="H447" s="136" t="str">
        <f>IF($A447&gt;MIN($A$10,$A$2),"",IF($A$5="","Choose stock",IF(NOT($A$12),"Check split rule",IF(NOT(ISNUMBER(B447)),"Invalid date",IF(OR(B447&lt;=0,B447&lt;&gt;INT(B447)),"Invalid date",IF(COUNTIFS(DemoHistory[Date],B447)&lt;&gt;1,"Duplicate date",IF(AND($A447&gt;1,B447&lt;=B446),"Dates out of order",IF(NOT(ISNUMBER(C447)),"Missing price",IF(C447&lt;=0,"Nonpositive price","OK")))))))))</f>
        <v/>
      </c>
      <c r="I447" s="136"/>
      <c r="J447" s="136"/>
      <c r="K447" s="136"/>
      <c r="L447" s="136"/>
      <c r="M447" s="136"/>
      <c r="N447" s="136" t="e">
        <f t="shared" si="19"/>
        <v>#N/A</v>
      </c>
      <c r="O447" s="136" t="e">
        <f t="shared" si="20"/>
        <v>#N/A</v>
      </c>
    </row>
    <row r="448" spans="1:15" ht="22" customHeight="1" x14ac:dyDescent="0.35">
      <c r="A448" s="136">
        <v>404</v>
      </c>
      <c r="B448" s="165" t="str">
        <f>IF($A448&gt;MIN($A$10,$A$2),"",INDEX(DemoHistory[Date],$A448))</f>
        <v/>
      </c>
      <c r="C448" s="166" t="str">
        <f>IF(OR($A448&gt;MIN($A$10,$A$2),$A$5=""),"",INDEX(DemoHistory[],$A448,MATCH($A$5,DemoHistory[#Headers],0)))</f>
        <v/>
      </c>
      <c r="D448" s="166" t="str">
        <f>IF($A448&gt;MIN($A$10,$A$2),"",IF(AND($A$12,$A$6=1,B448&lt;$A$7,$A$7&lt;=MAX(DemoHistory[Date])),$A$8,1))</f>
        <v/>
      </c>
      <c r="E448" s="166" t="str">
        <f t="shared" si="18"/>
        <v/>
      </c>
      <c r="F448" s="166" t="str">
        <f>IF($A448&gt;MIN($A$10,$A$2),"",IF($A448&lt;50,"n.a.",IF(COUNT(INDEX(StockDaily[Adjusted close],MAX(1,$A448-50+1)):E448)=50,AVERAGE(INDEX(StockDaily[Adjusted close],MAX(1,$A448-50+1)):E448),"n.a.")))</f>
        <v/>
      </c>
      <c r="G448" s="166" t="str">
        <f>IF($A448&gt;MIN($A$10,$A$2),"",IF($A448&lt;200,"n.a.",IF(COUNT(INDEX(StockDaily[Adjusted close],MAX(1,$A448-200+1)):E448)=200,AVERAGE(INDEX(StockDaily[Adjusted close],MAX(1,$A448-200+1)):E448),"n.a.")))</f>
        <v/>
      </c>
      <c r="H448" s="136" t="str">
        <f>IF($A448&gt;MIN($A$10,$A$2),"",IF($A$5="","Choose stock",IF(NOT($A$12),"Check split rule",IF(NOT(ISNUMBER(B448)),"Invalid date",IF(OR(B448&lt;=0,B448&lt;&gt;INT(B448)),"Invalid date",IF(COUNTIFS(DemoHistory[Date],B448)&lt;&gt;1,"Duplicate date",IF(AND($A448&gt;1,B448&lt;=B447),"Dates out of order",IF(NOT(ISNUMBER(C448)),"Missing price",IF(C448&lt;=0,"Nonpositive price","OK")))))))))</f>
        <v/>
      </c>
      <c r="I448" s="136"/>
      <c r="J448" s="136"/>
      <c r="K448" s="136"/>
      <c r="L448" s="136"/>
      <c r="M448" s="136"/>
      <c r="N448" s="136" t="e">
        <f t="shared" si="19"/>
        <v>#N/A</v>
      </c>
      <c r="O448" s="136" t="e">
        <f t="shared" si="20"/>
        <v>#N/A</v>
      </c>
    </row>
    <row r="449" spans="1:15" ht="22" customHeight="1" x14ac:dyDescent="0.35">
      <c r="A449" s="136">
        <v>405</v>
      </c>
      <c r="B449" s="165" t="str">
        <f>IF($A449&gt;MIN($A$10,$A$2),"",INDEX(DemoHistory[Date],$A449))</f>
        <v/>
      </c>
      <c r="C449" s="166" t="str">
        <f>IF(OR($A449&gt;MIN($A$10,$A$2),$A$5=""),"",INDEX(DemoHistory[],$A449,MATCH($A$5,DemoHistory[#Headers],0)))</f>
        <v/>
      </c>
      <c r="D449" s="166" t="str">
        <f>IF($A449&gt;MIN($A$10,$A$2),"",IF(AND($A$12,$A$6=1,B449&lt;$A$7,$A$7&lt;=MAX(DemoHistory[Date])),$A$8,1))</f>
        <v/>
      </c>
      <c r="E449" s="166" t="str">
        <f t="shared" si="18"/>
        <v/>
      </c>
      <c r="F449" s="166" t="str">
        <f>IF($A449&gt;MIN($A$10,$A$2),"",IF($A449&lt;50,"n.a.",IF(COUNT(INDEX(StockDaily[Adjusted close],MAX(1,$A449-50+1)):E449)=50,AVERAGE(INDEX(StockDaily[Adjusted close],MAX(1,$A449-50+1)):E449),"n.a.")))</f>
        <v/>
      </c>
      <c r="G449" s="166" t="str">
        <f>IF($A449&gt;MIN($A$10,$A$2),"",IF($A449&lt;200,"n.a.",IF(COUNT(INDEX(StockDaily[Adjusted close],MAX(1,$A449-200+1)):E449)=200,AVERAGE(INDEX(StockDaily[Adjusted close],MAX(1,$A449-200+1)):E449),"n.a.")))</f>
        <v/>
      </c>
      <c r="H449" s="136" t="str">
        <f>IF($A449&gt;MIN($A$10,$A$2),"",IF($A$5="","Choose stock",IF(NOT($A$12),"Check split rule",IF(NOT(ISNUMBER(B449)),"Invalid date",IF(OR(B449&lt;=0,B449&lt;&gt;INT(B449)),"Invalid date",IF(COUNTIFS(DemoHistory[Date],B449)&lt;&gt;1,"Duplicate date",IF(AND($A449&gt;1,B449&lt;=B448),"Dates out of order",IF(NOT(ISNUMBER(C449)),"Missing price",IF(C449&lt;=0,"Nonpositive price","OK")))))))))</f>
        <v/>
      </c>
      <c r="I449" s="136"/>
      <c r="J449" s="136"/>
      <c r="K449" s="136"/>
      <c r="L449" s="136"/>
      <c r="M449" s="136"/>
      <c r="N449" s="136" t="e">
        <f t="shared" si="19"/>
        <v>#N/A</v>
      </c>
      <c r="O449" s="136" t="e">
        <f t="shared" si="20"/>
        <v>#N/A</v>
      </c>
    </row>
    <row r="450" spans="1:15" ht="22" customHeight="1" x14ac:dyDescent="0.35">
      <c r="A450" s="136">
        <v>406</v>
      </c>
      <c r="B450" s="165" t="str">
        <f>IF($A450&gt;MIN($A$10,$A$2),"",INDEX(DemoHistory[Date],$A450))</f>
        <v/>
      </c>
      <c r="C450" s="166" t="str">
        <f>IF(OR($A450&gt;MIN($A$10,$A$2),$A$5=""),"",INDEX(DemoHistory[],$A450,MATCH($A$5,DemoHistory[#Headers],0)))</f>
        <v/>
      </c>
      <c r="D450" s="166" t="str">
        <f>IF($A450&gt;MIN($A$10,$A$2),"",IF(AND($A$12,$A$6=1,B450&lt;$A$7,$A$7&lt;=MAX(DemoHistory[Date])),$A$8,1))</f>
        <v/>
      </c>
      <c r="E450" s="166" t="str">
        <f t="shared" si="18"/>
        <v/>
      </c>
      <c r="F450" s="166" t="str">
        <f>IF($A450&gt;MIN($A$10,$A$2),"",IF($A450&lt;50,"n.a.",IF(COUNT(INDEX(StockDaily[Adjusted close],MAX(1,$A450-50+1)):E450)=50,AVERAGE(INDEX(StockDaily[Adjusted close],MAX(1,$A450-50+1)):E450),"n.a.")))</f>
        <v/>
      </c>
      <c r="G450" s="166" t="str">
        <f>IF($A450&gt;MIN($A$10,$A$2),"",IF($A450&lt;200,"n.a.",IF(COUNT(INDEX(StockDaily[Adjusted close],MAX(1,$A450-200+1)):E450)=200,AVERAGE(INDEX(StockDaily[Adjusted close],MAX(1,$A450-200+1)):E450),"n.a.")))</f>
        <v/>
      </c>
      <c r="H450" s="136" t="str">
        <f>IF($A450&gt;MIN($A$10,$A$2),"",IF($A$5="","Choose stock",IF(NOT($A$12),"Check split rule",IF(NOT(ISNUMBER(B450)),"Invalid date",IF(OR(B450&lt;=0,B450&lt;&gt;INT(B450)),"Invalid date",IF(COUNTIFS(DemoHistory[Date],B450)&lt;&gt;1,"Duplicate date",IF(AND($A450&gt;1,B450&lt;=B449),"Dates out of order",IF(NOT(ISNUMBER(C450)),"Missing price",IF(C450&lt;=0,"Nonpositive price","OK")))))))))</f>
        <v/>
      </c>
      <c r="I450" s="136"/>
      <c r="J450" s="136"/>
      <c r="K450" s="136"/>
      <c r="L450" s="136"/>
      <c r="M450" s="136"/>
      <c r="N450" s="136" t="e">
        <f t="shared" si="19"/>
        <v>#N/A</v>
      </c>
      <c r="O450" s="136" t="e">
        <f t="shared" si="20"/>
        <v>#N/A</v>
      </c>
    </row>
    <row r="451" spans="1:15" ht="22" customHeight="1" x14ac:dyDescent="0.35">
      <c r="A451" s="136">
        <v>407</v>
      </c>
      <c r="B451" s="165" t="str">
        <f>IF($A451&gt;MIN($A$10,$A$2),"",INDEX(DemoHistory[Date],$A451))</f>
        <v/>
      </c>
      <c r="C451" s="166" t="str">
        <f>IF(OR($A451&gt;MIN($A$10,$A$2),$A$5=""),"",INDEX(DemoHistory[],$A451,MATCH($A$5,DemoHistory[#Headers],0)))</f>
        <v/>
      </c>
      <c r="D451" s="166" t="str">
        <f>IF($A451&gt;MIN($A$10,$A$2),"",IF(AND($A$12,$A$6=1,B451&lt;$A$7,$A$7&lt;=MAX(DemoHistory[Date])),$A$8,1))</f>
        <v/>
      </c>
      <c r="E451" s="166" t="str">
        <f t="shared" si="18"/>
        <v/>
      </c>
      <c r="F451" s="166" t="str">
        <f>IF($A451&gt;MIN($A$10,$A$2),"",IF($A451&lt;50,"n.a.",IF(COUNT(INDEX(StockDaily[Adjusted close],MAX(1,$A451-50+1)):E451)=50,AVERAGE(INDEX(StockDaily[Adjusted close],MAX(1,$A451-50+1)):E451),"n.a.")))</f>
        <v/>
      </c>
      <c r="G451" s="166" t="str">
        <f>IF($A451&gt;MIN($A$10,$A$2),"",IF($A451&lt;200,"n.a.",IF(COUNT(INDEX(StockDaily[Adjusted close],MAX(1,$A451-200+1)):E451)=200,AVERAGE(INDEX(StockDaily[Adjusted close],MAX(1,$A451-200+1)):E451),"n.a.")))</f>
        <v/>
      </c>
      <c r="H451" s="136" t="str">
        <f>IF($A451&gt;MIN($A$10,$A$2),"",IF($A$5="","Choose stock",IF(NOT($A$12),"Check split rule",IF(NOT(ISNUMBER(B451)),"Invalid date",IF(OR(B451&lt;=0,B451&lt;&gt;INT(B451)),"Invalid date",IF(COUNTIFS(DemoHistory[Date],B451)&lt;&gt;1,"Duplicate date",IF(AND($A451&gt;1,B451&lt;=B450),"Dates out of order",IF(NOT(ISNUMBER(C451)),"Missing price",IF(C451&lt;=0,"Nonpositive price","OK")))))))))</f>
        <v/>
      </c>
      <c r="I451" s="136"/>
      <c r="J451" s="136"/>
      <c r="K451" s="136"/>
      <c r="L451" s="136"/>
      <c r="M451" s="136"/>
      <c r="N451" s="136" t="e">
        <f t="shared" si="19"/>
        <v>#N/A</v>
      </c>
      <c r="O451" s="136" t="e">
        <f t="shared" si="20"/>
        <v>#N/A</v>
      </c>
    </row>
    <row r="452" spans="1:15" ht="22" customHeight="1" x14ac:dyDescent="0.35">
      <c r="A452" s="136">
        <v>408</v>
      </c>
      <c r="B452" s="165" t="str">
        <f>IF($A452&gt;MIN($A$10,$A$2),"",INDEX(DemoHistory[Date],$A452))</f>
        <v/>
      </c>
      <c r="C452" s="166" t="str">
        <f>IF(OR($A452&gt;MIN($A$10,$A$2),$A$5=""),"",INDEX(DemoHistory[],$A452,MATCH($A$5,DemoHistory[#Headers],0)))</f>
        <v/>
      </c>
      <c r="D452" s="166" t="str">
        <f>IF($A452&gt;MIN($A$10,$A$2),"",IF(AND($A$12,$A$6=1,B452&lt;$A$7,$A$7&lt;=MAX(DemoHistory[Date])),$A$8,1))</f>
        <v/>
      </c>
      <c r="E452" s="166" t="str">
        <f t="shared" si="18"/>
        <v/>
      </c>
      <c r="F452" s="166" t="str">
        <f>IF($A452&gt;MIN($A$10,$A$2),"",IF($A452&lt;50,"n.a.",IF(COUNT(INDEX(StockDaily[Adjusted close],MAX(1,$A452-50+1)):E452)=50,AVERAGE(INDEX(StockDaily[Adjusted close],MAX(1,$A452-50+1)):E452),"n.a.")))</f>
        <v/>
      </c>
      <c r="G452" s="166" t="str">
        <f>IF($A452&gt;MIN($A$10,$A$2),"",IF($A452&lt;200,"n.a.",IF(COUNT(INDEX(StockDaily[Adjusted close],MAX(1,$A452-200+1)):E452)=200,AVERAGE(INDEX(StockDaily[Adjusted close],MAX(1,$A452-200+1)):E452),"n.a.")))</f>
        <v/>
      </c>
      <c r="H452" s="136" t="str">
        <f>IF($A452&gt;MIN($A$10,$A$2),"",IF($A$5="","Choose stock",IF(NOT($A$12),"Check split rule",IF(NOT(ISNUMBER(B452)),"Invalid date",IF(OR(B452&lt;=0,B452&lt;&gt;INT(B452)),"Invalid date",IF(COUNTIFS(DemoHistory[Date],B452)&lt;&gt;1,"Duplicate date",IF(AND($A452&gt;1,B452&lt;=B451),"Dates out of order",IF(NOT(ISNUMBER(C452)),"Missing price",IF(C452&lt;=0,"Nonpositive price","OK")))))))))</f>
        <v/>
      </c>
      <c r="I452" s="136"/>
      <c r="J452" s="136"/>
      <c r="K452" s="136"/>
      <c r="L452" s="136"/>
      <c r="M452" s="136"/>
      <c r="N452" s="136" t="e">
        <f t="shared" si="19"/>
        <v>#N/A</v>
      </c>
      <c r="O452" s="136" t="e">
        <f t="shared" si="20"/>
        <v>#N/A</v>
      </c>
    </row>
    <row r="453" spans="1:15" ht="22" customHeight="1" x14ac:dyDescent="0.35">
      <c r="A453" s="136">
        <v>409</v>
      </c>
      <c r="B453" s="165" t="str">
        <f>IF($A453&gt;MIN($A$10,$A$2),"",INDEX(DemoHistory[Date],$A453))</f>
        <v/>
      </c>
      <c r="C453" s="166" t="str">
        <f>IF(OR($A453&gt;MIN($A$10,$A$2),$A$5=""),"",INDEX(DemoHistory[],$A453,MATCH($A$5,DemoHistory[#Headers],0)))</f>
        <v/>
      </c>
      <c r="D453" s="166" t="str">
        <f>IF($A453&gt;MIN($A$10,$A$2),"",IF(AND($A$12,$A$6=1,B453&lt;$A$7,$A$7&lt;=MAX(DemoHistory[Date])),$A$8,1))</f>
        <v/>
      </c>
      <c r="E453" s="166" t="str">
        <f t="shared" si="18"/>
        <v/>
      </c>
      <c r="F453" s="166" t="str">
        <f>IF($A453&gt;MIN($A$10,$A$2),"",IF($A453&lt;50,"n.a.",IF(COUNT(INDEX(StockDaily[Adjusted close],MAX(1,$A453-50+1)):E453)=50,AVERAGE(INDEX(StockDaily[Adjusted close],MAX(1,$A453-50+1)):E453),"n.a.")))</f>
        <v/>
      </c>
      <c r="G453" s="166" t="str">
        <f>IF($A453&gt;MIN($A$10,$A$2),"",IF($A453&lt;200,"n.a.",IF(COUNT(INDEX(StockDaily[Adjusted close],MAX(1,$A453-200+1)):E453)=200,AVERAGE(INDEX(StockDaily[Adjusted close],MAX(1,$A453-200+1)):E453),"n.a.")))</f>
        <v/>
      </c>
      <c r="H453" s="136" t="str">
        <f>IF($A453&gt;MIN($A$10,$A$2),"",IF($A$5="","Choose stock",IF(NOT($A$12),"Check split rule",IF(NOT(ISNUMBER(B453)),"Invalid date",IF(OR(B453&lt;=0,B453&lt;&gt;INT(B453)),"Invalid date",IF(COUNTIFS(DemoHistory[Date],B453)&lt;&gt;1,"Duplicate date",IF(AND($A453&gt;1,B453&lt;=B452),"Dates out of order",IF(NOT(ISNUMBER(C453)),"Missing price",IF(C453&lt;=0,"Nonpositive price","OK")))))))))</f>
        <v/>
      </c>
      <c r="I453" s="136"/>
      <c r="J453" s="136"/>
      <c r="K453" s="136"/>
      <c r="L453" s="136"/>
      <c r="M453" s="136"/>
      <c r="N453" s="136" t="e">
        <f t="shared" si="19"/>
        <v>#N/A</v>
      </c>
      <c r="O453" s="136" t="e">
        <f t="shared" si="20"/>
        <v>#N/A</v>
      </c>
    </row>
    <row r="454" spans="1:15" ht="22" customHeight="1" x14ac:dyDescent="0.35">
      <c r="A454" s="136">
        <v>410</v>
      </c>
      <c r="B454" s="165" t="str">
        <f>IF($A454&gt;MIN($A$10,$A$2),"",INDEX(DemoHistory[Date],$A454))</f>
        <v/>
      </c>
      <c r="C454" s="166" t="str">
        <f>IF(OR($A454&gt;MIN($A$10,$A$2),$A$5=""),"",INDEX(DemoHistory[],$A454,MATCH($A$5,DemoHistory[#Headers],0)))</f>
        <v/>
      </c>
      <c r="D454" s="166" t="str">
        <f>IF($A454&gt;MIN($A$10,$A$2),"",IF(AND($A$12,$A$6=1,B454&lt;$A$7,$A$7&lt;=MAX(DemoHistory[Date])),$A$8,1))</f>
        <v/>
      </c>
      <c r="E454" s="166" t="str">
        <f t="shared" si="18"/>
        <v/>
      </c>
      <c r="F454" s="166" t="str">
        <f>IF($A454&gt;MIN($A$10,$A$2),"",IF($A454&lt;50,"n.a.",IF(COUNT(INDEX(StockDaily[Adjusted close],MAX(1,$A454-50+1)):E454)=50,AVERAGE(INDEX(StockDaily[Adjusted close],MAX(1,$A454-50+1)):E454),"n.a.")))</f>
        <v/>
      </c>
      <c r="G454" s="166" t="str">
        <f>IF($A454&gt;MIN($A$10,$A$2),"",IF($A454&lt;200,"n.a.",IF(COUNT(INDEX(StockDaily[Adjusted close],MAX(1,$A454-200+1)):E454)=200,AVERAGE(INDEX(StockDaily[Adjusted close],MAX(1,$A454-200+1)):E454),"n.a.")))</f>
        <v/>
      </c>
      <c r="H454" s="136" t="str">
        <f>IF($A454&gt;MIN($A$10,$A$2),"",IF($A$5="","Choose stock",IF(NOT($A$12),"Check split rule",IF(NOT(ISNUMBER(B454)),"Invalid date",IF(OR(B454&lt;=0,B454&lt;&gt;INT(B454)),"Invalid date",IF(COUNTIFS(DemoHistory[Date],B454)&lt;&gt;1,"Duplicate date",IF(AND($A454&gt;1,B454&lt;=B453),"Dates out of order",IF(NOT(ISNUMBER(C454)),"Missing price",IF(C454&lt;=0,"Nonpositive price","OK")))))))))</f>
        <v/>
      </c>
      <c r="I454" s="136"/>
      <c r="J454" s="136"/>
      <c r="K454" s="136"/>
      <c r="L454" s="136"/>
      <c r="M454" s="136"/>
      <c r="N454" s="136" t="e">
        <f t="shared" si="19"/>
        <v>#N/A</v>
      </c>
      <c r="O454" s="136" t="e">
        <f t="shared" si="20"/>
        <v>#N/A</v>
      </c>
    </row>
    <row r="455" spans="1:15" ht="22" customHeight="1" x14ac:dyDescent="0.35">
      <c r="A455" s="136">
        <v>411</v>
      </c>
      <c r="B455" s="165" t="str">
        <f>IF($A455&gt;MIN($A$10,$A$2),"",INDEX(DemoHistory[Date],$A455))</f>
        <v/>
      </c>
      <c r="C455" s="166" t="str">
        <f>IF(OR($A455&gt;MIN($A$10,$A$2),$A$5=""),"",INDEX(DemoHistory[],$A455,MATCH($A$5,DemoHistory[#Headers],0)))</f>
        <v/>
      </c>
      <c r="D455" s="166" t="str">
        <f>IF($A455&gt;MIN($A$10,$A$2),"",IF(AND($A$12,$A$6=1,B455&lt;$A$7,$A$7&lt;=MAX(DemoHistory[Date])),$A$8,1))</f>
        <v/>
      </c>
      <c r="E455" s="166" t="str">
        <f t="shared" si="18"/>
        <v/>
      </c>
      <c r="F455" s="166" t="str">
        <f>IF($A455&gt;MIN($A$10,$A$2),"",IF($A455&lt;50,"n.a.",IF(COUNT(INDEX(StockDaily[Adjusted close],MAX(1,$A455-50+1)):E455)=50,AVERAGE(INDEX(StockDaily[Adjusted close],MAX(1,$A455-50+1)):E455),"n.a.")))</f>
        <v/>
      </c>
      <c r="G455" s="166" t="str">
        <f>IF($A455&gt;MIN($A$10,$A$2),"",IF($A455&lt;200,"n.a.",IF(COUNT(INDEX(StockDaily[Adjusted close],MAX(1,$A455-200+1)):E455)=200,AVERAGE(INDEX(StockDaily[Adjusted close],MAX(1,$A455-200+1)):E455),"n.a.")))</f>
        <v/>
      </c>
      <c r="H455" s="136" t="str">
        <f>IF($A455&gt;MIN($A$10,$A$2),"",IF($A$5="","Choose stock",IF(NOT($A$12),"Check split rule",IF(NOT(ISNUMBER(B455)),"Invalid date",IF(OR(B455&lt;=0,B455&lt;&gt;INT(B455)),"Invalid date",IF(COUNTIFS(DemoHistory[Date],B455)&lt;&gt;1,"Duplicate date",IF(AND($A455&gt;1,B455&lt;=B454),"Dates out of order",IF(NOT(ISNUMBER(C455)),"Missing price",IF(C455&lt;=0,"Nonpositive price","OK")))))))))</f>
        <v/>
      </c>
      <c r="I455" s="136"/>
      <c r="J455" s="136"/>
      <c r="K455" s="136"/>
      <c r="L455" s="136"/>
      <c r="M455" s="136"/>
      <c r="N455" s="136" t="e">
        <f t="shared" si="19"/>
        <v>#N/A</v>
      </c>
      <c r="O455" s="136" t="e">
        <f t="shared" si="20"/>
        <v>#N/A</v>
      </c>
    </row>
    <row r="456" spans="1:15" ht="22" customHeight="1" x14ac:dyDescent="0.35">
      <c r="A456" s="136">
        <v>412</v>
      </c>
      <c r="B456" s="165" t="str">
        <f>IF($A456&gt;MIN($A$10,$A$2),"",INDEX(DemoHistory[Date],$A456))</f>
        <v/>
      </c>
      <c r="C456" s="166" t="str">
        <f>IF(OR($A456&gt;MIN($A$10,$A$2),$A$5=""),"",INDEX(DemoHistory[],$A456,MATCH($A$5,DemoHistory[#Headers],0)))</f>
        <v/>
      </c>
      <c r="D456" s="166" t="str">
        <f>IF($A456&gt;MIN($A$10,$A$2),"",IF(AND($A$12,$A$6=1,B456&lt;$A$7,$A$7&lt;=MAX(DemoHistory[Date])),$A$8,1))</f>
        <v/>
      </c>
      <c r="E456" s="166" t="str">
        <f t="shared" si="18"/>
        <v/>
      </c>
      <c r="F456" s="166" t="str">
        <f>IF($A456&gt;MIN($A$10,$A$2),"",IF($A456&lt;50,"n.a.",IF(COUNT(INDEX(StockDaily[Adjusted close],MAX(1,$A456-50+1)):E456)=50,AVERAGE(INDEX(StockDaily[Adjusted close],MAX(1,$A456-50+1)):E456),"n.a.")))</f>
        <v/>
      </c>
      <c r="G456" s="166" t="str">
        <f>IF($A456&gt;MIN($A$10,$A$2),"",IF($A456&lt;200,"n.a.",IF(COUNT(INDEX(StockDaily[Adjusted close],MAX(1,$A456-200+1)):E456)=200,AVERAGE(INDEX(StockDaily[Adjusted close],MAX(1,$A456-200+1)):E456),"n.a.")))</f>
        <v/>
      </c>
      <c r="H456" s="136" t="str">
        <f>IF($A456&gt;MIN($A$10,$A$2),"",IF($A$5="","Choose stock",IF(NOT($A$12),"Check split rule",IF(NOT(ISNUMBER(B456)),"Invalid date",IF(OR(B456&lt;=0,B456&lt;&gt;INT(B456)),"Invalid date",IF(COUNTIFS(DemoHistory[Date],B456)&lt;&gt;1,"Duplicate date",IF(AND($A456&gt;1,B456&lt;=B455),"Dates out of order",IF(NOT(ISNUMBER(C456)),"Missing price",IF(C456&lt;=0,"Nonpositive price","OK")))))))))</f>
        <v/>
      </c>
      <c r="I456" s="136"/>
      <c r="J456" s="136"/>
      <c r="K456" s="136"/>
      <c r="L456" s="136"/>
      <c r="M456" s="136"/>
      <c r="N456" s="136" t="e">
        <f t="shared" si="19"/>
        <v>#N/A</v>
      </c>
      <c r="O456" s="136" t="e">
        <f t="shared" si="20"/>
        <v>#N/A</v>
      </c>
    </row>
    <row r="457" spans="1:15" ht="22" customHeight="1" x14ac:dyDescent="0.35">
      <c r="A457" s="136">
        <v>413</v>
      </c>
      <c r="B457" s="165" t="str">
        <f>IF($A457&gt;MIN($A$10,$A$2),"",INDEX(DemoHistory[Date],$A457))</f>
        <v/>
      </c>
      <c r="C457" s="166" t="str">
        <f>IF(OR($A457&gt;MIN($A$10,$A$2),$A$5=""),"",INDEX(DemoHistory[],$A457,MATCH($A$5,DemoHistory[#Headers],0)))</f>
        <v/>
      </c>
      <c r="D457" s="166" t="str">
        <f>IF($A457&gt;MIN($A$10,$A$2),"",IF(AND($A$12,$A$6=1,B457&lt;$A$7,$A$7&lt;=MAX(DemoHistory[Date])),$A$8,1))</f>
        <v/>
      </c>
      <c r="E457" s="166" t="str">
        <f t="shared" si="18"/>
        <v/>
      </c>
      <c r="F457" s="166" t="str">
        <f>IF($A457&gt;MIN($A$10,$A$2),"",IF($A457&lt;50,"n.a.",IF(COUNT(INDEX(StockDaily[Adjusted close],MAX(1,$A457-50+1)):E457)=50,AVERAGE(INDEX(StockDaily[Adjusted close],MAX(1,$A457-50+1)):E457),"n.a.")))</f>
        <v/>
      </c>
      <c r="G457" s="166" t="str">
        <f>IF($A457&gt;MIN($A$10,$A$2),"",IF($A457&lt;200,"n.a.",IF(COUNT(INDEX(StockDaily[Adjusted close],MAX(1,$A457-200+1)):E457)=200,AVERAGE(INDEX(StockDaily[Adjusted close],MAX(1,$A457-200+1)):E457),"n.a.")))</f>
        <v/>
      </c>
      <c r="H457" s="136" t="str">
        <f>IF($A457&gt;MIN($A$10,$A$2),"",IF($A$5="","Choose stock",IF(NOT($A$12),"Check split rule",IF(NOT(ISNUMBER(B457)),"Invalid date",IF(OR(B457&lt;=0,B457&lt;&gt;INT(B457)),"Invalid date",IF(COUNTIFS(DemoHistory[Date],B457)&lt;&gt;1,"Duplicate date",IF(AND($A457&gt;1,B457&lt;=B456),"Dates out of order",IF(NOT(ISNUMBER(C457)),"Missing price",IF(C457&lt;=0,"Nonpositive price","OK")))))))))</f>
        <v/>
      </c>
      <c r="I457" s="136"/>
      <c r="J457" s="136"/>
      <c r="K457" s="136"/>
      <c r="L457" s="136"/>
      <c r="M457" s="136"/>
      <c r="N457" s="136" t="e">
        <f t="shared" si="19"/>
        <v>#N/A</v>
      </c>
      <c r="O457" s="136" t="e">
        <f t="shared" si="20"/>
        <v>#N/A</v>
      </c>
    </row>
    <row r="458" spans="1:15" ht="22" customHeight="1" x14ac:dyDescent="0.35">
      <c r="A458" s="136">
        <v>414</v>
      </c>
      <c r="B458" s="165" t="str">
        <f>IF($A458&gt;MIN($A$10,$A$2),"",INDEX(DemoHistory[Date],$A458))</f>
        <v/>
      </c>
      <c r="C458" s="166" t="str">
        <f>IF(OR($A458&gt;MIN($A$10,$A$2),$A$5=""),"",INDEX(DemoHistory[],$A458,MATCH($A$5,DemoHistory[#Headers],0)))</f>
        <v/>
      </c>
      <c r="D458" s="166" t="str">
        <f>IF($A458&gt;MIN($A$10,$A$2),"",IF(AND($A$12,$A$6=1,B458&lt;$A$7,$A$7&lt;=MAX(DemoHistory[Date])),$A$8,1))</f>
        <v/>
      </c>
      <c r="E458" s="166" t="str">
        <f t="shared" si="18"/>
        <v/>
      </c>
      <c r="F458" s="166" t="str">
        <f>IF($A458&gt;MIN($A$10,$A$2),"",IF($A458&lt;50,"n.a.",IF(COUNT(INDEX(StockDaily[Adjusted close],MAX(1,$A458-50+1)):E458)=50,AVERAGE(INDEX(StockDaily[Adjusted close],MAX(1,$A458-50+1)):E458),"n.a.")))</f>
        <v/>
      </c>
      <c r="G458" s="166" t="str">
        <f>IF($A458&gt;MIN($A$10,$A$2),"",IF($A458&lt;200,"n.a.",IF(COUNT(INDEX(StockDaily[Adjusted close],MAX(1,$A458-200+1)):E458)=200,AVERAGE(INDEX(StockDaily[Adjusted close],MAX(1,$A458-200+1)):E458),"n.a.")))</f>
        <v/>
      </c>
      <c r="H458" s="136" t="str">
        <f>IF($A458&gt;MIN($A$10,$A$2),"",IF($A$5="","Choose stock",IF(NOT($A$12),"Check split rule",IF(NOT(ISNUMBER(B458)),"Invalid date",IF(OR(B458&lt;=0,B458&lt;&gt;INT(B458)),"Invalid date",IF(COUNTIFS(DemoHistory[Date],B458)&lt;&gt;1,"Duplicate date",IF(AND($A458&gt;1,B458&lt;=B457),"Dates out of order",IF(NOT(ISNUMBER(C458)),"Missing price",IF(C458&lt;=0,"Nonpositive price","OK")))))))))</f>
        <v/>
      </c>
      <c r="I458" s="136"/>
      <c r="J458" s="136"/>
      <c r="K458" s="136"/>
      <c r="L458" s="136"/>
      <c r="M458" s="136"/>
      <c r="N458" s="136" t="e">
        <f t="shared" si="19"/>
        <v>#N/A</v>
      </c>
      <c r="O458" s="136" t="e">
        <f t="shared" si="20"/>
        <v>#N/A</v>
      </c>
    </row>
    <row r="459" spans="1:15" ht="22" customHeight="1" x14ac:dyDescent="0.35">
      <c r="A459" s="136">
        <v>415</v>
      </c>
      <c r="B459" s="165" t="str">
        <f>IF($A459&gt;MIN($A$10,$A$2),"",INDEX(DemoHistory[Date],$A459))</f>
        <v/>
      </c>
      <c r="C459" s="166" t="str">
        <f>IF(OR($A459&gt;MIN($A$10,$A$2),$A$5=""),"",INDEX(DemoHistory[],$A459,MATCH($A$5,DemoHistory[#Headers],0)))</f>
        <v/>
      </c>
      <c r="D459" s="166" t="str">
        <f>IF($A459&gt;MIN($A$10,$A$2),"",IF(AND($A$12,$A$6=1,B459&lt;$A$7,$A$7&lt;=MAX(DemoHistory[Date])),$A$8,1))</f>
        <v/>
      </c>
      <c r="E459" s="166" t="str">
        <f t="shared" si="18"/>
        <v/>
      </c>
      <c r="F459" s="166" t="str">
        <f>IF($A459&gt;MIN($A$10,$A$2),"",IF($A459&lt;50,"n.a.",IF(COUNT(INDEX(StockDaily[Adjusted close],MAX(1,$A459-50+1)):E459)=50,AVERAGE(INDEX(StockDaily[Adjusted close],MAX(1,$A459-50+1)):E459),"n.a.")))</f>
        <v/>
      </c>
      <c r="G459" s="166" t="str">
        <f>IF($A459&gt;MIN($A$10,$A$2),"",IF($A459&lt;200,"n.a.",IF(COUNT(INDEX(StockDaily[Adjusted close],MAX(1,$A459-200+1)):E459)=200,AVERAGE(INDEX(StockDaily[Adjusted close],MAX(1,$A459-200+1)):E459),"n.a.")))</f>
        <v/>
      </c>
      <c r="H459" s="136" t="str">
        <f>IF($A459&gt;MIN($A$10,$A$2),"",IF($A$5="","Choose stock",IF(NOT($A$12),"Check split rule",IF(NOT(ISNUMBER(B459)),"Invalid date",IF(OR(B459&lt;=0,B459&lt;&gt;INT(B459)),"Invalid date",IF(COUNTIFS(DemoHistory[Date],B459)&lt;&gt;1,"Duplicate date",IF(AND($A459&gt;1,B459&lt;=B458),"Dates out of order",IF(NOT(ISNUMBER(C459)),"Missing price",IF(C459&lt;=0,"Nonpositive price","OK")))))))))</f>
        <v/>
      </c>
      <c r="I459" s="136"/>
      <c r="J459" s="136"/>
      <c r="K459" s="136"/>
      <c r="L459" s="136"/>
      <c r="M459" s="136"/>
      <c r="N459" s="136" t="e">
        <f t="shared" si="19"/>
        <v>#N/A</v>
      </c>
      <c r="O459" s="136" t="e">
        <f t="shared" si="20"/>
        <v>#N/A</v>
      </c>
    </row>
    <row r="460" spans="1:15" ht="22" customHeight="1" x14ac:dyDescent="0.35">
      <c r="A460" s="136">
        <v>416</v>
      </c>
      <c r="B460" s="165" t="str">
        <f>IF($A460&gt;MIN($A$10,$A$2),"",INDEX(DemoHistory[Date],$A460))</f>
        <v/>
      </c>
      <c r="C460" s="166" t="str">
        <f>IF(OR($A460&gt;MIN($A$10,$A$2),$A$5=""),"",INDEX(DemoHistory[],$A460,MATCH($A$5,DemoHistory[#Headers],0)))</f>
        <v/>
      </c>
      <c r="D460" s="166" t="str">
        <f>IF($A460&gt;MIN($A$10,$A$2),"",IF(AND($A$12,$A$6=1,B460&lt;$A$7,$A$7&lt;=MAX(DemoHistory[Date])),$A$8,1))</f>
        <v/>
      </c>
      <c r="E460" s="166" t="str">
        <f t="shared" si="18"/>
        <v/>
      </c>
      <c r="F460" s="166" t="str">
        <f>IF($A460&gt;MIN($A$10,$A$2),"",IF($A460&lt;50,"n.a.",IF(COUNT(INDEX(StockDaily[Adjusted close],MAX(1,$A460-50+1)):E460)=50,AVERAGE(INDEX(StockDaily[Adjusted close],MAX(1,$A460-50+1)):E460),"n.a.")))</f>
        <v/>
      </c>
      <c r="G460" s="166" t="str">
        <f>IF($A460&gt;MIN($A$10,$A$2),"",IF($A460&lt;200,"n.a.",IF(COUNT(INDEX(StockDaily[Adjusted close],MAX(1,$A460-200+1)):E460)=200,AVERAGE(INDEX(StockDaily[Adjusted close],MAX(1,$A460-200+1)):E460),"n.a.")))</f>
        <v/>
      </c>
      <c r="H460" s="136" t="str">
        <f>IF($A460&gt;MIN($A$10,$A$2),"",IF($A$5="","Choose stock",IF(NOT($A$12),"Check split rule",IF(NOT(ISNUMBER(B460)),"Invalid date",IF(OR(B460&lt;=0,B460&lt;&gt;INT(B460)),"Invalid date",IF(COUNTIFS(DemoHistory[Date],B460)&lt;&gt;1,"Duplicate date",IF(AND($A460&gt;1,B460&lt;=B459),"Dates out of order",IF(NOT(ISNUMBER(C460)),"Missing price",IF(C460&lt;=0,"Nonpositive price","OK")))))))))</f>
        <v/>
      </c>
      <c r="I460" s="136"/>
      <c r="J460" s="136"/>
      <c r="K460" s="136"/>
      <c r="L460" s="136"/>
      <c r="M460" s="136"/>
      <c r="N460" s="136" t="e">
        <f t="shared" si="19"/>
        <v>#N/A</v>
      </c>
      <c r="O460" s="136" t="e">
        <f t="shared" si="20"/>
        <v>#N/A</v>
      </c>
    </row>
    <row r="461" spans="1:15" ht="22" customHeight="1" x14ac:dyDescent="0.35">
      <c r="A461" s="136">
        <v>417</v>
      </c>
      <c r="B461" s="165" t="str">
        <f>IF($A461&gt;MIN($A$10,$A$2),"",INDEX(DemoHistory[Date],$A461))</f>
        <v/>
      </c>
      <c r="C461" s="166" t="str">
        <f>IF(OR($A461&gt;MIN($A$10,$A$2),$A$5=""),"",INDEX(DemoHistory[],$A461,MATCH($A$5,DemoHistory[#Headers],0)))</f>
        <v/>
      </c>
      <c r="D461" s="166" t="str">
        <f>IF($A461&gt;MIN($A$10,$A$2),"",IF(AND($A$12,$A$6=1,B461&lt;$A$7,$A$7&lt;=MAX(DemoHistory[Date])),$A$8,1))</f>
        <v/>
      </c>
      <c r="E461" s="166" t="str">
        <f t="shared" si="18"/>
        <v/>
      </c>
      <c r="F461" s="166" t="str">
        <f>IF($A461&gt;MIN($A$10,$A$2),"",IF($A461&lt;50,"n.a.",IF(COUNT(INDEX(StockDaily[Adjusted close],MAX(1,$A461-50+1)):E461)=50,AVERAGE(INDEX(StockDaily[Adjusted close],MAX(1,$A461-50+1)):E461),"n.a.")))</f>
        <v/>
      </c>
      <c r="G461" s="166" t="str">
        <f>IF($A461&gt;MIN($A$10,$A$2),"",IF($A461&lt;200,"n.a.",IF(COUNT(INDEX(StockDaily[Adjusted close],MAX(1,$A461-200+1)):E461)=200,AVERAGE(INDEX(StockDaily[Adjusted close],MAX(1,$A461-200+1)):E461),"n.a.")))</f>
        <v/>
      </c>
      <c r="H461" s="136" t="str">
        <f>IF($A461&gt;MIN($A$10,$A$2),"",IF($A$5="","Choose stock",IF(NOT($A$12),"Check split rule",IF(NOT(ISNUMBER(B461)),"Invalid date",IF(OR(B461&lt;=0,B461&lt;&gt;INT(B461)),"Invalid date",IF(COUNTIFS(DemoHistory[Date],B461)&lt;&gt;1,"Duplicate date",IF(AND($A461&gt;1,B461&lt;=B460),"Dates out of order",IF(NOT(ISNUMBER(C461)),"Missing price",IF(C461&lt;=0,"Nonpositive price","OK")))))))))</f>
        <v/>
      </c>
      <c r="I461" s="136"/>
      <c r="J461" s="136"/>
      <c r="K461" s="136"/>
      <c r="L461" s="136"/>
      <c r="M461" s="136"/>
      <c r="N461" s="136" t="e">
        <f t="shared" si="19"/>
        <v>#N/A</v>
      </c>
      <c r="O461" s="136" t="e">
        <f t="shared" si="20"/>
        <v>#N/A</v>
      </c>
    </row>
    <row r="462" spans="1:15" ht="22" customHeight="1" x14ac:dyDescent="0.35">
      <c r="A462" s="136">
        <v>418</v>
      </c>
      <c r="B462" s="165" t="str">
        <f>IF($A462&gt;MIN($A$10,$A$2),"",INDEX(DemoHistory[Date],$A462))</f>
        <v/>
      </c>
      <c r="C462" s="166" t="str">
        <f>IF(OR($A462&gt;MIN($A$10,$A$2),$A$5=""),"",INDEX(DemoHistory[],$A462,MATCH($A$5,DemoHistory[#Headers],0)))</f>
        <v/>
      </c>
      <c r="D462" s="166" t="str">
        <f>IF($A462&gt;MIN($A$10,$A$2),"",IF(AND($A$12,$A$6=1,B462&lt;$A$7,$A$7&lt;=MAX(DemoHistory[Date])),$A$8,1))</f>
        <v/>
      </c>
      <c r="E462" s="166" t="str">
        <f t="shared" si="18"/>
        <v/>
      </c>
      <c r="F462" s="166" t="str">
        <f>IF($A462&gt;MIN($A$10,$A$2),"",IF($A462&lt;50,"n.a.",IF(COUNT(INDEX(StockDaily[Adjusted close],MAX(1,$A462-50+1)):E462)=50,AVERAGE(INDEX(StockDaily[Adjusted close],MAX(1,$A462-50+1)):E462),"n.a.")))</f>
        <v/>
      </c>
      <c r="G462" s="166" t="str">
        <f>IF($A462&gt;MIN($A$10,$A$2),"",IF($A462&lt;200,"n.a.",IF(COUNT(INDEX(StockDaily[Adjusted close],MAX(1,$A462-200+1)):E462)=200,AVERAGE(INDEX(StockDaily[Adjusted close],MAX(1,$A462-200+1)):E462),"n.a.")))</f>
        <v/>
      </c>
      <c r="H462" s="136" t="str">
        <f>IF($A462&gt;MIN($A$10,$A$2),"",IF($A$5="","Choose stock",IF(NOT($A$12),"Check split rule",IF(NOT(ISNUMBER(B462)),"Invalid date",IF(OR(B462&lt;=0,B462&lt;&gt;INT(B462)),"Invalid date",IF(COUNTIFS(DemoHistory[Date],B462)&lt;&gt;1,"Duplicate date",IF(AND($A462&gt;1,B462&lt;=B461),"Dates out of order",IF(NOT(ISNUMBER(C462)),"Missing price",IF(C462&lt;=0,"Nonpositive price","OK")))))))))</f>
        <v/>
      </c>
      <c r="I462" s="136"/>
      <c r="J462" s="136"/>
      <c r="K462" s="136"/>
      <c r="L462" s="136"/>
      <c r="M462" s="136"/>
      <c r="N462" s="136" t="e">
        <f t="shared" si="19"/>
        <v>#N/A</v>
      </c>
      <c r="O462" s="136" t="e">
        <f t="shared" si="20"/>
        <v>#N/A</v>
      </c>
    </row>
    <row r="463" spans="1:15" ht="22" customHeight="1" x14ac:dyDescent="0.35">
      <c r="A463" s="136">
        <v>419</v>
      </c>
      <c r="B463" s="165" t="str">
        <f>IF($A463&gt;MIN($A$10,$A$2),"",INDEX(DemoHistory[Date],$A463))</f>
        <v/>
      </c>
      <c r="C463" s="166" t="str">
        <f>IF(OR($A463&gt;MIN($A$10,$A$2),$A$5=""),"",INDEX(DemoHistory[],$A463,MATCH($A$5,DemoHistory[#Headers],0)))</f>
        <v/>
      </c>
      <c r="D463" s="166" t="str">
        <f>IF($A463&gt;MIN($A$10,$A$2),"",IF(AND($A$12,$A$6=1,B463&lt;$A$7,$A$7&lt;=MAX(DemoHistory[Date])),$A$8,1))</f>
        <v/>
      </c>
      <c r="E463" s="166" t="str">
        <f t="shared" si="18"/>
        <v/>
      </c>
      <c r="F463" s="166" t="str">
        <f>IF($A463&gt;MIN($A$10,$A$2),"",IF($A463&lt;50,"n.a.",IF(COUNT(INDEX(StockDaily[Adjusted close],MAX(1,$A463-50+1)):E463)=50,AVERAGE(INDEX(StockDaily[Adjusted close],MAX(1,$A463-50+1)):E463),"n.a.")))</f>
        <v/>
      </c>
      <c r="G463" s="166" t="str">
        <f>IF($A463&gt;MIN($A$10,$A$2),"",IF($A463&lt;200,"n.a.",IF(COUNT(INDEX(StockDaily[Adjusted close],MAX(1,$A463-200+1)):E463)=200,AVERAGE(INDEX(StockDaily[Adjusted close],MAX(1,$A463-200+1)):E463),"n.a.")))</f>
        <v/>
      </c>
      <c r="H463" s="136" t="str">
        <f>IF($A463&gt;MIN($A$10,$A$2),"",IF($A$5="","Choose stock",IF(NOT($A$12),"Check split rule",IF(NOT(ISNUMBER(B463)),"Invalid date",IF(OR(B463&lt;=0,B463&lt;&gt;INT(B463)),"Invalid date",IF(COUNTIFS(DemoHistory[Date],B463)&lt;&gt;1,"Duplicate date",IF(AND($A463&gt;1,B463&lt;=B462),"Dates out of order",IF(NOT(ISNUMBER(C463)),"Missing price",IF(C463&lt;=0,"Nonpositive price","OK")))))))))</f>
        <v/>
      </c>
      <c r="I463" s="136"/>
      <c r="J463" s="136"/>
      <c r="K463" s="136"/>
      <c r="L463" s="136"/>
      <c r="M463" s="136"/>
      <c r="N463" s="136" t="e">
        <f t="shared" si="19"/>
        <v>#N/A</v>
      </c>
      <c r="O463" s="136" t="e">
        <f t="shared" si="20"/>
        <v>#N/A</v>
      </c>
    </row>
    <row r="464" spans="1:15" ht="22" customHeight="1" x14ac:dyDescent="0.35">
      <c r="A464" s="136">
        <v>420</v>
      </c>
      <c r="B464" s="165" t="str">
        <f>IF($A464&gt;MIN($A$10,$A$2),"",INDEX(DemoHistory[Date],$A464))</f>
        <v/>
      </c>
      <c r="C464" s="166" t="str">
        <f>IF(OR($A464&gt;MIN($A$10,$A$2),$A$5=""),"",INDEX(DemoHistory[],$A464,MATCH($A$5,DemoHistory[#Headers],0)))</f>
        <v/>
      </c>
      <c r="D464" s="166" t="str">
        <f>IF($A464&gt;MIN($A$10,$A$2),"",IF(AND($A$12,$A$6=1,B464&lt;$A$7,$A$7&lt;=MAX(DemoHistory[Date])),$A$8,1))</f>
        <v/>
      </c>
      <c r="E464" s="166" t="str">
        <f t="shared" si="18"/>
        <v/>
      </c>
      <c r="F464" s="166" t="str">
        <f>IF($A464&gt;MIN($A$10,$A$2),"",IF($A464&lt;50,"n.a.",IF(COUNT(INDEX(StockDaily[Adjusted close],MAX(1,$A464-50+1)):E464)=50,AVERAGE(INDEX(StockDaily[Adjusted close],MAX(1,$A464-50+1)):E464),"n.a.")))</f>
        <v/>
      </c>
      <c r="G464" s="166" t="str">
        <f>IF($A464&gt;MIN($A$10,$A$2),"",IF($A464&lt;200,"n.a.",IF(COUNT(INDEX(StockDaily[Adjusted close],MAX(1,$A464-200+1)):E464)=200,AVERAGE(INDEX(StockDaily[Adjusted close],MAX(1,$A464-200+1)):E464),"n.a.")))</f>
        <v/>
      </c>
      <c r="H464" s="136" t="str">
        <f>IF($A464&gt;MIN($A$10,$A$2),"",IF($A$5="","Choose stock",IF(NOT($A$12),"Check split rule",IF(NOT(ISNUMBER(B464)),"Invalid date",IF(OR(B464&lt;=0,B464&lt;&gt;INT(B464)),"Invalid date",IF(COUNTIFS(DemoHistory[Date],B464)&lt;&gt;1,"Duplicate date",IF(AND($A464&gt;1,B464&lt;=B463),"Dates out of order",IF(NOT(ISNUMBER(C464)),"Missing price",IF(C464&lt;=0,"Nonpositive price","OK")))))))))</f>
        <v/>
      </c>
      <c r="I464" s="136"/>
      <c r="J464" s="136"/>
      <c r="K464" s="136"/>
      <c r="L464" s="136"/>
      <c r="M464" s="136"/>
      <c r="N464" s="136" t="e">
        <f t="shared" si="19"/>
        <v>#N/A</v>
      </c>
      <c r="O464" s="136" t="e">
        <f t="shared" si="20"/>
        <v>#N/A</v>
      </c>
    </row>
    <row r="465" spans="1:15" ht="22" customHeight="1" x14ac:dyDescent="0.35">
      <c r="A465" s="136">
        <v>421</v>
      </c>
      <c r="B465" s="165" t="str">
        <f>IF($A465&gt;MIN($A$10,$A$2),"",INDEX(DemoHistory[Date],$A465))</f>
        <v/>
      </c>
      <c r="C465" s="166" t="str">
        <f>IF(OR($A465&gt;MIN($A$10,$A$2),$A$5=""),"",INDEX(DemoHistory[],$A465,MATCH($A$5,DemoHistory[#Headers],0)))</f>
        <v/>
      </c>
      <c r="D465" s="166" t="str">
        <f>IF($A465&gt;MIN($A$10,$A$2),"",IF(AND($A$12,$A$6=1,B465&lt;$A$7,$A$7&lt;=MAX(DemoHistory[Date])),$A$8,1))</f>
        <v/>
      </c>
      <c r="E465" s="166" t="str">
        <f t="shared" si="18"/>
        <v/>
      </c>
      <c r="F465" s="166" t="str">
        <f>IF($A465&gt;MIN($A$10,$A$2),"",IF($A465&lt;50,"n.a.",IF(COUNT(INDEX(StockDaily[Adjusted close],MAX(1,$A465-50+1)):E465)=50,AVERAGE(INDEX(StockDaily[Adjusted close],MAX(1,$A465-50+1)):E465),"n.a.")))</f>
        <v/>
      </c>
      <c r="G465" s="166" t="str">
        <f>IF($A465&gt;MIN($A$10,$A$2),"",IF($A465&lt;200,"n.a.",IF(COUNT(INDEX(StockDaily[Adjusted close],MAX(1,$A465-200+1)):E465)=200,AVERAGE(INDEX(StockDaily[Adjusted close],MAX(1,$A465-200+1)):E465),"n.a.")))</f>
        <v/>
      </c>
      <c r="H465" s="136" t="str">
        <f>IF($A465&gt;MIN($A$10,$A$2),"",IF($A$5="","Choose stock",IF(NOT($A$12),"Check split rule",IF(NOT(ISNUMBER(B465)),"Invalid date",IF(OR(B465&lt;=0,B465&lt;&gt;INT(B465)),"Invalid date",IF(COUNTIFS(DemoHistory[Date],B465)&lt;&gt;1,"Duplicate date",IF(AND($A465&gt;1,B465&lt;=B464),"Dates out of order",IF(NOT(ISNUMBER(C465)),"Missing price",IF(C465&lt;=0,"Nonpositive price","OK")))))))))</f>
        <v/>
      </c>
      <c r="I465" s="136"/>
      <c r="J465" s="136"/>
      <c r="K465" s="136"/>
      <c r="L465" s="136"/>
      <c r="M465" s="136"/>
      <c r="N465" s="136" t="e">
        <f t="shared" si="19"/>
        <v>#N/A</v>
      </c>
      <c r="O465" s="136" t="e">
        <f t="shared" si="20"/>
        <v>#N/A</v>
      </c>
    </row>
    <row r="466" spans="1:15" ht="22" customHeight="1" x14ac:dyDescent="0.35">
      <c r="A466" s="136">
        <v>422</v>
      </c>
      <c r="B466" s="165" t="str">
        <f>IF($A466&gt;MIN($A$10,$A$2),"",INDEX(DemoHistory[Date],$A466))</f>
        <v/>
      </c>
      <c r="C466" s="166" t="str">
        <f>IF(OR($A466&gt;MIN($A$10,$A$2),$A$5=""),"",INDEX(DemoHistory[],$A466,MATCH($A$5,DemoHistory[#Headers],0)))</f>
        <v/>
      </c>
      <c r="D466" s="166" t="str">
        <f>IF($A466&gt;MIN($A$10,$A$2),"",IF(AND($A$12,$A$6=1,B466&lt;$A$7,$A$7&lt;=MAX(DemoHistory[Date])),$A$8,1))</f>
        <v/>
      </c>
      <c r="E466" s="166" t="str">
        <f t="shared" si="18"/>
        <v/>
      </c>
      <c r="F466" s="166" t="str">
        <f>IF($A466&gt;MIN($A$10,$A$2),"",IF($A466&lt;50,"n.a.",IF(COUNT(INDEX(StockDaily[Adjusted close],MAX(1,$A466-50+1)):E466)=50,AVERAGE(INDEX(StockDaily[Adjusted close],MAX(1,$A466-50+1)):E466),"n.a.")))</f>
        <v/>
      </c>
      <c r="G466" s="166" t="str">
        <f>IF($A466&gt;MIN($A$10,$A$2),"",IF($A466&lt;200,"n.a.",IF(COUNT(INDEX(StockDaily[Adjusted close],MAX(1,$A466-200+1)):E466)=200,AVERAGE(INDEX(StockDaily[Adjusted close],MAX(1,$A466-200+1)):E466),"n.a.")))</f>
        <v/>
      </c>
      <c r="H466" s="136" t="str">
        <f>IF($A466&gt;MIN($A$10,$A$2),"",IF($A$5="","Choose stock",IF(NOT($A$12),"Check split rule",IF(NOT(ISNUMBER(B466)),"Invalid date",IF(OR(B466&lt;=0,B466&lt;&gt;INT(B466)),"Invalid date",IF(COUNTIFS(DemoHistory[Date],B466)&lt;&gt;1,"Duplicate date",IF(AND($A466&gt;1,B466&lt;=B465),"Dates out of order",IF(NOT(ISNUMBER(C466)),"Missing price",IF(C466&lt;=0,"Nonpositive price","OK")))))))))</f>
        <v/>
      </c>
      <c r="I466" s="136"/>
      <c r="J466" s="136"/>
      <c r="K466" s="136"/>
      <c r="L466" s="136"/>
      <c r="M466" s="136"/>
      <c r="N466" s="136" t="e">
        <f t="shared" si="19"/>
        <v>#N/A</v>
      </c>
      <c r="O466" s="136" t="e">
        <f t="shared" si="20"/>
        <v>#N/A</v>
      </c>
    </row>
    <row r="467" spans="1:15" ht="22" customHeight="1" x14ac:dyDescent="0.35">
      <c r="A467" s="136">
        <v>423</v>
      </c>
      <c r="B467" s="165" t="str">
        <f>IF($A467&gt;MIN($A$10,$A$2),"",INDEX(DemoHistory[Date],$A467))</f>
        <v/>
      </c>
      <c r="C467" s="166" t="str">
        <f>IF(OR($A467&gt;MIN($A$10,$A$2),$A$5=""),"",INDEX(DemoHistory[],$A467,MATCH($A$5,DemoHistory[#Headers],0)))</f>
        <v/>
      </c>
      <c r="D467" s="166" t="str">
        <f>IF($A467&gt;MIN($A$10,$A$2),"",IF(AND($A$12,$A$6=1,B467&lt;$A$7,$A$7&lt;=MAX(DemoHistory[Date])),$A$8,1))</f>
        <v/>
      </c>
      <c r="E467" s="166" t="str">
        <f t="shared" si="18"/>
        <v/>
      </c>
      <c r="F467" s="166" t="str">
        <f>IF($A467&gt;MIN($A$10,$A$2),"",IF($A467&lt;50,"n.a.",IF(COUNT(INDEX(StockDaily[Adjusted close],MAX(1,$A467-50+1)):E467)=50,AVERAGE(INDEX(StockDaily[Adjusted close],MAX(1,$A467-50+1)):E467),"n.a.")))</f>
        <v/>
      </c>
      <c r="G467" s="166" t="str">
        <f>IF($A467&gt;MIN($A$10,$A$2),"",IF($A467&lt;200,"n.a.",IF(COUNT(INDEX(StockDaily[Adjusted close],MAX(1,$A467-200+1)):E467)=200,AVERAGE(INDEX(StockDaily[Adjusted close],MAX(1,$A467-200+1)):E467),"n.a.")))</f>
        <v/>
      </c>
      <c r="H467" s="136" t="str">
        <f>IF($A467&gt;MIN($A$10,$A$2),"",IF($A$5="","Choose stock",IF(NOT($A$12),"Check split rule",IF(NOT(ISNUMBER(B467)),"Invalid date",IF(OR(B467&lt;=0,B467&lt;&gt;INT(B467)),"Invalid date",IF(COUNTIFS(DemoHistory[Date],B467)&lt;&gt;1,"Duplicate date",IF(AND($A467&gt;1,B467&lt;=B466),"Dates out of order",IF(NOT(ISNUMBER(C467)),"Missing price",IF(C467&lt;=0,"Nonpositive price","OK")))))))))</f>
        <v/>
      </c>
      <c r="I467" s="136"/>
      <c r="J467" s="136"/>
      <c r="K467" s="136"/>
      <c r="L467" s="136"/>
      <c r="M467" s="136"/>
      <c r="N467" s="136" t="e">
        <f t="shared" si="19"/>
        <v>#N/A</v>
      </c>
      <c r="O467" s="136" t="e">
        <f t="shared" si="20"/>
        <v>#N/A</v>
      </c>
    </row>
    <row r="468" spans="1:15" ht="22" customHeight="1" x14ac:dyDescent="0.35">
      <c r="A468" s="136">
        <v>424</v>
      </c>
      <c r="B468" s="165" t="str">
        <f>IF($A468&gt;MIN($A$10,$A$2),"",INDEX(DemoHistory[Date],$A468))</f>
        <v/>
      </c>
      <c r="C468" s="166" t="str">
        <f>IF(OR($A468&gt;MIN($A$10,$A$2),$A$5=""),"",INDEX(DemoHistory[],$A468,MATCH($A$5,DemoHistory[#Headers],0)))</f>
        <v/>
      </c>
      <c r="D468" s="166" t="str">
        <f>IF($A468&gt;MIN($A$10,$A$2),"",IF(AND($A$12,$A$6=1,B468&lt;$A$7,$A$7&lt;=MAX(DemoHistory[Date])),$A$8,1))</f>
        <v/>
      </c>
      <c r="E468" s="166" t="str">
        <f t="shared" si="18"/>
        <v/>
      </c>
      <c r="F468" s="166" t="str">
        <f>IF($A468&gt;MIN($A$10,$A$2),"",IF($A468&lt;50,"n.a.",IF(COUNT(INDEX(StockDaily[Adjusted close],MAX(1,$A468-50+1)):E468)=50,AVERAGE(INDEX(StockDaily[Adjusted close],MAX(1,$A468-50+1)):E468),"n.a.")))</f>
        <v/>
      </c>
      <c r="G468" s="166" t="str">
        <f>IF($A468&gt;MIN($A$10,$A$2),"",IF($A468&lt;200,"n.a.",IF(COUNT(INDEX(StockDaily[Adjusted close],MAX(1,$A468-200+1)):E468)=200,AVERAGE(INDEX(StockDaily[Adjusted close],MAX(1,$A468-200+1)):E468),"n.a.")))</f>
        <v/>
      </c>
      <c r="H468" s="136" t="str">
        <f>IF($A468&gt;MIN($A$10,$A$2),"",IF($A$5="","Choose stock",IF(NOT($A$12),"Check split rule",IF(NOT(ISNUMBER(B468)),"Invalid date",IF(OR(B468&lt;=0,B468&lt;&gt;INT(B468)),"Invalid date",IF(COUNTIFS(DemoHistory[Date],B468)&lt;&gt;1,"Duplicate date",IF(AND($A468&gt;1,B468&lt;=B467),"Dates out of order",IF(NOT(ISNUMBER(C468)),"Missing price",IF(C468&lt;=0,"Nonpositive price","OK")))))))))</f>
        <v/>
      </c>
      <c r="I468" s="136"/>
      <c r="J468" s="136"/>
      <c r="K468" s="136"/>
      <c r="L468" s="136"/>
      <c r="M468" s="136"/>
      <c r="N468" s="136" t="e">
        <f t="shared" si="19"/>
        <v>#N/A</v>
      </c>
      <c r="O468" s="136" t="e">
        <f t="shared" si="20"/>
        <v>#N/A</v>
      </c>
    </row>
    <row r="469" spans="1:15" ht="22" customHeight="1" x14ac:dyDescent="0.35">
      <c r="A469" s="136">
        <v>425</v>
      </c>
      <c r="B469" s="165" t="str">
        <f>IF($A469&gt;MIN($A$10,$A$2),"",INDEX(DemoHistory[Date],$A469))</f>
        <v/>
      </c>
      <c r="C469" s="166" t="str">
        <f>IF(OR($A469&gt;MIN($A$10,$A$2),$A$5=""),"",INDEX(DemoHistory[],$A469,MATCH($A$5,DemoHistory[#Headers],0)))</f>
        <v/>
      </c>
      <c r="D469" s="166" t="str">
        <f>IF($A469&gt;MIN($A$10,$A$2),"",IF(AND($A$12,$A$6=1,B469&lt;$A$7,$A$7&lt;=MAX(DemoHistory[Date])),$A$8,1))</f>
        <v/>
      </c>
      <c r="E469" s="166" t="str">
        <f t="shared" si="18"/>
        <v/>
      </c>
      <c r="F469" s="166" t="str">
        <f>IF($A469&gt;MIN($A$10,$A$2),"",IF($A469&lt;50,"n.a.",IF(COUNT(INDEX(StockDaily[Adjusted close],MAX(1,$A469-50+1)):E469)=50,AVERAGE(INDEX(StockDaily[Adjusted close],MAX(1,$A469-50+1)):E469),"n.a.")))</f>
        <v/>
      </c>
      <c r="G469" s="166" t="str">
        <f>IF($A469&gt;MIN($A$10,$A$2),"",IF($A469&lt;200,"n.a.",IF(COUNT(INDEX(StockDaily[Adjusted close],MAX(1,$A469-200+1)):E469)=200,AVERAGE(INDEX(StockDaily[Adjusted close],MAX(1,$A469-200+1)):E469),"n.a.")))</f>
        <v/>
      </c>
      <c r="H469" s="136" t="str">
        <f>IF($A469&gt;MIN($A$10,$A$2),"",IF($A$5="","Choose stock",IF(NOT($A$12),"Check split rule",IF(NOT(ISNUMBER(B469)),"Invalid date",IF(OR(B469&lt;=0,B469&lt;&gt;INT(B469)),"Invalid date",IF(COUNTIFS(DemoHistory[Date],B469)&lt;&gt;1,"Duplicate date",IF(AND($A469&gt;1,B469&lt;=B468),"Dates out of order",IF(NOT(ISNUMBER(C469)),"Missing price",IF(C469&lt;=0,"Nonpositive price","OK")))))))))</f>
        <v/>
      </c>
      <c r="I469" s="136"/>
      <c r="J469" s="136"/>
      <c r="K469" s="136"/>
      <c r="L469" s="136"/>
      <c r="M469" s="136"/>
      <c r="N469" s="136" t="e">
        <f t="shared" si="19"/>
        <v>#N/A</v>
      </c>
      <c r="O469" s="136" t="e">
        <f t="shared" si="20"/>
        <v>#N/A</v>
      </c>
    </row>
    <row r="470" spans="1:15" ht="22" customHeight="1" x14ac:dyDescent="0.35">
      <c r="A470" s="136">
        <v>426</v>
      </c>
      <c r="B470" s="165" t="str">
        <f>IF($A470&gt;MIN($A$10,$A$2),"",INDEX(DemoHistory[Date],$A470))</f>
        <v/>
      </c>
      <c r="C470" s="166" t="str">
        <f>IF(OR($A470&gt;MIN($A$10,$A$2),$A$5=""),"",INDEX(DemoHistory[],$A470,MATCH($A$5,DemoHistory[#Headers],0)))</f>
        <v/>
      </c>
      <c r="D470" s="166" t="str">
        <f>IF($A470&gt;MIN($A$10,$A$2),"",IF(AND($A$12,$A$6=1,B470&lt;$A$7,$A$7&lt;=MAX(DemoHistory[Date])),$A$8,1))</f>
        <v/>
      </c>
      <c r="E470" s="166" t="str">
        <f t="shared" si="18"/>
        <v/>
      </c>
      <c r="F470" s="166" t="str">
        <f>IF($A470&gt;MIN($A$10,$A$2),"",IF($A470&lt;50,"n.a.",IF(COUNT(INDEX(StockDaily[Adjusted close],MAX(1,$A470-50+1)):E470)=50,AVERAGE(INDEX(StockDaily[Adjusted close],MAX(1,$A470-50+1)):E470),"n.a.")))</f>
        <v/>
      </c>
      <c r="G470" s="166" t="str">
        <f>IF($A470&gt;MIN($A$10,$A$2),"",IF($A470&lt;200,"n.a.",IF(COUNT(INDEX(StockDaily[Adjusted close],MAX(1,$A470-200+1)):E470)=200,AVERAGE(INDEX(StockDaily[Adjusted close],MAX(1,$A470-200+1)):E470),"n.a.")))</f>
        <v/>
      </c>
      <c r="H470" s="136" t="str">
        <f>IF($A470&gt;MIN($A$10,$A$2),"",IF($A$5="","Choose stock",IF(NOT($A$12),"Check split rule",IF(NOT(ISNUMBER(B470)),"Invalid date",IF(OR(B470&lt;=0,B470&lt;&gt;INT(B470)),"Invalid date",IF(COUNTIFS(DemoHistory[Date],B470)&lt;&gt;1,"Duplicate date",IF(AND($A470&gt;1,B470&lt;=B469),"Dates out of order",IF(NOT(ISNUMBER(C470)),"Missing price",IF(C470&lt;=0,"Nonpositive price","OK")))))))))</f>
        <v/>
      </c>
      <c r="I470" s="136"/>
      <c r="J470" s="136"/>
      <c r="K470" s="136"/>
      <c r="L470" s="136"/>
      <c r="M470" s="136"/>
      <c r="N470" s="136" t="e">
        <f t="shared" si="19"/>
        <v>#N/A</v>
      </c>
      <c r="O470" s="136" t="e">
        <f t="shared" si="20"/>
        <v>#N/A</v>
      </c>
    </row>
    <row r="471" spans="1:15" ht="22" customHeight="1" x14ac:dyDescent="0.35">
      <c r="A471" s="136">
        <v>427</v>
      </c>
      <c r="B471" s="165" t="str">
        <f>IF($A471&gt;MIN($A$10,$A$2),"",INDEX(DemoHistory[Date],$A471))</f>
        <v/>
      </c>
      <c r="C471" s="166" t="str">
        <f>IF(OR($A471&gt;MIN($A$10,$A$2),$A$5=""),"",INDEX(DemoHistory[],$A471,MATCH($A$5,DemoHistory[#Headers],0)))</f>
        <v/>
      </c>
      <c r="D471" s="166" t="str">
        <f>IF($A471&gt;MIN($A$10,$A$2),"",IF(AND($A$12,$A$6=1,B471&lt;$A$7,$A$7&lt;=MAX(DemoHistory[Date])),$A$8,1))</f>
        <v/>
      </c>
      <c r="E471" s="166" t="str">
        <f t="shared" si="18"/>
        <v/>
      </c>
      <c r="F471" s="166" t="str">
        <f>IF($A471&gt;MIN($A$10,$A$2),"",IF($A471&lt;50,"n.a.",IF(COUNT(INDEX(StockDaily[Adjusted close],MAX(1,$A471-50+1)):E471)=50,AVERAGE(INDEX(StockDaily[Adjusted close],MAX(1,$A471-50+1)):E471),"n.a.")))</f>
        <v/>
      </c>
      <c r="G471" s="166" t="str">
        <f>IF($A471&gt;MIN($A$10,$A$2),"",IF($A471&lt;200,"n.a.",IF(COUNT(INDEX(StockDaily[Adjusted close],MAX(1,$A471-200+1)):E471)=200,AVERAGE(INDEX(StockDaily[Adjusted close],MAX(1,$A471-200+1)):E471),"n.a.")))</f>
        <v/>
      </c>
      <c r="H471" s="136" t="str">
        <f>IF($A471&gt;MIN($A$10,$A$2),"",IF($A$5="","Choose stock",IF(NOT($A$12),"Check split rule",IF(NOT(ISNUMBER(B471)),"Invalid date",IF(OR(B471&lt;=0,B471&lt;&gt;INT(B471)),"Invalid date",IF(COUNTIFS(DemoHistory[Date],B471)&lt;&gt;1,"Duplicate date",IF(AND($A471&gt;1,B471&lt;=B470),"Dates out of order",IF(NOT(ISNUMBER(C471)),"Missing price",IF(C471&lt;=0,"Nonpositive price","OK")))))))))</f>
        <v/>
      </c>
      <c r="I471" s="136"/>
      <c r="J471" s="136"/>
      <c r="K471" s="136"/>
      <c r="L471" s="136"/>
      <c r="M471" s="136"/>
      <c r="N471" s="136" t="e">
        <f t="shared" si="19"/>
        <v>#N/A</v>
      </c>
      <c r="O471" s="136" t="e">
        <f t="shared" si="20"/>
        <v>#N/A</v>
      </c>
    </row>
    <row r="472" spans="1:15" ht="22" customHeight="1" x14ac:dyDescent="0.35">
      <c r="A472" s="136">
        <v>428</v>
      </c>
      <c r="B472" s="165" t="str">
        <f>IF($A472&gt;MIN($A$10,$A$2),"",INDEX(DemoHistory[Date],$A472))</f>
        <v/>
      </c>
      <c r="C472" s="166" t="str">
        <f>IF(OR($A472&gt;MIN($A$10,$A$2),$A$5=""),"",INDEX(DemoHistory[],$A472,MATCH($A$5,DemoHistory[#Headers],0)))</f>
        <v/>
      </c>
      <c r="D472" s="166" t="str">
        <f>IF($A472&gt;MIN($A$10,$A$2),"",IF(AND($A$12,$A$6=1,B472&lt;$A$7,$A$7&lt;=MAX(DemoHistory[Date])),$A$8,1))</f>
        <v/>
      </c>
      <c r="E472" s="166" t="str">
        <f t="shared" si="18"/>
        <v/>
      </c>
      <c r="F472" s="166" t="str">
        <f>IF($A472&gt;MIN($A$10,$A$2),"",IF($A472&lt;50,"n.a.",IF(COUNT(INDEX(StockDaily[Adjusted close],MAX(1,$A472-50+1)):E472)=50,AVERAGE(INDEX(StockDaily[Adjusted close],MAX(1,$A472-50+1)):E472),"n.a.")))</f>
        <v/>
      </c>
      <c r="G472" s="166" t="str">
        <f>IF($A472&gt;MIN($A$10,$A$2),"",IF($A472&lt;200,"n.a.",IF(COUNT(INDEX(StockDaily[Adjusted close],MAX(1,$A472-200+1)):E472)=200,AVERAGE(INDEX(StockDaily[Adjusted close],MAX(1,$A472-200+1)):E472),"n.a.")))</f>
        <v/>
      </c>
      <c r="H472" s="136" t="str">
        <f>IF($A472&gt;MIN($A$10,$A$2),"",IF($A$5="","Choose stock",IF(NOT($A$12),"Check split rule",IF(NOT(ISNUMBER(B472)),"Invalid date",IF(OR(B472&lt;=0,B472&lt;&gt;INT(B472)),"Invalid date",IF(COUNTIFS(DemoHistory[Date],B472)&lt;&gt;1,"Duplicate date",IF(AND($A472&gt;1,B472&lt;=B471),"Dates out of order",IF(NOT(ISNUMBER(C472)),"Missing price",IF(C472&lt;=0,"Nonpositive price","OK")))))))))</f>
        <v/>
      </c>
      <c r="I472" s="136"/>
      <c r="J472" s="136"/>
      <c r="K472" s="136"/>
      <c r="L472" s="136"/>
      <c r="M472" s="136"/>
      <c r="N472" s="136" t="e">
        <f t="shared" si="19"/>
        <v>#N/A</v>
      </c>
      <c r="O472" s="136" t="e">
        <f t="shared" si="20"/>
        <v>#N/A</v>
      </c>
    </row>
    <row r="473" spans="1:15" ht="22" customHeight="1" x14ac:dyDescent="0.35">
      <c r="A473" s="136">
        <v>429</v>
      </c>
      <c r="B473" s="165" t="str">
        <f>IF($A473&gt;MIN($A$10,$A$2),"",INDEX(DemoHistory[Date],$A473))</f>
        <v/>
      </c>
      <c r="C473" s="166" t="str">
        <f>IF(OR($A473&gt;MIN($A$10,$A$2),$A$5=""),"",INDEX(DemoHistory[],$A473,MATCH($A$5,DemoHistory[#Headers],0)))</f>
        <v/>
      </c>
      <c r="D473" s="166" t="str">
        <f>IF($A473&gt;MIN($A$10,$A$2),"",IF(AND($A$12,$A$6=1,B473&lt;$A$7,$A$7&lt;=MAX(DemoHistory[Date])),$A$8,1))</f>
        <v/>
      </c>
      <c r="E473" s="166" t="str">
        <f t="shared" si="18"/>
        <v/>
      </c>
      <c r="F473" s="166" t="str">
        <f>IF($A473&gt;MIN($A$10,$A$2),"",IF($A473&lt;50,"n.a.",IF(COUNT(INDEX(StockDaily[Adjusted close],MAX(1,$A473-50+1)):E473)=50,AVERAGE(INDEX(StockDaily[Adjusted close],MAX(1,$A473-50+1)):E473),"n.a.")))</f>
        <v/>
      </c>
      <c r="G473" s="166" t="str">
        <f>IF($A473&gt;MIN($A$10,$A$2),"",IF($A473&lt;200,"n.a.",IF(COUNT(INDEX(StockDaily[Adjusted close],MAX(1,$A473-200+1)):E473)=200,AVERAGE(INDEX(StockDaily[Adjusted close],MAX(1,$A473-200+1)):E473),"n.a.")))</f>
        <v/>
      </c>
      <c r="H473" s="136" t="str">
        <f>IF($A473&gt;MIN($A$10,$A$2),"",IF($A$5="","Choose stock",IF(NOT($A$12),"Check split rule",IF(NOT(ISNUMBER(B473)),"Invalid date",IF(OR(B473&lt;=0,B473&lt;&gt;INT(B473)),"Invalid date",IF(COUNTIFS(DemoHistory[Date],B473)&lt;&gt;1,"Duplicate date",IF(AND($A473&gt;1,B473&lt;=B472),"Dates out of order",IF(NOT(ISNUMBER(C473)),"Missing price",IF(C473&lt;=0,"Nonpositive price","OK")))))))))</f>
        <v/>
      </c>
      <c r="I473" s="136"/>
      <c r="J473" s="136"/>
      <c r="K473" s="136"/>
      <c r="L473" s="136"/>
      <c r="M473" s="136"/>
      <c r="N473" s="136" t="e">
        <f t="shared" si="19"/>
        <v>#N/A</v>
      </c>
      <c r="O473" s="136" t="e">
        <f t="shared" si="20"/>
        <v>#N/A</v>
      </c>
    </row>
    <row r="474" spans="1:15" ht="22" customHeight="1" x14ac:dyDescent="0.35">
      <c r="A474" s="136">
        <v>430</v>
      </c>
      <c r="B474" s="165" t="str">
        <f>IF($A474&gt;MIN($A$10,$A$2),"",INDEX(DemoHistory[Date],$A474))</f>
        <v/>
      </c>
      <c r="C474" s="166" t="str">
        <f>IF(OR($A474&gt;MIN($A$10,$A$2),$A$5=""),"",INDEX(DemoHistory[],$A474,MATCH($A$5,DemoHistory[#Headers],0)))</f>
        <v/>
      </c>
      <c r="D474" s="166" t="str">
        <f>IF($A474&gt;MIN($A$10,$A$2),"",IF(AND($A$12,$A$6=1,B474&lt;$A$7,$A$7&lt;=MAX(DemoHistory[Date])),$A$8,1))</f>
        <v/>
      </c>
      <c r="E474" s="166" t="str">
        <f t="shared" si="18"/>
        <v/>
      </c>
      <c r="F474" s="166" t="str">
        <f>IF($A474&gt;MIN($A$10,$A$2),"",IF($A474&lt;50,"n.a.",IF(COUNT(INDEX(StockDaily[Adjusted close],MAX(1,$A474-50+1)):E474)=50,AVERAGE(INDEX(StockDaily[Adjusted close],MAX(1,$A474-50+1)):E474),"n.a.")))</f>
        <v/>
      </c>
      <c r="G474" s="166" t="str">
        <f>IF($A474&gt;MIN($A$10,$A$2),"",IF($A474&lt;200,"n.a.",IF(COUNT(INDEX(StockDaily[Adjusted close],MAX(1,$A474-200+1)):E474)=200,AVERAGE(INDEX(StockDaily[Adjusted close],MAX(1,$A474-200+1)):E474),"n.a.")))</f>
        <v/>
      </c>
      <c r="H474" s="136" t="str">
        <f>IF($A474&gt;MIN($A$10,$A$2),"",IF($A$5="","Choose stock",IF(NOT($A$12),"Check split rule",IF(NOT(ISNUMBER(B474)),"Invalid date",IF(OR(B474&lt;=0,B474&lt;&gt;INT(B474)),"Invalid date",IF(COUNTIFS(DemoHistory[Date],B474)&lt;&gt;1,"Duplicate date",IF(AND($A474&gt;1,B474&lt;=B473),"Dates out of order",IF(NOT(ISNUMBER(C474)),"Missing price",IF(C474&lt;=0,"Nonpositive price","OK")))))))))</f>
        <v/>
      </c>
      <c r="I474" s="136"/>
      <c r="J474" s="136"/>
      <c r="K474" s="136"/>
      <c r="L474" s="136"/>
      <c r="M474" s="136"/>
      <c r="N474" s="136" t="e">
        <f t="shared" si="19"/>
        <v>#N/A</v>
      </c>
      <c r="O474" s="136" t="e">
        <f t="shared" si="20"/>
        <v>#N/A</v>
      </c>
    </row>
    <row r="475" spans="1:15" ht="22" customHeight="1" x14ac:dyDescent="0.35">
      <c r="A475" s="136">
        <v>431</v>
      </c>
      <c r="B475" s="165" t="str">
        <f>IF($A475&gt;MIN($A$10,$A$2),"",INDEX(DemoHistory[Date],$A475))</f>
        <v/>
      </c>
      <c r="C475" s="166" t="str">
        <f>IF(OR($A475&gt;MIN($A$10,$A$2),$A$5=""),"",INDEX(DemoHistory[],$A475,MATCH($A$5,DemoHistory[#Headers],0)))</f>
        <v/>
      </c>
      <c r="D475" s="166" t="str">
        <f>IF($A475&gt;MIN($A$10,$A$2),"",IF(AND($A$12,$A$6=1,B475&lt;$A$7,$A$7&lt;=MAX(DemoHistory[Date])),$A$8,1))</f>
        <v/>
      </c>
      <c r="E475" s="166" t="str">
        <f t="shared" si="18"/>
        <v/>
      </c>
      <c r="F475" s="166" t="str">
        <f>IF($A475&gt;MIN($A$10,$A$2),"",IF($A475&lt;50,"n.a.",IF(COUNT(INDEX(StockDaily[Adjusted close],MAX(1,$A475-50+1)):E475)=50,AVERAGE(INDEX(StockDaily[Adjusted close],MAX(1,$A475-50+1)):E475),"n.a.")))</f>
        <v/>
      </c>
      <c r="G475" s="166" t="str">
        <f>IF($A475&gt;MIN($A$10,$A$2),"",IF($A475&lt;200,"n.a.",IF(COUNT(INDEX(StockDaily[Adjusted close],MAX(1,$A475-200+1)):E475)=200,AVERAGE(INDEX(StockDaily[Adjusted close],MAX(1,$A475-200+1)):E475),"n.a.")))</f>
        <v/>
      </c>
      <c r="H475" s="136" t="str">
        <f>IF($A475&gt;MIN($A$10,$A$2),"",IF($A$5="","Choose stock",IF(NOT($A$12),"Check split rule",IF(NOT(ISNUMBER(B475)),"Invalid date",IF(OR(B475&lt;=0,B475&lt;&gt;INT(B475)),"Invalid date",IF(COUNTIFS(DemoHistory[Date],B475)&lt;&gt;1,"Duplicate date",IF(AND($A475&gt;1,B475&lt;=B474),"Dates out of order",IF(NOT(ISNUMBER(C475)),"Missing price",IF(C475&lt;=0,"Nonpositive price","OK")))))))))</f>
        <v/>
      </c>
      <c r="I475" s="136"/>
      <c r="J475" s="136"/>
      <c r="K475" s="136"/>
      <c r="L475" s="136"/>
      <c r="M475" s="136"/>
      <c r="N475" s="136" t="e">
        <f t="shared" si="19"/>
        <v>#N/A</v>
      </c>
      <c r="O475" s="136" t="e">
        <f t="shared" si="20"/>
        <v>#N/A</v>
      </c>
    </row>
    <row r="476" spans="1:15" ht="22" customHeight="1" x14ac:dyDescent="0.35">
      <c r="A476" s="136">
        <v>432</v>
      </c>
      <c r="B476" s="165" t="str">
        <f>IF($A476&gt;MIN($A$10,$A$2),"",INDEX(DemoHistory[Date],$A476))</f>
        <v/>
      </c>
      <c r="C476" s="166" t="str">
        <f>IF(OR($A476&gt;MIN($A$10,$A$2),$A$5=""),"",INDEX(DemoHistory[],$A476,MATCH($A$5,DemoHistory[#Headers],0)))</f>
        <v/>
      </c>
      <c r="D476" s="166" t="str">
        <f>IF($A476&gt;MIN($A$10,$A$2),"",IF(AND($A$12,$A$6=1,B476&lt;$A$7,$A$7&lt;=MAX(DemoHistory[Date])),$A$8,1))</f>
        <v/>
      </c>
      <c r="E476" s="166" t="str">
        <f t="shared" si="18"/>
        <v/>
      </c>
      <c r="F476" s="166" t="str">
        <f>IF($A476&gt;MIN($A$10,$A$2),"",IF($A476&lt;50,"n.a.",IF(COUNT(INDEX(StockDaily[Adjusted close],MAX(1,$A476-50+1)):E476)=50,AVERAGE(INDEX(StockDaily[Adjusted close],MAX(1,$A476-50+1)):E476),"n.a.")))</f>
        <v/>
      </c>
      <c r="G476" s="166" t="str">
        <f>IF($A476&gt;MIN($A$10,$A$2),"",IF($A476&lt;200,"n.a.",IF(COUNT(INDEX(StockDaily[Adjusted close],MAX(1,$A476-200+1)):E476)=200,AVERAGE(INDEX(StockDaily[Adjusted close],MAX(1,$A476-200+1)):E476),"n.a.")))</f>
        <v/>
      </c>
      <c r="H476" s="136" t="str">
        <f>IF($A476&gt;MIN($A$10,$A$2),"",IF($A$5="","Choose stock",IF(NOT($A$12),"Check split rule",IF(NOT(ISNUMBER(B476)),"Invalid date",IF(OR(B476&lt;=0,B476&lt;&gt;INT(B476)),"Invalid date",IF(COUNTIFS(DemoHistory[Date],B476)&lt;&gt;1,"Duplicate date",IF(AND($A476&gt;1,B476&lt;=B475),"Dates out of order",IF(NOT(ISNUMBER(C476)),"Missing price",IF(C476&lt;=0,"Nonpositive price","OK")))))))))</f>
        <v/>
      </c>
      <c r="I476" s="136"/>
      <c r="J476" s="136"/>
      <c r="K476" s="136"/>
      <c r="L476" s="136"/>
      <c r="M476" s="136"/>
      <c r="N476" s="136" t="e">
        <f t="shared" si="19"/>
        <v>#N/A</v>
      </c>
      <c r="O476" s="136" t="e">
        <f t="shared" si="20"/>
        <v>#N/A</v>
      </c>
    </row>
    <row r="477" spans="1:15" ht="22" customHeight="1" x14ac:dyDescent="0.35">
      <c r="A477" s="136">
        <v>433</v>
      </c>
      <c r="B477" s="165" t="str">
        <f>IF($A477&gt;MIN($A$10,$A$2),"",INDEX(DemoHistory[Date],$A477))</f>
        <v/>
      </c>
      <c r="C477" s="166" t="str">
        <f>IF(OR($A477&gt;MIN($A$10,$A$2),$A$5=""),"",INDEX(DemoHistory[],$A477,MATCH($A$5,DemoHistory[#Headers],0)))</f>
        <v/>
      </c>
      <c r="D477" s="166" t="str">
        <f>IF($A477&gt;MIN($A$10,$A$2),"",IF(AND($A$12,$A$6=1,B477&lt;$A$7,$A$7&lt;=MAX(DemoHistory[Date])),$A$8,1))</f>
        <v/>
      </c>
      <c r="E477" s="166" t="str">
        <f t="shared" si="18"/>
        <v/>
      </c>
      <c r="F477" s="166" t="str">
        <f>IF($A477&gt;MIN($A$10,$A$2),"",IF($A477&lt;50,"n.a.",IF(COUNT(INDEX(StockDaily[Adjusted close],MAX(1,$A477-50+1)):E477)=50,AVERAGE(INDEX(StockDaily[Adjusted close],MAX(1,$A477-50+1)):E477),"n.a.")))</f>
        <v/>
      </c>
      <c r="G477" s="166" t="str">
        <f>IF($A477&gt;MIN($A$10,$A$2),"",IF($A477&lt;200,"n.a.",IF(COUNT(INDEX(StockDaily[Adjusted close],MAX(1,$A477-200+1)):E477)=200,AVERAGE(INDEX(StockDaily[Adjusted close],MAX(1,$A477-200+1)):E477),"n.a.")))</f>
        <v/>
      </c>
      <c r="H477" s="136" t="str">
        <f>IF($A477&gt;MIN($A$10,$A$2),"",IF($A$5="","Choose stock",IF(NOT($A$12),"Check split rule",IF(NOT(ISNUMBER(B477)),"Invalid date",IF(OR(B477&lt;=0,B477&lt;&gt;INT(B477)),"Invalid date",IF(COUNTIFS(DemoHistory[Date],B477)&lt;&gt;1,"Duplicate date",IF(AND($A477&gt;1,B477&lt;=B476),"Dates out of order",IF(NOT(ISNUMBER(C477)),"Missing price",IF(C477&lt;=0,"Nonpositive price","OK")))))))))</f>
        <v/>
      </c>
      <c r="I477" s="136"/>
      <c r="J477" s="136"/>
      <c r="K477" s="136"/>
      <c r="L477" s="136"/>
      <c r="M477" s="136"/>
      <c r="N477" s="136" t="e">
        <f t="shared" si="19"/>
        <v>#N/A</v>
      </c>
      <c r="O477" s="136" t="e">
        <f t="shared" si="20"/>
        <v>#N/A</v>
      </c>
    </row>
    <row r="478" spans="1:15" ht="22" customHeight="1" x14ac:dyDescent="0.35">
      <c r="A478" s="136">
        <v>434</v>
      </c>
      <c r="B478" s="165" t="str">
        <f>IF($A478&gt;MIN($A$10,$A$2),"",INDEX(DemoHistory[Date],$A478))</f>
        <v/>
      </c>
      <c r="C478" s="166" t="str">
        <f>IF(OR($A478&gt;MIN($A$10,$A$2),$A$5=""),"",INDEX(DemoHistory[],$A478,MATCH($A$5,DemoHistory[#Headers],0)))</f>
        <v/>
      </c>
      <c r="D478" s="166" t="str">
        <f>IF($A478&gt;MIN($A$10,$A$2),"",IF(AND($A$12,$A$6=1,B478&lt;$A$7,$A$7&lt;=MAX(DemoHistory[Date])),$A$8,1))</f>
        <v/>
      </c>
      <c r="E478" s="166" t="str">
        <f t="shared" si="18"/>
        <v/>
      </c>
      <c r="F478" s="166" t="str">
        <f>IF($A478&gt;MIN($A$10,$A$2),"",IF($A478&lt;50,"n.a.",IF(COUNT(INDEX(StockDaily[Adjusted close],MAX(1,$A478-50+1)):E478)=50,AVERAGE(INDEX(StockDaily[Adjusted close],MAX(1,$A478-50+1)):E478),"n.a.")))</f>
        <v/>
      </c>
      <c r="G478" s="166" t="str">
        <f>IF($A478&gt;MIN($A$10,$A$2),"",IF($A478&lt;200,"n.a.",IF(COUNT(INDEX(StockDaily[Adjusted close],MAX(1,$A478-200+1)):E478)=200,AVERAGE(INDEX(StockDaily[Adjusted close],MAX(1,$A478-200+1)):E478),"n.a.")))</f>
        <v/>
      </c>
      <c r="H478" s="136" t="str">
        <f>IF($A478&gt;MIN($A$10,$A$2),"",IF($A$5="","Choose stock",IF(NOT($A$12),"Check split rule",IF(NOT(ISNUMBER(B478)),"Invalid date",IF(OR(B478&lt;=0,B478&lt;&gt;INT(B478)),"Invalid date",IF(COUNTIFS(DemoHistory[Date],B478)&lt;&gt;1,"Duplicate date",IF(AND($A478&gt;1,B478&lt;=B477),"Dates out of order",IF(NOT(ISNUMBER(C478)),"Missing price",IF(C478&lt;=0,"Nonpositive price","OK")))))))))</f>
        <v/>
      </c>
      <c r="I478" s="136"/>
      <c r="J478" s="136"/>
      <c r="K478" s="136"/>
      <c r="L478" s="136"/>
      <c r="M478" s="136"/>
      <c r="N478" s="136" t="e">
        <f t="shared" si="19"/>
        <v>#N/A</v>
      </c>
      <c r="O478" s="136" t="e">
        <f t="shared" si="20"/>
        <v>#N/A</v>
      </c>
    </row>
    <row r="479" spans="1:15" ht="22" customHeight="1" x14ac:dyDescent="0.35">
      <c r="A479" s="136">
        <v>435</v>
      </c>
      <c r="B479" s="165" t="str">
        <f>IF($A479&gt;MIN($A$10,$A$2),"",INDEX(DemoHistory[Date],$A479))</f>
        <v/>
      </c>
      <c r="C479" s="166" t="str">
        <f>IF(OR($A479&gt;MIN($A$10,$A$2),$A$5=""),"",INDEX(DemoHistory[],$A479,MATCH($A$5,DemoHistory[#Headers],0)))</f>
        <v/>
      </c>
      <c r="D479" s="166" t="str">
        <f>IF($A479&gt;MIN($A$10,$A$2),"",IF(AND($A$12,$A$6=1,B479&lt;$A$7,$A$7&lt;=MAX(DemoHistory[Date])),$A$8,1))</f>
        <v/>
      </c>
      <c r="E479" s="166" t="str">
        <f t="shared" si="18"/>
        <v/>
      </c>
      <c r="F479" s="166" t="str">
        <f>IF($A479&gt;MIN($A$10,$A$2),"",IF($A479&lt;50,"n.a.",IF(COUNT(INDEX(StockDaily[Adjusted close],MAX(1,$A479-50+1)):E479)=50,AVERAGE(INDEX(StockDaily[Adjusted close],MAX(1,$A479-50+1)):E479),"n.a.")))</f>
        <v/>
      </c>
      <c r="G479" s="166" t="str">
        <f>IF($A479&gt;MIN($A$10,$A$2),"",IF($A479&lt;200,"n.a.",IF(COUNT(INDEX(StockDaily[Adjusted close],MAX(1,$A479-200+1)):E479)=200,AVERAGE(INDEX(StockDaily[Adjusted close],MAX(1,$A479-200+1)):E479),"n.a.")))</f>
        <v/>
      </c>
      <c r="H479" s="136" t="str">
        <f>IF($A479&gt;MIN($A$10,$A$2),"",IF($A$5="","Choose stock",IF(NOT($A$12),"Check split rule",IF(NOT(ISNUMBER(B479)),"Invalid date",IF(OR(B479&lt;=0,B479&lt;&gt;INT(B479)),"Invalid date",IF(COUNTIFS(DemoHistory[Date],B479)&lt;&gt;1,"Duplicate date",IF(AND($A479&gt;1,B479&lt;=B478),"Dates out of order",IF(NOT(ISNUMBER(C479)),"Missing price",IF(C479&lt;=0,"Nonpositive price","OK")))))))))</f>
        <v/>
      </c>
      <c r="I479" s="136"/>
      <c r="J479" s="136"/>
      <c r="K479" s="136"/>
      <c r="L479" s="136"/>
      <c r="M479" s="136"/>
      <c r="N479" s="136" t="e">
        <f t="shared" si="19"/>
        <v>#N/A</v>
      </c>
      <c r="O479" s="136" t="e">
        <f t="shared" si="20"/>
        <v>#N/A</v>
      </c>
    </row>
    <row r="480" spans="1:15" ht="22" customHeight="1" x14ac:dyDescent="0.35">
      <c r="A480" s="136">
        <v>436</v>
      </c>
      <c r="B480" s="165" t="str">
        <f>IF($A480&gt;MIN($A$10,$A$2),"",INDEX(DemoHistory[Date],$A480))</f>
        <v/>
      </c>
      <c r="C480" s="166" t="str">
        <f>IF(OR($A480&gt;MIN($A$10,$A$2),$A$5=""),"",INDEX(DemoHistory[],$A480,MATCH($A$5,DemoHistory[#Headers],0)))</f>
        <v/>
      </c>
      <c r="D480" s="166" t="str">
        <f>IF($A480&gt;MIN($A$10,$A$2),"",IF(AND($A$12,$A$6=1,B480&lt;$A$7,$A$7&lt;=MAX(DemoHistory[Date])),$A$8,1))</f>
        <v/>
      </c>
      <c r="E480" s="166" t="str">
        <f t="shared" si="18"/>
        <v/>
      </c>
      <c r="F480" s="166" t="str">
        <f>IF($A480&gt;MIN($A$10,$A$2),"",IF($A480&lt;50,"n.a.",IF(COUNT(INDEX(StockDaily[Adjusted close],MAX(1,$A480-50+1)):E480)=50,AVERAGE(INDEX(StockDaily[Adjusted close],MAX(1,$A480-50+1)):E480),"n.a.")))</f>
        <v/>
      </c>
      <c r="G480" s="166" t="str">
        <f>IF($A480&gt;MIN($A$10,$A$2),"",IF($A480&lt;200,"n.a.",IF(COUNT(INDEX(StockDaily[Adjusted close],MAX(1,$A480-200+1)):E480)=200,AVERAGE(INDEX(StockDaily[Adjusted close],MAX(1,$A480-200+1)):E480),"n.a.")))</f>
        <v/>
      </c>
      <c r="H480" s="136" t="str">
        <f>IF($A480&gt;MIN($A$10,$A$2),"",IF($A$5="","Choose stock",IF(NOT($A$12),"Check split rule",IF(NOT(ISNUMBER(B480)),"Invalid date",IF(OR(B480&lt;=0,B480&lt;&gt;INT(B480)),"Invalid date",IF(COUNTIFS(DemoHistory[Date],B480)&lt;&gt;1,"Duplicate date",IF(AND($A480&gt;1,B480&lt;=B479),"Dates out of order",IF(NOT(ISNUMBER(C480)),"Missing price",IF(C480&lt;=0,"Nonpositive price","OK")))))))))</f>
        <v/>
      </c>
      <c r="I480" s="136"/>
      <c r="J480" s="136"/>
      <c r="K480" s="136"/>
      <c r="L480" s="136"/>
      <c r="M480" s="136"/>
      <c r="N480" s="136" t="e">
        <f t="shared" si="19"/>
        <v>#N/A</v>
      </c>
      <c r="O480" s="136" t="e">
        <f t="shared" si="20"/>
        <v>#N/A</v>
      </c>
    </row>
    <row r="481" spans="1:15" ht="22" customHeight="1" x14ac:dyDescent="0.35">
      <c r="A481" s="136">
        <v>437</v>
      </c>
      <c r="B481" s="165" t="str">
        <f>IF($A481&gt;MIN($A$10,$A$2),"",INDEX(DemoHistory[Date],$A481))</f>
        <v/>
      </c>
      <c r="C481" s="166" t="str">
        <f>IF(OR($A481&gt;MIN($A$10,$A$2),$A$5=""),"",INDEX(DemoHistory[],$A481,MATCH($A$5,DemoHistory[#Headers],0)))</f>
        <v/>
      </c>
      <c r="D481" s="166" t="str">
        <f>IF($A481&gt;MIN($A$10,$A$2),"",IF(AND($A$12,$A$6=1,B481&lt;$A$7,$A$7&lt;=MAX(DemoHistory[Date])),$A$8,1))</f>
        <v/>
      </c>
      <c r="E481" s="166" t="str">
        <f t="shared" si="18"/>
        <v/>
      </c>
      <c r="F481" s="166" t="str">
        <f>IF($A481&gt;MIN($A$10,$A$2),"",IF($A481&lt;50,"n.a.",IF(COUNT(INDEX(StockDaily[Adjusted close],MAX(1,$A481-50+1)):E481)=50,AVERAGE(INDEX(StockDaily[Adjusted close],MAX(1,$A481-50+1)):E481),"n.a.")))</f>
        <v/>
      </c>
      <c r="G481" s="166" t="str">
        <f>IF($A481&gt;MIN($A$10,$A$2),"",IF($A481&lt;200,"n.a.",IF(COUNT(INDEX(StockDaily[Adjusted close],MAX(1,$A481-200+1)):E481)=200,AVERAGE(INDEX(StockDaily[Adjusted close],MAX(1,$A481-200+1)):E481),"n.a.")))</f>
        <v/>
      </c>
      <c r="H481" s="136" t="str">
        <f>IF($A481&gt;MIN($A$10,$A$2),"",IF($A$5="","Choose stock",IF(NOT($A$12),"Check split rule",IF(NOT(ISNUMBER(B481)),"Invalid date",IF(OR(B481&lt;=0,B481&lt;&gt;INT(B481)),"Invalid date",IF(COUNTIFS(DemoHistory[Date],B481)&lt;&gt;1,"Duplicate date",IF(AND($A481&gt;1,B481&lt;=B480),"Dates out of order",IF(NOT(ISNUMBER(C481)),"Missing price",IF(C481&lt;=0,"Nonpositive price","OK")))))))))</f>
        <v/>
      </c>
      <c r="I481" s="136"/>
      <c r="J481" s="136"/>
      <c r="K481" s="136"/>
      <c r="L481" s="136"/>
      <c r="M481" s="136"/>
      <c r="N481" s="136" t="e">
        <f t="shared" si="19"/>
        <v>#N/A</v>
      </c>
      <c r="O481" s="136" t="e">
        <f t="shared" si="20"/>
        <v>#N/A</v>
      </c>
    </row>
    <row r="482" spans="1:15" ht="22" customHeight="1" x14ac:dyDescent="0.35">
      <c r="A482" s="136">
        <v>438</v>
      </c>
      <c r="B482" s="165" t="str">
        <f>IF($A482&gt;MIN($A$10,$A$2),"",INDEX(DemoHistory[Date],$A482))</f>
        <v/>
      </c>
      <c r="C482" s="166" t="str">
        <f>IF(OR($A482&gt;MIN($A$10,$A$2),$A$5=""),"",INDEX(DemoHistory[],$A482,MATCH($A$5,DemoHistory[#Headers],0)))</f>
        <v/>
      </c>
      <c r="D482" s="166" t="str">
        <f>IF($A482&gt;MIN($A$10,$A$2),"",IF(AND($A$12,$A$6=1,B482&lt;$A$7,$A$7&lt;=MAX(DemoHistory[Date])),$A$8,1))</f>
        <v/>
      </c>
      <c r="E482" s="166" t="str">
        <f t="shared" si="18"/>
        <v/>
      </c>
      <c r="F482" s="166" t="str">
        <f>IF($A482&gt;MIN($A$10,$A$2),"",IF($A482&lt;50,"n.a.",IF(COUNT(INDEX(StockDaily[Adjusted close],MAX(1,$A482-50+1)):E482)=50,AVERAGE(INDEX(StockDaily[Adjusted close],MAX(1,$A482-50+1)):E482),"n.a.")))</f>
        <v/>
      </c>
      <c r="G482" s="166" t="str">
        <f>IF($A482&gt;MIN($A$10,$A$2),"",IF($A482&lt;200,"n.a.",IF(COUNT(INDEX(StockDaily[Adjusted close],MAX(1,$A482-200+1)):E482)=200,AVERAGE(INDEX(StockDaily[Adjusted close],MAX(1,$A482-200+1)):E482),"n.a.")))</f>
        <v/>
      </c>
      <c r="H482" s="136" t="str">
        <f>IF($A482&gt;MIN($A$10,$A$2),"",IF($A$5="","Choose stock",IF(NOT($A$12),"Check split rule",IF(NOT(ISNUMBER(B482)),"Invalid date",IF(OR(B482&lt;=0,B482&lt;&gt;INT(B482)),"Invalid date",IF(COUNTIFS(DemoHistory[Date],B482)&lt;&gt;1,"Duplicate date",IF(AND($A482&gt;1,B482&lt;=B481),"Dates out of order",IF(NOT(ISNUMBER(C482)),"Missing price",IF(C482&lt;=0,"Nonpositive price","OK")))))))))</f>
        <v/>
      </c>
      <c r="I482" s="136"/>
      <c r="J482" s="136"/>
      <c r="K482" s="136"/>
      <c r="L482" s="136"/>
      <c r="M482" s="136"/>
      <c r="N482" s="136" t="e">
        <f t="shared" si="19"/>
        <v>#N/A</v>
      </c>
      <c r="O482" s="136" t="e">
        <f t="shared" si="20"/>
        <v>#N/A</v>
      </c>
    </row>
    <row r="483" spans="1:15" ht="22" customHeight="1" x14ac:dyDescent="0.35">
      <c r="A483" s="136">
        <v>439</v>
      </c>
      <c r="B483" s="165" t="str">
        <f>IF($A483&gt;MIN($A$10,$A$2),"",INDEX(DemoHistory[Date],$A483))</f>
        <v/>
      </c>
      <c r="C483" s="166" t="str">
        <f>IF(OR($A483&gt;MIN($A$10,$A$2),$A$5=""),"",INDEX(DemoHistory[],$A483,MATCH($A$5,DemoHistory[#Headers],0)))</f>
        <v/>
      </c>
      <c r="D483" s="166" t="str">
        <f>IF($A483&gt;MIN($A$10,$A$2),"",IF(AND($A$12,$A$6=1,B483&lt;$A$7,$A$7&lt;=MAX(DemoHistory[Date])),$A$8,1))</f>
        <v/>
      </c>
      <c r="E483" s="166" t="str">
        <f t="shared" si="18"/>
        <v/>
      </c>
      <c r="F483" s="166" t="str">
        <f>IF($A483&gt;MIN($A$10,$A$2),"",IF($A483&lt;50,"n.a.",IF(COUNT(INDEX(StockDaily[Adjusted close],MAX(1,$A483-50+1)):E483)=50,AVERAGE(INDEX(StockDaily[Adjusted close],MAX(1,$A483-50+1)):E483),"n.a.")))</f>
        <v/>
      </c>
      <c r="G483" s="166" t="str">
        <f>IF($A483&gt;MIN($A$10,$A$2),"",IF($A483&lt;200,"n.a.",IF(COUNT(INDEX(StockDaily[Adjusted close],MAX(1,$A483-200+1)):E483)=200,AVERAGE(INDEX(StockDaily[Adjusted close],MAX(1,$A483-200+1)):E483),"n.a.")))</f>
        <v/>
      </c>
      <c r="H483" s="136" t="str">
        <f>IF($A483&gt;MIN($A$10,$A$2),"",IF($A$5="","Choose stock",IF(NOT($A$12),"Check split rule",IF(NOT(ISNUMBER(B483)),"Invalid date",IF(OR(B483&lt;=0,B483&lt;&gt;INT(B483)),"Invalid date",IF(COUNTIFS(DemoHistory[Date],B483)&lt;&gt;1,"Duplicate date",IF(AND($A483&gt;1,B483&lt;=B482),"Dates out of order",IF(NOT(ISNUMBER(C483)),"Missing price",IF(C483&lt;=0,"Nonpositive price","OK")))))))))</f>
        <v/>
      </c>
      <c r="I483" s="136"/>
      <c r="J483" s="136"/>
      <c r="K483" s="136"/>
      <c r="L483" s="136"/>
      <c r="M483" s="136"/>
      <c r="N483" s="136" t="e">
        <f t="shared" si="19"/>
        <v>#N/A</v>
      </c>
      <c r="O483" s="136" t="e">
        <f t="shared" si="20"/>
        <v>#N/A</v>
      </c>
    </row>
    <row r="484" spans="1:15" ht="22" customHeight="1" x14ac:dyDescent="0.35">
      <c r="A484" s="136">
        <v>440</v>
      </c>
      <c r="B484" s="165" t="str">
        <f>IF($A484&gt;MIN($A$10,$A$2),"",INDEX(DemoHistory[Date],$A484))</f>
        <v/>
      </c>
      <c r="C484" s="166" t="str">
        <f>IF(OR($A484&gt;MIN($A$10,$A$2),$A$5=""),"",INDEX(DemoHistory[],$A484,MATCH($A$5,DemoHistory[#Headers],0)))</f>
        <v/>
      </c>
      <c r="D484" s="166" t="str">
        <f>IF($A484&gt;MIN($A$10,$A$2),"",IF(AND($A$12,$A$6=1,B484&lt;$A$7,$A$7&lt;=MAX(DemoHistory[Date])),$A$8,1))</f>
        <v/>
      </c>
      <c r="E484" s="166" t="str">
        <f t="shared" si="18"/>
        <v/>
      </c>
      <c r="F484" s="166" t="str">
        <f>IF($A484&gt;MIN($A$10,$A$2),"",IF($A484&lt;50,"n.a.",IF(COUNT(INDEX(StockDaily[Adjusted close],MAX(1,$A484-50+1)):E484)=50,AVERAGE(INDEX(StockDaily[Adjusted close],MAX(1,$A484-50+1)):E484),"n.a.")))</f>
        <v/>
      </c>
      <c r="G484" s="166" t="str">
        <f>IF($A484&gt;MIN($A$10,$A$2),"",IF($A484&lt;200,"n.a.",IF(COUNT(INDEX(StockDaily[Adjusted close],MAX(1,$A484-200+1)):E484)=200,AVERAGE(INDEX(StockDaily[Adjusted close],MAX(1,$A484-200+1)):E484),"n.a.")))</f>
        <v/>
      </c>
      <c r="H484" s="136" t="str">
        <f>IF($A484&gt;MIN($A$10,$A$2),"",IF($A$5="","Choose stock",IF(NOT($A$12),"Check split rule",IF(NOT(ISNUMBER(B484)),"Invalid date",IF(OR(B484&lt;=0,B484&lt;&gt;INT(B484)),"Invalid date",IF(COUNTIFS(DemoHistory[Date],B484)&lt;&gt;1,"Duplicate date",IF(AND($A484&gt;1,B484&lt;=B483),"Dates out of order",IF(NOT(ISNUMBER(C484)),"Missing price",IF(C484&lt;=0,"Nonpositive price","OK")))))))))</f>
        <v/>
      </c>
      <c r="I484" s="136"/>
      <c r="J484" s="136"/>
      <c r="K484" s="136"/>
      <c r="L484" s="136"/>
      <c r="M484" s="136"/>
      <c r="N484" s="136" t="e">
        <f t="shared" si="19"/>
        <v>#N/A</v>
      </c>
      <c r="O484" s="136" t="e">
        <f t="shared" si="20"/>
        <v>#N/A</v>
      </c>
    </row>
    <row r="485" spans="1:15" ht="22" customHeight="1" x14ac:dyDescent="0.35">
      <c r="A485" s="136">
        <v>441</v>
      </c>
      <c r="B485" s="165" t="str">
        <f>IF($A485&gt;MIN($A$10,$A$2),"",INDEX(DemoHistory[Date],$A485))</f>
        <v/>
      </c>
      <c r="C485" s="166" t="str">
        <f>IF(OR($A485&gt;MIN($A$10,$A$2),$A$5=""),"",INDEX(DemoHistory[],$A485,MATCH($A$5,DemoHistory[#Headers],0)))</f>
        <v/>
      </c>
      <c r="D485" s="166" t="str">
        <f>IF($A485&gt;MIN($A$10,$A$2),"",IF(AND($A$12,$A$6=1,B485&lt;$A$7,$A$7&lt;=MAX(DemoHistory[Date])),$A$8,1))</f>
        <v/>
      </c>
      <c r="E485" s="166" t="str">
        <f t="shared" si="18"/>
        <v/>
      </c>
      <c r="F485" s="166" t="str">
        <f>IF($A485&gt;MIN($A$10,$A$2),"",IF($A485&lt;50,"n.a.",IF(COUNT(INDEX(StockDaily[Adjusted close],MAX(1,$A485-50+1)):E485)=50,AVERAGE(INDEX(StockDaily[Adjusted close],MAX(1,$A485-50+1)):E485),"n.a.")))</f>
        <v/>
      </c>
      <c r="G485" s="166" t="str">
        <f>IF($A485&gt;MIN($A$10,$A$2),"",IF($A485&lt;200,"n.a.",IF(COUNT(INDEX(StockDaily[Adjusted close],MAX(1,$A485-200+1)):E485)=200,AVERAGE(INDEX(StockDaily[Adjusted close],MAX(1,$A485-200+1)):E485),"n.a.")))</f>
        <v/>
      </c>
      <c r="H485" s="136" t="str">
        <f>IF($A485&gt;MIN($A$10,$A$2),"",IF($A$5="","Choose stock",IF(NOT($A$12),"Check split rule",IF(NOT(ISNUMBER(B485)),"Invalid date",IF(OR(B485&lt;=0,B485&lt;&gt;INT(B485)),"Invalid date",IF(COUNTIFS(DemoHistory[Date],B485)&lt;&gt;1,"Duplicate date",IF(AND($A485&gt;1,B485&lt;=B484),"Dates out of order",IF(NOT(ISNUMBER(C485)),"Missing price",IF(C485&lt;=0,"Nonpositive price","OK")))))))))</f>
        <v/>
      </c>
      <c r="I485" s="136"/>
      <c r="J485" s="136"/>
      <c r="K485" s="136"/>
      <c r="L485" s="136"/>
      <c r="M485" s="136"/>
      <c r="N485" s="136" t="e">
        <f t="shared" si="19"/>
        <v>#N/A</v>
      </c>
      <c r="O485" s="136" t="e">
        <f t="shared" si="20"/>
        <v>#N/A</v>
      </c>
    </row>
    <row r="486" spans="1:15" ht="22" customHeight="1" x14ac:dyDescent="0.35">
      <c r="A486" s="136">
        <v>442</v>
      </c>
      <c r="B486" s="165" t="str">
        <f>IF($A486&gt;MIN($A$10,$A$2),"",INDEX(DemoHistory[Date],$A486))</f>
        <v/>
      </c>
      <c r="C486" s="166" t="str">
        <f>IF(OR($A486&gt;MIN($A$10,$A$2),$A$5=""),"",INDEX(DemoHistory[],$A486,MATCH($A$5,DemoHistory[#Headers],0)))</f>
        <v/>
      </c>
      <c r="D486" s="166" t="str">
        <f>IF($A486&gt;MIN($A$10,$A$2),"",IF(AND($A$12,$A$6=1,B486&lt;$A$7,$A$7&lt;=MAX(DemoHistory[Date])),$A$8,1))</f>
        <v/>
      </c>
      <c r="E486" s="166" t="str">
        <f t="shared" si="18"/>
        <v/>
      </c>
      <c r="F486" s="166" t="str">
        <f>IF($A486&gt;MIN($A$10,$A$2),"",IF($A486&lt;50,"n.a.",IF(COUNT(INDEX(StockDaily[Adjusted close],MAX(1,$A486-50+1)):E486)=50,AVERAGE(INDEX(StockDaily[Adjusted close],MAX(1,$A486-50+1)):E486),"n.a.")))</f>
        <v/>
      </c>
      <c r="G486" s="166" t="str">
        <f>IF($A486&gt;MIN($A$10,$A$2),"",IF($A486&lt;200,"n.a.",IF(COUNT(INDEX(StockDaily[Adjusted close],MAX(1,$A486-200+1)):E486)=200,AVERAGE(INDEX(StockDaily[Adjusted close],MAX(1,$A486-200+1)):E486),"n.a.")))</f>
        <v/>
      </c>
      <c r="H486" s="136" t="str">
        <f>IF($A486&gt;MIN($A$10,$A$2),"",IF($A$5="","Choose stock",IF(NOT($A$12),"Check split rule",IF(NOT(ISNUMBER(B486)),"Invalid date",IF(OR(B486&lt;=0,B486&lt;&gt;INT(B486)),"Invalid date",IF(COUNTIFS(DemoHistory[Date],B486)&lt;&gt;1,"Duplicate date",IF(AND($A486&gt;1,B486&lt;=B485),"Dates out of order",IF(NOT(ISNUMBER(C486)),"Missing price",IF(C486&lt;=0,"Nonpositive price","OK")))))))))</f>
        <v/>
      </c>
      <c r="I486" s="136"/>
      <c r="J486" s="136"/>
      <c r="K486" s="136"/>
      <c r="L486" s="136"/>
      <c r="M486" s="136"/>
      <c r="N486" s="136" t="e">
        <f t="shared" si="19"/>
        <v>#N/A</v>
      </c>
      <c r="O486" s="136" t="e">
        <f t="shared" si="20"/>
        <v>#N/A</v>
      </c>
    </row>
    <row r="487" spans="1:15" ht="22" customHeight="1" x14ac:dyDescent="0.35">
      <c r="A487" s="136">
        <v>443</v>
      </c>
      <c r="B487" s="165" t="str">
        <f>IF($A487&gt;MIN($A$10,$A$2),"",INDEX(DemoHistory[Date],$A487))</f>
        <v/>
      </c>
      <c r="C487" s="166" t="str">
        <f>IF(OR($A487&gt;MIN($A$10,$A$2),$A$5=""),"",INDEX(DemoHistory[],$A487,MATCH($A$5,DemoHistory[#Headers],0)))</f>
        <v/>
      </c>
      <c r="D487" s="166" t="str">
        <f>IF($A487&gt;MIN($A$10,$A$2),"",IF(AND($A$12,$A$6=1,B487&lt;$A$7,$A$7&lt;=MAX(DemoHistory[Date])),$A$8,1))</f>
        <v/>
      </c>
      <c r="E487" s="166" t="str">
        <f t="shared" si="18"/>
        <v/>
      </c>
      <c r="F487" s="166" t="str">
        <f>IF($A487&gt;MIN($A$10,$A$2),"",IF($A487&lt;50,"n.a.",IF(COUNT(INDEX(StockDaily[Adjusted close],MAX(1,$A487-50+1)):E487)=50,AVERAGE(INDEX(StockDaily[Adjusted close],MAX(1,$A487-50+1)):E487),"n.a.")))</f>
        <v/>
      </c>
      <c r="G487" s="166" t="str">
        <f>IF($A487&gt;MIN($A$10,$A$2),"",IF($A487&lt;200,"n.a.",IF(COUNT(INDEX(StockDaily[Adjusted close],MAX(1,$A487-200+1)):E487)=200,AVERAGE(INDEX(StockDaily[Adjusted close],MAX(1,$A487-200+1)):E487),"n.a.")))</f>
        <v/>
      </c>
      <c r="H487" s="136" t="str">
        <f>IF($A487&gt;MIN($A$10,$A$2),"",IF($A$5="","Choose stock",IF(NOT($A$12),"Check split rule",IF(NOT(ISNUMBER(B487)),"Invalid date",IF(OR(B487&lt;=0,B487&lt;&gt;INT(B487)),"Invalid date",IF(COUNTIFS(DemoHistory[Date],B487)&lt;&gt;1,"Duplicate date",IF(AND($A487&gt;1,B487&lt;=B486),"Dates out of order",IF(NOT(ISNUMBER(C487)),"Missing price",IF(C487&lt;=0,"Nonpositive price","OK")))))))))</f>
        <v/>
      </c>
      <c r="I487" s="136"/>
      <c r="J487" s="136"/>
      <c r="K487" s="136"/>
      <c r="L487" s="136"/>
      <c r="M487" s="136"/>
      <c r="N487" s="136" t="e">
        <f t="shared" si="19"/>
        <v>#N/A</v>
      </c>
      <c r="O487" s="136" t="e">
        <f t="shared" si="20"/>
        <v>#N/A</v>
      </c>
    </row>
    <row r="488" spans="1:15" ht="22" customHeight="1" x14ac:dyDescent="0.35">
      <c r="A488" s="136">
        <v>444</v>
      </c>
      <c r="B488" s="165" t="str">
        <f>IF($A488&gt;MIN($A$10,$A$2),"",INDEX(DemoHistory[Date],$A488))</f>
        <v/>
      </c>
      <c r="C488" s="166" t="str">
        <f>IF(OR($A488&gt;MIN($A$10,$A$2),$A$5=""),"",INDEX(DemoHistory[],$A488,MATCH($A$5,DemoHistory[#Headers],0)))</f>
        <v/>
      </c>
      <c r="D488" s="166" t="str">
        <f>IF($A488&gt;MIN($A$10,$A$2),"",IF(AND($A$12,$A$6=1,B488&lt;$A$7,$A$7&lt;=MAX(DemoHistory[Date])),$A$8,1))</f>
        <v/>
      </c>
      <c r="E488" s="166" t="str">
        <f t="shared" si="18"/>
        <v/>
      </c>
      <c r="F488" s="166" t="str">
        <f>IF($A488&gt;MIN($A$10,$A$2),"",IF($A488&lt;50,"n.a.",IF(COUNT(INDEX(StockDaily[Adjusted close],MAX(1,$A488-50+1)):E488)=50,AVERAGE(INDEX(StockDaily[Adjusted close],MAX(1,$A488-50+1)):E488),"n.a.")))</f>
        <v/>
      </c>
      <c r="G488" s="166" t="str">
        <f>IF($A488&gt;MIN($A$10,$A$2),"",IF($A488&lt;200,"n.a.",IF(COUNT(INDEX(StockDaily[Adjusted close],MAX(1,$A488-200+1)):E488)=200,AVERAGE(INDEX(StockDaily[Adjusted close],MAX(1,$A488-200+1)):E488),"n.a.")))</f>
        <v/>
      </c>
      <c r="H488" s="136" t="str">
        <f>IF($A488&gt;MIN($A$10,$A$2),"",IF($A$5="","Choose stock",IF(NOT($A$12),"Check split rule",IF(NOT(ISNUMBER(B488)),"Invalid date",IF(OR(B488&lt;=0,B488&lt;&gt;INT(B488)),"Invalid date",IF(COUNTIFS(DemoHistory[Date],B488)&lt;&gt;1,"Duplicate date",IF(AND($A488&gt;1,B488&lt;=B487),"Dates out of order",IF(NOT(ISNUMBER(C488)),"Missing price",IF(C488&lt;=0,"Nonpositive price","OK")))))))))</f>
        <v/>
      </c>
      <c r="I488" s="136"/>
      <c r="J488" s="136"/>
      <c r="K488" s="136"/>
      <c r="L488" s="136"/>
      <c r="M488" s="136"/>
      <c r="N488" s="136" t="e">
        <f t="shared" si="19"/>
        <v>#N/A</v>
      </c>
      <c r="O488" s="136" t="e">
        <f t="shared" si="20"/>
        <v>#N/A</v>
      </c>
    </row>
    <row r="489" spans="1:15" ht="22" customHeight="1" x14ac:dyDescent="0.35">
      <c r="A489" s="136">
        <v>445</v>
      </c>
      <c r="B489" s="165" t="str">
        <f>IF($A489&gt;MIN($A$10,$A$2),"",INDEX(DemoHistory[Date],$A489))</f>
        <v/>
      </c>
      <c r="C489" s="166" t="str">
        <f>IF(OR($A489&gt;MIN($A$10,$A$2),$A$5=""),"",INDEX(DemoHistory[],$A489,MATCH($A$5,DemoHistory[#Headers],0)))</f>
        <v/>
      </c>
      <c r="D489" s="166" t="str">
        <f>IF($A489&gt;MIN($A$10,$A$2),"",IF(AND($A$12,$A$6=1,B489&lt;$A$7,$A$7&lt;=MAX(DemoHistory[Date])),$A$8,1))</f>
        <v/>
      </c>
      <c r="E489" s="166" t="str">
        <f t="shared" si="18"/>
        <v/>
      </c>
      <c r="F489" s="166" t="str">
        <f>IF($A489&gt;MIN($A$10,$A$2),"",IF($A489&lt;50,"n.a.",IF(COUNT(INDEX(StockDaily[Adjusted close],MAX(1,$A489-50+1)):E489)=50,AVERAGE(INDEX(StockDaily[Adjusted close],MAX(1,$A489-50+1)):E489),"n.a.")))</f>
        <v/>
      </c>
      <c r="G489" s="166" t="str">
        <f>IF($A489&gt;MIN($A$10,$A$2),"",IF($A489&lt;200,"n.a.",IF(COUNT(INDEX(StockDaily[Adjusted close],MAX(1,$A489-200+1)):E489)=200,AVERAGE(INDEX(StockDaily[Adjusted close],MAX(1,$A489-200+1)):E489),"n.a.")))</f>
        <v/>
      </c>
      <c r="H489" s="136" t="str">
        <f>IF($A489&gt;MIN($A$10,$A$2),"",IF($A$5="","Choose stock",IF(NOT($A$12),"Check split rule",IF(NOT(ISNUMBER(B489)),"Invalid date",IF(OR(B489&lt;=0,B489&lt;&gt;INT(B489)),"Invalid date",IF(COUNTIFS(DemoHistory[Date],B489)&lt;&gt;1,"Duplicate date",IF(AND($A489&gt;1,B489&lt;=B488),"Dates out of order",IF(NOT(ISNUMBER(C489)),"Missing price",IF(C489&lt;=0,"Nonpositive price","OK")))))))))</f>
        <v/>
      </c>
      <c r="I489" s="136"/>
      <c r="J489" s="136"/>
      <c r="K489" s="136"/>
      <c r="L489" s="136"/>
      <c r="M489" s="136"/>
      <c r="N489" s="136" t="e">
        <f t="shared" si="19"/>
        <v>#N/A</v>
      </c>
      <c r="O489" s="136" t="e">
        <f t="shared" si="20"/>
        <v>#N/A</v>
      </c>
    </row>
    <row r="490" spans="1:15" ht="22" customHeight="1" x14ac:dyDescent="0.35">
      <c r="A490" s="136">
        <v>446</v>
      </c>
      <c r="B490" s="165" t="str">
        <f>IF($A490&gt;MIN($A$10,$A$2),"",INDEX(DemoHistory[Date],$A490))</f>
        <v/>
      </c>
      <c r="C490" s="166" t="str">
        <f>IF(OR($A490&gt;MIN($A$10,$A$2),$A$5=""),"",INDEX(DemoHistory[],$A490,MATCH($A$5,DemoHistory[#Headers],0)))</f>
        <v/>
      </c>
      <c r="D490" s="166" t="str">
        <f>IF($A490&gt;MIN($A$10,$A$2),"",IF(AND($A$12,$A$6=1,B490&lt;$A$7,$A$7&lt;=MAX(DemoHistory[Date])),$A$8,1))</f>
        <v/>
      </c>
      <c r="E490" s="166" t="str">
        <f t="shared" si="18"/>
        <v/>
      </c>
      <c r="F490" s="166" t="str">
        <f>IF($A490&gt;MIN($A$10,$A$2),"",IF($A490&lt;50,"n.a.",IF(COUNT(INDEX(StockDaily[Adjusted close],MAX(1,$A490-50+1)):E490)=50,AVERAGE(INDEX(StockDaily[Adjusted close],MAX(1,$A490-50+1)):E490),"n.a.")))</f>
        <v/>
      </c>
      <c r="G490" s="166" t="str">
        <f>IF($A490&gt;MIN($A$10,$A$2),"",IF($A490&lt;200,"n.a.",IF(COUNT(INDEX(StockDaily[Adjusted close],MAX(1,$A490-200+1)):E490)=200,AVERAGE(INDEX(StockDaily[Adjusted close],MAX(1,$A490-200+1)):E490),"n.a.")))</f>
        <v/>
      </c>
      <c r="H490" s="136" t="str">
        <f>IF($A490&gt;MIN($A$10,$A$2),"",IF($A$5="","Choose stock",IF(NOT($A$12),"Check split rule",IF(NOT(ISNUMBER(B490)),"Invalid date",IF(OR(B490&lt;=0,B490&lt;&gt;INT(B490)),"Invalid date",IF(COUNTIFS(DemoHistory[Date],B490)&lt;&gt;1,"Duplicate date",IF(AND($A490&gt;1,B490&lt;=B489),"Dates out of order",IF(NOT(ISNUMBER(C490)),"Missing price",IF(C490&lt;=0,"Nonpositive price","OK")))))))))</f>
        <v/>
      </c>
      <c r="I490" s="136"/>
      <c r="J490" s="136"/>
      <c r="K490" s="136"/>
      <c r="L490" s="136"/>
      <c r="M490" s="136"/>
      <c r="N490" s="136" t="e">
        <f t="shared" si="19"/>
        <v>#N/A</v>
      </c>
      <c r="O490" s="136" t="e">
        <f t="shared" si="20"/>
        <v>#N/A</v>
      </c>
    </row>
    <row r="491" spans="1:15" ht="22" customHeight="1" x14ac:dyDescent="0.35">
      <c r="A491" s="136">
        <v>447</v>
      </c>
      <c r="B491" s="165" t="str">
        <f>IF($A491&gt;MIN($A$10,$A$2),"",INDEX(DemoHistory[Date],$A491))</f>
        <v/>
      </c>
      <c r="C491" s="166" t="str">
        <f>IF(OR($A491&gt;MIN($A$10,$A$2),$A$5=""),"",INDEX(DemoHistory[],$A491,MATCH($A$5,DemoHistory[#Headers],0)))</f>
        <v/>
      </c>
      <c r="D491" s="166" t="str">
        <f>IF($A491&gt;MIN($A$10,$A$2),"",IF(AND($A$12,$A$6=1,B491&lt;$A$7,$A$7&lt;=MAX(DemoHistory[Date])),$A$8,1))</f>
        <v/>
      </c>
      <c r="E491" s="166" t="str">
        <f t="shared" si="18"/>
        <v/>
      </c>
      <c r="F491" s="166" t="str">
        <f>IF($A491&gt;MIN($A$10,$A$2),"",IF($A491&lt;50,"n.a.",IF(COUNT(INDEX(StockDaily[Adjusted close],MAX(1,$A491-50+1)):E491)=50,AVERAGE(INDEX(StockDaily[Adjusted close],MAX(1,$A491-50+1)):E491),"n.a.")))</f>
        <v/>
      </c>
      <c r="G491" s="166" t="str">
        <f>IF($A491&gt;MIN($A$10,$A$2),"",IF($A491&lt;200,"n.a.",IF(COUNT(INDEX(StockDaily[Adjusted close],MAX(1,$A491-200+1)):E491)=200,AVERAGE(INDEX(StockDaily[Adjusted close],MAX(1,$A491-200+1)):E491),"n.a.")))</f>
        <v/>
      </c>
      <c r="H491" s="136" t="str">
        <f>IF($A491&gt;MIN($A$10,$A$2),"",IF($A$5="","Choose stock",IF(NOT($A$12),"Check split rule",IF(NOT(ISNUMBER(B491)),"Invalid date",IF(OR(B491&lt;=0,B491&lt;&gt;INT(B491)),"Invalid date",IF(COUNTIFS(DemoHistory[Date],B491)&lt;&gt;1,"Duplicate date",IF(AND($A491&gt;1,B491&lt;=B490),"Dates out of order",IF(NOT(ISNUMBER(C491)),"Missing price",IF(C491&lt;=0,"Nonpositive price","OK")))))))))</f>
        <v/>
      </c>
      <c r="I491" s="136"/>
      <c r="J491" s="136"/>
      <c r="K491" s="136"/>
      <c r="L491" s="136"/>
      <c r="M491" s="136"/>
      <c r="N491" s="136" t="e">
        <f t="shared" si="19"/>
        <v>#N/A</v>
      </c>
      <c r="O491" s="136" t="e">
        <f t="shared" si="20"/>
        <v>#N/A</v>
      </c>
    </row>
    <row r="492" spans="1:15" ht="22" customHeight="1" x14ac:dyDescent="0.35">
      <c r="A492" s="136">
        <v>448</v>
      </c>
      <c r="B492" s="165" t="str">
        <f>IF($A492&gt;MIN($A$10,$A$2),"",INDEX(DemoHistory[Date],$A492))</f>
        <v/>
      </c>
      <c r="C492" s="166" t="str">
        <f>IF(OR($A492&gt;MIN($A$10,$A$2),$A$5=""),"",INDEX(DemoHistory[],$A492,MATCH($A$5,DemoHistory[#Headers],0)))</f>
        <v/>
      </c>
      <c r="D492" s="166" t="str">
        <f>IF($A492&gt;MIN($A$10,$A$2),"",IF(AND($A$12,$A$6=1,B492&lt;$A$7,$A$7&lt;=MAX(DemoHistory[Date])),$A$8,1))</f>
        <v/>
      </c>
      <c r="E492" s="166" t="str">
        <f t="shared" si="18"/>
        <v/>
      </c>
      <c r="F492" s="166" t="str">
        <f>IF($A492&gt;MIN($A$10,$A$2),"",IF($A492&lt;50,"n.a.",IF(COUNT(INDEX(StockDaily[Adjusted close],MAX(1,$A492-50+1)):E492)=50,AVERAGE(INDEX(StockDaily[Adjusted close],MAX(1,$A492-50+1)):E492),"n.a.")))</f>
        <v/>
      </c>
      <c r="G492" s="166" t="str">
        <f>IF($A492&gt;MIN($A$10,$A$2),"",IF($A492&lt;200,"n.a.",IF(COUNT(INDEX(StockDaily[Adjusted close],MAX(1,$A492-200+1)):E492)=200,AVERAGE(INDEX(StockDaily[Adjusted close],MAX(1,$A492-200+1)):E492),"n.a.")))</f>
        <v/>
      </c>
      <c r="H492" s="136" t="str">
        <f>IF($A492&gt;MIN($A$10,$A$2),"",IF($A$5="","Choose stock",IF(NOT($A$12),"Check split rule",IF(NOT(ISNUMBER(B492)),"Invalid date",IF(OR(B492&lt;=0,B492&lt;&gt;INT(B492)),"Invalid date",IF(COUNTIFS(DemoHistory[Date],B492)&lt;&gt;1,"Duplicate date",IF(AND($A492&gt;1,B492&lt;=B491),"Dates out of order",IF(NOT(ISNUMBER(C492)),"Missing price",IF(C492&lt;=0,"Nonpositive price","OK")))))))))</f>
        <v/>
      </c>
      <c r="I492" s="136"/>
      <c r="J492" s="136"/>
      <c r="K492" s="136"/>
      <c r="L492" s="136"/>
      <c r="M492" s="136"/>
      <c r="N492" s="136" t="e">
        <f t="shared" si="19"/>
        <v>#N/A</v>
      </c>
      <c r="O492" s="136" t="e">
        <f t="shared" si="20"/>
        <v>#N/A</v>
      </c>
    </row>
    <row r="493" spans="1:15" ht="22" customHeight="1" x14ac:dyDescent="0.35">
      <c r="A493" s="136">
        <v>449</v>
      </c>
      <c r="B493" s="165" t="str">
        <f>IF($A493&gt;MIN($A$10,$A$2),"",INDEX(DemoHistory[Date],$A493))</f>
        <v/>
      </c>
      <c r="C493" s="166" t="str">
        <f>IF(OR($A493&gt;MIN($A$10,$A$2),$A$5=""),"",INDEX(DemoHistory[],$A493,MATCH($A$5,DemoHistory[#Headers],0)))</f>
        <v/>
      </c>
      <c r="D493" s="166" t="str">
        <f>IF($A493&gt;MIN($A$10,$A$2),"",IF(AND($A$12,$A$6=1,B493&lt;$A$7,$A$7&lt;=MAX(DemoHistory[Date])),$A$8,1))</f>
        <v/>
      </c>
      <c r="E493" s="166" t="str">
        <f t="shared" ref="E493:E556" si="21">IF($A493&gt;MIN($A$10,$A$2),"",IF(H493="OK",C493/D493,"n.a."))</f>
        <v/>
      </c>
      <c r="F493" s="166" t="str">
        <f>IF($A493&gt;MIN($A$10,$A$2),"",IF($A493&lt;50,"n.a.",IF(COUNT(INDEX(StockDaily[Adjusted close],MAX(1,$A493-50+1)):E493)=50,AVERAGE(INDEX(StockDaily[Adjusted close],MAX(1,$A493-50+1)):E493),"n.a.")))</f>
        <v/>
      </c>
      <c r="G493" s="166" t="str">
        <f>IF($A493&gt;MIN($A$10,$A$2),"",IF($A493&lt;200,"n.a.",IF(COUNT(INDEX(StockDaily[Adjusted close],MAX(1,$A493-200+1)):E493)=200,AVERAGE(INDEX(StockDaily[Adjusted close],MAX(1,$A493-200+1)):E493),"n.a.")))</f>
        <v/>
      </c>
      <c r="H493" s="136" t="str">
        <f>IF($A493&gt;MIN($A$10,$A$2),"",IF($A$5="","Choose stock",IF(NOT($A$12),"Check split rule",IF(NOT(ISNUMBER(B493)),"Invalid date",IF(OR(B493&lt;=0,B493&lt;&gt;INT(B493)),"Invalid date",IF(COUNTIFS(DemoHistory[Date],B493)&lt;&gt;1,"Duplicate date",IF(AND($A493&gt;1,B493&lt;=B492),"Dates out of order",IF(NOT(ISNUMBER(C493)),"Missing price",IF(C493&lt;=0,"Nonpositive price","OK")))))))))</f>
        <v/>
      </c>
      <c r="I493" s="136"/>
      <c r="J493" s="136"/>
      <c r="K493" s="136"/>
      <c r="L493" s="136"/>
      <c r="M493" s="136"/>
      <c r="N493" s="136" t="e">
        <f t="shared" ref="N493:N556" si="22">IF(AND($A$13="Ready",ISNUMBER(E493)),E493,NA())</f>
        <v>#N/A</v>
      </c>
      <c r="O493" s="136" t="e">
        <f t="shared" ref="O493:O556" si="23">IF(AND($A$13="Ready",ISNUMBER(F493)),F493,NA())</f>
        <v>#N/A</v>
      </c>
    </row>
    <row r="494" spans="1:15" ht="22" customHeight="1" x14ac:dyDescent="0.35">
      <c r="A494" s="136">
        <v>450</v>
      </c>
      <c r="B494" s="165" t="str">
        <f>IF($A494&gt;MIN($A$10,$A$2),"",INDEX(DemoHistory[Date],$A494))</f>
        <v/>
      </c>
      <c r="C494" s="166" t="str">
        <f>IF(OR($A494&gt;MIN($A$10,$A$2),$A$5=""),"",INDEX(DemoHistory[],$A494,MATCH($A$5,DemoHistory[#Headers],0)))</f>
        <v/>
      </c>
      <c r="D494" s="166" t="str">
        <f>IF($A494&gt;MIN($A$10,$A$2),"",IF(AND($A$12,$A$6=1,B494&lt;$A$7,$A$7&lt;=MAX(DemoHistory[Date])),$A$8,1))</f>
        <v/>
      </c>
      <c r="E494" s="166" t="str">
        <f t="shared" si="21"/>
        <v/>
      </c>
      <c r="F494" s="166" t="str">
        <f>IF($A494&gt;MIN($A$10,$A$2),"",IF($A494&lt;50,"n.a.",IF(COUNT(INDEX(StockDaily[Adjusted close],MAX(1,$A494-50+1)):E494)=50,AVERAGE(INDEX(StockDaily[Adjusted close],MAX(1,$A494-50+1)):E494),"n.a.")))</f>
        <v/>
      </c>
      <c r="G494" s="166" t="str">
        <f>IF($A494&gt;MIN($A$10,$A$2),"",IF($A494&lt;200,"n.a.",IF(COUNT(INDEX(StockDaily[Adjusted close],MAX(1,$A494-200+1)):E494)=200,AVERAGE(INDEX(StockDaily[Adjusted close],MAX(1,$A494-200+1)):E494),"n.a.")))</f>
        <v/>
      </c>
      <c r="H494" s="136" t="str">
        <f>IF($A494&gt;MIN($A$10,$A$2),"",IF($A$5="","Choose stock",IF(NOT($A$12),"Check split rule",IF(NOT(ISNUMBER(B494)),"Invalid date",IF(OR(B494&lt;=0,B494&lt;&gt;INT(B494)),"Invalid date",IF(COUNTIFS(DemoHistory[Date],B494)&lt;&gt;1,"Duplicate date",IF(AND($A494&gt;1,B494&lt;=B493),"Dates out of order",IF(NOT(ISNUMBER(C494)),"Missing price",IF(C494&lt;=0,"Nonpositive price","OK")))))))))</f>
        <v/>
      </c>
      <c r="I494" s="136"/>
      <c r="J494" s="136"/>
      <c r="K494" s="136"/>
      <c r="L494" s="136"/>
      <c r="M494" s="136"/>
      <c r="N494" s="136" t="e">
        <f t="shared" si="22"/>
        <v>#N/A</v>
      </c>
      <c r="O494" s="136" t="e">
        <f t="shared" si="23"/>
        <v>#N/A</v>
      </c>
    </row>
    <row r="495" spans="1:15" ht="22" customHeight="1" x14ac:dyDescent="0.35">
      <c r="A495" s="136">
        <v>451</v>
      </c>
      <c r="B495" s="165" t="str">
        <f>IF($A495&gt;MIN($A$10,$A$2),"",INDEX(DemoHistory[Date],$A495))</f>
        <v/>
      </c>
      <c r="C495" s="166" t="str">
        <f>IF(OR($A495&gt;MIN($A$10,$A$2),$A$5=""),"",INDEX(DemoHistory[],$A495,MATCH($A$5,DemoHistory[#Headers],0)))</f>
        <v/>
      </c>
      <c r="D495" s="166" t="str">
        <f>IF($A495&gt;MIN($A$10,$A$2),"",IF(AND($A$12,$A$6=1,B495&lt;$A$7,$A$7&lt;=MAX(DemoHistory[Date])),$A$8,1))</f>
        <v/>
      </c>
      <c r="E495" s="166" t="str">
        <f t="shared" si="21"/>
        <v/>
      </c>
      <c r="F495" s="166" t="str">
        <f>IF($A495&gt;MIN($A$10,$A$2),"",IF($A495&lt;50,"n.a.",IF(COUNT(INDEX(StockDaily[Adjusted close],MAX(1,$A495-50+1)):E495)=50,AVERAGE(INDEX(StockDaily[Adjusted close],MAX(1,$A495-50+1)):E495),"n.a.")))</f>
        <v/>
      </c>
      <c r="G495" s="166" t="str">
        <f>IF($A495&gt;MIN($A$10,$A$2),"",IF($A495&lt;200,"n.a.",IF(COUNT(INDEX(StockDaily[Adjusted close],MAX(1,$A495-200+1)):E495)=200,AVERAGE(INDEX(StockDaily[Adjusted close],MAX(1,$A495-200+1)):E495),"n.a.")))</f>
        <v/>
      </c>
      <c r="H495" s="136" t="str">
        <f>IF($A495&gt;MIN($A$10,$A$2),"",IF($A$5="","Choose stock",IF(NOT($A$12),"Check split rule",IF(NOT(ISNUMBER(B495)),"Invalid date",IF(OR(B495&lt;=0,B495&lt;&gt;INT(B495)),"Invalid date",IF(COUNTIFS(DemoHistory[Date],B495)&lt;&gt;1,"Duplicate date",IF(AND($A495&gt;1,B495&lt;=B494),"Dates out of order",IF(NOT(ISNUMBER(C495)),"Missing price",IF(C495&lt;=0,"Nonpositive price","OK")))))))))</f>
        <v/>
      </c>
      <c r="I495" s="136"/>
      <c r="J495" s="136"/>
      <c r="K495" s="136"/>
      <c r="L495" s="136"/>
      <c r="M495" s="136"/>
      <c r="N495" s="136" t="e">
        <f t="shared" si="22"/>
        <v>#N/A</v>
      </c>
      <c r="O495" s="136" t="e">
        <f t="shared" si="23"/>
        <v>#N/A</v>
      </c>
    </row>
    <row r="496" spans="1:15" ht="22" customHeight="1" x14ac:dyDescent="0.35">
      <c r="A496" s="136">
        <v>452</v>
      </c>
      <c r="B496" s="165" t="str">
        <f>IF($A496&gt;MIN($A$10,$A$2),"",INDEX(DemoHistory[Date],$A496))</f>
        <v/>
      </c>
      <c r="C496" s="166" t="str">
        <f>IF(OR($A496&gt;MIN($A$10,$A$2),$A$5=""),"",INDEX(DemoHistory[],$A496,MATCH($A$5,DemoHistory[#Headers],0)))</f>
        <v/>
      </c>
      <c r="D496" s="166" t="str">
        <f>IF($A496&gt;MIN($A$10,$A$2),"",IF(AND($A$12,$A$6=1,B496&lt;$A$7,$A$7&lt;=MAX(DemoHistory[Date])),$A$8,1))</f>
        <v/>
      </c>
      <c r="E496" s="166" t="str">
        <f t="shared" si="21"/>
        <v/>
      </c>
      <c r="F496" s="166" t="str">
        <f>IF($A496&gt;MIN($A$10,$A$2),"",IF($A496&lt;50,"n.a.",IF(COUNT(INDEX(StockDaily[Adjusted close],MAX(1,$A496-50+1)):E496)=50,AVERAGE(INDEX(StockDaily[Adjusted close],MAX(1,$A496-50+1)):E496),"n.a.")))</f>
        <v/>
      </c>
      <c r="G496" s="166" t="str">
        <f>IF($A496&gt;MIN($A$10,$A$2),"",IF($A496&lt;200,"n.a.",IF(COUNT(INDEX(StockDaily[Adjusted close],MAX(1,$A496-200+1)):E496)=200,AVERAGE(INDEX(StockDaily[Adjusted close],MAX(1,$A496-200+1)):E496),"n.a.")))</f>
        <v/>
      </c>
      <c r="H496" s="136" t="str">
        <f>IF($A496&gt;MIN($A$10,$A$2),"",IF($A$5="","Choose stock",IF(NOT($A$12),"Check split rule",IF(NOT(ISNUMBER(B496)),"Invalid date",IF(OR(B496&lt;=0,B496&lt;&gt;INT(B496)),"Invalid date",IF(COUNTIFS(DemoHistory[Date],B496)&lt;&gt;1,"Duplicate date",IF(AND($A496&gt;1,B496&lt;=B495),"Dates out of order",IF(NOT(ISNUMBER(C496)),"Missing price",IF(C496&lt;=0,"Nonpositive price","OK")))))))))</f>
        <v/>
      </c>
      <c r="I496" s="136"/>
      <c r="J496" s="136"/>
      <c r="K496" s="136"/>
      <c r="L496" s="136"/>
      <c r="M496" s="136"/>
      <c r="N496" s="136" t="e">
        <f t="shared" si="22"/>
        <v>#N/A</v>
      </c>
      <c r="O496" s="136" t="e">
        <f t="shared" si="23"/>
        <v>#N/A</v>
      </c>
    </row>
    <row r="497" spans="1:15" ht="22" customHeight="1" x14ac:dyDescent="0.35">
      <c r="A497" s="136">
        <v>453</v>
      </c>
      <c r="B497" s="165" t="str">
        <f>IF($A497&gt;MIN($A$10,$A$2),"",INDEX(DemoHistory[Date],$A497))</f>
        <v/>
      </c>
      <c r="C497" s="166" t="str">
        <f>IF(OR($A497&gt;MIN($A$10,$A$2),$A$5=""),"",INDEX(DemoHistory[],$A497,MATCH($A$5,DemoHistory[#Headers],0)))</f>
        <v/>
      </c>
      <c r="D497" s="166" t="str">
        <f>IF($A497&gt;MIN($A$10,$A$2),"",IF(AND($A$12,$A$6=1,B497&lt;$A$7,$A$7&lt;=MAX(DemoHistory[Date])),$A$8,1))</f>
        <v/>
      </c>
      <c r="E497" s="166" t="str">
        <f t="shared" si="21"/>
        <v/>
      </c>
      <c r="F497" s="166" t="str">
        <f>IF($A497&gt;MIN($A$10,$A$2),"",IF($A497&lt;50,"n.a.",IF(COUNT(INDEX(StockDaily[Adjusted close],MAX(1,$A497-50+1)):E497)=50,AVERAGE(INDEX(StockDaily[Adjusted close],MAX(1,$A497-50+1)):E497),"n.a.")))</f>
        <v/>
      </c>
      <c r="G497" s="166" t="str">
        <f>IF($A497&gt;MIN($A$10,$A$2),"",IF($A497&lt;200,"n.a.",IF(COUNT(INDEX(StockDaily[Adjusted close],MAX(1,$A497-200+1)):E497)=200,AVERAGE(INDEX(StockDaily[Adjusted close],MAX(1,$A497-200+1)):E497),"n.a.")))</f>
        <v/>
      </c>
      <c r="H497" s="136" t="str">
        <f>IF($A497&gt;MIN($A$10,$A$2),"",IF($A$5="","Choose stock",IF(NOT($A$12),"Check split rule",IF(NOT(ISNUMBER(B497)),"Invalid date",IF(OR(B497&lt;=0,B497&lt;&gt;INT(B497)),"Invalid date",IF(COUNTIFS(DemoHistory[Date],B497)&lt;&gt;1,"Duplicate date",IF(AND($A497&gt;1,B497&lt;=B496),"Dates out of order",IF(NOT(ISNUMBER(C497)),"Missing price",IF(C497&lt;=0,"Nonpositive price","OK")))))))))</f>
        <v/>
      </c>
      <c r="I497" s="136"/>
      <c r="J497" s="136"/>
      <c r="K497" s="136"/>
      <c r="L497" s="136"/>
      <c r="M497" s="136"/>
      <c r="N497" s="136" t="e">
        <f t="shared" si="22"/>
        <v>#N/A</v>
      </c>
      <c r="O497" s="136" t="e">
        <f t="shared" si="23"/>
        <v>#N/A</v>
      </c>
    </row>
    <row r="498" spans="1:15" ht="22" customHeight="1" x14ac:dyDescent="0.35">
      <c r="A498" s="136">
        <v>454</v>
      </c>
      <c r="B498" s="165" t="str">
        <f>IF($A498&gt;MIN($A$10,$A$2),"",INDEX(DemoHistory[Date],$A498))</f>
        <v/>
      </c>
      <c r="C498" s="166" t="str">
        <f>IF(OR($A498&gt;MIN($A$10,$A$2),$A$5=""),"",INDEX(DemoHistory[],$A498,MATCH($A$5,DemoHistory[#Headers],0)))</f>
        <v/>
      </c>
      <c r="D498" s="166" t="str">
        <f>IF($A498&gt;MIN($A$10,$A$2),"",IF(AND($A$12,$A$6=1,B498&lt;$A$7,$A$7&lt;=MAX(DemoHistory[Date])),$A$8,1))</f>
        <v/>
      </c>
      <c r="E498" s="166" t="str">
        <f t="shared" si="21"/>
        <v/>
      </c>
      <c r="F498" s="166" t="str">
        <f>IF($A498&gt;MIN($A$10,$A$2),"",IF($A498&lt;50,"n.a.",IF(COUNT(INDEX(StockDaily[Adjusted close],MAX(1,$A498-50+1)):E498)=50,AVERAGE(INDEX(StockDaily[Adjusted close],MAX(1,$A498-50+1)):E498),"n.a.")))</f>
        <v/>
      </c>
      <c r="G498" s="166" t="str">
        <f>IF($A498&gt;MIN($A$10,$A$2),"",IF($A498&lt;200,"n.a.",IF(COUNT(INDEX(StockDaily[Adjusted close],MAX(1,$A498-200+1)):E498)=200,AVERAGE(INDEX(StockDaily[Adjusted close],MAX(1,$A498-200+1)):E498),"n.a.")))</f>
        <v/>
      </c>
      <c r="H498" s="136" t="str">
        <f>IF($A498&gt;MIN($A$10,$A$2),"",IF($A$5="","Choose stock",IF(NOT($A$12),"Check split rule",IF(NOT(ISNUMBER(B498)),"Invalid date",IF(OR(B498&lt;=0,B498&lt;&gt;INT(B498)),"Invalid date",IF(COUNTIFS(DemoHistory[Date],B498)&lt;&gt;1,"Duplicate date",IF(AND($A498&gt;1,B498&lt;=B497),"Dates out of order",IF(NOT(ISNUMBER(C498)),"Missing price",IF(C498&lt;=0,"Nonpositive price","OK")))))))))</f>
        <v/>
      </c>
      <c r="I498" s="136"/>
      <c r="J498" s="136"/>
      <c r="K498" s="136"/>
      <c r="L498" s="136"/>
      <c r="M498" s="136"/>
      <c r="N498" s="136" t="e">
        <f t="shared" si="22"/>
        <v>#N/A</v>
      </c>
      <c r="O498" s="136" t="e">
        <f t="shared" si="23"/>
        <v>#N/A</v>
      </c>
    </row>
    <row r="499" spans="1:15" ht="22" customHeight="1" x14ac:dyDescent="0.35">
      <c r="A499" s="136">
        <v>455</v>
      </c>
      <c r="B499" s="165" t="str">
        <f>IF($A499&gt;MIN($A$10,$A$2),"",INDEX(DemoHistory[Date],$A499))</f>
        <v/>
      </c>
      <c r="C499" s="166" t="str">
        <f>IF(OR($A499&gt;MIN($A$10,$A$2),$A$5=""),"",INDEX(DemoHistory[],$A499,MATCH($A$5,DemoHistory[#Headers],0)))</f>
        <v/>
      </c>
      <c r="D499" s="166" t="str">
        <f>IF($A499&gt;MIN($A$10,$A$2),"",IF(AND($A$12,$A$6=1,B499&lt;$A$7,$A$7&lt;=MAX(DemoHistory[Date])),$A$8,1))</f>
        <v/>
      </c>
      <c r="E499" s="166" t="str">
        <f t="shared" si="21"/>
        <v/>
      </c>
      <c r="F499" s="166" t="str">
        <f>IF($A499&gt;MIN($A$10,$A$2),"",IF($A499&lt;50,"n.a.",IF(COUNT(INDEX(StockDaily[Adjusted close],MAX(1,$A499-50+1)):E499)=50,AVERAGE(INDEX(StockDaily[Adjusted close],MAX(1,$A499-50+1)):E499),"n.a.")))</f>
        <v/>
      </c>
      <c r="G499" s="166" t="str">
        <f>IF($A499&gt;MIN($A$10,$A$2),"",IF($A499&lt;200,"n.a.",IF(COUNT(INDEX(StockDaily[Adjusted close],MAX(1,$A499-200+1)):E499)=200,AVERAGE(INDEX(StockDaily[Adjusted close],MAX(1,$A499-200+1)):E499),"n.a.")))</f>
        <v/>
      </c>
      <c r="H499" s="136" t="str">
        <f>IF($A499&gt;MIN($A$10,$A$2),"",IF($A$5="","Choose stock",IF(NOT($A$12),"Check split rule",IF(NOT(ISNUMBER(B499)),"Invalid date",IF(OR(B499&lt;=0,B499&lt;&gt;INT(B499)),"Invalid date",IF(COUNTIFS(DemoHistory[Date],B499)&lt;&gt;1,"Duplicate date",IF(AND($A499&gt;1,B499&lt;=B498),"Dates out of order",IF(NOT(ISNUMBER(C499)),"Missing price",IF(C499&lt;=0,"Nonpositive price","OK")))))))))</f>
        <v/>
      </c>
      <c r="I499" s="136"/>
      <c r="J499" s="136"/>
      <c r="K499" s="136"/>
      <c r="L499" s="136"/>
      <c r="M499" s="136"/>
      <c r="N499" s="136" t="e">
        <f t="shared" si="22"/>
        <v>#N/A</v>
      </c>
      <c r="O499" s="136" t="e">
        <f t="shared" si="23"/>
        <v>#N/A</v>
      </c>
    </row>
    <row r="500" spans="1:15" ht="22" customHeight="1" x14ac:dyDescent="0.35">
      <c r="A500" s="136">
        <v>456</v>
      </c>
      <c r="B500" s="165" t="str">
        <f>IF($A500&gt;MIN($A$10,$A$2),"",INDEX(DemoHistory[Date],$A500))</f>
        <v/>
      </c>
      <c r="C500" s="166" t="str">
        <f>IF(OR($A500&gt;MIN($A$10,$A$2),$A$5=""),"",INDEX(DemoHistory[],$A500,MATCH($A$5,DemoHistory[#Headers],0)))</f>
        <v/>
      </c>
      <c r="D500" s="166" t="str">
        <f>IF($A500&gt;MIN($A$10,$A$2),"",IF(AND($A$12,$A$6=1,B500&lt;$A$7,$A$7&lt;=MAX(DemoHistory[Date])),$A$8,1))</f>
        <v/>
      </c>
      <c r="E500" s="166" t="str">
        <f t="shared" si="21"/>
        <v/>
      </c>
      <c r="F500" s="166" t="str">
        <f>IF($A500&gt;MIN($A$10,$A$2),"",IF($A500&lt;50,"n.a.",IF(COUNT(INDEX(StockDaily[Adjusted close],MAX(1,$A500-50+1)):E500)=50,AVERAGE(INDEX(StockDaily[Adjusted close],MAX(1,$A500-50+1)):E500),"n.a.")))</f>
        <v/>
      </c>
      <c r="G500" s="166" t="str">
        <f>IF($A500&gt;MIN($A$10,$A$2),"",IF($A500&lt;200,"n.a.",IF(COUNT(INDEX(StockDaily[Adjusted close],MAX(1,$A500-200+1)):E500)=200,AVERAGE(INDEX(StockDaily[Adjusted close],MAX(1,$A500-200+1)):E500),"n.a.")))</f>
        <v/>
      </c>
      <c r="H500" s="136" t="str">
        <f>IF($A500&gt;MIN($A$10,$A$2),"",IF($A$5="","Choose stock",IF(NOT($A$12),"Check split rule",IF(NOT(ISNUMBER(B500)),"Invalid date",IF(OR(B500&lt;=0,B500&lt;&gt;INT(B500)),"Invalid date",IF(COUNTIFS(DemoHistory[Date],B500)&lt;&gt;1,"Duplicate date",IF(AND($A500&gt;1,B500&lt;=B499),"Dates out of order",IF(NOT(ISNUMBER(C500)),"Missing price",IF(C500&lt;=0,"Nonpositive price","OK")))))))))</f>
        <v/>
      </c>
      <c r="I500" s="136"/>
      <c r="J500" s="136"/>
      <c r="K500" s="136"/>
      <c r="L500" s="136"/>
      <c r="M500" s="136"/>
      <c r="N500" s="136" t="e">
        <f t="shared" si="22"/>
        <v>#N/A</v>
      </c>
      <c r="O500" s="136" t="e">
        <f t="shared" si="23"/>
        <v>#N/A</v>
      </c>
    </row>
    <row r="501" spans="1:15" ht="22" customHeight="1" x14ac:dyDescent="0.35">
      <c r="A501" s="136">
        <v>457</v>
      </c>
      <c r="B501" s="165" t="str">
        <f>IF($A501&gt;MIN($A$10,$A$2),"",INDEX(DemoHistory[Date],$A501))</f>
        <v/>
      </c>
      <c r="C501" s="166" t="str">
        <f>IF(OR($A501&gt;MIN($A$10,$A$2),$A$5=""),"",INDEX(DemoHistory[],$A501,MATCH($A$5,DemoHistory[#Headers],0)))</f>
        <v/>
      </c>
      <c r="D501" s="166" t="str">
        <f>IF($A501&gt;MIN($A$10,$A$2),"",IF(AND($A$12,$A$6=1,B501&lt;$A$7,$A$7&lt;=MAX(DemoHistory[Date])),$A$8,1))</f>
        <v/>
      </c>
      <c r="E501" s="166" t="str">
        <f t="shared" si="21"/>
        <v/>
      </c>
      <c r="F501" s="166" t="str">
        <f>IF($A501&gt;MIN($A$10,$A$2),"",IF($A501&lt;50,"n.a.",IF(COUNT(INDEX(StockDaily[Adjusted close],MAX(1,$A501-50+1)):E501)=50,AVERAGE(INDEX(StockDaily[Adjusted close],MAX(1,$A501-50+1)):E501),"n.a.")))</f>
        <v/>
      </c>
      <c r="G501" s="166" t="str">
        <f>IF($A501&gt;MIN($A$10,$A$2),"",IF($A501&lt;200,"n.a.",IF(COUNT(INDEX(StockDaily[Adjusted close],MAX(1,$A501-200+1)):E501)=200,AVERAGE(INDEX(StockDaily[Adjusted close],MAX(1,$A501-200+1)):E501),"n.a.")))</f>
        <v/>
      </c>
      <c r="H501" s="136" t="str">
        <f>IF($A501&gt;MIN($A$10,$A$2),"",IF($A$5="","Choose stock",IF(NOT($A$12),"Check split rule",IF(NOT(ISNUMBER(B501)),"Invalid date",IF(OR(B501&lt;=0,B501&lt;&gt;INT(B501)),"Invalid date",IF(COUNTIFS(DemoHistory[Date],B501)&lt;&gt;1,"Duplicate date",IF(AND($A501&gt;1,B501&lt;=B500),"Dates out of order",IF(NOT(ISNUMBER(C501)),"Missing price",IF(C501&lt;=0,"Nonpositive price","OK")))))))))</f>
        <v/>
      </c>
      <c r="I501" s="136"/>
      <c r="J501" s="136"/>
      <c r="K501" s="136"/>
      <c r="L501" s="136"/>
      <c r="M501" s="136"/>
      <c r="N501" s="136" t="e">
        <f t="shared" si="22"/>
        <v>#N/A</v>
      </c>
      <c r="O501" s="136" t="e">
        <f t="shared" si="23"/>
        <v>#N/A</v>
      </c>
    </row>
    <row r="502" spans="1:15" ht="22" customHeight="1" x14ac:dyDescent="0.35">
      <c r="A502" s="136">
        <v>458</v>
      </c>
      <c r="B502" s="165" t="str">
        <f>IF($A502&gt;MIN($A$10,$A$2),"",INDEX(DemoHistory[Date],$A502))</f>
        <v/>
      </c>
      <c r="C502" s="166" t="str">
        <f>IF(OR($A502&gt;MIN($A$10,$A$2),$A$5=""),"",INDEX(DemoHistory[],$A502,MATCH($A$5,DemoHistory[#Headers],0)))</f>
        <v/>
      </c>
      <c r="D502" s="166" t="str">
        <f>IF($A502&gt;MIN($A$10,$A$2),"",IF(AND($A$12,$A$6=1,B502&lt;$A$7,$A$7&lt;=MAX(DemoHistory[Date])),$A$8,1))</f>
        <v/>
      </c>
      <c r="E502" s="166" t="str">
        <f t="shared" si="21"/>
        <v/>
      </c>
      <c r="F502" s="166" t="str">
        <f>IF($A502&gt;MIN($A$10,$A$2),"",IF($A502&lt;50,"n.a.",IF(COUNT(INDEX(StockDaily[Adjusted close],MAX(1,$A502-50+1)):E502)=50,AVERAGE(INDEX(StockDaily[Adjusted close],MAX(1,$A502-50+1)):E502),"n.a.")))</f>
        <v/>
      </c>
      <c r="G502" s="166" t="str">
        <f>IF($A502&gt;MIN($A$10,$A$2),"",IF($A502&lt;200,"n.a.",IF(COUNT(INDEX(StockDaily[Adjusted close],MAX(1,$A502-200+1)):E502)=200,AVERAGE(INDEX(StockDaily[Adjusted close],MAX(1,$A502-200+1)):E502),"n.a.")))</f>
        <v/>
      </c>
      <c r="H502" s="136" t="str">
        <f>IF($A502&gt;MIN($A$10,$A$2),"",IF($A$5="","Choose stock",IF(NOT($A$12),"Check split rule",IF(NOT(ISNUMBER(B502)),"Invalid date",IF(OR(B502&lt;=0,B502&lt;&gt;INT(B502)),"Invalid date",IF(COUNTIFS(DemoHistory[Date],B502)&lt;&gt;1,"Duplicate date",IF(AND($A502&gt;1,B502&lt;=B501),"Dates out of order",IF(NOT(ISNUMBER(C502)),"Missing price",IF(C502&lt;=0,"Nonpositive price","OK")))))))))</f>
        <v/>
      </c>
      <c r="I502" s="136"/>
      <c r="J502" s="136"/>
      <c r="K502" s="136"/>
      <c r="L502" s="136"/>
      <c r="M502" s="136"/>
      <c r="N502" s="136" t="e">
        <f t="shared" si="22"/>
        <v>#N/A</v>
      </c>
      <c r="O502" s="136" t="e">
        <f t="shared" si="23"/>
        <v>#N/A</v>
      </c>
    </row>
    <row r="503" spans="1:15" ht="22" customHeight="1" x14ac:dyDescent="0.35">
      <c r="A503" s="136">
        <v>459</v>
      </c>
      <c r="B503" s="165" t="str">
        <f>IF($A503&gt;MIN($A$10,$A$2),"",INDEX(DemoHistory[Date],$A503))</f>
        <v/>
      </c>
      <c r="C503" s="166" t="str">
        <f>IF(OR($A503&gt;MIN($A$10,$A$2),$A$5=""),"",INDEX(DemoHistory[],$A503,MATCH($A$5,DemoHistory[#Headers],0)))</f>
        <v/>
      </c>
      <c r="D503" s="166" t="str">
        <f>IF($A503&gt;MIN($A$10,$A$2),"",IF(AND($A$12,$A$6=1,B503&lt;$A$7,$A$7&lt;=MAX(DemoHistory[Date])),$A$8,1))</f>
        <v/>
      </c>
      <c r="E503" s="166" t="str">
        <f t="shared" si="21"/>
        <v/>
      </c>
      <c r="F503" s="166" t="str">
        <f>IF($A503&gt;MIN($A$10,$A$2),"",IF($A503&lt;50,"n.a.",IF(COUNT(INDEX(StockDaily[Adjusted close],MAX(1,$A503-50+1)):E503)=50,AVERAGE(INDEX(StockDaily[Adjusted close],MAX(1,$A503-50+1)):E503),"n.a.")))</f>
        <v/>
      </c>
      <c r="G503" s="166" t="str">
        <f>IF($A503&gt;MIN($A$10,$A$2),"",IF($A503&lt;200,"n.a.",IF(COUNT(INDEX(StockDaily[Adjusted close],MAX(1,$A503-200+1)):E503)=200,AVERAGE(INDEX(StockDaily[Adjusted close],MAX(1,$A503-200+1)):E503),"n.a.")))</f>
        <v/>
      </c>
      <c r="H503" s="136" t="str">
        <f>IF($A503&gt;MIN($A$10,$A$2),"",IF($A$5="","Choose stock",IF(NOT($A$12),"Check split rule",IF(NOT(ISNUMBER(B503)),"Invalid date",IF(OR(B503&lt;=0,B503&lt;&gt;INT(B503)),"Invalid date",IF(COUNTIFS(DemoHistory[Date],B503)&lt;&gt;1,"Duplicate date",IF(AND($A503&gt;1,B503&lt;=B502),"Dates out of order",IF(NOT(ISNUMBER(C503)),"Missing price",IF(C503&lt;=0,"Nonpositive price","OK")))))))))</f>
        <v/>
      </c>
      <c r="I503" s="136"/>
      <c r="J503" s="136"/>
      <c r="K503" s="136"/>
      <c r="L503" s="136"/>
      <c r="M503" s="136"/>
      <c r="N503" s="136" t="e">
        <f t="shared" si="22"/>
        <v>#N/A</v>
      </c>
      <c r="O503" s="136" t="e">
        <f t="shared" si="23"/>
        <v>#N/A</v>
      </c>
    </row>
    <row r="504" spans="1:15" ht="22" customHeight="1" x14ac:dyDescent="0.35">
      <c r="A504" s="136">
        <v>460</v>
      </c>
      <c r="B504" s="165" t="str">
        <f>IF($A504&gt;MIN($A$10,$A$2),"",INDEX(DemoHistory[Date],$A504))</f>
        <v/>
      </c>
      <c r="C504" s="166" t="str">
        <f>IF(OR($A504&gt;MIN($A$10,$A$2),$A$5=""),"",INDEX(DemoHistory[],$A504,MATCH($A$5,DemoHistory[#Headers],0)))</f>
        <v/>
      </c>
      <c r="D504" s="166" t="str">
        <f>IF($A504&gt;MIN($A$10,$A$2),"",IF(AND($A$12,$A$6=1,B504&lt;$A$7,$A$7&lt;=MAX(DemoHistory[Date])),$A$8,1))</f>
        <v/>
      </c>
      <c r="E504" s="166" t="str">
        <f t="shared" si="21"/>
        <v/>
      </c>
      <c r="F504" s="166" t="str">
        <f>IF($A504&gt;MIN($A$10,$A$2),"",IF($A504&lt;50,"n.a.",IF(COUNT(INDEX(StockDaily[Adjusted close],MAX(1,$A504-50+1)):E504)=50,AVERAGE(INDEX(StockDaily[Adjusted close],MAX(1,$A504-50+1)):E504),"n.a.")))</f>
        <v/>
      </c>
      <c r="G504" s="166" t="str">
        <f>IF($A504&gt;MIN($A$10,$A$2),"",IF($A504&lt;200,"n.a.",IF(COUNT(INDEX(StockDaily[Adjusted close],MAX(1,$A504-200+1)):E504)=200,AVERAGE(INDEX(StockDaily[Adjusted close],MAX(1,$A504-200+1)):E504),"n.a.")))</f>
        <v/>
      </c>
      <c r="H504" s="136" t="str">
        <f>IF($A504&gt;MIN($A$10,$A$2),"",IF($A$5="","Choose stock",IF(NOT($A$12),"Check split rule",IF(NOT(ISNUMBER(B504)),"Invalid date",IF(OR(B504&lt;=0,B504&lt;&gt;INT(B504)),"Invalid date",IF(COUNTIFS(DemoHistory[Date],B504)&lt;&gt;1,"Duplicate date",IF(AND($A504&gt;1,B504&lt;=B503),"Dates out of order",IF(NOT(ISNUMBER(C504)),"Missing price",IF(C504&lt;=0,"Nonpositive price","OK")))))))))</f>
        <v/>
      </c>
      <c r="I504" s="136"/>
      <c r="J504" s="136"/>
      <c r="K504" s="136"/>
      <c r="L504" s="136"/>
      <c r="M504" s="136"/>
      <c r="N504" s="136" t="e">
        <f t="shared" si="22"/>
        <v>#N/A</v>
      </c>
      <c r="O504" s="136" t="e">
        <f t="shared" si="23"/>
        <v>#N/A</v>
      </c>
    </row>
    <row r="505" spans="1:15" ht="22" customHeight="1" x14ac:dyDescent="0.35">
      <c r="A505" s="136">
        <v>461</v>
      </c>
      <c r="B505" s="165" t="str">
        <f>IF($A505&gt;MIN($A$10,$A$2),"",INDEX(DemoHistory[Date],$A505))</f>
        <v/>
      </c>
      <c r="C505" s="166" t="str">
        <f>IF(OR($A505&gt;MIN($A$10,$A$2),$A$5=""),"",INDEX(DemoHistory[],$A505,MATCH($A$5,DemoHistory[#Headers],0)))</f>
        <v/>
      </c>
      <c r="D505" s="166" t="str">
        <f>IF($A505&gt;MIN($A$10,$A$2),"",IF(AND($A$12,$A$6=1,B505&lt;$A$7,$A$7&lt;=MAX(DemoHistory[Date])),$A$8,1))</f>
        <v/>
      </c>
      <c r="E505" s="166" t="str">
        <f t="shared" si="21"/>
        <v/>
      </c>
      <c r="F505" s="166" t="str">
        <f>IF($A505&gt;MIN($A$10,$A$2),"",IF($A505&lt;50,"n.a.",IF(COUNT(INDEX(StockDaily[Adjusted close],MAX(1,$A505-50+1)):E505)=50,AVERAGE(INDEX(StockDaily[Adjusted close],MAX(1,$A505-50+1)):E505),"n.a.")))</f>
        <v/>
      </c>
      <c r="G505" s="166" t="str">
        <f>IF($A505&gt;MIN($A$10,$A$2),"",IF($A505&lt;200,"n.a.",IF(COUNT(INDEX(StockDaily[Adjusted close],MAX(1,$A505-200+1)):E505)=200,AVERAGE(INDEX(StockDaily[Adjusted close],MAX(1,$A505-200+1)):E505),"n.a.")))</f>
        <v/>
      </c>
      <c r="H505" s="136" t="str">
        <f>IF($A505&gt;MIN($A$10,$A$2),"",IF($A$5="","Choose stock",IF(NOT($A$12),"Check split rule",IF(NOT(ISNUMBER(B505)),"Invalid date",IF(OR(B505&lt;=0,B505&lt;&gt;INT(B505)),"Invalid date",IF(COUNTIFS(DemoHistory[Date],B505)&lt;&gt;1,"Duplicate date",IF(AND($A505&gt;1,B505&lt;=B504),"Dates out of order",IF(NOT(ISNUMBER(C505)),"Missing price",IF(C505&lt;=0,"Nonpositive price","OK")))))))))</f>
        <v/>
      </c>
      <c r="I505" s="136"/>
      <c r="J505" s="136"/>
      <c r="K505" s="136"/>
      <c r="L505" s="136"/>
      <c r="M505" s="136"/>
      <c r="N505" s="136" t="e">
        <f t="shared" si="22"/>
        <v>#N/A</v>
      </c>
      <c r="O505" s="136" t="e">
        <f t="shared" si="23"/>
        <v>#N/A</v>
      </c>
    </row>
    <row r="506" spans="1:15" ht="22" customHeight="1" x14ac:dyDescent="0.35">
      <c r="A506" s="136">
        <v>462</v>
      </c>
      <c r="B506" s="165" t="str">
        <f>IF($A506&gt;MIN($A$10,$A$2),"",INDEX(DemoHistory[Date],$A506))</f>
        <v/>
      </c>
      <c r="C506" s="166" t="str">
        <f>IF(OR($A506&gt;MIN($A$10,$A$2),$A$5=""),"",INDEX(DemoHistory[],$A506,MATCH($A$5,DemoHistory[#Headers],0)))</f>
        <v/>
      </c>
      <c r="D506" s="166" t="str">
        <f>IF($A506&gt;MIN($A$10,$A$2),"",IF(AND($A$12,$A$6=1,B506&lt;$A$7,$A$7&lt;=MAX(DemoHistory[Date])),$A$8,1))</f>
        <v/>
      </c>
      <c r="E506" s="166" t="str">
        <f t="shared" si="21"/>
        <v/>
      </c>
      <c r="F506" s="166" t="str">
        <f>IF($A506&gt;MIN($A$10,$A$2),"",IF($A506&lt;50,"n.a.",IF(COUNT(INDEX(StockDaily[Adjusted close],MAX(1,$A506-50+1)):E506)=50,AVERAGE(INDEX(StockDaily[Adjusted close],MAX(1,$A506-50+1)):E506),"n.a.")))</f>
        <v/>
      </c>
      <c r="G506" s="166" t="str">
        <f>IF($A506&gt;MIN($A$10,$A$2),"",IF($A506&lt;200,"n.a.",IF(COUNT(INDEX(StockDaily[Adjusted close],MAX(1,$A506-200+1)):E506)=200,AVERAGE(INDEX(StockDaily[Adjusted close],MAX(1,$A506-200+1)):E506),"n.a.")))</f>
        <v/>
      </c>
      <c r="H506" s="136" t="str">
        <f>IF($A506&gt;MIN($A$10,$A$2),"",IF($A$5="","Choose stock",IF(NOT($A$12),"Check split rule",IF(NOT(ISNUMBER(B506)),"Invalid date",IF(OR(B506&lt;=0,B506&lt;&gt;INT(B506)),"Invalid date",IF(COUNTIFS(DemoHistory[Date],B506)&lt;&gt;1,"Duplicate date",IF(AND($A506&gt;1,B506&lt;=B505),"Dates out of order",IF(NOT(ISNUMBER(C506)),"Missing price",IF(C506&lt;=0,"Nonpositive price","OK")))))))))</f>
        <v/>
      </c>
      <c r="I506" s="136"/>
      <c r="J506" s="136"/>
      <c r="K506" s="136"/>
      <c r="L506" s="136"/>
      <c r="M506" s="136"/>
      <c r="N506" s="136" t="e">
        <f t="shared" si="22"/>
        <v>#N/A</v>
      </c>
      <c r="O506" s="136" t="e">
        <f t="shared" si="23"/>
        <v>#N/A</v>
      </c>
    </row>
    <row r="507" spans="1:15" ht="22" customHeight="1" x14ac:dyDescent="0.35">
      <c r="A507" s="136">
        <v>463</v>
      </c>
      <c r="B507" s="165" t="str">
        <f>IF($A507&gt;MIN($A$10,$A$2),"",INDEX(DemoHistory[Date],$A507))</f>
        <v/>
      </c>
      <c r="C507" s="166" t="str">
        <f>IF(OR($A507&gt;MIN($A$10,$A$2),$A$5=""),"",INDEX(DemoHistory[],$A507,MATCH($A$5,DemoHistory[#Headers],0)))</f>
        <v/>
      </c>
      <c r="D507" s="166" t="str">
        <f>IF($A507&gt;MIN($A$10,$A$2),"",IF(AND($A$12,$A$6=1,B507&lt;$A$7,$A$7&lt;=MAX(DemoHistory[Date])),$A$8,1))</f>
        <v/>
      </c>
      <c r="E507" s="166" t="str">
        <f t="shared" si="21"/>
        <v/>
      </c>
      <c r="F507" s="166" t="str">
        <f>IF($A507&gt;MIN($A$10,$A$2),"",IF($A507&lt;50,"n.a.",IF(COUNT(INDEX(StockDaily[Adjusted close],MAX(1,$A507-50+1)):E507)=50,AVERAGE(INDEX(StockDaily[Adjusted close],MAX(1,$A507-50+1)):E507),"n.a.")))</f>
        <v/>
      </c>
      <c r="G507" s="166" t="str">
        <f>IF($A507&gt;MIN($A$10,$A$2),"",IF($A507&lt;200,"n.a.",IF(COUNT(INDEX(StockDaily[Adjusted close],MAX(1,$A507-200+1)):E507)=200,AVERAGE(INDEX(StockDaily[Adjusted close],MAX(1,$A507-200+1)):E507),"n.a.")))</f>
        <v/>
      </c>
      <c r="H507" s="136" t="str">
        <f>IF($A507&gt;MIN($A$10,$A$2),"",IF($A$5="","Choose stock",IF(NOT($A$12),"Check split rule",IF(NOT(ISNUMBER(B507)),"Invalid date",IF(OR(B507&lt;=0,B507&lt;&gt;INT(B507)),"Invalid date",IF(COUNTIFS(DemoHistory[Date],B507)&lt;&gt;1,"Duplicate date",IF(AND($A507&gt;1,B507&lt;=B506),"Dates out of order",IF(NOT(ISNUMBER(C507)),"Missing price",IF(C507&lt;=0,"Nonpositive price","OK")))))))))</f>
        <v/>
      </c>
      <c r="I507" s="136"/>
      <c r="J507" s="136"/>
      <c r="K507" s="136"/>
      <c r="L507" s="136"/>
      <c r="M507" s="136"/>
      <c r="N507" s="136" t="e">
        <f t="shared" si="22"/>
        <v>#N/A</v>
      </c>
      <c r="O507" s="136" t="e">
        <f t="shared" si="23"/>
        <v>#N/A</v>
      </c>
    </row>
    <row r="508" spans="1:15" ht="22" customHeight="1" x14ac:dyDescent="0.35">
      <c r="A508" s="136">
        <v>464</v>
      </c>
      <c r="B508" s="165" t="str">
        <f>IF($A508&gt;MIN($A$10,$A$2),"",INDEX(DemoHistory[Date],$A508))</f>
        <v/>
      </c>
      <c r="C508" s="166" t="str">
        <f>IF(OR($A508&gt;MIN($A$10,$A$2),$A$5=""),"",INDEX(DemoHistory[],$A508,MATCH($A$5,DemoHistory[#Headers],0)))</f>
        <v/>
      </c>
      <c r="D508" s="166" t="str">
        <f>IF($A508&gt;MIN($A$10,$A$2),"",IF(AND($A$12,$A$6=1,B508&lt;$A$7,$A$7&lt;=MAX(DemoHistory[Date])),$A$8,1))</f>
        <v/>
      </c>
      <c r="E508" s="166" t="str">
        <f t="shared" si="21"/>
        <v/>
      </c>
      <c r="F508" s="166" t="str">
        <f>IF($A508&gt;MIN($A$10,$A$2),"",IF($A508&lt;50,"n.a.",IF(COUNT(INDEX(StockDaily[Adjusted close],MAX(1,$A508-50+1)):E508)=50,AVERAGE(INDEX(StockDaily[Adjusted close],MAX(1,$A508-50+1)):E508),"n.a.")))</f>
        <v/>
      </c>
      <c r="G508" s="166" t="str">
        <f>IF($A508&gt;MIN($A$10,$A$2),"",IF($A508&lt;200,"n.a.",IF(COUNT(INDEX(StockDaily[Adjusted close],MAX(1,$A508-200+1)):E508)=200,AVERAGE(INDEX(StockDaily[Adjusted close],MAX(1,$A508-200+1)):E508),"n.a.")))</f>
        <v/>
      </c>
      <c r="H508" s="136" t="str">
        <f>IF($A508&gt;MIN($A$10,$A$2),"",IF($A$5="","Choose stock",IF(NOT($A$12),"Check split rule",IF(NOT(ISNUMBER(B508)),"Invalid date",IF(OR(B508&lt;=0,B508&lt;&gt;INT(B508)),"Invalid date",IF(COUNTIFS(DemoHistory[Date],B508)&lt;&gt;1,"Duplicate date",IF(AND($A508&gt;1,B508&lt;=B507),"Dates out of order",IF(NOT(ISNUMBER(C508)),"Missing price",IF(C508&lt;=0,"Nonpositive price","OK")))))))))</f>
        <v/>
      </c>
      <c r="I508" s="136"/>
      <c r="J508" s="136"/>
      <c r="K508" s="136"/>
      <c r="L508" s="136"/>
      <c r="M508" s="136"/>
      <c r="N508" s="136" t="e">
        <f t="shared" si="22"/>
        <v>#N/A</v>
      </c>
      <c r="O508" s="136" t="e">
        <f t="shared" si="23"/>
        <v>#N/A</v>
      </c>
    </row>
    <row r="509" spans="1:15" ht="22" customHeight="1" x14ac:dyDescent="0.35">
      <c r="A509" s="136">
        <v>465</v>
      </c>
      <c r="B509" s="165" t="str">
        <f>IF($A509&gt;MIN($A$10,$A$2),"",INDEX(DemoHistory[Date],$A509))</f>
        <v/>
      </c>
      <c r="C509" s="166" t="str">
        <f>IF(OR($A509&gt;MIN($A$10,$A$2),$A$5=""),"",INDEX(DemoHistory[],$A509,MATCH($A$5,DemoHistory[#Headers],0)))</f>
        <v/>
      </c>
      <c r="D509" s="166" t="str">
        <f>IF($A509&gt;MIN($A$10,$A$2),"",IF(AND($A$12,$A$6=1,B509&lt;$A$7,$A$7&lt;=MAX(DemoHistory[Date])),$A$8,1))</f>
        <v/>
      </c>
      <c r="E509" s="166" t="str">
        <f t="shared" si="21"/>
        <v/>
      </c>
      <c r="F509" s="166" t="str">
        <f>IF($A509&gt;MIN($A$10,$A$2),"",IF($A509&lt;50,"n.a.",IF(COUNT(INDEX(StockDaily[Adjusted close],MAX(1,$A509-50+1)):E509)=50,AVERAGE(INDEX(StockDaily[Adjusted close],MAX(1,$A509-50+1)):E509),"n.a.")))</f>
        <v/>
      </c>
      <c r="G509" s="166" t="str">
        <f>IF($A509&gt;MIN($A$10,$A$2),"",IF($A509&lt;200,"n.a.",IF(COUNT(INDEX(StockDaily[Adjusted close],MAX(1,$A509-200+1)):E509)=200,AVERAGE(INDEX(StockDaily[Adjusted close],MAX(1,$A509-200+1)):E509),"n.a.")))</f>
        <v/>
      </c>
      <c r="H509" s="136" t="str">
        <f>IF($A509&gt;MIN($A$10,$A$2),"",IF($A$5="","Choose stock",IF(NOT($A$12),"Check split rule",IF(NOT(ISNUMBER(B509)),"Invalid date",IF(OR(B509&lt;=0,B509&lt;&gt;INT(B509)),"Invalid date",IF(COUNTIFS(DemoHistory[Date],B509)&lt;&gt;1,"Duplicate date",IF(AND($A509&gt;1,B509&lt;=B508),"Dates out of order",IF(NOT(ISNUMBER(C509)),"Missing price",IF(C509&lt;=0,"Nonpositive price","OK")))))))))</f>
        <v/>
      </c>
      <c r="I509" s="136"/>
      <c r="J509" s="136"/>
      <c r="K509" s="136"/>
      <c r="L509" s="136"/>
      <c r="M509" s="136"/>
      <c r="N509" s="136" t="e">
        <f t="shared" si="22"/>
        <v>#N/A</v>
      </c>
      <c r="O509" s="136" t="e">
        <f t="shared" si="23"/>
        <v>#N/A</v>
      </c>
    </row>
    <row r="510" spans="1:15" ht="22" customHeight="1" x14ac:dyDescent="0.35">
      <c r="A510" s="136">
        <v>466</v>
      </c>
      <c r="B510" s="165" t="str">
        <f>IF($A510&gt;MIN($A$10,$A$2),"",INDEX(DemoHistory[Date],$A510))</f>
        <v/>
      </c>
      <c r="C510" s="166" t="str">
        <f>IF(OR($A510&gt;MIN($A$10,$A$2),$A$5=""),"",INDEX(DemoHistory[],$A510,MATCH($A$5,DemoHistory[#Headers],0)))</f>
        <v/>
      </c>
      <c r="D510" s="166" t="str">
        <f>IF($A510&gt;MIN($A$10,$A$2),"",IF(AND($A$12,$A$6=1,B510&lt;$A$7,$A$7&lt;=MAX(DemoHistory[Date])),$A$8,1))</f>
        <v/>
      </c>
      <c r="E510" s="166" t="str">
        <f t="shared" si="21"/>
        <v/>
      </c>
      <c r="F510" s="166" t="str">
        <f>IF($A510&gt;MIN($A$10,$A$2),"",IF($A510&lt;50,"n.a.",IF(COUNT(INDEX(StockDaily[Adjusted close],MAX(1,$A510-50+1)):E510)=50,AVERAGE(INDEX(StockDaily[Adjusted close],MAX(1,$A510-50+1)):E510),"n.a.")))</f>
        <v/>
      </c>
      <c r="G510" s="166" t="str">
        <f>IF($A510&gt;MIN($A$10,$A$2),"",IF($A510&lt;200,"n.a.",IF(COUNT(INDEX(StockDaily[Adjusted close],MAX(1,$A510-200+1)):E510)=200,AVERAGE(INDEX(StockDaily[Adjusted close],MAX(1,$A510-200+1)):E510),"n.a.")))</f>
        <v/>
      </c>
      <c r="H510" s="136" t="str">
        <f>IF($A510&gt;MIN($A$10,$A$2),"",IF($A$5="","Choose stock",IF(NOT($A$12),"Check split rule",IF(NOT(ISNUMBER(B510)),"Invalid date",IF(OR(B510&lt;=0,B510&lt;&gt;INT(B510)),"Invalid date",IF(COUNTIFS(DemoHistory[Date],B510)&lt;&gt;1,"Duplicate date",IF(AND($A510&gt;1,B510&lt;=B509),"Dates out of order",IF(NOT(ISNUMBER(C510)),"Missing price",IF(C510&lt;=0,"Nonpositive price","OK")))))))))</f>
        <v/>
      </c>
      <c r="I510" s="136"/>
      <c r="J510" s="136"/>
      <c r="K510" s="136"/>
      <c r="L510" s="136"/>
      <c r="M510" s="136"/>
      <c r="N510" s="136" t="e">
        <f t="shared" si="22"/>
        <v>#N/A</v>
      </c>
      <c r="O510" s="136" t="e">
        <f t="shared" si="23"/>
        <v>#N/A</v>
      </c>
    </row>
    <row r="511" spans="1:15" ht="22" customHeight="1" x14ac:dyDescent="0.35">
      <c r="A511" s="136">
        <v>467</v>
      </c>
      <c r="B511" s="165" t="str">
        <f>IF($A511&gt;MIN($A$10,$A$2),"",INDEX(DemoHistory[Date],$A511))</f>
        <v/>
      </c>
      <c r="C511" s="166" t="str">
        <f>IF(OR($A511&gt;MIN($A$10,$A$2),$A$5=""),"",INDEX(DemoHistory[],$A511,MATCH($A$5,DemoHistory[#Headers],0)))</f>
        <v/>
      </c>
      <c r="D511" s="166" t="str">
        <f>IF($A511&gt;MIN($A$10,$A$2),"",IF(AND($A$12,$A$6=1,B511&lt;$A$7,$A$7&lt;=MAX(DemoHistory[Date])),$A$8,1))</f>
        <v/>
      </c>
      <c r="E511" s="166" t="str">
        <f t="shared" si="21"/>
        <v/>
      </c>
      <c r="F511" s="166" t="str">
        <f>IF($A511&gt;MIN($A$10,$A$2),"",IF($A511&lt;50,"n.a.",IF(COUNT(INDEX(StockDaily[Adjusted close],MAX(1,$A511-50+1)):E511)=50,AVERAGE(INDEX(StockDaily[Adjusted close],MAX(1,$A511-50+1)):E511),"n.a.")))</f>
        <v/>
      </c>
      <c r="G511" s="166" t="str">
        <f>IF($A511&gt;MIN($A$10,$A$2),"",IF($A511&lt;200,"n.a.",IF(COUNT(INDEX(StockDaily[Adjusted close],MAX(1,$A511-200+1)):E511)=200,AVERAGE(INDEX(StockDaily[Adjusted close],MAX(1,$A511-200+1)):E511),"n.a.")))</f>
        <v/>
      </c>
      <c r="H511" s="136" t="str">
        <f>IF($A511&gt;MIN($A$10,$A$2),"",IF($A$5="","Choose stock",IF(NOT($A$12),"Check split rule",IF(NOT(ISNUMBER(B511)),"Invalid date",IF(OR(B511&lt;=0,B511&lt;&gt;INT(B511)),"Invalid date",IF(COUNTIFS(DemoHistory[Date],B511)&lt;&gt;1,"Duplicate date",IF(AND($A511&gt;1,B511&lt;=B510),"Dates out of order",IF(NOT(ISNUMBER(C511)),"Missing price",IF(C511&lt;=0,"Nonpositive price","OK")))))))))</f>
        <v/>
      </c>
      <c r="I511" s="136"/>
      <c r="J511" s="136"/>
      <c r="K511" s="136"/>
      <c r="L511" s="136"/>
      <c r="M511" s="136"/>
      <c r="N511" s="136" t="e">
        <f t="shared" si="22"/>
        <v>#N/A</v>
      </c>
      <c r="O511" s="136" t="e">
        <f t="shared" si="23"/>
        <v>#N/A</v>
      </c>
    </row>
    <row r="512" spans="1:15" ht="22" customHeight="1" x14ac:dyDescent="0.35">
      <c r="A512" s="136">
        <v>468</v>
      </c>
      <c r="B512" s="165" t="str">
        <f>IF($A512&gt;MIN($A$10,$A$2),"",INDEX(DemoHistory[Date],$A512))</f>
        <v/>
      </c>
      <c r="C512" s="166" t="str">
        <f>IF(OR($A512&gt;MIN($A$10,$A$2),$A$5=""),"",INDEX(DemoHistory[],$A512,MATCH($A$5,DemoHistory[#Headers],0)))</f>
        <v/>
      </c>
      <c r="D512" s="166" t="str">
        <f>IF($A512&gt;MIN($A$10,$A$2),"",IF(AND($A$12,$A$6=1,B512&lt;$A$7,$A$7&lt;=MAX(DemoHistory[Date])),$A$8,1))</f>
        <v/>
      </c>
      <c r="E512" s="166" t="str">
        <f t="shared" si="21"/>
        <v/>
      </c>
      <c r="F512" s="166" t="str">
        <f>IF($A512&gt;MIN($A$10,$A$2),"",IF($A512&lt;50,"n.a.",IF(COUNT(INDEX(StockDaily[Adjusted close],MAX(1,$A512-50+1)):E512)=50,AVERAGE(INDEX(StockDaily[Adjusted close],MAX(1,$A512-50+1)):E512),"n.a.")))</f>
        <v/>
      </c>
      <c r="G512" s="166" t="str">
        <f>IF($A512&gt;MIN($A$10,$A$2),"",IF($A512&lt;200,"n.a.",IF(COUNT(INDEX(StockDaily[Adjusted close],MAX(1,$A512-200+1)):E512)=200,AVERAGE(INDEX(StockDaily[Adjusted close],MAX(1,$A512-200+1)):E512),"n.a.")))</f>
        <v/>
      </c>
      <c r="H512" s="136" t="str">
        <f>IF($A512&gt;MIN($A$10,$A$2),"",IF($A$5="","Choose stock",IF(NOT($A$12),"Check split rule",IF(NOT(ISNUMBER(B512)),"Invalid date",IF(OR(B512&lt;=0,B512&lt;&gt;INT(B512)),"Invalid date",IF(COUNTIFS(DemoHistory[Date],B512)&lt;&gt;1,"Duplicate date",IF(AND($A512&gt;1,B512&lt;=B511),"Dates out of order",IF(NOT(ISNUMBER(C512)),"Missing price",IF(C512&lt;=0,"Nonpositive price","OK")))))))))</f>
        <v/>
      </c>
      <c r="I512" s="136"/>
      <c r="J512" s="136"/>
      <c r="K512" s="136"/>
      <c r="L512" s="136"/>
      <c r="M512" s="136"/>
      <c r="N512" s="136" t="e">
        <f t="shared" si="22"/>
        <v>#N/A</v>
      </c>
      <c r="O512" s="136" t="e">
        <f t="shared" si="23"/>
        <v>#N/A</v>
      </c>
    </row>
    <row r="513" spans="1:15" ht="22" customHeight="1" x14ac:dyDescent="0.35">
      <c r="A513" s="136">
        <v>469</v>
      </c>
      <c r="B513" s="165" t="str">
        <f>IF($A513&gt;MIN($A$10,$A$2),"",INDEX(DemoHistory[Date],$A513))</f>
        <v/>
      </c>
      <c r="C513" s="166" t="str">
        <f>IF(OR($A513&gt;MIN($A$10,$A$2),$A$5=""),"",INDEX(DemoHistory[],$A513,MATCH($A$5,DemoHistory[#Headers],0)))</f>
        <v/>
      </c>
      <c r="D513" s="166" t="str">
        <f>IF($A513&gt;MIN($A$10,$A$2),"",IF(AND($A$12,$A$6=1,B513&lt;$A$7,$A$7&lt;=MAX(DemoHistory[Date])),$A$8,1))</f>
        <v/>
      </c>
      <c r="E513" s="166" t="str">
        <f t="shared" si="21"/>
        <v/>
      </c>
      <c r="F513" s="166" t="str">
        <f>IF($A513&gt;MIN($A$10,$A$2),"",IF($A513&lt;50,"n.a.",IF(COUNT(INDEX(StockDaily[Adjusted close],MAX(1,$A513-50+1)):E513)=50,AVERAGE(INDEX(StockDaily[Adjusted close],MAX(1,$A513-50+1)):E513),"n.a.")))</f>
        <v/>
      </c>
      <c r="G513" s="166" t="str">
        <f>IF($A513&gt;MIN($A$10,$A$2),"",IF($A513&lt;200,"n.a.",IF(COUNT(INDEX(StockDaily[Adjusted close],MAX(1,$A513-200+1)):E513)=200,AVERAGE(INDEX(StockDaily[Adjusted close],MAX(1,$A513-200+1)):E513),"n.a.")))</f>
        <v/>
      </c>
      <c r="H513" s="136" t="str">
        <f>IF($A513&gt;MIN($A$10,$A$2),"",IF($A$5="","Choose stock",IF(NOT($A$12),"Check split rule",IF(NOT(ISNUMBER(B513)),"Invalid date",IF(OR(B513&lt;=0,B513&lt;&gt;INT(B513)),"Invalid date",IF(COUNTIFS(DemoHistory[Date],B513)&lt;&gt;1,"Duplicate date",IF(AND($A513&gt;1,B513&lt;=B512),"Dates out of order",IF(NOT(ISNUMBER(C513)),"Missing price",IF(C513&lt;=0,"Nonpositive price","OK")))))))))</f>
        <v/>
      </c>
      <c r="I513" s="136"/>
      <c r="J513" s="136"/>
      <c r="K513" s="136"/>
      <c r="L513" s="136"/>
      <c r="M513" s="136"/>
      <c r="N513" s="136" t="e">
        <f t="shared" si="22"/>
        <v>#N/A</v>
      </c>
      <c r="O513" s="136" t="e">
        <f t="shared" si="23"/>
        <v>#N/A</v>
      </c>
    </row>
    <row r="514" spans="1:15" ht="22" customHeight="1" x14ac:dyDescent="0.35">
      <c r="A514" s="136">
        <v>470</v>
      </c>
      <c r="B514" s="165" t="str">
        <f>IF($A514&gt;MIN($A$10,$A$2),"",INDEX(DemoHistory[Date],$A514))</f>
        <v/>
      </c>
      <c r="C514" s="166" t="str">
        <f>IF(OR($A514&gt;MIN($A$10,$A$2),$A$5=""),"",INDEX(DemoHistory[],$A514,MATCH($A$5,DemoHistory[#Headers],0)))</f>
        <v/>
      </c>
      <c r="D514" s="166" t="str">
        <f>IF($A514&gt;MIN($A$10,$A$2),"",IF(AND($A$12,$A$6=1,B514&lt;$A$7,$A$7&lt;=MAX(DemoHistory[Date])),$A$8,1))</f>
        <v/>
      </c>
      <c r="E514" s="166" t="str">
        <f t="shared" si="21"/>
        <v/>
      </c>
      <c r="F514" s="166" t="str">
        <f>IF($A514&gt;MIN($A$10,$A$2),"",IF($A514&lt;50,"n.a.",IF(COUNT(INDEX(StockDaily[Adjusted close],MAX(1,$A514-50+1)):E514)=50,AVERAGE(INDEX(StockDaily[Adjusted close],MAX(1,$A514-50+1)):E514),"n.a.")))</f>
        <v/>
      </c>
      <c r="G514" s="166" t="str">
        <f>IF($A514&gt;MIN($A$10,$A$2),"",IF($A514&lt;200,"n.a.",IF(COUNT(INDEX(StockDaily[Adjusted close],MAX(1,$A514-200+1)):E514)=200,AVERAGE(INDEX(StockDaily[Adjusted close],MAX(1,$A514-200+1)):E514),"n.a.")))</f>
        <v/>
      </c>
      <c r="H514" s="136" t="str">
        <f>IF($A514&gt;MIN($A$10,$A$2),"",IF($A$5="","Choose stock",IF(NOT($A$12),"Check split rule",IF(NOT(ISNUMBER(B514)),"Invalid date",IF(OR(B514&lt;=0,B514&lt;&gt;INT(B514)),"Invalid date",IF(COUNTIFS(DemoHistory[Date],B514)&lt;&gt;1,"Duplicate date",IF(AND($A514&gt;1,B514&lt;=B513),"Dates out of order",IF(NOT(ISNUMBER(C514)),"Missing price",IF(C514&lt;=0,"Nonpositive price","OK")))))))))</f>
        <v/>
      </c>
      <c r="I514" s="136"/>
      <c r="J514" s="136"/>
      <c r="K514" s="136"/>
      <c r="L514" s="136"/>
      <c r="M514" s="136"/>
      <c r="N514" s="136" t="e">
        <f t="shared" si="22"/>
        <v>#N/A</v>
      </c>
      <c r="O514" s="136" t="e">
        <f t="shared" si="23"/>
        <v>#N/A</v>
      </c>
    </row>
    <row r="515" spans="1:15" ht="22" customHeight="1" x14ac:dyDescent="0.35">
      <c r="A515" s="136">
        <v>471</v>
      </c>
      <c r="B515" s="165" t="str">
        <f>IF($A515&gt;MIN($A$10,$A$2),"",INDEX(DemoHistory[Date],$A515))</f>
        <v/>
      </c>
      <c r="C515" s="166" t="str">
        <f>IF(OR($A515&gt;MIN($A$10,$A$2),$A$5=""),"",INDEX(DemoHistory[],$A515,MATCH($A$5,DemoHistory[#Headers],0)))</f>
        <v/>
      </c>
      <c r="D515" s="166" t="str">
        <f>IF($A515&gt;MIN($A$10,$A$2),"",IF(AND($A$12,$A$6=1,B515&lt;$A$7,$A$7&lt;=MAX(DemoHistory[Date])),$A$8,1))</f>
        <v/>
      </c>
      <c r="E515" s="166" t="str">
        <f t="shared" si="21"/>
        <v/>
      </c>
      <c r="F515" s="166" t="str">
        <f>IF($A515&gt;MIN($A$10,$A$2),"",IF($A515&lt;50,"n.a.",IF(COUNT(INDEX(StockDaily[Adjusted close],MAX(1,$A515-50+1)):E515)=50,AVERAGE(INDEX(StockDaily[Adjusted close],MAX(1,$A515-50+1)):E515),"n.a.")))</f>
        <v/>
      </c>
      <c r="G515" s="166" t="str">
        <f>IF($A515&gt;MIN($A$10,$A$2),"",IF($A515&lt;200,"n.a.",IF(COUNT(INDEX(StockDaily[Adjusted close],MAX(1,$A515-200+1)):E515)=200,AVERAGE(INDEX(StockDaily[Adjusted close],MAX(1,$A515-200+1)):E515),"n.a.")))</f>
        <v/>
      </c>
      <c r="H515" s="136" t="str">
        <f>IF($A515&gt;MIN($A$10,$A$2),"",IF($A$5="","Choose stock",IF(NOT($A$12),"Check split rule",IF(NOT(ISNUMBER(B515)),"Invalid date",IF(OR(B515&lt;=0,B515&lt;&gt;INT(B515)),"Invalid date",IF(COUNTIFS(DemoHistory[Date],B515)&lt;&gt;1,"Duplicate date",IF(AND($A515&gt;1,B515&lt;=B514),"Dates out of order",IF(NOT(ISNUMBER(C515)),"Missing price",IF(C515&lt;=0,"Nonpositive price","OK")))))))))</f>
        <v/>
      </c>
      <c r="I515" s="136"/>
      <c r="J515" s="136"/>
      <c r="K515" s="136"/>
      <c r="L515" s="136"/>
      <c r="M515" s="136"/>
      <c r="N515" s="136" t="e">
        <f t="shared" si="22"/>
        <v>#N/A</v>
      </c>
      <c r="O515" s="136" t="e">
        <f t="shared" si="23"/>
        <v>#N/A</v>
      </c>
    </row>
    <row r="516" spans="1:15" ht="22" customHeight="1" x14ac:dyDescent="0.35">
      <c r="A516" s="136">
        <v>472</v>
      </c>
      <c r="B516" s="165" t="str">
        <f>IF($A516&gt;MIN($A$10,$A$2),"",INDEX(DemoHistory[Date],$A516))</f>
        <v/>
      </c>
      <c r="C516" s="166" t="str">
        <f>IF(OR($A516&gt;MIN($A$10,$A$2),$A$5=""),"",INDEX(DemoHistory[],$A516,MATCH($A$5,DemoHistory[#Headers],0)))</f>
        <v/>
      </c>
      <c r="D516" s="166" t="str">
        <f>IF($A516&gt;MIN($A$10,$A$2),"",IF(AND($A$12,$A$6=1,B516&lt;$A$7,$A$7&lt;=MAX(DemoHistory[Date])),$A$8,1))</f>
        <v/>
      </c>
      <c r="E516" s="166" t="str">
        <f t="shared" si="21"/>
        <v/>
      </c>
      <c r="F516" s="166" t="str">
        <f>IF($A516&gt;MIN($A$10,$A$2),"",IF($A516&lt;50,"n.a.",IF(COUNT(INDEX(StockDaily[Adjusted close],MAX(1,$A516-50+1)):E516)=50,AVERAGE(INDEX(StockDaily[Adjusted close],MAX(1,$A516-50+1)):E516),"n.a.")))</f>
        <v/>
      </c>
      <c r="G516" s="166" t="str">
        <f>IF($A516&gt;MIN($A$10,$A$2),"",IF($A516&lt;200,"n.a.",IF(COUNT(INDEX(StockDaily[Adjusted close],MAX(1,$A516-200+1)):E516)=200,AVERAGE(INDEX(StockDaily[Adjusted close],MAX(1,$A516-200+1)):E516),"n.a.")))</f>
        <v/>
      </c>
      <c r="H516" s="136" t="str">
        <f>IF($A516&gt;MIN($A$10,$A$2),"",IF($A$5="","Choose stock",IF(NOT($A$12),"Check split rule",IF(NOT(ISNUMBER(B516)),"Invalid date",IF(OR(B516&lt;=0,B516&lt;&gt;INT(B516)),"Invalid date",IF(COUNTIFS(DemoHistory[Date],B516)&lt;&gt;1,"Duplicate date",IF(AND($A516&gt;1,B516&lt;=B515),"Dates out of order",IF(NOT(ISNUMBER(C516)),"Missing price",IF(C516&lt;=0,"Nonpositive price","OK")))))))))</f>
        <v/>
      </c>
      <c r="I516" s="136"/>
      <c r="J516" s="136"/>
      <c r="K516" s="136"/>
      <c r="L516" s="136"/>
      <c r="M516" s="136"/>
      <c r="N516" s="136" t="e">
        <f t="shared" si="22"/>
        <v>#N/A</v>
      </c>
      <c r="O516" s="136" t="e">
        <f t="shared" si="23"/>
        <v>#N/A</v>
      </c>
    </row>
    <row r="517" spans="1:15" ht="22" customHeight="1" x14ac:dyDescent="0.35">
      <c r="A517" s="136">
        <v>473</v>
      </c>
      <c r="B517" s="165" t="str">
        <f>IF($A517&gt;MIN($A$10,$A$2),"",INDEX(DemoHistory[Date],$A517))</f>
        <v/>
      </c>
      <c r="C517" s="166" t="str">
        <f>IF(OR($A517&gt;MIN($A$10,$A$2),$A$5=""),"",INDEX(DemoHistory[],$A517,MATCH($A$5,DemoHistory[#Headers],0)))</f>
        <v/>
      </c>
      <c r="D517" s="166" t="str">
        <f>IF($A517&gt;MIN($A$10,$A$2),"",IF(AND($A$12,$A$6=1,B517&lt;$A$7,$A$7&lt;=MAX(DemoHistory[Date])),$A$8,1))</f>
        <v/>
      </c>
      <c r="E517" s="166" t="str">
        <f t="shared" si="21"/>
        <v/>
      </c>
      <c r="F517" s="166" t="str">
        <f>IF($A517&gt;MIN($A$10,$A$2),"",IF($A517&lt;50,"n.a.",IF(COUNT(INDEX(StockDaily[Adjusted close],MAX(1,$A517-50+1)):E517)=50,AVERAGE(INDEX(StockDaily[Adjusted close],MAX(1,$A517-50+1)):E517),"n.a.")))</f>
        <v/>
      </c>
      <c r="G517" s="166" t="str">
        <f>IF($A517&gt;MIN($A$10,$A$2),"",IF($A517&lt;200,"n.a.",IF(COUNT(INDEX(StockDaily[Adjusted close],MAX(1,$A517-200+1)):E517)=200,AVERAGE(INDEX(StockDaily[Adjusted close],MAX(1,$A517-200+1)):E517),"n.a.")))</f>
        <v/>
      </c>
      <c r="H517" s="136" t="str">
        <f>IF($A517&gt;MIN($A$10,$A$2),"",IF($A$5="","Choose stock",IF(NOT($A$12),"Check split rule",IF(NOT(ISNUMBER(B517)),"Invalid date",IF(OR(B517&lt;=0,B517&lt;&gt;INT(B517)),"Invalid date",IF(COUNTIFS(DemoHistory[Date],B517)&lt;&gt;1,"Duplicate date",IF(AND($A517&gt;1,B517&lt;=B516),"Dates out of order",IF(NOT(ISNUMBER(C517)),"Missing price",IF(C517&lt;=0,"Nonpositive price","OK")))))))))</f>
        <v/>
      </c>
      <c r="I517" s="136"/>
      <c r="J517" s="136"/>
      <c r="K517" s="136"/>
      <c r="L517" s="136"/>
      <c r="M517" s="136"/>
      <c r="N517" s="136" t="e">
        <f t="shared" si="22"/>
        <v>#N/A</v>
      </c>
      <c r="O517" s="136" t="e">
        <f t="shared" si="23"/>
        <v>#N/A</v>
      </c>
    </row>
    <row r="518" spans="1:15" ht="22" customHeight="1" x14ac:dyDescent="0.35">
      <c r="A518" s="136">
        <v>474</v>
      </c>
      <c r="B518" s="165" t="str">
        <f>IF($A518&gt;MIN($A$10,$A$2),"",INDEX(DemoHistory[Date],$A518))</f>
        <v/>
      </c>
      <c r="C518" s="166" t="str">
        <f>IF(OR($A518&gt;MIN($A$10,$A$2),$A$5=""),"",INDEX(DemoHistory[],$A518,MATCH($A$5,DemoHistory[#Headers],0)))</f>
        <v/>
      </c>
      <c r="D518" s="166" t="str">
        <f>IF($A518&gt;MIN($A$10,$A$2),"",IF(AND($A$12,$A$6=1,B518&lt;$A$7,$A$7&lt;=MAX(DemoHistory[Date])),$A$8,1))</f>
        <v/>
      </c>
      <c r="E518" s="166" t="str">
        <f t="shared" si="21"/>
        <v/>
      </c>
      <c r="F518" s="166" t="str">
        <f>IF($A518&gt;MIN($A$10,$A$2),"",IF($A518&lt;50,"n.a.",IF(COUNT(INDEX(StockDaily[Adjusted close],MAX(1,$A518-50+1)):E518)=50,AVERAGE(INDEX(StockDaily[Adjusted close],MAX(1,$A518-50+1)):E518),"n.a.")))</f>
        <v/>
      </c>
      <c r="G518" s="166" t="str">
        <f>IF($A518&gt;MIN($A$10,$A$2),"",IF($A518&lt;200,"n.a.",IF(COUNT(INDEX(StockDaily[Adjusted close],MAX(1,$A518-200+1)):E518)=200,AVERAGE(INDEX(StockDaily[Adjusted close],MAX(1,$A518-200+1)):E518),"n.a.")))</f>
        <v/>
      </c>
      <c r="H518" s="136" t="str">
        <f>IF($A518&gt;MIN($A$10,$A$2),"",IF($A$5="","Choose stock",IF(NOT($A$12),"Check split rule",IF(NOT(ISNUMBER(B518)),"Invalid date",IF(OR(B518&lt;=0,B518&lt;&gt;INT(B518)),"Invalid date",IF(COUNTIFS(DemoHistory[Date],B518)&lt;&gt;1,"Duplicate date",IF(AND($A518&gt;1,B518&lt;=B517),"Dates out of order",IF(NOT(ISNUMBER(C518)),"Missing price",IF(C518&lt;=0,"Nonpositive price","OK")))))))))</f>
        <v/>
      </c>
      <c r="I518" s="136"/>
      <c r="J518" s="136"/>
      <c r="K518" s="136"/>
      <c r="L518" s="136"/>
      <c r="M518" s="136"/>
      <c r="N518" s="136" t="e">
        <f t="shared" si="22"/>
        <v>#N/A</v>
      </c>
      <c r="O518" s="136" t="e">
        <f t="shared" si="23"/>
        <v>#N/A</v>
      </c>
    </row>
    <row r="519" spans="1:15" ht="22" customHeight="1" x14ac:dyDescent="0.35">
      <c r="A519" s="136">
        <v>475</v>
      </c>
      <c r="B519" s="165" t="str">
        <f>IF($A519&gt;MIN($A$10,$A$2),"",INDEX(DemoHistory[Date],$A519))</f>
        <v/>
      </c>
      <c r="C519" s="166" t="str">
        <f>IF(OR($A519&gt;MIN($A$10,$A$2),$A$5=""),"",INDEX(DemoHistory[],$A519,MATCH($A$5,DemoHistory[#Headers],0)))</f>
        <v/>
      </c>
      <c r="D519" s="166" t="str">
        <f>IF($A519&gt;MIN($A$10,$A$2),"",IF(AND($A$12,$A$6=1,B519&lt;$A$7,$A$7&lt;=MAX(DemoHistory[Date])),$A$8,1))</f>
        <v/>
      </c>
      <c r="E519" s="166" t="str">
        <f t="shared" si="21"/>
        <v/>
      </c>
      <c r="F519" s="166" t="str">
        <f>IF($A519&gt;MIN($A$10,$A$2),"",IF($A519&lt;50,"n.a.",IF(COUNT(INDEX(StockDaily[Adjusted close],MAX(1,$A519-50+1)):E519)=50,AVERAGE(INDEX(StockDaily[Adjusted close],MAX(1,$A519-50+1)):E519),"n.a.")))</f>
        <v/>
      </c>
      <c r="G519" s="166" t="str">
        <f>IF($A519&gt;MIN($A$10,$A$2),"",IF($A519&lt;200,"n.a.",IF(COUNT(INDEX(StockDaily[Adjusted close],MAX(1,$A519-200+1)):E519)=200,AVERAGE(INDEX(StockDaily[Adjusted close],MAX(1,$A519-200+1)):E519),"n.a.")))</f>
        <v/>
      </c>
      <c r="H519" s="136" t="str">
        <f>IF($A519&gt;MIN($A$10,$A$2),"",IF($A$5="","Choose stock",IF(NOT($A$12),"Check split rule",IF(NOT(ISNUMBER(B519)),"Invalid date",IF(OR(B519&lt;=0,B519&lt;&gt;INT(B519)),"Invalid date",IF(COUNTIFS(DemoHistory[Date],B519)&lt;&gt;1,"Duplicate date",IF(AND($A519&gt;1,B519&lt;=B518),"Dates out of order",IF(NOT(ISNUMBER(C519)),"Missing price",IF(C519&lt;=0,"Nonpositive price","OK")))))))))</f>
        <v/>
      </c>
      <c r="I519" s="136"/>
      <c r="J519" s="136"/>
      <c r="K519" s="136"/>
      <c r="L519" s="136"/>
      <c r="M519" s="136"/>
      <c r="N519" s="136" t="e">
        <f t="shared" si="22"/>
        <v>#N/A</v>
      </c>
      <c r="O519" s="136" t="e">
        <f t="shared" si="23"/>
        <v>#N/A</v>
      </c>
    </row>
    <row r="520" spans="1:15" ht="22" customHeight="1" x14ac:dyDescent="0.35">
      <c r="A520" s="136">
        <v>476</v>
      </c>
      <c r="B520" s="165" t="str">
        <f>IF($A520&gt;MIN($A$10,$A$2),"",INDEX(DemoHistory[Date],$A520))</f>
        <v/>
      </c>
      <c r="C520" s="166" t="str">
        <f>IF(OR($A520&gt;MIN($A$10,$A$2),$A$5=""),"",INDEX(DemoHistory[],$A520,MATCH($A$5,DemoHistory[#Headers],0)))</f>
        <v/>
      </c>
      <c r="D520" s="166" t="str">
        <f>IF($A520&gt;MIN($A$10,$A$2),"",IF(AND($A$12,$A$6=1,B520&lt;$A$7,$A$7&lt;=MAX(DemoHistory[Date])),$A$8,1))</f>
        <v/>
      </c>
      <c r="E520" s="166" t="str">
        <f t="shared" si="21"/>
        <v/>
      </c>
      <c r="F520" s="166" t="str">
        <f>IF($A520&gt;MIN($A$10,$A$2),"",IF($A520&lt;50,"n.a.",IF(COUNT(INDEX(StockDaily[Adjusted close],MAX(1,$A520-50+1)):E520)=50,AVERAGE(INDEX(StockDaily[Adjusted close],MAX(1,$A520-50+1)):E520),"n.a.")))</f>
        <v/>
      </c>
      <c r="G520" s="166" t="str">
        <f>IF($A520&gt;MIN($A$10,$A$2),"",IF($A520&lt;200,"n.a.",IF(COUNT(INDEX(StockDaily[Adjusted close],MAX(1,$A520-200+1)):E520)=200,AVERAGE(INDEX(StockDaily[Adjusted close],MAX(1,$A520-200+1)):E520),"n.a.")))</f>
        <v/>
      </c>
      <c r="H520" s="136" t="str">
        <f>IF($A520&gt;MIN($A$10,$A$2),"",IF($A$5="","Choose stock",IF(NOT($A$12),"Check split rule",IF(NOT(ISNUMBER(B520)),"Invalid date",IF(OR(B520&lt;=0,B520&lt;&gt;INT(B520)),"Invalid date",IF(COUNTIFS(DemoHistory[Date],B520)&lt;&gt;1,"Duplicate date",IF(AND($A520&gt;1,B520&lt;=B519),"Dates out of order",IF(NOT(ISNUMBER(C520)),"Missing price",IF(C520&lt;=0,"Nonpositive price","OK")))))))))</f>
        <v/>
      </c>
      <c r="I520" s="136"/>
      <c r="J520" s="136"/>
      <c r="K520" s="136"/>
      <c r="L520" s="136"/>
      <c r="M520" s="136"/>
      <c r="N520" s="136" t="e">
        <f t="shared" si="22"/>
        <v>#N/A</v>
      </c>
      <c r="O520" s="136" t="e">
        <f t="shared" si="23"/>
        <v>#N/A</v>
      </c>
    </row>
    <row r="521" spans="1:15" ht="22" customHeight="1" x14ac:dyDescent="0.35">
      <c r="A521" s="136">
        <v>477</v>
      </c>
      <c r="B521" s="165" t="str">
        <f>IF($A521&gt;MIN($A$10,$A$2),"",INDEX(DemoHistory[Date],$A521))</f>
        <v/>
      </c>
      <c r="C521" s="166" t="str">
        <f>IF(OR($A521&gt;MIN($A$10,$A$2),$A$5=""),"",INDEX(DemoHistory[],$A521,MATCH($A$5,DemoHistory[#Headers],0)))</f>
        <v/>
      </c>
      <c r="D521" s="166" t="str">
        <f>IF($A521&gt;MIN($A$10,$A$2),"",IF(AND($A$12,$A$6=1,B521&lt;$A$7,$A$7&lt;=MAX(DemoHistory[Date])),$A$8,1))</f>
        <v/>
      </c>
      <c r="E521" s="166" t="str">
        <f t="shared" si="21"/>
        <v/>
      </c>
      <c r="F521" s="166" t="str">
        <f>IF($A521&gt;MIN($A$10,$A$2),"",IF($A521&lt;50,"n.a.",IF(COUNT(INDEX(StockDaily[Adjusted close],MAX(1,$A521-50+1)):E521)=50,AVERAGE(INDEX(StockDaily[Adjusted close],MAX(1,$A521-50+1)):E521),"n.a.")))</f>
        <v/>
      </c>
      <c r="G521" s="166" t="str">
        <f>IF($A521&gt;MIN($A$10,$A$2),"",IF($A521&lt;200,"n.a.",IF(COUNT(INDEX(StockDaily[Adjusted close],MAX(1,$A521-200+1)):E521)=200,AVERAGE(INDEX(StockDaily[Adjusted close],MAX(1,$A521-200+1)):E521),"n.a.")))</f>
        <v/>
      </c>
      <c r="H521" s="136" t="str">
        <f>IF($A521&gt;MIN($A$10,$A$2),"",IF($A$5="","Choose stock",IF(NOT($A$12),"Check split rule",IF(NOT(ISNUMBER(B521)),"Invalid date",IF(OR(B521&lt;=0,B521&lt;&gt;INT(B521)),"Invalid date",IF(COUNTIFS(DemoHistory[Date],B521)&lt;&gt;1,"Duplicate date",IF(AND($A521&gt;1,B521&lt;=B520),"Dates out of order",IF(NOT(ISNUMBER(C521)),"Missing price",IF(C521&lt;=0,"Nonpositive price","OK")))))))))</f>
        <v/>
      </c>
      <c r="I521" s="136"/>
      <c r="J521" s="136"/>
      <c r="K521" s="136"/>
      <c r="L521" s="136"/>
      <c r="M521" s="136"/>
      <c r="N521" s="136" t="e">
        <f t="shared" si="22"/>
        <v>#N/A</v>
      </c>
      <c r="O521" s="136" t="e">
        <f t="shared" si="23"/>
        <v>#N/A</v>
      </c>
    </row>
    <row r="522" spans="1:15" ht="22" customHeight="1" x14ac:dyDescent="0.35">
      <c r="A522" s="136">
        <v>478</v>
      </c>
      <c r="B522" s="165" t="str">
        <f>IF($A522&gt;MIN($A$10,$A$2),"",INDEX(DemoHistory[Date],$A522))</f>
        <v/>
      </c>
      <c r="C522" s="166" t="str">
        <f>IF(OR($A522&gt;MIN($A$10,$A$2),$A$5=""),"",INDEX(DemoHistory[],$A522,MATCH($A$5,DemoHistory[#Headers],0)))</f>
        <v/>
      </c>
      <c r="D522" s="166" t="str">
        <f>IF($A522&gt;MIN($A$10,$A$2),"",IF(AND($A$12,$A$6=1,B522&lt;$A$7,$A$7&lt;=MAX(DemoHistory[Date])),$A$8,1))</f>
        <v/>
      </c>
      <c r="E522" s="166" t="str">
        <f t="shared" si="21"/>
        <v/>
      </c>
      <c r="F522" s="166" t="str">
        <f>IF($A522&gt;MIN($A$10,$A$2),"",IF($A522&lt;50,"n.a.",IF(COUNT(INDEX(StockDaily[Adjusted close],MAX(1,$A522-50+1)):E522)=50,AVERAGE(INDEX(StockDaily[Adjusted close],MAX(1,$A522-50+1)):E522),"n.a.")))</f>
        <v/>
      </c>
      <c r="G522" s="166" t="str">
        <f>IF($A522&gt;MIN($A$10,$A$2),"",IF($A522&lt;200,"n.a.",IF(COUNT(INDEX(StockDaily[Adjusted close],MAX(1,$A522-200+1)):E522)=200,AVERAGE(INDEX(StockDaily[Adjusted close],MAX(1,$A522-200+1)):E522),"n.a.")))</f>
        <v/>
      </c>
      <c r="H522" s="136" t="str">
        <f>IF($A522&gt;MIN($A$10,$A$2),"",IF($A$5="","Choose stock",IF(NOT($A$12),"Check split rule",IF(NOT(ISNUMBER(B522)),"Invalid date",IF(OR(B522&lt;=0,B522&lt;&gt;INT(B522)),"Invalid date",IF(COUNTIFS(DemoHistory[Date],B522)&lt;&gt;1,"Duplicate date",IF(AND($A522&gt;1,B522&lt;=B521),"Dates out of order",IF(NOT(ISNUMBER(C522)),"Missing price",IF(C522&lt;=0,"Nonpositive price","OK")))))))))</f>
        <v/>
      </c>
      <c r="I522" s="136"/>
      <c r="J522" s="136"/>
      <c r="K522" s="136"/>
      <c r="L522" s="136"/>
      <c r="M522" s="136"/>
      <c r="N522" s="136" t="e">
        <f t="shared" si="22"/>
        <v>#N/A</v>
      </c>
      <c r="O522" s="136" t="e">
        <f t="shared" si="23"/>
        <v>#N/A</v>
      </c>
    </row>
    <row r="523" spans="1:15" ht="22" customHeight="1" x14ac:dyDescent="0.35">
      <c r="A523" s="136">
        <v>479</v>
      </c>
      <c r="B523" s="165" t="str">
        <f>IF($A523&gt;MIN($A$10,$A$2),"",INDEX(DemoHistory[Date],$A523))</f>
        <v/>
      </c>
      <c r="C523" s="166" t="str">
        <f>IF(OR($A523&gt;MIN($A$10,$A$2),$A$5=""),"",INDEX(DemoHistory[],$A523,MATCH($A$5,DemoHistory[#Headers],0)))</f>
        <v/>
      </c>
      <c r="D523" s="166" t="str">
        <f>IF($A523&gt;MIN($A$10,$A$2),"",IF(AND($A$12,$A$6=1,B523&lt;$A$7,$A$7&lt;=MAX(DemoHistory[Date])),$A$8,1))</f>
        <v/>
      </c>
      <c r="E523" s="166" t="str">
        <f t="shared" si="21"/>
        <v/>
      </c>
      <c r="F523" s="166" t="str">
        <f>IF($A523&gt;MIN($A$10,$A$2),"",IF($A523&lt;50,"n.a.",IF(COUNT(INDEX(StockDaily[Adjusted close],MAX(1,$A523-50+1)):E523)=50,AVERAGE(INDEX(StockDaily[Adjusted close],MAX(1,$A523-50+1)):E523),"n.a.")))</f>
        <v/>
      </c>
      <c r="G523" s="166" t="str">
        <f>IF($A523&gt;MIN($A$10,$A$2),"",IF($A523&lt;200,"n.a.",IF(COUNT(INDEX(StockDaily[Adjusted close],MAX(1,$A523-200+1)):E523)=200,AVERAGE(INDEX(StockDaily[Adjusted close],MAX(1,$A523-200+1)):E523),"n.a.")))</f>
        <v/>
      </c>
      <c r="H523" s="136" t="str">
        <f>IF($A523&gt;MIN($A$10,$A$2),"",IF($A$5="","Choose stock",IF(NOT($A$12),"Check split rule",IF(NOT(ISNUMBER(B523)),"Invalid date",IF(OR(B523&lt;=0,B523&lt;&gt;INT(B523)),"Invalid date",IF(COUNTIFS(DemoHistory[Date],B523)&lt;&gt;1,"Duplicate date",IF(AND($A523&gt;1,B523&lt;=B522),"Dates out of order",IF(NOT(ISNUMBER(C523)),"Missing price",IF(C523&lt;=0,"Nonpositive price","OK")))))))))</f>
        <v/>
      </c>
      <c r="I523" s="136"/>
      <c r="J523" s="136"/>
      <c r="K523" s="136"/>
      <c r="L523" s="136"/>
      <c r="M523" s="136"/>
      <c r="N523" s="136" t="e">
        <f t="shared" si="22"/>
        <v>#N/A</v>
      </c>
      <c r="O523" s="136" t="e">
        <f t="shared" si="23"/>
        <v>#N/A</v>
      </c>
    </row>
    <row r="524" spans="1:15" ht="22" customHeight="1" x14ac:dyDescent="0.35">
      <c r="A524" s="136">
        <v>480</v>
      </c>
      <c r="B524" s="165" t="str">
        <f>IF($A524&gt;MIN($A$10,$A$2),"",INDEX(DemoHistory[Date],$A524))</f>
        <v/>
      </c>
      <c r="C524" s="166" t="str">
        <f>IF(OR($A524&gt;MIN($A$10,$A$2),$A$5=""),"",INDEX(DemoHistory[],$A524,MATCH($A$5,DemoHistory[#Headers],0)))</f>
        <v/>
      </c>
      <c r="D524" s="166" t="str">
        <f>IF($A524&gt;MIN($A$10,$A$2),"",IF(AND($A$12,$A$6=1,B524&lt;$A$7,$A$7&lt;=MAX(DemoHistory[Date])),$A$8,1))</f>
        <v/>
      </c>
      <c r="E524" s="166" t="str">
        <f t="shared" si="21"/>
        <v/>
      </c>
      <c r="F524" s="166" t="str">
        <f>IF($A524&gt;MIN($A$10,$A$2),"",IF($A524&lt;50,"n.a.",IF(COUNT(INDEX(StockDaily[Adjusted close],MAX(1,$A524-50+1)):E524)=50,AVERAGE(INDEX(StockDaily[Adjusted close],MAX(1,$A524-50+1)):E524),"n.a.")))</f>
        <v/>
      </c>
      <c r="G524" s="166" t="str">
        <f>IF($A524&gt;MIN($A$10,$A$2),"",IF($A524&lt;200,"n.a.",IF(COUNT(INDEX(StockDaily[Adjusted close],MAX(1,$A524-200+1)):E524)=200,AVERAGE(INDEX(StockDaily[Adjusted close],MAX(1,$A524-200+1)):E524),"n.a.")))</f>
        <v/>
      </c>
      <c r="H524" s="136" t="str">
        <f>IF($A524&gt;MIN($A$10,$A$2),"",IF($A$5="","Choose stock",IF(NOT($A$12),"Check split rule",IF(NOT(ISNUMBER(B524)),"Invalid date",IF(OR(B524&lt;=0,B524&lt;&gt;INT(B524)),"Invalid date",IF(COUNTIFS(DemoHistory[Date],B524)&lt;&gt;1,"Duplicate date",IF(AND($A524&gt;1,B524&lt;=B523),"Dates out of order",IF(NOT(ISNUMBER(C524)),"Missing price",IF(C524&lt;=0,"Nonpositive price","OK")))))))))</f>
        <v/>
      </c>
      <c r="I524" s="136"/>
      <c r="J524" s="136"/>
      <c r="K524" s="136"/>
      <c r="L524" s="136"/>
      <c r="M524" s="136"/>
      <c r="N524" s="136" t="e">
        <f t="shared" si="22"/>
        <v>#N/A</v>
      </c>
      <c r="O524" s="136" t="e">
        <f t="shared" si="23"/>
        <v>#N/A</v>
      </c>
    </row>
    <row r="525" spans="1:15" ht="22" customHeight="1" x14ac:dyDescent="0.35">
      <c r="A525" s="136">
        <v>481</v>
      </c>
      <c r="B525" s="165" t="str">
        <f>IF($A525&gt;MIN($A$10,$A$2),"",INDEX(DemoHistory[Date],$A525))</f>
        <v/>
      </c>
      <c r="C525" s="166" t="str">
        <f>IF(OR($A525&gt;MIN($A$10,$A$2),$A$5=""),"",INDEX(DemoHistory[],$A525,MATCH($A$5,DemoHistory[#Headers],0)))</f>
        <v/>
      </c>
      <c r="D525" s="166" t="str">
        <f>IF($A525&gt;MIN($A$10,$A$2),"",IF(AND($A$12,$A$6=1,B525&lt;$A$7,$A$7&lt;=MAX(DemoHistory[Date])),$A$8,1))</f>
        <v/>
      </c>
      <c r="E525" s="166" t="str">
        <f t="shared" si="21"/>
        <v/>
      </c>
      <c r="F525" s="166" t="str">
        <f>IF($A525&gt;MIN($A$10,$A$2),"",IF($A525&lt;50,"n.a.",IF(COUNT(INDEX(StockDaily[Adjusted close],MAX(1,$A525-50+1)):E525)=50,AVERAGE(INDEX(StockDaily[Adjusted close],MAX(1,$A525-50+1)):E525),"n.a.")))</f>
        <v/>
      </c>
      <c r="G525" s="166" t="str">
        <f>IF($A525&gt;MIN($A$10,$A$2),"",IF($A525&lt;200,"n.a.",IF(COUNT(INDEX(StockDaily[Adjusted close],MAX(1,$A525-200+1)):E525)=200,AVERAGE(INDEX(StockDaily[Adjusted close],MAX(1,$A525-200+1)):E525),"n.a.")))</f>
        <v/>
      </c>
      <c r="H525" s="136" t="str">
        <f>IF($A525&gt;MIN($A$10,$A$2),"",IF($A$5="","Choose stock",IF(NOT($A$12),"Check split rule",IF(NOT(ISNUMBER(B525)),"Invalid date",IF(OR(B525&lt;=0,B525&lt;&gt;INT(B525)),"Invalid date",IF(COUNTIFS(DemoHistory[Date],B525)&lt;&gt;1,"Duplicate date",IF(AND($A525&gt;1,B525&lt;=B524),"Dates out of order",IF(NOT(ISNUMBER(C525)),"Missing price",IF(C525&lt;=0,"Nonpositive price","OK")))))))))</f>
        <v/>
      </c>
      <c r="I525" s="136"/>
      <c r="J525" s="136"/>
      <c r="K525" s="136"/>
      <c r="L525" s="136"/>
      <c r="M525" s="136"/>
      <c r="N525" s="136" t="e">
        <f t="shared" si="22"/>
        <v>#N/A</v>
      </c>
      <c r="O525" s="136" t="e">
        <f t="shared" si="23"/>
        <v>#N/A</v>
      </c>
    </row>
    <row r="526" spans="1:15" ht="22" customHeight="1" x14ac:dyDescent="0.35">
      <c r="A526" s="136">
        <v>482</v>
      </c>
      <c r="B526" s="165" t="str">
        <f>IF($A526&gt;MIN($A$10,$A$2),"",INDEX(DemoHistory[Date],$A526))</f>
        <v/>
      </c>
      <c r="C526" s="166" t="str">
        <f>IF(OR($A526&gt;MIN($A$10,$A$2),$A$5=""),"",INDEX(DemoHistory[],$A526,MATCH($A$5,DemoHistory[#Headers],0)))</f>
        <v/>
      </c>
      <c r="D526" s="166" t="str">
        <f>IF($A526&gt;MIN($A$10,$A$2),"",IF(AND($A$12,$A$6=1,B526&lt;$A$7,$A$7&lt;=MAX(DemoHistory[Date])),$A$8,1))</f>
        <v/>
      </c>
      <c r="E526" s="166" t="str">
        <f t="shared" si="21"/>
        <v/>
      </c>
      <c r="F526" s="166" t="str">
        <f>IF($A526&gt;MIN($A$10,$A$2),"",IF($A526&lt;50,"n.a.",IF(COUNT(INDEX(StockDaily[Adjusted close],MAX(1,$A526-50+1)):E526)=50,AVERAGE(INDEX(StockDaily[Adjusted close],MAX(1,$A526-50+1)):E526),"n.a.")))</f>
        <v/>
      </c>
      <c r="G526" s="166" t="str">
        <f>IF($A526&gt;MIN($A$10,$A$2),"",IF($A526&lt;200,"n.a.",IF(COUNT(INDEX(StockDaily[Adjusted close],MAX(1,$A526-200+1)):E526)=200,AVERAGE(INDEX(StockDaily[Adjusted close],MAX(1,$A526-200+1)):E526),"n.a.")))</f>
        <v/>
      </c>
      <c r="H526" s="136" t="str">
        <f>IF($A526&gt;MIN($A$10,$A$2),"",IF($A$5="","Choose stock",IF(NOT($A$12),"Check split rule",IF(NOT(ISNUMBER(B526)),"Invalid date",IF(OR(B526&lt;=0,B526&lt;&gt;INT(B526)),"Invalid date",IF(COUNTIFS(DemoHistory[Date],B526)&lt;&gt;1,"Duplicate date",IF(AND($A526&gt;1,B526&lt;=B525),"Dates out of order",IF(NOT(ISNUMBER(C526)),"Missing price",IF(C526&lt;=0,"Nonpositive price","OK")))))))))</f>
        <v/>
      </c>
      <c r="I526" s="136"/>
      <c r="J526" s="136"/>
      <c r="K526" s="136"/>
      <c r="L526" s="136"/>
      <c r="M526" s="136"/>
      <c r="N526" s="136" t="e">
        <f t="shared" si="22"/>
        <v>#N/A</v>
      </c>
      <c r="O526" s="136" t="e">
        <f t="shared" si="23"/>
        <v>#N/A</v>
      </c>
    </row>
    <row r="527" spans="1:15" ht="22" customHeight="1" x14ac:dyDescent="0.35">
      <c r="A527" s="136">
        <v>483</v>
      </c>
      <c r="B527" s="165" t="str">
        <f>IF($A527&gt;MIN($A$10,$A$2),"",INDEX(DemoHistory[Date],$A527))</f>
        <v/>
      </c>
      <c r="C527" s="166" t="str">
        <f>IF(OR($A527&gt;MIN($A$10,$A$2),$A$5=""),"",INDEX(DemoHistory[],$A527,MATCH($A$5,DemoHistory[#Headers],0)))</f>
        <v/>
      </c>
      <c r="D527" s="166" t="str">
        <f>IF($A527&gt;MIN($A$10,$A$2),"",IF(AND($A$12,$A$6=1,B527&lt;$A$7,$A$7&lt;=MAX(DemoHistory[Date])),$A$8,1))</f>
        <v/>
      </c>
      <c r="E527" s="166" t="str">
        <f t="shared" si="21"/>
        <v/>
      </c>
      <c r="F527" s="166" t="str">
        <f>IF($A527&gt;MIN($A$10,$A$2),"",IF($A527&lt;50,"n.a.",IF(COUNT(INDEX(StockDaily[Adjusted close],MAX(1,$A527-50+1)):E527)=50,AVERAGE(INDEX(StockDaily[Adjusted close],MAX(1,$A527-50+1)):E527),"n.a.")))</f>
        <v/>
      </c>
      <c r="G527" s="166" t="str">
        <f>IF($A527&gt;MIN($A$10,$A$2),"",IF($A527&lt;200,"n.a.",IF(COUNT(INDEX(StockDaily[Adjusted close],MAX(1,$A527-200+1)):E527)=200,AVERAGE(INDEX(StockDaily[Adjusted close],MAX(1,$A527-200+1)):E527),"n.a.")))</f>
        <v/>
      </c>
      <c r="H527" s="136" t="str">
        <f>IF($A527&gt;MIN($A$10,$A$2),"",IF($A$5="","Choose stock",IF(NOT($A$12),"Check split rule",IF(NOT(ISNUMBER(B527)),"Invalid date",IF(OR(B527&lt;=0,B527&lt;&gt;INT(B527)),"Invalid date",IF(COUNTIFS(DemoHistory[Date],B527)&lt;&gt;1,"Duplicate date",IF(AND($A527&gt;1,B527&lt;=B526),"Dates out of order",IF(NOT(ISNUMBER(C527)),"Missing price",IF(C527&lt;=0,"Nonpositive price","OK")))))))))</f>
        <v/>
      </c>
      <c r="I527" s="136"/>
      <c r="J527" s="136"/>
      <c r="K527" s="136"/>
      <c r="L527" s="136"/>
      <c r="M527" s="136"/>
      <c r="N527" s="136" t="e">
        <f t="shared" si="22"/>
        <v>#N/A</v>
      </c>
      <c r="O527" s="136" t="e">
        <f t="shared" si="23"/>
        <v>#N/A</v>
      </c>
    </row>
    <row r="528" spans="1:15" ht="22" customHeight="1" x14ac:dyDescent="0.35">
      <c r="A528" s="136">
        <v>484</v>
      </c>
      <c r="B528" s="165" t="str">
        <f>IF($A528&gt;MIN($A$10,$A$2),"",INDEX(DemoHistory[Date],$A528))</f>
        <v/>
      </c>
      <c r="C528" s="166" t="str">
        <f>IF(OR($A528&gt;MIN($A$10,$A$2),$A$5=""),"",INDEX(DemoHistory[],$A528,MATCH($A$5,DemoHistory[#Headers],0)))</f>
        <v/>
      </c>
      <c r="D528" s="166" t="str">
        <f>IF($A528&gt;MIN($A$10,$A$2),"",IF(AND($A$12,$A$6=1,B528&lt;$A$7,$A$7&lt;=MAX(DemoHistory[Date])),$A$8,1))</f>
        <v/>
      </c>
      <c r="E528" s="166" t="str">
        <f t="shared" si="21"/>
        <v/>
      </c>
      <c r="F528" s="166" t="str">
        <f>IF($A528&gt;MIN($A$10,$A$2),"",IF($A528&lt;50,"n.a.",IF(COUNT(INDEX(StockDaily[Adjusted close],MAX(1,$A528-50+1)):E528)=50,AVERAGE(INDEX(StockDaily[Adjusted close],MAX(1,$A528-50+1)):E528),"n.a.")))</f>
        <v/>
      </c>
      <c r="G528" s="166" t="str">
        <f>IF($A528&gt;MIN($A$10,$A$2),"",IF($A528&lt;200,"n.a.",IF(COUNT(INDEX(StockDaily[Adjusted close],MAX(1,$A528-200+1)):E528)=200,AVERAGE(INDEX(StockDaily[Adjusted close],MAX(1,$A528-200+1)):E528),"n.a.")))</f>
        <v/>
      </c>
      <c r="H528" s="136" t="str">
        <f>IF($A528&gt;MIN($A$10,$A$2),"",IF($A$5="","Choose stock",IF(NOT($A$12),"Check split rule",IF(NOT(ISNUMBER(B528)),"Invalid date",IF(OR(B528&lt;=0,B528&lt;&gt;INT(B528)),"Invalid date",IF(COUNTIFS(DemoHistory[Date],B528)&lt;&gt;1,"Duplicate date",IF(AND($A528&gt;1,B528&lt;=B527),"Dates out of order",IF(NOT(ISNUMBER(C528)),"Missing price",IF(C528&lt;=0,"Nonpositive price","OK")))))))))</f>
        <v/>
      </c>
      <c r="I528" s="136"/>
      <c r="J528" s="136"/>
      <c r="K528" s="136"/>
      <c r="L528" s="136"/>
      <c r="M528" s="136"/>
      <c r="N528" s="136" t="e">
        <f t="shared" si="22"/>
        <v>#N/A</v>
      </c>
      <c r="O528" s="136" t="e">
        <f t="shared" si="23"/>
        <v>#N/A</v>
      </c>
    </row>
    <row r="529" spans="1:15" ht="22" customHeight="1" x14ac:dyDescent="0.35">
      <c r="A529" s="136">
        <v>485</v>
      </c>
      <c r="B529" s="165" t="str">
        <f>IF($A529&gt;MIN($A$10,$A$2),"",INDEX(DemoHistory[Date],$A529))</f>
        <v/>
      </c>
      <c r="C529" s="166" t="str">
        <f>IF(OR($A529&gt;MIN($A$10,$A$2),$A$5=""),"",INDEX(DemoHistory[],$A529,MATCH($A$5,DemoHistory[#Headers],0)))</f>
        <v/>
      </c>
      <c r="D529" s="166" t="str">
        <f>IF($A529&gt;MIN($A$10,$A$2),"",IF(AND($A$12,$A$6=1,B529&lt;$A$7,$A$7&lt;=MAX(DemoHistory[Date])),$A$8,1))</f>
        <v/>
      </c>
      <c r="E529" s="166" t="str">
        <f t="shared" si="21"/>
        <v/>
      </c>
      <c r="F529" s="166" t="str">
        <f>IF($A529&gt;MIN($A$10,$A$2),"",IF($A529&lt;50,"n.a.",IF(COUNT(INDEX(StockDaily[Adjusted close],MAX(1,$A529-50+1)):E529)=50,AVERAGE(INDEX(StockDaily[Adjusted close],MAX(1,$A529-50+1)):E529),"n.a.")))</f>
        <v/>
      </c>
      <c r="G529" s="166" t="str">
        <f>IF($A529&gt;MIN($A$10,$A$2),"",IF($A529&lt;200,"n.a.",IF(COUNT(INDEX(StockDaily[Adjusted close],MAX(1,$A529-200+1)):E529)=200,AVERAGE(INDEX(StockDaily[Adjusted close],MAX(1,$A529-200+1)):E529),"n.a.")))</f>
        <v/>
      </c>
      <c r="H529" s="136" t="str">
        <f>IF($A529&gt;MIN($A$10,$A$2),"",IF($A$5="","Choose stock",IF(NOT($A$12),"Check split rule",IF(NOT(ISNUMBER(B529)),"Invalid date",IF(OR(B529&lt;=0,B529&lt;&gt;INT(B529)),"Invalid date",IF(COUNTIFS(DemoHistory[Date],B529)&lt;&gt;1,"Duplicate date",IF(AND($A529&gt;1,B529&lt;=B528),"Dates out of order",IF(NOT(ISNUMBER(C529)),"Missing price",IF(C529&lt;=0,"Nonpositive price","OK")))))))))</f>
        <v/>
      </c>
      <c r="I529" s="136"/>
      <c r="J529" s="136"/>
      <c r="K529" s="136"/>
      <c r="L529" s="136"/>
      <c r="M529" s="136"/>
      <c r="N529" s="136" t="e">
        <f t="shared" si="22"/>
        <v>#N/A</v>
      </c>
      <c r="O529" s="136" t="e">
        <f t="shared" si="23"/>
        <v>#N/A</v>
      </c>
    </row>
    <row r="530" spans="1:15" ht="22" customHeight="1" x14ac:dyDescent="0.35">
      <c r="A530" s="136">
        <v>486</v>
      </c>
      <c r="B530" s="165" t="str">
        <f>IF($A530&gt;MIN($A$10,$A$2),"",INDEX(DemoHistory[Date],$A530))</f>
        <v/>
      </c>
      <c r="C530" s="166" t="str">
        <f>IF(OR($A530&gt;MIN($A$10,$A$2),$A$5=""),"",INDEX(DemoHistory[],$A530,MATCH($A$5,DemoHistory[#Headers],0)))</f>
        <v/>
      </c>
      <c r="D530" s="166" t="str">
        <f>IF($A530&gt;MIN($A$10,$A$2),"",IF(AND($A$12,$A$6=1,B530&lt;$A$7,$A$7&lt;=MAX(DemoHistory[Date])),$A$8,1))</f>
        <v/>
      </c>
      <c r="E530" s="166" t="str">
        <f t="shared" si="21"/>
        <v/>
      </c>
      <c r="F530" s="166" t="str">
        <f>IF($A530&gt;MIN($A$10,$A$2),"",IF($A530&lt;50,"n.a.",IF(COUNT(INDEX(StockDaily[Adjusted close],MAX(1,$A530-50+1)):E530)=50,AVERAGE(INDEX(StockDaily[Adjusted close],MAX(1,$A530-50+1)):E530),"n.a.")))</f>
        <v/>
      </c>
      <c r="G530" s="166" t="str">
        <f>IF($A530&gt;MIN($A$10,$A$2),"",IF($A530&lt;200,"n.a.",IF(COUNT(INDEX(StockDaily[Adjusted close],MAX(1,$A530-200+1)):E530)=200,AVERAGE(INDEX(StockDaily[Adjusted close],MAX(1,$A530-200+1)):E530),"n.a.")))</f>
        <v/>
      </c>
      <c r="H530" s="136" t="str">
        <f>IF($A530&gt;MIN($A$10,$A$2),"",IF($A$5="","Choose stock",IF(NOT($A$12),"Check split rule",IF(NOT(ISNUMBER(B530)),"Invalid date",IF(OR(B530&lt;=0,B530&lt;&gt;INT(B530)),"Invalid date",IF(COUNTIFS(DemoHistory[Date],B530)&lt;&gt;1,"Duplicate date",IF(AND($A530&gt;1,B530&lt;=B529),"Dates out of order",IF(NOT(ISNUMBER(C530)),"Missing price",IF(C530&lt;=0,"Nonpositive price","OK")))))))))</f>
        <v/>
      </c>
      <c r="I530" s="136"/>
      <c r="J530" s="136"/>
      <c r="K530" s="136"/>
      <c r="L530" s="136"/>
      <c r="M530" s="136"/>
      <c r="N530" s="136" t="e">
        <f t="shared" si="22"/>
        <v>#N/A</v>
      </c>
      <c r="O530" s="136" t="e">
        <f t="shared" si="23"/>
        <v>#N/A</v>
      </c>
    </row>
    <row r="531" spans="1:15" ht="22" customHeight="1" x14ac:dyDescent="0.35">
      <c r="A531" s="136">
        <v>487</v>
      </c>
      <c r="B531" s="165" t="str">
        <f>IF($A531&gt;MIN($A$10,$A$2),"",INDEX(DemoHistory[Date],$A531))</f>
        <v/>
      </c>
      <c r="C531" s="166" t="str">
        <f>IF(OR($A531&gt;MIN($A$10,$A$2),$A$5=""),"",INDEX(DemoHistory[],$A531,MATCH($A$5,DemoHistory[#Headers],0)))</f>
        <v/>
      </c>
      <c r="D531" s="166" t="str">
        <f>IF($A531&gt;MIN($A$10,$A$2),"",IF(AND($A$12,$A$6=1,B531&lt;$A$7,$A$7&lt;=MAX(DemoHistory[Date])),$A$8,1))</f>
        <v/>
      </c>
      <c r="E531" s="166" t="str">
        <f t="shared" si="21"/>
        <v/>
      </c>
      <c r="F531" s="166" t="str">
        <f>IF($A531&gt;MIN($A$10,$A$2),"",IF($A531&lt;50,"n.a.",IF(COUNT(INDEX(StockDaily[Adjusted close],MAX(1,$A531-50+1)):E531)=50,AVERAGE(INDEX(StockDaily[Adjusted close],MAX(1,$A531-50+1)):E531),"n.a.")))</f>
        <v/>
      </c>
      <c r="G531" s="166" t="str">
        <f>IF($A531&gt;MIN($A$10,$A$2),"",IF($A531&lt;200,"n.a.",IF(COUNT(INDEX(StockDaily[Adjusted close],MAX(1,$A531-200+1)):E531)=200,AVERAGE(INDEX(StockDaily[Adjusted close],MAX(1,$A531-200+1)):E531),"n.a.")))</f>
        <v/>
      </c>
      <c r="H531" s="136" t="str">
        <f>IF($A531&gt;MIN($A$10,$A$2),"",IF($A$5="","Choose stock",IF(NOT($A$12),"Check split rule",IF(NOT(ISNUMBER(B531)),"Invalid date",IF(OR(B531&lt;=0,B531&lt;&gt;INT(B531)),"Invalid date",IF(COUNTIFS(DemoHistory[Date],B531)&lt;&gt;1,"Duplicate date",IF(AND($A531&gt;1,B531&lt;=B530),"Dates out of order",IF(NOT(ISNUMBER(C531)),"Missing price",IF(C531&lt;=0,"Nonpositive price","OK")))))))))</f>
        <v/>
      </c>
      <c r="I531" s="136"/>
      <c r="J531" s="136"/>
      <c r="K531" s="136"/>
      <c r="L531" s="136"/>
      <c r="M531" s="136"/>
      <c r="N531" s="136" t="e">
        <f t="shared" si="22"/>
        <v>#N/A</v>
      </c>
      <c r="O531" s="136" t="e">
        <f t="shared" si="23"/>
        <v>#N/A</v>
      </c>
    </row>
    <row r="532" spans="1:15" ht="22" customHeight="1" x14ac:dyDescent="0.35">
      <c r="A532" s="136">
        <v>488</v>
      </c>
      <c r="B532" s="165" t="str">
        <f>IF($A532&gt;MIN($A$10,$A$2),"",INDEX(DemoHistory[Date],$A532))</f>
        <v/>
      </c>
      <c r="C532" s="166" t="str">
        <f>IF(OR($A532&gt;MIN($A$10,$A$2),$A$5=""),"",INDEX(DemoHistory[],$A532,MATCH($A$5,DemoHistory[#Headers],0)))</f>
        <v/>
      </c>
      <c r="D532" s="166" t="str">
        <f>IF($A532&gt;MIN($A$10,$A$2),"",IF(AND($A$12,$A$6=1,B532&lt;$A$7,$A$7&lt;=MAX(DemoHistory[Date])),$A$8,1))</f>
        <v/>
      </c>
      <c r="E532" s="166" t="str">
        <f t="shared" si="21"/>
        <v/>
      </c>
      <c r="F532" s="166" t="str">
        <f>IF($A532&gt;MIN($A$10,$A$2),"",IF($A532&lt;50,"n.a.",IF(COUNT(INDEX(StockDaily[Adjusted close],MAX(1,$A532-50+1)):E532)=50,AVERAGE(INDEX(StockDaily[Adjusted close],MAX(1,$A532-50+1)):E532),"n.a.")))</f>
        <v/>
      </c>
      <c r="G532" s="166" t="str">
        <f>IF($A532&gt;MIN($A$10,$A$2),"",IF($A532&lt;200,"n.a.",IF(COUNT(INDEX(StockDaily[Adjusted close],MAX(1,$A532-200+1)):E532)=200,AVERAGE(INDEX(StockDaily[Adjusted close],MAX(1,$A532-200+1)):E532),"n.a.")))</f>
        <v/>
      </c>
      <c r="H532" s="136" t="str">
        <f>IF($A532&gt;MIN($A$10,$A$2),"",IF($A$5="","Choose stock",IF(NOT($A$12),"Check split rule",IF(NOT(ISNUMBER(B532)),"Invalid date",IF(OR(B532&lt;=0,B532&lt;&gt;INT(B532)),"Invalid date",IF(COUNTIFS(DemoHistory[Date],B532)&lt;&gt;1,"Duplicate date",IF(AND($A532&gt;1,B532&lt;=B531),"Dates out of order",IF(NOT(ISNUMBER(C532)),"Missing price",IF(C532&lt;=0,"Nonpositive price","OK")))))))))</f>
        <v/>
      </c>
      <c r="I532" s="136"/>
      <c r="J532" s="136"/>
      <c r="K532" s="136"/>
      <c r="L532" s="136"/>
      <c r="M532" s="136"/>
      <c r="N532" s="136" t="e">
        <f t="shared" si="22"/>
        <v>#N/A</v>
      </c>
      <c r="O532" s="136" t="e">
        <f t="shared" si="23"/>
        <v>#N/A</v>
      </c>
    </row>
    <row r="533" spans="1:15" ht="22" customHeight="1" x14ac:dyDescent="0.35">
      <c r="A533" s="136">
        <v>489</v>
      </c>
      <c r="B533" s="165" t="str">
        <f>IF($A533&gt;MIN($A$10,$A$2),"",INDEX(DemoHistory[Date],$A533))</f>
        <v/>
      </c>
      <c r="C533" s="166" t="str">
        <f>IF(OR($A533&gt;MIN($A$10,$A$2),$A$5=""),"",INDEX(DemoHistory[],$A533,MATCH($A$5,DemoHistory[#Headers],0)))</f>
        <v/>
      </c>
      <c r="D533" s="166" t="str">
        <f>IF($A533&gt;MIN($A$10,$A$2),"",IF(AND($A$12,$A$6=1,B533&lt;$A$7,$A$7&lt;=MAX(DemoHistory[Date])),$A$8,1))</f>
        <v/>
      </c>
      <c r="E533" s="166" t="str">
        <f t="shared" si="21"/>
        <v/>
      </c>
      <c r="F533" s="166" t="str">
        <f>IF($A533&gt;MIN($A$10,$A$2),"",IF($A533&lt;50,"n.a.",IF(COUNT(INDEX(StockDaily[Adjusted close],MAX(1,$A533-50+1)):E533)=50,AVERAGE(INDEX(StockDaily[Adjusted close],MAX(1,$A533-50+1)):E533),"n.a.")))</f>
        <v/>
      </c>
      <c r="G533" s="166" t="str">
        <f>IF($A533&gt;MIN($A$10,$A$2),"",IF($A533&lt;200,"n.a.",IF(COUNT(INDEX(StockDaily[Adjusted close],MAX(1,$A533-200+1)):E533)=200,AVERAGE(INDEX(StockDaily[Adjusted close],MAX(1,$A533-200+1)):E533),"n.a.")))</f>
        <v/>
      </c>
      <c r="H533" s="136" t="str">
        <f>IF($A533&gt;MIN($A$10,$A$2),"",IF($A$5="","Choose stock",IF(NOT($A$12),"Check split rule",IF(NOT(ISNUMBER(B533)),"Invalid date",IF(OR(B533&lt;=0,B533&lt;&gt;INT(B533)),"Invalid date",IF(COUNTIFS(DemoHistory[Date],B533)&lt;&gt;1,"Duplicate date",IF(AND($A533&gt;1,B533&lt;=B532),"Dates out of order",IF(NOT(ISNUMBER(C533)),"Missing price",IF(C533&lt;=0,"Nonpositive price","OK")))))))))</f>
        <v/>
      </c>
      <c r="I533" s="136"/>
      <c r="J533" s="136"/>
      <c r="K533" s="136"/>
      <c r="L533" s="136"/>
      <c r="M533" s="136"/>
      <c r="N533" s="136" t="e">
        <f t="shared" si="22"/>
        <v>#N/A</v>
      </c>
      <c r="O533" s="136" t="e">
        <f t="shared" si="23"/>
        <v>#N/A</v>
      </c>
    </row>
    <row r="534" spans="1:15" ht="22" customHeight="1" x14ac:dyDescent="0.35">
      <c r="A534" s="136">
        <v>490</v>
      </c>
      <c r="B534" s="165" t="str">
        <f>IF($A534&gt;MIN($A$10,$A$2),"",INDEX(DemoHistory[Date],$A534))</f>
        <v/>
      </c>
      <c r="C534" s="166" t="str">
        <f>IF(OR($A534&gt;MIN($A$10,$A$2),$A$5=""),"",INDEX(DemoHistory[],$A534,MATCH($A$5,DemoHistory[#Headers],0)))</f>
        <v/>
      </c>
      <c r="D534" s="166" t="str">
        <f>IF($A534&gt;MIN($A$10,$A$2),"",IF(AND($A$12,$A$6=1,B534&lt;$A$7,$A$7&lt;=MAX(DemoHistory[Date])),$A$8,1))</f>
        <v/>
      </c>
      <c r="E534" s="166" t="str">
        <f t="shared" si="21"/>
        <v/>
      </c>
      <c r="F534" s="166" t="str">
        <f>IF($A534&gt;MIN($A$10,$A$2),"",IF($A534&lt;50,"n.a.",IF(COUNT(INDEX(StockDaily[Adjusted close],MAX(1,$A534-50+1)):E534)=50,AVERAGE(INDEX(StockDaily[Adjusted close],MAX(1,$A534-50+1)):E534),"n.a.")))</f>
        <v/>
      </c>
      <c r="G534" s="166" t="str">
        <f>IF($A534&gt;MIN($A$10,$A$2),"",IF($A534&lt;200,"n.a.",IF(COUNT(INDEX(StockDaily[Adjusted close],MAX(1,$A534-200+1)):E534)=200,AVERAGE(INDEX(StockDaily[Adjusted close],MAX(1,$A534-200+1)):E534),"n.a.")))</f>
        <v/>
      </c>
      <c r="H534" s="136" t="str">
        <f>IF($A534&gt;MIN($A$10,$A$2),"",IF($A$5="","Choose stock",IF(NOT($A$12),"Check split rule",IF(NOT(ISNUMBER(B534)),"Invalid date",IF(OR(B534&lt;=0,B534&lt;&gt;INT(B534)),"Invalid date",IF(COUNTIFS(DemoHistory[Date],B534)&lt;&gt;1,"Duplicate date",IF(AND($A534&gt;1,B534&lt;=B533),"Dates out of order",IF(NOT(ISNUMBER(C534)),"Missing price",IF(C534&lt;=0,"Nonpositive price","OK")))))))))</f>
        <v/>
      </c>
      <c r="I534" s="136"/>
      <c r="J534" s="136"/>
      <c r="K534" s="136"/>
      <c r="L534" s="136"/>
      <c r="M534" s="136"/>
      <c r="N534" s="136" t="e">
        <f t="shared" si="22"/>
        <v>#N/A</v>
      </c>
      <c r="O534" s="136" t="e">
        <f t="shared" si="23"/>
        <v>#N/A</v>
      </c>
    </row>
    <row r="535" spans="1:15" ht="22" customHeight="1" x14ac:dyDescent="0.35">
      <c r="A535" s="136">
        <v>491</v>
      </c>
      <c r="B535" s="165" t="str">
        <f>IF($A535&gt;MIN($A$10,$A$2),"",INDEX(DemoHistory[Date],$A535))</f>
        <v/>
      </c>
      <c r="C535" s="166" t="str">
        <f>IF(OR($A535&gt;MIN($A$10,$A$2),$A$5=""),"",INDEX(DemoHistory[],$A535,MATCH($A$5,DemoHistory[#Headers],0)))</f>
        <v/>
      </c>
      <c r="D535" s="166" t="str">
        <f>IF($A535&gt;MIN($A$10,$A$2),"",IF(AND($A$12,$A$6=1,B535&lt;$A$7,$A$7&lt;=MAX(DemoHistory[Date])),$A$8,1))</f>
        <v/>
      </c>
      <c r="E535" s="166" t="str">
        <f t="shared" si="21"/>
        <v/>
      </c>
      <c r="F535" s="166" t="str">
        <f>IF($A535&gt;MIN($A$10,$A$2),"",IF($A535&lt;50,"n.a.",IF(COUNT(INDEX(StockDaily[Adjusted close],MAX(1,$A535-50+1)):E535)=50,AVERAGE(INDEX(StockDaily[Adjusted close],MAX(1,$A535-50+1)):E535),"n.a.")))</f>
        <v/>
      </c>
      <c r="G535" s="166" t="str">
        <f>IF($A535&gt;MIN($A$10,$A$2),"",IF($A535&lt;200,"n.a.",IF(COUNT(INDEX(StockDaily[Adjusted close],MAX(1,$A535-200+1)):E535)=200,AVERAGE(INDEX(StockDaily[Adjusted close],MAX(1,$A535-200+1)):E535),"n.a.")))</f>
        <v/>
      </c>
      <c r="H535" s="136" t="str">
        <f>IF($A535&gt;MIN($A$10,$A$2),"",IF($A$5="","Choose stock",IF(NOT($A$12),"Check split rule",IF(NOT(ISNUMBER(B535)),"Invalid date",IF(OR(B535&lt;=0,B535&lt;&gt;INT(B535)),"Invalid date",IF(COUNTIFS(DemoHistory[Date],B535)&lt;&gt;1,"Duplicate date",IF(AND($A535&gt;1,B535&lt;=B534),"Dates out of order",IF(NOT(ISNUMBER(C535)),"Missing price",IF(C535&lt;=0,"Nonpositive price","OK")))))))))</f>
        <v/>
      </c>
      <c r="I535" s="136"/>
      <c r="J535" s="136"/>
      <c r="K535" s="136"/>
      <c r="L535" s="136"/>
      <c r="M535" s="136"/>
      <c r="N535" s="136" t="e">
        <f t="shared" si="22"/>
        <v>#N/A</v>
      </c>
      <c r="O535" s="136" t="e">
        <f t="shared" si="23"/>
        <v>#N/A</v>
      </c>
    </row>
    <row r="536" spans="1:15" ht="22" customHeight="1" x14ac:dyDescent="0.35">
      <c r="A536" s="136">
        <v>492</v>
      </c>
      <c r="B536" s="165" t="str">
        <f>IF($A536&gt;MIN($A$10,$A$2),"",INDEX(DemoHistory[Date],$A536))</f>
        <v/>
      </c>
      <c r="C536" s="166" t="str">
        <f>IF(OR($A536&gt;MIN($A$10,$A$2),$A$5=""),"",INDEX(DemoHistory[],$A536,MATCH($A$5,DemoHistory[#Headers],0)))</f>
        <v/>
      </c>
      <c r="D536" s="166" t="str">
        <f>IF($A536&gt;MIN($A$10,$A$2),"",IF(AND($A$12,$A$6=1,B536&lt;$A$7,$A$7&lt;=MAX(DemoHistory[Date])),$A$8,1))</f>
        <v/>
      </c>
      <c r="E536" s="166" t="str">
        <f t="shared" si="21"/>
        <v/>
      </c>
      <c r="F536" s="166" t="str">
        <f>IF($A536&gt;MIN($A$10,$A$2),"",IF($A536&lt;50,"n.a.",IF(COUNT(INDEX(StockDaily[Adjusted close],MAX(1,$A536-50+1)):E536)=50,AVERAGE(INDEX(StockDaily[Adjusted close],MAX(1,$A536-50+1)):E536),"n.a.")))</f>
        <v/>
      </c>
      <c r="G536" s="166" t="str">
        <f>IF($A536&gt;MIN($A$10,$A$2),"",IF($A536&lt;200,"n.a.",IF(COUNT(INDEX(StockDaily[Adjusted close],MAX(1,$A536-200+1)):E536)=200,AVERAGE(INDEX(StockDaily[Adjusted close],MAX(1,$A536-200+1)):E536),"n.a.")))</f>
        <v/>
      </c>
      <c r="H536" s="136" t="str">
        <f>IF($A536&gt;MIN($A$10,$A$2),"",IF($A$5="","Choose stock",IF(NOT($A$12),"Check split rule",IF(NOT(ISNUMBER(B536)),"Invalid date",IF(OR(B536&lt;=0,B536&lt;&gt;INT(B536)),"Invalid date",IF(COUNTIFS(DemoHistory[Date],B536)&lt;&gt;1,"Duplicate date",IF(AND($A536&gt;1,B536&lt;=B535),"Dates out of order",IF(NOT(ISNUMBER(C536)),"Missing price",IF(C536&lt;=0,"Nonpositive price","OK")))))))))</f>
        <v/>
      </c>
      <c r="I536" s="136"/>
      <c r="J536" s="136"/>
      <c r="K536" s="136"/>
      <c r="L536" s="136"/>
      <c r="M536" s="136"/>
      <c r="N536" s="136" t="e">
        <f t="shared" si="22"/>
        <v>#N/A</v>
      </c>
      <c r="O536" s="136" t="e">
        <f t="shared" si="23"/>
        <v>#N/A</v>
      </c>
    </row>
    <row r="537" spans="1:15" ht="22" customHeight="1" x14ac:dyDescent="0.35">
      <c r="A537" s="136">
        <v>493</v>
      </c>
      <c r="B537" s="165" t="str">
        <f>IF($A537&gt;MIN($A$10,$A$2),"",INDEX(DemoHistory[Date],$A537))</f>
        <v/>
      </c>
      <c r="C537" s="166" t="str">
        <f>IF(OR($A537&gt;MIN($A$10,$A$2),$A$5=""),"",INDEX(DemoHistory[],$A537,MATCH($A$5,DemoHistory[#Headers],0)))</f>
        <v/>
      </c>
      <c r="D537" s="166" t="str">
        <f>IF($A537&gt;MIN($A$10,$A$2),"",IF(AND($A$12,$A$6=1,B537&lt;$A$7,$A$7&lt;=MAX(DemoHistory[Date])),$A$8,1))</f>
        <v/>
      </c>
      <c r="E537" s="166" t="str">
        <f t="shared" si="21"/>
        <v/>
      </c>
      <c r="F537" s="166" t="str">
        <f>IF($A537&gt;MIN($A$10,$A$2),"",IF($A537&lt;50,"n.a.",IF(COUNT(INDEX(StockDaily[Adjusted close],MAX(1,$A537-50+1)):E537)=50,AVERAGE(INDEX(StockDaily[Adjusted close],MAX(1,$A537-50+1)):E537),"n.a.")))</f>
        <v/>
      </c>
      <c r="G537" s="166" t="str">
        <f>IF($A537&gt;MIN($A$10,$A$2),"",IF($A537&lt;200,"n.a.",IF(COUNT(INDEX(StockDaily[Adjusted close],MAX(1,$A537-200+1)):E537)=200,AVERAGE(INDEX(StockDaily[Adjusted close],MAX(1,$A537-200+1)):E537),"n.a.")))</f>
        <v/>
      </c>
      <c r="H537" s="136" t="str">
        <f>IF($A537&gt;MIN($A$10,$A$2),"",IF($A$5="","Choose stock",IF(NOT($A$12),"Check split rule",IF(NOT(ISNUMBER(B537)),"Invalid date",IF(OR(B537&lt;=0,B537&lt;&gt;INT(B537)),"Invalid date",IF(COUNTIFS(DemoHistory[Date],B537)&lt;&gt;1,"Duplicate date",IF(AND($A537&gt;1,B537&lt;=B536),"Dates out of order",IF(NOT(ISNUMBER(C537)),"Missing price",IF(C537&lt;=0,"Nonpositive price","OK")))))))))</f>
        <v/>
      </c>
      <c r="I537" s="136"/>
      <c r="J537" s="136"/>
      <c r="K537" s="136"/>
      <c r="L537" s="136"/>
      <c r="M537" s="136"/>
      <c r="N537" s="136" t="e">
        <f t="shared" si="22"/>
        <v>#N/A</v>
      </c>
      <c r="O537" s="136" t="e">
        <f t="shared" si="23"/>
        <v>#N/A</v>
      </c>
    </row>
    <row r="538" spans="1:15" ht="22" customHeight="1" x14ac:dyDescent="0.35">
      <c r="A538" s="136">
        <v>494</v>
      </c>
      <c r="B538" s="165" t="str">
        <f>IF($A538&gt;MIN($A$10,$A$2),"",INDEX(DemoHistory[Date],$A538))</f>
        <v/>
      </c>
      <c r="C538" s="166" t="str">
        <f>IF(OR($A538&gt;MIN($A$10,$A$2),$A$5=""),"",INDEX(DemoHistory[],$A538,MATCH($A$5,DemoHistory[#Headers],0)))</f>
        <v/>
      </c>
      <c r="D538" s="166" t="str">
        <f>IF($A538&gt;MIN($A$10,$A$2),"",IF(AND($A$12,$A$6=1,B538&lt;$A$7,$A$7&lt;=MAX(DemoHistory[Date])),$A$8,1))</f>
        <v/>
      </c>
      <c r="E538" s="166" t="str">
        <f t="shared" si="21"/>
        <v/>
      </c>
      <c r="F538" s="166" t="str">
        <f>IF($A538&gt;MIN($A$10,$A$2),"",IF($A538&lt;50,"n.a.",IF(COUNT(INDEX(StockDaily[Adjusted close],MAX(1,$A538-50+1)):E538)=50,AVERAGE(INDEX(StockDaily[Adjusted close],MAX(1,$A538-50+1)):E538),"n.a.")))</f>
        <v/>
      </c>
      <c r="G538" s="166" t="str">
        <f>IF($A538&gt;MIN($A$10,$A$2),"",IF($A538&lt;200,"n.a.",IF(COUNT(INDEX(StockDaily[Adjusted close],MAX(1,$A538-200+1)):E538)=200,AVERAGE(INDEX(StockDaily[Adjusted close],MAX(1,$A538-200+1)):E538),"n.a.")))</f>
        <v/>
      </c>
      <c r="H538" s="136" t="str">
        <f>IF($A538&gt;MIN($A$10,$A$2),"",IF($A$5="","Choose stock",IF(NOT($A$12),"Check split rule",IF(NOT(ISNUMBER(B538)),"Invalid date",IF(OR(B538&lt;=0,B538&lt;&gt;INT(B538)),"Invalid date",IF(COUNTIFS(DemoHistory[Date],B538)&lt;&gt;1,"Duplicate date",IF(AND($A538&gt;1,B538&lt;=B537),"Dates out of order",IF(NOT(ISNUMBER(C538)),"Missing price",IF(C538&lt;=0,"Nonpositive price","OK")))))))))</f>
        <v/>
      </c>
      <c r="I538" s="136"/>
      <c r="J538" s="136"/>
      <c r="K538" s="136"/>
      <c r="L538" s="136"/>
      <c r="M538" s="136"/>
      <c r="N538" s="136" t="e">
        <f t="shared" si="22"/>
        <v>#N/A</v>
      </c>
      <c r="O538" s="136" t="e">
        <f t="shared" si="23"/>
        <v>#N/A</v>
      </c>
    </row>
    <row r="539" spans="1:15" ht="22" customHeight="1" x14ac:dyDescent="0.35">
      <c r="A539" s="136">
        <v>495</v>
      </c>
      <c r="B539" s="165" t="str">
        <f>IF($A539&gt;MIN($A$10,$A$2),"",INDEX(DemoHistory[Date],$A539))</f>
        <v/>
      </c>
      <c r="C539" s="166" t="str">
        <f>IF(OR($A539&gt;MIN($A$10,$A$2),$A$5=""),"",INDEX(DemoHistory[],$A539,MATCH($A$5,DemoHistory[#Headers],0)))</f>
        <v/>
      </c>
      <c r="D539" s="166" t="str">
        <f>IF($A539&gt;MIN($A$10,$A$2),"",IF(AND($A$12,$A$6=1,B539&lt;$A$7,$A$7&lt;=MAX(DemoHistory[Date])),$A$8,1))</f>
        <v/>
      </c>
      <c r="E539" s="166" t="str">
        <f t="shared" si="21"/>
        <v/>
      </c>
      <c r="F539" s="166" t="str">
        <f>IF($A539&gt;MIN($A$10,$A$2),"",IF($A539&lt;50,"n.a.",IF(COUNT(INDEX(StockDaily[Adjusted close],MAX(1,$A539-50+1)):E539)=50,AVERAGE(INDEX(StockDaily[Adjusted close],MAX(1,$A539-50+1)):E539),"n.a.")))</f>
        <v/>
      </c>
      <c r="G539" s="166" t="str">
        <f>IF($A539&gt;MIN($A$10,$A$2),"",IF($A539&lt;200,"n.a.",IF(COUNT(INDEX(StockDaily[Adjusted close],MAX(1,$A539-200+1)):E539)=200,AVERAGE(INDEX(StockDaily[Adjusted close],MAX(1,$A539-200+1)):E539),"n.a.")))</f>
        <v/>
      </c>
      <c r="H539" s="136" t="str">
        <f>IF($A539&gt;MIN($A$10,$A$2),"",IF($A$5="","Choose stock",IF(NOT($A$12),"Check split rule",IF(NOT(ISNUMBER(B539)),"Invalid date",IF(OR(B539&lt;=0,B539&lt;&gt;INT(B539)),"Invalid date",IF(COUNTIFS(DemoHistory[Date],B539)&lt;&gt;1,"Duplicate date",IF(AND($A539&gt;1,B539&lt;=B538),"Dates out of order",IF(NOT(ISNUMBER(C539)),"Missing price",IF(C539&lt;=0,"Nonpositive price","OK")))))))))</f>
        <v/>
      </c>
      <c r="I539" s="136"/>
      <c r="J539" s="136"/>
      <c r="K539" s="136"/>
      <c r="L539" s="136"/>
      <c r="M539" s="136"/>
      <c r="N539" s="136" t="e">
        <f t="shared" si="22"/>
        <v>#N/A</v>
      </c>
      <c r="O539" s="136" t="e">
        <f t="shared" si="23"/>
        <v>#N/A</v>
      </c>
    </row>
    <row r="540" spans="1:15" ht="22" customHeight="1" x14ac:dyDescent="0.35">
      <c r="A540" s="136">
        <v>496</v>
      </c>
      <c r="B540" s="165" t="str">
        <f>IF($A540&gt;MIN($A$10,$A$2),"",INDEX(DemoHistory[Date],$A540))</f>
        <v/>
      </c>
      <c r="C540" s="166" t="str">
        <f>IF(OR($A540&gt;MIN($A$10,$A$2),$A$5=""),"",INDEX(DemoHistory[],$A540,MATCH($A$5,DemoHistory[#Headers],0)))</f>
        <v/>
      </c>
      <c r="D540" s="166" t="str">
        <f>IF($A540&gt;MIN($A$10,$A$2),"",IF(AND($A$12,$A$6=1,B540&lt;$A$7,$A$7&lt;=MAX(DemoHistory[Date])),$A$8,1))</f>
        <v/>
      </c>
      <c r="E540" s="166" t="str">
        <f t="shared" si="21"/>
        <v/>
      </c>
      <c r="F540" s="166" t="str">
        <f>IF($A540&gt;MIN($A$10,$A$2),"",IF($A540&lt;50,"n.a.",IF(COUNT(INDEX(StockDaily[Adjusted close],MAX(1,$A540-50+1)):E540)=50,AVERAGE(INDEX(StockDaily[Adjusted close],MAX(1,$A540-50+1)):E540),"n.a.")))</f>
        <v/>
      </c>
      <c r="G540" s="166" t="str">
        <f>IF($A540&gt;MIN($A$10,$A$2),"",IF($A540&lt;200,"n.a.",IF(COUNT(INDEX(StockDaily[Adjusted close],MAX(1,$A540-200+1)):E540)=200,AVERAGE(INDEX(StockDaily[Adjusted close],MAX(1,$A540-200+1)):E540),"n.a.")))</f>
        <v/>
      </c>
      <c r="H540" s="136" t="str">
        <f>IF($A540&gt;MIN($A$10,$A$2),"",IF($A$5="","Choose stock",IF(NOT($A$12),"Check split rule",IF(NOT(ISNUMBER(B540)),"Invalid date",IF(OR(B540&lt;=0,B540&lt;&gt;INT(B540)),"Invalid date",IF(COUNTIFS(DemoHistory[Date],B540)&lt;&gt;1,"Duplicate date",IF(AND($A540&gt;1,B540&lt;=B539),"Dates out of order",IF(NOT(ISNUMBER(C540)),"Missing price",IF(C540&lt;=0,"Nonpositive price","OK")))))))))</f>
        <v/>
      </c>
      <c r="I540" s="136"/>
      <c r="J540" s="136"/>
      <c r="K540" s="136"/>
      <c r="L540" s="136"/>
      <c r="M540" s="136"/>
      <c r="N540" s="136" t="e">
        <f t="shared" si="22"/>
        <v>#N/A</v>
      </c>
      <c r="O540" s="136" t="e">
        <f t="shared" si="23"/>
        <v>#N/A</v>
      </c>
    </row>
    <row r="541" spans="1:15" ht="22" customHeight="1" x14ac:dyDescent="0.35">
      <c r="A541" s="136">
        <v>497</v>
      </c>
      <c r="B541" s="165" t="str">
        <f>IF($A541&gt;MIN($A$10,$A$2),"",INDEX(DemoHistory[Date],$A541))</f>
        <v/>
      </c>
      <c r="C541" s="166" t="str">
        <f>IF(OR($A541&gt;MIN($A$10,$A$2),$A$5=""),"",INDEX(DemoHistory[],$A541,MATCH($A$5,DemoHistory[#Headers],0)))</f>
        <v/>
      </c>
      <c r="D541" s="166" t="str">
        <f>IF($A541&gt;MIN($A$10,$A$2),"",IF(AND($A$12,$A$6=1,B541&lt;$A$7,$A$7&lt;=MAX(DemoHistory[Date])),$A$8,1))</f>
        <v/>
      </c>
      <c r="E541" s="166" t="str">
        <f t="shared" si="21"/>
        <v/>
      </c>
      <c r="F541" s="166" t="str">
        <f>IF($A541&gt;MIN($A$10,$A$2),"",IF($A541&lt;50,"n.a.",IF(COUNT(INDEX(StockDaily[Adjusted close],MAX(1,$A541-50+1)):E541)=50,AVERAGE(INDEX(StockDaily[Adjusted close],MAX(1,$A541-50+1)):E541),"n.a.")))</f>
        <v/>
      </c>
      <c r="G541" s="166" t="str">
        <f>IF($A541&gt;MIN($A$10,$A$2),"",IF($A541&lt;200,"n.a.",IF(COUNT(INDEX(StockDaily[Adjusted close],MAX(1,$A541-200+1)):E541)=200,AVERAGE(INDEX(StockDaily[Adjusted close],MAX(1,$A541-200+1)):E541),"n.a.")))</f>
        <v/>
      </c>
      <c r="H541" s="136" t="str">
        <f>IF($A541&gt;MIN($A$10,$A$2),"",IF($A$5="","Choose stock",IF(NOT($A$12),"Check split rule",IF(NOT(ISNUMBER(B541)),"Invalid date",IF(OR(B541&lt;=0,B541&lt;&gt;INT(B541)),"Invalid date",IF(COUNTIFS(DemoHistory[Date],B541)&lt;&gt;1,"Duplicate date",IF(AND($A541&gt;1,B541&lt;=B540),"Dates out of order",IF(NOT(ISNUMBER(C541)),"Missing price",IF(C541&lt;=0,"Nonpositive price","OK")))))))))</f>
        <v/>
      </c>
      <c r="I541" s="136"/>
      <c r="J541" s="136"/>
      <c r="K541" s="136"/>
      <c r="L541" s="136"/>
      <c r="M541" s="136"/>
      <c r="N541" s="136" t="e">
        <f t="shared" si="22"/>
        <v>#N/A</v>
      </c>
      <c r="O541" s="136" t="e">
        <f t="shared" si="23"/>
        <v>#N/A</v>
      </c>
    </row>
    <row r="542" spans="1:15" ht="22" customHeight="1" x14ac:dyDescent="0.35">
      <c r="A542" s="136">
        <v>498</v>
      </c>
      <c r="B542" s="165" t="str">
        <f>IF($A542&gt;MIN($A$10,$A$2),"",INDEX(DemoHistory[Date],$A542))</f>
        <v/>
      </c>
      <c r="C542" s="166" t="str">
        <f>IF(OR($A542&gt;MIN($A$10,$A$2),$A$5=""),"",INDEX(DemoHistory[],$A542,MATCH($A$5,DemoHistory[#Headers],0)))</f>
        <v/>
      </c>
      <c r="D542" s="166" t="str">
        <f>IF($A542&gt;MIN($A$10,$A$2),"",IF(AND($A$12,$A$6=1,B542&lt;$A$7,$A$7&lt;=MAX(DemoHistory[Date])),$A$8,1))</f>
        <v/>
      </c>
      <c r="E542" s="166" t="str">
        <f t="shared" si="21"/>
        <v/>
      </c>
      <c r="F542" s="166" t="str">
        <f>IF($A542&gt;MIN($A$10,$A$2),"",IF($A542&lt;50,"n.a.",IF(COUNT(INDEX(StockDaily[Adjusted close],MAX(1,$A542-50+1)):E542)=50,AVERAGE(INDEX(StockDaily[Adjusted close],MAX(1,$A542-50+1)):E542),"n.a.")))</f>
        <v/>
      </c>
      <c r="G542" s="166" t="str">
        <f>IF($A542&gt;MIN($A$10,$A$2),"",IF($A542&lt;200,"n.a.",IF(COUNT(INDEX(StockDaily[Adjusted close],MAX(1,$A542-200+1)):E542)=200,AVERAGE(INDEX(StockDaily[Adjusted close],MAX(1,$A542-200+1)):E542),"n.a.")))</f>
        <v/>
      </c>
      <c r="H542" s="136" t="str">
        <f>IF($A542&gt;MIN($A$10,$A$2),"",IF($A$5="","Choose stock",IF(NOT($A$12),"Check split rule",IF(NOT(ISNUMBER(B542)),"Invalid date",IF(OR(B542&lt;=0,B542&lt;&gt;INT(B542)),"Invalid date",IF(COUNTIFS(DemoHistory[Date],B542)&lt;&gt;1,"Duplicate date",IF(AND($A542&gt;1,B542&lt;=B541),"Dates out of order",IF(NOT(ISNUMBER(C542)),"Missing price",IF(C542&lt;=0,"Nonpositive price","OK")))))))))</f>
        <v/>
      </c>
      <c r="I542" s="136"/>
      <c r="J542" s="136"/>
      <c r="K542" s="136"/>
      <c r="L542" s="136"/>
      <c r="M542" s="136"/>
      <c r="N542" s="136" t="e">
        <f t="shared" si="22"/>
        <v>#N/A</v>
      </c>
      <c r="O542" s="136" t="e">
        <f t="shared" si="23"/>
        <v>#N/A</v>
      </c>
    </row>
    <row r="543" spans="1:15" ht="22" customHeight="1" x14ac:dyDescent="0.35">
      <c r="A543" s="136">
        <v>499</v>
      </c>
      <c r="B543" s="165" t="str">
        <f>IF($A543&gt;MIN($A$10,$A$2),"",INDEX(DemoHistory[Date],$A543))</f>
        <v/>
      </c>
      <c r="C543" s="166" t="str">
        <f>IF(OR($A543&gt;MIN($A$10,$A$2),$A$5=""),"",INDEX(DemoHistory[],$A543,MATCH($A$5,DemoHistory[#Headers],0)))</f>
        <v/>
      </c>
      <c r="D543" s="166" t="str">
        <f>IF($A543&gt;MIN($A$10,$A$2),"",IF(AND($A$12,$A$6=1,B543&lt;$A$7,$A$7&lt;=MAX(DemoHistory[Date])),$A$8,1))</f>
        <v/>
      </c>
      <c r="E543" s="166" t="str">
        <f t="shared" si="21"/>
        <v/>
      </c>
      <c r="F543" s="166" t="str">
        <f>IF($A543&gt;MIN($A$10,$A$2),"",IF($A543&lt;50,"n.a.",IF(COUNT(INDEX(StockDaily[Adjusted close],MAX(1,$A543-50+1)):E543)=50,AVERAGE(INDEX(StockDaily[Adjusted close],MAX(1,$A543-50+1)):E543),"n.a.")))</f>
        <v/>
      </c>
      <c r="G543" s="166" t="str">
        <f>IF($A543&gt;MIN($A$10,$A$2),"",IF($A543&lt;200,"n.a.",IF(COUNT(INDEX(StockDaily[Adjusted close],MAX(1,$A543-200+1)):E543)=200,AVERAGE(INDEX(StockDaily[Adjusted close],MAX(1,$A543-200+1)):E543),"n.a.")))</f>
        <v/>
      </c>
      <c r="H543" s="136" t="str">
        <f>IF($A543&gt;MIN($A$10,$A$2),"",IF($A$5="","Choose stock",IF(NOT($A$12),"Check split rule",IF(NOT(ISNUMBER(B543)),"Invalid date",IF(OR(B543&lt;=0,B543&lt;&gt;INT(B543)),"Invalid date",IF(COUNTIFS(DemoHistory[Date],B543)&lt;&gt;1,"Duplicate date",IF(AND($A543&gt;1,B543&lt;=B542),"Dates out of order",IF(NOT(ISNUMBER(C543)),"Missing price",IF(C543&lt;=0,"Nonpositive price","OK")))))))))</f>
        <v/>
      </c>
      <c r="I543" s="136"/>
      <c r="J543" s="136"/>
      <c r="K543" s="136"/>
      <c r="L543" s="136"/>
      <c r="M543" s="136"/>
      <c r="N543" s="136" t="e">
        <f t="shared" si="22"/>
        <v>#N/A</v>
      </c>
      <c r="O543" s="136" t="e">
        <f t="shared" si="23"/>
        <v>#N/A</v>
      </c>
    </row>
    <row r="544" spans="1:15" ht="22" customHeight="1" x14ac:dyDescent="0.35">
      <c r="A544" s="136">
        <v>500</v>
      </c>
      <c r="B544" s="165" t="str">
        <f>IF($A544&gt;MIN($A$10,$A$2),"",INDEX(DemoHistory[Date],$A544))</f>
        <v/>
      </c>
      <c r="C544" s="166" t="str">
        <f>IF(OR($A544&gt;MIN($A$10,$A$2),$A$5=""),"",INDEX(DemoHistory[],$A544,MATCH($A$5,DemoHistory[#Headers],0)))</f>
        <v/>
      </c>
      <c r="D544" s="166" t="str">
        <f>IF($A544&gt;MIN($A$10,$A$2),"",IF(AND($A$12,$A$6=1,B544&lt;$A$7,$A$7&lt;=MAX(DemoHistory[Date])),$A$8,1))</f>
        <v/>
      </c>
      <c r="E544" s="166" t="str">
        <f t="shared" si="21"/>
        <v/>
      </c>
      <c r="F544" s="166" t="str">
        <f>IF($A544&gt;MIN($A$10,$A$2),"",IF($A544&lt;50,"n.a.",IF(COUNT(INDEX(StockDaily[Adjusted close],MAX(1,$A544-50+1)):E544)=50,AVERAGE(INDEX(StockDaily[Adjusted close],MAX(1,$A544-50+1)):E544),"n.a.")))</f>
        <v/>
      </c>
      <c r="G544" s="166" t="str">
        <f>IF($A544&gt;MIN($A$10,$A$2),"",IF($A544&lt;200,"n.a.",IF(COUNT(INDEX(StockDaily[Adjusted close],MAX(1,$A544-200+1)):E544)=200,AVERAGE(INDEX(StockDaily[Adjusted close],MAX(1,$A544-200+1)):E544),"n.a.")))</f>
        <v/>
      </c>
      <c r="H544" s="136" t="str">
        <f>IF($A544&gt;MIN($A$10,$A$2),"",IF($A$5="","Choose stock",IF(NOT($A$12),"Check split rule",IF(NOT(ISNUMBER(B544)),"Invalid date",IF(OR(B544&lt;=0,B544&lt;&gt;INT(B544)),"Invalid date",IF(COUNTIFS(DemoHistory[Date],B544)&lt;&gt;1,"Duplicate date",IF(AND($A544&gt;1,B544&lt;=B543),"Dates out of order",IF(NOT(ISNUMBER(C544)),"Missing price",IF(C544&lt;=0,"Nonpositive price","OK")))))))))</f>
        <v/>
      </c>
      <c r="I544" s="136"/>
      <c r="J544" s="136"/>
      <c r="K544" s="136"/>
      <c r="L544" s="136"/>
      <c r="M544" s="136"/>
      <c r="N544" s="136" t="e">
        <f t="shared" si="22"/>
        <v>#N/A</v>
      </c>
      <c r="O544" s="136" t="e">
        <f t="shared" si="23"/>
        <v>#N/A</v>
      </c>
    </row>
    <row r="545" spans="1:15" ht="22" customHeight="1" x14ac:dyDescent="0.35">
      <c r="A545" s="136">
        <v>501</v>
      </c>
      <c r="B545" s="165" t="str">
        <f>IF($A545&gt;MIN($A$10,$A$2),"",INDEX(DemoHistory[Date],$A545))</f>
        <v/>
      </c>
      <c r="C545" s="166" t="str">
        <f>IF(OR($A545&gt;MIN($A$10,$A$2),$A$5=""),"",INDEX(DemoHistory[],$A545,MATCH($A$5,DemoHistory[#Headers],0)))</f>
        <v/>
      </c>
      <c r="D545" s="166" t="str">
        <f>IF($A545&gt;MIN($A$10,$A$2),"",IF(AND($A$12,$A$6=1,B545&lt;$A$7,$A$7&lt;=MAX(DemoHistory[Date])),$A$8,1))</f>
        <v/>
      </c>
      <c r="E545" s="166" t="str">
        <f t="shared" si="21"/>
        <v/>
      </c>
      <c r="F545" s="166" t="str">
        <f>IF($A545&gt;MIN($A$10,$A$2),"",IF($A545&lt;50,"n.a.",IF(COUNT(INDEX(StockDaily[Adjusted close],MAX(1,$A545-50+1)):E545)=50,AVERAGE(INDEX(StockDaily[Adjusted close],MAX(1,$A545-50+1)):E545),"n.a.")))</f>
        <v/>
      </c>
      <c r="G545" s="166" t="str">
        <f>IF($A545&gt;MIN($A$10,$A$2),"",IF($A545&lt;200,"n.a.",IF(COUNT(INDEX(StockDaily[Adjusted close],MAX(1,$A545-200+1)):E545)=200,AVERAGE(INDEX(StockDaily[Adjusted close],MAX(1,$A545-200+1)):E545),"n.a.")))</f>
        <v/>
      </c>
      <c r="H545" s="136" t="str">
        <f>IF($A545&gt;MIN($A$10,$A$2),"",IF($A$5="","Choose stock",IF(NOT($A$12),"Check split rule",IF(NOT(ISNUMBER(B545)),"Invalid date",IF(OR(B545&lt;=0,B545&lt;&gt;INT(B545)),"Invalid date",IF(COUNTIFS(DemoHistory[Date],B545)&lt;&gt;1,"Duplicate date",IF(AND($A545&gt;1,B545&lt;=B544),"Dates out of order",IF(NOT(ISNUMBER(C545)),"Missing price",IF(C545&lt;=0,"Nonpositive price","OK")))))))))</f>
        <v/>
      </c>
      <c r="I545" s="136"/>
      <c r="J545" s="136"/>
      <c r="K545" s="136"/>
      <c r="L545" s="136"/>
      <c r="M545" s="136"/>
      <c r="N545" s="136" t="e">
        <f t="shared" si="22"/>
        <v>#N/A</v>
      </c>
      <c r="O545" s="136" t="e">
        <f t="shared" si="23"/>
        <v>#N/A</v>
      </c>
    </row>
    <row r="546" spans="1:15" ht="22" customHeight="1" x14ac:dyDescent="0.35">
      <c r="A546" s="136">
        <v>502</v>
      </c>
      <c r="B546" s="165" t="str">
        <f>IF($A546&gt;MIN($A$10,$A$2),"",INDEX(DemoHistory[Date],$A546))</f>
        <v/>
      </c>
      <c r="C546" s="166" t="str">
        <f>IF(OR($A546&gt;MIN($A$10,$A$2),$A$5=""),"",INDEX(DemoHistory[],$A546,MATCH($A$5,DemoHistory[#Headers],0)))</f>
        <v/>
      </c>
      <c r="D546" s="166" t="str">
        <f>IF($A546&gt;MIN($A$10,$A$2),"",IF(AND($A$12,$A$6=1,B546&lt;$A$7,$A$7&lt;=MAX(DemoHistory[Date])),$A$8,1))</f>
        <v/>
      </c>
      <c r="E546" s="166" t="str">
        <f t="shared" si="21"/>
        <v/>
      </c>
      <c r="F546" s="166" t="str">
        <f>IF($A546&gt;MIN($A$10,$A$2),"",IF($A546&lt;50,"n.a.",IF(COUNT(INDEX(StockDaily[Adjusted close],MAX(1,$A546-50+1)):E546)=50,AVERAGE(INDEX(StockDaily[Adjusted close],MAX(1,$A546-50+1)):E546),"n.a.")))</f>
        <v/>
      </c>
      <c r="G546" s="166" t="str">
        <f>IF($A546&gt;MIN($A$10,$A$2),"",IF($A546&lt;200,"n.a.",IF(COUNT(INDEX(StockDaily[Adjusted close],MAX(1,$A546-200+1)):E546)=200,AVERAGE(INDEX(StockDaily[Adjusted close],MAX(1,$A546-200+1)):E546),"n.a.")))</f>
        <v/>
      </c>
      <c r="H546" s="136" t="str">
        <f>IF($A546&gt;MIN($A$10,$A$2),"",IF($A$5="","Choose stock",IF(NOT($A$12),"Check split rule",IF(NOT(ISNUMBER(B546)),"Invalid date",IF(OR(B546&lt;=0,B546&lt;&gt;INT(B546)),"Invalid date",IF(COUNTIFS(DemoHistory[Date],B546)&lt;&gt;1,"Duplicate date",IF(AND($A546&gt;1,B546&lt;=B545),"Dates out of order",IF(NOT(ISNUMBER(C546)),"Missing price",IF(C546&lt;=0,"Nonpositive price","OK")))))))))</f>
        <v/>
      </c>
      <c r="I546" s="136"/>
      <c r="J546" s="136"/>
      <c r="K546" s="136"/>
      <c r="L546" s="136"/>
      <c r="M546" s="136"/>
      <c r="N546" s="136" t="e">
        <f t="shared" si="22"/>
        <v>#N/A</v>
      </c>
      <c r="O546" s="136" t="e">
        <f t="shared" si="23"/>
        <v>#N/A</v>
      </c>
    </row>
    <row r="547" spans="1:15" ht="22" customHeight="1" x14ac:dyDescent="0.35">
      <c r="A547" s="136">
        <v>503</v>
      </c>
      <c r="B547" s="165" t="str">
        <f>IF($A547&gt;MIN($A$10,$A$2),"",INDEX(DemoHistory[Date],$A547))</f>
        <v/>
      </c>
      <c r="C547" s="166" t="str">
        <f>IF(OR($A547&gt;MIN($A$10,$A$2),$A$5=""),"",INDEX(DemoHistory[],$A547,MATCH($A$5,DemoHistory[#Headers],0)))</f>
        <v/>
      </c>
      <c r="D547" s="166" t="str">
        <f>IF($A547&gt;MIN($A$10,$A$2),"",IF(AND($A$12,$A$6=1,B547&lt;$A$7,$A$7&lt;=MAX(DemoHistory[Date])),$A$8,1))</f>
        <v/>
      </c>
      <c r="E547" s="166" t="str">
        <f t="shared" si="21"/>
        <v/>
      </c>
      <c r="F547" s="166" t="str">
        <f>IF($A547&gt;MIN($A$10,$A$2),"",IF($A547&lt;50,"n.a.",IF(COUNT(INDEX(StockDaily[Adjusted close],MAX(1,$A547-50+1)):E547)=50,AVERAGE(INDEX(StockDaily[Adjusted close],MAX(1,$A547-50+1)):E547),"n.a.")))</f>
        <v/>
      </c>
      <c r="G547" s="166" t="str">
        <f>IF($A547&gt;MIN($A$10,$A$2),"",IF($A547&lt;200,"n.a.",IF(COUNT(INDEX(StockDaily[Adjusted close],MAX(1,$A547-200+1)):E547)=200,AVERAGE(INDEX(StockDaily[Adjusted close],MAX(1,$A547-200+1)):E547),"n.a.")))</f>
        <v/>
      </c>
      <c r="H547" s="136" t="str">
        <f>IF($A547&gt;MIN($A$10,$A$2),"",IF($A$5="","Choose stock",IF(NOT($A$12),"Check split rule",IF(NOT(ISNUMBER(B547)),"Invalid date",IF(OR(B547&lt;=0,B547&lt;&gt;INT(B547)),"Invalid date",IF(COUNTIFS(DemoHistory[Date],B547)&lt;&gt;1,"Duplicate date",IF(AND($A547&gt;1,B547&lt;=B546),"Dates out of order",IF(NOT(ISNUMBER(C547)),"Missing price",IF(C547&lt;=0,"Nonpositive price","OK")))))))))</f>
        <v/>
      </c>
      <c r="I547" s="136"/>
      <c r="J547" s="136"/>
      <c r="K547" s="136"/>
      <c r="L547" s="136"/>
      <c r="M547" s="136"/>
      <c r="N547" s="136" t="e">
        <f t="shared" si="22"/>
        <v>#N/A</v>
      </c>
      <c r="O547" s="136" t="e">
        <f t="shared" si="23"/>
        <v>#N/A</v>
      </c>
    </row>
    <row r="548" spans="1:15" ht="22" customHeight="1" x14ac:dyDescent="0.35">
      <c r="A548" s="136">
        <v>504</v>
      </c>
      <c r="B548" s="165" t="str">
        <f>IF($A548&gt;MIN($A$10,$A$2),"",INDEX(DemoHistory[Date],$A548))</f>
        <v/>
      </c>
      <c r="C548" s="166" t="str">
        <f>IF(OR($A548&gt;MIN($A$10,$A$2),$A$5=""),"",INDEX(DemoHistory[],$A548,MATCH($A$5,DemoHistory[#Headers],0)))</f>
        <v/>
      </c>
      <c r="D548" s="166" t="str">
        <f>IF($A548&gt;MIN($A$10,$A$2),"",IF(AND($A$12,$A$6=1,B548&lt;$A$7,$A$7&lt;=MAX(DemoHistory[Date])),$A$8,1))</f>
        <v/>
      </c>
      <c r="E548" s="166" t="str">
        <f t="shared" si="21"/>
        <v/>
      </c>
      <c r="F548" s="166" t="str">
        <f>IF($A548&gt;MIN($A$10,$A$2),"",IF($A548&lt;50,"n.a.",IF(COUNT(INDEX(StockDaily[Adjusted close],MAX(1,$A548-50+1)):E548)=50,AVERAGE(INDEX(StockDaily[Adjusted close],MAX(1,$A548-50+1)):E548),"n.a.")))</f>
        <v/>
      </c>
      <c r="G548" s="166" t="str">
        <f>IF($A548&gt;MIN($A$10,$A$2),"",IF($A548&lt;200,"n.a.",IF(COUNT(INDEX(StockDaily[Adjusted close],MAX(1,$A548-200+1)):E548)=200,AVERAGE(INDEX(StockDaily[Adjusted close],MAX(1,$A548-200+1)):E548),"n.a.")))</f>
        <v/>
      </c>
      <c r="H548" s="136" t="str">
        <f>IF($A548&gt;MIN($A$10,$A$2),"",IF($A$5="","Choose stock",IF(NOT($A$12),"Check split rule",IF(NOT(ISNUMBER(B548)),"Invalid date",IF(OR(B548&lt;=0,B548&lt;&gt;INT(B548)),"Invalid date",IF(COUNTIFS(DemoHistory[Date],B548)&lt;&gt;1,"Duplicate date",IF(AND($A548&gt;1,B548&lt;=B547),"Dates out of order",IF(NOT(ISNUMBER(C548)),"Missing price",IF(C548&lt;=0,"Nonpositive price","OK")))))))))</f>
        <v/>
      </c>
      <c r="I548" s="136"/>
      <c r="J548" s="136"/>
      <c r="K548" s="136"/>
      <c r="L548" s="136"/>
      <c r="M548" s="136"/>
      <c r="N548" s="136" t="e">
        <f t="shared" si="22"/>
        <v>#N/A</v>
      </c>
      <c r="O548" s="136" t="e">
        <f t="shared" si="23"/>
        <v>#N/A</v>
      </c>
    </row>
    <row r="549" spans="1:15" ht="22" customHeight="1" x14ac:dyDescent="0.35">
      <c r="A549" s="136">
        <v>505</v>
      </c>
      <c r="B549" s="165" t="str">
        <f>IF($A549&gt;MIN($A$10,$A$2),"",INDEX(DemoHistory[Date],$A549))</f>
        <v/>
      </c>
      <c r="C549" s="166" t="str">
        <f>IF(OR($A549&gt;MIN($A$10,$A$2),$A$5=""),"",INDEX(DemoHistory[],$A549,MATCH($A$5,DemoHistory[#Headers],0)))</f>
        <v/>
      </c>
      <c r="D549" s="166" t="str">
        <f>IF($A549&gt;MIN($A$10,$A$2),"",IF(AND($A$12,$A$6=1,B549&lt;$A$7,$A$7&lt;=MAX(DemoHistory[Date])),$A$8,1))</f>
        <v/>
      </c>
      <c r="E549" s="166" t="str">
        <f t="shared" si="21"/>
        <v/>
      </c>
      <c r="F549" s="166" t="str">
        <f>IF($A549&gt;MIN($A$10,$A$2),"",IF($A549&lt;50,"n.a.",IF(COUNT(INDEX(StockDaily[Adjusted close],MAX(1,$A549-50+1)):E549)=50,AVERAGE(INDEX(StockDaily[Adjusted close],MAX(1,$A549-50+1)):E549),"n.a.")))</f>
        <v/>
      </c>
      <c r="G549" s="166" t="str">
        <f>IF($A549&gt;MIN($A$10,$A$2),"",IF($A549&lt;200,"n.a.",IF(COUNT(INDEX(StockDaily[Adjusted close],MAX(1,$A549-200+1)):E549)=200,AVERAGE(INDEX(StockDaily[Adjusted close],MAX(1,$A549-200+1)):E549),"n.a.")))</f>
        <v/>
      </c>
      <c r="H549" s="136" t="str">
        <f>IF($A549&gt;MIN($A$10,$A$2),"",IF($A$5="","Choose stock",IF(NOT($A$12),"Check split rule",IF(NOT(ISNUMBER(B549)),"Invalid date",IF(OR(B549&lt;=0,B549&lt;&gt;INT(B549)),"Invalid date",IF(COUNTIFS(DemoHistory[Date],B549)&lt;&gt;1,"Duplicate date",IF(AND($A549&gt;1,B549&lt;=B548),"Dates out of order",IF(NOT(ISNUMBER(C549)),"Missing price",IF(C549&lt;=0,"Nonpositive price","OK")))))))))</f>
        <v/>
      </c>
      <c r="I549" s="136"/>
      <c r="J549" s="136"/>
      <c r="K549" s="136"/>
      <c r="L549" s="136"/>
      <c r="M549" s="136"/>
      <c r="N549" s="136" t="e">
        <f t="shared" si="22"/>
        <v>#N/A</v>
      </c>
      <c r="O549" s="136" t="e">
        <f t="shared" si="23"/>
        <v>#N/A</v>
      </c>
    </row>
    <row r="550" spans="1:15" ht="22" customHeight="1" x14ac:dyDescent="0.35">
      <c r="A550" s="136">
        <v>506</v>
      </c>
      <c r="B550" s="165" t="str">
        <f>IF($A550&gt;MIN($A$10,$A$2),"",INDEX(DemoHistory[Date],$A550))</f>
        <v/>
      </c>
      <c r="C550" s="166" t="str">
        <f>IF(OR($A550&gt;MIN($A$10,$A$2),$A$5=""),"",INDEX(DemoHistory[],$A550,MATCH($A$5,DemoHistory[#Headers],0)))</f>
        <v/>
      </c>
      <c r="D550" s="166" t="str">
        <f>IF($A550&gt;MIN($A$10,$A$2),"",IF(AND($A$12,$A$6=1,B550&lt;$A$7,$A$7&lt;=MAX(DemoHistory[Date])),$A$8,1))</f>
        <v/>
      </c>
      <c r="E550" s="166" t="str">
        <f t="shared" si="21"/>
        <v/>
      </c>
      <c r="F550" s="166" t="str">
        <f>IF($A550&gt;MIN($A$10,$A$2),"",IF($A550&lt;50,"n.a.",IF(COUNT(INDEX(StockDaily[Adjusted close],MAX(1,$A550-50+1)):E550)=50,AVERAGE(INDEX(StockDaily[Adjusted close],MAX(1,$A550-50+1)):E550),"n.a.")))</f>
        <v/>
      </c>
      <c r="G550" s="166" t="str">
        <f>IF($A550&gt;MIN($A$10,$A$2),"",IF($A550&lt;200,"n.a.",IF(COUNT(INDEX(StockDaily[Adjusted close],MAX(1,$A550-200+1)):E550)=200,AVERAGE(INDEX(StockDaily[Adjusted close],MAX(1,$A550-200+1)):E550),"n.a.")))</f>
        <v/>
      </c>
      <c r="H550" s="136" t="str">
        <f>IF($A550&gt;MIN($A$10,$A$2),"",IF($A$5="","Choose stock",IF(NOT($A$12),"Check split rule",IF(NOT(ISNUMBER(B550)),"Invalid date",IF(OR(B550&lt;=0,B550&lt;&gt;INT(B550)),"Invalid date",IF(COUNTIFS(DemoHistory[Date],B550)&lt;&gt;1,"Duplicate date",IF(AND($A550&gt;1,B550&lt;=B549),"Dates out of order",IF(NOT(ISNUMBER(C550)),"Missing price",IF(C550&lt;=0,"Nonpositive price","OK")))))))))</f>
        <v/>
      </c>
      <c r="I550" s="136"/>
      <c r="J550" s="136"/>
      <c r="K550" s="136"/>
      <c r="L550" s="136"/>
      <c r="M550" s="136"/>
      <c r="N550" s="136" t="e">
        <f t="shared" si="22"/>
        <v>#N/A</v>
      </c>
      <c r="O550" s="136" t="e">
        <f t="shared" si="23"/>
        <v>#N/A</v>
      </c>
    </row>
    <row r="551" spans="1:15" ht="22" customHeight="1" x14ac:dyDescent="0.35">
      <c r="A551" s="136">
        <v>507</v>
      </c>
      <c r="B551" s="165" t="str">
        <f>IF($A551&gt;MIN($A$10,$A$2),"",INDEX(DemoHistory[Date],$A551))</f>
        <v/>
      </c>
      <c r="C551" s="166" t="str">
        <f>IF(OR($A551&gt;MIN($A$10,$A$2),$A$5=""),"",INDEX(DemoHistory[],$A551,MATCH($A$5,DemoHistory[#Headers],0)))</f>
        <v/>
      </c>
      <c r="D551" s="166" t="str">
        <f>IF($A551&gt;MIN($A$10,$A$2),"",IF(AND($A$12,$A$6=1,B551&lt;$A$7,$A$7&lt;=MAX(DemoHistory[Date])),$A$8,1))</f>
        <v/>
      </c>
      <c r="E551" s="166" t="str">
        <f t="shared" si="21"/>
        <v/>
      </c>
      <c r="F551" s="166" t="str">
        <f>IF($A551&gt;MIN($A$10,$A$2),"",IF($A551&lt;50,"n.a.",IF(COUNT(INDEX(StockDaily[Adjusted close],MAX(1,$A551-50+1)):E551)=50,AVERAGE(INDEX(StockDaily[Adjusted close],MAX(1,$A551-50+1)):E551),"n.a.")))</f>
        <v/>
      </c>
      <c r="G551" s="166" t="str">
        <f>IF($A551&gt;MIN($A$10,$A$2),"",IF($A551&lt;200,"n.a.",IF(COUNT(INDEX(StockDaily[Adjusted close],MAX(1,$A551-200+1)):E551)=200,AVERAGE(INDEX(StockDaily[Adjusted close],MAX(1,$A551-200+1)):E551),"n.a.")))</f>
        <v/>
      </c>
      <c r="H551" s="136" t="str">
        <f>IF($A551&gt;MIN($A$10,$A$2),"",IF($A$5="","Choose stock",IF(NOT($A$12),"Check split rule",IF(NOT(ISNUMBER(B551)),"Invalid date",IF(OR(B551&lt;=0,B551&lt;&gt;INT(B551)),"Invalid date",IF(COUNTIFS(DemoHistory[Date],B551)&lt;&gt;1,"Duplicate date",IF(AND($A551&gt;1,B551&lt;=B550),"Dates out of order",IF(NOT(ISNUMBER(C551)),"Missing price",IF(C551&lt;=0,"Nonpositive price","OK")))))))))</f>
        <v/>
      </c>
      <c r="I551" s="136"/>
      <c r="J551" s="136"/>
      <c r="K551" s="136"/>
      <c r="L551" s="136"/>
      <c r="M551" s="136"/>
      <c r="N551" s="136" t="e">
        <f t="shared" si="22"/>
        <v>#N/A</v>
      </c>
      <c r="O551" s="136" t="e">
        <f t="shared" si="23"/>
        <v>#N/A</v>
      </c>
    </row>
    <row r="552" spans="1:15" ht="22" customHeight="1" x14ac:dyDescent="0.35">
      <c r="A552" s="136">
        <v>508</v>
      </c>
      <c r="B552" s="165" t="str">
        <f>IF($A552&gt;MIN($A$10,$A$2),"",INDEX(DemoHistory[Date],$A552))</f>
        <v/>
      </c>
      <c r="C552" s="166" t="str">
        <f>IF(OR($A552&gt;MIN($A$10,$A$2),$A$5=""),"",INDEX(DemoHistory[],$A552,MATCH($A$5,DemoHistory[#Headers],0)))</f>
        <v/>
      </c>
      <c r="D552" s="166" t="str">
        <f>IF($A552&gt;MIN($A$10,$A$2),"",IF(AND($A$12,$A$6=1,B552&lt;$A$7,$A$7&lt;=MAX(DemoHistory[Date])),$A$8,1))</f>
        <v/>
      </c>
      <c r="E552" s="166" t="str">
        <f t="shared" si="21"/>
        <v/>
      </c>
      <c r="F552" s="166" t="str">
        <f>IF($A552&gt;MIN($A$10,$A$2),"",IF($A552&lt;50,"n.a.",IF(COUNT(INDEX(StockDaily[Adjusted close],MAX(1,$A552-50+1)):E552)=50,AVERAGE(INDEX(StockDaily[Adjusted close],MAX(1,$A552-50+1)):E552),"n.a.")))</f>
        <v/>
      </c>
      <c r="G552" s="166" t="str">
        <f>IF($A552&gt;MIN($A$10,$A$2),"",IF($A552&lt;200,"n.a.",IF(COUNT(INDEX(StockDaily[Adjusted close],MAX(1,$A552-200+1)):E552)=200,AVERAGE(INDEX(StockDaily[Adjusted close],MAX(1,$A552-200+1)):E552),"n.a.")))</f>
        <v/>
      </c>
      <c r="H552" s="136" t="str">
        <f>IF($A552&gt;MIN($A$10,$A$2),"",IF($A$5="","Choose stock",IF(NOT($A$12),"Check split rule",IF(NOT(ISNUMBER(B552)),"Invalid date",IF(OR(B552&lt;=0,B552&lt;&gt;INT(B552)),"Invalid date",IF(COUNTIFS(DemoHistory[Date],B552)&lt;&gt;1,"Duplicate date",IF(AND($A552&gt;1,B552&lt;=B551),"Dates out of order",IF(NOT(ISNUMBER(C552)),"Missing price",IF(C552&lt;=0,"Nonpositive price","OK")))))))))</f>
        <v/>
      </c>
      <c r="I552" s="136"/>
      <c r="J552" s="136"/>
      <c r="K552" s="136"/>
      <c r="L552" s="136"/>
      <c r="M552" s="136"/>
      <c r="N552" s="136" t="e">
        <f t="shared" si="22"/>
        <v>#N/A</v>
      </c>
      <c r="O552" s="136" t="e">
        <f t="shared" si="23"/>
        <v>#N/A</v>
      </c>
    </row>
    <row r="553" spans="1:15" ht="22" customHeight="1" x14ac:dyDescent="0.35">
      <c r="A553" s="136">
        <v>509</v>
      </c>
      <c r="B553" s="165" t="str">
        <f>IF($A553&gt;MIN($A$10,$A$2),"",INDEX(DemoHistory[Date],$A553))</f>
        <v/>
      </c>
      <c r="C553" s="166" t="str">
        <f>IF(OR($A553&gt;MIN($A$10,$A$2),$A$5=""),"",INDEX(DemoHistory[],$A553,MATCH($A$5,DemoHistory[#Headers],0)))</f>
        <v/>
      </c>
      <c r="D553" s="166" t="str">
        <f>IF($A553&gt;MIN($A$10,$A$2),"",IF(AND($A$12,$A$6=1,B553&lt;$A$7,$A$7&lt;=MAX(DemoHistory[Date])),$A$8,1))</f>
        <v/>
      </c>
      <c r="E553" s="166" t="str">
        <f t="shared" si="21"/>
        <v/>
      </c>
      <c r="F553" s="166" t="str">
        <f>IF($A553&gt;MIN($A$10,$A$2),"",IF($A553&lt;50,"n.a.",IF(COUNT(INDEX(StockDaily[Adjusted close],MAX(1,$A553-50+1)):E553)=50,AVERAGE(INDEX(StockDaily[Adjusted close],MAX(1,$A553-50+1)):E553),"n.a.")))</f>
        <v/>
      </c>
      <c r="G553" s="166" t="str">
        <f>IF($A553&gt;MIN($A$10,$A$2),"",IF($A553&lt;200,"n.a.",IF(COUNT(INDEX(StockDaily[Adjusted close],MAX(1,$A553-200+1)):E553)=200,AVERAGE(INDEX(StockDaily[Adjusted close],MAX(1,$A553-200+1)):E553),"n.a.")))</f>
        <v/>
      </c>
      <c r="H553" s="136" t="str">
        <f>IF($A553&gt;MIN($A$10,$A$2),"",IF($A$5="","Choose stock",IF(NOT($A$12),"Check split rule",IF(NOT(ISNUMBER(B553)),"Invalid date",IF(OR(B553&lt;=0,B553&lt;&gt;INT(B553)),"Invalid date",IF(COUNTIFS(DemoHistory[Date],B553)&lt;&gt;1,"Duplicate date",IF(AND($A553&gt;1,B553&lt;=B552),"Dates out of order",IF(NOT(ISNUMBER(C553)),"Missing price",IF(C553&lt;=0,"Nonpositive price","OK")))))))))</f>
        <v/>
      </c>
      <c r="I553" s="136"/>
      <c r="J553" s="136"/>
      <c r="K553" s="136"/>
      <c r="L553" s="136"/>
      <c r="M553" s="136"/>
      <c r="N553" s="136" t="e">
        <f t="shared" si="22"/>
        <v>#N/A</v>
      </c>
      <c r="O553" s="136" t="e">
        <f t="shared" si="23"/>
        <v>#N/A</v>
      </c>
    </row>
    <row r="554" spans="1:15" ht="22" customHeight="1" x14ac:dyDescent="0.35">
      <c r="A554" s="136">
        <v>510</v>
      </c>
      <c r="B554" s="165" t="str">
        <f>IF($A554&gt;MIN($A$10,$A$2),"",INDEX(DemoHistory[Date],$A554))</f>
        <v/>
      </c>
      <c r="C554" s="166" t="str">
        <f>IF(OR($A554&gt;MIN($A$10,$A$2),$A$5=""),"",INDEX(DemoHistory[],$A554,MATCH($A$5,DemoHistory[#Headers],0)))</f>
        <v/>
      </c>
      <c r="D554" s="166" t="str">
        <f>IF($A554&gt;MIN($A$10,$A$2),"",IF(AND($A$12,$A$6=1,B554&lt;$A$7,$A$7&lt;=MAX(DemoHistory[Date])),$A$8,1))</f>
        <v/>
      </c>
      <c r="E554" s="166" t="str">
        <f t="shared" si="21"/>
        <v/>
      </c>
      <c r="F554" s="166" t="str">
        <f>IF($A554&gt;MIN($A$10,$A$2),"",IF($A554&lt;50,"n.a.",IF(COUNT(INDEX(StockDaily[Adjusted close],MAX(1,$A554-50+1)):E554)=50,AVERAGE(INDEX(StockDaily[Adjusted close],MAX(1,$A554-50+1)):E554),"n.a.")))</f>
        <v/>
      </c>
      <c r="G554" s="166" t="str">
        <f>IF($A554&gt;MIN($A$10,$A$2),"",IF($A554&lt;200,"n.a.",IF(COUNT(INDEX(StockDaily[Adjusted close],MAX(1,$A554-200+1)):E554)=200,AVERAGE(INDEX(StockDaily[Adjusted close],MAX(1,$A554-200+1)):E554),"n.a.")))</f>
        <v/>
      </c>
      <c r="H554" s="136" t="str">
        <f>IF($A554&gt;MIN($A$10,$A$2),"",IF($A$5="","Choose stock",IF(NOT($A$12),"Check split rule",IF(NOT(ISNUMBER(B554)),"Invalid date",IF(OR(B554&lt;=0,B554&lt;&gt;INT(B554)),"Invalid date",IF(COUNTIFS(DemoHistory[Date],B554)&lt;&gt;1,"Duplicate date",IF(AND($A554&gt;1,B554&lt;=B553),"Dates out of order",IF(NOT(ISNUMBER(C554)),"Missing price",IF(C554&lt;=0,"Nonpositive price","OK")))))))))</f>
        <v/>
      </c>
      <c r="I554" s="136"/>
      <c r="J554" s="136"/>
      <c r="K554" s="136"/>
      <c r="L554" s="136"/>
      <c r="M554" s="136"/>
      <c r="N554" s="136" t="e">
        <f t="shared" si="22"/>
        <v>#N/A</v>
      </c>
      <c r="O554" s="136" t="e">
        <f t="shared" si="23"/>
        <v>#N/A</v>
      </c>
    </row>
    <row r="555" spans="1:15" ht="22" customHeight="1" x14ac:dyDescent="0.35">
      <c r="A555" s="136">
        <v>511</v>
      </c>
      <c r="B555" s="165" t="str">
        <f>IF($A555&gt;MIN($A$10,$A$2),"",INDEX(DemoHistory[Date],$A555))</f>
        <v/>
      </c>
      <c r="C555" s="166" t="str">
        <f>IF(OR($A555&gt;MIN($A$10,$A$2),$A$5=""),"",INDEX(DemoHistory[],$A555,MATCH($A$5,DemoHistory[#Headers],0)))</f>
        <v/>
      </c>
      <c r="D555" s="166" t="str">
        <f>IF($A555&gt;MIN($A$10,$A$2),"",IF(AND($A$12,$A$6=1,B555&lt;$A$7,$A$7&lt;=MAX(DemoHistory[Date])),$A$8,1))</f>
        <v/>
      </c>
      <c r="E555" s="166" t="str">
        <f t="shared" si="21"/>
        <v/>
      </c>
      <c r="F555" s="166" t="str">
        <f>IF($A555&gt;MIN($A$10,$A$2),"",IF($A555&lt;50,"n.a.",IF(COUNT(INDEX(StockDaily[Adjusted close],MAX(1,$A555-50+1)):E555)=50,AVERAGE(INDEX(StockDaily[Adjusted close],MAX(1,$A555-50+1)):E555),"n.a.")))</f>
        <v/>
      </c>
      <c r="G555" s="166" t="str">
        <f>IF($A555&gt;MIN($A$10,$A$2),"",IF($A555&lt;200,"n.a.",IF(COUNT(INDEX(StockDaily[Adjusted close],MAX(1,$A555-200+1)):E555)=200,AVERAGE(INDEX(StockDaily[Adjusted close],MAX(1,$A555-200+1)):E555),"n.a.")))</f>
        <v/>
      </c>
      <c r="H555" s="136" t="str">
        <f>IF($A555&gt;MIN($A$10,$A$2),"",IF($A$5="","Choose stock",IF(NOT($A$12),"Check split rule",IF(NOT(ISNUMBER(B555)),"Invalid date",IF(OR(B555&lt;=0,B555&lt;&gt;INT(B555)),"Invalid date",IF(COUNTIFS(DemoHistory[Date],B555)&lt;&gt;1,"Duplicate date",IF(AND($A555&gt;1,B555&lt;=B554),"Dates out of order",IF(NOT(ISNUMBER(C555)),"Missing price",IF(C555&lt;=0,"Nonpositive price","OK")))))))))</f>
        <v/>
      </c>
      <c r="I555" s="136"/>
      <c r="J555" s="136"/>
      <c r="K555" s="136"/>
      <c r="L555" s="136"/>
      <c r="M555" s="136"/>
      <c r="N555" s="136" t="e">
        <f t="shared" si="22"/>
        <v>#N/A</v>
      </c>
      <c r="O555" s="136" t="e">
        <f t="shared" si="23"/>
        <v>#N/A</v>
      </c>
    </row>
    <row r="556" spans="1:15" ht="22" customHeight="1" x14ac:dyDescent="0.35">
      <c r="A556" s="136">
        <v>512</v>
      </c>
      <c r="B556" s="165" t="str">
        <f>IF($A556&gt;MIN($A$10,$A$2),"",INDEX(DemoHistory[Date],$A556))</f>
        <v/>
      </c>
      <c r="C556" s="166" t="str">
        <f>IF(OR($A556&gt;MIN($A$10,$A$2),$A$5=""),"",INDEX(DemoHistory[],$A556,MATCH($A$5,DemoHistory[#Headers],0)))</f>
        <v/>
      </c>
      <c r="D556" s="166" t="str">
        <f>IF($A556&gt;MIN($A$10,$A$2),"",IF(AND($A$12,$A$6=1,B556&lt;$A$7,$A$7&lt;=MAX(DemoHistory[Date])),$A$8,1))</f>
        <v/>
      </c>
      <c r="E556" s="166" t="str">
        <f t="shared" si="21"/>
        <v/>
      </c>
      <c r="F556" s="166" t="str">
        <f>IF($A556&gt;MIN($A$10,$A$2),"",IF($A556&lt;50,"n.a.",IF(COUNT(INDEX(StockDaily[Adjusted close],MAX(1,$A556-50+1)):E556)=50,AVERAGE(INDEX(StockDaily[Adjusted close],MAX(1,$A556-50+1)):E556),"n.a.")))</f>
        <v/>
      </c>
      <c r="G556" s="166" t="str">
        <f>IF($A556&gt;MIN($A$10,$A$2),"",IF($A556&lt;200,"n.a.",IF(COUNT(INDEX(StockDaily[Adjusted close],MAX(1,$A556-200+1)):E556)=200,AVERAGE(INDEX(StockDaily[Adjusted close],MAX(1,$A556-200+1)):E556),"n.a.")))</f>
        <v/>
      </c>
      <c r="H556" s="136" t="str">
        <f>IF($A556&gt;MIN($A$10,$A$2),"",IF($A$5="","Choose stock",IF(NOT($A$12),"Check split rule",IF(NOT(ISNUMBER(B556)),"Invalid date",IF(OR(B556&lt;=0,B556&lt;&gt;INT(B556)),"Invalid date",IF(COUNTIFS(DemoHistory[Date],B556)&lt;&gt;1,"Duplicate date",IF(AND($A556&gt;1,B556&lt;=B555),"Dates out of order",IF(NOT(ISNUMBER(C556)),"Missing price",IF(C556&lt;=0,"Nonpositive price","OK")))))))))</f>
        <v/>
      </c>
      <c r="I556" s="136"/>
      <c r="J556" s="136"/>
      <c r="K556" s="136"/>
      <c r="L556" s="136"/>
      <c r="M556" s="136"/>
      <c r="N556" s="136" t="e">
        <f t="shared" si="22"/>
        <v>#N/A</v>
      </c>
      <c r="O556" s="136" t="e">
        <f t="shared" si="23"/>
        <v>#N/A</v>
      </c>
    </row>
    <row r="557" spans="1:15" ht="22" customHeight="1" x14ac:dyDescent="0.35">
      <c r="A557" s="136">
        <v>513</v>
      </c>
      <c r="B557" s="165" t="str">
        <f>IF($A557&gt;MIN($A$10,$A$2),"",INDEX(DemoHistory[Date],$A557))</f>
        <v/>
      </c>
      <c r="C557" s="166" t="str">
        <f>IF(OR($A557&gt;MIN($A$10,$A$2),$A$5=""),"",INDEX(DemoHistory[],$A557,MATCH($A$5,DemoHistory[#Headers],0)))</f>
        <v/>
      </c>
      <c r="D557" s="166" t="str">
        <f>IF($A557&gt;MIN($A$10,$A$2),"",IF(AND($A$12,$A$6=1,B557&lt;$A$7,$A$7&lt;=MAX(DemoHistory[Date])),$A$8,1))</f>
        <v/>
      </c>
      <c r="E557" s="166" t="str">
        <f t="shared" ref="E557:E620" si="24">IF($A557&gt;MIN($A$10,$A$2),"",IF(H557="OK",C557/D557,"n.a."))</f>
        <v/>
      </c>
      <c r="F557" s="166" t="str">
        <f>IF($A557&gt;MIN($A$10,$A$2),"",IF($A557&lt;50,"n.a.",IF(COUNT(INDEX(StockDaily[Adjusted close],MAX(1,$A557-50+1)):E557)=50,AVERAGE(INDEX(StockDaily[Adjusted close],MAX(1,$A557-50+1)):E557),"n.a.")))</f>
        <v/>
      </c>
      <c r="G557" s="166" t="str">
        <f>IF($A557&gt;MIN($A$10,$A$2),"",IF($A557&lt;200,"n.a.",IF(COUNT(INDEX(StockDaily[Adjusted close],MAX(1,$A557-200+1)):E557)=200,AVERAGE(INDEX(StockDaily[Adjusted close],MAX(1,$A557-200+1)):E557),"n.a.")))</f>
        <v/>
      </c>
      <c r="H557" s="136" t="str">
        <f>IF($A557&gt;MIN($A$10,$A$2),"",IF($A$5="","Choose stock",IF(NOT($A$12),"Check split rule",IF(NOT(ISNUMBER(B557)),"Invalid date",IF(OR(B557&lt;=0,B557&lt;&gt;INT(B557)),"Invalid date",IF(COUNTIFS(DemoHistory[Date],B557)&lt;&gt;1,"Duplicate date",IF(AND($A557&gt;1,B557&lt;=B556),"Dates out of order",IF(NOT(ISNUMBER(C557)),"Missing price",IF(C557&lt;=0,"Nonpositive price","OK")))))))))</f>
        <v/>
      </c>
      <c r="I557" s="136"/>
      <c r="J557" s="136"/>
      <c r="K557" s="136"/>
      <c r="L557" s="136"/>
      <c r="M557" s="136"/>
      <c r="N557" s="136" t="e">
        <f t="shared" ref="N557:N620" si="25">IF(AND($A$13="Ready",ISNUMBER(E557)),E557,NA())</f>
        <v>#N/A</v>
      </c>
      <c r="O557" s="136" t="e">
        <f t="shared" ref="O557:O620" si="26">IF(AND($A$13="Ready",ISNUMBER(F557)),F557,NA())</f>
        <v>#N/A</v>
      </c>
    </row>
    <row r="558" spans="1:15" ht="22" customHeight="1" x14ac:dyDescent="0.35">
      <c r="A558" s="136">
        <v>514</v>
      </c>
      <c r="B558" s="165" t="str">
        <f>IF($A558&gt;MIN($A$10,$A$2),"",INDEX(DemoHistory[Date],$A558))</f>
        <v/>
      </c>
      <c r="C558" s="166" t="str">
        <f>IF(OR($A558&gt;MIN($A$10,$A$2),$A$5=""),"",INDEX(DemoHistory[],$A558,MATCH($A$5,DemoHistory[#Headers],0)))</f>
        <v/>
      </c>
      <c r="D558" s="166" t="str">
        <f>IF($A558&gt;MIN($A$10,$A$2),"",IF(AND($A$12,$A$6=1,B558&lt;$A$7,$A$7&lt;=MAX(DemoHistory[Date])),$A$8,1))</f>
        <v/>
      </c>
      <c r="E558" s="166" t="str">
        <f t="shared" si="24"/>
        <v/>
      </c>
      <c r="F558" s="166" t="str">
        <f>IF($A558&gt;MIN($A$10,$A$2),"",IF($A558&lt;50,"n.a.",IF(COUNT(INDEX(StockDaily[Adjusted close],MAX(1,$A558-50+1)):E558)=50,AVERAGE(INDEX(StockDaily[Adjusted close],MAX(1,$A558-50+1)):E558),"n.a.")))</f>
        <v/>
      </c>
      <c r="G558" s="166" t="str">
        <f>IF($A558&gt;MIN($A$10,$A$2),"",IF($A558&lt;200,"n.a.",IF(COUNT(INDEX(StockDaily[Adjusted close],MAX(1,$A558-200+1)):E558)=200,AVERAGE(INDEX(StockDaily[Adjusted close],MAX(1,$A558-200+1)):E558),"n.a.")))</f>
        <v/>
      </c>
      <c r="H558" s="136" t="str">
        <f>IF($A558&gt;MIN($A$10,$A$2),"",IF($A$5="","Choose stock",IF(NOT($A$12),"Check split rule",IF(NOT(ISNUMBER(B558)),"Invalid date",IF(OR(B558&lt;=0,B558&lt;&gt;INT(B558)),"Invalid date",IF(COUNTIFS(DemoHistory[Date],B558)&lt;&gt;1,"Duplicate date",IF(AND($A558&gt;1,B558&lt;=B557),"Dates out of order",IF(NOT(ISNUMBER(C558)),"Missing price",IF(C558&lt;=0,"Nonpositive price","OK")))))))))</f>
        <v/>
      </c>
      <c r="I558" s="136"/>
      <c r="J558" s="136"/>
      <c r="K558" s="136"/>
      <c r="L558" s="136"/>
      <c r="M558" s="136"/>
      <c r="N558" s="136" t="e">
        <f t="shared" si="25"/>
        <v>#N/A</v>
      </c>
      <c r="O558" s="136" t="e">
        <f t="shared" si="26"/>
        <v>#N/A</v>
      </c>
    </row>
    <row r="559" spans="1:15" ht="22" customHeight="1" x14ac:dyDescent="0.35">
      <c r="A559" s="136">
        <v>515</v>
      </c>
      <c r="B559" s="165" t="str">
        <f>IF($A559&gt;MIN($A$10,$A$2),"",INDEX(DemoHistory[Date],$A559))</f>
        <v/>
      </c>
      <c r="C559" s="166" t="str">
        <f>IF(OR($A559&gt;MIN($A$10,$A$2),$A$5=""),"",INDEX(DemoHistory[],$A559,MATCH($A$5,DemoHistory[#Headers],0)))</f>
        <v/>
      </c>
      <c r="D559" s="166" t="str">
        <f>IF($A559&gt;MIN($A$10,$A$2),"",IF(AND($A$12,$A$6=1,B559&lt;$A$7,$A$7&lt;=MAX(DemoHistory[Date])),$A$8,1))</f>
        <v/>
      </c>
      <c r="E559" s="166" t="str">
        <f t="shared" si="24"/>
        <v/>
      </c>
      <c r="F559" s="166" t="str">
        <f>IF($A559&gt;MIN($A$10,$A$2),"",IF($A559&lt;50,"n.a.",IF(COUNT(INDEX(StockDaily[Adjusted close],MAX(1,$A559-50+1)):E559)=50,AVERAGE(INDEX(StockDaily[Adjusted close],MAX(1,$A559-50+1)):E559),"n.a.")))</f>
        <v/>
      </c>
      <c r="G559" s="166" t="str">
        <f>IF($A559&gt;MIN($A$10,$A$2),"",IF($A559&lt;200,"n.a.",IF(COUNT(INDEX(StockDaily[Adjusted close],MAX(1,$A559-200+1)):E559)=200,AVERAGE(INDEX(StockDaily[Adjusted close],MAX(1,$A559-200+1)):E559),"n.a.")))</f>
        <v/>
      </c>
      <c r="H559" s="136" t="str">
        <f>IF($A559&gt;MIN($A$10,$A$2),"",IF($A$5="","Choose stock",IF(NOT($A$12),"Check split rule",IF(NOT(ISNUMBER(B559)),"Invalid date",IF(OR(B559&lt;=0,B559&lt;&gt;INT(B559)),"Invalid date",IF(COUNTIFS(DemoHistory[Date],B559)&lt;&gt;1,"Duplicate date",IF(AND($A559&gt;1,B559&lt;=B558),"Dates out of order",IF(NOT(ISNUMBER(C559)),"Missing price",IF(C559&lt;=0,"Nonpositive price","OK")))))))))</f>
        <v/>
      </c>
      <c r="I559" s="136"/>
      <c r="J559" s="136"/>
      <c r="K559" s="136"/>
      <c r="L559" s="136"/>
      <c r="M559" s="136"/>
      <c r="N559" s="136" t="e">
        <f t="shared" si="25"/>
        <v>#N/A</v>
      </c>
      <c r="O559" s="136" t="e">
        <f t="shared" si="26"/>
        <v>#N/A</v>
      </c>
    </row>
    <row r="560" spans="1:15" ht="22" customHeight="1" x14ac:dyDescent="0.35">
      <c r="A560" s="136">
        <v>516</v>
      </c>
      <c r="B560" s="165" t="str">
        <f>IF($A560&gt;MIN($A$10,$A$2),"",INDEX(DemoHistory[Date],$A560))</f>
        <v/>
      </c>
      <c r="C560" s="166" t="str">
        <f>IF(OR($A560&gt;MIN($A$10,$A$2),$A$5=""),"",INDEX(DemoHistory[],$A560,MATCH($A$5,DemoHistory[#Headers],0)))</f>
        <v/>
      </c>
      <c r="D560" s="166" t="str">
        <f>IF($A560&gt;MIN($A$10,$A$2),"",IF(AND($A$12,$A$6=1,B560&lt;$A$7,$A$7&lt;=MAX(DemoHistory[Date])),$A$8,1))</f>
        <v/>
      </c>
      <c r="E560" s="166" t="str">
        <f t="shared" si="24"/>
        <v/>
      </c>
      <c r="F560" s="166" t="str">
        <f>IF($A560&gt;MIN($A$10,$A$2),"",IF($A560&lt;50,"n.a.",IF(COUNT(INDEX(StockDaily[Adjusted close],MAX(1,$A560-50+1)):E560)=50,AVERAGE(INDEX(StockDaily[Adjusted close],MAX(1,$A560-50+1)):E560),"n.a.")))</f>
        <v/>
      </c>
      <c r="G560" s="166" t="str">
        <f>IF($A560&gt;MIN($A$10,$A$2),"",IF($A560&lt;200,"n.a.",IF(COUNT(INDEX(StockDaily[Adjusted close],MAX(1,$A560-200+1)):E560)=200,AVERAGE(INDEX(StockDaily[Adjusted close],MAX(1,$A560-200+1)):E560),"n.a.")))</f>
        <v/>
      </c>
      <c r="H560" s="136" t="str">
        <f>IF($A560&gt;MIN($A$10,$A$2),"",IF($A$5="","Choose stock",IF(NOT($A$12),"Check split rule",IF(NOT(ISNUMBER(B560)),"Invalid date",IF(OR(B560&lt;=0,B560&lt;&gt;INT(B560)),"Invalid date",IF(COUNTIFS(DemoHistory[Date],B560)&lt;&gt;1,"Duplicate date",IF(AND($A560&gt;1,B560&lt;=B559),"Dates out of order",IF(NOT(ISNUMBER(C560)),"Missing price",IF(C560&lt;=0,"Nonpositive price","OK")))))))))</f>
        <v/>
      </c>
      <c r="I560" s="136"/>
      <c r="J560" s="136"/>
      <c r="K560" s="136"/>
      <c r="L560" s="136"/>
      <c r="M560" s="136"/>
      <c r="N560" s="136" t="e">
        <f t="shared" si="25"/>
        <v>#N/A</v>
      </c>
      <c r="O560" s="136" t="e">
        <f t="shared" si="26"/>
        <v>#N/A</v>
      </c>
    </row>
    <row r="561" spans="1:15" ht="22" customHeight="1" x14ac:dyDescent="0.35">
      <c r="A561" s="136">
        <v>517</v>
      </c>
      <c r="B561" s="165" t="str">
        <f>IF($A561&gt;MIN($A$10,$A$2),"",INDEX(DemoHistory[Date],$A561))</f>
        <v/>
      </c>
      <c r="C561" s="166" t="str">
        <f>IF(OR($A561&gt;MIN($A$10,$A$2),$A$5=""),"",INDEX(DemoHistory[],$A561,MATCH($A$5,DemoHistory[#Headers],0)))</f>
        <v/>
      </c>
      <c r="D561" s="166" t="str">
        <f>IF($A561&gt;MIN($A$10,$A$2),"",IF(AND($A$12,$A$6=1,B561&lt;$A$7,$A$7&lt;=MAX(DemoHistory[Date])),$A$8,1))</f>
        <v/>
      </c>
      <c r="E561" s="166" t="str">
        <f t="shared" si="24"/>
        <v/>
      </c>
      <c r="F561" s="166" t="str">
        <f>IF($A561&gt;MIN($A$10,$A$2),"",IF($A561&lt;50,"n.a.",IF(COUNT(INDEX(StockDaily[Adjusted close],MAX(1,$A561-50+1)):E561)=50,AVERAGE(INDEX(StockDaily[Adjusted close],MAX(1,$A561-50+1)):E561),"n.a.")))</f>
        <v/>
      </c>
      <c r="G561" s="166" t="str">
        <f>IF($A561&gt;MIN($A$10,$A$2),"",IF($A561&lt;200,"n.a.",IF(COUNT(INDEX(StockDaily[Adjusted close],MAX(1,$A561-200+1)):E561)=200,AVERAGE(INDEX(StockDaily[Adjusted close],MAX(1,$A561-200+1)):E561),"n.a.")))</f>
        <v/>
      </c>
      <c r="H561" s="136" t="str">
        <f>IF($A561&gt;MIN($A$10,$A$2),"",IF($A$5="","Choose stock",IF(NOT($A$12),"Check split rule",IF(NOT(ISNUMBER(B561)),"Invalid date",IF(OR(B561&lt;=0,B561&lt;&gt;INT(B561)),"Invalid date",IF(COUNTIFS(DemoHistory[Date],B561)&lt;&gt;1,"Duplicate date",IF(AND($A561&gt;1,B561&lt;=B560),"Dates out of order",IF(NOT(ISNUMBER(C561)),"Missing price",IF(C561&lt;=0,"Nonpositive price","OK")))))))))</f>
        <v/>
      </c>
      <c r="I561" s="136"/>
      <c r="J561" s="136"/>
      <c r="K561" s="136"/>
      <c r="L561" s="136"/>
      <c r="M561" s="136"/>
      <c r="N561" s="136" t="e">
        <f t="shared" si="25"/>
        <v>#N/A</v>
      </c>
      <c r="O561" s="136" t="e">
        <f t="shared" si="26"/>
        <v>#N/A</v>
      </c>
    </row>
    <row r="562" spans="1:15" ht="22" customHeight="1" x14ac:dyDescent="0.35">
      <c r="A562" s="136">
        <v>518</v>
      </c>
      <c r="B562" s="165" t="str">
        <f>IF($A562&gt;MIN($A$10,$A$2),"",INDEX(DemoHistory[Date],$A562))</f>
        <v/>
      </c>
      <c r="C562" s="166" t="str">
        <f>IF(OR($A562&gt;MIN($A$10,$A$2),$A$5=""),"",INDEX(DemoHistory[],$A562,MATCH($A$5,DemoHistory[#Headers],0)))</f>
        <v/>
      </c>
      <c r="D562" s="166" t="str">
        <f>IF($A562&gt;MIN($A$10,$A$2),"",IF(AND($A$12,$A$6=1,B562&lt;$A$7,$A$7&lt;=MAX(DemoHistory[Date])),$A$8,1))</f>
        <v/>
      </c>
      <c r="E562" s="166" t="str">
        <f t="shared" si="24"/>
        <v/>
      </c>
      <c r="F562" s="166" t="str">
        <f>IF($A562&gt;MIN($A$10,$A$2),"",IF($A562&lt;50,"n.a.",IF(COUNT(INDEX(StockDaily[Adjusted close],MAX(1,$A562-50+1)):E562)=50,AVERAGE(INDEX(StockDaily[Adjusted close],MAX(1,$A562-50+1)):E562),"n.a.")))</f>
        <v/>
      </c>
      <c r="G562" s="166" t="str">
        <f>IF($A562&gt;MIN($A$10,$A$2),"",IF($A562&lt;200,"n.a.",IF(COUNT(INDEX(StockDaily[Adjusted close],MAX(1,$A562-200+1)):E562)=200,AVERAGE(INDEX(StockDaily[Adjusted close],MAX(1,$A562-200+1)):E562),"n.a.")))</f>
        <v/>
      </c>
      <c r="H562" s="136" t="str">
        <f>IF($A562&gt;MIN($A$10,$A$2),"",IF($A$5="","Choose stock",IF(NOT($A$12),"Check split rule",IF(NOT(ISNUMBER(B562)),"Invalid date",IF(OR(B562&lt;=0,B562&lt;&gt;INT(B562)),"Invalid date",IF(COUNTIFS(DemoHistory[Date],B562)&lt;&gt;1,"Duplicate date",IF(AND($A562&gt;1,B562&lt;=B561),"Dates out of order",IF(NOT(ISNUMBER(C562)),"Missing price",IF(C562&lt;=0,"Nonpositive price","OK")))))))))</f>
        <v/>
      </c>
      <c r="I562" s="136"/>
      <c r="J562" s="136"/>
      <c r="K562" s="136"/>
      <c r="L562" s="136"/>
      <c r="M562" s="136"/>
      <c r="N562" s="136" t="e">
        <f t="shared" si="25"/>
        <v>#N/A</v>
      </c>
      <c r="O562" s="136" t="e">
        <f t="shared" si="26"/>
        <v>#N/A</v>
      </c>
    </row>
    <row r="563" spans="1:15" ht="22" customHeight="1" x14ac:dyDescent="0.35">
      <c r="A563" s="136">
        <v>519</v>
      </c>
      <c r="B563" s="165" t="str">
        <f>IF($A563&gt;MIN($A$10,$A$2),"",INDEX(DemoHistory[Date],$A563))</f>
        <v/>
      </c>
      <c r="C563" s="166" t="str">
        <f>IF(OR($A563&gt;MIN($A$10,$A$2),$A$5=""),"",INDEX(DemoHistory[],$A563,MATCH($A$5,DemoHistory[#Headers],0)))</f>
        <v/>
      </c>
      <c r="D563" s="166" t="str">
        <f>IF($A563&gt;MIN($A$10,$A$2),"",IF(AND($A$12,$A$6=1,B563&lt;$A$7,$A$7&lt;=MAX(DemoHistory[Date])),$A$8,1))</f>
        <v/>
      </c>
      <c r="E563" s="166" t="str">
        <f t="shared" si="24"/>
        <v/>
      </c>
      <c r="F563" s="166" t="str">
        <f>IF($A563&gt;MIN($A$10,$A$2),"",IF($A563&lt;50,"n.a.",IF(COUNT(INDEX(StockDaily[Adjusted close],MAX(1,$A563-50+1)):E563)=50,AVERAGE(INDEX(StockDaily[Adjusted close],MAX(1,$A563-50+1)):E563),"n.a.")))</f>
        <v/>
      </c>
      <c r="G563" s="166" t="str">
        <f>IF($A563&gt;MIN($A$10,$A$2),"",IF($A563&lt;200,"n.a.",IF(COUNT(INDEX(StockDaily[Adjusted close],MAX(1,$A563-200+1)):E563)=200,AVERAGE(INDEX(StockDaily[Adjusted close],MAX(1,$A563-200+1)):E563),"n.a.")))</f>
        <v/>
      </c>
      <c r="H563" s="136" t="str">
        <f>IF($A563&gt;MIN($A$10,$A$2),"",IF($A$5="","Choose stock",IF(NOT($A$12),"Check split rule",IF(NOT(ISNUMBER(B563)),"Invalid date",IF(OR(B563&lt;=0,B563&lt;&gt;INT(B563)),"Invalid date",IF(COUNTIFS(DemoHistory[Date],B563)&lt;&gt;1,"Duplicate date",IF(AND($A563&gt;1,B563&lt;=B562),"Dates out of order",IF(NOT(ISNUMBER(C563)),"Missing price",IF(C563&lt;=0,"Nonpositive price","OK")))))))))</f>
        <v/>
      </c>
      <c r="I563" s="136"/>
      <c r="J563" s="136"/>
      <c r="K563" s="136"/>
      <c r="L563" s="136"/>
      <c r="M563" s="136"/>
      <c r="N563" s="136" t="e">
        <f t="shared" si="25"/>
        <v>#N/A</v>
      </c>
      <c r="O563" s="136" t="e">
        <f t="shared" si="26"/>
        <v>#N/A</v>
      </c>
    </row>
    <row r="564" spans="1:15" ht="22" customHeight="1" x14ac:dyDescent="0.35">
      <c r="A564" s="136">
        <v>520</v>
      </c>
      <c r="B564" s="165" t="str">
        <f>IF($A564&gt;MIN($A$10,$A$2),"",INDEX(DemoHistory[Date],$A564))</f>
        <v/>
      </c>
      <c r="C564" s="166" t="str">
        <f>IF(OR($A564&gt;MIN($A$10,$A$2),$A$5=""),"",INDEX(DemoHistory[],$A564,MATCH($A$5,DemoHistory[#Headers],0)))</f>
        <v/>
      </c>
      <c r="D564" s="166" t="str">
        <f>IF($A564&gt;MIN($A$10,$A$2),"",IF(AND($A$12,$A$6=1,B564&lt;$A$7,$A$7&lt;=MAX(DemoHistory[Date])),$A$8,1))</f>
        <v/>
      </c>
      <c r="E564" s="166" t="str">
        <f t="shared" si="24"/>
        <v/>
      </c>
      <c r="F564" s="166" t="str">
        <f>IF($A564&gt;MIN($A$10,$A$2),"",IF($A564&lt;50,"n.a.",IF(COUNT(INDEX(StockDaily[Adjusted close],MAX(1,$A564-50+1)):E564)=50,AVERAGE(INDEX(StockDaily[Adjusted close],MAX(1,$A564-50+1)):E564),"n.a.")))</f>
        <v/>
      </c>
      <c r="G564" s="166" t="str">
        <f>IF($A564&gt;MIN($A$10,$A$2),"",IF($A564&lt;200,"n.a.",IF(COUNT(INDEX(StockDaily[Adjusted close],MAX(1,$A564-200+1)):E564)=200,AVERAGE(INDEX(StockDaily[Adjusted close],MAX(1,$A564-200+1)):E564),"n.a.")))</f>
        <v/>
      </c>
      <c r="H564" s="136" t="str">
        <f>IF($A564&gt;MIN($A$10,$A$2),"",IF($A$5="","Choose stock",IF(NOT($A$12),"Check split rule",IF(NOT(ISNUMBER(B564)),"Invalid date",IF(OR(B564&lt;=0,B564&lt;&gt;INT(B564)),"Invalid date",IF(COUNTIFS(DemoHistory[Date],B564)&lt;&gt;1,"Duplicate date",IF(AND($A564&gt;1,B564&lt;=B563),"Dates out of order",IF(NOT(ISNUMBER(C564)),"Missing price",IF(C564&lt;=0,"Nonpositive price","OK")))))))))</f>
        <v/>
      </c>
      <c r="I564" s="136"/>
      <c r="J564" s="136"/>
      <c r="K564" s="136"/>
      <c r="L564" s="136"/>
      <c r="M564" s="136"/>
      <c r="N564" s="136" t="e">
        <f t="shared" si="25"/>
        <v>#N/A</v>
      </c>
      <c r="O564" s="136" t="e">
        <f t="shared" si="26"/>
        <v>#N/A</v>
      </c>
    </row>
    <row r="565" spans="1:15" ht="22" customHeight="1" x14ac:dyDescent="0.35">
      <c r="A565" s="136">
        <v>521</v>
      </c>
      <c r="B565" s="165" t="str">
        <f>IF($A565&gt;MIN($A$10,$A$2),"",INDEX(DemoHistory[Date],$A565))</f>
        <v/>
      </c>
      <c r="C565" s="166" t="str">
        <f>IF(OR($A565&gt;MIN($A$10,$A$2),$A$5=""),"",INDEX(DemoHistory[],$A565,MATCH($A$5,DemoHistory[#Headers],0)))</f>
        <v/>
      </c>
      <c r="D565" s="166" t="str">
        <f>IF($A565&gt;MIN($A$10,$A$2),"",IF(AND($A$12,$A$6=1,B565&lt;$A$7,$A$7&lt;=MAX(DemoHistory[Date])),$A$8,1))</f>
        <v/>
      </c>
      <c r="E565" s="166" t="str">
        <f t="shared" si="24"/>
        <v/>
      </c>
      <c r="F565" s="166" t="str">
        <f>IF($A565&gt;MIN($A$10,$A$2),"",IF($A565&lt;50,"n.a.",IF(COUNT(INDEX(StockDaily[Adjusted close],MAX(1,$A565-50+1)):E565)=50,AVERAGE(INDEX(StockDaily[Adjusted close],MAX(1,$A565-50+1)):E565),"n.a.")))</f>
        <v/>
      </c>
      <c r="G565" s="166" t="str">
        <f>IF($A565&gt;MIN($A$10,$A$2),"",IF($A565&lt;200,"n.a.",IF(COUNT(INDEX(StockDaily[Adjusted close],MAX(1,$A565-200+1)):E565)=200,AVERAGE(INDEX(StockDaily[Adjusted close],MAX(1,$A565-200+1)):E565),"n.a.")))</f>
        <v/>
      </c>
      <c r="H565" s="136" t="str">
        <f>IF($A565&gt;MIN($A$10,$A$2),"",IF($A$5="","Choose stock",IF(NOT($A$12),"Check split rule",IF(NOT(ISNUMBER(B565)),"Invalid date",IF(OR(B565&lt;=0,B565&lt;&gt;INT(B565)),"Invalid date",IF(COUNTIFS(DemoHistory[Date],B565)&lt;&gt;1,"Duplicate date",IF(AND($A565&gt;1,B565&lt;=B564),"Dates out of order",IF(NOT(ISNUMBER(C565)),"Missing price",IF(C565&lt;=0,"Nonpositive price","OK")))))))))</f>
        <v/>
      </c>
      <c r="I565" s="136"/>
      <c r="J565" s="136"/>
      <c r="K565" s="136"/>
      <c r="L565" s="136"/>
      <c r="M565" s="136"/>
      <c r="N565" s="136" t="e">
        <f t="shared" si="25"/>
        <v>#N/A</v>
      </c>
      <c r="O565" s="136" t="e">
        <f t="shared" si="26"/>
        <v>#N/A</v>
      </c>
    </row>
    <row r="566" spans="1:15" ht="22" customHeight="1" x14ac:dyDescent="0.35">
      <c r="A566" s="136">
        <v>522</v>
      </c>
      <c r="B566" s="165" t="str">
        <f>IF($A566&gt;MIN($A$10,$A$2),"",INDEX(DemoHistory[Date],$A566))</f>
        <v/>
      </c>
      <c r="C566" s="166" t="str">
        <f>IF(OR($A566&gt;MIN($A$10,$A$2),$A$5=""),"",INDEX(DemoHistory[],$A566,MATCH($A$5,DemoHistory[#Headers],0)))</f>
        <v/>
      </c>
      <c r="D566" s="166" t="str">
        <f>IF($A566&gt;MIN($A$10,$A$2),"",IF(AND($A$12,$A$6=1,B566&lt;$A$7,$A$7&lt;=MAX(DemoHistory[Date])),$A$8,1))</f>
        <v/>
      </c>
      <c r="E566" s="166" t="str">
        <f t="shared" si="24"/>
        <v/>
      </c>
      <c r="F566" s="166" t="str">
        <f>IF($A566&gt;MIN($A$10,$A$2),"",IF($A566&lt;50,"n.a.",IF(COUNT(INDEX(StockDaily[Adjusted close],MAX(1,$A566-50+1)):E566)=50,AVERAGE(INDEX(StockDaily[Adjusted close],MAX(1,$A566-50+1)):E566),"n.a.")))</f>
        <v/>
      </c>
      <c r="G566" s="166" t="str">
        <f>IF($A566&gt;MIN($A$10,$A$2),"",IF($A566&lt;200,"n.a.",IF(COUNT(INDEX(StockDaily[Adjusted close],MAX(1,$A566-200+1)):E566)=200,AVERAGE(INDEX(StockDaily[Adjusted close],MAX(1,$A566-200+1)):E566),"n.a.")))</f>
        <v/>
      </c>
      <c r="H566" s="136" t="str">
        <f>IF($A566&gt;MIN($A$10,$A$2),"",IF($A$5="","Choose stock",IF(NOT($A$12),"Check split rule",IF(NOT(ISNUMBER(B566)),"Invalid date",IF(OR(B566&lt;=0,B566&lt;&gt;INT(B566)),"Invalid date",IF(COUNTIFS(DemoHistory[Date],B566)&lt;&gt;1,"Duplicate date",IF(AND($A566&gt;1,B566&lt;=B565),"Dates out of order",IF(NOT(ISNUMBER(C566)),"Missing price",IF(C566&lt;=0,"Nonpositive price","OK")))))))))</f>
        <v/>
      </c>
      <c r="I566" s="136"/>
      <c r="J566" s="136"/>
      <c r="K566" s="136"/>
      <c r="L566" s="136"/>
      <c r="M566" s="136"/>
      <c r="N566" s="136" t="e">
        <f t="shared" si="25"/>
        <v>#N/A</v>
      </c>
      <c r="O566" s="136" t="e">
        <f t="shared" si="26"/>
        <v>#N/A</v>
      </c>
    </row>
    <row r="567" spans="1:15" ht="22" customHeight="1" x14ac:dyDescent="0.35">
      <c r="A567" s="136">
        <v>523</v>
      </c>
      <c r="B567" s="165" t="str">
        <f>IF($A567&gt;MIN($A$10,$A$2),"",INDEX(DemoHistory[Date],$A567))</f>
        <v/>
      </c>
      <c r="C567" s="166" t="str">
        <f>IF(OR($A567&gt;MIN($A$10,$A$2),$A$5=""),"",INDEX(DemoHistory[],$A567,MATCH($A$5,DemoHistory[#Headers],0)))</f>
        <v/>
      </c>
      <c r="D567" s="166" t="str">
        <f>IF($A567&gt;MIN($A$10,$A$2),"",IF(AND($A$12,$A$6=1,B567&lt;$A$7,$A$7&lt;=MAX(DemoHistory[Date])),$A$8,1))</f>
        <v/>
      </c>
      <c r="E567" s="166" t="str">
        <f t="shared" si="24"/>
        <v/>
      </c>
      <c r="F567" s="166" t="str">
        <f>IF($A567&gt;MIN($A$10,$A$2),"",IF($A567&lt;50,"n.a.",IF(COUNT(INDEX(StockDaily[Adjusted close],MAX(1,$A567-50+1)):E567)=50,AVERAGE(INDEX(StockDaily[Adjusted close],MAX(1,$A567-50+1)):E567),"n.a.")))</f>
        <v/>
      </c>
      <c r="G567" s="166" t="str">
        <f>IF($A567&gt;MIN($A$10,$A$2),"",IF($A567&lt;200,"n.a.",IF(COUNT(INDEX(StockDaily[Adjusted close],MAX(1,$A567-200+1)):E567)=200,AVERAGE(INDEX(StockDaily[Adjusted close],MAX(1,$A567-200+1)):E567),"n.a.")))</f>
        <v/>
      </c>
      <c r="H567" s="136" t="str">
        <f>IF($A567&gt;MIN($A$10,$A$2),"",IF($A$5="","Choose stock",IF(NOT($A$12),"Check split rule",IF(NOT(ISNUMBER(B567)),"Invalid date",IF(OR(B567&lt;=0,B567&lt;&gt;INT(B567)),"Invalid date",IF(COUNTIFS(DemoHistory[Date],B567)&lt;&gt;1,"Duplicate date",IF(AND($A567&gt;1,B567&lt;=B566),"Dates out of order",IF(NOT(ISNUMBER(C567)),"Missing price",IF(C567&lt;=0,"Nonpositive price","OK")))))))))</f>
        <v/>
      </c>
      <c r="I567" s="136"/>
      <c r="J567" s="136"/>
      <c r="K567" s="136"/>
      <c r="L567" s="136"/>
      <c r="M567" s="136"/>
      <c r="N567" s="136" t="e">
        <f t="shared" si="25"/>
        <v>#N/A</v>
      </c>
      <c r="O567" s="136" t="e">
        <f t="shared" si="26"/>
        <v>#N/A</v>
      </c>
    </row>
    <row r="568" spans="1:15" ht="22" customHeight="1" x14ac:dyDescent="0.35">
      <c r="A568" s="136">
        <v>524</v>
      </c>
      <c r="B568" s="165" t="str">
        <f>IF($A568&gt;MIN($A$10,$A$2),"",INDEX(DemoHistory[Date],$A568))</f>
        <v/>
      </c>
      <c r="C568" s="166" t="str">
        <f>IF(OR($A568&gt;MIN($A$10,$A$2),$A$5=""),"",INDEX(DemoHistory[],$A568,MATCH($A$5,DemoHistory[#Headers],0)))</f>
        <v/>
      </c>
      <c r="D568" s="166" t="str">
        <f>IF($A568&gt;MIN($A$10,$A$2),"",IF(AND($A$12,$A$6=1,B568&lt;$A$7,$A$7&lt;=MAX(DemoHistory[Date])),$A$8,1))</f>
        <v/>
      </c>
      <c r="E568" s="166" t="str">
        <f t="shared" si="24"/>
        <v/>
      </c>
      <c r="F568" s="166" t="str">
        <f>IF($A568&gt;MIN($A$10,$A$2),"",IF($A568&lt;50,"n.a.",IF(COUNT(INDEX(StockDaily[Adjusted close],MAX(1,$A568-50+1)):E568)=50,AVERAGE(INDEX(StockDaily[Adjusted close],MAX(1,$A568-50+1)):E568),"n.a.")))</f>
        <v/>
      </c>
      <c r="G568" s="166" t="str">
        <f>IF($A568&gt;MIN($A$10,$A$2),"",IF($A568&lt;200,"n.a.",IF(COUNT(INDEX(StockDaily[Adjusted close],MAX(1,$A568-200+1)):E568)=200,AVERAGE(INDEX(StockDaily[Adjusted close],MAX(1,$A568-200+1)):E568),"n.a.")))</f>
        <v/>
      </c>
      <c r="H568" s="136" t="str">
        <f>IF($A568&gt;MIN($A$10,$A$2),"",IF($A$5="","Choose stock",IF(NOT($A$12),"Check split rule",IF(NOT(ISNUMBER(B568)),"Invalid date",IF(OR(B568&lt;=0,B568&lt;&gt;INT(B568)),"Invalid date",IF(COUNTIFS(DemoHistory[Date],B568)&lt;&gt;1,"Duplicate date",IF(AND($A568&gt;1,B568&lt;=B567),"Dates out of order",IF(NOT(ISNUMBER(C568)),"Missing price",IF(C568&lt;=0,"Nonpositive price","OK")))))))))</f>
        <v/>
      </c>
      <c r="I568" s="136"/>
      <c r="J568" s="136"/>
      <c r="K568" s="136"/>
      <c r="L568" s="136"/>
      <c r="M568" s="136"/>
      <c r="N568" s="136" t="e">
        <f t="shared" si="25"/>
        <v>#N/A</v>
      </c>
      <c r="O568" s="136" t="e">
        <f t="shared" si="26"/>
        <v>#N/A</v>
      </c>
    </row>
    <row r="569" spans="1:15" ht="22" customHeight="1" x14ac:dyDescent="0.35">
      <c r="A569" s="136">
        <v>525</v>
      </c>
      <c r="B569" s="165" t="str">
        <f>IF($A569&gt;MIN($A$10,$A$2),"",INDEX(DemoHistory[Date],$A569))</f>
        <v/>
      </c>
      <c r="C569" s="166" t="str">
        <f>IF(OR($A569&gt;MIN($A$10,$A$2),$A$5=""),"",INDEX(DemoHistory[],$A569,MATCH($A$5,DemoHistory[#Headers],0)))</f>
        <v/>
      </c>
      <c r="D569" s="166" t="str">
        <f>IF($A569&gt;MIN($A$10,$A$2),"",IF(AND($A$12,$A$6=1,B569&lt;$A$7,$A$7&lt;=MAX(DemoHistory[Date])),$A$8,1))</f>
        <v/>
      </c>
      <c r="E569" s="166" t="str">
        <f t="shared" si="24"/>
        <v/>
      </c>
      <c r="F569" s="166" t="str">
        <f>IF($A569&gt;MIN($A$10,$A$2),"",IF($A569&lt;50,"n.a.",IF(COUNT(INDEX(StockDaily[Adjusted close],MAX(1,$A569-50+1)):E569)=50,AVERAGE(INDEX(StockDaily[Adjusted close],MAX(1,$A569-50+1)):E569),"n.a.")))</f>
        <v/>
      </c>
      <c r="G569" s="166" t="str">
        <f>IF($A569&gt;MIN($A$10,$A$2),"",IF($A569&lt;200,"n.a.",IF(COUNT(INDEX(StockDaily[Adjusted close],MAX(1,$A569-200+1)):E569)=200,AVERAGE(INDEX(StockDaily[Adjusted close],MAX(1,$A569-200+1)):E569),"n.a.")))</f>
        <v/>
      </c>
      <c r="H569" s="136" t="str">
        <f>IF($A569&gt;MIN($A$10,$A$2),"",IF($A$5="","Choose stock",IF(NOT($A$12),"Check split rule",IF(NOT(ISNUMBER(B569)),"Invalid date",IF(OR(B569&lt;=0,B569&lt;&gt;INT(B569)),"Invalid date",IF(COUNTIFS(DemoHistory[Date],B569)&lt;&gt;1,"Duplicate date",IF(AND($A569&gt;1,B569&lt;=B568),"Dates out of order",IF(NOT(ISNUMBER(C569)),"Missing price",IF(C569&lt;=0,"Nonpositive price","OK")))))))))</f>
        <v/>
      </c>
      <c r="I569" s="136"/>
      <c r="J569" s="136"/>
      <c r="K569" s="136"/>
      <c r="L569" s="136"/>
      <c r="M569" s="136"/>
      <c r="N569" s="136" t="e">
        <f t="shared" si="25"/>
        <v>#N/A</v>
      </c>
      <c r="O569" s="136" t="e">
        <f t="shared" si="26"/>
        <v>#N/A</v>
      </c>
    </row>
    <row r="570" spans="1:15" ht="22" customHeight="1" x14ac:dyDescent="0.35">
      <c r="A570" s="136">
        <v>526</v>
      </c>
      <c r="B570" s="165" t="str">
        <f>IF($A570&gt;MIN($A$10,$A$2),"",INDEX(DemoHistory[Date],$A570))</f>
        <v/>
      </c>
      <c r="C570" s="166" t="str">
        <f>IF(OR($A570&gt;MIN($A$10,$A$2),$A$5=""),"",INDEX(DemoHistory[],$A570,MATCH($A$5,DemoHistory[#Headers],0)))</f>
        <v/>
      </c>
      <c r="D570" s="166" t="str">
        <f>IF($A570&gt;MIN($A$10,$A$2),"",IF(AND($A$12,$A$6=1,B570&lt;$A$7,$A$7&lt;=MAX(DemoHistory[Date])),$A$8,1))</f>
        <v/>
      </c>
      <c r="E570" s="166" t="str">
        <f t="shared" si="24"/>
        <v/>
      </c>
      <c r="F570" s="166" t="str">
        <f>IF($A570&gt;MIN($A$10,$A$2),"",IF($A570&lt;50,"n.a.",IF(COUNT(INDEX(StockDaily[Adjusted close],MAX(1,$A570-50+1)):E570)=50,AVERAGE(INDEX(StockDaily[Adjusted close],MAX(1,$A570-50+1)):E570),"n.a.")))</f>
        <v/>
      </c>
      <c r="G570" s="166" t="str">
        <f>IF($A570&gt;MIN($A$10,$A$2),"",IF($A570&lt;200,"n.a.",IF(COUNT(INDEX(StockDaily[Adjusted close],MAX(1,$A570-200+1)):E570)=200,AVERAGE(INDEX(StockDaily[Adjusted close],MAX(1,$A570-200+1)):E570),"n.a.")))</f>
        <v/>
      </c>
      <c r="H570" s="136" t="str">
        <f>IF($A570&gt;MIN($A$10,$A$2),"",IF($A$5="","Choose stock",IF(NOT($A$12),"Check split rule",IF(NOT(ISNUMBER(B570)),"Invalid date",IF(OR(B570&lt;=0,B570&lt;&gt;INT(B570)),"Invalid date",IF(COUNTIFS(DemoHistory[Date],B570)&lt;&gt;1,"Duplicate date",IF(AND($A570&gt;1,B570&lt;=B569),"Dates out of order",IF(NOT(ISNUMBER(C570)),"Missing price",IF(C570&lt;=0,"Nonpositive price","OK")))))))))</f>
        <v/>
      </c>
      <c r="I570" s="136"/>
      <c r="J570" s="136"/>
      <c r="K570" s="136"/>
      <c r="L570" s="136"/>
      <c r="M570" s="136"/>
      <c r="N570" s="136" t="e">
        <f t="shared" si="25"/>
        <v>#N/A</v>
      </c>
      <c r="O570" s="136" t="e">
        <f t="shared" si="26"/>
        <v>#N/A</v>
      </c>
    </row>
    <row r="571" spans="1:15" ht="22" customHeight="1" x14ac:dyDescent="0.35">
      <c r="A571" s="136">
        <v>527</v>
      </c>
      <c r="B571" s="165" t="str">
        <f>IF($A571&gt;MIN($A$10,$A$2),"",INDEX(DemoHistory[Date],$A571))</f>
        <v/>
      </c>
      <c r="C571" s="166" t="str">
        <f>IF(OR($A571&gt;MIN($A$10,$A$2),$A$5=""),"",INDEX(DemoHistory[],$A571,MATCH($A$5,DemoHistory[#Headers],0)))</f>
        <v/>
      </c>
      <c r="D571" s="166" t="str">
        <f>IF($A571&gt;MIN($A$10,$A$2),"",IF(AND($A$12,$A$6=1,B571&lt;$A$7,$A$7&lt;=MAX(DemoHistory[Date])),$A$8,1))</f>
        <v/>
      </c>
      <c r="E571" s="166" t="str">
        <f t="shared" si="24"/>
        <v/>
      </c>
      <c r="F571" s="166" t="str">
        <f>IF($A571&gt;MIN($A$10,$A$2),"",IF($A571&lt;50,"n.a.",IF(COUNT(INDEX(StockDaily[Adjusted close],MAX(1,$A571-50+1)):E571)=50,AVERAGE(INDEX(StockDaily[Adjusted close],MAX(1,$A571-50+1)):E571),"n.a.")))</f>
        <v/>
      </c>
      <c r="G571" s="166" t="str">
        <f>IF($A571&gt;MIN($A$10,$A$2),"",IF($A571&lt;200,"n.a.",IF(COUNT(INDEX(StockDaily[Adjusted close],MAX(1,$A571-200+1)):E571)=200,AVERAGE(INDEX(StockDaily[Adjusted close],MAX(1,$A571-200+1)):E571),"n.a.")))</f>
        <v/>
      </c>
      <c r="H571" s="136" t="str">
        <f>IF($A571&gt;MIN($A$10,$A$2),"",IF($A$5="","Choose stock",IF(NOT($A$12),"Check split rule",IF(NOT(ISNUMBER(B571)),"Invalid date",IF(OR(B571&lt;=0,B571&lt;&gt;INT(B571)),"Invalid date",IF(COUNTIFS(DemoHistory[Date],B571)&lt;&gt;1,"Duplicate date",IF(AND($A571&gt;1,B571&lt;=B570),"Dates out of order",IF(NOT(ISNUMBER(C571)),"Missing price",IF(C571&lt;=0,"Nonpositive price","OK")))))))))</f>
        <v/>
      </c>
      <c r="I571" s="136"/>
      <c r="J571" s="136"/>
      <c r="K571" s="136"/>
      <c r="L571" s="136"/>
      <c r="M571" s="136"/>
      <c r="N571" s="136" t="e">
        <f t="shared" si="25"/>
        <v>#N/A</v>
      </c>
      <c r="O571" s="136" t="e">
        <f t="shared" si="26"/>
        <v>#N/A</v>
      </c>
    </row>
    <row r="572" spans="1:15" ht="22" customHeight="1" x14ac:dyDescent="0.35">
      <c r="A572" s="136">
        <v>528</v>
      </c>
      <c r="B572" s="165" t="str">
        <f>IF($A572&gt;MIN($A$10,$A$2),"",INDEX(DemoHistory[Date],$A572))</f>
        <v/>
      </c>
      <c r="C572" s="166" t="str">
        <f>IF(OR($A572&gt;MIN($A$10,$A$2),$A$5=""),"",INDEX(DemoHistory[],$A572,MATCH($A$5,DemoHistory[#Headers],0)))</f>
        <v/>
      </c>
      <c r="D572" s="166" t="str">
        <f>IF($A572&gt;MIN($A$10,$A$2),"",IF(AND($A$12,$A$6=1,B572&lt;$A$7,$A$7&lt;=MAX(DemoHistory[Date])),$A$8,1))</f>
        <v/>
      </c>
      <c r="E572" s="166" t="str">
        <f t="shared" si="24"/>
        <v/>
      </c>
      <c r="F572" s="166" t="str">
        <f>IF($A572&gt;MIN($A$10,$A$2),"",IF($A572&lt;50,"n.a.",IF(COUNT(INDEX(StockDaily[Adjusted close],MAX(1,$A572-50+1)):E572)=50,AVERAGE(INDEX(StockDaily[Adjusted close],MAX(1,$A572-50+1)):E572),"n.a.")))</f>
        <v/>
      </c>
      <c r="G572" s="166" t="str">
        <f>IF($A572&gt;MIN($A$10,$A$2),"",IF($A572&lt;200,"n.a.",IF(COUNT(INDEX(StockDaily[Adjusted close],MAX(1,$A572-200+1)):E572)=200,AVERAGE(INDEX(StockDaily[Adjusted close],MAX(1,$A572-200+1)):E572),"n.a.")))</f>
        <v/>
      </c>
      <c r="H572" s="136" t="str">
        <f>IF($A572&gt;MIN($A$10,$A$2),"",IF($A$5="","Choose stock",IF(NOT($A$12),"Check split rule",IF(NOT(ISNUMBER(B572)),"Invalid date",IF(OR(B572&lt;=0,B572&lt;&gt;INT(B572)),"Invalid date",IF(COUNTIFS(DemoHistory[Date],B572)&lt;&gt;1,"Duplicate date",IF(AND($A572&gt;1,B572&lt;=B571),"Dates out of order",IF(NOT(ISNUMBER(C572)),"Missing price",IF(C572&lt;=0,"Nonpositive price","OK")))))))))</f>
        <v/>
      </c>
      <c r="I572" s="136"/>
      <c r="J572" s="136"/>
      <c r="K572" s="136"/>
      <c r="L572" s="136"/>
      <c r="M572" s="136"/>
      <c r="N572" s="136" t="e">
        <f t="shared" si="25"/>
        <v>#N/A</v>
      </c>
      <c r="O572" s="136" t="e">
        <f t="shared" si="26"/>
        <v>#N/A</v>
      </c>
    </row>
    <row r="573" spans="1:15" ht="22" customHeight="1" x14ac:dyDescent="0.35">
      <c r="A573" s="136">
        <v>529</v>
      </c>
      <c r="B573" s="165" t="str">
        <f>IF($A573&gt;MIN($A$10,$A$2),"",INDEX(DemoHistory[Date],$A573))</f>
        <v/>
      </c>
      <c r="C573" s="166" t="str">
        <f>IF(OR($A573&gt;MIN($A$10,$A$2),$A$5=""),"",INDEX(DemoHistory[],$A573,MATCH($A$5,DemoHistory[#Headers],0)))</f>
        <v/>
      </c>
      <c r="D573" s="166" t="str">
        <f>IF($A573&gt;MIN($A$10,$A$2),"",IF(AND($A$12,$A$6=1,B573&lt;$A$7,$A$7&lt;=MAX(DemoHistory[Date])),$A$8,1))</f>
        <v/>
      </c>
      <c r="E573" s="166" t="str">
        <f t="shared" si="24"/>
        <v/>
      </c>
      <c r="F573" s="166" t="str">
        <f>IF($A573&gt;MIN($A$10,$A$2),"",IF($A573&lt;50,"n.a.",IF(COUNT(INDEX(StockDaily[Adjusted close],MAX(1,$A573-50+1)):E573)=50,AVERAGE(INDEX(StockDaily[Adjusted close],MAX(1,$A573-50+1)):E573),"n.a.")))</f>
        <v/>
      </c>
      <c r="G573" s="166" t="str">
        <f>IF($A573&gt;MIN($A$10,$A$2),"",IF($A573&lt;200,"n.a.",IF(COUNT(INDEX(StockDaily[Adjusted close],MAX(1,$A573-200+1)):E573)=200,AVERAGE(INDEX(StockDaily[Adjusted close],MAX(1,$A573-200+1)):E573),"n.a.")))</f>
        <v/>
      </c>
      <c r="H573" s="136" t="str">
        <f>IF($A573&gt;MIN($A$10,$A$2),"",IF($A$5="","Choose stock",IF(NOT($A$12),"Check split rule",IF(NOT(ISNUMBER(B573)),"Invalid date",IF(OR(B573&lt;=0,B573&lt;&gt;INT(B573)),"Invalid date",IF(COUNTIFS(DemoHistory[Date],B573)&lt;&gt;1,"Duplicate date",IF(AND($A573&gt;1,B573&lt;=B572),"Dates out of order",IF(NOT(ISNUMBER(C573)),"Missing price",IF(C573&lt;=0,"Nonpositive price","OK")))))))))</f>
        <v/>
      </c>
      <c r="I573" s="136"/>
      <c r="J573" s="136"/>
      <c r="K573" s="136"/>
      <c r="L573" s="136"/>
      <c r="M573" s="136"/>
      <c r="N573" s="136" t="e">
        <f t="shared" si="25"/>
        <v>#N/A</v>
      </c>
      <c r="O573" s="136" t="e">
        <f t="shared" si="26"/>
        <v>#N/A</v>
      </c>
    </row>
    <row r="574" spans="1:15" ht="22" customHeight="1" x14ac:dyDescent="0.35">
      <c r="A574" s="136">
        <v>530</v>
      </c>
      <c r="B574" s="165" t="str">
        <f>IF($A574&gt;MIN($A$10,$A$2),"",INDEX(DemoHistory[Date],$A574))</f>
        <v/>
      </c>
      <c r="C574" s="166" t="str">
        <f>IF(OR($A574&gt;MIN($A$10,$A$2),$A$5=""),"",INDEX(DemoHistory[],$A574,MATCH($A$5,DemoHistory[#Headers],0)))</f>
        <v/>
      </c>
      <c r="D574" s="166" t="str">
        <f>IF($A574&gt;MIN($A$10,$A$2),"",IF(AND($A$12,$A$6=1,B574&lt;$A$7,$A$7&lt;=MAX(DemoHistory[Date])),$A$8,1))</f>
        <v/>
      </c>
      <c r="E574" s="166" t="str">
        <f t="shared" si="24"/>
        <v/>
      </c>
      <c r="F574" s="166" t="str">
        <f>IF($A574&gt;MIN($A$10,$A$2),"",IF($A574&lt;50,"n.a.",IF(COUNT(INDEX(StockDaily[Adjusted close],MAX(1,$A574-50+1)):E574)=50,AVERAGE(INDEX(StockDaily[Adjusted close],MAX(1,$A574-50+1)):E574),"n.a.")))</f>
        <v/>
      </c>
      <c r="G574" s="166" t="str">
        <f>IF($A574&gt;MIN($A$10,$A$2),"",IF($A574&lt;200,"n.a.",IF(COUNT(INDEX(StockDaily[Adjusted close],MAX(1,$A574-200+1)):E574)=200,AVERAGE(INDEX(StockDaily[Adjusted close],MAX(1,$A574-200+1)):E574),"n.a.")))</f>
        <v/>
      </c>
      <c r="H574" s="136" t="str">
        <f>IF($A574&gt;MIN($A$10,$A$2),"",IF($A$5="","Choose stock",IF(NOT($A$12),"Check split rule",IF(NOT(ISNUMBER(B574)),"Invalid date",IF(OR(B574&lt;=0,B574&lt;&gt;INT(B574)),"Invalid date",IF(COUNTIFS(DemoHistory[Date],B574)&lt;&gt;1,"Duplicate date",IF(AND($A574&gt;1,B574&lt;=B573),"Dates out of order",IF(NOT(ISNUMBER(C574)),"Missing price",IF(C574&lt;=0,"Nonpositive price","OK")))))))))</f>
        <v/>
      </c>
      <c r="I574" s="136"/>
      <c r="J574" s="136"/>
      <c r="K574" s="136"/>
      <c r="L574" s="136"/>
      <c r="M574" s="136"/>
      <c r="N574" s="136" t="e">
        <f t="shared" si="25"/>
        <v>#N/A</v>
      </c>
      <c r="O574" s="136" t="e">
        <f t="shared" si="26"/>
        <v>#N/A</v>
      </c>
    </row>
    <row r="575" spans="1:15" ht="22" customHeight="1" x14ac:dyDescent="0.35">
      <c r="A575" s="136">
        <v>531</v>
      </c>
      <c r="B575" s="165" t="str">
        <f>IF($A575&gt;MIN($A$10,$A$2),"",INDEX(DemoHistory[Date],$A575))</f>
        <v/>
      </c>
      <c r="C575" s="166" t="str">
        <f>IF(OR($A575&gt;MIN($A$10,$A$2),$A$5=""),"",INDEX(DemoHistory[],$A575,MATCH($A$5,DemoHistory[#Headers],0)))</f>
        <v/>
      </c>
      <c r="D575" s="166" t="str">
        <f>IF($A575&gt;MIN($A$10,$A$2),"",IF(AND($A$12,$A$6=1,B575&lt;$A$7,$A$7&lt;=MAX(DemoHistory[Date])),$A$8,1))</f>
        <v/>
      </c>
      <c r="E575" s="166" t="str">
        <f t="shared" si="24"/>
        <v/>
      </c>
      <c r="F575" s="166" t="str">
        <f>IF($A575&gt;MIN($A$10,$A$2),"",IF($A575&lt;50,"n.a.",IF(COUNT(INDEX(StockDaily[Adjusted close],MAX(1,$A575-50+1)):E575)=50,AVERAGE(INDEX(StockDaily[Adjusted close],MAX(1,$A575-50+1)):E575),"n.a.")))</f>
        <v/>
      </c>
      <c r="G575" s="166" t="str">
        <f>IF($A575&gt;MIN($A$10,$A$2),"",IF($A575&lt;200,"n.a.",IF(COUNT(INDEX(StockDaily[Adjusted close],MAX(1,$A575-200+1)):E575)=200,AVERAGE(INDEX(StockDaily[Adjusted close],MAX(1,$A575-200+1)):E575),"n.a.")))</f>
        <v/>
      </c>
      <c r="H575" s="136" t="str">
        <f>IF($A575&gt;MIN($A$10,$A$2),"",IF($A$5="","Choose stock",IF(NOT($A$12),"Check split rule",IF(NOT(ISNUMBER(B575)),"Invalid date",IF(OR(B575&lt;=0,B575&lt;&gt;INT(B575)),"Invalid date",IF(COUNTIFS(DemoHistory[Date],B575)&lt;&gt;1,"Duplicate date",IF(AND($A575&gt;1,B575&lt;=B574),"Dates out of order",IF(NOT(ISNUMBER(C575)),"Missing price",IF(C575&lt;=0,"Nonpositive price","OK")))))))))</f>
        <v/>
      </c>
      <c r="I575" s="136"/>
      <c r="J575" s="136"/>
      <c r="K575" s="136"/>
      <c r="L575" s="136"/>
      <c r="M575" s="136"/>
      <c r="N575" s="136" t="e">
        <f t="shared" si="25"/>
        <v>#N/A</v>
      </c>
      <c r="O575" s="136" t="e">
        <f t="shared" si="26"/>
        <v>#N/A</v>
      </c>
    </row>
    <row r="576" spans="1:15" ht="22" customHeight="1" x14ac:dyDescent="0.35">
      <c r="A576" s="136">
        <v>532</v>
      </c>
      <c r="B576" s="165" t="str">
        <f>IF($A576&gt;MIN($A$10,$A$2),"",INDEX(DemoHistory[Date],$A576))</f>
        <v/>
      </c>
      <c r="C576" s="166" t="str">
        <f>IF(OR($A576&gt;MIN($A$10,$A$2),$A$5=""),"",INDEX(DemoHistory[],$A576,MATCH($A$5,DemoHistory[#Headers],0)))</f>
        <v/>
      </c>
      <c r="D576" s="166" t="str">
        <f>IF($A576&gt;MIN($A$10,$A$2),"",IF(AND($A$12,$A$6=1,B576&lt;$A$7,$A$7&lt;=MAX(DemoHistory[Date])),$A$8,1))</f>
        <v/>
      </c>
      <c r="E576" s="166" t="str">
        <f t="shared" si="24"/>
        <v/>
      </c>
      <c r="F576" s="166" t="str">
        <f>IF($A576&gt;MIN($A$10,$A$2),"",IF($A576&lt;50,"n.a.",IF(COUNT(INDEX(StockDaily[Adjusted close],MAX(1,$A576-50+1)):E576)=50,AVERAGE(INDEX(StockDaily[Adjusted close],MAX(1,$A576-50+1)):E576),"n.a.")))</f>
        <v/>
      </c>
      <c r="G576" s="166" t="str">
        <f>IF($A576&gt;MIN($A$10,$A$2),"",IF($A576&lt;200,"n.a.",IF(COUNT(INDEX(StockDaily[Adjusted close],MAX(1,$A576-200+1)):E576)=200,AVERAGE(INDEX(StockDaily[Adjusted close],MAX(1,$A576-200+1)):E576),"n.a.")))</f>
        <v/>
      </c>
      <c r="H576" s="136" t="str">
        <f>IF($A576&gt;MIN($A$10,$A$2),"",IF($A$5="","Choose stock",IF(NOT($A$12),"Check split rule",IF(NOT(ISNUMBER(B576)),"Invalid date",IF(OR(B576&lt;=0,B576&lt;&gt;INT(B576)),"Invalid date",IF(COUNTIFS(DemoHistory[Date],B576)&lt;&gt;1,"Duplicate date",IF(AND($A576&gt;1,B576&lt;=B575),"Dates out of order",IF(NOT(ISNUMBER(C576)),"Missing price",IF(C576&lt;=0,"Nonpositive price","OK")))))))))</f>
        <v/>
      </c>
      <c r="I576" s="136"/>
      <c r="J576" s="136"/>
      <c r="K576" s="136"/>
      <c r="L576" s="136"/>
      <c r="M576" s="136"/>
      <c r="N576" s="136" t="e">
        <f t="shared" si="25"/>
        <v>#N/A</v>
      </c>
      <c r="O576" s="136" t="e">
        <f t="shared" si="26"/>
        <v>#N/A</v>
      </c>
    </row>
    <row r="577" spans="1:15" ht="22" customHeight="1" x14ac:dyDescent="0.35">
      <c r="A577" s="136">
        <v>533</v>
      </c>
      <c r="B577" s="165" t="str">
        <f>IF($A577&gt;MIN($A$10,$A$2),"",INDEX(DemoHistory[Date],$A577))</f>
        <v/>
      </c>
      <c r="C577" s="166" t="str">
        <f>IF(OR($A577&gt;MIN($A$10,$A$2),$A$5=""),"",INDEX(DemoHistory[],$A577,MATCH($A$5,DemoHistory[#Headers],0)))</f>
        <v/>
      </c>
      <c r="D577" s="166" t="str">
        <f>IF($A577&gt;MIN($A$10,$A$2),"",IF(AND($A$12,$A$6=1,B577&lt;$A$7,$A$7&lt;=MAX(DemoHistory[Date])),$A$8,1))</f>
        <v/>
      </c>
      <c r="E577" s="166" t="str">
        <f t="shared" si="24"/>
        <v/>
      </c>
      <c r="F577" s="166" t="str">
        <f>IF($A577&gt;MIN($A$10,$A$2),"",IF($A577&lt;50,"n.a.",IF(COUNT(INDEX(StockDaily[Adjusted close],MAX(1,$A577-50+1)):E577)=50,AVERAGE(INDEX(StockDaily[Adjusted close],MAX(1,$A577-50+1)):E577),"n.a.")))</f>
        <v/>
      </c>
      <c r="G577" s="166" t="str">
        <f>IF($A577&gt;MIN($A$10,$A$2),"",IF($A577&lt;200,"n.a.",IF(COUNT(INDEX(StockDaily[Adjusted close],MAX(1,$A577-200+1)):E577)=200,AVERAGE(INDEX(StockDaily[Adjusted close],MAX(1,$A577-200+1)):E577),"n.a.")))</f>
        <v/>
      </c>
      <c r="H577" s="136" t="str">
        <f>IF($A577&gt;MIN($A$10,$A$2),"",IF($A$5="","Choose stock",IF(NOT($A$12),"Check split rule",IF(NOT(ISNUMBER(B577)),"Invalid date",IF(OR(B577&lt;=0,B577&lt;&gt;INT(B577)),"Invalid date",IF(COUNTIFS(DemoHistory[Date],B577)&lt;&gt;1,"Duplicate date",IF(AND($A577&gt;1,B577&lt;=B576),"Dates out of order",IF(NOT(ISNUMBER(C577)),"Missing price",IF(C577&lt;=0,"Nonpositive price","OK")))))))))</f>
        <v/>
      </c>
      <c r="I577" s="136"/>
      <c r="J577" s="136"/>
      <c r="K577" s="136"/>
      <c r="L577" s="136"/>
      <c r="M577" s="136"/>
      <c r="N577" s="136" t="e">
        <f t="shared" si="25"/>
        <v>#N/A</v>
      </c>
      <c r="O577" s="136" t="e">
        <f t="shared" si="26"/>
        <v>#N/A</v>
      </c>
    </row>
    <row r="578" spans="1:15" ht="22" customHeight="1" x14ac:dyDescent="0.35">
      <c r="A578" s="136">
        <v>534</v>
      </c>
      <c r="B578" s="165" t="str">
        <f>IF($A578&gt;MIN($A$10,$A$2),"",INDEX(DemoHistory[Date],$A578))</f>
        <v/>
      </c>
      <c r="C578" s="166" t="str">
        <f>IF(OR($A578&gt;MIN($A$10,$A$2),$A$5=""),"",INDEX(DemoHistory[],$A578,MATCH($A$5,DemoHistory[#Headers],0)))</f>
        <v/>
      </c>
      <c r="D578" s="166" t="str">
        <f>IF($A578&gt;MIN($A$10,$A$2),"",IF(AND($A$12,$A$6=1,B578&lt;$A$7,$A$7&lt;=MAX(DemoHistory[Date])),$A$8,1))</f>
        <v/>
      </c>
      <c r="E578" s="166" t="str">
        <f t="shared" si="24"/>
        <v/>
      </c>
      <c r="F578" s="166" t="str">
        <f>IF($A578&gt;MIN($A$10,$A$2),"",IF($A578&lt;50,"n.a.",IF(COUNT(INDEX(StockDaily[Adjusted close],MAX(1,$A578-50+1)):E578)=50,AVERAGE(INDEX(StockDaily[Adjusted close],MAX(1,$A578-50+1)):E578),"n.a.")))</f>
        <v/>
      </c>
      <c r="G578" s="166" t="str">
        <f>IF($A578&gt;MIN($A$10,$A$2),"",IF($A578&lt;200,"n.a.",IF(COUNT(INDEX(StockDaily[Adjusted close],MAX(1,$A578-200+1)):E578)=200,AVERAGE(INDEX(StockDaily[Adjusted close],MAX(1,$A578-200+1)):E578),"n.a.")))</f>
        <v/>
      </c>
      <c r="H578" s="136" t="str">
        <f>IF($A578&gt;MIN($A$10,$A$2),"",IF($A$5="","Choose stock",IF(NOT($A$12),"Check split rule",IF(NOT(ISNUMBER(B578)),"Invalid date",IF(OR(B578&lt;=0,B578&lt;&gt;INT(B578)),"Invalid date",IF(COUNTIFS(DemoHistory[Date],B578)&lt;&gt;1,"Duplicate date",IF(AND($A578&gt;1,B578&lt;=B577),"Dates out of order",IF(NOT(ISNUMBER(C578)),"Missing price",IF(C578&lt;=0,"Nonpositive price","OK")))))))))</f>
        <v/>
      </c>
      <c r="I578" s="136"/>
      <c r="J578" s="136"/>
      <c r="K578" s="136"/>
      <c r="L578" s="136"/>
      <c r="M578" s="136"/>
      <c r="N578" s="136" t="e">
        <f t="shared" si="25"/>
        <v>#N/A</v>
      </c>
      <c r="O578" s="136" t="e">
        <f t="shared" si="26"/>
        <v>#N/A</v>
      </c>
    </row>
    <row r="579" spans="1:15" ht="22" customHeight="1" x14ac:dyDescent="0.35">
      <c r="A579" s="136">
        <v>535</v>
      </c>
      <c r="B579" s="165" t="str">
        <f>IF($A579&gt;MIN($A$10,$A$2),"",INDEX(DemoHistory[Date],$A579))</f>
        <v/>
      </c>
      <c r="C579" s="166" t="str">
        <f>IF(OR($A579&gt;MIN($A$10,$A$2),$A$5=""),"",INDEX(DemoHistory[],$A579,MATCH($A$5,DemoHistory[#Headers],0)))</f>
        <v/>
      </c>
      <c r="D579" s="166" t="str">
        <f>IF($A579&gt;MIN($A$10,$A$2),"",IF(AND($A$12,$A$6=1,B579&lt;$A$7,$A$7&lt;=MAX(DemoHistory[Date])),$A$8,1))</f>
        <v/>
      </c>
      <c r="E579" s="166" t="str">
        <f t="shared" si="24"/>
        <v/>
      </c>
      <c r="F579" s="166" t="str">
        <f>IF($A579&gt;MIN($A$10,$A$2),"",IF($A579&lt;50,"n.a.",IF(COUNT(INDEX(StockDaily[Adjusted close],MAX(1,$A579-50+1)):E579)=50,AVERAGE(INDEX(StockDaily[Adjusted close],MAX(1,$A579-50+1)):E579),"n.a.")))</f>
        <v/>
      </c>
      <c r="G579" s="166" t="str">
        <f>IF($A579&gt;MIN($A$10,$A$2),"",IF($A579&lt;200,"n.a.",IF(COUNT(INDEX(StockDaily[Adjusted close],MAX(1,$A579-200+1)):E579)=200,AVERAGE(INDEX(StockDaily[Adjusted close],MAX(1,$A579-200+1)):E579),"n.a.")))</f>
        <v/>
      </c>
      <c r="H579" s="136" t="str">
        <f>IF($A579&gt;MIN($A$10,$A$2),"",IF($A$5="","Choose stock",IF(NOT($A$12),"Check split rule",IF(NOT(ISNUMBER(B579)),"Invalid date",IF(OR(B579&lt;=0,B579&lt;&gt;INT(B579)),"Invalid date",IF(COUNTIFS(DemoHistory[Date],B579)&lt;&gt;1,"Duplicate date",IF(AND($A579&gt;1,B579&lt;=B578),"Dates out of order",IF(NOT(ISNUMBER(C579)),"Missing price",IF(C579&lt;=0,"Nonpositive price","OK")))))))))</f>
        <v/>
      </c>
      <c r="I579" s="136"/>
      <c r="J579" s="136"/>
      <c r="K579" s="136"/>
      <c r="L579" s="136"/>
      <c r="M579" s="136"/>
      <c r="N579" s="136" t="e">
        <f t="shared" si="25"/>
        <v>#N/A</v>
      </c>
      <c r="O579" s="136" t="e">
        <f t="shared" si="26"/>
        <v>#N/A</v>
      </c>
    </row>
    <row r="580" spans="1:15" ht="22" customHeight="1" x14ac:dyDescent="0.35">
      <c r="A580" s="136">
        <v>536</v>
      </c>
      <c r="B580" s="165" t="str">
        <f>IF($A580&gt;MIN($A$10,$A$2),"",INDEX(DemoHistory[Date],$A580))</f>
        <v/>
      </c>
      <c r="C580" s="166" t="str">
        <f>IF(OR($A580&gt;MIN($A$10,$A$2),$A$5=""),"",INDEX(DemoHistory[],$A580,MATCH($A$5,DemoHistory[#Headers],0)))</f>
        <v/>
      </c>
      <c r="D580" s="166" t="str">
        <f>IF($A580&gt;MIN($A$10,$A$2),"",IF(AND($A$12,$A$6=1,B580&lt;$A$7,$A$7&lt;=MAX(DemoHistory[Date])),$A$8,1))</f>
        <v/>
      </c>
      <c r="E580" s="166" t="str">
        <f t="shared" si="24"/>
        <v/>
      </c>
      <c r="F580" s="166" t="str">
        <f>IF($A580&gt;MIN($A$10,$A$2),"",IF($A580&lt;50,"n.a.",IF(COUNT(INDEX(StockDaily[Adjusted close],MAX(1,$A580-50+1)):E580)=50,AVERAGE(INDEX(StockDaily[Adjusted close],MAX(1,$A580-50+1)):E580),"n.a.")))</f>
        <v/>
      </c>
      <c r="G580" s="166" t="str">
        <f>IF($A580&gt;MIN($A$10,$A$2),"",IF($A580&lt;200,"n.a.",IF(COUNT(INDEX(StockDaily[Adjusted close],MAX(1,$A580-200+1)):E580)=200,AVERAGE(INDEX(StockDaily[Adjusted close],MAX(1,$A580-200+1)):E580),"n.a.")))</f>
        <v/>
      </c>
      <c r="H580" s="136" t="str">
        <f>IF($A580&gt;MIN($A$10,$A$2),"",IF($A$5="","Choose stock",IF(NOT($A$12),"Check split rule",IF(NOT(ISNUMBER(B580)),"Invalid date",IF(OR(B580&lt;=0,B580&lt;&gt;INT(B580)),"Invalid date",IF(COUNTIFS(DemoHistory[Date],B580)&lt;&gt;1,"Duplicate date",IF(AND($A580&gt;1,B580&lt;=B579),"Dates out of order",IF(NOT(ISNUMBER(C580)),"Missing price",IF(C580&lt;=0,"Nonpositive price","OK")))))))))</f>
        <v/>
      </c>
      <c r="I580" s="136"/>
      <c r="J580" s="136"/>
      <c r="K580" s="136"/>
      <c r="L580" s="136"/>
      <c r="M580" s="136"/>
      <c r="N580" s="136" t="e">
        <f t="shared" si="25"/>
        <v>#N/A</v>
      </c>
      <c r="O580" s="136" t="e">
        <f t="shared" si="26"/>
        <v>#N/A</v>
      </c>
    </row>
    <row r="581" spans="1:15" ht="22" customHeight="1" x14ac:dyDescent="0.35">
      <c r="A581" s="136">
        <v>537</v>
      </c>
      <c r="B581" s="165" t="str">
        <f>IF($A581&gt;MIN($A$10,$A$2),"",INDEX(DemoHistory[Date],$A581))</f>
        <v/>
      </c>
      <c r="C581" s="166" t="str">
        <f>IF(OR($A581&gt;MIN($A$10,$A$2),$A$5=""),"",INDEX(DemoHistory[],$A581,MATCH($A$5,DemoHistory[#Headers],0)))</f>
        <v/>
      </c>
      <c r="D581" s="166" t="str">
        <f>IF($A581&gt;MIN($A$10,$A$2),"",IF(AND($A$12,$A$6=1,B581&lt;$A$7,$A$7&lt;=MAX(DemoHistory[Date])),$A$8,1))</f>
        <v/>
      </c>
      <c r="E581" s="166" t="str">
        <f t="shared" si="24"/>
        <v/>
      </c>
      <c r="F581" s="166" t="str">
        <f>IF($A581&gt;MIN($A$10,$A$2),"",IF($A581&lt;50,"n.a.",IF(COUNT(INDEX(StockDaily[Adjusted close],MAX(1,$A581-50+1)):E581)=50,AVERAGE(INDEX(StockDaily[Adjusted close],MAX(1,$A581-50+1)):E581),"n.a.")))</f>
        <v/>
      </c>
      <c r="G581" s="166" t="str">
        <f>IF($A581&gt;MIN($A$10,$A$2),"",IF($A581&lt;200,"n.a.",IF(COUNT(INDEX(StockDaily[Adjusted close],MAX(1,$A581-200+1)):E581)=200,AVERAGE(INDEX(StockDaily[Adjusted close],MAX(1,$A581-200+1)):E581),"n.a.")))</f>
        <v/>
      </c>
      <c r="H581" s="136" t="str">
        <f>IF($A581&gt;MIN($A$10,$A$2),"",IF($A$5="","Choose stock",IF(NOT($A$12),"Check split rule",IF(NOT(ISNUMBER(B581)),"Invalid date",IF(OR(B581&lt;=0,B581&lt;&gt;INT(B581)),"Invalid date",IF(COUNTIFS(DemoHistory[Date],B581)&lt;&gt;1,"Duplicate date",IF(AND($A581&gt;1,B581&lt;=B580),"Dates out of order",IF(NOT(ISNUMBER(C581)),"Missing price",IF(C581&lt;=0,"Nonpositive price","OK")))))))))</f>
        <v/>
      </c>
      <c r="I581" s="136"/>
      <c r="J581" s="136"/>
      <c r="K581" s="136"/>
      <c r="L581" s="136"/>
      <c r="M581" s="136"/>
      <c r="N581" s="136" t="e">
        <f t="shared" si="25"/>
        <v>#N/A</v>
      </c>
      <c r="O581" s="136" t="e">
        <f t="shared" si="26"/>
        <v>#N/A</v>
      </c>
    </row>
    <row r="582" spans="1:15" ht="22" customHeight="1" x14ac:dyDescent="0.35">
      <c r="A582" s="136">
        <v>538</v>
      </c>
      <c r="B582" s="165" t="str">
        <f>IF($A582&gt;MIN($A$10,$A$2),"",INDEX(DemoHistory[Date],$A582))</f>
        <v/>
      </c>
      <c r="C582" s="166" t="str">
        <f>IF(OR($A582&gt;MIN($A$10,$A$2),$A$5=""),"",INDEX(DemoHistory[],$A582,MATCH($A$5,DemoHistory[#Headers],0)))</f>
        <v/>
      </c>
      <c r="D582" s="166" t="str">
        <f>IF($A582&gt;MIN($A$10,$A$2),"",IF(AND($A$12,$A$6=1,B582&lt;$A$7,$A$7&lt;=MAX(DemoHistory[Date])),$A$8,1))</f>
        <v/>
      </c>
      <c r="E582" s="166" t="str">
        <f t="shared" si="24"/>
        <v/>
      </c>
      <c r="F582" s="166" t="str">
        <f>IF($A582&gt;MIN($A$10,$A$2),"",IF($A582&lt;50,"n.a.",IF(COUNT(INDEX(StockDaily[Adjusted close],MAX(1,$A582-50+1)):E582)=50,AVERAGE(INDEX(StockDaily[Adjusted close],MAX(1,$A582-50+1)):E582),"n.a.")))</f>
        <v/>
      </c>
      <c r="G582" s="166" t="str">
        <f>IF($A582&gt;MIN($A$10,$A$2),"",IF($A582&lt;200,"n.a.",IF(COUNT(INDEX(StockDaily[Adjusted close],MAX(1,$A582-200+1)):E582)=200,AVERAGE(INDEX(StockDaily[Adjusted close],MAX(1,$A582-200+1)):E582),"n.a.")))</f>
        <v/>
      </c>
      <c r="H582" s="136" t="str">
        <f>IF($A582&gt;MIN($A$10,$A$2),"",IF($A$5="","Choose stock",IF(NOT($A$12),"Check split rule",IF(NOT(ISNUMBER(B582)),"Invalid date",IF(OR(B582&lt;=0,B582&lt;&gt;INT(B582)),"Invalid date",IF(COUNTIFS(DemoHistory[Date],B582)&lt;&gt;1,"Duplicate date",IF(AND($A582&gt;1,B582&lt;=B581),"Dates out of order",IF(NOT(ISNUMBER(C582)),"Missing price",IF(C582&lt;=0,"Nonpositive price","OK")))))))))</f>
        <v/>
      </c>
      <c r="I582" s="136"/>
      <c r="J582" s="136"/>
      <c r="K582" s="136"/>
      <c r="L582" s="136"/>
      <c r="M582" s="136"/>
      <c r="N582" s="136" t="e">
        <f t="shared" si="25"/>
        <v>#N/A</v>
      </c>
      <c r="O582" s="136" t="e">
        <f t="shared" si="26"/>
        <v>#N/A</v>
      </c>
    </row>
    <row r="583" spans="1:15" ht="22" customHeight="1" x14ac:dyDescent="0.35">
      <c r="A583" s="136">
        <v>539</v>
      </c>
      <c r="B583" s="165" t="str">
        <f>IF($A583&gt;MIN($A$10,$A$2),"",INDEX(DemoHistory[Date],$A583))</f>
        <v/>
      </c>
      <c r="C583" s="166" t="str">
        <f>IF(OR($A583&gt;MIN($A$10,$A$2),$A$5=""),"",INDEX(DemoHistory[],$A583,MATCH($A$5,DemoHistory[#Headers],0)))</f>
        <v/>
      </c>
      <c r="D583" s="166" t="str">
        <f>IF($A583&gt;MIN($A$10,$A$2),"",IF(AND($A$12,$A$6=1,B583&lt;$A$7,$A$7&lt;=MAX(DemoHistory[Date])),$A$8,1))</f>
        <v/>
      </c>
      <c r="E583" s="166" t="str">
        <f t="shared" si="24"/>
        <v/>
      </c>
      <c r="F583" s="166" t="str">
        <f>IF($A583&gt;MIN($A$10,$A$2),"",IF($A583&lt;50,"n.a.",IF(COUNT(INDEX(StockDaily[Adjusted close],MAX(1,$A583-50+1)):E583)=50,AVERAGE(INDEX(StockDaily[Adjusted close],MAX(1,$A583-50+1)):E583),"n.a.")))</f>
        <v/>
      </c>
      <c r="G583" s="166" t="str">
        <f>IF($A583&gt;MIN($A$10,$A$2),"",IF($A583&lt;200,"n.a.",IF(COUNT(INDEX(StockDaily[Adjusted close],MAX(1,$A583-200+1)):E583)=200,AVERAGE(INDEX(StockDaily[Adjusted close],MAX(1,$A583-200+1)):E583),"n.a.")))</f>
        <v/>
      </c>
      <c r="H583" s="136" t="str">
        <f>IF($A583&gt;MIN($A$10,$A$2),"",IF($A$5="","Choose stock",IF(NOT($A$12),"Check split rule",IF(NOT(ISNUMBER(B583)),"Invalid date",IF(OR(B583&lt;=0,B583&lt;&gt;INT(B583)),"Invalid date",IF(COUNTIFS(DemoHistory[Date],B583)&lt;&gt;1,"Duplicate date",IF(AND($A583&gt;1,B583&lt;=B582),"Dates out of order",IF(NOT(ISNUMBER(C583)),"Missing price",IF(C583&lt;=0,"Nonpositive price","OK")))))))))</f>
        <v/>
      </c>
      <c r="I583" s="136"/>
      <c r="J583" s="136"/>
      <c r="K583" s="136"/>
      <c r="L583" s="136"/>
      <c r="M583" s="136"/>
      <c r="N583" s="136" t="e">
        <f t="shared" si="25"/>
        <v>#N/A</v>
      </c>
      <c r="O583" s="136" t="e">
        <f t="shared" si="26"/>
        <v>#N/A</v>
      </c>
    </row>
    <row r="584" spans="1:15" ht="22" customHeight="1" x14ac:dyDescent="0.35">
      <c r="A584" s="136">
        <v>540</v>
      </c>
      <c r="B584" s="165" t="str">
        <f>IF($A584&gt;MIN($A$10,$A$2),"",INDEX(DemoHistory[Date],$A584))</f>
        <v/>
      </c>
      <c r="C584" s="166" t="str">
        <f>IF(OR($A584&gt;MIN($A$10,$A$2),$A$5=""),"",INDEX(DemoHistory[],$A584,MATCH($A$5,DemoHistory[#Headers],0)))</f>
        <v/>
      </c>
      <c r="D584" s="166" t="str">
        <f>IF($A584&gt;MIN($A$10,$A$2),"",IF(AND($A$12,$A$6=1,B584&lt;$A$7,$A$7&lt;=MAX(DemoHistory[Date])),$A$8,1))</f>
        <v/>
      </c>
      <c r="E584" s="166" t="str">
        <f t="shared" si="24"/>
        <v/>
      </c>
      <c r="F584" s="166" t="str">
        <f>IF($A584&gt;MIN($A$10,$A$2),"",IF($A584&lt;50,"n.a.",IF(COUNT(INDEX(StockDaily[Adjusted close],MAX(1,$A584-50+1)):E584)=50,AVERAGE(INDEX(StockDaily[Adjusted close],MAX(1,$A584-50+1)):E584),"n.a.")))</f>
        <v/>
      </c>
      <c r="G584" s="166" t="str">
        <f>IF($A584&gt;MIN($A$10,$A$2),"",IF($A584&lt;200,"n.a.",IF(COUNT(INDEX(StockDaily[Adjusted close],MAX(1,$A584-200+1)):E584)=200,AVERAGE(INDEX(StockDaily[Adjusted close],MAX(1,$A584-200+1)):E584),"n.a.")))</f>
        <v/>
      </c>
      <c r="H584" s="136" t="str">
        <f>IF($A584&gt;MIN($A$10,$A$2),"",IF($A$5="","Choose stock",IF(NOT($A$12),"Check split rule",IF(NOT(ISNUMBER(B584)),"Invalid date",IF(OR(B584&lt;=0,B584&lt;&gt;INT(B584)),"Invalid date",IF(COUNTIFS(DemoHistory[Date],B584)&lt;&gt;1,"Duplicate date",IF(AND($A584&gt;1,B584&lt;=B583),"Dates out of order",IF(NOT(ISNUMBER(C584)),"Missing price",IF(C584&lt;=0,"Nonpositive price","OK")))))))))</f>
        <v/>
      </c>
      <c r="I584" s="136"/>
      <c r="J584" s="136"/>
      <c r="K584" s="136"/>
      <c r="L584" s="136"/>
      <c r="M584" s="136"/>
      <c r="N584" s="136" t="e">
        <f t="shared" si="25"/>
        <v>#N/A</v>
      </c>
      <c r="O584" s="136" t="e">
        <f t="shared" si="26"/>
        <v>#N/A</v>
      </c>
    </row>
    <row r="585" spans="1:15" ht="22" customHeight="1" x14ac:dyDescent="0.35">
      <c r="A585" s="136">
        <v>541</v>
      </c>
      <c r="B585" s="165" t="str">
        <f>IF($A585&gt;MIN($A$10,$A$2),"",INDEX(DemoHistory[Date],$A585))</f>
        <v/>
      </c>
      <c r="C585" s="166" t="str">
        <f>IF(OR($A585&gt;MIN($A$10,$A$2),$A$5=""),"",INDEX(DemoHistory[],$A585,MATCH($A$5,DemoHistory[#Headers],0)))</f>
        <v/>
      </c>
      <c r="D585" s="166" t="str">
        <f>IF($A585&gt;MIN($A$10,$A$2),"",IF(AND($A$12,$A$6=1,B585&lt;$A$7,$A$7&lt;=MAX(DemoHistory[Date])),$A$8,1))</f>
        <v/>
      </c>
      <c r="E585" s="166" t="str">
        <f t="shared" si="24"/>
        <v/>
      </c>
      <c r="F585" s="166" t="str">
        <f>IF($A585&gt;MIN($A$10,$A$2),"",IF($A585&lt;50,"n.a.",IF(COUNT(INDEX(StockDaily[Adjusted close],MAX(1,$A585-50+1)):E585)=50,AVERAGE(INDEX(StockDaily[Adjusted close],MAX(1,$A585-50+1)):E585),"n.a.")))</f>
        <v/>
      </c>
      <c r="G585" s="166" t="str">
        <f>IF($A585&gt;MIN($A$10,$A$2),"",IF($A585&lt;200,"n.a.",IF(COUNT(INDEX(StockDaily[Adjusted close],MAX(1,$A585-200+1)):E585)=200,AVERAGE(INDEX(StockDaily[Adjusted close],MAX(1,$A585-200+1)):E585),"n.a.")))</f>
        <v/>
      </c>
      <c r="H585" s="136" t="str">
        <f>IF($A585&gt;MIN($A$10,$A$2),"",IF($A$5="","Choose stock",IF(NOT($A$12),"Check split rule",IF(NOT(ISNUMBER(B585)),"Invalid date",IF(OR(B585&lt;=0,B585&lt;&gt;INT(B585)),"Invalid date",IF(COUNTIFS(DemoHistory[Date],B585)&lt;&gt;1,"Duplicate date",IF(AND($A585&gt;1,B585&lt;=B584),"Dates out of order",IF(NOT(ISNUMBER(C585)),"Missing price",IF(C585&lt;=0,"Nonpositive price","OK")))))))))</f>
        <v/>
      </c>
      <c r="I585" s="136"/>
      <c r="J585" s="136"/>
      <c r="K585" s="136"/>
      <c r="L585" s="136"/>
      <c r="M585" s="136"/>
      <c r="N585" s="136" t="e">
        <f t="shared" si="25"/>
        <v>#N/A</v>
      </c>
      <c r="O585" s="136" t="e">
        <f t="shared" si="26"/>
        <v>#N/A</v>
      </c>
    </row>
    <row r="586" spans="1:15" ht="22" customHeight="1" x14ac:dyDescent="0.35">
      <c r="A586" s="136">
        <v>542</v>
      </c>
      <c r="B586" s="165" t="str">
        <f>IF($A586&gt;MIN($A$10,$A$2),"",INDEX(DemoHistory[Date],$A586))</f>
        <v/>
      </c>
      <c r="C586" s="166" t="str">
        <f>IF(OR($A586&gt;MIN($A$10,$A$2),$A$5=""),"",INDEX(DemoHistory[],$A586,MATCH($A$5,DemoHistory[#Headers],0)))</f>
        <v/>
      </c>
      <c r="D586" s="166" t="str">
        <f>IF($A586&gt;MIN($A$10,$A$2),"",IF(AND($A$12,$A$6=1,B586&lt;$A$7,$A$7&lt;=MAX(DemoHistory[Date])),$A$8,1))</f>
        <v/>
      </c>
      <c r="E586" s="166" t="str">
        <f t="shared" si="24"/>
        <v/>
      </c>
      <c r="F586" s="166" t="str">
        <f>IF($A586&gt;MIN($A$10,$A$2),"",IF($A586&lt;50,"n.a.",IF(COUNT(INDEX(StockDaily[Adjusted close],MAX(1,$A586-50+1)):E586)=50,AVERAGE(INDEX(StockDaily[Adjusted close],MAX(1,$A586-50+1)):E586),"n.a.")))</f>
        <v/>
      </c>
      <c r="G586" s="166" t="str">
        <f>IF($A586&gt;MIN($A$10,$A$2),"",IF($A586&lt;200,"n.a.",IF(COUNT(INDEX(StockDaily[Adjusted close],MAX(1,$A586-200+1)):E586)=200,AVERAGE(INDEX(StockDaily[Adjusted close],MAX(1,$A586-200+1)):E586),"n.a.")))</f>
        <v/>
      </c>
      <c r="H586" s="136" t="str">
        <f>IF($A586&gt;MIN($A$10,$A$2),"",IF($A$5="","Choose stock",IF(NOT($A$12),"Check split rule",IF(NOT(ISNUMBER(B586)),"Invalid date",IF(OR(B586&lt;=0,B586&lt;&gt;INT(B586)),"Invalid date",IF(COUNTIFS(DemoHistory[Date],B586)&lt;&gt;1,"Duplicate date",IF(AND($A586&gt;1,B586&lt;=B585),"Dates out of order",IF(NOT(ISNUMBER(C586)),"Missing price",IF(C586&lt;=0,"Nonpositive price","OK")))))))))</f>
        <v/>
      </c>
      <c r="I586" s="136"/>
      <c r="J586" s="136"/>
      <c r="K586" s="136"/>
      <c r="L586" s="136"/>
      <c r="M586" s="136"/>
      <c r="N586" s="136" t="e">
        <f t="shared" si="25"/>
        <v>#N/A</v>
      </c>
      <c r="O586" s="136" t="e">
        <f t="shared" si="26"/>
        <v>#N/A</v>
      </c>
    </row>
    <row r="587" spans="1:15" ht="22" customHeight="1" x14ac:dyDescent="0.35">
      <c r="A587" s="136">
        <v>543</v>
      </c>
      <c r="B587" s="165" t="str">
        <f>IF($A587&gt;MIN($A$10,$A$2),"",INDEX(DemoHistory[Date],$A587))</f>
        <v/>
      </c>
      <c r="C587" s="166" t="str">
        <f>IF(OR($A587&gt;MIN($A$10,$A$2),$A$5=""),"",INDEX(DemoHistory[],$A587,MATCH($A$5,DemoHistory[#Headers],0)))</f>
        <v/>
      </c>
      <c r="D587" s="166" t="str">
        <f>IF($A587&gt;MIN($A$10,$A$2),"",IF(AND($A$12,$A$6=1,B587&lt;$A$7,$A$7&lt;=MAX(DemoHistory[Date])),$A$8,1))</f>
        <v/>
      </c>
      <c r="E587" s="166" t="str">
        <f t="shared" si="24"/>
        <v/>
      </c>
      <c r="F587" s="166" t="str">
        <f>IF($A587&gt;MIN($A$10,$A$2),"",IF($A587&lt;50,"n.a.",IF(COUNT(INDEX(StockDaily[Adjusted close],MAX(1,$A587-50+1)):E587)=50,AVERAGE(INDEX(StockDaily[Adjusted close],MAX(1,$A587-50+1)):E587),"n.a.")))</f>
        <v/>
      </c>
      <c r="G587" s="166" t="str">
        <f>IF($A587&gt;MIN($A$10,$A$2),"",IF($A587&lt;200,"n.a.",IF(COUNT(INDEX(StockDaily[Adjusted close],MAX(1,$A587-200+1)):E587)=200,AVERAGE(INDEX(StockDaily[Adjusted close],MAX(1,$A587-200+1)):E587),"n.a.")))</f>
        <v/>
      </c>
      <c r="H587" s="136" t="str">
        <f>IF($A587&gt;MIN($A$10,$A$2),"",IF($A$5="","Choose stock",IF(NOT($A$12),"Check split rule",IF(NOT(ISNUMBER(B587)),"Invalid date",IF(OR(B587&lt;=0,B587&lt;&gt;INT(B587)),"Invalid date",IF(COUNTIFS(DemoHistory[Date],B587)&lt;&gt;1,"Duplicate date",IF(AND($A587&gt;1,B587&lt;=B586),"Dates out of order",IF(NOT(ISNUMBER(C587)),"Missing price",IF(C587&lt;=0,"Nonpositive price","OK")))))))))</f>
        <v/>
      </c>
      <c r="I587" s="136"/>
      <c r="J587" s="136"/>
      <c r="K587" s="136"/>
      <c r="L587" s="136"/>
      <c r="M587" s="136"/>
      <c r="N587" s="136" t="e">
        <f t="shared" si="25"/>
        <v>#N/A</v>
      </c>
      <c r="O587" s="136" t="e">
        <f t="shared" si="26"/>
        <v>#N/A</v>
      </c>
    </row>
    <row r="588" spans="1:15" ht="22" customHeight="1" x14ac:dyDescent="0.35">
      <c r="A588" s="136">
        <v>544</v>
      </c>
      <c r="B588" s="165" t="str">
        <f>IF($A588&gt;MIN($A$10,$A$2),"",INDEX(DemoHistory[Date],$A588))</f>
        <v/>
      </c>
      <c r="C588" s="166" t="str">
        <f>IF(OR($A588&gt;MIN($A$10,$A$2),$A$5=""),"",INDEX(DemoHistory[],$A588,MATCH($A$5,DemoHistory[#Headers],0)))</f>
        <v/>
      </c>
      <c r="D588" s="166" t="str">
        <f>IF($A588&gt;MIN($A$10,$A$2),"",IF(AND($A$12,$A$6=1,B588&lt;$A$7,$A$7&lt;=MAX(DemoHistory[Date])),$A$8,1))</f>
        <v/>
      </c>
      <c r="E588" s="166" t="str">
        <f t="shared" si="24"/>
        <v/>
      </c>
      <c r="F588" s="166" t="str">
        <f>IF($A588&gt;MIN($A$10,$A$2),"",IF($A588&lt;50,"n.a.",IF(COUNT(INDEX(StockDaily[Adjusted close],MAX(1,$A588-50+1)):E588)=50,AVERAGE(INDEX(StockDaily[Adjusted close],MAX(1,$A588-50+1)):E588),"n.a.")))</f>
        <v/>
      </c>
      <c r="G588" s="166" t="str">
        <f>IF($A588&gt;MIN($A$10,$A$2),"",IF($A588&lt;200,"n.a.",IF(COUNT(INDEX(StockDaily[Adjusted close],MAX(1,$A588-200+1)):E588)=200,AVERAGE(INDEX(StockDaily[Adjusted close],MAX(1,$A588-200+1)):E588),"n.a.")))</f>
        <v/>
      </c>
      <c r="H588" s="136" t="str">
        <f>IF($A588&gt;MIN($A$10,$A$2),"",IF($A$5="","Choose stock",IF(NOT($A$12),"Check split rule",IF(NOT(ISNUMBER(B588)),"Invalid date",IF(OR(B588&lt;=0,B588&lt;&gt;INT(B588)),"Invalid date",IF(COUNTIFS(DemoHistory[Date],B588)&lt;&gt;1,"Duplicate date",IF(AND($A588&gt;1,B588&lt;=B587),"Dates out of order",IF(NOT(ISNUMBER(C588)),"Missing price",IF(C588&lt;=0,"Nonpositive price","OK")))))))))</f>
        <v/>
      </c>
      <c r="I588" s="136"/>
      <c r="J588" s="136"/>
      <c r="K588" s="136"/>
      <c r="L588" s="136"/>
      <c r="M588" s="136"/>
      <c r="N588" s="136" t="e">
        <f t="shared" si="25"/>
        <v>#N/A</v>
      </c>
      <c r="O588" s="136" t="e">
        <f t="shared" si="26"/>
        <v>#N/A</v>
      </c>
    </row>
    <row r="589" spans="1:15" ht="22" customHeight="1" x14ac:dyDescent="0.35">
      <c r="A589" s="136">
        <v>545</v>
      </c>
      <c r="B589" s="165" t="str">
        <f>IF($A589&gt;MIN($A$10,$A$2),"",INDEX(DemoHistory[Date],$A589))</f>
        <v/>
      </c>
      <c r="C589" s="166" t="str">
        <f>IF(OR($A589&gt;MIN($A$10,$A$2),$A$5=""),"",INDEX(DemoHistory[],$A589,MATCH($A$5,DemoHistory[#Headers],0)))</f>
        <v/>
      </c>
      <c r="D589" s="166" t="str">
        <f>IF($A589&gt;MIN($A$10,$A$2),"",IF(AND($A$12,$A$6=1,B589&lt;$A$7,$A$7&lt;=MAX(DemoHistory[Date])),$A$8,1))</f>
        <v/>
      </c>
      <c r="E589" s="166" t="str">
        <f t="shared" si="24"/>
        <v/>
      </c>
      <c r="F589" s="166" t="str">
        <f>IF($A589&gt;MIN($A$10,$A$2),"",IF($A589&lt;50,"n.a.",IF(COUNT(INDEX(StockDaily[Adjusted close],MAX(1,$A589-50+1)):E589)=50,AVERAGE(INDEX(StockDaily[Adjusted close],MAX(1,$A589-50+1)):E589),"n.a.")))</f>
        <v/>
      </c>
      <c r="G589" s="166" t="str">
        <f>IF($A589&gt;MIN($A$10,$A$2),"",IF($A589&lt;200,"n.a.",IF(COUNT(INDEX(StockDaily[Adjusted close],MAX(1,$A589-200+1)):E589)=200,AVERAGE(INDEX(StockDaily[Adjusted close],MAX(1,$A589-200+1)):E589),"n.a.")))</f>
        <v/>
      </c>
      <c r="H589" s="136" t="str">
        <f>IF($A589&gt;MIN($A$10,$A$2),"",IF($A$5="","Choose stock",IF(NOT($A$12),"Check split rule",IF(NOT(ISNUMBER(B589)),"Invalid date",IF(OR(B589&lt;=0,B589&lt;&gt;INT(B589)),"Invalid date",IF(COUNTIFS(DemoHistory[Date],B589)&lt;&gt;1,"Duplicate date",IF(AND($A589&gt;1,B589&lt;=B588),"Dates out of order",IF(NOT(ISNUMBER(C589)),"Missing price",IF(C589&lt;=0,"Nonpositive price","OK")))))))))</f>
        <v/>
      </c>
      <c r="I589" s="136"/>
      <c r="J589" s="136"/>
      <c r="K589" s="136"/>
      <c r="L589" s="136"/>
      <c r="M589" s="136"/>
      <c r="N589" s="136" t="e">
        <f t="shared" si="25"/>
        <v>#N/A</v>
      </c>
      <c r="O589" s="136" t="e">
        <f t="shared" si="26"/>
        <v>#N/A</v>
      </c>
    </row>
    <row r="590" spans="1:15" ht="22" customHeight="1" x14ac:dyDescent="0.35">
      <c r="A590" s="136">
        <v>546</v>
      </c>
      <c r="B590" s="165" t="str">
        <f>IF($A590&gt;MIN($A$10,$A$2),"",INDEX(DemoHistory[Date],$A590))</f>
        <v/>
      </c>
      <c r="C590" s="166" t="str">
        <f>IF(OR($A590&gt;MIN($A$10,$A$2),$A$5=""),"",INDEX(DemoHistory[],$A590,MATCH($A$5,DemoHistory[#Headers],0)))</f>
        <v/>
      </c>
      <c r="D590" s="166" t="str">
        <f>IF($A590&gt;MIN($A$10,$A$2),"",IF(AND($A$12,$A$6=1,B590&lt;$A$7,$A$7&lt;=MAX(DemoHistory[Date])),$A$8,1))</f>
        <v/>
      </c>
      <c r="E590" s="166" t="str">
        <f t="shared" si="24"/>
        <v/>
      </c>
      <c r="F590" s="166" t="str">
        <f>IF($A590&gt;MIN($A$10,$A$2),"",IF($A590&lt;50,"n.a.",IF(COUNT(INDEX(StockDaily[Adjusted close],MAX(1,$A590-50+1)):E590)=50,AVERAGE(INDEX(StockDaily[Adjusted close],MAX(1,$A590-50+1)):E590),"n.a.")))</f>
        <v/>
      </c>
      <c r="G590" s="166" t="str">
        <f>IF($A590&gt;MIN($A$10,$A$2),"",IF($A590&lt;200,"n.a.",IF(COUNT(INDEX(StockDaily[Adjusted close],MAX(1,$A590-200+1)):E590)=200,AVERAGE(INDEX(StockDaily[Adjusted close],MAX(1,$A590-200+1)):E590),"n.a.")))</f>
        <v/>
      </c>
      <c r="H590" s="136" t="str">
        <f>IF($A590&gt;MIN($A$10,$A$2),"",IF($A$5="","Choose stock",IF(NOT($A$12),"Check split rule",IF(NOT(ISNUMBER(B590)),"Invalid date",IF(OR(B590&lt;=0,B590&lt;&gt;INT(B590)),"Invalid date",IF(COUNTIFS(DemoHistory[Date],B590)&lt;&gt;1,"Duplicate date",IF(AND($A590&gt;1,B590&lt;=B589),"Dates out of order",IF(NOT(ISNUMBER(C590)),"Missing price",IF(C590&lt;=0,"Nonpositive price","OK")))))))))</f>
        <v/>
      </c>
      <c r="I590" s="136"/>
      <c r="J590" s="136"/>
      <c r="K590" s="136"/>
      <c r="L590" s="136"/>
      <c r="M590" s="136"/>
      <c r="N590" s="136" t="e">
        <f t="shared" si="25"/>
        <v>#N/A</v>
      </c>
      <c r="O590" s="136" t="e">
        <f t="shared" si="26"/>
        <v>#N/A</v>
      </c>
    </row>
    <row r="591" spans="1:15" ht="22" customHeight="1" x14ac:dyDescent="0.35">
      <c r="A591" s="136">
        <v>547</v>
      </c>
      <c r="B591" s="165" t="str">
        <f>IF($A591&gt;MIN($A$10,$A$2),"",INDEX(DemoHistory[Date],$A591))</f>
        <v/>
      </c>
      <c r="C591" s="166" t="str">
        <f>IF(OR($A591&gt;MIN($A$10,$A$2),$A$5=""),"",INDEX(DemoHistory[],$A591,MATCH($A$5,DemoHistory[#Headers],0)))</f>
        <v/>
      </c>
      <c r="D591" s="166" t="str">
        <f>IF($A591&gt;MIN($A$10,$A$2),"",IF(AND($A$12,$A$6=1,B591&lt;$A$7,$A$7&lt;=MAX(DemoHistory[Date])),$A$8,1))</f>
        <v/>
      </c>
      <c r="E591" s="166" t="str">
        <f t="shared" si="24"/>
        <v/>
      </c>
      <c r="F591" s="166" t="str">
        <f>IF($A591&gt;MIN($A$10,$A$2),"",IF($A591&lt;50,"n.a.",IF(COUNT(INDEX(StockDaily[Adjusted close],MAX(1,$A591-50+1)):E591)=50,AVERAGE(INDEX(StockDaily[Adjusted close],MAX(1,$A591-50+1)):E591),"n.a.")))</f>
        <v/>
      </c>
      <c r="G591" s="166" t="str">
        <f>IF($A591&gt;MIN($A$10,$A$2),"",IF($A591&lt;200,"n.a.",IF(COUNT(INDEX(StockDaily[Adjusted close],MAX(1,$A591-200+1)):E591)=200,AVERAGE(INDEX(StockDaily[Adjusted close],MAX(1,$A591-200+1)):E591),"n.a.")))</f>
        <v/>
      </c>
      <c r="H591" s="136" t="str">
        <f>IF($A591&gt;MIN($A$10,$A$2),"",IF($A$5="","Choose stock",IF(NOT($A$12),"Check split rule",IF(NOT(ISNUMBER(B591)),"Invalid date",IF(OR(B591&lt;=0,B591&lt;&gt;INT(B591)),"Invalid date",IF(COUNTIFS(DemoHistory[Date],B591)&lt;&gt;1,"Duplicate date",IF(AND($A591&gt;1,B591&lt;=B590),"Dates out of order",IF(NOT(ISNUMBER(C591)),"Missing price",IF(C591&lt;=0,"Nonpositive price","OK")))))))))</f>
        <v/>
      </c>
      <c r="I591" s="136"/>
      <c r="J591" s="136"/>
      <c r="K591" s="136"/>
      <c r="L591" s="136"/>
      <c r="M591" s="136"/>
      <c r="N591" s="136" t="e">
        <f t="shared" si="25"/>
        <v>#N/A</v>
      </c>
      <c r="O591" s="136" t="e">
        <f t="shared" si="26"/>
        <v>#N/A</v>
      </c>
    </row>
    <row r="592" spans="1:15" ht="22" customHeight="1" x14ac:dyDescent="0.35">
      <c r="A592" s="136">
        <v>548</v>
      </c>
      <c r="B592" s="165" t="str">
        <f>IF($A592&gt;MIN($A$10,$A$2),"",INDEX(DemoHistory[Date],$A592))</f>
        <v/>
      </c>
      <c r="C592" s="166" t="str">
        <f>IF(OR($A592&gt;MIN($A$10,$A$2),$A$5=""),"",INDEX(DemoHistory[],$A592,MATCH($A$5,DemoHistory[#Headers],0)))</f>
        <v/>
      </c>
      <c r="D592" s="166" t="str">
        <f>IF($A592&gt;MIN($A$10,$A$2),"",IF(AND($A$12,$A$6=1,B592&lt;$A$7,$A$7&lt;=MAX(DemoHistory[Date])),$A$8,1))</f>
        <v/>
      </c>
      <c r="E592" s="166" t="str">
        <f t="shared" si="24"/>
        <v/>
      </c>
      <c r="F592" s="166" t="str">
        <f>IF($A592&gt;MIN($A$10,$A$2),"",IF($A592&lt;50,"n.a.",IF(COUNT(INDEX(StockDaily[Adjusted close],MAX(1,$A592-50+1)):E592)=50,AVERAGE(INDEX(StockDaily[Adjusted close],MAX(1,$A592-50+1)):E592),"n.a.")))</f>
        <v/>
      </c>
      <c r="G592" s="166" t="str">
        <f>IF($A592&gt;MIN($A$10,$A$2),"",IF($A592&lt;200,"n.a.",IF(COUNT(INDEX(StockDaily[Adjusted close],MAX(1,$A592-200+1)):E592)=200,AVERAGE(INDEX(StockDaily[Adjusted close],MAX(1,$A592-200+1)):E592),"n.a.")))</f>
        <v/>
      </c>
      <c r="H592" s="136" t="str">
        <f>IF($A592&gt;MIN($A$10,$A$2),"",IF($A$5="","Choose stock",IF(NOT($A$12),"Check split rule",IF(NOT(ISNUMBER(B592)),"Invalid date",IF(OR(B592&lt;=0,B592&lt;&gt;INT(B592)),"Invalid date",IF(COUNTIFS(DemoHistory[Date],B592)&lt;&gt;1,"Duplicate date",IF(AND($A592&gt;1,B592&lt;=B591),"Dates out of order",IF(NOT(ISNUMBER(C592)),"Missing price",IF(C592&lt;=0,"Nonpositive price","OK")))))))))</f>
        <v/>
      </c>
      <c r="I592" s="136"/>
      <c r="J592" s="136"/>
      <c r="K592" s="136"/>
      <c r="L592" s="136"/>
      <c r="M592" s="136"/>
      <c r="N592" s="136" t="e">
        <f t="shared" si="25"/>
        <v>#N/A</v>
      </c>
      <c r="O592" s="136" t="e">
        <f t="shared" si="26"/>
        <v>#N/A</v>
      </c>
    </row>
    <row r="593" spans="1:15" ht="22" customHeight="1" x14ac:dyDescent="0.35">
      <c r="A593" s="136">
        <v>549</v>
      </c>
      <c r="B593" s="165" t="str">
        <f>IF($A593&gt;MIN($A$10,$A$2),"",INDEX(DemoHistory[Date],$A593))</f>
        <v/>
      </c>
      <c r="C593" s="166" t="str">
        <f>IF(OR($A593&gt;MIN($A$10,$A$2),$A$5=""),"",INDEX(DemoHistory[],$A593,MATCH($A$5,DemoHistory[#Headers],0)))</f>
        <v/>
      </c>
      <c r="D593" s="166" t="str">
        <f>IF($A593&gt;MIN($A$10,$A$2),"",IF(AND($A$12,$A$6=1,B593&lt;$A$7,$A$7&lt;=MAX(DemoHistory[Date])),$A$8,1))</f>
        <v/>
      </c>
      <c r="E593" s="166" t="str">
        <f t="shared" si="24"/>
        <v/>
      </c>
      <c r="F593" s="166" t="str">
        <f>IF($A593&gt;MIN($A$10,$A$2),"",IF($A593&lt;50,"n.a.",IF(COUNT(INDEX(StockDaily[Adjusted close],MAX(1,$A593-50+1)):E593)=50,AVERAGE(INDEX(StockDaily[Adjusted close],MAX(1,$A593-50+1)):E593),"n.a.")))</f>
        <v/>
      </c>
      <c r="G593" s="166" t="str">
        <f>IF($A593&gt;MIN($A$10,$A$2),"",IF($A593&lt;200,"n.a.",IF(COUNT(INDEX(StockDaily[Adjusted close],MAX(1,$A593-200+1)):E593)=200,AVERAGE(INDEX(StockDaily[Adjusted close],MAX(1,$A593-200+1)):E593),"n.a.")))</f>
        <v/>
      </c>
      <c r="H593" s="136" t="str">
        <f>IF($A593&gt;MIN($A$10,$A$2),"",IF($A$5="","Choose stock",IF(NOT($A$12),"Check split rule",IF(NOT(ISNUMBER(B593)),"Invalid date",IF(OR(B593&lt;=0,B593&lt;&gt;INT(B593)),"Invalid date",IF(COUNTIFS(DemoHistory[Date],B593)&lt;&gt;1,"Duplicate date",IF(AND($A593&gt;1,B593&lt;=B592),"Dates out of order",IF(NOT(ISNUMBER(C593)),"Missing price",IF(C593&lt;=0,"Nonpositive price","OK")))))))))</f>
        <v/>
      </c>
      <c r="I593" s="136"/>
      <c r="J593" s="136"/>
      <c r="K593" s="136"/>
      <c r="L593" s="136"/>
      <c r="M593" s="136"/>
      <c r="N593" s="136" t="e">
        <f t="shared" si="25"/>
        <v>#N/A</v>
      </c>
      <c r="O593" s="136" t="e">
        <f t="shared" si="26"/>
        <v>#N/A</v>
      </c>
    </row>
    <row r="594" spans="1:15" ht="22" customHeight="1" x14ac:dyDescent="0.35">
      <c r="A594" s="136">
        <v>550</v>
      </c>
      <c r="B594" s="165" t="str">
        <f>IF($A594&gt;MIN($A$10,$A$2),"",INDEX(DemoHistory[Date],$A594))</f>
        <v/>
      </c>
      <c r="C594" s="166" t="str">
        <f>IF(OR($A594&gt;MIN($A$10,$A$2),$A$5=""),"",INDEX(DemoHistory[],$A594,MATCH($A$5,DemoHistory[#Headers],0)))</f>
        <v/>
      </c>
      <c r="D594" s="166" t="str">
        <f>IF($A594&gt;MIN($A$10,$A$2),"",IF(AND($A$12,$A$6=1,B594&lt;$A$7,$A$7&lt;=MAX(DemoHistory[Date])),$A$8,1))</f>
        <v/>
      </c>
      <c r="E594" s="166" t="str">
        <f t="shared" si="24"/>
        <v/>
      </c>
      <c r="F594" s="166" t="str">
        <f>IF($A594&gt;MIN($A$10,$A$2),"",IF($A594&lt;50,"n.a.",IF(COUNT(INDEX(StockDaily[Adjusted close],MAX(1,$A594-50+1)):E594)=50,AVERAGE(INDEX(StockDaily[Adjusted close],MAX(1,$A594-50+1)):E594),"n.a.")))</f>
        <v/>
      </c>
      <c r="G594" s="166" t="str">
        <f>IF($A594&gt;MIN($A$10,$A$2),"",IF($A594&lt;200,"n.a.",IF(COUNT(INDEX(StockDaily[Adjusted close],MAX(1,$A594-200+1)):E594)=200,AVERAGE(INDEX(StockDaily[Adjusted close],MAX(1,$A594-200+1)):E594),"n.a.")))</f>
        <v/>
      </c>
      <c r="H594" s="136" t="str">
        <f>IF($A594&gt;MIN($A$10,$A$2),"",IF($A$5="","Choose stock",IF(NOT($A$12),"Check split rule",IF(NOT(ISNUMBER(B594)),"Invalid date",IF(OR(B594&lt;=0,B594&lt;&gt;INT(B594)),"Invalid date",IF(COUNTIFS(DemoHistory[Date],B594)&lt;&gt;1,"Duplicate date",IF(AND($A594&gt;1,B594&lt;=B593),"Dates out of order",IF(NOT(ISNUMBER(C594)),"Missing price",IF(C594&lt;=0,"Nonpositive price","OK")))))))))</f>
        <v/>
      </c>
      <c r="I594" s="136"/>
      <c r="J594" s="136"/>
      <c r="K594" s="136"/>
      <c r="L594" s="136"/>
      <c r="M594" s="136"/>
      <c r="N594" s="136" t="e">
        <f t="shared" si="25"/>
        <v>#N/A</v>
      </c>
      <c r="O594" s="136" t="e">
        <f t="shared" si="26"/>
        <v>#N/A</v>
      </c>
    </row>
    <row r="595" spans="1:15" ht="22" customHeight="1" x14ac:dyDescent="0.35">
      <c r="A595" s="136">
        <v>551</v>
      </c>
      <c r="B595" s="165" t="str">
        <f>IF($A595&gt;MIN($A$10,$A$2),"",INDEX(DemoHistory[Date],$A595))</f>
        <v/>
      </c>
      <c r="C595" s="166" t="str">
        <f>IF(OR($A595&gt;MIN($A$10,$A$2),$A$5=""),"",INDEX(DemoHistory[],$A595,MATCH($A$5,DemoHistory[#Headers],0)))</f>
        <v/>
      </c>
      <c r="D595" s="166" t="str">
        <f>IF($A595&gt;MIN($A$10,$A$2),"",IF(AND($A$12,$A$6=1,B595&lt;$A$7,$A$7&lt;=MAX(DemoHistory[Date])),$A$8,1))</f>
        <v/>
      </c>
      <c r="E595" s="166" t="str">
        <f t="shared" si="24"/>
        <v/>
      </c>
      <c r="F595" s="166" t="str">
        <f>IF($A595&gt;MIN($A$10,$A$2),"",IF($A595&lt;50,"n.a.",IF(COUNT(INDEX(StockDaily[Adjusted close],MAX(1,$A595-50+1)):E595)=50,AVERAGE(INDEX(StockDaily[Adjusted close],MAX(1,$A595-50+1)):E595),"n.a.")))</f>
        <v/>
      </c>
      <c r="G595" s="166" t="str">
        <f>IF($A595&gt;MIN($A$10,$A$2),"",IF($A595&lt;200,"n.a.",IF(COUNT(INDEX(StockDaily[Adjusted close],MAX(1,$A595-200+1)):E595)=200,AVERAGE(INDEX(StockDaily[Adjusted close],MAX(1,$A595-200+1)):E595),"n.a.")))</f>
        <v/>
      </c>
      <c r="H595" s="136" t="str">
        <f>IF($A595&gt;MIN($A$10,$A$2),"",IF($A$5="","Choose stock",IF(NOT($A$12),"Check split rule",IF(NOT(ISNUMBER(B595)),"Invalid date",IF(OR(B595&lt;=0,B595&lt;&gt;INT(B595)),"Invalid date",IF(COUNTIFS(DemoHistory[Date],B595)&lt;&gt;1,"Duplicate date",IF(AND($A595&gt;1,B595&lt;=B594),"Dates out of order",IF(NOT(ISNUMBER(C595)),"Missing price",IF(C595&lt;=0,"Nonpositive price","OK")))))))))</f>
        <v/>
      </c>
      <c r="I595" s="136"/>
      <c r="J595" s="136"/>
      <c r="K595" s="136"/>
      <c r="L595" s="136"/>
      <c r="M595" s="136"/>
      <c r="N595" s="136" t="e">
        <f t="shared" si="25"/>
        <v>#N/A</v>
      </c>
      <c r="O595" s="136" t="e">
        <f t="shared" si="26"/>
        <v>#N/A</v>
      </c>
    </row>
    <row r="596" spans="1:15" ht="22" customHeight="1" x14ac:dyDescent="0.35">
      <c r="A596" s="136">
        <v>552</v>
      </c>
      <c r="B596" s="165" t="str">
        <f>IF($A596&gt;MIN($A$10,$A$2),"",INDEX(DemoHistory[Date],$A596))</f>
        <v/>
      </c>
      <c r="C596" s="166" t="str">
        <f>IF(OR($A596&gt;MIN($A$10,$A$2),$A$5=""),"",INDEX(DemoHistory[],$A596,MATCH($A$5,DemoHistory[#Headers],0)))</f>
        <v/>
      </c>
      <c r="D596" s="166" t="str">
        <f>IF($A596&gt;MIN($A$10,$A$2),"",IF(AND($A$12,$A$6=1,B596&lt;$A$7,$A$7&lt;=MAX(DemoHistory[Date])),$A$8,1))</f>
        <v/>
      </c>
      <c r="E596" s="166" t="str">
        <f t="shared" si="24"/>
        <v/>
      </c>
      <c r="F596" s="166" t="str">
        <f>IF($A596&gt;MIN($A$10,$A$2),"",IF($A596&lt;50,"n.a.",IF(COUNT(INDEX(StockDaily[Adjusted close],MAX(1,$A596-50+1)):E596)=50,AVERAGE(INDEX(StockDaily[Adjusted close],MAX(1,$A596-50+1)):E596),"n.a.")))</f>
        <v/>
      </c>
      <c r="G596" s="166" t="str">
        <f>IF($A596&gt;MIN($A$10,$A$2),"",IF($A596&lt;200,"n.a.",IF(COUNT(INDEX(StockDaily[Adjusted close],MAX(1,$A596-200+1)):E596)=200,AVERAGE(INDEX(StockDaily[Adjusted close],MAX(1,$A596-200+1)):E596),"n.a.")))</f>
        <v/>
      </c>
      <c r="H596" s="136" t="str">
        <f>IF($A596&gt;MIN($A$10,$A$2),"",IF($A$5="","Choose stock",IF(NOT($A$12),"Check split rule",IF(NOT(ISNUMBER(B596)),"Invalid date",IF(OR(B596&lt;=0,B596&lt;&gt;INT(B596)),"Invalid date",IF(COUNTIFS(DemoHistory[Date],B596)&lt;&gt;1,"Duplicate date",IF(AND($A596&gt;1,B596&lt;=B595),"Dates out of order",IF(NOT(ISNUMBER(C596)),"Missing price",IF(C596&lt;=0,"Nonpositive price","OK")))))))))</f>
        <v/>
      </c>
      <c r="I596" s="136"/>
      <c r="J596" s="136"/>
      <c r="K596" s="136"/>
      <c r="L596" s="136"/>
      <c r="M596" s="136"/>
      <c r="N596" s="136" t="e">
        <f t="shared" si="25"/>
        <v>#N/A</v>
      </c>
      <c r="O596" s="136" t="e">
        <f t="shared" si="26"/>
        <v>#N/A</v>
      </c>
    </row>
    <row r="597" spans="1:15" ht="22" customHeight="1" x14ac:dyDescent="0.35">
      <c r="A597" s="136">
        <v>553</v>
      </c>
      <c r="B597" s="165" t="str">
        <f>IF($A597&gt;MIN($A$10,$A$2),"",INDEX(DemoHistory[Date],$A597))</f>
        <v/>
      </c>
      <c r="C597" s="166" t="str">
        <f>IF(OR($A597&gt;MIN($A$10,$A$2),$A$5=""),"",INDEX(DemoHistory[],$A597,MATCH($A$5,DemoHistory[#Headers],0)))</f>
        <v/>
      </c>
      <c r="D597" s="166" t="str">
        <f>IF($A597&gt;MIN($A$10,$A$2),"",IF(AND($A$12,$A$6=1,B597&lt;$A$7,$A$7&lt;=MAX(DemoHistory[Date])),$A$8,1))</f>
        <v/>
      </c>
      <c r="E597" s="166" t="str">
        <f t="shared" si="24"/>
        <v/>
      </c>
      <c r="F597" s="166" t="str">
        <f>IF($A597&gt;MIN($A$10,$A$2),"",IF($A597&lt;50,"n.a.",IF(COUNT(INDEX(StockDaily[Adjusted close],MAX(1,$A597-50+1)):E597)=50,AVERAGE(INDEX(StockDaily[Adjusted close],MAX(1,$A597-50+1)):E597),"n.a.")))</f>
        <v/>
      </c>
      <c r="G597" s="166" t="str">
        <f>IF($A597&gt;MIN($A$10,$A$2),"",IF($A597&lt;200,"n.a.",IF(COUNT(INDEX(StockDaily[Adjusted close],MAX(1,$A597-200+1)):E597)=200,AVERAGE(INDEX(StockDaily[Adjusted close],MAX(1,$A597-200+1)):E597),"n.a.")))</f>
        <v/>
      </c>
      <c r="H597" s="136" t="str">
        <f>IF($A597&gt;MIN($A$10,$A$2),"",IF($A$5="","Choose stock",IF(NOT($A$12),"Check split rule",IF(NOT(ISNUMBER(B597)),"Invalid date",IF(OR(B597&lt;=0,B597&lt;&gt;INT(B597)),"Invalid date",IF(COUNTIFS(DemoHistory[Date],B597)&lt;&gt;1,"Duplicate date",IF(AND($A597&gt;1,B597&lt;=B596),"Dates out of order",IF(NOT(ISNUMBER(C597)),"Missing price",IF(C597&lt;=0,"Nonpositive price","OK")))))))))</f>
        <v/>
      </c>
      <c r="I597" s="136"/>
      <c r="J597" s="136"/>
      <c r="K597" s="136"/>
      <c r="L597" s="136"/>
      <c r="M597" s="136"/>
      <c r="N597" s="136" t="e">
        <f t="shared" si="25"/>
        <v>#N/A</v>
      </c>
      <c r="O597" s="136" t="e">
        <f t="shared" si="26"/>
        <v>#N/A</v>
      </c>
    </row>
    <row r="598" spans="1:15" ht="22" customHeight="1" x14ac:dyDescent="0.35">
      <c r="A598" s="136">
        <v>554</v>
      </c>
      <c r="B598" s="165" t="str">
        <f>IF($A598&gt;MIN($A$10,$A$2),"",INDEX(DemoHistory[Date],$A598))</f>
        <v/>
      </c>
      <c r="C598" s="166" t="str">
        <f>IF(OR($A598&gt;MIN($A$10,$A$2),$A$5=""),"",INDEX(DemoHistory[],$A598,MATCH($A$5,DemoHistory[#Headers],0)))</f>
        <v/>
      </c>
      <c r="D598" s="166" t="str">
        <f>IF($A598&gt;MIN($A$10,$A$2),"",IF(AND($A$12,$A$6=1,B598&lt;$A$7,$A$7&lt;=MAX(DemoHistory[Date])),$A$8,1))</f>
        <v/>
      </c>
      <c r="E598" s="166" t="str">
        <f t="shared" si="24"/>
        <v/>
      </c>
      <c r="F598" s="166" t="str">
        <f>IF($A598&gt;MIN($A$10,$A$2),"",IF($A598&lt;50,"n.a.",IF(COUNT(INDEX(StockDaily[Adjusted close],MAX(1,$A598-50+1)):E598)=50,AVERAGE(INDEX(StockDaily[Adjusted close],MAX(1,$A598-50+1)):E598),"n.a.")))</f>
        <v/>
      </c>
      <c r="G598" s="166" t="str">
        <f>IF($A598&gt;MIN($A$10,$A$2),"",IF($A598&lt;200,"n.a.",IF(COUNT(INDEX(StockDaily[Adjusted close],MAX(1,$A598-200+1)):E598)=200,AVERAGE(INDEX(StockDaily[Adjusted close],MAX(1,$A598-200+1)):E598),"n.a.")))</f>
        <v/>
      </c>
      <c r="H598" s="136" t="str">
        <f>IF($A598&gt;MIN($A$10,$A$2),"",IF($A$5="","Choose stock",IF(NOT($A$12),"Check split rule",IF(NOT(ISNUMBER(B598)),"Invalid date",IF(OR(B598&lt;=0,B598&lt;&gt;INT(B598)),"Invalid date",IF(COUNTIFS(DemoHistory[Date],B598)&lt;&gt;1,"Duplicate date",IF(AND($A598&gt;1,B598&lt;=B597),"Dates out of order",IF(NOT(ISNUMBER(C598)),"Missing price",IF(C598&lt;=0,"Nonpositive price","OK")))))))))</f>
        <v/>
      </c>
      <c r="I598" s="136"/>
      <c r="J598" s="136"/>
      <c r="K598" s="136"/>
      <c r="L598" s="136"/>
      <c r="M598" s="136"/>
      <c r="N598" s="136" t="e">
        <f t="shared" si="25"/>
        <v>#N/A</v>
      </c>
      <c r="O598" s="136" t="e">
        <f t="shared" si="26"/>
        <v>#N/A</v>
      </c>
    </row>
    <row r="599" spans="1:15" ht="22" customHeight="1" x14ac:dyDescent="0.35">
      <c r="A599" s="136">
        <v>555</v>
      </c>
      <c r="B599" s="165" t="str">
        <f>IF($A599&gt;MIN($A$10,$A$2),"",INDEX(DemoHistory[Date],$A599))</f>
        <v/>
      </c>
      <c r="C599" s="166" t="str">
        <f>IF(OR($A599&gt;MIN($A$10,$A$2),$A$5=""),"",INDEX(DemoHistory[],$A599,MATCH($A$5,DemoHistory[#Headers],0)))</f>
        <v/>
      </c>
      <c r="D599" s="166" t="str">
        <f>IF($A599&gt;MIN($A$10,$A$2),"",IF(AND($A$12,$A$6=1,B599&lt;$A$7,$A$7&lt;=MAX(DemoHistory[Date])),$A$8,1))</f>
        <v/>
      </c>
      <c r="E599" s="166" t="str">
        <f t="shared" si="24"/>
        <v/>
      </c>
      <c r="F599" s="166" t="str">
        <f>IF($A599&gt;MIN($A$10,$A$2),"",IF($A599&lt;50,"n.a.",IF(COUNT(INDEX(StockDaily[Adjusted close],MAX(1,$A599-50+1)):E599)=50,AVERAGE(INDEX(StockDaily[Adjusted close],MAX(1,$A599-50+1)):E599),"n.a.")))</f>
        <v/>
      </c>
      <c r="G599" s="166" t="str">
        <f>IF($A599&gt;MIN($A$10,$A$2),"",IF($A599&lt;200,"n.a.",IF(COUNT(INDEX(StockDaily[Adjusted close],MAX(1,$A599-200+1)):E599)=200,AVERAGE(INDEX(StockDaily[Adjusted close],MAX(1,$A599-200+1)):E599),"n.a.")))</f>
        <v/>
      </c>
      <c r="H599" s="136" t="str">
        <f>IF($A599&gt;MIN($A$10,$A$2),"",IF($A$5="","Choose stock",IF(NOT($A$12),"Check split rule",IF(NOT(ISNUMBER(B599)),"Invalid date",IF(OR(B599&lt;=0,B599&lt;&gt;INT(B599)),"Invalid date",IF(COUNTIFS(DemoHistory[Date],B599)&lt;&gt;1,"Duplicate date",IF(AND($A599&gt;1,B599&lt;=B598),"Dates out of order",IF(NOT(ISNUMBER(C599)),"Missing price",IF(C599&lt;=0,"Nonpositive price","OK")))))))))</f>
        <v/>
      </c>
      <c r="I599" s="136"/>
      <c r="J599" s="136"/>
      <c r="K599" s="136"/>
      <c r="L599" s="136"/>
      <c r="M599" s="136"/>
      <c r="N599" s="136" t="e">
        <f t="shared" si="25"/>
        <v>#N/A</v>
      </c>
      <c r="O599" s="136" t="e">
        <f t="shared" si="26"/>
        <v>#N/A</v>
      </c>
    </row>
    <row r="600" spans="1:15" ht="22" customHeight="1" x14ac:dyDescent="0.35">
      <c r="A600" s="136">
        <v>556</v>
      </c>
      <c r="B600" s="165" t="str">
        <f>IF($A600&gt;MIN($A$10,$A$2),"",INDEX(DemoHistory[Date],$A600))</f>
        <v/>
      </c>
      <c r="C600" s="166" t="str">
        <f>IF(OR($A600&gt;MIN($A$10,$A$2),$A$5=""),"",INDEX(DemoHistory[],$A600,MATCH($A$5,DemoHistory[#Headers],0)))</f>
        <v/>
      </c>
      <c r="D600" s="166" t="str">
        <f>IF($A600&gt;MIN($A$10,$A$2),"",IF(AND($A$12,$A$6=1,B600&lt;$A$7,$A$7&lt;=MAX(DemoHistory[Date])),$A$8,1))</f>
        <v/>
      </c>
      <c r="E600" s="166" t="str">
        <f t="shared" si="24"/>
        <v/>
      </c>
      <c r="F600" s="166" t="str">
        <f>IF($A600&gt;MIN($A$10,$A$2),"",IF($A600&lt;50,"n.a.",IF(COUNT(INDEX(StockDaily[Adjusted close],MAX(1,$A600-50+1)):E600)=50,AVERAGE(INDEX(StockDaily[Adjusted close],MAX(1,$A600-50+1)):E600),"n.a.")))</f>
        <v/>
      </c>
      <c r="G600" s="166" t="str">
        <f>IF($A600&gt;MIN($A$10,$A$2),"",IF($A600&lt;200,"n.a.",IF(COUNT(INDEX(StockDaily[Adjusted close],MAX(1,$A600-200+1)):E600)=200,AVERAGE(INDEX(StockDaily[Adjusted close],MAX(1,$A600-200+1)):E600),"n.a.")))</f>
        <v/>
      </c>
      <c r="H600" s="136" t="str">
        <f>IF($A600&gt;MIN($A$10,$A$2),"",IF($A$5="","Choose stock",IF(NOT($A$12),"Check split rule",IF(NOT(ISNUMBER(B600)),"Invalid date",IF(OR(B600&lt;=0,B600&lt;&gt;INT(B600)),"Invalid date",IF(COUNTIFS(DemoHistory[Date],B600)&lt;&gt;1,"Duplicate date",IF(AND($A600&gt;1,B600&lt;=B599),"Dates out of order",IF(NOT(ISNUMBER(C600)),"Missing price",IF(C600&lt;=0,"Nonpositive price","OK")))))))))</f>
        <v/>
      </c>
      <c r="I600" s="136"/>
      <c r="J600" s="136"/>
      <c r="K600" s="136"/>
      <c r="L600" s="136"/>
      <c r="M600" s="136"/>
      <c r="N600" s="136" t="e">
        <f t="shared" si="25"/>
        <v>#N/A</v>
      </c>
      <c r="O600" s="136" t="e">
        <f t="shared" si="26"/>
        <v>#N/A</v>
      </c>
    </row>
    <row r="601" spans="1:15" ht="22" customHeight="1" x14ac:dyDescent="0.35">
      <c r="A601" s="136">
        <v>557</v>
      </c>
      <c r="B601" s="165" t="str">
        <f>IF($A601&gt;MIN($A$10,$A$2),"",INDEX(DemoHistory[Date],$A601))</f>
        <v/>
      </c>
      <c r="C601" s="166" t="str">
        <f>IF(OR($A601&gt;MIN($A$10,$A$2),$A$5=""),"",INDEX(DemoHistory[],$A601,MATCH($A$5,DemoHistory[#Headers],0)))</f>
        <v/>
      </c>
      <c r="D601" s="166" t="str">
        <f>IF($A601&gt;MIN($A$10,$A$2),"",IF(AND($A$12,$A$6=1,B601&lt;$A$7,$A$7&lt;=MAX(DemoHistory[Date])),$A$8,1))</f>
        <v/>
      </c>
      <c r="E601" s="166" t="str">
        <f t="shared" si="24"/>
        <v/>
      </c>
      <c r="F601" s="166" t="str">
        <f>IF($A601&gt;MIN($A$10,$A$2),"",IF($A601&lt;50,"n.a.",IF(COUNT(INDEX(StockDaily[Adjusted close],MAX(1,$A601-50+1)):E601)=50,AVERAGE(INDEX(StockDaily[Adjusted close],MAX(1,$A601-50+1)):E601),"n.a.")))</f>
        <v/>
      </c>
      <c r="G601" s="166" t="str">
        <f>IF($A601&gt;MIN($A$10,$A$2),"",IF($A601&lt;200,"n.a.",IF(COUNT(INDEX(StockDaily[Adjusted close],MAX(1,$A601-200+1)):E601)=200,AVERAGE(INDEX(StockDaily[Adjusted close],MAX(1,$A601-200+1)):E601),"n.a.")))</f>
        <v/>
      </c>
      <c r="H601" s="136" t="str">
        <f>IF($A601&gt;MIN($A$10,$A$2),"",IF($A$5="","Choose stock",IF(NOT($A$12),"Check split rule",IF(NOT(ISNUMBER(B601)),"Invalid date",IF(OR(B601&lt;=0,B601&lt;&gt;INT(B601)),"Invalid date",IF(COUNTIFS(DemoHistory[Date],B601)&lt;&gt;1,"Duplicate date",IF(AND($A601&gt;1,B601&lt;=B600),"Dates out of order",IF(NOT(ISNUMBER(C601)),"Missing price",IF(C601&lt;=0,"Nonpositive price","OK")))))))))</f>
        <v/>
      </c>
      <c r="I601" s="136"/>
      <c r="J601" s="136"/>
      <c r="K601" s="136"/>
      <c r="L601" s="136"/>
      <c r="M601" s="136"/>
      <c r="N601" s="136" t="e">
        <f t="shared" si="25"/>
        <v>#N/A</v>
      </c>
      <c r="O601" s="136" t="e">
        <f t="shared" si="26"/>
        <v>#N/A</v>
      </c>
    </row>
    <row r="602" spans="1:15" ht="22" customHeight="1" x14ac:dyDescent="0.35">
      <c r="A602" s="136">
        <v>558</v>
      </c>
      <c r="B602" s="165" t="str">
        <f>IF($A602&gt;MIN($A$10,$A$2),"",INDEX(DemoHistory[Date],$A602))</f>
        <v/>
      </c>
      <c r="C602" s="166" t="str">
        <f>IF(OR($A602&gt;MIN($A$10,$A$2),$A$5=""),"",INDEX(DemoHistory[],$A602,MATCH($A$5,DemoHistory[#Headers],0)))</f>
        <v/>
      </c>
      <c r="D602" s="166" t="str">
        <f>IF($A602&gt;MIN($A$10,$A$2),"",IF(AND($A$12,$A$6=1,B602&lt;$A$7,$A$7&lt;=MAX(DemoHistory[Date])),$A$8,1))</f>
        <v/>
      </c>
      <c r="E602" s="166" t="str">
        <f t="shared" si="24"/>
        <v/>
      </c>
      <c r="F602" s="166" t="str">
        <f>IF($A602&gt;MIN($A$10,$A$2),"",IF($A602&lt;50,"n.a.",IF(COUNT(INDEX(StockDaily[Adjusted close],MAX(1,$A602-50+1)):E602)=50,AVERAGE(INDEX(StockDaily[Adjusted close],MAX(1,$A602-50+1)):E602),"n.a.")))</f>
        <v/>
      </c>
      <c r="G602" s="166" t="str">
        <f>IF($A602&gt;MIN($A$10,$A$2),"",IF($A602&lt;200,"n.a.",IF(COUNT(INDEX(StockDaily[Adjusted close],MAX(1,$A602-200+1)):E602)=200,AVERAGE(INDEX(StockDaily[Adjusted close],MAX(1,$A602-200+1)):E602),"n.a.")))</f>
        <v/>
      </c>
      <c r="H602" s="136" t="str">
        <f>IF($A602&gt;MIN($A$10,$A$2),"",IF($A$5="","Choose stock",IF(NOT($A$12),"Check split rule",IF(NOT(ISNUMBER(B602)),"Invalid date",IF(OR(B602&lt;=0,B602&lt;&gt;INT(B602)),"Invalid date",IF(COUNTIFS(DemoHistory[Date],B602)&lt;&gt;1,"Duplicate date",IF(AND($A602&gt;1,B602&lt;=B601),"Dates out of order",IF(NOT(ISNUMBER(C602)),"Missing price",IF(C602&lt;=0,"Nonpositive price","OK")))))))))</f>
        <v/>
      </c>
      <c r="I602" s="136"/>
      <c r="J602" s="136"/>
      <c r="K602" s="136"/>
      <c r="L602" s="136"/>
      <c r="M602" s="136"/>
      <c r="N602" s="136" t="e">
        <f t="shared" si="25"/>
        <v>#N/A</v>
      </c>
      <c r="O602" s="136" t="e">
        <f t="shared" si="26"/>
        <v>#N/A</v>
      </c>
    </row>
    <row r="603" spans="1:15" ht="22" customHeight="1" x14ac:dyDescent="0.35">
      <c r="A603" s="136">
        <v>559</v>
      </c>
      <c r="B603" s="165" t="str">
        <f>IF($A603&gt;MIN($A$10,$A$2),"",INDEX(DemoHistory[Date],$A603))</f>
        <v/>
      </c>
      <c r="C603" s="166" t="str">
        <f>IF(OR($A603&gt;MIN($A$10,$A$2),$A$5=""),"",INDEX(DemoHistory[],$A603,MATCH($A$5,DemoHistory[#Headers],0)))</f>
        <v/>
      </c>
      <c r="D603" s="166" t="str">
        <f>IF($A603&gt;MIN($A$10,$A$2),"",IF(AND($A$12,$A$6=1,B603&lt;$A$7,$A$7&lt;=MAX(DemoHistory[Date])),$A$8,1))</f>
        <v/>
      </c>
      <c r="E603" s="166" t="str">
        <f t="shared" si="24"/>
        <v/>
      </c>
      <c r="F603" s="166" t="str">
        <f>IF($A603&gt;MIN($A$10,$A$2),"",IF($A603&lt;50,"n.a.",IF(COUNT(INDEX(StockDaily[Adjusted close],MAX(1,$A603-50+1)):E603)=50,AVERAGE(INDEX(StockDaily[Adjusted close],MAX(1,$A603-50+1)):E603),"n.a.")))</f>
        <v/>
      </c>
      <c r="G603" s="166" t="str">
        <f>IF($A603&gt;MIN($A$10,$A$2),"",IF($A603&lt;200,"n.a.",IF(COUNT(INDEX(StockDaily[Adjusted close],MAX(1,$A603-200+1)):E603)=200,AVERAGE(INDEX(StockDaily[Adjusted close],MAX(1,$A603-200+1)):E603),"n.a.")))</f>
        <v/>
      </c>
      <c r="H603" s="136" t="str">
        <f>IF($A603&gt;MIN($A$10,$A$2),"",IF($A$5="","Choose stock",IF(NOT($A$12),"Check split rule",IF(NOT(ISNUMBER(B603)),"Invalid date",IF(OR(B603&lt;=0,B603&lt;&gt;INT(B603)),"Invalid date",IF(COUNTIFS(DemoHistory[Date],B603)&lt;&gt;1,"Duplicate date",IF(AND($A603&gt;1,B603&lt;=B602),"Dates out of order",IF(NOT(ISNUMBER(C603)),"Missing price",IF(C603&lt;=0,"Nonpositive price","OK")))))))))</f>
        <v/>
      </c>
      <c r="I603" s="136"/>
      <c r="J603" s="136"/>
      <c r="K603" s="136"/>
      <c r="L603" s="136"/>
      <c r="M603" s="136"/>
      <c r="N603" s="136" t="e">
        <f t="shared" si="25"/>
        <v>#N/A</v>
      </c>
      <c r="O603" s="136" t="e">
        <f t="shared" si="26"/>
        <v>#N/A</v>
      </c>
    </row>
    <row r="604" spans="1:15" ht="22" customHeight="1" x14ac:dyDescent="0.35">
      <c r="A604" s="136">
        <v>560</v>
      </c>
      <c r="B604" s="165" t="str">
        <f>IF($A604&gt;MIN($A$10,$A$2),"",INDEX(DemoHistory[Date],$A604))</f>
        <v/>
      </c>
      <c r="C604" s="166" t="str">
        <f>IF(OR($A604&gt;MIN($A$10,$A$2),$A$5=""),"",INDEX(DemoHistory[],$A604,MATCH($A$5,DemoHistory[#Headers],0)))</f>
        <v/>
      </c>
      <c r="D604" s="166" t="str">
        <f>IF($A604&gt;MIN($A$10,$A$2),"",IF(AND($A$12,$A$6=1,B604&lt;$A$7,$A$7&lt;=MAX(DemoHistory[Date])),$A$8,1))</f>
        <v/>
      </c>
      <c r="E604" s="166" t="str">
        <f t="shared" si="24"/>
        <v/>
      </c>
      <c r="F604" s="166" t="str">
        <f>IF($A604&gt;MIN($A$10,$A$2),"",IF($A604&lt;50,"n.a.",IF(COUNT(INDEX(StockDaily[Adjusted close],MAX(1,$A604-50+1)):E604)=50,AVERAGE(INDEX(StockDaily[Adjusted close],MAX(1,$A604-50+1)):E604),"n.a.")))</f>
        <v/>
      </c>
      <c r="G604" s="166" t="str">
        <f>IF($A604&gt;MIN($A$10,$A$2),"",IF($A604&lt;200,"n.a.",IF(COUNT(INDEX(StockDaily[Adjusted close],MAX(1,$A604-200+1)):E604)=200,AVERAGE(INDEX(StockDaily[Adjusted close],MAX(1,$A604-200+1)):E604),"n.a.")))</f>
        <v/>
      </c>
      <c r="H604" s="136" t="str">
        <f>IF($A604&gt;MIN($A$10,$A$2),"",IF($A$5="","Choose stock",IF(NOT($A$12),"Check split rule",IF(NOT(ISNUMBER(B604)),"Invalid date",IF(OR(B604&lt;=0,B604&lt;&gt;INT(B604)),"Invalid date",IF(COUNTIFS(DemoHistory[Date],B604)&lt;&gt;1,"Duplicate date",IF(AND($A604&gt;1,B604&lt;=B603),"Dates out of order",IF(NOT(ISNUMBER(C604)),"Missing price",IF(C604&lt;=0,"Nonpositive price","OK")))))))))</f>
        <v/>
      </c>
      <c r="I604" s="136"/>
      <c r="J604" s="136"/>
      <c r="K604" s="136"/>
      <c r="L604" s="136"/>
      <c r="M604" s="136"/>
      <c r="N604" s="136" t="e">
        <f t="shared" si="25"/>
        <v>#N/A</v>
      </c>
      <c r="O604" s="136" t="e">
        <f t="shared" si="26"/>
        <v>#N/A</v>
      </c>
    </row>
    <row r="605" spans="1:15" ht="22" customHeight="1" x14ac:dyDescent="0.35">
      <c r="A605" s="136">
        <v>561</v>
      </c>
      <c r="B605" s="165" t="str">
        <f>IF($A605&gt;MIN($A$10,$A$2),"",INDEX(DemoHistory[Date],$A605))</f>
        <v/>
      </c>
      <c r="C605" s="166" t="str">
        <f>IF(OR($A605&gt;MIN($A$10,$A$2),$A$5=""),"",INDEX(DemoHistory[],$A605,MATCH($A$5,DemoHistory[#Headers],0)))</f>
        <v/>
      </c>
      <c r="D605" s="166" t="str">
        <f>IF($A605&gt;MIN($A$10,$A$2),"",IF(AND($A$12,$A$6=1,B605&lt;$A$7,$A$7&lt;=MAX(DemoHistory[Date])),$A$8,1))</f>
        <v/>
      </c>
      <c r="E605" s="166" t="str">
        <f t="shared" si="24"/>
        <v/>
      </c>
      <c r="F605" s="166" t="str">
        <f>IF($A605&gt;MIN($A$10,$A$2),"",IF($A605&lt;50,"n.a.",IF(COUNT(INDEX(StockDaily[Adjusted close],MAX(1,$A605-50+1)):E605)=50,AVERAGE(INDEX(StockDaily[Adjusted close],MAX(1,$A605-50+1)):E605),"n.a.")))</f>
        <v/>
      </c>
      <c r="G605" s="166" t="str">
        <f>IF($A605&gt;MIN($A$10,$A$2),"",IF($A605&lt;200,"n.a.",IF(COUNT(INDEX(StockDaily[Adjusted close],MAX(1,$A605-200+1)):E605)=200,AVERAGE(INDEX(StockDaily[Adjusted close],MAX(1,$A605-200+1)):E605),"n.a.")))</f>
        <v/>
      </c>
      <c r="H605" s="136" t="str">
        <f>IF($A605&gt;MIN($A$10,$A$2),"",IF($A$5="","Choose stock",IF(NOT($A$12),"Check split rule",IF(NOT(ISNUMBER(B605)),"Invalid date",IF(OR(B605&lt;=0,B605&lt;&gt;INT(B605)),"Invalid date",IF(COUNTIFS(DemoHistory[Date],B605)&lt;&gt;1,"Duplicate date",IF(AND($A605&gt;1,B605&lt;=B604),"Dates out of order",IF(NOT(ISNUMBER(C605)),"Missing price",IF(C605&lt;=0,"Nonpositive price","OK")))))))))</f>
        <v/>
      </c>
      <c r="I605" s="136"/>
      <c r="J605" s="136"/>
      <c r="K605" s="136"/>
      <c r="L605" s="136"/>
      <c r="M605" s="136"/>
      <c r="N605" s="136" t="e">
        <f t="shared" si="25"/>
        <v>#N/A</v>
      </c>
      <c r="O605" s="136" t="e">
        <f t="shared" si="26"/>
        <v>#N/A</v>
      </c>
    </row>
    <row r="606" spans="1:15" ht="22" customHeight="1" x14ac:dyDescent="0.35">
      <c r="A606" s="136">
        <v>562</v>
      </c>
      <c r="B606" s="165" t="str">
        <f>IF($A606&gt;MIN($A$10,$A$2),"",INDEX(DemoHistory[Date],$A606))</f>
        <v/>
      </c>
      <c r="C606" s="166" t="str">
        <f>IF(OR($A606&gt;MIN($A$10,$A$2),$A$5=""),"",INDEX(DemoHistory[],$A606,MATCH($A$5,DemoHistory[#Headers],0)))</f>
        <v/>
      </c>
      <c r="D606" s="166" t="str">
        <f>IF($A606&gt;MIN($A$10,$A$2),"",IF(AND($A$12,$A$6=1,B606&lt;$A$7,$A$7&lt;=MAX(DemoHistory[Date])),$A$8,1))</f>
        <v/>
      </c>
      <c r="E606" s="166" t="str">
        <f t="shared" si="24"/>
        <v/>
      </c>
      <c r="F606" s="166" t="str">
        <f>IF($A606&gt;MIN($A$10,$A$2),"",IF($A606&lt;50,"n.a.",IF(COUNT(INDEX(StockDaily[Adjusted close],MAX(1,$A606-50+1)):E606)=50,AVERAGE(INDEX(StockDaily[Adjusted close],MAX(1,$A606-50+1)):E606),"n.a.")))</f>
        <v/>
      </c>
      <c r="G606" s="166" t="str">
        <f>IF($A606&gt;MIN($A$10,$A$2),"",IF($A606&lt;200,"n.a.",IF(COUNT(INDEX(StockDaily[Adjusted close],MAX(1,$A606-200+1)):E606)=200,AVERAGE(INDEX(StockDaily[Adjusted close],MAX(1,$A606-200+1)):E606),"n.a.")))</f>
        <v/>
      </c>
      <c r="H606" s="136" t="str">
        <f>IF($A606&gt;MIN($A$10,$A$2),"",IF($A$5="","Choose stock",IF(NOT($A$12),"Check split rule",IF(NOT(ISNUMBER(B606)),"Invalid date",IF(OR(B606&lt;=0,B606&lt;&gt;INT(B606)),"Invalid date",IF(COUNTIFS(DemoHistory[Date],B606)&lt;&gt;1,"Duplicate date",IF(AND($A606&gt;1,B606&lt;=B605),"Dates out of order",IF(NOT(ISNUMBER(C606)),"Missing price",IF(C606&lt;=0,"Nonpositive price","OK")))))))))</f>
        <v/>
      </c>
      <c r="I606" s="136"/>
      <c r="J606" s="136"/>
      <c r="K606" s="136"/>
      <c r="L606" s="136"/>
      <c r="M606" s="136"/>
      <c r="N606" s="136" t="e">
        <f t="shared" si="25"/>
        <v>#N/A</v>
      </c>
      <c r="O606" s="136" t="e">
        <f t="shared" si="26"/>
        <v>#N/A</v>
      </c>
    </row>
    <row r="607" spans="1:15" ht="22" customHeight="1" x14ac:dyDescent="0.35">
      <c r="A607" s="136">
        <v>563</v>
      </c>
      <c r="B607" s="165" t="str">
        <f>IF($A607&gt;MIN($A$10,$A$2),"",INDEX(DemoHistory[Date],$A607))</f>
        <v/>
      </c>
      <c r="C607" s="166" t="str">
        <f>IF(OR($A607&gt;MIN($A$10,$A$2),$A$5=""),"",INDEX(DemoHistory[],$A607,MATCH($A$5,DemoHistory[#Headers],0)))</f>
        <v/>
      </c>
      <c r="D607" s="166" t="str">
        <f>IF($A607&gt;MIN($A$10,$A$2),"",IF(AND($A$12,$A$6=1,B607&lt;$A$7,$A$7&lt;=MAX(DemoHistory[Date])),$A$8,1))</f>
        <v/>
      </c>
      <c r="E607" s="166" t="str">
        <f t="shared" si="24"/>
        <v/>
      </c>
      <c r="F607" s="166" t="str">
        <f>IF($A607&gt;MIN($A$10,$A$2),"",IF($A607&lt;50,"n.a.",IF(COUNT(INDEX(StockDaily[Adjusted close],MAX(1,$A607-50+1)):E607)=50,AVERAGE(INDEX(StockDaily[Adjusted close],MAX(1,$A607-50+1)):E607),"n.a.")))</f>
        <v/>
      </c>
      <c r="G607" s="166" t="str">
        <f>IF($A607&gt;MIN($A$10,$A$2),"",IF($A607&lt;200,"n.a.",IF(COUNT(INDEX(StockDaily[Adjusted close],MAX(1,$A607-200+1)):E607)=200,AVERAGE(INDEX(StockDaily[Adjusted close],MAX(1,$A607-200+1)):E607),"n.a.")))</f>
        <v/>
      </c>
      <c r="H607" s="136" t="str">
        <f>IF($A607&gt;MIN($A$10,$A$2),"",IF($A$5="","Choose stock",IF(NOT($A$12),"Check split rule",IF(NOT(ISNUMBER(B607)),"Invalid date",IF(OR(B607&lt;=0,B607&lt;&gt;INT(B607)),"Invalid date",IF(COUNTIFS(DemoHistory[Date],B607)&lt;&gt;1,"Duplicate date",IF(AND($A607&gt;1,B607&lt;=B606),"Dates out of order",IF(NOT(ISNUMBER(C607)),"Missing price",IF(C607&lt;=0,"Nonpositive price","OK")))))))))</f>
        <v/>
      </c>
      <c r="I607" s="136"/>
      <c r="J607" s="136"/>
      <c r="K607" s="136"/>
      <c r="L607" s="136"/>
      <c r="M607" s="136"/>
      <c r="N607" s="136" t="e">
        <f t="shared" si="25"/>
        <v>#N/A</v>
      </c>
      <c r="O607" s="136" t="e">
        <f t="shared" si="26"/>
        <v>#N/A</v>
      </c>
    </row>
    <row r="608" spans="1:15" ht="22" customHeight="1" x14ac:dyDescent="0.35">
      <c r="A608" s="136">
        <v>564</v>
      </c>
      <c r="B608" s="165" t="str">
        <f>IF($A608&gt;MIN($A$10,$A$2),"",INDEX(DemoHistory[Date],$A608))</f>
        <v/>
      </c>
      <c r="C608" s="166" t="str">
        <f>IF(OR($A608&gt;MIN($A$10,$A$2),$A$5=""),"",INDEX(DemoHistory[],$A608,MATCH($A$5,DemoHistory[#Headers],0)))</f>
        <v/>
      </c>
      <c r="D608" s="166" t="str">
        <f>IF($A608&gt;MIN($A$10,$A$2),"",IF(AND($A$12,$A$6=1,B608&lt;$A$7,$A$7&lt;=MAX(DemoHistory[Date])),$A$8,1))</f>
        <v/>
      </c>
      <c r="E608" s="166" t="str">
        <f t="shared" si="24"/>
        <v/>
      </c>
      <c r="F608" s="166" t="str">
        <f>IF($A608&gt;MIN($A$10,$A$2),"",IF($A608&lt;50,"n.a.",IF(COUNT(INDEX(StockDaily[Adjusted close],MAX(1,$A608-50+1)):E608)=50,AVERAGE(INDEX(StockDaily[Adjusted close],MAX(1,$A608-50+1)):E608),"n.a.")))</f>
        <v/>
      </c>
      <c r="G608" s="166" t="str">
        <f>IF($A608&gt;MIN($A$10,$A$2),"",IF($A608&lt;200,"n.a.",IF(COUNT(INDEX(StockDaily[Adjusted close],MAX(1,$A608-200+1)):E608)=200,AVERAGE(INDEX(StockDaily[Adjusted close],MAX(1,$A608-200+1)):E608),"n.a.")))</f>
        <v/>
      </c>
      <c r="H608" s="136" t="str">
        <f>IF($A608&gt;MIN($A$10,$A$2),"",IF($A$5="","Choose stock",IF(NOT($A$12),"Check split rule",IF(NOT(ISNUMBER(B608)),"Invalid date",IF(OR(B608&lt;=0,B608&lt;&gt;INT(B608)),"Invalid date",IF(COUNTIFS(DemoHistory[Date],B608)&lt;&gt;1,"Duplicate date",IF(AND($A608&gt;1,B608&lt;=B607),"Dates out of order",IF(NOT(ISNUMBER(C608)),"Missing price",IF(C608&lt;=0,"Nonpositive price","OK")))))))))</f>
        <v/>
      </c>
      <c r="I608" s="136"/>
      <c r="J608" s="136"/>
      <c r="K608" s="136"/>
      <c r="L608" s="136"/>
      <c r="M608" s="136"/>
      <c r="N608" s="136" t="e">
        <f t="shared" si="25"/>
        <v>#N/A</v>
      </c>
      <c r="O608" s="136" t="e">
        <f t="shared" si="26"/>
        <v>#N/A</v>
      </c>
    </row>
    <row r="609" spans="1:15" ht="22" customHeight="1" x14ac:dyDescent="0.35">
      <c r="A609" s="136">
        <v>565</v>
      </c>
      <c r="B609" s="165" t="str">
        <f>IF($A609&gt;MIN($A$10,$A$2),"",INDEX(DemoHistory[Date],$A609))</f>
        <v/>
      </c>
      <c r="C609" s="166" t="str">
        <f>IF(OR($A609&gt;MIN($A$10,$A$2),$A$5=""),"",INDEX(DemoHistory[],$A609,MATCH($A$5,DemoHistory[#Headers],0)))</f>
        <v/>
      </c>
      <c r="D609" s="166" t="str">
        <f>IF($A609&gt;MIN($A$10,$A$2),"",IF(AND($A$12,$A$6=1,B609&lt;$A$7,$A$7&lt;=MAX(DemoHistory[Date])),$A$8,1))</f>
        <v/>
      </c>
      <c r="E609" s="166" t="str">
        <f t="shared" si="24"/>
        <v/>
      </c>
      <c r="F609" s="166" t="str">
        <f>IF($A609&gt;MIN($A$10,$A$2),"",IF($A609&lt;50,"n.a.",IF(COUNT(INDEX(StockDaily[Adjusted close],MAX(1,$A609-50+1)):E609)=50,AVERAGE(INDEX(StockDaily[Adjusted close],MAX(1,$A609-50+1)):E609),"n.a.")))</f>
        <v/>
      </c>
      <c r="G609" s="166" t="str">
        <f>IF($A609&gt;MIN($A$10,$A$2),"",IF($A609&lt;200,"n.a.",IF(COUNT(INDEX(StockDaily[Adjusted close],MAX(1,$A609-200+1)):E609)=200,AVERAGE(INDEX(StockDaily[Adjusted close],MAX(1,$A609-200+1)):E609),"n.a.")))</f>
        <v/>
      </c>
      <c r="H609" s="136" t="str">
        <f>IF($A609&gt;MIN($A$10,$A$2),"",IF($A$5="","Choose stock",IF(NOT($A$12),"Check split rule",IF(NOT(ISNUMBER(B609)),"Invalid date",IF(OR(B609&lt;=0,B609&lt;&gt;INT(B609)),"Invalid date",IF(COUNTIFS(DemoHistory[Date],B609)&lt;&gt;1,"Duplicate date",IF(AND($A609&gt;1,B609&lt;=B608),"Dates out of order",IF(NOT(ISNUMBER(C609)),"Missing price",IF(C609&lt;=0,"Nonpositive price","OK")))))))))</f>
        <v/>
      </c>
      <c r="I609" s="136"/>
      <c r="J609" s="136"/>
      <c r="K609" s="136"/>
      <c r="L609" s="136"/>
      <c r="M609" s="136"/>
      <c r="N609" s="136" t="e">
        <f t="shared" si="25"/>
        <v>#N/A</v>
      </c>
      <c r="O609" s="136" t="e">
        <f t="shared" si="26"/>
        <v>#N/A</v>
      </c>
    </row>
    <row r="610" spans="1:15" ht="22" customHeight="1" x14ac:dyDescent="0.35">
      <c r="A610" s="136">
        <v>566</v>
      </c>
      <c r="B610" s="165" t="str">
        <f>IF($A610&gt;MIN($A$10,$A$2),"",INDEX(DemoHistory[Date],$A610))</f>
        <v/>
      </c>
      <c r="C610" s="166" t="str">
        <f>IF(OR($A610&gt;MIN($A$10,$A$2),$A$5=""),"",INDEX(DemoHistory[],$A610,MATCH($A$5,DemoHistory[#Headers],0)))</f>
        <v/>
      </c>
      <c r="D610" s="166" t="str">
        <f>IF($A610&gt;MIN($A$10,$A$2),"",IF(AND($A$12,$A$6=1,B610&lt;$A$7,$A$7&lt;=MAX(DemoHistory[Date])),$A$8,1))</f>
        <v/>
      </c>
      <c r="E610" s="166" t="str">
        <f t="shared" si="24"/>
        <v/>
      </c>
      <c r="F610" s="166" t="str">
        <f>IF($A610&gt;MIN($A$10,$A$2),"",IF($A610&lt;50,"n.a.",IF(COUNT(INDEX(StockDaily[Adjusted close],MAX(1,$A610-50+1)):E610)=50,AVERAGE(INDEX(StockDaily[Adjusted close],MAX(1,$A610-50+1)):E610),"n.a.")))</f>
        <v/>
      </c>
      <c r="G610" s="166" t="str">
        <f>IF($A610&gt;MIN($A$10,$A$2),"",IF($A610&lt;200,"n.a.",IF(COUNT(INDEX(StockDaily[Adjusted close],MAX(1,$A610-200+1)):E610)=200,AVERAGE(INDEX(StockDaily[Adjusted close],MAX(1,$A610-200+1)):E610),"n.a.")))</f>
        <v/>
      </c>
      <c r="H610" s="136" t="str">
        <f>IF($A610&gt;MIN($A$10,$A$2),"",IF($A$5="","Choose stock",IF(NOT($A$12),"Check split rule",IF(NOT(ISNUMBER(B610)),"Invalid date",IF(OR(B610&lt;=0,B610&lt;&gt;INT(B610)),"Invalid date",IF(COUNTIFS(DemoHistory[Date],B610)&lt;&gt;1,"Duplicate date",IF(AND($A610&gt;1,B610&lt;=B609),"Dates out of order",IF(NOT(ISNUMBER(C610)),"Missing price",IF(C610&lt;=0,"Nonpositive price","OK")))))))))</f>
        <v/>
      </c>
      <c r="I610" s="136"/>
      <c r="J610" s="136"/>
      <c r="K610" s="136"/>
      <c r="L610" s="136"/>
      <c r="M610" s="136"/>
      <c r="N610" s="136" t="e">
        <f t="shared" si="25"/>
        <v>#N/A</v>
      </c>
      <c r="O610" s="136" t="e">
        <f t="shared" si="26"/>
        <v>#N/A</v>
      </c>
    </row>
    <row r="611" spans="1:15" ht="22" customHeight="1" x14ac:dyDescent="0.35">
      <c r="A611" s="136">
        <v>567</v>
      </c>
      <c r="B611" s="165" t="str">
        <f>IF($A611&gt;MIN($A$10,$A$2),"",INDEX(DemoHistory[Date],$A611))</f>
        <v/>
      </c>
      <c r="C611" s="166" t="str">
        <f>IF(OR($A611&gt;MIN($A$10,$A$2),$A$5=""),"",INDEX(DemoHistory[],$A611,MATCH($A$5,DemoHistory[#Headers],0)))</f>
        <v/>
      </c>
      <c r="D611" s="166" t="str">
        <f>IF($A611&gt;MIN($A$10,$A$2),"",IF(AND($A$12,$A$6=1,B611&lt;$A$7,$A$7&lt;=MAX(DemoHistory[Date])),$A$8,1))</f>
        <v/>
      </c>
      <c r="E611" s="166" t="str">
        <f t="shared" si="24"/>
        <v/>
      </c>
      <c r="F611" s="166" t="str">
        <f>IF($A611&gt;MIN($A$10,$A$2),"",IF($A611&lt;50,"n.a.",IF(COUNT(INDEX(StockDaily[Adjusted close],MAX(1,$A611-50+1)):E611)=50,AVERAGE(INDEX(StockDaily[Adjusted close],MAX(1,$A611-50+1)):E611),"n.a.")))</f>
        <v/>
      </c>
      <c r="G611" s="166" t="str">
        <f>IF($A611&gt;MIN($A$10,$A$2),"",IF($A611&lt;200,"n.a.",IF(COUNT(INDEX(StockDaily[Adjusted close],MAX(1,$A611-200+1)):E611)=200,AVERAGE(INDEX(StockDaily[Adjusted close],MAX(1,$A611-200+1)):E611),"n.a.")))</f>
        <v/>
      </c>
      <c r="H611" s="136" t="str">
        <f>IF($A611&gt;MIN($A$10,$A$2),"",IF($A$5="","Choose stock",IF(NOT($A$12),"Check split rule",IF(NOT(ISNUMBER(B611)),"Invalid date",IF(OR(B611&lt;=0,B611&lt;&gt;INT(B611)),"Invalid date",IF(COUNTIFS(DemoHistory[Date],B611)&lt;&gt;1,"Duplicate date",IF(AND($A611&gt;1,B611&lt;=B610),"Dates out of order",IF(NOT(ISNUMBER(C611)),"Missing price",IF(C611&lt;=0,"Nonpositive price","OK")))))))))</f>
        <v/>
      </c>
      <c r="I611" s="136"/>
      <c r="J611" s="136"/>
      <c r="K611" s="136"/>
      <c r="L611" s="136"/>
      <c r="M611" s="136"/>
      <c r="N611" s="136" t="e">
        <f t="shared" si="25"/>
        <v>#N/A</v>
      </c>
      <c r="O611" s="136" t="e">
        <f t="shared" si="26"/>
        <v>#N/A</v>
      </c>
    </row>
    <row r="612" spans="1:15" ht="22" customHeight="1" x14ac:dyDescent="0.35">
      <c r="A612" s="136">
        <v>568</v>
      </c>
      <c r="B612" s="165" t="str">
        <f>IF($A612&gt;MIN($A$10,$A$2),"",INDEX(DemoHistory[Date],$A612))</f>
        <v/>
      </c>
      <c r="C612" s="166" t="str">
        <f>IF(OR($A612&gt;MIN($A$10,$A$2),$A$5=""),"",INDEX(DemoHistory[],$A612,MATCH($A$5,DemoHistory[#Headers],0)))</f>
        <v/>
      </c>
      <c r="D612" s="166" t="str">
        <f>IF($A612&gt;MIN($A$10,$A$2),"",IF(AND($A$12,$A$6=1,B612&lt;$A$7,$A$7&lt;=MAX(DemoHistory[Date])),$A$8,1))</f>
        <v/>
      </c>
      <c r="E612" s="166" t="str">
        <f t="shared" si="24"/>
        <v/>
      </c>
      <c r="F612" s="166" t="str">
        <f>IF($A612&gt;MIN($A$10,$A$2),"",IF($A612&lt;50,"n.a.",IF(COUNT(INDEX(StockDaily[Adjusted close],MAX(1,$A612-50+1)):E612)=50,AVERAGE(INDEX(StockDaily[Adjusted close],MAX(1,$A612-50+1)):E612),"n.a.")))</f>
        <v/>
      </c>
      <c r="G612" s="166" t="str">
        <f>IF($A612&gt;MIN($A$10,$A$2),"",IF($A612&lt;200,"n.a.",IF(COUNT(INDEX(StockDaily[Adjusted close],MAX(1,$A612-200+1)):E612)=200,AVERAGE(INDEX(StockDaily[Adjusted close],MAX(1,$A612-200+1)):E612),"n.a.")))</f>
        <v/>
      </c>
      <c r="H612" s="136" t="str">
        <f>IF($A612&gt;MIN($A$10,$A$2),"",IF($A$5="","Choose stock",IF(NOT($A$12),"Check split rule",IF(NOT(ISNUMBER(B612)),"Invalid date",IF(OR(B612&lt;=0,B612&lt;&gt;INT(B612)),"Invalid date",IF(COUNTIFS(DemoHistory[Date],B612)&lt;&gt;1,"Duplicate date",IF(AND($A612&gt;1,B612&lt;=B611),"Dates out of order",IF(NOT(ISNUMBER(C612)),"Missing price",IF(C612&lt;=0,"Nonpositive price","OK")))))))))</f>
        <v/>
      </c>
      <c r="I612" s="136"/>
      <c r="J612" s="136"/>
      <c r="K612" s="136"/>
      <c r="L612" s="136"/>
      <c r="M612" s="136"/>
      <c r="N612" s="136" t="e">
        <f t="shared" si="25"/>
        <v>#N/A</v>
      </c>
      <c r="O612" s="136" t="e">
        <f t="shared" si="26"/>
        <v>#N/A</v>
      </c>
    </row>
    <row r="613" spans="1:15" ht="22" customHeight="1" x14ac:dyDescent="0.35">
      <c r="A613" s="136">
        <v>569</v>
      </c>
      <c r="B613" s="165" t="str">
        <f>IF($A613&gt;MIN($A$10,$A$2),"",INDEX(DemoHistory[Date],$A613))</f>
        <v/>
      </c>
      <c r="C613" s="166" t="str">
        <f>IF(OR($A613&gt;MIN($A$10,$A$2),$A$5=""),"",INDEX(DemoHistory[],$A613,MATCH($A$5,DemoHistory[#Headers],0)))</f>
        <v/>
      </c>
      <c r="D613" s="166" t="str">
        <f>IF($A613&gt;MIN($A$10,$A$2),"",IF(AND($A$12,$A$6=1,B613&lt;$A$7,$A$7&lt;=MAX(DemoHistory[Date])),$A$8,1))</f>
        <v/>
      </c>
      <c r="E613" s="166" t="str">
        <f t="shared" si="24"/>
        <v/>
      </c>
      <c r="F613" s="166" t="str">
        <f>IF($A613&gt;MIN($A$10,$A$2),"",IF($A613&lt;50,"n.a.",IF(COUNT(INDEX(StockDaily[Adjusted close],MAX(1,$A613-50+1)):E613)=50,AVERAGE(INDEX(StockDaily[Adjusted close],MAX(1,$A613-50+1)):E613),"n.a.")))</f>
        <v/>
      </c>
      <c r="G613" s="166" t="str">
        <f>IF($A613&gt;MIN($A$10,$A$2),"",IF($A613&lt;200,"n.a.",IF(COUNT(INDEX(StockDaily[Adjusted close],MAX(1,$A613-200+1)):E613)=200,AVERAGE(INDEX(StockDaily[Adjusted close],MAX(1,$A613-200+1)):E613),"n.a.")))</f>
        <v/>
      </c>
      <c r="H613" s="136" t="str">
        <f>IF($A613&gt;MIN($A$10,$A$2),"",IF($A$5="","Choose stock",IF(NOT($A$12),"Check split rule",IF(NOT(ISNUMBER(B613)),"Invalid date",IF(OR(B613&lt;=0,B613&lt;&gt;INT(B613)),"Invalid date",IF(COUNTIFS(DemoHistory[Date],B613)&lt;&gt;1,"Duplicate date",IF(AND($A613&gt;1,B613&lt;=B612),"Dates out of order",IF(NOT(ISNUMBER(C613)),"Missing price",IF(C613&lt;=0,"Nonpositive price","OK")))))))))</f>
        <v/>
      </c>
      <c r="I613" s="136"/>
      <c r="J613" s="136"/>
      <c r="K613" s="136"/>
      <c r="L613" s="136"/>
      <c r="M613" s="136"/>
      <c r="N613" s="136" t="e">
        <f t="shared" si="25"/>
        <v>#N/A</v>
      </c>
      <c r="O613" s="136" t="e">
        <f t="shared" si="26"/>
        <v>#N/A</v>
      </c>
    </row>
    <row r="614" spans="1:15" ht="22" customHeight="1" x14ac:dyDescent="0.35">
      <c r="A614" s="136">
        <v>570</v>
      </c>
      <c r="B614" s="165" t="str">
        <f>IF($A614&gt;MIN($A$10,$A$2),"",INDEX(DemoHistory[Date],$A614))</f>
        <v/>
      </c>
      <c r="C614" s="166" t="str">
        <f>IF(OR($A614&gt;MIN($A$10,$A$2),$A$5=""),"",INDEX(DemoHistory[],$A614,MATCH($A$5,DemoHistory[#Headers],0)))</f>
        <v/>
      </c>
      <c r="D614" s="166" t="str">
        <f>IF($A614&gt;MIN($A$10,$A$2),"",IF(AND($A$12,$A$6=1,B614&lt;$A$7,$A$7&lt;=MAX(DemoHistory[Date])),$A$8,1))</f>
        <v/>
      </c>
      <c r="E614" s="166" t="str">
        <f t="shared" si="24"/>
        <v/>
      </c>
      <c r="F614" s="166" t="str">
        <f>IF($A614&gt;MIN($A$10,$A$2),"",IF($A614&lt;50,"n.a.",IF(COUNT(INDEX(StockDaily[Adjusted close],MAX(1,$A614-50+1)):E614)=50,AVERAGE(INDEX(StockDaily[Adjusted close],MAX(1,$A614-50+1)):E614),"n.a.")))</f>
        <v/>
      </c>
      <c r="G614" s="166" t="str">
        <f>IF($A614&gt;MIN($A$10,$A$2),"",IF($A614&lt;200,"n.a.",IF(COUNT(INDEX(StockDaily[Adjusted close],MAX(1,$A614-200+1)):E614)=200,AVERAGE(INDEX(StockDaily[Adjusted close],MAX(1,$A614-200+1)):E614),"n.a.")))</f>
        <v/>
      </c>
      <c r="H614" s="136" t="str">
        <f>IF($A614&gt;MIN($A$10,$A$2),"",IF($A$5="","Choose stock",IF(NOT($A$12),"Check split rule",IF(NOT(ISNUMBER(B614)),"Invalid date",IF(OR(B614&lt;=0,B614&lt;&gt;INT(B614)),"Invalid date",IF(COUNTIFS(DemoHistory[Date],B614)&lt;&gt;1,"Duplicate date",IF(AND($A614&gt;1,B614&lt;=B613),"Dates out of order",IF(NOT(ISNUMBER(C614)),"Missing price",IF(C614&lt;=0,"Nonpositive price","OK")))))))))</f>
        <v/>
      </c>
      <c r="I614" s="136"/>
      <c r="J614" s="136"/>
      <c r="K614" s="136"/>
      <c r="L614" s="136"/>
      <c r="M614" s="136"/>
      <c r="N614" s="136" t="e">
        <f t="shared" si="25"/>
        <v>#N/A</v>
      </c>
      <c r="O614" s="136" t="e">
        <f t="shared" si="26"/>
        <v>#N/A</v>
      </c>
    </row>
    <row r="615" spans="1:15" ht="22" customHeight="1" x14ac:dyDescent="0.35">
      <c r="A615" s="136">
        <v>571</v>
      </c>
      <c r="B615" s="165" t="str">
        <f>IF($A615&gt;MIN($A$10,$A$2),"",INDEX(DemoHistory[Date],$A615))</f>
        <v/>
      </c>
      <c r="C615" s="166" t="str">
        <f>IF(OR($A615&gt;MIN($A$10,$A$2),$A$5=""),"",INDEX(DemoHistory[],$A615,MATCH($A$5,DemoHistory[#Headers],0)))</f>
        <v/>
      </c>
      <c r="D615" s="166" t="str">
        <f>IF($A615&gt;MIN($A$10,$A$2),"",IF(AND($A$12,$A$6=1,B615&lt;$A$7,$A$7&lt;=MAX(DemoHistory[Date])),$A$8,1))</f>
        <v/>
      </c>
      <c r="E615" s="166" t="str">
        <f t="shared" si="24"/>
        <v/>
      </c>
      <c r="F615" s="166" t="str">
        <f>IF($A615&gt;MIN($A$10,$A$2),"",IF($A615&lt;50,"n.a.",IF(COUNT(INDEX(StockDaily[Adjusted close],MAX(1,$A615-50+1)):E615)=50,AVERAGE(INDEX(StockDaily[Adjusted close],MAX(1,$A615-50+1)):E615),"n.a.")))</f>
        <v/>
      </c>
      <c r="G615" s="166" t="str">
        <f>IF($A615&gt;MIN($A$10,$A$2),"",IF($A615&lt;200,"n.a.",IF(COUNT(INDEX(StockDaily[Adjusted close],MAX(1,$A615-200+1)):E615)=200,AVERAGE(INDEX(StockDaily[Adjusted close],MAX(1,$A615-200+1)):E615),"n.a.")))</f>
        <v/>
      </c>
      <c r="H615" s="136" t="str">
        <f>IF($A615&gt;MIN($A$10,$A$2),"",IF($A$5="","Choose stock",IF(NOT($A$12),"Check split rule",IF(NOT(ISNUMBER(B615)),"Invalid date",IF(OR(B615&lt;=0,B615&lt;&gt;INT(B615)),"Invalid date",IF(COUNTIFS(DemoHistory[Date],B615)&lt;&gt;1,"Duplicate date",IF(AND($A615&gt;1,B615&lt;=B614),"Dates out of order",IF(NOT(ISNUMBER(C615)),"Missing price",IF(C615&lt;=0,"Nonpositive price","OK")))))))))</f>
        <v/>
      </c>
      <c r="I615" s="136"/>
      <c r="J615" s="136"/>
      <c r="K615" s="136"/>
      <c r="L615" s="136"/>
      <c r="M615" s="136"/>
      <c r="N615" s="136" t="e">
        <f t="shared" si="25"/>
        <v>#N/A</v>
      </c>
      <c r="O615" s="136" t="e">
        <f t="shared" si="26"/>
        <v>#N/A</v>
      </c>
    </row>
    <row r="616" spans="1:15" ht="22" customHeight="1" x14ac:dyDescent="0.35">
      <c r="A616" s="136">
        <v>572</v>
      </c>
      <c r="B616" s="165" t="str">
        <f>IF($A616&gt;MIN($A$10,$A$2),"",INDEX(DemoHistory[Date],$A616))</f>
        <v/>
      </c>
      <c r="C616" s="166" t="str">
        <f>IF(OR($A616&gt;MIN($A$10,$A$2),$A$5=""),"",INDEX(DemoHistory[],$A616,MATCH($A$5,DemoHistory[#Headers],0)))</f>
        <v/>
      </c>
      <c r="D616" s="166" t="str">
        <f>IF($A616&gt;MIN($A$10,$A$2),"",IF(AND($A$12,$A$6=1,B616&lt;$A$7,$A$7&lt;=MAX(DemoHistory[Date])),$A$8,1))</f>
        <v/>
      </c>
      <c r="E616" s="166" t="str">
        <f t="shared" si="24"/>
        <v/>
      </c>
      <c r="F616" s="166" t="str">
        <f>IF($A616&gt;MIN($A$10,$A$2),"",IF($A616&lt;50,"n.a.",IF(COUNT(INDEX(StockDaily[Adjusted close],MAX(1,$A616-50+1)):E616)=50,AVERAGE(INDEX(StockDaily[Adjusted close],MAX(1,$A616-50+1)):E616),"n.a.")))</f>
        <v/>
      </c>
      <c r="G616" s="166" t="str">
        <f>IF($A616&gt;MIN($A$10,$A$2),"",IF($A616&lt;200,"n.a.",IF(COUNT(INDEX(StockDaily[Adjusted close],MAX(1,$A616-200+1)):E616)=200,AVERAGE(INDEX(StockDaily[Adjusted close],MAX(1,$A616-200+1)):E616),"n.a.")))</f>
        <v/>
      </c>
      <c r="H616" s="136" t="str">
        <f>IF($A616&gt;MIN($A$10,$A$2),"",IF($A$5="","Choose stock",IF(NOT($A$12),"Check split rule",IF(NOT(ISNUMBER(B616)),"Invalid date",IF(OR(B616&lt;=0,B616&lt;&gt;INT(B616)),"Invalid date",IF(COUNTIFS(DemoHistory[Date],B616)&lt;&gt;1,"Duplicate date",IF(AND($A616&gt;1,B616&lt;=B615),"Dates out of order",IF(NOT(ISNUMBER(C616)),"Missing price",IF(C616&lt;=0,"Nonpositive price","OK")))))))))</f>
        <v/>
      </c>
      <c r="I616" s="136"/>
      <c r="J616" s="136"/>
      <c r="K616" s="136"/>
      <c r="L616" s="136"/>
      <c r="M616" s="136"/>
      <c r="N616" s="136" t="e">
        <f t="shared" si="25"/>
        <v>#N/A</v>
      </c>
      <c r="O616" s="136" t="e">
        <f t="shared" si="26"/>
        <v>#N/A</v>
      </c>
    </row>
    <row r="617" spans="1:15" ht="22" customHeight="1" x14ac:dyDescent="0.35">
      <c r="A617" s="136">
        <v>573</v>
      </c>
      <c r="B617" s="165" t="str">
        <f>IF($A617&gt;MIN($A$10,$A$2),"",INDEX(DemoHistory[Date],$A617))</f>
        <v/>
      </c>
      <c r="C617" s="166" t="str">
        <f>IF(OR($A617&gt;MIN($A$10,$A$2),$A$5=""),"",INDEX(DemoHistory[],$A617,MATCH($A$5,DemoHistory[#Headers],0)))</f>
        <v/>
      </c>
      <c r="D617" s="166" t="str">
        <f>IF($A617&gt;MIN($A$10,$A$2),"",IF(AND($A$12,$A$6=1,B617&lt;$A$7,$A$7&lt;=MAX(DemoHistory[Date])),$A$8,1))</f>
        <v/>
      </c>
      <c r="E617" s="166" t="str">
        <f t="shared" si="24"/>
        <v/>
      </c>
      <c r="F617" s="166" t="str">
        <f>IF($A617&gt;MIN($A$10,$A$2),"",IF($A617&lt;50,"n.a.",IF(COUNT(INDEX(StockDaily[Adjusted close],MAX(1,$A617-50+1)):E617)=50,AVERAGE(INDEX(StockDaily[Adjusted close],MAX(1,$A617-50+1)):E617),"n.a.")))</f>
        <v/>
      </c>
      <c r="G617" s="166" t="str">
        <f>IF($A617&gt;MIN($A$10,$A$2),"",IF($A617&lt;200,"n.a.",IF(COUNT(INDEX(StockDaily[Adjusted close],MAX(1,$A617-200+1)):E617)=200,AVERAGE(INDEX(StockDaily[Adjusted close],MAX(1,$A617-200+1)):E617),"n.a.")))</f>
        <v/>
      </c>
      <c r="H617" s="136" t="str">
        <f>IF($A617&gt;MIN($A$10,$A$2),"",IF($A$5="","Choose stock",IF(NOT($A$12),"Check split rule",IF(NOT(ISNUMBER(B617)),"Invalid date",IF(OR(B617&lt;=0,B617&lt;&gt;INT(B617)),"Invalid date",IF(COUNTIFS(DemoHistory[Date],B617)&lt;&gt;1,"Duplicate date",IF(AND($A617&gt;1,B617&lt;=B616),"Dates out of order",IF(NOT(ISNUMBER(C617)),"Missing price",IF(C617&lt;=0,"Nonpositive price","OK")))))))))</f>
        <v/>
      </c>
      <c r="I617" s="136"/>
      <c r="J617" s="136"/>
      <c r="K617" s="136"/>
      <c r="L617" s="136"/>
      <c r="M617" s="136"/>
      <c r="N617" s="136" t="e">
        <f t="shared" si="25"/>
        <v>#N/A</v>
      </c>
      <c r="O617" s="136" t="e">
        <f t="shared" si="26"/>
        <v>#N/A</v>
      </c>
    </row>
    <row r="618" spans="1:15" ht="22" customHeight="1" x14ac:dyDescent="0.35">
      <c r="A618" s="136">
        <v>574</v>
      </c>
      <c r="B618" s="165" t="str">
        <f>IF($A618&gt;MIN($A$10,$A$2),"",INDEX(DemoHistory[Date],$A618))</f>
        <v/>
      </c>
      <c r="C618" s="166" t="str">
        <f>IF(OR($A618&gt;MIN($A$10,$A$2),$A$5=""),"",INDEX(DemoHistory[],$A618,MATCH($A$5,DemoHistory[#Headers],0)))</f>
        <v/>
      </c>
      <c r="D618" s="166" t="str">
        <f>IF($A618&gt;MIN($A$10,$A$2),"",IF(AND($A$12,$A$6=1,B618&lt;$A$7,$A$7&lt;=MAX(DemoHistory[Date])),$A$8,1))</f>
        <v/>
      </c>
      <c r="E618" s="166" t="str">
        <f t="shared" si="24"/>
        <v/>
      </c>
      <c r="F618" s="166" t="str">
        <f>IF($A618&gt;MIN($A$10,$A$2),"",IF($A618&lt;50,"n.a.",IF(COUNT(INDEX(StockDaily[Adjusted close],MAX(1,$A618-50+1)):E618)=50,AVERAGE(INDEX(StockDaily[Adjusted close],MAX(1,$A618-50+1)):E618),"n.a.")))</f>
        <v/>
      </c>
      <c r="G618" s="166" t="str">
        <f>IF($A618&gt;MIN($A$10,$A$2),"",IF($A618&lt;200,"n.a.",IF(COUNT(INDEX(StockDaily[Adjusted close],MAX(1,$A618-200+1)):E618)=200,AVERAGE(INDEX(StockDaily[Adjusted close],MAX(1,$A618-200+1)):E618),"n.a.")))</f>
        <v/>
      </c>
      <c r="H618" s="136" t="str">
        <f>IF($A618&gt;MIN($A$10,$A$2),"",IF($A$5="","Choose stock",IF(NOT($A$12),"Check split rule",IF(NOT(ISNUMBER(B618)),"Invalid date",IF(OR(B618&lt;=0,B618&lt;&gt;INT(B618)),"Invalid date",IF(COUNTIFS(DemoHistory[Date],B618)&lt;&gt;1,"Duplicate date",IF(AND($A618&gt;1,B618&lt;=B617),"Dates out of order",IF(NOT(ISNUMBER(C618)),"Missing price",IF(C618&lt;=0,"Nonpositive price","OK")))))))))</f>
        <v/>
      </c>
      <c r="I618" s="136"/>
      <c r="J618" s="136"/>
      <c r="K618" s="136"/>
      <c r="L618" s="136"/>
      <c r="M618" s="136"/>
      <c r="N618" s="136" t="e">
        <f t="shared" si="25"/>
        <v>#N/A</v>
      </c>
      <c r="O618" s="136" t="e">
        <f t="shared" si="26"/>
        <v>#N/A</v>
      </c>
    </row>
    <row r="619" spans="1:15" ht="22" customHeight="1" x14ac:dyDescent="0.35">
      <c r="A619" s="136">
        <v>575</v>
      </c>
      <c r="B619" s="165" t="str">
        <f>IF($A619&gt;MIN($A$10,$A$2),"",INDEX(DemoHistory[Date],$A619))</f>
        <v/>
      </c>
      <c r="C619" s="166" t="str">
        <f>IF(OR($A619&gt;MIN($A$10,$A$2),$A$5=""),"",INDEX(DemoHistory[],$A619,MATCH($A$5,DemoHistory[#Headers],0)))</f>
        <v/>
      </c>
      <c r="D619" s="166" t="str">
        <f>IF($A619&gt;MIN($A$10,$A$2),"",IF(AND($A$12,$A$6=1,B619&lt;$A$7,$A$7&lt;=MAX(DemoHistory[Date])),$A$8,1))</f>
        <v/>
      </c>
      <c r="E619" s="166" t="str">
        <f t="shared" si="24"/>
        <v/>
      </c>
      <c r="F619" s="166" t="str">
        <f>IF($A619&gt;MIN($A$10,$A$2),"",IF($A619&lt;50,"n.a.",IF(COUNT(INDEX(StockDaily[Adjusted close],MAX(1,$A619-50+1)):E619)=50,AVERAGE(INDEX(StockDaily[Adjusted close],MAX(1,$A619-50+1)):E619),"n.a.")))</f>
        <v/>
      </c>
      <c r="G619" s="166" t="str">
        <f>IF($A619&gt;MIN($A$10,$A$2),"",IF($A619&lt;200,"n.a.",IF(COUNT(INDEX(StockDaily[Adjusted close],MAX(1,$A619-200+1)):E619)=200,AVERAGE(INDEX(StockDaily[Adjusted close],MAX(1,$A619-200+1)):E619),"n.a.")))</f>
        <v/>
      </c>
      <c r="H619" s="136" t="str">
        <f>IF($A619&gt;MIN($A$10,$A$2),"",IF($A$5="","Choose stock",IF(NOT($A$12),"Check split rule",IF(NOT(ISNUMBER(B619)),"Invalid date",IF(OR(B619&lt;=0,B619&lt;&gt;INT(B619)),"Invalid date",IF(COUNTIFS(DemoHistory[Date],B619)&lt;&gt;1,"Duplicate date",IF(AND($A619&gt;1,B619&lt;=B618),"Dates out of order",IF(NOT(ISNUMBER(C619)),"Missing price",IF(C619&lt;=0,"Nonpositive price","OK")))))))))</f>
        <v/>
      </c>
      <c r="I619" s="136"/>
      <c r="J619" s="136"/>
      <c r="K619" s="136"/>
      <c r="L619" s="136"/>
      <c r="M619" s="136"/>
      <c r="N619" s="136" t="e">
        <f t="shared" si="25"/>
        <v>#N/A</v>
      </c>
      <c r="O619" s="136" t="e">
        <f t="shared" si="26"/>
        <v>#N/A</v>
      </c>
    </row>
    <row r="620" spans="1:15" ht="22" customHeight="1" x14ac:dyDescent="0.35">
      <c r="A620" s="136">
        <v>576</v>
      </c>
      <c r="B620" s="165" t="str">
        <f>IF($A620&gt;MIN($A$10,$A$2),"",INDEX(DemoHistory[Date],$A620))</f>
        <v/>
      </c>
      <c r="C620" s="166" t="str">
        <f>IF(OR($A620&gt;MIN($A$10,$A$2),$A$5=""),"",INDEX(DemoHistory[],$A620,MATCH($A$5,DemoHistory[#Headers],0)))</f>
        <v/>
      </c>
      <c r="D620" s="166" t="str">
        <f>IF($A620&gt;MIN($A$10,$A$2),"",IF(AND($A$12,$A$6=1,B620&lt;$A$7,$A$7&lt;=MAX(DemoHistory[Date])),$A$8,1))</f>
        <v/>
      </c>
      <c r="E620" s="166" t="str">
        <f t="shared" si="24"/>
        <v/>
      </c>
      <c r="F620" s="166" t="str">
        <f>IF($A620&gt;MIN($A$10,$A$2),"",IF($A620&lt;50,"n.a.",IF(COUNT(INDEX(StockDaily[Adjusted close],MAX(1,$A620-50+1)):E620)=50,AVERAGE(INDEX(StockDaily[Adjusted close],MAX(1,$A620-50+1)):E620),"n.a.")))</f>
        <v/>
      </c>
      <c r="G620" s="166" t="str">
        <f>IF($A620&gt;MIN($A$10,$A$2),"",IF($A620&lt;200,"n.a.",IF(COUNT(INDEX(StockDaily[Adjusted close],MAX(1,$A620-200+1)):E620)=200,AVERAGE(INDEX(StockDaily[Adjusted close],MAX(1,$A620-200+1)):E620),"n.a.")))</f>
        <v/>
      </c>
      <c r="H620" s="136" t="str">
        <f>IF($A620&gt;MIN($A$10,$A$2),"",IF($A$5="","Choose stock",IF(NOT($A$12),"Check split rule",IF(NOT(ISNUMBER(B620)),"Invalid date",IF(OR(B620&lt;=0,B620&lt;&gt;INT(B620)),"Invalid date",IF(COUNTIFS(DemoHistory[Date],B620)&lt;&gt;1,"Duplicate date",IF(AND($A620&gt;1,B620&lt;=B619),"Dates out of order",IF(NOT(ISNUMBER(C620)),"Missing price",IF(C620&lt;=0,"Nonpositive price","OK")))))))))</f>
        <v/>
      </c>
      <c r="I620" s="136"/>
      <c r="J620" s="136"/>
      <c r="K620" s="136"/>
      <c r="L620" s="136"/>
      <c r="M620" s="136"/>
      <c r="N620" s="136" t="e">
        <f t="shared" si="25"/>
        <v>#N/A</v>
      </c>
      <c r="O620" s="136" t="e">
        <f t="shared" si="26"/>
        <v>#N/A</v>
      </c>
    </row>
    <row r="621" spans="1:15" ht="22" customHeight="1" x14ac:dyDescent="0.35">
      <c r="A621" s="136">
        <v>577</v>
      </c>
      <c r="B621" s="165" t="str">
        <f>IF($A621&gt;MIN($A$10,$A$2),"",INDEX(DemoHistory[Date],$A621))</f>
        <v/>
      </c>
      <c r="C621" s="166" t="str">
        <f>IF(OR($A621&gt;MIN($A$10,$A$2),$A$5=""),"",INDEX(DemoHistory[],$A621,MATCH($A$5,DemoHistory[#Headers],0)))</f>
        <v/>
      </c>
      <c r="D621" s="166" t="str">
        <f>IF($A621&gt;MIN($A$10,$A$2),"",IF(AND($A$12,$A$6=1,B621&lt;$A$7,$A$7&lt;=MAX(DemoHistory[Date])),$A$8,1))</f>
        <v/>
      </c>
      <c r="E621" s="166" t="str">
        <f t="shared" ref="E621:E684" si="27">IF($A621&gt;MIN($A$10,$A$2),"",IF(H621="OK",C621/D621,"n.a."))</f>
        <v/>
      </c>
      <c r="F621" s="166" t="str">
        <f>IF($A621&gt;MIN($A$10,$A$2),"",IF($A621&lt;50,"n.a.",IF(COUNT(INDEX(StockDaily[Adjusted close],MAX(1,$A621-50+1)):E621)=50,AVERAGE(INDEX(StockDaily[Adjusted close],MAX(1,$A621-50+1)):E621),"n.a.")))</f>
        <v/>
      </c>
      <c r="G621" s="166" t="str">
        <f>IF($A621&gt;MIN($A$10,$A$2),"",IF($A621&lt;200,"n.a.",IF(COUNT(INDEX(StockDaily[Adjusted close],MAX(1,$A621-200+1)):E621)=200,AVERAGE(INDEX(StockDaily[Adjusted close],MAX(1,$A621-200+1)):E621),"n.a.")))</f>
        <v/>
      </c>
      <c r="H621" s="136" t="str">
        <f>IF($A621&gt;MIN($A$10,$A$2),"",IF($A$5="","Choose stock",IF(NOT($A$12),"Check split rule",IF(NOT(ISNUMBER(B621)),"Invalid date",IF(OR(B621&lt;=0,B621&lt;&gt;INT(B621)),"Invalid date",IF(COUNTIFS(DemoHistory[Date],B621)&lt;&gt;1,"Duplicate date",IF(AND($A621&gt;1,B621&lt;=B620),"Dates out of order",IF(NOT(ISNUMBER(C621)),"Missing price",IF(C621&lt;=0,"Nonpositive price","OK")))))))))</f>
        <v/>
      </c>
      <c r="I621" s="136"/>
      <c r="J621" s="136"/>
      <c r="K621" s="136"/>
      <c r="L621" s="136"/>
      <c r="M621" s="136"/>
      <c r="N621" s="136" t="e">
        <f t="shared" ref="N621:N684" si="28">IF(AND($A$13="Ready",ISNUMBER(E621)),E621,NA())</f>
        <v>#N/A</v>
      </c>
      <c r="O621" s="136" t="e">
        <f t="shared" ref="O621:O684" si="29">IF(AND($A$13="Ready",ISNUMBER(F621)),F621,NA())</f>
        <v>#N/A</v>
      </c>
    </row>
    <row r="622" spans="1:15" ht="22" customHeight="1" x14ac:dyDescent="0.35">
      <c r="A622" s="136">
        <v>578</v>
      </c>
      <c r="B622" s="165" t="str">
        <f>IF($A622&gt;MIN($A$10,$A$2),"",INDEX(DemoHistory[Date],$A622))</f>
        <v/>
      </c>
      <c r="C622" s="166" t="str">
        <f>IF(OR($A622&gt;MIN($A$10,$A$2),$A$5=""),"",INDEX(DemoHistory[],$A622,MATCH($A$5,DemoHistory[#Headers],0)))</f>
        <v/>
      </c>
      <c r="D622" s="166" t="str">
        <f>IF($A622&gt;MIN($A$10,$A$2),"",IF(AND($A$12,$A$6=1,B622&lt;$A$7,$A$7&lt;=MAX(DemoHistory[Date])),$A$8,1))</f>
        <v/>
      </c>
      <c r="E622" s="166" t="str">
        <f t="shared" si="27"/>
        <v/>
      </c>
      <c r="F622" s="166" t="str">
        <f>IF($A622&gt;MIN($A$10,$A$2),"",IF($A622&lt;50,"n.a.",IF(COUNT(INDEX(StockDaily[Adjusted close],MAX(1,$A622-50+1)):E622)=50,AVERAGE(INDEX(StockDaily[Adjusted close],MAX(1,$A622-50+1)):E622),"n.a.")))</f>
        <v/>
      </c>
      <c r="G622" s="166" t="str">
        <f>IF($A622&gt;MIN($A$10,$A$2),"",IF($A622&lt;200,"n.a.",IF(COUNT(INDEX(StockDaily[Adjusted close],MAX(1,$A622-200+1)):E622)=200,AVERAGE(INDEX(StockDaily[Adjusted close],MAX(1,$A622-200+1)):E622),"n.a.")))</f>
        <v/>
      </c>
      <c r="H622" s="136" t="str">
        <f>IF($A622&gt;MIN($A$10,$A$2),"",IF($A$5="","Choose stock",IF(NOT($A$12),"Check split rule",IF(NOT(ISNUMBER(B622)),"Invalid date",IF(OR(B622&lt;=0,B622&lt;&gt;INT(B622)),"Invalid date",IF(COUNTIFS(DemoHistory[Date],B622)&lt;&gt;1,"Duplicate date",IF(AND($A622&gt;1,B622&lt;=B621),"Dates out of order",IF(NOT(ISNUMBER(C622)),"Missing price",IF(C622&lt;=0,"Nonpositive price","OK")))))))))</f>
        <v/>
      </c>
      <c r="I622" s="136"/>
      <c r="J622" s="136"/>
      <c r="K622" s="136"/>
      <c r="L622" s="136"/>
      <c r="M622" s="136"/>
      <c r="N622" s="136" t="e">
        <f t="shared" si="28"/>
        <v>#N/A</v>
      </c>
      <c r="O622" s="136" t="e">
        <f t="shared" si="29"/>
        <v>#N/A</v>
      </c>
    </row>
    <row r="623" spans="1:15" ht="22" customHeight="1" x14ac:dyDescent="0.35">
      <c r="A623" s="136">
        <v>579</v>
      </c>
      <c r="B623" s="165" t="str">
        <f>IF($A623&gt;MIN($A$10,$A$2),"",INDEX(DemoHistory[Date],$A623))</f>
        <v/>
      </c>
      <c r="C623" s="166" t="str">
        <f>IF(OR($A623&gt;MIN($A$10,$A$2),$A$5=""),"",INDEX(DemoHistory[],$A623,MATCH($A$5,DemoHistory[#Headers],0)))</f>
        <v/>
      </c>
      <c r="D623" s="166" t="str">
        <f>IF($A623&gt;MIN($A$10,$A$2),"",IF(AND($A$12,$A$6=1,B623&lt;$A$7,$A$7&lt;=MAX(DemoHistory[Date])),$A$8,1))</f>
        <v/>
      </c>
      <c r="E623" s="166" t="str">
        <f t="shared" si="27"/>
        <v/>
      </c>
      <c r="F623" s="166" t="str">
        <f>IF($A623&gt;MIN($A$10,$A$2),"",IF($A623&lt;50,"n.a.",IF(COUNT(INDEX(StockDaily[Adjusted close],MAX(1,$A623-50+1)):E623)=50,AVERAGE(INDEX(StockDaily[Adjusted close],MAX(1,$A623-50+1)):E623),"n.a.")))</f>
        <v/>
      </c>
      <c r="G623" s="166" t="str">
        <f>IF($A623&gt;MIN($A$10,$A$2),"",IF($A623&lt;200,"n.a.",IF(COUNT(INDEX(StockDaily[Adjusted close],MAX(1,$A623-200+1)):E623)=200,AVERAGE(INDEX(StockDaily[Adjusted close],MAX(1,$A623-200+1)):E623),"n.a.")))</f>
        <v/>
      </c>
      <c r="H623" s="136" t="str">
        <f>IF($A623&gt;MIN($A$10,$A$2),"",IF($A$5="","Choose stock",IF(NOT($A$12),"Check split rule",IF(NOT(ISNUMBER(B623)),"Invalid date",IF(OR(B623&lt;=0,B623&lt;&gt;INT(B623)),"Invalid date",IF(COUNTIFS(DemoHistory[Date],B623)&lt;&gt;1,"Duplicate date",IF(AND($A623&gt;1,B623&lt;=B622),"Dates out of order",IF(NOT(ISNUMBER(C623)),"Missing price",IF(C623&lt;=0,"Nonpositive price","OK")))))))))</f>
        <v/>
      </c>
      <c r="I623" s="136"/>
      <c r="J623" s="136"/>
      <c r="K623" s="136"/>
      <c r="L623" s="136"/>
      <c r="M623" s="136"/>
      <c r="N623" s="136" t="e">
        <f t="shared" si="28"/>
        <v>#N/A</v>
      </c>
      <c r="O623" s="136" t="e">
        <f t="shared" si="29"/>
        <v>#N/A</v>
      </c>
    </row>
    <row r="624" spans="1:15" ht="22" customHeight="1" x14ac:dyDescent="0.35">
      <c r="A624" s="136">
        <v>580</v>
      </c>
      <c r="B624" s="165" t="str">
        <f>IF($A624&gt;MIN($A$10,$A$2),"",INDEX(DemoHistory[Date],$A624))</f>
        <v/>
      </c>
      <c r="C624" s="166" t="str">
        <f>IF(OR($A624&gt;MIN($A$10,$A$2),$A$5=""),"",INDEX(DemoHistory[],$A624,MATCH($A$5,DemoHistory[#Headers],0)))</f>
        <v/>
      </c>
      <c r="D624" s="166" t="str">
        <f>IF($A624&gt;MIN($A$10,$A$2),"",IF(AND($A$12,$A$6=1,B624&lt;$A$7,$A$7&lt;=MAX(DemoHistory[Date])),$A$8,1))</f>
        <v/>
      </c>
      <c r="E624" s="166" t="str">
        <f t="shared" si="27"/>
        <v/>
      </c>
      <c r="F624" s="166" t="str">
        <f>IF($A624&gt;MIN($A$10,$A$2),"",IF($A624&lt;50,"n.a.",IF(COUNT(INDEX(StockDaily[Adjusted close],MAX(1,$A624-50+1)):E624)=50,AVERAGE(INDEX(StockDaily[Adjusted close],MAX(1,$A624-50+1)):E624),"n.a.")))</f>
        <v/>
      </c>
      <c r="G624" s="166" t="str">
        <f>IF($A624&gt;MIN($A$10,$A$2),"",IF($A624&lt;200,"n.a.",IF(COUNT(INDEX(StockDaily[Adjusted close],MAX(1,$A624-200+1)):E624)=200,AVERAGE(INDEX(StockDaily[Adjusted close],MAX(1,$A624-200+1)):E624),"n.a.")))</f>
        <v/>
      </c>
      <c r="H624" s="136" t="str">
        <f>IF($A624&gt;MIN($A$10,$A$2),"",IF($A$5="","Choose stock",IF(NOT($A$12),"Check split rule",IF(NOT(ISNUMBER(B624)),"Invalid date",IF(OR(B624&lt;=0,B624&lt;&gt;INT(B624)),"Invalid date",IF(COUNTIFS(DemoHistory[Date],B624)&lt;&gt;1,"Duplicate date",IF(AND($A624&gt;1,B624&lt;=B623),"Dates out of order",IF(NOT(ISNUMBER(C624)),"Missing price",IF(C624&lt;=0,"Nonpositive price","OK")))))))))</f>
        <v/>
      </c>
      <c r="I624" s="136"/>
      <c r="J624" s="136"/>
      <c r="K624" s="136"/>
      <c r="L624" s="136"/>
      <c r="M624" s="136"/>
      <c r="N624" s="136" t="e">
        <f t="shared" si="28"/>
        <v>#N/A</v>
      </c>
      <c r="O624" s="136" t="e">
        <f t="shared" si="29"/>
        <v>#N/A</v>
      </c>
    </row>
    <row r="625" spans="1:15" ht="22" customHeight="1" x14ac:dyDescent="0.35">
      <c r="A625" s="136">
        <v>581</v>
      </c>
      <c r="B625" s="165" t="str">
        <f>IF($A625&gt;MIN($A$10,$A$2),"",INDEX(DemoHistory[Date],$A625))</f>
        <v/>
      </c>
      <c r="C625" s="166" t="str">
        <f>IF(OR($A625&gt;MIN($A$10,$A$2),$A$5=""),"",INDEX(DemoHistory[],$A625,MATCH($A$5,DemoHistory[#Headers],0)))</f>
        <v/>
      </c>
      <c r="D625" s="166" t="str">
        <f>IF($A625&gt;MIN($A$10,$A$2),"",IF(AND($A$12,$A$6=1,B625&lt;$A$7,$A$7&lt;=MAX(DemoHistory[Date])),$A$8,1))</f>
        <v/>
      </c>
      <c r="E625" s="166" t="str">
        <f t="shared" si="27"/>
        <v/>
      </c>
      <c r="F625" s="166" t="str">
        <f>IF($A625&gt;MIN($A$10,$A$2),"",IF($A625&lt;50,"n.a.",IF(COUNT(INDEX(StockDaily[Adjusted close],MAX(1,$A625-50+1)):E625)=50,AVERAGE(INDEX(StockDaily[Adjusted close],MAX(1,$A625-50+1)):E625),"n.a.")))</f>
        <v/>
      </c>
      <c r="G625" s="166" t="str">
        <f>IF($A625&gt;MIN($A$10,$A$2),"",IF($A625&lt;200,"n.a.",IF(COUNT(INDEX(StockDaily[Adjusted close],MAX(1,$A625-200+1)):E625)=200,AVERAGE(INDEX(StockDaily[Adjusted close],MAX(1,$A625-200+1)):E625),"n.a.")))</f>
        <v/>
      </c>
      <c r="H625" s="136" t="str">
        <f>IF($A625&gt;MIN($A$10,$A$2),"",IF($A$5="","Choose stock",IF(NOT($A$12),"Check split rule",IF(NOT(ISNUMBER(B625)),"Invalid date",IF(OR(B625&lt;=0,B625&lt;&gt;INT(B625)),"Invalid date",IF(COUNTIFS(DemoHistory[Date],B625)&lt;&gt;1,"Duplicate date",IF(AND($A625&gt;1,B625&lt;=B624),"Dates out of order",IF(NOT(ISNUMBER(C625)),"Missing price",IF(C625&lt;=0,"Nonpositive price","OK")))))))))</f>
        <v/>
      </c>
      <c r="I625" s="136"/>
      <c r="J625" s="136"/>
      <c r="K625" s="136"/>
      <c r="L625" s="136"/>
      <c r="M625" s="136"/>
      <c r="N625" s="136" t="e">
        <f t="shared" si="28"/>
        <v>#N/A</v>
      </c>
      <c r="O625" s="136" t="e">
        <f t="shared" si="29"/>
        <v>#N/A</v>
      </c>
    </row>
    <row r="626" spans="1:15" ht="22" customHeight="1" x14ac:dyDescent="0.35">
      <c r="A626" s="136">
        <v>582</v>
      </c>
      <c r="B626" s="165" t="str">
        <f>IF($A626&gt;MIN($A$10,$A$2),"",INDEX(DemoHistory[Date],$A626))</f>
        <v/>
      </c>
      <c r="C626" s="166" t="str">
        <f>IF(OR($A626&gt;MIN($A$10,$A$2),$A$5=""),"",INDEX(DemoHistory[],$A626,MATCH($A$5,DemoHistory[#Headers],0)))</f>
        <v/>
      </c>
      <c r="D626" s="166" t="str">
        <f>IF($A626&gt;MIN($A$10,$A$2),"",IF(AND($A$12,$A$6=1,B626&lt;$A$7,$A$7&lt;=MAX(DemoHistory[Date])),$A$8,1))</f>
        <v/>
      </c>
      <c r="E626" s="166" t="str">
        <f t="shared" si="27"/>
        <v/>
      </c>
      <c r="F626" s="166" t="str">
        <f>IF($A626&gt;MIN($A$10,$A$2),"",IF($A626&lt;50,"n.a.",IF(COUNT(INDEX(StockDaily[Adjusted close],MAX(1,$A626-50+1)):E626)=50,AVERAGE(INDEX(StockDaily[Adjusted close],MAX(1,$A626-50+1)):E626),"n.a.")))</f>
        <v/>
      </c>
      <c r="G626" s="166" t="str">
        <f>IF($A626&gt;MIN($A$10,$A$2),"",IF($A626&lt;200,"n.a.",IF(COUNT(INDEX(StockDaily[Adjusted close],MAX(1,$A626-200+1)):E626)=200,AVERAGE(INDEX(StockDaily[Adjusted close],MAX(1,$A626-200+1)):E626),"n.a.")))</f>
        <v/>
      </c>
      <c r="H626" s="136" t="str">
        <f>IF($A626&gt;MIN($A$10,$A$2),"",IF($A$5="","Choose stock",IF(NOT($A$12),"Check split rule",IF(NOT(ISNUMBER(B626)),"Invalid date",IF(OR(B626&lt;=0,B626&lt;&gt;INT(B626)),"Invalid date",IF(COUNTIFS(DemoHistory[Date],B626)&lt;&gt;1,"Duplicate date",IF(AND($A626&gt;1,B626&lt;=B625),"Dates out of order",IF(NOT(ISNUMBER(C626)),"Missing price",IF(C626&lt;=0,"Nonpositive price","OK")))))))))</f>
        <v/>
      </c>
      <c r="I626" s="136"/>
      <c r="J626" s="136"/>
      <c r="K626" s="136"/>
      <c r="L626" s="136"/>
      <c r="M626" s="136"/>
      <c r="N626" s="136" t="e">
        <f t="shared" si="28"/>
        <v>#N/A</v>
      </c>
      <c r="O626" s="136" t="e">
        <f t="shared" si="29"/>
        <v>#N/A</v>
      </c>
    </row>
    <row r="627" spans="1:15" ht="22" customHeight="1" x14ac:dyDescent="0.35">
      <c r="A627" s="136">
        <v>583</v>
      </c>
      <c r="B627" s="165" t="str">
        <f>IF($A627&gt;MIN($A$10,$A$2),"",INDEX(DemoHistory[Date],$A627))</f>
        <v/>
      </c>
      <c r="C627" s="166" t="str">
        <f>IF(OR($A627&gt;MIN($A$10,$A$2),$A$5=""),"",INDEX(DemoHistory[],$A627,MATCH($A$5,DemoHistory[#Headers],0)))</f>
        <v/>
      </c>
      <c r="D627" s="166" t="str">
        <f>IF($A627&gt;MIN($A$10,$A$2),"",IF(AND($A$12,$A$6=1,B627&lt;$A$7,$A$7&lt;=MAX(DemoHistory[Date])),$A$8,1))</f>
        <v/>
      </c>
      <c r="E627" s="166" t="str">
        <f t="shared" si="27"/>
        <v/>
      </c>
      <c r="F627" s="166" t="str">
        <f>IF($A627&gt;MIN($A$10,$A$2),"",IF($A627&lt;50,"n.a.",IF(COUNT(INDEX(StockDaily[Adjusted close],MAX(1,$A627-50+1)):E627)=50,AVERAGE(INDEX(StockDaily[Adjusted close],MAX(1,$A627-50+1)):E627),"n.a.")))</f>
        <v/>
      </c>
      <c r="G627" s="166" t="str">
        <f>IF($A627&gt;MIN($A$10,$A$2),"",IF($A627&lt;200,"n.a.",IF(COUNT(INDEX(StockDaily[Adjusted close],MAX(1,$A627-200+1)):E627)=200,AVERAGE(INDEX(StockDaily[Adjusted close],MAX(1,$A627-200+1)):E627),"n.a.")))</f>
        <v/>
      </c>
      <c r="H627" s="136" t="str">
        <f>IF($A627&gt;MIN($A$10,$A$2),"",IF($A$5="","Choose stock",IF(NOT($A$12),"Check split rule",IF(NOT(ISNUMBER(B627)),"Invalid date",IF(OR(B627&lt;=0,B627&lt;&gt;INT(B627)),"Invalid date",IF(COUNTIFS(DemoHistory[Date],B627)&lt;&gt;1,"Duplicate date",IF(AND($A627&gt;1,B627&lt;=B626),"Dates out of order",IF(NOT(ISNUMBER(C627)),"Missing price",IF(C627&lt;=0,"Nonpositive price","OK")))))))))</f>
        <v/>
      </c>
      <c r="I627" s="136"/>
      <c r="J627" s="136"/>
      <c r="K627" s="136"/>
      <c r="L627" s="136"/>
      <c r="M627" s="136"/>
      <c r="N627" s="136" t="e">
        <f t="shared" si="28"/>
        <v>#N/A</v>
      </c>
      <c r="O627" s="136" t="e">
        <f t="shared" si="29"/>
        <v>#N/A</v>
      </c>
    </row>
    <row r="628" spans="1:15" ht="22" customHeight="1" x14ac:dyDescent="0.35">
      <c r="A628" s="136">
        <v>584</v>
      </c>
      <c r="B628" s="165" t="str">
        <f>IF($A628&gt;MIN($A$10,$A$2),"",INDEX(DemoHistory[Date],$A628))</f>
        <v/>
      </c>
      <c r="C628" s="166" t="str">
        <f>IF(OR($A628&gt;MIN($A$10,$A$2),$A$5=""),"",INDEX(DemoHistory[],$A628,MATCH($A$5,DemoHistory[#Headers],0)))</f>
        <v/>
      </c>
      <c r="D628" s="166" t="str">
        <f>IF($A628&gt;MIN($A$10,$A$2),"",IF(AND($A$12,$A$6=1,B628&lt;$A$7,$A$7&lt;=MAX(DemoHistory[Date])),$A$8,1))</f>
        <v/>
      </c>
      <c r="E628" s="166" t="str">
        <f t="shared" si="27"/>
        <v/>
      </c>
      <c r="F628" s="166" t="str">
        <f>IF($A628&gt;MIN($A$10,$A$2),"",IF($A628&lt;50,"n.a.",IF(COUNT(INDEX(StockDaily[Adjusted close],MAX(1,$A628-50+1)):E628)=50,AVERAGE(INDEX(StockDaily[Adjusted close],MAX(1,$A628-50+1)):E628),"n.a.")))</f>
        <v/>
      </c>
      <c r="G628" s="166" t="str">
        <f>IF($A628&gt;MIN($A$10,$A$2),"",IF($A628&lt;200,"n.a.",IF(COUNT(INDEX(StockDaily[Adjusted close],MAX(1,$A628-200+1)):E628)=200,AVERAGE(INDEX(StockDaily[Adjusted close],MAX(1,$A628-200+1)):E628),"n.a.")))</f>
        <v/>
      </c>
      <c r="H628" s="136" t="str">
        <f>IF($A628&gt;MIN($A$10,$A$2),"",IF($A$5="","Choose stock",IF(NOT($A$12),"Check split rule",IF(NOT(ISNUMBER(B628)),"Invalid date",IF(OR(B628&lt;=0,B628&lt;&gt;INT(B628)),"Invalid date",IF(COUNTIFS(DemoHistory[Date],B628)&lt;&gt;1,"Duplicate date",IF(AND($A628&gt;1,B628&lt;=B627),"Dates out of order",IF(NOT(ISNUMBER(C628)),"Missing price",IF(C628&lt;=0,"Nonpositive price","OK")))))))))</f>
        <v/>
      </c>
      <c r="I628" s="136"/>
      <c r="J628" s="136"/>
      <c r="K628" s="136"/>
      <c r="L628" s="136"/>
      <c r="M628" s="136"/>
      <c r="N628" s="136" t="e">
        <f t="shared" si="28"/>
        <v>#N/A</v>
      </c>
      <c r="O628" s="136" t="e">
        <f t="shared" si="29"/>
        <v>#N/A</v>
      </c>
    </row>
    <row r="629" spans="1:15" ht="22" customHeight="1" x14ac:dyDescent="0.35">
      <c r="A629" s="136">
        <v>585</v>
      </c>
      <c r="B629" s="165" t="str">
        <f>IF($A629&gt;MIN($A$10,$A$2),"",INDEX(DemoHistory[Date],$A629))</f>
        <v/>
      </c>
      <c r="C629" s="166" t="str">
        <f>IF(OR($A629&gt;MIN($A$10,$A$2),$A$5=""),"",INDEX(DemoHistory[],$A629,MATCH($A$5,DemoHistory[#Headers],0)))</f>
        <v/>
      </c>
      <c r="D629" s="166" t="str">
        <f>IF($A629&gt;MIN($A$10,$A$2),"",IF(AND($A$12,$A$6=1,B629&lt;$A$7,$A$7&lt;=MAX(DemoHistory[Date])),$A$8,1))</f>
        <v/>
      </c>
      <c r="E629" s="166" t="str">
        <f t="shared" si="27"/>
        <v/>
      </c>
      <c r="F629" s="166" t="str">
        <f>IF($A629&gt;MIN($A$10,$A$2),"",IF($A629&lt;50,"n.a.",IF(COUNT(INDEX(StockDaily[Adjusted close],MAX(1,$A629-50+1)):E629)=50,AVERAGE(INDEX(StockDaily[Adjusted close],MAX(1,$A629-50+1)):E629),"n.a.")))</f>
        <v/>
      </c>
      <c r="G629" s="166" t="str">
        <f>IF($A629&gt;MIN($A$10,$A$2),"",IF($A629&lt;200,"n.a.",IF(COUNT(INDEX(StockDaily[Adjusted close],MAX(1,$A629-200+1)):E629)=200,AVERAGE(INDEX(StockDaily[Adjusted close],MAX(1,$A629-200+1)):E629),"n.a.")))</f>
        <v/>
      </c>
      <c r="H629" s="136" t="str">
        <f>IF($A629&gt;MIN($A$10,$A$2),"",IF($A$5="","Choose stock",IF(NOT($A$12),"Check split rule",IF(NOT(ISNUMBER(B629)),"Invalid date",IF(OR(B629&lt;=0,B629&lt;&gt;INT(B629)),"Invalid date",IF(COUNTIFS(DemoHistory[Date],B629)&lt;&gt;1,"Duplicate date",IF(AND($A629&gt;1,B629&lt;=B628),"Dates out of order",IF(NOT(ISNUMBER(C629)),"Missing price",IF(C629&lt;=0,"Nonpositive price","OK")))))))))</f>
        <v/>
      </c>
      <c r="I629" s="136"/>
      <c r="J629" s="136"/>
      <c r="K629" s="136"/>
      <c r="L629" s="136"/>
      <c r="M629" s="136"/>
      <c r="N629" s="136" t="e">
        <f t="shared" si="28"/>
        <v>#N/A</v>
      </c>
      <c r="O629" s="136" t="e">
        <f t="shared" si="29"/>
        <v>#N/A</v>
      </c>
    </row>
    <row r="630" spans="1:15" ht="22" customHeight="1" x14ac:dyDescent="0.35">
      <c r="A630" s="136">
        <v>586</v>
      </c>
      <c r="B630" s="165" t="str">
        <f>IF($A630&gt;MIN($A$10,$A$2),"",INDEX(DemoHistory[Date],$A630))</f>
        <v/>
      </c>
      <c r="C630" s="166" t="str">
        <f>IF(OR($A630&gt;MIN($A$10,$A$2),$A$5=""),"",INDEX(DemoHistory[],$A630,MATCH($A$5,DemoHistory[#Headers],0)))</f>
        <v/>
      </c>
      <c r="D630" s="166" t="str">
        <f>IF($A630&gt;MIN($A$10,$A$2),"",IF(AND($A$12,$A$6=1,B630&lt;$A$7,$A$7&lt;=MAX(DemoHistory[Date])),$A$8,1))</f>
        <v/>
      </c>
      <c r="E630" s="166" t="str">
        <f t="shared" si="27"/>
        <v/>
      </c>
      <c r="F630" s="166" t="str">
        <f>IF($A630&gt;MIN($A$10,$A$2),"",IF($A630&lt;50,"n.a.",IF(COUNT(INDEX(StockDaily[Adjusted close],MAX(1,$A630-50+1)):E630)=50,AVERAGE(INDEX(StockDaily[Adjusted close],MAX(1,$A630-50+1)):E630),"n.a.")))</f>
        <v/>
      </c>
      <c r="G630" s="166" t="str">
        <f>IF($A630&gt;MIN($A$10,$A$2),"",IF($A630&lt;200,"n.a.",IF(COUNT(INDEX(StockDaily[Adjusted close],MAX(1,$A630-200+1)):E630)=200,AVERAGE(INDEX(StockDaily[Adjusted close],MAX(1,$A630-200+1)):E630),"n.a.")))</f>
        <v/>
      </c>
      <c r="H630" s="136" t="str">
        <f>IF($A630&gt;MIN($A$10,$A$2),"",IF($A$5="","Choose stock",IF(NOT($A$12),"Check split rule",IF(NOT(ISNUMBER(B630)),"Invalid date",IF(OR(B630&lt;=0,B630&lt;&gt;INT(B630)),"Invalid date",IF(COUNTIFS(DemoHistory[Date],B630)&lt;&gt;1,"Duplicate date",IF(AND($A630&gt;1,B630&lt;=B629),"Dates out of order",IF(NOT(ISNUMBER(C630)),"Missing price",IF(C630&lt;=0,"Nonpositive price","OK")))))))))</f>
        <v/>
      </c>
      <c r="I630" s="136"/>
      <c r="J630" s="136"/>
      <c r="K630" s="136"/>
      <c r="L630" s="136"/>
      <c r="M630" s="136"/>
      <c r="N630" s="136" t="e">
        <f t="shared" si="28"/>
        <v>#N/A</v>
      </c>
      <c r="O630" s="136" t="e">
        <f t="shared" si="29"/>
        <v>#N/A</v>
      </c>
    </row>
    <row r="631" spans="1:15" ht="22" customHeight="1" x14ac:dyDescent="0.35">
      <c r="A631" s="136">
        <v>587</v>
      </c>
      <c r="B631" s="165" t="str">
        <f>IF($A631&gt;MIN($A$10,$A$2),"",INDEX(DemoHistory[Date],$A631))</f>
        <v/>
      </c>
      <c r="C631" s="166" t="str">
        <f>IF(OR($A631&gt;MIN($A$10,$A$2),$A$5=""),"",INDEX(DemoHistory[],$A631,MATCH($A$5,DemoHistory[#Headers],0)))</f>
        <v/>
      </c>
      <c r="D631" s="166" t="str">
        <f>IF($A631&gt;MIN($A$10,$A$2),"",IF(AND($A$12,$A$6=1,B631&lt;$A$7,$A$7&lt;=MAX(DemoHistory[Date])),$A$8,1))</f>
        <v/>
      </c>
      <c r="E631" s="166" t="str">
        <f t="shared" si="27"/>
        <v/>
      </c>
      <c r="F631" s="166" t="str">
        <f>IF($A631&gt;MIN($A$10,$A$2),"",IF($A631&lt;50,"n.a.",IF(COUNT(INDEX(StockDaily[Adjusted close],MAX(1,$A631-50+1)):E631)=50,AVERAGE(INDEX(StockDaily[Adjusted close],MAX(1,$A631-50+1)):E631),"n.a.")))</f>
        <v/>
      </c>
      <c r="G631" s="166" t="str">
        <f>IF($A631&gt;MIN($A$10,$A$2),"",IF($A631&lt;200,"n.a.",IF(COUNT(INDEX(StockDaily[Adjusted close],MAX(1,$A631-200+1)):E631)=200,AVERAGE(INDEX(StockDaily[Adjusted close],MAX(1,$A631-200+1)):E631),"n.a.")))</f>
        <v/>
      </c>
      <c r="H631" s="136" t="str">
        <f>IF($A631&gt;MIN($A$10,$A$2),"",IF($A$5="","Choose stock",IF(NOT($A$12),"Check split rule",IF(NOT(ISNUMBER(B631)),"Invalid date",IF(OR(B631&lt;=0,B631&lt;&gt;INT(B631)),"Invalid date",IF(COUNTIFS(DemoHistory[Date],B631)&lt;&gt;1,"Duplicate date",IF(AND($A631&gt;1,B631&lt;=B630),"Dates out of order",IF(NOT(ISNUMBER(C631)),"Missing price",IF(C631&lt;=0,"Nonpositive price","OK")))))))))</f>
        <v/>
      </c>
      <c r="I631" s="136"/>
      <c r="J631" s="136"/>
      <c r="K631" s="136"/>
      <c r="L631" s="136"/>
      <c r="M631" s="136"/>
      <c r="N631" s="136" t="e">
        <f t="shared" si="28"/>
        <v>#N/A</v>
      </c>
      <c r="O631" s="136" t="e">
        <f t="shared" si="29"/>
        <v>#N/A</v>
      </c>
    </row>
    <row r="632" spans="1:15" ht="22" customHeight="1" x14ac:dyDescent="0.35">
      <c r="A632" s="136">
        <v>588</v>
      </c>
      <c r="B632" s="165" t="str">
        <f>IF($A632&gt;MIN($A$10,$A$2),"",INDEX(DemoHistory[Date],$A632))</f>
        <v/>
      </c>
      <c r="C632" s="166" t="str">
        <f>IF(OR($A632&gt;MIN($A$10,$A$2),$A$5=""),"",INDEX(DemoHistory[],$A632,MATCH($A$5,DemoHistory[#Headers],0)))</f>
        <v/>
      </c>
      <c r="D632" s="166" t="str">
        <f>IF($A632&gt;MIN($A$10,$A$2),"",IF(AND($A$12,$A$6=1,B632&lt;$A$7,$A$7&lt;=MAX(DemoHistory[Date])),$A$8,1))</f>
        <v/>
      </c>
      <c r="E632" s="166" t="str">
        <f t="shared" si="27"/>
        <v/>
      </c>
      <c r="F632" s="166" t="str">
        <f>IF($A632&gt;MIN($A$10,$A$2),"",IF($A632&lt;50,"n.a.",IF(COUNT(INDEX(StockDaily[Adjusted close],MAX(1,$A632-50+1)):E632)=50,AVERAGE(INDEX(StockDaily[Adjusted close],MAX(1,$A632-50+1)):E632),"n.a.")))</f>
        <v/>
      </c>
      <c r="G632" s="166" t="str">
        <f>IF($A632&gt;MIN($A$10,$A$2),"",IF($A632&lt;200,"n.a.",IF(COUNT(INDEX(StockDaily[Adjusted close],MAX(1,$A632-200+1)):E632)=200,AVERAGE(INDEX(StockDaily[Adjusted close],MAX(1,$A632-200+1)):E632),"n.a.")))</f>
        <v/>
      </c>
      <c r="H632" s="136" t="str">
        <f>IF($A632&gt;MIN($A$10,$A$2),"",IF($A$5="","Choose stock",IF(NOT($A$12),"Check split rule",IF(NOT(ISNUMBER(B632)),"Invalid date",IF(OR(B632&lt;=0,B632&lt;&gt;INT(B632)),"Invalid date",IF(COUNTIFS(DemoHistory[Date],B632)&lt;&gt;1,"Duplicate date",IF(AND($A632&gt;1,B632&lt;=B631),"Dates out of order",IF(NOT(ISNUMBER(C632)),"Missing price",IF(C632&lt;=0,"Nonpositive price","OK")))))))))</f>
        <v/>
      </c>
      <c r="I632" s="136"/>
      <c r="J632" s="136"/>
      <c r="K632" s="136"/>
      <c r="L632" s="136"/>
      <c r="M632" s="136"/>
      <c r="N632" s="136" t="e">
        <f t="shared" si="28"/>
        <v>#N/A</v>
      </c>
      <c r="O632" s="136" t="e">
        <f t="shared" si="29"/>
        <v>#N/A</v>
      </c>
    </row>
    <row r="633" spans="1:15" ht="22" customHeight="1" x14ac:dyDescent="0.35">
      <c r="A633" s="136">
        <v>589</v>
      </c>
      <c r="B633" s="165" t="str">
        <f>IF($A633&gt;MIN($A$10,$A$2),"",INDEX(DemoHistory[Date],$A633))</f>
        <v/>
      </c>
      <c r="C633" s="166" t="str">
        <f>IF(OR($A633&gt;MIN($A$10,$A$2),$A$5=""),"",INDEX(DemoHistory[],$A633,MATCH($A$5,DemoHistory[#Headers],0)))</f>
        <v/>
      </c>
      <c r="D633" s="166" t="str">
        <f>IF($A633&gt;MIN($A$10,$A$2),"",IF(AND($A$12,$A$6=1,B633&lt;$A$7,$A$7&lt;=MAX(DemoHistory[Date])),$A$8,1))</f>
        <v/>
      </c>
      <c r="E633" s="166" t="str">
        <f t="shared" si="27"/>
        <v/>
      </c>
      <c r="F633" s="166" t="str">
        <f>IF($A633&gt;MIN($A$10,$A$2),"",IF($A633&lt;50,"n.a.",IF(COUNT(INDEX(StockDaily[Adjusted close],MAX(1,$A633-50+1)):E633)=50,AVERAGE(INDEX(StockDaily[Adjusted close],MAX(1,$A633-50+1)):E633),"n.a.")))</f>
        <v/>
      </c>
      <c r="G633" s="166" t="str">
        <f>IF($A633&gt;MIN($A$10,$A$2),"",IF($A633&lt;200,"n.a.",IF(COUNT(INDEX(StockDaily[Adjusted close],MAX(1,$A633-200+1)):E633)=200,AVERAGE(INDEX(StockDaily[Adjusted close],MAX(1,$A633-200+1)):E633),"n.a.")))</f>
        <v/>
      </c>
      <c r="H633" s="136" t="str">
        <f>IF($A633&gt;MIN($A$10,$A$2),"",IF($A$5="","Choose stock",IF(NOT($A$12),"Check split rule",IF(NOT(ISNUMBER(B633)),"Invalid date",IF(OR(B633&lt;=0,B633&lt;&gt;INT(B633)),"Invalid date",IF(COUNTIFS(DemoHistory[Date],B633)&lt;&gt;1,"Duplicate date",IF(AND($A633&gt;1,B633&lt;=B632),"Dates out of order",IF(NOT(ISNUMBER(C633)),"Missing price",IF(C633&lt;=0,"Nonpositive price","OK")))))))))</f>
        <v/>
      </c>
      <c r="I633" s="136"/>
      <c r="J633" s="136"/>
      <c r="K633" s="136"/>
      <c r="L633" s="136"/>
      <c r="M633" s="136"/>
      <c r="N633" s="136" t="e">
        <f t="shared" si="28"/>
        <v>#N/A</v>
      </c>
      <c r="O633" s="136" t="e">
        <f t="shared" si="29"/>
        <v>#N/A</v>
      </c>
    </row>
    <row r="634" spans="1:15" ht="22" customHeight="1" x14ac:dyDescent="0.35">
      <c r="A634" s="136">
        <v>590</v>
      </c>
      <c r="B634" s="165" t="str">
        <f>IF($A634&gt;MIN($A$10,$A$2),"",INDEX(DemoHistory[Date],$A634))</f>
        <v/>
      </c>
      <c r="C634" s="166" t="str">
        <f>IF(OR($A634&gt;MIN($A$10,$A$2),$A$5=""),"",INDEX(DemoHistory[],$A634,MATCH($A$5,DemoHistory[#Headers],0)))</f>
        <v/>
      </c>
      <c r="D634" s="166" t="str">
        <f>IF($A634&gt;MIN($A$10,$A$2),"",IF(AND($A$12,$A$6=1,B634&lt;$A$7,$A$7&lt;=MAX(DemoHistory[Date])),$A$8,1))</f>
        <v/>
      </c>
      <c r="E634" s="166" t="str">
        <f t="shared" si="27"/>
        <v/>
      </c>
      <c r="F634" s="166" t="str">
        <f>IF($A634&gt;MIN($A$10,$A$2),"",IF($A634&lt;50,"n.a.",IF(COUNT(INDEX(StockDaily[Adjusted close],MAX(1,$A634-50+1)):E634)=50,AVERAGE(INDEX(StockDaily[Adjusted close],MAX(1,$A634-50+1)):E634),"n.a.")))</f>
        <v/>
      </c>
      <c r="G634" s="166" t="str">
        <f>IF($A634&gt;MIN($A$10,$A$2),"",IF($A634&lt;200,"n.a.",IF(COUNT(INDEX(StockDaily[Adjusted close],MAX(1,$A634-200+1)):E634)=200,AVERAGE(INDEX(StockDaily[Adjusted close],MAX(1,$A634-200+1)):E634),"n.a.")))</f>
        <v/>
      </c>
      <c r="H634" s="136" t="str">
        <f>IF($A634&gt;MIN($A$10,$A$2),"",IF($A$5="","Choose stock",IF(NOT($A$12),"Check split rule",IF(NOT(ISNUMBER(B634)),"Invalid date",IF(OR(B634&lt;=0,B634&lt;&gt;INT(B634)),"Invalid date",IF(COUNTIFS(DemoHistory[Date],B634)&lt;&gt;1,"Duplicate date",IF(AND($A634&gt;1,B634&lt;=B633),"Dates out of order",IF(NOT(ISNUMBER(C634)),"Missing price",IF(C634&lt;=0,"Nonpositive price","OK")))))))))</f>
        <v/>
      </c>
      <c r="I634" s="136"/>
      <c r="J634" s="136"/>
      <c r="K634" s="136"/>
      <c r="L634" s="136"/>
      <c r="M634" s="136"/>
      <c r="N634" s="136" t="e">
        <f t="shared" si="28"/>
        <v>#N/A</v>
      </c>
      <c r="O634" s="136" t="e">
        <f t="shared" si="29"/>
        <v>#N/A</v>
      </c>
    </row>
    <row r="635" spans="1:15" ht="22" customHeight="1" x14ac:dyDescent="0.35">
      <c r="A635" s="136">
        <v>591</v>
      </c>
      <c r="B635" s="165" t="str">
        <f>IF($A635&gt;MIN($A$10,$A$2),"",INDEX(DemoHistory[Date],$A635))</f>
        <v/>
      </c>
      <c r="C635" s="166" t="str">
        <f>IF(OR($A635&gt;MIN($A$10,$A$2),$A$5=""),"",INDEX(DemoHistory[],$A635,MATCH($A$5,DemoHistory[#Headers],0)))</f>
        <v/>
      </c>
      <c r="D635" s="166" t="str">
        <f>IF($A635&gt;MIN($A$10,$A$2),"",IF(AND($A$12,$A$6=1,B635&lt;$A$7,$A$7&lt;=MAX(DemoHistory[Date])),$A$8,1))</f>
        <v/>
      </c>
      <c r="E635" s="166" t="str">
        <f t="shared" si="27"/>
        <v/>
      </c>
      <c r="F635" s="166" t="str">
        <f>IF($A635&gt;MIN($A$10,$A$2),"",IF($A635&lt;50,"n.a.",IF(COUNT(INDEX(StockDaily[Adjusted close],MAX(1,$A635-50+1)):E635)=50,AVERAGE(INDEX(StockDaily[Adjusted close],MAX(1,$A635-50+1)):E635),"n.a.")))</f>
        <v/>
      </c>
      <c r="G635" s="166" t="str">
        <f>IF($A635&gt;MIN($A$10,$A$2),"",IF($A635&lt;200,"n.a.",IF(COUNT(INDEX(StockDaily[Adjusted close],MAX(1,$A635-200+1)):E635)=200,AVERAGE(INDEX(StockDaily[Adjusted close],MAX(1,$A635-200+1)):E635),"n.a.")))</f>
        <v/>
      </c>
      <c r="H635" s="136" t="str">
        <f>IF($A635&gt;MIN($A$10,$A$2),"",IF($A$5="","Choose stock",IF(NOT($A$12),"Check split rule",IF(NOT(ISNUMBER(B635)),"Invalid date",IF(OR(B635&lt;=0,B635&lt;&gt;INT(B635)),"Invalid date",IF(COUNTIFS(DemoHistory[Date],B635)&lt;&gt;1,"Duplicate date",IF(AND($A635&gt;1,B635&lt;=B634),"Dates out of order",IF(NOT(ISNUMBER(C635)),"Missing price",IF(C635&lt;=0,"Nonpositive price","OK")))))))))</f>
        <v/>
      </c>
      <c r="I635" s="136"/>
      <c r="J635" s="136"/>
      <c r="K635" s="136"/>
      <c r="L635" s="136"/>
      <c r="M635" s="136"/>
      <c r="N635" s="136" t="e">
        <f t="shared" si="28"/>
        <v>#N/A</v>
      </c>
      <c r="O635" s="136" t="e">
        <f t="shared" si="29"/>
        <v>#N/A</v>
      </c>
    </row>
    <row r="636" spans="1:15" ht="22" customHeight="1" x14ac:dyDescent="0.35">
      <c r="A636" s="136">
        <v>592</v>
      </c>
      <c r="B636" s="165" t="str">
        <f>IF($A636&gt;MIN($A$10,$A$2),"",INDEX(DemoHistory[Date],$A636))</f>
        <v/>
      </c>
      <c r="C636" s="166" t="str">
        <f>IF(OR($A636&gt;MIN($A$10,$A$2),$A$5=""),"",INDEX(DemoHistory[],$A636,MATCH($A$5,DemoHistory[#Headers],0)))</f>
        <v/>
      </c>
      <c r="D636" s="166" t="str">
        <f>IF($A636&gt;MIN($A$10,$A$2),"",IF(AND($A$12,$A$6=1,B636&lt;$A$7,$A$7&lt;=MAX(DemoHistory[Date])),$A$8,1))</f>
        <v/>
      </c>
      <c r="E636" s="166" t="str">
        <f t="shared" si="27"/>
        <v/>
      </c>
      <c r="F636" s="166" t="str">
        <f>IF($A636&gt;MIN($A$10,$A$2),"",IF($A636&lt;50,"n.a.",IF(COUNT(INDEX(StockDaily[Adjusted close],MAX(1,$A636-50+1)):E636)=50,AVERAGE(INDEX(StockDaily[Adjusted close],MAX(1,$A636-50+1)):E636),"n.a.")))</f>
        <v/>
      </c>
      <c r="G636" s="166" t="str">
        <f>IF($A636&gt;MIN($A$10,$A$2),"",IF($A636&lt;200,"n.a.",IF(COUNT(INDEX(StockDaily[Adjusted close],MAX(1,$A636-200+1)):E636)=200,AVERAGE(INDEX(StockDaily[Adjusted close],MAX(1,$A636-200+1)):E636),"n.a.")))</f>
        <v/>
      </c>
      <c r="H636" s="136" t="str">
        <f>IF($A636&gt;MIN($A$10,$A$2),"",IF($A$5="","Choose stock",IF(NOT($A$12),"Check split rule",IF(NOT(ISNUMBER(B636)),"Invalid date",IF(OR(B636&lt;=0,B636&lt;&gt;INT(B636)),"Invalid date",IF(COUNTIFS(DemoHistory[Date],B636)&lt;&gt;1,"Duplicate date",IF(AND($A636&gt;1,B636&lt;=B635),"Dates out of order",IF(NOT(ISNUMBER(C636)),"Missing price",IF(C636&lt;=0,"Nonpositive price","OK")))))))))</f>
        <v/>
      </c>
      <c r="I636" s="136"/>
      <c r="J636" s="136"/>
      <c r="K636" s="136"/>
      <c r="L636" s="136"/>
      <c r="M636" s="136"/>
      <c r="N636" s="136" t="e">
        <f t="shared" si="28"/>
        <v>#N/A</v>
      </c>
      <c r="O636" s="136" t="e">
        <f t="shared" si="29"/>
        <v>#N/A</v>
      </c>
    </row>
    <row r="637" spans="1:15" ht="22" customHeight="1" x14ac:dyDescent="0.35">
      <c r="A637" s="136">
        <v>593</v>
      </c>
      <c r="B637" s="165" t="str">
        <f>IF($A637&gt;MIN($A$10,$A$2),"",INDEX(DemoHistory[Date],$A637))</f>
        <v/>
      </c>
      <c r="C637" s="166" t="str">
        <f>IF(OR($A637&gt;MIN($A$10,$A$2),$A$5=""),"",INDEX(DemoHistory[],$A637,MATCH($A$5,DemoHistory[#Headers],0)))</f>
        <v/>
      </c>
      <c r="D637" s="166" t="str">
        <f>IF($A637&gt;MIN($A$10,$A$2),"",IF(AND($A$12,$A$6=1,B637&lt;$A$7,$A$7&lt;=MAX(DemoHistory[Date])),$A$8,1))</f>
        <v/>
      </c>
      <c r="E637" s="166" t="str">
        <f t="shared" si="27"/>
        <v/>
      </c>
      <c r="F637" s="166" t="str">
        <f>IF($A637&gt;MIN($A$10,$A$2),"",IF($A637&lt;50,"n.a.",IF(COUNT(INDEX(StockDaily[Adjusted close],MAX(1,$A637-50+1)):E637)=50,AVERAGE(INDEX(StockDaily[Adjusted close],MAX(1,$A637-50+1)):E637),"n.a.")))</f>
        <v/>
      </c>
      <c r="G637" s="166" t="str">
        <f>IF($A637&gt;MIN($A$10,$A$2),"",IF($A637&lt;200,"n.a.",IF(COUNT(INDEX(StockDaily[Adjusted close],MAX(1,$A637-200+1)):E637)=200,AVERAGE(INDEX(StockDaily[Adjusted close],MAX(1,$A637-200+1)):E637),"n.a.")))</f>
        <v/>
      </c>
      <c r="H637" s="136" t="str">
        <f>IF($A637&gt;MIN($A$10,$A$2),"",IF($A$5="","Choose stock",IF(NOT($A$12),"Check split rule",IF(NOT(ISNUMBER(B637)),"Invalid date",IF(OR(B637&lt;=0,B637&lt;&gt;INT(B637)),"Invalid date",IF(COUNTIFS(DemoHistory[Date],B637)&lt;&gt;1,"Duplicate date",IF(AND($A637&gt;1,B637&lt;=B636),"Dates out of order",IF(NOT(ISNUMBER(C637)),"Missing price",IF(C637&lt;=0,"Nonpositive price","OK")))))))))</f>
        <v/>
      </c>
      <c r="I637" s="136"/>
      <c r="J637" s="136"/>
      <c r="K637" s="136"/>
      <c r="L637" s="136"/>
      <c r="M637" s="136"/>
      <c r="N637" s="136" t="e">
        <f t="shared" si="28"/>
        <v>#N/A</v>
      </c>
      <c r="O637" s="136" t="e">
        <f t="shared" si="29"/>
        <v>#N/A</v>
      </c>
    </row>
    <row r="638" spans="1:15" ht="22" customHeight="1" x14ac:dyDescent="0.35">
      <c r="A638" s="136">
        <v>594</v>
      </c>
      <c r="B638" s="165" t="str">
        <f>IF($A638&gt;MIN($A$10,$A$2),"",INDEX(DemoHistory[Date],$A638))</f>
        <v/>
      </c>
      <c r="C638" s="166" t="str">
        <f>IF(OR($A638&gt;MIN($A$10,$A$2),$A$5=""),"",INDEX(DemoHistory[],$A638,MATCH($A$5,DemoHistory[#Headers],0)))</f>
        <v/>
      </c>
      <c r="D638" s="166" t="str">
        <f>IF($A638&gt;MIN($A$10,$A$2),"",IF(AND($A$12,$A$6=1,B638&lt;$A$7,$A$7&lt;=MAX(DemoHistory[Date])),$A$8,1))</f>
        <v/>
      </c>
      <c r="E638" s="166" t="str">
        <f t="shared" si="27"/>
        <v/>
      </c>
      <c r="F638" s="166" t="str">
        <f>IF($A638&gt;MIN($A$10,$A$2),"",IF($A638&lt;50,"n.a.",IF(COUNT(INDEX(StockDaily[Adjusted close],MAX(1,$A638-50+1)):E638)=50,AVERAGE(INDEX(StockDaily[Adjusted close],MAX(1,$A638-50+1)):E638),"n.a.")))</f>
        <v/>
      </c>
      <c r="G638" s="166" t="str">
        <f>IF($A638&gt;MIN($A$10,$A$2),"",IF($A638&lt;200,"n.a.",IF(COUNT(INDEX(StockDaily[Adjusted close],MAX(1,$A638-200+1)):E638)=200,AVERAGE(INDEX(StockDaily[Adjusted close],MAX(1,$A638-200+1)):E638),"n.a.")))</f>
        <v/>
      </c>
      <c r="H638" s="136" t="str">
        <f>IF($A638&gt;MIN($A$10,$A$2),"",IF($A$5="","Choose stock",IF(NOT($A$12),"Check split rule",IF(NOT(ISNUMBER(B638)),"Invalid date",IF(OR(B638&lt;=0,B638&lt;&gt;INT(B638)),"Invalid date",IF(COUNTIFS(DemoHistory[Date],B638)&lt;&gt;1,"Duplicate date",IF(AND($A638&gt;1,B638&lt;=B637),"Dates out of order",IF(NOT(ISNUMBER(C638)),"Missing price",IF(C638&lt;=0,"Nonpositive price","OK")))))))))</f>
        <v/>
      </c>
      <c r="I638" s="136"/>
      <c r="J638" s="136"/>
      <c r="K638" s="136"/>
      <c r="L638" s="136"/>
      <c r="M638" s="136"/>
      <c r="N638" s="136" t="e">
        <f t="shared" si="28"/>
        <v>#N/A</v>
      </c>
      <c r="O638" s="136" t="e">
        <f t="shared" si="29"/>
        <v>#N/A</v>
      </c>
    </row>
    <row r="639" spans="1:15" ht="22" customHeight="1" x14ac:dyDescent="0.35">
      <c r="A639" s="136">
        <v>595</v>
      </c>
      <c r="B639" s="165" t="str">
        <f>IF($A639&gt;MIN($A$10,$A$2),"",INDEX(DemoHistory[Date],$A639))</f>
        <v/>
      </c>
      <c r="C639" s="166" t="str">
        <f>IF(OR($A639&gt;MIN($A$10,$A$2),$A$5=""),"",INDEX(DemoHistory[],$A639,MATCH($A$5,DemoHistory[#Headers],0)))</f>
        <v/>
      </c>
      <c r="D639" s="166" t="str">
        <f>IF($A639&gt;MIN($A$10,$A$2),"",IF(AND($A$12,$A$6=1,B639&lt;$A$7,$A$7&lt;=MAX(DemoHistory[Date])),$A$8,1))</f>
        <v/>
      </c>
      <c r="E639" s="166" t="str">
        <f t="shared" si="27"/>
        <v/>
      </c>
      <c r="F639" s="166" t="str">
        <f>IF($A639&gt;MIN($A$10,$A$2),"",IF($A639&lt;50,"n.a.",IF(COUNT(INDEX(StockDaily[Adjusted close],MAX(1,$A639-50+1)):E639)=50,AVERAGE(INDEX(StockDaily[Adjusted close],MAX(1,$A639-50+1)):E639),"n.a.")))</f>
        <v/>
      </c>
      <c r="G639" s="166" t="str">
        <f>IF($A639&gt;MIN($A$10,$A$2),"",IF($A639&lt;200,"n.a.",IF(COUNT(INDEX(StockDaily[Adjusted close],MAX(1,$A639-200+1)):E639)=200,AVERAGE(INDEX(StockDaily[Adjusted close],MAX(1,$A639-200+1)):E639),"n.a.")))</f>
        <v/>
      </c>
      <c r="H639" s="136" t="str">
        <f>IF($A639&gt;MIN($A$10,$A$2),"",IF($A$5="","Choose stock",IF(NOT($A$12),"Check split rule",IF(NOT(ISNUMBER(B639)),"Invalid date",IF(OR(B639&lt;=0,B639&lt;&gt;INT(B639)),"Invalid date",IF(COUNTIFS(DemoHistory[Date],B639)&lt;&gt;1,"Duplicate date",IF(AND($A639&gt;1,B639&lt;=B638),"Dates out of order",IF(NOT(ISNUMBER(C639)),"Missing price",IF(C639&lt;=0,"Nonpositive price","OK")))))))))</f>
        <v/>
      </c>
      <c r="I639" s="136"/>
      <c r="J639" s="136"/>
      <c r="K639" s="136"/>
      <c r="L639" s="136"/>
      <c r="M639" s="136"/>
      <c r="N639" s="136" t="e">
        <f t="shared" si="28"/>
        <v>#N/A</v>
      </c>
      <c r="O639" s="136" t="e">
        <f t="shared" si="29"/>
        <v>#N/A</v>
      </c>
    </row>
    <row r="640" spans="1:15" ht="22" customHeight="1" x14ac:dyDescent="0.35">
      <c r="A640" s="136">
        <v>596</v>
      </c>
      <c r="B640" s="165" t="str">
        <f>IF($A640&gt;MIN($A$10,$A$2),"",INDEX(DemoHistory[Date],$A640))</f>
        <v/>
      </c>
      <c r="C640" s="166" t="str">
        <f>IF(OR($A640&gt;MIN($A$10,$A$2),$A$5=""),"",INDEX(DemoHistory[],$A640,MATCH($A$5,DemoHistory[#Headers],0)))</f>
        <v/>
      </c>
      <c r="D640" s="166" t="str">
        <f>IF($A640&gt;MIN($A$10,$A$2),"",IF(AND($A$12,$A$6=1,B640&lt;$A$7,$A$7&lt;=MAX(DemoHistory[Date])),$A$8,1))</f>
        <v/>
      </c>
      <c r="E640" s="166" t="str">
        <f t="shared" si="27"/>
        <v/>
      </c>
      <c r="F640" s="166" t="str">
        <f>IF($A640&gt;MIN($A$10,$A$2),"",IF($A640&lt;50,"n.a.",IF(COUNT(INDEX(StockDaily[Adjusted close],MAX(1,$A640-50+1)):E640)=50,AVERAGE(INDEX(StockDaily[Adjusted close],MAX(1,$A640-50+1)):E640),"n.a.")))</f>
        <v/>
      </c>
      <c r="G640" s="166" t="str">
        <f>IF($A640&gt;MIN($A$10,$A$2),"",IF($A640&lt;200,"n.a.",IF(COUNT(INDEX(StockDaily[Adjusted close],MAX(1,$A640-200+1)):E640)=200,AVERAGE(INDEX(StockDaily[Adjusted close],MAX(1,$A640-200+1)):E640),"n.a.")))</f>
        <v/>
      </c>
      <c r="H640" s="136" t="str">
        <f>IF($A640&gt;MIN($A$10,$A$2),"",IF($A$5="","Choose stock",IF(NOT($A$12),"Check split rule",IF(NOT(ISNUMBER(B640)),"Invalid date",IF(OR(B640&lt;=0,B640&lt;&gt;INT(B640)),"Invalid date",IF(COUNTIFS(DemoHistory[Date],B640)&lt;&gt;1,"Duplicate date",IF(AND($A640&gt;1,B640&lt;=B639),"Dates out of order",IF(NOT(ISNUMBER(C640)),"Missing price",IF(C640&lt;=0,"Nonpositive price","OK")))))))))</f>
        <v/>
      </c>
      <c r="I640" s="136"/>
      <c r="J640" s="136"/>
      <c r="K640" s="136"/>
      <c r="L640" s="136"/>
      <c r="M640" s="136"/>
      <c r="N640" s="136" t="e">
        <f t="shared" si="28"/>
        <v>#N/A</v>
      </c>
      <c r="O640" s="136" t="e">
        <f t="shared" si="29"/>
        <v>#N/A</v>
      </c>
    </row>
    <row r="641" spans="1:15" ht="22" customHeight="1" x14ac:dyDescent="0.35">
      <c r="A641" s="136">
        <v>597</v>
      </c>
      <c r="B641" s="165" t="str">
        <f>IF($A641&gt;MIN($A$10,$A$2),"",INDEX(DemoHistory[Date],$A641))</f>
        <v/>
      </c>
      <c r="C641" s="166" t="str">
        <f>IF(OR($A641&gt;MIN($A$10,$A$2),$A$5=""),"",INDEX(DemoHistory[],$A641,MATCH($A$5,DemoHistory[#Headers],0)))</f>
        <v/>
      </c>
      <c r="D641" s="166" t="str">
        <f>IF($A641&gt;MIN($A$10,$A$2),"",IF(AND($A$12,$A$6=1,B641&lt;$A$7,$A$7&lt;=MAX(DemoHistory[Date])),$A$8,1))</f>
        <v/>
      </c>
      <c r="E641" s="166" t="str">
        <f t="shared" si="27"/>
        <v/>
      </c>
      <c r="F641" s="166" t="str">
        <f>IF($A641&gt;MIN($A$10,$A$2),"",IF($A641&lt;50,"n.a.",IF(COUNT(INDEX(StockDaily[Adjusted close],MAX(1,$A641-50+1)):E641)=50,AVERAGE(INDEX(StockDaily[Adjusted close],MAX(1,$A641-50+1)):E641),"n.a.")))</f>
        <v/>
      </c>
      <c r="G641" s="166" t="str">
        <f>IF($A641&gt;MIN($A$10,$A$2),"",IF($A641&lt;200,"n.a.",IF(COUNT(INDEX(StockDaily[Adjusted close],MAX(1,$A641-200+1)):E641)=200,AVERAGE(INDEX(StockDaily[Adjusted close],MAX(1,$A641-200+1)):E641),"n.a.")))</f>
        <v/>
      </c>
      <c r="H641" s="136" t="str">
        <f>IF($A641&gt;MIN($A$10,$A$2),"",IF($A$5="","Choose stock",IF(NOT($A$12),"Check split rule",IF(NOT(ISNUMBER(B641)),"Invalid date",IF(OR(B641&lt;=0,B641&lt;&gt;INT(B641)),"Invalid date",IF(COUNTIFS(DemoHistory[Date],B641)&lt;&gt;1,"Duplicate date",IF(AND($A641&gt;1,B641&lt;=B640),"Dates out of order",IF(NOT(ISNUMBER(C641)),"Missing price",IF(C641&lt;=0,"Nonpositive price","OK")))))))))</f>
        <v/>
      </c>
      <c r="I641" s="136"/>
      <c r="J641" s="136"/>
      <c r="K641" s="136"/>
      <c r="L641" s="136"/>
      <c r="M641" s="136"/>
      <c r="N641" s="136" t="e">
        <f t="shared" si="28"/>
        <v>#N/A</v>
      </c>
      <c r="O641" s="136" t="e">
        <f t="shared" si="29"/>
        <v>#N/A</v>
      </c>
    </row>
    <row r="642" spans="1:15" ht="22" customHeight="1" x14ac:dyDescent="0.35">
      <c r="A642" s="136">
        <v>598</v>
      </c>
      <c r="B642" s="165" t="str">
        <f>IF($A642&gt;MIN($A$10,$A$2),"",INDEX(DemoHistory[Date],$A642))</f>
        <v/>
      </c>
      <c r="C642" s="166" t="str">
        <f>IF(OR($A642&gt;MIN($A$10,$A$2),$A$5=""),"",INDEX(DemoHistory[],$A642,MATCH($A$5,DemoHistory[#Headers],0)))</f>
        <v/>
      </c>
      <c r="D642" s="166" t="str">
        <f>IF($A642&gt;MIN($A$10,$A$2),"",IF(AND($A$12,$A$6=1,B642&lt;$A$7,$A$7&lt;=MAX(DemoHistory[Date])),$A$8,1))</f>
        <v/>
      </c>
      <c r="E642" s="166" t="str">
        <f t="shared" si="27"/>
        <v/>
      </c>
      <c r="F642" s="166" t="str">
        <f>IF($A642&gt;MIN($A$10,$A$2),"",IF($A642&lt;50,"n.a.",IF(COUNT(INDEX(StockDaily[Adjusted close],MAX(1,$A642-50+1)):E642)=50,AVERAGE(INDEX(StockDaily[Adjusted close],MAX(1,$A642-50+1)):E642),"n.a.")))</f>
        <v/>
      </c>
      <c r="G642" s="166" t="str">
        <f>IF($A642&gt;MIN($A$10,$A$2),"",IF($A642&lt;200,"n.a.",IF(COUNT(INDEX(StockDaily[Adjusted close],MAX(1,$A642-200+1)):E642)=200,AVERAGE(INDEX(StockDaily[Adjusted close],MAX(1,$A642-200+1)):E642),"n.a.")))</f>
        <v/>
      </c>
      <c r="H642" s="136" t="str">
        <f>IF($A642&gt;MIN($A$10,$A$2),"",IF($A$5="","Choose stock",IF(NOT($A$12),"Check split rule",IF(NOT(ISNUMBER(B642)),"Invalid date",IF(OR(B642&lt;=0,B642&lt;&gt;INT(B642)),"Invalid date",IF(COUNTIFS(DemoHistory[Date],B642)&lt;&gt;1,"Duplicate date",IF(AND($A642&gt;1,B642&lt;=B641),"Dates out of order",IF(NOT(ISNUMBER(C642)),"Missing price",IF(C642&lt;=0,"Nonpositive price","OK")))))))))</f>
        <v/>
      </c>
      <c r="I642" s="136"/>
      <c r="J642" s="136"/>
      <c r="K642" s="136"/>
      <c r="L642" s="136"/>
      <c r="M642" s="136"/>
      <c r="N642" s="136" t="e">
        <f t="shared" si="28"/>
        <v>#N/A</v>
      </c>
      <c r="O642" s="136" t="e">
        <f t="shared" si="29"/>
        <v>#N/A</v>
      </c>
    </row>
    <row r="643" spans="1:15" ht="22" customHeight="1" x14ac:dyDescent="0.35">
      <c r="A643" s="136">
        <v>599</v>
      </c>
      <c r="B643" s="165" t="str">
        <f>IF($A643&gt;MIN($A$10,$A$2),"",INDEX(DemoHistory[Date],$A643))</f>
        <v/>
      </c>
      <c r="C643" s="166" t="str">
        <f>IF(OR($A643&gt;MIN($A$10,$A$2),$A$5=""),"",INDEX(DemoHistory[],$A643,MATCH($A$5,DemoHistory[#Headers],0)))</f>
        <v/>
      </c>
      <c r="D643" s="166" t="str">
        <f>IF($A643&gt;MIN($A$10,$A$2),"",IF(AND($A$12,$A$6=1,B643&lt;$A$7,$A$7&lt;=MAX(DemoHistory[Date])),$A$8,1))</f>
        <v/>
      </c>
      <c r="E643" s="166" t="str">
        <f t="shared" si="27"/>
        <v/>
      </c>
      <c r="F643" s="166" t="str">
        <f>IF($A643&gt;MIN($A$10,$A$2),"",IF($A643&lt;50,"n.a.",IF(COUNT(INDEX(StockDaily[Adjusted close],MAX(1,$A643-50+1)):E643)=50,AVERAGE(INDEX(StockDaily[Adjusted close],MAX(1,$A643-50+1)):E643),"n.a.")))</f>
        <v/>
      </c>
      <c r="G643" s="166" t="str">
        <f>IF($A643&gt;MIN($A$10,$A$2),"",IF($A643&lt;200,"n.a.",IF(COUNT(INDEX(StockDaily[Adjusted close],MAX(1,$A643-200+1)):E643)=200,AVERAGE(INDEX(StockDaily[Adjusted close],MAX(1,$A643-200+1)):E643),"n.a.")))</f>
        <v/>
      </c>
      <c r="H643" s="136" t="str">
        <f>IF($A643&gt;MIN($A$10,$A$2),"",IF($A$5="","Choose stock",IF(NOT($A$12),"Check split rule",IF(NOT(ISNUMBER(B643)),"Invalid date",IF(OR(B643&lt;=0,B643&lt;&gt;INT(B643)),"Invalid date",IF(COUNTIFS(DemoHistory[Date],B643)&lt;&gt;1,"Duplicate date",IF(AND($A643&gt;1,B643&lt;=B642),"Dates out of order",IF(NOT(ISNUMBER(C643)),"Missing price",IF(C643&lt;=0,"Nonpositive price","OK")))))))))</f>
        <v/>
      </c>
      <c r="I643" s="136"/>
      <c r="J643" s="136"/>
      <c r="K643" s="136"/>
      <c r="L643" s="136"/>
      <c r="M643" s="136"/>
      <c r="N643" s="136" t="e">
        <f t="shared" si="28"/>
        <v>#N/A</v>
      </c>
      <c r="O643" s="136" t="e">
        <f t="shared" si="29"/>
        <v>#N/A</v>
      </c>
    </row>
    <row r="644" spans="1:15" ht="22" customHeight="1" x14ac:dyDescent="0.35">
      <c r="A644" s="136">
        <v>600</v>
      </c>
      <c r="B644" s="165" t="str">
        <f>IF($A644&gt;MIN($A$10,$A$2),"",INDEX(DemoHistory[Date],$A644))</f>
        <v/>
      </c>
      <c r="C644" s="166" t="str">
        <f>IF(OR($A644&gt;MIN($A$10,$A$2),$A$5=""),"",INDEX(DemoHistory[],$A644,MATCH($A$5,DemoHistory[#Headers],0)))</f>
        <v/>
      </c>
      <c r="D644" s="166" t="str">
        <f>IF($A644&gt;MIN($A$10,$A$2),"",IF(AND($A$12,$A$6=1,B644&lt;$A$7,$A$7&lt;=MAX(DemoHistory[Date])),$A$8,1))</f>
        <v/>
      </c>
      <c r="E644" s="166" t="str">
        <f t="shared" si="27"/>
        <v/>
      </c>
      <c r="F644" s="166" t="str">
        <f>IF($A644&gt;MIN($A$10,$A$2),"",IF($A644&lt;50,"n.a.",IF(COUNT(INDEX(StockDaily[Adjusted close],MAX(1,$A644-50+1)):E644)=50,AVERAGE(INDEX(StockDaily[Adjusted close],MAX(1,$A644-50+1)):E644),"n.a.")))</f>
        <v/>
      </c>
      <c r="G644" s="166" t="str">
        <f>IF($A644&gt;MIN($A$10,$A$2),"",IF($A644&lt;200,"n.a.",IF(COUNT(INDEX(StockDaily[Adjusted close],MAX(1,$A644-200+1)):E644)=200,AVERAGE(INDEX(StockDaily[Adjusted close],MAX(1,$A644-200+1)):E644),"n.a.")))</f>
        <v/>
      </c>
      <c r="H644" s="136" t="str">
        <f>IF($A644&gt;MIN($A$10,$A$2),"",IF($A$5="","Choose stock",IF(NOT($A$12),"Check split rule",IF(NOT(ISNUMBER(B644)),"Invalid date",IF(OR(B644&lt;=0,B644&lt;&gt;INT(B644)),"Invalid date",IF(COUNTIFS(DemoHistory[Date],B644)&lt;&gt;1,"Duplicate date",IF(AND($A644&gt;1,B644&lt;=B643),"Dates out of order",IF(NOT(ISNUMBER(C644)),"Missing price",IF(C644&lt;=0,"Nonpositive price","OK")))))))))</f>
        <v/>
      </c>
      <c r="I644" s="136"/>
      <c r="J644" s="136"/>
      <c r="K644" s="136"/>
      <c r="L644" s="136"/>
      <c r="M644" s="136"/>
      <c r="N644" s="136" t="e">
        <f t="shared" si="28"/>
        <v>#N/A</v>
      </c>
      <c r="O644" s="136" t="e">
        <f t="shared" si="29"/>
        <v>#N/A</v>
      </c>
    </row>
    <row r="645" spans="1:15" ht="22" customHeight="1" x14ac:dyDescent="0.35">
      <c r="A645" s="136">
        <v>601</v>
      </c>
      <c r="B645" s="165" t="str">
        <f>IF($A645&gt;MIN($A$10,$A$2),"",INDEX(DemoHistory[Date],$A645))</f>
        <v/>
      </c>
      <c r="C645" s="166" t="str">
        <f>IF(OR($A645&gt;MIN($A$10,$A$2),$A$5=""),"",INDEX(DemoHistory[],$A645,MATCH($A$5,DemoHistory[#Headers],0)))</f>
        <v/>
      </c>
      <c r="D645" s="166" t="str">
        <f>IF($A645&gt;MIN($A$10,$A$2),"",IF(AND($A$12,$A$6=1,B645&lt;$A$7,$A$7&lt;=MAX(DemoHistory[Date])),$A$8,1))</f>
        <v/>
      </c>
      <c r="E645" s="166" t="str">
        <f t="shared" si="27"/>
        <v/>
      </c>
      <c r="F645" s="166" t="str">
        <f>IF($A645&gt;MIN($A$10,$A$2),"",IF($A645&lt;50,"n.a.",IF(COUNT(INDEX(StockDaily[Adjusted close],MAX(1,$A645-50+1)):E645)=50,AVERAGE(INDEX(StockDaily[Adjusted close],MAX(1,$A645-50+1)):E645),"n.a.")))</f>
        <v/>
      </c>
      <c r="G645" s="166" t="str">
        <f>IF($A645&gt;MIN($A$10,$A$2),"",IF($A645&lt;200,"n.a.",IF(COUNT(INDEX(StockDaily[Adjusted close],MAX(1,$A645-200+1)):E645)=200,AVERAGE(INDEX(StockDaily[Adjusted close],MAX(1,$A645-200+1)):E645),"n.a.")))</f>
        <v/>
      </c>
      <c r="H645" s="136" t="str">
        <f>IF($A645&gt;MIN($A$10,$A$2),"",IF($A$5="","Choose stock",IF(NOT($A$12),"Check split rule",IF(NOT(ISNUMBER(B645)),"Invalid date",IF(OR(B645&lt;=0,B645&lt;&gt;INT(B645)),"Invalid date",IF(COUNTIFS(DemoHistory[Date],B645)&lt;&gt;1,"Duplicate date",IF(AND($A645&gt;1,B645&lt;=B644),"Dates out of order",IF(NOT(ISNUMBER(C645)),"Missing price",IF(C645&lt;=0,"Nonpositive price","OK")))))))))</f>
        <v/>
      </c>
      <c r="I645" s="136"/>
      <c r="J645" s="136"/>
      <c r="K645" s="136"/>
      <c r="L645" s="136"/>
      <c r="M645" s="136"/>
      <c r="N645" s="136" t="e">
        <f t="shared" si="28"/>
        <v>#N/A</v>
      </c>
      <c r="O645" s="136" t="e">
        <f t="shared" si="29"/>
        <v>#N/A</v>
      </c>
    </row>
    <row r="646" spans="1:15" ht="22" customHeight="1" x14ac:dyDescent="0.35">
      <c r="A646" s="136">
        <v>602</v>
      </c>
      <c r="B646" s="165" t="str">
        <f>IF($A646&gt;MIN($A$10,$A$2),"",INDEX(DemoHistory[Date],$A646))</f>
        <v/>
      </c>
      <c r="C646" s="166" t="str">
        <f>IF(OR($A646&gt;MIN($A$10,$A$2),$A$5=""),"",INDEX(DemoHistory[],$A646,MATCH($A$5,DemoHistory[#Headers],0)))</f>
        <v/>
      </c>
      <c r="D646" s="166" t="str">
        <f>IF($A646&gt;MIN($A$10,$A$2),"",IF(AND($A$12,$A$6=1,B646&lt;$A$7,$A$7&lt;=MAX(DemoHistory[Date])),$A$8,1))</f>
        <v/>
      </c>
      <c r="E646" s="166" t="str">
        <f t="shared" si="27"/>
        <v/>
      </c>
      <c r="F646" s="166" t="str">
        <f>IF($A646&gt;MIN($A$10,$A$2),"",IF($A646&lt;50,"n.a.",IF(COUNT(INDEX(StockDaily[Adjusted close],MAX(1,$A646-50+1)):E646)=50,AVERAGE(INDEX(StockDaily[Adjusted close],MAX(1,$A646-50+1)):E646),"n.a.")))</f>
        <v/>
      </c>
      <c r="G646" s="166" t="str">
        <f>IF($A646&gt;MIN($A$10,$A$2),"",IF($A646&lt;200,"n.a.",IF(COUNT(INDEX(StockDaily[Adjusted close],MAX(1,$A646-200+1)):E646)=200,AVERAGE(INDEX(StockDaily[Adjusted close],MAX(1,$A646-200+1)):E646),"n.a.")))</f>
        <v/>
      </c>
      <c r="H646" s="136" t="str">
        <f>IF($A646&gt;MIN($A$10,$A$2),"",IF($A$5="","Choose stock",IF(NOT($A$12),"Check split rule",IF(NOT(ISNUMBER(B646)),"Invalid date",IF(OR(B646&lt;=0,B646&lt;&gt;INT(B646)),"Invalid date",IF(COUNTIFS(DemoHistory[Date],B646)&lt;&gt;1,"Duplicate date",IF(AND($A646&gt;1,B646&lt;=B645),"Dates out of order",IF(NOT(ISNUMBER(C646)),"Missing price",IF(C646&lt;=0,"Nonpositive price","OK")))))))))</f>
        <v/>
      </c>
      <c r="I646" s="136"/>
      <c r="J646" s="136"/>
      <c r="K646" s="136"/>
      <c r="L646" s="136"/>
      <c r="M646" s="136"/>
      <c r="N646" s="136" t="e">
        <f t="shared" si="28"/>
        <v>#N/A</v>
      </c>
      <c r="O646" s="136" t="e">
        <f t="shared" si="29"/>
        <v>#N/A</v>
      </c>
    </row>
    <row r="647" spans="1:15" ht="22" customHeight="1" x14ac:dyDescent="0.35">
      <c r="A647" s="136">
        <v>603</v>
      </c>
      <c r="B647" s="165" t="str">
        <f>IF($A647&gt;MIN($A$10,$A$2),"",INDEX(DemoHistory[Date],$A647))</f>
        <v/>
      </c>
      <c r="C647" s="166" t="str">
        <f>IF(OR($A647&gt;MIN($A$10,$A$2),$A$5=""),"",INDEX(DemoHistory[],$A647,MATCH($A$5,DemoHistory[#Headers],0)))</f>
        <v/>
      </c>
      <c r="D647" s="166" t="str">
        <f>IF($A647&gt;MIN($A$10,$A$2),"",IF(AND($A$12,$A$6=1,B647&lt;$A$7,$A$7&lt;=MAX(DemoHistory[Date])),$A$8,1))</f>
        <v/>
      </c>
      <c r="E647" s="166" t="str">
        <f t="shared" si="27"/>
        <v/>
      </c>
      <c r="F647" s="166" t="str">
        <f>IF($A647&gt;MIN($A$10,$A$2),"",IF($A647&lt;50,"n.a.",IF(COUNT(INDEX(StockDaily[Adjusted close],MAX(1,$A647-50+1)):E647)=50,AVERAGE(INDEX(StockDaily[Adjusted close],MAX(1,$A647-50+1)):E647),"n.a.")))</f>
        <v/>
      </c>
      <c r="G647" s="166" t="str">
        <f>IF($A647&gt;MIN($A$10,$A$2),"",IF($A647&lt;200,"n.a.",IF(COUNT(INDEX(StockDaily[Adjusted close],MAX(1,$A647-200+1)):E647)=200,AVERAGE(INDEX(StockDaily[Adjusted close],MAX(1,$A647-200+1)):E647),"n.a.")))</f>
        <v/>
      </c>
      <c r="H647" s="136" t="str">
        <f>IF($A647&gt;MIN($A$10,$A$2),"",IF($A$5="","Choose stock",IF(NOT($A$12),"Check split rule",IF(NOT(ISNUMBER(B647)),"Invalid date",IF(OR(B647&lt;=0,B647&lt;&gt;INT(B647)),"Invalid date",IF(COUNTIFS(DemoHistory[Date],B647)&lt;&gt;1,"Duplicate date",IF(AND($A647&gt;1,B647&lt;=B646),"Dates out of order",IF(NOT(ISNUMBER(C647)),"Missing price",IF(C647&lt;=0,"Nonpositive price","OK")))))))))</f>
        <v/>
      </c>
      <c r="I647" s="136"/>
      <c r="J647" s="136"/>
      <c r="K647" s="136"/>
      <c r="L647" s="136"/>
      <c r="M647" s="136"/>
      <c r="N647" s="136" t="e">
        <f t="shared" si="28"/>
        <v>#N/A</v>
      </c>
      <c r="O647" s="136" t="e">
        <f t="shared" si="29"/>
        <v>#N/A</v>
      </c>
    </row>
    <row r="648" spans="1:15" ht="22" customHeight="1" x14ac:dyDescent="0.35">
      <c r="A648" s="136">
        <v>604</v>
      </c>
      <c r="B648" s="165" t="str">
        <f>IF($A648&gt;MIN($A$10,$A$2),"",INDEX(DemoHistory[Date],$A648))</f>
        <v/>
      </c>
      <c r="C648" s="166" t="str">
        <f>IF(OR($A648&gt;MIN($A$10,$A$2),$A$5=""),"",INDEX(DemoHistory[],$A648,MATCH($A$5,DemoHistory[#Headers],0)))</f>
        <v/>
      </c>
      <c r="D648" s="166" t="str">
        <f>IF($A648&gt;MIN($A$10,$A$2),"",IF(AND($A$12,$A$6=1,B648&lt;$A$7,$A$7&lt;=MAX(DemoHistory[Date])),$A$8,1))</f>
        <v/>
      </c>
      <c r="E648" s="166" t="str">
        <f t="shared" si="27"/>
        <v/>
      </c>
      <c r="F648" s="166" t="str">
        <f>IF($A648&gt;MIN($A$10,$A$2),"",IF($A648&lt;50,"n.a.",IF(COUNT(INDEX(StockDaily[Adjusted close],MAX(1,$A648-50+1)):E648)=50,AVERAGE(INDEX(StockDaily[Adjusted close],MAX(1,$A648-50+1)):E648),"n.a.")))</f>
        <v/>
      </c>
      <c r="G648" s="166" t="str">
        <f>IF($A648&gt;MIN($A$10,$A$2),"",IF($A648&lt;200,"n.a.",IF(COUNT(INDEX(StockDaily[Adjusted close],MAX(1,$A648-200+1)):E648)=200,AVERAGE(INDEX(StockDaily[Adjusted close],MAX(1,$A648-200+1)):E648),"n.a.")))</f>
        <v/>
      </c>
      <c r="H648" s="136" t="str">
        <f>IF($A648&gt;MIN($A$10,$A$2),"",IF($A$5="","Choose stock",IF(NOT($A$12),"Check split rule",IF(NOT(ISNUMBER(B648)),"Invalid date",IF(OR(B648&lt;=0,B648&lt;&gt;INT(B648)),"Invalid date",IF(COUNTIFS(DemoHistory[Date],B648)&lt;&gt;1,"Duplicate date",IF(AND($A648&gt;1,B648&lt;=B647),"Dates out of order",IF(NOT(ISNUMBER(C648)),"Missing price",IF(C648&lt;=0,"Nonpositive price","OK")))))))))</f>
        <v/>
      </c>
      <c r="I648" s="136"/>
      <c r="J648" s="136"/>
      <c r="K648" s="136"/>
      <c r="L648" s="136"/>
      <c r="M648" s="136"/>
      <c r="N648" s="136" t="e">
        <f t="shared" si="28"/>
        <v>#N/A</v>
      </c>
      <c r="O648" s="136" t="e">
        <f t="shared" si="29"/>
        <v>#N/A</v>
      </c>
    </row>
    <row r="649" spans="1:15" ht="22" customHeight="1" x14ac:dyDescent="0.35">
      <c r="A649" s="136">
        <v>605</v>
      </c>
      <c r="B649" s="165" t="str">
        <f>IF($A649&gt;MIN($A$10,$A$2),"",INDEX(DemoHistory[Date],$A649))</f>
        <v/>
      </c>
      <c r="C649" s="166" t="str">
        <f>IF(OR($A649&gt;MIN($A$10,$A$2),$A$5=""),"",INDEX(DemoHistory[],$A649,MATCH($A$5,DemoHistory[#Headers],0)))</f>
        <v/>
      </c>
      <c r="D649" s="166" t="str">
        <f>IF($A649&gt;MIN($A$10,$A$2),"",IF(AND($A$12,$A$6=1,B649&lt;$A$7,$A$7&lt;=MAX(DemoHistory[Date])),$A$8,1))</f>
        <v/>
      </c>
      <c r="E649" s="166" t="str">
        <f t="shared" si="27"/>
        <v/>
      </c>
      <c r="F649" s="166" t="str">
        <f>IF($A649&gt;MIN($A$10,$A$2),"",IF($A649&lt;50,"n.a.",IF(COUNT(INDEX(StockDaily[Adjusted close],MAX(1,$A649-50+1)):E649)=50,AVERAGE(INDEX(StockDaily[Adjusted close],MAX(1,$A649-50+1)):E649),"n.a.")))</f>
        <v/>
      </c>
      <c r="G649" s="166" t="str">
        <f>IF($A649&gt;MIN($A$10,$A$2),"",IF($A649&lt;200,"n.a.",IF(COUNT(INDEX(StockDaily[Adjusted close],MAX(1,$A649-200+1)):E649)=200,AVERAGE(INDEX(StockDaily[Adjusted close],MAX(1,$A649-200+1)):E649),"n.a.")))</f>
        <v/>
      </c>
      <c r="H649" s="136" t="str">
        <f>IF($A649&gt;MIN($A$10,$A$2),"",IF($A$5="","Choose stock",IF(NOT($A$12),"Check split rule",IF(NOT(ISNUMBER(B649)),"Invalid date",IF(OR(B649&lt;=0,B649&lt;&gt;INT(B649)),"Invalid date",IF(COUNTIFS(DemoHistory[Date],B649)&lt;&gt;1,"Duplicate date",IF(AND($A649&gt;1,B649&lt;=B648),"Dates out of order",IF(NOT(ISNUMBER(C649)),"Missing price",IF(C649&lt;=0,"Nonpositive price","OK")))))))))</f>
        <v/>
      </c>
      <c r="I649" s="136"/>
      <c r="J649" s="136"/>
      <c r="K649" s="136"/>
      <c r="L649" s="136"/>
      <c r="M649" s="136"/>
      <c r="N649" s="136" t="e">
        <f t="shared" si="28"/>
        <v>#N/A</v>
      </c>
      <c r="O649" s="136" t="e">
        <f t="shared" si="29"/>
        <v>#N/A</v>
      </c>
    </row>
    <row r="650" spans="1:15" ht="22" customHeight="1" x14ac:dyDescent="0.35">
      <c r="A650" s="136">
        <v>606</v>
      </c>
      <c r="B650" s="165" t="str">
        <f>IF($A650&gt;MIN($A$10,$A$2),"",INDEX(DemoHistory[Date],$A650))</f>
        <v/>
      </c>
      <c r="C650" s="166" t="str">
        <f>IF(OR($A650&gt;MIN($A$10,$A$2),$A$5=""),"",INDEX(DemoHistory[],$A650,MATCH($A$5,DemoHistory[#Headers],0)))</f>
        <v/>
      </c>
      <c r="D650" s="166" t="str">
        <f>IF($A650&gt;MIN($A$10,$A$2),"",IF(AND($A$12,$A$6=1,B650&lt;$A$7,$A$7&lt;=MAX(DemoHistory[Date])),$A$8,1))</f>
        <v/>
      </c>
      <c r="E650" s="166" t="str">
        <f t="shared" si="27"/>
        <v/>
      </c>
      <c r="F650" s="166" t="str">
        <f>IF($A650&gt;MIN($A$10,$A$2),"",IF($A650&lt;50,"n.a.",IF(COUNT(INDEX(StockDaily[Adjusted close],MAX(1,$A650-50+1)):E650)=50,AVERAGE(INDEX(StockDaily[Adjusted close],MAX(1,$A650-50+1)):E650),"n.a.")))</f>
        <v/>
      </c>
      <c r="G650" s="166" t="str">
        <f>IF($A650&gt;MIN($A$10,$A$2),"",IF($A650&lt;200,"n.a.",IF(COUNT(INDEX(StockDaily[Adjusted close],MAX(1,$A650-200+1)):E650)=200,AVERAGE(INDEX(StockDaily[Adjusted close],MAX(1,$A650-200+1)):E650),"n.a.")))</f>
        <v/>
      </c>
      <c r="H650" s="136" t="str">
        <f>IF($A650&gt;MIN($A$10,$A$2),"",IF($A$5="","Choose stock",IF(NOT($A$12),"Check split rule",IF(NOT(ISNUMBER(B650)),"Invalid date",IF(OR(B650&lt;=0,B650&lt;&gt;INT(B650)),"Invalid date",IF(COUNTIFS(DemoHistory[Date],B650)&lt;&gt;1,"Duplicate date",IF(AND($A650&gt;1,B650&lt;=B649),"Dates out of order",IF(NOT(ISNUMBER(C650)),"Missing price",IF(C650&lt;=0,"Nonpositive price","OK")))))))))</f>
        <v/>
      </c>
      <c r="I650" s="136"/>
      <c r="J650" s="136"/>
      <c r="K650" s="136"/>
      <c r="L650" s="136"/>
      <c r="M650" s="136"/>
      <c r="N650" s="136" t="e">
        <f t="shared" si="28"/>
        <v>#N/A</v>
      </c>
      <c r="O650" s="136" t="e">
        <f t="shared" si="29"/>
        <v>#N/A</v>
      </c>
    </row>
    <row r="651" spans="1:15" ht="22" customHeight="1" x14ac:dyDescent="0.35">
      <c r="A651" s="136">
        <v>607</v>
      </c>
      <c r="B651" s="165" t="str">
        <f>IF($A651&gt;MIN($A$10,$A$2),"",INDEX(DemoHistory[Date],$A651))</f>
        <v/>
      </c>
      <c r="C651" s="166" t="str">
        <f>IF(OR($A651&gt;MIN($A$10,$A$2),$A$5=""),"",INDEX(DemoHistory[],$A651,MATCH($A$5,DemoHistory[#Headers],0)))</f>
        <v/>
      </c>
      <c r="D651" s="166" t="str">
        <f>IF($A651&gt;MIN($A$10,$A$2),"",IF(AND($A$12,$A$6=1,B651&lt;$A$7,$A$7&lt;=MAX(DemoHistory[Date])),$A$8,1))</f>
        <v/>
      </c>
      <c r="E651" s="166" t="str">
        <f t="shared" si="27"/>
        <v/>
      </c>
      <c r="F651" s="166" t="str">
        <f>IF($A651&gt;MIN($A$10,$A$2),"",IF($A651&lt;50,"n.a.",IF(COUNT(INDEX(StockDaily[Adjusted close],MAX(1,$A651-50+1)):E651)=50,AVERAGE(INDEX(StockDaily[Adjusted close],MAX(1,$A651-50+1)):E651),"n.a.")))</f>
        <v/>
      </c>
      <c r="G651" s="166" t="str">
        <f>IF($A651&gt;MIN($A$10,$A$2),"",IF($A651&lt;200,"n.a.",IF(COUNT(INDEX(StockDaily[Adjusted close],MAX(1,$A651-200+1)):E651)=200,AVERAGE(INDEX(StockDaily[Adjusted close],MAX(1,$A651-200+1)):E651),"n.a.")))</f>
        <v/>
      </c>
      <c r="H651" s="136" t="str">
        <f>IF($A651&gt;MIN($A$10,$A$2),"",IF($A$5="","Choose stock",IF(NOT($A$12),"Check split rule",IF(NOT(ISNUMBER(B651)),"Invalid date",IF(OR(B651&lt;=0,B651&lt;&gt;INT(B651)),"Invalid date",IF(COUNTIFS(DemoHistory[Date],B651)&lt;&gt;1,"Duplicate date",IF(AND($A651&gt;1,B651&lt;=B650),"Dates out of order",IF(NOT(ISNUMBER(C651)),"Missing price",IF(C651&lt;=0,"Nonpositive price","OK")))))))))</f>
        <v/>
      </c>
      <c r="I651" s="136"/>
      <c r="J651" s="136"/>
      <c r="K651" s="136"/>
      <c r="L651" s="136"/>
      <c r="M651" s="136"/>
      <c r="N651" s="136" t="e">
        <f t="shared" si="28"/>
        <v>#N/A</v>
      </c>
      <c r="O651" s="136" t="e">
        <f t="shared" si="29"/>
        <v>#N/A</v>
      </c>
    </row>
    <row r="652" spans="1:15" ht="22" customHeight="1" x14ac:dyDescent="0.35">
      <c r="A652" s="136">
        <v>608</v>
      </c>
      <c r="B652" s="165" t="str">
        <f>IF($A652&gt;MIN($A$10,$A$2),"",INDEX(DemoHistory[Date],$A652))</f>
        <v/>
      </c>
      <c r="C652" s="166" t="str">
        <f>IF(OR($A652&gt;MIN($A$10,$A$2),$A$5=""),"",INDEX(DemoHistory[],$A652,MATCH($A$5,DemoHistory[#Headers],0)))</f>
        <v/>
      </c>
      <c r="D652" s="166" t="str">
        <f>IF($A652&gt;MIN($A$10,$A$2),"",IF(AND($A$12,$A$6=1,B652&lt;$A$7,$A$7&lt;=MAX(DemoHistory[Date])),$A$8,1))</f>
        <v/>
      </c>
      <c r="E652" s="166" t="str">
        <f t="shared" si="27"/>
        <v/>
      </c>
      <c r="F652" s="166" t="str">
        <f>IF($A652&gt;MIN($A$10,$A$2),"",IF($A652&lt;50,"n.a.",IF(COUNT(INDEX(StockDaily[Adjusted close],MAX(1,$A652-50+1)):E652)=50,AVERAGE(INDEX(StockDaily[Adjusted close],MAX(1,$A652-50+1)):E652),"n.a.")))</f>
        <v/>
      </c>
      <c r="G652" s="166" t="str">
        <f>IF($A652&gt;MIN($A$10,$A$2),"",IF($A652&lt;200,"n.a.",IF(COUNT(INDEX(StockDaily[Adjusted close],MAX(1,$A652-200+1)):E652)=200,AVERAGE(INDEX(StockDaily[Adjusted close],MAX(1,$A652-200+1)):E652),"n.a.")))</f>
        <v/>
      </c>
      <c r="H652" s="136" t="str">
        <f>IF($A652&gt;MIN($A$10,$A$2),"",IF($A$5="","Choose stock",IF(NOT($A$12),"Check split rule",IF(NOT(ISNUMBER(B652)),"Invalid date",IF(OR(B652&lt;=0,B652&lt;&gt;INT(B652)),"Invalid date",IF(COUNTIFS(DemoHistory[Date],B652)&lt;&gt;1,"Duplicate date",IF(AND($A652&gt;1,B652&lt;=B651),"Dates out of order",IF(NOT(ISNUMBER(C652)),"Missing price",IF(C652&lt;=0,"Nonpositive price","OK")))))))))</f>
        <v/>
      </c>
      <c r="I652" s="136"/>
      <c r="J652" s="136"/>
      <c r="K652" s="136"/>
      <c r="L652" s="136"/>
      <c r="M652" s="136"/>
      <c r="N652" s="136" t="e">
        <f t="shared" si="28"/>
        <v>#N/A</v>
      </c>
      <c r="O652" s="136" t="e">
        <f t="shared" si="29"/>
        <v>#N/A</v>
      </c>
    </row>
    <row r="653" spans="1:15" ht="22" customHeight="1" x14ac:dyDescent="0.35">
      <c r="A653" s="136">
        <v>609</v>
      </c>
      <c r="B653" s="165" t="str">
        <f>IF($A653&gt;MIN($A$10,$A$2),"",INDEX(DemoHistory[Date],$A653))</f>
        <v/>
      </c>
      <c r="C653" s="166" t="str">
        <f>IF(OR($A653&gt;MIN($A$10,$A$2),$A$5=""),"",INDEX(DemoHistory[],$A653,MATCH($A$5,DemoHistory[#Headers],0)))</f>
        <v/>
      </c>
      <c r="D653" s="166" t="str">
        <f>IF($A653&gt;MIN($A$10,$A$2),"",IF(AND($A$12,$A$6=1,B653&lt;$A$7,$A$7&lt;=MAX(DemoHistory[Date])),$A$8,1))</f>
        <v/>
      </c>
      <c r="E653" s="166" t="str">
        <f t="shared" si="27"/>
        <v/>
      </c>
      <c r="F653" s="166" t="str">
        <f>IF($A653&gt;MIN($A$10,$A$2),"",IF($A653&lt;50,"n.a.",IF(COUNT(INDEX(StockDaily[Adjusted close],MAX(1,$A653-50+1)):E653)=50,AVERAGE(INDEX(StockDaily[Adjusted close],MAX(1,$A653-50+1)):E653),"n.a.")))</f>
        <v/>
      </c>
      <c r="G653" s="166" t="str">
        <f>IF($A653&gt;MIN($A$10,$A$2),"",IF($A653&lt;200,"n.a.",IF(COUNT(INDEX(StockDaily[Adjusted close],MAX(1,$A653-200+1)):E653)=200,AVERAGE(INDEX(StockDaily[Adjusted close],MAX(1,$A653-200+1)):E653),"n.a.")))</f>
        <v/>
      </c>
      <c r="H653" s="136" t="str">
        <f>IF($A653&gt;MIN($A$10,$A$2),"",IF($A$5="","Choose stock",IF(NOT($A$12),"Check split rule",IF(NOT(ISNUMBER(B653)),"Invalid date",IF(OR(B653&lt;=0,B653&lt;&gt;INT(B653)),"Invalid date",IF(COUNTIFS(DemoHistory[Date],B653)&lt;&gt;1,"Duplicate date",IF(AND($A653&gt;1,B653&lt;=B652),"Dates out of order",IF(NOT(ISNUMBER(C653)),"Missing price",IF(C653&lt;=0,"Nonpositive price","OK")))))))))</f>
        <v/>
      </c>
      <c r="I653" s="136"/>
      <c r="J653" s="136"/>
      <c r="K653" s="136"/>
      <c r="L653" s="136"/>
      <c r="M653" s="136"/>
      <c r="N653" s="136" t="e">
        <f t="shared" si="28"/>
        <v>#N/A</v>
      </c>
      <c r="O653" s="136" t="e">
        <f t="shared" si="29"/>
        <v>#N/A</v>
      </c>
    </row>
    <row r="654" spans="1:15" ht="22" customHeight="1" x14ac:dyDescent="0.35">
      <c r="A654" s="136">
        <v>610</v>
      </c>
      <c r="B654" s="165" t="str">
        <f>IF($A654&gt;MIN($A$10,$A$2),"",INDEX(DemoHistory[Date],$A654))</f>
        <v/>
      </c>
      <c r="C654" s="166" t="str">
        <f>IF(OR($A654&gt;MIN($A$10,$A$2),$A$5=""),"",INDEX(DemoHistory[],$A654,MATCH($A$5,DemoHistory[#Headers],0)))</f>
        <v/>
      </c>
      <c r="D654" s="166" t="str">
        <f>IF($A654&gt;MIN($A$10,$A$2),"",IF(AND($A$12,$A$6=1,B654&lt;$A$7,$A$7&lt;=MAX(DemoHistory[Date])),$A$8,1))</f>
        <v/>
      </c>
      <c r="E654" s="166" t="str">
        <f t="shared" si="27"/>
        <v/>
      </c>
      <c r="F654" s="166" t="str">
        <f>IF($A654&gt;MIN($A$10,$A$2),"",IF($A654&lt;50,"n.a.",IF(COUNT(INDEX(StockDaily[Adjusted close],MAX(1,$A654-50+1)):E654)=50,AVERAGE(INDEX(StockDaily[Adjusted close],MAX(1,$A654-50+1)):E654),"n.a.")))</f>
        <v/>
      </c>
      <c r="G654" s="166" t="str">
        <f>IF($A654&gt;MIN($A$10,$A$2),"",IF($A654&lt;200,"n.a.",IF(COUNT(INDEX(StockDaily[Adjusted close],MAX(1,$A654-200+1)):E654)=200,AVERAGE(INDEX(StockDaily[Adjusted close],MAX(1,$A654-200+1)):E654),"n.a.")))</f>
        <v/>
      </c>
      <c r="H654" s="136" t="str">
        <f>IF($A654&gt;MIN($A$10,$A$2),"",IF($A$5="","Choose stock",IF(NOT($A$12),"Check split rule",IF(NOT(ISNUMBER(B654)),"Invalid date",IF(OR(B654&lt;=0,B654&lt;&gt;INT(B654)),"Invalid date",IF(COUNTIFS(DemoHistory[Date],B654)&lt;&gt;1,"Duplicate date",IF(AND($A654&gt;1,B654&lt;=B653),"Dates out of order",IF(NOT(ISNUMBER(C654)),"Missing price",IF(C654&lt;=0,"Nonpositive price","OK")))))))))</f>
        <v/>
      </c>
      <c r="I654" s="136"/>
      <c r="J654" s="136"/>
      <c r="K654" s="136"/>
      <c r="L654" s="136"/>
      <c r="M654" s="136"/>
      <c r="N654" s="136" t="e">
        <f t="shared" si="28"/>
        <v>#N/A</v>
      </c>
      <c r="O654" s="136" t="e">
        <f t="shared" si="29"/>
        <v>#N/A</v>
      </c>
    </row>
    <row r="655" spans="1:15" ht="22" customHeight="1" x14ac:dyDescent="0.35">
      <c r="A655" s="136">
        <v>611</v>
      </c>
      <c r="B655" s="165" t="str">
        <f>IF($A655&gt;MIN($A$10,$A$2),"",INDEX(DemoHistory[Date],$A655))</f>
        <v/>
      </c>
      <c r="C655" s="166" t="str">
        <f>IF(OR($A655&gt;MIN($A$10,$A$2),$A$5=""),"",INDEX(DemoHistory[],$A655,MATCH($A$5,DemoHistory[#Headers],0)))</f>
        <v/>
      </c>
      <c r="D655" s="166" t="str">
        <f>IF($A655&gt;MIN($A$10,$A$2),"",IF(AND($A$12,$A$6=1,B655&lt;$A$7,$A$7&lt;=MAX(DemoHistory[Date])),$A$8,1))</f>
        <v/>
      </c>
      <c r="E655" s="166" t="str">
        <f t="shared" si="27"/>
        <v/>
      </c>
      <c r="F655" s="166" t="str">
        <f>IF($A655&gt;MIN($A$10,$A$2),"",IF($A655&lt;50,"n.a.",IF(COUNT(INDEX(StockDaily[Adjusted close],MAX(1,$A655-50+1)):E655)=50,AVERAGE(INDEX(StockDaily[Adjusted close],MAX(1,$A655-50+1)):E655),"n.a.")))</f>
        <v/>
      </c>
      <c r="G655" s="166" t="str">
        <f>IF($A655&gt;MIN($A$10,$A$2),"",IF($A655&lt;200,"n.a.",IF(COUNT(INDEX(StockDaily[Adjusted close],MAX(1,$A655-200+1)):E655)=200,AVERAGE(INDEX(StockDaily[Adjusted close],MAX(1,$A655-200+1)):E655),"n.a.")))</f>
        <v/>
      </c>
      <c r="H655" s="136" t="str">
        <f>IF($A655&gt;MIN($A$10,$A$2),"",IF($A$5="","Choose stock",IF(NOT($A$12),"Check split rule",IF(NOT(ISNUMBER(B655)),"Invalid date",IF(OR(B655&lt;=0,B655&lt;&gt;INT(B655)),"Invalid date",IF(COUNTIFS(DemoHistory[Date],B655)&lt;&gt;1,"Duplicate date",IF(AND($A655&gt;1,B655&lt;=B654),"Dates out of order",IF(NOT(ISNUMBER(C655)),"Missing price",IF(C655&lt;=0,"Nonpositive price","OK")))))))))</f>
        <v/>
      </c>
      <c r="I655" s="136"/>
      <c r="J655" s="136"/>
      <c r="K655" s="136"/>
      <c r="L655" s="136"/>
      <c r="M655" s="136"/>
      <c r="N655" s="136" t="e">
        <f t="shared" si="28"/>
        <v>#N/A</v>
      </c>
      <c r="O655" s="136" t="e">
        <f t="shared" si="29"/>
        <v>#N/A</v>
      </c>
    </row>
    <row r="656" spans="1:15" ht="22" customHeight="1" x14ac:dyDescent="0.35">
      <c r="A656" s="136">
        <v>612</v>
      </c>
      <c r="B656" s="165" t="str">
        <f>IF($A656&gt;MIN($A$10,$A$2),"",INDEX(DemoHistory[Date],$A656))</f>
        <v/>
      </c>
      <c r="C656" s="166" t="str">
        <f>IF(OR($A656&gt;MIN($A$10,$A$2),$A$5=""),"",INDEX(DemoHistory[],$A656,MATCH($A$5,DemoHistory[#Headers],0)))</f>
        <v/>
      </c>
      <c r="D656" s="166" t="str">
        <f>IF($A656&gt;MIN($A$10,$A$2),"",IF(AND($A$12,$A$6=1,B656&lt;$A$7,$A$7&lt;=MAX(DemoHistory[Date])),$A$8,1))</f>
        <v/>
      </c>
      <c r="E656" s="166" t="str">
        <f t="shared" si="27"/>
        <v/>
      </c>
      <c r="F656" s="166" t="str">
        <f>IF($A656&gt;MIN($A$10,$A$2),"",IF($A656&lt;50,"n.a.",IF(COUNT(INDEX(StockDaily[Adjusted close],MAX(1,$A656-50+1)):E656)=50,AVERAGE(INDEX(StockDaily[Adjusted close],MAX(1,$A656-50+1)):E656),"n.a.")))</f>
        <v/>
      </c>
      <c r="G656" s="166" t="str">
        <f>IF($A656&gt;MIN($A$10,$A$2),"",IF($A656&lt;200,"n.a.",IF(COUNT(INDEX(StockDaily[Adjusted close],MAX(1,$A656-200+1)):E656)=200,AVERAGE(INDEX(StockDaily[Adjusted close],MAX(1,$A656-200+1)):E656),"n.a.")))</f>
        <v/>
      </c>
      <c r="H656" s="136" t="str">
        <f>IF($A656&gt;MIN($A$10,$A$2),"",IF($A$5="","Choose stock",IF(NOT($A$12),"Check split rule",IF(NOT(ISNUMBER(B656)),"Invalid date",IF(OR(B656&lt;=0,B656&lt;&gt;INT(B656)),"Invalid date",IF(COUNTIFS(DemoHistory[Date],B656)&lt;&gt;1,"Duplicate date",IF(AND($A656&gt;1,B656&lt;=B655),"Dates out of order",IF(NOT(ISNUMBER(C656)),"Missing price",IF(C656&lt;=0,"Nonpositive price","OK")))))))))</f>
        <v/>
      </c>
      <c r="I656" s="136"/>
      <c r="J656" s="136"/>
      <c r="K656" s="136"/>
      <c r="L656" s="136"/>
      <c r="M656" s="136"/>
      <c r="N656" s="136" t="e">
        <f t="shared" si="28"/>
        <v>#N/A</v>
      </c>
      <c r="O656" s="136" t="e">
        <f t="shared" si="29"/>
        <v>#N/A</v>
      </c>
    </row>
    <row r="657" spans="1:15" ht="22" customHeight="1" x14ac:dyDescent="0.35">
      <c r="A657" s="136">
        <v>613</v>
      </c>
      <c r="B657" s="165" t="str">
        <f>IF($A657&gt;MIN($A$10,$A$2),"",INDEX(DemoHistory[Date],$A657))</f>
        <v/>
      </c>
      <c r="C657" s="166" t="str">
        <f>IF(OR($A657&gt;MIN($A$10,$A$2),$A$5=""),"",INDEX(DemoHistory[],$A657,MATCH($A$5,DemoHistory[#Headers],0)))</f>
        <v/>
      </c>
      <c r="D657" s="166" t="str">
        <f>IF($A657&gt;MIN($A$10,$A$2),"",IF(AND($A$12,$A$6=1,B657&lt;$A$7,$A$7&lt;=MAX(DemoHistory[Date])),$A$8,1))</f>
        <v/>
      </c>
      <c r="E657" s="166" t="str">
        <f t="shared" si="27"/>
        <v/>
      </c>
      <c r="F657" s="166" t="str">
        <f>IF($A657&gt;MIN($A$10,$A$2),"",IF($A657&lt;50,"n.a.",IF(COUNT(INDEX(StockDaily[Adjusted close],MAX(1,$A657-50+1)):E657)=50,AVERAGE(INDEX(StockDaily[Adjusted close],MAX(1,$A657-50+1)):E657),"n.a.")))</f>
        <v/>
      </c>
      <c r="G657" s="166" t="str">
        <f>IF($A657&gt;MIN($A$10,$A$2),"",IF($A657&lt;200,"n.a.",IF(COUNT(INDEX(StockDaily[Adjusted close],MAX(1,$A657-200+1)):E657)=200,AVERAGE(INDEX(StockDaily[Adjusted close],MAX(1,$A657-200+1)):E657),"n.a.")))</f>
        <v/>
      </c>
      <c r="H657" s="136" t="str">
        <f>IF($A657&gt;MIN($A$10,$A$2),"",IF($A$5="","Choose stock",IF(NOT($A$12),"Check split rule",IF(NOT(ISNUMBER(B657)),"Invalid date",IF(OR(B657&lt;=0,B657&lt;&gt;INT(B657)),"Invalid date",IF(COUNTIFS(DemoHistory[Date],B657)&lt;&gt;1,"Duplicate date",IF(AND($A657&gt;1,B657&lt;=B656),"Dates out of order",IF(NOT(ISNUMBER(C657)),"Missing price",IF(C657&lt;=0,"Nonpositive price","OK")))))))))</f>
        <v/>
      </c>
      <c r="I657" s="136"/>
      <c r="J657" s="136"/>
      <c r="K657" s="136"/>
      <c r="L657" s="136"/>
      <c r="M657" s="136"/>
      <c r="N657" s="136" t="e">
        <f t="shared" si="28"/>
        <v>#N/A</v>
      </c>
      <c r="O657" s="136" t="e">
        <f t="shared" si="29"/>
        <v>#N/A</v>
      </c>
    </row>
    <row r="658" spans="1:15" ht="22" customHeight="1" x14ac:dyDescent="0.35">
      <c r="A658" s="136">
        <v>614</v>
      </c>
      <c r="B658" s="165" t="str">
        <f>IF($A658&gt;MIN($A$10,$A$2),"",INDEX(DemoHistory[Date],$A658))</f>
        <v/>
      </c>
      <c r="C658" s="166" t="str">
        <f>IF(OR($A658&gt;MIN($A$10,$A$2),$A$5=""),"",INDEX(DemoHistory[],$A658,MATCH($A$5,DemoHistory[#Headers],0)))</f>
        <v/>
      </c>
      <c r="D658" s="166" t="str">
        <f>IF($A658&gt;MIN($A$10,$A$2),"",IF(AND($A$12,$A$6=1,B658&lt;$A$7,$A$7&lt;=MAX(DemoHistory[Date])),$A$8,1))</f>
        <v/>
      </c>
      <c r="E658" s="166" t="str">
        <f t="shared" si="27"/>
        <v/>
      </c>
      <c r="F658" s="166" t="str">
        <f>IF($A658&gt;MIN($A$10,$A$2),"",IF($A658&lt;50,"n.a.",IF(COUNT(INDEX(StockDaily[Adjusted close],MAX(1,$A658-50+1)):E658)=50,AVERAGE(INDEX(StockDaily[Adjusted close],MAX(1,$A658-50+1)):E658),"n.a.")))</f>
        <v/>
      </c>
      <c r="G658" s="166" t="str">
        <f>IF($A658&gt;MIN($A$10,$A$2),"",IF($A658&lt;200,"n.a.",IF(COUNT(INDEX(StockDaily[Adjusted close],MAX(1,$A658-200+1)):E658)=200,AVERAGE(INDEX(StockDaily[Adjusted close],MAX(1,$A658-200+1)):E658),"n.a.")))</f>
        <v/>
      </c>
      <c r="H658" s="136" t="str">
        <f>IF($A658&gt;MIN($A$10,$A$2),"",IF($A$5="","Choose stock",IF(NOT($A$12),"Check split rule",IF(NOT(ISNUMBER(B658)),"Invalid date",IF(OR(B658&lt;=0,B658&lt;&gt;INT(B658)),"Invalid date",IF(COUNTIFS(DemoHistory[Date],B658)&lt;&gt;1,"Duplicate date",IF(AND($A658&gt;1,B658&lt;=B657),"Dates out of order",IF(NOT(ISNUMBER(C658)),"Missing price",IF(C658&lt;=0,"Nonpositive price","OK")))))))))</f>
        <v/>
      </c>
      <c r="I658" s="136"/>
      <c r="J658" s="136"/>
      <c r="K658" s="136"/>
      <c r="L658" s="136"/>
      <c r="M658" s="136"/>
      <c r="N658" s="136" t="e">
        <f t="shared" si="28"/>
        <v>#N/A</v>
      </c>
      <c r="O658" s="136" t="e">
        <f t="shared" si="29"/>
        <v>#N/A</v>
      </c>
    </row>
    <row r="659" spans="1:15" ht="22" customHeight="1" x14ac:dyDescent="0.35">
      <c r="A659" s="136">
        <v>615</v>
      </c>
      <c r="B659" s="165" t="str">
        <f>IF($A659&gt;MIN($A$10,$A$2),"",INDEX(DemoHistory[Date],$A659))</f>
        <v/>
      </c>
      <c r="C659" s="166" t="str">
        <f>IF(OR($A659&gt;MIN($A$10,$A$2),$A$5=""),"",INDEX(DemoHistory[],$A659,MATCH($A$5,DemoHistory[#Headers],0)))</f>
        <v/>
      </c>
      <c r="D659" s="166" t="str">
        <f>IF($A659&gt;MIN($A$10,$A$2),"",IF(AND($A$12,$A$6=1,B659&lt;$A$7,$A$7&lt;=MAX(DemoHistory[Date])),$A$8,1))</f>
        <v/>
      </c>
      <c r="E659" s="166" t="str">
        <f t="shared" si="27"/>
        <v/>
      </c>
      <c r="F659" s="166" t="str">
        <f>IF($A659&gt;MIN($A$10,$A$2),"",IF($A659&lt;50,"n.a.",IF(COUNT(INDEX(StockDaily[Adjusted close],MAX(1,$A659-50+1)):E659)=50,AVERAGE(INDEX(StockDaily[Adjusted close],MAX(1,$A659-50+1)):E659),"n.a.")))</f>
        <v/>
      </c>
      <c r="G659" s="166" t="str">
        <f>IF($A659&gt;MIN($A$10,$A$2),"",IF($A659&lt;200,"n.a.",IF(COUNT(INDEX(StockDaily[Adjusted close],MAX(1,$A659-200+1)):E659)=200,AVERAGE(INDEX(StockDaily[Adjusted close],MAX(1,$A659-200+1)):E659),"n.a.")))</f>
        <v/>
      </c>
      <c r="H659" s="136" t="str">
        <f>IF($A659&gt;MIN($A$10,$A$2),"",IF($A$5="","Choose stock",IF(NOT($A$12),"Check split rule",IF(NOT(ISNUMBER(B659)),"Invalid date",IF(OR(B659&lt;=0,B659&lt;&gt;INT(B659)),"Invalid date",IF(COUNTIFS(DemoHistory[Date],B659)&lt;&gt;1,"Duplicate date",IF(AND($A659&gt;1,B659&lt;=B658),"Dates out of order",IF(NOT(ISNUMBER(C659)),"Missing price",IF(C659&lt;=0,"Nonpositive price","OK")))))))))</f>
        <v/>
      </c>
      <c r="I659" s="136"/>
      <c r="J659" s="136"/>
      <c r="K659" s="136"/>
      <c r="L659" s="136"/>
      <c r="M659" s="136"/>
      <c r="N659" s="136" t="e">
        <f t="shared" si="28"/>
        <v>#N/A</v>
      </c>
      <c r="O659" s="136" t="e">
        <f t="shared" si="29"/>
        <v>#N/A</v>
      </c>
    </row>
    <row r="660" spans="1:15" ht="22" customHeight="1" x14ac:dyDescent="0.35">
      <c r="A660" s="136">
        <v>616</v>
      </c>
      <c r="B660" s="165" t="str">
        <f>IF($A660&gt;MIN($A$10,$A$2),"",INDEX(DemoHistory[Date],$A660))</f>
        <v/>
      </c>
      <c r="C660" s="166" t="str">
        <f>IF(OR($A660&gt;MIN($A$10,$A$2),$A$5=""),"",INDEX(DemoHistory[],$A660,MATCH($A$5,DemoHistory[#Headers],0)))</f>
        <v/>
      </c>
      <c r="D660" s="166" t="str">
        <f>IF($A660&gt;MIN($A$10,$A$2),"",IF(AND($A$12,$A$6=1,B660&lt;$A$7,$A$7&lt;=MAX(DemoHistory[Date])),$A$8,1))</f>
        <v/>
      </c>
      <c r="E660" s="166" t="str">
        <f t="shared" si="27"/>
        <v/>
      </c>
      <c r="F660" s="166" t="str">
        <f>IF($A660&gt;MIN($A$10,$A$2),"",IF($A660&lt;50,"n.a.",IF(COUNT(INDEX(StockDaily[Adjusted close],MAX(1,$A660-50+1)):E660)=50,AVERAGE(INDEX(StockDaily[Adjusted close],MAX(1,$A660-50+1)):E660),"n.a.")))</f>
        <v/>
      </c>
      <c r="G660" s="166" t="str">
        <f>IF($A660&gt;MIN($A$10,$A$2),"",IF($A660&lt;200,"n.a.",IF(COUNT(INDEX(StockDaily[Adjusted close],MAX(1,$A660-200+1)):E660)=200,AVERAGE(INDEX(StockDaily[Adjusted close],MAX(1,$A660-200+1)):E660),"n.a.")))</f>
        <v/>
      </c>
      <c r="H660" s="136" t="str">
        <f>IF($A660&gt;MIN($A$10,$A$2),"",IF($A$5="","Choose stock",IF(NOT($A$12),"Check split rule",IF(NOT(ISNUMBER(B660)),"Invalid date",IF(OR(B660&lt;=0,B660&lt;&gt;INT(B660)),"Invalid date",IF(COUNTIFS(DemoHistory[Date],B660)&lt;&gt;1,"Duplicate date",IF(AND($A660&gt;1,B660&lt;=B659),"Dates out of order",IF(NOT(ISNUMBER(C660)),"Missing price",IF(C660&lt;=0,"Nonpositive price","OK")))))))))</f>
        <v/>
      </c>
      <c r="I660" s="136"/>
      <c r="J660" s="136"/>
      <c r="K660" s="136"/>
      <c r="L660" s="136"/>
      <c r="M660" s="136"/>
      <c r="N660" s="136" t="e">
        <f t="shared" si="28"/>
        <v>#N/A</v>
      </c>
      <c r="O660" s="136" t="e">
        <f t="shared" si="29"/>
        <v>#N/A</v>
      </c>
    </row>
    <row r="661" spans="1:15" ht="22" customHeight="1" x14ac:dyDescent="0.35">
      <c r="A661" s="136">
        <v>617</v>
      </c>
      <c r="B661" s="165" t="str">
        <f>IF($A661&gt;MIN($A$10,$A$2),"",INDEX(DemoHistory[Date],$A661))</f>
        <v/>
      </c>
      <c r="C661" s="166" t="str">
        <f>IF(OR($A661&gt;MIN($A$10,$A$2),$A$5=""),"",INDEX(DemoHistory[],$A661,MATCH($A$5,DemoHistory[#Headers],0)))</f>
        <v/>
      </c>
      <c r="D661" s="166" t="str">
        <f>IF($A661&gt;MIN($A$10,$A$2),"",IF(AND($A$12,$A$6=1,B661&lt;$A$7,$A$7&lt;=MAX(DemoHistory[Date])),$A$8,1))</f>
        <v/>
      </c>
      <c r="E661" s="166" t="str">
        <f t="shared" si="27"/>
        <v/>
      </c>
      <c r="F661" s="166" t="str">
        <f>IF($A661&gt;MIN($A$10,$A$2),"",IF($A661&lt;50,"n.a.",IF(COUNT(INDEX(StockDaily[Adjusted close],MAX(1,$A661-50+1)):E661)=50,AVERAGE(INDEX(StockDaily[Adjusted close],MAX(1,$A661-50+1)):E661),"n.a.")))</f>
        <v/>
      </c>
      <c r="G661" s="166" t="str">
        <f>IF($A661&gt;MIN($A$10,$A$2),"",IF($A661&lt;200,"n.a.",IF(COUNT(INDEX(StockDaily[Adjusted close],MAX(1,$A661-200+1)):E661)=200,AVERAGE(INDEX(StockDaily[Adjusted close],MAX(1,$A661-200+1)):E661),"n.a.")))</f>
        <v/>
      </c>
      <c r="H661" s="136" t="str">
        <f>IF($A661&gt;MIN($A$10,$A$2),"",IF($A$5="","Choose stock",IF(NOT($A$12),"Check split rule",IF(NOT(ISNUMBER(B661)),"Invalid date",IF(OR(B661&lt;=0,B661&lt;&gt;INT(B661)),"Invalid date",IF(COUNTIFS(DemoHistory[Date],B661)&lt;&gt;1,"Duplicate date",IF(AND($A661&gt;1,B661&lt;=B660),"Dates out of order",IF(NOT(ISNUMBER(C661)),"Missing price",IF(C661&lt;=0,"Nonpositive price","OK")))))))))</f>
        <v/>
      </c>
      <c r="I661" s="136"/>
      <c r="J661" s="136"/>
      <c r="K661" s="136"/>
      <c r="L661" s="136"/>
      <c r="M661" s="136"/>
      <c r="N661" s="136" t="e">
        <f t="shared" si="28"/>
        <v>#N/A</v>
      </c>
      <c r="O661" s="136" t="e">
        <f t="shared" si="29"/>
        <v>#N/A</v>
      </c>
    </row>
    <row r="662" spans="1:15" ht="22" customHeight="1" x14ac:dyDescent="0.35">
      <c r="A662" s="136">
        <v>618</v>
      </c>
      <c r="B662" s="165" t="str">
        <f>IF($A662&gt;MIN($A$10,$A$2),"",INDEX(DemoHistory[Date],$A662))</f>
        <v/>
      </c>
      <c r="C662" s="166" t="str">
        <f>IF(OR($A662&gt;MIN($A$10,$A$2),$A$5=""),"",INDEX(DemoHistory[],$A662,MATCH($A$5,DemoHistory[#Headers],0)))</f>
        <v/>
      </c>
      <c r="D662" s="166" t="str">
        <f>IF($A662&gt;MIN($A$10,$A$2),"",IF(AND($A$12,$A$6=1,B662&lt;$A$7,$A$7&lt;=MAX(DemoHistory[Date])),$A$8,1))</f>
        <v/>
      </c>
      <c r="E662" s="166" t="str">
        <f t="shared" si="27"/>
        <v/>
      </c>
      <c r="F662" s="166" t="str">
        <f>IF($A662&gt;MIN($A$10,$A$2),"",IF($A662&lt;50,"n.a.",IF(COUNT(INDEX(StockDaily[Adjusted close],MAX(1,$A662-50+1)):E662)=50,AVERAGE(INDEX(StockDaily[Adjusted close],MAX(1,$A662-50+1)):E662),"n.a.")))</f>
        <v/>
      </c>
      <c r="G662" s="166" t="str">
        <f>IF($A662&gt;MIN($A$10,$A$2),"",IF($A662&lt;200,"n.a.",IF(COUNT(INDEX(StockDaily[Adjusted close],MAX(1,$A662-200+1)):E662)=200,AVERAGE(INDEX(StockDaily[Adjusted close],MAX(1,$A662-200+1)):E662),"n.a.")))</f>
        <v/>
      </c>
      <c r="H662" s="136" t="str">
        <f>IF($A662&gt;MIN($A$10,$A$2),"",IF($A$5="","Choose stock",IF(NOT($A$12),"Check split rule",IF(NOT(ISNUMBER(B662)),"Invalid date",IF(OR(B662&lt;=0,B662&lt;&gt;INT(B662)),"Invalid date",IF(COUNTIFS(DemoHistory[Date],B662)&lt;&gt;1,"Duplicate date",IF(AND($A662&gt;1,B662&lt;=B661),"Dates out of order",IF(NOT(ISNUMBER(C662)),"Missing price",IF(C662&lt;=0,"Nonpositive price","OK")))))))))</f>
        <v/>
      </c>
      <c r="I662" s="136"/>
      <c r="J662" s="136"/>
      <c r="K662" s="136"/>
      <c r="L662" s="136"/>
      <c r="M662" s="136"/>
      <c r="N662" s="136" t="e">
        <f t="shared" si="28"/>
        <v>#N/A</v>
      </c>
      <c r="O662" s="136" t="e">
        <f t="shared" si="29"/>
        <v>#N/A</v>
      </c>
    </row>
    <row r="663" spans="1:15" ht="22" customHeight="1" x14ac:dyDescent="0.35">
      <c r="A663" s="136">
        <v>619</v>
      </c>
      <c r="B663" s="165" t="str">
        <f>IF($A663&gt;MIN($A$10,$A$2),"",INDEX(DemoHistory[Date],$A663))</f>
        <v/>
      </c>
      <c r="C663" s="166" t="str">
        <f>IF(OR($A663&gt;MIN($A$10,$A$2),$A$5=""),"",INDEX(DemoHistory[],$A663,MATCH($A$5,DemoHistory[#Headers],0)))</f>
        <v/>
      </c>
      <c r="D663" s="166" t="str">
        <f>IF($A663&gt;MIN($A$10,$A$2),"",IF(AND($A$12,$A$6=1,B663&lt;$A$7,$A$7&lt;=MAX(DemoHistory[Date])),$A$8,1))</f>
        <v/>
      </c>
      <c r="E663" s="166" t="str">
        <f t="shared" si="27"/>
        <v/>
      </c>
      <c r="F663" s="166" t="str">
        <f>IF($A663&gt;MIN($A$10,$A$2),"",IF($A663&lt;50,"n.a.",IF(COUNT(INDEX(StockDaily[Adjusted close],MAX(1,$A663-50+1)):E663)=50,AVERAGE(INDEX(StockDaily[Adjusted close],MAX(1,$A663-50+1)):E663),"n.a.")))</f>
        <v/>
      </c>
      <c r="G663" s="166" t="str">
        <f>IF($A663&gt;MIN($A$10,$A$2),"",IF($A663&lt;200,"n.a.",IF(COUNT(INDEX(StockDaily[Adjusted close],MAX(1,$A663-200+1)):E663)=200,AVERAGE(INDEX(StockDaily[Adjusted close],MAX(1,$A663-200+1)):E663),"n.a.")))</f>
        <v/>
      </c>
      <c r="H663" s="136" t="str">
        <f>IF($A663&gt;MIN($A$10,$A$2),"",IF($A$5="","Choose stock",IF(NOT($A$12),"Check split rule",IF(NOT(ISNUMBER(B663)),"Invalid date",IF(OR(B663&lt;=0,B663&lt;&gt;INT(B663)),"Invalid date",IF(COUNTIFS(DemoHistory[Date],B663)&lt;&gt;1,"Duplicate date",IF(AND($A663&gt;1,B663&lt;=B662),"Dates out of order",IF(NOT(ISNUMBER(C663)),"Missing price",IF(C663&lt;=0,"Nonpositive price","OK")))))))))</f>
        <v/>
      </c>
      <c r="I663" s="136"/>
      <c r="J663" s="136"/>
      <c r="K663" s="136"/>
      <c r="L663" s="136"/>
      <c r="M663" s="136"/>
      <c r="N663" s="136" t="e">
        <f t="shared" si="28"/>
        <v>#N/A</v>
      </c>
      <c r="O663" s="136" t="e">
        <f t="shared" si="29"/>
        <v>#N/A</v>
      </c>
    </row>
    <row r="664" spans="1:15" ht="22" customHeight="1" x14ac:dyDescent="0.35">
      <c r="A664" s="136">
        <v>620</v>
      </c>
      <c r="B664" s="165" t="str">
        <f>IF($A664&gt;MIN($A$10,$A$2),"",INDEX(DemoHistory[Date],$A664))</f>
        <v/>
      </c>
      <c r="C664" s="166" t="str">
        <f>IF(OR($A664&gt;MIN($A$10,$A$2),$A$5=""),"",INDEX(DemoHistory[],$A664,MATCH($A$5,DemoHistory[#Headers],0)))</f>
        <v/>
      </c>
      <c r="D664" s="166" t="str">
        <f>IF($A664&gt;MIN($A$10,$A$2),"",IF(AND($A$12,$A$6=1,B664&lt;$A$7,$A$7&lt;=MAX(DemoHistory[Date])),$A$8,1))</f>
        <v/>
      </c>
      <c r="E664" s="166" t="str">
        <f t="shared" si="27"/>
        <v/>
      </c>
      <c r="F664" s="166" t="str">
        <f>IF($A664&gt;MIN($A$10,$A$2),"",IF($A664&lt;50,"n.a.",IF(COUNT(INDEX(StockDaily[Adjusted close],MAX(1,$A664-50+1)):E664)=50,AVERAGE(INDEX(StockDaily[Adjusted close],MAX(1,$A664-50+1)):E664),"n.a.")))</f>
        <v/>
      </c>
      <c r="G664" s="166" t="str">
        <f>IF($A664&gt;MIN($A$10,$A$2),"",IF($A664&lt;200,"n.a.",IF(COUNT(INDEX(StockDaily[Adjusted close],MAX(1,$A664-200+1)):E664)=200,AVERAGE(INDEX(StockDaily[Adjusted close],MAX(1,$A664-200+1)):E664),"n.a.")))</f>
        <v/>
      </c>
      <c r="H664" s="136" t="str">
        <f>IF($A664&gt;MIN($A$10,$A$2),"",IF($A$5="","Choose stock",IF(NOT($A$12),"Check split rule",IF(NOT(ISNUMBER(B664)),"Invalid date",IF(OR(B664&lt;=0,B664&lt;&gt;INT(B664)),"Invalid date",IF(COUNTIFS(DemoHistory[Date],B664)&lt;&gt;1,"Duplicate date",IF(AND($A664&gt;1,B664&lt;=B663),"Dates out of order",IF(NOT(ISNUMBER(C664)),"Missing price",IF(C664&lt;=0,"Nonpositive price","OK")))))))))</f>
        <v/>
      </c>
      <c r="I664" s="136"/>
      <c r="J664" s="136"/>
      <c r="K664" s="136"/>
      <c r="L664" s="136"/>
      <c r="M664" s="136"/>
      <c r="N664" s="136" t="e">
        <f t="shared" si="28"/>
        <v>#N/A</v>
      </c>
      <c r="O664" s="136" t="e">
        <f t="shared" si="29"/>
        <v>#N/A</v>
      </c>
    </row>
    <row r="665" spans="1:15" ht="22" customHeight="1" x14ac:dyDescent="0.35">
      <c r="A665" s="136">
        <v>621</v>
      </c>
      <c r="B665" s="165" t="str">
        <f>IF($A665&gt;MIN($A$10,$A$2),"",INDEX(DemoHistory[Date],$A665))</f>
        <v/>
      </c>
      <c r="C665" s="166" t="str">
        <f>IF(OR($A665&gt;MIN($A$10,$A$2),$A$5=""),"",INDEX(DemoHistory[],$A665,MATCH($A$5,DemoHistory[#Headers],0)))</f>
        <v/>
      </c>
      <c r="D665" s="166" t="str">
        <f>IF($A665&gt;MIN($A$10,$A$2),"",IF(AND($A$12,$A$6=1,B665&lt;$A$7,$A$7&lt;=MAX(DemoHistory[Date])),$A$8,1))</f>
        <v/>
      </c>
      <c r="E665" s="166" t="str">
        <f t="shared" si="27"/>
        <v/>
      </c>
      <c r="F665" s="166" t="str">
        <f>IF($A665&gt;MIN($A$10,$A$2),"",IF($A665&lt;50,"n.a.",IF(COUNT(INDEX(StockDaily[Adjusted close],MAX(1,$A665-50+1)):E665)=50,AVERAGE(INDEX(StockDaily[Adjusted close],MAX(1,$A665-50+1)):E665),"n.a.")))</f>
        <v/>
      </c>
      <c r="G665" s="166" t="str">
        <f>IF($A665&gt;MIN($A$10,$A$2),"",IF($A665&lt;200,"n.a.",IF(COUNT(INDEX(StockDaily[Adjusted close],MAX(1,$A665-200+1)):E665)=200,AVERAGE(INDEX(StockDaily[Adjusted close],MAX(1,$A665-200+1)):E665),"n.a.")))</f>
        <v/>
      </c>
      <c r="H665" s="136" t="str">
        <f>IF($A665&gt;MIN($A$10,$A$2),"",IF($A$5="","Choose stock",IF(NOT($A$12),"Check split rule",IF(NOT(ISNUMBER(B665)),"Invalid date",IF(OR(B665&lt;=0,B665&lt;&gt;INT(B665)),"Invalid date",IF(COUNTIFS(DemoHistory[Date],B665)&lt;&gt;1,"Duplicate date",IF(AND($A665&gt;1,B665&lt;=B664),"Dates out of order",IF(NOT(ISNUMBER(C665)),"Missing price",IF(C665&lt;=0,"Nonpositive price","OK")))))))))</f>
        <v/>
      </c>
      <c r="I665" s="136"/>
      <c r="J665" s="136"/>
      <c r="K665" s="136"/>
      <c r="L665" s="136"/>
      <c r="M665" s="136"/>
      <c r="N665" s="136" t="e">
        <f t="shared" si="28"/>
        <v>#N/A</v>
      </c>
      <c r="O665" s="136" t="e">
        <f t="shared" si="29"/>
        <v>#N/A</v>
      </c>
    </row>
    <row r="666" spans="1:15" ht="22" customHeight="1" x14ac:dyDescent="0.35">
      <c r="A666" s="136">
        <v>622</v>
      </c>
      <c r="B666" s="165" t="str">
        <f>IF($A666&gt;MIN($A$10,$A$2),"",INDEX(DemoHistory[Date],$A666))</f>
        <v/>
      </c>
      <c r="C666" s="166" t="str">
        <f>IF(OR($A666&gt;MIN($A$10,$A$2),$A$5=""),"",INDEX(DemoHistory[],$A666,MATCH($A$5,DemoHistory[#Headers],0)))</f>
        <v/>
      </c>
      <c r="D666" s="166" t="str">
        <f>IF($A666&gt;MIN($A$10,$A$2),"",IF(AND($A$12,$A$6=1,B666&lt;$A$7,$A$7&lt;=MAX(DemoHistory[Date])),$A$8,1))</f>
        <v/>
      </c>
      <c r="E666" s="166" t="str">
        <f t="shared" si="27"/>
        <v/>
      </c>
      <c r="F666" s="166" t="str">
        <f>IF($A666&gt;MIN($A$10,$A$2),"",IF($A666&lt;50,"n.a.",IF(COUNT(INDEX(StockDaily[Adjusted close],MAX(1,$A666-50+1)):E666)=50,AVERAGE(INDEX(StockDaily[Adjusted close],MAX(1,$A666-50+1)):E666),"n.a.")))</f>
        <v/>
      </c>
      <c r="G666" s="166" t="str">
        <f>IF($A666&gt;MIN($A$10,$A$2),"",IF($A666&lt;200,"n.a.",IF(COUNT(INDEX(StockDaily[Adjusted close],MAX(1,$A666-200+1)):E666)=200,AVERAGE(INDEX(StockDaily[Adjusted close],MAX(1,$A666-200+1)):E666),"n.a.")))</f>
        <v/>
      </c>
      <c r="H666" s="136" t="str">
        <f>IF($A666&gt;MIN($A$10,$A$2),"",IF($A$5="","Choose stock",IF(NOT($A$12),"Check split rule",IF(NOT(ISNUMBER(B666)),"Invalid date",IF(OR(B666&lt;=0,B666&lt;&gt;INT(B666)),"Invalid date",IF(COUNTIFS(DemoHistory[Date],B666)&lt;&gt;1,"Duplicate date",IF(AND($A666&gt;1,B666&lt;=B665),"Dates out of order",IF(NOT(ISNUMBER(C666)),"Missing price",IF(C666&lt;=0,"Nonpositive price","OK")))))))))</f>
        <v/>
      </c>
      <c r="I666" s="136"/>
      <c r="J666" s="136"/>
      <c r="K666" s="136"/>
      <c r="L666" s="136"/>
      <c r="M666" s="136"/>
      <c r="N666" s="136" t="e">
        <f t="shared" si="28"/>
        <v>#N/A</v>
      </c>
      <c r="O666" s="136" t="e">
        <f t="shared" si="29"/>
        <v>#N/A</v>
      </c>
    </row>
    <row r="667" spans="1:15" ht="22" customHeight="1" x14ac:dyDescent="0.35">
      <c r="A667" s="136">
        <v>623</v>
      </c>
      <c r="B667" s="165" t="str">
        <f>IF($A667&gt;MIN($A$10,$A$2),"",INDEX(DemoHistory[Date],$A667))</f>
        <v/>
      </c>
      <c r="C667" s="166" t="str">
        <f>IF(OR($A667&gt;MIN($A$10,$A$2),$A$5=""),"",INDEX(DemoHistory[],$A667,MATCH($A$5,DemoHistory[#Headers],0)))</f>
        <v/>
      </c>
      <c r="D667" s="166" t="str">
        <f>IF($A667&gt;MIN($A$10,$A$2),"",IF(AND($A$12,$A$6=1,B667&lt;$A$7,$A$7&lt;=MAX(DemoHistory[Date])),$A$8,1))</f>
        <v/>
      </c>
      <c r="E667" s="166" t="str">
        <f t="shared" si="27"/>
        <v/>
      </c>
      <c r="F667" s="166" t="str">
        <f>IF($A667&gt;MIN($A$10,$A$2),"",IF($A667&lt;50,"n.a.",IF(COUNT(INDEX(StockDaily[Adjusted close],MAX(1,$A667-50+1)):E667)=50,AVERAGE(INDEX(StockDaily[Adjusted close],MAX(1,$A667-50+1)):E667),"n.a.")))</f>
        <v/>
      </c>
      <c r="G667" s="166" t="str">
        <f>IF($A667&gt;MIN($A$10,$A$2),"",IF($A667&lt;200,"n.a.",IF(COUNT(INDEX(StockDaily[Adjusted close],MAX(1,$A667-200+1)):E667)=200,AVERAGE(INDEX(StockDaily[Adjusted close],MAX(1,$A667-200+1)):E667),"n.a.")))</f>
        <v/>
      </c>
      <c r="H667" s="136" t="str">
        <f>IF($A667&gt;MIN($A$10,$A$2),"",IF($A$5="","Choose stock",IF(NOT($A$12),"Check split rule",IF(NOT(ISNUMBER(B667)),"Invalid date",IF(OR(B667&lt;=0,B667&lt;&gt;INT(B667)),"Invalid date",IF(COUNTIFS(DemoHistory[Date],B667)&lt;&gt;1,"Duplicate date",IF(AND($A667&gt;1,B667&lt;=B666),"Dates out of order",IF(NOT(ISNUMBER(C667)),"Missing price",IF(C667&lt;=0,"Nonpositive price","OK")))))))))</f>
        <v/>
      </c>
      <c r="I667" s="136"/>
      <c r="J667" s="136"/>
      <c r="K667" s="136"/>
      <c r="L667" s="136"/>
      <c r="M667" s="136"/>
      <c r="N667" s="136" t="e">
        <f t="shared" si="28"/>
        <v>#N/A</v>
      </c>
      <c r="O667" s="136" t="e">
        <f t="shared" si="29"/>
        <v>#N/A</v>
      </c>
    </row>
    <row r="668" spans="1:15" ht="22" customHeight="1" x14ac:dyDescent="0.35">
      <c r="A668" s="136">
        <v>624</v>
      </c>
      <c r="B668" s="165" t="str">
        <f>IF($A668&gt;MIN($A$10,$A$2),"",INDEX(DemoHistory[Date],$A668))</f>
        <v/>
      </c>
      <c r="C668" s="166" t="str">
        <f>IF(OR($A668&gt;MIN($A$10,$A$2),$A$5=""),"",INDEX(DemoHistory[],$A668,MATCH($A$5,DemoHistory[#Headers],0)))</f>
        <v/>
      </c>
      <c r="D668" s="166" t="str">
        <f>IF($A668&gt;MIN($A$10,$A$2),"",IF(AND($A$12,$A$6=1,B668&lt;$A$7,$A$7&lt;=MAX(DemoHistory[Date])),$A$8,1))</f>
        <v/>
      </c>
      <c r="E668" s="166" t="str">
        <f t="shared" si="27"/>
        <v/>
      </c>
      <c r="F668" s="166" t="str">
        <f>IF($A668&gt;MIN($A$10,$A$2),"",IF($A668&lt;50,"n.a.",IF(COUNT(INDEX(StockDaily[Adjusted close],MAX(1,$A668-50+1)):E668)=50,AVERAGE(INDEX(StockDaily[Adjusted close],MAX(1,$A668-50+1)):E668),"n.a.")))</f>
        <v/>
      </c>
      <c r="G668" s="166" t="str">
        <f>IF($A668&gt;MIN($A$10,$A$2),"",IF($A668&lt;200,"n.a.",IF(COUNT(INDEX(StockDaily[Adjusted close],MAX(1,$A668-200+1)):E668)=200,AVERAGE(INDEX(StockDaily[Adjusted close],MAX(1,$A668-200+1)):E668),"n.a.")))</f>
        <v/>
      </c>
      <c r="H668" s="136" t="str">
        <f>IF($A668&gt;MIN($A$10,$A$2),"",IF($A$5="","Choose stock",IF(NOT($A$12),"Check split rule",IF(NOT(ISNUMBER(B668)),"Invalid date",IF(OR(B668&lt;=0,B668&lt;&gt;INT(B668)),"Invalid date",IF(COUNTIFS(DemoHistory[Date],B668)&lt;&gt;1,"Duplicate date",IF(AND($A668&gt;1,B668&lt;=B667),"Dates out of order",IF(NOT(ISNUMBER(C668)),"Missing price",IF(C668&lt;=0,"Nonpositive price","OK")))))))))</f>
        <v/>
      </c>
      <c r="I668" s="136"/>
      <c r="J668" s="136"/>
      <c r="K668" s="136"/>
      <c r="L668" s="136"/>
      <c r="M668" s="136"/>
      <c r="N668" s="136" t="e">
        <f t="shared" si="28"/>
        <v>#N/A</v>
      </c>
      <c r="O668" s="136" t="e">
        <f t="shared" si="29"/>
        <v>#N/A</v>
      </c>
    </row>
    <row r="669" spans="1:15" ht="22" customHeight="1" x14ac:dyDescent="0.35">
      <c r="A669" s="136">
        <v>625</v>
      </c>
      <c r="B669" s="165" t="str">
        <f>IF($A669&gt;MIN($A$10,$A$2),"",INDEX(DemoHistory[Date],$A669))</f>
        <v/>
      </c>
      <c r="C669" s="166" t="str">
        <f>IF(OR($A669&gt;MIN($A$10,$A$2),$A$5=""),"",INDEX(DemoHistory[],$A669,MATCH($A$5,DemoHistory[#Headers],0)))</f>
        <v/>
      </c>
      <c r="D669" s="166" t="str">
        <f>IF($A669&gt;MIN($A$10,$A$2),"",IF(AND($A$12,$A$6=1,B669&lt;$A$7,$A$7&lt;=MAX(DemoHistory[Date])),$A$8,1))</f>
        <v/>
      </c>
      <c r="E669" s="166" t="str">
        <f t="shared" si="27"/>
        <v/>
      </c>
      <c r="F669" s="166" t="str">
        <f>IF($A669&gt;MIN($A$10,$A$2),"",IF($A669&lt;50,"n.a.",IF(COUNT(INDEX(StockDaily[Adjusted close],MAX(1,$A669-50+1)):E669)=50,AVERAGE(INDEX(StockDaily[Adjusted close],MAX(1,$A669-50+1)):E669),"n.a.")))</f>
        <v/>
      </c>
      <c r="G669" s="166" t="str">
        <f>IF($A669&gt;MIN($A$10,$A$2),"",IF($A669&lt;200,"n.a.",IF(COUNT(INDEX(StockDaily[Adjusted close],MAX(1,$A669-200+1)):E669)=200,AVERAGE(INDEX(StockDaily[Adjusted close],MAX(1,$A669-200+1)):E669),"n.a.")))</f>
        <v/>
      </c>
      <c r="H669" s="136" t="str">
        <f>IF($A669&gt;MIN($A$10,$A$2),"",IF($A$5="","Choose stock",IF(NOT($A$12),"Check split rule",IF(NOT(ISNUMBER(B669)),"Invalid date",IF(OR(B669&lt;=0,B669&lt;&gt;INT(B669)),"Invalid date",IF(COUNTIFS(DemoHistory[Date],B669)&lt;&gt;1,"Duplicate date",IF(AND($A669&gt;1,B669&lt;=B668),"Dates out of order",IF(NOT(ISNUMBER(C669)),"Missing price",IF(C669&lt;=0,"Nonpositive price","OK")))))))))</f>
        <v/>
      </c>
      <c r="I669" s="136"/>
      <c r="J669" s="136"/>
      <c r="K669" s="136"/>
      <c r="L669" s="136"/>
      <c r="M669" s="136"/>
      <c r="N669" s="136" t="e">
        <f t="shared" si="28"/>
        <v>#N/A</v>
      </c>
      <c r="O669" s="136" t="e">
        <f t="shared" si="29"/>
        <v>#N/A</v>
      </c>
    </row>
    <row r="670" spans="1:15" ht="22" customHeight="1" x14ac:dyDescent="0.35">
      <c r="A670" s="136">
        <v>626</v>
      </c>
      <c r="B670" s="165" t="str">
        <f>IF($A670&gt;MIN($A$10,$A$2),"",INDEX(DemoHistory[Date],$A670))</f>
        <v/>
      </c>
      <c r="C670" s="166" t="str">
        <f>IF(OR($A670&gt;MIN($A$10,$A$2),$A$5=""),"",INDEX(DemoHistory[],$A670,MATCH($A$5,DemoHistory[#Headers],0)))</f>
        <v/>
      </c>
      <c r="D670" s="166" t="str">
        <f>IF($A670&gt;MIN($A$10,$A$2),"",IF(AND($A$12,$A$6=1,B670&lt;$A$7,$A$7&lt;=MAX(DemoHistory[Date])),$A$8,1))</f>
        <v/>
      </c>
      <c r="E670" s="166" t="str">
        <f t="shared" si="27"/>
        <v/>
      </c>
      <c r="F670" s="166" t="str">
        <f>IF($A670&gt;MIN($A$10,$A$2),"",IF($A670&lt;50,"n.a.",IF(COUNT(INDEX(StockDaily[Adjusted close],MAX(1,$A670-50+1)):E670)=50,AVERAGE(INDEX(StockDaily[Adjusted close],MAX(1,$A670-50+1)):E670),"n.a.")))</f>
        <v/>
      </c>
      <c r="G670" s="166" t="str">
        <f>IF($A670&gt;MIN($A$10,$A$2),"",IF($A670&lt;200,"n.a.",IF(COUNT(INDEX(StockDaily[Adjusted close],MAX(1,$A670-200+1)):E670)=200,AVERAGE(INDEX(StockDaily[Adjusted close],MAX(1,$A670-200+1)):E670),"n.a.")))</f>
        <v/>
      </c>
      <c r="H670" s="136" t="str">
        <f>IF($A670&gt;MIN($A$10,$A$2),"",IF($A$5="","Choose stock",IF(NOT($A$12),"Check split rule",IF(NOT(ISNUMBER(B670)),"Invalid date",IF(OR(B670&lt;=0,B670&lt;&gt;INT(B670)),"Invalid date",IF(COUNTIFS(DemoHistory[Date],B670)&lt;&gt;1,"Duplicate date",IF(AND($A670&gt;1,B670&lt;=B669),"Dates out of order",IF(NOT(ISNUMBER(C670)),"Missing price",IF(C670&lt;=0,"Nonpositive price","OK")))))))))</f>
        <v/>
      </c>
      <c r="I670" s="136"/>
      <c r="J670" s="136"/>
      <c r="K670" s="136"/>
      <c r="L670" s="136"/>
      <c r="M670" s="136"/>
      <c r="N670" s="136" t="e">
        <f t="shared" si="28"/>
        <v>#N/A</v>
      </c>
      <c r="O670" s="136" t="e">
        <f t="shared" si="29"/>
        <v>#N/A</v>
      </c>
    </row>
    <row r="671" spans="1:15" ht="22" customHeight="1" x14ac:dyDescent="0.35">
      <c r="A671" s="136">
        <v>627</v>
      </c>
      <c r="B671" s="165" t="str">
        <f>IF($A671&gt;MIN($A$10,$A$2),"",INDEX(DemoHistory[Date],$A671))</f>
        <v/>
      </c>
      <c r="C671" s="166" t="str">
        <f>IF(OR($A671&gt;MIN($A$10,$A$2),$A$5=""),"",INDEX(DemoHistory[],$A671,MATCH($A$5,DemoHistory[#Headers],0)))</f>
        <v/>
      </c>
      <c r="D671" s="166" t="str">
        <f>IF($A671&gt;MIN($A$10,$A$2),"",IF(AND($A$12,$A$6=1,B671&lt;$A$7,$A$7&lt;=MAX(DemoHistory[Date])),$A$8,1))</f>
        <v/>
      </c>
      <c r="E671" s="166" t="str">
        <f t="shared" si="27"/>
        <v/>
      </c>
      <c r="F671" s="166" t="str">
        <f>IF($A671&gt;MIN($A$10,$A$2),"",IF($A671&lt;50,"n.a.",IF(COUNT(INDEX(StockDaily[Adjusted close],MAX(1,$A671-50+1)):E671)=50,AVERAGE(INDEX(StockDaily[Adjusted close],MAX(1,$A671-50+1)):E671),"n.a.")))</f>
        <v/>
      </c>
      <c r="G671" s="166" t="str">
        <f>IF($A671&gt;MIN($A$10,$A$2),"",IF($A671&lt;200,"n.a.",IF(COUNT(INDEX(StockDaily[Adjusted close],MAX(1,$A671-200+1)):E671)=200,AVERAGE(INDEX(StockDaily[Adjusted close],MAX(1,$A671-200+1)):E671),"n.a.")))</f>
        <v/>
      </c>
      <c r="H671" s="136" t="str">
        <f>IF($A671&gt;MIN($A$10,$A$2),"",IF($A$5="","Choose stock",IF(NOT($A$12),"Check split rule",IF(NOT(ISNUMBER(B671)),"Invalid date",IF(OR(B671&lt;=0,B671&lt;&gt;INT(B671)),"Invalid date",IF(COUNTIFS(DemoHistory[Date],B671)&lt;&gt;1,"Duplicate date",IF(AND($A671&gt;1,B671&lt;=B670),"Dates out of order",IF(NOT(ISNUMBER(C671)),"Missing price",IF(C671&lt;=0,"Nonpositive price","OK")))))))))</f>
        <v/>
      </c>
      <c r="I671" s="136"/>
      <c r="J671" s="136"/>
      <c r="K671" s="136"/>
      <c r="L671" s="136"/>
      <c r="M671" s="136"/>
      <c r="N671" s="136" t="e">
        <f t="shared" si="28"/>
        <v>#N/A</v>
      </c>
      <c r="O671" s="136" t="e">
        <f t="shared" si="29"/>
        <v>#N/A</v>
      </c>
    </row>
    <row r="672" spans="1:15" ht="22" customHeight="1" x14ac:dyDescent="0.35">
      <c r="A672" s="136">
        <v>628</v>
      </c>
      <c r="B672" s="165" t="str">
        <f>IF($A672&gt;MIN($A$10,$A$2),"",INDEX(DemoHistory[Date],$A672))</f>
        <v/>
      </c>
      <c r="C672" s="166" t="str">
        <f>IF(OR($A672&gt;MIN($A$10,$A$2),$A$5=""),"",INDEX(DemoHistory[],$A672,MATCH($A$5,DemoHistory[#Headers],0)))</f>
        <v/>
      </c>
      <c r="D672" s="166" t="str">
        <f>IF($A672&gt;MIN($A$10,$A$2),"",IF(AND($A$12,$A$6=1,B672&lt;$A$7,$A$7&lt;=MAX(DemoHistory[Date])),$A$8,1))</f>
        <v/>
      </c>
      <c r="E672" s="166" t="str">
        <f t="shared" si="27"/>
        <v/>
      </c>
      <c r="F672" s="166" t="str">
        <f>IF($A672&gt;MIN($A$10,$A$2),"",IF($A672&lt;50,"n.a.",IF(COUNT(INDEX(StockDaily[Adjusted close],MAX(1,$A672-50+1)):E672)=50,AVERAGE(INDEX(StockDaily[Adjusted close],MAX(1,$A672-50+1)):E672),"n.a.")))</f>
        <v/>
      </c>
      <c r="G672" s="166" t="str">
        <f>IF($A672&gt;MIN($A$10,$A$2),"",IF($A672&lt;200,"n.a.",IF(COUNT(INDEX(StockDaily[Adjusted close],MAX(1,$A672-200+1)):E672)=200,AVERAGE(INDEX(StockDaily[Adjusted close],MAX(1,$A672-200+1)):E672),"n.a.")))</f>
        <v/>
      </c>
      <c r="H672" s="136" t="str">
        <f>IF($A672&gt;MIN($A$10,$A$2),"",IF($A$5="","Choose stock",IF(NOT($A$12),"Check split rule",IF(NOT(ISNUMBER(B672)),"Invalid date",IF(OR(B672&lt;=0,B672&lt;&gt;INT(B672)),"Invalid date",IF(COUNTIFS(DemoHistory[Date],B672)&lt;&gt;1,"Duplicate date",IF(AND($A672&gt;1,B672&lt;=B671),"Dates out of order",IF(NOT(ISNUMBER(C672)),"Missing price",IF(C672&lt;=0,"Nonpositive price","OK")))))))))</f>
        <v/>
      </c>
      <c r="I672" s="136"/>
      <c r="J672" s="136"/>
      <c r="K672" s="136"/>
      <c r="L672" s="136"/>
      <c r="M672" s="136"/>
      <c r="N672" s="136" t="e">
        <f t="shared" si="28"/>
        <v>#N/A</v>
      </c>
      <c r="O672" s="136" t="e">
        <f t="shared" si="29"/>
        <v>#N/A</v>
      </c>
    </row>
    <row r="673" spans="1:15" ht="22" customHeight="1" x14ac:dyDescent="0.35">
      <c r="A673" s="136">
        <v>629</v>
      </c>
      <c r="B673" s="165" t="str">
        <f>IF($A673&gt;MIN($A$10,$A$2),"",INDEX(DemoHistory[Date],$A673))</f>
        <v/>
      </c>
      <c r="C673" s="166" t="str">
        <f>IF(OR($A673&gt;MIN($A$10,$A$2),$A$5=""),"",INDEX(DemoHistory[],$A673,MATCH($A$5,DemoHistory[#Headers],0)))</f>
        <v/>
      </c>
      <c r="D673" s="166" t="str">
        <f>IF($A673&gt;MIN($A$10,$A$2),"",IF(AND($A$12,$A$6=1,B673&lt;$A$7,$A$7&lt;=MAX(DemoHistory[Date])),$A$8,1))</f>
        <v/>
      </c>
      <c r="E673" s="166" t="str">
        <f t="shared" si="27"/>
        <v/>
      </c>
      <c r="F673" s="166" t="str">
        <f>IF($A673&gt;MIN($A$10,$A$2),"",IF($A673&lt;50,"n.a.",IF(COUNT(INDEX(StockDaily[Adjusted close],MAX(1,$A673-50+1)):E673)=50,AVERAGE(INDEX(StockDaily[Adjusted close],MAX(1,$A673-50+1)):E673),"n.a.")))</f>
        <v/>
      </c>
      <c r="G673" s="166" t="str">
        <f>IF($A673&gt;MIN($A$10,$A$2),"",IF($A673&lt;200,"n.a.",IF(COUNT(INDEX(StockDaily[Adjusted close],MAX(1,$A673-200+1)):E673)=200,AVERAGE(INDEX(StockDaily[Adjusted close],MAX(1,$A673-200+1)):E673),"n.a.")))</f>
        <v/>
      </c>
      <c r="H673" s="136" t="str">
        <f>IF($A673&gt;MIN($A$10,$A$2),"",IF($A$5="","Choose stock",IF(NOT($A$12),"Check split rule",IF(NOT(ISNUMBER(B673)),"Invalid date",IF(OR(B673&lt;=0,B673&lt;&gt;INT(B673)),"Invalid date",IF(COUNTIFS(DemoHistory[Date],B673)&lt;&gt;1,"Duplicate date",IF(AND($A673&gt;1,B673&lt;=B672),"Dates out of order",IF(NOT(ISNUMBER(C673)),"Missing price",IF(C673&lt;=0,"Nonpositive price","OK")))))))))</f>
        <v/>
      </c>
      <c r="I673" s="136"/>
      <c r="J673" s="136"/>
      <c r="K673" s="136"/>
      <c r="L673" s="136"/>
      <c r="M673" s="136"/>
      <c r="N673" s="136" t="e">
        <f t="shared" si="28"/>
        <v>#N/A</v>
      </c>
      <c r="O673" s="136" t="e">
        <f t="shared" si="29"/>
        <v>#N/A</v>
      </c>
    </row>
    <row r="674" spans="1:15" ht="22" customHeight="1" x14ac:dyDescent="0.35">
      <c r="A674" s="136">
        <v>630</v>
      </c>
      <c r="B674" s="165" t="str">
        <f>IF($A674&gt;MIN($A$10,$A$2),"",INDEX(DemoHistory[Date],$A674))</f>
        <v/>
      </c>
      <c r="C674" s="166" t="str">
        <f>IF(OR($A674&gt;MIN($A$10,$A$2),$A$5=""),"",INDEX(DemoHistory[],$A674,MATCH($A$5,DemoHistory[#Headers],0)))</f>
        <v/>
      </c>
      <c r="D674" s="166" t="str">
        <f>IF($A674&gt;MIN($A$10,$A$2),"",IF(AND($A$12,$A$6=1,B674&lt;$A$7,$A$7&lt;=MAX(DemoHistory[Date])),$A$8,1))</f>
        <v/>
      </c>
      <c r="E674" s="166" t="str">
        <f t="shared" si="27"/>
        <v/>
      </c>
      <c r="F674" s="166" t="str">
        <f>IF($A674&gt;MIN($A$10,$A$2),"",IF($A674&lt;50,"n.a.",IF(COUNT(INDEX(StockDaily[Adjusted close],MAX(1,$A674-50+1)):E674)=50,AVERAGE(INDEX(StockDaily[Adjusted close],MAX(1,$A674-50+1)):E674),"n.a.")))</f>
        <v/>
      </c>
      <c r="G674" s="166" t="str">
        <f>IF($A674&gt;MIN($A$10,$A$2),"",IF($A674&lt;200,"n.a.",IF(COUNT(INDEX(StockDaily[Adjusted close],MAX(1,$A674-200+1)):E674)=200,AVERAGE(INDEX(StockDaily[Adjusted close],MAX(1,$A674-200+1)):E674),"n.a.")))</f>
        <v/>
      </c>
      <c r="H674" s="136" t="str">
        <f>IF($A674&gt;MIN($A$10,$A$2),"",IF($A$5="","Choose stock",IF(NOT($A$12),"Check split rule",IF(NOT(ISNUMBER(B674)),"Invalid date",IF(OR(B674&lt;=0,B674&lt;&gt;INT(B674)),"Invalid date",IF(COUNTIFS(DemoHistory[Date],B674)&lt;&gt;1,"Duplicate date",IF(AND($A674&gt;1,B674&lt;=B673),"Dates out of order",IF(NOT(ISNUMBER(C674)),"Missing price",IF(C674&lt;=0,"Nonpositive price","OK")))))))))</f>
        <v/>
      </c>
      <c r="I674" s="136"/>
      <c r="J674" s="136"/>
      <c r="K674" s="136"/>
      <c r="L674" s="136"/>
      <c r="M674" s="136"/>
      <c r="N674" s="136" t="e">
        <f t="shared" si="28"/>
        <v>#N/A</v>
      </c>
      <c r="O674" s="136" t="e">
        <f t="shared" si="29"/>
        <v>#N/A</v>
      </c>
    </row>
    <row r="675" spans="1:15" ht="22" customHeight="1" x14ac:dyDescent="0.35">
      <c r="A675" s="136">
        <v>631</v>
      </c>
      <c r="B675" s="165" t="str">
        <f>IF($A675&gt;MIN($A$10,$A$2),"",INDEX(DemoHistory[Date],$A675))</f>
        <v/>
      </c>
      <c r="C675" s="166" t="str">
        <f>IF(OR($A675&gt;MIN($A$10,$A$2),$A$5=""),"",INDEX(DemoHistory[],$A675,MATCH($A$5,DemoHistory[#Headers],0)))</f>
        <v/>
      </c>
      <c r="D675" s="166" t="str">
        <f>IF($A675&gt;MIN($A$10,$A$2),"",IF(AND($A$12,$A$6=1,B675&lt;$A$7,$A$7&lt;=MAX(DemoHistory[Date])),$A$8,1))</f>
        <v/>
      </c>
      <c r="E675" s="166" t="str">
        <f t="shared" si="27"/>
        <v/>
      </c>
      <c r="F675" s="166" t="str">
        <f>IF($A675&gt;MIN($A$10,$A$2),"",IF($A675&lt;50,"n.a.",IF(COUNT(INDEX(StockDaily[Adjusted close],MAX(1,$A675-50+1)):E675)=50,AVERAGE(INDEX(StockDaily[Adjusted close],MAX(1,$A675-50+1)):E675),"n.a.")))</f>
        <v/>
      </c>
      <c r="G675" s="166" t="str">
        <f>IF($A675&gt;MIN($A$10,$A$2),"",IF($A675&lt;200,"n.a.",IF(COUNT(INDEX(StockDaily[Adjusted close],MAX(1,$A675-200+1)):E675)=200,AVERAGE(INDEX(StockDaily[Adjusted close],MAX(1,$A675-200+1)):E675),"n.a.")))</f>
        <v/>
      </c>
      <c r="H675" s="136" t="str">
        <f>IF($A675&gt;MIN($A$10,$A$2),"",IF($A$5="","Choose stock",IF(NOT($A$12),"Check split rule",IF(NOT(ISNUMBER(B675)),"Invalid date",IF(OR(B675&lt;=0,B675&lt;&gt;INT(B675)),"Invalid date",IF(COUNTIFS(DemoHistory[Date],B675)&lt;&gt;1,"Duplicate date",IF(AND($A675&gt;1,B675&lt;=B674),"Dates out of order",IF(NOT(ISNUMBER(C675)),"Missing price",IF(C675&lt;=0,"Nonpositive price","OK")))))))))</f>
        <v/>
      </c>
      <c r="I675" s="136"/>
      <c r="J675" s="136"/>
      <c r="K675" s="136"/>
      <c r="L675" s="136"/>
      <c r="M675" s="136"/>
      <c r="N675" s="136" t="e">
        <f t="shared" si="28"/>
        <v>#N/A</v>
      </c>
      <c r="O675" s="136" t="e">
        <f t="shared" si="29"/>
        <v>#N/A</v>
      </c>
    </row>
    <row r="676" spans="1:15" ht="22" customHeight="1" x14ac:dyDescent="0.35">
      <c r="A676" s="136">
        <v>632</v>
      </c>
      <c r="B676" s="165" t="str">
        <f>IF($A676&gt;MIN($A$10,$A$2),"",INDEX(DemoHistory[Date],$A676))</f>
        <v/>
      </c>
      <c r="C676" s="166" t="str">
        <f>IF(OR($A676&gt;MIN($A$10,$A$2),$A$5=""),"",INDEX(DemoHistory[],$A676,MATCH($A$5,DemoHistory[#Headers],0)))</f>
        <v/>
      </c>
      <c r="D676" s="166" t="str">
        <f>IF($A676&gt;MIN($A$10,$A$2),"",IF(AND($A$12,$A$6=1,B676&lt;$A$7,$A$7&lt;=MAX(DemoHistory[Date])),$A$8,1))</f>
        <v/>
      </c>
      <c r="E676" s="166" t="str">
        <f t="shared" si="27"/>
        <v/>
      </c>
      <c r="F676" s="166" t="str">
        <f>IF($A676&gt;MIN($A$10,$A$2),"",IF($A676&lt;50,"n.a.",IF(COUNT(INDEX(StockDaily[Adjusted close],MAX(1,$A676-50+1)):E676)=50,AVERAGE(INDEX(StockDaily[Adjusted close],MAX(1,$A676-50+1)):E676),"n.a.")))</f>
        <v/>
      </c>
      <c r="G676" s="166" t="str">
        <f>IF($A676&gt;MIN($A$10,$A$2),"",IF($A676&lt;200,"n.a.",IF(COUNT(INDEX(StockDaily[Adjusted close],MAX(1,$A676-200+1)):E676)=200,AVERAGE(INDEX(StockDaily[Adjusted close],MAX(1,$A676-200+1)):E676),"n.a.")))</f>
        <v/>
      </c>
      <c r="H676" s="136" t="str">
        <f>IF($A676&gt;MIN($A$10,$A$2),"",IF($A$5="","Choose stock",IF(NOT($A$12),"Check split rule",IF(NOT(ISNUMBER(B676)),"Invalid date",IF(OR(B676&lt;=0,B676&lt;&gt;INT(B676)),"Invalid date",IF(COUNTIFS(DemoHistory[Date],B676)&lt;&gt;1,"Duplicate date",IF(AND($A676&gt;1,B676&lt;=B675),"Dates out of order",IF(NOT(ISNUMBER(C676)),"Missing price",IF(C676&lt;=0,"Nonpositive price","OK")))))))))</f>
        <v/>
      </c>
      <c r="I676" s="136"/>
      <c r="J676" s="136"/>
      <c r="K676" s="136"/>
      <c r="L676" s="136"/>
      <c r="M676" s="136"/>
      <c r="N676" s="136" t="e">
        <f t="shared" si="28"/>
        <v>#N/A</v>
      </c>
      <c r="O676" s="136" t="e">
        <f t="shared" si="29"/>
        <v>#N/A</v>
      </c>
    </row>
    <row r="677" spans="1:15" ht="22" customHeight="1" x14ac:dyDescent="0.35">
      <c r="A677" s="136">
        <v>633</v>
      </c>
      <c r="B677" s="165" t="str">
        <f>IF($A677&gt;MIN($A$10,$A$2),"",INDEX(DemoHistory[Date],$A677))</f>
        <v/>
      </c>
      <c r="C677" s="166" t="str">
        <f>IF(OR($A677&gt;MIN($A$10,$A$2),$A$5=""),"",INDEX(DemoHistory[],$A677,MATCH($A$5,DemoHistory[#Headers],0)))</f>
        <v/>
      </c>
      <c r="D677" s="166" t="str">
        <f>IF($A677&gt;MIN($A$10,$A$2),"",IF(AND($A$12,$A$6=1,B677&lt;$A$7,$A$7&lt;=MAX(DemoHistory[Date])),$A$8,1))</f>
        <v/>
      </c>
      <c r="E677" s="166" t="str">
        <f t="shared" si="27"/>
        <v/>
      </c>
      <c r="F677" s="166" t="str">
        <f>IF($A677&gt;MIN($A$10,$A$2),"",IF($A677&lt;50,"n.a.",IF(COUNT(INDEX(StockDaily[Adjusted close],MAX(1,$A677-50+1)):E677)=50,AVERAGE(INDEX(StockDaily[Adjusted close],MAX(1,$A677-50+1)):E677),"n.a.")))</f>
        <v/>
      </c>
      <c r="G677" s="166" t="str">
        <f>IF($A677&gt;MIN($A$10,$A$2),"",IF($A677&lt;200,"n.a.",IF(COUNT(INDEX(StockDaily[Adjusted close],MAX(1,$A677-200+1)):E677)=200,AVERAGE(INDEX(StockDaily[Adjusted close],MAX(1,$A677-200+1)):E677),"n.a.")))</f>
        <v/>
      </c>
      <c r="H677" s="136" t="str">
        <f>IF($A677&gt;MIN($A$10,$A$2),"",IF($A$5="","Choose stock",IF(NOT($A$12),"Check split rule",IF(NOT(ISNUMBER(B677)),"Invalid date",IF(OR(B677&lt;=0,B677&lt;&gt;INT(B677)),"Invalid date",IF(COUNTIFS(DemoHistory[Date],B677)&lt;&gt;1,"Duplicate date",IF(AND($A677&gt;1,B677&lt;=B676),"Dates out of order",IF(NOT(ISNUMBER(C677)),"Missing price",IF(C677&lt;=0,"Nonpositive price","OK")))))))))</f>
        <v/>
      </c>
      <c r="I677" s="136"/>
      <c r="J677" s="136"/>
      <c r="K677" s="136"/>
      <c r="L677" s="136"/>
      <c r="M677" s="136"/>
      <c r="N677" s="136" t="e">
        <f t="shared" si="28"/>
        <v>#N/A</v>
      </c>
      <c r="O677" s="136" t="e">
        <f t="shared" si="29"/>
        <v>#N/A</v>
      </c>
    </row>
    <row r="678" spans="1:15" ht="22" customHeight="1" x14ac:dyDescent="0.35">
      <c r="A678" s="136">
        <v>634</v>
      </c>
      <c r="B678" s="165" t="str">
        <f>IF($A678&gt;MIN($A$10,$A$2),"",INDEX(DemoHistory[Date],$A678))</f>
        <v/>
      </c>
      <c r="C678" s="166" t="str">
        <f>IF(OR($A678&gt;MIN($A$10,$A$2),$A$5=""),"",INDEX(DemoHistory[],$A678,MATCH($A$5,DemoHistory[#Headers],0)))</f>
        <v/>
      </c>
      <c r="D678" s="166" t="str">
        <f>IF($A678&gt;MIN($A$10,$A$2),"",IF(AND($A$12,$A$6=1,B678&lt;$A$7,$A$7&lt;=MAX(DemoHistory[Date])),$A$8,1))</f>
        <v/>
      </c>
      <c r="E678" s="166" t="str">
        <f t="shared" si="27"/>
        <v/>
      </c>
      <c r="F678" s="166" t="str">
        <f>IF($A678&gt;MIN($A$10,$A$2),"",IF($A678&lt;50,"n.a.",IF(COUNT(INDEX(StockDaily[Adjusted close],MAX(1,$A678-50+1)):E678)=50,AVERAGE(INDEX(StockDaily[Adjusted close],MAX(1,$A678-50+1)):E678),"n.a.")))</f>
        <v/>
      </c>
      <c r="G678" s="166" t="str">
        <f>IF($A678&gt;MIN($A$10,$A$2),"",IF($A678&lt;200,"n.a.",IF(COUNT(INDEX(StockDaily[Adjusted close],MAX(1,$A678-200+1)):E678)=200,AVERAGE(INDEX(StockDaily[Adjusted close],MAX(1,$A678-200+1)):E678),"n.a.")))</f>
        <v/>
      </c>
      <c r="H678" s="136" t="str">
        <f>IF($A678&gt;MIN($A$10,$A$2),"",IF($A$5="","Choose stock",IF(NOT($A$12),"Check split rule",IF(NOT(ISNUMBER(B678)),"Invalid date",IF(OR(B678&lt;=0,B678&lt;&gt;INT(B678)),"Invalid date",IF(COUNTIFS(DemoHistory[Date],B678)&lt;&gt;1,"Duplicate date",IF(AND($A678&gt;1,B678&lt;=B677),"Dates out of order",IF(NOT(ISNUMBER(C678)),"Missing price",IF(C678&lt;=0,"Nonpositive price","OK")))))))))</f>
        <v/>
      </c>
      <c r="I678" s="136"/>
      <c r="J678" s="136"/>
      <c r="K678" s="136"/>
      <c r="L678" s="136"/>
      <c r="M678" s="136"/>
      <c r="N678" s="136" t="e">
        <f t="shared" si="28"/>
        <v>#N/A</v>
      </c>
      <c r="O678" s="136" t="e">
        <f t="shared" si="29"/>
        <v>#N/A</v>
      </c>
    </row>
    <row r="679" spans="1:15" ht="22" customHeight="1" x14ac:dyDescent="0.35">
      <c r="A679" s="136">
        <v>635</v>
      </c>
      <c r="B679" s="165" t="str">
        <f>IF($A679&gt;MIN($A$10,$A$2),"",INDEX(DemoHistory[Date],$A679))</f>
        <v/>
      </c>
      <c r="C679" s="166" t="str">
        <f>IF(OR($A679&gt;MIN($A$10,$A$2),$A$5=""),"",INDEX(DemoHistory[],$A679,MATCH($A$5,DemoHistory[#Headers],0)))</f>
        <v/>
      </c>
      <c r="D679" s="166" t="str">
        <f>IF($A679&gt;MIN($A$10,$A$2),"",IF(AND($A$12,$A$6=1,B679&lt;$A$7,$A$7&lt;=MAX(DemoHistory[Date])),$A$8,1))</f>
        <v/>
      </c>
      <c r="E679" s="166" t="str">
        <f t="shared" si="27"/>
        <v/>
      </c>
      <c r="F679" s="166" t="str">
        <f>IF($A679&gt;MIN($A$10,$A$2),"",IF($A679&lt;50,"n.a.",IF(COUNT(INDEX(StockDaily[Adjusted close],MAX(1,$A679-50+1)):E679)=50,AVERAGE(INDEX(StockDaily[Adjusted close],MAX(1,$A679-50+1)):E679),"n.a.")))</f>
        <v/>
      </c>
      <c r="G679" s="166" t="str">
        <f>IF($A679&gt;MIN($A$10,$A$2),"",IF($A679&lt;200,"n.a.",IF(COUNT(INDEX(StockDaily[Adjusted close],MAX(1,$A679-200+1)):E679)=200,AVERAGE(INDEX(StockDaily[Adjusted close],MAX(1,$A679-200+1)):E679),"n.a.")))</f>
        <v/>
      </c>
      <c r="H679" s="136" t="str">
        <f>IF($A679&gt;MIN($A$10,$A$2),"",IF($A$5="","Choose stock",IF(NOT($A$12),"Check split rule",IF(NOT(ISNUMBER(B679)),"Invalid date",IF(OR(B679&lt;=0,B679&lt;&gt;INT(B679)),"Invalid date",IF(COUNTIFS(DemoHistory[Date],B679)&lt;&gt;1,"Duplicate date",IF(AND($A679&gt;1,B679&lt;=B678),"Dates out of order",IF(NOT(ISNUMBER(C679)),"Missing price",IF(C679&lt;=0,"Nonpositive price","OK")))))))))</f>
        <v/>
      </c>
      <c r="I679" s="136"/>
      <c r="J679" s="136"/>
      <c r="K679" s="136"/>
      <c r="L679" s="136"/>
      <c r="M679" s="136"/>
      <c r="N679" s="136" t="e">
        <f t="shared" si="28"/>
        <v>#N/A</v>
      </c>
      <c r="O679" s="136" t="e">
        <f t="shared" si="29"/>
        <v>#N/A</v>
      </c>
    </row>
    <row r="680" spans="1:15" ht="22" customHeight="1" x14ac:dyDescent="0.35">
      <c r="A680" s="136">
        <v>636</v>
      </c>
      <c r="B680" s="165" t="str">
        <f>IF($A680&gt;MIN($A$10,$A$2),"",INDEX(DemoHistory[Date],$A680))</f>
        <v/>
      </c>
      <c r="C680" s="166" t="str">
        <f>IF(OR($A680&gt;MIN($A$10,$A$2),$A$5=""),"",INDEX(DemoHistory[],$A680,MATCH($A$5,DemoHistory[#Headers],0)))</f>
        <v/>
      </c>
      <c r="D680" s="166" t="str">
        <f>IF($A680&gt;MIN($A$10,$A$2),"",IF(AND($A$12,$A$6=1,B680&lt;$A$7,$A$7&lt;=MAX(DemoHistory[Date])),$A$8,1))</f>
        <v/>
      </c>
      <c r="E680" s="166" t="str">
        <f t="shared" si="27"/>
        <v/>
      </c>
      <c r="F680" s="166" t="str">
        <f>IF($A680&gt;MIN($A$10,$A$2),"",IF($A680&lt;50,"n.a.",IF(COUNT(INDEX(StockDaily[Adjusted close],MAX(1,$A680-50+1)):E680)=50,AVERAGE(INDEX(StockDaily[Adjusted close],MAX(1,$A680-50+1)):E680),"n.a.")))</f>
        <v/>
      </c>
      <c r="G680" s="166" t="str">
        <f>IF($A680&gt;MIN($A$10,$A$2),"",IF($A680&lt;200,"n.a.",IF(COUNT(INDEX(StockDaily[Adjusted close],MAX(1,$A680-200+1)):E680)=200,AVERAGE(INDEX(StockDaily[Adjusted close],MAX(1,$A680-200+1)):E680),"n.a.")))</f>
        <v/>
      </c>
      <c r="H680" s="136" t="str">
        <f>IF($A680&gt;MIN($A$10,$A$2),"",IF($A$5="","Choose stock",IF(NOT($A$12),"Check split rule",IF(NOT(ISNUMBER(B680)),"Invalid date",IF(OR(B680&lt;=0,B680&lt;&gt;INT(B680)),"Invalid date",IF(COUNTIFS(DemoHistory[Date],B680)&lt;&gt;1,"Duplicate date",IF(AND($A680&gt;1,B680&lt;=B679),"Dates out of order",IF(NOT(ISNUMBER(C680)),"Missing price",IF(C680&lt;=0,"Nonpositive price","OK")))))))))</f>
        <v/>
      </c>
      <c r="I680" s="136"/>
      <c r="J680" s="136"/>
      <c r="K680" s="136"/>
      <c r="L680" s="136"/>
      <c r="M680" s="136"/>
      <c r="N680" s="136" t="e">
        <f t="shared" si="28"/>
        <v>#N/A</v>
      </c>
      <c r="O680" s="136" t="e">
        <f t="shared" si="29"/>
        <v>#N/A</v>
      </c>
    </row>
    <row r="681" spans="1:15" ht="22" customHeight="1" x14ac:dyDescent="0.35">
      <c r="A681" s="136">
        <v>637</v>
      </c>
      <c r="B681" s="165" t="str">
        <f>IF($A681&gt;MIN($A$10,$A$2),"",INDEX(DemoHistory[Date],$A681))</f>
        <v/>
      </c>
      <c r="C681" s="166" t="str">
        <f>IF(OR($A681&gt;MIN($A$10,$A$2),$A$5=""),"",INDEX(DemoHistory[],$A681,MATCH($A$5,DemoHistory[#Headers],0)))</f>
        <v/>
      </c>
      <c r="D681" s="166" t="str">
        <f>IF($A681&gt;MIN($A$10,$A$2),"",IF(AND($A$12,$A$6=1,B681&lt;$A$7,$A$7&lt;=MAX(DemoHistory[Date])),$A$8,1))</f>
        <v/>
      </c>
      <c r="E681" s="166" t="str">
        <f t="shared" si="27"/>
        <v/>
      </c>
      <c r="F681" s="166" t="str">
        <f>IF($A681&gt;MIN($A$10,$A$2),"",IF($A681&lt;50,"n.a.",IF(COUNT(INDEX(StockDaily[Adjusted close],MAX(1,$A681-50+1)):E681)=50,AVERAGE(INDEX(StockDaily[Adjusted close],MAX(1,$A681-50+1)):E681),"n.a.")))</f>
        <v/>
      </c>
      <c r="G681" s="166" t="str">
        <f>IF($A681&gt;MIN($A$10,$A$2),"",IF($A681&lt;200,"n.a.",IF(COUNT(INDEX(StockDaily[Adjusted close],MAX(1,$A681-200+1)):E681)=200,AVERAGE(INDEX(StockDaily[Adjusted close],MAX(1,$A681-200+1)):E681),"n.a.")))</f>
        <v/>
      </c>
      <c r="H681" s="136" t="str">
        <f>IF($A681&gt;MIN($A$10,$A$2),"",IF($A$5="","Choose stock",IF(NOT($A$12),"Check split rule",IF(NOT(ISNUMBER(B681)),"Invalid date",IF(OR(B681&lt;=0,B681&lt;&gt;INT(B681)),"Invalid date",IF(COUNTIFS(DemoHistory[Date],B681)&lt;&gt;1,"Duplicate date",IF(AND($A681&gt;1,B681&lt;=B680),"Dates out of order",IF(NOT(ISNUMBER(C681)),"Missing price",IF(C681&lt;=0,"Nonpositive price","OK")))))))))</f>
        <v/>
      </c>
      <c r="I681" s="136"/>
      <c r="J681" s="136"/>
      <c r="K681" s="136"/>
      <c r="L681" s="136"/>
      <c r="M681" s="136"/>
      <c r="N681" s="136" t="e">
        <f t="shared" si="28"/>
        <v>#N/A</v>
      </c>
      <c r="O681" s="136" t="e">
        <f t="shared" si="29"/>
        <v>#N/A</v>
      </c>
    </row>
    <row r="682" spans="1:15" ht="22" customHeight="1" x14ac:dyDescent="0.35">
      <c r="A682" s="136">
        <v>638</v>
      </c>
      <c r="B682" s="165" t="str">
        <f>IF($A682&gt;MIN($A$10,$A$2),"",INDEX(DemoHistory[Date],$A682))</f>
        <v/>
      </c>
      <c r="C682" s="166" t="str">
        <f>IF(OR($A682&gt;MIN($A$10,$A$2),$A$5=""),"",INDEX(DemoHistory[],$A682,MATCH($A$5,DemoHistory[#Headers],0)))</f>
        <v/>
      </c>
      <c r="D682" s="166" t="str">
        <f>IF($A682&gt;MIN($A$10,$A$2),"",IF(AND($A$12,$A$6=1,B682&lt;$A$7,$A$7&lt;=MAX(DemoHistory[Date])),$A$8,1))</f>
        <v/>
      </c>
      <c r="E682" s="166" t="str">
        <f t="shared" si="27"/>
        <v/>
      </c>
      <c r="F682" s="166" t="str">
        <f>IF($A682&gt;MIN($A$10,$A$2),"",IF($A682&lt;50,"n.a.",IF(COUNT(INDEX(StockDaily[Adjusted close],MAX(1,$A682-50+1)):E682)=50,AVERAGE(INDEX(StockDaily[Adjusted close],MAX(1,$A682-50+1)):E682),"n.a.")))</f>
        <v/>
      </c>
      <c r="G682" s="166" t="str">
        <f>IF($A682&gt;MIN($A$10,$A$2),"",IF($A682&lt;200,"n.a.",IF(COUNT(INDEX(StockDaily[Adjusted close],MAX(1,$A682-200+1)):E682)=200,AVERAGE(INDEX(StockDaily[Adjusted close],MAX(1,$A682-200+1)):E682),"n.a.")))</f>
        <v/>
      </c>
      <c r="H682" s="136" t="str">
        <f>IF($A682&gt;MIN($A$10,$A$2),"",IF($A$5="","Choose stock",IF(NOT($A$12),"Check split rule",IF(NOT(ISNUMBER(B682)),"Invalid date",IF(OR(B682&lt;=0,B682&lt;&gt;INT(B682)),"Invalid date",IF(COUNTIFS(DemoHistory[Date],B682)&lt;&gt;1,"Duplicate date",IF(AND($A682&gt;1,B682&lt;=B681),"Dates out of order",IF(NOT(ISNUMBER(C682)),"Missing price",IF(C682&lt;=0,"Nonpositive price","OK")))))))))</f>
        <v/>
      </c>
      <c r="I682" s="136"/>
      <c r="J682" s="136"/>
      <c r="K682" s="136"/>
      <c r="L682" s="136"/>
      <c r="M682" s="136"/>
      <c r="N682" s="136" t="e">
        <f t="shared" si="28"/>
        <v>#N/A</v>
      </c>
      <c r="O682" s="136" t="e">
        <f t="shared" si="29"/>
        <v>#N/A</v>
      </c>
    </row>
    <row r="683" spans="1:15" ht="22" customHeight="1" x14ac:dyDescent="0.35">
      <c r="A683" s="136">
        <v>639</v>
      </c>
      <c r="B683" s="165" t="str">
        <f>IF($A683&gt;MIN($A$10,$A$2),"",INDEX(DemoHistory[Date],$A683))</f>
        <v/>
      </c>
      <c r="C683" s="166" t="str">
        <f>IF(OR($A683&gt;MIN($A$10,$A$2),$A$5=""),"",INDEX(DemoHistory[],$A683,MATCH($A$5,DemoHistory[#Headers],0)))</f>
        <v/>
      </c>
      <c r="D683" s="166" t="str">
        <f>IF($A683&gt;MIN($A$10,$A$2),"",IF(AND($A$12,$A$6=1,B683&lt;$A$7,$A$7&lt;=MAX(DemoHistory[Date])),$A$8,1))</f>
        <v/>
      </c>
      <c r="E683" s="166" t="str">
        <f t="shared" si="27"/>
        <v/>
      </c>
      <c r="F683" s="166" t="str">
        <f>IF($A683&gt;MIN($A$10,$A$2),"",IF($A683&lt;50,"n.a.",IF(COUNT(INDEX(StockDaily[Adjusted close],MAX(1,$A683-50+1)):E683)=50,AVERAGE(INDEX(StockDaily[Adjusted close],MAX(1,$A683-50+1)):E683),"n.a.")))</f>
        <v/>
      </c>
      <c r="G683" s="166" t="str">
        <f>IF($A683&gt;MIN($A$10,$A$2),"",IF($A683&lt;200,"n.a.",IF(COUNT(INDEX(StockDaily[Adjusted close],MAX(1,$A683-200+1)):E683)=200,AVERAGE(INDEX(StockDaily[Adjusted close],MAX(1,$A683-200+1)):E683),"n.a.")))</f>
        <v/>
      </c>
      <c r="H683" s="136" t="str">
        <f>IF($A683&gt;MIN($A$10,$A$2),"",IF($A$5="","Choose stock",IF(NOT($A$12),"Check split rule",IF(NOT(ISNUMBER(B683)),"Invalid date",IF(OR(B683&lt;=0,B683&lt;&gt;INT(B683)),"Invalid date",IF(COUNTIFS(DemoHistory[Date],B683)&lt;&gt;1,"Duplicate date",IF(AND($A683&gt;1,B683&lt;=B682),"Dates out of order",IF(NOT(ISNUMBER(C683)),"Missing price",IF(C683&lt;=0,"Nonpositive price","OK")))))))))</f>
        <v/>
      </c>
      <c r="I683" s="136"/>
      <c r="J683" s="136"/>
      <c r="K683" s="136"/>
      <c r="L683" s="136"/>
      <c r="M683" s="136"/>
      <c r="N683" s="136" t="e">
        <f t="shared" si="28"/>
        <v>#N/A</v>
      </c>
      <c r="O683" s="136" t="e">
        <f t="shared" si="29"/>
        <v>#N/A</v>
      </c>
    </row>
    <row r="684" spans="1:15" ht="22" customHeight="1" x14ac:dyDescent="0.35">
      <c r="A684" s="136">
        <v>640</v>
      </c>
      <c r="B684" s="165" t="str">
        <f>IF($A684&gt;MIN($A$10,$A$2),"",INDEX(DemoHistory[Date],$A684))</f>
        <v/>
      </c>
      <c r="C684" s="166" t="str">
        <f>IF(OR($A684&gt;MIN($A$10,$A$2),$A$5=""),"",INDEX(DemoHistory[],$A684,MATCH($A$5,DemoHistory[#Headers],0)))</f>
        <v/>
      </c>
      <c r="D684" s="166" t="str">
        <f>IF($A684&gt;MIN($A$10,$A$2),"",IF(AND($A$12,$A$6=1,B684&lt;$A$7,$A$7&lt;=MAX(DemoHistory[Date])),$A$8,1))</f>
        <v/>
      </c>
      <c r="E684" s="166" t="str">
        <f t="shared" si="27"/>
        <v/>
      </c>
      <c r="F684" s="166" t="str">
        <f>IF($A684&gt;MIN($A$10,$A$2),"",IF($A684&lt;50,"n.a.",IF(COUNT(INDEX(StockDaily[Adjusted close],MAX(1,$A684-50+1)):E684)=50,AVERAGE(INDEX(StockDaily[Adjusted close],MAX(1,$A684-50+1)):E684),"n.a.")))</f>
        <v/>
      </c>
      <c r="G684" s="166" t="str">
        <f>IF($A684&gt;MIN($A$10,$A$2),"",IF($A684&lt;200,"n.a.",IF(COUNT(INDEX(StockDaily[Adjusted close],MAX(1,$A684-200+1)):E684)=200,AVERAGE(INDEX(StockDaily[Adjusted close],MAX(1,$A684-200+1)):E684),"n.a.")))</f>
        <v/>
      </c>
      <c r="H684" s="136" t="str">
        <f>IF($A684&gt;MIN($A$10,$A$2),"",IF($A$5="","Choose stock",IF(NOT($A$12),"Check split rule",IF(NOT(ISNUMBER(B684)),"Invalid date",IF(OR(B684&lt;=0,B684&lt;&gt;INT(B684)),"Invalid date",IF(COUNTIFS(DemoHistory[Date],B684)&lt;&gt;1,"Duplicate date",IF(AND($A684&gt;1,B684&lt;=B683),"Dates out of order",IF(NOT(ISNUMBER(C684)),"Missing price",IF(C684&lt;=0,"Nonpositive price","OK")))))))))</f>
        <v/>
      </c>
      <c r="I684" s="136"/>
      <c r="J684" s="136"/>
      <c r="K684" s="136"/>
      <c r="L684" s="136"/>
      <c r="M684" s="136"/>
      <c r="N684" s="136" t="e">
        <f t="shared" si="28"/>
        <v>#N/A</v>
      </c>
      <c r="O684" s="136" t="e">
        <f t="shared" si="29"/>
        <v>#N/A</v>
      </c>
    </row>
    <row r="685" spans="1:15" ht="22" customHeight="1" x14ac:dyDescent="0.35">
      <c r="A685" s="136">
        <v>641</v>
      </c>
      <c r="B685" s="165" t="str">
        <f>IF($A685&gt;MIN($A$10,$A$2),"",INDEX(DemoHistory[Date],$A685))</f>
        <v/>
      </c>
      <c r="C685" s="166" t="str">
        <f>IF(OR($A685&gt;MIN($A$10,$A$2),$A$5=""),"",INDEX(DemoHistory[],$A685,MATCH($A$5,DemoHistory[#Headers],0)))</f>
        <v/>
      </c>
      <c r="D685" s="166" t="str">
        <f>IF($A685&gt;MIN($A$10,$A$2),"",IF(AND($A$12,$A$6=1,B685&lt;$A$7,$A$7&lt;=MAX(DemoHistory[Date])),$A$8,1))</f>
        <v/>
      </c>
      <c r="E685" s="166" t="str">
        <f t="shared" ref="E685:E748" si="30">IF($A685&gt;MIN($A$10,$A$2),"",IF(H685="OK",C685/D685,"n.a."))</f>
        <v/>
      </c>
      <c r="F685" s="166" t="str">
        <f>IF($A685&gt;MIN($A$10,$A$2),"",IF($A685&lt;50,"n.a.",IF(COUNT(INDEX(StockDaily[Adjusted close],MAX(1,$A685-50+1)):E685)=50,AVERAGE(INDEX(StockDaily[Adjusted close],MAX(1,$A685-50+1)):E685),"n.a.")))</f>
        <v/>
      </c>
      <c r="G685" s="166" t="str">
        <f>IF($A685&gt;MIN($A$10,$A$2),"",IF($A685&lt;200,"n.a.",IF(COUNT(INDEX(StockDaily[Adjusted close],MAX(1,$A685-200+1)):E685)=200,AVERAGE(INDEX(StockDaily[Adjusted close],MAX(1,$A685-200+1)):E685),"n.a.")))</f>
        <v/>
      </c>
      <c r="H685" s="136" t="str">
        <f>IF($A685&gt;MIN($A$10,$A$2),"",IF($A$5="","Choose stock",IF(NOT($A$12),"Check split rule",IF(NOT(ISNUMBER(B685)),"Invalid date",IF(OR(B685&lt;=0,B685&lt;&gt;INT(B685)),"Invalid date",IF(COUNTIFS(DemoHistory[Date],B685)&lt;&gt;1,"Duplicate date",IF(AND($A685&gt;1,B685&lt;=B684),"Dates out of order",IF(NOT(ISNUMBER(C685)),"Missing price",IF(C685&lt;=0,"Nonpositive price","OK")))))))))</f>
        <v/>
      </c>
      <c r="I685" s="136"/>
      <c r="J685" s="136"/>
      <c r="K685" s="136"/>
      <c r="L685" s="136"/>
      <c r="M685" s="136"/>
      <c r="N685" s="136" t="e">
        <f t="shared" ref="N685:N748" si="31">IF(AND($A$13="Ready",ISNUMBER(E685)),E685,NA())</f>
        <v>#N/A</v>
      </c>
      <c r="O685" s="136" t="e">
        <f t="shared" ref="O685:O748" si="32">IF(AND($A$13="Ready",ISNUMBER(F685)),F685,NA())</f>
        <v>#N/A</v>
      </c>
    </row>
    <row r="686" spans="1:15" ht="22" customHeight="1" x14ac:dyDescent="0.35">
      <c r="A686" s="136">
        <v>642</v>
      </c>
      <c r="B686" s="165" t="str">
        <f>IF($A686&gt;MIN($A$10,$A$2),"",INDEX(DemoHistory[Date],$A686))</f>
        <v/>
      </c>
      <c r="C686" s="166" t="str">
        <f>IF(OR($A686&gt;MIN($A$10,$A$2),$A$5=""),"",INDEX(DemoHistory[],$A686,MATCH($A$5,DemoHistory[#Headers],0)))</f>
        <v/>
      </c>
      <c r="D686" s="166" t="str">
        <f>IF($A686&gt;MIN($A$10,$A$2),"",IF(AND($A$12,$A$6=1,B686&lt;$A$7,$A$7&lt;=MAX(DemoHistory[Date])),$A$8,1))</f>
        <v/>
      </c>
      <c r="E686" s="166" t="str">
        <f t="shared" si="30"/>
        <v/>
      </c>
      <c r="F686" s="166" t="str">
        <f>IF($A686&gt;MIN($A$10,$A$2),"",IF($A686&lt;50,"n.a.",IF(COUNT(INDEX(StockDaily[Adjusted close],MAX(1,$A686-50+1)):E686)=50,AVERAGE(INDEX(StockDaily[Adjusted close],MAX(1,$A686-50+1)):E686),"n.a.")))</f>
        <v/>
      </c>
      <c r="G686" s="166" t="str">
        <f>IF($A686&gt;MIN($A$10,$A$2),"",IF($A686&lt;200,"n.a.",IF(COUNT(INDEX(StockDaily[Adjusted close],MAX(1,$A686-200+1)):E686)=200,AVERAGE(INDEX(StockDaily[Adjusted close],MAX(1,$A686-200+1)):E686),"n.a.")))</f>
        <v/>
      </c>
      <c r="H686" s="136" t="str">
        <f>IF($A686&gt;MIN($A$10,$A$2),"",IF($A$5="","Choose stock",IF(NOT($A$12),"Check split rule",IF(NOT(ISNUMBER(B686)),"Invalid date",IF(OR(B686&lt;=0,B686&lt;&gt;INT(B686)),"Invalid date",IF(COUNTIFS(DemoHistory[Date],B686)&lt;&gt;1,"Duplicate date",IF(AND($A686&gt;1,B686&lt;=B685),"Dates out of order",IF(NOT(ISNUMBER(C686)),"Missing price",IF(C686&lt;=0,"Nonpositive price","OK")))))))))</f>
        <v/>
      </c>
      <c r="I686" s="136"/>
      <c r="J686" s="136"/>
      <c r="K686" s="136"/>
      <c r="L686" s="136"/>
      <c r="M686" s="136"/>
      <c r="N686" s="136" t="e">
        <f t="shared" si="31"/>
        <v>#N/A</v>
      </c>
      <c r="O686" s="136" t="e">
        <f t="shared" si="32"/>
        <v>#N/A</v>
      </c>
    </row>
    <row r="687" spans="1:15" ht="22" customHeight="1" x14ac:dyDescent="0.35">
      <c r="A687" s="136">
        <v>643</v>
      </c>
      <c r="B687" s="165" t="str">
        <f>IF($A687&gt;MIN($A$10,$A$2),"",INDEX(DemoHistory[Date],$A687))</f>
        <v/>
      </c>
      <c r="C687" s="166" t="str">
        <f>IF(OR($A687&gt;MIN($A$10,$A$2),$A$5=""),"",INDEX(DemoHistory[],$A687,MATCH($A$5,DemoHistory[#Headers],0)))</f>
        <v/>
      </c>
      <c r="D687" s="166" t="str">
        <f>IF($A687&gt;MIN($A$10,$A$2),"",IF(AND($A$12,$A$6=1,B687&lt;$A$7,$A$7&lt;=MAX(DemoHistory[Date])),$A$8,1))</f>
        <v/>
      </c>
      <c r="E687" s="166" t="str">
        <f t="shared" si="30"/>
        <v/>
      </c>
      <c r="F687" s="166" t="str">
        <f>IF($A687&gt;MIN($A$10,$A$2),"",IF($A687&lt;50,"n.a.",IF(COUNT(INDEX(StockDaily[Adjusted close],MAX(1,$A687-50+1)):E687)=50,AVERAGE(INDEX(StockDaily[Adjusted close],MAX(1,$A687-50+1)):E687),"n.a.")))</f>
        <v/>
      </c>
      <c r="G687" s="166" t="str">
        <f>IF($A687&gt;MIN($A$10,$A$2),"",IF($A687&lt;200,"n.a.",IF(COUNT(INDEX(StockDaily[Adjusted close],MAX(1,$A687-200+1)):E687)=200,AVERAGE(INDEX(StockDaily[Adjusted close],MAX(1,$A687-200+1)):E687),"n.a.")))</f>
        <v/>
      </c>
      <c r="H687" s="136" t="str">
        <f>IF($A687&gt;MIN($A$10,$A$2),"",IF($A$5="","Choose stock",IF(NOT($A$12),"Check split rule",IF(NOT(ISNUMBER(B687)),"Invalid date",IF(OR(B687&lt;=0,B687&lt;&gt;INT(B687)),"Invalid date",IF(COUNTIFS(DemoHistory[Date],B687)&lt;&gt;1,"Duplicate date",IF(AND($A687&gt;1,B687&lt;=B686),"Dates out of order",IF(NOT(ISNUMBER(C687)),"Missing price",IF(C687&lt;=0,"Nonpositive price","OK")))))))))</f>
        <v/>
      </c>
      <c r="I687" s="136"/>
      <c r="J687" s="136"/>
      <c r="K687" s="136"/>
      <c r="L687" s="136"/>
      <c r="M687" s="136"/>
      <c r="N687" s="136" t="e">
        <f t="shared" si="31"/>
        <v>#N/A</v>
      </c>
      <c r="O687" s="136" t="e">
        <f t="shared" si="32"/>
        <v>#N/A</v>
      </c>
    </row>
    <row r="688" spans="1:15" ht="22" customHeight="1" x14ac:dyDescent="0.35">
      <c r="A688" s="136">
        <v>644</v>
      </c>
      <c r="B688" s="165" t="str">
        <f>IF($A688&gt;MIN($A$10,$A$2),"",INDEX(DemoHistory[Date],$A688))</f>
        <v/>
      </c>
      <c r="C688" s="166" t="str">
        <f>IF(OR($A688&gt;MIN($A$10,$A$2),$A$5=""),"",INDEX(DemoHistory[],$A688,MATCH($A$5,DemoHistory[#Headers],0)))</f>
        <v/>
      </c>
      <c r="D688" s="166" t="str">
        <f>IF($A688&gt;MIN($A$10,$A$2),"",IF(AND($A$12,$A$6=1,B688&lt;$A$7,$A$7&lt;=MAX(DemoHistory[Date])),$A$8,1))</f>
        <v/>
      </c>
      <c r="E688" s="166" t="str">
        <f t="shared" si="30"/>
        <v/>
      </c>
      <c r="F688" s="166" t="str">
        <f>IF($A688&gt;MIN($A$10,$A$2),"",IF($A688&lt;50,"n.a.",IF(COUNT(INDEX(StockDaily[Adjusted close],MAX(1,$A688-50+1)):E688)=50,AVERAGE(INDEX(StockDaily[Adjusted close],MAX(1,$A688-50+1)):E688),"n.a.")))</f>
        <v/>
      </c>
      <c r="G688" s="166" t="str">
        <f>IF($A688&gt;MIN($A$10,$A$2),"",IF($A688&lt;200,"n.a.",IF(COUNT(INDEX(StockDaily[Adjusted close],MAX(1,$A688-200+1)):E688)=200,AVERAGE(INDEX(StockDaily[Adjusted close],MAX(1,$A688-200+1)):E688),"n.a.")))</f>
        <v/>
      </c>
      <c r="H688" s="136" t="str">
        <f>IF($A688&gt;MIN($A$10,$A$2),"",IF($A$5="","Choose stock",IF(NOT($A$12),"Check split rule",IF(NOT(ISNUMBER(B688)),"Invalid date",IF(OR(B688&lt;=0,B688&lt;&gt;INT(B688)),"Invalid date",IF(COUNTIFS(DemoHistory[Date],B688)&lt;&gt;1,"Duplicate date",IF(AND($A688&gt;1,B688&lt;=B687),"Dates out of order",IF(NOT(ISNUMBER(C688)),"Missing price",IF(C688&lt;=0,"Nonpositive price","OK")))))))))</f>
        <v/>
      </c>
      <c r="I688" s="136"/>
      <c r="J688" s="136"/>
      <c r="K688" s="136"/>
      <c r="L688" s="136"/>
      <c r="M688" s="136"/>
      <c r="N688" s="136" t="e">
        <f t="shared" si="31"/>
        <v>#N/A</v>
      </c>
      <c r="O688" s="136" t="e">
        <f t="shared" si="32"/>
        <v>#N/A</v>
      </c>
    </row>
    <row r="689" spans="1:15" ht="22" customHeight="1" x14ac:dyDescent="0.35">
      <c r="A689" s="136">
        <v>645</v>
      </c>
      <c r="B689" s="165" t="str">
        <f>IF($A689&gt;MIN($A$10,$A$2),"",INDEX(DemoHistory[Date],$A689))</f>
        <v/>
      </c>
      <c r="C689" s="166" t="str">
        <f>IF(OR($A689&gt;MIN($A$10,$A$2),$A$5=""),"",INDEX(DemoHistory[],$A689,MATCH($A$5,DemoHistory[#Headers],0)))</f>
        <v/>
      </c>
      <c r="D689" s="166" t="str">
        <f>IF($A689&gt;MIN($A$10,$A$2),"",IF(AND($A$12,$A$6=1,B689&lt;$A$7,$A$7&lt;=MAX(DemoHistory[Date])),$A$8,1))</f>
        <v/>
      </c>
      <c r="E689" s="166" t="str">
        <f t="shared" si="30"/>
        <v/>
      </c>
      <c r="F689" s="166" t="str">
        <f>IF($A689&gt;MIN($A$10,$A$2),"",IF($A689&lt;50,"n.a.",IF(COUNT(INDEX(StockDaily[Adjusted close],MAX(1,$A689-50+1)):E689)=50,AVERAGE(INDEX(StockDaily[Adjusted close],MAX(1,$A689-50+1)):E689),"n.a.")))</f>
        <v/>
      </c>
      <c r="G689" s="166" t="str">
        <f>IF($A689&gt;MIN($A$10,$A$2),"",IF($A689&lt;200,"n.a.",IF(COUNT(INDEX(StockDaily[Adjusted close],MAX(1,$A689-200+1)):E689)=200,AVERAGE(INDEX(StockDaily[Adjusted close],MAX(1,$A689-200+1)):E689),"n.a.")))</f>
        <v/>
      </c>
      <c r="H689" s="136" t="str">
        <f>IF($A689&gt;MIN($A$10,$A$2),"",IF($A$5="","Choose stock",IF(NOT($A$12),"Check split rule",IF(NOT(ISNUMBER(B689)),"Invalid date",IF(OR(B689&lt;=0,B689&lt;&gt;INT(B689)),"Invalid date",IF(COUNTIFS(DemoHistory[Date],B689)&lt;&gt;1,"Duplicate date",IF(AND($A689&gt;1,B689&lt;=B688),"Dates out of order",IF(NOT(ISNUMBER(C689)),"Missing price",IF(C689&lt;=0,"Nonpositive price","OK")))))))))</f>
        <v/>
      </c>
      <c r="I689" s="136"/>
      <c r="J689" s="136"/>
      <c r="K689" s="136"/>
      <c r="L689" s="136"/>
      <c r="M689" s="136"/>
      <c r="N689" s="136" t="e">
        <f t="shared" si="31"/>
        <v>#N/A</v>
      </c>
      <c r="O689" s="136" t="e">
        <f t="shared" si="32"/>
        <v>#N/A</v>
      </c>
    </row>
    <row r="690" spans="1:15" ht="22" customHeight="1" x14ac:dyDescent="0.35">
      <c r="A690" s="136">
        <v>646</v>
      </c>
      <c r="B690" s="165" t="str">
        <f>IF($A690&gt;MIN($A$10,$A$2),"",INDEX(DemoHistory[Date],$A690))</f>
        <v/>
      </c>
      <c r="C690" s="166" t="str">
        <f>IF(OR($A690&gt;MIN($A$10,$A$2),$A$5=""),"",INDEX(DemoHistory[],$A690,MATCH($A$5,DemoHistory[#Headers],0)))</f>
        <v/>
      </c>
      <c r="D690" s="166" t="str">
        <f>IF($A690&gt;MIN($A$10,$A$2),"",IF(AND($A$12,$A$6=1,B690&lt;$A$7,$A$7&lt;=MAX(DemoHistory[Date])),$A$8,1))</f>
        <v/>
      </c>
      <c r="E690" s="166" t="str">
        <f t="shared" si="30"/>
        <v/>
      </c>
      <c r="F690" s="166" t="str">
        <f>IF($A690&gt;MIN($A$10,$A$2),"",IF($A690&lt;50,"n.a.",IF(COUNT(INDEX(StockDaily[Adjusted close],MAX(1,$A690-50+1)):E690)=50,AVERAGE(INDEX(StockDaily[Adjusted close],MAX(1,$A690-50+1)):E690),"n.a.")))</f>
        <v/>
      </c>
      <c r="G690" s="166" t="str">
        <f>IF($A690&gt;MIN($A$10,$A$2),"",IF($A690&lt;200,"n.a.",IF(COUNT(INDEX(StockDaily[Adjusted close],MAX(1,$A690-200+1)):E690)=200,AVERAGE(INDEX(StockDaily[Adjusted close],MAX(1,$A690-200+1)):E690),"n.a.")))</f>
        <v/>
      </c>
      <c r="H690" s="136" t="str">
        <f>IF($A690&gt;MIN($A$10,$A$2),"",IF($A$5="","Choose stock",IF(NOT($A$12),"Check split rule",IF(NOT(ISNUMBER(B690)),"Invalid date",IF(OR(B690&lt;=0,B690&lt;&gt;INT(B690)),"Invalid date",IF(COUNTIFS(DemoHistory[Date],B690)&lt;&gt;1,"Duplicate date",IF(AND($A690&gt;1,B690&lt;=B689),"Dates out of order",IF(NOT(ISNUMBER(C690)),"Missing price",IF(C690&lt;=0,"Nonpositive price","OK")))))))))</f>
        <v/>
      </c>
      <c r="I690" s="136"/>
      <c r="J690" s="136"/>
      <c r="K690" s="136"/>
      <c r="L690" s="136"/>
      <c r="M690" s="136"/>
      <c r="N690" s="136" t="e">
        <f t="shared" si="31"/>
        <v>#N/A</v>
      </c>
      <c r="O690" s="136" t="e">
        <f t="shared" si="32"/>
        <v>#N/A</v>
      </c>
    </row>
    <row r="691" spans="1:15" ht="22" customHeight="1" x14ac:dyDescent="0.35">
      <c r="A691" s="136">
        <v>647</v>
      </c>
      <c r="B691" s="165" t="str">
        <f>IF($A691&gt;MIN($A$10,$A$2),"",INDEX(DemoHistory[Date],$A691))</f>
        <v/>
      </c>
      <c r="C691" s="166" t="str">
        <f>IF(OR($A691&gt;MIN($A$10,$A$2),$A$5=""),"",INDEX(DemoHistory[],$A691,MATCH($A$5,DemoHistory[#Headers],0)))</f>
        <v/>
      </c>
      <c r="D691" s="166" t="str">
        <f>IF($A691&gt;MIN($A$10,$A$2),"",IF(AND($A$12,$A$6=1,B691&lt;$A$7,$A$7&lt;=MAX(DemoHistory[Date])),$A$8,1))</f>
        <v/>
      </c>
      <c r="E691" s="166" t="str">
        <f t="shared" si="30"/>
        <v/>
      </c>
      <c r="F691" s="166" t="str">
        <f>IF($A691&gt;MIN($A$10,$A$2),"",IF($A691&lt;50,"n.a.",IF(COUNT(INDEX(StockDaily[Adjusted close],MAX(1,$A691-50+1)):E691)=50,AVERAGE(INDEX(StockDaily[Adjusted close],MAX(1,$A691-50+1)):E691),"n.a.")))</f>
        <v/>
      </c>
      <c r="G691" s="166" t="str">
        <f>IF($A691&gt;MIN($A$10,$A$2),"",IF($A691&lt;200,"n.a.",IF(COUNT(INDEX(StockDaily[Adjusted close],MAX(1,$A691-200+1)):E691)=200,AVERAGE(INDEX(StockDaily[Adjusted close],MAX(1,$A691-200+1)):E691),"n.a.")))</f>
        <v/>
      </c>
      <c r="H691" s="136" t="str">
        <f>IF($A691&gt;MIN($A$10,$A$2),"",IF($A$5="","Choose stock",IF(NOT($A$12),"Check split rule",IF(NOT(ISNUMBER(B691)),"Invalid date",IF(OR(B691&lt;=0,B691&lt;&gt;INT(B691)),"Invalid date",IF(COUNTIFS(DemoHistory[Date],B691)&lt;&gt;1,"Duplicate date",IF(AND($A691&gt;1,B691&lt;=B690),"Dates out of order",IF(NOT(ISNUMBER(C691)),"Missing price",IF(C691&lt;=0,"Nonpositive price","OK")))))))))</f>
        <v/>
      </c>
      <c r="I691" s="136"/>
      <c r="J691" s="136"/>
      <c r="K691" s="136"/>
      <c r="L691" s="136"/>
      <c r="M691" s="136"/>
      <c r="N691" s="136" t="e">
        <f t="shared" si="31"/>
        <v>#N/A</v>
      </c>
      <c r="O691" s="136" t="e">
        <f t="shared" si="32"/>
        <v>#N/A</v>
      </c>
    </row>
    <row r="692" spans="1:15" ht="22" customHeight="1" x14ac:dyDescent="0.35">
      <c r="A692" s="136">
        <v>648</v>
      </c>
      <c r="B692" s="165" t="str">
        <f>IF($A692&gt;MIN($A$10,$A$2),"",INDEX(DemoHistory[Date],$A692))</f>
        <v/>
      </c>
      <c r="C692" s="166" t="str">
        <f>IF(OR($A692&gt;MIN($A$10,$A$2),$A$5=""),"",INDEX(DemoHistory[],$A692,MATCH($A$5,DemoHistory[#Headers],0)))</f>
        <v/>
      </c>
      <c r="D692" s="166" t="str">
        <f>IF($A692&gt;MIN($A$10,$A$2),"",IF(AND($A$12,$A$6=1,B692&lt;$A$7,$A$7&lt;=MAX(DemoHistory[Date])),$A$8,1))</f>
        <v/>
      </c>
      <c r="E692" s="166" t="str">
        <f t="shared" si="30"/>
        <v/>
      </c>
      <c r="F692" s="166" t="str">
        <f>IF($A692&gt;MIN($A$10,$A$2),"",IF($A692&lt;50,"n.a.",IF(COUNT(INDEX(StockDaily[Adjusted close],MAX(1,$A692-50+1)):E692)=50,AVERAGE(INDEX(StockDaily[Adjusted close],MAX(1,$A692-50+1)):E692),"n.a.")))</f>
        <v/>
      </c>
      <c r="G692" s="166" t="str">
        <f>IF($A692&gt;MIN($A$10,$A$2),"",IF($A692&lt;200,"n.a.",IF(COUNT(INDEX(StockDaily[Adjusted close],MAX(1,$A692-200+1)):E692)=200,AVERAGE(INDEX(StockDaily[Adjusted close],MAX(1,$A692-200+1)):E692),"n.a.")))</f>
        <v/>
      </c>
      <c r="H692" s="136" t="str">
        <f>IF($A692&gt;MIN($A$10,$A$2),"",IF($A$5="","Choose stock",IF(NOT($A$12),"Check split rule",IF(NOT(ISNUMBER(B692)),"Invalid date",IF(OR(B692&lt;=0,B692&lt;&gt;INT(B692)),"Invalid date",IF(COUNTIFS(DemoHistory[Date],B692)&lt;&gt;1,"Duplicate date",IF(AND($A692&gt;1,B692&lt;=B691),"Dates out of order",IF(NOT(ISNUMBER(C692)),"Missing price",IF(C692&lt;=0,"Nonpositive price","OK")))))))))</f>
        <v/>
      </c>
      <c r="I692" s="136"/>
      <c r="J692" s="136"/>
      <c r="K692" s="136"/>
      <c r="L692" s="136"/>
      <c r="M692" s="136"/>
      <c r="N692" s="136" t="e">
        <f t="shared" si="31"/>
        <v>#N/A</v>
      </c>
      <c r="O692" s="136" t="e">
        <f t="shared" si="32"/>
        <v>#N/A</v>
      </c>
    </row>
    <row r="693" spans="1:15" ht="22" customHeight="1" x14ac:dyDescent="0.35">
      <c r="A693" s="136">
        <v>649</v>
      </c>
      <c r="B693" s="165" t="str">
        <f>IF($A693&gt;MIN($A$10,$A$2),"",INDEX(DemoHistory[Date],$A693))</f>
        <v/>
      </c>
      <c r="C693" s="166" t="str">
        <f>IF(OR($A693&gt;MIN($A$10,$A$2),$A$5=""),"",INDEX(DemoHistory[],$A693,MATCH($A$5,DemoHistory[#Headers],0)))</f>
        <v/>
      </c>
      <c r="D693" s="166" t="str">
        <f>IF($A693&gt;MIN($A$10,$A$2),"",IF(AND($A$12,$A$6=1,B693&lt;$A$7,$A$7&lt;=MAX(DemoHistory[Date])),$A$8,1))</f>
        <v/>
      </c>
      <c r="E693" s="166" t="str">
        <f t="shared" si="30"/>
        <v/>
      </c>
      <c r="F693" s="166" t="str">
        <f>IF($A693&gt;MIN($A$10,$A$2),"",IF($A693&lt;50,"n.a.",IF(COUNT(INDEX(StockDaily[Adjusted close],MAX(1,$A693-50+1)):E693)=50,AVERAGE(INDEX(StockDaily[Adjusted close],MAX(1,$A693-50+1)):E693),"n.a.")))</f>
        <v/>
      </c>
      <c r="G693" s="166" t="str">
        <f>IF($A693&gt;MIN($A$10,$A$2),"",IF($A693&lt;200,"n.a.",IF(COUNT(INDEX(StockDaily[Adjusted close],MAX(1,$A693-200+1)):E693)=200,AVERAGE(INDEX(StockDaily[Adjusted close],MAX(1,$A693-200+1)):E693),"n.a.")))</f>
        <v/>
      </c>
      <c r="H693" s="136" t="str">
        <f>IF($A693&gt;MIN($A$10,$A$2),"",IF($A$5="","Choose stock",IF(NOT($A$12),"Check split rule",IF(NOT(ISNUMBER(B693)),"Invalid date",IF(OR(B693&lt;=0,B693&lt;&gt;INT(B693)),"Invalid date",IF(COUNTIFS(DemoHistory[Date],B693)&lt;&gt;1,"Duplicate date",IF(AND($A693&gt;1,B693&lt;=B692),"Dates out of order",IF(NOT(ISNUMBER(C693)),"Missing price",IF(C693&lt;=0,"Nonpositive price","OK")))))))))</f>
        <v/>
      </c>
      <c r="I693" s="136"/>
      <c r="J693" s="136"/>
      <c r="K693" s="136"/>
      <c r="L693" s="136"/>
      <c r="M693" s="136"/>
      <c r="N693" s="136" t="e">
        <f t="shared" si="31"/>
        <v>#N/A</v>
      </c>
      <c r="O693" s="136" t="e">
        <f t="shared" si="32"/>
        <v>#N/A</v>
      </c>
    </row>
    <row r="694" spans="1:15" ht="22" customHeight="1" x14ac:dyDescent="0.35">
      <c r="A694" s="136">
        <v>650</v>
      </c>
      <c r="B694" s="165" t="str">
        <f>IF($A694&gt;MIN($A$10,$A$2),"",INDEX(DemoHistory[Date],$A694))</f>
        <v/>
      </c>
      <c r="C694" s="166" t="str">
        <f>IF(OR($A694&gt;MIN($A$10,$A$2),$A$5=""),"",INDEX(DemoHistory[],$A694,MATCH($A$5,DemoHistory[#Headers],0)))</f>
        <v/>
      </c>
      <c r="D694" s="166" t="str">
        <f>IF($A694&gt;MIN($A$10,$A$2),"",IF(AND($A$12,$A$6=1,B694&lt;$A$7,$A$7&lt;=MAX(DemoHistory[Date])),$A$8,1))</f>
        <v/>
      </c>
      <c r="E694" s="166" t="str">
        <f t="shared" si="30"/>
        <v/>
      </c>
      <c r="F694" s="166" t="str">
        <f>IF($A694&gt;MIN($A$10,$A$2),"",IF($A694&lt;50,"n.a.",IF(COUNT(INDEX(StockDaily[Adjusted close],MAX(1,$A694-50+1)):E694)=50,AVERAGE(INDEX(StockDaily[Adjusted close],MAX(1,$A694-50+1)):E694),"n.a.")))</f>
        <v/>
      </c>
      <c r="G694" s="166" t="str">
        <f>IF($A694&gt;MIN($A$10,$A$2),"",IF($A694&lt;200,"n.a.",IF(COUNT(INDEX(StockDaily[Adjusted close],MAX(1,$A694-200+1)):E694)=200,AVERAGE(INDEX(StockDaily[Adjusted close],MAX(1,$A694-200+1)):E694),"n.a.")))</f>
        <v/>
      </c>
      <c r="H694" s="136" t="str">
        <f>IF($A694&gt;MIN($A$10,$A$2),"",IF($A$5="","Choose stock",IF(NOT($A$12),"Check split rule",IF(NOT(ISNUMBER(B694)),"Invalid date",IF(OR(B694&lt;=0,B694&lt;&gt;INT(B694)),"Invalid date",IF(COUNTIFS(DemoHistory[Date],B694)&lt;&gt;1,"Duplicate date",IF(AND($A694&gt;1,B694&lt;=B693),"Dates out of order",IF(NOT(ISNUMBER(C694)),"Missing price",IF(C694&lt;=0,"Nonpositive price","OK")))))))))</f>
        <v/>
      </c>
      <c r="I694" s="136"/>
      <c r="J694" s="136"/>
      <c r="K694" s="136"/>
      <c r="L694" s="136"/>
      <c r="M694" s="136"/>
      <c r="N694" s="136" t="e">
        <f t="shared" si="31"/>
        <v>#N/A</v>
      </c>
      <c r="O694" s="136" t="e">
        <f t="shared" si="32"/>
        <v>#N/A</v>
      </c>
    </row>
    <row r="695" spans="1:15" ht="22" customHeight="1" x14ac:dyDescent="0.35">
      <c r="A695" s="136">
        <v>651</v>
      </c>
      <c r="B695" s="165" t="str">
        <f>IF($A695&gt;MIN($A$10,$A$2),"",INDEX(DemoHistory[Date],$A695))</f>
        <v/>
      </c>
      <c r="C695" s="166" t="str">
        <f>IF(OR($A695&gt;MIN($A$10,$A$2),$A$5=""),"",INDEX(DemoHistory[],$A695,MATCH($A$5,DemoHistory[#Headers],0)))</f>
        <v/>
      </c>
      <c r="D695" s="166" t="str">
        <f>IF($A695&gt;MIN($A$10,$A$2),"",IF(AND($A$12,$A$6=1,B695&lt;$A$7,$A$7&lt;=MAX(DemoHistory[Date])),$A$8,1))</f>
        <v/>
      </c>
      <c r="E695" s="166" t="str">
        <f t="shared" si="30"/>
        <v/>
      </c>
      <c r="F695" s="166" t="str">
        <f>IF($A695&gt;MIN($A$10,$A$2),"",IF($A695&lt;50,"n.a.",IF(COUNT(INDEX(StockDaily[Adjusted close],MAX(1,$A695-50+1)):E695)=50,AVERAGE(INDEX(StockDaily[Adjusted close],MAX(1,$A695-50+1)):E695),"n.a.")))</f>
        <v/>
      </c>
      <c r="G695" s="166" t="str">
        <f>IF($A695&gt;MIN($A$10,$A$2),"",IF($A695&lt;200,"n.a.",IF(COUNT(INDEX(StockDaily[Adjusted close],MAX(1,$A695-200+1)):E695)=200,AVERAGE(INDEX(StockDaily[Adjusted close],MAX(1,$A695-200+1)):E695),"n.a.")))</f>
        <v/>
      </c>
      <c r="H695" s="136" t="str">
        <f>IF($A695&gt;MIN($A$10,$A$2),"",IF($A$5="","Choose stock",IF(NOT($A$12),"Check split rule",IF(NOT(ISNUMBER(B695)),"Invalid date",IF(OR(B695&lt;=0,B695&lt;&gt;INT(B695)),"Invalid date",IF(COUNTIFS(DemoHistory[Date],B695)&lt;&gt;1,"Duplicate date",IF(AND($A695&gt;1,B695&lt;=B694),"Dates out of order",IF(NOT(ISNUMBER(C695)),"Missing price",IF(C695&lt;=0,"Nonpositive price","OK")))))))))</f>
        <v/>
      </c>
      <c r="I695" s="136"/>
      <c r="J695" s="136"/>
      <c r="K695" s="136"/>
      <c r="L695" s="136"/>
      <c r="M695" s="136"/>
      <c r="N695" s="136" t="e">
        <f t="shared" si="31"/>
        <v>#N/A</v>
      </c>
      <c r="O695" s="136" t="e">
        <f t="shared" si="32"/>
        <v>#N/A</v>
      </c>
    </row>
    <row r="696" spans="1:15" ht="22" customHeight="1" x14ac:dyDescent="0.35">
      <c r="A696" s="136">
        <v>652</v>
      </c>
      <c r="B696" s="165" t="str">
        <f>IF($A696&gt;MIN($A$10,$A$2),"",INDEX(DemoHistory[Date],$A696))</f>
        <v/>
      </c>
      <c r="C696" s="166" t="str">
        <f>IF(OR($A696&gt;MIN($A$10,$A$2),$A$5=""),"",INDEX(DemoHistory[],$A696,MATCH($A$5,DemoHistory[#Headers],0)))</f>
        <v/>
      </c>
      <c r="D696" s="166" t="str">
        <f>IF($A696&gt;MIN($A$10,$A$2),"",IF(AND($A$12,$A$6=1,B696&lt;$A$7,$A$7&lt;=MAX(DemoHistory[Date])),$A$8,1))</f>
        <v/>
      </c>
      <c r="E696" s="166" t="str">
        <f t="shared" si="30"/>
        <v/>
      </c>
      <c r="F696" s="166" t="str">
        <f>IF($A696&gt;MIN($A$10,$A$2),"",IF($A696&lt;50,"n.a.",IF(COUNT(INDEX(StockDaily[Adjusted close],MAX(1,$A696-50+1)):E696)=50,AVERAGE(INDEX(StockDaily[Adjusted close],MAX(1,$A696-50+1)):E696),"n.a.")))</f>
        <v/>
      </c>
      <c r="G696" s="166" t="str">
        <f>IF($A696&gt;MIN($A$10,$A$2),"",IF($A696&lt;200,"n.a.",IF(COUNT(INDEX(StockDaily[Adjusted close],MAX(1,$A696-200+1)):E696)=200,AVERAGE(INDEX(StockDaily[Adjusted close],MAX(1,$A696-200+1)):E696),"n.a.")))</f>
        <v/>
      </c>
      <c r="H696" s="136" t="str">
        <f>IF($A696&gt;MIN($A$10,$A$2),"",IF($A$5="","Choose stock",IF(NOT($A$12),"Check split rule",IF(NOT(ISNUMBER(B696)),"Invalid date",IF(OR(B696&lt;=0,B696&lt;&gt;INT(B696)),"Invalid date",IF(COUNTIFS(DemoHistory[Date],B696)&lt;&gt;1,"Duplicate date",IF(AND($A696&gt;1,B696&lt;=B695),"Dates out of order",IF(NOT(ISNUMBER(C696)),"Missing price",IF(C696&lt;=0,"Nonpositive price","OK")))))))))</f>
        <v/>
      </c>
      <c r="I696" s="136"/>
      <c r="J696" s="136"/>
      <c r="K696" s="136"/>
      <c r="L696" s="136"/>
      <c r="M696" s="136"/>
      <c r="N696" s="136" t="e">
        <f t="shared" si="31"/>
        <v>#N/A</v>
      </c>
      <c r="O696" s="136" t="e">
        <f t="shared" si="32"/>
        <v>#N/A</v>
      </c>
    </row>
    <row r="697" spans="1:15" ht="22" customHeight="1" x14ac:dyDescent="0.35">
      <c r="A697" s="136">
        <v>653</v>
      </c>
      <c r="B697" s="165" t="str">
        <f>IF($A697&gt;MIN($A$10,$A$2),"",INDEX(DemoHistory[Date],$A697))</f>
        <v/>
      </c>
      <c r="C697" s="166" t="str">
        <f>IF(OR($A697&gt;MIN($A$10,$A$2),$A$5=""),"",INDEX(DemoHistory[],$A697,MATCH($A$5,DemoHistory[#Headers],0)))</f>
        <v/>
      </c>
      <c r="D697" s="166" t="str">
        <f>IF($A697&gt;MIN($A$10,$A$2),"",IF(AND($A$12,$A$6=1,B697&lt;$A$7,$A$7&lt;=MAX(DemoHistory[Date])),$A$8,1))</f>
        <v/>
      </c>
      <c r="E697" s="166" t="str">
        <f t="shared" si="30"/>
        <v/>
      </c>
      <c r="F697" s="166" t="str">
        <f>IF($A697&gt;MIN($A$10,$A$2),"",IF($A697&lt;50,"n.a.",IF(COUNT(INDEX(StockDaily[Adjusted close],MAX(1,$A697-50+1)):E697)=50,AVERAGE(INDEX(StockDaily[Adjusted close],MAX(1,$A697-50+1)):E697),"n.a.")))</f>
        <v/>
      </c>
      <c r="G697" s="166" t="str">
        <f>IF($A697&gt;MIN($A$10,$A$2),"",IF($A697&lt;200,"n.a.",IF(COUNT(INDEX(StockDaily[Adjusted close],MAX(1,$A697-200+1)):E697)=200,AVERAGE(INDEX(StockDaily[Adjusted close],MAX(1,$A697-200+1)):E697),"n.a.")))</f>
        <v/>
      </c>
      <c r="H697" s="136" t="str">
        <f>IF($A697&gt;MIN($A$10,$A$2),"",IF($A$5="","Choose stock",IF(NOT($A$12),"Check split rule",IF(NOT(ISNUMBER(B697)),"Invalid date",IF(OR(B697&lt;=0,B697&lt;&gt;INT(B697)),"Invalid date",IF(COUNTIFS(DemoHistory[Date],B697)&lt;&gt;1,"Duplicate date",IF(AND($A697&gt;1,B697&lt;=B696),"Dates out of order",IF(NOT(ISNUMBER(C697)),"Missing price",IF(C697&lt;=0,"Nonpositive price","OK")))))))))</f>
        <v/>
      </c>
      <c r="I697" s="136"/>
      <c r="J697" s="136"/>
      <c r="K697" s="136"/>
      <c r="L697" s="136"/>
      <c r="M697" s="136"/>
      <c r="N697" s="136" t="e">
        <f t="shared" si="31"/>
        <v>#N/A</v>
      </c>
      <c r="O697" s="136" t="e">
        <f t="shared" si="32"/>
        <v>#N/A</v>
      </c>
    </row>
    <row r="698" spans="1:15" ht="22" customHeight="1" x14ac:dyDescent="0.35">
      <c r="A698" s="136">
        <v>654</v>
      </c>
      <c r="B698" s="165" t="str">
        <f>IF($A698&gt;MIN($A$10,$A$2),"",INDEX(DemoHistory[Date],$A698))</f>
        <v/>
      </c>
      <c r="C698" s="166" t="str">
        <f>IF(OR($A698&gt;MIN($A$10,$A$2),$A$5=""),"",INDEX(DemoHistory[],$A698,MATCH($A$5,DemoHistory[#Headers],0)))</f>
        <v/>
      </c>
      <c r="D698" s="166" t="str">
        <f>IF($A698&gt;MIN($A$10,$A$2),"",IF(AND($A$12,$A$6=1,B698&lt;$A$7,$A$7&lt;=MAX(DemoHistory[Date])),$A$8,1))</f>
        <v/>
      </c>
      <c r="E698" s="166" t="str">
        <f t="shared" si="30"/>
        <v/>
      </c>
      <c r="F698" s="166" t="str">
        <f>IF($A698&gt;MIN($A$10,$A$2),"",IF($A698&lt;50,"n.a.",IF(COUNT(INDEX(StockDaily[Adjusted close],MAX(1,$A698-50+1)):E698)=50,AVERAGE(INDEX(StockDaily[Adjusted close],MAX(1,$A698-50+1)):E698),"n.a.")))</f>
        <v/>
      </c>
      <c r="G698" s="166" t="str">
        <f>IF($A698&gt;MIN($A$10,$A$2),"",IF($A698&lt;200,"n.a.",IF(COUNT(INDEX(StockDaily[Adjusted close],MAX(1,$A698-200+1)):E698)=200,AVERAGE(INDEX(StockDaily[Adjusted close],MAX(1,$A698-200+1)):E698),"n.a.")))</f>
        <v/>
      </c>
      <c r="H698" s="136" t="str">
        <f>IF($A698&gt;MIN($A$10,$A$2),"",IF($A$5="","Choose stock",IF(NOT($A$12),"Check split rule",IF(NOT(ISNUMBER(B698)),"Invalid date",IF(OR(B698&lt;=0,B698&lt;&gt;INT(B698)),"Invalid date",IF(COUNTIFS(DemoHistory[Date],B698)&lt;&gt;1,"Duplicate date",IF(AND($A698&gt;1,B698&lt;=B697),"Dates out of order",IF(NOT(ISNUMBER(C698)),"Missing price",IF(C698&lt;=0,"Nonpositive price","OK")))))))))</f>
        <v/>
      </c>
      <c r="I698" s="136"/>
      <c r="J698" s="136"/>
      <c r="K698" s="136"/>
      <c r="L698" s="136"/>
      <c r="M698" s="136"/>
      <c r="N698" s="136" t="e">
        <f t="shared" si="31"/>
        <v>#N/A</v>
      </c>
      <c r="O698" s="136" t="e">
        <f t="shared" si="32"/>
        <v>#N/A</v>
      </c>
    </row>
    <row r="699" spans="1:15" ht="22" customHeight="1" x14ac:dyDescent="0.35">
      <c r="A699" s="136">
        <v>655</v>
      </c>
      <c r="B699" s="165" t="str">
        <f>IF($A699&gt;MIN($A$10,$A$2),"",INDEX(DemoHistory[Date],$A699))</f>
        <v/>
      </c>
      <c r="C699" s="166" t="str">
        <f>IF(OR($A699&gt;MIN($A$10,$A$2),$A$5=""),"",INDEX(DemoHistory[],$A699,MATCH($A$5,DemoHistory[#Headers],0)))</f>
        <v/>
      </c>
      <c r="D699" s="166" t="str">
        <f>IF($A699&gt;MIN($A$10,$A$2),"",IF(AND($A$12,$A$6=1,B699&lt;$A$7,$A$7&lt;=MAX(DemoHistory[Date])),$A$8,1))</f>
        <v/>
      </c>
      <c r="E699" s="166" t="str">
        <f t="shared" si="30"/>
        <v/>
      </c>
      <c r="F699" s="166" t="str">
        <f>IF($A699&gt;MIN($A$10,$A$2),"",IF($A699&lt;50,"n.a.",IF(COUNT(INDEX(StockDaily[Adjusted close],MAX(1,$A699-50+1)):E699)=50,AVERAGE(INDEX(StockDaily[Adjusted close],MAX(1,$A699-50+1)):E699),"n.a.")))</f>
        <v/>
      </c>
      <c r="G699" s="166" t="str">
        <f>IF($A699&gt;MIN($A$10,$A$2),"",IF($A699&lt;200,"n.a.",IF(COUNT(INDEX(StockDaily[Adjusted close],MAX(1,$A699-200+1)):E699)=200,AVERAGE(INDEX(StockDaily[Adjusted close],MAX(1,$A699-200+1)):E699),"n.a.")))</f>
        <v/>
      </c>
      <c r="H699" s="136" t="str">
        <f>IF($A699&gt;MIN($A$10,$A$2),"",IF($A$5="","Choose stock",IF(NOT($A$12),"Check split rule",IF(NOT(ISNUMBER(B699)),"Invalid date",IF(OR(B699&lt;=0,B699&lt;&gt;INT(B699)),"Invalid date",IF(COUNTIFS(DemoHistory[Date],B699)&lt;&gt;1,"Duplicate date",IF(AND($A699&gt;1,B699&lt;=B698),"Dates out of order",IF(NOT(ISNUMBER(C699)),"Missing price",IF(C699&lt;=0,"Nonpositive price","OK")))))))))</f>
        <v/>
      </c>
      <c r="I699" s="136"/>
      <c r="J699" s="136"/>
      <c r="K699" s="136"/>
      <c r="L699" s="136"/>
      <c r="M699" s="136"/>
      <c r="N699" s="136" t="e">
        <f t="shared" si="31"/>
        <v>#N/A</v>
      </c>
      <c r="O699" s="136" t="e">
        <f t="shared" si="32"/>
        <v>#N/A</v>
      </c>
    </row>
    <row r="700" spans="1:15" ht="22" customHeight="1" x14ac:dyDescent="0.35">
      <c r="A700" s="136">
        <v>656</v>
      </c>
      <c r="B700" s="165" t="str">
        <f>IF($A700&gt;MIN($A$10,$A$2),"",INDEX(DemoHistory[Date],$A700))</f>
        <v/>
      </c>
      <c r="C700" s="166" t="str">
        <f>IF(OR($A700&gt;MIN($A$10,$A$2),$A$5=""),"",INDEX(DemoHistory[],$A700,MATCH($A$5,DemoHistory[#Headers],0)))</f>
        <v/>
      </c>
      <c r="D700" s="166" t="str">
        <f>IF($A700&gt;MIN($A$10,$A$2),"",IF(AND($A$12,$A$6=1,B700&lt;$A$7,$A$7&lt;=MAX(DemoHistory[Date])),$A$8,1))</f>
        <v/>
      </c>
      <c r="E700" s="166" t="str">
        <f t="shared" si="30"/>
        <v/>
      </c>
      <c r="F700" s="166" t="str">
        <f>IF($A700&gt;MIN($A$10,$A$2),"",IF($A700&lt;50,"n.a.",IF(COUNT(INDEX(StockDaily[Adjusted close],MAX(1,$A700-50+1)):E700)=50,AVERAGE(INDEX(StockDaily[Adjusted close],MAX(1,$A700-50+1)):E700),"n.a.")))</f>
        <v/>
      </c>
      <c r="G700" s="166" t="str">
        <f>IF($A700&gt;MIN($A$10,$A$2),"",IF($A700&lt;200,"n.a.",IF(COUNT(INDEX(StockDaily[Adjusted close],MAX(1,$A700-200+1)):E700)=200,AVERAGE(INDEX(StockDaily[Adjusted close],MAX(1,$A700-200+1)):E700),"n.a.")))</f>
        <v/>
      </c>
      <c r="H700" s="136" t="str">
        <f>IF($A700&gt;MIN($A$10,$A$2),"",IF($A$5="","Choose stock",IF(NOT($A$12),"Check split rule",IF(NOT(ISNUMBER(B700)),"Invalid date",IF(OR(B700&lt;=0,B700&lt;&gt;INT(B700)),"Invalid date",IF(COUNTIFS(DemoHistory[Date],B700)&lt;&gt;1,"Duplicate date",IF(AND($A700&gt;1,B700&lt;=B699),"Dates out of order",IF(NOT(ISNUMBER(C700)),"Missing price",IF(C700&lt;=0,"Nonpositive price","OK")))))))))</f>
        <v/>
      </c>
      <c r="I700" s="136"/>
      <c r="J700" s="136"/>
      <c r="K700" s="136"/>
      <c r="L700" s="136"/>
      <c r="M700" s="136"/>
      <c r="N700" s="136" t="e">
        <f t="shared" si="31"/>
        <v>#N/A</v>
      </c>
      <c r="O700" s="136" t="e">
        <f t="shared" si="32"/>
        <v>#N/A</v>
      </c>
    </row>
    <row r="701" spans="1:15" ht="22" customHeight="1" x14ac:dyDescent="0.35">
      <c r="A701" s="136">
        <v>657</v>
      </c>
      <c r="B701" s="165" t="str">
        <f>IF($A701&gt;MIN($A$10,$A$2),"",INDEX(DemoHistory[Date],$A701))</f>
        <v/>
      </c>
      <c r="C701" s="166" t="str">
        <f>IF(OR($A701&gt;MIN($A$10,$A$2),$A$5=""),"",INDEX(DemoHistory[],$A701,MATCH($A$5,DemoHistory[#Headers],0)))</f>
        <v/>
      </c>
      <c r="D701" s="166" t="str">
        <f>IF($A701&gt;MIN($A$10,$A$2),"",IF(AND($A$12,$A$6=1,B701&lt;$A$7,$A$7&lt;=MAX(DemoHistory[Date])),$A$8,1))</f>
        <v/>
      </c>
      <c r="E701" s="166" t="str">
        <f t="shared" si="30"/>
        <v/>
      </c>
      <c r="F701" s="166" t="str">
        <f>IF($A701&gt;MIN($A$10,$A$2),"",IF($A701&lt;50,"n.a.",IF(COUNT(INDEX(StockDaily[Adjusted close],MAX(1,$A701-50+1)):E701)=50,AVERAGE(INDEX(StockDaily[Adjusted close],MAX(1,$A701-50+1)):E701),"n.a.")))</f>
        <v/>
      </c>
      <c r="G701" s="166" t="str">
        <f>IF($A701&gt;MIN($A$10,$A$2),"",IF($A701&lt;200,"n.a.",IF(COUNT(INDEX(StockDaily[Adjusted close],MAX(1,$A701-200+1)):E701)=200,AVERAGE(INDEX(StockDaily[Adjusted close],MAX(1,$A701-200+1)):E701),"n.a.")))</f>
        <v/>
      </c>
      <c r="H701" s="136" t="str">
        <f>IF($A701&gt;MIN($A$10,$A$2),"",IF($A$5="","Choose stock",IF(NOT($A$12),"Check split rule",IF(NOT(ISNUMBER(B701)),"Invalid date",IF(OR(B701&lt;=0,B701&lt;&gt;INT(B701)),"Invalid date",IF(COUNTIFS(DemoHistory[Date],B701)&lt;&gt;1,"Duplicate date",IF(AND($A701&gt;1,B701&lt;=B700),"Dates out of order",IF(NOT(ISNUMBER(C701)),"Missing price",IF(C701&lt;=0,"Nonpositive price","OK")))))))))</f>
        <v/>
      </c>
      <c r="I701" s="136"/>
      <c r="J701" s="136"/>
      <c r="K701" s="136"/>
      <c r="L701" s="136"/>
      <c r="M701" s="136"/>
      <c r="N701" s="136" t="e">
        <f t="shared" si="31"/>
        <v>#N/A</v>
      </c>
      <c r="O701" s="136" t="e">
        <f t="shared" si="32"/>
        <v>#N/A</v>
      </c>
    </row>
    <row r="702" spans="1:15" ht="22" customHeight="1" x14ac:dyDescent="0.35">
      <c r="A702" s="136">
        <v>658</v>
      </c>
      <c r="B702" s="165" t="str">
        <f>IF($A702&gt;MIN($A$10,$A$2),"",INDEX(DemoHistory[Date],$A702))</f>
        <v/>
      </c>
      <c r="C702" s="166" t="str">
        <f>IF(OR($A702&gt;MIN($A$10,$A$2),$A$5=""),"",INDEX(DemoHistory[],$A702,MATCH($A$5,DemoHistory[#Headers],0)))</f>
        <v/>
      </c>
      <c r="D702" s="166" t="str">
        <f>IF($A702&gt;MIN($A$10,$A$2),"",IF(AND($A$12,$A$6=1,B702&lt;$A$7,$A$7&lt;=MAX(DemoHistory[Date])),$A$8,1))</f>
        <v/>
      </c>
      <c r="E702" s="166" t="str">
        <f t="shared" si="30"/>
        <v/>
      </c>
      <c r="F702" s="166" t="str">
        <f>IF($A702&gt;MIN($A$10,$A$2),"",IF($A702&lt;50,"n.a.",IF(COUNT(INDEX(StockDaily[Adjusted close],MAX(1,$A702-50+1)):E702)=50,AVERAGE(INDEX(StockDaily[Adjusted close],MAX(1,$A702-50+1)):E702),"n.a.")))</f>
        <v/>
      </c>
      <c r="G702" s="166" t="str">
        <f>IF($A702&gt;MIN($A$10,$A$2),"",IF($A702&lt;200,"n.a.",IF(COUNT(INDEX(StockDaily[Adjusted close],MAX(1,$A702-200+1)):E702)=200,AVERAGE(INDEX(StockDaily[Adjusted close],MAX(1,$A702-200+1)):E702),"n.a.")))</f>
        <v/>
      </c>
      <c r="H702" s="136" t="str">
        <f>IF($A702&gt;MIN($A$10,$A$2),"",IF($A$5="","Choose stock",IF(NOT($A$12),"Check split rule",IF(NOT(ISNUMBER(B702)),"Invalid date",IF(OR(B702&lt;=0,B702&lt;&gt;INT(B702)),"Invalid date",IF(COUNTIFS(DemoHistory[Date],B702)&lt;&gt;1,"Duplicate date",IF(AND($A702&gt;1,B702&lt;=B701),"Dates out of order",IF(NOT(ISNUMBER(C702)),"Missing price",IF(C702&lt;=0,"Nonpositive price","OK")))))))))</f>
        <v/>
      </c>
      <c r="I702" s="136"/>
      <c r="J702" s="136"/>
      <c r="K702" s="136"/>
      <c r="L702" s="136"/>
      <c r="M702" s="136"/>
      <c r="N702" s="136" t="e">
        <f t="shared" si="31"/>
        <v>#N/A</v>
      </c>
      <c r="O702" s="136" t="e">
        <f t="shared" si="32"/>
        <v>#N/A</v>
      </c>
    </row>
    <row r="703" spans="1:15" ht="22" customHeight="1" x14ac:dyDescent="0.35">
      <c r="A703" s="136">
        <v>659</v>
      </c>
      <c r="B703" s="165" t="str">
        <f>IF($A703&gt;MIN($A$10,$A$2),"",INDEX(DemoHistory[Date],$A703))</f>
        <v/>
      </c>
      <c r="C703" s="166" t="str">
        <f>IF(OR($A703&gt;MIN($A$10,$A$2),$A$5=""),"",INDEX(DemoHistory[],$A703,MATCH($A$5,DemoHistory[#Headers],0)))</f>
        <v/>
      </c>
      <c r="D703" s="166" t="str">
        <f>IF($A703&gt;MIN($A$10,$A$2),"",IF(AND($A$12,$A$6=1,B703&lt;$A$7,$A$7&lt;=MAX(DemoHistory[Date])),$A$8,1))</f>
        <v/>
      </c>
      <c r="E703" s="166" t="str">
        <f t="shared" si="30"/>
        <v/>
      </c>
      <c r="F703" s="166" t="str">
        <f>IF($A703&gt;MIN($A$10,$A$2),"",IF($A703&lt;50,"n.a.",IF(COUNT(INDEX(StockDaily[Adjusted close],MAX(1,$A703-50+1)):E703)=50,AVERAGE(INDEX(StockDaily[Adjusted close],MAX(1,$A703-50+1)):E703),"n.a.")))</f>
        <v/>
      </c>
      <c r="G703" s="166" t="str">
        <f>IF($A703&gt;MIN($A$10,$A$2),"",IF($A703&lt;200,"n.a.",IF(COUNT(INDEX(StockDaily[Adjusted close],MAX(1,$A703-200+1)):E703)=200,AVERAGE(INDEX(StockDaily[Adjusted close],MAX(1,$A703-200+1)):E703),"n.a.")))</f>
        <v/>
      </c>
      <c r="H703" s="136" t="str">
        <f>IF($A703&gt;MIN($A$10,$A$2),"",IF($A$5="","Choose stock",IF(NOT($A$12),"Check split rule",IF(NOT(ISNUMBER(B703)),"Invalid date",IF(OR(B703&lt;=0,B703&lt;&gt;INT(B703)),"Invalid date",IF(COUNTIFS(DemoHistory[Date],B703)&lt;&gt;1,"Duplicate date",IF(AND($A703&gt;1,B703&lt;=B702),"Dates out of order",IF(NOT(ISNUMBER(C703)),"Missing price",IF(C703&lt;=0,"Nonpositive price","OK")))))))))</f>
        <v/>
      </c>
      <c r="I703" s="136"/>
      <c r="J703" s="136"/>
      <c r="K703" s="136"/>
      <c r="L703" s="136"/>
      <c r="M703" s="136"/>
      <c r="N703" s="136" t="e">
        <f t="shared" si="31"/>
        <v>#N/A</v>
      </c>
      <c r="O703" s="136" t="e">
        <f t="shared" si="32"/>
        <v>#N/A</v>
      </c>
    </row>
    <row r="704" spans="1:15" ht="22" customHeight="1" x14ac:dyDescent="0.35">
      <c r="A704" s="136">
        <v>660</v>
      </c>
      <c r="B704" s="165" t="str">
        <f>IF($A704&gt;MIN($A$10,$A$2),"",INDEX(DemoHistory[Date],$A704))</f>
        <v/>
      </c>
      <c r="C704" s="166" t="str">
        <f>IF(OR($A704&gt;MIN($A$10,$A$2),$A$5=""),"",INDEX(DemoHistory[],$A704,MATCH($A$5,DemoHistory[#Headers],0)))</f>
        <v/>
      </c>
      <c r="D704" s="166" t="str">
        <f>IF($A704&gt;MIN($A$10,$A$2),"",IF(AND($A$12,$A$6=1,B704&lt;$A$7,$A$7&lt;=MAX(DemoHistory[Date])),$A$8,1))</f>
        <v/>
      </c>
      <c r="E704" s="166" t="str">
        <f t="shared" si="30"/>
        <v/>
      </c>
      <c r="F704" s="166" t="str">
        <f>IF($A704&gt;MIN($A$10,$A$2),"",IF($A704&lt;50,"n.a.",IF(COUNT(INDEX(StockDaily[Adjusted close],MAX(1,$A704-50+1)):E704)=50,AVERAGE(INDEX(StockDaily[Adjusted close],MAX(1,$A704-50+1)):E704),"n.a.")))</f>
        <v/>
      </c>
      <c r="G704" s="166" t="str">
        <f>IF($A704&gt;MIN($A$10,$A$2),"",IF($A704&lt;200,"n.a.",IF(COUNT(INDEX(StockDaily[Adjusted close],MAX(1,$A704-200+1)):E704)=200,AVERAGE(INDEX(StockDaily[Adjusted close],MAX(1,$A704-200+1)):E704),"n.a.")))</f>
        <v/>
      </c>
      <c r="H704" s="136" t="str">
        <f>IF($A704&gt;MIN($A$10,$A$2),"",IF($A$5="","Choose stock",IF(NOT($A$12),"Check split rule",IF(NOT(ISNUMBER(B704)),"Invalid date",IF(OR(B704&lt;=0,B704&lt;&gt;INT(B704)),"Invalid date",IF(COUNTIFS(DemoHistory[Date],B704)&lt;&gt;1,"Duplicate date",IF(AND($A704&gt;1,B704&lt;=B703),"Dates out of order",IF(NOT(ISNUMBER(C704)),"Missing price",IF(C704&lt;=0,"Nonpositive price","OK")))))))))</f>
        <v/>
      </c>
      <c r="I704" s="136"/>
      <c r="J704" s="136"/>
      <c r="K704" s="136"/>
      <c r="L704" s="136"/>
      <c r="M704" s="136"/>
      <c r="N704" s="136" t="e">
        <f t="shared" si="31"/>
        <v>#N/A</v>
      </c>
      <c r="O704" s="136" t="e">
        <f t="shared" si="32"/>
        <v>#N/A</v>
      </c>
    </row>
    <row r="705" spans="1:15" ht="22" customHeight="1" x14ac:dyDescent="0.35">
      <c r="A705" s="136">
        <v>661</v>
      </c>
      <c r="B705" s="165" t="str">
        <f>IF($A705&gt;MIN($A$10,$A$2),"",INDEX(DemoHistory[Date],$A705))</f>
        <v/>
      </c>
      <c r="C705" s="166" t="str">
        <f>IF(OR($A705&gt;MIN($A$10,$A$2),$A$5=""),"",INDEX(DemoHistory[],$A705,MATCH($A$5,DemoHistory[#Headers],0)))</f>
        <v/>
      </c>
      <c r="D705" s="166" t="str">
        <f>IF($A705&gt;MIN($A$10,$A$2),"",IF(AND($A$12,$A$6=1,B705&lt;$A$7,$A$7&lt;=MAX(DemoHistory[Date])),$A$8,1))</f>
        <v/>
      </c>
      <c r="E705" s="166" t="str">
        <f t="shared" si="30"/>
        <v/>
      </c>
      <c r="F705" s="166" t="str">
        <f>IF($A705&gt;MIN($A$10,$A$2),"",IF($A705&lt;50,"n.a.",IF(COUNT(INDEX(StockDaily[Adjusted close],MAX(1,$A705-50+1)):E705)=50,AVERAGE(INDEX(StockDaily[Adjusted close],MAX(1,$A705-50+1)):E705),"n.a.")))</f>
        <v/>
      </c>
      <c r="G705" s="166" t="str">
        <f>IF($A705&gt;MIN($A$10,$A$2),"",IF($A705&lt;200,"n.a.",IF(COUNT(INDEX(StockDaily[Adjusted close],MAX(1,$A705-200+1)):E705)=200,AVERAGE(INDEX(StockDaily[Adjusted close],MAX(1,$A705-200+1)):E705),"n.a.")))</f>
        <v/>
      </c>
      <c r="H705" s="136" t="str">
        <f>IF($A705&gt;MIN($A$10,$A$2),"",IF($A$5="","Choose stock",IF(NOT($A$12),"Check split rule",IF(NOT(ISNUMBER(B705)),"Invalid date",IF(OR(B705&lt;=0,B705&lt;&gt;INT(B705)),"Invalid date",IF(COUNTIFS(DemoHistory[Date],B705)&lt;&gt;1,"Duplicate date",IF(AND($A705&gt;1,B705&lt;=B704),"Dates out of order",IF(NOT(ISNUMBER(C705)),"Missing price",IF(C705&lt;=0,"Nonpositive price","OK")))))))))</f>
        <v/>
      </c>
      <c r="I705" s="136"/>
      <c r="J705" s="136"/>
      <c r="K705" s="136"/>
      <c r="L705" s="136"/>
      <c r="M705" s="136"/>
      <c r="N705" s="136" t="e">
        <f t="shared" si="31"/>
        <v>#N/A</v>
      </c>
      <c r="O705" s="136" t="e">
        <f t="shared" si="32"/>
        <v>#N/A</v>
      </c>
    </row>
    <row r="706" spans="1:15" ht="22" customHeight="1" x14ac:dyDescent="0.35">
      <c r="A706" s="136">
        <v>662</v>
      </c>
      <c r="B706" s="165" t="str">
        <f>IF($A706&gt;MIN($A$10,$A$2),"",INDEX(DemoHistory[Date],$A706))</f>
        <v/>
      </c>
      <c r="C706" s="166" t="str">
        <f>IF(OR($A706&gt;MIN($A$10,$A$2),$A$5=""),"",INDEX(DemoHistory[],$A706,MATCH($A$5,DemoHistory[#Headers],0)))</f>
        <v/>
      </c>
      <c r="D706" s="166" t="str">
        <f>IF($A706&gt;MIN($A$10,$A$2),"",IF(AND($A$12,$A$6=1,B706&lt;$A$7,$A$7&lt;=MAX(DemoHistory[Date])),$A$8,1))</f>
        <v/>
      </c>
      <c r="E706" s="166" t="str">
        <f t="shared" si="30"/>
        <v/>
      </c>
      <c r="F706" s="166" t="str">
        <f>IF($A706&gt;MIN($A$10,$A$2),"",IF($A706&lt;50,"n.a.",IF(COUNT(INDEX(StockDaily[Adjusted close],MAX(1,$A706-50+1)):E706)=50,AVERAGE(INDEX(StockDaily[Adjusted close],MAX(1,$A706-50+1)):E706),"n.a.")))</f>
        <v/>
      </c>
      <c r="G706" s="166" t="str">
        <f>IF($A706&gt;MIN($A$10,$A$2),"",IF($A706&lt;200,"n.a.",IF(COUNT(INDEX(StockDaily[Adjusted close],MAX(1,$A706-200+1)):E706)=200,AVERAGE(INDEX(StockDaily[Adjusted close],MAX(1,$A706-200+1)):E706),"n.a.")))</f>
        <v/>
      </c>
      <c r="H706" s="136" t="str">
        <f>IF($A706&gt;MIN($A$10,$A$2),"",IF($A$5="","Choose stock",IF(NOT($A$12),"Check split rule",IF(NOT(ISNUMBER(B706)),"Invalid date",IF(OR(B706&lt;=0,B706&lt;&gt;INT(B706)),"Invalid date",IF(COUNTIFS(DemoHistory[Date],B706)&lt;&gt;1,"Duplicate date",IF(AND($A706&gt;1,B706&lt;=B705),"Dates out of order",IF(NOT(ISNUMBER(C706)),"Missing price",IF(C706&lt;=0,"Nonpositive price","OK")))))))))</f>
        <v/>
      </c>
      <c r="I706" s="136"/>
      <c r="J706" s="136"/>
      <c r="K706" s="136"/>
      <c r="L706" s="136"/>
      <c r="M706" s="136"/>
      <c r="N706" s="136" t="e">
        <f t="shared" si="31"/>
        <v>#N/A</v>
      </c>
      <c r="O706" s="136" t="e">
        <f t="shared" si="32"/>
        <v>#N/A</v>
      </c>
    </row>
    <row r="707" spans="1:15" ht="22" customHeight="1" x14ac:dyDescent="0.35">
      <c r="A707" s="136">
        <v>663</v>
      </c>
      <c r="B707" s="165" t="str">
        <f>IF($A707&gt;MIN($A$10,$A$2),"",INDEX(DemoHistory[Date],$A707))</f>
        <v/>
      </c>
      <c r="C707" s="166" t="str">
        <f>IF(OR($A707&gt;MIN($A$10,$A$2),$A$5=""),"",INDEX(DemoHistory[],$A707,MATCH($A$5,DemoHistory[#Headers],0)))</f>
        <v/>
      </c>
      <c r="D707" s="166" t="str">
        <f>IF($A707&gt;MIN($A$10,$A$2),"",IF(AND($A$12,$A$6=1,B707&lt;$A$7,$A$7&lt;=MAX(DemoHistory[Date])),$A$8,1))</f>
        <v/>
      </c>
      <c r="E707" s="166" t="str">
        <f t="shared" si="30"/>
        <v/>
      </c>
      <c r="F707" s="166" t="str">
        <f>IF($A707&gt;MIN($A$10,$A$2),"",IF($A707&lt;50,"n.a.",IF(COUNT(INDEX(StockDaily[Adjusted close],MAX(1,$A707-50+1)):E707)=50,AVERAGE(INDEX(StockDaily[Adjusted close],MAX(1,$A707-50+1)):E707),"n.a.")))</f>
        <v/>
      </c>
      <c r="G707" s="166" t="str">
        <f>IF($A707&gt;MIN($A$10,$A$2),"",IF($A707&lt;200,"n.a.",IF(COUNT(INDEX(StockDaily[Adjusted close],MAX(1,$A707-200+1)):E707)=200,AVERAGE(INDEX(StockDaily[Adjusted close],MAX(1,$A707-200+1)):E707),"n.a.")))</f>
        <v/>
      </c>
      <c r="H707" s="136" t="str">
        <f>IF($A707&gt;MIN($A$10,$A$2),"",IF($A$5="","Choose stock",IF(NOT($A$12),"Check split rule",IF(NOT(ISNUMBER(B707)),"Invalid date",IF(OR(B707&lt;=0,B707&lt;&gt;INT(B707)),"Invalid date",IF(COUNTIFS(DemoHistory[Date],B707)&lt;&gt;1,"Duplicate date",IF(AND($A707&gt;1,B707&lt;=B706),"Dates out of order",IF(NOT(ISNUMBER(C707)),"Missing price",IF(C707&lt;=0,"Nonpositive price","OK")))))))))</f>
        <v/>
      </c>
      <c r="I707" s="136"/>
      <c r="J707" s="136"/>
      <c r="K707" s="136"/>
      <c r="L707" s="136"/>
      <c r="M707" s="136"/>
      <c r="N707" s="136" t="e">
        <f t="shared" si="31"/>
        <v>#N/A</v>
      </c>
      <c r="O707" s="136" t="e">
        <f t="shared" si="32"/>
        <v>#N/A</v>
      </c>
    </row>
    <row r="708" spans="1:15" ht="22" customHeight="1" x14ac:dyDescent="0.35">
      <c r="A708" s="136">
        <v>664</v>
      </c>
      <c r="B708" s="165" t="str">
        <f>IF($A708&gt;MIN($A$10,$A$2),"",INDEX(DemoHistory[Date],$A708))</f>
        <v/>
      </c>
      <c r="C708" s="166" t="str">
        <f>IF(OR($A708&gt;MIN($A$10,$A$2),$A$5=""),"",INDEX(DemoHistory[],$A708,MATCH($A$5,DemoHistory[#Headers],0)))</f>
        <v/>
      </c>
      <c r="D708" s="166" t="str">
        <f>IF($A708&gt;MIN($A$10,$A$2),"",IF(AND($A$12,$A$6=1,B708&lt;$A$7,$A$7&lt;=MAX(DemoHistory[Date])),$A$8,1))</f>
        <v/>
      </c>
      <c r="E708" s="166" t="str">
        <f t="shared" si="30"/>
        <v/>
      </c>
      <c r="F708" s="166" t="str">
        <f>IF($A708&gt;MIN($A$10,$A$2),"",IF($A708&lt;50,"n.a.",IF(COUNT(INDEX(StockDaily[Adjusted close],MAX(1,$A708-50+1)):E708)=50,AVERAGE(INDEX(StockDaily[Adjusted close],MAX(1,$A708-50+1)):E708),"n.a.")))</f>
        <v/>
      </c>
      <c r="G708" s="166" t="str">
        <f>IF($A708&gt;MIN($A$10,$A$2),"",IF($A708&lt;200,"n.a.",IF(COUNT(INDEX(StockDaily[Adjusted close],MAX(1,$A708-200+1)):E708)=200,AVERAGE(INDEX(StockDaily[Adjusted close],MAX(1,$A708-200+1)):E708),"n.a.")))</f>
        <v/>
      </c>
      <c r="H708" s="136" t="str">
        <f>IF($A708&gt;MIN($A$10,$A$2),"",IF($A$5="","Choose stock",IF(NOT($A$12),"Check split rule",IF(NOT(ISNUMBER(B708)),"Invalid date",IF(OR(B708&lt;=0,B708&lt;&gt;INT(B708)),"Invalid date",IF(COUNTIFS(DemoHistory[Date],B708)&lt;&gt;1,"Duplicate date",IF(AND($A708&gt;1,B708&lt;=B707),"Dates out of order",IF(NOT(ISNUMBER(C708)),"Missing price",IF(C708&lt;=0,"Nonpositive price","OK")))))))))</f>
        <v/>
      </c>
      <c r="I708" s="136"/>
      <c r="J708" s="136"/>
      <c r="K708" s="136"/>
      <c r="L708" s="136"/>
      <c r="M708" s="136"/>
      <c r="N708" s="136" t="e">
        <f t="shared" si="31"/>
        <v>#N/A</v>
      </c>
      <c r="O708" s="136" t="e">
        <f t="shared" si="32"/>
        <v>#N/A</v>
      </c>
    </row>
    <row r="709" spans="1:15" ht="22" customHeight="1" x14ac:dyDescent="0.35">
      <c r="A709" s="136">
        <v>665</v>
      </c>
      <c r="B709" s="165" t="str">
        <f>IF($A709&gt;MIN($A$10,$A$2),"",INDEX(DemoHistory[Date],$A709))</f>
        <v/>
      </c>
      <c r="C709" s="166" t="str">
        <f>IF(OR($A709&gt;MIN($A$10,$A$2),$A$5=""),"",INDEX(DemoHistory[],$A709,MATCH($A$5,DemoHistory[#Headers],0)))</f>
        <v/>
      </c>
      <c r="D709" s="166" t="str">
        <f>IF($A709&gt;MIN($A$10,$A$2),"",IF(AND($A$12,$A$6=1,B709&lt;$A$7,$A$7&lt;=MAX(DemoHistory[Date])),$A$8,1))</f>
        <v/>
      </c>
      <c r="E709" s="166" t="str">
        <f t="shared" si="30"/>
        <v/>
      </c>
      <c r="F709" s="166" t="str">
        <f>IF($A709&gt;MIN($A$10,$A$2),"",IF($A709&lt;50,"n.a.",IF(COUNT(INDEX(StockDaily[Adjusted close],MAX(1,$A709-50+1)):E709)=50,AVERAGE(INDEX(StockDaily[Adjusted close],MAX(1,$A709-50+1)):E709),"n.a.")))</f>
        <v/>
      </c>
      <c r="G709" s="166" t="str">
        <f>IF($A709&gt;MIN($A$10,$A$2),"",IF($A709&lt;200,"n.a.",IF(COUNT(INDEX(StockDaily[Adjusted close],MAX(1,$A709-200+1)):E709)=200,AVERAGE(INDEX(StockDaily[Adjusted close],MAX(1,$A709-200+1)):E709),"n.a.")))</f>
        <v/>
      </c>
      <c r="H709" s="136" t="str">
        <f>IF($A709&gt;MIN($A$10,$A$2),"",IF($A$5="","Choose stock",IF(NOT($A$12),"Check split rule",IF(NOT(ISNUMBER(B709)),"Invalid date",IF(OR(B709&lt;=0,B709&lt;&gt;INT(B709)),"Invalid date",IF(COUNTIFS(DemoHistory[Date],B709)&lt;&gt;1,"Duplicate date",IF(AND($A709&gt;1,B709&lt;=B708),"Dates out of order",IF(NOT(ISNUMBER(C709)),"Missing price",IF(C709&lt;=0,"Nonpositive price","OK")))))))))</f>
        <v/>
      </c>
      <c r="I709" s="136"/>
      <c r="J709" s="136"/>
      <c r="K709" s="136"/>
      <c r="L709" s="136"/>
      <c r="M709" s="136"/>
      <c r="N709" s="136" t="e">
        <f t="shared" si="31"/>
        <v>#N/A</v>
      </c>
      <c r="O709" s="136" t="e">
        <f t="shared" si="32"/>
        <v>#N/A</v>
      </c>
    </row>
    <row r="710" spans="1:15" ht="22" customHeight="1" x14ac:dyDescent="0.35">
      <c r="A710" s="136">
        <v>666</v>
      </c>
      <c r="B710" s="165" t="str">
        <f>IF($A710&gt;MIN($A$10,$A$2),"",INDEX(DemoHistory[Date],$A710))</f>
        <v/>
      </c>
      <c r="C710" s="166" t="str">
        <f>IF(OR($A710&gt;MIN($A$10,$A$2),$A$5=""),"",INDEX(DemoHistory[],$A710,MATCH($A$5,DemoHistory[#Headers],0)))</f>
        <v/>
      </c>
      <c r="D710" s="166" t="str">
        <f>IF($A710&gt;MIN($A$10,$A$2),"",IF(AND($A$12,$A$6=1,B710&lt;$A$7,$A$7&lt;=MAX(DemoHistory[Date])),$A$8,1))</f>
        <v/>
      </c>
      <c r="E710" s="166" t="str">
        <f t="shared" si="30"/>
        <v/>
      </c>
      <c r="F710" s="166" t="str">
        <f>IF($A710&gt;MIN($A$10,$A$2),"",IF($A710&lt;50,"n.a.",IF(COUNT(INDEX(StockDaily[Adjusted close],MAX(1,$A710-50+1)):E710)=50,AVERAGE(INDEX(StockDaily[Adjusted close],MAX(1,$A710-50+1)):E710),"n.a.")))</f>
        <v/>
      </c>
      <c r="G710" s="166" t="str">
        <f>IF($A710&gt;MIN($A$10,$A$2),"",IF($A710&lt;200,"n.a.",IF(COUNT(INDEX(StockDaily[Adjusted close],MAX(1,$A710-200+1)):E710)=200,AVERAGE(INDEX(StockDaily[Adjusted close],MAX(1,$A710-200+1)):E710),"n.a.")))</f>
        <v/>
      </c>
      <c r="H710" s="136" t="str">
        <f>IF($A710&gt;MIN($A$10,$A$2),"",IF($A$5="","Choose stock",IF(NOT($A$12),"Check split rule",IF(NOT(ISNUMBER(B710)),"Invalid date",IF(OR(B710&lt;=0,B710&lt;&gt;INT(B710)),"Invalid date",IF(COUNTIFS(DemoHistory[Date],B710)&lt;&gt;1,"Duplicate date",IF(AND($A710&gt;1,B710&lt;=B709),"Dates out of order",IF(NOT(ISNUMBER(C710)),"Missing price",IF(C710&lt;=0,"Nonpositive price","OK")))))))))</f>
        <v/>
      </c>
      <c r="I710" s="136"/>
      <c r="J710" s="136"/>
      <c r="K710" s="136"/>
      <c r="L710" s="136"/>
      <c r="M710" s="136"/>
      <c r="N710" s="136" t="e">
        <f t="shared" si="31"/>
        <v>#N/A</v>
      </c>
      <c r="O710" s="136" t="e">
        <f t="shared" si="32"/>
        <v>#N/A</v>
      </c>
    </row>
    <row r="711" spans="1:15" ht="22" customHeight="1" x14ac:dyDescent="0.35">
      <c r="A711" s="136">
        <v>667</v>
      </c>
      <c r="B711" s="165" t="str">
        <f>IF($A711&gt;MIN($A$10,$A$2),"",INDEX(DemoHistory[Date],$A711))</f>
        <v/>
      </c>
      <c r="C711" s="166" t="str">
        <f>IF(OR($A711&gt;MIN($A$10,$A$2),$A$5=""),"",INDEX(DemoHistory[],$A711,MATCH($A$5,DemoHistory[#Headers],0)))</f>
        <v/>
      </c>
      <c r="D711" s="166" t="str">
        <f>IF($A711&gt;MIN($A$10,$A$2),"",IF(AND($A$12,$A$6=1,B711&lt;$A$7,$A$7&lt;=MAX(DemoHistory[Date])),$A$8,1))</f>
        <v/>
      </c>
      <c r="E711" s="166" t="str">
        <f t="shared" si="30"/>
        <v/>
      </c>
      <c r="F711" s="166" t="str">
        <f>IF($A711&gt;MIN($A$10,$A$2),"",IF($A711&lt;50,"n.a.",IF(COUNT(INDEX(StockDaily[Adjusted close],MAX(1,$A711-50+1)):E711)=50,AVERAGE(INDEX(StockDaily[Adjusted close],MAX(1,$A711-50+1)):E711),"n.a.")))</f>
        <v/>
      </c>
      <c r="G711" s="166" t="str">
        <f>IF($A711&gt;MIN($A$10,$A$2),"",IF($A711&lt;200,"n.a.",IF(COUNT(INDEX(StockDaily[Adjusted close],MAX(1,$A711-200+1)):E711)=200,AVERAGE(INDEX(StockDaily[Adjusted close],MAX(1,$A711-200+1)):E711),"n.a.")))</f>
        <v/>
      </c>
      <c r="H711" s="136" t="str">
        <f>IF($A711&gt;MIN($A$10,$A$2),"",IF($A$5="","Choose stock",IF(NOT($A$12),"Check split rule",IF(NOT(ISNUMBER(B711)),"Invalid date",IF(OR(B711&lt;=0,B711&lt;&gt;INT(B711)),"Invalid date",IF(COUNTIFS(DemoHistory[Date],B711)&lt;&gt;1,"Duplicate date",IF(AND($A711&gt;1,B711&lt;=B710),"Dates out of order",IF(NOT(ISNUMBER(C711)),"Missing price",IF(C711&lt;=0,"Nonpositive price","OK")))))))))</f>
        <v/>
      </c>
      <c r="I711" s="136"/>
      <c r="J711" s="136"/>
      <c r="K711" s="136"/>
      <c r="L711" s="136"/>
      <c r="M711" s="136"/>
      <c r="N711" s="136" t="e">
        <f t="shared" si="31"/>
        <v>#N/A</v>
      </c>
      <c r="O711" s="136" t="e">
        <f t="shared" si="32"/>
        <v>#N/A</v>
      </c>
    </row>
    <row r="712" spans="1:15" ht="22" customHeight="1" x14ac:dyDescent="0.35">
      <c r="A712" s="136">
        <v>668</v>
      </c>
      <c r="B712" s="165" t="str">
        <f>IF($A712&gt;MIN($A$10,$A$2),"",INDEX(DemoHistory[Date],$A712))</f>
        <v/>
      </c>
      <c r="C712" s="166" t="str">
        <f>IF(OR($A712&gt;MIN($A$10,$A$2),$A$5=""),"",INDEX(DemoHistory[],$A712,MATCH($A$5,DemoHistory[#Headers],0)))</f>
        <v/>
      </c>
      <c r="D712" s="166" t="str">
        <f>IF($A712&gt;MIN($A$10,$A$2),"",IF(AND($A$12,$A$6=1,B712&lt;$A$7,$A$7&lt;=MAX(DemoHistory[Date])),$A$8,1))</f>
        <v/>
      </c>
      <c r="E712" s="166" t="str">
        <f t="shared" si="30"/>
        <v/>
      </c>
      <c r="F712" s="166" t="str">
        <f>IF($A712&gt;MIN($A$10,$A$2),"",IF($A712&lt;50,"n.a.",IF(COUNT(INDEX(StockDaily[Adjusted close],MAX(1,$A712-50+1)):E712)=50,AVERAGE(INDEX(StockDaily[Adjusted close],MAX(1,$A712-50+1)):E712),"n.a.")))</f>
        <v/>
      </c>
      <c r="G712" s="166" t="str">
        <f>IF($A712&gt;MIN($A$10,$A$2),"",IF($A712&lt;200,"n.a.",IF(COUNT(INDEX(StockDaily[Adjusted close],MAX(1,$A712-200+1)):E712)=200,AVERAGE(INDEX(StockDaily[Adjusted close],MAX(1,$A712-200+1)):E712),"n.a.")))</f>
        <v/>
      </c>
      <c r="H712" s="136" t="str">
        <f>IF($A712&gt;MIN($A$10,$A$2),"",IF($A$5="","Choose stock",IF(NOT($A$12),"Check split rule",IF(NOT(ISNUMBER(B712)),"Invalid date",IF(OR(B712&lt;=0,B712&lt;&gt;INT(B712)),"Invalid date",IF(COUNTIFS(DemoHistory[Date],B712)&lt;&gt;1,"Duplicate date",IF(AND($A712&gt;1,B712&lt;=B711),"Dates out of order",IF(NOT(ISNUMBER(C712)),"Missing price",IF(C712&lt;=0,"Nonpositive price","OK")))))))))</f>
        <v/>
      </c>
      <c r="I712" s="136"/>
      <c r="J712" s="136"/>
      <c r="K712" s="136"/>
      <c r="L712" s="136"/>
      <c r="M712" s="136"/>
      <c r="N712" s="136" t="e">
        <f t="shared" si="31"/>
        <v>#N/A</v>
      </c>
      <c r="O712" s="136" t="e">
        <f t="shared" si="32"/>
        <v>#N/A</v>
      </c>
    </row>
    <row r="713" spans="1:15" ht="22" customHeight="1" x14ac:dyDescent="0.35">
      <c r="A713" s="136">
        <v>669</v>
      </c>
      <c r="B713" s="165" t="str">
        <f>IF($A713&gt;MIN($A$10,$A$2),"",INDEX(DemoHistory[Date],$A713))</f>
        <v/>
      </c>
      <c r="C713" s="166" t="str">
        <f>IF(OR($A713&gt;MIN($A$10,$A$2),$A$5=""),"",INDEX(DemoHistory[],$A713,MATCH($A$5,DemoHistory[#Headers],0)))</f>
        <v/>
      </c>
      <c r="D713" s="166" t="str">
        <f>IF($A713&gt;MIN($A$10,$A$2),"",IF(AND($A$12,$A$6=1,B713&lt;$A$7,$A$7&lt;=MAX(DemoHistory[Date])),$A$8,1))</f>
        <v/>
      </c>
      <c r="E713" s="166" t="str">
        <f t="shared" si="30"/>
        <v/>
      </c>
      <c r="F713" s="166" t="str">
        <f>IF($A713&gt;MIN($A$10,$A$2),"",IF($A713&lt;50,"n.a.",IF(COUNT(INDEX(StockDaily[Adjusted close],MAX(1,$A713-50+1)):E713)=50,AVERAGE(INDEX(StockDaily[Adjusted close],MAX(1,$A713-50+1)):E713),"n.a.")))</f>
        <v/>
      </c>
      <c r="G713" s="166" t="str">
        <f>IF($A713&gt;MIN($A$10,$A$2),"",IF($A713&lt;200,"n.a.",IF(COUNT(INDEX(StockDaily[Adjusted close],MAX(1,$A713-200+1)):E713)=200,AVERAGE(INDEX(StockDaily[Adjusted close],MAX(1,$A713-200+1)):E713),"n.a.")))</f>
        <v/>
      </c>
      <c r="H713" s="136" t="str">
        <f>IF($A713&gt;MIN($A$10,$A$2),"",IF($A$5="","Choose stock",IF(NOT($A$12),"Check split rule",IF(NOT(ISNUMBER(B713)),"Invalid date",IF(OR(B713&lt;=0,B713&lt;&gt;INT(B713)),"Invalid date",IF(COUNTIFS(DemoHistory[Date],B713)&lt;&gt;1,"Duplicate date",IF(AND($A713&gt;1,B713&lt;=B712),"Dates out of order",IF(NOT(ISNUMBER(C713)),"Missing price",IF(C713&lt;=0,"Nonpositive price","OK")))))))))</f>
        <v/>
      </c>
      <c r="I713" s="136"/>
      <c r="J713" s="136"/>
      <c r="K713" s="136"/>
      <c r="L713" s="136"/>
      <c r="M713" s="136"/>
      <c r="N713" s="136" t="e">
        <f t="shared" si="31"/>
        <v>#N/A</v>
      </c>
      <c r="O713" s="136" t="e">
        <f t="shared" si="32"/>
        <v>#N/A</v>
      </c>
    </row>
    <row r="714" spans="1:15" ht="22" customHeight="1" x14ac:dyDescent="0.35">
      <c r="A714" s="136">
        <v>670</v>
      </c>
      <c r="B714" s="165" t="str">
        <f>IF($A714&gt;MIN($A$10,$A$2),"",INDEX(DemoHistory[Date],$A714))</f>
        <v/>
      </c>
      <c r="C714" s="166" t="str">
        <f>IF(OR($A714&gt;MIN($A$10,$A$2),$A$5=""),"",INDEX(DemoHistory[],$A714,MATCH($A$5,DemoHistory[#Headers],0)))</f>
        <v/>
      </c>
      <c r="D714" s="166" t="str">
        <f>IF($A714&gt;MIN($A$10,$A$2),"",IF(AND($A$12,$A$6=1,B714&lt;$A$7,$A$7&lt;=MAX(DemoHistory[Date])),$A$8,1))</f>
        <v/>
      </c>
      <c r="E714" s="166" t="str">
        <f t="shared" si="30"/>
        <v/>
      </c>
      <c r="F714" s="166" t="str">
        <f>IF($A714&gt;MIN($A$10,$A$2),"",IF($A714&lt;50,"n.a.",IF(COUNT(INDEX(StockDaily[Adjusted close],MAX(1,$A714-50+1)):E714)=50,AVERAGE(INDEX(StockDaily[Adjusted close],MAX(1,$A714-50+1)):E714),"n.a.")))</f>
        <v/>
      </c>
      <c r="G714" s="166" t="str">
        <f>IF($A714&gt;MIN($A$10,$A$2),"",IF($A714&lt;200,"n.a.",IF(COUNT(INDEX(StockDaily[Adjusted close],MAX(1,$A714-200+1)):E714)=200,AVERAGE(INDEX(StockDaily[Adjusted close],MAX(1,$A714-200+1)):E714),"n.a.")))</f>
        <v/>
      </c>
      <c r="H714" s="136" t="str">
        <f>IF($A714&gt;MIN($A$10,$A$2),"",IF($A$5="","Choose stock",IF(NOT($A$12),"Check split rule",IF(NOT(ISNUMBER(B714)),"Invalid date",IF(OR(B714&lt;=0,B714&lt;&gt;INT(B714)),"Invalid date",IF(COUNTIFS(DemoHistory[Date],B714)&lt;&gt;1,"Duplicate date",IF(AND($A714&gt;1,B714&lt;=B713),"Dates out of order",IF(NOT(ISNUMBER(C714)),"Missing price",IF(C714&lt;=0,"Nonpositive price","OK")))))))))</f>
        <v/>
      </c>
      <c r="I714" s="136"/>
      <c r="J714" s="136"/>
      <c r="K714" s="136"/>
      <c r="L714" s="136"/>
      <c r="M714" s="136"/>
      <c r="N714" s="136" t="e">
        <f t="shared" si="31"/>
        <v>#N/A</v>
      </c>
      <c r="O714" s="136" t="e">
        <f t="shared" si="32"/>
        <v>#N/A</v>
      </c>
    </row>
    <row r="715" spans="1:15" ht="22" customHeight="1" x14ac:dyDescent="0.35">
      <c r="A715" s="136">
        <v>671</v>
      </c>
      <c r="B715" s="165" t="str">
        <f>IF($A715&gt;MIN($A$10,$A$2),"",INDEX(DemoHistory[Date],$A715))</f>
        <v/>
      </c>
      <c r="C715" s="166" t="str">
        <f>IF(OR($A715&gt;MIN($A$10,$A$2),$A$5=""),"",INDEX(DemoHistory[],$A715,MATCH($A$5,DemoHistory[#Headers],0)))</f>
        <v/>
      </c>
      <c r="D715" s="166" t="str">
        <f>IF($A715&gt;MIN($A$10,$A$2),"",IF(AND($A$12,$A$6=1,B715&lt;$A$7,$A$7&lt;=MAX(DemoHistory[Date])),$A$8,1))</f>
        <v/>
      </c>
      <c r="E715" s="166" t="str">
        <f t="shared" si="30"/>
        <v/>
      </c>
      <c r="F715" s="166" t="str">
        <f>IF($A715&gt;MIN($A$10,$A$2),"",IF($A715&lt;50,"n.a.",IF(COUNT(INDEX(StockDaily[Adjusted close],MAX(1,$A715-50+1)):E715)=50,AVERAGE(INDEX(StockDaily[Adjusted close],MAX(1,$A715-50+1)):E715),"n.a.")))</f>
        <v/>
      </c>
      <c r="G715" s="166" t="str">
        <f>IF($A715&gt;MIN($A$10,$A$2),"",IF($A715&lt;200,"n.a.",IF(COUNT(INDEX(StockDaily[Adjusted close],MAX(1,$A715-200+1)):E715)=200,AVERAGE(INDEX(StockDaily[Adjusted close],MAX(1,$A715-200+1)):E715),"n.a.")))</f>
        <v/>
      </c>
      <c r="H715" s="136" t="str">
        <f>IF($A715&gt;MIN($A$10,$A$2),"",IF($A$5="","Choose stock",IF(NOT($A$12),"Check split rule",IF(NOT(ISNUMBER(B715)),"Invalid date",IF(OR(B715&lt;=0,B715&lt;&gt;INT(B715)),"Invalid date",IF(COUNTIFS(DemoHistory[Date],B715)&lt;&gt;1,"Duplicate date",IF(AND($A715&gt;1,B715&lt;=B714),"Dates out of order",IF(NOT(ISNUMBER(C715)),"Missing price",IF(C715&lt;=0,"Nonpositive price","OK")))))))))</f>
        <v/>
      </c>
      <c r="I715" s="136"/>
      <c r="J715" s="136"/>
      <c r="K715" s="136"/>
      <c r="L715" s="136"/>
      <c r="M715" s="136"/>
      <c r="N715" s="136" t="e">
        <f t="shared" si="31"/>
        <v>#N/A</v>
      </c>
      <c r="O715" s="136" t="e">
        <f t="shared" si="32"/>
        <v>#N/A</v>
      </c>
    </row>
    <row r="716" spans="1:15" ht="22" customHeight="1" x14ac:dyDescent="0.35">
      <c r="A716" s="136">
        <v>672</v>
      </c>
      <c r="B716" s="165" t="str">
        <f>IF($A716&gt;MIN($A$10,$A$2),"",INDEX(DemoHistory[Date],$A716))</f>
        <v/>
      </c>
      <c r="C716" s="166" t="str">
        <f>IF(OR($A716&gt;MIN($A$10,$A$2),$A$5=""),"",INDEX(DemoHistory[],$A716,MATCH($A$5,DemoHistory[#Headers],0)))</f>
        <v/>
      </c>
      <c r="D716" s="166" t="str">
        <f>IF($A716&gt;MIN($A$10,$A$2),"",IF(AND($A$12,$A$6=1,B716&lt;$A$7,$A$7&lt;=MAX(DemoHistory[Date])),$A$8,1))</f>
        <v/>
      </c>
      <c r="E716" s="166" t="str">
        <f t="shared" si="30"/>
        <v/>
      </c>
      <c r="F716" s="166" t="str">
        <f>IF($A716&gt;MIN($A$10,$A$2),"",IF($A716&lt;50,"n.a.",IF(COUNT(INDEX(StockDaily[Adjusted close],MAX(1,$A716-50+1)):E716)=50,AVERAGE(INDEX(StockDaily[Adjusted close],MAX(1,$A716-50+1)):E716),"n.a.")))</f>
        <v/>
      </c>
      <c r="G716" s="166" t="str">
        <f>IF($A716&gt;MIN($A$10,$A$2),"",IF($A716&lt;200,"n.a.",IF(COUNT(INDEX(StockDaily[Adjusted close],MAX(1,$A716-200+1)):E716)=200,AVERAGE(INDEX(StockDaily[Adjusted close],MAX(1,$A716-200+1)):E716),"n.a.")))</f>
        <v/>
      </c>
      <c r="H716" s="136" t="str">
        <f>IF($A716&gt;MIN($A$10,$A$2),"",IF($A$5="","Choose stock",IF(NOT($A$12),"Check split rule",IF(NOT(ISNUMBER(B716)),"Invalid date",IF(OR(B716&lt;=0,B716&lt;&gt;INT(B716)),"Invalid date",IF(COUNTIFS(DemoHistory[Date],B716)&lt;&gt;1,"Duplicate date",IF(AND($A716&gt;1,B716&lt;=B715),"Dates out of order",IF(NOT(ISNUMBER(C716)),"Missing price",IF(C716&lt;=0,"Nonpositive price","OK")))))))))</f>
        <v/>
      </c>
      <c r="I716" s="136"/>
      <c r="J716" s="136"/>
      <c r="K716" s="136"/>
      <c r="L716" s="136"/>
      <c r="M716" s="136"/>
      <c r="N716" s="136" t="e">
        <f t="shared" si="31"/>
        <v>#N/A</v>
      </c>
      <c r="O716" s="136" t="e">
        <f t="shared" si="32"/>
        <v>#N/A</v>
      </c>
    </row>
    <row r="717" spans="1:15" ht="22" customHeight="1" x14ac:dyDescent="0.35">
      <c r="A717" s="136">
        <v>673</v>
      </c>
      <c r="B717" s="165" t="str">
        <f>IF($A717&gt;MIN($A$10,$A$2),"",INDEX(DemoHistory[Date],$A717))</f>
        <v/>
      </c>
      <c r="C717" s="166" t="str">
        <f>IF(OR($A717&gt;MIN($A$10,$A$2),$A$5=""),"",INDEX(DemoHistory[],$A717,MATCH($A$5,DemoHistory[#Headers],0)))</f>
        <v/>
      </c>
      <c r="D717" s="166" t="str">
        <f>IF($A717&gt;MIN($A$10,$A$2),"",IF(AND($A$12,$A$6=1,B717&lt;$A$7,$A$7&lt;=MAX(DemoHistory[Date])),$A$8,1))</f>
        <v/>
      </c>
      <c r="E717" s="166" t="str">
        <f t="shared" si="30"/>
        <v/>
      </c>
      <c r="F717" s="166" t="str">
        <f>IF($A717&gt;MIN($A$10,$A$2),"",IF($A717&lt;50,"n.a.",IF(COUNT(INDEX(StockDaily[Adjusted close],MAX(1,$A717-50+1)):E717)=50,AVERAGE(INDEX(StockDaily[Adjusted close],MAX(1,$A717-50+1)):E717),"n.a.")))</f>
        <v/>
      </c>
      <c r="G717" s="166" t="str">
        <f>IF($A717&gt;MIN($A$10,$A$2),"",IF($A717&lt;200,"n.a.",IF(COUNT(INDEX(StockDaily[Adjusted close],MAX(1,$A717-200+1)):E717)=200,AVERAGE(INDEX(StockDaily[Adjusted close],MAX(1,$A717-200+1)):E717),"n.a.")))</f>
        <v/>
      </c>
      <c r="H717" s="136" t="str">
        <f>IF($A717&gt;MIN($A$10,$A$2),"",IF($A$5="","Choose stock",IF(NOT($A$12),"Check split rule",IF(NOT(ISNUMBER(B717)),"Invalid date",IF(OR(B717&lt;=0,B717&lt;&gt;INT(B717)),"Invalid date",IF(COUNTIFS(DemoHistory[Date],B717)&lt;&gt;1,"Duplicate date",IF(AND($A717&gt;1,B717&lt;=B716),"Dates out of order",IF(NOT(ISNUMBER(C717)),"Missing price",IF(C717&lt;=0,"Nonpositive price","OK")))))))))</f>
        <v/>
      </c>
      <c r="I717" s="136"/>
      <c r="J717" s="136"/>
      <c r="K717" s="136"/>
      <c r="L717" s="136"/>
      <c r="M717" s="136"/>
      <c r="N717" s="136" t="e">
        <f t="shared" si="31"/>
        <v>#N/A</v>
      </c>
      <c r="O717" s="136" t="e">
        <f t="shared" si="32"/>
        <v>#N/A</v>
      </c>
    </row>
    <row r="718" spans="1:15" ht="22" customHeight="1" x14ac:dyDescent="0.35">
      <c r="A718" s="136">
        <v>674</v>
      </c>
      <c r="B718" s="165" t="str">
        <f>IF($A718&gt;MIN($A$10,$A$2),"",INDEX(DemoHistory[Date],$A718))</f>
        <v/>
      </c>
      <c r="C718" s="166" t="str">
        <f>IF(OR($A718&gt;MIN($A$10,$A$2),$A$5=""),"",INDEX(DemoHistory[],$A718,MATCH($A$5,DemoHistory[#Headers],0)))</f>
        <v/>
      </c>
      <c r="D718" s="166" t="str">
        <f>IF($A718&gt;MIN($A$10,$A$2),"",IF(AND($A$12,$A$6=1,B718&lt;$A$7,$A$7&lt;=MAX(DemoHistory[Date])),$A$8,1))</f>
        <v/>
      </c>
      <c r="E718" s="166" t="str">
        <f t="shared" si="30"/>
        <v/>
      </c>
      <c r="F718" s="166" t="str">
        <f>IF($A718&gt;MIN($A$10,$A$2),"",IF($A718&lt;50,"n.a.",IF(COUNT(INDEX(StockDaily[Adjusted close],MAX(1,$A718-50+1)):E718)=50,AVERAGE(INDEX(StockDaily[Adjusted close],MAX(1,$A718-50+1)):E718),"n.a.")))</f>
        <v/>
      </c>
      <c r="G718" s="166" t="str">
        <f>IF($A718&gt;MIN($A$10,$A$2),"",IF($A718&lt;200,"n.a.",IF(COUNT(INDEX(StockDaily[Adjusted close],MAX(1,$A718-200+1)):E718)=200,AVERAGE(INDEX(StockDaily[Adjusted close],MAX(1,$A718-200+1)):E718),"n.a.")))</f>
        <v/>
      </c>
      <c r="H718" s="136" t="str">
        <f>IF($A718&gt;MIN($A$10,$A$2),"",IF($A$5="","Choose stock",IF(NOT($A$12),"Check split rule",IF(NOT(ISNUMBER(B718)),"Invalid date",IF(OR(B718&lt;=0,B718&lt;&gt;INT(B718)),"Invalid date",IF(COUNTIFS(DemoHistory[Date],B718)&lt;&gt;1,"Duplicate date",IF(AND($A718&gt;1,B718&lt;=B717),"Dates out of order",IF(NOT(ISNUMBER(C718)),"Missing price",IF(C718&lt;=0,"Nonpositive price","OK")))))))))</f>
        <v/>
      </c>
      <c r="I718" s="136"/>
      <c r="J718" s="136"/>
      <c r="K718" s="136"/>
      <c r="L718" s="136"/>
      <c r="M718" s="136"/>
      <c r="N718" s="136" t="e">
        <f t="shared" si="31"/>
        <v>#N/A</v>
      </c>
      <c r="O718" s="136" t="e">
        <f t="shared" si="32"/>
        <v>#N/A</v>
      </c>
    </row>
    <row r="719" spans="1:15" ht="22" customHeight="1" x14ac:dyDescent="0.35">
      <c r="A719" s="136">
        <v>675</v>
      </c>
      <c r="B719" s="165" t="str">
        <f>IF($A719&gt;MIN($A$10,$A$2),"",INDEX(DemoHistory[Date],$A719))</f>
        <v/>
      </c>
      <c r="C719" s="166" t="str">
        <f>IF(OR($A719&gt;MIN($A$10,$A$2),$A$5=""),"",INDEX(DemoHistory[],$A719,MATCH($A$5,DemoHistory[#Headers],0)))</f>
        <v/>
      </c>
      <c r="D719" s="166" t="str">
        <f>IF($A719&gt;MIN($A$10,$A$2),"",IF(AND($A$12,$A$6=1,B719&lt;$A$7,$A$7&lt;=MAX(DemoHistory[Date])),$A$8,1))</f>
        <v/>
      </c>
      <c r="E719" s="166" t="str">
        <f t="shared" si="30"/>
        <v/>
      </c>
      <c r="F719" s="166" t="str">
        <f>IF($A719&gt;MIN($A$10,$A$2),"",IF($A719&lt;50,"n.a.",IF(COUNT(INDEX(StockDaily[Adjusted close],MAX(1,$A719-50+1)):E719)=50,AVERAGE(INDEX(StockDaily[Adjusted close],MAX(1,$A719-50+1)):E719),"n.a.")))</f>
        <v/>
      </c>
      <c r="G719" s="166" t="str">
        <f>IF($A719&gt;MIN($A$10,$A$2),"",IF($A719&lt;200,"n.a.",IF(COUNT(INDEX(StockDaily[Adjusted close],MAX(1,$A719-200+1)):E719)=200,AVERAGE(INDEX(StockDaily[Adjusted close],MAX(1,$A719-200+1)):E719),"n.a.")))</f>
        <v/>
      </c>
      <c r="H719" s="136" t="str">
        <f>IF($A719&gt;MIN($A$10,$A$2),"",IF($A$5="","Choose stock",IF(NOT($A$12),"Check split rule",IF(NOT(ISNUMBER(B719)),"Invalid date",IF(OR(B719&lt;=0,B719&lt;&gt;INT(B719)),"Invalid date",IF(COUNTIFS(DemoHistory[Date],B719)&lt;&gt;1,"Duplicate date",IF(AND($A719&gt;1,B719&lt;=B718),"Dates out of order",IF(NOT(ISNUMBER(C719)),"Missing price",IF(C719&lt;=0,"Nonpositive price","OK")))))))))</f>
        <v/>
      </c>
      <c r="I719" s="136"/>
      <c r="J719" s="136"/>
      <c r="K719" s="136"/>
      <c r="L719" s="136"/>
      <c r="M719" s="136"/>
      <c r="N719" s="136" t="e">
        <f t="shared" si="31"/>
        <v>#N/A</v>
      </c>
      <c r="O719" s="136" t="e">
        <f t="shared" si="32"/>
        <v>#N/A</v>
      </c>
    </row>
    <row r="720" spans="1:15" ht="22" customHeight="1" x14ac:dyDescent="0.35">
      <c r="A720" s="136">
        <v>676</v>
      </c>
      <c r="B720" s="165" t="str">
        <f>IF($A720&gt;MIN($A$10,$A$2),"",INDEX(DemoHistory[Date],$A720))</f>
        <v/>
      </c>
      <c r="C720" s="166" t="str">
        <f>IF(OR($A720&gt;MIN($A$10,$A$2),$A$5=""),"",INDEX(DemoHistory[],$A720,MATCH($A$5,DemoHistory[#Headers],0)))</f>
        <v/>
      </c>
      <c r="D720" s="166" t="str">
        <f>IF($A720&gt;MIN($A$10,$A$2),"",IF(AND($A$12,$A$6=1,B720&lt;$A$7,$A$7&lt;=MAX(DemoHistory[Date])),$A$8,1))</f>
        <v/>
      </c>
      <c r="E720" s="166" t="str">
        <f t="shared" si="30"/>
        <v/>
      </c>
      <c r="F720" s="166" t="str">
        <f>IF($A720&gt;MIN($A$10,$A$2),"",IF($A720&lt;50,"n.a.",IF(COUNT(INDEX(StockDaily[Adjusted close],MAX(1,$A720-50+1)):E720)=50,AVERAGE(INDEX(StockDaily[Adjusted close],MAX(1,$A720-50+1)):E720),"n.a.")))</f>
        <v/>
      </c>
      <c r="G720" s="166" t="str">
        <f>IF($A720&gt;MIN($A$10,$A$2),"",IF($A720&lt;200,"n.a.",IF(COUNT(INDEX(StockDaily[Adjusted close],MAX(1,$A720-200+1)):E720)=200,AVERAGE(INDEX(StockDaily[Adjusted close],MAX(1,$A720-200+1)):E720),"n.a.")))</f>
        <v/>
      </c>
      <c r="H720" s="136" t="str">
        <f>IF($A720&gt;MIN($A$10,$A$2),"",IF($A$5="","Choose stock",IF(NOT($A$12),"Check split rule",IF(NOT(ISNUMBER(B720)),"Invalid date",IF(OR(B720&lt;=0,B720&lt;&gt;INT(B720)),"Invalid date",IF(COUNTIFS(DemoHistory[Date],B720)&lt;&gt;1,"Duplicate date",IF(AND($A720&gt;1,B720&lt;=B719),"Dates out of order",IF(NOT(ISNUMBER(C720)),"Missing price",IF(C720&lt;=0,"Nonpositive price","OK")))))))))</f>
        <v/>
      </c>
      <c r="I720" s="136"/>
      <c r="J720" s="136"/>
      <c r="K720" s="136"/>
      <c r="L720" s="136"/>
      <c r="M720" s="136"/>
      <c r="N720" s="136" t="e">
        <f t="shared" si="31"/>
        <v>#N/A</v>
      </c>
      <c r="O720" s="136" t="e">
        <f t="shared" si="32"/>
        <v>#N/A</v>
      </c>
    </row>
    <row r="721" spans="1:15" ht="22" customHeight="1" x14ac:dyDescent="0.35">
      <c r="A721" s="136">
        <v>677</v>
      </c>
      <c r="B721" s="165" t="str">
        <f>IF($A721&gt;MIN($A$10,$A$2),"",INDEX(DemoHistory[Date],$A721))</f>
        <v/>
      </c>
      <c r="C721" s="166" t="str">
        <f>IF(OR($A721&gt;MIN($A$10,$A$2),$A$5=""),"",INDEX(DemoHistory[],$A721,MATCH($A$5,DemoHistory[#Headers],0)))</f>
        <v/>
      </c>
      <c r="D721" s="166" t="str">
        <f>IF($A721&gt;MIN($A$10,$A$2),"",IF(AND($A$12,$A$6=1,B721&lt;$A$7,$A$7&lt;=MAX(DemoHistory[Date])),$A$8,1))</f>
        <v/>
      </c>
      <c r="E721" s="166" t="str">
        <f t="shared" si="30"/>
        <v/>
      </c>
      <c r="F721" s="166" t="str">
        <f>IF($A721&gt;MIN($A$10,$A$2),"",IF($A721&lt;50,"n.a.",IF(COUNT(INDEX(StockDaily[Adjusted close],MAX(1,$A721-50+1)):E721)=50,AVERAGE(INDEX(StockDaily[Adjusted close],MAX(1,$A721-50+1)):E721),"n.a.")))</f>
        <v/>
      </c>
      <c r="G721" s="166" t="str">
        <f>IF($A721&gt;MIN($A$10,$A$2),"",IF($A721&lt;200,"n.a.",IF(COUNT(INDEX(StockDaily[Adjusted close],MAX(1,$A721-200+1)):E721)=200,AVERAGE(INDEX(StockDaily[Adjusted close],MAX(1,$A721-200+1)):E721),"n.a.")))</f>
        <v/>
      </c>
      <c r="H721" s="136" t="str">
        <f>IF($A721&gt;MIN($A$10,$A$2),"",IF($A$5="","Choose stock",IF(NOT($A$12),"Check split rule",IF(NOT(ISNUMBER(B721)),"Invalid date",IF(OR(B721&lt;=0,B721&lt;&gt;INT(B721)),"Invalid date",IF(COUNTIFS(DemoHistory[Date],B721)&lt;&gt;1,"Duplicate date",IF(AND($A721&gt;1,B721&lt;=B720),"Dates out of order",IF(NOT(ISNUMBER(C721)),"Missing price",IF(C721&lt;=0,"Nonpositive price","OK")))))))))</f>
        <v/>
      </c>
      <c r="I721" s="136"/>
      <c r="J721" s="136"/>
      <c r="K721" s="136"/>
      <c r="L721" s="136"/>
      <c r="M721" s="136"/>
      <c r="N721" s="136" t="e">
        <f t="shared" si="31"/>
        <v>#N/A</v>
      </c>
      <c r="O721" s="136" t="e">
        <f t="shared" si="32"/>
        <v>#N/A</v>
      </c>
    </row>
    <row r="722" spans="1:15" ht="22" customHeight="1" x14ac:dyDescent="0.35">
      <c r="A722" s="136">
        <v>678</v>
      </c>
      <c r="B722" s="165" t="str">
        <f>IF($A722&gt;MIN($A$10,$A$2),"",INDEX(DemoHistory[Date],$A722))</f>
        <v/>
      </c>
      <c r="C722" s="166" t="str">
        <f>IF(OR($A722&gt;MIN($A$10,$A$2),$A$5=""),"",INDEX(DemoHistory[],$A722,MATCH($A$5,DemoHistory[#Headers],0)))</f>
        <v/>
      </c>
      <c r="D722" s="166" t="str">
        <f>IF($A722&gt;MIN($A$10,$A$2),"",IF(AND($A$12,$A$6=1,B722&lt;$A$7,$A$7&lt;=MAX(DemoHistory[Date])),$A$8,1))</f>
        <v/>
      </c>
      <c r="E722" s="166" t="str">
        <f t="shared" si="30"/>
        <v/>
      </c>
      <c r="F722" s="166" t="str">
        <f>IF($A722&gt;MIN($A$10,$A$2),"",IF($A722&lt;50,"n.a.",IF(COUNT(INDEX(StockDaily[Adjusted close],MAX(1,$A722-50+1)):E722)=50,AVERAGE(INDEX(StockDaily[Adjusted close],MAX(1,$A722-50+1)):E722),"n.a.")))</f>
        <v/>
      </c>
      <c r="G722" s="166" t="str">
        <f>IF($A722&gt;MIN($A$10,$A$2),"",IF($A722&lt;200,"n.a.",IF(COUNT(INDEX(StockDaily[Adjusted close],MAX(1,$A722-200+1)):E722)=200,AVERAGE(INDEX(StockDaily[Adjusted close],MAX(1,$A722-200+1)):E722),"n.a.")))</f>
        <v/>
      </c>
      <c r="H722" s="136" t="str">
        <f>IF($A722&gt;MIN($A$10,$A$2),"",IF($A$5="","Choose stock",IF(NOT($A$12),"Check split rule",IF(NOT(ISNUMBER(B722)),"Invalid date",IF(OR(B722&lt;=0,B722&lt;&gt;INT(B722)),"Invalid date",IF(COUNTIFS(DemoHistory[Date],B722)&lt;&gt;1,"Duplicate date",IF(AND($A722&gt;1,B722&lt;=B721),"Dates out of order",IF(NOT(ISNUMBER(C722)),"Missing price",IF(C722&lt;=0,"Nonpositive price","OK")))))))))</f>
        <v/>
      </c>
      <c r="I722" s="136"/>
      <c r="J722" s="136"/>
      <c r="K722" s="136"/>
      <c r="L722" s="136"/>
      <c r="M722" s="136"/>
      <c r="N722" s="136" t="e">
        <f t="shared" si="31"/>
        <v>#N/A</v>
      </c>
      <c r="O722" s="136" t="e">
        <f t="shared" si="32"/>
        <v>#N/A</v>
      </c>
    </row>
    <row r="723" spans="1:15" ht="22" customHeight="1" x14ac:dyDescent="0.35">
      <c r="A723" s="136">
        <v>679</v>
      </c>
      <c r="B723" s="165" t="str">
        <f>IF($A723&gt;MIN($A$10,$A$2),"",INDEX(DemoHistory[Date],$A723))</f>
        <v/>
      </c>
      <c r="C723" s="166" t="str">
        <f>IF(OR($A723&gt;MIN($A$10,$A$2),$A$5=""),"",INDEX(DemoHistory[],$A723,MATCH($A$5,DemoHistory[#Headers],0)))</f>
        <v/>
      </c>
      <c r="D723" s="166" t="str">
        <f>IF($A723&gt;MIN($A$10,$A$2),"",IF(AND($A$12,$A$6=1,B723&lt;$A$7,$A$7&lt;=MAX(DemoHistory[Date])),$A$8,1))</f>
        <v/>
      </c>
      <c r="E723" s="166" t="str">
        <f t="shared" si="30"/>
        <v/>
      </c>
      <c r="F723" s="166" t="str">
        <f>IF($A723&gt;MIN($A$10,$A$2),"",IF($A723&lt;50,"n.a.",IF(COUNT(INDEX(StockDaily[Adjusted close],MAX(1,$A723-50+1)):E723)=50,AVERAGE(INDEX(StockDaily[Adjusted close],MAX(1,$A723-50+1)):E723),"n.a.")))</f>
        <v/>
      </c>
      <c r="G723" s="166" t="str">
        <f>IF($A723&gt;MIN($A$10,$A$2),"",IF($A723&lt;200,"n.a.",IF(COUNT(INDEX(StockDaily[Adjusted close],MAX(1,$A723-200+1)):E723)=200,AVERAGE(INDEX(StockDaily[Adjusted close],MAX(1,$A723-200+1)):E723),"n.a.")))</f>
        <v/>
      </c>
      <c r="H723" s="136" t="str">
        <f>IF($A723&gt;MIN($A$10,$A$2),"",IF($A$5="","Choose stock",IF(NOT($A$12),"Check split rule",IF(NOT(ISNUMBER(B723)),"Invalid date",IF(OR(B723&lt;=0,B723&lt;&gt;INT(B723)),"Invalid date",IF(COUNTIFS(DemoHistory[Date],B723)&lt;&gt;1,"Duplicate date",IF(AND($A723&gt;1,B723&lt;=B722),"Dates out of order",IF(NOT(ISNUMBER(C723)),"Missing price",IF(C723&lt;=0,"Nonpositive price","OK")))))))))</f>
        <v/>
      </c>
      <c r="I723" s="136"/>
      <c r="J723" s="136"/>
      <c r="K723" s="136"/>
      <c r="L723" s="136"/>
      <c r="M723" s="136"/>
      <c r="N723" s="136" t="e">
        <f t="shared" si="31"/>
        <v>#N/A</v>
      </c>
      <c r="O723" s="136" t="e">
        <f t="shared" si="32"/>
        <v>#N/A</v>
      </c>
    </row>
    <row r="724" spans="1:15" ht="22" customHeight="1" x14ac:dyDescent="0.35">
      <c r="A724" s="136">
        <v>680</v>
      </c>
      <c r="B724" s="165" t="str">
        <f>IF($A724&gt;MIN($A$10,$A$2),"",INDEX(DemoHistory[Date],$A724))</f>
        <v/>
      </c>
      <c r="C724" s="166" t="str">
        <f>IF(OR($A724&gt;MIN($A$10,$A$2),$A$5=""),"",INDEX(DemoHistory[],$A724,MATCH($A$5,DemoHistory[#Headers],0)))</f>
        <v/>
      </c>
      <c r="D724" s="166" t="str">
        <f>IF($A724&gt;MIN($A$10,$A$2),"",IF(AND($A$12,$A$6=1,B724&lt;$A$7,$A$7&lt;=MAX(DemoHistory[Date])),$A$8,1))</f>
        <v/>
      </c>
      <c r="E724" s="166" t="str">
        <f t="shared" si="30"/>
        <v/>
      </c>
      <c r="F724" s="166" t="str">
        <f>IF($A724&gt;MIN($A$10,$A$2),"",IF($A724&lt;50,"n.a.",IF(COUNT(INDEX(StockDaily[Adjusted close],MAX(1,$A724-50+1)):E724)=50,AVERAGE(INDEX(StockDaily[Adjusted close],MAX(1,$A724-50+1)):E724),"n.a.")))</f>
        <v/>
      </c>
      <c r="G724" s="166" t="str">
        <f>IF($A724&gt;MIN($A$10,$A$2),"",IF($A724&lt;200,"n.a.",IF(COUNT(INDEX(StockDaily[Adjusted close],MAX(1,$A724-200+1)):E724)=200,AVERAGE(INDEX(StockDaily[Adjusted close],MAX(1,$A724-200+1)):E724),"n.a.")))</f>
        <v/>
      </c>
      <c r="H724" s="136" t="str">
        <f>IF($A724&gt;MIN($A$10,$A$2),"",IF($A$5="","Choose stock",IF(NOT($A$12),"Check split rule",IF(NOT(ISNUMBER(B724)),"Invalid date",IF(OR(B724&lt;=0,B724&lt;&gt;INT(B724)),"Invalid date",IF(COUNTIFS(DemoHistory[Date],B724)&lt;&gt;1,"Duplicate date",IF(AND($A724&gt;1,B724&lt;=B723),"Dates out of order",IF(NOT(ISNUMBER(C724)),"Missing price",IF(C724&lt;=0,"Nonpositive price","OK")))))))))</f>
        <v/>
      </c>
      <c r="I724" s="136"/>
      <c r="J724" s="136"/>
      <c r="K724" s="136"/>
      <c r="L724" s="136"/>
      <c r="M724" s="136"/>
      <c r="N724" s="136" t="e">
        <f t="shared" si="31"/>
        <v>#N/A</v>
      </c>
      <c r="O724" s="136" t="e">
        <f t="shared" si="32"/>
        <v>#N/A</v>
      </c>
    </row>
    <row r="725" spans="1:15" ht="22" customHeight="1" x14ac:dyDescent="0.35">
      <c r="A725" s="136">
        <v>681</v>
      </c>
      <c r="B725" s="165" t="str">
        <f>IF($A725&gt;MIN($A$10,$A$2),"",INDEX(DemoHistory[Date],$A725))</f>
        <v/>
      </c>
      <c r="C725" s="166" t="str">
        <f>IF(OR($A725&gt;MIN($A$10,$A$2),$A$5=""),"",INDEX(DemoHistory[],$A725,MATCH($A$5,DemoHistory[#Headers],0)))</f>
        <v/>
      </c>
      <c r="D725" s="166" t="str">
        <f>IF($A725&gt;MIN($A$10,$A$2),"",IF(AND($A$12,$A$6=1,B725&lt;$A$7,$A$7&lt;=MAX(DemoHistory[Date])),$A$8,1))</f>
        <v/>
      </c>
      <c r="E725" s="166" t="str">
        <f t="shared" si="30"/>
        <v/>
      </c>
      <c r="F725" s="166" t="str">
        <f>IF($A725&gt;MIN($A$10,$A$2),"",IF($A725&lt;50,"n.a.",IF(COUNT(INDEX(StockDaily[Adjusted close],MAX(1,$A725-50+1)):E725)=50,AVERAGE(INDEX(StockDaily[Adjusted close],MAX(1,$A725-50+1)):E725),"n.a.")))</f>
        <v/>
      </c>
      <c r="G725" s="166" t="str">
        <f>IF($A725&gt;MIN($A$10,$A$2),"",IF($A725&lt;200,"n.a.",IF(COUNT(INDEX(StockDaily[Adjusted close],MAX(1,$A725-200+1)):E725)=200,AVERAGE(INDEX(StockDaily[Adjusted close],MAX(1,$A725-200+1)):E725),"n.a.")))</f>
        <v/>
      </c>
      <c r="H725" s="136" t="str">
        <f>IF($A725&gt;MIN($A$10,$A$2),"",IF($A$5="","Choose stock",IF(NOT($A$12),"Check split rule",IF(NOT(ISNUMBER(B725)),"Invalid date",IF(OR(B725&lt;=0,B725&lt;&gt;INT(B725)),"Invalid date",IF(COUNTIFS(DemoHistory[Date],B725)&lt;&gt;1,"Duplicate date",IF(AND($A725&gt;1,B725&lt;=B724),"Dates out of order",IF(NOT(ISNUMBER(C725)),"Missing price",IF(C725&lt;=0,"Nonpositive price","OK")))))))))</f>
        <v/>
      </c>
      <c r="I725" s="136"/>
      <c r="J725" s="136"/>
      <c r="K725" s="136"/>
      <c r="L725" s="136"/>
      <c r="M725" s="136"/>
      <c r="N725" s="136" t="e">
        <f t="shared" si="31"/>
        <v>#N/A</v>
      </c>
      <c r="O725" s="136" t="e">
        <f t="shared" si="32"/>
        <v>#N/A</v>
      </c>
    </row>
    <row r="726" spans="1:15" ht="22" customHeight="1" x14ac:dyDescent="0.35">
      <c r="A726" s="136">
        <v>682</v>
      </c>
      <c r="B726" s="165" t="str">
        <f>IF($A726&gt;MIN($A$10,$A$2),"",INDEX(DemoHistory[Date],$A726))</f>
        <v/>
      </c>
      <c r="C726" s="166" t="str">
        <f>IF(OR($A726&gt;MIN($A$10,$A$2),$A$5=""),"",INDEX(DemoHistory[],$A726,MATCH($A$5,DemoHistory[#Headers],0)))</f>
        <v/>
      </c>
      <c r="D726" s="166" t="str">
        <f>IF($A726&gt;MIN($A$10,$A$2),"",IF(AND($A$12,$A$6=1,B726&lt;$A$7,$A$7&lt;=MAX(DemoHistory[Date])),$A$8,1))</f>
        <v/>
      </c>
      <c r="E726" s="166" t="str">
        <f t="shared" si="30"/>
        <v/>
      </c>
      <c r="F726" s="166" t="str">
        <f>IF($A726&gt;MIN($A$10,$A$2),"",IF($A726&lt;50,"n.a.",IF(COUNT(INDEX(StockDaily[Adjusted close],MAX(1,$A726-50+1)):E726)=50,AVERAGE(INDEX(StockDaily[Adjusted close],MAX(1,$A726-50+1)):E726),"n.a.")))</f>
        <v/>
      </c>
      <c r="G726" s="166" t="str">
        <f>IF($A726&gt;MIN($A$10,$A$2),"",IF($A726&lt;200,"n.a.",IF(COUNT(INDEX(StockDaily[Adjusted close],MAX(1,$A726-200+1)):E726)=200,AVERAGE(INDEX(StockDaily[Adjusted close],MAX(1,$A726-200+1)):E726),"n.a.")))</f>
        <v/>
      </c>
      <c r="H726" s="136" t="str">
        <f>IF($A726&gt;MIN($A$10,$A$2),"",IF($A$5="","Choose stock",IF(NOT($A$12),"Check split rule",IF(NOT(ISNUMBER(B726)),"Invalid date",IF(OR(B726&lt;=0,B726&lt;&gt;INT(B726)),"Invalid date",IF(COUNTIFS(DemoHistory[Date],B726)&lt;&gt;1,"Duplicate date",IF(AND($A726&gt;1,B726&lt;=B725),"Dates out of order",IF(NOT(ISNUMBER(C726)),"Missing price",IF(C726&lt;=0,"Nonpositive price","OK")))))))))</f>
        <v/>
      </c>
      <c r="I726" s="136"/>
      <c r="J726" s="136"/>
      <c r="K726" s="136"/>
      <c r="L726" s="136"/>
      <c r="M726" s="136"/>
      <c r="N726" s="136" t="e">
        <f t="shared" si="31"/>
        <v>#N/A</v>
      </c>
      <c r="O726" s="136" t="e">
        <f t="shared" si="32"/>
        <v>#N/A</v>
      </c>
    </row>
    <row r="727" spans="1:15" ht="22" customHeight="1" x14ac:dyDescent="0.35">
      <c r="A727" s="136">
        <v>683</v>
      </c>
      <c r="B727" s="165" t="str">
        <f>IF($A727&gt;MIN($A$10,$A$2),"",INDEX(DemoHistory[Date],$A727))</f>
        <v/>
      </c>
      <c r="C727" s="166" t="str">
        <f>IF(OR($A727&gt;MIN($A$10,$A$2),$A$5=""),"",INDEX(DemoHistory[],$A727,MATCH($A$5,DemoHistory[#Headers],0)))</f>
        <v/>
      </c>
      <c r="D727" s="166" t="str">
        <f>IF($A727&gt;MIN($A$10,$A$2),"",IF(AND($A$12,$A$6=1,B727&lt;$A$7,$A$7&lt;=MAX(DemoHistory[Date])),$A$8,1))</f>
        <v/>
      </c>
      <c r="E727" s="166" t="str">
        <f t="shared" si="30"/>
        <v/>
      </c>
      <c r="F727" s="166" t="str">
        <f>IF($A727&gt;MIN($A$10,$A$2),"",IF($A727&lt;50,"n.a.",IF(COUNT(INDEX(StockDaily[Adjusted close],MAX(1,$A727-50+1)):E727)=50,AVERAGE(INDEX(StockDaily[Adjusted close],MAX(1,$A727-50+1)):E727),"n.a.")))</f>
        <v/>
      </c>
      <c r="G727" s="166" t="str">
        <f>IF($A727&gt;MIN($A$10,$A$2),"",IF($A727&lt;200,"n.a.",IF(COUNT(INDEX(StockDaily[Adjusted close],MAX(1,$A727-200+1)):E727)=200,AVERAGE(INDEX(StockDaily[Adjusted close],MAX(1,$A727-200+1)):E727),"n.a.")))</f>
        <v/>
      </c>
      <c r="H727" s="136" t="str">
        <f>IF($A727&gt;MIN($A$10,$A$2),"",IF($A$5="","Choose stock",IF(NOT($A$12),"Check split rule",IF(NOT(ISNUMBER(B727)),"Invalid date",IF(OR(B727&lt;=0,B727&lt;&gt;INT(B727)),"Invalid date",IF(COUNTIFS(DemoHistory[Date],B727)&lt;&gt;1,"Duplicate date",IF(AND($A727&gt;1,B727&lt;=B726),"Dates out of order",IF(NOT(ISNUMBER(C727)),"Missing price",IF(C727&lt;=0,"Nonpositive price","OK")))))))))</f>
        <v/>
      </c>
      <c r="I727" s="136"/>
      <c r="J727" s="136"/>
      <c r="K727" s="136"/>
      <c r="L727" s="136"/>
      <c r="M727" s="136"/>
      <c r="N727" s="136" t="e">
        <f t="shared" si="31"/>
        <v>#N/A</v>
      </c>
      <c r="O727" s="136" t="e">
        <f t="shared" si="32"/>
        <v>#N/A</v>
      </c>
    </row>
    <row r="728" spans="1:15" ht="22" customHeight="1" x14ac:dyDescent="0.35">
      <c r="A728" s="136">
        <v>684</v>
      </c>
      <c r="B728" s="165" t="str">
        <f>IF($A728&gt;MIN($A$10,$A$2),"",INDEX(DemoHistory[Date],$A728))</f>
        <v/>
      </c>
      <c r="C728" s="166" t="str">
        <f>IF(OR($A728&gt;MIN($A$10,$A$2),$A$5=""),"",INDEX(DemoHistory[],$A728,MATCH($A$5,DemoHistory[#Headers],0)))</f>
        <v/>
      </c>
      <c r="D728" s="166" t="str">
        <f>IF($A728&gt;MIN($A$10,$A$2),"",IF(AND($A$12,$A$6=1,B728&lt;$A$7,$A$7&lt;=MAX(DemoHistory[Date])),$A$8,1))</f>
        <v/>
      </c>
      <c r="E728" s="166" t="str">
        <f t="shared" si="30"/>
        <v/>
      </c>
      <c r="F728" s="166" t="str">
        <f>IF($A728&gt;MIN($A$10,$A$2),"",IF($A728&lt;50,"n.a.",IF(COUNT(INDEX(StockDaily[Adjusted close],MAX(1,$A728-50+1)):E728)=50,AVERAGE(INDEX(StockDaily[Adjusted close],MAX(1,$A728-50+1)):E728),"n.a.")))</f>
        <v/>
      </c>
      <c r="G728" s="166" t="str">
        <f>IF($A728&gt;MIN($A$10,$A$2),"",IF($A728&lt;200,"n.a.",IF(COUNT(INDEX(StockDaily[Adjusted close],MAX(1,$A728-200+1)):E728)=200,AVERAGE(INDEX(StockDaily[Adjusted close],MAX(1,$A728-200+1)):E728),"n.a.")))</f>
        <v/>
      </c>
      <c r="H728" s="136" t="str">
        <f>IF($A728&gt;MIN($A$10,$A$2),"",IF($A$5="","Choose stock",IF(NOT($A$12),"Check split rule",IF(NOT(ISNUMBER(B728)),"Invalid date",IF(OR(B728&lt;=0,B728&lt;&gt;INT(B728)),"Invalid date",IF(COUNTIFS(DemoHistory[Date],B728)&lt;&gt;1,"Duplicate date",IF(AND($A728&gt;1,B728&lt;=B727),"Dates out of order",IF(NOT(ISNUMBER(C728)),"Missing price",IF(C728&lt;=0,"Nonpositive price","OK")))))))))</f>
        <v/>
      </c>
      <c r="I728" s="136"/>
      <c r="J728" s="136"/>
      <c r="K728" s="136"/>
      <c r="L728" s="136"/>
      <c r="M728" s="136"/>
      <c r="N728" s="136" t="e">
        <f t="shared" si="31"/>
        <v>#N/A</v>
      </c>
      <c r="O728" s="136" t="e">
        <f t="shared" si="32"/>
        <v>#N/A</v>
      </c>
    </row>
    <row r="729" spans="1:15" ht="22" customHeight="1" x14ac:dyDescent="0.35">
      <c r="A729" s="136">
        <v>685</v>
      </c>
      <c r="B729" s="165" t="str">
        <f>IF($A729&gt;MIN($A$10,$A$2),"",INDEX(DemoHistory[Date],$A729))</f>
        <v/>
      </c>
      <c r="C729" s="166" t="str">
        <f>IF(OR($A729&gt;MIN($A$10,$A$2),$A$5=""),"",INDEX(DemoHistory[],$A729,MATCH($A$5,DemoHistory[#Headers],0)))</f>
        <v/>
      </c>
      <c r="D729" s="166" t="str">
        <f>IF($A729&gt;MIN($A$10,$A$2),"",IF(AND($A$12,$A$6=1,B729&lt;$A$7,$A$7&lt;=MAX(DemoHistory[Date])),$A$8,1))</f>
        <v/>
      </c>
      <c r="E729" s="166" t="str">
        <f t="shared" si="30"/>
        <v/>
      </c>
      <c r="F729" s="166" t="str">
        <f>IF($A729&gt;MIN($A$10,$A$2),"",IF($A729&lt;50,"n.a.",IF(COUNT(INDEX(StockDaily[Adjusted close],MAX(1,$A729-50+1)):E729)=50,AVERAGE(INDEX(StockDaily[Adjusted close],MAX(1,$A729-50+1)):E729),"n.a.")))</f>
        <v/>
      </c>
      <c r="G729" s="166" t="str">
        <f>IF($A729&gt;MIN($A$10,$A$2),"",IF($A729&lt;200,"n.a.",IF(COUNT(INDEX(StockDaily[Adjusted close],MAX(1,$A729-200+1)):E729)=200,AVERAGE(INDEX(StockDaily[Adjusted close],MAX(1,$A729-200+1)):E729),"n.a.")))</f>
        <v/>
      </c>
      <c r="H729" s="136" t="str">
        <f>IF($A729&gt;MIN($A$10,$A$2),"",IF($A$5="","Choose stock",IF(NOT($A$12),"Check split rule",IF(NOT(ISNUMBER(B729)),"Invalid date",IF(OR(B729&lt;=0,B729&lt;&gt;INT(B729)),"Invalid date",IF(COUNTIFS(DemoHistory[Date],B729)&lt;&gt;1,"Duplicate date",IF(AND($A729&gt;1,B729&lt;=B728),"Dates out of order",IF(NOT(ISNUMBER(C729)),"Missing price",IF(C729&lt;=0,"Nonpositive price","OK")))))))))</f>
        <v/>
      </c>
      <c r="I729" s="136"/>
      <c r="J729" s="136"/>
      <c r="K729" s="136"/>
      <c r="L729" s="136"/>
      <c r="M729" s="136"/>
      <c r="N729" s="136" t="e">
        <f t="shared" si="31"/>
        <v>#N/A</v>
      </c>
      <c r="O729" s="136" t="e">
        <f t="shared" si="32"/>
        <v>#N/A</v>
      </c>
    </row>
    <row r="730" spans="1:15" ht="22" customHeight="1" x14ac:dyDescent="0.35">
      <c r="A730" s="136">
        <v>686</v>
      </c>
      <c r="B730" s="165" t="str">
        <f>IF($A730&gt;MIN($A$10,$A$2),"",INDEX(DemoHistory[Date],$A730))</f>
        <v/>
      </c>
      <c r="C730" s="166" t="str">
        <f>IF(OR($A730&gt;MIN($A$10,$A$2),$A$5=""),"",INDEX(DemoHistory[],$A730,MATCH($A$5,DemoHistory[#Headers],0)))</f>
        <v/>
      </c>
      <c r="D730" s="166" t="str">
        <f>IF($A730&gt;MIN($A$10,$A$2),"",IF(AND($A$12,$A$6=1,B730&lt;$A$7,$A$7&lt;=MAX(DemoHistory[Date])),$A$8,1))</f>
        <v/>
      </c>
      <c r="E730" s="166" t="str">
        <f t="shared" si="30"/>
        <v/>
      </c>
      <c r="F730" s="166" t="str">
        <f>IF($A730&gt;MIN($A$10,$A$2),"",IF($A730&lt;50,"n.a.",IF(COUNT(INDEX(StockDaily[Adjusted close],MAX(1,$A730-50+1)):E730)=50,AVERAGE(INDEX(StockDaily[Adjusted close],MAX(1,$A730-50+1)):E730),"n.a.")))</f>
        <v/>
      </c>
      <c r="G730" s="166" t="str">
        <f>IF($A730&gt;MIN($A$10,$A$2),"",IF($A730&lt;200,"n.a.",IF(COUNT(INDEX(StockDaily[Adjusted close],MAX(1,$A730-200+1)):E730)=200,AVERAGE(INDEX(StockDaily[Adjusted close],MAX(1,$A730-200+1)):E730),"n.a.")))</f>
        <v/>
      </c>
      <c r="H730" s="136" t="str">
        <f>IF($A730&gt;MIN($A$10,$A$2),"",IF($A$5="","Choose stock",IF(NOT($A$12),"Check split rule",IF(NOT(ISNUMBER(B730)),"Invalid date",IF(OR(B730&lt;=0,B730&lt;&gt;INT(B730)),"Invalid date",IF(COUNTIFS(DemoHistory[Date],B730)&lt;&gt;1,"Duplicate date",IF(AND($A730&gt;1,B730&lt;=B729),"Dates out of order",IF(NOT(ISNUMBER(C730)),"Missing price",IF(C730&lt;=0,"Nonpositive price","OK")))))))))</f>
        <v/>
      </c>
      <c r="I730" s="136"/>
      <c r="J730" s="136"/>
      <c r="K730" s="136"/>
      <c r="L730" s="136"/>
      <c r="M730" s="136"/>
      <c r="N730" s="136" t="e">
        <f t="shared" si="31"/>
        <v>#N/A</v>
      </c>
      <c r="O730" s="136" t="e">
        <f t="shared" si="32"/>
        <v>#N/A</v>
      </c>
    </row>
    <row r="731" spans="1:15" ht="22" customHeight="1" x14ac:dyDescent="0.35">
      <c r="A731" s="136">
        <v>687</v>
      </c>
      <c r="B731" s="165" t="str">
        <f>IF($A731&gt;MIN($A$10,$A$2),"",INDEX(DemoHistory[Date],$A731))</f>
        <v/>
      </c>
      <c r="C731" s="166" t="str">
        <f>IF(OR($A731&gt;MIN($A$10,$A$2),$A$5=""),"",INDEX(DemoHistory[],$A731,MATCH($A$5,DemoHistory[#Headers],0)))</f>
        <v/>
      </c>
      <c r="D731" s="166" t="str">
        <f>IF($A731&gt;MIN($A$10,$A$2),"",IF(AND($A$12,$A$6=1,B731&lt;$A$7,$A$7&lt;=MAX(DemoHistory[Date])),$A$8,1))</f>
        <v/>
      </c>
      <c r="E731" s="166" t="str">
        <f t="shared" si="30"/>
        <v/>
      </c>
      <c r="F731" s="166" t="str">
        <f>IF($A731&gt;MIN($A$10,$A$2),"",IF($A731&lt;50,"n.a.",IF(COUNT(INDEX(StockDaily[Adjusted close],MAX(1,$A731-50+1)):E731)=50,AVERAGE(INDEX(StockDaily[Adjusted close],MAX(1,$A731-50+1)):E731),"n.a.")))</f>
        <v/>
      </c>
      <c r="G731" s="166" t="str">
        <f>IF($A731&gt;MIN($A$10,$A$2),"",IF($A731&lt;200,"n.a.",IF(COUNT(INDEX(StockDaily[Adjusted close],MAX(1,$A731-200+1)):E731)=200,AVERAGE(INDEX(StockDaily[Adjusted close],MAX(1,$A731-200+1)):E731),"n.a.")))</f>
        <v/>
      </c>
      <c r="H731" s="136" t="str">
        <f>IF($A731&gt;MIN($A$10,$A$2),"",IF($A$5="","Choose stock",IF(NOT($A$12),"Check split rule",IF(NOT(ISNUMBER(B731)),"Invalid date",IF(OR(B731&lt;=0,B731&lt;&gt;INT(B731)),"Invalid date",IF(COUNTIFS(DemoHistory[Date],B731)&lt;&gt;1,"Duplicate date",IF(AND($A731&gt;1,B731&lt;=B730),"Dates out of order",IF(NOT(ISNUMBER(C731)),"Missing price",IF(C731&lt;=0,"Nonpositive price","OK")))))))))</f>
        <v/>
      </c>
      <c r="I731" s="136"/>
      <c r="J731" s="136"/>
      <c r="K731" s="136"/>
      <c r="L731" s="136"/>
      <c r="M731" s="136"/>
      <c r="N731" s="136" t="e">
        <f t="shared" si="31"/>
        <v>#N/A</v>
      </c>
      <c r="O731" s="136" t="e">
        <f t="shared" si="32"/>
        <v>#N/A</v>
      </c>
    </row>
    <row r="732" spans="1:15" ht="22" customHeight="1" x14ac:dyDescent="0.35">
      <c r="A732" s="136">
        <v>688</v>
      </c>
      <c r="B732" s="165" t="str">
        <f>IF($A732&gt;MIN($A$10,$A$2),"",INDEX(DemoHistory[Date],$A732))</f>
        <v/>
      </c>
      <c r="C732" s="166" t="str">
        <f>IF(OR($A732&gt;MIN($A$10,$A$2),$A$5=""),"",INDEX(DemoHistory[],$A732,MATCH($A$5,DemoHistory[#Headers],0)))</f>
        <v/>
      </c>
      <c r="D732" s="166" t="str">
        <f>IF($A732&gt;MIN($A$10,$A$2),"",IF(AND($A$12,$A$6=1,B732&lt;$A$7,$A$7&lt;=MAX(DemoHistory[Date])),$A$8,1))</f>
        <v/>
      </c>
      <c r="E732" s="166" t="str">
        <f t="shared" si="30"/>
        <v/>
      </c>
      <c r="F732" s="166" t="str">
        <f>IF($A732&gt;MIN($A$10,$A$2),"",IF($A732&lt;50,"n.a.",IF(COUNT(INDEX(StockDaily[Adjusted close],MAX(1,$A732-50+1)):E732)=50,AVERAGE(INDEX(StockDaily[Adjusted close],MAX(1,$A732-50+1)):E732),"n.a.")))</f>
        <v/>
      </c>
      <c r="G732" s="166" t="str">
        <f>IF($A732&gt;MIN($A$10,$A$2),"",IF($A732&lt;200,"n.a.",IF(COUNT(INDEX(StockDaily[Adjusted close],MAX(1,$A732-200+1)):E732)=200,AVERAGE(INDEX(StockDaily[Adjusted close],MAX(1,$A732-200+1)):E732),"n.a.")))</f>
        <v/>
      </c>
      <c r="H732" s="136" t="str">
        <f>IF($A732&gt;MIN($A$10,$A$2),"",IF($A$5="","Choose stock",IF(NOT($A$12),"Check split rule",IF(NOT(ISNUMBER(B732)),"Invalid date",IF(OR(B732&lt;=0,B732&lt;&gt;INT(B732)),"Invalid date",IF(COUNTIFS(DemoHistory[Date],B732)&lt;&gt;1,"Duplicate date",IF(AND($A732&gt;1,B732&lt;=B731),"Dates out of order",IF(NOT(ISNUMBER(C732)),"Missing price",IF(C732&lt;=0,"Nonpositive price","OK")))))))))</f>
        <v/>
      </c>
      <c r="I732" s="136"/>
      <c r="J732" s="136"/>
      <c r="K732" s="136"/>
      <c r="L732" s="136"/>
      <c r="M732" s="136"/>
      <c r="N732" s="136" t="e">
        <f t="shared" si="31"/>
        <v>#N/A</v>
      </c>
      <c r="O732" s="136" t="e">
        <f t="shared" si="32"/>
        <v>#N/A</v>
      </c>
    </row>
    <row r="733" spans="1:15" ht="22" customHeight="1" x14ac:dyDescent="0.35">
      <c r="A733" s="136">
        <v>689</v>
      </c>
      <c r="B733" s="165" t="str">
        <f>IF($A733&gt;MIN($A$10,$A$2),"",INDEX(DemoHistory[Date],$A733))</f>
        <v/>
      </c>
      <c r="C733" s="166" t="str">
        <f>IF(OR($A733&gt;MIN($A$10,$A$2),$A$5=""),"",INDEX(DemoHistory[],$A733,MATCH($A$5,DemoHistory[#Headers],0)))</f>
        <v/>
      </c>
      <c r="D733" s="166" t="str">
        <f>IF($A733&gt;MIN($A$10,$A$2),"",IF(AND($A$12,$A$6=1,B733&lt;$A$7,$A$7&lt;=MAX(DemoHistory[Date])),$A$8,1))</f>
        <v/>
      </c>
      <c r="E733" s="166" t="str">
        <f t="shared" si="30"/>
        <v/>
      </c>
      <c r="F733" s="166" t="str">
        <f>IF($A733&gt;MIN($A$10,$A$2),"",IF($A733&lt;50,"n.a.",IF(COUNT(INDEX(StockDaily[Adjusted close],MAX(1,$A733-50+1)):E733)=50,AVERAGE(INDEX(StockDaily[Adjusted close],MAX(1,$A733-50+1)):E733),"n.a.")))</f>
        <v/>
      </c>
      <c r="G733" s="166" t="str">
        <f>IF($A733&gt;MIN($A$10,$A$2),"",IF($A733&lt;200,"n.a.",IF(COUNT(INDEX(StockDaily[Adjusted close],MAX(1,$A733-200+1)):E733)=200,AVERAGE(INDEX(StockDaily[Adjusted close],MAX(1,$A733-200+1)):E733),"n.a.")))</f>
        <v/>
      </c>
      <c r="H733" s="136" t="str">
        <f>IF($A733&gt;MIN($A$10,$A$2),"",IF($A$5="","Choose stock",IF(NOT($A$12),"Check split rule",IF(NOT(ISNUMBER(B733)),"Invalid date",IF(OR(B733&lt;=0,B733&lt;&gt;INT(B733)),"Invalid date",IF(COUNTIFS(DemoHistory[Date],B733)&lt;&gt;1,"Duplicate date",IF(AND($A733&gt;1,B733&lt;=B732),"Dates out of order",IF(NOT(ISNUMBER(C733)),"Missing price",IF(C733&lt;=0,"Nonpositive price","OK")))))))))</f>
        <v/>
      </c>
      <c r="I733" s="136"/>
      <c r="J733" s="136"/>
      <c r="K733" s="136"/>
      <c r="L733" s="136"/>
      <c r="M733" s="136"/>
      <c r="N733" s="136" t="e">
        <f t="shared" si="31"/>
        <v>#N/A</v>
      </c>
      <c r="O733" s="136" t="e">
        <f t="shared" si="32"/>
        <v>#N/A</v>
      </c>
    </row>
    <row r="734" spans="1:15" ht="22" customHeight="1" x14ac:dyDescent="0.35">
      <c r="A734" s="136">
        <v>690</v>
      </c>
      <c r="B734" s="165" t="str">
        <f>IF($A734&gt;MIN($A$10,$A$2),"",INDEX(DemoHistory[Date],$A734))</f>
        <v/>
      </c>
      <c r="C734" s="166" t="str">
        <f>IF(OR($A734&gt;MIN($A$10,$A$2),$A$5=""),"",INDEX(DemoHistory[],$A734,MATCH($A$5,DemoHistory[#Headers],0)))</f>
        <v/>
      </c>
      <c r="D734" s="166" t="str">
        <f>IF($A734&gt;MIN($A$10,$A$2),"",IF(AND($A$12,$A$6=1,B734&lt;$A$7,$A$7&lt;=MAX(DemoHistory[Date])),$A$8,1))</f>
        <v/>
      </c>
      <c r="E734" s="166" t="str">
        <f t="shared" si="30"/>
        <v/>
      </c>
      <c r="F734" s="166" t="str">
        <f>IF($A734&gt;MIN($A$10,$A$2),"",IF($A734&lt;50,"n.a.",IF(COUNT(INDEX(StockDaily[Adjusted close],MAX(1,$A734-50+1)):E734)=50,AVERAGE(INDEX(StockDaily[Adjusted close],MAX(1,$A734-50+1)):E734),"n.a.")))</f>
        <v/>
      </c>
      <c r="G734" s="166" t="str">
        <f>IF($A734&gt;MIN($A$10,$A$2),"",IF($A734&lt;200,"n.a.",IF(COUNT(INDEX(StockDaily[Adjusted close],MAX(1,$A734-200+1)):E734)=200,AVERAGE(INDEX(StockDaily[Adjusted close],MAX(1,$A734-200+1)):E734),"n.a.")))</f>
        <v/>
      </c>
      <c r="H734" s="136" t="str">
        <f>IF($A734&gt;MIN($A$10,$A$2),"",IF($A$5="","Choose stock",IF(NOT($A$12),"Check split rule",IF(NOT(ISNUMBER(B734)),"Invalid date",IF(OR(B734&lt;=0,B734&lt;&gt;INT(B734)),"Invalid date",IF(COUNTIFS(DemoHistory[Date],B734)&lt;&gt;1,"Duplicate date",IF(AND($A734&gt;1,B734&lt;=B733),"Dates out of order",IF(NOT(ISNUMBER(C734)),"Missing price",IF(C734&lt;=0,"Nonpositive price","OK")))))))))</f>
        <v/>
      </c>
      <c r="I734" s="136"/>
      <c r="J734" s="136"/>
      <c r="K734" s="136"/>
      <c r="L734" s="136"/>
      <c r="M734" s="136"/>
      <c r="N734" s="136" t="e">
        <f t="shared" si="31"/>
        <v>#N/A</v>
      </c>
      <c r="O734" s="136" t="e">
        <f t="shared" si="32"/>
        <v>#N/A</v>
      </c>
    </row>
    <row r="735" spans="1:15" ht="22" customHeight="1" x14ac:dyDescent="0.35">
      <c r="A735" s="136">
        <v>691</v>
      </c>
      <c r="B735" s="165" t="str">
        <f>IF($A735&gt;MIN($A$10,$A$2),"",INDEX(DemoHistory[Date],$A735))</f>
        <v/>
      </c>
      <c r="C735" s="166" t="str">
        <f>IF(OR($A735&gt;MIN($A$10,$A$2),$A$5=""),"",INDEX(DemoHistory[],$A735,MATCH($A$5,DemoHistory[#Headers],0)))</f>
        <v/>
      </c>
      <c r="D735" s="166" t="str">
        <f>IF($A735&gt;MIN($A$10,$A$2),"",IF(AND($A$12,$A$6=1,B735&lt;$A$7,$A$7&lt;=MAX(DemoHistory[Date])),$A$8,1))</f>
        <v/>
      </c>
      <c r="E735" s="166" t="str">
        <f t="shared" si="30"/>
        <v/>
      </c>
      <c r="F735" s="166" t="str">
        <f>IF($A735&gt;MIN($A$10,$A$2),"",IF($A735&lt;50,"n.a.",IF(COUNT(INDEX(StockDaily[Adjusted close],MAX(1,$A735-50+1)):E735)=50,AVERAGE(INDEX(StockDaily[Adjusted close],MAX(1,$A735-50+1)):E735),"n.a.")))</f>
        <v/>
      </c>
      <c r="G735" s="166" t="str">
        <f>IF($A735&gt;MIN($A$10,$A$2),"",IF($A735&lt;200,"n.a.",IF(COUNT(INDEX(StockDaily[Adjusted close],MAX(1,$A735-200+1)):E735)=200,AVERAGE(INDEX(StockDaily[Adjusted close],MAX(1,$A735-200+1)):E735),"n.a.")))</f>
        <v/>
      </c>
      <c r="H735" s="136" t="str">
        <f>IF($A735&gt;MIN($A$10,$A$2),"",IF($A$5="","Choose stock",IF(NOT($A$12),"Check split rule",IF(NOT(ISNUMBER(B735)),"Invalid date",IF(OR(B735&lt;=0,B735&lt;&gt;INT(B735)),"Invalid date",IF(COUNTIFS(DemoHistory[Date],B735)&lt;&gt;1,"Duplicate date",IF(AND($A735&gt;1,B735&lt;=B734),"Dates out of order",IF(NOT(ISNUMBER(C735)),"Missing price",IF(C735&lt;=0,"Nonpositive price","OK")))))))))</f>
        <v/>
      </c>
      <c r="I735" s="136"/>
      <c r="J735" s="136"/>
      <c r="K735" s="136"/>
      <c r="L735" s="136"/>
      <c r="M735" s="136"/>
      <c r="N735" s="136" t="e">
        <f t="shared" si="31"/>
        <v>#N/A</v>
      </c>
      <c r="O735" s="136" t="e">
        <f t="shared" si="32"/>
        <v>#N/A</v>
      </c>
    </row>
    <row r="736" spans="1:15" ht="22" customHeight="1" x14ac:dyDescent="0.35">
      <c r="A736" s="136">
        <v>692</v>
      </c>
      <c r="B736" s="165" t="str">
        <f>IF($A736&gt;MIN($A$10,$A$2),"",INDEX(DemoHistory[Date],$A736))</f>
        <v/>
      </c>
      <c r="C736" s="166" t="str">
        <f>IF(OR($A736&gt;MIN($A$10,$A$2),$A$5=""),"",INDEX(DemoHistory[],$A736,MATCH($A$5,DemoHistory[#Headers],0)))</f>
        <v/>
      </c>
      <c r="D736" s="166" t="str">
        <f>IF($A736&gt;MIN($A$10,$A$2),"",IF(AND($A$12,$A$6=1,B736&lt;$A$7,$A$7&lt;=MAX(DemoHistory[Date])),$A$8,1))</f>
        <v/>
      </c>
      <c r="E736" s="166" t="str">
        <f t="shared" si="30"/>
        <v/>
      </c>
      <c r="F736" s="166" t="str">
        <f>IF($A736&gt;MIN($A$10,$A$2),"",IF($A736&lt;50,"n.a.",IF(COUNT(INDEX(StockDaily[Adjusted close],MAX(1,$A736-50+1)):E736)=50,AVERAGE(INDEX(StockDaily[Adjusted close],MAX(1,$A736-50+1)):E736),"n.a.")))</f>
        <v/>
      </c>
      <c r="G736" s="166" t="str">
        <f>IF($A736&gt;MIN($A$10,$A$2),"",IF($A736&lt;200,"n.a.",IF(COUNT(INDEX(StockDaily[Adjusted close],MAX(1,$A736-200+1)):E736)=200,AVERAGE(INDEX(StockDaily[Adjusted close],MAX(1,$A736-200+1)):E736),"n.a.")))</f>
        <v/>
      </c>
      <c r="H736" s="136" t="str">
        <f>IF($A736&gt;MIN($A$10,$A$2),"",IF($A$5="","Choose stock",IF(NOT($A$12),"Check split rule",IF(NOT(ISNUMBER(B736)),"Invalid date",IF(OR(B736&lt;=0,B736&lt;&gt;INT(B736)),"Invalid date",IF(COUNTIFS(DemoHistory[Date],B736)&lt;&gt;1,"Duplicate date",IF(AND($A736&gt;1,B736&lt;=B735),"Dates out of order",IF(NOT(ISNUMBER(C736)),"Missing price",IF(C736&lt;=0,"Nonpositive price","OK")))))))))</f>
        <v/>
      </c>
      <c r="I736" s="136"/>
      <c r="J736" s="136"/>
      <c r="K736" s="136"/>
      <c r="L736" s="136"/>
      <c r="M736" s="136"/>
      <c r="N736" s="136" t="e">
        <f t="shared" si="31"/>
        <v>#N/A</v>
      </c>
      <c r="O736" s="136" t="e">
        <f t="shared" si="32"/>
        <v>#N/A</v>
      </c>
    </row>
    <row r="737" spans="1:15" ht="22" customHeight="1" x14ac:dyDescent="0.35">
      <c r="A737" s="136">
        <v>693</v>
      </c>
      <c r="B737" s="165" t="str">
        <f>IF($A737&gt;MIN($A$10,$A$2),"",INDEX(DemoHistory[Date],$A737))</f>
        <v/>
      </c>
      <c r="C737" s="166" t="str">
        <f>IF(OR($A737&gt;MIN($A$10,$A$2),$A$5=""),"",INDEX(DemoHistory[],$A737,MATCH($A$5,DemoHistory[#Headers],0)))</f>
        <v/>
      </c>
      <c r="D737" s="166" t="str">
        <f>IF($A737&gt;MIN($A$10,$A$2),"",IF(AND($A$12,$A$6=1,B737&lt;$A$7,$A$7&lt;=MAX(DemoHistory[Date])),$A$8,1))</f>
        <v/>
      </c>
      <c r="E737" s="166" t="str">
        <f t="shared" si="30"/>
        <v/>
      </c>
      <c r="F737" s="166" t="str">
        <f>IF($A737&gt;MIN($A$10,$A$2),"",IF($A737&lt;50,"n.a.",IF(COUNT(INDEX(StockDaily[Adjusted close],MAX(1,$A737-50+1)):E737)=50,AVERAGE(INDEX(StockDaily[Adjusted close],MAX(1,$A737-50+1)):E737),"n.a.")))</f>
        <v/>
      </c>
      <c r="G737" s="166" t="str">
        <f>IF($A737&gt;MIN($A$10,$A$2),"",IF($A737&lt;200,"n.a.",IF(COUNT(INDEX(StockDaily[Adjusted close],MAX(1,$A737-200+1)):E737)=200,AVERAGE(INDEX(StockDaily[Adjusted close],MAX(1,$A737-200+1)):E737),"n.a.")))</f>
        <v/>
      </c>
      <c r="H737" s="136" t="str">
        <f>IF($A737&gt;MIN($A$10,$A$2),"",IF($A$5="","Choose stock",IF(NOT($A$12),"Check split rule",IF(NOT(ISNUMBER(B737)),"Invalid date",IF(OR(B737&lt;=0,B737&lt;&gt;INT(B737)),"Invalid date",IF(COUNTIFS(DemoHistory[Date],B737)&lt;&gt;1,"Duplicate date",IF(AND($A737&gt;1,B737&lt;=B736),"Dates out of order",IF(NOT(ISNUMBER(C737)),"Missing price",IF(C737&lt;=0,"Nonpositive price","OK")))))))))</f>
        <v/>
      </c>
      <c r="I737" s="136"/>
      <c r="J737" s="136"/>
      <c r="K737" s="136"/>
      <c r="L737" s="136"/>
      <c r="M737" s="136"/>
      <c r="N737" s="136" t="e">
        <f t="shared" si="31"/>
        <v>#N/A</v>
      </c>
      <c r="O737" s="136" t="e">
        <f t="shared" si="32"/>
        <v>#N/A</v>
      </c>
    </row>
    <row r="738" spans="1:15" ht="22" customHeight="1" x14ac:dyDescent="0.35">
      <c r="A738" s="136">
        <v>694</v>
      </c>
      <c r="B738" s="165" t="str">
        <f>IF($A738&gt;MIN($A$10,$A$2),"",INDEX(DemoHistory[Date],$A738))</f>
        <v/>
      </c>
      <c r="C738" s="166" t="str">
        <f>IF(OR($A738&gt;MIN($A$10,$A$2),$A$5=""),"",INDEX(DemoHistory[],$A738,MATCH($A$5,DemoHistory[#Headers],0)))</f>
        <v/>
      </c>
      <c r="D738" s="166" t="str">
        <f>IF($A738&gt;MIN($A$10,$A$2),"",IF(AND($A$12,$A$6=1,B738&lt;$A$7,$A$7&lt;=MAX(DemoHistory[Date])),$A$8,1))</f>
        <v/>
      </c>
      <c r="E738" s="166" t="str">
        <f t="shared" si="30"/>
        <v/>
      </c>
      <c r="F738" s="166" t="str">
        <f>IF($A738&gt;MIN($A$10,$A$2),"",IF($A738&lt;50,"n.a.",IF(COUNT(INDEX(StockDaily[Adjusted close],MAX(1,$A738-50+1)):E738)=50,AVERAGE(INDEX(StockDaily[Adjusted close],MAX(1,$A738-50+1)):E738),"n.a.")))</f>
        <v/>
      </c>
      <c r="G738" s="166" t="str">
        <f>IF($A738&gt;MIN($A$10,$A$2),"",IF($A738&lt;200,"n.a.",IF(COUNT(INDEX(StockDaily[Adjusted close],MAX(1,$A738-200+1)):E738)=200,AVERAGE(INDEX(StockDaily[Adjusted close],MAX(1,$A738-200+1)):E738),"n.a.")))</f>
        <v/>
      </c>
      <c r="H738" s="136" t="str">
        <f>IF($A738&gt;MIN($A$10,$A$2),"",IF($A$5="","Choose stock",IF(NOT($A$12),"Check split rule",IF(NOT(ISNUMBER(B738)),"Invalid date",IF(OR(B738&lt;=0,B738&lt;&gt;INT(B738)),"Invalid date",IF(COUNTIFS(DemoHistory[Date],B738)&lt;&gt;1,"Duplicate date",IF(AND($A738&gt;1,B738&lt;=B737),"Dates out of order",IF(NOT(ISNUMBER(C738)),"Missing price",IF(C738&lt;=0,"Nonpositive price","OK")))))))))</f>
        <v/>
      </c>
      <c r="I738" s="136"/>
      <c r="J738" s="136"/>
      <c r="K738" s="136"/>
      <c r="L738" s="136"/>
      <c r="M738" s="136"/>
      <c r="N738" s="136" t="e">
        <f t="shared" si="31"/>
        <v>#N/A</v>
      </c>
      <c r="O738" s="136" t="e">
        <f t="shared" si="32"/>
        <v>#N/A</v>
      </c>
    </row>
    <row r="739" spans="1:15" ht="22" customHeight="1" x14ac:dyDescent="0.35">
      <c r="A739" s="136">
        <v>695</v>
      </c>
      <c r="B739" s="165" t="str">
        <f>IF($A739&gt;MIN($A$10,$A$2),"",INDEX(DemoHistory[Date],$A739))</f>
        <v/>
      </c>
      <c r="C739" s="166" t="str">
        <f>IF(OR($A739&gt;MIN($A$10,$A$2),$A$5=""),"",INDEX(DemoHistory[],$A739,MATCH($A$5,DemoHistory[#Headers],0)))</f>
        <v/>
      </c>
      <c r="D739" s="166" t="str">
        <f>IF($A739&gt;MIN($A$10,$A$2),"",IF(AND($A$12,$A$6=1,B739&lt;$A$7,$A$7&lt;=MAX(DemoHistory[Date])),$A$8,1))</f>
        <v/>
      </c>
      <c r="E739" s="166" t="str">
        <f t="shared" si="30"/>
        <v/>
      </c>
      <c r="F739" s="166" t="str">
        <f>IF($A739&gt;MIN($A$10,$A$2),"",IF($A739&lt;50,"n.a.",IF(COUNT(INDEX(StockDaily[Adjusted close],MAX(1,$A739-50+1)):E739)=50,AVERAGE(INDEX(StockDaily[Adjusted close],MAX(1,$A739-50+1)):E739),"n.a.")))</f>
        <v/>
      </c>
      <c r="G739" s="166" t="str">
        <f>IF($A739&gt;MIN($A$10,$A$2),"",IF($A739&lt;200,"n.a.",IF(COUNT(INDEX(StockDaily[Adjusted close],MAX(1,$A739-200+1)):E739)=200,AVERAGE(INDEX(StockDaily[Adjusted close],MAX(1,$A739-200+1)):E739),"n.a.")))</f>
        <v/>
      </c>
      <c r="H739" s="136" t="str">
        <f>IF($A739&gt;MIN($A$10,$A$2),"",IF($A$5="","Choose stock",IF(NOT($A$12),"Check split rule",IF(NOT(ISNUMBER(B739)),"Invalid date",IF(OR(B739&lt;=0,B739&lt;&gt;INT(B739)),"Invalid date",IF(COUNTIFS(DemoHistory[Date],B739)&lt;&gt;1,"Duplicate date",IF(AND($A739&gt;1,B739&lt;=B738),"Dates out of order",IF(NOT(ISNUMBER(C739)),"Missing price",IF(C739&lt;=0,"Nonpositive price","OK")))))))))</f>
        <v/>
      </c>
      <c r="I739" s="136"/>
      <c r="J739" s="136"/>
      <c r="K739" s="136"/>
      <c r="L739" s="136"/>
      <c r="M739" s="136"/>
      <c r="N739" s="136" t="e">
        <f t="shared" si="31"/>
        <v>#N/A</v>
      </c>
      <c r="O739" s="136" t="e">
        <f t="shared" si="32"/>
        <v>#N/A</v>
      </c>
    </row>
    <row r="740" spans="1:15" ht="22" customHeight="1" x14ac:dyDescent="0.35">
      <c r="A740" s="136">
        <v>696</v>
      </c>
      <c r="B740" s="165" t="str">
        <f>IF($A740&gt;MIN($A$10,$A$2),"",INDEX(DemoHistory[Date],$A740))</f>
        <v/>
      </c>
      <c r="C740" s="166" t="str">
        <f>IF(OR($A740&gt;MIN($A$10,$A$2),$A$5=""),"",INDEX(DemoHistory[],$A740,MATCH($A$5,DemoHistory[#Headers],0)))</f>
        <v/>
      </c>
      <c r="D740" s="166" t="str">
        <f>IF($A740&gt;MIN($A$10,$A$2),"",IF(AND($A$12,$A$6=1,B740&lt;$A$7,$A$7&lt;=MAX(DemoHistory[Date])),$A$8,1))</f>
        <v/>
      </c>
      <c r="E740" s="166" t="str">
        <f t="shared" si="30"/>
        <v/>
      </c>
      <c r="F740" s="166" t="str">
        <f>IF($A740&gt;MIN($A$10,$A$2),"",IF($A740&lt;50,"n.a.",IF(COUNT(INDEX(StockDaily[Adjusted close],MAX(1,$A740-50+1)):E740)=50,AVERAGE(INDEX(StockDaily[Adjusted close],MAX(1,$A740-50+1)):E740),"n.a.")))</f>
        <v/>
      </c>
      <c r="G740" s="166" t="str">
        <f>IF($A740&gt;MIN($A$10,$A$2),"",IF($A740&lt;200,"n.a.",IF(COUNT(INDEX(StockDaily[Adjusted close],MAX(1,$A740-200+1)):E740)=200,AVERAGE(INDEX(StockDaily[Adjusted close],MAX(1,$A740-200+1)):E740),"n.a.")))</f>
        <v/>
      </c>
      <c r="H740" s="136" t="str">
        <f>IF($A740&gt;MIN($A$10,$A$2),"",IF($A$5="","Choose stock",IF(NOT($A$12),"Check split rule",IF(NOT(ISNUMBER(B740)),"Invalid date",IF(OR(B740&lt;=0,B740&lt;&gt;INT(B740)),"Invalid date",IF(COUNTIFS(DemoHistory[Date],B740)&lt;&gt;1,"Duplicate date",IF(AND($A740&gt;1,B740&lt;=B739),"Dates out of order",IF(NOT(ISNUMBER(C740)),"Missing price",IF(C740&lt;=0,"Nonpositive price","OK")))))))))</f>
        <v/>
      </c>
      <c r="I740" s="136"/>
      <c r="J740" s="136"/>
      <c r="K740" s="136"/>
      <c r="L740" s="136"/>
      <c r="M740" s="136"/>
      <c r="N740" s="136" t="e">
        <f t="shared" si="31"/>
        <v>#N/A</v>
      </c>
      <c r="O740" s="136" t="e">
        <f t="shared" si="32"/>
        <v>#N/A</v>
      </c>
    </row>
    <row r="741" spans="1:15" ht="22" customHeight="1" x14ac:dyDescent="0.35">
      <c r="A741" s="136">
        <v>697</v>
      </c>
      <c r="B741" s="165" t="str">
        <f>IF($A741&gt;MIN($A$10,$A$2),"",INDEX(DemoHistory[Date],$A741))</f>
        <v/>
      </c>
      <c r="C741" s="166" t="str">
        <f>IF(OR($A741&gt;MIN($A$10,$A$2),$A$5=""),"",INDEX(DemoHistory[],$A741,MATCH($A$5,DemoHistory[#Headers],0)))</f>
        <v/>
      </c>
      <c r="D741" s="166" t="str">
        <f>IF($A741&gt;MIN($A$10,$A$2),"",IF(AND($A$12,$A$6=1,B741&lt;$A$7,$A$7&lt;=MAX(DemoHistory[Date])),$A$8,1))</f>
        <v/>
      </c>
      <c r="E741" s="166" t="str">
        <f t="shared" si="30"/>
        <v/>
      </c>
      <c r="F741" s="166" t="str">
        <f>IF($A741&gt;MIN($A$10,$A$2),"",IF($A741&lt;50,"n.a.",IF(COUNT(INDEX(StockDaily[Adjusted close],MAX(1,$A741-50+1)):E741)=50,AVERAGE(INDEX(StockDaily[Adjusted close],MAX(1,$A741-50+1)):E741),"n.a.")))</f>
        <v/>
      </c>
      <c r="G741" s="166" t="str">
        <f>IF($A741&gt;MIN($A$10,$A$2),"",IF($A741&lt;200,"n.a.",IF(COUNT(INDEX(StockDaily[Adjusted close],MAX(1,$A741-200+1)):E741)=200,AVERAGE(INDEX(StockDaily[Adjusted close],MAX(1,$A741-200+1)):E741),"n.a.")))</f>
        <v/>
      </c>
      <c r="H741" s="136" t="str">
        <f>IF($A741&gt;MIN($A$10,$A$2),"",IF($A$5="","Choose stock",IF(NOT($A$12),"Check split rule",IF(NOT(ISNUMBER(B741)),"Invalid date",IF(OR(B741&lt;=0,B741&lt;&gt;INT(B741)),"Invalid date",IF(COUNTIFS(DemoHistory[Date],B741)&lt;&gt;1,"Duplicate date",IF(AND($A741&gt;1,B741&lt;=B740),"Dates out of order",IF(NOT(ISNUMBER(C741)),"Missing price",IF(C741&lt;=0,"Nonpositive price","OK")))))))))</f>
        <v/>
      </c>
      <c r="I741" s="136"/>
      <c r="J741" s="136"/>
      <c r="K741" s="136"/>
      <c r="L741" s="136"/>
      <c r="M741" s="136"/>
      <c r="N741" s="136" t="e">
        <f t="shared" si="31"/>
        <v>#N/A</v>
      </c>
      <c r="O741" s="136" t="e">
        <f t="shared" si="32"/>
        <v>#N/A</v>
      </c>
    </row>
    <row r="742" spans="1:15" ht="22" customHeight="1" x14ac:dyDescent="0.35">
      <c r="A742" s="136">
        <v>698</v>
      </c>
      <c r="B742" s="165" t="str">
        <f>IF($A742&gt;MIN($A$10,$A$2),"",INDEX(DemoHistory[Date],$A742))</f>
        <v/>
      </c>
      <c r="C742" s="166" t="str">
        <f>IF(OR($A742&gt;MIN($A$10,$A$2),$A$5=""),"",INDEX(DemoHistory[],$A742,MATCH($A$5,DemoHistory[#Headers],0)))</f>
        <v/>
      </c>
      <c r="D742" s="166" t="str">
        <f>IF($A742&gt;MIN($A$10,$A$2),"",IF(AND($A$12,$A$6=1,B742&lt;$A$7,$A$7&lt;=MAX(DemoHistory[Date])),$A$8,1))</f>
        <v/>
      </c>
      <c r="E742" s="166" t="str">
        <f t="shared" si="30"/>
        <v/>
      </c>
      <c r="F742" s="166" t="str">
        <f>IF($A742&gt;MIN($A$10,$A$2),"",IF($A742&lt;50,"n.a.",IF(COUNT(INDEX(StockDaily[Adjusted close],MAX(1,$A742-50+1)):E742)=50,AVERAGE(INDEX(StockDaily[Adjusted close],MAX(1,$A742-50+1)):E742),"n.a.")))</f>
        <v/>
      </c>
      <c r="G742" s="166" t="str">
        <f>IF($A742&gt;MIN($A$10,$A$2),"",IF($A742&lt;200,"n.a.",IF(COUNT(INDEX(StockDaily[Adjusted close],MAX(1,$A742-200+1)):E742)=200,AVERAGE(INDEX(StockDaily[Adjusted close],MAX(1,$A742-200+1)):E742),"n.a.")))</f>
        <v/>
      </c>
      <c r="H742" s="136" t="str">
        <f>IF($A742&gt;MIN($A$10,$A$2),"",IF($A$5="","Choose stock",IF(NOT($A$12),"Check split rule",IF(NOT(ISNUMBER(B742)),"Invalid date",IF(OR(B742&lt;=0,B742&lt;&gt;INT(B742)),"Invalid date",IF(COUNTIFS(DemoHistory[Date],B742)&lt;&gt;1,"Duplicate date",IF(AND($A742&gt;1,B742&lt;=B741),"Dates out of order",IF(NOT(ISNUMBER(C742)),"Missing price",IF(C742&lt;=0,"Nonpositive price","OK")))))))))</f>
        <v/>
      </c>
      <c r="I742" s="136"/>
      <c r="J742" s="136"/>
      <c r="K742" s="136"/>
      <c r="L742" s="136"/>
      <c r="M742" s="136"/>
      <c r="N742" s="136" t="e">
        <f t="shared" si="31"/>
        <v>#N/A</v>
      </c>
      <c r="O742" s="136" t="e">
        <f t="shared" si="32"/>
        <v>#N/A</v>
      </c>
    </row>
    <row r="743" spans="1:15" ht="22" customHeight="1" x14ac:dyDescent="0.35">
      <c r="A743" s="136">
        <v>699</v>
      </c>
      <c r="B743" s="165" t="str">
        <f>IF($A743&gt;MIN($A$10,$A$2),"",INDEX(DemoHistory[Date],$A743))</f>
        <v/>
      </c>
      <c r="C743" s="166" t="str">
        <f>IF(OR($A743&gt;MIN($A$10,$A$2),$A$5=""),"",INDEX(DemoHistory[],$A743,MATCH($A$5,DemoHistory[#Headers],0)))</f>
        <v/>
      </c>
      <c r="D743" s="166" t="str">
        <f>IF($A743&gt;MIN($A$10,$A$2),"",IF(AND($A$12,$A$6=1,B743&lt;$A$7,$A$7&lt;=MAX(DemoHistory[Date])),$A$8,1))</f>
        <v/>
      </c>
      <c r="E743" s="166" t="str">
        <f t="shared" si="30"/>
        <v/>
      </c>
      <c r="F743" s="166" t="str">
        <f>IF($A743&gt;MIN($A$10,$A$2),"",IF($A743&lt;50,"n.a.",IF(COUNT(INDEX(StockDaily[Adjusted close],MAX(1,$A743-50+1)):E743)=50,AVERAGE(INDEX(StockDaily[Adjusted close],MAX(1,$A743-50+1)):E743),"n.a.")))</f>
        <v/>
      </c>
      <c r="G743" s="166" t="str">
        <f>IF($A743&gt;MIN($A$10,$A$2),"",IF($A743&lt;200,"n.a.",IF(COUNT(INDEX(StockDaily[Adjusted close],MAX(1,$A743-200+1)):E743)=200,AVERAGE(INDEX(StockDaily[Adjusted close],MAX(1,$A743-200+1)):E743),"n.a.")))</f>
        <v/>
      </c>
      <c r="H743" s="136" t="str">
        <f>IF($A743&gt;MIN($A$10,$A$2),"",IF($A$5="","Choose stock",IF(NOT($A$12),"Check split rule",IF(NOT(ISNUMBER(B743)),"Invalid date",IF(OR(B743&lt;=0,B743&lt;&gt;INT(B743)),"Invalid date",IF(COUNTIFS(DemoHistory[Date],B743)&lt;&gt;1,"Duplicate date",IF(AND($A743&gt;1,B743&lt;=B742),"Dates out of order",IF(NOT(ISNUMBER(C743)),"Missing price",IF(C743&lt;=0,"Nonpositive price","OK")))))))))</f>
        <v/>
      </c>
      <c r="I743" s="136"/>
      <c r="J743" s="136"/>
      <c r="K743" s="136"/>
      <c r="L743" s="136"/>
      <c r="M743" s="136"/>
      <c r="N743" s="136" t="e">
        <f t="shared" si="31"/>
        <v>#N/A</v>
      </c>
      <c r="O743" s="136" t="e">
        <f t="shared" si="32"/>
        <v>#N/A</v>
      </c>
    </row>
    <row r="744" spans="1:15" ht="22" customHeight="1" x14ac:dyDescent="0.35">
      <c r="A744" s="136">
        <v>700</v>
      </c>
      <c r="B744" s="165" t="str">
        <f>IF($A744&gt;MIN($A$10,$A$2),"",INDEX(DemoHistory[Date],$A744))</f>
        <v/>
      </c>
      <c r="C744" s="166" t="str">
        <f>IF(OR($A744&gt;MIN($A$10,$A$2),$A$5=""),"",INDEX(DemoHistory[],$A744,MATCH($A$5,DemoHistory[#Headers],0)))</f>
        <v/>
      </c>
      <c r="D744" s="166" t="str">
        <f>IF($A744&gt;MIN($A$10,$A$2),"",IF(AND($A$12,$A$6=1,B744&lt;$A$7,$A$7&lt;=MAX(DemoHistory[Date])),$A$8,1))</f>
        <v/>
      </c>
      <c r="E744" s="166" t="str">
        <f t="shared" si="30"/>
        <v/>
      </c>
      <c r="F744" s="166" t="str">
        <f>IF($A744&gt;MIN($A$10,$A$2),"",IF($A744&lt;50,"n.a.",IF(COUNT(INDEX(StockDaily[Adjusted close],MAX(1,$A744-50+1)):E744)=50,AVERAGE(INDEX(StockDaily[Adjusted close],MAX(1,$A744-50+1)):E744),"n.a.")))</f>
        <v/>
      </c>
      <c r="G744" s="166" t="str">
        <f>IF($A744&gt;MIN($A$10,$A$2),"",IF($A744&lt;200,"n.a.",IF(COUNT(INDEX(StockDaily[Adjusted close],MAX(1,$A744-200+1)):E744)=200,AVERAGE(INDEX(StockDaily[Adjusted close],MAX(1,$A744-200+1)):E744),"n.a.")))</f>
        <v/>
      </c>
      <c r="H744" s="136" t="str">
        <f>IF($A744&gt;MIN($A$10,$A$2),"",IF($A$5="","Choose stock",IF(NOT($A$12),"Check split rule",IF(NOT(ISNUMBER(B744)),"Invalid date",IF(OR(B744&lt;=0,B744&lt;&gt;INT(B744)),"Invalid date",IF(COUNTIFS(DemoHistory[Date],B744)&lt;&gt;1,"Duplicate date",IF(AND($A744&gt;1,B744&lt;=B743),"Dates out of order",IF(NOT(ISNUMBER(C744)),"Missing price",IF(C744&lt;=0,"Nonpositive price","OK")))))))))</f>
        <v/>
      </c>
      <c r="I744" s="136"/>
      <c r="J744" s="136"/>
      <c r="K744" s="136"/>
      <c r="L744" s="136"/>
      <c r="M744" s="136"/>
      <c r="N744" s="136" t="e">
        <f t="shared" si="31"/>
        <v>#N/A</v>
      </c>
      <c r="O744" s="136" t="e">
        <f t="shared" si="32"/>
        <v>#N/A</v>
      </c>
    </row>
    <row r="745" spans="1:15" ht="22" customHeight="1" x14ac:dyDescent="0.35">
      <c r="A745" s="136">
        <v>701</v>
      </c>
      <c r="B745" s="165" t="str">
        <f>IF($A745&gt;MIN($A$10,$A$2),"",INDEX(DemoHistory[Date],$A745))</f>
        <v/>
      </c>
      <c r="C745" s="166" t="str">
        <f>IF(OR($A745&gt;MIN($A$10,$A$2),$A$5=""),"",INDEX(DemoHistory[],$A745,MATCH($A$5,DemoHistory[#Headers],0)))</f>
        <v/>
      </c>
      <c r="D745" s="166" t="str">
        <f>IF($A745&gt;MIN($A$10,$A$2),"",IF(AND($A$12,$A$6=1,B745&lt;$A$7,$A$7&lt;=MAX(DemoHistory[Date])),$A$8,1))</f>
        <v/>
      </c>
      <c r="E745" s="166" t="str">
        <f t="shared" si="30"/>
        <v/>
      </c>
      <c r="F745" s="166" t="str">
        <f>IF($A745&gt;MIN($A$10,$A$2),"",IF($A745&lt;50,"n.a.",IF(COUNT(INDEX(StockDaily[Adjusted close],MAX(1,$A745-50+1)):E745)=50,AVERAGE(INDEX(StockDaily[Adjusted close],MAX(1,$A745-50+1)):E745),"n.a.")))</f>
        <v/>
      </c>
      <c r="G745" s="166" t="str">
        <f>IF($A745&gt;MIN($A$10,$A$2),"",IF($A745&lt;200,"n.a.",IF(COUNT(INDEX(StockDaily[Adjusted close],MAX(1,$A745-200+1)):E745)=200,AVERAGE(INDEX(StockDaily[Adjusted close],MAX(1,$A745-200+1)):E745),"n.a.")))</f>
        <v/>
      </c>
      <c r="H745" s="136" t="str">
        <f>IF($A745&gt;MIN($A$10,$A$2),"",IF($A$5="","Choose stock",IF(NOT($A$12),"Check split rule",IF(NOT(ISNUMBER(B745)),"Invalid date",IF(OR(B745&lt;=0,B745&lt;&gt;INT(B745)),"Invalid date",IF(COUNTIFS(DemoHistory[Date],B745)&lt;&gt;1,"Duplicate date",IF(AND($A745&gt;1,B745&lt;=B744),"Dates out of order",IF(NOT(ISNUMBER(C745)),"Missing price",IF(C745&lt;=0,"Nonpositive price","OK")))))))))</f>
        <v/>
      </c>
      <c r="I745" s="136"/>
      <c r="J745" s="136"/>
      <c r="K745" s="136"/>
      <c r="L745" s="136"/>
      <c r="M745" s="136"/>
      <c r="N745" s="136" t="e">
        <f t="shared" si="31"/>
        <v>#N/A</v>
      </c>
      <c r="O745" s="136" t="e">
        <f t="shared" si="32"/>
        <v>#N/A</v>
      </c>
    </row>
    <row r="746" spans="1:15" ht="22" customHeight="1" x14ac:dyDescent="0.35">
      <c r="A746" s="136">
        <v>702</v>
      </c>
      <c r="B746" s="165" t="str">
        <f>IF($A746&gt;MIN($A$10,$A$2),"",INDEX(DemoHistory[Date],$A746))</f>
        <v/>
      </c>
      <c r="C746" s="166" t="str">
        <f>IF(OR($A746&gt;MIN($A$10,$A$2),$A$5=""),"",INDEX(DemoHistory[],$A746,MATCH($A$5,DemoHistory[#Headers],0)))</f>
        <v/>
      </c>
      <c r="D746" s="166" t="str">
        <f>IF($A746&gt;MIN($A$10,$A$2),"",IF(AND($A$12,$A$6=1,B746&lt;$A$7,$A$7&lt;=MAX(DemoHistory[Date])),$A$8,1))</f>
        <v/>
      </c>
      <c r="E746" s="166" t="str">
        <f t="shared" si="30"/>
        <v/>
      </c>
      <c r="F746" s="166" t="str">
        <f>IF($A746&gt;MIN($A$10,$A$2),"",IF($A746&lt;50,"n.a.",IF(COUNT(INDEX(StockDaily[Adjusted close],MAX(1,$A746-50+1)):E746)=50,AVERAGE(INDEX(StockDaily[Adjusted close],MAX(1,$A746-50+1)):E746),"n.a.")))</f>
        <v/>
      </c>
      <c r="G746" s="166" t="str">
        <f>IF($A746&gt;MIN($A$10,$A$2),"",IF($A746&lt;200,"n.a.",IF(COUNT(INDEX(StockDaily[Adjusted close],MAX(1,$A746-200+1)):E746)=200,AVERAGE(INDEX(StockDaily[Adjusted close],MAX(1,$A746-200+1)):E746),"n.a.")))</f>
        <v/>
      </c>
      <c r="H746" s="136" t="str">
        <f>IF($A746&gt;MIN($A$10,$A$2),"",IF($A$5="","Choose stock",IF(NOT($A$12),"Check split rule",IF(NOT(ISNUMBER(B746)),"Invalid date",IF(OR(B746&lt;=0,B746&lt;&gt;INT(B746)),"Invalid date",IF(COUNTIFS(DemoHistory[Date],B746)&lt;&gt;1,"Duplicate date",IF(AND($A746&gt;1,B746&lt;=B745),"Dates out of order",IF(NOT(ISNUMBER(C746)),"Missing price",IF(C746&lt;=0,"Nonpositive price","OK")))))))))</f>
        <v/>
      </c>
      <c r="I746" s="136"/>
      <c r="J746" s="136"/>
      <c r="K746" s="136"/>
      <c r="L746" s="136"/>
      <c r="M746" s="136"/>
      <c r="N746" s="136" t="e">
        <f t="shared" si="31"/>
        <v>#N/A</v>
      </c>
      <c r="O746" s="136" t="e">
        <f t="shared" si="32"/>
        <v>#N/A</v>
      </c>
    </row>
    <row r="747" spans="1:15" ht="22" customHeight="1" x14ac:dyDescent="0.35">
      <c r="A747" s="136">
        <v>703</v>
      </c>
      <c r="B747" s="165" t="str">
        <f>IF($A747&gt;MIN($A$10,$A$2),"",INDEX(DemoHistory[Date],$A747))</f>
        <v/>
      </c>
      <c r="C747" s="166" t="str">
        <f>IF(OR($A747&gt;MIN($A$10,$A$2),$A$5=""),"",INDEX(DemoHistory[],$A747,MATCH($A$5,DemoHistory[#Headers],0)))</f>
        <v/>
      </c>
      <c r="D747" s="166" t="str">
        <f>IF($A747&gt;MIN($A$10,$A$2),"",IF(AND($A$12,$A$6=1,B747&lt;$A$7,$A$7&lt;=MAX(DemoHistory[Date])),$A$8,1))</f>
        <v/>
      </c>
      <c r="E747" s="166" t="str">
        <f t="shared" si="30"/>
        <v/>
      </c>
      <c r="F747" s="166" t="str">
        <f>IF($A747&gt;MIN($A$10,$A$2),"",IF($A747&lt;50,"n.a.",IF(COUNT(INDEX(StockDaily[Adjusted close],MAX(1,$A747-50+1)):E747)=50,AVERAGE(INDEX(StockDaily[Adjusted close],MAX(1,$A747-50+1)):E747),"n.a.")))</f>
        <v/>
      </c>
      <c r="G747" s="166" t="str">
        <f>IF($A747&gt;MIN($A$10,$A$2),"",IF($A747&lt;200,"n.a.",IF(COUNT(INDEX(StockDaily[Adjusted close],MAX(1,$A747-200+1)):E747)=200,AVERAGE(INDEX(StockDaily[Adjusted close],MAX(1,$A747-200+1)):E747),"n.a.")))</f>
        <v/>
      </c>
      <c r="H747" s="136" t="str">
        <f>IF($A747&gt;MIN($A$10,$A$2),"",IF($A$5="","Choose stock",IF(NOT($A$12),"Check split rule",IF(NOT(ISNUMBER(B747)),"Invalid date",IF(OR(B747&lt;=0,B747&lt;&gt;INT(B747)),"Invalid date",IF(COUNTIFS(DemoHistory[Date],B747)&lt;&gt;1,"Duplicate date",IF(AND($A747&gt;1,B747&lt;=B746),"Dates out of order",IF(NOT(ISNUMBER(C747)),"Missing price",IF(C747&lt;=0,"Nonpositive price","OK")))))))))</f>
        <v/>
      </c>
      <c r="I747" s="136"/>
      <c r="J747" s="136"/>
      <c r="K747" s="136"/>
      <c r="L747" s="136"/>
      <c r="M747" s="136"/>
      <c r="N747" s="136" t="e">
        <f t="shared" si="31"/>
        <v>#N/A</v>
      </c>
      <c r="O747" s="136" t="e">
        <f t="shared" si="32"/>
        <v>#N/A</v>
      </c>
    </row>
    <row r="748" spans="1:15" ht="22" customHeight="1" x14ac:dyDescent="0.35">
      <c r="A748" s="136">
        <v>704</v>
      </c>
      <c r="B748" s="165" t="str">
        <f>IF($A748&gt;MIN($A$10,$A$2),"",INDEX(DemoHistory[Date],$A748))</f>
        <v/>
      </c>
      <c r="C748" s="166" t="str">
        <f>IF(OR($A748&gt;MIN($A$10,$A$2),$A$5=""),"",INDEX(DemoHistory[],$A748,MATCH($A$5,DemoHistory[#Headers],0)))</f>
        <v/>
      </c>
      <c r="D748" s="166" t="str">
        <f>IF($A748&gt;MIN($A$10,$A$2),"",IF(AND($A$12,$A$6=1,B748&lt;$A$7,$A$7&lt;=MAX(DemoHistory[Date])),$A$8,1))</f>
        <v/>
      </c>
      <c r="E748" s="166" t="str">
        <f t="shared" si="30"/>
        <v/>
      </c>
      <c r="F748" s="166" t="str">
        <f>IF($A748&gt;MIN($A$10,$A$2),"",IF($A748&lt;50,"n.a.",IF(COUNT(INDEX(StockDaily[Adjusted close],MAX(1,$A748-50+1)):E748)=50,AVERAGE(INDEX(StockDaily[Adjusted close],MAX(1,$A748-50+1)):E748),"n.a.")))</f>
        <v/>
      </c>
      <c r="G748" s="166" t="str">
        <f>IF($A748&gt;MIN($A$10,$A$2),"",IF($A748&lt;200,"n.a.",IF(COUNT(INDEX(StockDaily[Adjusted close],MAX(1,$A748-200+1)):E748)=200,AVERAGE(INDEX(StockDaily[Adjusted close],MAX(1,$A748-200+1)):E748),"n.a.")))</f>
        <v/>
      </c>
      <c r="H748" s="136" t="str">
        <f>IF($A748&gt;MIN($A$10,$A$2),"",IF($A$5="","Choose stock",IF(NOT($A$12),"Check split rule",IF(NOT(ISNUMBER(B748)),"Invalid date",IF(OR(B748&lt;=0,B748&lt;&gt;INT(B748)),"Invalid date",IF(COUNTIFS(DemoHistory[Date],B748)&lt;&gt;1,"Duplicate date",IF(AND($A748&gt;1,B748&lt;=B747),"Dates out of order",IF(NOT(ISNUMBER(C748)),"Missing price",IF(C748&lt;=0,"Nonpositive price","OK")))))))))</f>
        <v/>
      </c>
      <c r="I748" s="136"/>
      <c r="J748" s="136"/>
      <c r="K748" s="136"/>
      <c r="L748" s="136"/>
      <c r="M748" s="136"/>
      <c r="N748" s="136" t="e">
        <f t="shared" si="31"/>
        <v>#N/A</v>
      </c>
      <c r="O748" s="136" t="e">
        <f t="shared" si="32"/>
        <v>#N/A</v>
      </c>
    </row>
    <row r="749" spans="1:15" ht="22" customHeight="1" x14ac:dyDescent="0.35">
      <c r="A749" s="136">
        <v>705</v>
      </c>
      <c r="B749" s="165" t="str">
        <f>IF($A749&gt;MIN($A$10,$A$2),"",INDEX(DemoHistory[Date],$A749))</f>
        <v/>
      </c>
      <c r="C749" s="166" t="str">
        <f>IF(OR($A749&gt;MIN($A$10,$A$2),$A$5=""),"",INDEX(DemoHistory[],$A749,MATCH($A$5,DemoHistory[#Headers],0)))</f>
        <v/>
      </c>
      <c r="D749" s="166" t="str">
        <f>IF($A749&gt;MIN($A$10,$A$2),"",IF(AND($A$12,$A$6=1,B749&lt;$A$7,$A$7&lt;=MAX(DemoHistory[Date])),$A$8,1))</f>
        <v/>
      </c>
      <c r="E749" s="166" t="str">
        <f t="shared" ref="E749:E812" si="33">IF($A749&gt;MIN($A$10,$A$2),"",IF(H749="OK",C749/D749,"n.a."))</f>
        <v/>
      </c>
      <c r="F749" s="166" t="str">
        <f>IF($A749&gt;MIN($A$10,$A$2),"",IF($A749&lt;50,"n.a.",IF(COUNT(INDEX(StockDaily[Adjusted close],MAX(1,$A749-50+1)):E749)=50,AVERAGE(INDEX(StockDaily[Adjusted close],MAX(1,$A749-50+1)):E749),"n.a.")))</f>
        <v/>
      </c>
      <c r="G749" s="166" t="str">
        <f>IF($A749&gt;MIN($A$10,$A$2),"",IF($A749&lt;200,"n.a.",IF(COUNT(INDEX(StockDaily[Adjusted close],MAX(1,$A749-200+1)):E749)=200,AVERAGE(INDEX(StockDaily[Adjusted close],MAX(1,$A749-200+1)):E749),"n.a.")))</f>
        <v/>
      </c>
      <c r="H749" s="136" t="str">
        <f>IF($A749&gt;MIN($A$10,$A$2),"",IF($A$5="","Choose stock",IF(NOT($A$12),"Check split rule",IF(NOT(ISNUMBER(B749)),"Invalid date",IF(OR(B749&lt;=0,B749&lt;&gt;INT(B749)),"Invalid date",IF(COUNTIFS(DemoHistory[Date],B749)&lt;&gt;1,"Duplicate date",IF(AND($A749&gt;1,B749&lt;=B748),"Dates out of order",IF(NOT(ISNUMBER(C749)),"Missing price",IF(C749&lt;=0,"Nonpositive price","OK")))))))))</f>
        <v/>
      </c>
      <c r="I749" s="136"/>
      <c r="J749" s="136"/>
      <c r="K749" s="136"/>
      <c r="L749" s="136"/>
      <c r="M749" s="136"/>
      <c r="N749" s="136" t="e">
        <f t="shared" ref="N749:N812" si="34">IF(AND($A$13="Ready",ISNUMBER(E749)),E749,NA())</f>
        <v>#N/A</v>
      </c>
      <c r="O749" s="136" t="e">
        <f t="shared" ref="O749:O812" si="35">IF(AND($A$13="Ready",ISNUMBER(F749)),F749,NA())</f>
        <v>#N/A</v>
      </c>
    </row>
    <row r="750" spans="1:15" ht="22" customHeight="1" x14ac:dyDescent="0.35">
      <c r="A750" s="136">
        <v>706</v>
      </c>
      <c r="B750" s="165" t="str">
        <f>IF($A750&gt;MIN($A$10,$A$2),"",INDEX(DemoHistory[Date],$A750))</f>
        <v/>
      </c>
      <c r="C750" s="166" t="str">
        <f>IF(OR($A750&gt;MIN($A$10,$A$2),$A$5=""),"",INDEX(DemoHistory[],$A750,MATCH($A$5,DemoHistory[#Headers],0)))</f>
        <v/>
      </c>
      <c r="D750" s="166" t="str">
        <f>IF($A750&gt;MIN($A$10,$A$2),"",IF(AND($A$12,$A$6=1,B750&lt;$A$7,$A$7&lt;=MAX(DemoHistory[Date])),$A$8,1))</f>
        <v/>
      </c>
      <c r="E750" s="166" t="str">
        <f t="shared" si="33"/>
        <v/>
      </c>
      <c r="F750" s="166" t="str">
        <f>IF($A750&gt;MIN($A$10,$A$2),"",IF($A750&lt;50,"n.a.",IF(COUNT(INDEX(StockDaily[Adjusted close],MAX(1,$A750-50+1)):E750)=50,AVERAGE(INDEX(StockDaily[Adjusted close],MAX(1,$A750-50+1)):E750),"n.a.")))</f>
        <v/>
      </c>
      <c r="G750" s="166" t="str">
        <f>IF($A750&gt;MIN($A$10,$A$2),"",IF($A750&lt;200,"n.a.",IF(COUNT(INDEX(StockDaily[Adjusted close],MAX(1,$A750-200+1)):E750)=200,AVERAGE(INDEX(StockDaily[Adjusted close],MAX(1,$A750-200+1)):E750),"n.a.")))</f>
        <v/>
      </c>
      <c r="H750" s="136" t="str">
        <f>IF($A750&gt;MIN($A$10,$A$2),"",IF($A$5="","Choose stock",IF(NOT($A$12),"Check split rule",IF(NOT(ISNUMBER(B750)),"Invalid date",IF(OR(B750&lt;=0,B750&lt;&gt;INT(B750)),"Invalid date",IF(COUNTIFS(DemoHistory[Date],B750)&lt;&gt;1,"Duplicate date",IF(AND($A750&gt;1,B750&lt;=B749),"Dates out of order",IF(NOT(ISNUMBER(C750)),"Missing price",IF(C750&lt;=0,"Nonpositive price","OK")))))))))</f>
        <v/>
      </c>
      <c r="I750" s="136"/>
      <c r="J750" s="136"/>
      <c r="K750" s="136"/>
      <c r="L750" s="136"/>
      <c r="M750" s="136"/>
      <c r="N750" s="136" t="e">
        <f t="shared" si="34"/>
        <v>#N/A</v>
      </c>
      <c r="O750" s="136" t="e">
        <f t="shared" si="35"/>
        <v>#N/A</v>
      </c>
    </row>
    <row r="751" spans="1:15" ht="22" customHeight="1" x14ac:dyDescent="0.35">
      <c r="A751" s="136">
        <v>707</v>
      </c>
      <c r="B751" s="165" t="str">
        <f>IF($A751&gt;MIN($A$10,$A$2),"",INDEX(DemoHistory[Date],$A751))</f>
        <v/>
      </c>
      <c r="C751" s="166" t="str">
        <f>IF(OR($A751&gt;MIN($A$10,$A$2),$A$5=""),"",INDEX(DemoHistory[],$A751,MATCH($A$5,DemoHistory[#Headers],0)))</f>
        <v/>
      </c>
      <c r="D751" s="166" t="str">
        <f>IF($A751&gt;MIN($A$10,$A$2),"",IF(AND($A$12,$A$6=1,B751&lt;$A$7,$A$7&lt;=MAX(DemoHistory[Date])),$A$8,1))</f>
        <v/>
      </c>
      <c r="E751" s="166" t="str">
        <f t="shared" si="33"/>
        <v/>
      </c>
      <c r="F751" s="166" t="str">
        <f>IF($A751&gt;MIN($A$10,$A$2),"",IF($A751&lt;50,"n.a.",IF(COUNT(INDEX(StockDaily[Adjusted close],MAX(1,$A751-50+1)):E751)=50,AVERAGE(INDEX(StockDaily[Adjusted close],MAX(1,$A751-50+1)):E751),"n.a.")))</f>
        <v/>
      </c>
      <c r="G751" s="166" t="str">
        <f>IF($A751&gt;MIN($A$10,$A$2),"",IF($A751&lt;200,"n.a.",IF(COUNT(INDEX(StockDaily[Adjusted close],MAX(1,$A751-200+1)):E751)=200,AVERAGE(INDEX(StockDaily[Adjusted close],MAX(1,$A751-200+1)):E751),"n.a.")))</f>
        <v/>
      </c>
      <c r="H751" s="136" t="str">
        <f>IF($A751&gt;MIN($A$10,$A$2),"",IF($A$5="","Choose stock",IF(NOT($A$12),"Check split rule",IF(NOT(ISNUMBER(B751)),"Invalid date",IF(OR(B751&lt;=0,B751&lt;&gt;INT(B751)),"Invalid date",IF(COUNTIFS(DemoHistory[Date],B751)&lt;&gt;1,"Duplicate date",IF(AND($A751&gt;1,B751&lt;=B750),"Dates out of order",IF(NOT(ISNUMBER(C751)),"Missing price",IF(C751&lt;=0,"Nonpositive price","OK")))))))))</f>
        <v/>
      </c>
      <c r="I751" s="136"/>
      <c r="J751" s="136"/>
      <c r="K751" s="136"/>
      <c r="L751" s="136"/>
      <c r="M751" s="136"/>
      <c r="N751" s="136" t="e">
        <f t="shared" si="34"/>
        <v>#N/A</v>
      </c>
      <c r="O751" s="136" t="e">
        <f t="shared" si="35"/>
        <v>#N/A</v>
      </c>
    </row>
    <row r="752" spans="1:15" ht="22" customHeight="1" x14ac:dyDescent="0.35">
      <c r="A752" s="136">
        <v>708</v>
      </c>
      <c r="B752" s="165" t="str">
        <f>IF($A752&gt;MIN($A$10,$A$2),"",INDEX(DemoHistory[Date],$A752))</f>
        <v/>
      </c>
      <c r="C752" s="166" t="str">
        <f>IF(OR($A752&gt;MIN($A$10,$A$2),$A$5=""),"",INDEX(DemoHistory[],$A752,MATCH($A$5,DemoHistory[#Headers],0)))</f>
        <v/>
      </c>
      <c r="D752" s="166" t="str">
        <f>IF($A752&gt;MIN($A$10,$A$2),"",IF(AND($A$12,$A$6=1,B752&lt;$A$7,$A$7&lt;=MAX(DemoHistory[Date])),$A$8,1))</f>
        <v/>
      </c>
      <c r="E752" s="166" t="str">
        <f t="shared" si="33"/>
        <v/>
      </c>
      <c r="F752" s="166" t="str">
        <f>IF($A752&gt;MIN($A$10,$A$2),"",IF($A752&lt;50,"n.a.",IF(COUNT(INDEX(StockDaily[Adjusted close],MAX(1,$A752-50+1)):E752)=50,AVERAGE(INDEX(StockDaily[Adjusted close],MAX(1,$A752-50+1)):E752),"n.a.")))</f>
        <v/>
      </c>
      <c r="G752" s="166" t="str">
        <f>IF($A752&gt;MIN($A$10,$A$2),"",IF($A752&lt;200,"n.a.",IF(COUNT(INDEX(StockDaily[Adjusted close],MAX(1,$A752-200+1)):E752)=200,AVERAGE(INDEX(StockDaily[Adjusted close],MAX(1,$A752-200+1)):E752),"n.a.")))</f>
        <v/>
      </c>
      <c r="H752" s="136" t="str">
        <f>IF($A752&gt;MIN($A$10,$A$2),"",IF($A$5="","Choose stock",IF(NOT($A$12),"Check split rule",IF(NOT(ISNUMBER(B752)),"Invalid date",IF(OR(B752&lt;=0,B752&lt;&gt;INT(B752)),"Invalid date",IF(COUNTIFS(DemoHistory[Date],B752)&lt;&gt;1,"Duplicate date",IF(AND($A752&gt;1,B752&lt;=B751),"Dates out of order",IF(NOT(ISNUMBER(C752)),"Missing price",IF(C752&lt;=0,"Nonpositive price","OK")))))))))</f>
        <v/>
      </c>
      <c r="I752" s="136"/>
      <c r="J752" s="136"/>
      <c r="K752" s="136"/>
      <c r="L752" s="136"/>
      <c r="M752" s="136"/>
      <c r="N752" s="136" t="e">
        <f t="shared" si="34"/>
        <v>#N/A</v>
      </c>
      <c r="O752" s="136" t="e">
        <f t="shared" si="35"/>
        <v>#N/A</v>
      </c>
    </row>
    <row r="753" spans="1:15" ht="22" customHeight="1" x14ac:dyDescent="0.35">
      <c r="A753" s="136">
        <v>709</v>
      </c>
      <c r="B753" s="165" t="str">
        <f>IF($A753&gt;MIN($A$10,$A$2),"",INDEX(DemoHistory[Date],$A753))</f>
        <v/>
      </c>
      <c r="C753" s="166" t="str">
        <f>IF(OR($A753&gt;MIN($A$10,$A$2),$A$5=""),"",INDEX(DemoHistory[],$A753,MATCH($A$5,DemoHistory[#Headers],0)))</f>
        <v/>
      </c>
      <c r="D753" s="166" t="str">
        <f>IF($A753&gt;MIN($A$10,$A$2),"",IF(AND($A$12,$A$6=1,B753&lt;$A$7,$A$7&lt;=MAX(DemoHistory[Date])),$A$8,1))</f>
        <v/>
      </c>
      <c r="E753" s="166" t="str">
        <f t="shared" si="33"/>
        <v/>
      </c>
      <c r="F753" s="166" t="str">
        <f>IF($A753&gt;MIN($A$10,$A$2),"",IF($A753&lt;50,"n.a.",IF(COUNT(INDEX(StockDaily[Adjusted close],MAX(1,$A753-50+1)):E753)=50,AVERAGE(INDEX(StockDaily[Adjusted close],MAX(1,$A753-50+1)):E753),"n.a.")))</f>
        <v/>
      </c>
      <c r="G753" s="166" t="str">
        <f>IF($A753&gt;MIN($A$10,$A$2),"",IF($A753&lt;200,"n.a.",IF(COUNT(INDEX(StockDaily[Adjusted close],MAX(1,$A753-200+1)):E753)=200,AVERAGE(INDEX(StockDaily[Adjusted close],MAX(1,$A753-200+1)):E753),"n.a.")))</f>
        <v/>
      </c>
      <c r="H753" s="136" t="str">
        <f>IF($A753&gt;MIN($A$10,$A$2),"",IF($A$5="","Choose stock",IF(NOT($A$12),"Check split rule",IF(NOT(ISNUMBER(B753)),"Invalid date",IF(OR(B753&lt;=0,B753&lt;&gt;INT(B753)),"Invalid date",IF(COUNTIFS(DemoHistory[Date],B753)&lt;&gt;1,"Duplicate date",IF(AND($A753&gt;1,B753&lt;=B752),"Dates out of order",IF(NOT(ISNUMBER(C753)),"Missing price",IF(C753&lt;=0,"Nonpositive price","OK")))))))))</f>
        <v/>
      </c>
      <c r="I753" s="136"/>
      <c r="J753" s="136"/>
      <c r="K753" s="136"/>
      <c r="L753" s="136"/>
      <c r="M753" s="136"/>
      <c r="N753" s="136" t="e">
        <f t="shared" si="34"/>
        <v>#N/A</v>
      </c>
      <c r="O753" s="136" t="e">
        <f t="shared" si="35"/>
        <v>#N/A</v>
      </c>
    </row>
    <row r="754" spans="1:15" ht="22" customHeight="1" x14ac:dyDescent="0.35">
      <c r="A754" s="136">
        <v>710</v>
      </c>
      <c r="B754" s="165" t="str">
        <f>IF($A754&gt;MIN($A$10,$A$2),"",INDEX(DemoHistory[Date],$A754))</f>
        <v/>
      </c>
      <c r="C754" s="166" t="str">
        <f>IF(OR($A754&gt;MIN($A$10,$A$2),$A$5=""),"",INDEX(DemoHistory[],$A754,MATCH($A$5,DemoHistory[#Headers],0)))</f>
        <v/>
      </c>
      <c r="D754" s="166" t="str">
        <f>IF($A754&gt;MIN($A$10,$A$2),"",IF(AND($A$12,$A$6=1,B754&lt;$A$7,$A$7&lt;=MAX(DemoHistory[Date])),$A$8,1))</f>
        <v/>
      </c>
      <c r="E754" s="166" t="str">
        <f t="shared" si="33"/>
        <v/>
      </c>
      <c r="F754" s="166" t="str">
        <f>IF($A754&gt;MIN($A$10,$A$2),"",IF($A754&lt;50,"n.a.",IF(COUNT(INDEX(StockDaily[Adjusted close],MAX(1,$A754-50+1)):E754)=50,AVERAGE(INDEX(StockDaily[Adjusted close],MAX(1,$A754-50+1)):E754),"n.a.")))</f>
        <v/>
      </c>
      <c r="G754" s="166" t="str">
        <f>IF($A754&gt;MIN($A$10,$A$2),"",IF($A754&lt;200,"n.a.",IF(COUNT(INDEX(StockDaily[Adjusted close],MAX(1,$A754-200+1)):E754)=200,AVERAGE(INDEX(StockDaily[Adjusted close],MAX(1,$A754-200+1)):E754),"n.a.")))</f>
        <v/>
      </c>
      <c r="H754" s="136" t="str">
        <f>IF($A754&gt;MIN($A$10,$A$2),"",IF($A$5="","Choose stock",IF(NOT($A$12),"Check split rule",IF(NOT(ISNUMBER(B754)),"Invalid date",IF(OR(B754&lt;=0,B754&lt;&gt;INT(B754)),"Invalid date",IF(COUNTIFS(DemoHistory[Date],B754)&lt;&gt;1,"Duplicate date",IF(AND($A754&gt;1,B754&lt;=B753),"Dates out of order",IF(NOT(ISNUMBER(C754)),"Missing price",IF(C754&lt;=0,"Nonpositive price","OK")))))))))</f>
        <v/>
      </c>
      <c r="I754" s="136"/>
      <c r="J754" s="136"/>
      <c r="K754" s="136"/>
      <c r="L754" s="136"/>
      <c r="M754" s="136"/>
      <c r="N754" s="136" t="e">
        <f t="shared" si="34"/>
        <v>#N/A</v>
      </c>
      <c r="O754" s="136" t="e">
        <f t="shared" si="35"/>
        <v>#N/A</v>
      </c>
    </row>
    <row r="755" spans="1:15" ht="22" customHeight="1" x14ac:dyDescent="0.35">
      <c r="A755" s="136">
        <v>711</v>
      </c>
      <c r="B755" s="165" t="str">
        <f>IF($A755&gt;MIN($A$10,$A$2),"",INDEX(DemoHistory[Date],$A755))</f>
        <v/>
      </c>
      <c r="C755" s="166" t="str">
        <f>IF(OR($A755&gt;MIN($A$10,$A$2),$A$5=""),"",INDEX(DemoHistory[],$A755,MATCH($A$5,DemoHistory[#Headers],0)))</f>
        <v/>
      </c>
      <c r="D755" s="166" t="str">
        <f>IF($A755&gt;MIN($A$10,$A$2),"",IF(AND($A$12,$A$6=1,B755&lt;$A$7,$A$7&lt;=MAX(DemoHistory[Date])),$A$8,1))</f>
        <v/>
      </c>
      <c r="E755" s="166" t="str">
        <f t="shared" si="33"/>
        <v/>
      </c>
      <c r="F755" s="166" t="str">
        <f>IF($A755&gt;MIN($A$10,$A$2),"",IF($A755&lt;50,"n.a.",IF(COUNT(INDEX(StockDaily[Adjusted close],MAX(1,$A755-50+1)):E755)=50,AVERAGE(INDEX(StockDaily[Adjusted close],MAX(1,$A755-50+1)):E755),"n.a.")))</f>
        <v/>
      </c>
      <c r="G755" s="166" t="str">
        <f>IF($A755&gt;MIN($A$10,$A$2),"",IF($A755&lt;200,"n.a.",IF(COUNT(INDEX(StockDaily[Adjusted close],MAX(1,$A755-200+1)):E755)=200,AVERAGE(INDEX(StockDaily[Adjusted close],MAX(1,$A755-200+1)):E755),"n.a.")))</f>
        <v/>
      </c>
      <c r="H755" s="136" t="str">
        <f>IF($A755&gt;MIN($A$10,$A$2),"",IF($A$5="","Choose stock",IF(NOT($A$12),"Check split rule",IF(NOT(ISNUMBER(B755)),"Invalid date",IF(OR(B755&lt;=0,B755&lt;&gt;INT(B755)),"Invalid date",IF(COUNTIFS(DemoHistory[Date],B755)&lt;&gt;1,"Duplicate date",IF(AND($A755&gt;1,B755&lt;=B754),"Dates out of order",IF(NOT(ISNUMBER(C755)),"Missing price",IF(C755&lt;=0,"Nonpositive price","OK")))))))))</f>
        <v/>
      </c>
      <c r="I755" s="136"/>
      <c r="J755" s="136"/>
      <c r="K755" s="136"/>
      <c r="L755" s="136"/>
      <c r="M755" s="136"/>
      <c r="N755" s="136" t="e">
        <f t="shared" si="34"/>
        <v>#N/A</v>
      </c>
      <c r="O755" s="136" t="e">
        <f t="shared" si="35"/>
        <v>#N/A</v>
      </c>
    </row>
    <row r="756" spans="1:15" ht="22" customHeight="1" x14ac:dyDescent="0.35">
      <c r="A756" s="136">
        <v>712</v>
      </c>
      <c r="B756" s="165" t="str">
        <f>IF($A756&gt;MIN($A$10,$A$2),"",INDEX(DemoHistory[Date],$A756))</f>
        <v/>
      </c>
      <c r="C756" s="166" t="str">
        <f>IF(OR($A756&gt;MIN($A$10,$A$2),$A$5=""),"",INDEX(DemoHistory[],$A756,MATCH($A$5,DemoHistory[#Headers],0)))</f>
        <v/>
      </c>
      <c r="D756" s="166" t="str">
        <f>IF($A756&gt;MIN($A$10,$A$2),"",IF(AND($A$12,$A$6=1,B756&lt;$A$7,$A$7&lt;=MAX(DemoHistory[Date])),$A$8,1))</f>
        <v/>
      </c>
      <c r="E756" s="166" t="str">
        <f t="shared" si="33"/>
        <v/>
      </c>
      <c r="F756" s="166" t="str">
        <f>IF($A756&gt;MIN($A$10,$A$2),"",IF($A756&lt;50,"n.a.",IF(COUNT(INDEX(StockDaily[Adjusted close],MAX(1,$A756-50+1)):E756)=50,AVERAGE(INDEX(StockDaily[Adjusted close],MAX(1,$A756-50+1)):E756),"n.a.")))</f>
        <v/>
      </c>
      <c r="G756" s="166" t="str">
        <f>IF($A756&gt;MIN($A$10,$A$2),"",IF($A756&lt;200,"n.a.",IF(COUNT(INDEX(StockDaily[Adjusted close],MAX(1,$A756-200+1)):E756)=200,AVERAGE(INDEX(StockDaily[Adjusted close],MAX(1,$A756-200+1)):E756),"n.a.")))</f>
        <v/>
      </c>
      <c r="H756" s="136" t="str">
        <f>IF($A756&gt;MIN($A$10,$A$2),"",IF($A$5="","Choose stock",IF(NOT($A$12),"Check split rule",IF(NOT(ISNUMBER(B756)),"Invalid date",IF(OR(B756&lt;=0,B756&lt;&gt;INT(B756)),"Invalid date",IF(COUNTIFS(DemoHistory[Date],B756)&lt;&gt;1,"Duplicate date",IF(AND($A756&gt;1,B756&lt;=B755),"Dates out of order",IF(NOT(ISNUMBER(C756)),"Missing price",IF(C756&lt;=0,"Nonpositive price","OK")))))))))</f>
        <v/>
      </c>
      <c r="I756" s="136"/>
      <c r="J756" s="136"/>
      <c r="K756" s="136"/>
      <c r="L756" s="136"/>
      <c r="M756" s="136"/>
      <c r="N756" s="136" t="e">
        <f t="shared" si="34"/>
        <v>#N/A</v>
      </c>
      <c r="O756" s="136" t="e">
        <f t="shared" si="35"/>
        <v>#N/A</v>
      </c>
    </row>
    <row r="757" spans="1:15" ht="22" customHeight="1" x14ac:dyDescent="0.35">
      <c r="A757" s="136">
        <v>713</v>
      </c>
      <c r="B757" s="165" t="str">
        <f>IF($A757&gt;MIN($A$10,$A$2),"",INDEX(DemoHistory[Date],$A757))</f>
        <v/>
      </c>
      <c r="C757" s="166" t="str">
        <f>IF(OR($A757&gt;MIN($A$10,$A$2),$A$5=""),"",INDEX(DemoHistory[],$A757,MATCH($A$5,DemoHistory[#Headers],0)))</f>
        <v/>
      </c>
      <c r="D757" s="166" t="str">
        <f>IF($A757&gt;MIN($A$10,$A$2),"",IF(AND($A$12,$A$6=1,B757&lt;$A$7,$A$7&lt;=MAX(DemoHistory[Date])),$A$8,1))</f>
        <v/>
      </c>
      <c r="E757" s="166" t="str">
        <f t="shared" si="33"/>
        <v/>
      </c>
      <c r="F757" s="166" t="str">
        <f>IF($A757&gt;MIN($A$10,$A$2),"",IF($A757&lt;50,"n.a.",IF(COUNT(INDEX(StockDaily[Adjusted close],MAX(1,$A757-50+1)):E757)=50,AVERAGE(INDEX(StockDaily[Adjusted close],MAX(1,$A757-50+1)):E757),"n.a.")))</f>
        <v/>
      </c>
      <c r="G757" s="166" t="str">
        <f>IF($A757&gt;MIN($A$10,$A$2),"",IF($A757&lt;200,"n.a.",IF(COUNT(INDEX(StockDaily[Adjusted close],MAX(1,$A757-200+1)):E757)=200,AVERAGE(INDEX(StockDaily[Adjusted close],MAX(1,$A757-200+1)):E757),"n.a.")))</f>
        <v/>
      </c>
      <c r="H757" s="136" t="str">
        <f>IF($A757&gt;MIN($A$10,$A$2),"",IF($A$5="","Choose stock",IF(NOT($A$12),"Check split rule",IF(NOT(ISNUMBER(B757)),"Invalid date",IF(OR(B757&lt;=0,B757&lt;&gt;INT(B757)),"Invalid date",IF(COUNTIFS(DemoHistory[Date],B757)&lt;&gt;1,"Duplicate date",IF(AND($A757&gt;1,B757&lt;=B756),"Dates out of order",IF(NOT(ISNUMBER(C757)),"Missing price",IF(C757&lt;=0,"Nonpositive price","OK")))))))))</f>
        <v/>
      </c>
      <c r="I757" s="136"/>
      <c r="J757" s="136"/>
      <c r="K757" s="136"/>
      <c r="L757" s="136"/>
      <c r="M757" s="136"/>
      <c r="N757" s="136" t="e">
        <f t="shared" si="34"/>
        <v>#N/A</v>
      </c>
      <c r="O757" s="136" t="e">
        <f t="shared" si="35"/>
        <v>#N/A</v>
      </c>
    </row>
    <row r="758" spans="1:15" ht="22" customHeight="1" x14ac:dyDescent="0.35">
      <c r="A758" s="136">
        <v>714</v>
      </c>
      <c r="B758" s="165" t="str">
        <f>IF($A758&gt;MIN($A$10,$A$2),"",INDEX(DemoHistory[Date],$A758))</f>
        <v/>
      </c>
      <c r="C758" s="166" t="str">
        <f>IF(OR($A758&gt;MIN($A$10,$A$2),$A$5=""),"",INDEX(DemoHistory[],$A758,MATCH($A$5,DemoHistory[#Headers],0)))</f>
        <v/>
      </c>
      <c r="D758" s="166" t="str">
        <f>IF($A758&gt;MIN($A$10,$A$2),"",IF(AND($A$12,$A$6=1,B758&lt;$A$7,$A$7&lt;=MAX(DemoHistory[Date])),$A$8,1))</f>
        <v/>
      </c>
      <c r="E758" s="166" t="str">
        <f t="shared" si="33"/>
        <v/>
      </c>
      <c r="F758" s="166" t="str">
        <f>IF($A758&gt;MIN($A$10,$A$2),"",IF($A758&lt;50,"n.a.",IF(COUNT(INDEX(StockDaily[Adjusted close],MAX(1,$A758-50+1)):E758)=50,AVERAGE(INDEX(StockDaily[Adjusted close],MAX(1,$A758-50+1)):E758),"n.a.")))</f>
        <v/>
      </c>
      <c r="G758" s="166" t="str">
        <f>IF($A758&gt;MIN($A$10,$A$2),"",IF($A758&lt;200,"n.a.",IF(COUNT(INDEX(StockDaily[Adjusted close],MAX(1,$A758-200+1)):E758)=200,AVERAGE(INDEX(StockDaily[Adjusted close],MAX(1,$A758-200+1)):E758),"n.a.")))</f>
        <v/>
      </c>
      <c r="H758" s="136" t="str">
        <f>IF($A758&gt;MIN($A$10,$A$2),"",IF($A$5="","Choose stock",IF(NOT($A$12),"Check split rule",IF(NOT(ISNUMBER(B758)),"Invalid date",IF(OR(B758&lt;=0,B758&lt;&gt;INT(B758)),"Invalid date",IF(COUNTIFS(DemoHistory[Date],B758)&lt;&gt;1,"Duplicate date",IF(AND($A758&gt;1,B758&lt;=B757),"Dates out of order",IF(NOT(ISNUMBER(C758)),"Missing price",IF(C758&lt;=0,"Nonpositive price","OK")))))))))</f>
        <v/>
      </c>
      <c r="I758" s="136"/>
      <c r="J758" s="136"/>
      <c r="K758" s="136"/>
      <c r="L758" s="136"/>
      <c r="M758" s="136"/>
      <c r="N758" s="136" t="e">
        <f t="shared" si="34"/>
        <v>#N/A</v>
      </c>
      <c r="O758" s="136" t="e">
        <f t="shared" si="35"/>
        <v>#N/A</v>
      </c>
    </row>
    <row r="759" spans="1:15" ht="22" customHeight="1" x14ac:dyDescent="0.35">
      <c r="A759" s="136">
        <v>715</v>
      </c>
      <c r="B759" s="165" t="str">
        <f>IF($A759&gt;MIN($A$10,$A$2),"",INDEX(DemoHistory[Date],$A759))</f>
        <v/>
      </c>
      <c r="C759" s="166" t="str">
        <f>IF(OR($A759&gt;MIN($A$10,$A$2),$A$5=""),"",INDEX(DemoHistory[],$A759,MATCH($A$5,DemoHistory[#Headers],0)))</f>
        <v/>
      </c>
      <c r="D759" s="166" t="str">
        <f>IF($A759&gt;MIN($A$10,$A$2),"",IF(AND($A$12,$A$6=1,B759&lt;$A$7,$A$7&lt;=MAX(DemoHistory[Date])),$A$8,1))</f>
        <v/>
      </c>
      <c r="E759" s="166" t="str">
        <f t="shared" si="33"/>
        <v/>
      </c>
      <c r="F759" s="166" t="str">
        <f>IF($A759&gt;MIN($A$10,$A$2),"",IF($A759&lt;50,"n.a.",IF(COUNT(INDEX(StockDaily[Adjusted close],MAX(1,$A759-50+1)):E759)=50,AVERAGE(INDEX(StockDaily[Adjusted close],MAX(1,$A759-50+1)):E759),"n.a.")))</f>
        <v/>
      </c>
      <c r="G759" s="166" t="str">
        <f>IF($A759&gt;MIN($A$10,$A$2),"",IF($A759&lt;200,"n.a.",IF(COUNT(INDEX(StockDaily[Adjusted close],MAX(1,$A759-200+1)):E759)=200,AVERAGE(INDEX(StockDaily[Adjusted close],MAX(1,$A759-200+1)):E759),"n.a.")))</f>
        <v/>
      </c>
      <c r="H759" s="136" t="str">
        <f>IF($A759&gt;MIN($A$10,$A$2),"",IF($A$5="","Choose stock",IF(NOT($A$12),"Check split rule",IF(NOT(ISNUMBER(B759)),"Invalid date",IF(OR(B759&lt;=0,B759&lt;&gt;INT(B759)),"Invalid date",IF(COUNTIFS(DemoHistory[Date],B759)&lt;&gt;1,"Duplicate date",IF(AND($A759&gt;1,B759&lt;=B758),"Dates out of order",IF(NOT(ISNUMBER(C759)),"Missing price",IF(C759&lt;=0,"Nonpositive price","OK")))))))))</f>
        <v/>
      </c>
      <c r="I759" s="136"/>
      <c r="J759" s="136"/>
      <c r="K759" s="136"/>
      <c r="L759" s="136"/>
      <c r="M759" s="136"/>
      <c r="N759" s="136" t="e">
        <f t="shared" si="34"/>
        <v>#N/A</v>
      </c>
      <c r="O759" s="136" t="e">
        <f t="shared" si="35"/>
        <v>#N/A</v>
      </c>
    </row>
    <row r="760" spans="1:15" ht="22" customHeight="1" x14ac:dyDescent="0.35">
      <c r="A760" s="136">
        <v>716</v>
      </c>
      <c r="B760" s="165" t="str">
        <f>IF($A760&gt;MIN($A$10,$A$2),"",INDEX(DemoHistory[Date],$A760))</f>
        <v/>
      </c>
      <c r="C760" s="166" t="str">
        <f>IF(OR($A760&gt;MIN($A$10,$A$2),$A$5=""),"",INDEX(DemoHistory[],$A760,MATCH($A$5,DemoHistory[#Headers],0)))</f>
        <v/>
      </c>
      <c r="D760" s="166" t="str">
        <f>IF($A760&gt;MIN($A$10,$A$2),"",IF(AND($A$12,$A$6=1,B760&lt;$A$7,$A$7&lt;=MAX(DemoHistory[Date])),$A$8,1))</f>
        <v/>
      </c>
      <c r="E760" s="166" t="str">
        <f t="shared" si="33"/>
        <v/>
      </c>
      <c r="F760" s="166" t="str">
        <f>IF($A760&gt;MIN($A$10,$A$2),"",IF($A760&lt;50,"n.a.",IF(COUNT(INDEX(StockDaily[Adjusted close],MAX(1,$A760-50+1)):E760)=50,AVERAGE(INDEX(StockDaily[Adjusted close],MAX(1,$A760-50+1)):E760),"n.a.")))</f>
        <v/>
      </c>
      <c r="G760" s="166" t="str">
        <f>IF($A760&gt;MIN($A$10,$A$2),"",IF($A760&lt;200,"n.a.",IF(COUNT(INDEX(StockDaily[Adjusted close],MAX(1,$A760-200+1)):E760)=200,AVERAGE(INDEX(StockDaily[Adjusted close],MAX(1,$A760-200+1)):E760),"n.a.")))</f>
        <v/>
      </c>
      <c r="H760" s="136" t="str">
        <f>IF($A760&gt;MIN($A$10,$A$2),"",IF($A$5="","Choose stock",IF(NOT($A$12),"Check split rule",IF(NOT(ISNUMBER(B760)),"Invalid date",IF(OR(B760&lt;=0,B760&lt;&gt;INT(B760)),"Invalid date",IF(COUNTIFS(DemoHistory[Date],B760)&lt;&gt;1,"Duplicate date",IF(AND($A760&gt;1,B760&lt;=B759),"Dates out of order",IF(NOT(ISNUMBER(C760)),"Missing price",IF(C760&lt;=0,"Nonpositive price","OK")))))))))</f>
        <v/>
      </c>
      <c r="I760" s="136"/>
      <c r="J760" s="136"/>
      <c r="K760" s="136"/>
      <c r="L760" s="136"/>
      <c r="M760" s="136"/>
      <c r="N760" s="136" t="e">
        <f t="shared" si="34"/>
        <v>#N/A</v>
      </c>
      <c r="O760" s="136" t="e">
        <f t="shared" si="35"/>
        <v>#N/A</v>
      </c>
    </row>
    <row r="761" spans="1:15" ht="22" customHeight="1" x14ac:dyDescent="0.35">
      <c r="A761" s="136">
        <v>717</v>
      </c>
      <c r="B761" s="165" t="str">
        <f>IF($A761&gt;MIN($A$10,$A$2),"",INDEX(DemoHistory[Date],$A761))</f>
        <v/>
      </c>
      <c r="C761" s="166" t="str">
        <f>IF(OR($A761&gt;MIN($A$10,$A$2),$A$5=""),"",INDEX(DemoHistory[],$A761,MATCH($A$5,DemoHistory[#Headers],0)))</f>
        <v/>
      </c>
      <c r="D761" s="166" t="str">
        <f>IF($A761&gt;MIN($A$10,$A$2),"",IF(AND($A$12,$A$6=1,B761&lt;$A$7,$A$7&lt;=MAX(DemoHistory[Date])),$A$8,1))</f>
        <v/>
      </c>
      <c r="E761" s="166" t="str">
        <f t="shared" si="33"/>
        <v/>
      </c>
      <c r="F761" s="166" t="str">
        <f>IF($A761&gt;MIN($A$10,$A$2),"",IF($A761&lt;50,"n.a.",IF(COUNT(INDEX(StockDaily[Adjusted close],MAX(1,$A761-50+1)):E761)=50,AVERAGE(INDEX(StockDaily[Adjusted close],MAX(1,$A761-50+1)):E761),"n.a.")))</f>
        <v/>
      </c>
      <c r="G761" s="166" t="str">
        <f>IF($A761&gt;MIN($A$10,$A$2),"",IF($A761&lt;200,"n.a.",IF(COUNT(INDEX(StockDaily[Adjusted close],MAX(1,$A761-200+1)):E761)=200,AVERAGE(INDEX(StockDaily[Adjusted close],MAX(1,$A761-200+1)):E761),"n.a.")))</f>
        <v/>
      </c>
      <c r="H761" s="136" t="str">
        <f>IF($A761&gt;MIN($A$10,$A$2),"",IF($A$5="","Choose stock",IF(NOT($A$12),"Check split rule",IF(NOT(ISNUMBER(B761)),"Invalid date",IF(OR(B761&lt;=0,B761&lt;&gt;INT(B761)),"Invalid date",IF(COUNTIFS(DemoHistory[Date],B761)&lt;&gt;1,"Duplicate date",IF(AND($A761&gt;1,B761&lt;=B760),"Dates out of order",IF(NOT(ISNUMBER(C761)),"Missing price",IF(C761&lt;=0,"Nonpositive price","OK")))))))))</f>
        <v/>
      </c>
      <c r="I761" s="136"/>
      <c r="J761" s="136"/>
      <c r="K761" s="136"/>
      <c r="L761" s="136"/>
      <c r="M761" s="136"/>
      <c r="N761" s="136" t="e">
        <f t="shared" si="34"/>
        <v>#N/A</v>
      </c>
      <c r="O761" s="136" t="e">
        <f t="shared" si="35"/>
        <v>#N/A</v>
      </c>
    </row>
    <row r="762" spans="1:15" ht="22" customHeight="1" x14ac:dyDescent="0.35">
      <c r="A762" s="136">
        <v>718</v>
      </c>
      <c r="B762" s="165" t="str">
        <f>IF($A762&gt;MIN($A$10,$A$2),"",INDEX(DemoHistory[Date],$A762))</f>
        <v/>
      </c>
      <c r="C762" s="166" t="str">
        <f>IF(OR($A762&gt;MIN($A$10,$A$2),$A$5=""),"",INDEX(DemoHistory[],$A762,MATCH($A$5,DemoHistory[#Headers],0)))</f>
        <v/>
      </c>
      <c r="D762" s="166" t="str">
        <f>IF($A762&gt;MIN($A$10,$A$2),"",IF(AND($A$12,$A$6=1,B762&lt;$A$7,$A$7&lt;=MAX(DemoHistory[Date])),$A$8,1))</f>
        <v/>
      </c>
      <c r="E762" s="166" t="str">
        <f t="shared" si="33"/>
        <v/>
      </c>
      <c r="F762" s="166" t="str">
        <f>IF($A762&gt;MIN($A$10,$A$2),"",IF($A762&lt;50,"n.a.",IF(COUNT(INDEX(StockDaily[Adjusted close],MAX(1,$A762-50+1)):E762)=50,AVERAGE(INDEX(StockDaily[Adjusted close],MAX(1,$A762-50+1)):E762),"n.a.")))</f>
        <v/>
      </c>
      <c r="G762" s="166" t="str">
        <f>IF($A762&gt;MIN($A$10,$A$2),"",IF($A762&lt;200,"n.a.",IF(COUNT(INDEX(StockDaily[Adjusted close],MAX(1,$A762-200+1)):E762)=200,AVERAGE(INDEX(StockDaily[Adjusted close],MAX(1,$A762-200+1)):E762),"n.a.")))</f>
        <v/>
      </c>
      <c r="H762" s="136" t="str">
        <f>IF($A762&gt;MIN($A$10,$A$2),"",IF($A$5="","Choose stock",IF(NOT($A$12),"Check split rule",IF(NOT(ISNUMBER(B762)),"Invalid date",IF(OR(B762&lt;=0,B762&lt;&gt;INT(B762)),"Invalid date",IF(COUNTIFS(DemoHistory[Date],B762)&lt;&gt;1,"Duplicate date",IF(AND($A762&gt;1,B762&lt;=B761),"Dates out of order",IF(NOT(ISNUMBER(C762)),"Missing price",IF(C762&lt;=0,"Nonpositive price","OK")))))))))</f>
        <v/>
      </c>
      <c r="I762" s="136"/>
      <c r="J762" s="136"/>
      <c r="K762" s="136"/>
      <c r="L762" s="136"/>
      <c r="M762" s="136"/>
      <c r="N762" s="136" t="e">
        <f t="shared" si="34"/>
        <v>#N/A</v>
      </c>
      <c r="O762" s="136" t="e">
        <f t="shared" si="35"/>
        <v>#N/A</v>
      </c>
    </row>
    <row r="763" spans="1:15" ht="22" customHeight="1" x14ac:dyDescent="0.35">
      <c r="A763" s="136">
        <v>719</v>
      </c>
      <c r="B763" s="165" t="str">
        <f>IF($A763&gt;MIN($A$10,$A$2),"",INDEX(DemoHistory[Date],$A763))</f>
        <v/>
      </c>
      <c r="C763" s="166" t="str">
        <f>IF(OR($A763&gt;MIN($A$10,$A$2),$A$5=""),"",INDEX(DemoHistory[],$A763,MATCH($A$5,DemoHistory[#Headers],0)))</f>
        <v/>
      </c>
      <c r="D763" s="166" t="str">
        <f>IF($A763&gt;MIN($A$10,$A$2),"",IF(AND($A$12,$A$6=1,B763&lt;$A$7,$A$7&lt;=MAX(DemoHistory[Date])),$A$8,1))</f>
        <v/>
      </c>
      <c r="E763" s="166" t="str">
        <f t="shared" si="33"/>
        <v/>
      </c>
      <c r="F763" s="166" t="str">
        <f>IF($A763&gt;MIN($A$10,$A$2),"",IF($A763&lt;50,"n.a.",IF(COUNT(INDEX(StockDaily[Adjusted close],MAX(1,$A763-50+1)):E763)=50,AVERAGE(INDEX(StockDaily[Adjusted close],MAX(1,$A763-50+1)):E763),"n.a.")))</f>
        <v/>
      </c>
      <c r="G763" s="166" t="str">
        <f>IF($A763&gt;MIN($A$10,$A$2),"",IF($A763&lt;200,"n.a.",IF(COUNT(INDEX(StockDaily[Adjusted close],MAX(1,$A763-200+1)):E763)=200,AVERAGE(INDEX(StockDaily[Adjusted close],MAX(1,$A763-200+1)):E763),"n.a.")))</f>
        <v/>
      </c>
      <c r="H763" s="136" t="str">
        <f>IF($A763&gt;MIN($A$10,$A$2),"",IF($A$5="","Choose stock",IF(NOT($A$12),"Check split rule",IF(NOT(ISNUMBER(B763)),"Invalid date",IF(OR(B763&lt;=0,B763&lt;&gt;INT(B763)),"Invalid date",IF(COUNTIFS(DemoHistory[Date],B763)&lt;&gt;1,"Duplicate date",IF(AND($A763&gt;1,B763&lt;=B762),"Dates out of order",IF(NOT(ISNUMBER(C763)),"Missing price",IF(C763&lt;=0,"Nonpositive price","OK")))))))))</f>
        <v/>
      </c>
      <c r="I763" s="136"/>
      <c r="J763" s="136"/>
      <c r="K763" s="136"/>
      <c r="L763" s="136"/>
      <c r="M763" s="136"/>
      <c r="N763" s="136" t="e">
        <f t="shared" si="34"/>
        <v>#N/A</v>
      </c>
      <c r="O763" s="136" t="e">
        <f t="shared" si="35"/>
        <v>#N/A</v>
      </c>
    </row>
    <row r="764" spans="1:15" ht="22" customHeight="1" x14ac:dyDescent="0.35">
      <c r="A764" s="136">
        <v>720</v>
      </c>
      <c r="B764" s="165" t="str">
        <f>IF($A764&gt;MIN($A$10,$A$2),"",INDEX(DemoHistory[Date],$A764))</f>
        <v/>
      </c>
      <c r="C764" s="166" t="str">
        <f>IF(OR($A764&gt;MIN($A$10,$A$2),$A$5=""),"",INDEX(DemoHistory[],$A764,MATCH($A$5,DemoHistory[#Headers],0)))</f>
        <v/>
      </c>
      <c r="D764" s="166" t="str">
        <f>IF($A764&gt;MIN($A$10,$A$2),"",IF(AND($A$12,$A$6=1,B764&lt;$A$7,$A$7&lt;=MAX(DemoHistory[Date])),$A$8,1))</f>
        <v/>
      </c>
      <c r="E764" s="166" t="str">
        <f t="shared" si="33"/>
        <v/>
      </c>
      <c r="F764" s="166" t="str">
        <f>IF($A764&gt;MIN($A$10,$A$2),"",IF($A764&lt;50,"n.a.",IF(COUNT(INDEX(StockDaily[Adjusted close],MAX(1,$A764-50+1)):E764)=50,AVERAGE(INDEX(StockDaily[Adjusted close],MAX(1,$A764-50+1)):E764),"n.a.")))</f>
        <v/>
      </c>
      <c r="G764" s="166" t="str">
        <f>IF($A764&gt;MIN($A$10,$A$2),"",IF($A764&lt;200,"n.a.",IF(COUNT(INDEX(StockDaily[Adjusted close],MAX(1,$A764-200+1)):E764)=200,AVERAGE(INDEX(StockDaily[Adjusted close],MAX(1,$A764-200+1)):E764),"n.a.")))</f>
        <v/>
      </c>
      <c r="H764" s="136" t="str">
        <f>IF($A764&gt;MIN($A$10,$A$2),"",IF($A$5="","Choose stock",IF(NOT($A$12),"Check split rule",IF(NOT(ISNUMBER(B764)),"Invalid date",IF(OR(B764&lt;=0,B764&lt;&gt;INT(B764)),"Invalid date",IF(COUNTIFS(DemoHistory[Date],B764)&lt;&gt;1,"Duplicate date",IF(AND($A764&gt;1,B764&lt;=B763),"Dates out of order",IF(NOT(ISNUMBER(C764)),"Missing price",IF(C764&lt;=0,"Nonpositive price","OK")))))))))</f>
        <v/>
      </c>
      <c r="I764" s="136"/>
      <c r="J764" s="136"/>
      <c r="K764" s="136"/>
      <c r="L764" s="136"/>
      <c r="M764" s="136"/>
      <c r="N764" s="136" t="e">
        <f t="shared" si="34"/>
        <v>#N/A</v>
      </c>
      <c r="O764" s="136" t="e">
        <f t="shared" si="35"/>
        <v>#N/A</v>
      </c>
    </row>
    <row r="765" spans="1:15" ht="22" customHeight="1" x14ac:dyDescent="0.35">
      <c r="A765" s="136">
        <v>721</v>
      </c>
      <c r="B765" s="165" t="str">
        <f>IF($A765&gt;MIN($A$10,$A$2),"",INDEX(DemoHistory[Date],$A765))</f>
        <v/>
      </c>
      <c r="C765" s="166" t="str">
        <f>IF(OR($A765&gt;MIN($A$10,$A$2),$A$5=""),"",INDEX(DemoHistory[],$A765,MATCH($A$5,DemoHistory[#Headers],0)))</f>
        <v/>
      </c>
      <c r="D765" s="166" t="str">
        <f>IF($A765&gt;MIN($A$10,$A$2),"",IF(AND($A$12,$A$6=1,B765&lt;$A$7,$A$7&lt;=MAX(DemoHistory[Date])),$A$8,1))</f>
        <v/>
      </c>
      <c r="E765" s="166" t="str">
        <f t="shared" si="33"/>
        <v/>
      </c>
      <c r="F765" s="166" t="str">
        <f>IF($A765&gt;MIN($A$10,$A$2),"",IF($A765&lt;50,"n.a.",IF(COUNT(INDEX(StockDaily[Adjusted close],MAX(1,$A765-50+1)):E765)=50,AVERAGE(INDEX(StockDaily[Adjusted close],MAX(1,$A765-50+1)):E765),"n.a.")))</f>
        <v/>
      </c>
      <c r="G765" s="166" t="str">
        <f>IF($A765&gt;MIN($A$10,$A$2),"",IF($A765&lt;200,"n.a.",IF(COUNT(INDEX(StockDaily[Adjusted close],MAX(1,$A765-200+1)):E765)=200,AVERAGE(INDEX(StockDaily[Adjusted close],MAX(1,$A765-200+1)):E765),"n.a.")))</f>
        <v/>
      </c>
      <c r="H765" s="136" t="str">
        <f>IF($A765&gt;MIN($A$10,$A$2),"",IF($A$5="","Choose stock",IF(NOT($A$12),"Check split rule",IF(NOT(ISNUMBER(B765)),"Invalid date",IF(OR(B765&lt;=0,B765&lt;&gt;INT(B765)),"Invalid date",IF(COUNTIFS(DemoHistory[Date],B765)&lt;&gt;1,"Duplicate date",IF(AND($A765&gt;1,B765&lt;=B764),"Dates out of order",IF(NOT(ISNUMBER(C765)),"Missing price",IF(C765&lt;=0,"Nonpositive price","OK")))))))))</f>
        <v/>
      </c>
      <c r="I765" s="136"/>
      <c r="J765" s="136"/>
      <c r="K765" s="136"/>
      <c r="L765" s="136"/>
      <c r="M765" s="136"/>
      <c r="N765" s="136" t="e">
        <f t="shared" si="34"/>
        <v>#N/A</v>
      </c>
      <c r="O765" s="136" t="e">
        <f t="shared" si="35"/>
        <v>#N/A</v>
      </c>
    </row>
    <row r="766" spans="1:15" ht="22" customHeight="1" x14ac:dyDescent="0.35">
      <c r="A766" s="136">
        <v>722</v>
      </c>
      <c r="B766" s="165" t="str">
        <f>IF($A766&gt;MIN($A$10,$A$2),"",INDEX(DemoHistory[Date],$A766))</f>
        <v/>
      </c>
      <c r="C766" s="166" t="str">
        <f>IF(OR($A766&gt;MIN($A$10,$A$2),$A$5=""),"",INDEX(DemoHistory[],$A766,MATCH($A$5,DemoHistory[#Headers],0)))</f>
        <v/>
      </c>
      <c r="D766" s="166" t="str">
        <f>IF($A766&gt;MIN($A$10,$A$2),"",IF(AND($A$12,$A$6=1,B766&lt;$A$7,$A$7&lt;=MAX(DemoHistory[Date])),$A$8,1))</f>
        <v/>
      </c>
      <c r="E766" s="166" t="str">
        <f t="shared" si="33"/>
        <v/>
      </c>
      <c r="F766" s="166" t="str">
        <f>IF($A766&gt;MIN($A$10,$A$2),"",IF($A766&lt;50,"n.a.",IF(COUNT(INDEX(StockDaily[Adjusted close],MAX(1,$A766-50+1)):E766)=50,AVERAGE(INDEX(StockDaily[Adjusted close],MAX(1,$A766-50+1)):E766),"n.a.")))</f>
        <v/>
      </c>
      <c r="G766" s="166" t="str">
        <f>IF($A766&gt;MIN($A$10,$A$2),"",IF($A766&lt;200,"n.a.",IF(COUNT(INDEX(StockDaily[Adjusted close],MAX(1,$A766-200+1)):E766)=200,AVERAGE(INDEX(StockDaily[Adjusted close],MAX(1,$A766-200+1)):E766),"n.a.")))</f>
        <v/>
      </c>
      <c r="H766" s="136" t="str">
        <f>IF($A766&gt;MIN($A$10,$A$2),"",IF($A$5="","Choose stock",IF(NOT($A$12),"Check split rule",IF(NOT(ISNUMBER(B766)),"Invalid date",IF(OR(B766&lt;=0,B766&lt;&gt;INT(B766)),"Invalid date",IF(COUNTIFS(DemoHistory[Date],B766)&lt;&gt;1,"Duplicate date",IF(AND($A766&gt;1,B766&lt;=B765),"Dates out of order",IF(NOT(ISNUMBER(C766)),"Missing price",IF(C766&lt;=0,"Nonpositive price","OK")))))))))</f>
        <v/>
      </c>
      <c r="I766" s="136"/>
      <c r="J766" s="136"/>
      <c r="K766" s="136"/>
      <c r="L766" s="136"/>
      <c r="M766" s="136"/>
      <c r="N766" s="136" t="e">
        <f t="shared" si="34"/>
        <v>#N/A</v>
      </c>
      <c r="O766" s="136" t="e">
        <f t="shared" si="35"/>
        <v>#N/A</v>
      </c>
    </row>
    <row r="767" spans="1:15" ht="22" customHeight="1" x14ac:dyDescent="0.35">
      <c r="A767" s="136">
        <v>723</v>
      </c>
      <c r="B767" s="165" t="str">
        <f>IF($A767&gt;MIN($A$10,$A$2),"",INDEX(DemoHistory[Date],$A767))</f>
        <v/>
      </c>
      <c r="C767" s="166" t="str">
        <f>IF(OR($A767&gt;MIN($A$10,$A$2),$A$5=""),"",INDEX(DemoHistory[],$A767,MATCH($A$5,DemoHistory[#Headers],0)))</f>
        <v/>
      </c>
      <c r="D767" s="166" t="str">
        <f>IF($A767&gt;MIN($A$10,$A$2),"",IF(AND($A$12,$A$6=1,B767&lt;$A$7,$A$7&lt;=MAX(DemoHistory[Date])),$A$8,1))</f>
        <v/>
      </c>
      <c r="E767" s="166" t="str">
        <f t="shared" si="33"/>
        <v/>
      </c>
      <c r="F767" s="166" t="str">
        <f>IF($A767&gt;MIN($A$10,$A$2),"",IF($A767&lt;50,"n.a.",IF(COUNT(INDEX(StockDaily[Adjusted close],MAX(1,$A767-50+1)):E767)=50,AVERAGE(INDEX(StockDaily[Adjusted close],MAX(1,$A767-50+1)):E767),"n.a.")))</f>
        <v/>
      </c>
      <c r="G767" s="166" t="str">
        <f>IF($A767&gt;MIN($A$10,$A$2),"",IF($A767&lt;200,"n.a.",IF(COUNT(INDEX(StockDaily[Adjusted close],MAX(1,$A767-200+1)):E767)=200,AVERAGE(INDEX(StockDaily[Adjusted close],MAX(1,$A767-200+1)):E767),"n.a.")))</f>
        <v/>
      </c>
      <c r="H767" s="136" t="str">
        <f>IF($A767&gt;MIN($A$10,$A$2),"",IF($A$5="","Choose stock",IF(NOT($A$12),"Check split rule",IF(NOT(ISNUMBER(B767)),"Invalid date",IF(OR(B767&lt;=0,B767&lt;&gt;INT(B767)),"Invalid date",IF(COUNTIFS(DemoHistory[Date],B767)&lt;&gt;1,"Duplicate date",IF(AND($A767&gt;1,B767&lt;=B766),"Dates out of order",IF(NOT(ISNUMBER(C767)),"Missing price",IF(C767&lt;=0,"Nonpositive price","OK")))))))))</f>
        <v/>
      </c>
      <c r="I767" s="136"/>
      <c r="J767" s="136"/>
      <c r="K767" s="136"/>
      <c r="L767" s="136"/>
      <c r="M767" s="136"/>
      <c r="N767" s="136" t="e">
        <f t="shared" si="34"/>
        <v>#N/A</v>
      </c>
      <c r="O767" s="136" t="e">
        <f t="shared" si="35"/>
        <v>#N/A</v>
      </c>
    </row>
    <row r="768" spans="1:15" ht="22" customHeight="1" x14ac:dyDescent="0.35">
      <c r="A768" s="136">
        <v>724</v>
      </c>
      <c r="B768" s="165" t="str">
        <f>IF($A768&gt;MIN($A$10,$A$2),"",INDEX(DemoHistory[Date],$A768))</f>
        <v/>
      </c>
      <c r="C768" s="166" t="str">
        <f>IF(OR($A768&gt;MIN($A$10,$A$2),$A$5=""),"",INDEX(DemoHistory[],$A768,MATCH($A$5,DemoHistory[#Headers],0)))</f>
        <v/>
      </c>
      <c r="D768" s="166" t="str">
        <f>IF($A768&gt;MIN($A$10,$A$2),"",IF(AND($A$12,$A$6=1,B768&lt;$A$7,$A$7&lt;=MAX(DemoHistory[Date])),$A$8,1))</f>
        <v/>
      </c>
      <c r="E768" s="166" t="str">
        <f t="shared" si="33"/>
        <v/>
      </c>
      <c r="F768" s="166" t="str">
        <f>IF($A768&gt;MIN($A$10,$A$2),"",IF($A768&lt;50,"n.a.",IF(COUNT(INDEX(StockDaily[Adjusted close],MAX(1,$A768-50+1)):E768)=50,AVERAGE(INDEX(StockDaily[Adjusted close],MAX(1,$A768-50+1)):E768),"n.a.")))</f>
        <v/>
      </c>
      <c r="G768" s="166" t="str">
        <f>IF($A768&gt;MIN($A$10,$A$2),"",IF($A768&lt;200,"n.a.",IF(COUNT(INDEX(StockDaily[Adjusted close],MAX(1,$A768-200+1)):E768)=200,AVERAGE(INDEX(StockDaily[Adjusted close],MAX(1,$A768-200+1)):E768),"n.a.")))</f>
        <v/>
      </c>
      <c r="H768" s="136" t="str">
        <f>IF($A768&gt;MIN($A$10,$A$2),"",IF($A$5="","Choose stock",IF(NOT($A$12),"Check split rule",IF(NOT(ISNUMBER(B768)),"Invalid date",IF(OR(B768&lt;=0,B768&lt;&gt;INT(B768)),"Invalid date",IF(COUNTIFS(DemoHistory[Date],B768)&lt;&gt;1,"Duplicate date",IF(AND($A768&gt;1,B768&lt;=B767),"Dates out of order",IF(NOT(ISNUMBER(C768)),"Missing price",IF(C768&lt;=0,"Nonpositive price","OK")))))))))</f>
        <v/>
      </c>
      <c r="I768" s="136"/>
      <c r="J768" s="136"/>
      <c r="K768" s="136"/>
      <c r="L768" s="136"/>
      <c r="M768" s="136"/>
      <c r="N768" s="136" t="e">
        <f t="shared" si="34"/>
        <v>#N/A</v>
      </c>
      <c r="O768" s="136" t="e">
        <f t="shared" si="35"/>
        <v>#N/A</v>
      </c>
    </row>
    <row r="769" spans="1:15" ht="22" customHeight="1" x14ac:dyDescent="0.35">
      <c r="A769" s="136">
        <v>725</v>
      </c>
      <c r="B769" s="165" t="str">
        <f>IF($A769&gt;MIN($A$10,$A$2),"",INDEX(DemoHistory[Date],$A769))</f>
        <v/>
      </c>
      <c r="C769" s="166" t="str">
        <f>IF(OR($A769&gt;MIN($A$10,$A$2),$A$5=""),"",INDEX(DemoHistory[],$A769,MATCH($A$5,DemoHistory[#Headers],0)))</f>
        <v/>
      </c>
      <c r="D769" s="166" t="str">
        <f>IF($A769&gt;MIN($A$10,$A$2),"",IF(AND($A$12,$A$6=1,B769&lt;$A$7,$A$7&lt;=MAX(DemoHistory[Date])),$A$8,1))</f>
        <v/>
      </c>
      <c r="E769" s="166" t="str">
        <f t="shared" si="33"/>
        <v/>
      </c>
      <c r="F769" s="166" t="str">
        <f>IF($A769&gt;MIN($A$10,$A$2),"",IF($A769&lt;50,"n.a.",IF(COUNT(INDEX(StockDaily[Adjusted close],MAX(1,$A769-50+1)):E769)=50,AVERAGE(INDEX(StockDaily[Adjusted close],MAX(1,$A769-50+1)):E769),"n.a.")))</f>
        <v/>
      </c>
      <c r="G769" s="166" t="str">
        <f>IF($A769&gt;MIN($A$10,$A$2),"",IF($A769&lt;200,"n.a.",IF(COUNT(INDEX(StockDaily[Adjusted close],MAX(1,$A769-200+1)):E769)=200,AVERAGE(INDEX(StockDaily[Adjusted close],MAX(1,$A769-200+1)):E769),"n.a.")))</f>
        <v/>
      </c>
      <c r="H769" s="136" t="str">
        <f>IF($A769&gt;MIN($A$10,$A$2),"",IF($A$5="","Choose stock",IF(NOT($A$12),"Check split rule",IF(NOT(ISNUMBER(B769)),"Invalid date",IF(OR(B769&lt;=0,B769&lt;&gt;INT(B769)),"Invalid date",IF(COUNTIFS(DemoHistory[Date],B769)&lt;&gt;1,"Duplicate date",IF(AND($A769&gt;1,B769&lt;=B768),"Dates out of order",IF(NOT(ISNUMBER(C769)),"Missing price",IF(C769&lt;=0,"Nonpositive price","OK")))))))))</f>
        <v/>
      </c>
      <c r="I769" s="136"/>
      <c r="J769" s="136"/>
      <c r="K769" s="136"/>
      <c r="L769" s="136"/>
      <c r="M769" s="136"/>
      <c r="N769" s="136" t="e">
        <f t="shared" si="34"/>
        <v>#N/A</v>
      </c>
      <c r="O769" s="136" t="e">
        <f t="shared" si="35"/>
        <v>#N/A</v>
      </c>
    </row>
    <row r="770" spans="1:15" ht="22" customHeight="1" x14ac:dyDescent="0.35">
      <c r="A770" s="136">
        <v>726</v>
      </c>
      <c r="B770" s="165" t="str">
        <f>IF($A770&gt;MIN($A$10,$A$2),"",INDEX(DemoHistory[Date],$A770))</f>
        <v/>
      </c>
      <c r="C770" s="166" t="str">
        <f>IF(OR($A770&gt;MIN($A$10,$A$2),$A$5=""),"",INDEX(DemoHistory[],$A770,MATCH($A$5,DemoHistory[#Headers],0)))</f>
        <v/>
      </c>
      <c r="D770" s="166" t="str">
        <f>IF($A770&gt;MIN($A$10,$A$2),"",IF(AND($A$12,$A$6=1,B770&lt;$A$7,$A$7&lt;=MAX(DemoHistory[Date])),$A$8,1))</f>
        <v/>
      </c>
      <c r="E770" s="166" t="str">
        <f t="shared" si="33"/>
        <v/>
      </c>
      <c r="F770" s="166" t="str">
        <f>IF($A770&gt;MIN($A$10,$A$2),"",IF($A770&lt;50,"n.a.",IF(COUNT(INDEX(StockDaily[Adjusted close],MAX(1,$A770-50+1)):E770)=50,AVERAGE(INDEX(StockDaily[Adjusted close],MAX(1,$A770-50+1)):E770),"n.a.")))</f>
        <v/>
      </c>
      <c r="G770" s="166" t="str">
        <f>IF($A770&gt;MIN($A$10,$A$2),"",IF($A770&lt;200,"n.a.",IF(COUNT(INDEX(StockDaily[Adjusted close],MAX(1,$A770-200+1)):E770)=200,AVERAGE(INDEX(StockDaily[Adjusted close],MAX(1,$A770-200+1)):E770),"n.a.")))</f>
        <v/>
      </c>
      <c r="H770" s="136" t="str">
        <f>IF($A770&gt;MIN($A$10,$A$2),"",IF($A$5="","Choose stock",IF(NOT($A$12),"Check split rule",IF(NOT(ISNUMBER(B770)),"Invalid date",IF(OR(B770&lt;=0,B770&lt;&gt;INT(B770)),"Invalid date",IF(COUNTIFS(DemoHistory[Date],B770)&lt;&gt;1,"Duplicate date",IF(AND($A770&gt;1,B770&lt;=B769),"Dates out of order",IF(NOT(ISNUMBER(C770)),"Missing price",IF(C770&lt;=0,"Nonpositive price","OK")))))))))</f>
        <v/>
      </c>
      <c r="I770" s="136"/>
      <c r="J770" s="136"/>
      <c r="K770" s="136"/>
      <c r="L770" s="136"/>
      <c r="M770" s="136"/>
      <c r="N770" s="136" t="e">
        <f t="shared" si="34"/>
        <v>#N/A</v>
      </c>
      <c r="O770" s="136" t="e">
        <f t="shared" si="35"/>
        <v>#N/A</v>
      </c>
    </row>
    <row r="771" spans="1:15" ht="22" customHeight="1" x14ac:dyDescent="0.35">
      <c r="A771" s="136">
        <v>727</v>
      </c>
      <c r="B771" s="165" t="str">
        <f>IF($A771&gt;MIN($A$10,$A$2),"",INDEX(DemoHistory[Date],$A771))</f>
        <v/>
      </c>
      <c r="C771" s="166" t="str">
        <f>IF(OR($A771&gt;MIN($A$10,$A$2),$A$5=""),"",INDEX(DemoHistory[],$A771,MATCH($A$5,DemoHistory[#Headers],0)))</f>
        <v/>
      </c>
      <c r="D771" s="166" t="str">
        <f>IF($A771&gt;MIN($A$10,$A$2),"",IF(AND($A$12,$A$6=1,B771&lt;$A$7,$A$7&lt;=MAX(DemoHistory[Date])),$A$8,1))</f>
        <v/>
      </c>
      <c r="E771" s="166" t="str">
        <f t="shared" si="33"/>
        <v/>
      </c>
      <c r="F771" s="166" t="str">
        <f>IF($A771&gt;MIN($A$10,$A$2),"",IF($A771&lt;50,"n.a.",IF(COUNT(INDEX(StockDaily[Adjusted close],MAX(1,$A771-50+1)):E771)=50,AVERAGE(INDEX(StockDaily[Adjusted close],MAX(1,$A771-50+1)):E771),"n.a.")))</f>
        <v/>
      </c>
      <c r="G771" s="166" t="str">
        <f>IF($A771&gt;MIN($A$10,$A$2),"",IF($A771&lt;200,"n.a.",IF(COUNT(INDEX(StockDaily[Adjusted close],MAX(1,$A771-200+1)):E771)=200,AVERAGE(INDEX(StockDaily[Adjusted close],MAX(1,$A771-200+1)):E771),"n.a.")))</f>
        <v/>
      </c>
      <c r="H771" s="136" t="str">
        <f>IF($A771&gt;MIN($A$10,$A$2),"",IF($A$5="","Choose stock",IF(NOT($A$12),"Check split rule",IF(NOT(ISNUMBER(B771)),"Invalid date",IF(OR(B771&lt;=0,B771&lt;&gt;INT(B771)),"Invalid date",IF(COUNTIFS(DemoHistory[Date],B771)&lt;&gt;1,"Duplicate date",IF(AND($A771&gt;1,B771&lt;=B770),"Dates out of order",IF(NOT(ISNUMBER(C771)),"Missing price",IF(C771&lt;=0,"Nonpositive price","OK")))))))))</f>
        <v/>
      </c>
      <c r="I771" s="136"/>
      <c r="J771" s="136"/>
      <c r="K771" s="136"/>
      <c r="L771" s="136"/>
      <c r="M771" s="136"/>
      <c r="N771" s="136" t="e">
        <f t="shared" si="34"/>
        <v>#N/A</v>
      </c>
      <c r="O771" s="136" t="e">
        <f t="shared" si="35"/>
        <v>#N/A</v>
      </c>
    </row>
    <row r="772" spans="1:15" ht="22" customHeight="1" x14ac:dyDescent="0.35">
      <c r="A772" s="136">
        <v>728</v>
      </c>
      <c r="B772" s="165" t="str">
        <f>IF($A772&gt;MIN($A$10,$A$2),"",INDEX(DemoHistory[Date],$A772))</f>
        <v/>
      </c>
      <c r="C772" s="166" t="str">
        <f>IF(OR($A772&gt;MIN($A$10,$A$2),$A$5=""),"",INDEX(DemoHistory[],$A772,MATCH($A$5,DemoHistory[#Headers],0)))</f>
        <v/>
      </c>
      <c r="D772" s="166" t="str">
        <f>IF($A772&gt;MIN($A$10,$A$2),"",IF(AND($A$12,$A$6=1,B772&lt;$A$7,$A$7&lt;=MAX(DemoHistory[Date])),$A$8,1))</f>
        <v/>
      </c>
      <c r="E772" s="166" t="str">
        <f t="shared" si="33"/>
        <v/>
      </c>
      <c r="F772" s="166" t="str">
        <f>IF($A772&gt;MIN($A$10,$A$2),"",IF($A772&lt;50,"n.a.",IF(COUNT(INDEX(StockDaily[Adjusted close],MAX(1,$A772-50+1)):E772)=50,AVERAGE(INDEX(StockDaily[Adjusted close],MAX(1,$A772-50+1)):E772),"n.a.")))</f>
        <v/>
      </c>
      <c r="G772" s="166" t="str">
        <f>IF($A772&gt;MIN($A$10,$A$2),"",IF($A772&lt;200,"n.a.",IF(COUNT(INDEX(StockDaily[Adjusted close],MAX(1,$A772-200+1)):E772)=200,AVERAGE(INDEX(StockDaily[Adjusted close],MAX(1,$A772-200+1)):E772),"n.a.")))</f>
        <v/>
      </c>
      <c r="H772" s="136" t="str">
        <f>IF($A772&gt;MIN($A$10,$A$2),"",IF($A$5="","Choose stock",IF(NOT($A$12),"Check split rule",IF(NOT(ISNUMBER(B772)),"Invalid date",IF(OR(B772&lt;=0,B772&lt;&gt;INT(B772)),"Invalid date",IF(COUNTIFS(DemoHistory[Date],B772)&lt;&gt;1,"Duplicate date",IF(AND($A772&gt;1,B772&lt;=B771),"Dates out of order",IF(NOT(ISNUMBER(C772)),"Missing price",IF(C772&lt;=0,"Nonpositive price","OK")))))))))</f>
        <v/>
      </c>
      <c r="I772" s="136"/>
      <c r="J772" s="136"/>
      <c r="K772" s="136"/>
      <c r="L772" s="136"/>
      <c r="M772" s="136"/>
      <c r="N772" s="136" t="e">
        <f t="shared" si="34"/>
        <v>#N/A</v>
      </c>
      <c r="O772" s="136" t="e">
        <f t="shared" si="35"/>
        <v>#N/A</v>
      </c>
    </row>
    <row r="773" spans="1:15" ht="22" customHeight="1" x14ac:dyDescent="0.35">
      <c r="A773" s="136">
        <v>729</v>
      </c>
      <c r="B773" s="165" t="str">
        <f>IF($A773&gt;MIN($A$10,$A$2),"",INDEX(DemoHistory[Date],$A773))</f>
        <v/>
      </c>
      <c r="C773" s="166" t="str">
        <f>IF(OR($A773&gt;MIN($A$10,$A$2),$A$5=""),"",INDEX(DemoHistory[],$A773,MATCH($A$5,DemoHistory[#Headers],0)))</f>
        <v/>
      </c>
      <c r="D773" s="166" t="str">
        <f>IF($A773&gt;MIN($A$10,$A$2),"",IF(AND($A$12,$A$6=1,B773&lt;$A$7,$A$7&lt;=MAX(DemoHistory[Date])),$A$8,1))</f>
        <v/>
      </c>
      <c r="E773" s="166" t="str">
        <f t="shared" si="33"/>
        <v/>
      </c>
      <c r="F773" s="166" t="str">
        <f>IF($A773&gt;MIN($A$10,$A$2),"",IF($A773&lt;50,"n.a.",IF(COUNT(INDEX(StockDaily[Adjusted close],MAX(1,$A773-50+1)):E773)=50,AVERAGE(INDEX(StockDaily[Adjusted close],MAX(1,$A773-50+1)):E773),"n.a.")))</f>
        <v/>
      </c>
      <c r="G773" s="166" t="str">
        <f>IF($A773&gt;MIN($A$10,$A$2),"",IF($A773&lt;200,"n.a.",IF(COUNT(INDEX(StockDaily[Adjusted close],MAX(1,$A773-200+1)):E773)=200,AVERAGE(INDEX(StockDaily[Adjusted close],MAX(1,$A773-200+1)):E773),"n.a.")))</f>
        <v/>
      </c>
      <c r="H773" s="136" t="str">
        <f>IF($A773&gt;MIN($A$10,$A$2),"",IF($A$5="","Choose stock",IF(NOT($A$12),"Check split rule",IF(NOT(ISNUMBER(B773)),"Invalid date",IF(OR(B773&lt;=0,B773&lt;&gt;INT(B773)),"Invalid date",IF(COUNTIFS(DemoHistory[Date],B773)&lt;&gt;1,"Duplicate date",IF(AND($A773&gt;1,B773&lt;=B772),"Dates out of order",IF(NOT(ISNUMBER(C773)),"Missing price",IF(C773&lt;=0,"Nonpositive price","OK")))))))))</f>
        <v/>
      </c>
      <c r="I773" s="136"/>
      <c r="J773" s="136"/>
      <c r="K773" s="136"/>
      <c r="L773" s="136"/>
      <c r="M773" s="136"/>
      <c r="N773" s="136" t="e">
        <f t="shared" si="34"/>
        <v>#N/A</v>
      </c>
      <c r="O773" s="136" t="e">
        <f t="shared" si="35"/>
        <v>#N/A</v>
      </c>
    </row>
    <row r="774" spans="1:15" ht="22" customHeight="1" x14ac:dyDescent="0.35">
      <c r="A774" s="136">
        <v>730</v>
      </c>
      <c r="B774" s="165" t="str">
        <f>IF($A774&gt;MIN($A$10,$A$2),"",INDEX(DemoHistory[Date],$A774))</f>
        <v/>
      </c>
      <c r="C774" s="166" t="str">
        <f>IF(OR($A774&gt;MIN($A$10,$A$2),$A$5=""),"",INDEX(DemoHistory[],$A774,MATCH($A$5,DemoHistory[#Headers],0)))</f>
        <v/>
      </c>
      <c r="D774" s="166" t="str">
        <f>IF($A774&gt;MIN($A$10,$A$2),"",IF(AND($A$12,$A$6=1,B774&lt;$A$7,$A$7&lt;=MAX(DemoHistory[Date])),$A$8,1))</f>
        <v/>
      </c>
      <c r="E774" s="166" t="str">
        <f t="shared" si="33"/>
        <v/>
      </c>
      <c r="F774" s="166" t="str">
        <f>IF($A774&gt;MIN($A$10,$A$2),"",IF($A774&lt;50,"n.a.",IF(COUNT(INDEX(StockDaily[Adjusted close],MAX(1,$A774-50+1)):E774)=50,AVERAGE(INDEX(StockDaily[Adjusted close],MAX(1,$A774-50+1)):E774),"n.a.")))</f>
        <v/>
      </c>
      <c r="G774" s="166" t="str">
        <f>IF($A774&gt;MIN($A$10,$A$2),"",IF($A774&lt;200,"n.a.",IF(COUNT(INDEX(StockDaily[Adjusted close],MAX(1,$A774-200+1)):E774)=200,AVERAGE(INDEX(StockDaily[Adjusted close],MAX(1,$A774-200+1)):E774),"n.a.")))</f>
        <v/>
      </c>
      <c r="H774" s="136" t="str">
        <f>IF($A774&gt;MIN($A$10,$A$2),"",IF($A$5="","Choose stock",IF(NOT($A$12),"Check split rule",IF(NOT(ISNUMBER(B774)),"Invalid date",IF(OR(B774&lt;=0,B774&lt;&gt;INT(B774)),"Invalid date",IF(COUNTIFS(DemoHistory[Date],B774)&lt;&gt;1,"Duplicate date",IF(AND($A774&gt;1,B774&lt;=B773),"Dates out of order",IF(NOT(ISNUMBER(C774)),"Missing price",IF(C774&lt;=0,"Nonpositive price","OK")))))))))</f>
        <v/>
      </c>
      <c r="I774" s="136"/>
      <c r="J774" s="136"/>
      <c r="K774" s="136"/>
      <c r="L774" s="136"/>
      <c r="M774" s="136"/>
      <c r="N774" s="136" t="e">
        <f t="shared" si="34"/>
        <v>#N/A</v>
      </c>
      <c r="O774" s="136" t="e">
        <f t="shared" si="35"/>
        <v>#N/A</v>
      </c>
    </row>
    <row r="775" spans="1:15" ht="22" customHeight="1" x14ac:dyDescent="0.35">
      <c r="A775" s="136">
        <v>731</v>
      </c>
      <c r="B775" s="165" t="str">
        <f>IF($A775&gt;MIN($A$10,$A$2),"",INDEX(DemoHistory[Date],$A775))</f>
        <v/>
      </c>
      <c r="C775" s="166" t="str">
        <f>IF(OR($A775&gt;MIN($A$10,$A$2),$A$5=""),"",INDEX(DemoHistory[],$A775,MATCH($A$5,DemoHistory[#Headers],0)))</f>
        <v/>
      </c>
      <c r="D775" s="166" t="str">
        <f>IF($A775&gt;MIN($A$10,$A$2),"",IF(AND($A$12,$A$6=1,B775&lt;$A$7,$A$7&lt;=MAX(DemoHistory[Date])),$A$8,1))</f>
        <v/>
      </c>
      <c r="E775" s="166" t="str">
        <f t="shared" si="33"/>
        <v/>
      </c>
      <c r="F775" s="166" t="str">
        <f>IF($A775&gt;MIN($A$10,$A$2),"",IF($A775&lt;50,"n.a.",IF(COUNT(INDEX(StockDaily[Adjusted close],MAX(1,$A775-50+1)):E775)=50,AVERAGE(INDEX(StockDaily[Adjusted close],MAX(1,$A775-50+1)):E775),"n.a.")))</f>
        <v/>
      </c>
      <c r="G775" s="166" t="str">
        <f>IF($A775&gt;MIN($A$10,$A$2),"",IF($A775&lt;200,"n.a.",IF(COUNT(INDEX(StockDaily[Adjusted close],MAX(1,$A775-200+1)):E775)=200,AVERAGE(INDEX(StockDaily[Adjusted close],MAX(1,$A775-200+1)):E775),"n.a.")))</f>
        <v/>
      </c>
      <c r="H775" s="136" t="str">
        <f>IF($A775&gt;MIN($A$10,$A$2),"",IF($A$5="","Choose stock",IF(NOT($A$12),"Check split rule",IF(NOT(ISNUMBER(B775)),"Invalid date",IF(OR(B775&lt;=0,B775&lt;&gt;INT(B775)),"Invalid date",IF(COUNTIFS(DemoHistory[Date],B775)&lt;&gt;1,"Duplicate date",IF(AND($A775&gt;1,B775&lt;=B774),"Dates out of order",IF(NOT(ISNUMBER(C775)),"Missing price",IF(C775&lt;=0,"Nonpositive price","OK")))))))))</f>
        <v/>
      </c>
      <c r="I775" s="136"/>
      <c r="J775" s="136"/>
      <c r="K775" s="136"/>
      <c r="L775" s="136"/>
      <c r="M775" s="136"/>
      <c r="N775" s="136" t="e">
        <f t="shared" si="34"/>
        <v>#N/A</v>
      </c>
      <c r="O775" s="136" t="e">
        <f t="shared" si="35"/>
        <v>#N/A</v>
      </c>
    </row>
    <row r="776" spans="1:15" ht="22" customHeight="1" x14ac:dyDescent="0.35">
      <c r="A776" s="136">
        <v>732</v>
      </c>
      <c r="B776" s="165" t="str">
        <f>IF($A776&gt;MIN($A$10,$A$2),"",INDEX(DemoHistory[Date],$A776))</f>
        <v/>
      </c>
      <c r="C776" s="166" t="str">
        <f>IF(OR($A776&gt;MIN($A$10,$A$2),$A$5=""),"",INDEX(DemoHistory[],$A776,MATCH($A$5,DemoHistory[#Headers],0)))</f>
        <v/>
      </c>
      <c r="D776" s="166" t="str">
        <f>IF($A776&gt;MIN($A$10,$A$2),"",IF(AND($A$12,$A$6=1,B776&lt;$A$7,$A$7&lt;=MAX(DemoHistory[Date])),$A$8,1))</f>
        <v/>
      </c>
      <c r="E776" s="166" t="str">
        <f t="shared" si="33"/>
        <v/>
      </c>
      <c r="F776" s="166" t="str">
        <f>IF($A776&gt;MIN($A$10,$A$2),"",IF($A776&lt;50,"n.a.",IF(COUNT(INDEX(StockDaily[Adjusted close],MAX(1,$A776-50+1)):E776)=50,AVERAGE(INDEX(StockDaily[Adjusted close],MAX(1,$A776-50+1)):E776),"n.a.")))</f>
        <v/>
      </c>
      <c r="G776" s="166" t="str">
        <f>IF($A776&gt;MIN($A$10,$A$2),"",IF($A776&lt;200,"n.a.",IF(COUNT(INDEX(StockDaily[Adjusted close],MAX(1,$A776-200+1)):E776)=200,AVERAGE(INDEX(StockDaily[Adjusted close],MAX(1,$A776-200+1)):E776),"n.a.")))</f>
        <v/>
      </c>
      <c r="H776" s="136" t="str">
        <f>IF($A776&gt;MIN($A$10,$A$2),"",IF($A$5="","Choose stock",IF(NOT($A$12),"Check split rule",IF(NOT(ISNUMBER(B776)),"Invalid date",IF(OR(B776&lt;=0,B776&lt;&gt;INT(B776)),"Invalid date",IF(COUNTIFS(DemoHistory[Date],B776)&lt;&gt;1,"Duplicate date",IF(AND($A776&gt;1,B776&lt;=B775),"Dates out of order",IF(NOT(ISNUMBER(C776)),"Missing price",IF(C776&lt;=0,"Nonpositive price","OK")))))))))</f>
        <v/>
      </c>
      <c r="I776" s="136"/>
      <c r="J776" s="136"/>
      <c r="K776" s="136"/>
      <c r="L776" s="136"/>
      <c r="M776" s="136"/>
      <c r="N776" s="136" t="e">
        <f t="shared" si="34"/>
        <v>#N/A</v>
      </c>
      <c r="O776" s="136" t="e">
        <f t="shared" si="35"/>
        <v>#N/A</v>
      </c>
    </row>
    <row r="777" spans="1:15" ht="22" customHeight="1" x14ac:dyDescent="0.35">
      <c r="A777" s="136">
        <v>733</v>
      </c>
      <c r="B777" s="165" t="str">
        <f>IF($A777&gt;MIN($A$10,$A$2),"",INDEX(DemoHistory[Date],$A777))</f>
        <v/>
      </c>
      <c r="C777" s="166" t="str">
        <f>IF(OR($A777&gt;MIN($A$10,$A$2),$A$5=""),"",INDEX(DemoHistory[],$A777,MATCH($A$5,DemoHistory[#Headers],0)))</f>
        <v/>
      </c>
      <c r="D777" s="166" t="str">
        <f>IF($A777&gt;MIN($A$10,$A$2),"",IF(AND($A$12,$A$6=1,B777&lt;$A$7,$A$7&lt;=MAX(DemoHistory[Date])),$A$8,1))</f>
        <v/>
      </c>
      <c r="E777" s="166" t="str">
        <f t="shared" si="33"/>
        <v/>
      </c>
      <c r="F777" s="166" t="str">
        <f>IF($A777&gt;MIN($A$10,$A$2),"",IF($A777&lt;50,"n.a.",IF(COUNT(INDEX(StockDaily[Adjusted close],MAX(1,$A777-50+1)):E777)=50,AVERAGE(INDEX(StockDaily[Adjusted close],MAX(1,$A777-50+1)):E777),"n.a.")))</f>
        <v/>
      </c>
      <c r="G777" s="166" t="str">
        <f>IF($A777&gt;MIN($A$10,$A$2),"",IF($A777&lt;200,"n.a.",IF(COUNT(INDEX(StockDaily[Adjusted close],MAX(1,$A777-200+1)):E777)=200,AVERAGE(INDEX(StockDaily[Adjusted close],MAX(1,$A777-200+1)):E777),"n.a.")))</f>
        <v/>
      </c>
      <c r="H777" s="136" t="str">
        <f>IF($A777&gt;MIN($A$10,$A$2),"",IF($A$5="","Choose stock",IF(NOT($A$12),"Check split rule",IF(NOT(ISNUMBER(B777)),"Invalid date",IF(OR(B777&lt;=0,B777&lt;&gt;INT(B777)),"Invalid date",IF(COUNTIFS(DemoHistory[Date],B777)&lt;&gt;1,"Duplicate date",IF(AND($A777&gt;1,B777&lt;=B776),"Dates out of order",IF(NOT(ISNUMBER(C777)),"Missing price",IF(C777&lt;=0,"Nonpositive price","OK")))))))))</f>
        <v/>
      </c>
      <c r="I777" s="136"/>
      <c r="J777" s="136"/>
      <c r="K777" s="136"/>
      <c r="L777" s="136"/>
      <c r="M777" s="136"/>
      <c r="N777" s="136" t="e">
        <f t="shared" si="34"/>
        <v>#N/A</v>
      </c>
      <c r="O777" s="136" t="e">
        <f t="shared" si="35"/>
        <v>#N/A</v>
      </c>
    </row>
    <row r="778" spans="1:15" ht="22" customHeight="1" x14ac:dyDescent="0.35">
      <c r="A778" s="136">
        <v>734</v>
      </c>
      <c r="B778" s="165" t="str">
        <f>IF($A778&gt;MIN($A$10,$A$2),"",INDEX(DemoHistory[Date],$A778))</f>
        <v/>
      </c>
      <c r="C778" s="166" t="str">
        <f>IF(OR($A778&gt;MIN($A$10,$A$2),$A$5=""),"",INDEX(DemoHistory[],$A778,MATCH($A$5,DemoHistory[#Headers],0)))</f>
        <v/>
      </c>
      <c r="D778" s="166" t="str">
        <f>IF($A778&gt;MIN($A$10,$A$2),"",IF(AND($A$12,$A$6=1,B778&lt;$A$7,$A$7&lt;=MAX(DemoHistory[Date])),$A$8,1))</f>
        <v/>
      </c>
      <c r="E778" s="166" t="str">
        <f t="shared" si="33"/>
        <v/>
      </c>
      <c r="F778" s="166" t="str">
        <f>IF($A778&gt;MIN($A$10,$A$2),"",IF($A778&lt;50,"n.a.",IF(COUNT(INDEX(StockDaily[Adjusted close],MAX(1,$A778-50+1)):E778)=50,AVERAGE(INDEX(StockDaily[Adjusted close],MAX(1,$A778-50+1)):E778),"n.a.")))</f>
        <v/>
      </c>
      <c r="G778" s="166" t="str">
        <f>IF($A778&gt;MIN($A$10,$A$2),"",IF($A778&lt;200,"n.a.",IF(COUNT(INDEX(StockDaily[Adjusted close],MAX(1,$A778-200+1)):E778)=200,AVERAGE(INDEX(StockDaily[Adjusted close],MAX(1,$A778-200+1)):E778),"n.a.")))</f>
        <v/>
      </c>
      <c r="H778" s="136" t="str">
        <f>IF($A778&gt;MIN($A$10,$A$2),"",IF($A$5="","Choose stock",IF(NOT($A$12),"Check split rule",IF(NOT(ISNUMBER(B778)),"Invalid date",IF(OR(B778&lt;=0,B778&lt;&gt;INT(B778)),"Invalid date",IF(COUNTIFS(DemoHistory[Date],B778)&lt;&gt;1,"Duplicate date",IF(AND($A778&gt;1,B778&lt;=B777),"Dates out of order",IF(NOT(ISNUMBER(C778)),"Missing price",IF(C778&lt;=0,"Nonpositive price","OK")))))))))</f>
        <v/>
      </c>
      <c r="I778" s="136"/>
      <c r="J778" s="136"/>
      <c r="K778" s="136"/>
      <c r="L778" s="136"/>
      <c r="M778" s="136"/>
      <c r="N778" s="136" t="e">
        <f t="shared" si="34"/>
        <v>#N/A</v>
      </c>
      <c r="O778" s="136" t="e">
        <f t="shared" si="35"/>
        <v>#N/A</v>
      </c>
    </row>
    <row r="779" spans="1:15" ht="22" customHeight="1" x14ac:dyDescent="0.35">
      <c r="A779" s="136">
        <v>735</v>
      </c>
      <c r="B779" s="165" t="str">
        <f>IF($A779&gt;MIN($A$10,$A$2),"",INDEX(DemoHistory[Date],$A779))</f>
        <v/>
      </c>
      <c r="C779" s="166" t="str">
        <f>IF(OR($A779&gt;MIN($A$10,$A$2),$A$5=""),"",INDEX(DemoHistory[],$A779,MATCH($A$5,DemoHistory[#Headers],0)))</f>
        <v/>
      </c>
      <c r="D779" s="166" t="str">
        <f>IF($A779&gt;MIN($A$10,$A$2),"",IF(AND($A$12,$A$6=1,B779&lt;$A$7,$A$7&lt;=MAX(DemoHistory[Date])),$A$8,1))</f>
        <v/>
      </c>
      <c r="E779" s="166" t="str">
        <f t="shared" si="33"/>
        <v/>
      </c>
      <c r="F779" s="166" t="str">
        <f>IF($A779&gt;MIN($A$10,$A$2),"",IF($A779&lt;50,"n.a.",IF(COUNT(INDEX(StockDaily[Adjusted close],MAX(1,$A779-50+1)):E779)=50,AVERAGE(INDEX(StockDaily[Adjusted close],MAX(1,$A779-50+1)):E779),"n.a.")))</f>
        <v/>
      </c>
      <c r="G779" s="166" t="str">
        <f>IF($A779&gt;MIN($A$10,$A$2),"",IF($A779&lt;200,"n.a.",IF(COUNT(INDEX(StockDaily[Adjusted close],MAX(1,$A779-200+1)):E779)=200,AVERAGE(INDEX(StockDaily[Adjusted close],MAX(1,$A779-200+1)):E779),"n.a.")))</f>
        <v/>
      </c>
      <c r="H779" s="136" t="str">
        <f>IF($A779&gt;MIN($A$10,$A$2),"",IF($A$5="","Choose stock",IF(NOT($A$12),"Check split rule",IF(NOT(ISNUMBER(B779)),"Invalid date",IF(OR(B779&lt;=0,B779&lt;&gt;INT(B779)),"Invalid date",IF(COUNTIFS(DemoHistory[Date],B779)&lt;&gt;1,"Duplicate date",IF(AND($A779&gt;1,B779&lt;=B778),"Dates out of order",IF(NOT(ISNUMBER(C779)),"Missing price",IF(C779&lt;=0,"Nonpositive price","OK")))))))))</f>
        <v/>
      </c>
      <c r="I779" s="136"/>
      <c r="J779" s="136"/>
      <c r="K779" s="136"/>
      <c r="L779" s="136"/>
      <c r="M779" s="136"/>
      <c r="N779" s="136" t="e">
        <f t="shared" si="34"/>
        <v>#N/A</v>
      </c>
      <c r="O779" s="136" t="e">
        <f t="shared" si="35"/>
        <v>#N/A</v>
      </c>
    </row>
    <row r="780" spans="1:15" ht="22" customHeight="1" x14ac:dyDescent="0.35">
      <c r="A780" s="136">
        <v>736</v>
      </c>
      <c r="B780" s="165" t="str">
        <f>IF($A780&gt;MIN($A$10,$A$2),"",INDEX(DemoHistory[Date],$A780))</f>
        <v/>
      </c>
      <c r="C780" s="166" t="str">
        <f>IF(OR($A780&gt;MIN($A$10,$A$2),$A$5=""),"",INDEX(DemoHistory[],$A780,MATCH($A$5,DemoHistory[#Headers],0)))</f>
        <v/>
      </c>
      <c r="D780" s="166" t="str">
        <f>IF($A780&gt;MIN($A$10,$A$2),"",IF(AND($A$12,$A$6=1,B780&lt;$A$7,$A$7&lt;=MAX(DemoHistory[Date])),$A$8,1))</f>
        <v/>
      </c>
      <c r="E780" s="166" t="str">
        <f t="shared" si="33"/>
        <v/>
      </c>
      <c r="F780" s="166" t="str">
        <f>IF($A780&gt;MIN($A$10,$A$2),"",IF($A780&lt;50,"n.a.",IF(COUNT(INDEX(StockDaily[Adjusted close],MAX(1,$A780-50+1)):E780)=50,AVERAGE(INDEX(StockDaily[Adjusted close],MAX(1,$A780-50+1)):E780),"n.a.")))</f>
        <v/>
      </c>
      <c r="G780" s="166" t="str">
        <f>IF($A780&gt;MIN($A$10,$A$2),"",IF($A780&lt;200,"n.a.",IF(COUNT(INDEX(StockDaily[Adjusted close],MAX(1,$A780-200+1)):E780)=200,AVERAGE(INDEX(StockDaily[Adjusted close],MAX(1,$A780-200+1)):E780),"n.a.")))</f>
        <v/>
      </c>
      <c r="H780" s="136" t="str">
        <f>IF($A780&gt;MIN($A$10,$A$2),"",IF($A$5="","Choose stock",IF(NOT($A$12),"Check split rule",IF(NOT(ISNUMBER(B780)),"Invalid date",IF(OR(B780&lt;=0,B780&lt;&gt;INT(B780)),"Invalid date",IF(COUNTIFS(DemoHistory[Date],B780)&lt;&gt;1,"Duplicate date",IF(AND($A780&gt;1,B780&lt;=B779),"Dates out of order",IF(NOT(ISNUMBER(C780)),"Missing price",IF(C780&lt;=0,"Nonpositive price","OK")))))))))</f>
        <v/>
      </c>
      <c r="I780" s="136"/>
      <c r="J780" s="136"/>
      <c r="K780" s="136"/>
      <c r="L780" s="136"/>
      <c r="M780" s="136"/>
      <c r="N780" s="136" t="e">
        <f t="shared" si="34"/>
        <v>#N/A</v>
      </c>
      <c r="O780" s="136" t="e">
        <f t="shared" si="35"/>
        <v>#N/A</v>
      </c>
    </row>
    <row r="781" spans="1:15" ht="22" customHeight="1" x14ac:dyDescent="0.35">
      <c r="A781" s="136">
        <v>737</v>
      </c>
      <c r="B781" s="165" t="str">
        <f>IF($A781&gt;MIN($A$10,$A$2),"",INDEX(DemoHistory[Date],$A781))</f>
        <v/>
      </c>
      <c r="C781" s="166" t="str">
        <f>IF(OR($A781&gt;MIN($A$10,$A$2),$A$5=""),"",INDEX(DemoHistory[],$A781,MATCH($A$5,DemoHistory[#Headers],0)))</f>
        <v/>
      </c>
      <c r="D781" s="166" t="str">
        <f>IF($A781&gt;MIN($A$10,$A$2),"",IF(AND($A$12,$A$6=1,B781&lt;$A$7,$A$7&lt;=MAX(DemoHistory[Date])),$A$8,1))</f>
        <v/>
      </c>
      <c r="E781" s="166" t="str">
        <f t="shared" si="33"/>
        <v/>
      </c>
      <c r="F781" s="166" t="str">
        <f>IF($A781&gt;MIN($A$10,$A$2),"",IF($A781&lt;50,"n.a.",IF(COUNT(INDEX(StockDaily[Adjusted close],MAX(1,$A781-50+1)):E781)=50,AVERAGE(INDEX(StockDaily[Adjusted close],MAX(1,$A781-50+1)):E781),"n.a.")))</f>
        <v/>
      </c>
      <c r="G781" s="166" t="str">
        <f>IF($A781&gt;MIN($A$10,$A$2),"",IF($A781&lt;200,"n.a.",IF(COUNT(INDEX(StockDaily[Adjusted close],MAX(1,$A781-200+1)):E781)=200,AVERAGE(INDEX(StockDaily[Adjusted close],MAX(1,$A781-200+1)):E781),"n.a.")))</f>
        <v/>
      </c>
      <c r="H781" s="136" t="str">
        <f>IF($A781&gt;MIN($A$10,$A$2),"",IF($A$5="","Choose stock",IF(NOT($A$12),"Check split rule",IF(NOT(ISNUMBER(B781)),"Invalid date",IF(OR(B781&lt;=0,B781&lt;&gt;INT(B781)),"Invalid date",IF(COUNTIFS(DemoHistory[Date],B781)&lt;&gt;1,"Duplicate date",IF(AND($A781&gt;1,B781&lt;=B780),"Dates out of order",IF(NOT(ISNUMBER(C781)),"Missing price",IF(C781&lt;=0,"Nonpositive price","OK")))))))))</f>
        <v/>
      </c>
      <c r="I781" s="136"/>
      <c r="J781" s="136"/>
      <c r="K781" s="136"/>
      <c r="L781" s="136"/>
      <c r="M781" s="136"/>
      <c r="N781" s="136" t="e">
        <f t="shared" si="34"/>
        <v>#N/A</v>
      </c>
      <c r="O781" s="136" t="e">
        <f t="shared" si="35"/>
        <v>#N/A</v>
      </c>
    </row>
    <row r="782" spans="1:15" ht="22" customHeight="1" x14ac:dyDescent="0.35">
      <c r="A782" s="136">
        <v>738</v>
      </c>
      <c r="B782" s="165" t="str">
        <f>IF($A782&gt;MIN($A$10,$A$2),"",INDEX(DemoHistory[Date],$A782))</f>
        <v/>
      </c>
      <c r="C782" s="166" t="str">
        <f>IF(OR($A782&gt;MIN($A$10,$A$2),$A$5=""),"",INDEX(DemoHistory[],$A782,MATCH($A$5,DemoHistory[#Headers],0)))</f>
        <v/>
      </c>
      <c r="D782" s="166" t="str">
        <f>IF($A782&gt;MIN($A$10,$A$2),"",IF(AND($A$12,$A$6=1,B782&lt;$A$7,$A$7&lt;=MAX(DemoHistory[Date])),$A$8,1))</f>
        <v/>
      </c>
      <c r="E782" s="166" t="str">
        <f t="shared" si="33"/>
        <v/>
      </c>
      <c r="F782" s="166" t="str">
        <f>IF($A782&gt;MIN($A$10,$A$2),"",IF($A782&lt;50,"n.a.",IF(COUNT(INDEX(StockDaily[Adjusted close],MAX(1,$A782-50+1)):E782)=50,AVERAGE(INDEX(StockDaily[Adjusted close],MAX(1,$A782-50+1)):E782),"n.a.")))</f>
        <v/>
      </c>
      <c r="G782" s="166" t="str">
        <f>IF($A782&gt;MIN($A$10,$A$2),"",IF($A782&lt;200,"n.a.",IF(COUNT(INDEX(StockDaily[Adjusted close],MAX(1,$A782-200+1)):E782)=200,AVERAGE(INDEX(StockDaily[Adjusted close],MAX(1,$A782-200+1)):E782),"n.a.")))</f>
        <v/>
      </c>
      <c r="H782" s="136" t="str">
        <f>IF($A782&gt;MIN($A$10,$A$2),"",IF($A$5="","Choose stock",IF(NOT($A$12),"Check split rule",IF(NOT(ISNUMBER(B782)),"Invalid date",IF(OR(B782&lt;=0,B782&lt;&gt;INT(B782)),"Invalid date",IF(COUNTIFS(DemoHistory[Date],B782)&lt;&gt;1,"Duplicate date",IF(AND($A782&gt;1,B782&lt;=B781),"Dates out of order",IF(NOT(ISNUMBER(C782)),"Missing price",IF(C782&lt;=0,"Nonpositive price","OK")))))))))</f>
        <v/>
      </c>
      <c r="I782" s="136"/>
      <c r="J782" s="136"/>
      <c r="K782" s="136"/>
      <c r="L782" s="136"/>
      <c r="M782" s="136"/>
      <c r="N782" s="136" t="e">
        <f t="shared" si="34"/>
        <v>#N/A</v>
      </c>
      <c r="O782" s="136" t="e">
        <f t="shared" si="35"/>
        <v>#N/A</v>
      </c>
    </row>
    <row r="783" spans="1:15" ht="22" customHeight="1" x14ac:dyDescent="0.35">
      <c r="A783" s="136">
        <v>739</v>
      </c>
      <c r="B783" s="165" t="str">
        <f>IF($A783&gt;MIN($A$10,$A$2),"",INDEX(DemoHistory[Date],$A783))</f>
        <v/>
      </c>
      <c r="C783" s="166" t="str">
        <f>IF(OR($A783&gt;MIN($A$10,$A$2),$A$5=""),"",INDEX(DemoHistory[],$A783,MATCH($A$5,DemoHistory[#Headers],0)))</f>
        <v/>
      </c>
      <c r="D783" s="166" t="str">
        <f>IF($A783&gt;MIN($A$10,$A$2),"",IF(AND($A$12,$A$6=1,B783&lt;$A$7,$A$7&lt;=MAX(DemoHistory[Date])),$A$8,1))</f>
        <v/>
      </c>
      <c r="E783" s="166" t="str">
        <f t="shared" si="33"/>
        <v/>
      </c>
      <c r="F783" s="166" t="str">
        <f>IF($A783&gt;MIN($A$10,$A$2),"",IF($A783&lt;50,"n.a.",IF(COUNT(INDEX(StockDaily[Adjusted close],MAX(1,$A783-50+1)):E783)=50,AVERAGE(INDEX(StockDaily[Adjusted close],MAX(1,$A783-50+1)):E783),"n.a.")))</f>
        <v/>
      </c>
      <c r="G783" s="166" t="str">
        <f>IF($A783&gt;MIN($A$10,$A$2),"",IF($A783&lt;200,"n.a.",IF(COUNT(INDEX(StockDaily[Adjusted close],MAX(1,$A783-200+1)):E783)=200,AVERAGE(INDEX(StockDaily[Adjusted close],MAX(1,$A783-200+1)):E783),"n.a.")))</f>
        <v/>
      </c>
      <c r="H783" s="136" t="str">
        <f>IF($A783&gt;MIN($A$10,$A$2),"",IF($A$5="","Choose stock",IF(NOT($A$12),"Check split rule",IF(NOT(ISNUMBER(B783)),"Invalid date",IF(OR(B783&lt;=0,B783&lt;&gt;INT(B783)),"Invalid date",IF(COUNTIFS(DemoHistory[Date],B783)&lt;&gt;1,"Duplicate date",IF(AND($A783&gt;1,B783&lt;=B782),"Dates out of order",IF(NOT(ISNUMBER(C783)),"Missing price",IF(C783&lt;=0,"Nonpositive price","OK")))))))))</f>
        <v/>
      </c>
      <c r="I783" s="136"/>
      <c r="J783" s="136"/>
      <c r="K783" s="136"/>
      <c r="L783" s="136"/>
      <c r="M783" s="136"/>
      <c r="N783" s="136" t="e">
        <f t="shared" si="34"/>
        <v>#N/A</v>
      </c>
      <c r="O783" s="136" t="e">
        <f t="shared" si="35"/>
        <v>#N/A</v>
      </c>
    </row>
    <row r="784" spans="1:15" ht="22" customHeight="1" x14ac:dyDescent="0.35">
      <c r="A784" s="136">
        <v>740</v>
      </c>
      <c r="B784" s="165" t="str">
        <f>IF($A784&gt;MIN($A$10,$A$2),"",INDEX(DemoHistory[Date],$A784))</f>
        <v/>
      </c>
      <c r="C784" s="166" t="str">
        <f>IF(OR($A784&gt;MIN($A$10,$A$2),$A$5=""),"",INDEX(DemoHistory[],$A784,MATCH($A$5,DemoHistory[#Headers],0)))</f>
        <v/>
      </c>
      <c r="D784" s="166" t="str">
        <f>IF($A784&gt;MIN($A$10,$A$2),"",IF(AND($A$12,$A$6=1,B784&lt;$A$7,$A$7&lt;=MAX(DemoHistory[Date])),$A$8,1))</f>
        <v/>
      </c>
      <c r="E784" s="166" t="str">
        <f t="shared" si="33"/>
        <v/>
      </c>
      <c r="F784" s="166" t="str">
        <f>IF($A784&gt;MIN($A$10,$A$2),"",IF($A784&lt;50,"n.a.",IF(COUNT(INDEX(StockDaily[Adjusted close],MAX(1,$A784-50+1)):E784)=50,AVERAGE(INDEX(StockDaily[Adjusted close],MAX(1,$A784-50+1)):E784),"n.a.")))</f>
        <v/>
      </c>
      <c r="G784" s="166" t="str">
        <f>IF($A784&gt;MIN($A$10,$A$2),"",IF($A784&lt;200,"n.a.",IF(COUNT(INDEX(StockDaily[Adjusted close],MAX(1,$A784-200+1)):E784)=200,AVERAGE(INDEX(StockDaily[Adjusted close],MAX(1,$A784-200+1)):E784),"n.a.")))</f>
        <v/>
      </c>
      <c r="H784" s="136" t="str">
        <f>IF($A784&gt;MIN($A$10,$A$2),"",IF($A$5="","Choose stock",IF(NOT($A$12),"Check split rule",IF(NOT(ISNUMBER(B784)),"Invalid date",IF(OR(B784&lt;=0,B784&lt;&gt;INT(B784)),"Invalid date",IF(COUNTIFS(DemoHistory[Date],B784)&lt;&gt;1,"Duplicate date",IF(AND($A784&gt;1,B784&lt;=B783),"Dates out of order",IF(NOT(ISNUMBER(C784)),"Missing price",IF(C784&lt;=0,"Nonpositive price","OK")))))))))</f>
        <v/>
      </c>
      <c r="I784" s="136"/>
      <c r="J784" s="136"/>
      <c r="K784" s="136"/>
      <c r="L784" s="136"/>
      <c r="M784" s="136"/>
      <c r="N784" s="136" t="e">
        <f t="shared" si="34"/>
        <v>#N/A</v>
      </c>
      <c r="O784" s="136" t="e">
        <f t="shared" si="35"/>
        <v>#N/A</v>
      </c>
    </row>
    <row r="785" spans="1:15" ht="22" customHeight="1" x14ac:dyDescent="0.35">
      <c r="A785" s="136">
        <v>741</v>
      </c>
      <c r="B785" s="165" t="str">
        <f>IF($A785&gt;MIN($A$10,$A$2),"",INDEX(DemoHistory[Date],$A785))</f>
        <v/>
      </c>
      <c r="C785" s="166" t="str">
        <f>IF(OR($A785&gt;MIN($A$10,$A$2),$A$5=""),"",INDEX(DemoHistory[],$A785,MATCH($A$5,DemoHistory[#Headers],0)))</f>
        <v/>
      </c>
      <c r="D785" s="166" t="str">
        <f>IF($A785&gt;MIN($A$10,$A$2),"",IF(AND($A$12,$A$6=1,B785&lt;$A$7,$A$7&lt;=MAX(DemoHistory[Date])),$A$8,1))</f>
        <v/>
      </c>
      <c r="E785" s="166" t="str">
        <f t="shared" si="33"/>
        <v/>
      </c>
      <c r="F785" s="166" t="str">
        <f>IF($A785&gt;MIN($A$10,$A$2),"",IF($A785&lt;50,"n.a.",IF(COUNT(INDEX(StockDaily[Adjusted close],MAX(1,$A785-50+1)):E785)=50,AVERAGE(INDEX(StockDaily[Adjusted close],MAX(1,$A785-50+1)):E785),"n.a.")))</f>
        <v/>
      </c>
      <c r="G785" s="166" t="str">
        <f>IF($A785&gt;MIN($A$10,$A$2),"",IF($A785&lt;200,"n.a.",IF(COUNT(INDEX(StockDaily[Adjusted close],MAX(1,$A785-200+1)):E785)=200,AVERAGE(INDEX(StockDaily[Adjusted close],MAX(1,$A785-200+1)):E785),"n.a.")))</f>
        <v/>
      </c>
      <c r="H785" s="136" t="str">
        <f>IF($A785&gt;MIN($A$10,$A$2),"",IF($A$5="","Choose stock",IF(NOT($A$12),"Check split rule",IF(NOT(ISNUMBER(B785)),"Invalid date",IF(OR(B785&lt;=0,B785&lt;&gt;INT(B785)),"Invalid date",IF(COUNTIFS(DemoHistory[Date],B785)&lt;&gt;1,"Duplicate date",IF(AND($A785&gt;1,B785&lt;=B784),"Dates out of order",IF(NOT(ISNUMBER(C785)),"Missing price",IF(C785&lt;=0,"Nonpositive price","OK")))))))))</f>
        <v/>
      </c>
      <c r="I785" s="136"/>
      <c r="J785" s="136"/>
      <c r="K785" s="136"/>
      <c r="L785" s="136"/>
      <c r="M785" s="136"/>
      <c r="N785" s="136" t="e">
        <f t="shared" si="34"/>
        <v>#N/A</v>
      </c>
      <c r="O785" s="136" t="e">
        <f t="shared" si="35"/>
        <v>#N/A</v>
      </c>
    </row>
    <row r="786" spans="1:15" ht="22" customHeight="1" x14ac:dyDescent="0.35">
      <c r="A786" s="136">
        <v>742</v>
      </c>
      <c r="B786" s="165" t="str">
        <f>IF($A786&gt;MIN($A$10,$A$2),"",INDEX(DemoHistory[Date],$A786))</f>
        <v/>
      </c>
      <c r="C786" s="166" t="str">
        <f>IF(OR($A786&gt;MIN($A$10,$A$2),$A$5=""),"",INDEX(DemoHistory[],$A786,MATCH($A$5,DemoHistory[#Headers],0)))</f>
        <v/>
      </c>
      <c r="D786" s="166" t="str">
        <f>IF($A786&gt;MIN($A$10,$A$2),"",IF(AND($A$12,$A$6=1,B786&lt;$A$7,$A$7&lt;=MAX(DemoHistory[Date])),$A$8,1))</f>
        <v/>
      </c>
      <c r="E786" s="166" t="str">
        <f t="shared" si="33"/>
        <v/>
      </c>
      <c r="F786" s="166" t="str">
        <f>IF($A786&gt;MIN($A$10,$A$2),"",IF($A786&lt;50,"n.a.",IF(COUNT(INDEX(StockDaily[Adjusted close],MAX(1,$A786-50+1)):E786)=50,AVERAGE(INDEX(StockDaily[Adjusted close],MAX(1,$A786-50+1)):E786),"n.a.")))</f>
        <v/>
      </c>
      <c r="G786" s="166" t="str">
        <f>IF($A786&gt;MIN($A$10,$A$2),"",IF($A786&lt;200,"n.a.",IF(COUNT(INDEX(StockDaily[Adjusted close],MAX(1,$A786-200+1)):E786)=200,AVERAGE(INDEX(StockDaily[Adjusted close],MAX(1,$A786-200+1)):E786),"n.a.")))</f>
        <v/>
      </c>
      <c r="H786" s="136" t="str">
        <f>IF($A786&gt;MIN($A$10,$A$2),"",IF($A$5="","Choose stock",IF(NOT($A$12),"Check split rule",IF(NOT(ISNUMBER(B786)),"Invalid date",IF(OR(B786&lt;=0,B786&lt;&gt;INT(B786)),"Invalid date",IF(COUNTIFS(DemoHistory[Date],B786)&lt;&gt;1,"Duplicate date",IF(AND($A786&gt;1,B786&lt;=B785),"Dates out of order",IF(NOT(ISNUMBER(C786)),"Missing price",IF(C786&lt;=0,"Nonpositive price","OK")))))))))</f>
        <v/>
      </c>
      <c r="I786" s="136"/>
      <c r="J786" s="136"/>
      <c r="K786" s="136"/>
      <c r="L786" s="136"/>
      <c r="M786" s="136"/>
      <c r="N786" s="136" t="e">
        <f t="shared" si="34"/>
        <v>#N/A</v>
      </c>
      <c r="O786" s="136" t="e">
        <f t="shared" si="35"/>
        <v>#N/A</v>
      </c>
    </row>
    <row r="787" spans="1:15" ht="22" customHeight="1" x14ac:dyDescent="0.35">
      <c r="A787" s="136">
        <v>743</v>
      </c>
      <c r="B787" s="165" t="str">
        <f>IF($A787&gt;MIN($A$10,$A$2),"",INDEX(DemoHistory[Date],$A787))</f>
        <v/>
      </c>
      <c r="C787" s="166" t="str">
        <f>IF(OR($A787&gt;MIN($A$10,$A$2),$A$5=""),"",INDEX(DemoHistory[],$A787,MATCH($A$5,DemoHistory[#Headers],0)))</f>
        <v/>
      </c>
      <c r="D787" s="166" t="str">
        <f>IF($A787&gt;MIN($A$10,$A$2),"",IF(AND($A$12,$A$6=1,B787&lt;$A$7,$A$7&lt;=MAX(DemoHistory[Date])),$A$8,1))</f>
        <v/>
      </c>
      <c r="E787" s="166" t="str">
        <f t="shared" si="33"/>
        <v/>
      </c>
      <c r="F787" s="166" t="str">
        <f>IF($A787&gt;MIN($A$10,$A$2),"",IF($A787&lt;50,"n.a.",IF(COUNT(INDEX(StockDaily[Adjusted close],MAX(1,$A787-50+1)):E787)=50,AVERAGE(INDEX(StockDaily[Adjusted close],MAX(1,$A787-50+1)):E787),"n.a.")))</f>
        <v/>
      </c>
      <c r="G787" s="166" t="str">
        <f>IF($A787&gt;MIN($A$10,$A$2),"",IF($A787&lt;200,"n.a.",IF(COUNT(INDEX(StockDaily[Adjusted close],MAX(1,$A787-200+1)):E787)=200,AVERAGE(INDEX(StockDaily[Adjusted close],MAX(1,$A787-200+1)):E787),"n.a.")))</f>
        <v/>
      </c>
      <c r="H787" s="136" t="str">
        <f>IF($A787&gt;MIN($A$10,$A$2),"",IF($A$5="","Choose stock",IF(NOT($A$12),"Check split rule",IF(NOT(ISNUMBER(B787)),"Invalid date",IF(OR(B787&lt;=0,B787&lt;&gt;INT(B787)),"Invalid date",IF(COUNTIFS(DemoHistory[Date],B787)&lt;&gt;1,"Duplicate date",IF(AND($A787&gt;1,B787&lt;=B786),"Dates out of order",IF(NOT(ISNUMBER(C787)),"Missing price",IF(C787&lt;=0,"Nonpositive price","OK")))))))))</f>
        <v/>
      </c>
      <c r="I787" s="136"/>
      <c r="J787" s="136"/>
      <c r="K787" s="136"/>
      <c r="L787" s="136"/>
      <c r="M787" s="136"/>
      <c r="N787" s="136" t="e">
        <f t="shared" si="34"/>
        <v>#N/A</v>
      </c>
      <c r="O787" s="136" t="e">
        <f t="shared" si="35"/>
        <v>#N/A</v>
      </c>
    </row>
    <row r="788" spans="1:15" ht="22" customHeight="1" x14ac:dyDescent="0.35">
      <c r="A788" s="136">
        <v>744</v>
      </c>
      <c r="B788" s="165" t="str">
        <f>IF($A788&gt;MIN($A$10,$A$2),"",INDEX(DemoHistory[Date],$A788))</f>
        <v/>
      </c>
      <c r="C788" s="166" t="str">
        <f>IF(OR($A788&gt;MIN($A$10,$A$2),$A$5=""),"",INDEX(DemoHistory[],$A788,MATCH($A$5,DemoHistory[#Headers],0)))</f>
        <v/>
      </c>
      <c r="D788" s="166" t="str">
        <f>IF($A788&gt;MIN($A$10,$A$2),"",IF(AND($A$12,$A$6=1,B788&lt;$A$7,$A$7&lt;=MAX(DemoHistory[Date])),$A$8,1))</f>
        <v/>
      </c>
      <c r="E788" s="166" t="str">
        <f t="shared" si="33"/>
        <v/>
      </c>
      <c r="F788" s="166" t="str">
        <f>IF($A788&gt;MIN($A$10,$A$2),"",IF($A788&lt;50,"n.a.",IF(COUNT(INDEX(StockDaily[Adjusted close],MAX(1,$A788-50+1)):E788)=50,AVERAGE(INDEX(StockDaily[Adjusted close],MAX(1,$A788-50+1)):E788),"n.a.")))</f>
        <v/>
      </c>
      <c r="G788" s="166" t="str">
        <f>IF($A788&gt;MIN($A$10,$A$2),"",IF($A788&lt;200,"n.a.",IF(COUNT(INDEX(StockDaily[Adjusted close],MAX(1,$A788-200+1)):E788)=200,AVERAGE(INDEX(StockDaily[Adjusted close],MAX(1,$A788-200+1)):E788),"n.a.")))</f>
        <v/>
      </c>
      <c r="H788" s="136" t="str">
        <f>IF($A788&gt;MIN($A$10,$A$2),"",IF($A$5="","Choose stock",IF(NOT($A$12),"Check split rule",IF(NOT(ISNUMBER(B788)),"Invalid date",IF(OR(B788&lt;=0,B788&lt;&gt;INT(B788)),"Invalid date",IF(COUNTIFS(DemoHistory[Date],B788)&lt;&gt;1,"Duplicate date",IF(AND($A788&gt;1,B788&lt;=B787),"Dates out of order",IF(NOT(ISNUMBER(C788)),"Missing price",IF(C788&lt;=0,"Nonpositive price","OK")))))))))</f>
        <v/>
      </c>
      <c r="I788" s="136"/>
      <c r="J788" s="136"/>
      <c r="K788" s="136"/>
      <c r="L788" s="136"/>
      <c r="M788" s="136"/>
      <c r="N788" s="136" t="e">
        <f t="shared" si="34"/>
        <v>#N/A</v>
      </c>
      <c r="O788" s="136" t="e">
        <f t="shared" si="35"/>
        <v>#N/A</v>
      </c>
    </row>
    <row r="789" spans="1:15" ht="22" customHeight="1" x14ac:dyDescent="0.35">
      <c r="A789" s="136">
        <v>745</v>
      </c>
      <c r="B789" s="165" t="str">
        <f>IF($A789&gt;MIN($A$10,$A$2),"",INDEX(DemoHistory[Date],$A789))</f>
        <v/>
      </c>
      <c r="C789" s="166" t="str">
        <f>IF(OR($A789&gt;MIN($A$10,$A$2),$A$5=""),"",INDEX(DemoHistory[],$A789,MATCH($A$5,DemoHistory[#Headers],0)))</f>
        <v/>
      </c>
      <c r="D789" s="166" t="str">
        <f>IF($A789&gt;MIN($A$10,$A$2),"",IF(AND($A$12,$A$6=1,B789&lt;$A$7,$A$7&lt;=MAX(DemoHistory[Date])),$A$8,1))</f>
        <v/>
      </c>
      <c r="E789" s="166" t="str">
        <f t="shared" si="33"/>
        <v/>
      </c>
      <c r="F789" s="166" t="str">
        <f>IF($A789&gt;MIN($A$10,$A$2),"",IF($A789&lt;50,"n.a.",IF(COUNT(INDEX(StockDaily[Adjusted close],MAX(1,$A789-50+1)):E789)=50,AVERAGE(INDEX(StockDaily[Adjusted close],MAX(1,$A789-50+1)):E789),"n.a.")))</f>
        <v/>
      </c>
      <c r="G789" s="166" t="str">
        <f>IF($A789&gt;MIN($A$10,$A$2),"",IF($A789&lt;200,"n.a.",IF(COUNT(INDEX(StockDaily[Adjusted close],MAX(1,$A789-200+1)):E789)=200,AVERAGE(INDEX(StockDaily[Adjusted close],MAX(1,$A789-200+1)):E789),"n.a.")))</f>
        <v/>
      </c>
      <c r="H789" s="136" t="str">
        <f>IF($A789&gt;MIN($A$10,$A$2),"",IF($A$5="","Choose stock",IF(NOT($A$12),"Check split rule",IF(NOT(ISNUMBER(B789)),"Invalid date",IF(OR(B789&lt;=0,B789&lt;&gt;INT(B789)),"Invalid date",IF(COUNTIFS(DemoHistory[Date],B789)&lt;&gt;1,"Duplicate date",IF(AND($A789&gt;1,B789&lt;=B788),"Dates out of order",IF(NOT(ISNUMBER(C789)),"Missing price",IF(C789&lt;=0,"Nonpositive price","OK")))))))))</f>
        <v/>
      </c>
      <c r="I789" s="136"/>
      <c r="J789" s="136"/>
      <c r="K789" s="136"/>
      <c r="L789" s="136"/>
      <c r="M789" s="136"/>
      <c r="N789" s="136" t="e">
        <f t="shared" si="34"/>
        <v>#N/A</v>
      </c>
      <c r="O789" s="136" t="e">
        <f t="shared" si="35"/>
        <v>#N/A</v>
      </c>
    </row>
    <row r="790" spans="1:15" ht="22" customHeight="1" x14ac:dyDescent="0.35">
      <c r="A790" s="136">
        <v>746</v>
      </c>
      <c r="B790" s="165" t="str">
        <f>IF($A790&gt;MIN($A$10,$A$2),"",INDEX(DemoHistory[Date],$A790))</f>
        <v/>
      </c>
      <c r="C790" s="166" t="str">
        <f>IF(OR($A790&gt;MIN($A$10,$A$2),$A$5=""),"",INDEX(DemoHistory[],$A790,MATCH($A$5,DemoHistory[#Headers],0)))</f>
        <v/>
      </c>
      <c r="D790" s="166" t="str">
        <f>IF($A790&gt;MIN($A$10,$A$2),"",IF(AND($A$12,$A$6=1,B790&lt;$A$7,$A$7&lt;=MAX(DemoHistory[Date])),$A$8,1))</f>
        <v/>
      </c>
      <c r="E790" s="166" t="str">
        <f t="shared" si="33"/>
        <v/>
      </c>
      <c r="F790" s="166" t="str">
        <f>IF($A790&gt;MIN($A$10,$A$2),"",IF($A790&lt;50,"n.a.",IF(COUNT(INDEX(StockDaily[Adjusted close],MAX(1,$A790-50+1)):E790)=50,AVERAGE(INDEX(StockDaily[Adjusted close],MAX(1,$A790-50+1)):E790),"n.a.")))</f>
        <v/>
      </c>
      <c r="G790" s="166" t="str">
        <f>IF($A790&gt;MIN($A$10,$A$2),"",IF($A790&lt;200,"n.a.",IF(COUNT(INDEX(StockDaily[Adjusted close],MAX(1,$A790-200+1)):E790)=200,AVERAGE(INDEX(StockDaily[Adjusted close],MAX(1,$A790-200+1)):E790),"n.a.")))</f>
        <v/>
      </c>
      <c r="H790" s="136" t="str">
        <f>IF($A790&gt;MIN($A$10,$A$2),"",IF($A$5="","Choose stock",IF(NOT($A$12),"Check split rule",IF(NOT(ISNUMBER(B790)),"Invalid date",IF(OR(B790&lt;=0,B790&lt;&gt;INT(B790)),"Invalid date",IF(COUNTIFS(DemoHistory[Date],B790)&lt;&gt;1,"Duplicate date",IF(AND($A790&gt;1,B790&lt;=B789),"Dates out of order",IF(NOT(ISNUMBER(C790)),"Missing price",IF(C790&lt;=0,"Nonpositive price","OK")))))))))</f>
        <v/>
      </c>
      <c r="I790" s="136"/>
      <c r="J790" s="136"/>
      <c r="K790" s="136"/>
      <c r="L790" s="136"/>
      <c r="M790" s="136"/>
      <c r="N790" s="136" t="e">
        <f t="shared" si="34"/>
        <v>#N/A</v>
      </c>
      <c r="O790" s="136" t="e">
        <f t="shared" si="35"/>
        <v>#N/A</v>
      </c>
    </row>
    <row r="791" spans="1:15" ht="22" customHeight="1" x14ac:dyDescent="0.35">
      <c r="A791" s="136">
        <v>747</v>
      </c>
      <c r="B791" s="165" t="str">
        <f>IF($A791&gt;MIN($A$10,$A$2),"",INDEX(DemoHistory[Date],$A791))</f>
        <v/>
      </c>
      <c r="C791" s="166" t="str">
        <f>IF(OR($A791&gt;MIN($A$10,$A$2),$A$5=""),"",INDEX(DemoHistory[],$A791,MATCH($A$5,DemoHistory[#Headers],0)))</f>
        <v/>
      </c>
      <c r="D791" s="166" t="str">
        <f>IF($A791&gt;MIN($A$10,$A$2),"",IF(AND($A$12,$A$6=1,B791&lt;$A$7,$A$7&lt;=MAX(DemoHistory[Date])),$A$8,1))</f>
        <v/>
      </c>
      <c r="E791" s="166" t="str">
        <f t="shared" si="33"/>
        <v/>
      </c>
      <c r="F791" s="166" t="str">
        <f>IF($A791&gt;MIN($A$10,$A$2),"",IF($A791&lt;50,"n.a.",IF(COUNT(INDEX(StockDaily[Adjusted close],MAX(1,$A791-50+1)):E791)=50,AVERAGE(INDEX(StockDaily[Adjusted close],MAX(1,$A791-50+1)):E791),"n.a.")))</f>
        <v/>
      </c>
      <c r="G791" s="166" t="str">
        <f>IF($A791&gt;MIN($A$10,$A$2),"",IF($A791&lt;200,"n.a.",IF(COUNT(INDEX(StockDaily[Adjusted close],MAX(1,$A791-200+1)):E791)=200,AVERAGE(INDEX(StockDaily[Adjusted close],MAX(1,$A791-200+1)):E791),"n.a.")))</f>
        <v/>
      </c>
      <c r="H791" s="136" t="str">
        <f>IF($A791&gt;MIN($A$10,$A$2),"",IF($A$5="","Choose stock",IF(NOT($A$12),"Check split rule",IF(NOT(ISNUMBER(B791)),"Invalid date",IF(OR(B791&lt;=0,B791&lt;&gt;INT(B791)),"Invalid date",IF(COUNTIFS(DemoHistory[Date],B791)&lt;&gt;1,"Duplicate date",IF(AND($A791&gt;1,B791&lt;=B790),"Dates out of order",IF(NOT(ISNUMBER(C791)),"Missing price",IF(C791&lt;=0,"Nonpositive price","OK")))))))))</f>
        <v/>
      </c>
      <c r="I791" s="136"/>
      <c r="J791" s="136"/>
      <c r="K791" s="136"/>
      <c r="L791" s="136"/>
      <c r="M791" s="136"/>
      <c r="N791" s="136" t="e">
        <f t="shared" si="34"/>
        <v>#N/A</v>
      </c>
      <c r="O791" s="136" t="e">
        <f t="shared" si="35"/>
        <v>#N/A</v>
      </c>
    </row>
    <row r="792" spans="1:15" ht="22" customHeight="1" x14ac:dyDescent="0.35">
      <c r="A792" s="136">
        <v>748</v>
      </c>
      <c r="B792" s="165" t="str">
        <f>IF($A792&gt;MIN($A$10,$A$2),"",INDEX(DemoHistory[Date],$A792))</f>
        <v/>
      </c>
      <c r="C792" s="166" t="str">
        <f>IF(OR($A792&gt;MIN($A$10,$A$2),$A$5=""),"",INDEX(DemoHistory[],$A792,MATCH($A$5,DemoHistory[#Headers],0)))</f>
        <v/>
      </c>
      <c r="D792" s="166" t="str">
        <f>IF($A792&gt;MIN($A$10,$A$2),"",IF(AND($A$12,$A$6=1,B792&lt;$A$7,$A$7&lt;=MAX(DemoHistory[Date])),$A$8,1))</f>
        <v/>
      </c>
      <c r="E792" s="166" t="str">
        <f t="shared" si="33"/>
        <v/>
      </c>
      <c r="F792" s="166" t="str">
        <f>IF($A792&gt;MIN($A$10,$A$2),"",IF($A792&lt;50,"n.a.",IF(COUNT(INDEX(StockDaily[Adjusted close],MAX(1,$A792-50+1)):E792)=50,AVERAGE(INDEX(StockDaily[Adjusted close],MAX(1,$A792-50+1)):E792),"n.a.")))</f>
        <v/>
      </c>
      <c r="G792" s="166" t="str">
        <f>IF($A792&gt;MIN($A$10,$A$2),"",IF($A792&lt;200,"n.a.",IF(COUNT(INDEX(StockDaily[Adjusted close],MAX(1,$A792-200+1)):E792)=200,AVERAGE(INDEX(StockDaily[Adjusted close],MAX(1,$A792-200+1)):E792),"n.a.")))</f>
        <v/>
      </c>
      <c r="H792" s="136" t="str">
        <f>IF($A792&gt;MIN($A$10,$A$2),"",IF($A$5="","Choose stock",IF(NOT($A$12),"Check split rule",IF(NOT(ISNUMBER(B792)),"Invalid date",IF(OR(B792&lt;=0,B792&lt;&gt;INT(B792)),"Invalid date",IF(COUNTIFS(DemoHistory[Date],B792)&lt;&gt;1,"Duplicate date",IF(AND($A792&gt;1,B792&lt;=B791),"Dates out of order",IF(NOT(ISNUMBER(C792)),"Missing price",IF(C792&lt;=0,"Nonpositive price","OK")))))))))</f>
        <v/>
      </c>
      <c r="I792" s="136"/>
      <c r="J792" s="136"/>
      <c r="K792" s="136"/>
      <c r="L792" s="136"/>
      <c r="M792" s="136"/>
      <c r="N792" s="136" t="e">
        <f t="shared" si="34"/>
        <v>#N/A</v>
      </c>
      <c r="O792" s="136" t="e">
        <f t="shared" si="35"/>
        <v>#N/A</v>
      </c>
    </row>
    <row r="793" spans="1:15" ht="22" customHeight="1" x14ac:dyDescent="0.35">
      <c r="A793" s="136">
        <v>749</v>
      </c>
      <c r="B793" s="165" t="str">
        <f>IF($A793&gt;MIN($A$10,$A$2),"",INDEX(DemoHistory[Date],$A793))</f>
        <v/>
      </c>
      <c r="C793" s="166" t="str">
        <f>IF(OR($A793&gt;MIN($A$10,$A$2),$A$5=""),"",INDEX(DemoHistory[],$A793,MATCH($A$5,DemoHistory[#Headers],0)))</f>
        <v/>
      </c>
      <c r="D793" s="166" t="str">
        <f>IF($A793&gt;MIN($A$10,$A$2),"",IF(AND($A$12,$A$6=1,B793&lt;$A$7,$A$7&lt;=MAX(DemoHistory[Date])),$A$8,1))</f>
        <v/>
      </c>
      <c r="E793" s="166" t="str">
        <f t="shared" si="33"/>
        <v/>
      </c>
      <c r="F793" s="166" t="str">
        <f>IF($A793&gt;MIN($A$10,$A$2),"",IF($A793&lt;50,"n.a.",IF(COUNT(INDEX(StockDaily[Adjusted close],MAX(1,$A793-50+1)):E793)=50,AVERAGE(INDEX(StockDaily[Adjusted close],MAX(1,$A793-50+1)):E793),"n.a.")))</f>
        <v/>
      </c>
      <c r="G793" s="166" t="str">
        <f>IF($A793&gt;MIN($A$10,$A$2),"",IF($A793&lt;200,"n.a.",IF(COUNT(INDEX(StockDaily[Adjusted close],MAX(1,$A793-200+1)):E793)=200,AVERAGE(INDEX(StockDaily[Adjusted close],MAX(1,$A793-200+1)):E793),"n.a.")))</f>
        <v/>
      </c>
      <c r="H793" s="136" t="str">
        <f>IF($A793&gt;MIN($A$10,$A$2),"",IF($A$5="","Choose stock",IF(NOT($A$12),"Check split rule",IF(NOT(ISNUMBER(B793)),"Invalid date",IF(OR(B793&lt;=0,B793&lt;&gt;INT(B793)),"Invalid date",IF(COUNTIFS(DemoHistory[Date],B793)&lt;&gt;1,"Duplicate date",IF(AND($A793&gt;1,B793&lt;=B792),"Dates out of order",IF(NOT(ISNUMBER(C793)),"Missing price",IF(C793&lt;=0,"Nonpositive price","OK")))))))))</f>
        <v/>
      </c>
      <c r="I793" s="136"/>
      <c r="J793" s="136"/>
      <c r="K793" s="136"/>
      <c r="L793" s="136"/>
      <c r="M793" s="136"/>
      <c r="N793" s="136" t="e">
        <f t="shared" si="34"/>
        <v>#N/A</v>
      </c>
      <c r="O793" s="136" t="e">
        <f t="shared" si="35"/>
        <v>#N/A</v>
      </c>
    </row>
    <row r="794" spans="1:15" ht="22" customHeight="1" x14ac:dyDescent="0.35">
      <c r="A794" s="136">
        <v>750</v>
      </c>
      <c r="B794" s="165" t="str">
        <f>IF($A794&gt;MIN($A$10,$A$2),"",INDEX(DemoHistory[Date],$A794))</f>
        <v/>
      </c>
      <c r="C794" s="166" t="str">
        <f>IF(OR($A794&gt;MIN($A$10,$A$2),$A$5=""),"",INDEX(DemoHistory[],$A794,MATCH($A$5,DemoHistory[#Headers],0)))</f>
        <v/>
      </c>
      <c r="D794" s="166" t="str">
        <f>IF($A794&gt;MIN($A$10,$A$2),"",IF(AND($A$12,$A$6=1,B794&lt;$A$7,$A$7&lt;=MAX(DemoHistory[Date])),$A$8,1))</f>
        <v/>
      </c>
      <c r="E794" s="166" t="str">
        <f t="shared" si="33"/>
        <v/>
      </c>
      <c r="F794" s="166" t="str">
        <f>IF($A794&gt;MIN($A$10,$A$2),"",IF($A794&lt;50,"n.a.",IF(COUNT(INDEX(StockDaily[Adjusted close],MAX(1,$A794-50+1)):E794)=50,AVERAGE(INDEX(StockDaily[Adjusted close],MAX(1,$A794-50+1)):E794),"n.a.")))</f>
        <v/>
      </c>
      <c r="G794" s="166" t="str">
        <f>IF($A794&gt;MIN($A$10,$A$2),"",IF($A794&lt;200,"n.a.",IF(COUNT(INDEX(StockDaily[Adjusted close],MAX(1,$A794-200+1)):E794)=200,AVERAGE(INDEX(StockDaily[Adjusted close],MAX(1,$A794-200+1)):E794),"n.a.")))</f>
        <v/>
      </c>
      <c r="H794" s="136" t="str">
        <f>IF($A794&gt;MIN($A$10,$A$2),"",IF($A$5="","Choose stock",IF(NOT($A$12),"Check split rule",IF(NOT(ISNUMBER(B794)),"Invalid date",IF(OR(B794&lt;=0,B794&lt;&gt;INT(B794)),"Invalid date",IF(COUNTIFS(DemoHistory[Date],B794)&lt;&gt;1,"Duplicate date",IF(AND($A794&gt;1,B794&lt;=B793),"Dates out of order",IF(NOT(ISNUMBER(C794)),"Missing price",IF(C794&lt;=0,"Nonpositive price","OK")))))))))</f>
        <v/>
      </c>
      <c r="I794" s="136"/>
      <c r="J794" s="136"/>
      <c r="K794" s="136"/>
      <c r="L794" s="136"/>
      <c r="M794" s="136"/>
      <c r="N794" s="136" t="e">
        <f t="shared" si="34"/>
        <v>#N/A</v>
      </c>
      <c r="O794" s="136" t="e">
        <f t="shared" si="35"/>
        <v>#N/A</v>
      </c>
    </row>
    <row r="795" spans="1:15" ht="22" customHeight="1" x14ac:dyDescent="0.35">
      <c r="A795" s="136">
        <v>751</v>
      </c>
      <c r="B795" s="165" t="str">
        <f>IF($A795&gt;MIN($A$10,$A$2),"",INDEX(DemoHistory[Date],$A795))</f>
        <v/>
      </c>
      <c r="C795" s="166" t="str">
        <f>IF(OR($A795&gt;MIN($A$10,$A$2),$A$5=""),"",INDEX(DemoHistory[],$A795,MATCH($A$5,DemoHistory[#Headers],0)))</f>
        <v/>
      </c>
      <c r="D795" s="166" t="str">
        <f>IF($A795&gt;MIN($A$10,$A$2),"",IF(AND($A$12,$A$6=1,B795&lt;$A$7,$A$7&lt;=MAX(DemoHistory[Date])),$A$8,1))</f>
        <v/>
      </c>
      <c r="E795" s="166" t="str">
        <f t="shared" si="33"/>
        <v/>
      </c>
      <c r="F795" s="166" t="str">
        <f>IF($A795&gt;MIN($A$10,$A$2),"",IF($A795&lt;50,"n.a.",IF(COUNT(INDEX(StockDaily[Adjusted close],MAX(1,$A795-50+1)):E795)=50,AVERAGE(INDEX(StockDaily[Adjusted close],MAX(1,$A795-50+1)):E795),"n.a.")))</f>
        <v/>
      </c>
      <c r="G795" s="166" t="str">
        <f>IF($A795&gt;MIN($A$10,$A$2),"",IF($A795&lt;200,"n.a.",IF(COUNT(INDEX(StockDaily[Adjusted close],MAX(1,$A795-200+1)):E795)=200,AVERAGE(INDEX(StockDaily[Adjusted close],MAX(1,$A795-200+1)):E795),"n.a.")))</f>
        <v/>
      </c>
      <c r="H795" s="136" t="str">
        <f>IF($A795&gt;MIN($A$10,$A$2),"",IF($A$5="","Choose stock",IF(NOT($A$12),"Check split rule",IF(NOT(ISNUMBER(B795)),"Invalid date",IF(OR(B795&lt;=0,B795&lt;&gt;INT(B795)),"Invalid date",IF(COUNTIFS(DemoHistory[Date],B795)&lt;&gt;1,"Duplicate date",IF(AND($A795&gt;1,B795&lt;=B794),"Dates out of order",IF(NOT(ISNUMBER(C795)),"Missing price",IF(C795&lt;=0,"Nonpositive price","OK")))))))))</f>
        <v/>
      </c>
      <c r="I795" s="136"/>
      <c r="J795" s="136"/>
      <c r="K795" s="136"/>
      <c r="L795" s="136"/>
      <c r="M795" s="136"/>
      <c r="N795" s="136" t="e">
        <f t="shared" si="34"/>
        <v>#N/A</v>
      </c>
      <c r="O795" s="136" t="e">
        <f t="shared" si="35"/>
        <v>#N/A</v>
      </c>
    </row>
    <row r="796" spans="1:15" ht="22" customHeight="1" x14ac:dyDescent="0.35">
      <c r="A796" s="136">
        <v>752</v>
      </c>
      <c r="B796" s="165" t="str">
        <f>IF($A796&gt;MIN($A$10,$A$2),"",INDEX(DemoHistory[Date],$A796))</f>
        <v/>
      </c>
      <c r="C796" s="166" t="str">
        <f>IF(OR($A796&gt;MIN($A$10,$A$2),$A$5=""),"",INDEX(DemoHistory[],$A796,MATCH($A$5,DemoHistory[#Headers],0)))</f>
        <v/>
      </c>
      <c r="D796" s="166" t="str">
        <f>IF($A796&gt;MIN($A$10,$A$2),"",IF(AND($A$12,$A$6=1,B796&lt;$A$7,$A$7&lt;=MAX(DemoHistory[Date])),$A$8,1))</f>
        <v/>
      </c>
      <c r="E796" s="166" t="str">
        <f t="shared" si="33"/>
        <v/>
      </c>
      <c r="F796" s="166" t="str">
        <f>IF($A796&gt;MIN($A$10,$A$2),"",IF($A796&lt;50,"n.a.",IF(COUNT(INDEX(StockDaily[Adjusted close],MAX(1,$A796-50+1)):E796)=50,AVERAGE(INDEX(StockDaily[Adjusted close],MAX(1,$A796-50+1)):E796),"n.a.")))</f>
        <v/>
      </c>
      <c r="G796" s="166" t="str">
        <f>IF($A796&gt;MIN($A$10,$A$2),"",IF($A796&lt;200,"n.a.",IF(COUNT(INDEX(StockDaily[Adjusted close],MAX(1,$A796-200+1)):E796)=200,AVERAGE(INDEX(StockDaily[Adjusted close],MAX(1,$A796-200+1)):E796),"n.a.")))</f>
        <v/>
      </c>
      <c r="H796" s="136" t="str">
        <f>IF($A796&gt;MIN($A$10,$A$2),"",IF($A$5="","Choose stock",IF(NOT($A$12),"Check split rule",IF(NOT(ISNUMBER(B796)),"Invalid date",IF(OR(B796&lt;=0,B796&lt;&gt;INT(B796)),"Invalid date",IF(COUNTIFS(DemoHistory[Date],B796)&lt;&gt;1,"Duplicate date",IF(AND($A796&gt;1,B796&lt;=B795),"Dates out of order",IF(NOT(ISNUMBER(C796)),"Missing price",IF(C796&lt;=0,"Nonpositive price","OK")))))))))</f>
        <v/>
      </c>
      <c r="I796" s="136"/>
      <c r="J796" s="136"/>
      <c r="K796" s="136"/>
      <c r="L796" s="136"/>
      <c r="M796" s="136"/>
      <c r="N796" s="136" t="e">
        <f t="shared" si="34"/>
        <v>#N/A</v>
      </c>
      <c r="O796" s="136" t="e">
        <f t="shared" si="35"/>
        <v>#N/A</v>
      </c>
    </row>
    <row r="797" spans="1:15" ht="22" customHeight="1" x14ac:dyDescent="0.35">
      <c r="A797" s="136">
        <v>753</v>
      </c>
      <c r="B797" s="165" t="str">
        <f>IF($A797&gt;MIN($A$10,$A$2),"",INDEX(DemoHistory[Date],$A797))</f>
        <v/>
      </c>
      <c r="C797" s="166" t="str">
        <f>IF(OR($A797&gt;MIN($A$10,$A$2),$A$5=""),"",INDEX(DemoHistory[],$A797,MATCH($A$5,DemoHistory[#Headers],0)))</f>
        <v/>
      </c>
      <c r="D797" s="166" t="str">
        <f>IF($A797&gt;MIN($A$10,$A$2),"",IF(AND($A$12,$A$6=1,B797&lt;$A$7,$A$7&lt;=MAX(DemoHistory[Date])),$A$8,1))</f>
        <v/>
      </c>
      <c r="E797" s="166" t="str">
        <f t="shared" si="33"/>
        <v/>
      </c>
      <c r="F797" s="166" t="str">
        <f>IF($A797&gt;MIN($A$10,$A$2),"",IF($A797&lt;50,"n.a.",IF(COUNT(INDEX(StockDaily[Adjusted close],MAX(1,$A797-50+1)):E797)=50,AVERAGE(INDEX(StockDaily[Adjusted close],MAX(1,$A797-50+1)):E797),"n.a.")))</f>
        <v/>
      </c>
      <c r="G797" s="166" t="str">
        <f>IF($A797&gt;MIN($A$10,$A$2),"",IF($A797&lt;200,"n.a.",IF(COUNT(INDEX(StockDaily[Adjusted close],MAX(1,$A797-200+1)):E797)=200,AVERAGE(INDEX(StockDaily[Adjusted close],MAX(1,$A797-200+1)):E797),"n.a.")))</f>
        <v/>
      </c>
      <c r="H797" s="136" t="str">
        <f>IF($A797&gt;MIN($A$10,$A$2),"",IF($A$5="","Choose stock",IF(NOT($A$12),"Check split rule",IF(NOT(ISNUMBER(B797)),"Invalid date",IF(OR(B797&lt;=0,B797&lt;&gt;INT(B797)),"Invalid date",IF(COUNTIFS(DemoHistory[Date],B797)&lt;&gt;1,"Duplicate date",IF(AND($A797&gt;1,B797&lt;=B796),"Dates out of order",IF(NOT(ISNUMBER(C797)),"Missing price",IF(C797&lt;=0,"Nonpositive price","OK")))))))))</f>
        <v/>
      </c>
      <c r="I797" s="136"/>
      <c r="J797" s="136"/>
      <c r="K797" s="136"/>
      <c r="L797" s="136"/>
      <c r="M797" s="136"/>
      <c r="N797" s="136" t="e">
        <f t="shared" si="34"/>
        <v>#N/A</v>
      </c>
      <c r="O797" s="136" t="e">
        <f t="shared" si="35"/>
        <v>#N/A</v>
      </c>
    </row>
    <row r="798" spans="1:15" ht="22" customHeight="1" x14ac:dyDescent="0.35">
      <c r="A798" s="136">
        <v>754</v>
      </c>
      <c r="B798" s="165" t="str">
        <f>IF($A798&gt;MIN($A$10,$A$2),"",INDEX(DemoHistory[Date],$A798))</f>
        <v/>
      </c>
      <c r="C798" s="166" t="str">
        <f>IF(OR($A798&gt;MIN($A$10,$A$2),$A$5=""),"",INDEX(DemoHistory[],$A798,MATCH($A$5,DemoHistory[#Headers],0)))</f>
        <v/>
      </c>
      <c r="D798" s="166" t="str">
        <f>IF($A798&gt;MIN($A$10,$A$2),"",IF(AND($A$12,$A$6=1,B798&lt;$A$7,$A$7&lt;=MAX(DemoHistory[Date])),$A$8,1))</f>
        <v/>
      </c>
      <c r="E798" s="166" t="str">
        <f t="shared" si="33"/>
        <v/>
      </c>
      <c r="F798" s="166" t="str">
        <f>IF($A798&gt;MIN($A$10,$A$2),"",IF($A798&lt;50,"n.a.",IF(COUNT(INDEX(StockDaily[Adjusted close],MAX(1,$A798-50+1)):E798)=50,AVERAGE(INDEX(StockDaily[Adjusted close],MAX(1,$A798-50+1)):E798),"n.a.")))</f>
        <v/>
      </c>
      <c r="G798" s="166" t="str">
        <f>IF($A798&gt;MIN($A$10,$A$2),"",IF($A798&lt;200,"n.a.",IF(COUNT(INDEX(StockDaily[Adjusted close],MAX(1,$A798-200+1)):E798)=200,AVERAGE(INDEX(StockDaily[Adjusted close],MAX(1,$A798-200+1)):E798),"n.a.")))</f>
        <v/>
      </c>
      <c r="H798" s="136" t="str">
        <f>IF($A798&gt;MIN($A$10,$A$2),"",IF($A$5="","Choose stock",IF(NOT($A$12),"Check split rule",IF(NOT(ISNUMBER(B798)),"Invalid date",IF(OR(B798&lt;=0,B798&lt;&gt;INT(B798)),"Invalid date",IF(COUNTIFS(DemoHistory[Date],B798)&lt;&gt;1,"Duplicate date",IF(AND($A798&gt;1,B798&lt;=B797),"Dates out of order",IF(NOT(ISNUMBER(C798)),"Missing price",IF(C798&lt;=0,"Nonpositive price","OK")))))))))</f>
        <v/>
      </c>
      <c r="I798" s="136"/>
      <c r="J798" s="136"/>
      <c r="K798" s="136"/>
      <c r="L798" s="136"/>
      <c r="M798" s="136"/>
      <c r="N798" s="136" t="e">
        <f t="shared" si="34"/>
        <v>#N/A</v>
      </c>
      <c r="O798" s="136" t="e">
        <f t="shared" si="35"/>
        <v>#N/A</v>
      </c>
    </row>
    <row r="799" spans="1:15" ht="22" customHeight="1" x14ac:dyDescent="0.35">
      <c r="A799" s="136">
        <v>755</v>
      </c>
      <c r="B799" s="165" t="str">
        <f>IF($A799&gt;MIN($A$10,$A$2),"",INDEX(DemoHistory[Date],$A799))</f>
        <v/>
      </c>
      <c r="C799" s="166" t="str">
        <f>IF(OR($A799&gt;MIN($A$10,$A$2),$A$5=""),"",INDEX(DemoHistory[],$A799,MATCH($A$5,DemoHistory[#Headers],0)))</f>
        <v/>
      </c>
      <c r="D799" s="166" t="str">
        <f>IF($A799&gt;MIN($A$10,$A$2),"",IF(AND($A$12,$A$6=1,B799&lt;$A$7,$A$7&lt;=MAX(DemoHistory[Date])),$A$8,1))</f>
        <v/>
      </c>
      <c r="E799" s="166" t="str">
        <f t="shared" si="33"/>
        <v/>
      </c>
      <c r="F799" s="166" t="str">
        <f>IF($A799&gt;MIN($A$10,$A$2),"",IF($A799&lt;50,"n.a.",IF(COUNT(INDEX(StockDaily[Adjusted close],MAX(1,$A799-50+1)):E799)=50,AVERAGE(INDEX(StockDaily[Adjusted close],MAX(1,$A799-50+1)):E799),"n.a.")))</f>
        <v/>
      </c>
      <c r="G799" s="166" t="str">
        <f>IF($A799&gt;MIN($A$10,$A$2),"",IF($A799&lt;200,"n.a.",IF(COUNT(INDEX(StockDaily[Adjusted close],MAX(1,$A799-200+1)):E799)=200,AVERAGE(INDEX(StockDaily[Adjusted close],MAX(1,$A799-200+1)):E799),"n.a.")))</f>
        <v/>
      </c>
      <c r="H799" s="136" t="str">
        <f>IF($A799&gt;MIN($A$10,$A$2),"",IF($A$5="","Choose stock",IF(NOT($A$12),"Check split rule",IF(NOT(ISNUMBER(B799)),"Invalid date",IF(OR(B799&lt;=0,B799&lt;&gt;INT(B799)),"Invalid date",IF(COUNTIFS(DemoHistory[Date],B799)&lt;&gt;1,"Duplicate date",IF(AND($A799&gt;1,B799&lt;=B798),"Dates out of order",IF(NOT(ISNUMBER(C799)),"Missing price",IF(C799&lt;=0,"Nonpositive price","OK")))))))))</f>
        <v/>
      </c>
      <c r="I799" s="136"/>
      <c r="J799" s="136"/>
      <c r="K799" s="136"/>
      <c r="L799" s="136"/>
      <c r="M799" s="136"/>
      <c r="N799" s="136" t="e">
        <f t="shared" si="34"/>
        <v>#N/A</v>
      </c>
      <c r="O799" s="136" t="e">
        <f t="shared" si="35"/>
        <v>#N/A</v>
      </c>
    </row>
    <row r="800" spans="1:15" ht="22" customHeight="1" x14ac:dyDescent="0.35">
      <c r="A800" s="136">
        <v>756</v>
      </c>
      <c r="B800" s="165" t="str">
        <f>IF($A800&gt;MIN($A$10,$A$2),"",INDEX(DemoHistory[Date],$A800))</f>
        <v/>
      </c>
      <c r="C800" s="166" t="str">
        <f>IF(OR($A800&gt;MIN($A$10,$A$2),$A$5=""),"",INDEX(DemoHistory[],$A800,MATCH($A$5,DemoHistory[#Headers],0)))</f>
        <v/>
      </c>
      <c r="D800" s="166" t="str">
        <f>IF($A800&gt;MIN($A$10,$A$2),"",IF(AND($A$12,$A$6=1,B800&lt;$A$7,$A$7&lt;=MAX(DemoHistory[Date])),$A$8,1))</f>
        <v/>
      </c>
      <c r="E800" s="166" t="str">
        <f t="shared" si="33"/>
        <v/>
      </c>
      <c r="F800" s="166" t="str">
        <f>IF($A800&gt;MIN($A$10,$A$2),"",IF($A800&lt;50,"n.a.",IF(COUNT(INDEX(StockDaily[Adjusted close],MAX(1,$A800-50+1)):E800)=50,AVERAGE(INDEX(StockDaily[Adjusted close],MAX(1,$A800-50+1)):E800),"n.a.")))</f>
        <v/>
      </c>
      <c r="G800" s="166" t="str">
        <f>IF($A800&gt;MIN($A$10,$A$2),"",IF($A800&lt;200,"n.a.",IF(COUNT(INDEX(StockDaily[Adjusted close],MAX(1,$A800-200+1)):E800)=200,AVERAGE(INDEX(StockDaily[Adjusted close],MAX(1,$A800-200+1)):E800),"n.a.")))</f>
        <v/>
      </c>
      <c r="H800" s="136" t="str">
        <f>IF($A800&gt;MIN($A$10,$A$2),"",IF($A$5="","Choose stock",IF(NOT($A$12),"Check split rule",IF(NOT(ISNUMBER(B800)),"Invalid date",IF(OR(B800&lt;=0,B800&lt;&gt;INT(B800)),"Invalid date",IF(COUNTIFS(DemoHistory[Date],B800)&lt;&gt;1,"Duplicate date",IF(AND($A800&gt;1,B800&lt;=B799),"Dates out of order",IF(NOT(ISNUMBER(C800)),"Missing price",IF(C800&lt;=0,"Nonpositive price","OK")))))))))</f>
        <v/>
      </c>
      <c r="I800" s="136"/>
      <c r="J800" s="136"/>
      <c r="K800" s="136"/>
      <c r="L800" s="136"/>
      <c r="M800" s="136"/>
      <c r="N800" s="136" t="e">
        <f t="shared" si="34"/>
        <v>#N/A</v>
      </c>
      <c r="O800" s="136" t="e">
        <f t="shared" si="35"/>
        <v>#N/A</v>
      </c>
    </row>
    <row r="801" spans="1:15" ht="22" customHeight="1" x14ac:dyDescent="0.35">
      <c r="A801" s="136">
        <v>757</v>
      </c>
      <c r="B801" s="165" t="str">
        <f>IF($A801&gt;MIN($A$10,$A$2),"",INDEX(DemoHistory[Date],$A801))</f>
        <v/>
      </c>
      <c r="C801" s="166" t="str">
        <f>IF(OR($A801&gt;MIN($A$10,$A$2),$A$5=""),"",INDEX(DemoHistory[],$A801,MATCH($A$5,DemoHistory[#Headers],0)))</f>
        <v/>
      </c>
      <c r="D801" s="166" t="str">
        <f>IF($A801&gt;MIN($A$10,$A$2),"",IF(AND($A$12,$A$6=1,B801&lt;$A$7,$A$7&lt;=MAX(DemoHistory[Date])),$A$8,1))</f>
        <v/>
      </c>
      <c r="E801" s="166" t="str">
        <f t="shared" si="33"/>
        <v/>
      </c>
      <c r="F801" s="166" t="str">
        <f>IF($A801&gt;MIN($A$10,$A$2),"",IF($A801&lt;50,"n.a.",IF(COUNT(INDEX(StockDaily[Adjusted close],MAX(1,$A801-50+1)):E801)=50,AVERAGE(INDEX(StockDaily[Adjusted close],MAX(1,$A801-50+1)):E801),"n.a.")))</f>
        <v/>
      </c>
      <c r="G801" s="166" t="str">
        <f>IF($A801&gt;MIN($A$10,$A$2),"",IF($A801&lt;200,"n.a.",IF(COUNT(INDEX(StockDaily[Adjusted close],MAX(1,$A801-200+1)):E801)=200,AVERAGE(INDEX(StockDaily[Adjusted close],MAX(1,$A801-200+1)):E801),"n.a.")))</f>
        <v/>
      </c>
      <c r="H801" s="136" t="str">
        <f>IF($A801&gt;MIN($A$10,$A$2),"",IF($A$5="","Choose stock",IF(NOT($A$12),"Check split rule",IF(NOT(ISNUMBER(B801)),"Invalid date",IF(OR(B801&lt;=0,B801&lt;&gt;INT(B801)),"Invalid date",IF(COUNTIFS(DemoHistory[Date],B801)&lt;&gt;1,"Duplicate date",IF(AND($A801&gt;1,B801&lt;=B800),"Dates out of order",IF(NOT(ISNUMBER(C801)),"Missing price",IF(C801&lt;=0,"Nonpositive price","OK")))))))))</f>
        <v/>
      </c>
      <c r="I801" s="136"/>
      <c r="J801" s="136"/>
      <c r="K801" s="136"/>
      <c r="L801" s="136"/>
      <c r="M801" s="136"/>
      <c r="N801" s="136" t="e">
        <f t="shared" si="34"/>
        <v>#N/A</v>
      </c>
      <c r="O801" s="136" t="e">
        <f t="shared" si="35"/>
        <v>#N/A</v>
      </c>
    </row>
    <row r="802" spans="1:15" ht="22" customHeight="1" x14ac:dyDescent="0.35">
      <c r="A802" s="136">
        <v>758</v>
      </c>
      <c r="B802" s="165" t="str">
        <f>IF($A802&gt;MIN($A$10,$A$2),"",INDEX(DemoHistory[Date],$A802))</f>
        <v/>
      </c>
      <c r="C802" s="166" t="str">
        <f>IF(OR($A802&gt;MIN($A$10,$A$2),$A$5=""),"",INDEX(DemoHistory[],$A802,MATCH($A$5,DemoHistory[#Headers],0)))</f>
        <v/>
      </c>
      <c r="D802" s="166" t="str">
        <f>IF($A802&gt;MIN($A$10,$A$2),"",IF(AND($A$12,$A$6=1,B802&lt;$A$7,$A$7&lt;=MAX(DemoHistory[Date])),$A$8,1))</f>
        <v/>
      </c>
      <c r="E802" s="166" t="str">
        <f t="shared" si="33"/>
        <v/>
      </c>
      <c r="F802" s="166" t="str">
        <f>IF($A802&gt;MIN($A$10,$A$2),"",IF($A802&lt;50,"n.a.",IF(COUNT(INDEX(StockDaily[Adjusted close],MAX(1,$A802-50+1)):E802)=50,AVERAGE(INDEX(StockDaily[Adjusted close],MAX(1,$A802-50+1)):E802),"n.a.")))</f>
        <v/>
      </c>
      <c r="G802" s="166" t="str">
        <f>IF($A802&gt;MIN($A$10,$A$2),"",IF($A802&lt;200,"n.a.",IF(COUNT(INDEX(StockDaily[Adjusted close],MAX(1,$A802-200+1)):E802)=200,AVERAGE(INDEX(StockDaily[Adjusted close],MAX(1,$A802-200+1)):E802),"n.a.")))</f>
        <v/>
      </c>
      <c r="H802" s="136" t="str">
        <f>IF($A802&gt;MIN($A$10,$A$2),"",IF($A$5="","Choose stock",IF(NOT($A$12),"Check split rule",IF(NOT(ISNUMBER(B802)),"Invalid date",IF(OR(B802&lt;=0,B802&lt;&gt;INT(B802)),"Invalid date",IF(COUNTIFS(DemoHistory[Date],B802)&lt;&gt;1,"Duplicate date",IF(AND($A802&gt;1,B802&lt;=B801),"Dates out of order",IF(NOT(ISNUMBER(C802)),"Missing price",IF(C802&lt;=0,"Nonpositive price","OK")))))))))</f>
        <v/>
      </c>
      <c r="I802" s="136"/>
      <c r="J802" s="136"/>
      <c r="K802" s="136"/>
      <c r="L802" s="136"/>
      <c r="M802" s="136"/>
      <c r="N802" s="136" t="e">
        <f t="shared" si="34"/>
        <v>#N/A</v>
      </c>
      <c r="O802" s="136" t="e">
        <f t="shared" si="35"/>
        <v>#N/A</v>
      </c>
    </row>
    <row r="803" spans="1:15" ht="22" customHeight="1" x14ac:dyDescent="0.35">
      <c r="A803" s="136">
        <v>759</v>
      </c>
      <c r="B803" s="165" t="str">
        <f>IF($A803&gt;MIN($A$10,$A$2),"",INDEX(DemoHistory[Date],$A803))</f>
        <v/>
      </c>
      <c r="C803" s="166" t="str">
        <f>IF(OR($A803&gt;MIN($A$10,$A$2),$A$5=""),"",INDEX(DemoHistory[],$A803,MATCH($A$5,DemoHistory[#Headers],0)))</f>
        <v/>
      </c>
      <c r="D803" s="166" t="str">
        <f>IF($A803&gt;MIN($A$10,$A$2),"",IF(AND($A$12,$A$6=1,B803&lt;$A$7,$A$7&lt;=MAX(DemoHistory[Date])),$A$8,1))</f>
        <v/>
      </c>
      <c r="E803" s="166" t="str">
        <f t="shared" si="33"/>
        <v/>
      </c>
      <c r="F803" s="166" t="str">
        <f>IF($A803&gt;MIN($A$10,$A$2),"",IF($A803&lt;50,"n.a.",IF(COUNT(INDEX(StockDaily[Adjusted close],MAX(1,$A803-50+1)):E803)=50,AVERAGE(INDEX(StockDaily[Adjusted close],MAX(1,$A803-50+1)):E803),"n.a.")))</f>
        <v/>
      </c>
      <c r="G803" s="166" t="str">
        <f>IF($A803&gt;MIN($A$10,$A$2),"",IF($A803&lt;200,"n.a.",IF(COUNT(INDEX(StockDaily[Adjusted close],MAX(1,$A803-200+1)):E803)=200,AVERAGE(INDEX(StockDaily[Adjusted close],MAX(1,$A803-200+1)):E803),"n.a.")))</f>
        <v/>
      </c>
      <c r="H803" s="136" t="str">
        <f>IF($A803&gt;MIN($A$10,$A$2),"",IF($A$5="","Choose stock",IF(NOT($A$12),"Check split rule",IF(NOT(ISNUMBER(B803)),"Invalid date",IF(OR(B803&lt;=0,B803&lt;&gt;INT(B803)),"Invalid date",IF(COUNTIFS(DemoHistory[Date],B803)&lt;&gt;1,"Duplicate date",IF(AND($A803&gt;1,B803&lt;=B802),"Dates out of order",IF(NOT(ISNUMBER(C803)),"Missing price",IF(C803&lt;=0,"Nonpositive price","OK")))))))))</f>
        <v/>
      </c>
      <c r="I803" s="136"/>
      <c r="J803" s="136"/>
      <c r="K803" s="136"/>
      <c r="L803" s="136"/>
      <c r="M803" s="136"/>
      <c r="N803" s="136" t="e">
        <f t="shared" si="34"/>
        <v>#N/A</v>
      </c>
      <c r="O803" s="136" t="e">
        <f t="shared" si="35"/>
        <v>#N/A</v>
      </c>
    </row>
    <row r="804" spans="1:15" ht="22" customHeight="1" x14ac:dyDescent="0.35">
      <c r="A804" s="136">
        <v>760</v>
      </c>
      <c r="B804" s="165" t="str">
        <f>IF($A804&gt;MIN($A$10,$A$2),"",INDEX(DemoHistory[Date],$A804))</f>
        <v/>
      </c>
      <c r="C804" s="166" t="str">
        <f>IF(OR($A804&gt;MIN($A$10,$A$2),$A$5=""),"",INDEX(DemoHistory[],$A804,MATCH($A$5,DemoHistory[#Headers],0)))</f>
        <v/>
      </c>
      <c r="D804" s="166" t="str">
        <f>IF($A804&gt;MIN($A$10,$A$2),"",IF(AND($A$12,$A$6=1,B804&lt;$A$7,$A$7&lt;=MAX(DemoHistory[Date])),$A$8,1))</f>
        <v/>
      </c>
      <c r="E804" s="166" t="str">
        <f t="shared" si="33"/>
        <v/>
      </c>
      <c r="F804" s="166" t="str">
        <f>IF($A804&gt;MIN($A$10,$A$2),"",IF($A804&lt;50,"n.a.",IF(COUNT(INDEX(StockDaily[Adjusted close],MAX(1,$A804-50+1)):E804)=50,AVERAGE(INDEX(StockDaily[Adjusted close],MAX(1,$A804-50+1)):E804),"n.a.")))</f>
        <v/>
      </c>
      <c r="G804" s="166" t="str">
        <f>IF($A804&gt;MIN($A$10,$A$2),"",IF($A804&lt;200,"n.a.",IF(COUNT(INDEX(StockDaily[Adjusted close],MAX(1,$A804-200+1)):E804)=200,AVERAGE(INDEX(StockDaily[Adjusted close],MAX(1,$A804-200+1)):E804),"n.a.")))</f>
        <v/>
      </c>
      <c r="H804" s="136" t="str">
        <f>IF($A804&gt;MIN($A$10,$A$2),"",IF($A$5="","Choose stock",IF(NOT($A$12),"Check split rule",IF(NOT(ISNUMBER(B804)),"Invalid date",IF(OR(B804&lt;=0,B804&lt;&gt;INT(B804)),"Invalid date",IF(COUNTIFS(DemoHistory[Date],B804)&lt;&gt;1,"Duplicate date",IF(AND($A804&gt;1,B804&lt;=B803),"Dates out of order",IF(NOT(ISNUMBER(C804)),"Missing price",IF(C804&lt;=0,"Nonpositive price","OK")))))))))</f>
        <v/>
      </c>
      <c r="I804" s="136"/>
      <c r="J804" s="136"/>
      <c r="K804" s="136"/>
      <c r="L804" s="136"/>
      <c r="M804" s="136"/>
      <c r="N804" s="136" t="e">
        <f t="shared" si="34"/>
        <v>#N/A</v>
      </c>
      <c r="O804" s="136" t="e">
        <f t="shared" si="35"/>
        <v>#N/A</v>
      </c>
    </row>
    <row r="805" spans="1:15" ht="22" customHeight="1" x14ac:dyDescent="0.35">
      <c r="A805" s="136">
        <v>761</v>
      </c>
      <c r="B805" s="165" t="str">
        <f>IF($A805&gt;MIN($A$10,$A$2),"",INDEX(DemoHistory[Date],$A805))</f>
        <v/>
      </c>
      <c r="C805" s="166" t="str">
        <f>IF(OR($A805&gt;MIN($A$10,$A$2),$A$5=""),"",INDEX(DemoHistory[],$A805,MATCH($A$5,DemoHistory[#Headers],0)))</f>
        <v/>
      </c>
      <c r="D805" s="166" t="str">
        <f>IF($A805&gt;MIN($A$10,$A$2),"",IF(AND($A$12,$A$6=1,B805&lt;$A$7,$A$7&lt;=MAX(DemoHistory[Date])),$A$8,1))</f>
        <v/>
      </c>
      <c r="E805" s="166" t="str">
        <f t="shared" si="33"/>
        <v/>
      </c>
      <c r="F805" s="166" t="str">
        <f>IF($A805&gt;MIN($A$10,$A$2),"",IF($A805&lt;50,"n.a.",IF(COUNT(INDEX(StockDaily[Adjusted close],MAX(1,$A805-50+1)):E805)=50,AVERAGE(INDEX(StockDaily[Adjusted close],MAX(1,$A805-50+1)):E805),"n.a.")))</f>
        <v/>
      </c>
      <c r="G805" s="166" t="str">
        <f>IF($A805&gt;MIN($A$10,$A$2),"",IF($A805&lt;200,"n.a.",IF(COUNT(INDEX(StockDaily[Adjusted close],MAX(1,$A805-200+1)):E805)=200,AVERAGE(INDEX(StockDaily[Adjusted close],MAX(1,$A805-200+1)):E805),"n.a.")))</f>
        <v/>
      </c>
      <c r="H805" s="136" t="str">
        <f>IF($A805&gt;MIN($A$10,$A$2),"",IF($A$5="","Choose stock",IF(NOT($A$12),"Check split rule",IF(NOT(ISNUMBER(B805)),"Invalid date",IF(OR(B805&lt;=0,B805&lt;&gt;INT(B805)),"Invalid date",IF(COUNTIFS(DemoHistory[Date],B805)&lt;&gt;1,"Duplicate date",IF(AND($A805&gt;1,B805&lt;=B804),"Dates out of order",IF(NOT(ISNUMBER(C805)),"Missing price",IF(C805&lt;=0,"Nonpositive price","OK")))))))))</f>
        <v/>
      </c>
      <c r="I805" s="136"/>
      <c r="J805" s="136"/>
      <c r="K805" s="136"/>
      <c r="L805" s="136"/>
      <c r="M805" s="136"/>
      <c r="N805" s="136" t="e">
        <f t="shared" si="34"/>
        <v>#N/A</v>
      </c>
      <c r="O805" s="136" t="e">
        <f t="shared" si="35"/>
        <v>#N/A</v>
      </c>
    </row>
    <row r="806" spans="1:15" ht="22" customHeight="1" x14ac:dyDescent="0.35">
      <c r="A806" s="136">
        <v>762</v>
      </c>
      <c r="B806" s="165" t="str">
        <f>IF($A806&gt;MIN($A$10,$A$2),"",INDEX(DemoHistory[Date],$A806))</f>
        <v/>
      </c>
      <c r="C806" s="166" t="str">
        <f>IF(OR($A806&gt;MIN($A$10,$A$2),$A$5=""),"",INDEX(DemoHistory[],$A806,MATCH($A$5,DemoHistory[#Headers],0)))</f>
        <v/>
      </c>
      <c r="D806" s="166" t="str">
        <f>IF($A806&gt;MIN($A$10,$A$2),"",IF(AND($A$12,$A$6=1,B806&lt;$A$7,$A$7&lt;=MAX(DemoHistory[Date])),$A$8,1))</f>
        <v/>
      </c>
      <c r="E806" s="166" t="str">
        <f t="shared" si="33"/>
        <v/>
      </c>
      <c r="F806" s="166" t="str">
        <f>IF($A806&gt;MIN($A$10,$A$2),"",IF($A806&lt;50,"n.a.",IF(COUNT(INDEX(StockDaily[Adjusted close],MAX(1,$A806-50+1)):E806)=50,AVERAGE(INDEX(StockDaily[Adjusted close],MAX(1,$A806-50+1)):E806),"n.a.")))</f>
        <v/>
      </c>
      <c r="G806" s="166" t="str">
        <f>IF($A806&gt;MIN($A$10,$A$2),"",IF($A806&lt;200,"n.a.",IF(COUNT(INDEX(StockDaily[Adjusted close],MAX(1,$A806-200+1)):E806)=200,AVERAGE(INDEX(StockDaily[Adjusted close],MAX(1,$A806-200+1)):E806),"n.a.")))</f>
        <v/>
      </c>
      <c r="H806" s="136" t="str">
        <f>IF($A806&gt;MIN($A$10,$A$2),"",IF($A$5="","Choose stock",IF(NOT($A$12),"Check split rule",IF(NOT(ISNUMBER(B806)),"Invalid date",IF(OR(B806&lt;=0,B806&lt;&gt;INT(B806)),"Invalid date",IF(COUNTIFS(DemoHistory[Date],B806)&lt;&gt;1,"Duplicate date",IF(AND($A806&gt;1,B806&lt;=B805),"Dates out of order",IF(NOT(ISNUMBER(C806)),"Missing price",IF(C806&lt;=0,"Nonpositive price","OK")))))))))</f>
        <v/>
      </c>
      <c r="I806" s="136"/>
      <c r="J806" s="136"/>
      <c r="K806" s="136"/>
      <c r="L806" s="136"/>
      <c r="M806" s="136"/>
      <c r="N806" s="136" t="e">
        <f t="shared" si="34"/>
        <v>#N/A</v>
      </c>
      <c r="O806" s="136" t="e">
        <f t="shared" si="35"/>
        <v>#N/A</v>
      </c>
    </row>
    <row r="807" spans="1:15" ht="22" customHeight="1" x14ac:dyDescent="0.35">
      <c r="A807" s="136">
        <v>763</v>
      </c>
      <c r="B807" s="165" t="str">
        <f>IF($A807&gt;MIN($A$10,$A$2),"",INDEX(DemoHistory[Date],$A807))</f>
        <v/>
      </c>
      <c r="C807" s="166" t="str">
        <f>IF(OR($A807&gt;MIN($A$10,$A$2),$A$5=""),"",INDEX(DemoHistory[],$A807,MATCH($A$5,DemoHistory[#Headers],0)))</f>
        <v/>
      </c>
      <c r="D807" s="166" t="str">
        <f>IF($A807&gt;MIN($A$10,$A$2),"",IF(AND($A$12,$A$6=1,B807&lt;$A$7,$A$7&lt;=MAX(DemoHistory[Date])),$A$8,1))</f>
        <v/>
      </c>
      <c r="E807" s="166" t="str">
        <f t="shared" si="33"/>
        <v/>
      </c>
      <c r="F807" s="166" t="str">
        <f>IF($A807&gt;MIN($A$10,$A$2),"",IF($A807&lt;50,"n.a.",IF(COUNT(INDEX(StockDaily[Adjusted close],MAX(1,$A807-50+1)):E807)=50,AVERAGE(INDEX(StockDaily[Adjusted close],MAX(1,$A807-50+1)):E807),"n.a.")))</f>
        <v/>
      </c>
      <c r="G807" s="166" t="str">
        <f>IF($A807&gt;MIN($A$10,$A$2),"",IF($A807&lt;200,"n.a.",IF(COUNT(INDEX(StockDaily[Adjusted close],MAX(1,$A807-200+1)):E807)=200,AVERAGE(INDEX(StockDaily[Adjusted close],MAX(1,$A807-200+1)):E807),"n.a.")))</f>
        <v/>
      </c>
      <c r="H807" s="136" t="str">
        <f>IF($A807&gt;MIN($A$10,$A$2),"",IF($A$5="","Choose stock",IF(NOT($A$12),"Check split rule",IF(NOT(ISNUMBER(B807)),"Invalid date",IF(OR(B807&lt;=0,B807&lt;&gt;INT(B807)),"Invalid date",IF(COUNTIFS(DemoHistory[Date],B807)&lt;&gt;1,"Duplicate date",IF(AND($A807&gt;1,B807&lt;=B806),"Dates out of order",IF(NOT(ISNUMBER(C807)),"Missing price",IF(C807&lt;=0,"Nonpositive price","OK")))))))))</f>
        <v/>
      </c>
      <c r="I807" s="136"/>
      <c r="J807" s="136"/>
      <c r="K807" s="136"/>
      <c r="L807" s="136"/>
      <c r="M807" s="136"/>
      <c r="N807" s="136" t="e">
        <f t="shared" si="34"/>
        <v>#N/A</v>
      </c>
      <c r="O807" s="136" t="e">
        <f t="shared" si="35"/>
        <v>#N/A</v>
      </c>
    </row>
    <row r="808" spans="1:15" ht="22" customHeight="1" x14ac:dyDescent="0.35">
      <c r="A808" s="136">
        <v>764</v>
      </c>
      <c r="B808" s="165" t="str">
        <f>IF($A808&gt;MIN($A$10,$A$2),"",INDEX(DemoHistory[Date],$A808))</f>
        <v/>
      </c>
      <c r="C808" s="166" t="str">
        <f>IF(OR($A808&gt;MIN($A$10,$A$2),$A$5=""),"",INDEX(DemoHistory[],$A808,MATCH($A$5,DemoHistory[#Headers],0)))</f>
        <v/>
      </c>
      <c r="D808" s="166" t="str">
        <f>IF($A808&gt;MIN($A$10,$A$2),"",IF(AND($A$12,$A$6=1,B808&lt;$A$7,$A$7&lt;=MAX(DemoHistory[Date])),$A$8,1))</f>
        <v/>
      </c>
      <c r="E808" s="166" t="str">
        <f t="shared" si="33"/>
        <v/>
      </c>
      <c r="F808" s="166" t="str">
        <f>IF($A808&gt;MIN($A$10,$A$2),"",IF($A808&lt;50,"n.a.",IF(COUNT(INDEX(StockDaily[Adjusted close],MAX(1,$A808-50+1)):E808)=50,AVERAGE(INDEX(StockDaily[Adjusted close],MAX(1,$A808-50+1)):E808),"n.a.")))</f>
        <v/>
      </c>
      <c r="G808" s="166" t="str">
        <f>IF($A808&gt;MIN($A$10,$A$2),"",IF($A808&lt;200,"n.a.",IF(COUNT(INDEX(StockDaily[Adjusted close],MAX(1,$A808-200+1)):E808)=200,AVERAGE(INDEX(StockDaily[Adjusted close],MAX(1,$A808-200+1)):E808),"n.a.")))</f>
        <v/>
      </c>
      <c r="H808" s="136" t="str">
        <f>IF($A808&gt;MIN($A$10,$A$2),"",IF($A$5="","Choose stock",IF(NOT($A$12),"Check split rule",IF(NOT(ISNUMBER(B808)),"Invalid date",IF(OR(B808&lt;=0,B808&lt;&gt;INT(B808)),"Invalid date",IF(COUNTIFS(DemoHistory[Date],B808)&lt;&gt;1,"Duplicate date",IF(AND($A808&gt;1,B808&lt;=B807),"Dates out of order",IF(NOT(ISNUMBER(C808)),"Missing price",IF(C808&lt;=0,"Nonpositive price","OK")))))))))</f>
        <v/>
      </c>
      <c r="I808" s="136"/>
      <c r="J808" s="136"/>
      <c r="K808" s="136"/>
      <c r="L808" s="136"/>
      <c r="M808" s="136"/>
      <c r="N808" s="136" t="e">
        <f t="shared" si="34"/>
        <v>#N/A</v>
      </c>
      <c r="O808" s="136" t="e">
        <f t="shared" si="35"/>
        <v>#N/A</v>
      </c>
    </row>
    <row r="809" spans="1:15" ht="22" customHeight="1" x14ac:dyDescent="0.35">
      <c r="A809" s="136">
        <v>765</v>
      </c>
      <c r="B809" s="165" t="str">
        <f>IF($A809&gt;MIN($A$10,$A$2),"",INDEX(DemoHistory[Date],$A809))</f>
        <v/>
      </c>
      <c r="C809" s="166" t="str">
        <f>IF(OR($A809&gt;MIN($A$10,$A$2),$A$5=""),"",INDEX(DemoHistory[],$A809,MATCH($A$5,DemoHistory[#Headers],0)))</f>
        <v/>
      </c>
      <c r="D809" s="166" t="str">
        <f>IF($A809&gt;MIN($A$10,$A$2),"",IF(AND($A$12,$A$6=1,B809&lt;$A$7,$A$7&lt;=MAX(DemoHistory[Date])),$A$8,1))</f>
        <v/>
      </c>
      <c r="E809" s="166" t="str">
        <f t="shared" si="33"/>
        <v/>
      </c>
      <c r="F809" s="166" t="str">
        <f>IF($A809&gt;MIN($A$10,$A$2),"",IF($A809&lt;50,"n.a.",IF(COUNT(INDEX(StockDaily[Adjusted close],MAX(1,$A809-50+1)):E809)=50,AVERAGE(INDEX(StockDaily[Adjusted close],MAX(1,$A809-50+1)):E809),"n.a.")))</f>
        <v/>
      </c>
      <c r="G809" s="166" t="str">
        <f>IF($A809&gt;MIN($A$10,$A$2),"",IF($A809&lt;200,"n.a.",IF(COUNT(INDEX(StockDaily[Adjusted close],MAX(1,$A809-200+1)):E809)=200,AVERAGE(INDEX(StockDaily[Adjusted close],MAX(1,$A809-200+1)):E809),"n.a.")))</f>
        <v/>
      </c>
      <c r="H809" s="136" t="str">
        <f>IF($A809&gt;MIN($A$10,$A$2),"",IF($A$5="","Choose stock",IF(NOT($A$12),"Check split rule",IF(NOT(ISNUMBER(B809)),"Invalid date",IF(OR(B809&lt;=0,B809&lt;&gt;INT(B809)),"Invalid date",IF(COUNTIFS(DemoHistory[Date],B809)&lt;&gt;1,"Duplicate date",IF(AND($A809&gt;1,B809&lt;=B808),"Dates out of order",IF(NOT(ISNUMBER(C809)),"Missing price",IF(C809&lt;=0,"Nonpositive price","OK")))))))))</f>
        <v/>
      </c>
      <c r="I809" s="136"/>
      <c r="J809" s="136"/>
      <c r="K809" s="136"/>
      <c r="L809" s="136"/>
      <c r="M809" s="136"/>
      <c r="N809" s="136" t="e">
        <f t="shared" si="34"/>
        <v>#N/A</v>
      </c>
      <c r="O809" s="136" t="e">
        <f t="shared" si="35"/>
        <v>#N/A</v>
      </c>
    </row>
    <row r="810" spans="1:15" ht="22" customHeight="1" x14ac:dyDescent="0.35">
      <c r="A810" s="136">
        <v>766</v>
      </c>
      <c r="B810" s="165" t="str">
        <f>IF($A810&gt;MIN($A$10,$A$2),"",INDEX(DemoHistory[Date],$A810))</f>
        <v/>
      </c>
      <c r="C810" s="166" t="str">
        <f>IF(OR($A810&gt;MIN($A$10,$A$2),$A$5=""),"",INDEX(DemoHistory[],$A810,MATCH($A$5,DemoHistory[#Headers],0)))</f>
        <v/>
      </c>
      <c r="D810" s="166" t="str">
        <f>IF($A810&gt;MIN($A$10,$A$2),"",IF(AND($A$12,$A$6=1,B810&lt;$A$7,$A$7&lt;=MAX(DemoHistory[Date])),$A$8,1))</f>
        <v/>
      </c>
      <c r="E810" s="166" t="str">
        <f t="shared" si="33"/>
        <v/>
      </c>
      <c r="F810" s="166" t="str">
        <f>IF($A810&gt;MIN($A$10,$A$2),"",IF($A810&lt;50,"n.a.",IF(COUNT(INDEX(StockDaily[Adjusted close],MAX(1,$A810-50+1)):E810)=50,AVERAGE(INDEX(StockDaily[Adjusted close],MAX(1,$A810-50+1)):E810),"n.a.")))</f>
        <v/>
      </c>
      <c r="G810" s="166" t="str">
        <f>IF($A810&gt;MIN($A$10,$A$2),"",IF($A810&lt;200,"n.a.",IF(COUNT(INDEX(StockDaily[Adjusted close],MAX(1,$A810-200+1)):E810)=200,AVERAGE(INDEX(StockDaily[Adjusted close],MAX(1,$A810-200+1)):E810),"n.a.")))</f>
        <v/>
      </c>
      <c r="H810" s="136" t="str">
        <f>IF($A810&gt;MIN($A$10,$A$2),"",IF($A$5="","Choose stock",IF(NOT($A$12),"Check split rule",IF(NOT(ISNUMBER(B810)),"Invalid date",IF(OR(B810&lt;=0,B810&lt;&gt;INT(B810)),"Invalid date",IF(COUNTIFS(DemoHistory[Date],B810)&lt;&gt;1,"Duplicate date",IF(AND($A810&gt;1,B810&lt;=B809),"Dates out of order",IF(NOT(ISNUMBER(C810)),"Missing price",IF(C810&lt;=0,"Nonpositive price","OK")))))))))</f>
        <v/>
      </c>
      <c r="I810" s="136"/>
      <c r="J810" s="136"/>
      <c r="K810" s="136"/>
      <c r="L810" s="136"/>
      <c r="M810" s="136"/>
      <c r="N810" s="136" t="e">
        <f t="shared" si="34"/>
        <v>#N/A</v>
      </c>
      <c r="O810" s="136" t="e">
        <f t="shared" si="35"/>
        <v>#N/A</v>
      </c>
    </row>
    <row r="811" spans="1:15" ht="22" customHeight="1" x14ac:dyDescent="0.35">
      <c r="A811" s="136">
        <v>767</v>
      </c>
      <c r="B811" s="165" t="str">
        <f>IF($A811&gt;MIN($A$10,$A$2),"",INDEX(DemoHistory[Date],$A811))</f>
        <v/>
      </c>
      <c r="C811" s="166" t="str">
        <f>IF(OR($A811&gt;MIN($A$10,$A$2),$A$5=""),"",INDEX(DemoHistory[],$A811,MATCH($A$5,DemoHistory[#Headers],0)))</f>
        <v/>
      </c>
      <c r="D811" s="166" t="str">
        <f>IF($A811&gt;MIN($A$10,$A$2),"",IF(AND($A$12,$A$6=1,B811&lt;$A$7,$A$7&lt;=MAX(DemoHistory[Date])),$A$8,1))</f>
        <v/>
      </c>
      <c r="E811" s="166" t="str">
        <f t="shared" si="33"/>
        <v/>
      </c>
      <c r="F811" s="166" t="str">
        <f>IF($A811&gt;MIN($A$10,$A$2),"",IF($A811&lt;50,"n.a.",IF(COUNT(INDEX(StockDaily[Adjusted close],MAX(1,$A811-50+1)):E811)=50,AVERAGE(INDEX(StockDaily[Adjusted close],MAX(1,$A811-50+1)):E811),"n.a.")))</f>
        <v/>
      </c>
      <c r="G811" s="166" t="str">
        <f>IF($A811&gt;MIN($A$10,$A$2),"",IF($A811&lt;200,"n.a.",IF(COUNT(INDEX(StockDaily[Adjusted close],MAX(1,$A811-200+1)):E811)=200,AVERAGE(INDEX(StockDaily[Adjusted close],MAX(1,$A811-200+1)):E811),"n.a.")))</f>
        <v/>
      </c>
      <c r="H811" s="136" t="str">
        <f>IF($A811&gt;MIN($A$10,$A$2),"",IF($A$5="","Choose stock",IF(NOT($A$12),"Check split rule",IF(NOT(ISNUMBER(B811)),"Invalid date",IF(OR(B811&lt;=0,B811&lt;&gt;INT(B811)),"Invalid date",IF(COUNTIFS(DemoHistory[Date],B811)&lt;&gt;1,"Duplicate date",IF(AND($A811&gt;1,B811&lt;=B810),"Dates out of order",IF(NOT(ISNUMBER(C811)),"Missing price",IF(C811&lt;=0,"Nonpositive price","OK")))))))))</f>
        <v/>
      </c>
      <c r="I811" s="136"/>
      <c r="J811" s="136"/>
      <c r="K811" s="136"/>
      <c r="L811" s="136"/>
      <c r="M811" s="136"/>
      <c r="N811" s="136" t="e">
        <f t="shared" si="34"/>
        <v>#N/A</v>
      </c>
      <c r="O811" s="136" t="e">
        <f t="shared" si="35"/>
        <v>#N/A</v>
      </c>
    </row>
    <row r="812" spans="1:15" ht="22" customHeight="1" x14ac:dyDescent="0.35">
      <c r="A812" s="136">
        <v>768</v>
      </c>
      <c r="B812" s="165" t="str">
        <f>IF($A812&gt;MIN($A$10,$A$2),"",INDEX(DemoHistory[Date],$A812))</f>
        <v/>
      </c>
      <c r="C812" s="166" t="str">
        <f>IF(OR($A812&gt;MIN($A$10,$A$2),$A$5=""),"",INDEX(DemoHistory[],$A812,MATCH($A$5,DemoHistory[#Headers],0)))</f>
        <v/>
      </c>
      <c r="D812" s="166" t="str">
        <f>IF($A812&gt;MIN($A$10,$A$2),"",IF(AND($A$12,$A$6=1,B812&lt;$A$7,$A$7&lt;=MAX(DemoHistory[Date])),$A$8,1))</f>
        <v/>
      </c>
      <c r="E812" s="166" t="str">
        <f t="shared" si="33"/>
        <v/>
      </c>
      <c r="F812" s="166" t="str">
        <f>IF($A812&gt;MIN($A$10,$A$2),"",IF($A812&lt;50,"n.a.",IF(COUNT(INDEX(StockDaily[Adjusted close],MAX(1,$A812-50+1)):E812)=50,AVERAGE(INDEX(StockDaily[Adjusted close],MAX(1,$A812-50+1)):E812),"n.a.")))</f>
        <v/>
      </c>
      <c r="G812" s="166" t="str">
        <f>IF($A812&gt;MIN($A$10,$A$2),"",IF($A812&lt;200,"n.a.",IF(COUNT(INDEX(StockDaily[Adjusted close],MAX(1,$A812-200+1)):E812)=200,AVERAGE(INDEX(StockDaily[Adjusted close],MAX(1,$A812-200+1)):E812),"n.a.")))</f>
        <v/>
      </c>
      <c r="H812" s="136" t="str">
        <f>IF($A812&gt;MIN($A$10,$A$2),"",IF($A$5="","Choose stock",IF(NOT($A$12),"Check split rule",IF(NOT(ISNUMBER(B812)),"Invalid date",IF(OR(B812&lt;=0,B812&lt;&gt;INT(B812)),"Invalid date",IF(COUNTIFS(DemoHistory[Date],B812)&lt;&gt;1,"Duplicate date",IF(AND($A812&gt;1,B812&lt;=B811),"Dates out of order",IF(NOT(ISNUMBER(C812)),"Missing price",IF(C812&lt;=0,"Nonpositive price","OK")))))))))</f>
        <v/>
      </c>
      <c r="I812" s="136"/>
      <c r="J812" s="136"/>
      <c r="K812" s="136"/>
      <c r="L812" s="136"/>
      <c r="M812" s="136"/>
      <c r="N812" s="136" t="e">
        <f t="shared" si="34"/>
        <v>#N/A</v>
      </c>
      <c r="O812" s="136" t="e">
        <f t="shared" si="35"/>
        <v>#N/A</v>
      </c>
    </row>
    <row r="813" spans="1:15" ht="22" customHeight="1" x14ac:dyDescent="0.35">
      <c r="A813" s="136">
        <v>769</v>
      </c>
      <c r="B813" s="165" t="str">
        <f>IF($A813&gt;MIN($A$10,$A$2),"",INDEX(DemoHistory[Date],$A813))</f>
        <v/>
      </c>
      <c r="C813" s="166" t="str">
        <f>IF(OR($A813&gt;MIN($A$10,$A$2),$A$5=""),"",INDEX(DemoHistory[],$A813,MATCH($A$5,DemoHistory[#Headers],0)))</f>
        <v/>
      </c>
      <c r="D813" s="166" t="str">
        <f>IF($A813&gt;MIN($A$10,$A$2),"",IF(AND($A$12,$A$6=1,B813&lt;$A$7,$A$7&lt;=MAX(DemoHistory[Date])),$A$8,1))</f>
        <v/>
      </c>
      <c r="E813" s="166" t="str">
        <f t="shared" ref="E813:E876" si="36">IF($A813&gt;MIN($A$10,$A$2),"",IF(H813="OK",C813/D813,"n.a."))</f>
        <v/>
      </c>
      <c r="F813" s="166" t="str">
        <f>IF($A813&gt;MIN($A$10,$A$2),"",IF($A813&lt;50,"n.a.",IF(COUNT(INDEX(StockDaily[Adjusted close],MAX(1,$A813-50+1)):E813)=50,AVERAGE(INDEX(StockDaily[Adjusted close],MAX(1,$A813-50+1)):E813),"n.a.")))</f>
        <v/>
      </c>
      <c r="G813" s="166" t="str">
        <f>IF($A813&gt;MIN($A$10,$A$2),"",IF($A813&lt;200,"n.a.",IF(COUNT(INDEX(StockDaily[Adjusted close],MAX(1,$A813-200+1)):E813)=200,AVERAGE(INDEX(StockDaily[Adjusted close],MAX(1,$A813-200+1)):E813),"n.a.")))</f>
        <v/>
      </c>
      <c r="H813" s="136" t="str">
        <f>IF($A813&gt;MIN($A$10,$A$2),"",IF($A$5="","Choose stock",IF(NOT($A$12),"Check split rule",IF(NOT(ISNUMBER(B813)),"Invalid date",IF(OR(B813&lt;=0,B813&lt;&gt;INT(B813)),"Invalid date",IF(COUNTIFS(DemoHistory[Date],B813)&lt;&gt;1,"Duplicate date",IF(AND($A813&gt;1,B813&lt;=B812),"Dates out of order",IF(NOT(ISNUMBER(C813)),"Missing price",IF(C813&lt;=0,"Nonpositive price","OK")))))))))</f>
        <v/>
      </c>
      <c r="I813" s="136"/>
      <c r="J813" s="136"/>
      <c r="K813" s="136"/>
      <c r="L813" s="136"/>
      <c r="M813" s="136"/>
      <c r="N813" s="136" t="e">
        <f t="shared" ref="N813:N876" si="37">IF(AND($A$13="Ready",ISNUMBER(E813)),E813,NA())</f>
        <v>#N/A</v>
      </c>
      <c r="O813" s="136" t="e">
        <f t="shared" ref="O813:O876" si="38">IF(AND($A$13="Ready",ISNUMBER(F813)),F813,NA())</f>
        <v>#N/A</v>
      </c>
    </row>
    <row r="814" spans="1:15" ht="22" customHeight="1" x14ac:dyDescent="0.35">
      <c r="A814" s="136">
        <v>770</v>
      </c>
      <c r="B814" s="165" t="str">
        <f>IF($A814&gt;MIN($A$10,$A$2),"",INDEX(DemoHistory[Date],$A814))</f>
        <v/>
      </c>
      <c r="C814" s="166" t="str">
        <f>IF(OR($A814&gt;MIN($A$10,$A$2),$A$5=""),"",INDEX(DemoHistory[],$A814,MATCH($A$5,DemoHistory[#Headers],0)))</f>
        <v/>
      </c>
      <c r="D814" s="166" t="str">
        <f>IF($A814&gt;MIN($A$10,$A$2),"",IF(AND($A$12,$A$6=1,B814&lt;$A$7,$A$7&lt;=MAX(DemoHistory[Date])),$A$8,1))</f>
        <v/>
      </c>
      <c r="E814" s="166" t="str">
        <f t="shared" si="36"/>
        <v/>
      </c>
      <c r="F814" s="166" t="str">
        <f>IF($A814&gt;MIN($A$10,$A$2),"",IF($A814&lt;50,"n.a.",IF(COUNT(INDEX(StockDaily[Adjusted close],MAX(1,$A814-50+1)):E814)=50,AVERAGE(INDEX(StockDaily[Adjusted close],MAX(1,$A814-50+1)):E814),"n.a.")))</f>
        <v/>
      </c>
      <c r="G814" s="166" t="str">
        <f>IF($A814&gt;MIN($A$10,$A$2),"",IF($A814&lt;200,"n.a.",IF(COUNT(INDEX(StockDaily[Adjusted close],MAX(1,$A814-200+1)):E814)=200,AVERAGE(INDEX(StockDaily[Adjusted close],MAX(1,$A814-200+1)):E814),"n.a.")))</f>
        <v/>
      </c>
      <c r="H814" s="136" t="str">
        <f>IF($A814&gt;MIN($A$10,$A$2),"",IF($A$5="","Choose stock",IF(NOT($A$12),"Check split rule",IF(NOT(ISNUMBER(B814)),"Invalid date",IF(OR(B814&lt;=0,B814&lt;&gt;INT(B814)),"Invalid date",IF(COUNTIFS(DemoHistory[Date],B814)&lt;&gt;1,"Duplicate date",IF(AND($A814&gt;1,B814&lt;=B813),"Dates out of order",IF(NOT(ISNUMBER(C814)),"Missing price",IF(C814&lt;=0,"Nonpositive price","OK")))))))))</f>
        <v/>
      </c>
      <c r="I814" s="136"/>
      <c r="J814" s="136"/>
      <c r="K814" s="136"/>
      <c r="L814" s="136"/>
      <c r="M814" s="136"/>
      <c r="N814" s="136" t="e">
        <f t="shared" si="37"/>
        <v>#N/A</v>
      </c>
      <c r="O814" s="136" t="e">
        <f t="shared" si="38"/>
        <v>#N/A</v>
      </c>
    </row>
    <row r="815" spans="1:15" ht="22" customHeight="1" x14ac:dyDescent="0.35">
      <c r="A815" s="136">
        <v>771</v>
      </c>
      <c r="B815" s="165" t="str">
        <f>IF($A815&gt;MIN($A$10,$A$2),"",INDEX(DemoHistory[Date],$A815))</f>
        <v/>
      </c>
      <c r="C815" s="166" t="str">
        <f>IF(OR($A815&gt;MIN($A$10,$A$2),$A$5=""),"",INDEX(DemoHistory[],$A815,MATCH($A$5,DemoHistory[#Headers],0)))</f>
        <v/>
      </c>
      <c r="D815" s="166" t="str">
        <f>IF($A815&gt;MIN($A$10,$A$2),"",IF(AND($A$12,$A$6=1,B815&lt;$A$7,$A$7&lt;=MAX(DemoHistory[Date])),$A$8,1))</f>
        <v/>
      </c>
      <c r="E815" s="166" t="str">
        <f t="shared" si="36"/>
        <v/>
      </c>
      <c r="F815" s="166" t="str">
        <f>IF($A815&gt;MIN($A$10,$A$2),"",IF($A815&lt;50,"n.a.",IF(COUNT(INDEX(StockDaily[Adjusted close],MAX(1,$A815-50+1)):E815)=50,AVERAGE(INDEX(StockDaily[Adjusted close],MAX(1,$A815-50+1)):E815),"n.a.")))</f>
        <v/>
      </c>
      <c r="G815" s="166" t="str">
        <f>IF($A815&gt;MIN($A$10,$A$2),"",IF($A815&lt;200,"n.a.",IF(COUNT(INDEX(StockDaily[Adjusted close],MAX(1,$A815-200+1)):E815)=200,AVERAGE(INDEX(StockDaily[Adjusted close],MAX(1,$A815-200+1)):E815),"n.a.")))</f>
        <v/>
      </c>
      <c r="H815" s="136" t="str">
        <f>IF($A815&gt;MIN($A$10,$A$2),"",IF($A$5="","Choose stock",IF(NOT($A$12),"Check split rule",IF(NOT(ISNUMBER(B815)),"Invalid date",IF(OR(B815&lt;=0,B815&lt;&gt;INT(B815)),"Invalid date",IF(COUNTIFS(DemoHistory[Date],B815)&lt;&gt;1,"Duplicate date",IF(AND($A815&gt;1,B815&lt;=B814),"Dates out of order",IF(NOT(ISNUMBER(C815)),"Missing price",IF(C815&lt;=0,"Nonpositive price","OK")))))))))</f>
        <v/>
      </c>
      <c r="I815" s="136"/>
      <c r="J815" s="136"/>
      <c r="K815" s="136"/>
      <c r="L815" s="136"/>
      <c r="M815" s="136"/>
      <c r="N815" s="136" t="e">
        <f t="shared" si="37"/>
        <v>#N/A</v>
      </c>
      <c r="O815" s="136" t="e">
        <f t="shared" si="38"/>
        <v>#N/A</v>
      </c>
    </row>
    <row r="816" spans="1:15" ht="22" customHeight="1" x14ac:dyDescent="0.35">
      <c r="A816" s="136">
        <v>772</v>
      </c>
      <c r="B816" s="165" t="str">
        <f>IF($A816&gt;MIN($A$10,$A$2),"",INDEX(DemoHistory[Date],$A816))</f>
        <v/>
      </c>
      <c r="C816" s="166" t="str">
        <f>IF(OR($A816&gt;MIN($A$10,$A$2),$A$5=""),"",INDEX(DemoHistory[],$A816,MATCH($A$5,DemoHistory[#Headers],0)))</f>
        <v/>
      </c>
      <c r="D816" s="166" t="str">
        <f>IF($A816&gt;MIN($A$10,$A$2),"",IF(AND($A$12,$A$6=1,B816&lt;$A$7,$A$7&lt;=MAX(DemoHistory[Date])),$A$8,1))</f>
        <v/>
      </c>
      <c r="E816" s="166" t="str">
        <f t="shared" si="36"/>
        <v/>
      </c>
      <c r="F816" s="166" t="str">
        <f>IF($A816&gt;MIN($A$10,$A$2),"",IF($A816&lt;50,"n.a.",IF(COUNT(INDEX(StockDaily[Adjusted close],MAX(1,$A816-50+1)):E816)=50,AVERAGE(INDEX(StockDaily[Adjusted close],MAX(1,$A816-50+1)):E816),"n.a.")))</f>
        <v/>
      </c>
      <c r="G816" s="166" t="str">
        <f>IF($A816&gt;MIN($A$10,$A$2),"",IF($A816&lt;200,"n.a.",IF(COUNT(INDEX(StockDaily[Adjusted close],MAX(1,$A816-200+1)):E816)=200,AVERAGE(INDEX(StockDaily[Adjusted close],MAX(1,$A816-200+1)):E816),"n.a.")))</f>
        <v/>
      </c>
      <c r="H816" s="136" t="str">
        <f>IF($A816&gt;MIN($A$10,$A$2),"",IF($A$5="","Choose stock",IF(NOT($A$12),"Check split rule",IF(NOT(ISNUMBER(B816)),"Invalid date",IF(OR(B816&lt;=0,B816&lt;&gt;INT(B816)),"Invalid date",IF(COUNTIFS(DemoHistory[Date],B816)&lt;&gt;1,"Duplicate date",IF(AND($A816&gt;1,B816&lt;=B815),"Dates out of order",IF(NOT(ISNUMBER(C816)),"Missing price",IF(C816&lt;=0,"Nonpositive price","OK")))))))))</f>
        <v/>
      </c>
      <c r="I816" s="136"/>
      <c r="J816" s="136"/>
      <c r="K816" s="136"/>
      <c r="L816" s="136"/>
      <c r="M816" s="136"/>
      <c r="N816" s="136" t="e">
        <f t="shared" si="37"/>
        <v>#N/A</v>
      </c>
      <c r="O816" s="136" t="e">
        <f t="shared" si="38"/>
        <v>#N/A</v>
      </c>
    </row>
    <row r="817" spans="1:15" ht="22" customHeight="1" x14ac:dyDescent="0.35">
      <c r="A817" s="136">
        <v>773</v>
      </c>
      <c r="B817" s="165" t="str">
        <f>IF($A817&gt;MIN($A$10,$A$2),"",INDEX(DemoHistory[Date],$A817))</f>
        <v/>
      </c>
      <c r="C817" s="166" t="str">
        <f>IF(OR($A817&gt;MIN($A$10,$A$2),$A$5=""),"",INDEX(DemoHistory[],$A817,MATCH($A$5,DemoHistory[#Headers],0)))</f>
        <v/>
      </c>
      <c r="D817" s="166" t="str">
        <f>IF($A817&gt;MIN($A$10,$A$2),"",IF(AND($A$12,$A$6=1,B817&lt;$A$7,$A$7&lt;=MAX(DemoHistory[Date])),$A$8,1))</f>
        <v/>
      </c>
      <c r="E817" s="166" t="str">
        <f t="shared" si="36"/>
        <v/>
      </c>
      <c r="F817" s="166" t="str">
        <f>IF($A817&gt;MIN($A$10,$A$2),"",IF($A817&lt;50,"n.a.",IF(COUNT(INDEX(StockDaily[Adjusted close],MAX(1,$A817-50+1)):E817)=50,AVERAGE(INDEX(StockDaily[Adjusted close],MAX(1,$A817-50+1)):E817),"n.a.")))</f>
        <v/>
      </c>
      <c r="G817" s="166" t="str">
        <f>IF($A817&gt;MIN($A$10,$A$2),"",IF($A817&lt;200,"n.a.",IF(COUNT(INDEX(StockDaily[Adjusted close],MAX(1,$A817-200+1)):E817)=200,AVERAGE(INDEX(StockDaily[Adjusted close],MAX(1,$A817-200+1)):E817),"n.a.")))</f>
        <v/>
      </c>
      <c r="H817" s="136" t="str">
        <f>IF($A817&gt;MIN($A$10,$A$2),"",IF($A$5="","Choose stock",IF(NOT($A$12),"Check split rule",IF(NOT(ISNUMBER(B817)),"Invalid date",IF(OR(B817&lt;=0,B817&lt;&gt;INT(B817)),"Invalid date",IF(COUNTIFS(DemoHistory[Date],B817)&lt;&gt;1,"Duplicate date",IF(AND($A817&gt;1,B817&lt;=B816),"Dates out of order",IF(NOT(ISNUMBER(C817)),"Missing price",IF(C817&lt;=0,"Nonpositive price","OK")))))))))</f>
        <v/>
      </c>
      <c r="I817" s="136"/>
      <c r="J817" s="136"/>
      <c r="K817" s="136"/>
      <c r="L817" s="136"/>
      <c r="M817" s="136"/>
      <c r="N817" s="136" t="e">
        <f t="shared" si="37"/>
        <v>#N/A</v>
      </c>
      <c r="O817" s="136" t="e">
        <f t="shared" si="38"/>
        <v>#N/A</v>
      </c>
    </row>
    <row r="818" spans="1:15" ht="22" customHeight="1" x14ac:dyDescent="0.35">
      <c r="A818" s="136">
        <v>774</v>
      </c>
      <c r="B818" s="165" t="str">
        <f>IF($A818&gt;MIN($A$10,$A$2),"",INDEX(DemoHistory[Date],$A818))</f>
        <v/>
      </c>
      <c r="C818" s="166" t="str">
        <f>IF(OR($A818&gt;MIN($A$10,$A$2),$A$5=""),"",INDEX(DemoHistory[],$A818,MATCH($A$5,DemoHistory[#Headers],0)))</f>
        <v/>
      </c>
      <c r="D818" s="166" t="str">
        <f>IF($A818&gt;MIN($A$10,$A$2),"",IF(AND($A$12,$A$6=1,B818&lt;$A$7,$A$7&lt;=MAX(DemoHistory[Date])),$A$8,1))</f>
        <v/>
      </c>
      <c r="E818" s="166" t="str">
        <f t="shared" si="36"/>
        <v/>
      </c>
      <c r="F818" s="166" t="str">
        <f>IF($A818&gt;MIN($A$10,$A$2),"",IF($A818&lt;50,"n.a.",IF(COUNT(INDEX(StockDaily[Adjusted close],MAX(1,$A818-50+1)):E818)=50,AVERAGE(INDEX(StockDaily[Adjusted close],MAX(1,$A818-50+1)):E818),"n.a.")))</f>
        <v/>
      </c>
      <c r="G818" s="166" t="str">
        <f>IF($A818&gt;MIN($A$10,$A$2),"",IF($A818&lt;200,"n.a.",IF(COUNT(INDEX(StockDaily[Adjusted close],MAX(1,$A818-200+1)):E818)=200,AVERAGE(INDEX(StockDaily[Adjusted close],MAX(1,$A818-200+1)):E818),"n.a.")))</f>
        <v/>
      </c>
      <c r="H818" s="136" t="str">
        <f>IF($A818&gt;MIN($A$10,$A$2),"",IF($A$5="","Choose stock",IF(NOT($A$12),"Check split rule",IF(NOT(ISNUMBER(B818)),"Invalid date",IF(OR(B818&lt;=0,B818&lt;&gt;INT(B818)),"Invalid date",IF(COUNTIFS(DemoHistory[Date],B818)&lt;&gt;1,"Duplicate date",IF(AND($A818&gt;1,B818&lt;=B817),"Dates out of order",IF(NOT(ISNUMBER(C818)),"Missing price",IF(C818&lt;=0,"Nonpositive price","OK")))))))))</f>
        <v/>
      </c>
      <c r="I818" s="136"/>
      <c r="J818" s="136"/>
      <c r="K818" s="136"/>
      <c r="L818" s="136"/>
      <c r="M818" s="136"/>
      <c r="N818" s="136" t="e">
        <f t="shared" si="37"/>
        <v>#N/A</v>
      </c>
      <c r="O818" s="136" t="e">
        <f t="shared" si="38"/>
        <v>#N/A</v>
      </c>
    </row>
    <row r="819" spans="1:15" ht="22" customHeight="1" x14ac:dyDescent="0.35">
      <c r="A819" s="136">
        <v>775</v>
      </c>
      <c r="B819" s="165" t="str">
        <f>IF($A819&gt;MIN($A$10,$A$2),"",INDEX(DemoHistory[Date],$A819))</f>
        <v/>
      </c>
      <c r="C819" s="166" t="str">
        <f>IF(OR($A819&gt;MIN($A$10,$A$2),$A$5=""),"",INDEX(DemoHistory[],$A819,MATCH($A$5,DemoHistory[#Headers],0)))</f>
        <v/>
      </c>
      <c r="D819" s="166" t="str">
        <f>IF($A819&gt;MIN($A$10,$A$2),"",IF(AND($A$12,$A$6=1,B819&lt;$A$7,$A$7&lt;=MAX(DemoHistory[Date])),$A$8,1))</f>
        <v/>
      </c>
      <c r="E819" s="166" t="str">
        <f t="shared" si="36"/>
        <v/>
      </c>
      <c r="F819" s="166" t="str">
        <f>IF($A819&gt;MIN($A$10,$A$2),"",IF($A819&lt;50,"n.a.",IF(COUNT(INDEX(StockDaily[Adjusted close],MAX(1,$A819-50+1)):E819)=50,AVERAGE(INDEX(StockDaily[Adjusted close],MAX(1,$A819-50+1)):E819),"n.a.")))</f>
        <v/>
      </c>
      <c r="G819" s="166" t="str">
        <f>IF($A819&gt;MIN($A$10,$A$2),"",IF($A819&lt;200,"n.a.",IF(COUNT(INDEX(StockDaily[Adjusted close],MAX(1,$A819-200+1)):E819)=200,AVERAGE(INDEX(StockDaily[Adjusted close],MAX(1,$A819-200+1)):E819),"n.a.")))</f>
        <v/>
      </c>
      <c r="H819" s="136" t="str">
        <f>IF($A819&gt;MIN($A$10,$A$2),"",IF($A$5="","Choose stock",IF(NOT($A$12),"Check split rule",IF(NOT(ISNUMBER(B819)),"Invalid date",IF(OR(B819&lt;=0,B819&lt;&gt;INT(B819)),"Invalid date",IF(COUNTIFS(DemoHistory[Date],B819)&lt;&gt;1,"Duplicate date",IF(AND($A819&gt;1,B819&lt;=B818),"Dates out of order",IF(NOT(ISNUMBER(C819)),"Missing price",IF(C819&lt;=0,"Nonpositive price","OK")))))))))</f>
        <v/>
      </c>
      <c r="I819" s="136"/>
      <c r="J819" s="136"/>
      <c r="K819" s="136"/>
      <c r="L819" s="136"/>
      <c r="M819" s="136"/>
      <c r="N819" s="136" t="e">
        <f t="shared" si="37"/>
        <v>#N/A</v>
      </c>
      <c r="O819" s="136" t="e">
        <f t="shared" si="38"/>
        <v>#N/A</v>
      </c>
    </row>
    <row r="820" spans="1:15" ht="22" customHeight="1" x14ac:dyDescent="0.35">
      <c r="A820" s="136">
        <v>776</v>
      </c>
      <c r="B820" s="165" t="str">
        <f>IF($A820&gt;MIN($A$10,$A$2),"",INDEX(DemoHistory[Date],$A820))</f>
        <v/>
      </c>
      <c r="C820" s="166" t="str">
        <f>IF(OR($A820&gt;MIN($A$10,$A$2),$A$5=""),"",INDEX(DemoHistory[],$A820,MATCH($A$5,DemoHistory[#Headers],0)))</f>
        <v/>
      </c>
      <c r="D820" s="166" t="str">
        <f>IF($A820&gt;MIN($A$10,$A$2),"",IF(AND($A$12,$A$6=1,B820&lt;$A$7,$A$7&lt;=MAX(DemoHistory[Date])),$A$8,1))</f>
        <v/>
      </c>
      <c r="E820" s="166" t="str">
        <f t="shared" si="36"/>
        <v/>
      </c>
      <c r="F820" s="166" t="str">
        <f>IF($A820&gt;MIN($A$10,$A$2),"",IF($A820&lt;50,"n.a.",IF(COUNT(INDEX(StockDaily[Adjusted close],MAX(1,$A820-50+1)):E820)=50,AVERAGE(INDEX(StockDaily[Adjusted close],MAX(1,$A820-50+1)):E820),"n.a.")))</f>
        <v/>
      </c>
      <c r="G820" s="166" t="str">
        <f>IF($A820&gt;MIN($A$10,$A$2),"",IF($A820&lt;200,"n.a.",IF(COUNT(INDEX(StockDaily[Adjusted close],MAX(1,$A820-200+1)):E820)=200,AVERAGE(INDEX(StockDaily[Adjusted close],MAX(1,$A820-200+1)):E820),"n.a.")))</f>
        <v/>
      </c>
      <c r="H820" s="136" t="str">
        <f>IF($A820&gt;MIN($A$10,$A$2),"",IF($A$5="","Choose stock",IF(NOT($A$12),"Check split rule",IF(NOT(ISNUMBER(B820)),"Invalid date",IF(OR(B820&lt;=0,B820&lt;&gt;INT(B820)),"Invalid date",IF(COUNTIFS(DemoHistory[Date],B820)&lt;&gt;1,"Duplicate date",IF(AND($A820&gt;1,B820&lt;=B819),"Dates out of order",IF(NOT(ISNUMBER(C820)),"Missing price",IF(C820&lt;=0,"Nonpositive price","OK")))))))))</f>
        <v/>
      </c>
      <c r="I820" s="136"/>
      <c r="J820" s="136"/>
      <c r="K820" s="136"/>
      <c r="L820" s="136"/>
      <c r="M820" s="136"/>
      <c r="N820" s="136" t="e">
        <f t="shared" si="37"/>
        <v>#N/A</v>
      </c>
      <c r="O820" s="136" t="e">
        <f t="shared" si="38"/>
        <v>#N/A</v>
      </c>
    </row>
    <row r="821" spans="1:15" ht="22" customHeight="1" x14ac:dyDescent="0.35">
      <c r="A821" s="136">
        <v>777</v>
      </c>
      <c r="B821" s="165" t="str">
        <f>IF($A821&gt;MIN($A$10,$A$2),"",INDEX(DemoHistory[Date],$A821))</f>
        <v/>
      </c>
      <c r="C821" s="166" t="str">
        <f>IF(OR($A821&gt;MIN($A$10,$A$2),$A$5=""),"",INDEX(DemoHistory[],$A821,MATCH($A$5,DemoHistory[#Headers],0)))</f>
        <v/>
      </c>
      <c r="D821" s="166" t="str">
        <f>IF($A821&gt;MIN($A$10,$A$2),"",IF(AND($A$12,$A$6=1,B821&lt;$A$7,$A$7&lt;=MAX(DemoHistory[Date])),$A$8,1))</f>
        <v/>
      </c>
      <c r="E821" s="166" t="str">
        <f t="shared" si="36"/>
        <v/>
      </c>
      <c r="F821" s="166" t="str">
        <f>IF($A821&gt;MIN($A$10,$A$2),"",IF($A821&lt;50,"n.a.",IF(COUNT(INDEX(StockDaily[Adjusted close],MAX(1,$A821-50+1)):E821)=50,AVERAGE(INDEX(StockDaily[Adjusted close],MAX(1,$A821-50+1)):E821),"n.a.")))</f>
        <v/>
      </c>
      <c r="G821" s="166" t="str">
        <f>IF($A821&gt;MIN($A$10,$A$2),"",IF($A821&lt;200,"n.a.",IF(COUNT(INDEX(StockDaily[Adjusted close],MAX(1,$A821-200+1)):E821)=200,AVERAGE(INDEX(StockDaily[Adjusted close],MAX(1,$A821-200+1)):E821),"n.a.")))</f>
        <v/>
      </c>
      <c r="H821" s="136" t="str">
        <f>IF($A821&gt;MIN($A$10,$A$2),"",IF($A$5="","Choose stock",IF(NOT($A$12),"Check split rule",IF(NOT(ISNUMBER(B821)),"Invalid date",IF(OR(B821&lt;=0,B821&lt;&gt;INT(B821)),"Invalid date",IF(COUNTIFS(DemoHistory[Date],B821)&lt;&gt;1,"Duplicate date",IF(AND($A821&gt;1,B821&lt;=B820),"Dates out of order",IF(NOT(ISNUMBER(C821)),"Missing price",IF(C821&lt;=0,"Nonpositive price","OK")))))))))</f>
        <v/>
      </c>
      <c r="I821" s="136"/>
      <c r="J821" s="136"/>
      <c r="K821" s="136"/>
      <c r="L821" s="136"/>
      <c r="M821" s="136"/>
      <c r="N821" s="136" t="e">
        <f t="shared" si="37"/>
        <v>#N/A</v>
      </c>
      <c r="O821" s="136" t="e">
        <f t="shared" si="38"/>
        <v>#N/A</v>
      </c>
    </row>
    <row r="822" spans="1:15" ht="22" customHeight="1" x14ac:dyDescent="0.35">
      <c r="A822" s="136">
        <v>778</v>
      </c>
      <c r="B822" s="165" t="str">
        <f>IF($A822&gt;MIN($A$10,$A$2),"",INDEX(DemoHistory[Date],$A822))</f>
        <v/>
      </c>
      <c r="C822" s="166" t="str">
        <f>IF(OR($A822&gt;MIN($A$10,$A$2),$A$5=""),"",INDEX(DemoHistory[],$A822,MATCH($A$5,DemoHistory[#Headers],0)))</f>
        <v/>
      </c>
      <c r="D822" s="166" t="str">
        <f>IF($A822&gt;MIN($A$10,$A$2),"",IF(AND($A$12,$A$6=1,B822&lt;$A$7,$A$7&lt;=MAX(DemoHistory[Date])),$A$8,1))</f>
        <v/>
      </c>
      <c r="E822" s="166" t="str">
        <f t="shared" si="36"/>
        <v/>
      </c>
      <c r="F822" s="166" t="str">
        <f>IF($A822&gt;MIN($A$10,$A$2),"",IF($A822&lt;50,"n.a.",IF(COUNT(INDEX(StockDaily[Adjusted close],MAX(1,$A822-50+1)):E822)=50,AVERAGE(INDEX(StockDaily[Adjusted close],MAX(1,$A822-50+1)):E822),"n.a.")))</f>
        <v/>
      </c>
      <c r="G822" s="166" t="str">
        <f>IF($A822&gt;MIN($A$10,$A$2),"",IF($A822&lt;200,"n.a.",IF(COUNT(INDEX(StockDaily[Adjusted close],MAX(1,$A822-200+1)):E822)=200,AVERAGE(INDEX(StockDaily[Adjusted close],MAX(1,$A822-200+1)):E822),"n.a.")))</f>
        <v/>
      </c>
      <c r="H822" s="136" t="str">
        <f>IF($A822&gt;MIN($A$10,$A$2),"",IF($A$5="","Choose stock",IF(NOT($A$12),"Check split rule",IF(NOT(ISNUMBER(B822)),"Invalid date",IF(OR(B822&lt;=0,B822&lt;&gt;INT(B822)),"Invalid date",IF(COUNTIFS(DemoHistory[Date],B822)&lt;&gt;1,"Duplicate date",IF(AND($A822&gt;1,B822&lt;=B821),"Dates out of order",IF(NOT(ISNUMBER(C822)),"Missing price",IF(C822&lt;=0,"Nonpositive price","OK")))))))))</f>
        <v/>
      </c>
      <c r="I822" s="136"/>
      <c r="J822" s="136"/>
      <c r="K822" s="136"/>
      <c r="L822" s="136"/>
      <c r="M822" s="136"/>
      <c r="N822" s="136" t="e">
        <f t="shared" si="37"/>
        <v>#N/A</v>
      </c>
      <c r="O822" s="136" t="e">
        <f t="shared" si="38"/>
        <v>#N/A</v>
      </c>
    </row>
    <row r="823" spans="1:15" ht="22" customHeight="1" x14ac:dyDescent="0.35">
      <c r="A823" s="136">
        <v>779</v>
      </c>
      <c r="B823" s="165" t="str">
        <f>IF($A823&gt;MIN($A$10,$A$2),"",INDEX(DemoHistory[Date],$A823))</f>
        <v/>
      </c>
      <c r="C823" s="166" t="str">
        <f>IF(OR($A823&gt;MIN($A$10,$A$2),$A$5=""),"",INDEX(DemoHistory[],$A823,MATCH($A$5,DemoHistory[#Headers],0)))</f>
        <v/>
      </c>
      <c r="D823" s="166" t="str">
        <f>IF($A823&gt;MIN($A$10,$A$2),"",IF(AND($A$12,$A$6=1,B823&lt;$A$7,$A$7&lt;=MAX(DemoHistory[Date])),$A$8,1))</f>
        <v/>
      </c>
      <c r="E823" s="166" t="str">
        <f t="shared" si="36"/>
        <v/>
      </c>
      <c r="F823" s="166" t="str">
        <f>IF($A823&gt;MIN($A$10,$A$2),"",IF($A823&lt;50,"n.a.",IF(COUNT(INDEX(StockDaily[Adjusted close],MAX(1,$A823-50+1)):E823)=50,AVERAGE(INDEX(StockDaily[Adjusted close],MAX(1,$A823-50+1)):E823),"n.a.")))</f>
        <v/>
      </c>
      <c r="G823" s="166" t="str">
        <f>IF($A823&gt;MIN($A$10,$A$2),"",IF($A823&lt;200,"n.a.",IF(COUNT(INDEX(StockDaily[Adjusted close],MAX(1,$A823-200+1)):E823)=200,AVERAGE(INDEX(StockDaily[Adjusted close],MAX(1,$A823-200+1)):E823),"n.a.")))</f>
        <v/>
      </c>
      <c r="H823" s="136" t="str">
        <f>IF($A823&gt;MIN($A$10,$A$2),"",IF($A$5="","Choose stock",IF(NOT($A$12),"Check split rule",IF(NOT(ISNUMBER(B823)),"Invalid date",IF(OR(B823&lt;=0,B823&lt;&gt;INT(B823)),"Invalid date",IF(COUNTIFS(DemoHistory[Date],B823)&lt;&gt;1,"Duplicate date",IF(AND($A823&gt;1,B823&lt;=B822),"Dates out of order",IF(NOT(ISNUMBER(C823)),"Missing price",IF(C823&lt;=0,"Nonpositive price","OK")))))))))</f>
        <v/>
      </c>
      <c r="I823" s="136"/>
      <c r="J823" s="136"/>
      <c r="K823" s="136"/>
      <c r="L823" s="136"/>
      <c r="M823" s="136"/>
      <c r="N823" s="136" t="e">
        <f t="shared" si="37"/>
        <v>#N/A</v>
      </c>
      <c r="O823" s="136" t="e">
        <f t="shared" si="38"/>
        <v>#N/A</v>
      </c>
    </row>
    <row r="824" spans="1:15" ht="22" customHeight="1" x14ac:dyDescent="0.35">
      <c r="A824" s="136">
        <v>780</v>
      </c>
      <c r="B824" s="165" t="str">
        <f>IF($A824&gt;MIN($A$10,$A$2),"",INDEX(DemoHistory[Date],$A824))</f>
        <v/>
      </c>
      <c r="C824" s="166" t="str">
        <f>IF(OR($A824&gt;MIN($A$10,$A$2),$A$5=""),"",INDEX(DemoHistory[],$A824,MATCH($A$5,DemoHistory[#Headers],0)))</f>
        <v/>
      </c>
      <c r="D824" s="166" t="str">
        <f>IF($A824&gt;MIN($A$10,$A$2),"",IF(AND($A$12,$A$6=1,B824&lt;$A$7,$A$7&lt;=MAX(DemoHistory[Date])),$A$8,1))</f>
        <v/>
      </c>
      <c r="E824" s="166" t="str">
        <f t="shared" si="36"/>
        <v/>
      </c>
      <c r="F824" s="166" t="str">
        <f>IF($A824&gt;MIN($A$10,$A$2),"",IF($A824&lt;50,"n.a.",IF(COUNT(INDEX(StockDaily[Adjusted close],MAX(1,$A824-50+1)):E824)=50,AVERAGE(INDEX(StockDaily[Adjusted close],MAX(1,$A824-50+1)):E824),"n.a.")))</f>
        <v/>
      </c>
      <c r="G824" s="166" t="str">
        <f>IF($A824&gt;MIN($A$10,$A$2),"",IF($A824&lt;200,"n.a.",IF(COUNT(INDEX(StockDaily[Adjusted close],MAX(1,$A824-200+1)):E824)=200,AVERAGE(INDEX(StockDaily[Adjusted close],MAX(1,$A824-200+1)):E824),"n.a.")))</f>
        <v/>
      </c>
      <c r="H824" s="136" t="str">
        <f>IF($A824&gt;MIN($A$10,$A$2),"",IF($A$5="","Choose stock",IF(NOT($A$12),"Check split rule",IF(NOT(ISNUMBER(B824)),"Invalid date",IF(OR(B824&lt;=0,B824&lt;&gt;INT(B824)),"Invalid date",IF(COUNTIFS(DemoHistory[Date],B824)&lt;&gt;1,"Duplicate date",IF(AND($A824&gt;1,B824&lt;=B823),"Dates out of order",IF(NOT(ISNUMBER(C824)),"Missing price",IF(C824&lt;=0,"Nonpositive price","OK")))))))))</f>
        <v/>
      </c>
      <c r="I824" s="136"/>
      <c r="J824" s="136"/>
      <c r="K824" s="136"/>
      <c r="L824" s="136"/>
      <c r="M824" s="136"/>
      <c r="N824" s="136" t="e">
        <f t="shared" si="37"/>
        <v>#N/A</v>
      </c>
      <c r="O824" s="136" t="e">
        <f t="shared" si="38"/>
        <v>#N/A</v>
      </c>
    </row>
    <row r="825" spans="1:15" ht="22" customHeight="1" x14ac:dyDescent="0.35">
      <c r="A825" s="136">
        <v>781</v>
      </c>
      <c r="B825" s="165" t="str">
        <f>IF($A825&gt;MIN($A$10,$A$2),"",INDEX(DemoHistory[Date],$A825))</f>
        <v/>
      </c>
      <c r="C825" s="166" t="str">
        <f>IF(OR($A825&gt;MIN($A$10,$A$2),$A$5=""),"",INDEX(DemoHistory[],$A825,MATCH($A$5,DemoHistory[#Headers],0)))</f>
        <v/>
      </c>
      <c r="D825" s="166" t="str">
        <f>IF($A825&gt;MIN($A$10,$A$2),"",IF(AND($A$12,$A$6=1,B825&lt;$A$7,$A$7&lt;=MAX(DemoHistory[Date])),$A$8,1))</f>
        <v/>
      </c>
      <c r="E825" s="166" t="str">
        <f t="shared" si="36"/>
        <v/>
      </c>
      <c r="F825" s="166" t="str">
        <f>IF($A825&gt;MIN($A$10,$A$2),"",IF($A825&lt;50,"n.a.",IF(COUNT(INDEX(StockDaily[Adjusted close],MAX(1,$A825-50+1)):E825)=50,AVERAGE(INDEX(StockDaily[Adjusted close],MAX(1,$A825-50+1)):E825),"n.a.")))</f>
        <v/>
      </c>
      <c r="G825" s="166" t="str">
        <f>IF($A825&gt;MIN($A$10,$A$2),"",IF($A825&lt;200,"n.a.",IF(COUNT(INDEX(StockDaily[Adjusted close],MAX(1,$A825-200+1)):E825)=200,AVERAGE(INDEX(StockDaily[Adjusted close],MAX(1,$A825-200+1)):E825),"n.a.")))</f>
        <v/>
      </c>
      <c r="H825" s="136" t="str">
        <f>IF($A825&gt;MIN($A$10,$A$2),"",IF($A$5="","Choose stock",IF(NOT($A$12),"Check split rule",IF(NOT(ISNUMBER(B825)),"Invalid date",IF(OR(B825&lt;=0,B825&lt;&gt;INT(B825)),"Invalid date",IF(COUNTIFS(DemoHistory[Date],B825)&lt;&gt;1,"Duplicate date",IF(AND($A825&gt;1,B825&lt;=B824),"Dates out of order",IF(NOT(ISNUMBER(C825)),"Missing price",IF(C825&lt;=0,"Nonpositive price","OK")))))))))</f>
        <v/>
      </c>
      <c r="I825" s="136"/>
      <c r="J825" s="136"/>
      <c r="K825" s="136"/>
      <c r="L825" s="136"/>
      <c r="M825" s="136"/>
      <c r="N825" s="136" t="e">
        <f t="shared" si="37"/>
        <v>#N/A</v>
      </c>
      <c r="O825" s="136" t="e">
        <f t="shared" si="38"/>
        <v>#N/A</v>
      </c>
    </row>
    <row r="826" spans="1:15" ht="22" customHeight="1" x14ac:dyDescent="0.35">
      <c r="A826" s="136">
        <v>782</v>
      </c>
      <c r="B826" s="165" t="str">
        <f>IF($A826&gt;MIN($A$10,$A$2),"",INDEX(DemoHistory[Date],$A826))</f>
        <v/>
      </c>
      <c r="C826" s="166" t="str">
        <f>IF(OR($A826&gt;MIN($A$10,$A$2),$A$5=""),"",INDEX(DemoHistory[],$A826,MATCH($A$5,DemoHistory[#Headers],0)))</f>
        <v/>
      </c>
      <c r="D826" s="166" t="str">
        <f>IF($A826&gt;MIN($A$10,$A$2),"",IF(AND($A$12,$A$6=1,B826&lt;$A$7,$A$7&lt;=MAX(DemoHistory[Date])),$A$8,1))</f>
        <v/>
      </c>
      <c r="E826" s="166" t="str">
        <f t="shared" si="36"/>
        <v/>
      </c>
      <c r="F826" s="166" t="str">
        <f>IF($A826&gt;MIN($A$10,$A$2),"",IF($A826&lt;50,"n.a.",IF(COUNT(INDEX(StockDaily[Adjusted close],MAX(1,$A826-50+1)):E826)=50,AVERAGE(INDEX(StockDaily[Adjusted close],MAX(1,$A826-50+1)):E826),"n.a.")))</f>
        <v/>
      </c>
      <c r="G826" s="166" t="str">
        <f>IF($A826&gt;MIN($A$10,$A$2),"",IF($A826&lt;200,"n.a.",IF(COUNT(INDEX(StockDaily[Adjusted close],MAX(1,$A826-200+1)):E826)=200,AVERAGE(INDEX(StockDaily[Adjusted close],MAX(1,$A826-200+1)):E826),"n.a.")))</f>
        <v/>
      </c>
      <c r="H826" s="136" t="str">
        <f>IF($A826&gt;MIN($A$10,$A$2),"",IF($A$5="","Choose stock",IF(NOT($A$12),"Check split rule",IF(NOT(ISNUMBER(B826)),"Invalid date",IF(OR(B826&lt;=0,B826&lt;&gt;INT(B826)),"Invalid date",IF(COUNTIFS(DemoHistory[Date],B826)&lt;&gt;1,"Duplicate date",IF(AND($A826&gt;1,B826&lt;=B825),"Dates out of order",IF(NOT(ISNUMBER(C826)),"Missing price",IF(C826&lt;=0,"Nonpositive price","OK")))))))))</f>
        <v/>
      </c>
      <c r="I826" s="136"/>
      <c r="J826" s="136"/>
      <c r="K826" s="136"/>
      <c r="L826" s="136"/>
      <c r="M826" s="136"/>
      <c r="N826" s="136" t="e">
        <f t="shared" si="37"/>
        <v>#N/A</v>
      </c>
      <c r="O826" s="136" t="e">
        <f t="shared" si="38"/>
        <v>#N/A</v>
      </c>
    </row>
    <row r="827" spans="1:15" ht="22" customHeight="1" x14ac:dyDescent="0.35">
      <c r="A827" s="136">
        <v>783</v>
      </c>
      <c r="B827" s="165" t="str">
        <f>IF($A827&gt;MIN($A$10,$A$2),"",INDEX(DemoHistory[Date],$A827))</f>
        <v/>
      </c>
      <c r="C827" s="166" t="str">
        <f>IF(OR($A827&gt;MIN($A$10,$A$2),$A$5=""),"",INDEX(DemoHistory[],$A827,MATCH($A$5,DemoHistory[#Headers],0)))</f>
        <v/>
      </c>
      <c r="D827" s="166" t="str">
        <f>IF($A827&gt;MIN($A$10,$A$2),"",IF(AND($A$12,$A$6=1,B827&lt;$A$7,$A$7&lt;=MAX(DemoHistory[Date])),$A$8,1))</f>
        <v/>
      </c>
      <c r="E827" s="166" t="str">
        <f t="shared" si="36"/>
        <v/>
      </c>
      <c r="F827" s="166" t="str">
        <f>IF($A827&gt;MIN($A$10,$A$2),"",IF($A827&lt;50,"n.a.",IF(COUNT(INDEX(StockDaily[Adjusted close],MAX(1,$A827-50+1)):E827)=50,AVERAGE(INDEX(StockDaily[Adjusted close],MAX(1,$A827-50+1)):E827),"n.a.")))</f>
        <v/>
      </c>
      <c r="G827" s="166" t="str">
        <f>IF($A827&gt;MIN($A$10,$A$2),"",IF($A827&lt;200,"n.a.",IF(COUNT(INDEX(StockDaily[Adjusted close],MAX(1,$A827-200+1)):E827)=200,AVERAGE(INDEX(StockDaily[Adjusted close],MAX(1,$A827-200+1)):E827),"n.a.")))</f>
        <v/>
      </c>
      <c r="H827" s="136" t="str">
        <f>IF($A827&gt;MIN($A$10,$A$2),"",IF($A$5="","Choose stock",IF(NOT($A$12),"Check split rule",IF(NOT(ISNUMBER(B827)),"Invalid date",IF(OR(B827&lt;=0,B827&lt;&gt;INT(B827)),"Invalid date",IF(COUNTIFS(DemoHistory[Date],B827)&lt;&gt;1,"Duplicate date",IF(AND($A827&gt;1,B827&lt;=B826),"Dates out of order",IF(NOT(ISNUMBER(C827)),"Missing price",IF(C827&lt;=0,"Nonpositive price","OK")))))))))</f>
        <v/>
      </c>
      <c r="I827" s="136"/>
      <c r="J827" s="136"/>
      <c r="K827" s="136"/>
      <c r="L827" s="136"/>
      <c r="M827" s="136"/>
      <c r="N827" s="136" t="e">
        <f t="shared" si="37"/>
        <v>#N/A</v>
      </c>
      <c r="O827" s="136" t="e">
        <f t="shared" si="38"/>
        <v>#N/A</v>
      </c>
    </row>
    <row r="828" spans="1:15" ht="22" customHeight="1" x14ac:dyDescent="0.35">
      <c r="A828" s="136">
        <v>784</v>
      </c>
      <c r="B828" s="165" t="str">
        <f>IF($A828&gt;MIN($A$10,$A$2),"",INDEX(DemoHistory[Date],$A828))</f>
        <v/>
      </c>
      <c r="C828" s="166" t="str">
        <f>IF(OR($A828&gt;MIN($A$10,$A$2),$A$5=""),"",INDEX(DemoHistory[],$A828,MATCH($A$5,DemoHistory[#Headers],0)))</f>
        <v/>
      </c>
      <c r="D828" s="166" t="str">
        <f>IF($A828&gt;MIN($A$10,$A$2),"",IF(AND($A$12,$A$6=1,B828&lt;$A$7,$A$7&lt;=MAX(DemoHistory[Date])),$A$8,1))</f>
        <v/>
      </c>
      <c r="E828" s="166" t="str">
        <f t="shared" si="36"/>
        <v/>
      </c>
      <c r="F828" s="166" t="str">
        <f>IF($A828&gt;MIN($A$10,$A$2),"",IF($A828&lt;50,"n.a.",IF(COUNT(INDEX(StockDaily[Adjusted close],MAX(1,$A828-50+1)):E828)=50,AVERAGE(INDEX(StockDaily[Adjusted close],MAX(1,$A828-50+1)):E828),"n.a.")))</f>
        <v/>
      </c>
      <c r="G828" s="166" t="str">
        <f>IF($A828&gt;MIN($A$10,$A$2),"",IF($A828&lt;200,"n.a.",IF(COUNT(INDEX(StockDaily[Adjusted close],MAX(1,$A828-200+1)):E828)=200,AVERAGE(INDEX(StockDaily[Adjusted close],MAX(1,$A828-200+1)):E828),"n.a.")))</f>
        <v/>
      </c>
      <c r="H828" s="136" t="str">
        <f>IF($A828&gt;MIN($A$10,$A$2),"",IF($A$5="","Choose stock",IF(NOT($A$12),"Check split rule",IF(NOT(ISNUMBER(B828)),"Invalid date",IF(OR(B828&lt;=0,B828&lt;&gt;INT(B828)),"Invalid date",IF(COUNTIFS(DemoHistory[Date],B828)&lt;&gt;1,"Duplicate date",IF(AND($A828&gt;1,B828&lt;=B827),"Dates out of order",IF(NOT(ISNUMBER(C828)),"Missing price",IF(C828&lt;=0,"Nonpositive price","OK")))))))))</f>
        <v/>
      </c>
      <c r="I828" s="136"/>
      <c r="J828" s="136"/>
      <c r="K828" s="136"/>
      <c r="L828" s="136"/>
      <c r="M828" s="136"/>
      <c r="N828" s="136" t="e">
        <f t="shared" si="37"/>
        <v>#N/A</v>
      </c>
      <c r="O828" s="136" t="e">
        <f t="shared" si="38"/>
        <v>#N/A</v>
      </c>
    </row>
    <row r="829" spans="1:15" ht="22" customHeight="1" x14ac:dyDescent="0.35">
      <c r="A829" s="136">
        <v>785</v>
      </c>
      <c r="B829" s="165" t="str">
        <f>IF($A829&gt;MIN($A$10,$A$2),"",INDEX(DemoHistory[Date],$A829))</f>
        <v/>
      </c>
      <c r="C829" s="166" t="str">
        <f>IF(OR($A829&gt;MIN($A$10,$A$2),$A$5=""),"",INDEX(DemoHistory[],$A829,MATCH($A$5,DemoHistory[#Headers],0)))</f>
        <v/>
      </c>
      <c r="D829" s="166" t="str">
        <f>IF($A829&gt;MIN($A$10,$A$2),"",IF(AND($A$12,$A$6=1,B829&lt;$A$7,$A$7&lt;=MAX(DemoHistory[Date])),$A$8,1))</f>
        <v/>
      </c>
      <c r="E829" s="166" t="str">
        <f t="shared" si="36"/>
        <v/>
      </c>
      <c r="F829" s="166" t="str">
        <f>IF($A829&gt;MIN($A$10,$A$2),"",IF($A829&lt;50,"n.a.",IF(COUNT(INDEX(StockDaily[Adjusted close],MAX(1,$A829-50+1)):E829)=50,AVERAGE(INDEX(StockDaily[Adjusted close],MAX(1,$A829-50+1)):E829),"n.a.")))</f>
        <v/>
      </c>
      <c r="G829" s="166" t="str">
        <f>IF($A829&gt;MIN($A$10,$A$2),"",IF($A829&lt;200,"n.a.",IF(COUNT(INDEX(StockDaily[Adjusted close],MAX(1,$A829-200+1)):E829)=200,AVERAGE(INDEX(StockDaily[Adjusted close],MAX(1,$A829-200+1)):E829),"n.a.")))</f>
        <v/>
      </c>
      <c r="H829" s="136" t="str">
        <f>IF($A829&gt;MIN($A$10,$A$2),"",IF($A$5="","Choose stock",IF(NOT($A$12),"Check split rule",IF(NOT(ISNUMBER(B829)),"Invalid date",IF(OR(B829&lt;=0,B829&lt;&gt;INT(B829)),"Invalid date",IF(COUNTIFS(DemoHistory[Date],B829)&lt;&gt;1,"Duplicate date",IF(AND($A829&gt;1,B829&lt;=B828),"Dates out of order",IF(NOT(ISNUMBER(C829)),"Missing price",IF(C829&lt;=0,"Nonpositive price","OK")))))))))</f>
        <v/>
      </c>
      <c r="I829" s="136"/>
      <c r="J829" s="136"/>
      <c r="K829" s="136"/>
      <c r="L829" s="136"/>
      <c r="M829" s="136"/>
      <c r="N829" s="136" t="e">
        <f t="shared" si="37"/>
        <v>#N/A</v>
      </c>
      <c r="O829" s="136" t="e">
        <f t="shared" si="38"/>
        <v>#N/A</v>
      </c>
    </row>
    <row r="830" spans="1:15" ht="22" customHeight="1" x14ac:dyDescent="0.35">
      <c r="A830" s="136">
        <v>786</v>
      </c>
      <c r="B830" s="165" t="str">
        <f>IF($A830&gt;MIN($A$10,$A$2),"",INDEX(DemoHistory[Date],$A830))</f>
        <v/>
      </c>
      <c r="C830" s="166" t="str">
        <f>IF(OR($A830&gt;MIN($A$10,$A$2),$A$5=""),"",INDEX(DemoHistory[],$A830,MATCH($A$5,DemoHistory[#Headers],0)))</f>
        <v/>
      </c>
      <c r="D830" s="166" t="str">
        <f>IF($A830&gt;MIN($A$10,$A$2),"",IF(AND($A$12,$A$6=1,B830&lt;$A$7,$A$7&lt;=MAX(DemoHistory[Date])),$A$8,1))</f>
        <v/>
      </c>
      <c r="E830" s="166" t="str">
        <f t="shared" si="36"/>
        <v/>
      </c>
      <c r="F830" s="166" t="str">
        <f>IF($A830&gt;MIN($A$10,$A$2),"",IF($A830&lt;50,"n.a.",IF(COUNT(INDEX(StockDaily[Adjusted close],MAX(1,$A830-50+1)):E830)=50,AVERAGE(INDEX(StockDaily[Adjusted close],MAX(1,$A830-50+1)):E830),"n.a.")))</f>
        <v/>
      </c>
      <c r="G830" s="166" t="str">
        <f>IF($A830&gt;MIN($A$10,$A$2),"",IF($A830&lt;200,"n.a.",IF(COUNT(INDEX(StockDaily[Adjusted close],MAX(1,$A830-200+1)):E830)=200,AVERAGE(INDEX(StockDaily[Adjusted close],MAX(1,$A830-200+1)):E830),"n.a.")))</f>
        <v/>
      </c>
      <c r="H830" s="136" t="str">
        <f>IF($A830&gt;MIN($A$10,$A$2),"",IF($A$5="","Choose stock",IF(NOT($A$12),"Check split rule",IF(NOT(ISNUMBER(B830)),"Invalid date",IF(OR(B830&lt;=0,B830&lt;&gt;INT(B830)),"Invalid date",IF(COUNTIFS(DemoHistory[Date],B830)&lt;&gt;1,"Duplicate date",IF(AND($A830&gt;1,B830&lt;=B829),"Dates out of order",IF(NOT(ISNUMBER(C830)),"Missing price",IF(C830&lt;=0,"Nonpositive price","OK")))))))))</f>
        <v/>
      </c>
      <c r="I830" s="136"/>
      <c r="J830" s="136"/>
      <c r="K830" s="136"/>
      <c r="L830" s="136"/>
      <c r="M830" s="136"/>
      <c r="N830" s="136" t="e">
        <f t="shared" si="37"/>
        <v>#N/A</v>
      </c>
      <c r="O830" s="136" t="e">
        <f t="shared" si="38"/>
        <v>#N/A</v>
      </c>
    </row>
    <row r="831" spans="1:15" ht="22" customHeight="1" x14ac:dyDescent="0.35">
      <c r="A831" s="136">
        <v>787</v>
      </c>
      <c r="B831" s="165" t="str">
        <f>IF($A831&gt;MIN($A$10,$A$2),"",INDEX(DemoHistory[Date],$A831))</f>
        <v/>
      </c>
      <c r="C831" s="166" t="str">
        <f>IF(OR($A831&gt;MIN($A$10,$A$2),$A$5=""),"",INDEX(DemoHistory[],$A831,MATCH($A$5,DemoHistory[#Headers],0)))</f>
        <v/>
      </c>
      <c r="D831" s="166" t="str">
        <f>IF($A831&gt;MIN($A$10,$A$2),"",IF(AND($A$12,$A$6=1,B831&lt;$A$7,$A$7&lt;=MAX(DemoHistory[Date])),$A$8,1))</f>
        <v/>
      </c>
      <c r="E831" s="166" t="str">
        <f t="shared" si="36"/>
        <v/>
      </c>
      <c r="F831" s="166" t="str">
        <f>IF($A831&gt;MIN($A$10,$A$2),"",IF($A831&lt;50,"n.a.",IF(COUNT(INDEX(StockDaily[Adjusted close],MAX(1,$A831-50+1)):E831)=50,AVERAGE(INDEX(StockDaily[Adjusted close],MAX(1,$A831-50+1)):E831),"n.a.")))</f>
        <v/>
      </c>
      <c r="G831" s="166" t="str">
        <f>IF($A831&gt;MIN($A$10,$A$2),"",IF($A831&lt;200,"n.a.",IF(COUNT(INDEX(StockDaily[Adjusted close],MAX(1,$A831-200+1)):E831)=200,AVERAGE(INDEX(StockDaily[Adjusted close],MAX(1,$A831-200+1)):E831),"n.a.")))</f>
        <v/>
      </c>
      <c r="H831" s="136" t="str">
        <f>IF($A831&gt;MIN($A$10,$A$2),"",IF($A$5="","Choose stock",IF(NOT($A$12),"Check split rule",IF(NOT(ISNUMBER(B831)),"Invalid date",IF(OR(B831&lt;=0,B831&lt;&gt;INT(B831)),"Invalid date",IF(COUNTIFS(DemoHistory[Date],B831)&lt;&gt;1,"Duplicate date",IF(AND($A831&gt;1,B831&lt;=B830),"Dates out of order",IF(NOT(ISNUMBER(C831)),"Missing price",IF(C831&lt;=0,"Nonpositive price","OK")))))))))</f>
        <v/>
      </c>
      <c r="I831" s="136"/>
      <c r="J831" s="136"/>
      <c r="K831" s="136"/>
      <c r="L831" s="136"/>
      <c r="M831" s="136"/>
      <c r="N831" s="136" t="e">
        <f t="shared" si="37"/>
        <v>#N/A</v>
      </c>
      <c r="O831" s="136" t="e">
        <f t="shared" si="38"/>
        <v>#N/A</v>
      </c>
    </row>
    <row r="832" spans="1:15" ht="22" customHeight="1" x14ac:dyDescent="0.35">
      <c r="A832" s="136">
        <v>788</v>
      </c>
      <c r="B832" s="165" t="str">
        <f>IF($A832&gt;MIN($A$10,$A$2),"",INDEX(DemoHistory[Date],$A832))</f>
        <v/>
      </c>
      <c r="C832" s="166" t="str">
        <f>IF(OR($A832&gt;MIN($A$10,$A$2),$A$5=""),"",INDEX(DemoHistory[],$A832,MATCH($A$5,DemoHistory[#Headers],0)))</f>
        <v/>
      </c>
      <c r="D832" s="166" t="str">
        <f>IF($A832&gt;MIN($A$10,$A$2),"",IF(AND($A$12,$A$6=1,B832&lt;$A$7,$A$7&lt;=MAX(DemoHistory[Date])),$A$8,1))</f>
        <v/>
      </c>
      <c r="E832" s="166" t="str">
        <f t="shared" si="36"/>
        <v/>
      </c>
      <c r="F832" s="166" t="str">
        <f>IF($A832&gt;MIN($A$10,$A$2),"",IF($A832&lt;50,"n.a.",IF(COUNT(INDEX(StockDaily[Adjusted close],MAX(1,$A832-50+1)):E832)=50,AVERAGE(INDEX(StockDaily[Adjusted close],MAX(1,$A832-50+1)):E832),"n.a.")))</f>
        <v/>
      </c>
      <c r="G832" s="166" t="str">
        <f>IF($A832&gt;MIN($A$10,$A$2),"",IF($A832&lt;200,"n.a.",IF(COUNT(INDEX(StockDaily[Adjusted close],MAX(1,$A832-200+1)):E832)=200,AVERAGE(INDEX(StockDaily[Adjusted close],MAX(1,$A832-200+1)):E832),"n.a.")))</f>
        <v/>
      </c>
      <c r="H832" s="136" t="str">
        <f>IF($A832&gt;MIN($A$10,$A$2),"",IF($A$5="","Choose stock",IF(NOT($A$12),"Check split rule",IF(NOT(ISNUMBER(B832)),"Invalid date",IF(OR(B832&lt;=0,B832&lt;&gt;INT(B832)),"Invalid date",IF(COUNTIFS(DemoHistory[Date],B832)&lt;&gt;1,"Duplicate date",IF(AND($A832&gt;1,B832&lt;=B831),"Dates out of order",IF(NOT(ISNUMBER(C832)),"Missing price",IF(C832&lt;=0,"Nonpositive price","OK")))))))))</f>
        <v/>
      </c>
      <c r="I832" s="136"/>
      <c r="J832" s="136"/>
      <c r="K832" s="136"/>
      <c r="L832" s="136"/>
      <c r="M832" s="136"/>
      <c r="N832" s="136" t="e">
        <f t="shared" si="37"/>
        <v>#N/A</v>
      </c>
      <c r="O832" s="136" t="e">
        <f t="shared" si="38"/>
        <v>#N/A</v>
      </c>
    </row>
    <row r="833" spans="1:15" ht="22" customHeight="1" x14ac:dyDescent="0.35">
      <c r="A833" s="136">
        <v>789</v>
      </c>
      <c r="B833" s="165" t="str">
        <f>IF($A833&gt;MIN($A$10,$A$2),"",INDEX(DemoHistory[Date],$A833))</f>
        <v/>
      </c>
      <c r="C833" s="166" t="str">
        <f>IF(OR($A833&gt;MIN($A$10,$A$2),$A$5=""),"",INDEX(DemoHistory[],$A833,MATCH($A$5,DemoHistory[#Headers],0)))</f>
        <v/>
      </c>
      <c r="D833" s="166" t="str">
        <f>IF($A833&gt;MIN($A$10,$A$2),"",IF(AND($A$12,$A$6=1,B833&lt;$A$7,$A$7&lt;=MAX(DemoHistory[Date])),$A$8,1))</f>
        <v/>
      </c>
      <c r="E833" s="166" t="str">
        <f t="shared" si="36"/>
        <v/>
      </c>
      <c r="F833" s="166" t="str">
        <f>IF($A833&gt;MIN($A$10,$A$2),"",IF($A833&lt;50,"n.a.",IF(COUNT(INDEX(StockDaily[Adjusted close],MAX(1,$A833-50+1)):E833)=50,AVERAGE(INDEX(StockDaily[Adjusted close],MAX(1,$A833-50+1)):E833),"n.a.")))</f>
        <v/>
      </c>
      <c r="G833" s="166" t="str">
        <f>IF($A833&gt;MIN($A$10,$A$2),"",IF($A833&lt;200,"n.a.",IF(COUNT(INDEX(StockDaily[Adjusted close],MAX(1,$A833-200+1)):E833)=200,AVERAGE(INDEX(StockDaily[Adjusted close],MAX(1,$A833-200+1)):E833),"n.a.")))</f>
        <v/>
      </c>
      <c r="H833" s="136" t="str">
        <f>IF($A833&gt;MIN($A$10,$A$2),"",IF($A$5="","Choose stock",IF(NOT($A$12),"Check split rule",IF(NOT(ISNUMBER(B833)),"Invalid date",IF(OR(B833&lt;=0,B833&lt;&gt;INT(B833)),"Invalid date",IF(COUNTIFS(DemoHistory[Date],B833)&lt;&gt;1,"Duplicate date",IF(AND($A833&gt;1,B833&lt;=B832),"Dates out of order",IF(NOT(ISNUMBER(C833)),"Missing price",IF(C833&lt;=0,"Nonpositive price","OK")))))))))</f>
        <v/>
      </c>
      <c r="I833" s="136"/>
      <c r="J833" s="136"/>
      <c r="K833" s="136"/>
      <c r="L833" s="136"/>
      <c r="M833" s="136"/>
      <c r="N833" s="136" t="e">
        <f t="shared" si="37"/>
        <v>#N/A</v>
      </c>
      <c r="O833" s="136" t="e">
        <f t="shared" si="38"/>
        <v>#N/A</v>
      </c>
    </row>
    <row r="834" spans="1:15" ht="22" customHeight="1" x14ac:dyDescent="0.35">
      <c r="A834" s="136">
        <v>790</v>
      </c>
      <c r="B834" s="165" t="str">
        <f>IF($A834&gt;MIN($A$10,$A$2),"",INDEX(DemoHistory[Date],$A834))</f>
        <v/>
      </c>
      <c r="C834" s="166" t="str">
        <f>IF(OR($A834&gt;MIN($A$10,$A$2),$A$5=""),"",INDEX(DemoHistory[],$A834,MATCH($A$5,DemoHistory[#Headers],0)))</f>
        <v/>
      </c>
      <c r="D834" s="166" t="str">
        <f>IF($A834&gt;MIN($A$10,$A$2),"",IF(AND($A$12,$A$6=1,B834&lt;$A$7,$A$7&lt;=MAX(DemoHistory[Date])),$A$8,1))</f>
        <v/>
      </c>
      <c r="E834" s="166" t="str">
        <f t="shared" si="36"/>
        <v/>
      </c>
      <c r="F834" s="166" t="str">
        <f>IF($A834&gt;MIN($A$10,$A$2),"",IF($A834&lt;50,"n.a.",IF(COUNT(INDEX(StockDaily[Adjusted close],MAX(1,$A834-50+1)):E834)=50,AVERAGE(INDEX(StockDaily[Adjusted close],MAX(1,$A834-50+1)):E834),"n.a.")))</f>
        <v/>
      </c>
      <c r="G834" s="166" t="str">
        <f>IF($A834&gt;MIN($A$10,$A$2),"",IF($A834&lt;200,"n.a.",IF(COUNT(INDEX(StockDaily[Adjusted close],MAX(1,$A834-200+1)):E834)=200,AVERAGE(INDEX(StockDaily[Adjusted close],MAX(1,$A834-200+1)):E834),"n.a.")))</f>
        <v/>
      </c>
      <c r="H834" s="136" t="str">
        <f>IF($A834&gt;MIN($A$10,$A$2),"",IF($A$5="","Choose stock",IF(NOT($A$12),"Check split rule",IF(NOT(ISNUMBER(B834)),"Invalid date",IF(OR(B834&lt;=0,B834&lt;&gt;INT(B834)),"Invalid date",IF(COUNTIFS(DemoHistory[Date],B834)&lt;&gt;1,"Duplicate date",IF(AND($A834&gt;1,B834&lt;=B833),"Dates out of order",IF(NOT(ISNUMBER(C834)),"Missing price",IF(C834&lt;=0,"Nonpositive price","OK")))))))))</f>
        <v/>
      </c>
      <c r="I834" s="136"/>
      <c r="J834" s="136"/>
      <c r="K834" s="136"/>
      <c r="L834" s="136"/>
      <c r="M834" s="136"/>
      <c r="N834" s="136" t="e">
        <f t="shared" si="37"/>
        <v>#N/A</v>
      </c>
      <c r="O834" s="136" t="e">
        <f t="shared" si="38"/>
        <v>#N/A</v>
      </c>
    </row>
    <row r="835" spans="1:15" ht="22" customHeight="1" x14ac:dyDescent="0.35">
      <c r="A835" s="136">
        <v>791</v>
      </c>
      <c r="B835" s="165" t="str">
        <f>IF($A835&gt;MIN($A$10,$A$2),"",INDEX(DemoHistory[Date],$A835))</f>
        <v/>
      </c>
      <c r="C835" s="166" t="str">
        <f>IF(OR($A835&gt;MIN($A$10,$A$2),$A$5=""),"",INDEX(DemoHistory[],$A835,MATCH($A$5,DemoHistory[#Headers],0)))</f>
        <v/>
      </c>
      <c r="D835" s="166" t="str">
        <f>IF($A835&gt;MIN($A$10,$A$2),"",IF(AND($A$12,$A$6=1,B835&lt;$A$7,$A$7&lt;=MAX(DemoHistory[Date])),$A$8,1))</f>
        <v/>
      </c>
      <c r="E835" s="166" t="str">
        <f t="shared" si="36"/>
        <v/>
      </c>
      <c r="F835" s="166" t="str">
        <f>IF($A835&gt;MIN($A$10,$A$2),"",IF($A835&lt;50,"n.a.",IF(COUNT(INDEX(StockDaily[Adjusted close],MAX(1,$A835-50+1)):E835)=50,AVERAGE(INDEX(StockDaily[Adjusted close],MAX(1,$A835-50+1)):E835),"n.a.")))</f>
        <v/>
      </c>
      <c r="G835" s="166" t="str">
        <f>IF($A835&gt;MIN($A$10,$A$2),"",IF($A835&lt;200,"n.a.",IF(COUNT(INDEX(StockDaily[Adjusted close],MAX(1,$A835-200+1)):E835)=200,AVERAGE(INDEX(StockDaily[Adjusted close],MAX(1,$A835-200+1)):E835),"n.a.")))</f>
        <v/>
      </c>
      <c r="H835" s="136" t="str">
        <f>IF($A835&gt;MIN($A$10,$A$2),"",IF($A$5="","Choose stock",IF(NOT($A$12),"Check split rule",IF(NOT(ISNUMBER(B835)),"Invalid date",IF(OR(B835&lt;=0,B835&lt;&gt;INT(B835)),"Invalid date",IF(COUNTIFS(DemoHistory[Date],B835)&lt;&gt;1,"Duplicate date",IF(AND($A835&gt;1,B835&lt;=B834),"Dates out of order",IF(NOT(ISNUMBER(C835)),"Missing price",IF(C835&lt;=0,"Nonpositive price","OK")))))))))</f>
        <v/>
      </c>
      <c r="I835" s="136"/>
      <c r="J835" s="136"/>
      <c r="K835" s="136"/>
      <c r="L835" s="136"/>
      <c r="M835" s="136"/>
      <c r="N835" s="136" t="e">
        <f t="shared" si="37"/>
        <v>#N/A</v>
      </c>
      <c r="O835" s="136" t="e">
        <f t="shared" si="38"/>
        <v>#N/A</v>
      </c>
    </row>
    <row r="836" spans="1:15" ht="22" customHeight="1" x14ac:dyDescent="0.35">
      <c r="A836" s="136">
        <v>792</v>
      </c>
      <c r="B836" s="165" t="str">
        <f>IF($A836&gt;MIN($A$10,$A$2),"",INDEX(DemoHistory[Date],$A836))</f>
        <v/>
      </c>
      <c r="C836" s="166" t="str">
        <f>IF(OR($A836&gt;MIN($A$10,$A$2),$A$5=""),"",INDEX(DemoHistory[],$A836,MATCH($A$5,DemoHistory[#Headers],0)))</f>
        <v/>
      </c>
      <c r="D836" s="166" t="str">
        <f>IF($A836&gt;MIN($A$10,$A$2),"",IF(AND($A$12,$A$6=1,B836&lt;$A$7,$A$7&lt;=MAX(DemoHistory[Date])),$A$8,1))</f>
        <v/>
      </c>
      <c r="E836" s="166" t="str">
        <f t="shared" si="36"/>
        <v/>
      </c>
      <c r="F836" s="166" t="str">
        <f>IF($A836&gt;MIN($A$10,$A$2),"",IF($A836&lt;50,"n.a.",IF(COUNT(INDEX(StockDaily[Adjusted close],MAX(1,$A836-50+1)):E836)=50,AVERAGE(INDEX(StockDaily[Adjusted close],MAX(1,$A836-50+1)):E836),"n.a.")))</f>
        <v/>
      </c>
      <c r="G836" s="166" t="str">
        <f>IF($A836&gt;MIN($A$10,$A$2),"",IF($A836&lt;200,"n.a.",IF(COUNT(INDEX(StockDaily[Adjusted close],MAX(1,$A836-200+1)):E836)=200,AVERAGE(INDEX(StockDaily[Adjusted close],MAX(1,$A836-200+1)):E836),"n.a.")))</f>
        <v/>
      </c>
      <c r="H836" s="136" t="str">
        <f>IF($A836&gt;MIN($A$10,$A$2),"",IF($A$5="","Choose stock",IF(NOT($A$12),"Check split rule",IF(NOT(ISNUMBER(B836)),"Invalid date",IF(OR(B836&lt;=0,B836&lt;&gt;INT(B836)),"Invalid date",IF(COUNTIFS(DemoHistory[Date],B836)&lt;&gt;1,"Duplicate date",IF(AND($A836&gt;1,B836&lt;=B835),"Dates out of order",IF(NOT(ISNUMBER(C836)),"Missing price",IF(C836&lt;=0,"Nonpositive price","OK")))))))))</f>
        <v/>
      </c>
      <c r="I836" s="136"/>
      <c r="J836" s="136"/>
      <c r="K836" s="136"/>
      <c r="L836" s="136"/>
      <c r="M836" s="136"/>
      <c r="N836" s="136" t="e">
        <f t="shared" si="37"/>
        <v>#N/A</v>
      </c>
      <c r="O836" s="136" t="e">
        <f t="shared" si="38"/>
        <v>#N/A</v>
      </c>
    </row>
    <row r="837" spans="1:15" ht="22" customHeight="1" x14ac:dyDescent="0.35">
      <c r="A837" s="136">
        <v>793</v>
      </c>
      <c r="B837" s="165" t="str">
        <f>IF($A837&gt;MIN($A$10,$A$2),"",INDEX(DemoHistory[Date],$A837))</f>
        <v/>
      </c>
      <c r="C837" s="166" t="str">
        <f>IF(OR($A837&gt;MIN($A$10,$A$2),$A$5=""),"",INDEX(DemoHistory[],$A837,MATCH($A$5,DemoHistory[#Headers],0)))</f>
        <v/>
      </c>
      <c r="D837" s="166" t="str">
        <f>IF($A837&gt;MIN($A$10,$A$2),"",IF(AND($A$12,$A$6=1,B837&lt;$A$7,$A$7&lt;=MAX(DemoHistory[Date])),$A$8,1))</f>
        <v/>
      </c>
      <c r="E837" s="166" t="str">
        <f t="shared" si="36"/>
        <v/>
      </c>
      <c r="F837" s="166" t="str">
        <f>IF($A837&gt;MIN($A$10,$A$2),"",IF($A837&lt;50,"n.a.",IF(COUNT(INDEX(StockDaily[Adjusted close],MAX(1,$A837-50+1)):E837)=50,AVERAGE(INDEX(StockDaily[Adjusted close],MAX(1,$A837-50+1)):E837),"n.a.")))</f>
        <v/>
      </c>
      <c r="G837" s="166" t="str">
        <f>IF($A837&gt;MIN($A$10,$A$2),"",IF($A837&lt;200,"n.a.",IF(COUNT(INDEX(StockDaily[Adjusted close],MAX(1,$A837-200+1)):E837)=200,AVERAGE(INDEX(StockDaily[Adjusted close],MAX(1,$A837-200+1)):E837),"n.a.")))</f>
        <v/>
      </c>
      <c r="H837" s="136" t="str">
        <f>IF($A837&gt;MIN($A$10,$A$2),"",IF($A$5="","Choose stock",IF(NOT($A$12),"Check split rule",IF(NOT(ISNUMBER(B837)),"Invalid date",IF(OR(B837&lt;=0,B837&lt;&gt;INT(B837)),"Invalid date",IF(COUNTIFS(DemoHistory[Date],B837)&lt;&gt;1,"Duplicate date",IF(AND($A837&gt;1,B837&lt;=B836),"Dates out of order",IF(NOT(ISNUMBER(C837)),"Missing price",IF(C837&lt;=0,"Nonpositive price","OK")))))))))</f>
        <v/>
      </c>
      <c r="I837" s="136"/>
      <c r="J837" s="136"/>
      <c r="K837" s="136"/>
      <c r="L837" s="136"/>
      <c r="M837" s="136"/>
      <c r="N837" s="136" t="e">
        <f t="shared" si="37"/>
        <v>#N/A</v>
      </c>
      <c r="O837" s="136" t="e">
        <f t="shared" si="38"/>
        <v>#N/A</v>
      </c>
    </row>
    <row r="838" spans="1:15" ht="22" customHeight="1" x14ac:dyDescent="0.35">
      <c r="A838" s="136">
        <v>794</v>
      </c>
      <c r="B838" s="165" t="str">
        <f>IF($A838&gt;MIN($A$10,$A$2),"",INDEX(DemoHistory[Date],$A838))</f>
        <v/>
      </c>
      <c r="C838" s="166" t="str">
        <f>IF(OR($A838&gt;MIN($A$10,$A$2),$A$5=""),"",INDEX(DemoHistory[],$A838,MATCH($A$5,DemoHistory[#Headers],0)))</f>
        <v/>
      </c>
      <c r="D838" s="166" t="str">
        <f>IF($A838&gt;MIN($A$10,$A$2),"",IF(AND($A$12,$A$6=1,B838&lt;$A$7,$A$7&lt;=MAX(DemoHistory[Date])),$A$8,1))</f>
        <v/>
      </c>
      <c r="E838" s="166" t="str">
        <f t="shared" si="36"/>
        <v/>
      </c>
      <c r="F838" s="166" t="str">
        <f>IF($A838&gt;MIN($A$10,$A$2),"",IF($A838&lt;50,"n.a.",IF(COUNT(INDEX(StockDaily[Adjusted close],MAX(1,$A838-50+1)):E838)=50,AVERAGE(INDEX(StockDaily[Adjusted close],MAX(1,$A838-50+1)):E838),"n.a.")))</f>
        <v/>
      </c>
      <c r="G838" s="166" t="str">
        <f>IF($A838&gt;MIN($A$10,$A$2),"",IF($A838&lt;200,"n.a.",IF(COUNT(INDEX(StockDaily[Adjusted close],MAX(1,$A838-200+1)):E838)=200,AVERAGE(INDEX(StockDaily[Adjusted close],MAX(1,$A838-200+1)):E838),"n.a.")))</f>
        <v/>
      </c>
      <c r="H838" s="136" t="str">
        <f>IF($A838&gt;MIN($A$10,$A$2),"",IF($A$5="","Choose stock",IF(NOT($A$12),"Check split rule",IF(NOT(ISNUMBER(B838)),"Invalid date",IF(OR(B838&lt;=0,B838&lt;&gt;INT(B838)),"Invalid date",IF(COUNTIFS(DemoHistory[Date],B838)&lt;&gt;1,"Duplicate date",IF(AND($A838&gt;1,B838&lt;=B837),"Dates out of order",IF(NOT(ISNUMBER(C838)),"Missing price",IF(C838&lt;=0,"Nonpositive price","OK")))))))))</f>
        <v/>
      </c>
      <c r="I838" s="136"/>
      <c r="J838" s="136"/>
      <c r="K838" s="136"/>
      <c r="L838" s="136"/>
      <c r="M838" s="136"/>
      <c r="N838" s="136" t="e">
        <f t="shared" si="37"/>
        <v>#N/A</v>
      </c>
      <c r="O838" s="136" t="e">
        <f t="shared" si="38"/>
        <v>#N/A</v>
      </c>
    </row>
    <row r="839" spans="1:15" ht="22" customHeight="1" x14ac:dyDescent="0.35">
      <c r="A839" s="136">
        <v>795</v>
      </c>
      <c r="B839" s="165" t="str">
        <f>IF($A839&gt;MIN($A$10,$A$2),"",INDEX(DemoHistory[Date],$A839))</f>
        <v/>
      </c>
      <c r="C839" s="166" t="str">
        <f>IF(OR($A839&gt;MIN($A$10,$A$2),$A$5=""),"",INDEX(DemoHistory[],$A839,MATCH($A$5,DemoHistory[#Headers],0)))</f>
        <v/>
      </c>
      <c r="D839" s="166" t="str">
        <f>IF($A839&gt;MIN($A$10,$A$2),"",IF(AND($A$12,$A$6=1,B839&lt;$A$7,$A$7&lt;=MAX(DemoHistory[Date])),$A$8,1))</f>
        <v/>
      </c>
      <c r="E839" s="166" t="str">
        <f t="shared" si="36"/>
        <v/>
      </c>
      <c r="F839" s="166" t="str">
        <f>IF($A839&gt;MIN($A$10,$A$2),"",IF($A839&lt;50,"n.a.",IF(COUNT(INDEX(StockDaily[Adjusted close],MAX(1,$A839-50+1)):E839)=50,AVERAGE(INDEX(StockDaily[Adjusted close],MAX(1,$A839-50+1)):E839),"n.a.")))</f>
        <v/>
      </c>
      <c r="G839" s="166" t="str">
        <f>IF($A839&gt;MIN($A$10,$A$2),"",IF($A839&lt;200,"n.a.",IF(COUNT(INDEX(StockDaily[Adjusted close],MAX(1,$A839-200+1)):E839)=200,AVERAGE(INDEX(StockDaily[Adjusted close],MAX(1,$A839-200+1)):E839),"n.a.")))</f>
        <v/>
      </c>
      <c r="H839" s="136" t="str">
        <f>IF($A839&gt;MIN($A$10,$A$2),"",IF($A$5="","Choose stock",IF(NOT($A$12),"Check split rule",IF(NOT(ISNUMBER(B839)),"Invalid date",IF(OR(B839&lt;=0,B839&lt;&gt;INT(B839)),"Invalid date",IF(COUNTIFS(DemoHistory[Date],B839)&lt;&gt;1,"Duplicate date",IF(AND($A839&gt;1,B839&lt;=B838),"Dates out of order",IF(NOT(ISNUMBER(C839)),"Missing price",IF(C839&lt;=0,"Nonpositive price","OK")))))))))</f>
        <v/>
      </c>
      <c r="I839" s="136"/>
      <c r="J839" s="136"/>
      <c r="K839" s="136"/>
      <c r="L839" s="136"/>
      <c r="M839" s="136"/>
      <c r="N839" s="136" t="e">
        <f t="shared" si="37"/>
        <v>#N/A</v>
      </c>
      <c r="O839" s="136" t="e">
        <f t="shared" si="38"/>
        <v>#N/A</v>
      </c>
    </row>
    <row r="840" spans="1:15" ht="22" customHeight="1" x14ac:dyDescent="0.35">
      <c r="A840" s="136">
        <v>796</v>
      </c>
      <c r="B840" s="165" t="str">
        <f>IF($A840&gt;MIN($A$10,$A$2),"",INDEX(DemoHistory[Date],$A840))</f>
        <v/>
      </c>
      <c r="C840" s="166" t="str">
        <f>IF(OR($A840&gt;MIN($A$10,$A$2),$A$5=""),"",INDEX(DemoHistory[],$A840,MATCH($A$5,DemoHistory[#Headers],0)))</f>
        <v/>
      </c>
      <c r="D840" s="166" t="str">
        <f>IF($A840&gt;MIN($A$10,$A$2),"",IF(AND($A$12,$A$6=1,B840&lt;$A$7,$A$7&lt;=MAX(DemoHistory[Date])),$A$8,1))</f>
        <v/>
      </c>
      <c r="E840" s="166" t="str">
        <f t="shared" si="36"/>
        <v/>
      </c>
      <c r="F840" s="166" t="str">
        <f>IF($A840&gt;MIN($A$10,$A$2),"",IF($A840&lt;50,"n.a.",IF(COUNT(INDEX(StockDaily[Adjusted close],MAX(1,$A840-50+1)):E840)=50,AVERAGE(INDEX(StockDaily[Adjusted close],MAX(1,$A840-50+1)):E840),"n.a.")))</f>
        <v/>
      </c>
      <c r="G840" s="166" t="str">
        <f>IF($A840&gt;MIN($A$10,$A$2),"",IF($A840&lt;200,"n.a.",IF(COUNT(INDEX(StockDaily[Adjusted close],MAX(1,$A840-200+1)):E840)=200,AVERAGE(INDEX(StockDaily[Adjusted close],MAX(1,$A840-200+1)):E840),"n.a.")))</f>
        <v/>
      </c>
      <c r="H840" s="136" t="str">
        <f>IF($A840&gt;MIN($A$10,$A$2),"",IF($A$5="","Choose stock",IF(NOT($A$12),"Check split rule",IF(NOT(ISNUMBER(B840)),"Invalid date",IF(OR(B840&lt;=0,B840&lt;&gt;INT(B840)),"Invalid date",IF(COUNTIFS(DemoHistory[Date],B840)&lt;&gt;1,"Duplicate date",IF(AND($A840&gt;1,B840&lt;=B839),"Dates out of order",IF(NOT(ISNUMBER(C840)),"Missing price",IF(C840&lt;=0,"Nonpositive price","OK")))))))))</f>
        <v/>
      </c>
      <c r="I840" s="136"/>
      <c r="J840" s="136"/>
      <c r="K840" s="136"/>
      <c r="L840" s="136"/>
      <c r="M840" s="136"/>
      <c r="N840" s="136" t="e">
        <f t="shared" si="37"/>
        <v>#N/A</v>
      </c>
      <c r="O840" s="136" t="e">
        <f t="shared" si="38"/>
        <v>#N/A</v>
      </c>
    </row>
    <row r="841" spans="1:15" ht="22" customHeight="1" x14ac:dyDescent="0.35">
      <c r="A841" s="136">
        <v>797</v>
      </c>
      <c r="B841" s="165" t="str">
        <f>IF($A841&gt;MIN($A$10,$A$2),"",INDEX(DemoHistory[Date],$A841))</f>
        <v/>
      </c>
      <c r="C841" s="166" t="str">
        <f>IF(OR($A841&gt;MIN($A$10,$A$2),$A$5=""),"",INDEX(DemoHistory[],$A841,MATCH($A$5,DemoHistory[#Headers],0)))</f>
        <v/>
      </c>
      <c r="D841" s="166" t="str">
        <f>IF($A841&gt;MIN($A$10,$A$2),"",IF(AND($A$12,$A$6=1,B841&lt;$A$7,$A$7&lt;=MAX(DemoHistory[Date])),$A$8,1))</f>
        <v/>
      </c>
      <c r="E841" s="166" t="str">
        <f t="shared" si="36"/>
        <v/>
      </c>
      <c r="F841" s="166" t="str">
        <f>IF($A841&gt;MIN($A$10,$A$2),"",IF($A841&lt;50,"n.a.",IF(COUNT(INDEX(StockDaily[Adjusted close],MAX(1,$A841-50+1)):E841)=50,AVERAGE(INDEX(StockDaily[Adjusted close],MAX(1,$A841-50+1)):E841),"n.a.")))</f>
        <v/>
      </c>
      <c r="G841" s="166" t="str">
        <f>IF($A841&gt;MIN($A$10,$A$2),"",IF($A841&lt;200,"n.a.",IF(COUNT(INDEX(StockDaily[Adjusted close],MAX(1,$A841-200+1)):E841)=200,AVERAGE(INDEX(StockDaily[Adjusted close],MAX(1,$A841-200+1)):E841),"n.a.")))</f>
        <v/>
      </c>
      <c r="H841" s="136" t="str">
        <f>IF($A841&gt;MIN($A$10,$A$2),"",IF($A$5="","Choose stock",IF(NOT($A$12),"Check split rule",IF(NOT(ISNUMBER(B841)),"Invalid date",IF(OR(B841&lt;=0,B841&lt;&gt;INT(B841)),"Invalid date",IF(COUNTIFS(DemoHistory[Date],B841)&lt;&gt;1,"Duplicate date",IF(AND($A841&gt;1,B841&lt;=B840),"Dates out of order",IF(NOT(ISNUMBER(C841)),"Missing price",IF(C841&lt;=0,"Nonpositive price","OK")))))))))</f>
        <v/>
      </c>
      <c r="I841" s="136"/>
      <c r="J841" s="136"/>
      <c r="K841" s="136"/>
      <c r="L841" s="136"/>
      <c r="M841" s="136"/>
      <c r="N841" s="136" t="e">
        <f t="shared" si="37"/>
        <v>#N/A</v>
      </c>
      <c r="O841" s="136" t="e">
        <f t="shared" si="38"/>
        <v>#N/A</v>
      </c>
    </row>
    <row r="842" spans="1:15" ht="22" customHeight="1" x14ac:dyDescent="0.35">
      <c r="A842" s="136">
        <v>798</v>
      </c>
      <c r="B842" s="165" t="str">
        <f>IF($A842&gt;MIN($A$10,$A$2),"",INDEX(DemoHistory[Date],$A842))</f>
        <v/>
      </c>
      <c r="C842" s="166" t="str">
        <f>IF(OR($A842&gt;MIN($A$10,$A$2),$A$5=""),"",INDEX(DemoHistory[],$A842,MATCH($A$5,DemoHistory[#Headers],0)))</f>
        <v/>
      </c>
      <c r="D842" s="166" t="str">
        <f>IF($A842&gt;MIN($A$10,$A$2),"",IF(AND($A$12,$A$6=1,B842&lt;$A$7,$A$7&lt;=MAX(DemoHistory[Date])),$A$8,1))</f>
        <v/>
      </c>
      <c r="E842" s="166" t="str">
        <f t="shared" si="36"/>
        <v/>
      </c>
      <c r="F842" s="166" t="str">
        <f>IF($A842&gt;MIN($A$10,$A$2),"",IF($A842&lt;50,"n.a.",IF(COUNT(INDEX(StockDaily[Adjusted close],MAX(1,$A842-50+1)):E842)=50,AVERAGE(INDEX(StockDaily[Adjusted close],MAX(1,$A842-50+1)):E842),"n.a.")))</f>
        <v/>
      </c>
      <c r="G842" s="166" t="str">
        <f>IF($A842&gt;MIN($A$10,$A$2),"",IF($A842&lt;200,"n.a.",IF(COUNT(INDEX(StockDaily[Adjusted close],MAX(1,$A842-200+1)):E842)=200,AVERAGE(INDEX(StockDaily[Adjusted close],MAX(1,$A842-200+1)):E842),"n.a.")))</f>
        <v/>
      </c>
      <c r="H842" s="136" t="str">
        <f>IF($A842&gt;MIN($A$10,$A$2),"",IF($A$5="","Choose stock",IF(NOT($A$12),"Check split rule",IF(NOT(ISNUMBER(B842)),"Invalid date",IF(OR(B842&lt;=0,B842&lt;&gt;INT(B842)),"Invalid date",IF(COUNTIFS(DemoHistory[Date],B842)&lt;&gt;1,"Duplicate date",IF(AND($A842&gt;1,B842&lt;=B841),"Dates out of order",IF(NOT(ISNUMBER(C842)),"Missing price",IF(C842&lt;=0,"Nonpositive price","OK")))))))))</f>
        <v/>
      </c>
      <c r="I842" s="136"/>
      <c r="J842" s="136"/>
      <c r="K842" s="136"/>
      <c r="L842" s="136"/>
      <c r="M842" s="136"/>
      <c r="N842" s="136" t="e">
        <f t="shared" si="37"/>
        <v>#N/A</v>
      </c>
      <c r="O842" s="136" t="e">
        <f t="shared" si="38"/>
        <v>#N/A</v>
      </c>
    </row>
    <row r="843" spans="1:15" ht="22" customHeight="1" x14ac:dyDescent="0.35">
      <c r="A843" s="136">
        <v>799</v>
      </c>
      <c r="B843" s="165" t="str">
        <f>IF($A843&gt;MIN($A$10,$A$2),"",INDEX(DemoHistory[Date],$A843))</f>
        <v/>
      </c>
      <c r="C843" s="166" t="str">
        <f>IF(OR($A843&gt;MIN($A$10,$A$2),$A$5=""),"",INDEX(DemoHistory[],$A843,MATCH($A$5,DemoHistory[#Headers],0)))</f>
        <v/>
      </c>
      <c r="D843" s="166" t="str">
        <f>IF($A843&gt;MIN($A$10,$A$2),"",IF(AND($A$12,$A$6=1,B843&lt;$A$7,$A$7&lt;=MAX(DemoHistory[Date])),$A$8,1))</f>
        <v/>
      </c>
      <c r="E843" s="166" t="str">
        <f t="shared" si="36"/>
        <v/>
      </c>
      <c r="F843" s="166" t="str">
        <f>IF($A843&gt;MIN($A$10,$A$2),"",IF($A843&lt;50,"n.a.",IF(COUNT(INDEX(StockDaily[Adjusted close],MAX(1,$A843-50+1)):E843)=50,AVERAGE(INDEX(StockDaily[Adjusted close],MAX(1,$A843-50+1)):E843),"n.a.")))</f>
        <v/>
      </c>
      <c r="G843" s="166" t="str">
        <f>IF($A843&gt;MIN($A$10,$A$2),"",IF($A843&lt;200,"n.a.",IF(COUNT(INDEX(StockDaily[Adjusted close],MAX(1,$A843-200+1)):E843)=200,AVERAGE(INDEX(StockDaily[Adjusted close],MAX(1,$A843-200+1)):E843),"n.a.")))</f>
        <v/>
      </c>
      <c r="H843" s="136" t="str">
        <f>IF($A843&gt;MIN($A$10,$A$2),"",IF($A$5="","Choose stock",IF(NOT($A$12),"Check split rule",IF(NOT(ISNUMBER(B843)),"Invalid date",IF(OR(B843&lt;=0,B843&lt;&gt;INT(B843)),"Invalid date",IF(COUNTIFS(DemoHistory[Date],B843)&lt;&gt;1,"Duplicate date",IF(AND($A843&gt;1,B843&lt;=B842),"Dates out of order",IF(NOT(ISNUMBER(C843)),"Missing price",IF(C843&lt;=0,"Nonpositive price","OK")))))))))</f>
        <v/>
      </c>
      <c r="I843" s="136"/>
      <c r="J843" s="136"/>
      <c r="K843" s="136"/>
      <c r="L843" s="136"/>
      <c r="M843" s="136"/>
      <c r="N843" s="136" t="e">
        <f t="shared" si="37"/>
        <v>#N/A</v>
      </c>
      <c r="O843" s="136" t="e">
        <f t="shared" si="38"/>
        <v>#N/A</v>
      </c>
    </row>
    <row r="844" spans="1:15" ht="22" customHeight="1" x14ac:dyDescent="0.35">
      <c r="A844" s="136">
        <v>800</v>
      </c>
      <c r="B844" s="165" t="str">
        <f>IF($A844&gt;MIN($A$10,$A$2),"",INDEX(DemoHistory[Date],$A844))</f>
        <v/>
      </c>
      <c r="C844" s="166" t="str">
        <f>IF(OR($A844&gt;MIN($A$10,$A$2),$A$5=""),"",INDEX(DemoHistory[],$A844,MATCH($A$5,DemoHistory[#Headers],0)))</f>
        <v/>
      </c>
      <c r="D844" s="166" t="str">
        <f>IF($A844&gt;MIN($A$10,$A$2),"",IF(AND($A$12,$A$6=1,B844&lt;$A$7,$A$7&lt;=MAX(DemoHistory[Date])),$A$8,1))</f>
        <v/>
      </c>
      <c r="E844" s="166" t="str">
        <f t="shared" si="36"/>
        <v/>
      </c>
      <c r="F844" s="166" t="str">
        <f>IF($A844&gt;MIN($A$10,$A$2),"",IF($A844&lt;50,"n.a.",IF(COUNT(INDEX(StockDaily[Adjusted close],MAX(1,$A844-50+1)):E844)=50,AVERAGE(INDEX(StockDaily[Adjusted close],MAX(1,$A844-50+1)):E844),"n.a.")))</f>
        <v/>
      </c>
      <c r="G844" s="166" t="str">
        <f>IF($A844&gt;MIN($A$10,$A$2),"",IF($A844&lt;200,"n.a.",IF(COUNT(INDEX(StockDaily[Adjusted close],MAX(1,$A844-200+1)):E844)=200,AVERAGE(INDEX(StockDaily[Adjusted close],MAX(1,$A844-200+1)):E844),"n.a.")))</f>
        <v/>
      </c>
      <c r="H844" s="136" t="str">
        <f>IF($A844&gt;MIN($A$10,$A$2),"",IF($A$5="","Choose stock",IF(NOT($A$12),"Check split rule",IF(NOT(ISNUMBER(B844)),"Invalid date",IF(OR(B844&lt;=0,B844&lt;&gt;INT(B844)),"Invalid date",IF(COUNTIFS(DemoHistory[Date],B844)&lt;&gt;1,"Duplicate date",IF(AND($A844&gt;1,B844&lt;=B843),"Dates out of order",IF(NOT(ISNUMBER(C844)),"Missing price",IF(C844&lt;=0,"Nonpositive price","OK")))))))))</f>
        <v/>
      </c>
      <c r="I844" s="136"/>
      <c r="J844" s="136"/>
      <c r="K844" s="136"/>
      <c r="L844" s="136"/>
      <c r="M844" s="136"/>
      <c r="N844" s="136" t="e">
        <f t="shared" si="37"/>
        <v>#N/A</v>
      </c>
      <c r="O844" s="136" t="e">
        <f t="shared" si="38"/>
        <v>#N/A</v>
      </c>
    </row>
    <row r="845" spans="1:15" ht="22" customHeight="1" x14ac:dyDescent="0.35">
      <c r="A845" s="136">
        <v>801</v>
      </c>
      <c r="B845" s="165" t="str">
        <f>IF($A845&gt;MIN($A$10,$A$2),"",INDEX(DemoHistory[Date],$A845))</f>
        <v/>
      </c>
      <c r="C845" s="166" t="str">
        <f>IF(OR($A845&gt;MIN($A$10,$A$2),$A$5=""),"",INDEX(DemoHistory[],$A845,MATCH($A$5,DemoHistory[#Headers],0)))</f>
        <v/>
      </c>
      <c r="D845" s="166" t="str">
        <f>IF($A845&gt;MIN($A$10,$A$2),"",IF(AND($A$12,$A$6=1,B845&lt;$A$7,$A$7&lt;=MAX(DemoHistory[Date])),$A$8,1))</f>
        <v/>
      </c>
      <c r="E845" s="166" t="str">
        <f t="shared" si="36"/>
        <v/>
      </c>
      <c r="F845" s="166" t="str">
        <f>IF($A845&gt;MIN($A$10,$A$2),"",IF($A845&lt;50,"n.a.",IF(COUNT(INDEX(StockDaily[Adjusted close],MAX(1,$A845-50+1)):E845)=50,AVERAGE(INDEX(StockDaily[Adjusted close],MAX(1,$A845-50+1)):E845),"n.a.")))</f>
        <v/>
      </c>
      <c r="G845" s="166" t="str">
        <f>IF($A845&gt;MIN($A$10,$A$2),"",IF($A845&lt;200,"n.a.",IF(COUNT(INDEX(StockDaily[Adjusted close],MAX(1,$A845-200+1)):E845)=200,AVERAGE(INDEX(StockDaily[Adjusted close],MAX(1,$A845-200+1)):E845),"n.a.")))</f>
        <v/>
      </c>
      <c r="H845" s="136" t="str">
        <f>IF($A845&gt;MIN($A$10,$A$2),"",IF($A$5="","Choose stock",IF(NOT($A$12),"Check split rule",IF(NOT(ISNUMBER(B845)),"Invalid date",IF(OR(B845&lt;=0,B845&lt;&gt;INT(B845)),"Invalid date",IF(COUNTIFS(DemoHistory[Date],B845)&lt;&gt;1,"Duplicate date",IF(AND($A845&gt;1,B845&lt;=B844),"Dates out of order",IF(NOT(ISNUMBER(C845)),"Missing price",IF(C845&lt;=0,"Nonpositive price","OK")))))))))</f>
        <v/>
      </c>
      <c r="I845" s="136"/>
      <c r="J845" s="136"/>
      <c r="K845" s="136"/>
      <c r="L845" s="136"/>
      <c r="M845" s="136"/>
      <c r="N845" s="136" t="e">
        <f t="shared" si="37"/>
        <v>#N/A</v>
      </c>
      <c r="O845" s="136" t="e">
        <f t="shared" si="38"/>
        <v>#N/A</v>
      </c>
    </row>
    <row r="846" spans="1:15" ht="22" customHeight="1" x14ac:dyDescent="0.35">
      <c r="A846" s="136">
        <v>802</v>
      </c>
      <c r="B846" s="165" t="str">
        <f>IF($A846&gt;MIN($A$10,$A$2),"",INDEX(DemoHistory[Date],$A846))</f>
        <v/>
      </c>
      <c r="C846" s="166" t="str">
        <f>IF(OR($A846&gt;MIN($A$10,$A$2),$A$5=""),"",INDEX(DemoHistory[],$A846,MATCH($A$5,DemoHistory[#Headers],0)))</f>
        <v/>
      </c>
      <c r="D846" s="166" t="str">
        <f>IF($A846&gt;MIN($A$10,$A$2),"",IF(AND($A$12,$A$6=1,B846&lt;$A$7,$A$7&lt;=MAX(DemoHistory[Date])),$A$8,1))</f>
        <v/>
      </c>
      <c r="E846" s="166" t="str">
        <f t="shared" si="36"/>
        <v/>
      </c>
      <c r="F846" s="166" t="str">
        <f>IF($A846&gt;MIN($A$10,$A$2),"",IF($A846&lt;50,"n.a.",IF(COUNT(INDEX(StockDaily[Adjusted close],MAX(1,$A846-50+1)):E846)=50,AVERAGE(INDEX(StockDaily[Adjusted close],MAX(1,$A846-50+1)):E846),"n.a.")))</f>
        <v/>
      </c>
      <c r="G846" s="166" t="str">
        <f>IF($A846&gt;MIN($A$10,$A$2),"",IF($A846&lt;200,"n.a.",IF(COUNT(INDEX(StockDaily[Adjusted close],MAX(1,$A846-200+1)):E846)=200,AVERAGE(INDEX(StockDaily[Adjusted close],MAX(1,$A846-200+1)):E846),"n.a.")))</f>
        <v/>
      </c>
      <c r="H846" s="136" t="str">
        <f>IF($A846&gt;MIN($A$10,$A$2),"",IF($A$5="","Choose stock",IF(NOT($A$12),"Check split rule",IF(NOT(ISNUMBER(B846)),"Invalid date",IF(OR(B846&lt;=0,B846&lt;&gt;INT(B846)),"Invalid date",IF(COUNTIFS(DemoHistory[Date],B846)&lt;&gt;1,"Duplicate date",IF(AND($A846&gt;1,B846&lt;=B845),"Dates out of order",IF(NOT(ISNUMBER(C846)),"Missing price",IF(C846&lt;=0,"Nonpositive price","OK")))))))))</f>
        <v/>
      </c>
      <c r="I846" s="136"/>
      <c r="J846" s="136"/>
      <c r="K846" s="136"/>
      <c r="L846" s="136"/>
      <c r="M846" s="136"/>
      <c r="N846" s="136" t="e">
        <f t="shared" si="37"/>
        <v>#N/A</v>
      </c>
      <c r="O846" s="136" t="e">
        <f t="shared" si="38"/>
        <v>#N/A</v>
      </c>
    </row>
    <row r="847" spans="1:15" ht="22" customHeight="1" x14ac:dyDescent="0.35">
      <c r="A847" s="136">
        <v>803</v>
      </c>
      <c r="B847" s="165" t="str">
        <f>IF($A847&gt;MIN($A$10,$A$2),"",INDEX(DemoHistory[Date],$A847))</f>
        <v/>
      </c>
      <c r="C847" s="166" t="str">
        <f>IF(OR($A847&gt;MIN($A$10,$A$2),$A$5=""),"",INDEX(DemoHistory[],$A847,MATCH($A$5,DemoHistory[#Headers],0)))</f>
        <v/>
      </c>
      <c r="D847" s="166" t="str">
        <f>IF($A847&gt;MIN($A$10,$A$2),"",IF(AND($A$12,$A$6=1,B847&lt;$A$7,$A$7&lt;=MAX(DemoHistory[Date])),$A$8,1))</f>
        <v/>
      </c>
      <c r="E847" s="166" t="str">
        <f t="shared" si="36"/>
        <v/>
      </c>
      <c r="F847" s="166" t="str">
        <f>IF($A847&gt;MIN($A$10,$A$2),"",IF($A847&lt;50,"n.a.",IF(COUNT(INDEX(StockDaily[Adjusted close],MAX(1,$A847-50+1)):E847)=50,AVERAGE(INDEX(StockDaily[Adjusted close],MAX(1,$A847-50+1)):E847),"n.a.")))</f>
        <v/>
      </c>
      <c r="G847" s="166" t="str">
        <f>IF($A847&gt;MIN($A$10,$A$2),"",IF($A847&lt;200,"n.a.",IF(COUNT(INDEX(StockDaily[Adjusted close],MAX(1,$A847-200+1)):E847)=200,AVERAGE(INDEX(StockDaily[Adjusted close],MAX(1,$A847-200+1)):E847),"n.a.")))</f>
        <v/>
      </c>
      <c r="H847" s="136" t="str">
        <f>IF($A847&gt;MIN($A$10,$A$2),"",IF($A$5="","Choose stock",IF(NOT($A$12),"Check split rule",IF(NOT(ISNUMBER(B847)),"Invalid date",IF(OR(B847&lt;=0,B847&lt;&gt;INT(B847)),"Invalid date",IF(COUNTIFS(DemoHistory[Date],B847)&lt;&gt;1,"Duplicate date",IF(AND($A847&gt;1,B847&lt;=B846),"Dates out of order",IF(NOT(ISNUMBER(C847)),"Missing price",IF(C847&lt;=0,"Nonpositive price","OK")))))))))</f>
        <v/>
      </c>
      <c r="I847" s="136"/>
      <c r="J847" s="136"/>
      <c r="K847" s="136"/>
      <c r="L847" s="136"/>
      <c r="M847" s="136"/>
      <c r="N847" s="136" t="e">
        <f t="shared" si="37"/>
        <v>#N/A</v>
      </c>
      <c r="O847" s="136" t="e">
        <f t="shared" si="38"/>
        <v>#N/A</v>
      </c>
    </row>
    <row r="848" spans="1:15" ht="22" customHeight="1" x14ac:dyDescent="0.35">
      <c r="A848" s="136">
        <v>804</v>
      </c>
      <c r="B848" s="165" t="str">
        <f>IF($A848&gt;MIN($A$10,$A$2),"",INDEX(DemoHistory[Date],$A848))</f>
        <v/>
      </c>
      <c r="C848" s="166" t="str">
        <f>IF(OR($A848&gt;MIN($A$10,$A$2),$A$5=""),"",INDEX(DemoHistory[],$A848,MATCH($A$5,DemoHistory[#Headers],0)))</f>
        <v/>
      </c>
      <c r="D848" s="166" t="str">
        <f>IF($A848&gt;MIN($A$10,$A$2),"",IF(AND($A$12,$A$6=1,B848&lt;$A$7,$A$7&lt;=MAX(DemoHistory[Date])),$A$8,1))</f>
        <v/>
      </c>
      <c r="E848" s="166" t="str">
        <f t="shared" si="36"/>
        <v/>
      </c>
      <c r="F848" s="166" t="str">
        <f>IF($A848&gt;MIN($A$10,$A$2),"",IF($A848&lt;50,"n.a.",IF(COUNT(INDEX(StockDaily[Adjusted close],MAX(1,$A848-50+1)):E848)=50,AVERAGE(INDEX(StockDaily[Adjusted close],MAX(1,$A848-50+1)):E848),"n.a.")))</f>
        <v/>
      </c>
      <c r="G848" s="166" t="str">
        <f>IF($A848&gt;MIN($A$10,$A$2),"",IF($A848&lt;200,"n.a.",IF(COUNT(INDEX(StockDaily[Adjusted close],MAX(1,$A848-200+1)):E848)=200,AVERAGE(INDEX(StockDaily[Adjusted close],MAX(1,$A848-200+1)):E848),"n.a.")))</f>
        <v/>
      </c>
      <c r="H848" s="136" t="str">
        <f>IF($A848&gt;MIN($A$10,$A$2),"",IF($A$5="","Choose stock",IF(NOT($A$12),"Check split rule",IF(NOT(ISNUMBER(B848)),"Invalid date",IF(OR(B848&lt;=0,B848&lt;&gt;INT(B848)),"Invalid date",IF(COUNTIFS(DemoHistory[Date],B848)&lt;&gt;1,"Duplicate date",IF(AND($A848&gt;1,B848&lt;=B847),"Dates out of order",IF(NOT(ISNUMBER(C848)),"Missing price",IF(C848&lt;=0,"Nonpositive price","OK")))))))))</f>
        <v/>
      </c>
      <c r="I848" s="136"/>
      <c r="J848" s="136"/>
      <c r="K848" s="136"/>
      <c r="L848" s="136"/>
      <c r="M848" s="136"/>
      <c r="N848" s="136" t="e">
        <f t="shared" si="37"/>
        <v>#N/A</v>
      </c>
      <c r="O848" s="136" t="e">
        <f t="shared" si="38"/>
        <v>#N/A</v>
      </c>
    </row>
    <row r="849" spans="1:15" ht="22" customHeight="1" x14ac:dyDescent="0.35">
      <c r="A849" s="136">
        <v>805</v>
      </c>
      <c r="B849" s="165" t="str">
        <f>IF($A849&gt;MIN($A$10,$A$2),"",INDEX(DemoHistory[Date],$A849))</f>
        <v/>
      </c>
      <c r="C849" s="166" t="str">
        <f>IF(OR($A849&gt;MIN($A$10,$A$2),$A$5=""),"",INDEX(DemoHistory[],$A849,MATCH($A$5,DemoHistory[#Headers],0)))</f>
        <v/>
      </c>
      <c r="D849" s="166" t="str">
        <f>IF($A849&gt;MIN($A$10,$A$2),"",IF(AND($A$12,$A$6=1,B849&lt;$A$7,$A$7&lt;=MAX(DemoHistory[Date])),$A$8,1))</f>
        <v/>
      </c>
      <c r="E849" s="166" t="str">
        <f t="shared" si="36"/>
        <v/>
      </c>
      <c r="F849" s="166" t="str">
        <f>IF($A849&gt;MIN($A$10,$A$2),"",IF($A849&lt;50,"n.a.",IF(COUNT(INDEX(StockDaily[Adjusted close],MAX(1,$A849-50+1)):E849)=50,AVERAGE(INDEX(StockDaily[Adjusted close],MAX(1,$A849-50+1)):E849),"n.a.")))</f>
        <v/>
      </c>
      <c r="G849" s="166" t="str">
        <f>IF($A849&gt;MIN($A$10,$A$2),"",IF($A849&lt;200,"n.a.",IF(COUNT(INDEX(StockDaily[Adjusted close],MAX(1,$A849-200+1)):E849)=200,AVERAGE(INDEX(StockDaily[Adjusted close],MAX(1,$A849-200+1)):E849),"n.a.")))</f>
        <v/>
      </c>
      <c r="H849" s="136" t="str">
        <f>IF($A849&gt;MIN($A$10,$A$2),"",IF($A$5="","Choose stock",IF(NOT($A$12),"Check split rule",IF(NOT(ISNUMBER(B849)),"Invalid date",IF(OR(B849&lt;=0,B849&lt;&gt;INT(B849)),"Invalid date",IF(COUNTIFS(DemoHistory[Date],B849)&lt;&gt;1,"Duplicate date",IF(AND($A849&gt;1,B849&lt;=B848),"Dates out of order",IF(NOT(ISNUMBER(C849)),"Missing price",IF(C849&lt;=0,"Nonpositive price","OK")))))))))</f>
        <v/>
      </c>
      <c r="I849" s="136"/>
      <c r="J849" s="136"/>
      <c r="K849" s="136"/>
      <c r="L849" s="136"/>
      <c r="M849" s="136"/>
      <c r="N849" s="136" t="e">
        <f t="shared" si="37"/>
        <v>#N/A</v>
      </c>
      <c r="O849" s="136" t="e">
        <f t="shared" si="38"/>
        <v>#N/A</v>
      </c>
    </row>
    <row r="850" spans="1:15" ht="22" customHeight="1" x14ac:dyDescent="0.35">
      <c r="A850" s="136">
        <v>806</v>
      </c>
      <c r="B850" s="165" t="str">
        <f>IF($A850&gt;MIN($A$10,$A$2),"",INDEX(DemoHistory[Date],$A850))</f>
        <v/>
      </c>
      <c r="C850" s="166" t="str">
        <f>IF(OR($A850&gt;MIN($A$10,$A$2),$A$5=""),"",INDEX(DemoHistory[],$A850,MATCH($A$5,DemoHistory[#Headers],0)))</f>
        <v/>
      </c>
      <c r="D850" s="166" t="str">
        <f>IF($A850&gt;MIN($A$10,$A$2),"",IF(AND($A$12,$A$6=1,B850&lt;$A$7,$A$7&lt;=MAX(DemoHistory[Date])),$A$8,1))</f>
        <v/>
      </c>
      <c r="E850" s="166" t="str">
        <f t="shared" si="36"/>
        <v/>
      </c>
      <c r="F850" s="166" t="str">
        <f>IF($A850&gt;MIN($A$10,$A$2),"",IF($A850&lt;50,"n.a.",IF(COUNT(INDEX(StockDaily[Adjusted close],MAX(1,$A850-50+1)):E850)=50,AVERAGE(INDEX(StockDaily[Adjusted close],MAX(1,$A850-50+1)):E850),"n.a.")))</f>
        <v/>
      </c>
      <c r="G850" s="166" t="str">
        <f>IF($A850&gt;MIN($A$10,$A$2),"",IF($A850&lt;200,"n.a.",IF(COUNT(INDEX(StockDaily[Adjusted close],MAX(1,$A850-200+1)):E850)=200,AVERAGE(INDEX(StockDaily[Adjusted close],MAX(1,$A850-200+1)):E850),"n.a.")))</f>
        <v/>
      </c>
      <c r="H850" s="136" t="str">
        <f>IF($A850&gt;MIN($A$10,$A$2),"",IF($A$5="","Choose stock",IF(NOT($A$12),"Check split rule",IF(NOT(ISNUMBER(B850)),"Invalid date",IF(OR(B850&lt;=0,B850&lt;&gt;INT(B850)),"Invalid date",IF(COUNTIFS(DemoHistory[Date],B850)&lt;&gt;1,"Duplicate date",IF(AND($A850&gt;1,B850&lt;=B849),"Dates out of order",IF(NOT(ISNUMBER(C850)),"Missing price",IF(C850&lt;=0,"Nonpositive price","OK")))))))))</f>
        <v/>
      </c>
      <c r="I850" s="136"/>
      <c r="J850" s="136"/>
      <c r="K850" s="136"/>
      <c r="L850" s="136"/>
      <c r="M850" s="136"/>
      <c r="N850" s="136" t="e">
        <f t="shared" si="37"/>
        <v>#N/A</v>
      </c>
      <c r="O850" s="136" t="e">
        <f t="shared" si="38"/>
        <v>#N/A</v>
      </c>
    </row>
    <row r="851" spans="1:15" ht="22" customHeight="1" x14ac:dyDescent="0.35">
      <c r="A851" s="136">
        <v>807</v>
      </c>
      <c r="B851" s="165" t="str">
        <f>IF($A851&gt;MIN($A$10,$A$2),"",INDEX(DemoHistory[Date],$A851))</f>
        <v/>
      </c>
      <c r="C851" s="166" t="str">
        <f>IF(OR($A851&gt;MIN($A$10,$A$2),$A$5=""),"",INDEX(DemoHistory[],$A851,MATCH($A$5,DemoHistory[#Headers],0)))</f>
        <v/>
      </c>
      <c r="D851" s="166" t="str">
        <f>IF($A851&gt;MIN($A$10,$A$2),"",IF(AND($A$12,$A$6=1,B851&lt;$A$7,$A$7&lt;=MAX(DemoHistory[Date])),$A$8,1))</f>
        <v/>
      </c>
      <c r="E851" s="166" t="str">
        <f t="shared" si="36"/>
        <v/>
      </c>
      <c r="F851" s="166" t="str">
        <f>IF($A851&gt;MIN($A$10,$A$2),"",IF($A851&lt;50,"n.a.",IF(COUNT(INDEX(StockDaily[Adjusted close],MAX(1,$A851-50+1)):E851)=50,AVERAGE(INDEX(StockDaily[Adjusted close],MAX(1,$A851-50+1)):E851),"n.a.")))</f>
        <v/>
      </c>
      <c r="G851" s="166" t="str">
        <f>IF($A851&gt;MIN($A$10,$A$2),"",IF($A851&lt;200,"n.a.",IF(COUNT(INDEX(StockDaily[Adjusted close],MAX(1,$A851-200+1)):E851)=200,AVERAGE(INDEX(StockDaily[Adjusted close],MAX(1,$A851-200+1)):E851),"n.a.")))</f>
        <v/>
      </c>
      <c r="H851" s="136" t="str">
        <f>IF($A851&gt;MIN($A$10,$A$2),"",IF($A$5="","Choose stock",IF(NOT($A$12),"Check split rule",IF(NOT(ISNUMBER(B851)),"Invalid date",IF(OR(B851&lt;=0,B851&lt;&gt;INT(B851)),"Invalid date",IF(COUNTIFS(DemoHistory[Date],B851)&lt;&gt;1,"Duplicate date",IF(AND($A851&gt;1,B851&lt;=B850),"Dates out of order",IF(NOT(ISNUMBER(C851)),"Missing price",IF(C851&lt;=0,"Nonpositive price","OK")))))))))</f>
        <v/>
      </c>
      <c r="I851" s="136"/>
      <c r="J851" s="136"/>
      <c r="K851" s="136"/>
      <c r="L851" s="136"/>
      <c r="M851" s="136"/>
      <c r="N851" s="136" t="e">
        <f t="shared" si="37"/>
        <v>#N/A</v>
      </c>
      <c r="O851" s="136" t="e">
        <f t="shared" si="38"/>
        <v>#N/A</v>
      </c>
    </row>
    <row r="852" spans="1:15" ht="22" customHeight="1" x14ac:dyDescent="0.35">
      <c r="A852" s="136">
        <v>808</v>
      </c>
      <c r="B852" s="165" t="str">
        <f>IF($A852&gt;MIN($A$10,$A$2),"",INDEX(DemoHistory[Date],$A852))</f>
        <v/>
      </c>
      <c r="C852" s="166" t="str">
        <f>IF(OR($A852&gt;MIN($A$10,$A$2),$A$5=""),"",INDEX(DemoHistory[],$A852,MATCH($A$5,DemoHistory[#Headers],0)))</f>
        <v/>
      </c>
      <c r="D852" s="166" t="str">
        <f>IF($A852&gt;MIN($A$10,$A$2),"",IF(AND($A$12,$A$6=1,B852&lt;$A$7,$A$7&lt;=MAX(DemoHistory[Date])),$A$8,1))</f>
        <v/>
      </c>
      <c r="E852" s="166" t="str">
        <f t="shared" si="36"/>
        <v/>
      </c>
      <c r="F852" s="166" t="str">
        <f>IF($A852&gt;MIN($A$10,$A$2),"",IF($A852&lt;50,"n.a.",IF(COUNT(INDEX(StockDaily[Adjusted close],MAX(1,$A852-50+1)):E852)=50,AVERAGE(INDEX(StockDaily[Adjusted close],MAX(1,$A852-50+1)):E852),"n.a.")))</f>
        <v/>
      </c>
      <c r="G852" s="166" t="str">
        <f>IF($A852&gt;MIN($A$10,$A$2),"",IF($A852&lt;200,"n.a.",IF(COUNT(INDEX(StockDaily[Adjusted close],MAX(1,$A852-200+1)):E852)=200,AVERAGE(INDEX(StockDaily[Adjusted close],MAX(1,$A852-200+1)):E852),"n.a.")))</f>
        <v/>
      </c>
      <c r="H852" s="136" t="str">
        <f>IF($A852&gt;MIN($A$10,$A$2),"",IF($A$5="","Choose stock",IF(NOT($A$12),"Check split rule",IF(NOT(ISNUMBER(B852)),"Invalid date",IF(OR(B852&lt;=0,B852&lt;&gt;INT(B852)),"Invalid date",IF(COUNTIFS(DemoHistory[Date],B852)&lt;&gt;1,"Duplicate date",IF(AND($A852&gt;1,B852&lt;=B851),"Dates out of order",IF(NOT(ISNUMBER(C852)),"Missing price",IF(C852&lt;=0,"Nonpositive price","OK")))))))))</f>
        <v/>
      </c>
      <c r="I852" s="136"/>
      <c r="J852" s="136"/>
      <c r="K852" s="136"/>
      <c r="L852" s="136"/>
      <c r="M852" s="136"/>
      <c r="N852" s="136" t="e">
        <f t="shared" si="37"/>
        <v>#N/A</v>
      </c>
      <c r="O852" s="136" t="e">
        <f t="shared" si="38"/>
        <v>#N/A</v>
      </c>
    </row>
    <row r="853" spans="1:15" ht="22" customHeight="1" x14ac:dyDescent="0.35">
      <c r="A853" s="136">
        <v>809</v>
      </c>
      <c r="B853" s="165" t="str">
        <f>IF($A853&gt;MIN($A$10,$A$2),"",INDEX(DemoHistory[Date],$A853))</f>
        <v/>
      </c>
      <c r="C853" s="166" t="str">
        <f>IF(OR($A853&gt;MIN($A$10,$A$2),$A$5=""),"",INDEX(DemoHistory[],$A853,MATCH($A$5,DemoHistory[#Headers],0)))</f>
        <v/>
      </c>
      <c r="D853" s="166" t="str">
        <f>IF($A853&gt;MIN($A$10,$A$2),"",IF(AND($A$12,$A$6=1,B853&lt;$A$7,$A$7&lt;=MAX(DemoHistory[Date])),$A$8,1))</f>
        <v/>
      </c>
      <c r="E853" s="166" t="str">
        <f t="shared" si="36"/>
        <v/>
      </c>
      <c r="F853" s="166" t="str">
        <f>IF($A853&gt;MIN($A$10,$A$2),"",IF($A853&lt;50,"n.a.",IF(COUNT(INDEX(StockDaily[Adjusted close],MAX(1,$A853-50+1)):E853)=50,AVERAGE(INDEX(StockDaily[Adjusted close],MAX(1,$A853-50+1)):E853),"n.a.")))</f>
        <v/>
      </c>
      <c r="G853" s="166" t="str">
        <f>IF($A853&gt;MIN($A$10,$A$2),"",IF($A853&lt;200,"n.a.",IF(COUNT(INDEX(StockDaily[Adjusted close],MAX(1,$A853-200+1)):E853)=200,AVERAGE(INDEX(StockDaily[Adjusted close],MAX(1,$A853-200+1)):E853),"n.a.")))</f>
        <v/>
      </c>
      <c r="H853" s="136" t="str">
        <f>IF($A853&gt;MIN($A$10,$A$2),"",IF($A$5="","Choose stock",IF(NOT($A$12),"Check split rule",IF(NOT(ISNUMBER(B853)),"Invalid date",IF(OR(B853&lt;=0,B853&lt;&gt;INT(B853)),"Invalid date",IF(COUNTIFS(DemoHistory[Date],B853)&lt;&gt;1,"Duplicate date",IF(AND($A853&gt;1,B853&lt;=B852),"Dates out of order",IF(NOT(ISNUMBER(C853)),"Missing price",IF(C853&lt;=0,"Nonpositive price","OK")))))))))</f>
        <v/>
      </c>
      <c r="I853" s="136"/>
      <c r="J853" s="136"/>
      <c r="K853" s="136"/>
      <c r="L853" s="136"/>
      <c r="M853" s="136"/>
      <c r="N853" s="136" t="e">
        <f t="shared" si="37"/>
        <v>#N/A</v>
      </c>
      <c r="O853" s="136" t="e">
        <f t="shared" si="38"/>
        <v>#N/A</v>
      </c>
    </row>
    <row r="854" spans="1:15" ht="22" customHeight="1" x14ac:dyDescent="0.35">
      <c r="A854" s="136">
        <v>810</v>
      </c>
      <c r="B854" s="165" t="str">
        <f>IF($A854&gt;MIN($A$10,$A$2),"",INDEX(DemoHistory[Date],$A854))</f>
        <v/>
      </c>
      <c r="C854" s="166" t="str">
        <f>IF(OR($A854&gt;MIN($A$10,$A$2),$A$5=""),"",INDEX(DemoHistory[],$A854,MATCH($A$5,DemoHistory[#Headers],0)))</f>
        <v/>
      </c>
      <c r="D854" s="166" t="str">
        <f>IF($A854&gt;MIN($A$10,$A$2),"",IF(AND($A$12,$A$6=1,B854&lt;$A$7,$A$7&lt;=MAX(DemoHistory[Date])),$A$8,1))</f>
        <v/>
      </c>
      <c r="E854" s="166" t="str">
        <f t="shared" si="36"/>
        <v/>
      </c>
      <c r="F854" s="166" t="str">
        <f>IF($A854&gt;MIN($A$10,$A$2),"",IF($A854&lt;50,"n.a.",IF(COUNT(INDEX(StockDaily[Adjusted close],MAX(1,$A854-50+1)):E854)=50,AVERAGE(INDEX(StockDaily[Adjusted close],MAX(1,$A854-50+1)):E854),"n.a.")))</f>
        <v/>
      </c>
      <c r="G854" s="166" t="str">
        <f>IF($A854&gt;MIN($A$10,$A$2),"",IF($A854&lt;200,"n.a.",IF(COUNT(INDEX(StockDaily[Adjusted close],MAX(1,$A854-200+1)):E854)=200,AVERAGE(INDEX(StockDaily[Adjusted close],MAX(1,$A854-200+1)):E854),"n.a.")))</f>
        <v/>
      </c>
      <c r="H854" s="136" t="str">
        <f>IF($A854&gt;MIN($A$10,$A$2),"",IF($A$5="","Choose stock",IF(NOT($A$12),"Check split rule",IF(NOT(ISNUMBER(B854)),"Invalid date",IF(OR(B854&lt;=0,B854&lt;&gt;INT(B854)),"Invalid date",IF(COUNTIFS(DemoHistory[Date],B854)&lt;&gt;1,"Duplicate date",IF(AND($A854&gt;1,B854&lt;=B853),"Dates out of order",IF(NOT(ISNUMBER(C854)),"Missing price",IF(C854&lt;=0,"Nonpositive price","OK")))))))))</f>
        <v/>
      </c>
      <c r="I854" s="136"/>
      <c r="J854" s="136"/>
      <c r="K854" s="136"/>
      <c r="L854" s="136"/>
      <c r="M854" s="136"/>
      <c r="N854" s="136" t="e">
        <f t="shared" si="37"/>
        <v>#N/A</v>
      </c>
      <c r="O854" s="136" t="e">
        <f t="shared" si="38"/>
        <v>#N/A</v>
      </c>
    </row>
    <row r="855" spans="1:15" ht="22" customHeight="1" x14ac:dyDescent="0.35">
      <c r="A855" s="136">
        <v>811</v>
      </c>
      <c r="B855" s="165" t="str">
        <f>IF($A855&gt;MIN($A$10,$A$2),"",INDEX(DemoHistory[Date],$A855))</f>
        <v/>
      </c>
      <c r="C855" s="166" t="str">
        <f>IF(OR($A855&gt;MIN($A$10,$A$2),$A$5=""),"",INDEX(DemoHistory[],$A855,MATCH($A$5,DemoHistory[#Headers],0)))</f>
        <v/>
      </c>
      <c r="D855" s="166" t="str">
        <f>IF($A855&gt;MIN($A$10,$A$2),"",IF(AND($A$12,$A$6=1,B855&lt;$A$7,$A$7&lt;=MAX(DemoHistory[Date])),$A$8,1))</f>
        <v/>
      </c>
      <c r="E855" s="166" t="str">
        <f t="shared" si="36"/>
        <v/>
      </c>
      <c r="F855" s="166" t="str">
        <f>IF($A855&gt;MIN($A$10,$A$2),"",IF($A855&lt;50,"n.a.",IF(COUNT(INDEX(StockDaily[Adjusted close],MAX(1,$A855-50+1)):E855)=50,AVERAGE(INDEX(StockDaily[Adjusted close],MAX(1,$A855-50+1)):E855),"n.a.")))</f>
        <v/>
      </c>
      <c r="G855" s="166" t="str">
        <f>IF($A855&gt;MIN($A$10,$A$2),"",IF($A855&lt;200,"n.a.",IF(COUNT(INDEX(StockDaily[Adjusted close],MAX(1,$A855-200+1)):E855)=200,AVERAGE(INDEX(StockDaily[Adjusted close],MAX(1,$A855-200+1)):E855),"n.a.")))</f>
        <v/>
      </c>
      <c r="H855" s="136" t="str">
        <f>IF($A855&gt;MIN($A$10,$A$2),"",IF($A$5="","Choose stock",IF(NOT($A$12),"Check split rule",IF(NOT(ISNUMBER(B855)),"Invalid date",IF(OR(B855&lt;=0,B855&lt;&gt;INT(B855)),"Invalid date",IF(COUNTIFS(DemoHistory[Date],B855)&lt;&gt;1,"Duplicate date",IF(AND($A855&gt;1,B855&lt;=B854),"Dates out of order",IF(NOT(ISNUMBER(C855)),"Missing price",IF(C855&lt;=0,"Nonpositive price","OK")))))))))</f>
        <v/>
      </c>
      <c r="I855" s="136"/>
      <c r="J855" s="136"/>
      <c r="K855" s="136"/>
      <c r="L855" s="136"/>
      <c r="M855" s="136"/>
      <c r="N855" s="136" t="e">
        <f t="shared" si="37"/>
        <v>#N/A</v>
      </c>
      <c r="O855" s="136" t="e">
        <f t="shared" si="38"/>
        <v>#N/A</v>
      </c>
    </row>
    <row r="856" spans="1:15" ht="22" customHeight="1" x14ac:dyDescent="0.35">
      <c r="A856" s="136">
        <v>812</v>
      </c>
      <c r="B856" s="165" t="str">
        <f>IF($A856&gt;MIN($A$10,$A$2),"",INDEX(DemoHistory[Date],$A856))</f>
        <v/>
      </c>
      <c r="C856" s="166" t="str">
        <f>IF(OR($A856&gt;MIN($A$10,$A$2),$A$5=""),"",INDEX(DemoHistory[],$A856,MATCH($A$5,DemoHistory[#Headers],0)))</f>
        <v/>
      </c>
      <c r="D856" s="166" t="str">
        <f>IF($A856&gt;MIN($A$10,$A$2),"",IF(AND($A$12,$A$6=1,B856&lt;$A$7,$A$7&lt;=MAX(DemoHistory[Date])),$A$8,1))</f>
        <v/>
      </c>
      <c r="E856" s="166" t="str">
        <f t="shared" si="36"/>
        <v/>
      </c>
      <c r="F856" s="166" t="str">
        <f>IF($A856&gt;MIN($A$10,$A$2),"",IF($A856&lt;50,"n.a.",IF(COUNT(INDEX(StockDaily[Adjusted close],MAX(1,$A856-50+1)):E856)=50,AVERAGE(INDEX(StockDaily[Adjusted close],MAX(1,$A856-50+1)):E856),"n.a.")))</f>
        <v/>
      </c>
      <c r="G856" s="166" t="str">
        <f>IF($A856&gt;MIN($A$10,$A$2),"",IF($A856&lt;200,"n.a.",IF(COUNT(INDEX(StockDaily[Adjusted close],MAX(1,$A856-200+1)):E856)=200,AVERAGE(INDEX(StockDaily[Adjusted close],MAX(1,$A856-200+1)):E856),"n.a.")))</f>
        <v/>
      </c>
      <c r="H856" s="136" t="str">
        <f>IF($A856&gt;MIN($A$10,$A$2),"",IF($A$5="","Choose stock",IF(NOT($A$12),"Check split rule",IF(NOT(ISNUMBER(B856)),"Invalid date",IF(OR(B856&lt;=0,B856&lt;&gt;INT(B856)),"Invalid date",IF(COUNTIFS(DemoHistory[Date],B856)&lt;&gt;1,"Duplicate date",IF(AND($A856&gt;1,B856&lt;=B855),"Dates out of order",IF(NOT(ISNUMBER(C856)),"Missing price",IF(C856&lt;=0,"Nonpositive price","OK")))))))))</f>
        <v/>
      </c>
      <c r="I856" s="136"/>
      <c r="J856" s="136"/>
      <c r="K856" s="136"/>
      <c r="L856" s="136"/>
      <c r="M856" s="136"/>
      <c r="N856" s="136" t="e">
        <f t="shared" si="37"/>
        <v>#N/A</v>
      </c>
      <c r="O856" s="136" t="e">
        <f t="shared" si="38"/>
        <v>#N/A</v>
      </c>
    </row>
    <row r="857" spans="1:15" ht="22" customHeight="1" x14ac:dyDescent="0.35">
      <c r="A857" s="136">
        <v>813</v>
      </c>
      <c r="B857" s="165" t="str">
        <f>IF($A857&gt;MIN($A$10,$A$2),"",INDEX(DemoHistory[Date],$A857))</f>
        <v/>
      </c>
      <c r="C857" s="166" t="str">
        <f>IF(OR($A857&gt;MIN($A$10,$A$2),$A$5=""),"",INDEX(DemoHistory[],$A857,MATCH($A$5,DemoHistory[#Headers],0)))</f>
        <v/>
      </c>
      <c r="D857" s="166" t="str">
        <f>IF($A857&gt;MIN($A$10,$A$2),"",IF(AND($A$12,$A$6=1,B857&lt;$A$7,$A$7&lt;=MAX(DemoHistory[Date])),$A$8,1))</f>
        <v/>
      </c>
      <c r="E857" s="166" t="str">
        <f t="shared" si="36"/>
        <v/>
      </c>
      <c r="F857" s="166" t="str">
        <f>IF($A857&gt;MIN($A$10,$A$2),"",IF($A857&lt;50,"n.a.",IF(COUNT(INDEX(StockDaily[Adjusted close],MAX(1,$A857-50+1)):E857)=50,AVERAGE(INDEX(StockDaily[Adjusted close],MAX(1,$A857-50+1)):E857),"n.a.")))</f>
        <v/>
      </c>
      <c r="G857" s="166" t="str">
        <f>IF($A857&gt;MIN($A$10,$A$2),"",IF($A857&lt;200,"n.a.",IF(COUNT(INDEX(StockDaily[Adjusted close],MAX(1,$A857-200+1)):E857)=200,AVERAGE(INDEX(StockDaily[Adjusted close],MAX(1,$A857-200+1)):E857),"n.a.")))</f>
        <v/>
      </c>
      <c r="H857" s="136" t="str">
        <f>IF($A857&gt;MIN($A$10,$A$2),"",IF($A$5="","Choose stock",IF(NOT($A$12),"Check split rule",IF(NOT(ISNUMBER(B857)),"Invalid date",IF(OR(B857&lt;=0,B857&lt;&gt;INT(B857)),"Invalid date",IF(COUNTIFS(DemoHistory[Date],B857)&lt;&gt;1,"Duplicate date",IF(AND($A857&gt;1,B857&lt;=B856),"Dates out of order",IF(NOT(ISNUMBER(C857)),"Missing price",IF(C857&lt;=0,"Nonpositive price","OK")))))))))</f>
        <v/>
      </c>
      <c r="I857" s="136"/>
      <c r="J857" s="136"/>
      <c r="K857" s="136"/>
      <c r="L857" s="136"/>
      <c r="M857" s="136"/>
      <c r="N857" s="136" t="e">
        <f t="shared" si="37"/>
        <v>#N/A</v>
      </c>
      <c r="O857" s="136" t="e">
        <f t="shared" si="38"/>
        <v>#N/A</v>
      </c>
    </row>
    <row r="858" spans="1:15" ht="22" customHeight="1" x14ac:dyDescent="0.35">
      <c r="A858" s="136">
        <v>814</v>
      </c>
      <c r="B858" s="165" t="str">
        <f>IF($A858&gt;MIN($A$10,$A$2),"",INDEX(DemoHistory[Date],$A858))</f>
        <v/>
      </c>
      <c r="C858" s="166" t="str">
        <f>IF(OR($A858&gt;MIN($A$10,$A$2),$A$5=""),"",INDEX(DemoHistory[],$A858,MATCH($A$5,DemoHistory[#Headers],0)))</f>
        <v/>
      </c>
      <c r="D858" s="166" t="str">
        <f>IF($A858&gt;MIN($A$10,$A$2),"",IF(AND($A$12,$A$6=1,B858&lt;$A$7,$A$7&lt;=MAX(DemoHistory[Date])),$A$8,1))</f>
        <v/>
      </c>
      <c r="E858" s="166" t="str">
        <f t="shared" si="36"/>
        <v/>
      </c>
      <c r="F858" s="166" t="str">
        <f>IF($A858&gt;MIN($A$10,$A$2),"",IF($A858&lt;50,"n.a.",IF(COUNT(INDEX(StockDaily[Adjusted close],MAX(1,$A858-50+1)):E858)=50,AVERAGE(INDEX(StockDaily[Adjusted close],MAX(1,$A858-50+1)):E858),"n.a.")))</f>
        <v/>
      </c>
      <c r="G858" s="166" t="str">
        <f>IF($A858&gt;MIN($A$10,$A$2),"",IF($A858&lt;200,"n.a.",IF(COUNT(INDEX(StockDaily[Adjusted close],MAX(1,$A858-200+1)):E858)=200,AVERAGE(INDEX(StockDaily[Adjusted close],MAX(1,$A858-200+1)):E858),"n.a.")))</f>
        <v/>
      </c>
      <c r="H858" s="136" t="str">
        <f>IF($A858&gt;MIN($A$10,$A$2),"",IF($A$5="","Choose stock",IF(NOT($A$12),"Check split rule",IF(NOT(ISNUMBER(B858)),"Invalid date",IF(OR(B858&lt;=0,B858&lt;&gt;INT(B858)),"Invalid date",IF(COUNTIFS(DemoHistory[Date],B858)&lt;&gt;1,"Duplicate date",IF(AND($A858&gt;1,B858&lt;=B857),"Dates out of order",IF(NOT(ISNUMBER(C858)),"Missing price",IF(C858&lt;=0,"Nonpositive price","OK")))))))))</f>
        <v/>
      </c>
      <c r="I858" s="136"/>
      <c r="J858" s="136"/>
      <c r="K858" s="136"/>
      <c r="L858" s="136"/>
      <c r="M858" s="136"/>
      <c r="N858" s="136" t="e">
        <f t="shared" si="37"/>
        <v>#N/A</v>
      </c>
      <c r="O858" s="136" t="e">
        <f t="shared" si="38"/>
        <v>#N/A</v>
      </c>
    </row>
    <row r="859" spans="1:15" ht="22" customHeight="1" x14ac:dyDescent="0.35">
      <c r="A859" s="136">
        <v>815</v>
      </c>
      <c r="B859" s="165" t="str">
        <f>IF($A859&gt;MIN($A$10,$A$2),"",INDEX(DemoHistory[Date],$A859))</f>
        <v/>
      </c>
      <c r="C859" s="166" t="str">
        <f>IF(OR($A859&gt;MIN($A$10,$A$2),$A$5=""),"",INDEX(DemoHistory[],$A859,MATCH($A$5,DemoHistory[#Headers],0)))</f>
        <v/>
      </c>
      <c r="D859" s="166" t="str">
        <f>IF($A859&gt;MIN($A$10,$A$2),"",IF(AND($A$12,$A$6=1,B859&lt;$A$7,$A$7&lt;=MAX(DemoHistory[Date])),$A$8,1))</f>
        <v/>
      </c>
      <c r="E859" s="166" t="str">
        <f t="shared" si="36"/>
        <v/>
      </c>
      <c r="F859" s="166" t="str">
        <f>IF($A859&gt;MIN($A$10,$A$2),"",IF($A859&lt;50,"n.a.",IF(COUNT(INDEX(StockDaily[Adjusted close],MAX(1,$A859-50+1)):E859)=50,AVERAGE(INDEX(StockDaily[Adjusted close],MAX(1,$A859-50+1)):E859),"n.a.")))</f>
        <v/>
      </c>
      <c r="G859" s="166" t="str">
        <f>IF($A859&gt;MIN($A$10,$A$2),"",IF($A859&lt;200,"n.a.",IF(COUNT(INDEX(StockDaily[Adjusted close],MAX(1,$A859-200+1)):E859)=200,AVERAGE(INDEX(StockDaily[Adjusted close],MAX(1,$A859-200+1)):E859),"n.a.")))</f>
        <v/>
      </c>
      <c r="H859" s="136" t="str">
        <f>IF($A859&gt;MIN($A$10,$A$2),"",IF($A$5="","Choose stock",IF(NOT($A$12),"Check split rule",IF(NOT(ISNUMBER(B859)),"Invalid date",IF(OR(B859&lt;=0,B859&lt;&gt;INT(B859)),"Invalid date",IF(COUNTIFS(DemoHistory[Date],B859)&lt;&gt;1,"Duplicate date",IF(AND($A859&gt;1,B859&lt;=B858),"Dates out of order",IF(NOT(ISNUMBER(C859)),"Missing price",IF(C859&lt;=0,"Nonpositive price","OK")))))))))</f>
        <v/>
      </c>
      <c r="I859" s="136"/>
      <c r="J859" s="136"/>
      <c r="K859" s="136"/>
      <c r="L859" s="136"/>
      <c r="M859" s="136"/>
      <c r="N859" s="136" t="e">
        <f t="shared" si="37"/>
        <v>#N/A</v>
      </c>
      <c r="O859" s="136" t="e">
        <f t="shared" si="38"/>
        <v>#N/A</v>
      </c>
    </row>
    <row r="860" spans="1:15" ht="22" customHeight="1" x14ac:dyDescent="0.35">
      <c r="A860" s="136">
        <v>816</v>
      </c>
      <c r="B860" s="165" t="str">
        <f>IF($A860&gt;MIN($A$10,$A$2),"",INDEX(DemoHistory[Date],$A860))</f>
        <v/>
      </c>
      <c r="C860" s="166" t="str">
        <f>IF(OR($A860&gt;MIN($A$10,$A$2),$A$5=""),"",INDEX(DemoHistory[],$A860,MATCH($A$5,DemoHistory[#Headers],0)))</f>
        <v/>
      </c>
      <c r="D860" s="166" t="str">
        <f>IF($A860&gt;MIN($A$10,$A$2),"",IF(AND($A$12,$A$6=1,B860&lt;$A$7,$A$7&lt;=MAX(DemoHistory[Date])),$A$8,1))</f>
        <v/>
      </c>
      <c r="E860" s="166" t="str">
        <f t="shared" si="36"/>
        <v/>
      </c>
      <c r="F860" s="166" t="str">
        <f>IF($A860&gt;MIN($A$10,$A$2),"",IF($A860&lt;50,"n.a.",IF(COUNT(INDEX(StockDaily[Adjusted close],MAX(1,$A860-50+1)):E860)=50,AVERAGE(INDEX(StockDaily[Adjusted close],MAX(1,$A860-50+1)):E860),"n.a.")))</f>
        <v/>
      </c>
      <c r="G860" s="166" t="str">
        <f>IF($A860&gt;MIN($A$10,$A$2),"",IF($A860&lt;200,"n.a.",IF(COUNT(INDEX(StockDaily[Adjusted close],MAX(1,$A860-200+1)):E860)=200,AVERAGE(INDEX(StockDaily[Adjusted close],MAX(1,$A860-200+1)):E860),"n.a.")))</f>
        <v/>
      </c>
      <c r="H860" s="136" t="str">
        <f>IF($A860&gt;MIN($A$10,$A$2),"",IF($A$5="","Choose stock",IF(NOT($A$12),"Check split rule",IF(NOT(ISNUMBER(B860)),"Invalid date",IF(OR(B860&lt;=0,B860&lt;&gt;INT(B860)),"Invalid date",IF(COUNTIFS(DemoHistory[Date],B860)&lt;&gt;1,"Duplicate date",IF(AND($A860&gt;1,B860&lt;=B859),"Dates out of order",IF(NOT(ISNUMBER(C860)),"Missing price",IF(C860&lt;=0,"Nonpositive price","OK")))))))))</f>
        <v/>
      </c>
      <c r="I860" s="136"/>
      <c r="J860" s="136"/>
      <c r="K860" s="136"/>
      <c r="L860" s="136"/>
      <c r="M860" s="136"/>
      <c r="N860" s="136" t="e">
        <f t="shared" si="37"/>
        <v>#N/A</v>
      </c>
      <c r="O860" s="136" t="e">
        <f t="shared" si="38"/>
        <v>#N/A</v>
      </c>
    </row>
    <row r="861" spans="1:15" ht="22" customHeight="1" x14ac:dyDescent="0.35">
      <c r="A861" s="136">
        <v>817</v>
      </c>
      <c r="B861" s="165" t="str">
        <f>IF($A861&gt;MIN($A$10,$A$2),"",INDEX(DemoHistory[Date],$A861))</f>
        <v/>
      </c>
      <c r="C861" s="166" t="str">
        <f>IF(OR($A861&gt;MIN($A$10,$A$2),$A$5=""),"",INDEX(DemoHistory[],$A861,MATCH($A$5,DemoHistory[#Headers],0)))</f>
        <v/>
      </c>
      <c r="D861" s="166" t="str">
        <f>IF($A861&gt;MIN($A$10,$A$2),"",IF(AND($A$12,$A$6=1,B861&lt;$A$7,$A$7&lt;=MAX(DemoHistory[Date])),$A$8,1))</f>
        <v/>
      </c>
      <c r="E861" s="166" t="str">
        <f t="shared" si="36"/>
        <v/>
      </c>
      <c r="F861" s="166" t="str">
        <f>IF($A861&gt;MIN($A$10,$A$2),"",IF($A861&lt;50,"n.a.",IF(COUNT(INDEX(StockDaily[Adjusted close],MAX(1,$A861-50+1)):E861)=50,AVERAGE(INDEX(StockDaily[Adjusted close],MAX(1,$A861-50+1)):E861),"n.a.")))</f>
        <v/>
      </c>
      <c r="G861" s="166" t="str">
        <f>IF($A861&gt;MIN($A$10,$A$2),"",IF($A861&lt;200,"n.a.",IF(COUNT(INDEX(StockDaily[Adjusted close],MAX(1,$A861-200+1)):E861)=200,AVERAGE(INDEX(StockDaily[Adjusted close],MAX(1,$A861-200+1)):E861),"n.a.")))</f>
        <v/>
      </c>
      <c r="H861" s="136" t="str">
        <f>IF($A861&gt;MIN($A$10,$A$2),"",IF($A$5="","Choose stock",IF(NOT($A$12),"Check split rule",IF(NOT(ISNUMBER(B861)),"Invalid date",IF(OR(B861&lt;=0,B861&lt;&gt;INT(B861)),"Invalid date",IF(COUNTIFS(DemoHistory[Date],B861)&lt;&gt;1,"Duplicate date",IF(AND($A861&gt;1,B861&lt;=B860),"Dates out of order",IF(NOT(ISNUMBER(C861)),"Missing price",IF(C861&lt;=0,"Nonpositive price","OK")))))))))</f>
        <v/>
      </c>
      <c r="I861" s="136"/>
      <c r="J861" s="136"/>
      <c r="K861" s="136"/>
      <c r="L861" s="136"/>
      <c r="M861" s="136"/>
      <c r="N861" s="136" t="e">
        <f t="shared" si="37"/>
        <v>#N/A</v>
      </c>
      <c r="O861" s="136" t="e">
        <f t="shared" si="38"/>
        <v>#N/A</v>
      </c>
    </row>
    <row r="862" spans="1:15" ht="22" customHeight="1" x14ac:dyDescent="0.35">
      <c r="A862" s="136">
        <v>818</v>
      </c>
      <c r="B862" s="165" t="str">
        <f>IF($A862&gt;MIN($A$10,$A$2),"",INDEX(DemoHistory[Date],$A862))</f>
        <v/>
      </c>
      <c r="C862" s="166" t="str">
        <f>IF(OR($A862&gt;MIN($A$10,$A$2),$A$5=""),"",INDEX(DemoHistory[],$A862,MATCH($A$5,DemoHistory[#Headers],0)))</f>
        <v/>
      </c>
      <c r="D862" s="166" t="str">
        <f>IF($A862&gt;MIN($A$10,$A$2),"",IF(AND($A$12,$A$6=1,B862&lt;$A$7,$A$7&lt;=MAX(DemoHistory[Date])),$A$8,1))</f>
        <v/>
      </c>
      <c r="E862" s="166" t="str">
        <f t="shared" si="36"/>
        <v/>
      </c>
      <c r="F862" s="166" t="str">
        <f>IF($A862&gt;MIN($A$10,$A$2),"",IF($A862&lt;50,"n.a.",IF(COUNT(INDEX(StockDaily[Adjusted close],MAX(1,$A862-50+1)):E862)=50,AVERAGE(INDEX(StockDaily[Adjusted close],MAX(1,$A862-50+1)):E862),"n.a.")))</f>
        <v/>
      </c>
      <c r="G862" s="166" t="str">
        <f>IF($A862&gt;MIN($A$10,$A$2),"",IF($A862&lt;200,"n.a.",IF(COUNT(INDEX(StockDaily[Adjusted close],MAX(1,$A862-200+1)):E862)=200,AVERAGE(INDEX(StockDaily[Adjusted close],MAX(1,$A862-200+1)):E862),"n.a.")))</f>
        <v/>
      </c>
      <c r="H862" s="136" t="str">
        <f>IF($A862&gt;MIN($A$10,$A$2),"",IF($A$5="","Choose stock",IF(NOT($A$12),"Check split rule",IF(NOT(ISNUMBER(B862)),"Invalid date",IF(OR(B862&lt;=0,B862&lt;&gt;INT(B862)),"Invalid date",IF(COUNTIFS(DemoHistory[Date],B862)&lt;&gt;1,"Duplicate date",IF(AND($A862&gt;1,B862&lt;=B861),"Dates out of order",IF(NOT(ISNUMBER(C862)),"Missing price",IF(C862&lt;=0,"Nonpositive price","OK")))))))))</f>
        <v/>
      </c>
      <c r="I862" s="136"/>
      <c r="J862" s="136"/>
      <c r="K862" s="136"/>
      <c r="L862" s="136"/>
      <c r="M862" s="136"/>
      <c r="N862" s="136" t="e">
        <f t="shared" si="37"/>
        <v>#N/A</v>
      </c>
      <c r="O862" s="136" t="e">
        <f t="shared" si="38"/>
        <v>#N/A</v>
      </c>
    </row>
    <row r="863" spans="1:15" ht="22" customHeight="1" x14ac:dyDescent="0.35">
      <c r="A863" s="136">
        <v>819</v>
      </c>
      <c r="B863" s="165" t="str">
        <f>IF($A863&gt;MIN($A$10,$A$2),"",INDEX(DemoHistory[Date],$A863))</f>
        <v/>
      </c>
      <c r="C863" s="166" t="str">
        <f>IF(OR($A863&gt;MIN($A$10,$A$2),$A$5=""),"",INDEX(DemoHistory[],$A863,MATCH($A$5,DemoHistory[#Headers],0)))</f>
        <v/>
      </c>
      <c r="D863" s="166" t="str">
        <f>IF($A863&gt;MIN($A$10,$A$2),"",IF(AND($A$12,$A$6=1,B863&lt;$A$7,$A$7&lt;=MAX(DemoHistory[Date])),$A$8,1))</f>
        <v/>
      </c>
      <c r="E863" s="166" t="str">
        <f t="shared" si="36"/>
        <v/>
      </c>
      <c r="F863" s="166" t="str">
        <f>IF($A863&gt;MIN($A$10,$A$2),"",IF($A863&lt;50,"n.a.",IF(COUNT(INDEX(StockDaily[Adjusted close],MAX(1,$A863-50+1)):E863)=50,AVERAGE(INDEX(StockDaily[Adjusted close],MAX(1,$A863-50+1)):E863),"n.a.")))</f>
        <v/>
      </c>
      <c r="G863" s="166" t="str">
        <f>IF($A863&gt;MIN($A$10,$A$2),"",IF($A863&lt;200,"n.a.",IF(COUNT(INDEX(StockDaily[Adjusted close],MAX(1,$A863-200+1)):E863)=200,AVERAGE(INDEX(StockDaily[Adjusted close],MAX(1,$A863-200+1)):E863),"n.a.")))</f>
        <v/>
      </c>
      <c r="H863" s="136" t="str">
        <f>IF($A863&gt;MIN($A$10,$A$2),"",IF($A$5="","Choose stock",IF(NOT($A$12),"Check split rule",IF(NOT(ISNUMBER(B863)),"Invalid date",IF(OR(B863&lt;=0,B863&lt;&gt;INT(B863)),"Invalid date",IF(COUNTIFS(DemoHistory[Date],B863)&lt;&gt;1,"Duplicate date",IF(AND($A863&gt;1,B863&lt;=B862),"Dates out of order",IF(NOT(ISNUMBER(C863)),"Missing price",IF(C863&lt;=0,"Nonpositive price","OK")))))))))</f>
        <v/>
      </c>
      <c r="I863" s="136"/>
      <c r="J863" s="136"/>
      <c r="K863" s="136"/>
      <c r="L863" s="136"/>
      <c r="M863" s="136"/>
      <c r="N863" s="136" t="e">
        <f t="shared" si="37"/>
        <v>#N/A</v>
      </c>
      <c r="O863" s="136" t="e">
        <f t="shared" si="38"/>
        <v>#N/A</v>
      </c>
    </row>
    <row r="864" spans="1:15" ht="22" customHeight="1" x14ac:dyDescent="0.35">
      <c r="A864" s="136">
        <v>820</v>
      </c>
      <c r="B864" s="165" t="str">
        <f>IF($A864&gt;MIN($A$10,$A$2),"",INDEX(DemoHistory[Date],$A864))</f>
        <v/>
      </c>
      <c r="C864" s="166" t="str">
        <f>IF(OR($A864&gt;MIN($A$10,$A$2),$A$5=""),"",INDEX(DemoHistory[],$A864,MATCH($A$5,DemoHistory[#Headers],0)))</f>
        <v/>
      </c>
      <c r="D864" s="166" t="str">
        <f>IF($A864&gt;MIN($A$10,$A$2),"",IF(AND($A$12,$A$6=1,B864&lt;$A$7,$A$7&lt;=MAX(DemoHistory[Date])),$A$8,1))</f>
        <v/>
      </c>
      <c r="E864" s="166" t="str">
        <f t="shared" si="36"/>
        <v/>
      </c>
      <c r="F864" s="166" t="str">
        <f>IF($A864&gt;MIN($A$10,$A$2),"",IF($A864&lt;50,"n.a.",IF(COUNT(INDEX(StockDaily[Adjusted close],MAX(1,$A864-50+1)):E864)=50,AVERAGE(INDEX(StockDaily[Adjusted close],MAX(1,$A864-50+1)):E864),"n.a.")))</f>
        <v/>
      </c>
      <c r="G864" s="166" t="str">
        <f>IF($A864&gt;MIN($A$10,$A$2),"",IF($A864&lt;200,"n.a.",IF(COUNT(INDEX(StockDaily[Adjusted close],MAX(1,$A864-200+1)):E864)=200,AVERAGE(INDEX(StockDaily[Adjusted close],MAX(1,$A864-200+1)):E864),"n.a.")))</f>
        <v/>
      </c>
      <c r="H864" s="136" t="str">
        <f>IF($A864&gt;MIN($A$10,$A$2),"",IF($A$5="","Choose stock",IF(NOT($A$12),"Check split rule",IF(NOT(ISNUMBER(B864)),"Invalid date",IF(OR(B864&lt;=0,B864&lt;&gt;INT(B864)),"Invalid date",IF(COUNTIFS(DemoHistory[Date],B864)&lt;&gt;1,"Duplicate date",IF(AND($A864&gt;1,B864&lt;=B863),"Dates out of order",IF(NOT(ISNUMBER(C864)),"Missing price",IF(C864&lt;=0,"Nonpositive price","OK")))))))))</f>
        <v/>
      </c>
      <c r="I864" s="136"/>
      <c r="J864" s="136"/>
      <c r="K864" s="136"/>
      <c r="L864" s="136"/>
      <c r="M864" s="136"/>
      <c r="N864" s="136" t="e">
        <f t="shared" si="37"/>
        <v>#N/A</v>
      </c>
      <c r="O864" s="136" t="e">
        <f t="shared" si="38"/>
        <v>#N/A</v>
      </c>
    </row>
    <row r="865" spans="1:15" ht="22" customHeight="1" x14ac:dyDescent="0.35">
      <c r="A865" s="136">
        <v>821</v>
      </c>
      <c r="B865" s="165" t="str">
        <f>IF($A865&gt;MIN($A$10,$A$2),"",INDEX(DemoHistory[Date],$A865))</f>
        <v/>
      </c>
      <c r="C865" s="166" t="str">
        <f>IF(OR($A865&gt;MIN($A$10,$A$2),$A$5=""),"",INDEX(DemoHistory[],$A865,MATCH($A$5,DemoHistory[#Headers],0)))</f>
        <v/>
      </c>
      <c r="D865" s="166" t="str">
        <f>IF($A865&gt;MIN($A$10,$A$2),"",IF(AND($A$12,$A$6=1,B865&lt;$A$7,$A$7&lt;=MAX(DemoHistory[Date])),$A$8,1))</f>
        <v/>
      </c>
      <c r="E865" s="166" t="str">
        <f t="shared" si="36"/>
        <v/>
      </c>
      <c r="F865" s="166" t="str">
        <f>IF($A865&gt;MIN($A$10,$A$2),"",IF($A865&lt;50,"n.a.",IF(COUNT(INDEX(StockDaily[Adjusted close],MAX(1,$A865-50+1)):E865)=50,AVERAGE(INDEX(StockDaily[Adjusted close],MAX(1,$A865-50+1)):E865),"n.a.")))</f>
        <v/>
      </c>
      <c r="G865" s="166" t="str">
        <f>IF($A865&gt;MIN($A$10,$A$2),"",IF($A865&lt;200,"n.a.",IF(COUNT(INDEX(StockDaily[Adjusted close],MAX(1,$A865-200+1)):E865)=200,AVERAGE(INDEX(StockDaily[Adjusted close],MAX(1,$A865-200+1)):E865),"n.a.")))</f>
        <v/>
      </c>
      <c r="H865" s="136" t="str">
        <f>IF($A865&gt;MIN($A$10,$A$2),"",IF($A$5="","Choose stock",IF(NOT($A$12),"Check split rule",IF(NOT(ISNUMBER(B865)),"Invalid date",IF(OR(B865&lt;=0,B865&lt;&gt;INT(B865)),"Invalid date",IF(COUNTIFS(DemoHistory[Date],B865)&lt;&gt;1,"Duplicate date",IF(AND($A865&gt;1,B865&lt;=B864),"Dates out of order",IF(NOT(ISNUMBER(C865)),"Missing price",IF(C865&lt;=0,"Nonpositive price","OK")))))))))</f>
        <v/>
      </c>
      <c r="I865" s="136"/>
      <c r="J865" s="136"/>
      <c r="K865" s="136"/>
      <c r="L865" s="136"/>
      <c r="M865" s="136"/>
      <c r="N865" s="136" t="e">
        <f t="shared" si="37"/>
        <v>#N/A</v>
      </c>
      <c r="O865" s="136" t="e">
        <f t="shared" si="38"/>
        <v>#N/A</v>
      </c>
    </row>
    <row r="866" spans="1:15" ht="22" customHeight="1" x14ac:dyDescent="0.35">
      <c r="A866" s="136">
        <v>822</v>
      </c>
      <c r="B866" s="165" t="str">
        <f>IF($A866&gt;MIN($A$10,$A$2),"",INDEX(DemoHistory[Date],$A866))</f>
        <v/>
      </c>
      <c r="C866" s="166" t="str">
        <f>IF(OR($A866&gt;MIN($A$10,$A$2),$A$5=""),"",INDEX(DemoHistory[],$A866,MATCH($A$5,DemoHistory[#Headers],0)))</f>
        <v/>
      </c>
      <c r="D866" s="166" t="str">
        <f>IF($A866&gt;MIN($A$10,$A$2),"",IF(AND($A$12,$A$6=1,B866&lt;$A$7,$A$7&lt;=MAX(DemoHistory[Date])),$A$8,1))</f>
        <v/>
      </c>
      <c r="E866" s="166" t="str">
        <f t="shared" si="36"/>
        <v/>
      </c>
      <c r="F866" s="166" t="str">
        <f>IF($A866&gt;MIN($A$10,$A$2),"",IF($A866&lt;50,"n.a.",IF(COUNT(INDEX(StockDaily[Adjusted close],MAX(1,$A866-50+1)):E866)=50,AVERAGE(INDEX(StockDaily[Adjusted close],MAX(1,$A866-50+1)):E866),"n.a.")))</f>
        <v/>
      </c>
      <c r="G866" s="166" t="str">
        <f>IF($A866&gt;MIN($A$10,$A$2),"",IF($A866&lt;200,"n.a.",IF(COUNT(INDEX(StockDaily[Adjusted close],MAX(1,$A866-200+1)):E866)=200,AVERAGE(INDEX(StockDaily[Adjusted close],MAX(1,$A866-200+1)):E866),"n.a.")))</f>
        <v/>
      </c>
      <c r="H866" s="136" t="str">
        <f>IF($A866&gt;MIN($A$10,$A$2),"",IF($A$5="","Choose stock",IF(NOT($A$12),"Check split rule",IF(NOT(ISNUMBER(B866)),"Invalid date",IF(OR(B866&lt;=0,B866&lt;&gt;INT(B866)),"Invalid date",IF(COUNTIFS(DemoHistory[Date],B866)&lt;&gt;1,"Duplicate date",IF(AND($A866&gt;1,B866&lt;=B865),"Dates out of order",IF(NOT(ISNUMBER(C866)),"Missing price",IF(C866&lt;=0,"Nonpositive price","OK")))))))))</f>
        <v/>
      </c>
      <c r="I866" s="136"/>
      <c r="J866" s="136"/>
      <c r="K866" s="136"/>
      <c r="L866" s="136"/>
      <c r="M866" s="136"/>
      <c r="N866" s="136" t="e">
        <f t="shared" si="37"/>
        <v>#N/A</v>
      </c>
      <c r="O866" s="136" t="e">
        <f t="shared" si="38"/>
        <v>#N/A</v>
      </c>
    </row>
    <row r="867" spans="1:15" ht="22" customHeight="1" x14ac:dyDescent="0.35">
      <c r="A867" s="136">
        <v>823</v>
      </c>
      <c r="B867" s="165" t="str">
        <f>IF($A867&gt;MIN($A$10,$A$2),"",INDEX(DemoHistory[Date],$A867))</f>
        <v/>
      </c>
      <c r="C867" s="166" t="str">
        <f>IF(OR($A867&gt;MIN($A$10,$A$2),$A$5=""),"",INDEX(DemoHistory[],$A867,MATCH($A$5,DemoHistory[#Headers],0)))</f>
        <v/>
      </c>
      <c r="D867" s="166" t="str">
        <f>IF($A867&gt;MIN($A$10,$A$2),"",IF(AND($A$12,$A$6=1,B867&lt;$A$7,$A$7&lt;=MAX(DemoHistory[Date])),$A$8,1))</f>
        <v/>
      </c>
      <c r="E867" s="166" t="str">
        <f t="shared" si="36"/>
        <v/>
      </c>
      <c r="F867" s="166" t="str">
        <f>IF($A867&gt;MIN($A$10,$A$2),"",IF($A867&lt;50,"n.a.",IF(COUNT(INDEX(StockDaily[Adjusted close],MAX(1,$A867-50+1)):E867)=50,AVERAGE(INDEX(StockDaily[Adjusted close],MAX(1,$A867-50+1)):E867),"n.a.")))</f>
        <v/>
      </c>
      <c r="G867" s="166" t="str">
        <f>IF($A867&gt;MIN($A$10,$A$2),"",IF($A867&lt;200,"n.a.",IF(COUNT(INDEX(StockDaily[Adjusted close],MAX(1,$A867-200+1)):E867)=200,AVERAGE(INDEX(StockDaily[Adjusted close],MAX(1,$A867-200+1)):E867),"n.a.")))</f>
        <v/>
      </c>
      <c r="H867" s="136" t="str">
        <f>IF($A867&gt;MIN($A$10,$A$2),"",IF($A$5="","Choose stock",IF(NOT($A$12),"Check split rule",IF(NOT(ISNUMBER(B867)),"Invalid date",IF(OR(B867&lt;=0,B867&lt;&gt;INT(B867)),"Invalid date",IF(COUNTIFS(DemoHistory[Date],B867)&lt;&gt;1,"Duplicate date",IF(AND($A867&gt;1,B867&lt;=B866),"Dates out of order",IF(NOT(ISNUMBER(C867)),"Missing price",IF(C867&lt;=0,"Nonpositive price","OK")))))))))</f>
        <v/>
      </c>
      <c r="I867" s="136"/>
      <c r="J867" s="136"/>
      <c r="K867" s="136"/>
      <c r="L867" s="136"/>
      <c r="M867" s="136"/>
      <c r="N867" s="136" t="e">
        <f t="shared" si="37"/>
        <v>#N/A</v>
      </c>
      <c r="O867" s="136" t="e">
        <f t="shared" si="38"/>
        <v>#N/A</v>
      </c>
    </row>
    <row r="868" spans="1:15" ht="22" customHeight="1" x14ac:dyDescent="0.35">
      <c r="A868" s="136">
        <v>824</v>
      </c>
      <c r="B868" s="165" t="str">
        <f>IF($A868&gt;MIN($A$10,$A$2),"",INDEX(DemoHistory[Date],$A868))</f>
        <v/>
      </c>
      <c r="C868" s="166" t="str">
        <f>IF(OR($A868&gt;MIN($A$10,$A$2),$A$5=""),"",INDEX(DemoHistory[],$A868,MATCH($A$5,DemoHistory[#Headers],0)))</f>
        <v/>
      </c>
      <c r="D868" s="166" t="str">
        <f>IF($A868&gt;MIN($A$10,$A$2),"",IF(AND($A$12,$A$6=1,B868&lt;$A$7,$A$7&lt;=MAX(DemoHistory[Date])),$A$8,1))</f>
        <v/>
      </c>
      <c r="E868" s="166" t="str">
        <f t="shared" si="36"/>
        <v/>
      </c>
      <c r="F868" s="166" t="str">
        <f>IF($A868&gt;MIN($A$10,$A$2),"",IF($A868&lt;50,"n.a.",IF(COUNT(INDEX(StockDaily[Adjusted close],MAX(1,$A868-50+1)):E868)=50,AVERAGE(INDEX(StockDaily[Adjusted close],MAX(1,$A868-50+1)):E868),"n.a.")))</f>
        <v/>
      </c>
      <c r="G868" s="166" t="str">
        <f>IF($A868&gt;MIN($A$10,$A$2),"",IF($A868&lt;200,"n.a.",IF(COUNT(INDEX(StockDaily[Adjusted close],MAX(1,$A868-200+1)):E868)=200,AVERAGE(INDEX(StockDaily[Adjusted close],MAX(1,$A868-200+1)):E868),"n.a.")))</f>
        <v/>
      </c>
      <c r="H868" s="136" t="str">
        <f>IF($A868&gt;MIN($A$10,$A$2),"",IF($A$5="","Choose stock",IF(NOT($A$12),"Check split rule",IF(NOT(ISNUMBER(B868)),"Invalid date",IF(OR(B868&lt;=0,B868&lt;&gt;INT(B868)),"Invalid date",IF(COUNTIFS(DemoHistory[Date],B868)&lt;&gt;1,"Duplicate date",IF(AND($A868&gt;1,B868&lt;=B867),"Dates out of order",IF(NOT(ISNUMBER(C868)),"Missing price",IF(C868&lt;=0,"Nonpositive price","OK")))))))))</f>
        <v/>
      </c>
      <c r="I868" s="136"/>
      <c r="J868" s="136"/>
      <c r="K868" s="136"/>
      <c r="L868" s="136"/>
      <c r="M868" s="136"/>
      <c r="N868" s="136" t="e">
        <f t="shared" si="37"/>
        <v>#N/A</v>
      </c>
      <c r="O868" s="136" t="e">
        <f t="shared" si="38"/>
        <v>#N/A</v>
      </c>
    </row>
    <row r="869" spans="1:15" ht="22" customHeight="1" x14ac:dyDescent="0.35">
      <c r="A869" s="136">
        <v>825</v>
      </c>
      <c r="B869" s="165" t="str">
        <f>IF($A869&gt;MIN($A$10,$A$2),"",INDEX(DemoHistory[Date],$A869))</f>
        <v/>
      </c>
      <c r="C869" s="166" t="str">
        <f>IF(OR($A869&gt;MIN($A$10,$A$2),$A$5=""),"",INDEX(DemoHistory[],$A869,MATCH($A$5,DemoHistory[#Headers],0)))</f>
        <v/>
      </c>
      <c r="D869" s="166" t="str">
        <f>IF($A869&gt;MIN($A$10,$A$2),"",IF(AND($A$12,$A$6=1,B869&lt;$A$7,$A$7&lt;=MAX(DemoHistory[Date])),$A$8,1))</f>
        <v/>
      </c>
      <c r="E869" s="166" t="str">
        <f t="shared" si="36"/>
        <v/>
      </c>
      <c r="F869" s="166" t="str">
        <f>IF($A869&gt;MIN($A$10,$A$2),"",IF($A869&lt;50,"n.a.",IF(COUNT(INDEX(StockDaily[Adjusted close],MAX(1,$A869-50+1)):E869)=50,AVERAGE(INDEX(StockDaily[Adjusted close],MAX(1,$A869-50+1)):E869),"n.a.")))</f>
        <v/>
      </c>
      <c r="G869" s="166" t="str">
        <f>IF($A869&gt;MIN($A$10,$A$2),"",IF($A869&lt;200,"n.a.",IF(COUNT(INDEX(StockDaily[Adjusted close],MAX(1,$A869-200+1)):E869)=200,AVERAGE(INDEX(StockDaily[Adjusted close],MAX(1,$A869-200+1)):E869),"n.a.")))</f>
        <v/>
      </c>
      <c r="H869" s="136" t="str">
        <f>IF($A869&gt;MIN($A$10,$A$2),"",IF($A$5="","Choose stock",IF(NOT($A$12),"Check split rule",IF(NOT(ISNUMBER(B869)),"Invalid date",IF(OR(B869&lt;=0,B869&lt;&gt;INT(B869)),"Invalid date",IF(COUNTIFS(DemoHistory[Date],B869)&lt;&gt;1,"Duplicate date",IF(AND($A869&gt;1,B869&lt;=B868),"Dates out of order",IF(NOT(ISNUMBER(C869)),"Missing price",IF(C869&lt;=0,"Nonpositive price","OK")))))))))</f>
        <v/>
      </c>
      <c r="I869" s="136"/>
      <c r="J869" s="136"/>
      <c r="K869" s="136"/>
      <c r="L869" s="136"/>
      <c r="M869" s="136"/>
      <c r="N869" s="136" t="e">
        <f t="shared" si="37"/>
        <v>#N/A</v>
      </c>
      <c r="O869" s="136" t="e">
        <f t="shared" si="38"/>
        <v>#N/A</v>
      </c>
    </row>
    <row r="870" spans="1:15" ht="22" customHeight="1" x14ac:dyDescent="0.35">
      <c r="A870" s="136">
        <v>826</v>
      </c>
      <c r="B870" s="165" t="str">
        <f>IF($A870&gt;MIN($A$10,$A$2),"",INDEX(DemoHistory[Date],$A870))</f>
        <v/>
      </c>
      <c r="C870" s="166" t="str">
        <f>IF(OR($A870&gt;MIN($A$10,$A$2),$A$5=""),"",INDEX(DemoHistory[],$A870,MATCH($A$5,DemoHistory[#Headers],0)))</f>
        <v/>
      </c>
      <c r="D870" s="166" t="str">
        <f>IF($A870&gt;MIN($A$10,$A$2),"",IF(AND($A$12,$A$6=1,B870&lt;$A$7,$A$7&lt;=MAX(DemoHistory[Date])),$A$8,1))</f>
        <v/>
      </c>
      <c r="E870" s="166" t="str">
        <f t="shared" si="36"/>
        <v/>
      </c>
      <c r="F870" s="166" t="str">
        <f>IF($A870&gt;MIN($A$10,$A$2),"",IF($A870&lt;50,"n.a.",IF(COUNT(INDEX(StockDaily[Adjusted close],MAX(1,$A870-50+1)):E870)=50,AVERAGE(INDEX(StockDaily[Adjusted close],MAX(1,$A870-50+1)):E870),"n.a.")))</f>
        <v/>
      </c>
      <c r="G870" s="166" t="str">
        <f>IF($A870&gt;MIN($A$10,$A$2),"",IF($A870&lt;200,"n.a.",IF(COUNT(INDEX(StockDaily[Adjusted close],MAX(1,$A870-200+1)):E870)=200,AVERAGE(INDEX(StockDaily[Adjusted close],MAX(1,$A870-200+1)):E870),"n.a.")))</f>
        <v/>
      </c>
      <c r="H870" s="136" t="str">
        <f>IF($A870&gt;MIN($A$10,$A$2),"",IF($A$5="","Choose stock",IF(NOT($A$12),"Check split rule",IF(NOT(ISNUMBER(B870)),"Invalid date",IF(OR(B870&lt;=0,B870&lt;&gt;INT(B870)),"Invalid date",IF(COUNTIFS(DemoHistory[Date],B870)&lt;&gt;1,"Duplicate date",IF(AND($A870&gt;1,B870&lt;=B869),"Dates out of order",IF(NOT(ISNUMBER(C870)),"Missing price",IF(C870&lt;=0,"Nonpositive price","OK")))))))))</f>
        <v/>
      </c>
      <c r="I870" s="136"/>
      <c r="J870" s="136"/>
      <c r="K870" s="136"/>
      <c r="L870" s="136"/>
      <c r="M870" s="136"/>
      <c r="N870" s="136" t="e">
        <f t="shared" si="37"/>
        <v>#N/A</v>
      </c>
      <c r="O870" s="136" t="e">
        <f t="shared" si="38"/>
        <v>#N/A</v>
      </c>
    </row>
    <row r="871" spans="1:15" ht="22" customHeight="1" x14ac:dyDescent="0.35">
      <c r="A871" s="136">
        <v>827</v>
      </c>
      <c r="B871" s="165" t="str">
        <f>IF($A871&gt;MIN($A$10,$A$2),"",INDEX(DemoHistory[Date],$A871))</f>
        <v/>
      </c>
      <c r="C871" s="166" t="str">
        <f>IF(OR($A871&gt;MIN($A$10,$A$2),$A$5=""),"",INDEX(DemoHistory[],$A871,MATCH($A$5,DemoHistory[#Headers],0)))</f>
        <v/>
      </c>
      <c r="D871" s="166" t="str">
        <f>IF($A871&gt;MIN($A$10,$A$2),"",IF(AND($A$12,$A$6=1,B871&lt;$A$7,$A$7&lt;=MAX(DemoHistory[Date])),$A$8,1))</f>
        <v/>
      </c>
      <c r="E871" s="166" t="str">
        <f t="shared" si="36"/>
        <v/>
      </c>
      <c r="F871" s="166" t="str">
        <f>IF($A871&gt;MIN($A$10,$A$2),"",IF($A871&lt;50,"n.a.",IF(COUNT(INDEX(StockDaily[Adjusted close],MAX(1,$A871-50+1)):E871)=50,AVERAGE(INDEX(StockDaily[Adjusted close],MAX(1,$A871-50+1)):E871),"n.a.")))</f>
        <v/>
      </c>
      <c r="G871" s="166" t="str">
        <f>IF($A871&gt;MIN($A$10,$A$2),"",IF($A871&lt;200,"n.a.",IF(COUNT(INDEX(StockDaily[Adjusted close],MAX(1,$A871-200+1)):E871)=200,AVERAGE(INDEX(StockDaily[Adjusted close],MAX(1,$A871-200+1)):E871),"n.a.")))</f>
        <v/>
      </c>
      <c r="H871" s="136" t="str">
        <f>IF($A871&gt;MIN($A$10,$A$2),"",IF($A$5="","Choose stock",IF(NOT($A$12),"Check split rule",IF(NOT(ISNUMBER(B871)),"Invalid date",IF(OR(B871&lt;=0,B871&lt;&gt;INT(B871)),"Invalid date",IF(COUNTIFS(DemoHistory[Date],B871)&lt;&gt;1,"Duplicate date",IF(AND($A871&gt;1,B871&lt;=B870),"Dates out of order",IF(NOT(ISNUMBER(C871)),"Missing price",IF(C871&lt;=0,"Nonpositive price","OK")))))))))</f>
        <v/>
      </c>
      <c r="I871" s="136"/>
      <c r="J871" s="136"/>
      <c r="K871" s="136"/>
      <c r="L871" s="136"/>
      <c r="M871" s="136"/>
      <c r="N871" s="136" t="e">
        <f t="shared" si="37"/>
        <v>#N/A</v>
      </c>
      <c r="O871" s="136" t="e">
        <f t="shared" si="38"/>
        <v>#N/A</v>
      </c>
    </row>
    <row r="872" spans="1:15" ht="22" customHeight="1" x14ac:dyDescent="0.35">
      <c r="A872" s="136">
        <v>828</v>
      </c>
      <c r="B872" s="165" t="str">
        <f>IF($A872&gt;MIN($A$10,$A$2),"",INDEX(DemoHistory[Date],$A872))</f>
        <v/>
      </c>
      <c r="C872" s="166" t="str">
        <f>IF(OR($A872&gt;MIN($A$10,$A$2),$A$5=""),"",INDEX(DemoHistory[],$A872,MATCH($A$5,DemoHistory[#Headers],0)))</f>
        <v/>
      </c>
      <c r="D872" s="166" t="str">
        <f>IF($A872&gt;MIN($A$10,$A$2),"",IF(AND($A$12,$A$6=1,B872&lt;$A$7,$A$7&lt;=MAX(DemoHistory[Date])),$A$8,1))</f>
        <v/>
      </c>
      <c r="E872" s="166" t="str">
        <f t="shared" si="36"/>
        <v/>
      </c>
      <c r="F872" s="166" t="str">
        <f>IF($A872&gt;MIN($A$10,$A$2),"",IF($A872&lt;50,"n.a.",IF(COUNT(INDEX(StockDaily[Adjusted close],MAX(1,$A872-50+1)):E872)=50,AVERAGE(INDEX(StockDaily[Adjusted close],MAX(1,$A872-50+1)):E872),"n.a.")))</f>
        <v/>
      </c>
      <c r="G872" s="166" t="str">
        <f>IF($A872&gt;MIN($A$10,$A$2),"",IF($A872&lt;200,"n.a.",IF(COUNT(INDEX(StockDaily[Adjusted close],MAX(1,$A872-200+1)):E872)=200,AVERAGE(INDEX(StockDaily[Adjusted close],MAX(1,$A872-200+1)):E872),"n.a.")))</f>
        <v/>
      </c>
      <c r="H872" s="136" t="str">
        <f>IF($A872&gt;MIN($A$10,$A$2),"",IF($A$5="","Choose stock",IF(NOT($A$12),"Check split rule",IF(NOT(ISNUMBER(B872)),"Invalid date",IF(OR(B872&lt;=0,B872&lt;&gt;INT(B872)),"Invalid date",IF(COUNTIFS(DemoHistory[Date],B872)&lt;&gt;1,"Duplicate date",IF(AND($A872&gt;1,B872&lt;=B871),"Dates out of order",IF(NOT(ISNUMBER(C872)),"Missing price",IF(C872&lt;=0,"Nonpositive price","OK")))))))))</f>
        <v/>
      </c>
      <c r="I872" s="136"/>
      <c r="J872" s="136"/>
      <c r="K872" s="136"/>
      <c r="L872" s="136"/>
      <c r="M872" s="136"/>
      <c r="N872" s="136" t="e">
        <f t="shared" si="37"/>
        <v>#N/A</v>
      </c>
      <c r="O872" s="136" t="e">
        <f t="shared" si="38"/>
        <v>#N/A</v>
      </c>
    </row>
    <row r="873" spans="1:15" ht="22" customHeight="1" x14ac:dyDescent="0.35">
      <c r="A873" s="136">
        <v>829</v>
      </c>
      <c r="B873" s="165" t="str">
        <f>IF($A873&gt;MIN($A$10,$A$2),"",INDEX(DemoHistory[Date],$A873))</f>
        <v/>
      </c>
      <c r="C873" s="166" t="str">
        <f>IF(OR($A873&gt;MIN($A$10,$A$2),$A$5=""),"",INDEX(DemoHistory[],$A873,MATCH($A$5,DemoHistory[#Headers],0)))</f>
        <v/>
      </c>
      <c r="D873" s="166" t="str">
        <f>IF($A873&gt;MIN($A$10,$A$2),"",IF(AND($A$12,$A$6=1,B873&lt;$A$7,$A$7&lt;=MAX(DemoHistory[Date])),$A$8,1))</f>
        <v/>
      </c>
      <c r="E873" s="166" t="str">
        <f t="shared" si="36"/>
        <v/>
      </c>
      <c r="F873" s="166" t="str">
        <f>IF($A873&gt;MIN($A$10,$A$2),"",IF($A873&lt;50,"n.a.",IF(COUNT(INDEX(StockDaily[Adjusted close],MAX(1,$A873-50+1)):E873)=50,AVERAGE(INDEX(StockDaily[Adjusted close],MAX(1,$A873-50+1)):E873),"n.a.")))</f>
        <v/>
      </c>
      <c r="G873" s="166" t="str">
        <f>IF($A873&gt;MIN($A$10,$A$2),"",IF($A873&lt;200,"n.a.",IF(COUNT(INDEX(StockDaily[Adjusted close],MAX(1,$A873-200+1)):E873)=200,AVERAGE(INDEX(StockDaily[Adjusted close],MAX(1,$A873-200+1)):E873),"n.a.")))</f>
        <v/>
      </c>
      <c r="H873" s="136" t="str">
        <f>IF($A873&gt;MIN($A$10,$A$2),"",IF($A$5="","Choose stock",IF(NOT($A$12),"Check split rule",IF(NOT(ISNUMBER(B873)),"Invalid date",IF(OR(B873&lt;=0,B873&lt;&gt;INT(B873)),"Invalid date",IF(COUNTIFS(DemoHistory[Date],B873)&lt;&gt;1,"Duplicate date",IF(AND($A873&gt;1,B873&lt;=B872),"Dates out of order",IF(NOT(ISNUMBER(C873)),"Missing price",IF(C873&lt;=0,"Nonpositive price","OK")))))))))</f>
        <v/>
      </c>
      <c r="I873" s="136"/>
      <c r="J873" s="136"/>
      <c r="K873" s="136"/>
      <c r="L873" s="136"/>
      <c r="M873" s="136"/>
      <c r="N873" s="136" t="e">
        <f t="shared" si="37"/>
        <v>#N/A</v>
      </c>
      <c r="O873" s="136" t="e">
        <f t="shared" si="38"/>
        <v>#N/A</v>
      </c>
    </row>
    <row r="874" spans="1:15" ht="22" customHeight="1" x14ac:dyDescent="0.35">
      <c r="A874" s="136">
        <v>830</v>
      </c>
      <c r="B874" s="165" t="str">
        <f>IF($A874&gt;MIN($A$10,$A$2),"",INDEX(DemoHistory[Date],$A874))</f>
        <v/>
      </c>
      <c r="C874" s="166" t="str">
        <f>IF(OR($A874&gt;MIN($A$10,$A$2),$A$5=""),"",INDEX(DemoHistory[],$A874,MATCH($A$5,DemoHistory[#Headers],0)))</f>
        <v/>
      </c>
      <c r="D874" s="166" t="str">
        <f>IF($A874&gt;MIN($A$10,$A$2),"",IF(AND($A$12,$A$6=1,B874&lt;$A$7,$A$7&lt;=MAX(DemoHistory[Date])),$A$8,1))</f>
        <v/>
      </c>
      <c r="E874" s="166" t="str">
        <f t="shared" si="36"/>
        <v/>
      </c>
      <c r="F874" s="166" t="str">
        <f>IF($A874&gt;MIN($A$10,$A$2),"",IF($A874&lt;50,"n.a.",IF(COUNT(INDEX(StockDaily[Adjusted close],MAX(1,$A874-50+1)):E874)=50,AVERAGE(INDEX(StockDaily[Adjusted close],MAX(1,$A874-50+1)):E874),"n.a.")))</f>
        <v/>
      </c>
      <c r="G874" s="166" t="str">
        <f>IF($A874&gt;MIN($A$10,$A$2),"",IF($A874&lt;200,"n.a.",IF(COUNT(INDEX(StockDaily[Adjusted close],MAX(1,$A874-200+1)):E874)=200,AVERAGE(INDEX(StockDaily[Adjusted close],MAX(1,$A874-200+1)):E874),"n.a.")))</f>
        <v/>
      </c>
      <c r="H874" s="136" t="str">
        <f>IF($A874&gt;MIN($A$10,$A$2),"",IF($A$5="","Choose stock",IF(NOT($A$12),"Check split rule",IF(NOT(ISNUMBER(B874)),"Invalid date",IF(OR(B874&lt;=0,B874&lt;&gt;INT(B874)),"Invalid date",IF(COUNTIFS(DemoHistory[Date],B874)&lt;&gt;1,"Duplicate date",IF(AND($A874&gt;1,B874&lt;=B873),"Dates out of order",IF(NOT(ISNUMBER(C874)),"Missing price",IF(C874&lt;=0,"Nonpositive price","OK")))))))))</f>
        <v/>
      </c>
      <c r="I874" s="136"/>
      <c r="J874" s="136"/>
      <c r="K874" s="136"/>
      <c r="L874" s="136"/>
      <c r="M874" s="136"/>
      <c r="N874" s="136" t="e">
        <f t="shared" si="37"/>
        <v>#N/A</v>
      </c>
      <c r="O874" s="136" t="e">
        <f t="shared" si="38"/>
        <v>#N/A</v>
      </c>
    </row>
    <row r="875" spans="1:15" ht="22" customHeight="1" x14ac:dyDescent="0.35">
      <c r="A875" s="136">
        <v>831</v>
      </c>
      <c r="B875" s="165" t="str">
        <f>IF($A875&gt;MIN($A$10,$A$2),"",INDEX(DemoHistory[Date],$A875))</f>
        <v/>
      </c>
      <c r="C875" s="166" t="str">
        <f>IF(OR($A875&gt;MIN($A$10,$A$2),$A$5=""),"",INDEX(DemoHistory[],$A875,MATCH($A$5,DemoHistory[#Headers],0)))</f>
        <v/>
      </c>
      <c r="D875" s="166" t="str">
        <f>IF($A875&gt;MIN($A$10,$A$2),"",IF(AND($A$12,$A$6=1,B875&lt;$A$7,$A$7&lt;=MAX(DemoHistory[Date])),$A$8,1))</f>
        <v/>
      </c>
      <c r="E875" s="166" t="str">
        <f t="shared" si="36"/>
        <v/>
      </c>
      <c r="F875" s="166" t="str">
        <f>IF($A875&gt;MIN($A$10,$A$2),"",IF($A875&lt;50,"n.a.",IF(COUNT(INDEX(StockDaily[Adjusted close],MAX(1,$A875-50+1)):E875)=50,AVERAGE(INDEX(StockDaily[Adjusted close],MAX(1,$A875-50+1)):E875),"n.a.")))</f>
        <v/>
      </c>
      <c r="G875" s="166" t="str">
        <f>IF($A875&gt;MIN($A$10,$A$2),"",IF($A875&lt;200,"n.a.",IF(COUNT(INDEX(StockDaily[Adjusted close],MAX(1,$A875-200+1)):E875)=200,AVERAGE(INDEX(StockDaily[Adjusted close],MAX(1,$A875-200+1)):E875),"n.a.")))</f>
        <v/>
      </c>
      <c r="H875" s="136" t="str">
        <f>IF($A875&gt;MIN($A$10,$A$2),"",IF($A$5="","Choose stock",IF(NOT($A$12),"Check split rule",IF(NOT(ISNUMBER(B875)),"Invalid date",IF(OR(B875&lt;=0,B875&lt;&gt;INT(B875)),"Invalid date",IF(COUNTIFS(DemoHistory[Date],B875)&lt;&gt;1,"Duplicate date",IF(AND($A875&gt;1,B875&lt;=B874),"Dates out of order",IF(NOT(ISNUMBER(C875)),"Missing price",IF(C875&lt;=0,"Nonpositive price","OK")))))))))</f>
        <v/>
      </c>
      <c r="I875" s="136"/>
      <c r="J875" s="136"/>
      <c r="K875" s="136"/>
      <c r="L875" s="136"/>
      <c r="M875" s="136"/>
      <c r="N875" s="136" t="e">
        <f t="shared" si="37"/>
        <v>#N/A</v>
      </c>
      <c r="O875" s="136" t="e">
        <f t="shared" si="38"/>
        <v>#N/A</v>
      </c>
    </row>
    <row r="876" spans="1:15" ht="22" customHeight="1" x14ac:dyDescent="0.35">
      <c r="A876" s="136">
        <v>832</v>
      </c>
      <c r="B876" s="165" t="str">
        <f>IF($A876&gt;MIN($A$10,$A$2),"",INDEX(DemoHistory[Date],$A876))</f>
        <v/>
      </c>
      <c r="C876" s="166" t="str">
        <f>IF(OR($A876&gt;MIN($A$10,$A$2),$A$5=""),"",INDEX(DemoHistory[],$A876,MATCH($A$5,DemoHistory[#Headers],0)))</f>
        <v/>
      </c>
      <c r="D876" s="166" t="str">
        <f>IF($A876&gt;MIN($A$10,$A$2),"",IF(AND($A$12,$A$6=1,B876&lt;$A$7,$A$7&lt;=MAX(DemoHistory[Date])),$A$8,1))</f>
        <v/>
      </c>
      <c r="E876" s="166" t="str">
        <f t="shared" si="36"/>
        <v/>
      </c>
      <c r="F876" s="166" t="str">
        <f>IF($A876&gt;MIN($A$10,$A$2),"",IF($A876&lt;50,"n.a.",IF(COUNT(INDEX(StockDaily[Adjusted close],MAX(1,$A876-50+1)):E876)=50,AVERAGE(INDEX(StockDaily[Adjusted close],MAX(1,$A876-50+1)):E876),"n.a.")))</f>
        <v/>
      </c>
      <c r="G876" s="166" t="str">
        <f>IF($A876&gt;MIN($A$10,$A$2),"",IF($A876&lt;200,"n.a.",IF(COUNT(INDEX(StockDaily[Adjusted close],MAX(1,$A876-200+1)):E876)=200,AVERAGE(INDEX(StockDaily[Adjusted close],MAX(1,$A876-200+1)):E876),"n.a.")))</f>
        <v/>
      </c>
      <c r="H876" s="136" t="str">
        <f>IF($A876&gt;MIN($A$10,$A$2),"",IF($A$5="","Choose stock",IF(NOT($A$12),"Check split rule",IF(NOT(ISNUMBER(B876)),"Invalid date",IF(OR(B876&lt;=0,B876&lt;&gt;INT(B876)),"Invalid date",IF(COUNTIFS(DemoHistory[Date],B876)&lt;&gt;1,"Duplicate date",IF(AND($A876&gt;1,B876&lt;=B875),"Dates out of order",IF(NOT(ISNUMBER(C876)),"Missing price",IF(C876&lt;=0,"Nonpositive price","OK")))))))))</f>
        <v/>
      </c>
      <c r="I876" s="136"/>
      <c r="J876" s="136"/>
      <c r="K876" s="136"/>
      <c r="L876" s="136"/>
      <c r="M876" s="136"/>
      <c r="N876" s="136" t="e">
        <f t="shared" si="37"/>
        <v>#N/A</v>
      </c>
      <c r="O876" s="136" t="e">
        <f t="shared" si="38"/>
        <v>#N/A</v>
      </c>
    </row>
    <row r="877" spans="1:15" ht="22" customHeight="1" x14ac:dyDescent="0.35">
      <c r="A877" s="136">
        <v>833</v>
      </c>
      <c r="B877" s="165" t="str">
        <f>IF($A877&gt;MIN($A$10,$A$2),"",INDEX(DemoHistory[Date],$A877))</f>
        <v/>
      </c>
      <c r="C877" s="166" t="str">
        <f>IF(OR($A877&gt;MIN($A$10,$A$2),$A$5=""),"",INDEX(DemoHistory[],$A877,MATCH($A$5,DemoHistory[#Headers],0)))</f>
        <v/>
      </c>
      <c r="D877" s="166" t="str">
        <f>IF($A877&gt;MIN($A$10,$A$2),"",IF(AND($A$12,$A$6=1,B877&lt;$A$7,$A$7&lt;=MAX(DemoHistory[Date])),$A$8,1))</f>
        <v/>
      </c>
      <c r="E877" s="166" t="str">
        <f t="shared" ref="E877:E940" si="39">IF($A877&gt;MIN($A$10,$A$2),"",IF(H877="OK",C877/D877,"n.a."))</f>
        <v/>
      </c>
      <c r="F877" s="166" t="str">
        <f>IF($A877&gt;MIN($A$10,$A$2),"",IF($A877&lt;50,"n.a.",IF(COUNT(INDEX(StockDaily[Adjusted close],MAX(1,$A877-50+1)):E877)=50,AVERAGE(INDEX(StockDaily[Adjusted close],MAX(1,$A877-50+1)):E877),"n.a.")))</f>
        <v/>
      </c>
      <c r="G877" s="166" t="str">
        <f>IF($A877&gt;MIN($A$10,$A$2),"",IF($A877&lt;200,"n.a.",IF(COUNT(INDEX(StockDaily[Adjusted close],MAX(1,$A877-200+1)):E877)=200,AVERAGE(INDEX(StockDaily[Adjusted close],MAX(1,$A877-200+1)):E877),"n.a.")))</f>
        <v/>
      </c>
      <c r="H877" s="136" t="str">
        <f>IF($A877&gt;MIN($A$10,$A$2),"",IF($A$5="","Choose stock",IF(NOT($A$12),"Check split rule",IF(NOT(ISNUMBER(B877)),"Invalid date",IF(OR(B877&lt;=0,B877&lt;&gt;INT(B877)),"Invalid date",IF(COUNTIFS(DemoHistory[Date],B877)&lt;&gt;1,"Duplicate date",IF(AND($A877&gt;1,B877&lt;=B876),"Dates out of order",IF(NOT(ISNUMBER(C877)),"Missing price",IF(C877&lt;=0,"Nonpositive price","OK")))))))))</f>
        <v/>
      </c>
      <c r="I877" s="136"/>
      <c r="J877" s="136"/>
      <c r="K877" s="136"/>
      <c r="L877" s="136"/>
      <c r="M877" s="136"/>
      <c r="N877" s="136" t="e">
        <f t="shared" ref="N877:N940" si="40">IF(AND($A$13="Ready",ISNUMBER(E877)),E877,NA())</f>
        <v>#N/A</v>
      </c>
      <c r="O877" s="136" t="e">
        <f t="shared" ref="O877:O940" si="41">IF(AND($A$13="Ready",ISNUMBER(F877)),F877,NA())</f>
        <v>#N/A</v>
      </c>
    </row>
    <row r="878" spans="1:15" ht="22" customHeight="1" x14ac:dyDescent="0.35">
      <c r="A878" s="136">
        <v>834</v>
      </c>
      <c r="B878" s="165" t="str">
        <f>IF($A878&gt;MIN($A$10,$A$2),"",INDEX(DemoHistory[Date],$A878))</f>
        <v/>
      </c>
      <c r="C878" s="166" t="str">
        <f>IF(OR($A878&gt;MIN($A$10,$A$2),$A$5=""),"",INDEX(DemoHistory[],$A878,MATCH($A$5,DemoHistory[#Headers],0)))</f>
        <v/>
      </c>
      <c r="D878" s="166" t="str">
        <f>IF($A878&gt;MIN($A$10,$A$2),"",IF(AND($A$12,$A$6=1,B878&lt;$A$7,$A$7&lt;=MAX(DemoHistory[Date])),$A$8,1))</f>
        <v/>
      </c>
      <c r="E878" s="166" t="str">
        <f t="shared" si="39"/>
        <v/>
      </c>
      <c r="F878" s="166" t="str">
        <f>IF($A878&gt;MIN($A$10,$A$2),"",IF($A878&lt;50,"n.a.",IF(COUNT(INDEX(StockDaily[Adjusted close],MAX(1,$A878-50+1)):E878)=50,AVERAGE(INDEX(StockDaily[Adjusted close],MAX(1,$A878-50+1)):E878),"n.a.")))</f>
        <v/>
      </c>
      <c r="G878" s="166" t="str">
        <f>IF($A878&gt;MIN($A$10,$A$2),"",IF($A878&lt;200,"n.a.",IF(COUNT(INDEX(StockDaily[Adjusted close],MAX(1,$A878-200+1)):E878)=200,AVERAGE(INDEX(StockDaily[Adjusted close],MAX(1,$A878-200+1)):E878),"n.a.")))</f>
        <v/>
      </c>
      <c r="H878" s="136" t="str">
        <f>IF($A878&gt;MIN($A$10,$A$2),"",IF($A$5="","Choose stock",IF(NOT($A$12),"Check split rule",IF(NOT(ISNUMBER(B878)),"Invalid date",IF(OR(B878&lt;=0,B878&lt;&gt;INT(B878)),"Invalid date",IF(COUNTIFS(DemoHistory[Date],B878)&lt;&gt;1,"Duplicate date",IF(AND($A878&gt;1,B878&lt;=B877),"Dates out of order",IF(NOT(ISNUMBER(C878)),"Missing price",IF(C878&lt;=0,"Nonpositive price","OK")))))))))</f>
        <v/>
      </c>
      <c r="I878" s="136"/>
      <c r="J878" s="136"/>
      <c r="K878" s="136"/>
      <c r="L878" s="136"/>
      <c r="M878" s="136"/>
      <c r="N878" s="136" t="e">
        <f t="shared" si="40"/>
        <v>#N/A</v>
      </c>
      <c r="O878" s="136" t="e">
        <f t="shared" si="41"/>
        <v>#N/A</v>
      </c>
    </row>
    <row r="879" spans="1:15" ht="22" customHeight="1" x14ac:dyDescent="0.35">
      <c r="A879" s="136">
        <v>835</v>
      </c>
      <c r="B879" s="165" t="str">
        <f>IF($A879&gt;MIN($A$10,$A$2),"",INDEX(DemoHistory[Date],$A879))</f>
        <v/>
      </c>
      <c r="C879" s="166" t="str">
        <f>IF(OR($A879&gt;MIN($A$10,$A$2),$A$5=""),"",INDEX(DemoHistory[],$A879,MATCH($A$5,DemoHistory[#Headers],0)))</f>
        <v/>
      </c>
      <c r="D879" s="166" t="str">
        <f>IF($A879&gt;MIN($A$10,$A$2),"",IF(AND($A$12,$A$6=1,B879&lt;$A$7,$A$7&lt;=MAX(DemoHistory[Date])),$A$8,1))</f>
        <v/>
      </c>
      <c r="E879" s="166" t="str">
        <f t="shared" si="39"/>
        <v/>
      </c>
      <c r="F879" s="166" t="str">
        <f>IF($A879&gt;MIN($A$10,$A$2),"",IF($A879&lt;50,"n.a.",IF(COUNT(INDEX(StockDaily[Adjusted close],MAX(1,$A879-50+1)):E879)=50,AVERAGE(INDEX(StockDaily[Adjusted close],MAX(1,$A879-50+1)):E879),"n.a.")))</f>
        <v/>
      </c>
      <c r="G879" s="166" t="str">
        <f>IF($A879&gt;MIN($A$10,$A$2),"",IF($A879&lt;200,"n.a.",IF(COUNT(INDEX(StockDaily[Adjusted close],MAX(1,$A879-200+1)):E879)=200,AVERAGE(INDEX(StockDaily[Adjusted close],MAX(1,$A879-200+1)):E879),"n.a.")))</f>
        <v/>
      </c>
      <c r="H879" s="136" t="str">
        <f>IF($A879&gt;MIN($A$10,$A$2),"",IF($A$5="","Choose stock",IF(NOT($A$12),"Check split rule",IF(NOT(ISNUMBER(B879)),"Invalid date",IF(OR(B879&lt;=0,B879&lt;&gt;INT(B879)),"Invalid date",IF(COUNTIFS(DemoHistory[Date],B879)&lt;&gt;1,"Duplicate date",IF(AND($A879&gt;1,B879&lt;=B878),"Dates out of order",IF(NOT(ISNUMBER(C879)),"Missing price",IF(C879&lt;=0,"Nonpositive price","OK")))))))))</f>
        <v/>
      </c>
      <c r="I879" s="136"/>
      <c r="J879" s="136"/>
      <c r="K879" s="136"/>
      <c r="L879" s="136"/>
      <c r="M879" s="136"/>
      <c r="N879" s="136" t="e">
        <f t="shared" si="40"/>
        <v>#N/A</v>
      </c>
      <c r="O879" s="136" t="e">
        <f t="shared" si="41"/>
        <v>#N/A</v>
      </c>
    </row>
    <row r="880" spans="1:15" ht="22" customHeight="1" x14ac:dyDescent="0.35">
      <c r="A880" s="136">
        <v>836</v>
      </c>
      <c r="B880" s="165" t="str">
        <f>IF($A880&gt;MIN($A$10,$A$2),"",INDEX(DemoHistory[Date],$A880))</f>
        <v/>
      </c>
      <c r="C880" s="166" t="str">
        <f>IF(OR($A880&gt;MIN($A$10,$A$2),$A$5=""),"",INDEX(DemoHistory[],$A880,MATCH($A$5,DemoHistory[#Headers],0)))</f>
        <v/>
      </c>
      <c r="D880" s="166" t="str">
        <f>IF($A880&gt;MIN($A$10,$A$2),"",IF(AND($A$12,$A$6=1,B880&lt;$A$7,$A$7&lt;=MAX(DemoHistory[Date])),$A$8,1))</f>
        <v/>
      </c>
      <c r="E880" s="166" t="str">
        <f t="shared" si="39"/>
        <v/>
      </c>
      <c r="F880" s="166" t="str">
        <f>IF($A880&gt;MIN($A$10,$A$2),"",IF($A880&lt;50,"n.a.",IF(COUNT(INDEX(StockDaily[Adjusted close],MAX(1,$A880-50+1)):E880)=50,AVERAGE(INDEX(StockDaily[Adjusted close],MAX(1,$A880-50+1)):E880),"n.a.")))</f>
        <v/>
      </c>
      <c r="G880" s="166" t="str">
        <f>IF($A880&gt;MIN($A$10,$A$2),"",IF($A880&lt;200,"n.a.",IF(COUNT(INDEX(StockDaily[Adjusted close],MAX(1,$A880-200+1)):E880)=200,AVERAGE(INDEX(StockDaily[Adjusted close],MAX(1,$A880-200+1)):E880),"n.a.")))</f>
        <v/>
      </c>
      <c r="H880" s="136" t="str">
        <f>IF($A880&gt;MIN($A$10,$A$2),"",IF($A$5="","Choose stock",IF(NOT($A$12),"Check split rule",IF(NOT(ISNUMBER(B880)),"Invalid date",IF(OR(B880&lt;=0,B880&lt;&gt;INT(B880)),"Invalid date",IF(COUNTIFS(DemoHistory[Date],B880)&lt;&gt;1,"Duplicate date",IF(AND($A880&gt;1,B880&lt;=B879),"Dates out of order",IF(NOT(ISNUMBER(C880)),"Missing price",IF(C880&lt;=0,"Nonpositive price","OK")))))))))</f>
        <v/>
      </c>
      <c r="I880" s="136"/>
      <c r="J880" s="136"/>
      <c r="K880" s="136"/>
      <c r="L880" s="136"/>
      <c r="M880" s="136"/>
      <c r="N880" s="136" t="e">
        <f t="shared" si="40"/>
        <v>#N/A</v>
      </c>
      <c r="O880" s="136" t="e">
        <f t="shared" si="41"/>
        <v>#N/A</v>
      </c>
    </row>
    <row r="881" spans="1:15" ht="22" customHeight="1" x14ac:dyDescent="0.35">
      <c r="A881" s="136">
        <v>837</v>
      </c>
      <c r="B881" s="165" t="str">
        <f>IF($A881&gt;MIN($A$10,$A$2),"",INDEX(DemoHistory[Date],$A881))</f>
        <v/>
      </c>
      <c r="C881" s="166" t="str">
        <f>IF(OR($A881&gt;MIN($A$10,$A$2),$A$5=""),"",INDEX(DemoHistory[],$A881,MATCH($A$5,DemoHistory[#Headers],0)))</f>
        <v/>
      </c>
      <c r="D881" s="166" t="str">
        <f>IF($A881&gt;MIN($A$10,$A$2),"",IF(AND($A$12,$A$6=1,B881&lt;$A$7,$A$7&lt;=MAX(DemoHistory[Date])),$A$8,1))</f>
        <v/>
      </c>
      <c r="E881" s="166" t="str">
        <f t="shared" si="39"/>
        <v/>
      </c>
      <c r="F881" s="166" t="str">
        <f>IF($A881&gt;MIN($A$10,$A$2),"",IF($A881&lt;50,"n.a.",IF(COUNT(INDEX(StockDaily[Adjusted close],MAX(1,$A881-50+1)):E881)=50,AVERAGE(INDEX(StockDaily[Adjusted close],MAX(1,$A881-50+1)):E881),"n.a.")))</f>
        <v/>
      </c>
      <c r="G881" s="166" t="str">
        <f>IF($A881&gt;MIN($A$10,$A$2),"",IF($A881&lt;200,"n.a.",IF(COUNT(INDEX(StockDaily[Adjusted close],MAX(1,$A881-200+1)):E881)=200,AVERAGE(INDEX(StockDaily[Adjusted close],MAX(1,$A881-200+1)):E881),"n.a.")))</f>
        <v/>
      </c>
      <c r="H881" s="136" t="str">
        <f>IF($A881&gt;MIN($A$10,$A$2),"",IF($A$5="","Choose stock",IF(NOT($A$12),"Check split rule",IF(NOT(ISNUMBER(B881)),"Invalid date",IF(OR(B881&lt;=0,B881&lt;&gt;INT(B881)),"Invalid date",IF(COUNTIFS(DemoHistory[Date],B881)&lt;&gt;1,"Duplicate date",IF(AND($A881&gt;1,B881&lt;=B880),"Dates out of order",IF(NOT(ISNUMBER(C881)),"Missing price",IF(C881&lt;=0,"Nonpositive price","OK")))))))))</f>
        <v/>
      </c>
      <c r="I881" s="136"/>
      <c r="J881" s="136"/>
      <c r="K881" s="136"/>
      <c r="L881" s="136"/>
      <c r="M881" s="136"/>
      <c r="N881" s="136" t="e">
        <f t="shared" si="40"/>
        <v>#N/A</v>
      </c>
      <c r="O881" s="136" t="e">
        <f t="shared" si="41"/>
        <v>#N/A</v>
      </c>
    </row>
    <row r="882" spans="1:15" ht="22" customHeight="1" x14ac:dyDescent="0.35">
      <c r="A882" s="136">
        <v>838</v>
      </c>
      <c r="B882" s="165" t="str">
        <f>IF($A882&gt;MIN($A$10,$A$2),"",INDEX(DemoHistory[Date],$A882))</f>
        <v/>
      </c>
      <c r="C882" s="166" t="str">
        <f>IF(OR($A882&gt;MIN($A$10,$A$2),$A$5=""),"",INDEX(DemoHistory[],$A882,MATCH($A$5,DemoHistory[#Headers],0)))</f>
        <v/>
      </c>
      <c r="D882" s="166" t="str">
        <f>IF($A882&gt;MIN($A$10,$A$2),"",IF(AND($A$12,$A$6=1,B882&lt;$A$7,$A$7&lt;=MAX(DemoHistory[Date])),$A$8,1))</f>
        <v/>
      </c>
      <c r="E882" s="166" t="str">
        <f t="shared" si="39"/>
        <v/>
      </c>
      <c r="F882" s="166" t="str">
        <f>IF($A882&gt;MIN($A$10,$A$2),"",IF($A882&lt;50,"n.a.",IF(COUNT(INDEX(StockDaily[Adjusted close],MAX(1,$A882-50+1)):E882)=50,AVERAGE(INDEX(StockDaily[Adjusted close],MAX(1,$A882-50+1)):E882),"n.a.")))</f>
        <v/>
      </c>
      <c r="G882" s="166" t="str">
        <f>IF($A882&gt;MIN($A$10,$A$2),"",IF($A882&lt;200,"n.a.",IF(COUNT(INDEX(StockDaily[Adjusted close],MAX(1,$A882-200+1)):E882)=200,AVERAGE(INDEX(StockDaily[Adjusted close],MAX(1,$A882-200+1)):E882),"n.a.")))</f>
        <v/>
      </c>
      <c r="H882" s="136" t="str">
        <f>IF($A882&gt;MIN($A$10,$A$2),"",IF($A$5="","Choose stock",IF(NOT($A$12),"Check split rule",IF(NOT(ISNUMBER(B882)),"Invalid date",IF(OR(B882&lt;=0,B882&lt;&gt;INT(B882)),"Invalid date",IF(COUNTIFS(DemoHistory[Date],B882)&lt;&gt;1,"Duplicate date",IF(AND($A882&gt;1,B882&lt;=B881),"Dates out of order",IF(NOT(ISNUMBER(C882)),"Missing price",IF(C882&lt;=0,"Nonpositive price","OK")))))))))</f>
        <v/>
      </c>
      <c r="I882" s="136"/>
      <c r="J882" s="136"/>
      <c r="K882" s="136"/>
      <c r="L882" s="136"/>
      <c r="M882" s="136"/>
      <c r="N882" s="136" t="e">
        <f t="shared" si="40"/>
        <v>#N/A</v>
      </c>
      <c r="O882" s="136" t="e">
        <f t="shared" si="41"/>
        <v>#N/A</v>
      </c>
    </row>
    <row r="883" spans="1:15" ht="22" customHeight="1" x14ac:dyDescent="0.35">
      <c r="A883" s="136">
        <v>839</v>
      </c>
      <c r="B883" s="165" t="str">
        <f>IF($A883&gt;MIN($A$10,$A$2),"",INDEX(DemoHistory[Date],$A883))</f>
        <v/>
      </c>
      <c r="C883" s="166" t="str">
        <f>IF(OR($A883&gt;MIN($A$10,$A$2),$A$5=""),"",INDEX(DemoHistory[],$A883,MATCH($A$5,DemoHistory[#Headers],0)))</f>
        <v/>
      </c>
      <c r="D883" s="166" t="str">
        <f>IF($A883&gt;MIN($A$10,$A$2),"",IF(AND($A$12,$A$6=1,B883&lt;$A$7,$A$7&lt;=MAX(DemoHistory[Date])),$A$8,1))</f>
        <v/>
      </c>
      <c r="E883" s="166" t="str">
        <f t="shared" si="39"/>
        <v/>
      </c>
      <c r="F883" s="166" t="str">
        <f>IF($A883&gt;MIN($A$10,$A$2),"",IF($A883&lt;50,"n.a.",IF(COUNT(INDEX(StockDaily[Adjusted close],MAX(1,$A883-50+1)):E883)=50,AVERAGE(INDEX(StockDaily[Adjusted close],MAX(1,$A883-50+1)):E883),"n.a.")))</f>
        <v/>
      </c>
      <c r="G883" s="166" t="str">
        <f>IF($A883&gt;MIN($A$10,$A$2),"",IF($A883&lt;200,"n.a.",IF(COUNT(INDEX(StockDaily[Adjusted close],MAX(1,$A883-200+1)):E883)=200,AVERAGE(INDEX(StockDaily[Adjusted close],MAX(1,$A883-200+1)):E883),"n.a.")))</f>
        <v/>
      </c>
      <c r="H883" s="136" t="str">
        <f>IF($A883&gt;MIN($A$10,$A$2),"",IF($A$5="","Choose stock",IF(NOT($A$12),"Check split rule",IF(NOT(ISNUMBER(B883)),"Invalid date",IF(OR(B883&lt;=0,B883&lt;&gt;INT(B883)),"Invalid date",IF(COUNTIFS(DemoHistory[Date],B883)&lt;&gt;1,"Duplicate date",IF(AND($A883&gt;1,B883&lt;=B882),"Dates out of order",IF(NOT(ISNUMBER(C883)),"Missing price",IF(C883&lt;=0,"Nonpositive price","OK")))))))))</f>
        <v/>
      </c>
      <c r="I883" s="136"/>
      <c r="J883" s="136"/>
      <c r="K883" s="136"/>
      <c r="L883" s="136"/>
      <c r="M883" s="136"/>
      <c r="N883" s="136" t="e">
        <f t="shared" si="40"/>
        <v>#N/A</v>
      </c>
      <c r="O883" s="136" t="e">
        <f t="shared" si="41"/>
        <v>#N/A</v>
      </c>
    </row>
    <row r="884" spans="1:15" ht="22" customHeight="1" x14ac:dyDescent="0.35">
      <c r="A884" s="136">
        <v>840</v>
      </c>
      <c r="B884" s="165" t="str">
        <f>IF($A884&gt;MIN($A$10,$A$2),"",INDEX(DemoHistory[Date],$A884))</f>
        <v/>
      </c>
      <c r="C884" s="166" t="str">
        <f>IF(OR($A884&gt;MIN($A$10,$A$2),$A$5=""),"",INDEX(DemoHistory[],$A884,MATCH($A$5,DemoHistory[#Headers],0)))</f>
        <v/>
      </c>
      <c r="D884" s="166" t="str">
        <f>IF($A884&gt;MIN($A$10,$A$2),"",IF(AND($A$12,$A$6=1,B884&lt;$A$7,$A$7&lt;=MAX(DemoHistory[Date])),$A$8,1))</f>
        <v/>
      </c>
      <c r="E884" s="166" t="str">
        <f t="shared" si="39"/>
        <v/>
      </c>
      <c r="F884" s="166" t="str">
        <f>IF($A884&gt;MIN($A$10,$A$2),"",IF($A884&lt;50,"n.a.",IF(COUNT(INDEX(StockDaily[Adjusted close],MAX(1,$A884-50+1)):E884)=50,AVERAGE(INDEX(StockDaily[Adjusted close],MAX(1,$A884-50+1)):E884),"n.a.")))</f>
        <v/>
      </c>
      <c r="G884" s="166" t="str">
        <f>IF($A884&gt;MIN($A$10,$A$2),"",IF($A884&lt;200,"n.a.",IF(COUNT(INDEX(StockDaily[Adjusted close],MAX(1,$A884-200+1)):E884)=200,AVERAGE(INDEX(StockDaily[Adjusted close],MAX(1,$A884-200+1)):E884),"n.a.")))</f>
        <v/>
      </c>
      <c r="H884" s="136" t="str">
        <f>IF($A884&gt;MIN($A$10,$A$2),"",IF($A$5="","Choose stock",IF(NOT($A$12),"Check split rule",IF(NOT(ISNUMBER(B884)),"Invalid date",IF(OR(B884&lt;=0,B884&lt;&gt;INT(B884)),"Invalid date",IF(COUNTIFS(DemoHistory[Date],B884)&lt;&gt;1,"Duplicate date",IF(AND($A884&gt;1,B884&lt;=B883),"Dates out of order",IF(NOT(ISNUMBER(C884)),"Missing price",IF(C884&lt;=0,"Nonpositive price","OK")))))))))</f>
        <v/>
      </c>
      <c r="I884" s="136"/>
      <c r="J884" s="136"/>
      <c r="K884" s="136"/>
      <c r="L884" s="136"/>
      <c r="M884" s="136"/>
      <c r="N884" s="136" t="e">
        <f t="shared" si="40"/>
        <v>#N/A</v>
      </c>
      <c r="O884" s="136" t="e">
        <f t="shared" si="41"/>
        <v>#N/A</v>
      </c>
    </row>
    <row r="885" spans="1:15" ht="22" customHeight="1" x14ac:dyDescent="0.35">
      <c r="A885" s="136">
        <v>841</v>
      </c>
      <c r="B885" s="165" t="str">
        <f>IF($A885&gt;MIN($A$10,$A$2),"",INDEX(DemoHistory[Date],$A885))</f>
        <v/>
      </c>
      <c r="C885" s="166" t="str">
        <f>IF(OR($A885&gt;MIN($A$10,$A$2),$A$5=""),"",INDEX(DemoHistory[],$A885,MATCH($A$5,DemoHistory[#Headers],0)))</f>
        <v/>
      </c>
      <c r="D885" s="166" t="str">
        <f>IF($A885&gt;MIN($A$10,$A$2),"",IF(AND($A$12,$A$6=1,B885&lt;$A$7,$A$7&lt;=MAX(DemoHistory[Date])),$A$8,1))</f>
        <v/>
      </c>
      <c r="E885" s="166" t="str">
        <f t="shared" si="39"/>
        <v/>
      </c>
      <c r="F885" s="166" t="str">
        <f>IF($A885&gt;MIN($A$10,$A$2),"",IF($A885&lt;50,"n.a.",IF(COUNT(INDEX(StockDaily[Adjusted close],MAX(1,$A885-50+1)):E885)=50,AVERAGE(INDEX(StockDaily[Adjusted close],MAX(1,$A885-50+1)):E885),"n.a.")))</f>
        <v/>
      </c>
      <c r="G885" s="166" t="str">
        <f>IF($A885&gt;MIN($A$10,$A$2),"",IF($A885&lt;200,"n.a.",IF(COUNT(INDEX(StockDaily[Adjusted close],MAX(1,$A885-200+1)):E885)=200,AVERAGE(INDEX(StockDaily[Adjusted close],MAX(1,$A885-200+1)):E885),"n.a.")))</f>
        <v/>
      </c>
      <c r="H885" s="136" t="str">
        <f>IF($A885&gt;MIN($A$10,$A$2),"",IF($A$5="","Choose stock",IF(NOT($A$12),"Check split rule",IF(NOT(ISNUMBER(B885)),"Invalid date",IF(OR(B885&lt;=0,B885&lt;&gt;INT(B885)),"Invalid date",IF(COUNTIFS(DemoHistory[Date],B885)&lt;&gt;1,"Duplicate date",IF(AND($A885&gt;1,B885&lt;=B884),"Dates out of order",IF(NOT(ISNUMBER(C885)),"Missing price",IF(C885&lt;=0,"Nonpositive price","OK")))))))))</f>
        <v/>
      </c>
      <c r="I885" s="136"/>
      <c r="J885" s="136"/>
      <c r="K885" s="136"/>
      <c r="L885" s="136"/>
      <c r="M885" s="136"/>
      <c r="N885" s="136" t="e">
        <f t="shared" si="40"/>
        <v>#N/A</v>
      </c>
      <c r="O885" s="136" t="e">
        <f t="shared" si="41"/>
        <v>#N/A</v>
      </c>
    </row>
    <row r="886" spans="1:15" ht="22" customHeight="1" x14ac:dyDescent="0.35">
      <c r="A886" s="136">
        <v>842</v>
      </c>
      <c r="B886" s="165" t="str">
        <f>IF($A886&gt;MIN($A$10,$A$2),"",INDEX(DemoHistory[Date],$A886))</f>
        <v/>
      </c>
      <c r="C886" s="166" t="str">
        <f>IF(OR($A886&gt;MIN($A$10,$A$2),$A$5=""),"",INDEX(DemoHistory[],$A886,MATCH($A$5,DemoHistory[#Headers],0)))</f>
        <v/>
      </c>
      <c r="D886" s="166" t="str">
        <f>IF($A886&gt;MIN($A$10,$A$2),"",IF(AND($A$12,$A$6=1,B886&lt;$A$7,$A$7&lt;=MAX(DemoHistory[Date])),$A$8,1))</f>
        <v/>
      </c>
      <c r="E886" s="166" t="str">
        <f t="shared" si="39"/>
        <v/>
      </c>
      <c r="F886" s="166" t="str">
        <f>IF($A886&gt;MIN($A$10,$A$2),"",IF($A886&lt;50,"n.a.",IF(COUNT(INDEX(StockDaily[Adjusted close],MAX(1,$A886-50+1)):E886)=50,AVERAGE(INDEX(StockDaily[Adjusted close],MAX(1,$A886-50+1)):E886),"n.a.")))</f>
        <v/>
      </c>
      <c r="G886" s="166" t="str">
        <f>IF($A886&gt;MIN($A$10,$A$2),"",IF($A886&lt;200,"n.a.",IF(COUNT(INDEX(StockDaily[Adjusted close],MAX(1,$A886-200+1)):E886)=200,AVERAGE(INDEX(StockDaily[Adjusted close],MAX(1,$A886-200+1)):E886),"n.a.")))</f>
        <v/>
      </c>
      <c r="H886" s="136" t="str">
        <f>IF($A886&gt;MIN($A$10,$A$2),"",IF($A$5="","Choose stock",IF(NOT($A$12),"Check split rule",IF(NOT(ISNUMBER(B886)),"Invalid date",IF(OR(B886&lt;=0,B886&lt;&gt;INT(B886)),"Invalid date",IF(COUNTIFS(DemoHistory[Date],B886)&lt;&gt;1,"Duplicate date",IF(AND($A886&gt;1,B886&lt;=B885),"Dates out of order",IF(NOT(ISNUMBER(C886)),"Missing price",IF(C886&lt;=0,"Nonpositive price","OK")))))))))</f>
        <v/>
      </c>
      <c r="I886" s="136"/>
      <c r="J886" s="136"/>
      <c r="K886" s="136"/>
      <c r="L886" s="136"/>
      <c r="M886" s="136"/>
      <c r="N886" s="136" t="e">
        <f t="shared" si="40"/>
        <v>#N/A</v>
      </c>
      <c r="O886" s="136" t="e">
        <f t="shared" si="41"/>
        <v>#N/A</v>
      </c>
    </row>
    <row r="887" spans="1:15" ht="22" customHeight="1" x14ac:dyDescent="0.35">
      <c r="A887" s="136">
        <v>843</v>
      </c>
      <c r="B887" s="165" t="str">
        <f>IF($A887&gt;MIN($A$10,$A$2),"",INDEX(DemoHistory[Date],$A887))</f>
        <v/>
      </c>
      <c r="C887" s="166" t="str">
        <f>IF(OR($A887&gt;MIN($A$10,$A$2),$A$5=""),"",INDEX(DemoHistory[],$A887,MATCH($A$5,DemoHistory[#Headers],0)))</f>
        <v/>
      </c>
      <c r="D887" s="166" t="str">
        <f>IF($A887&gt;MIN($A$10,$A$2),"",IF(AND($A$12,$A$6=1,B887&lt;$A$7,$A$7&lt;=MAX(DemoHistory[Date])),$A$8,1))</f>
        <v/>
      </c>
      <c r="E887" s="166" t="str">
        <f t="shared" si="39"/>
        <v/>
      </c>
      <c r="F887" s="166" t="str">
        <f>IF($A887&gt;MIN($A$10,$A$2),"",IF($A887&lt;50,"n.a.",IF(COUNT(INDEX(StockDaily[Adjusted close],MAX(1,$A887-50+1)):E887)=50,AVERAGE(INDEX(StockDaily[Adjusted close],MAX(1,$A887-50+1)):E887),"n.a.")))</f>
        <v/>
      </c>
      <c r="G887" s="166" t="str">
        <f>IF($A887&gt;MIN($A$10,$A$2),"",IF($A887&lt;200,"n.a.",IF(COUNT(INDEX(StockDaily[Adjusted close],MAX(1,$A887-200+1)):E887)=200,AVERAGE(INDEX(StockDaily[Adjusted close],MAX(1,$A887-200+1)):E887),"n.a.")))</f>
        <v/>
      </c>
      <c r="H887" s="136" t="str">
        <f>IF($A887&gt;MIN($A$10,$A$2),"",IF($A$5="","Choose stock",IF(NOT($A$12),"Check split rule",IF(NOT(ISNUMBER(B887)),"Invalid date",IF(OR(B887&lt;=0,B887&lt;&gt;INT(B887)),"Invalid date",IF(COUNTIFS(DemoHistory[Date],B887)&lt;&gt;1,"Duplicate date",IF(AND($A887&gt;1,B887&lt;=B886),"Dates out of order",IF(NOT(ISNUMBER(C887)),"Missing price",IF(C887&lt;=0,"Nonpositive price","OK")))))))))</f>
        <v/>
      </c>
      <c r="I887" s="136"/>
      <c r="J887" s="136"/>
      <c r="K887" s="136"/>
      <c r="L887" s="136"/>
      <c r="M887" s="136"/>
      <c r="N887" s="136" t="e">
        <f t="shared" si="40"/>
        <v>#N/A</v>
      </c>
      <c r="O887" s="136" t="e">
        <f t="shared" si="41"/>
        <v>#N/A</v>
      </c>
    </row>
    <row r="888" spans="1:15" ht="22" customHeight="1" x14ac:dyDescent="0.35">
      <c r="A888" s="136">
        <v>844</v>
      </c>
      <c r="B888" s="165" t="str">
        <f>IF($A888&gt;MIN($A$10,$A$2),"",INDEX(DemoHistory[Date],$A888))</f>
        <v/>
      </c>
      <c r="C888" s="166" t="str">
        <f>IF(OR($A888&gt;MIN($A$10,$A$2),$A$5=""),"",INDEX(DemoHistory[],$A888,MATCH($A$5,DemoHistory[#Headers],0)))</f>
        <v/>
      </c>
      <c r="D888" s="166" t="str">
        <f>IF($A888&gt;MIN($A$10,$A$2),"",IF(AND($A$12,$A$6=1,B888&lt;$A$7,$A$7&lt;=MAX(DemoHistory[Date])),$A$8,1))</f>
        <v/>
      </c>
      <c r="E888" s="166" t="str">
        <f t="shared" si="39"/>
        <v/>
      </c>
      <c r="F888" s="166" t="str">
        <f>IF($A888&gt;MIN($A$10,$A$2),"",IF($A888&lt;50,"n.a.",IF(COUNT(INDEX(StockDaily[Adjusted close],MAX(1,$A888-50+1)):E888)=50,AVERAGE(INDEX(StockDaily[Adjusted close],MAX(1,$A888-50+1)):E888),"n.a.")))</f>
        <v/>
      </c>
      <c r="G888" s="166" t="str">
        <f>IF($A888&gt;MIN($A$10,$A$2),"",IF($A888&lt;200,"n.a.",IF(COUNT(INDEX(StockDaily[Adjusted close],MAX(1,$A888-200+1)):E888)=200,AVERAGE(INDEX(StockDaily[Adjusted close],MAX(1,$A888-200+1)):E888),"n.a.")))</f>
        <v/>
      </c>
      <c r="H888" s="136" t="str">
        <f>IF($A888&gt;MIN($A$10,$A$2),"",IF($A$5="","Choose stock",IF(NOT($A$12),"Check split rule",IF(NOT(ISNUMBER(B888)),"Invalid date",IF(OR(B888&lt;=0,B888&lt;&gt;INT(B888)),"Invalid date",IF(COUNTIFS(DemoHistory[Date],B888)&lt;&gt;1,"Duplicate date",IF(AND($A888&gt;1,B888&lt;=B887),"Dates out of order",IF(NOT(ISNUMBER(C888)),"Missing price",IF(C888&lt;=0,"Nonpositive price","OK")))))))))</f>
        <v/>
      </c>
      <c r="I888" s="136"/>
      <c r="J888" s="136"/>
      <c r="K888" s="136"/>
      <c r="L888" s="136"/>
      <c r="M888" s="136"/>
      <c r="N888" s="136" t="e">
        <f t="shared" si="40"/>
        <v>#N/A</v>
      </c>
      <c r="O888" s="136" t="e">
        <f t="shared" si="41"/>
        <v>#N/A</v>
      </c>
    </row>
    <row r="889" spans="1:15" ht="22" customHeight="1" x14ac:dyDescent="0.35">
      <c r="A889" s="136">
        <v>845</v>
      </c>
      <c r="B889" s="165" t="str">
        <f>IF($A889&gt;MIN($A$10,$A$2),"",INDEX(DemoHistory[Date],$A889))</f>
        <v/>
      </c>
      <c r="C889" s="166" t="str">
        <f>IF(OR($A889&gt;MIN($A$10,$A$2),$A$5=""),"",INDEX(DemoHistory[],$A889,MATCH($A$5,DemoHistory[#Headers],0)))</f>
        <v/>
      </c>
      <c r="D889" s="166" t="str">
        <f>IF($A889&gt;MIN($A$10,$A$2),"",IF(AND($A$12,$A$6=1,B889&lt;$A$7,$A$7&lt;=MAX(DemoHistory[Date])),$A$8,1))</f>
        <v/>
      </c>
      <c r="E889" s="166" t="str">
        <f t="shared" si="39"/>
        <v/>
      </c>
      <c r="F889" s="166" t="str">
        <f>IF($A889&gt;MIN($A$10,$A$2),"",IF($A889&lt;50,"n.a.",IF(COUNT(INDEX(StockDaily[Adjusted close],MAX(1,$A889-50+1)):E889)=50,AVERAGE(INDEX(StockDaily[Adjusted close],MAX(1,$A889-50+1)):E889),"n.a.")))</f>
        <v/>
      </c>
      <c r="G889" s="166" t="str">
        <f>IF($A889&gt;MIN($A$10,$A$2),"",IF($A889&lt;200,"n.a.",IF(COUNT(INDEX(StockDaily[Adjusted close],MAX(1,$A889-200+1)):E889)=200,AVERAGE(INDEX(StockDaily[Adjusted close],MAX(1,$A889-200+1)):E889),"n.a.")))</f>
        <v/>
      </c>
      <c r="H889" s="136" t="str">
        <f>IF($A889&gt;MIN($A$10,$A$2),"",IF($A$5="","Choose stock",IF(NOT($A$12),"Check split rule",IF(NOT(ISNUMBER(B889)),"Invalid date",IF(OR(B889&lt;=0,B889&lt;&gt;INT(B889)),"Invalid date",IF(COUNTIFS(DemoHistory[Date],B889)&lt;&gt;1,"Duplicate date",IF(AND($A889&gt;1,B889&lt;=B888),"Dates out of order",IF(NOT(ISNUMBER(C889)),"Missing price",IF(C889&lt;=0,"Nonpositive price","OK")))))))))</f>
        <v/>
      </c>
      <c r="I889" s="136"/>
      <c r="J889" s="136"/>
      <c r="K889" s="136"/>
      <c r="L889" s="136"/>
      <c r="M889" s="136"/>
      <c r="N889" s="136" t="e">
        <f t="shared" si="40"/>
        <v>#N/A</v>
      </c>
      <c r="O889" s="136" t="e">
        <f t="shared" si="41"/>
        <v>#N/A</v>
      </c>
    </row>
    <row r="890" spans="1:15" ht="22" customHeight="1" x14ac:dyDescent="0.35">
      <c r="A890" s="136">
        <v>846</v>
      </c>
      <c r="B890" s="165" t="str">
        <f>IF($A890&gt;MIN($A$10,$A$2),"",INDEX(DemoHistory[Date],$A890))</f>
        <v/>
      </c>
      <c r="C890" s="166" t="str">
        <f>IF(OR($A890&gt;MIN($A$10,$A$2),$A$5=""),"",INDEX(DemoHistory[],$A890,MATCH($A$5,DemoHistory[#Headers],0)))</f>
        <v/>
      </c>
      <c r="D890" s="166" t="str">
        <f>IF($A890&gt;MIN($A$10,$A$2),"",IF(AND($A$12,$A$6=1,B890&lt;$A$7,$A$7&lt;=MAX(DemoHistory[Date])),$A$8,1))</f>
        <v/>
      </c>
      <c r="E890" s="166" t="str">
        <f t="shared" si="39"/>
        <v/>
      </c>
      <c r="F890" s="166" t="str">
        <f>IF($A890&gt;MIN($A$10,$A$2),"",IF($A890&lt;50,"n.a.",IF(COUNT(INDEX(StockDaily[Adjusted close],MAX(1,$A890-50+1)):E890)=50,AVERAGE(INDEX(StockDaily[Adjusted close],MAX(1,$A890-50+1)):E890),"n.a.")))</f>
        <v/>
      </c>
      <c r="G890" s="166" t="str">
        <f>IF($A890&gt;MIN($A$10,$A$2),"",IF($A890&lt;200,"n.a.",IF(COUNT(INDEX(StockDaily[Adjusted close],MAX(1,$A890-200+1)):E890)=200,AVERAGE(INDEX(StockDaily[Adjusted close],MAX(1,$A890-200+1)):E890),"n.a.")))</f>
        <v/>
      </c>
      <c r="H890" s="136" t="str">
        <f>IF($A890&gt;MIN($A$10,$A$2),"",IF($A$5="","Choose stock",IF(NOT($A$12),"Check split rule",IF(NOT(ISNUMBER(B890)),"Invalid date",IF(OR(B890&lt;=0,B890&lt;&gt;INT(B890)),"Invalid date",IF(COUNTIFS(DemoHistory[Date],B890)&lt;&gt;1,"Duplicate date",IF(AND($A890&gt;1,B890&lt;=B889),"Dates out of order",IF(NOT(ISNUMBER(C890)),"Missing price",IF(C890&lt;=0,"Nonpositive price","OK")))))))))</f>
        <v/>
      </c>
      <c r="I890" s="136"/>
      <c r="J890" s="136"/>
      <c r="K890" s="136"/>
      <c r="L890" s="136"/>
      <c r="M890" s="136"/>
      <c r="N890" s="136" t="e">
        <f t="shared" si="40"/>
        <v>#N/A</v>
      </c>
      <c r="O890" s="136" t="e">
        <f t="shared" si="41"/>
        <v>#N/A</v>
      </c>
    </row>
    <row r="891" spans="1:15" ht="22" customHeight="1" x14ac:dyDescent="0.35">
      <c r="A891" s="136">
        <v>847</v>
      </c>
      <c r="B891" s="165" t="str">
        <f>IF($A891&gt;MIN($A$10,$A$2),"",INDEX(DemoHistory[Date],$A891))</f>
        <v/>
      </c>
      <c r="C891" s="166" t="str">
        <f>IF(OR($A891&gt;MIN($A$10,$A$2),$A$5=""),"",INDEX(DemoHistory[],$A891,MATCH($A$5,DemoHistory[#Headers],0)))</f>
        <v/>
      </c>
      <c r="D891" s="166" t="str">
        <f>IF($A891&gt;MIN($A$10,$A$2),"",IF(AND($A$12,$A$6=1,B891&lt;$A$7,$A$7&lt;=MAX(DemoHistory[Date])),$A$8,1))</f>
        <v/>
      </c>
      <c r="E891" s="166" t="str">
        <f t="shared" si="39"/>
        <v/>
      </c>
      <c r="F891" s="166" t="str">
        <f>IF($A891&gt;MIN($A$10,$A$2),"",IF($A891&lt;50,"n.a.",IF(COUNT(INDEX(StockDaily[Adjusted close],MAX(1,$A891-50+1)):E891)=50,AVERAGE(INDEX(StockDaily[Adjusted close],MAX(1,$A891-50+1)):E891),"n.a.")))</f>
        <v/>
      </c>
      <c r="G891" s="166" t="str">
        <f>IF($A891&gt;MIN($A$10,$A$2),"",IF($A891&lt;200,"n.a.",IF(COUNT(INDEX(StockDaily[Adjusted close],MAX(1,$A891-200+1)):E891)=200,AVERAGE(INDEX(StockDaily[Adjusted close],MAX(1,$A891-200+1)):E891),"n.a.")))</f>
        <v/>
      </c>
      <c r="H891" s="136" t="str">
        <f>IF($A891&gt;MIN($A$10,$A$2),"",IF($A$5="","Choose stock",IF(NOT($A$12),"Check split rule",IF(NOT(ISNUMBER(B891)),"Invalid date",IF(OR(B891&lt;=0,B891&lt;&gt;INT(B891)),"Invalid date",IF(COUNTIFS(DemoHistory[Date],B891)&lt;&gt;1,"Duplicate date",IF(AND($A891&gt;1,B891&lt;=B890),"Dates out of order",IF(NOT(ISNUMBER(C891)),"Missing price",IF(C891&lt;=0,"Nonpositive price","OK")))))))))</f>
        <v/>
      </c>
      <c r="I891" s="136"/>
      <c r="J891" s="136"/>
      <c r="K891" s="136"/>
      <c r="L891" s="136"/>
      <c r="M891" s="136"/>
      <c r="N891" s="136" t="e">
        <f t="shared" si="40"/>
        <v>#N/A</v>
      </c>
      <c r="O891" s="136" t="e">
        <f t="shared" si="41"/>
        <v>#N/A</v>
      </c>
    </row>
    <row r="892" spans="1:15" ht="22" customHeight="1" x14ac:dyDescent="0.35">
      <c r="A892" s="136">
        <v>848</v>
      </c>
      <c r="B892" s="165" t="str">
        <f>IF($A892&gt;MIN($A$10,$A$2),"",INDEX(DemoHistory[Date],$A892))</f>
        <v/>
      </c>
      <c r="C892" s="166" t="str">
        <f>IF(OR($A892&gt;MIN($A$10,$A$2),$A$5=""),"",INDEX(DemoHistory[],$A892,MATCH($A$5,DemoHistory[#Headers],0)))</f>
        <v/>
      </c>
      <c r="D892" s="166" t="str">
        <f>IF($A892&gt;MIN($A$10,$A$2),"",IF(AND($A$12,$A$6=1,B892&lt;$A$7,$A$7&lt;=MAX(DemoHistory[Date])),$A$8,1))</f>
        <v/>
      </c>
      <c r="E892" s="166" t="str">
        <f t="shared" si="39"/>
        <v/>
      </c>
      <c r="F892" s="166" t="str">
        <f>IF($A892&gt;MIN($A$10,$A$2),"",IF($A892&lt;50,"n.a.",IF(COUNT(INDEX(StockDaily[Adjusted close],MAX(1,$A892-50+1)):E892)=50,AVERAGE(INDEX(StockDaily[Adjusted close],MAX(1,$A892-50+1)):E892),"n.a.")))</f>
        <v/>
      </c>
      <c r="G892" s="166" t="str">
        <f>IF($A892&gt;MIN($A$10,$A$2),"",IF($A892&lt;200,"n.a.",IF(COUNT(INDEX(StockDaily[Adjusted close],MAX(1,$A892-200+1)):E892)=200,AVERAGE(INDEX(StockDaily[Adjusted close],MAX(1,$A892-200+1)):E892),"n.a.")))</f>
        <v/>
      </c>
      <c r="H892" s="136" t="str">
        <f>IF($A892&gt;MIN($A$10,$A$2),"",IF($A$5="","Choose stock",IF(NOT($A$12),"Check split rule",IF(NOT(ISNUMBER(B892)),"Invalid date",IF(OR(B892&lt;=0,B892&lt;&gt;INT(B892)),"Invalid date",IF(COUNTIFS(DemoHistory[Date],B892)&lt;&gt;1,"Duplicate date",IF(AND($A892&gt;1,B892&lt;=B891),"Dates out of order",IF(NOT(ISNUMBER(C892)),"Missing price",IF(C892&lt;=0,"Nonpositive price","OK")))))))))</f>
        <v/>
      </c>
      <c r="I892" s="136"/>
      <c r="J892" s="136"/>
      <c r="K892" s="136"/>
      <c r="L892" s="136"/>
      <c r="M892" s="136"/>
      <c r="N892" s="136" t="e">
        <f t="shared" si="40"/>
        <v>#N/A</v>
      </c>
      <c r="O892" s="136" t="e">
        <f t="shared" si="41"/>
        <v>#N/A</v>
      </c>
    </row>
    <row r="893" spans="1:15" ht="22" customHeight="1" x14ac:dyDescent="0.35">
      <c r="A893" s="136">
        <v>849</v>
      </c>
      <c r="B893" s="165" t="str">
        <f>IF($A893&gt;MIN($A$10,$A$2),"",INDEX(DemoHistory[Date],$A893))</f>
        <v/>
      </c>
      <c r="C893" s="166" t="str">
        <f>IF(OR($A893&gt;MIN($A$10,$A$2),$A$5=""),"",INDEX(DemoHistory[],$A893,MATCH($A$5,DemoHistory[#Headers],0)))</f>
        <v/>
      </c>
      <c r="D893" s="166" t="str">
        <f>IF($A893&gt;MIN($A$10,$A$2),"",IF(AND($A$12,$A$6=1,B893&lt;$A$7,$A$7&lt;=MAX(DemoHistory[Date])),$A$8,1))</f>
        <v/>
      </c>
      <c r="E893" s="166" t="str">
        <f t="shared" si="39"/>
        <v/>
      </c>
      <c r="F893" s="166" t="str">
        <f>IF($A893&gt;MIN($A$10,$A$2),"",IF($A893&lt;50,"n.a.",IF(COUNT(INDEX(StockDaily[Adjusted close],MAX(1,$A893-50+1)):E893)=50,AVERAGE(INDEX(StockDaily[Adjusted close],MAX(1,$A893-50+1)):E893),"n.a.")))</f>
        <v/>
      </c>
      <c r="G893" s="166" t="str">
        <f>IF($A893&gt;MIN($A$10,$A$2),"",IF($A893&lt;200,"n.a.",IF(COUNT(INDEX(StockDaily[Adjusted close],MAX(1,$A893-200+1)):E893)=200,AVERAGE(INDEX(StockDaily[Adjusted close],MAX(1,$A893-200+1)):E893),"n.a.")))</f>
        <v/>
      </c>
      <c r="H893" s="136" t="str">
        <f>IF($A893&gt;MIN($A$10,$A$2),"",IF($A$5="","Choose stock",IF(NOT($A$12),"Check split rule",IF(NOT(ISNUMBER(B893)),"Invalid date",IF(OR(B893&lt;=0,B893&lt;&gt;INT(B893)),"Invalid date",IF(COUNTIFS(DemoHistory[Date],B893)&lt;&gt;1,"Duplicate date",IF(AND($A893&gt;1,B893&lt;=B892),"Dates out of order",IF(NOT(ISNUMBER(C893)),"Missing price",IF(C893&lt;=0,"Nonpositive price","OK")))))))))</f>
        <v/>
      </c>
      <c r="I893" s="136"/>
      <c r="J893" s="136"/>
      <c r="K893" s="136"/>
      <c r="L893" s="136"/>
      <c r="M893" s="136"/>
      <c r="N893" s="136" t="e">
        <f t="shared" si="40"/>
        <v>#N/A</v>
      </c>
      <c r="O893" s="136" t="e">
        <f t="shared" si="41"/>
        <v>#N/A</v>
      </c>
    </row>
    <row r="894" spans="1:15" ht="22" customHeight="1" x14ac:dyDescent="0.35">
      <c r="A894" s="136">
        <v>850</v>
      </c>
      <c r="B894" s="165" t="str">
        <f>IF($A894&gt;MIN($A$10,$A$2),"",INDEX(DemoHistory[Date],$A894))</f>
        <v/>
      </c>
      <c r="C894" s="166" t="str">
        <f>IF(OR($A894&gt;MIN($A$10,$A$2),$A$5=""),"",INDEX(DemoHistory[],$A894,MATCH($A$5,DemoHistory[#Headers],0)))</f>
        <v/>
      </c>
      <c r="D894" s="166" t="str">
        <f>IF($A894&gt;MIN($A$10,$A$2),"",IF(AND($A$12,$A$6=1,B894&lt;$A$7,$A$7&lt;=MAX(DemoHistory[Date])),$A$8,1))</f>
        <v/>
      </c>
      <c r="E894" s="166" t="str">
        <f t="shared" si="39"/>
        <v/>
      </c>
      <c r="F894" s="166" t="str">
        <f>IF($A894&gt;MIN($A$10,$A$2),"",IF($A894&lt;50,"n.a.",IF(COUNT(INDEX(StockDaily[Adjusted close],MAX(1,$A894-50+1)):E894)=50,AVERAGE(INDEX(StockDaily[Adjusted close],MAX(1,$A894-50+1)):E894),"n.a.")))</f>
        <v/>
      </c>
      <c r="G894" s="166" t="str">
        <f>IF($A894&gt;MIN($A$10,$A$2),"",IF($A894&lt;200,"n.a.",IF(COUNT(INDEX(StockDaily[Adjusted close],MAX(1,$A894-200+1)):E894)=200,AVERAGE(INDEX(StockDaily[Adjusted close],MAX(1,$A894-200+1)):E894),"n.a.")))</f>
        <v/>
      </c>
      <c r="H894" s="136" t="str">
        <f>IF($A894&gt;MIN($A$10,$A$2),"",IF($A$5="","Choose stock",IF(NOT($A$12),"Check split rule",IF(NOT(ISNUMBER(B894)),"Invalid date",IF(OR(B894&lt;=0,B894&lt;&gt;INT(B894)),"Invalid date",IF(COUNTIFS(DemoHistory[Date],B894)&lt;&gt;1,"Duplicate date",IF(AND($A894&gt;1,B894&lt;=B893),"Dates out of order",IF(NOT(ISNUMBER(C894)),"Missing price",IF(C894&lt;=0,"Nonpositive price","OK")))))))))</f>
        <v/>
      </c>
      <c r="I894" s="136"/>
      <c r="J894" s="136"/>
      <c r="K894" s="136"/>
      <c r="L894" s="136"/>
      <c r="M894" s="136"/>
      <c r="N894" s="136" t="e">
        <f t="shared" si="40"/>
        <v>#N/A</v>
      </c>
      <c r="O894" s="136" t="e">
        <f t="shared" si="41"/>
        <v>#N/A</v>
      </c>
    </row>
    <row r="895" spans="1:15" ht="22" customHeight="1" x14ac:dyDescent="0.35">
      <c r="A895" s="136">
        <v>851</v>
      </c>
      <c r="B895" s="165" t="str">
        <f>IF($A895&gt;MIN($A$10,$A$2),"",INDEX(DemoHistory[Date],$A895))</f>
        <v/>
      </c>
      <c r="C895" s="166" t="str">
        <f>IF(OR($A895&gt;MIN($A$10,$A$2),$A$5=""),"",INDEX(DemoHistory[],$A895,MATCH($A$5,DemoHistory[#Headers],0)))</f>
        <v/>
      </c>
      <c r="D895" s="166" t="str">
        <f>IF($A895&gt;MIN($A$10,$A$2),"",IF(AND($A$12,$A$6=1,B895&lt;$A$7,$A$7&lt;=MAX(DemoHistory[Date])),$A$8,1))</f>
        <v/>
      </c>
      <c r="E895" s="166" t="str">
        <f t="shared" si="39"/>
        <v/>
      </c>
      <c r="F895" s="166" t="str">
        <f>IF($A895&gt;MIN($A$10,$A$2),"",IF($A895&lt;50,"n.a.",IF(COUNT(INDEX(StockDaily[Adjusted close],MAX(1,$A895-50+1)):E895)=50,AVERAGE(INDEX(StockDaily[Adjusted close],MAX(1,$A895-50+1)):E895),"n.a.")))</f>
        <v/>
      </c>
      <c r="G895" s="166" t="str">
        <f>IF($A895&gt;MIN($A$10,$A$2),"",IF($A895&lt;200,"n.a.",IF(COUNT(INDEX(StockDaily[Adjusted close],MAX(1,$A895-200+1)):E895)=200,AVERAGE(INDEX(StockDaily[Adjusted close],MAX(1,$A895-200+1)):E895),"n.a.")))</f>
        <v/>
      </c>
      <c r="H895" s="136" t="str">
        <f>IF($A895&gt;MIN($A$10,$A$2),"",IF($A$5="","Choose stock",IF(NOT($A$12),"Check split rule",IF(NOT(ISNUMBER(B895)),"Invalid date",IF(OR(B895&lt;=0,B895&lt;&gt;INT(B895)),"Invalid date",IF(COUNTIFS(DemoHistory[Date],B895)&lt;&gt;1,"Duplicate date",IF(AND($A895&gt;1,B895&lt;=B894),"Dates out of order",IF(NOT(ISNUMBER(C895)),"Missing price",IF(C895&lt;=0,"Nonpositive price","OK")))))))))</f>
        <v/>
      </c>
      <c r="I895" s="136"/>
      <c r="J895" s="136"/>
      <c r="K895" s="136"/>
      <c r="L895" s="136"/>
      <c r="M895" s="136"/>
      <c r="N895" s="136" t="e">
        <f t="shared" si="40"/>
        <v>#N/A</v>
      </c>
      <c r="O895" s="136" t="e">
        <f t="shared" si="41"/>
        <v>#N/A</v>
      </c>
    </row>
    <row r="896" spans="1:15" ht="22" customHeight="1" x14ac:dyDescent="0.35">
      <c r="A896" s="136">
        <v>852</v>
      </c>
      <c r="B896" s="165" t="str">
        <f>IF($A896&gt;MIN($A$10,$A$2),"",INDEX(DemoHistory[Date],$A896))</f>
        <v/>
      </c>
      <c r="C896" s="166" t="str">
        <f>IF(OR($A896&gt;MIN($A$10,$A$2),$A$5=""),"",INDEX(DemoHistory[],$A896,MATCH($A$5,DemoHistory[#Headers],0)))</f>
        <v/>
      </c>
      <c r="D896" s="166" t="str">
        <f>IF($A896&gt;MIN($A$10,$A$2),"",IF(AND($A$12,$A$6=1,B896&lt;$A$7,$A$7&lt;=MAX(DemoHistory[Date])),$A$8,1))</f>
        <v/>
      </c>
      <c r="E896" s="166" t="str">
        <f t="shared" si="39"/>
        <v/>
      </c>
      <c r="F896" s="166" t="str">
        <f>IF($A896&gt;MIN($A$10,$A$2),"",IF($A896&lt;50,"n.a.",IF(COUNT(INDEX(StockDaily[Adjusted close],MAX(1,$A896-50+1)):E896)=50,AVERAGE(INDEX(StockDaily[Adjusted close],MAX(1,$A896-50+1)):E896),"n.a.")))</f>
        <v/>
      </c>
      <c r="G896" s="166" t="str">
        <f>IF($A896&gt;MIN($A$10,$A$2),"",IF($A896&lt;200,"n.a.",IF(COUNT(INDEX(StockDaily[Adjusted close],MAX(1,$A896-200+1)):E896)=200,AVERAGE(INDEX(StockDaily[Adjusted close],MAX(1,$A896-200+1)):E896),"n.a.")))</f>
        <v/>
      </c>
      <c r="H896" s="136" t="str">
        <f>IF($A896&gt;MIN($A$10,$A$2),"",IF($A$5="","Choose stock",IF(NOT($A$12),"Check split rule",IF(NOT(ISNUMBER(B896)),"Invalid date",IF(OR(B896&lt;=0,B896&lt;&gt;INT(B896)),"Invalid date",IF(COUNTIFS(DemoHistory[Date],B896)&lt;&gt;1,"Duplicate date",IF(AND($A896&gt;1,B896&lt;=B895),"Dates out of order",IF(NOT(ISNUMBER(C896)),"Missing price",IF(C896&lt;=0,"Nonpositive price","OK")))))))))</f>
        <v/>
      </c>
      <c r="I896" s="136"/>
      <c r="J896" s="136"/>
      <c r="K896" s="136"/>
      <c r="L896" s="136"/>
      <c r="M896" s="136"/>
      <c r="N896" s="136" t="e">
        <f t="shared" si="40"/>
        <v>#N/A</v>
      </c>
      <c r="O896" s="136" t="e">
        <f t="shared" si="41"/>
        <v>#N/A</v>
      </c>
    </row>
    <row r="897" spans="1:15" ht="22" customHeight="1" x14ac:dyDescent="0.35">
      <c r="A897" s="136">
        <v>853</v>
      </c>
      <c r="B897" s="165" t="str">
        <f>IF($A897&gt;MIN($A$10,$A$2),"",INDEX(DemoHistory[Date],$A897))</f>
        <v/>
      </c>
      <c r="C897" s="166" t="str">
        <f>IF(OR($A897&gt;MIN($A$10,$A$2),$A$5=""),"",INDEX(DemoHistory[],$A897,MATCH($A$5,DemoHistory[#Headers],0)))</f>
        <v/>
      </c>
      <c r="D897" s="166" t="str">
        <f>IF($A897&gt;MIN($A$10,$A$2),"",IF(AND($A$12,$A$6=1,B897&lt;$A$7,$A$7&lt;=MAX(DemoHistory[Date])),$A$8,1))</f>
        <v/>
      </c>
      <c r="E897" s="166" t="str">
        <f t="shared" si="39"/>
        <v/>
      </c>
      <c r="F897" s="166" t="str">
        <f>IF($A897&gt;MIN($A$10,$A$2),"",IF($A897&lt;50,"n.a.",IF(COUNT(INDEX(StockDaily[Adjusted close],MAX(1,$A897-50+1)):E897)=50,AVERAGE(INDEX(StockDaily[Adjusted close],MAX(1,$A897-50+1)):E897),"n.a.")))</f>
        <v/>
      </c>
      <c r="G897" s="166" t="str">
        <f>IF($A897&gt;MIN($A$10,$A$2),"",IF($A897&lt;200,"n.a.",IF(COUNT(INDEX(StockDaily[Adjusted close],MAX(1,$A897-200+1)):E897)=200,AVERAGE(INDEX(StockDaily[Adjusted close],MAX(1,$A897-200+1)):E897),"n.a.")))</f>
        <v/>
      </c>
      <c r="H897" s="136" t="str">
        <f>IF($A897&gt;MIN($A$10,$A$2),"",IF($A$5="","Choose stock",IF(NOT($A$12),"Check split rule",IF(NOT(ISNUMBER(B897)),"Invalid date",IF(OR(B897&lt;=0,B897&lt;&gt;INT(B897)),"Invalid date",IF(COUNTIFS(DemoHistory[Date],B897)&lt;&gt;1,"Duplicate date",IF(AND($A897&gt;1,B897&lt;=B896),"Dates out of order",IF(NOT(ISNUMBER(C897)),"Missing price",IF(C897&lt;=0,"Nonpositive price","OK")))))))))</f>
        <v/>
      </c>
      <c r="I897" s="136"/>
      <c r="J897" s="136"/>
      <c r="K897" s="136"/>
      <c r="L897" s="136"/>
      <c r="M897" s="136"/>
      <c r="N897" s="136" t="e">
        <f t="shared" si="40"/>
        <v>#N/A</v>
      </c>
      <c r="O897" s="136" t="e">
        <f t="shared" si="41"/>
        <v>#N/A</v>
      </c>
    </row>
    <row r="898" spans="1:15" ht="22" customHeight="1" x14ac:dyDescent="0.35">
      <c r="A898" s="136">
        <v>854</v>
      </c>
      <c r="B898" s="165" t="str">
        <f>IF($A898&gt;MIN($A$10,$A$2),"",INDEX(DemoHistory[Date],$A898))</f>
        <v/>
      </c>
      <c r="C898" s="166" t="str">
        <f>IF(OR($A898&gt;MIN($A$10,$A$2),$A$5=""),"",INDEX(DemoHistory[],$A898,MATCH($A$5,DemoHistory[#Headers],0)))</f>
        <v/>
      </c>
      <c r="D898" s="166" t="str">
        <f>IF($A898&gt;MIN($A$10,$A$2),"",IF(AND($A$12,$A$6=1,B898&lt;$A$7,$A$7&lt;=MAX(DemoHistory[Date])),$A$8,1))</f>
        <v/>
      </c>
      <c r="E898" s="166" t="str">
        <f t="shared" si="39"/>
        <v/>
      </c>
      <c r="F898" s="166" t="str">
        <f>IF($A898&gt;MIN($A$10,$A$2),"",IF($A898&lt;50,"n.a.",IF(COUNT(INDEX(StockDaily[Adjusted close],MAX(1,$A898-50+1)):E898)=50,AVERAGE(INDEX(StockDaily[Adjusted close],MAX(1,$A898-50+1)):E898),"n.a.")))</f>
        <v/>
      </c>
      <c r="G898" s="166" t="str">
        <f>IF($A898&gt;MIN($A$10,$A$2),"",IF($A898&lt;200,"n.a.",IF(COUNT(INDEX(StockDaily[Adjusted close],MAX(1,$A898-200+1)):E898)=200,AVERAGE(INDEX(StockDaily[Adjusted close],MAX(1,$A898-200+1)):E898),"n.a.")))</f>
        <v/>
      </c>
      <c r="H898" s="136" t="str">
        <f>IF($A898&gt;MIN($A$10,$A$2),"",IF($A$5="","Choose stock",IF(NOT($A$12),"Check split rule",IF(NOT(ISNUMBER(B898)),"Invalid date",IF(OR(B898&lt;=0,B898&lt;&gt;INT(B898)),"Invalid date",IF(COUNTIFS(DemoHistory[Date],B898)&lt;&gt;1,"Duplicate date",IF(AND($A898&gt;1,B898&lt;=B897),"Dates out of order",IF(NOT(ISNUMBER(C898)),"Missing price",IF(C898&lt;=0,"Nonpositive price","OK")))))))))</f>
        <v/>
      </c>
      <c r="I898" s="136"/>
      <c r="J898" s="136"/>
      <c r="K898" s="136"/>
      <c r="L898" s="136"/>
      <c r="M898" s="136"/>
      <c r="N898" s="136" t="e">
        <f t="shared" si="40"/>
        <v>#N/A</v>
      </c>
      <c r="O898" s="136" t="e">
        <f t="shared" si="41"/>
        <v>#N/A</v>
      </c>
    </row>
    <row r="899" spans="1:15" ht="22" customHeight="1" x14ac:dyDescent="0.35">
      <c r="A899" s="136">
        <v>855</v>
      </c>
      <c r="B899" s="165" t="str">
        <f>IF($A899&gt;MIN($A$10,$A$2),"",INDEX(DemoHistory[Date],$A899))</f>
        <v/>
      </c>
      <c r="C899" s="166" t="str">
        <f>IF(OR($A899&gt;MIN($A$10,$A$2),$A$5=""),"",INDEX(DemoHistory[],$A899,MATCH($A$5,DemoHistory[#Headers],0)))</f>
        <v/>
      </c>
      <c r="D899" s="166" t="str">
        <f>IF($A899&gt;MIN($A$10,$A$2),"",IF(AND($A$12,$A$6=1,B899&lt;$A$7,$A$7&lt;=MAX(DemoHistory[Date])),$A$8,1))</f>
        <v/>
      </c>
      <c r="E899" s="166" t="str">
        <f t="shared" si="39"/>
        <v/>
      </c>
      <c r="F899" s="166" t="str">
        <f>IF($A899&gt;MIN($A$10,$A$2),"",IF($A899&lt;50,"n.a.",IF(COUNT(INDEX(StockDaily[Adjusted close],MAX(1,$A899-50+1)):E899)=50,AVERAGE(INDEX(StockDaily[Adjusted close],MAX(1,$A899-50+1)):E899),"n.a.")))</f>
        <v/>
      </c>
      <c r="G899" s="166" t="str">
        <f>IF($A899&gt;MIN($A$10,$A$2),"",IF($A899&lt;200,"n.a.",IF(COUNT(INDEX(StockDaily[Adjusted close],MAX(1,$A899-200+1)):E899)=200,AVERAGE(INDEX(StockDaily[Adjusted close],MAX(1,$A899-200+1)):E899),"n.a.")))</f>
        <v/>
      </c>
      <c r="H899" s="136" t="str">
        <f>IF($A899&gt;MIN($A$10,$A$2),"",IF($A$5="","Choose stock",IF(NOT($A$12),"Check split rule",IF(NOT(ISNUMBER(B899)),"Invalid date",IF(OR(B899&lt;=0,B899&lt;&gt;INT(B899)),"Invalid date",IF(COUNTIFS(DemoHistory[Date],B899)&lt;&gt;1,"Duplicate date",IF(AND($A899&gt;1,B899&lt;=B898),"Dates out of order",IF(NOT(ISNUMBER(C899)),"Missing price",IF(C899&lt;=0,"Nonpositive price","OK")))))))))</f>
        <v/>
      </c>
      <c r="I899" s="136"/>
      <c r="J899" s="136"/>
      <c r="K899" s="136"/>
      <c r="L899" s="136"/>
      <c r="M899" s="136"/>
      <c r="N899" s="136" t="e">
        <f t="shared" si="40"/>
        <v>#N/A</v>
      </c>
      <c r="O899" s="136" t="e">
        <f t="shared" si="41"/>
        <v>#N/A</v>
      </c>
    </row>
    <row r="900" spans="1:15" ht="22" customHeight="1" x14ac:dyDescent="0.35">
      <c r="A900" s="136">
        <v>856</v>
      </c>
      <c r="B900" s="165" t="str">
        <f>IF($A900&gt;MIN($A$10,$A$2),"",INDEX(DemoHistory[Date],$A900))</f>
        <v/>
      </c>
      <c r="C900" s="166" t="str">
        <f>IF(OR($A900&gt;MIN($A$10,$A$2),$A$5=""),"",INDEX(DemoHistory[],$A900,MATCH($A$5,DemoHistory[#Headers],0)))</f>
        <v/>
      </c>
      <c r="D900" s="166" t="str">
        <f>IF($A900&gt;MIN($A$10,$A$2),"",IF(AND($A$12,$A$6=1,B900&lt;$A$7,$A$7&lt;=MAX(DemoHistory[Date])),$A$8,1))</f>
        <v/>
      </c>
      <c r="E900" s="166" t="str">
        <f t="shared" si="39"/>
        <v/>
      </c>
      <c r="F900" s="166" t="str">
        <f>IF($A900&gt;MIN($A$10,$A$2),"",IF($A900&lt;50,"n.a.",IF(COUNT(INDEX(StockDaily[Adjusted close],MAX(1,$A900-50+1)):E900)=50,AVERAGE(INDEX(StockDaily[Adjusted close],MAX(1,$A900-50+1)):E900),"n.a.")))</f>
        <v/>
      </c>
      <c r="G900" s="166" t="str">
        <f>IF($A900&gt;MIN($A$10,$A$2),"",IF($A900&lt;200,"n.a.",IF(COUNT(INDEX(StockDaily[Adjusted close],MAX(1,$A900-200+1)):E900)=200,AVERAGE(INDEX(StockDaily[Adjusted close],MAX(1,$A900-200+1)):E900),"n.a.")))</f>
        <v/>
      </c>
      <c r="H900" s="136" t="str">
        <f>IF($A900&gt;MIN($A$10,$A$2),"",IF($A$5="","Choose stock",IF(NOT($A$12),"Check split rule",IF(NOT(ISNUMBER(B900)),"Invalid date",IF(OR(B900&lt;=0,B900&lt;&gt;INT(B900)),"Invalid date",IF(COUNTIFS(DemoHistory[Date],B900)&lt;&gt;1,"Duplicate date",IF(AND($A900&gt;1,B900&lt;=B899),"Dates out of order",IF(NOT(ISNUMBER(C900)),"Missing price",IF(C900&lt;=0,"Nonpositive price","OK")))))))))</f>
        <v/>
      </c>
      <c r="I900" s="136"/>
      <c r="J900" s="136"/>
      <c r="K900" s="136"/>
      <c r="L900" s="136"/>
      <c r="M900" s="136"/>
      <c r="N900" s="136" t="e">
        <f t="shared" si="40"/>
        <v>#N/A</v>
      </c>
      <c r="O900" s="136" t="e">
        <f t="shared" si="41"/>
        <v>#N/A</v>
      </c>
    </row>
    <row r="901" spans="1:15" ht="22" customHeight="1" x14ac:dyDescent="0.35">
      <c r="A901" s="136">
        <v>857</v>
      </c>
      <c r="B901" s="165" t="str">
        <f>IF($A901&gt;MIN($A$10,$A$2),"",INDEX(DemoHistory[Date],$A901))</f>
        <v/>
      </c>
      <c r="C901" s="166" t="str">
        <f>IF(OR($A901&gt;MIN($A$10,$A$2),$A$5=""),"",INDEX(DemoHistory[],$A901,MATCH($A$5,DemoHistory[#Headers],0)))</f>
        <v/>
      </c>
      <c r="D901" s="166" t="str">
        <f>IF($A901&gt;MIN($A$10,$A$2),"",IF(AND($A$12,$A$6=1,B901&lt;$A$7,$A$7&lt;=MAX(DemoHistory[Date])),$A$8,1))</f>
        <v/>
      </c>
      <c r="E901" s="166" t="str">
        <f t="shared" si="39"/>
        <v/>
      </c>
      <c r="F901" s="166" t="str">
        <f>IF($A901&gt;MIN($A$10,$A$2),"",IF($A901&lt;50,"n.a.",IF(COUNT(INDEX(StockDaily[Adjusted close],MAX(1,$A901-50+1)):E901)=50,AVERAGE(INDEX(StockDaily[Adjusted close],MAX(1,$A901-50+1)):E901),"n.a.")))</f>
        <v/>
      </c>
      <c r="G901" s="166" t="str">
        <f>IF($A901&gt;MIN($A$10,$A$2),"",IF($A901&lt;200,"n.a.",IF(COUNT(INDEX(StockDaily[Adjusted close],MAX(1,$A901-200+1)):E901)=200,AVERAGE(INDEX(StockDaily[Adjusted close],MAX(1,$A901-200+1)):E901),"n.a.")))</f>
        <v/>
      </c>
      <c r="H901" s="136" t="str">
        <f>IF($A901&gt;MIN($A$10,$A$2),"",IF($A$5="","Choose stock",IF(NOT($A$12),"Check split rule",IF(NOT(ISNUMBER(B901)),"Invalid date",IF(OR(B901&lt;=0,B901&lt;&gt;INT(B901)),"Invalid date",IF(COUNTIFS(DemoHistory[Date],B901)&lt;&gt;1,"Duplicate date",IF(AND($A901&gt;1,B901&lt;=B900),"Dates out of order",IF(NOT(ISNUMBER(C901)),"Missing price",IF(C901&lt;=0,"Nonpositive price","OK")))))))))</f>
        <v/>
      </c>
      <c r="I901" s="136"/>
      <c r="J901" s="136"/>
      <c r="K901" s="136"/>
      <c r="L901" s="136"/>
      <c r="M901" s="136"/>
      <c r="N901" s="136" t="e">
        <f t="shared" si="40"/>
        <v>#N/A</v>
      </c>
      <c r="O901" s="136" t="e">
        <f t="shared" si="41"/>
        <v>#N/A</v>
      </c>
    </row>
    <row r="902" spans="1:15" ht="22" customHeight="1" x14ac:dyDescent="0.35">
      <c r="A902" s="136">
        <v>858</v>
      </c>
      <c r="B902" s="165" t="str">
        <f>IF($A902&gt;MIN($A$10,$A$2),"",INDEX(DemoHistory[Date],$A902))</f>
        <v/>
      </c>
      <c r="C902" s="166" t="str">
        <f>IF(OR($A902&gt;MIN($A$10,$A$2),$A$5=""),"",INDEX(DemoHistory[],$A902,MATCH($A$5,DemoHistory[#Headers],0)))</f>
        <v/>
      </c>
      <c r="D902" s="166" t="str">
        <f>IF($A902&gt;MIN($A$10,$A$2),"",IF(AND($A$12,$A$6=1,B902&lt;$A$7,$A$7&lt;=MAX(DemoHistory[Date])),$A$8,1))</f>
        <v/>
      </c>
      <c r="E902" s="166" t="str">
        <f t="shared" si="39"/>
        <v/>
      </c>
      <c r="F902" s="166" t="str">
        <f>IF($A902&gt;MIN($A$10,$A$2),"",IF($A902&lt;50,"n.a.",IF(COUNT(INDEX(StockDaily[Adjusted close],MAX(1,$A902-50+1)):E902)=50,AVERAGE(INDEX(StockDaily[Adjusted close],MAX(1,$A902-50+1)):E902),"n.a.")))</f>
        <v/>
      </c>
      <c r="G902" s="166" t="str">
        <f>IF($A902&gt;MIN($A$10,$A$2),"",IF($A902&lt;200,"n.a.",IF(COUNT(INDEX(StockDaily[Adjusted close],MAX(1,$A902-200+1)):E902)=200,AVERAGE(INDEX(StockDaily[Adjusted close],MAX(1,$A902-200+1)):E902),"n.a.")))</f>
        <v/>
      </c>
      <c r="H902" s="136" t="str">
        <f>IF($A902&gt;MIN($A$10,$A$2),"",IF($A$5="","Choose stock",IF(NOT($A$12),"Check split rule",IF(NOT(ISNUMBER(B902)),"Invalid date",IF(OR(B902&lt;=0,B902&lt;&gt;INT(B902)),"Invalid date",IF(COUNTIFS(DemoHistory[Date],B902)&lt;&gt;1,"Duplicate date",IF(AND($A902&gt;1,B902&lt;=B901),"Dates out of order",IF(NOT(ISNUMBER(C902)),"Missing price",IF(C902&lt;=0,"Nonpositive price","OK")))))))))</f>
        <v/>
      </c>
      <c r="I902" s="136"/>
      <c r="J902" s="136"/>
      <c r="K902" s="136"/>
      <c r="L902" s="136"/>
      <c r="M902" s="136"/>
      <c r="N902" s="136" t="e">
        <f t="shared" si="40"/>
        <v>#N/A</v>
      </c>
      <c r="O902" s="136" t="e">
        <f t="shared" si="41"/>
        <v>#N/A</v>
      </c>
    </row>
    <row r="903" spans="1:15" ht="22" customHeight="1" x14ac:dyDescent="0.35">
      <c r="A903" s="136">
        <v>859</v>
      </c>
      <c r="B903" s="165" t="str">
        <f>IF($A903&gt;MIN($A$10,$A$2),"",INDEX(DemoHistory[Date],$A903))</f>
        <v/>
      </c>
      <c r="C903" s="166" t="str">
        <f>IF(OR($A903&gt;MIN($A$10,$A$2),$A$5=""),"",INDEX(DemoHistory[],$A903,MATCH($A$5,DemoHistory[#Headers],0)))</f>
        <v/>
      </c>
      <c r="D903" s="166" t="str">
        <f>IF($A903&gt;MIN($A$10,$A$2),"",IF(AND($A$12,$A$6=1,B903&lt;$A$7,$A$7&lt;=MAX(DemoHistory[Date])),$A$8,1))</f>
        <v/>
      </c>
      <c r="E903" s="166" t="str">
        <f t="shared" si="39"/>
        <v/>
      </c>
      <c r="F903" s="166" t="str">
        <f>IF($A903&gt;MIN($A$10,$A$2),"",IF($A903&lt;50,"n.a.",IF(COUNT(INDEX(StockDaily[Adjusted close],MAX(1,$A903-50+1)):E903)=50,AVERAGE(INDEX(StockDaily[Adjusted close],MAX(1,$A903-50+1)):E903),"n.a.")))</f>
        <v/>
      </c>
      <c r="G903" s="166" t="str">
        <f>IF($A903&gt;MIN($A$10,$A$2),"",IF($A903&lt;200,"n.a.",IF(COUNT(INDEX(StockDaily[Adjusted close],MAX(1,$A903-200+1)):E903)=200,AVERAGE(INDEX(StockDaily[Adjusted close],MAX(1,$A903-200+1)):E903),"n.a.")))</f>
        <v/>
      </c>
      <c r="H903" s="136" t="str">
        <f>IF($A903&gt;MIN($A$10,$A$2),"",IF($A$5="","Choose stock",IF(NOT($A$12),"Check split rule",IF(NOT(ISNUMBER(B903)),"Invalid date",IF(OR(B903&lt;=0,B903&lt;&gt;INT(B903)),"Invalid date",IF(COUNTIFS(DemoHistory[Date],B903)&lt;&gt;1,"Duplicate date",IF(AND($A903&gt;1,B903&lt;=B902),"Dates out of order",IF(NOT(ISNUMBER(C903)),"Missing price",IF(C903&lt;=0,"Nonpositive price","OK")))))))))</f>
        <v/>
      </c>
      <c r="I903" s="136"/>
      <c r="J903" s="136"/>
      <c r="K903" s="136"/>
      <c r="L903" s="136"/>
      <c r="M903" s="136"/>
      <c r="N903" s="136" t="e">
        <f t="shared" si="40"/>
        <v>#N/A</v>
      </c>
      <c r="O903" s="136" t="e">
        <f t="shared" si="41"/>
        <v>#N/A</v>
      </c>
    </row>
    <row r="904" spans="1:15" ht="22" customHeight="1" x14ac:dyDescent="0.35">
      <c r="A904" s="136">
        <v>860</v>
      </c>
      <c r="B904" s="165" t="str">
        <f>IF($A904&gt;MIN($A$10,$A$2),"",INDEX(DemoHistory[Date],$A904))</f>
        <v/>
      </c>
      <c r="C904" s="166" t="str">
        <f>IF(OR($A904&gt;MIN($A$10,$A$2),$A$5=""),"",INDEX(DemoHistory[],$A904,MATCH($A$5,DemoHistory[#Headers],0)))</f>
        <v/>
      </c>
      <c r="D904" s="166" t="str">
        <f>IF($A904&gt;MIN($A$10,$A$2),"",IF(AND($A$12,$A$6=1,B904&lt;$A$7,$A$7&lt;=MAX(DemoHistory[Date])),$A$8,1))</f>
        <v/>
      </c>
      <c r="E904" s="166" t="str">
        <f t="shared" si="39"/>
        <v/>
      </c>
      <c r="F904" s="166" t="str">
        <f>IF($A904&gt;MIN($A$10,$A$2),"",IF($A904&lt;50,"n.a.",IF(COUNT(INDEX(StockDaily[Adjusted close],MAX(1,$A904-50+1)):E904)=50,AVERAGE(INDEX(StockDaily[Adjusted close],MAX(1,$A904-50+1)):E904),"n.a.")))</f>
        <v/>
      </c>
      <c r="G904" s="166" t="str">
        <f>IF($A904&gt;MIN($A$10,$A$2),"",IF($A904&lt;200,"n.a.",IF(COUNT(INDEX(StockDaily[Adjusted close],MAX(1,$A904-200+1)):E904)=200,AVERAGE(INDEX(StockDaily[Adjusted close],MAX(1,$A904-200+1)):E904),"n.a.")))</f>
        <v/>
      </c>
      <c r="H904" s="136" t="str">
        <f>IF($A904&gt;MIN($A$10,$A$2),"",IF($A$5="","Choose stock",IF(NOT($A$12),"Check split rule",IF(NOT(ISNUMBER(B904)),"Invalid date",IF(OR(B904&lt;=0,B904&lt;&gt;INT(B904)),"Invalid date",IF(COUNTIFS(DemoHistory[Date],B904)&lt;&gt;1,"Duplicate date",IF(AND($A904&gt;1,B904&lt;=B903),"Dates out of order",IF(NOT(ISNUMBER(C904)),"Missing price",IF(C904&lt;=0,"Nonpositive price","OK")))))))))</f>
        <v/>
      </c>
      <c r="I904" s="136"/>
      <c r="J904" s="136"/>
      <c r="K904" s="136"/>
      <c r="L904" s="136"/>
      <c r="M904" s="136"/>
      <c r="N904" s="136" t="e">
        <f t="shared" si="40"/>
        <v>#N/A</v>
      </c>
      <c r="O904" s="136" t="e">
        <f t="shared" si="41"/>
        <v>#N/A</v>
      </c>
    </row>
    <row r="905" spans="1:15" ht="22" customHeight="1" x14ac:dyDescent="0.35">
      <c r="A905" s="136">
        <v>861</v>
      </c>
      <c r="B905" s="165" t="str">
        <f>IF($A905&gt;MIN($A$10,$A$2),"",INDEX(DemoHistory[Date],$A905))</f>
        <v/>
      </c>
      <c r="C905" s="166" t="str">
        <f>IF(OR($A905&gt;MIN($A$10,$A$2),$A$5=""),"",INDEX(DemoHistory[],$A905,MATCH($A$5,DemoHistory[#Headers],0)))</f>
        <v/>
      </c>
      <c r="D905" s="166" t="str">
        <f>IF($A905&gt;MIN($A$10,$A$2),"",IF(AND($A$12,$A$6=1,B905&lt;$A$7,$A$7&lt;=MAX(DemoHistory[Date])),$A$8,1))</f>
        <v/>
      </c>
      <c r="E905" s="166" t="str">
        <f t="shared" si="39"/>
        <v/>
      </c>
      <c r="F905" s="166" t="str">
        <f>IF($A905&gt;MIN($A$10,$A$2),"",IF($A905&lt;50,"n.a.",IF(COUNT(INDEX(StockDaily[Adjusted close],MAX(1,$A905-50+1)):E905)=50,AVERAGE(INDEX(StockDaily[Adjusted close],MAX(1,$A905-50+1)):E905),"n.a.")))</f>
        <v/>
      </c>
      <c r="G905" s="166" t="str">
        <f>IF($A905&gt;MIN($A$10,$A$2),"",IF($A905&lt;200,"n.a.",IF(COUNT(INDEX(StockDaily[Adjusted close],MAX(1,$A905-200+1)):E905)=200,AVERAGE(INDEX(StockDaily[Adjusted close],MAX(1,$A905-200+1)):E905),"n.a.")))</f>
        <v/>
      </c>
      <c r="H905" s="136" t="str">
        <f>IF($A905&gt;MIN($A$10,$A$2),"",IF($A$5="","Choose stock",IF(NOT($A$12),"Check split rule",IF(NOT(ISNUMBER(B905)),"Invalid date",IF(OR(B905&lt;=0,B905&lt;&gt;INT(B905)),"Invalid date",IF(COUNTIFS(DemoHistory[Date],B905)&lt;&gt;1,"Duplicate date",IF(AND($A905&gt;1,B905&lt;=B904),"Dates out of order",IF(NOT(ISNUMBER(C905)),"Missing price",IF(C905&lt;=0,"Nonpositive price","OK")))))))))</f>
        <v/>
      </c>
      <c r="I905" s="136"/>
      <c r="J905" s="136"/>
      <c r="K905" s="136"/>
      <c r="L905" s="136"/>
      <c r="M905" s="136"/>
      <c r="N905" s="136" t="e">
        <f t="shared" si="40"/>
        <v>#N/A</v>
      </c>
      <c r="O905" s="136" t="e">
        <f t="shared" si="41"/>
        <v>#N/A</v>
      </c>
    </row>
    <row r="906" spans="1:15" ht="22" customHeight="1" x14ac:dyDescent="0.35">
      <c r="A906" s="136">
        <v>862</v>
      </c>
      <c r="B906" s="165" t="str">
        <f>IF($A906&gt;MIN($A$10,$A$2),"",INDEX(DemoHistory[Date],$A906))</f>
        <v/>
      </c>
      <c r="C906" s="166" t="str">
        <f>IF(OR($A906&gt;MIN($A$10,$A$2),$A$5=""),"",INDEX(DemoHistory[],$A906,MATCH($A$5,DemoHistory[#Headers],0)))</f>
        <v/>
      </c>
      <c r="D906" s="166" t="str">
        <f>IF($A906&gt;MIN($A$10,$A$2),"",IF(AND($A$12,$A$6=1,B906&lt;$A$7,$A$7&lt;=MAX(DemoHistory[Date])),$A$8,1))</f>
        <v/>
      </c>
      <c r="E906" s="166" t="str">
        <f t="shared" si="39"/>
        <v/>
      </c>
      <c r="F906" s="166" t="str">
        <f>IF($A906&gt;MIN($A$10,$A$2),"",IF($A906&lt;50,"n.a.",IF(COUNT(INDEX(StockDaily[Adjusted close],MAX(1,$A906-50+1)):E906)=50,AVERAGE(INDEX(StockDaily[Adjusted close],MAX(1,$A906-50+1)):E906),"n.a.")))</f>
        <v/>
      </c>
      <c r="G906" s="166" t="str">
        <f>IF($A906&gt;MIN($A$10,$A$2),"",IF($A906&lt;200,"n.a.",IF(COUNT(INDEX(StockDaily[Adjusted close],MAX(1,$A906-200+1)):E906)=200,AVERAGE(INDEX(StockDaily[Adjusted close],MAX(1,$A906-200+1)):E906),"n.a.")))</f>
        <v/>
      </c>
      <c r="H906" s="136" t="str">
        <f>IF($A906&gt;MIN($A$10,$A$2),"",IF($A$5="","Choose stock",IF(NOT($A$12),"Check split rule",IF(NOT(ISNUMBER(B906)),"Invalid date",IF(OR(B906&lt;=0,B906&lt;&gt;INT(B906)),"Invalid date",IF(COUNTIFS(DemoHistory[Date],B906)&lt;&gt;1,"Duplicate date",IF(AND($A906&gt;1,B906&lt;=B905),"Dates out of order",IF(NOT(ISNUMBER(C906)),"Missing price",IF(C906&lt;=0,"Nonpositive price","OK")))))))))</f>
        <v/>
      </c>
      <c r="I906" s="136"/>
      <c r="J906" s="136"/>
      <c r="K906" s="136"/>
      <c r="L906" s="136"/>
      <c r="M906" s="136"/>
      <c r="N906" s="136" t="e">
        <f t="shared" si="40"/>
        <v>#N/A</v>
      </c>
      <c r="O906" s="136" t="e">
        <f t="shared" si="41"/>
        <v>#N/A</v>
      </c>
    </row>
    <row r="907" spans="1:15" ht="22" customHeight="1" x14ac:dyDescent="0.35">
      <c r="A907" s="136">
        <v>863</v>
      </c>
      <c r="B907" s="165" t="str">
        <f>IF($A907&gt;MIN($A$10,$A$2),"",INDEX(DemoHistory[Date],$A907))</f>
        <v/>
      </c>
      <c r="C907" s="166" t="str">
        <f>IF(OR($A907&gt;MIN($A$10,$A$2),$A$5=""),"",INDEX(DemoHistory[],$A907,MATCH($A$5,DemoHistory[#Headers],0)))</f>
        <v/>
      </c>
      <c r="D907" s="166" t="str">
        <f>IF($A907&gt;MIN($A$10,$A$2),"",IF(AND($A$12,$A$6=1,B907&lt;$A$7,$A$7&lt;=MAX(DemoHistory[Date])),$A$8,1))</f>
        <v/>
      </c>
      <c r="E907" s="166" t="str">
        <f t="shared" si="39"/>
        <v/>
      </c>
      <c r="F907" s="166" t="str">
        <f>IF($A907&gt;MIN($A$10,$A$2),"",IF($A907&lt;50,"n.a.",IF(COUNT(INDEX(StockDaily[Adjusted close],MAX(1,$A907-50+1)):E907)=50,AVERAGE(INDEX(StockDaily[Adjusted close],MAX(1,$A907-50+1)):E907),"n.a.")))</f>
        <v/>
      </c>
      <c r="G907" s="166" t="str">
        <f>IF($A907&gt;MIN($A$10,$A$2),"",IF($A907&lt;200,"n.a.",IF(COUNT(INDEX(StockDaily[Adjusted close],MAX(1,$A907-200+1)):E907)=200,AVERAGE(INDEX(StockDaily[Adjusted close],MAX(1,$A907-200+1)):E907),"n.a.")))</f>
        <v/>
      </c>
      <c r="H907" s="136" t="str">
        <f>IF($A907&gt;MIN($A$10,$A$2),"",IF($A$5="","Choose stock",IF(NOT($A$12),"Check split rule",IF(NOT(ISNUMBER(B907)),"Invalid date",IF(OR(B907&lt;=0,B907&lt;&gt;INT(B907)),"Invalid date",IF(COUNTIFS(DemoHistory[Date],B907)&lt;&gt;1,"Duplicate date",IF(AND($A907&gt;1,B907&lt;=B906),"Dates out of order",IF(NOT(ISNUMBER(C907)),"Missing price",IF(C907&lt;=0,"Nonpositive price","OK")))))))))</f>
        <v/>
      </c>
      <c r="I907" s="136"/>
      <c r="J907" s="136"/>
      <c r="K907" s="136"/>
      <c r="L907" s="136"/>
      <c r="M907" s="136"/>
      <c r="N907" s="136" t="e">
        <f t="shared" si="40"/>
        <v>#N/A</v>
      </c>
      <c r="O907" s="136" t="e">
        <f t="shared" si="41"/>
        <v>#N/A</v>
      </c>
    </row>
    <row r="908" spans="1:15" ht="22" customHeight="1" x14ac:dyDescent="0.35">
      <c r="A908" s="136">
        <v>864</v>
      </c>
      <c r="B908" s="165" t="str">
        <f>IF($A908&gt;MIN($A$10,$A$2),"",INDEX(DemoHistory[Date],$A908))</f>
        <v/>
      </c>
      <c r="C908" s="166" t="str">
        <f>IF(OR($A908&gt;MIN($A$10,$A$2),$A$5=""),"",INDEX(DemoHistory[],$A908,MATCH($A$5,DemoHistory[#Headers],0)))</f>
        <v/>
      </c>
      <c r="D908" s="166" t="str">
        <f>IF($A908&gt;MIN($A$10,$A$2),"",IF(AND($A$12,$A$6=1,B908&lt;$A$7,$A$7&lt;=MAX(DemoHistory[Date])),$A$8,1))</f>
        <v/>
      </c>
      <c r="E908" s="166" t="str">
        <f t="shared" si="39"/>
        <v/>
      </c>
      <c r="F908" s="166" t="str">
        <f>IF($A908&gt;MIN($A$10,$A$2),"",IF($A908&lt;50,"n.a.",IF(COUNT(INDEX(StockDaily[Adjusted close],MAX(1,$A908-50+1)):E908)=50,AVERAGE(INDEX(StockDaily[Adjusted close],MAX(1,$A908-50+1)):E908),"n.a.")))</f>
        <v/>
      </c>
      <c r="G908" s="166" t="str">
        <f>IF($A908&gt;MIN($A$10,$A$2),"",IF($A908&lt;200,"n.a.",IF(COUNT(INDEX(StockDaily[Adjusted close],MAX(1,$A908-200+1)):E908)=200,AVERAGE(INDEX(StockDaily[Adjusted close],MAX(1,$A908-200+1)):E908),"n.a.")))</f>
        <v/>
      </c>
      <c r="H908" s="136" t="str">
        <f>IF($A908&gt;MIN($A$10,$A$2),"",IF($A$5="","Choose stock",IF(NOT($A$12),"Check split rule",IF(NOT(ISNUMBER(B908)),"Invalid date",IF(OR(B908&lt;=0,B908&lt;&gt;INT(B908)),"Invalid date",IF(COUNTIFS(DemoHistory[Date],B908)&lt;&gt;1,"Duplicate date",IF(AND($A908&gt;1,B908&lt;=B907),"Dates out of order",IF(NOT(ISNUMBER(C908)),"Missing price",IF(C908&lt;=0,"Nonpositive price","OK")))))))))</f>
        <v/>
      </c>
      <c r="I908" s="136"/>
      <c r="J908" s="136"/>
      <c r="K908" s="136"/>
      <c r="L908" s="136"/>
      <c r="M908" s="136"/>
      <c r="N908" s="136" t="e">
        <f t="shared" si="40"/>
        <v>#N/A</v>
      </c>
      <c r="O908" s="136" t="e">
        <f t="shared" si="41"/>
        <v>#N/A</v>
      </c>
    </row>
    <row r="909" spans="1:15" ht="22" customHeight="1" x14ac:dyDescent="0.35">
      <c r="A909" s="136">
        <v>865</v>
      </c>
      <c r="B909" s="165" t="str">
        <f>IF($A909&gt;MIN($A$10,$A$2),"",INDEX(DemoHistory[Date],$A909))</f>
        <v/>
      </c>
      <c r="C909" s="166" t="str">
        <f>IF(OR($A909&gt;MIN($A$10,$A$2),$A$5=""),"",INDEX(DemoHistory[],$A909,MATCH($A$5,DemoHistory[#Headers],0)))</f>
        <v/>
      </c>
      <c r="D909" s="166" t="str">
        <f>IF($A909&gt;MIN($A$10,$A$2),"",IF(AND($A$12,$A$6=1,B909&lt;$A$7,$A$7&lt;=MAX(DemoHistory[Date])),$A$8,1))</f>
        <v/>
      </c>
      <c r="E909" s="166" t="str">
        <f t="shared" si="39"/>
        <v/>
      </c>
      <c r="F909" s="166" t="str">
        <f>IF($A909&gt;MIN($A$10,$A$2),"",IF($A909&lt;50,"n.a.",IF(COUNT(INDEX(StockDaily[Adjusted close],MAX(1,$A909-50+1)):E909)=50,AVERAGE(INDEX(StockDaily[Adjusted close],MAX(1,$A909-50+1)):E909),"n.a.")))</f>
        <v/>
      </c>
      <c r="G909" s="166" t="str">
        <f>IF($A909&gt;MIN($A$10,$A$2),"",IF($A909&lt;200,"n.a.",IF(COUNT(INDEX(StockDaily[Adjusted close],MAX(1,$A909-200+1)):E909)=200,AVERAGE(INDEX(StockDaily[Adjusted close],MAX(1,$A909-200+1)):E909),"n.a.")))</f>
        <v/>
      </c>
      <c r="H909" s="136" t="str">
        <f>IF($A909&gt;MIN($A$10,$A$2),"",IF($A$5="","Choose stock",IF(NOT($A$12),"Check split rule",IF(NOT(ISNUMBER(B909)),"Invalid date",IF(OR(B909&lt;=0,B909&lt;&gt;INT(B909)),"Invalid date",IF(COUNTIFS(DemoHistory[Date],B909)&lt;&gt;1,"Duplicate date",IF(AND($A909&gt;1,B909&lt;=B908),"Dates out of order",IF(NOT(ISNUMBER(C909)),"Missing price",IF(C909&lt;=0,"Nonpositive price","OK")))))))))</f>
        <v/>
      </c>
      <c r="I909" s="136"/>
      <c r="J909" s="136"/>
      <c r="K909" s="136"/>
      <c r="L909" s="136"/>
      <c r="M909" s="136"/>
      <c r="N909" s="136" t="e">
        <f t="shared" si="40"/>
        <v>#N/A</v>
      </c>
      <c r="O909" s="136" t="e">
        <f t="shared" si="41"/>
        <v>#N/A</v>
      </c>
    </row>
    <row r="910" spans="1:15" ht="22" customHeight="1" x14ac:dyDescent="0.35">
      <c r="A910" s="136">
        <v>866</v>
      </c>
      <c r="B910" s="165" t="str">
        <f>IF($A910&gt;MIN($A$10,$A$2),"",INDEX(DemoHistory[Date],$A910))</f>
        <v/>
      </c>
      <c r="C910" s="166" t="str">
        <f>IF(OR($A910&gt;MIN($A$10,$A$2),$A$5=""),"",INDEX(DemoHistory[],$A910,MATCH($A$5,DemoHistory[#Headers],0)))</f>
        <v/>
      </c>
      <c r="D910" s="166" t="str">
        <f>IF($A910&gt;MIN($A$10,$A$2),"",IF(AND($A$12,$A$6=1,B910&lt;$A$7,$A$7&lt;=MAX(DemoHistory[Date])),$A$8,1))</f>
        <v/>
      </c>
      <c r="E910" s="166" t="str">
        <f t="shared" si="39"/>
        <v/>
      </c>
      <c r="F910" s="166" t="str">
        <f>IF($A910&gt;MIN($A$10,$A$2),"",IF($A910&lt;50,"n.a.",IF(COUNT(INDEX(StockDaily[Adjusted close],MAX(1,$A910-50+1)):E910)=50,AVERAGE(INDEX(StockDaily[Adjusted close],MAX(1,$A910-50+1)):E910),"n.a.")))</f>
        <v/>
      </c>
      <c r="G910" s="166" t="str">
        <f>IF($A910&gt;MIN($A$10,$A$2),"",IF($A910&lt;200,"n.a.",IF(COUNT(INDEX(StockDaily[Adjusted close],MAX(1,$A910-200+1)):E910)=200,AVERAGE(INDEX(StockDaily[Adjusted close],MAX(1,$A910-200+1)):E910),"n.a.")))</f>
        <v/>
      </c>
      <c r="H910" s="136" t="str">
        <f>IF($A910&gt;MIN($A$10,$A$2),"",IF($A$5="","Choose stock",IF(NOT($A$12),"Check split rule",IF(NOT(ISNUMBER(B910)),"Invalid date",IF(OR(B910&lt;=0,B910&lt;&gt;INT(B910)),"Invalid date",IF(COUNTIFS(DemoHistory[Date],B910)&lt;&gt;1,"Duplicate date",IF(AND($A910&gt;1,B910&lt;=B909),"Dates out of order",IF(NOT(ISNUMBER(C910)),"Missing price",IF(C910&lt;=0,"Nonpositive price","OK")))))))))</f>
        <v/>
      </c>
      <c r="I910" s="136"/>
      <c r="J910" s="136"/>
      <c r="K910" s="136"/>
      <c r="L910" s="136"/>
      <c r="M910" s="136"/>
      <c r="N910" s="136" t="e">
        <f t="shared" si="40"/>
        <v>#N/A</v>
      </c>
      <c r="O910" s="136" t="e">
        <f t="shared" si="41"/>
        <v>#N/A</v>
      </c>
    </row>
    <row r="911" spans="1:15" ht="22" customHeight="1" x14ac:dyDescent="0.35">
      <c r="A911" s="136">
        <v>867</v>
      </c>
      <c r="B911" s="165" t="str">
        <f>IF($A911&gt;MIN($A$10,$A$2),"",INDEX(DemoHistory[Date],$A911))</f>
        <v/>
      </c>
      <c r="C911" s="166" t="str">
        <f>IF(OR($A911&gt;MIN($A$10,$A$2),$A$5=""),"",INDEX(DemoHistory[],$A911,MATCH($A$5,DemoHistory[#Headers],0)))</f>
        <v/>
      </c>
      <c r="D911" s="166" t="str">
        <f>IF($A911&gt;MIN($A$10,$A$2),"",IF(AND($A$12,$A$6=1,B911&lt;$A$7,$A$7&lt;=MAX(DemoHistory[Date])),$A$8,1))</f>
        <v/>
      </c>
      <c r="E911" s="166" t="str">
        <f t="shared" si="39"/>
        <v/>
      </c>
      <c r="F911" s="166" t="str">
        <f>IF($A911&gt;MIN($A$10,$A$2),"",IF($A911&lt;50,"n.a.",IF(COUNT(INDEX(StockDaily[Adjusted close],MAX(1,$A911-50+1)):E911)=50,AVERAGE(INDEX(StockDaily[Adjusted close],MAX(1,$A911-50+1)):E911),"n.a.")))</f>
        <v/>
      </c>
      <c r="G911" s="166" t="str">
        <f>IF($A911&gt;MIN($A$10,$A$2),"",IF($A911&lt;200,"n.a.",IF(COUNT(INDEX(StockDaily[Adjusted close],MAX(1,$A911-200+1)):E911)=200,AVERAGE(INDEX(StockDaily[Adjusted close],MAX(1,$A911-200+1)):E911),"n.a.")))</f>
        <v/>
      </c>
      <c r="H911" s="136" t="str">
        <f>IF($A911&gt;MIN($A$10,$A$2),"",IF($A$5="","Choose stock",IF(NOT($A$12),"Check split rule",IF(NOT(ISNUMBER(B911)),"Invalid date",IF(OR(B911&lt;=0,B911&lt;&gt;INT(B911)),"Invalid date",IF(COUNTIFS(DemoHistory[Date],B911)&lt;&gt;1,"Duplicate date",IF(AND($A911&gt;1,B911&lt;=B910),"Dates out of order",IF(NOT(ISNUMBER(C911)),"Missing price",IF(C911&lt;=0,"Nonpositive price","OK")))))))))</f>
        <v/>
      </c>
      <c r="I911" s="136"/>
      <c r="J911" s="136"/>
      <c r="K911" s="136"/>
      <c r="L911" s="136"/>
      <c r="M911" s="136"/>
      <c r="N911" s="136" t="e">
        <f t="shared" si="40"/>
        <v>#N/A</v>
      </c>
      <c r="O911" s="136" t="e">
        <f t="shared" si="41"/>
        <v>#N/A</v>
      </c>
    </row>
    <row r="912" spans="1:15" ht="22" customHeight="1" x14ac:dyDescent="0.35">
      <c r="A912" s="136">
        <v>868</v>
      </c>
      <c r="B912" s="165" t="str">
        <f>IF($A912&gt;MIN($A$10,$A$2),"",INDEX(DemoHistory[Date],$A912))</f>
        <v/>
      </c>
      <c r="C912" s="166" t="str">
        <f>IF(OR($A912&gt;MIN($A$10,$A$2),$A$5=""),"",INDEX(DemoHistory[],$A912,MATCH($A$5,DemoHistory[#Headers],0)))</f>
        <v/>
      </c>
      <c r="D912" s="166" t="str">
        <f>IF($A912&gt;MIN($A$10,$A$2),"",IF(AND($A$12,$A$6=1,B912&lt;$A$7,$A$7&lt;=MAX(DemoHistory[Date])),$A$8,1))</f>
        <v/>
      </c>
      <c r="E912" s="166" t="str">
        <f t="shared" si="39"/>
        <v/>
      </c>
      <c r="F912" s="166" t="str">
        <f>IF($A912&gt;MIN($A$10,$A$2),"",IF($A912&lt;50,"n.a.",IF(COUNT(INDEX(StockDaily[Adjusted close],MAX(1,$A912-50+1)):E912)=50,AVERAGE(INDEX(StockDaily[Adjusted close],MAX(1,$A912-50+1)):E912),"n.a.")))</f>
        <v/>
      </c>
      <c r="G912" s="166" t="str">
        <f>IF($A912&gt;MIN($A$10,$A$2),"",IF($A912&lt;200,"n.a.",IF(COUNT(INDEX(StockDaily[Adjusted close],MAX(1,$A912-200+1)):E912)=200,AVERAGE(INDEX(StockDaily[Adjusted close],MAX(1,$A912-200+1)):E912),"n.a.")))</f>
        <v/>
      </c>
      <c r="H912" s="136" t="str">
        <f>IF($A912&gt;MIN($A$10,$A$2),"",IF($A$5="","Choose stock",IF(NOT($A$12),"Check split rule",IF(NOT(ISNUMBER(B912)),"Invalid date",IF(OR(B912&lt;=0,B912&lt;&gt;INT(B912)),"Invalid date",IF(COUNTIFS(DemoHistory[Date],B912)&lt;&gt;1,"Duplicate date",IF(AND($A912&gt;1,B912&lt;=B911),"Dates out of order",IF(NOT(ISNUMBER(C912)),"Missing price",IF(C912&lt;=0,"Nonpositive price","OK")))))))))</f>
        <v/>
      </c>
      <c r="I912" s="136"/>
      <c r="J912" s="136"/>
      <c r="K912" s="136"/>
      <c r="L912" s="136"/>
      <c r="M912" s="136"/>
      <c r="N912" s="136" t="e">
        <f t="shared" si="40"/>
        <v>#N/A</v>
      </c>
      <c r="O912" s="136" t="e">
        <f t="shared" si="41"/>
        <v>#N/A</v>
      </c>
    </row>
    <row r="913" spans="1:15" ht="22" customHeight="1" x14ac:dyDescent="0.35">
      <c r="A913" s="136">
        <v>869</v>
      </c>
      <c r="B913" s="165" t="str">
        <f>IF($A913&gt;MIN($A$10,$A$2),"",INDEX(DemoHistory[Date],$A913))</f>
        <v/>
      </c>
      <c r="C913" s="166" t="str">
        <f>IF(OR($A913&gt;MIN($A$10,$A$2),$A$5=""),"",INDEX(DemoHistory[],$A913,MATCH($A$5,DemoHistory[#Headers],0)))</f>
        <v/>
      </c>
      <c r="D913" s="166" t="str">
        <f>IF($A913&gt;MIN($A$10,$A$2),"",IF(AND($A$12,$A$6=1,B913&lt;$A$7,$A$7&lt;=MAX(DemoHistory[Date])),$A$8,1))</f>
        <v/>
      </c>
      <c r="E913" s="166" t="str">
        <f t="shared" si="39"/>
        <v/>
      </c>
      <c r="F913" s="166" t="str">
        <f>IF($A913&gt;MIN($A$10,$A$2),"",IF($A913&lt;50,"n.a.",IF(COUNT(INDEX(StockDaily[Adjusted close],MAX(1,$A913-50+1)):E913)=50,AVERAGE(INDEX(StockDaily[Adjusted close],MAX(1,$A913-50+1)):E913),"n.a.")))</f>
        <v/>
      </c>
      <c r="G913" s="166" t="str">
        <f>IF($A913&gt;MIN($A$10,$A$2),"",IF($A913&lt;200,"n.a.",IF(COUNT(INDEX(StockDaily[Adjusted close],MAX(1,$A913-200+1)):E913)=200,AVERAGE(INDEX(StockDaily[Adjusted close],MAX(1,$A913-200+1)):E913),"n.a.")))</f>
        <v/>
      </c>
      <c r="H913" s="136" t="str">
        <f>IF($A913&gt;MIN($A$10,$A$2),"",IF($A$5="","Choose stock",IF(NOT($A$12),"Check split rule",IF(NOT(ISNUMBER(B913)),"Invalid date",IF(OR(B913&lt;=0,B913&lt;&gt;INT(B913)),"Invalid date",IF(COUNTIFS(DemoHistory[Date],B913)&lt;&gt;1,"Duplicate date",IF(AND($A913&gt;1,B913&lt;=B912),"Dates out of order",IF(NOT(ISNUMBER(C913)),"Missing price",IF(C913&lt;=0,"Nonpositive price","OK")))))))))</f>
        <v/>
      </c>
      <c r="I913" s="136"/>
      <c r="J913" s="136"/>
      <c r="K913" s="136"/>
      <c r="L913" s="136"/>
      <c r="M913" s="136"/>
      <c r="N913" s="136" t="e">
        <f t="shared" si="40"/>
        <v>#N/A</v>
      </c>
      <c r="O913" s="136" t="e">
        <f t="shared" si="41"/>
        <v>#N/A</v>
      </c>
    </row>
    <row r="914" spans="1:15" ht="22" customHeight="1" x14ac:dyDescent="0.35">
      <c r="A914" s="136">
        <v>870</v>
      </c>
      <c r="B914" s="165" t="str">
        <f>IF($A914&gt;MIN($A$10,$A$2),"",INDEX(DemoHistory[Date],$A914))</f>
        <v/>
      </c>
      <c r="C914" s="166" t="str">
        <f>IF(OR($A914&gt;MIN($A$10,$A$2),$A$5=""),"",INDEX(DemoHistory[],$A914,MATCH($A$5,DemoHistory[#Headers],0)))</f>
        <v/>
      </c>
      <c r="D914" s="166" t="str">
        <f>IF($A914&gt;MIN($A$10,$A$2),"",IF(AND($A$12,$A$6=1,B914&lt;$A$7,$A$7&lt;=MAX(DemoHistory[Date])),$A$8,1))</f>
        <v/>
      </c>
      <c r="E914" s="166" t="str">
        <f t="shared" si="39"/>
        <v/>
      </c>
      <c r="F914" s="166" t="str">
        <f>IF($A914&gt;MIN($A$10,$A$2),"",IF($A914&lt;50,"n.a.",IF(COUNT(INDEX(StockDaily[Adjusted close],MAX(1,$A914-50+1)):E914)=50,AVERAGE(INDEX(StockDaily[Adjusted close],MAX(1,$A914-50+1)):E914),"n.a.")))</f>
        <v/>
      </c>
      <c r="G914" s="166" t="str">
        <f>IF($A914&gt;MIN($A$10,$A$2),"",IF($A914&lt;200,"n.a.",IF(COUNT(INDEX(StockDaily[Adjusted close],MAX(1,$A914-200+1)):E914)=200,AVERAGE(INDEX(StockDaily[Adjusted close],MAX(1,$A914-200+1)):E914),"n.a.")))</f>
        <v/>
      </c>
      <c r="H914" s="136" t="str">
        <f>IF($A914&gt;MIN($A$10,$A$2),"",IF($A$5="","Choose stock",IF(NOT($A$12),"Check split rule",IF(NOT(ISNUMBER(B914)),"Invalid date",IF(OR(B914&lt;=0,B914&lt;&gt;INT(B914)),"Invalid date",IF(COUNTIFS(DemoHistory[Date],B914)&lt;&gt;1,"Duplicate date",IF(AND($A914&gt;1,B914&lt;=B913),"Dates out of order",IF(NOT(ISNUMBER(C914)),"Missing price",IF(C914&lt;=0,"Nonpositive price","OK")))))))))</f>
        <v/>
      </c>
      <c r="I914" s="136"/>
      <c r="J914" s="136"/>
      <c r="K914" s="136"/>
      <c r="L914" s="136"/>
      <c r="M914" s="136"/>
      <c r="N914" s="136" t="e">
        <f t="shared" si="40"/>
        <v>#N/A</v>
      </c>
      <c r="O914" s="136" t="e">
        <f t="shared" si="41"/>
        <v>#N/A</v>
      </c>
    </row>
    <row r="915" spans="1:15" ht="22" customHeight="1" x14ac:dyDescent="0.35">
      <c r="A915" s="136">
        <v>871</v>
      </c>
      <c r="B915" s="165" t="str">
        <f>IF($A915&gt;MIN($A$10,$A$2),"",INDEX(DemoHistory[Date],$A915))</f>
        <v/>
      </c>
      <c r="C915" s="166" t="str">
        <f>IF(OR($A915&gt;MIN($A$10,$A$2),$A$5=""),"",INDEX(DemoHistory[],$A915,MATCH($A$5,DemoHistory[#Headers],0)))</f>
        <v/>
      </c>
      <c r="D915" s="166" t="str">
        <f>IF($A915&gt;MIN($A$10,$A$2),"",IF(AND($A$12,$A$6=1,B915&lt;$A$7,$A$7&lt;=MAX(DemoHistory[Date])),$A$8,1))</f>
        <v/>
      </c>
      <c r="E915" s="166" t="str">
        <f t="shared" si="39"/>
        <v/>
      </c>
      <c r="F915" s="166" t="str">
        <f>IF($A915&gt;MIN($A$10,$A$2),"",IF($A915&lt;50,"n.a.",IF(COUNT(INDEX(StockDaily[Adjusted close],MAX(1,$A915-50+1)):E915)=50,AVERAGE(INDEX(StockDaily[Adjusted close],MAX(1,$A915-50+1)):E915),"n.a.")))</f>
        <v/>
      </c>
      <c r="G915" s="166" t="str">
        <f>IF($A915&gt;MIN($A$10,$A$2),"",IF($A915&lt;200,"n.a.",IF(COUNT(INDEX(StockDaily[Adjusted close],MAX(1,$A915-200+1)):E915)=200,AVERAGE(INDEX(StockDaily[Adjusted close],MAX(1,$A915-200+1)):E915),"n.a.")))</f>
        <v/>
      </c>
      <c r="H915" s="136" t="str">
        <f>IF($A915&gt;MIN($A$10,$A$2),"",IF($A$5="","Choose stock",IF(NOT($A$12),"Check split rule",IF(NOT(ISNUMBER(B915)),"Invalid date",IF(OR(B915&lt;=0,B915&lt;&gt;INT(B915)),"Invalid date",IF(COUNTIFS(DemoHistory[Date],B915)&lt;&gt;1,"Duplicate date",IF(AND($A915&gt;1,B915&lt;=B914),"Dates out of order",IF(NOT(ISNUMBER(C915)),"Missing price",IF(C915&lt;=0,"Nonpositive price","OK")))))))))</f>
        <v/>
      </c>
      <c r="I915" s="136"/>
      <c r="J915" s="136"/>
      <c r="K915" s="136"/>
      <c r="L915" s="136"/>
      <c r="M915" s="136"/>
      <c r="N915" s="136" t="e">
        <f t="shared" si="40"/>
        <v>#N/A</v>
      </c>
      <c r="O915" s="136" t="e">
        <f t="shared" si="41"/>
        <v>#N/A</v>
      </c>
    </row>
    <row r="916" spans="1:15" ht="22" customHeight="1" x14ac:dyDescent="0.35">
      <c r="A916" s="136">
        <v>872</v>
      </c>
      <c r="B916" s="165" t="str">
        <f>IF($A916&gt;MIN($A$10,$A$2),"",INDEX(DemoHistory[Date],$A916))</f>
        <v/>
      </c>
      <c r="C916" s="166" t="str">
        <f>IF(OR($A916&gt;MIN($A$10,$A$2),$A$5=""),"",INDEX(DemoHistory[],$A916,MATCH($A$5,DemoHistory[#Headers],0)))</f>
        <v/>
      </c>
      <c r="D916" s="166" t="str">
        <f>IF($A916&gt;MIN($A$10,$A$2),"",IF(AND($A$12,$A$6=1,B916&lt;$A$7,$A$7&lt;=MAX(DemoHistory[Date])),$A$8,1))</f>
        <v/>
      </c>
      <c r="E916" s="166" t="str">
        <f t="shared" si="39"/>
        <v/>
      </c>
      <c r="F916" s="166" t="str">
        <f>IF($A916&gt;MIN($A$10,$A$2),"",IF($A916&lt;50,"n.a.",IF(COUNT(INDEX(StockDaily[Adjusted close],MAX(1,$A916-50+1)):E916)=50,AVERAGE(INDEX(StockDaily[Adjusted close],MAX(1,$A916-50+1)):E916),"n.a.")))</f>
        <v/>
      </c>
      <c r="G916" s="166" t="str">
        <f>IF($A916&gt;MIN($A$10,$A$2),"",IF($A916&lt;200,"n.a.",IF(COUNT(INDEX(StockDaily[Adjusted close],MAX(1,$A916-200+1)):E916)=200,AVERAGE(INDEX(StockDaily[Adjusted close],MAX(1,$A916-200+1)):E916),"n.a.")))</f>
        <v/>
      </c>
      <c r="H916" s="136" t="str">
        <f>IF($A916&gt;MIN($A$10,$A$2),"",IF($A$5="","Choose stock",IF(NOT($A$12),"Check split rule",IF(NOT(ISNUMBER(B916)),"Invalid date",IF(OR(B916&lt;=0,B916&lt;&gt;INT(B916)),"Invalid date",IF(COUNTIFS(DemoHistory[Date],B916)&lt;&gt;1,"Duplicate date",IF(AND($A916&gt;1,B916&lt;=B915),"Dates out of order",IF(NOT(ISNUMBER(C916)),"Missing price",IF(C916&lt;=0,"Nonpositive price","OK")))))))))</f>
        <v/>
      </c>
      <c r="I916" s="136"/>
      <c r="J916" s="136"/>
      <c r="K916" s="136"/>
      <c r="L916" s="136"/>
      <c r="M916" s="136"/>
      <c r="N916" s="136" t="e">
        <f t="shared" si="40"/>
        <v>#N/A</v>
      </c>
      <c r="O916" s="136" t="e">
        <f t="shared" si="41"/>
        <v>#N/A</v>
      </c>
    </row>
    <row r="917" spans="1:15" ht="22" customHeight="1" x14ac:dyDescent="0.35">
      <c r="A917" s="136">
        <v>873</v>
      </c>
      <c r="B917" s="165" t="str">
        <f>IF($A917&gt;MIN($A$10,$A$2),"",INDEX(DemoHistory[Date],$A917))</f>
        <v/>
      </c>
      <c r="C917" s="166" t="str">
        <f>IF(OR($A917&gt;MIN($A$10,$A$2),$A$5=""),"",INDEX(DemoHistory[],$A917,MATCH($A$5,DemoHistory[#Headers],0)))</f>
        <v/>
      </c>
      <c r="D917" s="166" t="str">
        <f>IF($A917&gt;MIN($A$10,$A$2),"",IF(AND($A$12,$A$6=1,B917&lt;$A$7,$A$7&lt;=MAX(DemoHistory[Date])),$A$8,1))</f>
        <v/>
      </c>
      <c r="E917" s="166" t="str">
        <f t="shared" si="39"/>
        <v/>
      </c>
      <c r="F917" s="166" t="str">
        <f>IF($A917&gt;MIN($A$10,$A$2),"",IF($A917&lt;50,"n.a.",IF(COUNT(INDEX(StockDaily[Adjusted close],MAX(1,$A917-50+1)):E917)=50,AVERAGE(INDEX(StockDaily[Adjusted close],MAX(1,$A917-50+1)):E917),"n.a.")))</f>
        <v/>
      </c>
      <c r="G917" s="166" t="str">
        <f>IF($A917&gt;MIN($A$10,$A$2),"",IF($A917&lt;200,"n.a.",IF(COUNT(INDEX(StockDaily[Adjusted close],MAX(1,$A917-200+1)):E917)=200,AVERAGE(INDEX(StockDaily[Adjusted close],MAX(1,$A917-200+1)):E917),"n.a.")))</f>
        <v/>
      </c>
      <c r="H917" s="136" t="str">
        <f>IF($A917&gt;MIN($A$10,$A$2),"",IF($A$5="","Choose stock",IF(NOT($A$12),"Check split rule",IF(NOT(ISNUMBER(B917)),"Invalid date",IF(OR(B917&lt;=0,B917&lt;&gt;INT(B917)),"Invalid date",IF(COUNTIFS(DemoHistory[Date],B917)&lt;&gt;1,"Duplicate date",IF(AND($A917&gt;1,B917&lt;=B916),"Dates out of order",IF(NOT(ISNUMBER(C917)),"Missing price",IF(C917&lt;=0,"Nonpositive price","OK")))))))))</f>
        <v/>
      </c>
      <c r="I917" s="136"/>
      <c r="J917" s="136"/>
      <c r="K917" s="136"/>
      <c r="L917" s="136"/>
      <c r="M917" s="136"/>
      <c r="N917" s="136" t="e">
        <f t="shared" si="40"/>
        <v>#N/A</v>
      </c>
      <c r="O917" s="136" t="e">
        <f t="shared" si="41"/>
        <v>#N/A</v>
      </c>
    </row>
    <row r="918" spans="1:15" ht="22" customHeight="1" x14ac:dyDescent="0.35">
      <c r="A918" s="136">
        <v>874</v>
      </c>
      <c r="B918" s="165" t="str">
        <f>IF($A918&gt;MIN($A$10,$A$2),"",INDEX(DemoHistory[Date],$A918))</f>
        <v/>
      </c>
      <c r="C918" s="166" t="str">
        <f>IF(OR($A918&gt;MIN($A$10,$A$2),$A$5=""),"",INDEX(DemoHistory[],$A918,MATCH($A$5,DemoHistory[#Headers],0)))</f>
        <v/>
      </c>
      <c r="D918" s="166" t="str">
        <f>IF($A918&gt;MIN($A$10,$A$2),"",IF(AND($A$12,$A$6=1,B918&lt;$A$7,$A$7&lt;=MAX(DemoHistory[Date])),$A$8,1))</f>
        <v/>
      </c>
      <c r="E918" s="166" t="str">
        <f t="shared" si="39"/>
        <v/>
      </c>
      <c r="F918" s="166" t="str">
        <f>IF($A918&gt;MIN($A$10,$A$2),"",IF($A918&lt;50,"n.a.",IF(COUNT(INDEX(StockDaily[Adjusted close],MAX(1,$A918-50+1)):E918)=50,AVERAGE(INDEX(StockDaily[Adjusted close],MAX(1,$A918-50+1)):E918),"n.a.")))</f>
        <v/>
      </c>
      <c r="G918" s="166" t="str">
        <f>IF($A918&gt;MIN($A$10,$A$2),"",IF($A918&lt;200,"n.a.",IF(COUNT(INDEX(StockDaily[Adjusted close],MAX(1,$A918-200+1)):E918)=200,AVERAGE(INDEX(StockDaily[Adjusted close],MAX(1,$A918-200+1)):E918),"n.a.")))</f>
        <v/>
      </c>
      <c r="H918" s="136" t="str">
        <f>IF($A918&gt;MIN($A$10,$A$2),"",IF($A$5="","Choose stock",IF(NOT($A$12),"Check split rule",IF(NOT(ISNUMBER(B918)),"Invalid date",IF(OR(B918&lt;=0,B918&lt;&gt;INT(B918)),"Invalid date",IF(COUNTIFS(DemoHistory[Date],B918)&lt;&gt;1,"Duplicate date",IF(AND($A918&gt;1,B918&lt;=B917),"Dates out of order",IF(NOT(ISNUMBER(C918)),"Missing price",IF(C918&lt;=0,"Nonpositive price","OK")))))))))</f>
        <v/>
      </c>
      <c r="I918" s="136"/>
      <c r="J918" s="136"/>
      <c r="K918" s="136"/>
      <c r="L918" s="136"/>
      <c r="M918" s="136"/>
      <c r="N918" s="136" t="e">
        <f t="shared" si="40"/>
        <v>#N/A</v>
      </c>
      <c r="O918" s="136" t="e">
        <f t="shared" si="41"/>
        <v>#N/A</v>
      </c>
    </row>
    <row r="919" spans="1:15" ht="22" customHeight="1" x14ac:dyDescent="0.35">
      <c r="A919" s="136">
        <v>875</v>
      </c>
      <c r="B919" s="165" t="str">
        <f>IF($A919&gt;MIN($A$10,$A$2),"",INDEX(DemoHistory[Date],$A919))</f>
        <v/>
      </c>
      <c r="C919" s="166" t="str">
        <f>IF(OR($A919&gt;MIN($A$10,$A$2),$A$5=""),"",INDEX(DemoHistory[],$A919,MATCH($A$5,DemoHistory[#Headers],0)))</f>
        <v/>
      </c>
      <c r="D919" s="166" t="str">
        <f>IF($A919&gt;MIN($A$10,$A$2),"",IF(AND($A$12,$A$6=1,B919&lt;$A$7,$A$7&lt;=MAX(DemoHistory[Date])),$A$8,1))</f>
        <v/>
      </c>
      <c r="E919" s="166" t="str">
        <f t="shared" si="39"/>
        <v/>
      </c>
      <c r="F919" s="166" t="str">
        <f>IF($A919&gt;MIN($A$10,$A$2),"",IF($A919&lt;50,"n.a.",IF(COUNT(INDEX(StockDaily[Adjusted close],MAX(1,$A919-50+1)):E919)=50,AVERAGE(INDEX(StockDaily[Adjusted close],MAX(1,$A919-50+1)):E919),"n.a.")))</f>
        <v/>
      </c>
      <c r="G919" s="166" t="str">
        <f>IF($A919&gt;MIN($A$10,$A$2),"",IF($A919&lt;200,"n.a.",IF(COUNT(INDEX(StockDaily[Adjusted close],MAX(1,$A919-200+1)):E919)=200,AVERAGE(INDEX(StockDaily[Adjusted close],MAX(1,$A919-200+1)):E919),"n.a.")))</f>
        <v/>
      </c>
      <c r="H919" s="136" t="str">
        <f>IF($A919&gt;MIN($A$10,$A$2),"",IF($A$5="","Choose stock",IF(NOT($A$12),"Check split rule",IF(NOT(ISNUMBER(B919)),"Invalid date",IF(OR(B919&lt;=0,B919&lt;&gt;INT(B919)),"Invalid date",IF(COUNTIFS(DemoHistory[Date],B919)&lt;&gt;1,"Duplicate date",IF(AND($A919&gt;1,B919&lt;=B918),"Dates out of order",IF(NOT(ISNUMBER(C919)),"Missing price",IF(C919&lt;=0,"Nonpositive price","OK")))))))))</f>
        <v/>
      </c>
      <c r="I919" s="136"/>
      <c r="J919" s="136"/>
      <c r="K919" s="136"/>
      <c r="L919" s="136"/>
      <c r="M919" s="136"/>
      <c r="N919" s="136" t="e">
        <f t="shared" si="40"/>
        <v>#N/A</v>
      </c>
      <c r="O919" s="136" t="e">
        <f t="shared" si="41"/>
        <v>#N/A</v>
      </c>
    </row>
    <row r="920" spans="1:15" ht="22" customHeight="1" x14ac:dyDescent="0.35">
      <c r="A920" s="136">
        <v>876</v>
      </c>
      <c r="B920" s="165" t="str">
        <f>IF($A920&gt;MIN($A$10,$A$2),"",INDEX(DemoHistory[Date],$A920))</f>
        <v/>
      </c>
      <c r="C920" s="166" t="str">
        <f>IF(OR($A920&gt;MIN($A$10,$A$2),$A$5=""),"",INDEX(DemoHistory[],$A920,MATCH($A$5,DemoHistory[#Headers],0)))</f>
        <v/>
      </c>
      <c r="D920" s="166" t="str">
        <f>IF($A920&gt;MIN($A$10,$A$2),"",IF(AND($A$12,$A$6=1,B920&lt;$A$7,$A$7&lt;=MAX(DemoHistory[Date])),$A$8,1))</f>
        <v/>
      </c>
      <c r="E920" s="166" t="str">
        <f t="shared" si="39"/>
        <v/>
      </c>
      <c r="F920" s="166" t="str">
        <f>IF($A920&gt;MIN($A$10,$A$2),"",IF($A920&lt;50,"n.a.",IF(COUNT(INDEX(StockDaily[Adjusted close],MAX(1,$A920-50+1)):E920)=50,AVERAGE(INDEX(StockDaily[Adjusted close],MAX(1,$A920-50+1)):E920),"n.a.")))</f>
        <v/>
      </c>
      <c r="G920" s="166" t="str">
        <f>IF($A920&gt;MIN($A$10,$A$2),"",IF($A920&lt;200,"n.a.",IF(COUNT(INDEX(StockDaily[Adjusted close],MAX(1,$A920-200+1)):E920)=200,AVERAGE(INDEX(StockDaily[Adjusted close],MAX(1,$A920-200+1)):E920),"n.a.")))</f>
        <v/>
      </c>
      <c r="H920" s="136" t="str">
        <f>IF($A920&gt;MIN($A$10,$A$2),"",IF($A$5="","Choose stock",IF(NOT($A$12),"Check split rule",IF(NOT(ISNUMBER(B920)),"Invalid date",IF(OR(B920&lt;=0,B920&lt;&gt;INT(B920)),"Invalid date",IF(COUNTIFS(DemoHistory[Date],B920)&lt;&gt;1,"Duplicate date",IF(AND($A920&gt;1,B920&lt;=B919),"Dates out of order",IF(NOT(ISNUMBER(C920)),"Missing price",IF(C920&lt;=0,"Nonpositive price","OK")))))))))</f>
        <v/>
      </c>
      <c r="I920" s="136"/>
      <c r="J920" s="136"/>
      <c r="K920" s="136"/>
      <c r="L920" s="136"/>
      <c r="M920" s="136"/>
      <c r="N920" s="136" t="e">
        <f t="shared" si="40"/>
        <v>#N/A</v>
      </c>
      <c r="O920" s="136" t="e">
        <f t="shared" si="41"/>
        <v>#N/A</v>
      </c>
    </row>
    <row r="921" spans="1:15" ht="22" customHeight="1" x14ac:dyDescent="0.35">
      <c r="A921" s="136">
        <v>877</v>
      </c>
      <c r="B921" s="165" t="str">
        <f>IF($A921&gt;MIN($A$10,$A$2),"",INDEX(DemoHistory[Date],$A921))</f>
        <v/>
      </c>
      <c r="C921" s="166" t="str">
        <f>IF(OR($A921&gt;MIN($A$10,$A$2),$A$5=""),"",INDEX(DemoHistory[],$A921,MATCH($A$5,DemoHistory[#Headers],0)))</f>
        <v/>
      </c>
      <c r="D921" s="166" t="str">
        <f>IF($A921&gt;MIN($A$10,$A$2),"",IF(AND($A$12,$A$6=1,B921&lt;$A$7,$A$7&lt;=MAX(DemoHistory[Date])),$A$8,1))</f>
        <v/>
      </c>
      <c r="E921" s="166" t="str">
        <f t="shared" si="39"/>
        <v/>
      </c>
      <c r="F921" s="166" t="str">
        <f>IF($A921&gt;MIN($A$10,$A$2),"",IF($A921&lt;50,"n.a.",IF(COUNT(INDEX(StockDaily[Adjusted close],MAX(1,$A921-50+1)):E921)=50,AVERAGE(INDEX(StockDaily[Adjusted close],MAX(1,$A921-50+1)):E921),"n.a.")))</f>
        <v/>
      </c>
      <c r="G921" s="166" t="str">
        <f>IF($A921&gt;MIN($A$10,$A$2),"",IF($A921&lt;200,"n.a.",IF(COUNT(INDEX(StockDaily[Adjusted close],MAX(1,$A921-200+1)):E921)=200,AVERAGE(INDEX(StockDaily[Adjusted close],MAX(1,$A921-200+1)):E921),"n.a.")))</f>
        <v/>
      </c>
      <c r="H921" s="136" t="str">
        <f>IF($A921&gt;MIN($A$10,$A$2),"",IF($A$5="","Choose stock",IF(NOT($A$12),"Check split rule",IF(NOT(ISNUMBER(B921)),"Invalid date",IF(OR(B921&lt;=0,B921&lt;&gt;INT(B921)),"Invalid date",IF(COUNTIFS(DemoHistory[Date],B921)&lt;&gt;1,"Duplicate date",IF(AND($A921&gt;1,B921&lt;=B920),"Dates out of order",IF(NOT(ISNUMBER(C921)),"Missing price",IF(C921&lt;=0,"Nonpositive price","OK")))))))))</f>
        <v/>
      </c>
      <c r="I921" s="136"/>
      <c r="J921" s="136"/>
      <c r="K921" s="136"/>
      <c r="L921" s="136"/>
      <c r="M921" s="136"/>
      <c r="N921" s="136" t="e">
        <f t="shared" si="40"/>
        <v>#N/A</v>
      </c>
      <c r="O921" s="136" t="e">
        <f t="shared" si="41"/>
        <v>#N/A</v>
      </c>
    </row>
    <row r="922" spans="1:15" ht="22" customHeight="1" x14ac:dyDescent="0.35">
      <c r="A922" s="136">
        <v>878</v>
      </c>
      <c r="B922" s="165" t="str">
        <f>IF($A922&gt;MIN($A$10,$A$2),"",INDEX(DemoHistory[Date],$A922))</f>
        <v/>
      </c>
      <c r="C922" s="166" t="str">
        <f>IF(OR($A922&gt;MIN($A$10,$A$2),$A$5=""),"",INDEX(DemoHistory[],$A922,MATCH($A$5,DemoHistory[#Headers],0)))</f>
        <v/>
      </c>
      <c r="D922" s="166" t="str">
        <f>IF($A922&gt;MIN($A$10,$A$2),"",IF(AND($A$12,$A$6=1,B922&lt;$A$7,$A$7&lt;=MAX(DemoHistory[Date])),$A$8,1))</f>
        <v/>
      </c>
      <c r="E922" s="166" t="str">
        <f t="shared" si="39"/>
        <v/>
      </c>
      <c r="F922" s="166" t="str">
        <f>IF($A922&gt;MIN($A$10,$A$2),"",IF($A922&lt;50,"n.a.",IF(COUNT(INDEX(StockDaily[Adjusted close],MAX(1,$A922-50+1)):E922)=50,AVERAGE(INDEX(StockDaily[Adjusted close],MAX(1,$A922-50+1)):E922),"n.a.")))</f>
        <v/>
      </c>
      <c r="G922" s="166" t="str">
        <f>IF($A922&gt;MIN($A$10,$A$2),"",IF($A922&lt;200,"n.a.",IF(COUNT(INDEX(StockDaily[Adjusted close],MAX(1,$A922-200+1)):E922)=200,AVERAGE(INDEX(StockDaily[Adjusted close],MAX(1,$A922-200+1)):E922),"n.a.")))</f>
        <v/>
      </c>
      <c r="H922" s="136" t="str">
        <f>IF($A922&gt;MIN($A$10,$A$2),"",IF($A$5="","Choose stock",IF(NOT($A$12),"Check split rule",IF(NOT(ISNUMBER(B922)),"Invalid date",IF(OR(B922&lt;=0,B922&lt;&gt;INT(B922)),"Invalid date",IF(COUNTIFS(DemoHistory[Date],B922)&lt;&gt;1,"Duplicate date",IF(AND($A922&gt;1,B922&lt;=B921),"Dates out of order",IF(NOT(ISNUMBER(C922)),"Missing price",IF(C922&lt;=0,"Nonpositive price","OK")))))))))</f>
        <v/>
      </c>
      <c r="I922" s="136"/>
      <c r="J922" s="136"/>
      <c r="K922" s="136"/>
      <c r="L922" s="136"/>
      <c r="M922" s="136"/>
      <c r="N922" s="136" t="e">
        <f t="shared" si="40"/>
        <v>#N/A</v>
      </c>
      <c r="O922" s="136" t="e">
        <f t="shared" si="41"/>
        <v>#N/A</v>
      </c>
    </row>
    <row r="923" spans="1:15" ht="22" customHeight="1" x14ac:dyDescent="0.35">
      <c r="A923" s="136">
        <v>879</v>
      </c>
      <c r="B923" s="165" t="str">
        <f>IF($A923&gt;MIN($A$10,$A$2),"",INDEX(DemoHistory[Date],$A923))</f>
        <v/>
      </c>
      <c r="C923" s="166" t="str">
        <f>IF(OR($A923&gt;MIN($A$10,$A$2),$A$5=""),"",INDEX(DemoHistory[],$A923,MATCH($A$5,DemoHistory[#Headers],0)))</f>
        <v/>
      </c>
      <c r="D923" s="166" t="str">
        <f>IF($A923&gt;MIN($A$10,$A$2),"",IF(AND($A$12,$A$6=1,B923&lt;$A$7,$A$7&lt;=MAX(DemoHistory[Date])),$A$8,1))</f>
        <v/>
      </c>
      <c r="E923" s="166" t="str">
        <f t="shared" si="39"/>
        <v/>
      </c>
      <c r="F923" s="166" t="str">
        <f>IF($A923&gt;MIN($A$10,$A$2),"",IF($A923&lt;50,"n.a.",IF(COUNT(INDEX(StockDaily[Adjusted close],MAX(1,$A923-50+1)):E923)=50,AVERAGE(INDEX(StockDaily[Adjusted close],MAX(1,$A923-50+1)):E923),"n.a.")))</f>
        <v/>
      </c>
      <c r="G923" s="166" t="str">
        <f>IF($A923&gt;MIN($A$10,$A$2),"",IF($A923&lt;200,"n.a.",IF(COUNT(INDEX(StockDaily[Adjusted close],MAX(1,$A923-200+1)):E923)=200,AVERAGE(INDEX(StockDaily[Adjusted close],MAX(1,$A923-200+1)):E923),"n.a.")))</f>
        <v/>
      </c>
      <c r="H923" s="136" t="str">
        <f>IF($A923&gt;MIN($A$10,$A$2),"",IF($A$5="","Choose stock",IF(NOT($A$12),"Check split rule",IF(NOT(ISNUMBER(B923)),"Invalid date",IF(OR(B923&lt;=0,B923&lt;&gt;INT(B923)),"Invalid date",IF(COUNTIFS(DemoHistory[Date],B923)&lt;&gt;1,"Duplicate date",IF(AND($A923&gt;1,B923&lt;=B922),"Dates out of order",IF(NOT(ISNUMBER(C923)),"Missing price",IF(C923&lt;=0,"Nonpositive price","OK")))))))))</f>
        <v/>
      </c>
      <c r="I923" s="136"/>
      <c r="J923" s="136"/>
      <c r="K923" s="136"/>
      <c r="L923" s="136"/>
      <c r="M923" s="136"/>
      <c r="N923" s="136" t="e">
        <f t="shared" si="40"/>
        <v>#N/A</v>
      </c>
      <c r="O923" s="136" t="e">
        <f t="shared" si="41"/>
        <v>#N/A</v>
      </c>
    </row>
    <row r="924" spans="1:15" ht="22" customHeight="1" x14ac:dyDescent="0.35">
      <c r="A924" s="136">
        <v>880</v>
      </c>
      <c r="B924" s="165" t="str">
        <f>IF($A924&gt;MIN($A$10,$A$2),"",INDEX(DemoHistory[Date],$A924))</f>
        <v/>
      </c>
      <c r="C924" s="166" t="str">
        <f>IF(OR($A924&gt;MIN($A$10,$A$2),$A$5=""),"",INDEX(DemoHistory[],$A924,MATCH($A$5,DemoHistory[#Headers],0)))</f>
        <v/>
      </c>
      <c r="D924" s="166" t="str">
        <f>IF($A924&gt;MIN($A$10,$A$2),"",IF(AND($A$12,$A$6=1,B924&lt;$A$7,$A$7&lt;=MAX(DemoHistory[Date])),$A$8,1))</f>
        <v/>
      </c>
      <c r="E924" s="166" t="str">
        <f t="shared" si="39"/>
        <v/>
      </c>
      <c r="F924" s="166" t="str">
        <f>IF($A924&gt;MIN($A$10,$A$2),"",IF($A924&lt;50,"n.a.",IF(COUNT(INDEX(StockDaily[Adjusted close],MAX(1,$A924-50+1)):E924)=50,AVERAGE(INDEX(StockDaily[Adjusted close],MAX(1,$A924-50+1)):E924),"n.a.")))</f>
        <v/>
      </c>
      <c r="G924" s="166" t="str">
        <f>IF($A924&gt;MIN($A$10,$A$2),"",IF($A924&lt;200,"n.a.",IF(COUNT(INDEX(StockDaily[Adjusted close],MAX(1,$A924-200+1)):E924)=200,AVERAGE(INDEX(StockDaily[Adjusted close],MAX(1,$A924-200+1)):E924),"n.a.")))</f>
        <v/>
      </c>
      <c r="H924" s="136" t="str">
        <f>IF($A924&gt;MIN($A$10,$A$2),"",IF($A$5="","Choose stock",IF(NOT($A$12),"Check split rule",IF(NOT(ISNUMBER(B924)),"Invalid date",IF(OR(B924&lt;=0,B924&lt;&gt;INT(B924)),"Invalid date",IF(COUNTIFS(DemoHistory[Date],B924)&lt;&gt;1,"Duplicate date",IF(AND($A924&gt;1,B924&lt;=B923),"Dates out of order",IF(NOT(ISNUMBER(C924)),"Missing price",IF(C924&lt;=0,"Nonpositive price","OK")))))))))</f>
        <v/>
      </c>
      <c r="I924" s="136"/>
      <c r="J924" s="136"/>
      <c r="K924" s="136"/>
      <c r="L924" s="136"/>
      <c r="M924" s="136"/>
      <c r="N924" s="136" t="e">
        <f t="shared" si="40"/>
        <v>#N/A</v>
      </c>
      <c r="O924" s="136" t="e">
        <f t="shared" si="41"/>
        <v>#N/A</v>
      </c>
    </row>
    <row r="925" spans="1:15" ht="22" customHeight="1" x14ac:dyDescent="0.35">
      <c r="A925" s="136">
        <v>881</v>
      </c>
      <c r="B925" s="165" t="str">
        <f>IF($A925&gt;MIN($A$10,$A$2),"",INDEX(DemoHistory[Date],$A925))</f>
        <v/>
      </c>
      <c r="C925" s="166" t="str">
        <f>IF(OR($A925&gt;MIN($A$10,$A$2),$A$5=""),"",INDEX(DemoHistory[],$A925,MATCH($A$5,DemoHistory[#Headers],0)))</f>
        <v/>
      </c>
      <c r="D925" s="166" t="str">
        <f>IF($A925&gt;MIN($A$10,$A$2),"",IF(AND($A$12,$A$6=1,B925&lt;$A$7,$A$7&lt;=MAX(DemoHistory[Date])),$A$8,1))</f>
        <v/>
      </c>
      <c r="E925" s="166" t="str">
        <f t="shared" si="39"/>
        <v/>
      </c>
      <c r="F925" s="166" t="str">
        <f>IF($A925&gt;MIN($A$10,$A$2),"",IF($A925&lt;50,"n.a.",IF(COUNT(INDEX(StockDaily[Adjusted close],MAX(1,$A925-50+1)):E925)=50,AVERAGE(INDEX(StockDaily[Adjusted close],MAX(1,$A925-50+1)):E925),"n.a.")))</f>
        <v/>
      </c>
      <c r="G925" s="166" t="str">
        <f>IF($A925&gt;MIN($A$10,$A$2),"",IF($A925&lt;200,"n.a.",IF(COUNT(INDEX(StockDaily[Adjusted close],MAX(1,$A925-200+1)):E925)=200,AVERAGE(INDEX(StockDaily[Adjusted close],MAX(1,$A925-200+1)):E925),"n.a.")))</f>
        <v/>
      </c>
      <c r="H925" s="136" t="str">
        <f>IF($A925&gt;MIN($A$10,$A$2),"",IF($A$5="","Choose stock",IF(NOT($A$12),"Check split rule",IF(NOT(ISNUMBER(B925)),"Invalid date",IF(OR(B925&lt;=0,B925&lt;&gt;INT(B925)),"Invalid date",IF(COUNTIFS(DemoHistory[Date],B925)&lt;&gt;1,"Duplicate date",IF(AND($A925&gt;1,B925&lt;=B924),"Dates out of order",IF(NOT(ISNUMBER(C925)),"Missing price",IF(C925&lt;=0,"Nonpositive price","OK")))))))))</f>
        <v/>
      </c>
      <c r="I925" s="136"/>
      <c r="J925" s="136"/>
      <c r="K925" s="136"/>
      <c r="L925" s="136"/>
      <c r="M925" s="136"/>
      <c r="N925" s="136" t="e">
        <f t="shared" si="40"/>
        <v>#N/A</v>
      </c>
      <c r="O925" s="136" t="e">
        <f t="shared" si="41"/>
        <v>#N/A</v>
      </c>
    </row>
    <row r="926" spans="1:15" ht="22" customHeight="1" x14ac:dyDescent="0.35">
      <c r="A926" s="136">
        <v>882</v>
      </c>
      <c r="B926" s="165" t="str">
        <f>IF($A926&gt;MIN($A$10,$A$2),"",INDEX(DemoHistory[Date],$A926))</f>
        <v/>
      </c>
      <c r="C926" s="166" t="str">
        <f>IF(OR($A926&gt;MIN($A$10,$A$2),$A$5=""),"",INDEX(DemoHistory[],$A926,MATCH($A$5,DemoHistory[#Headers],0)))</f>
        <v/>
      </c>
      <c r="D926" s="166" t="str">
        <f>IF($A926&gt;MIN($A$10,$A$2),"",IF(AND($A$12,$A$6=1,B926&lt;$A$7,$A$7&lt;=MAX(DemoHistory[Date])),$A$8,1))</f>
        <v/>
      </c>
      <c r="E926" s="166" t="str">
        <f t="shared" si="39"/>
        <v/>
      </c>
      <c r="F926" s="166" t="str">
        <f>IF($A926&gt;MIN($A$10,$A$2),"",IF($A926&lt;50,"n.a.",IF(COUNT(INDEX(StockDaily[Adjusted close],MAX(1,$A926-50+1)):E926)=50,AVERAGE(INDEX(StockDaily[Adjusted close],MAX(1,$A926-50+1)):E926),"n.a.")))</f>
        <v/>
      </c>
      <c r="G926" s="166" t="str">
        <f>IF($A926&gt;MIN($A$10,$A$2),"",IF($A926&lt;200,"n.a.",IF(COUNT(INDEX(StockDaily[Adjusted close],MAX(1,$A926-200+1)):E926)=200,AVERAGE(INDEX(StockDaily[Adjusted close],MAX(1,$A926-200+1)):E926),"n.a.")))</f>
        <v/>
      </c>
      <c r="H926" s="136" t="str">
        <f>IF($A926&gt;MIN($A$10,$A$2),"",IF($A$5="","Choose stock",IF(NOT($A$12),"Check split rule",IF(NOT(ISNUMBER(B926)),"Invalid date",IF(OR(B926&lt;=0,B926&lt;&gt;INT(B926)),"Invalid date",IF(COUNTIFS(DemoHistory[Date],B926)&lt;&gt;1,"Duplicate date",IF(AND($A926&gt;1,B926&lt;=B925),"Dates out of order",IF(NOT(ISNUMBER(C926)),"Missing price",IF(C926&lt;=0,"Nonpositive price","OK")))))))))</f>
        <v/>
      </c>
      <c r="I926" s="136"/>
      <c r="J926" s="136"/>
      <c r="K926" s="136"/>
      <c r="L926" s="136"/>
      <c r="M926" s="136"/>
      <c r="N926" s="136" t="e">
        <f t="shared" si="40"/>
        <v>#N/A</v>
      </c>
      <c r="O926" s="136" t="e">
        <f t="shared" si="41"/>
        <v>#N/A</v>
      </c>
    </row>
    <row r="927" spans="1:15" ht="22" customHeight="1" x14ac:dyDescent="0.35">
      <c r="A927" s="136">
        <v>883</v>
      </c>
      <c r="B927" s="165" t="str">
        <f>IF($A927&gt;MIN($A$10,$A$2),"",INDEX(DemoHistory[Date],$A927))</f>
        <v/>
      </c>
      <c r="C927" s="166" t="str">
        <f>IF(OR($A927&gt;MIN($A$10,$A$2),$A$5=""),"",INDEX(DemoHistory[],$A927,MATCH($A$5,DemoHistory[#Headers],0)))</f>
        <v/>
      </c>
      <c r="D927" s="166" t="str">
        <f>IF($A927&gt;MIN($A$10,$A$2),"",IF(AND($A$12,$A$6=1,B927&lt;$A$7,$A$7&lt;=MAX(DemoHistory[Date])),$A$8,1))</f>
        <v/>
      </c>
      <c r="E927" s="166" t="str">
        <f t="shared" si="39"/>
        <v/>
      </c>
      <c r="F927" s="166" t="str">
        <f>IF($A927&gt;MIN($A$10,$A$2),"",IF($A927&lt;50,"n.a.",IF(COUNT(INDEX(StockDaily[Adjusted close],MAX(1,$A927-50+1)):E927)=50,AVERAGE(INDEX(StockDaily[Adjusted close],MAX(1,$A927-50+1)):E927),"n.a.")))</f>
        <v/>
      </c>
      <c r="G927" s="166" t="str">
        <f>IF($A927&gt;MIN($A$10,$A$2),"",IF($A927&lt;200,"n.a.",IF(COUNT(INDEX(StockDaily[Adjusted close],MAX(1,$A927-200+1)):E927)=200,AVERAGE(INDEX(StockDaily[Adjusted close],MAX(1,$A927-200+1)):E927),"n.a.")))</f>
        <v/>
      </c>
      <c r="H927" s="136" t="str">
        <f>IF($A927&gt;MIN($A$10,$A$2),"",IF($A$5="","Choose stock",IF(NOT($A$12),"Check split rule",IF(NOT(ISNUMBER(B927)),"Invalid date",IF(OR(B927&lt;=0,B927&lt;&gt;INT(B927)),"Invalid date",IF(COUNTIFS(DemoHistory[Date],B927)&lt;&gt;1,"Duplicate date",IF(AND($A927&gt;1,B927&lt;=B926),"Dates out of order",IF(NOT(ISNUMBER(C927)),"Missing price",IF(C927&lt;=0,"Nonpositive price","OK")))))))))</f>
        <v/>
      </c>
      <c r="I927" s="136"/>
      <c r="J927" s="136"/>
      <c r="K927" s="136"/>
      <c r="L927" s="136"/>
      <c r="M927" s="136"/>
      <c r="N927" s="136" t="e">
        <f t="shared" si="40"/>
        <v>#N/A</v>
      </c>
      <c r="O927" s="136" t="e">
        <f t="shared" si="41"/>
        <v>#N/A</v>
      </c>
    </row>
    <row r="928" spans="1:15" ht="22" customHeight="1" x14ac:dyDescent="0.35">
      <c r="A928" s="136">
        <v>884</v>
      </c>
      <c r="B928" s="165" t="str">
        <f>IF($A928&gt;MIN($A$10,$A$2),"",INDEX(DemoHistory[Date],$A928))</f>
        <v/>
      </c>
      <c r="C928" s="166" t="str">
        <f>IF(OR($A928&gt;MIN($A$10,$A$2),$A$5=""),"",INDEX(DemoHistory[],$A928,MATCH($A$5,DemoHistory[#Headers],0)))</f>
        <v/>
      </c>
      <c r="D928" s="166" t="str">
        <f>IF($A928&gt;MIN($A$10,$A$2),"",IF(AND($A$12,$A$6=1,B928&lt;$A$7,$A$7&lt;=MAX(DemoHistory[Date])),$A$8,1))</f>
        <v/>
      </c>
      <c r="E928" s="166" t="str">
        <f t="shared" si="39"/>
        <v/>
      </c>
      <c r="F928" s="166" t="str">
        <f>IF($A928&gt;MIN($A$10,$A$2),"",IF($A928&lt;50,"n.a.",IF(COUNT(INDEX(StockDaily[Adjusted close],MAX(1,$A928-50+1)):E928)=50,AVERAGE(INDEX(StockDaily[Adjusted close],MAX(1,$A928-50+1)):E928),"n.a.")))</f>
        <v/>
      </c>
      <c r="G928" s="166" t="str">
        <f>IF($A928&gt;MIN($A$10,$A$2),"",IF($A928&lt;200,"n.a.",IF(COUNT(INDEX(StockDaily[Adjusted close],MAX(1,$A928-200+1)):E928)=200,AVERAGE(INDEX(StockDaily[Adjusted close],MAX(1,$A928-200+1)):E928),"n.a.")))</f>
        <v/>
      </c>
      <c r="H928" s="136" t="str">
        <f>IF($A928&gt;MIN($A$10,$A$2),"",IF($A$5="","Choose stock",IF(NOT($A$12),"Check split rule",IF(NOT(ISNUMBER(B928)),"Invalid date",IF(OR(B928&lt;=0,B928&lt;&gt;INT(B928)),"Invalid date",IF(COUNTIFS(DemoHistory[Date],B928)&lt;&gt;1,"Duplicate date",IF(AND($A928&gt;1,B928&lt;=B927),"Dates out of order",IF(NOT(ISNUMBER(C928)),"Missing price",IF(C928&lt;=0,"Nonpositive price","OK")))))))))</f>
        <v/>
      </c>
      <c r="I928" s="136"/>
      <c r="J928" s="136"/>
      <c r="K928" s="136"/>
      <c r="L928" s="136"/>
      <c r="M928" s="136"/>
      <c r="N928" s="136" t="e">
        <f t="shared" si="40"/>
        <v>#N/A</v>
      </c>
      <c r="O928" s="136" t="e">
        <f t="shared" si="41"/>
        <v>#N/A</v>
      </c>
    </row>
    <row r="929" spans="1:15" ht="22" customHeight="1" x14ac:dyDescent="0.35">
      <c r="A929" s="136">
        <v>885</v>
      </c>
      <c r="B929" s="165" t="str">
        <f>IF($A929&gt;MIN($A$10,$A$2),"",INDEX(DemoHistory[Date],$A929))</f>
        <v/>
      </c>
      <c r="C929" s="166" t="str">
        <f>IF(OR($A929&gt;MIN($A$10,$A$2),$A$5=""),"",INDEX(DemoHistory[],$A929,MATCH($A$5,DemoHistory[#Headers],0)))</f>
        <v/>
      </c>
      <c r="D929" s="166" t="str">
        <f>IF($A929&gt;MIN($A$10,$A$2),"",IF(AND($A$12,$A$6=1,B929&lt;$A$7,$A$7&lt;=MAX(DemoHistory[Date])),$A$8,1))</f>
        <v/>
      </c>
      <c r="E929" s="166" t="str">
        <f t="shared" si="39"/>
        <v/>
      </c>
      <c r="F929" s="166" t="str">
        <f>IF($A929&gt;MIN($A$10,$A$2),"",IF($A929&lt;50,"n.a.",IF(COUNT(INDEX(StockDaily[Adjusted close],MAX(1,$A929-50+1)):E929)=50,AVERAGE(INDEX(StockDaily[Adjusted close],MAX(1,$A929-50+1)):E929),"n.a.")))</f>
        <v/>
      </c>
      <c r="G929" s="166" t="str">
        <f>IF($A929&gt;MIN($A$10,$A$2),"",IF($A929&lt;200,"n.a.",IF(COUNT(INDEX(StockDaily[Adjusted close],MAX(1,$A929-200+1)):E929)=200,AVERAGE(INDEX(StockDaily[Adjusted close],MAX(1,$A929-200+1)):E929),"n.a.")))</f>
        <v/>
      </c>
      <c r="H929" s="136" t="str">
        <f>IF($A929&gt;MIN($A$10,$A$2),"",IF($A$5="","Choose stock",IF(NOT($A$12),"Check split rule",IF(NOT(ISNUMBER(B929)),"Invalid date",IF(OR(B929&lt;=0,B929&lt;&gt;INT(B929)),"Invalid date",IF(COUNTIFS(DemoHistory[Date],B929)&lt;&gt;1,"Duplicate date",IF(AND($A929&gt;1,B929&lt;=B928),"Dates out of order",IF(NOT(ISNUMBER(C929)),"Missing price",IF(C929&lt;=0,"Nonpositive price","OK")))))))))</f>
        <v/>
      </c>
      <c r="I929" s="136"/>
      <c r="J929" s="136"/>
      <c r="K929" s="136"/>
      <c r="L929" s="136"/>
      <c r="M929" s="136"/>
      <c r="N929" s="136" t="e">
        <f t="shared" si="40"/>
        <v>#N/A</v>
      </c>
      <c r="O929" s="136" t="e">
        <f t="shared" si="41"/>
        <v>#N/A</v>
      </c>
    </row>
    <row r="930" spans="1:15" ht="22" customHeight="1" x14ac:dyDescent="0.35">
      <c r="A930" s="136">
        <v>886</v>
      </c>
      <c r="B930" s="165" t="str">
        <f>IF($A930&gt;MIN($A$10,$A$2),"",INDEX(DemoHistory[Date],$A930))</f>
        <v/>
      </c>
      <c r="C930" s="166" t="str">
        <f>IF(OR($A930&gt;MIN($A$10,$A$2),$A$5=""),"",INDEX(DemoHistory[],$A930,MATCH($A$5,DemoHistory[#Headers],0)))</f>
        <v/>
      </c>
      <c r="D930" s="166" t="str">
        <f>IF($A930&gt;MIN($A$10,$A$2),"",IF(AND($A$12,$A$6=1,B930&lt;$A$7,$A$7&lt;=MAX(DemoHistory[Date])),$A$8,1))</f>
        <v/>
      </c>
      <c r="E930" s="166" t="str">
        <f t="shared" si="39"/>
        <v/>
      </c>
      <c r="F930" s="166" t="str">
        <f>IF($A930&gt;MIN($A$10,$A$2),"",IF($A930&lt;50,"n.a.",IF(COUNT(INDEX(StockDaily[Adjusted close],MAX(1,$A930-50+1)):E930)=50,AVERAGE(INDEX(StockDaily[Adjusted close],MAX(1,$A930-50+1)):E930),"n.a.")))</f>
        <v/>
      </c>
      <c r="G930" s="166" t="str">
        <f>IF($A930&gt;MIN($A$10,$A$2),"",IF($A930&lt;200,"n.a.",IF(COUNT(INDEX(StockDaily[Adjusted close],MAX(1,$A930-200+1)):E930)=200,AVERAGE(INDEX(StockDaily[Adjusted close],MAX(1,$A930-200+1)):E930),"n.a.")))</f>
        <v/>
      </c>
      <c r="H930" s="136" t="str">
        <f>IF($A930&gt;MIN($A$10,$A$2),"",IF($A$5="","Choose stock",IF(NOT($A$12),"Check split rule",IF(NOT(ISNUMBER(B930)),"Invalid date",IF(OR(B930&lt;=0,B930&lt;&gt;INT(B930)),"Invalid date",IF(COUNTIFS(DemoHistory[Date],B930)&lt;&gt;1,"Duplicate date",IF(AND($A930&gt;1,B930&lt;=B929),"Dates out of order",IF(NOT(ISNUMBER(C930)),"Missing price",IF(C930&lt;=0,"Nonpositive price","OK")))))))))</f>
        <v/>
      </c>
      <c r="I930" s="136"/>
      <c r="J930" s="136"/>
      <c r="K930" s="136"/>
      <c r="L930" s="136"/>
      <c r="M930" s="136"/>
      <c r="N930" s="136" t="e">
        <f t="shared" si="40"/>
        <v>#N/A</v>
      </c>
      <c r="O930" s="136" t="e">
        <f t="shared" si="41"/>
        <v>#N/A</v>
      </c>
    </row>
    <row r="931" spans="1:15" ht="22" customHeight="1" x14ac:dyDescent="0.35">
      <c r="A931" s="136">
        <v>887</v>
      </c>
      <c r="B931" s="165" t="str">
        <f>IF($A931&gt;MIN($A$10,$A$2),"",INDEX(DemoHistory[Date],$A931))</f>
        <v/>
      </c>
      <c r="C931" s="166" t="str">
        <f>IF(OR($A931&gt;MIN($A$10,$A$2),$A$5=""),"",INDEX(DemoHistory[],$A931,MATCH($A$5,DemoHistory[#Headers],0)))</f>
        <v/>
      </c>
      <c r="D931" s="166" t="str">
        <f>IF($A931&gt;MIN($A$10,$A$2),"",IF(AND($A$12,$A$6=1,B931&lt;$A$7,$A$7&lt;=MAX(DemoHistory[Date])),$A$8,1))</f>
        <v/>
      </c>
      <c r="E931" s="166" t="str">
        <f t="shared" si="39"/>
        <v/>
      </c>
      <c r="F931" s="166" t="str">
        <f>IF($A931&gt;MIN($A$10,$A$2),"",IF($A931&lt;50,"n.a.",IF(COUNT(INDEX(StockDaily[Adjusted close],MAX(1,$A931-50+1)):E931)=50,AVERAGE(INDEX(StockDaily[Adjusted close],MAX(1,$A931-50+1)):E931),"n.a.")))</f>
        <v/>
      </c>
      <c r="G931" s="166" t="str">
        <f>IF($A931&gt;MIN($A$10,$A$2),"",IF($A931&lt;200,"n.a.",IF(COUNT(INDEX(StockDaily[Adjusted close],MAX(1,$A931-200+1)):E931)=200,AVERAGE(INDEX(StockDaily[Adjusted close],MAX(1,$A931-200+1)):E931),"n.a.")))</f>
        <v/>
      </c>
      <c r="H931" s="136" t="str">
        <f>IF($A931&gt;MIN($A$10,$A$2),"",IF($A$5="","Choose stock",IF(NOT($A$12),"Check split rule",IF(NOT(ISNUMBER(B931)),"Invalid date",IF(OR(B931&lt;=0,B931&lt;&gt;INT(B931)),"Invalid date",IF(COUNTIFS(DemoHistory[Date],B931)&lt;&gt;1,"Duplicate date",IF(AND($A931&gt;1,B931&lt;=B930),"Dates out of order",IF(NOT(ISNUMBER(C931)),"Missing price",IF(C931&lt;=0,"Nonpositive price","OK")))))))))</f>
        <v/>
      </c>
      <c r="I931" s="136"/>
      <c r="J931" s="136"/>
      <c r="K931" s="136"/>
      <c r="L931" s="136"/>
      <c r="M931" s="136"/>
      <c r="N931" s="136" t="e">
        <f t="shared" si="40"/>
        <v>#N/A</v>
      </c>
      <c r="O931" s="136" t="e">
        <f t="shared" si="41"/>
        <v>#N/A</v>
      </c>
    </row>
    <row r="932" spans="1:15" ht="22" customHeight="1" x14ac:dyDescent="0.35">
      <c r="A932" s="136">
        <v>888</v>
      </c>
      <c r="B932" s="165" t="str">
        <f>IF($A932&gt;MIN($A$10,$A$2),"",INDEX(DemoHistory[Date],$A932))</f>
        <v/>
      </c>
      <c r="C932" s="166" t="str">
        <f>IF(OR($A932&gt;MIN($A$10,$A$2),$A$5=""),"",INDEX(DemoHistory[],$A932,MATCH($A$5,DemoHistory[#Headers],0)))</f>
        <v/>
      </c>
      <c r="D932" s="166" t="str">
        <f>IF($A932&gt;MIN($A$10,$A$2),"",IF(AND($A$12,$A$6=1,B932&lt;$A$7,$A$7&lt;=MAX(DemoHistory[Date])),$A$8,1))</f>
        <v/>
      </c>
      <c r="E932" s="166" t="str">
        <f t="shared" si="39"/>
        <v/>
      </c>
      <c r="F932" s="166" t="str">
        <f>IF($A932&gt;MIN($A$10,$A$2),"",IF($A932&lt;50,"n.a.",IF(COUNT(INDEX(StockDaily[Adjusted close],MAX(1,$A932-50+1)):E932)=50,AVERAGE(INDEX(StockDaily[Adjusted close],MAX(1,$A932-50+1)):E932),"n.a.")))</f>
        <v/>
      </c>
      <c r="G932" s="166" t="str">
        <f>IF($A932&gt;MIN($A$10,$A$2),"",IF($A932&lt;200,"n.a.",IF(COUNT(INDEX(StockDaily[Adjusted close],MAX(1,$A932-200+1)):E932)=200,AVERAGE(INDEX(StockDaily[Adjusted close],MAX(1,$A932-200+1)):E932),"n.a.")))</f>
        <v/>
      </c>
      <c r="H932" s="136" t="str">
        <f>IF($A932&gt;MIN($A$10,$A$2),"",IF($A$5="","Choose stock",IF(NOT($A$12),"Check split rule",IF(NOT(ISNUMBER(B932)),"Invalid date",IF(OR(B932&lt;=0,B932&lt;&gt;INT(B932)),"Invalid date",IF(COUNTIFS(DemoHistory[Date],B932)&lt;&gt;1,"Duplicate date",IF(AND($A932&gt;1,B932&lt;=B931),"Dates out of order",IF(NOT(ISNUMBER(C932)),"Missing price",IF(C932&lt;=0,"Nonpositive price","OK")))))))))</f>
        <v/>
      </c>
      <c r="I932" s="136"/>
      <c r="J932" s="136"/>
      <c r="K932" s="136"/>
      <c r="L932" s="136"/>
      <c r="M932" s="136"/>
      <c r="N932" s="136" t="e">
        <f t="shared" si="40"/>
        <v>#N/A</v>
      </c>
      <c r="O932" s="136" t="e">
        <f t="shared" si="41"/>
        <v>#N/A</v>
      </c>
    </row>
    <row r="933" spans="1:15" ht="22" customHeight="1" x14ac:dyDescent="0.35">
      <c r="A933" s="136">
        <v>889</v>
      </c>
      <c r="B933" s="165" t="str">
        <f>IF($A933&gt;MIN($A$10,$A$2),"",INDEX(DemoHistory[Date],$A933))</f>
        <v/>
      </c>
      <c r="C933" s="166" t="str">
        <f>IF(OR($A933&gt;MIN($A$10,$A$2),$A$5=""),"",INDEX(DemoHistory[],$A933,MATCH($A$5,DemoHistory[#Headers],0)))</f>
        <v/>
      </c>
      <c r="D933" s="166" t="str">
        <f>IF($A933&gt;MIN($A$10,$A$2),"",IF(AND($A$12,$A$6=1,B933&lt;$A$7,$A$7&lt;=MAX(DemoHistory[Date])),$A$8,1))</f>
        <v/>
      </c>
      <c r="E933" s="166" t="str">
        <f t="shared" si="39"/>
        <v/>
      </c>
      <c r="F933" s="166" t="str">
        <f>IF($A933&gt;MIN($A$10,$A$2),"",IF($A933&lt;50,"n.a.",IF(COUNT(INDEX(StockDaily[Adjusted close],MAX(1,$A933-50+1)):E933)=50,AVERAGE(INDEX(StockDaily[Adjusted close],MAX(1,$A933-50+1)):E933),"n.a.")))</f>
        <v/>
      </c>
      <c r="G933" s="166" t="str">
        <f>IF($A933&gt;MIN($A$10,$A$2),"",IF($A933&lt;200,"n.a.",IF(COUNT(INDEX(StockDaily[Adjusted close],MAX(1,$A933-200+1)):E933)=200,AVERAGE(INDEX(StockDaily[Adjusted close],MAX(1,$A933-200+1)):E933),"n.a.")))</f>
        <v/>
      </c>
      <c r="H933" s="136" t="str">
        <f>IF($A933&gt;MIN($A$10,$A$2),"",IF($A$5="","Choose stock",IF(NOT($A$12),"Check split rule",IF(NOT(ISNUMBER(B933)),"Invalid date",IF(OR(B933&lt;=0,B933&lt;&gt;INT(B933)),"Invalid date",IF(COUNTIFS(DemoHistory[Date],B933)&lt;&gt;1,"Duplicate date",IF(AND($A933&gt;1,B933&lt;=B932),"Dates out of order",IF(NOT(ISNUMBER(C933)),"Missing price",IF(C933&lt;=0,"Nonpositive price","OK")))))))))</f>
        <v/>
      </c>
      <c r="I933" s="136"/>
      <c r="J933" s="136"/>
      <c r="K933" s="136"/>
      <c r="L933" s="136"/>
      <c r="M933" s="136"/>
      <c r="N933" s="136" t="e">
        <f t="shared" si="40"/>
        <v>#N/A</v>
      </c>
      <c r="O933" s="136" t="e">
        <f t="shared" si="41"/>
        <v>#N/A</v>
      </c>
    </row>
    <row r="934" spans="1:15" ht="22" customHeight="1" x14ac:dyDescent="0.35">
      <c r="A934" s="136">
        <v>890</v>
      </c>
      <c r="B934" s="165" t="str">
        <f>IF($A934&gt;MIN($A$10,$A$2),"",INDEX(DemoHistory[Date],$A934))</f>
        <v/>
      </c>
      <c r="C934" s="166" t="str">
        <f>IF(OR($A934&gt;MIN($A$10,$A$2),$A$5=""),"",INDEX(DemoHistory[],$A934,MATCH($A$5,DemoHistory[#Headers],0)))</f>
        <v/>
      </c>
      <c r="D934" s="166" t="str">
        <f>IF($A934&gt;MIN($A$10,$A$2),"",IF(AND($A$12,$A$6=1,B934&lt;$A$7,$A$7&lt;=MAX(DemoHistory[Date])),$A$8,1))</f>
        <v/>
      </c>
      <c r="E934" s="166" t="str">
        <f t="shared" si="39"/>
        <v/>
      </c>
      <c r="F934" s="166" t="str">
        <f>IF($A934&gt;MIN($A$10,$A$2),"",IF($A934&lt;50,"n.a.",IF(COUNT(INDEX(StockDaily[Adjusted close],MAX(1,$A934-50+1)):E934)=50,AVERAGE(INDEX(StockDaily[Adjusted close],MAX(1,$A934-50+1)):E934),"n.a.")))</f>
        <v/>
      </c>
      <c r="G934" s="166" t="str">
        <f>IF($A934&gt;MIN($A$10,$A$2),"",IF($A934&lt;200,"n.a.",IF(COUNT(INDEX(StockDaily[Adjusted close],MAX(1,$A934-200+1)):E934)=200,AVERAGE(INDEX(StockDaily[Adjusted close],MAX(1,$A934-200+1)):E934),"n.a.")))</f>
        <v/>
      </c>
      <c r="H934" s="136" t="str">
        <f>IF($A934&gt;MIN($A$10,$A$2),"",IF($A$5="","Choose stock",IF(NOT($A$12),"Check split rule",IF(NOT(ISNUMBER(B934)),"Invalid date",IF(OR(B934&lt;=0,B934&lt;&gt;INT(B934)),"Invalid date",IF(COUNTIFS(DemoHistory[Date],B934)&lt;&gt;1,"Duplicate date",IF(AND($A934&gt;1,B934&lt;=B933),"Dates out of order",IF(NOT(ISNUMBER(C934)),"Missing price",IF(C934&lt;=0,"Nonpositive price","OK")))))))))</f>
        <v/>
      </c>
      <c r="I934" s="136"/>
      <c r="J934" s="136"/>
      <c r="K934" s="136"/>
      <c r="L934" s="136"/>
      <c r="M934" s="136"/>
      <c r="N934" s="136" t="e">
        <f t="shared" si="40"/>
        <v>#N/A</v>
      </c>
      <c r="O934" s="136" t="e">
        <f t="shared" si="41"/>
        <v>#N/A</v>
      </c>
    </row>
    <row r="935" spans="1:15" ht="22" customHeight="1" x14ac:dyDescent="0.35">
      <c r="A935" s="136">
        <v>891</v>
      </c>
      <c r="B935" s="165" t="str">
        <f>IF($A935&gt;MIN($A$10,$A$2),"",INDEX(DemoHistory[Date],$A935))</f>
        <v/>
      </c>
      <c r="C935" s="166" t="str">
        <f>IF(OR($A935&gt;MIN($A$10,$A$2),$A$5=""),"",INDEX(DemoHistory[],$A935,MATCH($A$5,DemoHistory[#Headers],0)))</f>
        <v/>
      </c>
      <c r="D935" s="166" t="str">
        <f>IF($A935&gt;MIN($A$10,$A$2),"",IF(AND($A$12,$A$6=1,B935&lt;$A$7,$A$7&lt;=MAX(DemoHistory[Date])),$A$8,1))</f>
        <v/>
      </c>
      <c r="E935" s="166" t="str">
        <f t="shared" si="39"/>
        <v/>
      </c>
      <c r="F935" s="166" t="str">
        <f>IF($A935&gt;MIN($A$10,$A$2),"",IF($A935&lt;50,"n.a.",IF(COUNT(INDEX(StockDaily[Adjusted close],MAX(1,$A935-50+1)):E935)=50,AVERAGE(INDEX(StockDaily[Adjusted close],MAX(1,$A935-50+1)):E935),"n.a.")))</f>
        <v/>
      </c>
      <c r="G935" s="166" t="str">
        <f>IF($A935&gt;MIN($A$10,$A$2),"",IF($A935&lt;200,"n.a.",IF(COUNT(INDEX(StockDaily[Adjusted close],MAX(1,$A935-200+1)):E935)=200,AVERAGE(INDEX(StockDaily[Adjusted close],MAX(1,$A935-200+1)):E935),"n.a.")))</f>
        <v/>
      </c>
      <c r="H935" s="136" t="str">
        <f>IF($A935&gt;MIN($A$10,$A$2),"",IF($A$5="","Choose stock",IF(NOT($A$12),"Check split rule",IF(NOT(ISNUMBER(B935)),"Invalid date",IF(OR(B935&lt;=0,B935&lt;&gt;INT(B935)),"Invalid date",IF(COUNTIFS(DemoHistory[Date],B935)&lt;&gt;1,"Duplicate date",IF(AND($A935&gt;1,B935&lt;=B934),"Dates out of order",IF(NOT(ISNUMBER(C935)),"Missing price",IF(C935&lt;=0,"Nonpositive price","OK")))))))))</f>
        <v/>
      </c>
      <c r="I935" s="136"/>
      <c r="J935" s="136"/>
      <c r="K935" s="136"/>
      <c r="L935" s="136"/>
      <c r="M935" s="136"/>
      <c r="N935" s="136" t="e">
        <f t="shared" si="40"/>
        <v>#N/A</v>
      </c>
      <c r="O935" s="136" t="e">
        <f t="shared" si="41"/>
        <v>#N/A</v>
      </c>
    </row>
    <row r="936" spans="1:15" ht="22" customHeight="1" x14ac:dyDescent="0.35">
      <c r="A936" s="136">
        <v>892</v>
      </c>
      <c r="B936" s="165" t="str">
        <f>IF($A936&gt;MIN($A$10,$A$2),"",INDEX(DemoHistory[Date],$A936))</f>
        <v/>
      </c>
      <c r="C936" s="166" t="str">
        <f>IF(OR($A936&gt;MIN($A$10,$A$2),$A$5=""),"",INDEX(DemoHistory[],$A936,MATCH($A$5,DemoHistory[#Headers],0)))</f>
        <v/>
      </c>
      <c r="D936" s="166" t="str">
        <f>IF($A936&gt;MIN($A$10,$A$2),"",IF(AND($A$12,$A$6=1,B936&lt;$A$7,$A$7&lt;=MAX(DemoHistory[Date])),$A$8,1))</f>
        <v/>
      </c>
      <c r="E936" s="166" t="str">
        <f t="shared" si="39"/>
        <v/>
      </c>
      <c r="F936" s="166" t="str">
        <f>IF($A936&gt;MIN($A$10,$A$2),"",IF($A936&lt;50,"n.a.",IF(COUNT(INDEX(StockDaily[Adjusted close],MAX(1,$A936-50+1)):E936)=50,AVERAGE(INDEX(StockDaily[Adjusted close],MAX(1,$A936-50+1)):E936),"n.a.")))</f>
        <v/>
      </c>
      <c r="G936" s="166" t="str">
        <f>IF($A936&gt;MIN($A$10,$A$2),"",IF($A936&lt;200,"n.a.",IF(COUNT(INDEX(StockDaily[Adjusted close],MAX(1,$A936-200+1)):E936)=200,AVERAGE(INDEX(StockDaily[Adjusted close],MAX(1,$A936-200+1)):E936),"n.a.")))</f>
        <v/>
      </c>
      <c r="H936" s="136" t="str">
        <f>IF($A936&gt;MIN($A$10,$A$2),"",IF($A$5="","Choose stock",IF(NOT($A$12),"Check split rule",IF(NOT(ISNUMBER(B936)),"Invalid date",IF(OR(B936&lt;=0,B936&lt;&gt;INT(B936)),"Invalid date",IF(COUNTIFS(DemoHistory[Date],B936)&lt;&gt;1,"Duplicate date",IF(AND($A936&gt;1,B936&lt;=B935),"Dates out of order",IF(NOT(ISNUMBER(C936)),"Missing price",IF(C936&lt;=0,"Nonpositive price","OK")))))))))</f>
        <v/>
      </c>
      <c r="I936" s="136"/>
      <c r="J936" s="136"/>
      <c r="K936" s="136"/>
      <c r="L936" s="136"/>
      <c r="M936" s="136"/>
      <c r="N936" s="136" t="e">
        <f t="shared" si="40"/>
        <v>#N/A</v>
      </c>
      <c r="O936" s="136" t="e">
        <f t="shared" si="41"/>
        <v>#N/A</v>
      </c>
    </row>
    <row r="937" spans="1:15" ht="22" customHeight="1" x14ac:dyDescent="0.35">
      <c r="A937" s="136">
        <v>893</v>
      </c>
      <c r="B937" s="165" t="str">
        <f>IF($A937&gt;MIN($A$10,$A$2),"",INDEX(DemoHistory[Date],$A937))</f>
        <v/>
      </c>
      <c r="C937" s="166" t="str">
        <f>IF(OR($A937&gt;MIN($A$10,$A$2),$A$5=""),"",INDEX(DemoHistory[],$A937,MATCH($A$5,DemoHistory[#Headers],0)))</f>
        <v/>
      </c>
      <c r="D937" s="166" t="str">
        <f>IF($A937&gt;MIN($A$10,$A$2),"",IF(AND($A$12,$A$6=1,B937&lt;$A$7,$A$7&lt;=MAX(DemoHistory[Date])),$A$8,1))</f>
        <v/>
      </c>
      <c r="E937" s="166" t="str">
        <f t="shared" si="39"/>
        <v/>
      </c>
      <c r="F937" s="166" t="str">
        <f>IF($A937&gt;MIN($A$10,$A$2),"",IF($A937&lt;50,"n.a.",IF(COUNT(INDEX(StockDaily[Adjusted close],MAX(1,$A937-50+1)):E937)=50,AVERAGE(INDEX(StockDaily[Adjusted close],MAX(1,$A937-50+1)):E937),"n.a.")))</f>
        <v/>
      </c>
      <c r="G937" s="166" t="str">
        <f>IF($A937&gt;MIN($A$10,$A$2),"",IF($A937&lt;200,"n.a.",IF(COUNT(INDEX(StockDaily[Adjusted close],MAX(1,$A937-200+1)):E937)=200,AVERAGE(INDEX(StockDaily[Adjusted close],MAX(1,$A937-200+1)):E937),"n.a.")))</f>
        <v/>
      </c>
      <c r="H937" s="136" t="str">
        <f>IF($A937&gt;MIN($A$10,$A$2),"",IF($A$5="","Choose stock",IF(NOT($A$12),"Check split rule",IF(NOT(ISNUMBER(B937)),"Invalid date",IF(OR(B937&lt;=0,B937&lt;&gt;INT(B937)),"Invalid date",IF(COUNTIFS(DemoHistory[Date],B937)&lt;&gt;1,"Duplicate date",IF(AND($A937&gt;1,B937&lt;=B936),"Dates out of order",IF(NOT(ISNUMBER(C937)),"Missing price",IF(C937&lt;=0,"Nonpositive price","OK")))))))))</f>
        <v/>
      </c>
      <c r="I937" s="136"/>
      <c r="J937" s="136"/>
      <c r="K937" s="136"/>
      <c r="L937" s="136"/>
      <c r="M937" s="136"/>
      <c r="N937" s="136" t="e">
        <f t="shared" si="40"/>
        <v>#N/A</v>
      </c>
      <c r="O937" s="136" t="e">
        <f t="shared" si="41"/>
        <v>#N/A</v>
      </c>
    </row>
    <row r="938" spans="1:15" ht="22" customHeight="1" x14ac:dyDescent="0.35">
      <c r="A938" s="136">
        <v>894</v>
      </c>
      <c r="B938" s="165" t="str">
        <f>IF($A938&gt;MIN($A$10,$A$2),"",INDEX(DemoHistory[Date],$A938))</f>
        <v/>
      </c>
      <c r="C938" s="166" t="str">
        <f>IF(OR($A938&gt;MIN($A$10,$A$2),$A$5=""),"",INDEX(DemoHistory[],$A938,MATCH($A$5,DemoHistory[#Headers],0)))</f>
        <v/>
      </c>
      <c r="D938" s="166" t="str">
        <f>IF($A938&gt;MIN($A$10,$A$2),"",IF(AND($A$12,$A$6=1,B938&lt;$A$7,$A$7&lt;=MAX(DemoHistory[Date])),$A$8,1))</f>
        <v/>
      </c>
      <c r="E938" s="166" t="str">
        <f t="shared" si="39"/>
        <v/>
      </c>
      <c r="F938" s="166" t="str">
        <f>IF($A938&gt;MIN($A$10,$A$2),"",IF($A938&lt;50,"n.a.",IF(COUNT(INDEX(StockDaily[Adjusted close],MAX(1,$A938-50+1)):E938)=50,AVERAGE(INDEX(StockDaily[Adjusted close],MAX(1,$A938-50+1)):E938),"n.a.")))</f>
        <v/>
      </c>
      <c r="G938" s="166" t="str">
        <f>IF($A938&gt;MIN($A$10,$A$2),"",IF($A938&lt;200,"n.a.",IF(COUNT(INDEX(StockDaily[Adjusted close],MAX(1,$A938-200+1)):E938)=200,AVERAGE(INDEX(StockDaily[Adjusted close],MAX(1,$A938-200+1)):E938),"n.a.")))</f>
        <v/>
      </c>
      <c r="H938" s="136" t="str">
        <f>IF($A938&gt;MIN($A$10,$A$2),"",IF($A$5="","Choose stock",IF(NOT($A$12),"Check split rule",IF(NOT(ISNUMBER(B938)),"Invalid date",IF(OR(B938&lt;=0,B938&lt;&gt;INT(B938)),"Invalid date",IF(COUNTIFS(DemoHistory[Date],B938)&lt;&gt;1,"Duplicate date",IF(AND($A938&gt;1,B938&lt;=B937),"Dates out of order",IF(NOT(ISNUMBER(C938)),"Missing price",IF(C938&lt;=0,"Nonpositive price","OK")))))))))</f>
        <v/>
      </c>
      <c r="I938" s="136"/>
      <c r="J938" s="136"/>
      <c r="K938" s="136"/>
      <c r="L938" s="136"/>
      <c r="M938" s="136"/>
      <c r="N938" s="136" t="e">
        <f t="shared" si="40"/>
        <v>#N/A</v>
      </c>
      <c r="O938" s="136" t="e">
        <f t="shared" si="41"/>
        <v>#N/A</v>
      </c>
    </row>
    <row r="939" spans="1:15" ht="22" customHeight="1" x14ac:dyDescent="0.35">
      <c r="A939" s="136">
        <v>895</v>
      </c>
      <c r="B939" s="165" t="str">
        <f>IF($A939&gt;MIN($A$10,$A$2),"",INDEX(DemoHistory[Date],$A939))</f>
        <v/>
      </c>
      <c r="C939" s="166" t="str">
        <f>IF(OR($A939&gt;MIN($A$10,$A$2),$A$5=""),"",INDEX(DemoHistory[],$A939,MATCH($A$5,DemoHistory[#Headers],0)))</f>
        <v/>
      </c>
      <c r="D939" s="166" t="str">
        <f>IF($A939&gt;MIN($A$10,$A$2),"",IF(AND($A$12,$A$6=1,B939&lt;$A$7,$A$7&lt;=MAX(DemoHistory[Date])),$A$8,1))</f>
        <v/>
      </c>
      <c r="E939" s="166" t="str">
        <f t="shared" si="39"/>
        <v/>
      </c>
      <c r="F939" s="166" t="str">
        <f>IF($A939&gt;MIN($A$10,$A$2),"",IF($A939&lt;50,"n.a.",IF(COUNT(INDEX(StockDaily[Adjusted close],MAX(1,$A939-50+1)):E939)=50,AVERAGE(INDEX(StockDaily[Adjusted close],MAX(1,$A939-50+1)):E939),"n.a.")))</f>
        <v/>
      </c>
      <c r="G939" s="166" t="str">
        <f>IF($A939&gt;MIN($A$10,$A$2),"",IF($A939&lt;200,"n.a.",IF(COUNT(INDEX(StockDaily[Adjusted close],MAX(1,$A939-200+1)):E939)=200,AVERAGE(INDEX(StockDaily[Adjusted close],MAX(1,$A939-200+1)):E939),"n.a.")))</f>
        <v/>
      </c>
      <c r="H939" s="136" t="str">
        <f>IF($A939&gt;MIN($A$10,$A$2),"",IF($A$5="","Choose stock",IF(NOT($A$12),"Check split rule",IF(NOT(ISNUMBER(B939)),"Invalid date",IF(OR(B939&lt;=0,B939&lt;&gt;INT(B939)),"Invalid date",IF(COUNTIFS(DemoHistory[Date],B939)&lt;&gt;1,"Duplicate date",IF(AND($A939&gt;1,B939&lt;=B938),"Dates out of order",IF(NOT(ISNUMBER(C939)),"Missing price",IF(C939&lt;=0,"Nonpositive price","OK")))))))))</f>
        <v/>
      </c>
      <c r="I939" s="136"/>
      <c r="J939" s="136"/>
      <c r="K939" s="136"/>
      <c r="L939" s="136"/>
      <c r="M939" s="136"/>
      <c r="N939" s="136" t="e">
        <f t="shared" si="40"/>
        <v>#N/A</v>
      </c>
      <c r="O939" s="136" t="e">
        <f t="shared" si="41"/>
        <v>#N/A</v>
      </c>
    </row>
    <row r="940" spans="1:15" ht="22" customHeight="1" x14ac:dyDescent="0.35">
      <c r="A940" s="136">
        <v>896</v>
      </c>
      <c r="B940" s="165" t="str">
        <f>IF($A940&gt;MIN($A$10,$A$2),"",INDEX(DemoHistory[Date],$A940))</f>
        <v/>
      </c>
      <c r="C940" s="166" t="str">
        <f>IF(OR($A940&gt;MIN($A$10,$A$2),$A$5=""),"",INDEX(DemoHistory[],$A940,MATCH($A$5,DemoHistory[#Headers],0)))</f>
        <v/>
      </c>
      <c r="D940" s="166" t="str">
        <f>IF($A940&gt;MIN($A$10,$A$2),"",IF(AND($A$12,$A$6=1,B940&lt;$A$7,$A$7&lt;=MAX(DemoHistory[Date])),$A$8,1))</f>
        <v/>
      </c>
      <c r="E940" s="166" t="str">
        <f t="shared" si="39"/>
        <v/>
      </c>
      <c r="F940" s="166" t="str">
        <f>IF($A940&gt;MIN($A$10,$A$2),"",IF($A940&lt;50,"n.a.",IF(COUNT(INDEX(StockDaily[Adjusted close],MAX(1,$A940-50+1)):E940)=50,AVERAGE(INDEX(StockDaily[Adjusted close],MAX(1,$A940-50+1)):E940),"n.a.")))</f>
        <v/>
      </c>
      <c r="G940" s="166" t="str">
        <f>IF($A940&gt;MIN($A$10,$A$2),"",IF($A940&lt;200,"n.a.",IF(COUNT(INDEX(StockDaily[Adjusted close],MAX(1,$A940-200+1)):E940)=200,AVERAGE(INDEX(StockDaily[Adjusted close],MAX(1,$A940-200+1)):E940),"n.a.")))</f>
        <v/>
      </c>
      <c r="H940" s="136" t="str">
        <f>IF($A940&gt;MIN($A$10,$A$2),"",IF($A$5="","Choose stock",IF(NOT($A$12),"Check split rule",IF(NOT(ISNUMBER(B940)),"Invalid date",IF(OR(B940&lt;=0,B940&lt;&gt;INT(B940)),"Invalid date",IF(COUNTIFS(DemoHistory[Date],B940)&lt;&gt;1,"Duplicate date",IF(AND($A940&gt;1,B940&lt;=B939),"Dates out of order",IF(NOT(ISNUMBER(C940)),"Missing price",IF(C940&lt;=0,"Nonpositive price","OK")))))))))</f>
        <v/>
      </c>
      <c r="I940" s="136"/>
      <c r="J940" s="136"/>
      <c r="K940" s="136"/>
      <c r="L940" s="136"/>
      <c r="M940" s="136"/>
      <c r="N940" s="136" t="e">
        <f t="shared" si="40"/>
        <v>#N/A</v>
      </c>
      <c r="O940" s="136" t="e">
        <f t="shared" si="41"/>
        <v>#N/A</v>
      </c>
    </row>
    <row r="941" spans="1:15" ht="22" customHeight="1" x14ac:dyDescent="0.35">
      <c r="A941" s="136">
        <v>897</v>
      </c>
      <c r="B941" s="165" t="str">
        <f>IF($A941&gt;MIN($A$10,$A$2),"",INDEX(DemoHistory[Date],$A941))</f>
        <v/>
      </c>
      <c r="C941" s="166" t="str">
        <f>IF(OR($A941&gt;MIN($A$10,$A$2),$A$5=""),"",INDEX(DemoHistory[],$A941,MATCH($A$5,DemoHistory[#Headers],0)))</f>
        <v/>
      </c>
      <c r="D941" s="166" t="str">
        <f>IF($A941&gt;MIN($A$10,$A$2),"",IF(AND($A$12,$A$6=1,B941&lt;$A$7,$A$7&lt;=MAX(DemoHistory[Date])),$A$8,1))</f>
        <v/>
      </c>
      <c r="E941" s="166" t="str">
        <f t="shared" ref="E941:E1004" si="42">IF($A941&gt;MIN($A$10,$A$2),"",IF(H941="OK",C941/D941,"n.a."))</f>
        <v/>
      </c>
      <c r="F941" s="166" t="str">
        <f>IF($A941&gt;MIN($A$10,$A$2),"",IF($A941&lt;50,"n.a.",IF(COUNT(INDEX(StockDaily[Adjusted close],MAX(1,$A941-50+1)):E941)=50,AVERAGE(INDEX(StockDaily[Adjusted close],MAX(1,$A941-50+1)):E941),"n.a.")))</f>
        <v/>
      </c>
      <c r="G941" s="166" t="str">
        <f>IF($A941&gt;MIN($A$10,$A$2),"",IF($A941&lt;200,"n.a.",IF(COUNT(INDEX(StockDaily[Adjusted close],MAX(1,$A941-200+1)):E941)=200,AVERAGE(INDEX(StockDaily[Adjusted close],MAX(1,$A941-200+1)):E941),"n.a.")))</f>
        <v/>
      </c>
      <c r="H941" s="136" t="str">
        <f>IF($A941&gt;MIN($A$10,$A$2),"",IF($A$5="","Choose stock",IF(NOT($A$12),"Check split rule",IF(NOT(ISNUMBER(B941)),"Invalid date",IF(OR(B941&lt;=0,B941&lt;&gt;INT(B941)),"Invalid date",IF(COUNTIFS(DemoHistory[Date],B941)&lt;&gt;1,"Duplicate date",IF(AND($A941&gt;1,B941&lt;=B940),"Dates out of order",IF(NOT(ISNUMBER(C941)),"Missing price",IF(C941&lt;=0,"Nonpositive price","OK")))))))))</f>
        <v/>
      </c>
      <c r="I941" s="136"/>
      <c r="J941" s="136"/>
      <c r="K941" s="136"/>
      <c r="L941" s="136"/>
      <c r="M941" s="136"/>
      <c r="N941" s="136" t="e">
        <f t="shared" ref="N941:N1004" si="43">IF(AND($A$13="Ready",ISNUMBER(E941)),E941,NA())</f>
        <v>#N/A</v>
      </c>
      <c r="O941" s="136" t="e">
        <f t="shared" ref="O941:O1004" si="44">IF(AND($A$13="Ready",ISNUMBER(F941)),F941,NA())</f>
        <v>#N/A</v>
      </c>
    </row>
    <row r="942" spans="1:15" ht="22" customHeight="1" x14ac:dyDescent="0.35">
      <c r="A942" s="136">
        <v>898</v>
      </c>
      <c r="B942" s="165" t="str">
        <f>IF($A942&gt;MIN($A$10,$A$2),"",INDEX(DemoHistory[Date],$A942))</f>
        <v/>
      </c>
      <c r="C942" s="166" t="str">
        <f>IF(OR($A942&gt;MIN($A$10,$A$2),$A$5=""),"",INDEX(DemoHistory[],$A942,MATCH($A$5,DemoHistory[#Headers],0)))</f>
        <v/>
      </c>
      <c r="D942" s="166" t="str">
        <f>IF($A942&gt;MIN($A$10,$A$2),"",IF(AND($A$12,$A$6=1,B942&lt;$A$7,$A$7&lt;=MAX(DemoHistory[Date])),$A$8,1))</f>
        <v/>
      </c>
      <c r="E942" s="166" t="str">
        <f t="shared" si="42"/>
        <v/>
      </c>
      <c r="F942" s="166" t="str">
        <f>IF($A942&gt;MIN($A$10,$A$2),"",IF($A942&lt;50,"n.a.",IF(COUNT(INDEX(StockDaily[Adjusted close],MAX(1,$A942-50+1)):E942)=50,AVERAGE(INDEX(StockDaily[Adjusted close],MAX(1,$A942-50+1)):E942),"n.a.")))</f>
        <v/>
      </c>
      <c r="G942" s="166" t="str">
        <f>IF($A942&gt;MIN($A$10,$A$2),"",IF($A942&lt;200,"n.a.",IF(COUNT(INDEX(StockDaily[Adjusted close],MAX(1,$A942-200+1)):E942)=200,AVERAGE(INDEX(StockDaily[Adjusted close],MAX(1,$A942-200+1)):E942),"n.a.")))</f>
        <v/>
      </c>
      <c r="H942" s="136" t="str">
        <f>IF($A942&gt;MIN($A$10,$A$2),"",IF($A$5="","Choose stock",IF(NOT($A$12),"Check split rule",IF(NOT(ISNUMBER(B942)),"Invalid date",IF(OR(B942&lt;=0,B942&lt;&gt;INT(B942)),"Invalid date",IF(COUNTIFS(DemoHistory[Date],B942)&lt;&gt;1,"Duplicate date",IF(AND($A942&gt;1,B942&lt;=B941),"Dates out of order",IF(NOT(ISNUMBER(C942)),"Missing price",IF(C942&lt;=0,"Nonpositive price","OK")))))))))</f>
        <v/>
      </c>
      <c r="I942" s="136"/>
      <c r="J942" s="136"/>
      <c r="K942" s="136"/>
      <c r="L942" s="136"/>
      <c r="M942" s="136"/>
      <c r="N942" s="136" t="e">
        <f t="shared" si="43"/>
        <v>#N/A</v>
      </c>
      <c r="O942" s="136" t="e">
        <f t="shared" si="44"/>
        <v>#N/A</v>
      </c>
    </row>
    <row r="943" spans="1:15" ht="22" customHeight="1" x14ac:dyDescent="0.35">
      <c r="A943" s="136">
        <v>899</v>
      </c>
      <c r="B943" s="165" t="str">
        <f>IF($A943&gt;MIN($A$10,$A$2),"",INDEX(DemoHistory[Date],$A943))</f>
        <v/>
      </c>
      <c r="C943" s="166" t="str">
        <f>IF(OR($A943&gt;MIN($A$10,$A$2),$A$5=""),"",INDEX(DemoHistory[],$A943,MATCH($A$5,DemoHistory[#Headers],0)))</f>
        <v/>
      </c>
      <c r="D943" s="166" t="str">
        <f>IF($A943&gt;MIN($A$10,$A$2),"",IF(AND($A$12,$A$6=1,B943&lt;$A$7,$A$7&lt;=MAX(DemoHistory[Date])),$A$8,1))</f>
        <v/>
      </c>
      <c r="E943" s="166" t="str">
        <f t="shared" si="42"/>
        <v/>
      </c>
      <c r="F943" s="166" t="str">
        <f>IF($A943&gt;MIN($A$10,$A$2),"",IF($A943&lt;50,"n.a.",IF(COUNT(INDEX(StockDaily[Adjusted close],MAX(1,$A943-50+1)):E943)=50,AVERAGE(INDEX(StockDaily[Adjusted close],MAX(1,$A943-50+1)):E943),"n.a.")))</f>
        <v/>
      </c>
      <c r="G943" s="166" t="str">
        <f>IF($A943&gt;MIN($A$10,$A$2),"",IF($A943&lt;200,"n.a.",IF(COUNT(INDEX(StockDaily[Adjusted close],MAX(1,$A943-200+1)):E943)=200,AVERAGE(INDEX(StockDaily[Adjusted close],MAX(1,$A943-200+1)):E943),"n.a.")))</f>
        <v/>
      </c>
      <c r="H943" s="136" t="str">
        <f>IF($A943&gt;MIN($A$10,$A$2),"",IF($A$5="","Choose stock",IF(NOT($A$12),"Check split rule",IF(NOT(ISNUMBER(B943)),"Invalid date",IF(OR(B943&lt;=0,B943&lt;&gt;INT(B943)),"Invalid date",IF(COUNTIFS(DemoHistory[Date],B943)&lt;&gt;1,"Duplicate date",IF(AND($A943&gt;1,B943&lt;=B942),"Dates out of order",IF(NOT(ISNUMBER(C943)),"Missing price",IF(C943&lt;=0,"Nonpositive price","OK")))))))))</f>
        <v/>
      </c>
      <c r="I943" s="136"/>
      <c r="J943" s="136"/>
      <c r="K943" s="136"/>
      <c r="L943" s="136"/>
      <c r="M943" s="136"/>
      <c r="N943" s="136" t="e">
        <f t="shared" si="43"/>
        <v>#N/A</v>
      </c>
      <c r="O943" s="136" t="e">
        <f t="shared" si="44"/>
        <v>#N/A</v>
      </c>
    </row>
    <row r="944" spans="1:15" ht="22" customHeight="1" x14ac:dyDescent="0.35">
      <c r="A944" s="136">
        <v>900</v>
      </c>
      <c r="B944" s="165" t="str">
        <f>IF($A944&gt;MIN($A$10,$A$2),"",INDEX(DemoHistory[Date],$A944))</f>
        <v/>
      </c>
      <c r="C944" s="166" t="str">
        <f>IF(OR($A944&gt;MIN($A$10,$A$2),$A$5=""),"",INDEX(DemoHistory[],$A944,MATCH($A$5,DemoHistory[#Headers],0)))</f>
        <v/>
      </c>
      <c r="D944" s="166" t="str">
        <f>IF($A944&gt;MIN($A$10,$A$2),"",IF(AND($A$12,$A$6=1,B944&lt;$A$7,$A$7&lt;=MAX(DemoHistory[Date])),$A$8,1))</f>
        <v/>
      </c>
      <c r="E944" s="166" t="str">
        <f t="shared" si="42"/>
        <v/>
      </c>
      <c r="F944" s="166" t="str">
        <f>IF($A944&gt;MIN($A$10,$A$2),"",IF($A944&lt;50,"n.a.",IF(COUNT(INDEX(StockDaily[Adjusted close],MAX(1,$A944-50+1)):E944)=50,AVERAGE(INDEX(StockDaily[Adjusted close],MAX(1,$A944-50+1)):E944),"n.a.")))</f>
        <v/>
      </c>
      <c r="G944" s="166" t="str">
        <f>IF($A944&gt;MIN($A$10,$A$2),"",IF($A944&lt;200,"n.a.",IF(COUNT(INDEX(StockDaily[Adjusted close],MAX(1,$A944-200+1)):E944)=200,AVERAGE(INDEX(StockDaily[Adjusted close],MAX(1,$A944-200+1)):E944),"n.a.")))</f>
        <v/>
      </c>
      <c r="H944" s="136" t="str">
        <f>IF($A944&gt;MIN($A$10,$A$2),"",IF($A$5="","Choose stock",IF(NOT($A$12),"Check split rule",IF(NOT(ISNUMBER(B944)),"Invalid date",IF(OR(B944&lt;=0,B944&lt;&gt;INT(B944)),"Invalid date",IF(COUNTIFS(DemoHistory[Date],B944)&lt;&gt;1,"Duplicate date",IF(AND($A944&gt;1,B944&lt;=B943),"Dates out of order",IF(NOT(ISNUMBER(C944)),"Missing price",IF(C944&lt;=0,"Nonpositive price","OK")))))))))</f>
        <v/>
      </c>
      <c r="I944" s="136"/>
      <c r="J944" s="136"/>
      <c r="K944" s="136"/>
      <c r="L944" s="136"/>
      <c r="M944" s="136"/>
      <c r="N944" s="136" t="e">
        <f t="shared" si="43"/>
        <v>#N/A</v>
      </c>
      <c r="O944" s="136" t="e">
        <f t="shared" si="44"/>
        <v>#N/A</v>
      </c>
    </row>
    <row r="945" spans="1:15" ht="22" customHeight="1" x14ac:dyDescent="0.35">
      <c r="A945" s="136">
        <v>901</v>
      </c>
      <c r="B945" s="165" t="str">
        <f>IF($A945&gt;MIN($A$10,$A$2),"",INDEX(DemoHistory[Date],$A945))</f>
        <v/>
      </c>
      <c r="C945" s="166" t="str">
        <f>IF(OR($A945&gt;MIN($A$10,$A$2),$A$5=""),"",INDEX(DemoHistory[],$A945,MATCH($A$5,DemoHistory[#Headers],0)))</f>
        <v/>
      </c>
      <c r="D945" s="166" t="str">
        <f>IF($A945&gt;MIN($A$10,$A$2),"",IF(AND($A$12,$A$6=1,B945&lt;$A$7,$A$7&lt;=MAX(DemoHistory[Date])),$A$8,1))</f>
        <v/>
      </c>
      <c r="E945" s="166" t="str">
        <f t="shared" si="42"/>
        <v/>
      </c>
      <c r="F945" s="166" t="str">
        <f>IF($A945&gt;MIN($A$10,$A$2),"",IF($A945&lt;50,"n.a.",IF(COUNT(INDEX(StockDaily[Adjusted close],MAX(1,$A945-50+1)):E945)=50,AVERAGE(INDEX(StockDaily[Adjusted close],MAX(1,$A945-50+1)):E945),"n.a.")))</f>
        <v/>
      </c>
      <c r="G945" s="166" t="str">
        <f>IF($A945&gt;MIN($A$10,$A$2),"",IF($A945&lt;200,"n.a.",IF(COUNT(INDEX(StockDaily[Adjusted close],MAX(1,$A945-200+1)):E945)=200,AVERAGE(INDEX(StockDaily[Adjusted close],MAX(1,$A945-200+1)):E945),"n.a.")))</f>
        <v/>
      </c>
      <c r="H945" s="136" t="str">
        <f>IF($A945&gt;MIN($A$10,$A$2),"",IF($A$5="","Choose stock",IF(NOT($A$12),"Check split rule",IF(NOT(ISNUMBER(B945)),"Invalid date",IF(OR(B945&lt;=0,B945&lt;&gt;INT(B945)),"Invalid date",IF(COUNTIFS(DemoHistory[Date],B945)&lt;&gt;1,"Duplicate date",IF(AND($A945&gt;1,B945&lt;=B944),"Dates out of order",IF(NOT(ISNUMBER(C945)),"Missing price",IF(C945&lt;=0,"Nonpositive price","OK")))))))))</f>
        <v/>
      </c>
      <c r="I945" s="136"/>
      <c r="J945" s="136"/>
      <c r="K945" s="136"/>
      <c r="L945" s="136"/>
      <c r="M945" s="136"/>
      <c r="N945" s="136" t="e">
        <f t="shared" si="43"/>
        <v>#N/A</v>
      </c>
      <c r="O945" s="136" t="e">
        <f t="shared" si="44"/>
        <v>#N/A</v>
      </c>
    </row>
    <row r="946" spans="1:15" ht="22" customHeight="1" x14ac:dyDescent="0.35">
      <c r="A946" s="136">
        <v>902</v>
      </c>
      <c r="B946" s="165" t="str">
        <f>IF($A946&gt;MIN($A$10,$A$2),"",INDEX(DemoHistory[Date],$A946))</f>
        <v/>
      </c>
      <c r="C946" s="166" t="str">
        <f>IF(OR($A946&gt;MIN($A$10,$A$2),$A$5=""),"",INDEX(DemoHistory[],$A946,MATCH($A$5,DemoHistory[#Headers],0)))</f>
        <v/>
      </c>
      <c r="D946" s="166" t="str">
        <f>IF($A946&gt;MIN($A$10,$A$2),"",IF(AND($A$12,$A$6=1,B946&lt;$A$7,$A$7&lt;=MAX(DemoHistory[Date])),$A$8,1))</f>
        <v/>
      </c>
      <c r="E946" s="166" t="str">
        <f t="shared" si="42"/>
        <v/>
      </c>
      <c r="F946" s="166" t="str">
        <f>IF($A946&gt;MIN($A$10,$A$2),"",IF($A946&lt;50,"n.a.",IF(COUNT(INDEX(StockDaily[Adjusted close],MAX(1,$A946-50+1)):E946)=50,AVERAGE(INDEX(StockDaily[Adjusted close],MAX(1,$A946-50+1)):E946),"n.a.")))</f>
        <v/>
      </c>
      <c r="G946" s="166" t="str">
        <f>IF($A946&gt;MIN($A$10,$A$2),"",IF($A946&lt;200,"n.a.",IF(COUNT(INDEX(StockDaily[Adjusted close],MAX(1,$A946-200+1)):E946)=200,AVERAGE(INDEX(StockDaily[Adjusted close],MAX(1,$A946-200+1)):E946),"n.a.")))</f>
        <v/>
      </c>
      <c r="H946" s="136" t="str">
        <f>IF($A946&gt;MIN($A$10,$A$2),"",IF($A$5="","Choose stock",IF(NOT($A$12),"Check split rule",IF(NOT(ISNUMBER(B946)),"Invalid date",IF(OR(B946&lt;=0,B946&lt;&gt;INT(B946)),"Invalid date",IF(COUNTIFS(DemoHistory[Date],B946)&lt;&gt;1,"Duplicate date",IF(AND($A946&gt;1,B946&lt;=B945),"Dates out of order",IF(NOT(ISNUMBER(C946)),"Missing price",IF(C946&lt;=0,"Nonpositive price","OK")))))))))</f>
        <v/>
      </c>
      <c r="I946" s="136"/>
      <c r="J946" s="136"/>
      <c r="K946" s="136"/>
      <c r="L946" s="136"/>
      <c r="M946" s="136"/>
      <c r="N946" s="136" t="e">
        <f t="shared" si="43"/>
        <v>#N/A</v>
      </c>
      <c r="O946" s="136" t="e">
        <f t="shared" si="44"/>
        <v>#N/A</v>
      </c>
    </row>
    <row r="947" spans="1:15" ht="22" customHeight="1" x14ac:dyDescent="0.35">
      <c r="A947" s="136">
        <v>903</v>
      </c>
      <c r="B947" s="165" t="str">
        <f>IF($A947&gt;MIN($A$10,$A$2),"",INDEX(DemoHistory[Date],$A947))</f>
        <v/>
      </c>
      <c r="C947" s="166" t="str">
        <f>IF(OR($A947&gt;MIN($A$10,$A$2),$A$5=""),"",INDEX(DemoHistory[],$A947,MATCH($A$5,DemoHistory[#Headers],0)))</f>
        <v/>
      </c>
      <c r="D947" s="166" t="str">
        <f>IF($A947&gt;MIN($A$10,$A$2),"",IF(AND($A$12,$A$6=1,B947&lt;$A$7,$A$7&lt;=MAX(DemoHistory[Date])),$A$8,1))</f>
        <v/>
      </c>
      <c r="E947" s="166" t="str">
        <f t="shared" si="42"/>
        <v/>
      </c>
      <c r="F947" s="166" t="str">
        <f>IF($A947&gt;MIN($A$10,$A$2),"",IF($A947&lt;50,"n.a.",IF(COUNT(INDEX(StockDaily[Adjusted close],MAX(1,$A947-50+1)):E947)=50,AVERAGE(INDEX(StockDaily[Adjusted close],MAX(1,$A947-50+1)):E947),"n.a.")))</f>
        <v/>
      </c>
      <c r="G947" s="166" t="str">
        <f>IF($A947&gt;MIN($A$10,$A$2),"",IF($A947&lt;200,"n.a.",IF(COUNT(INDEX(StockDaily[Adjusted close],MAX(1,$A947-200+1)):E947)=200,AVERAGE(INDEX(StockDaily[Adjusted close],MAX(1,$A947-200+1)):E947),"n.a.")))</f>
        <v/>
      </c>
      <c r="H947" s="136" t="str">
        <f>IF($A947&gt;MIN($A$10,$A$2),"",IF($A$5="","Choose stock",IF(NOT($A$12),"Check split rule",IF(NOT(ISNUMBER(B947)),"Invalid date",IF(OR(B947&lt;=0,B947&lt;&gt;INT(B947)),"Invalid date",IF(COUNTIFS(DemoHistory[Date],B947)&lt;&gt;1,"Duplicate date",IF(AND($A947&gt;1,B947&lt;=B946),"Dates out of order",IF(NOT(ISNUMBER(C947)),"Missing price",IF(C947&lt;=0,"Nonpositive price","OK")))))))))</f>
        <v/>
      </c>
      <c r="I947" s="136"/>
      <c r="J947" s="136"/>
      <c r="K947" s="136"/>
      <c r="L947" s="136"/>
      <c r="M947" s="136"/>
      <c r="N947" s="136" t="e">
        <f t="shared" si="43"/>
        <v>#N/A</v>
      </c>
      <c r="O947" s="136" t="e">
        <f t="shared" si="44"/>
        <v>#N/A</v>
      </c>
    </row>
    <row r="948" spans="1:15" ht="22" customHeight="1" x14ac:dyDescent="0.35">
      <c r="A948" s="136">
        <v>904</v>
      </c>
      <c r="B948" s="165" t="str">
        <f>IF($A948&gt;MIN($A$10,$A$2),"",INDEX(DemoHistory[Date],$A948))</f>
        <v/>
      </c>
      <c r="C948" s="166" t="str">
        <f>IF(OR($A948&gt;MIN($A$10,$A$2),$A$5=""),"",INDEX(DemoHistory[],$A948,MATCH($A$5,DemoHistory[#Headers],0)))</f>
        <v/>
      </c>
      <c r="D948" s="166" t="str">
        <f>IF($A948&gt;MIN($A$10,$A$2),"",IF(AND($A$12,$A$6=1,B948&lt;$A$7,$A$7&lt;=MAX(DemoHistory[Date])),$A$8,1))</f>
        <v/>
      </c>
      <c r="E948" s="166" t="str">
        <f t="shared" si="42"/>
        <v/>
      </c>
      <c r="F948" s="166" t="str">
        <f>IF($A948&gt;MIN($A$10,$A$2),"",IF($A948&lt;50,"n.a.",IF(COUNT(INDEX(StockDaily[Adjusted close],MAX(1,$A948-50+1)):E948)=50,AVERAGE(INDEX(StockDaily[Adjusted close],MAX(1,$A948-50+1)):E948),"n.a.")))</f>
        <v/>
      </c>
      <c r="G948" s="166" t="str">
        <f>IF($A948&gt;MIN($A$10,$A$2),"",IF($A948&lt;200,"n.a.",IF(COUNT(INDEX(StockDaily[Adjusted close],MAX(1,$A948-200+1)):E948)=200,AVERAGE(INDEX(StockDaily[Adjusted close],MAX(1,$A948-200+1)):E948),"n.a.")))</f>
        <v/>
      </c>
      <c r="H948" s="136" t="str">
        <f>IF($A948&gt;MIN($A$10,$A$2),"",IF($A$5="","Choose stock",IF(NOT($A$12),"Check split rule",IF(NOT(ISNUMBER(B948)),"Invalid date",IF(OR(B948&lt;=0,B948&lt;&gt;INT(B948)),"Invalid date",IF(COUNTIFS(DemoHistory[Date],B948)&lt;&gt;1,"Duplicate date",IF(AND($A948&gt;1,B948&lt;=B947),"Dates out of order",IF(NOT(ISNUMBER(C948)),"Missing price",IF(C948&lt;=0,"Nonpositive price","OK")))))))))</f>
        <v/>
      </c>
      <c r="I948" s="136"/>
      <c r="J948" s="136"/>
      <c r="K948" s="136"/>
      <c r="L948" s="136"/>
      <c r="M948" s="136"/>
      <c r="N948" s="136" t="e">
        <f t="shared" si="43"/>
        <v>#N/A</v>
      </c>
      <c r="O948" s="136" t="e">
        <f t="shared" si="44"/>
        <v>#N/A</v>
      </c>
    </row>
    <row r="949" spans="1:15" ht="22" customHeight="1" x14ac:dyDescent="0.35">
      <c r="A949" s="136">
        <v>905</v>
      </c>
      <c r="B949" s="165" t="str">
        <f>IF($A949&gt;MIN($A$10,$A$2),"",INDEX(DemoHistory[Date],$A949))</f>
        <v/>
      </c>
      <c r="C949" s="166" t="str">
        <f>IF(OR($A949&gt;MIN($A$10,$A$2),$A$5=""),"",INDEX(DemoHistory[],$A949,MATCH($A$5,DemoHistory[#Headers],0)))</f>
        <v/>
      </c>
      <c r="D949" s="166" t="str">
        <f>IF($A949&gt;MIN($A$10,$A$2),"",IF(AND($A$12,$A$6=1,B949&lt;$A$7,$A$7&lt;=MAX(DemoHistory[Date])),$A$8,1))</f>
        <v/>
      </c>
      <c r="E949" s="166" t="str">
        <f t="shared" si="42"/>
        <v/>
      </c>
      <c r="F949" s="166" t="str">
        <f>IF($A949&gt;MIN($A$10,$A$2),"",IF($A949&lt;50,"n.a.",IF(COUNT(INDEX(StockDaily[Adjusted close],MAX(1,$A949-50+1)):E949)=50,AVERAGE(INDEX(StockDaily[Adjusted close],MAX(1,$A949-50+1)):E949),"n.a.")))</f>
        <v/>
      </c>
      <c r="G949" s="166" t="str">
        <f>IF($A949&gt;MIN($A$10,$A$2),"",IF($A949&lt;200,"n.a.",IF(COUNT(INDEX(StockDaily[Adjusted close],MAX(1,$A949-200+1)):E949)=200,AVERAGE(INDEX(StockDaily[Adjusted close],MAX(1,$A949-200+1)):E949),"n.a.")))</f>
        <v/>
      </c>
      <c r="H949" s="136" t="str">
        <f>IF($A949&gt;MIN($A$10,$A$2),"",IF($A$5="","Choose stock",IF(NOT($A$12),"Check split rule",IF(NOT(ISNUMBER(B949)),"Invalid date",IF(OR(B949&lt;=0,B949&lt;&gt;INT(B949)),"Invalid date",IF(COUNTIFS(DemoHistory[Date],B949)&lt;&gt;1,"Duplicate date",IF(AND($A949&gt;1,B949&lt;=B948),"Dates out of order",IF(NOT(ISNUMBER(C949)),"Missing price",IF(C949&lt;=0,"Nonpositive price","OK")))))))))</f>
        <v/>
      </c>
      <c r="I949" s="136"/>
      <c r="J949" s="136"/>
      <c r="K949" s="136"/>
      <c r="L949" s="136"/>
      <c r="M949" s="136"/>
      <c r="N949" s="136" t="e">
        <f t="shared" si="43"/>
        <v>#N/A</v>
      </c>
      <c r="O949" s="136" t="e">
        <f t="shared" si="44"/>
        <v>#N/A</v>
      </c>
    </row>
    <row r="950" spans="1:15" ht="22" customHeight="1" x14ac:dyDescent="0.35">
      <c r="A950" s="136">
        <v>906</v>
      </c>
      <c r="B950" s="165" t="str">
        <f>IF($A950&gt;MIN($A$10,$A$2),"",INDEX(DemoHistory[Date],$A950))</f>
        <v/>
      </c>
      <c r="C950" s="166" t="str">
        <f>IF(OR($A950&gt;MIN($A$10,$A$2),$A$5=""),"",INDEX(DemoHistory[],$A950,MATCH($A$5,DemoHistory[#Headers],0)))</f>
        <v/>
      </c>
      <c r="D950" s="166" t="str">
        <f>IF($A950&gt;MIN($A$10,$A$2),"",IF(AND($A$12,$A$6=1,B950&lt;$A$7,$A$7&lt;=MAX(DemoHistory[Date])),$A$8,1))</f>
        <v/>
      </c>
      <c r="E950" s="166" t="str">
        <f t="shared" si="42"/>
        <v/>
      </c>
      <c r="F950" s="166" t="str">
        <f>IF($A950&gt;MIN($A$10,$A$2),"",IF($A950&lt;50,"n.a.",IF(COUNT(INDEX(StockDaily[Adjusted close],MAX(1,$A950-50+1)):E950)=50,AVERAGE(INDEX(StockDaily[Adjusted close],MAX(1,$A950-50+1)):E950),"n.a.")))</f>
        <v/>
      </c>
      <c r="G950" s="166" t="str">
        <f>IF($A950&gt;MIN($A$10,$A$2),"",IF($A950&lt;200,"n.a.",IF(COUNT(INDEX(StockDaily[Adjusted close],MAX(1,$A950-200+1)):E950)=200,AVERAGE(INDEX(StockDaily[Adjusted close],MAX(1,$A950-200+1)):E950),"n.a.")))</f>
        <v/>
      </c>
      <c r="H950" s="136" t="str">
        <f>IF($A950&gt;MIN($A$10,$A$2),"",IF($A$5="","Choose stock",IF(NOT($A$12),"Check split rule",IF(NOT(ISNUMBER(B950)),"Invalid date",IF(OR(B950&lt;=0,B950&lt;&gt;INT(B950)),"Invalid date",IF(COUNTIFS(DemoHistory[Date],B950)&lt;&gt;1,"Duplicate date",IF(AND($A950&gt;1,B950&lt;=B949),"Dates out of order",IF(NOT(ISNUMBER(C950)),"Missing price",IF(C950&lt;=0,"Nonpositive price","OK")))))))))</f>
        <v/>
      </c>
      <c r="I950" s="136"/>
      <c r="J950" s="136"/>
      <c r="K950" s="136"/>
      <c r="L950" s="136"/>
      <c r="M950" s="136"/>
      <c r="N950" s="136" t="e">
        <f t="shared" si="43"/>
        <v>#N/A</v>
      </c>
      <c r="O950" s="136" t="e">
        <f t="shared" si="44"/>
        <v>#N/A</v>
      </c>
    </row>
    <row r="951" spans="1:15" ht="22" customHeight="1" x14ac:dyDescent="0.35">
      <c r="A951" s="136">
        <v>907</v>
      </c>
      <c r="B951" s="165" t="str">
        <f>IF($A951&gt;MIN($A$10,$A$2),"",INDEX(DemoHistory[Date],$A951))</f>
        <v/>
      </c>
      <c r="C951" s="166" t="str">
        <f>IF(OR($A951&gt;MIN($A$10,$A$2),$A$5=""),"",INDEX(DemoHistory[],$A951,MATCH($A$5,DemoHistory[#Headers],0)))</f>
        <v/>
      </c>
      <c r="D951" s="166" t="str">
        <f>IF($A951&gt;MIN($A$10,$A$2),"",IF(AND($A$12,$A$6=1,B951&lt;$A$7,$A$7&lt;=MAX(DemoHistory[Date])),$A$8,1))</f>
        <v/>
      </c>
      <c r="E951" s="166" t="str">
        <f t="shared" si="42"/>
        <v/>
      </c>
      <c r="F951" s="166" t="str">
        <f>IF($A951&gt;MIN($A$10,$A$2),"",IF($A951&lt;50,"n.a.",IF(COUNT(INDEX(StockDaily[Adjusted close],MAX(1,$A951-50+1)):E951)=50,AVERAGE(INDEX(StockDaily[Adjusted close],MAX(1,$A951-50+1)):E951),"n.a.")))</f>
        <v/>
      </c>
      <c r="G951" s="166" t="str">
        <f>IF($A951&gt;MIN($A$10,$A$2),"",IF($A951&lt;200,"n.a.",IF(COUNT(INDEX(StockDaily[Adjusted close],MAX(1,$A951-200+1)):E951)=200,AVERAGE(INDEX(StockDaily[Adjusted close],MAX(1,$A951-200+1)):E951),"n.a.")))</f>
        <v/>
      </c>
      <c r="H951" s="136" t="str">
        <f>IF($A951&gt;MIN($A$10,$A$2),"",IF($A$5="","Choose stock",IF(NOT($A$12),"Check split rule",IF(NOT(ISNUMBER(B951)),"Invalid date",IF(OR(B951&lt;=0,B951&lt;&gt;INT(B951)),"Invalid date",IF(COUNTIFS(DemoHistory[Date],B951)&lt;&gt;1,"Duplicate date",IF(AND($A951&gt;1,B951&lt;=B950),"Dates out of order",IF(NOT(ISNUMBER(C951)),"Missing price",IF(C951&lt;=0,"Nonpositive price","OK")))))))))</f>
        <v/>
      </c>
      <c r="I951" s="136"/>
      <c r="J951" s="136"/>
      <c r="K951" s="136"/>
      <c r="L951" s="136"/>
      <c r="M951" s="136"/>
      <c r="N951" s="136" t="e">
        <f t="shared" si="43"/>
        <v>#N/A</v>
      </c>
      <c r="O951" s="136" t="e">
        <f t="shared" si="44"/>
        <v>#N/A</v>
      </c>
    </row>
    <row r="952" spans="1:15" ht="22" customHeight="1" x14ac:dyDescent="0.35">
      <c r="A952" s="136">
        <v>908</v>
      </c>
      <c r="B952" s="165" t="str">
        <f>IF($A952&gt;MIN($A$10,$A$2),"",INDEX(DemoHistory[Date],$A952))</f>
        <v/>
      </c>
      <c r="C952" s="166" t="str">
        <f>IF(OR($A952&gt;MIN($A$10,$A$2),$A$5=""),"",INDEX(DemoHistory[],$A952,MATCH($A$5,DemoHistory[#Headers],0)))</f>
        <v/>
      </c>
      <c r="D952" s="166" t="str">
        <f>IF($A952&gt;MIN($A$10,$A$2),"",IF(AND($A$12,$A$6=1,B952&lt;$A$7,$A$7&lt;=MAX(DemoHistory[Date])),$A$8,1))</f>
        <v/>
      </c>
      <c r="E952" s="166" t="str">
        <f t="shared" si="42"/>
        <v/>
      </c>
      <c r="F952" s="166" t="str">
        <f>IF($A952&gt;MIN($A$10,$A$2),"",IF($A952&lt;50,"n.a.",IF(COUNT(INDEX(StockDaily[Adjusted close],MAX(1,$A952-50+1)):E952)=50,AVERAGE(INDEX(StockDaily[Adjusted close],MAX(1,$A952-50+1)):E952),"n.a.")))</f>
        <v/>
      </c>
      <c r="G952" s="166" t="str">
        <f>IF($A952&gt;MIN($A$10,$A$2),"",IF($A952&lt;200,"n.a.",IF(COUNT(INDEX(StockDaily[Adjusted close],MAX(1,$A952-200+1)):E952)=200,AVERAGE(INDEX(StockDaily[Adjusted close],MAX(1,$A952-200+1)):E952),"n.a.")))</f>
        <v/>
      </c>
      <c r="H952" s="136" t="str">
        <f>IF($A952&gt;MIN($A$10,$A$2),"",IF($A$5="","Choose stock",IF(NOT($A$12),"Check split rule",IF(NOT(ISNUMBER(B952)),"Invalid date",IF(OR(B952&lt;=0,B952&lt;&gt;INT(B952)),"Invalid date",IF(COUNTIFS(DemoHistory[Date],B952)&lt;&gt;1,"Duplicate date",IF(AND($A952&gt;1,B952&lt;=B951),"Dates out of order",IF(NOT(ISNUMBER(C952)),"Missing price",IF(C952&lt;=0,"Nonpositive price","OK")))))))))</f>
        <v/>
      </c>
      <c r="I952" s="136"/>
      <c r="J952" s="136"/>
      <c r="K952" s="136"/>
      <c r="L952" s="136"/>
      <c r="M952" s="136"/>
      <c r="N952" s="136" t="e">
        <f t="shared" si="43"/>
        <v>#N/A</v>
      </c>
      <c r="O952" s="136" t="e">
        <f t="shared" si="44"/>
        <v>#N/A</v>
      </c>
    </row>
    <row r="953" spans="1:15" ht="22" customHeight="1" x14ac:dyDescent="0.35">
      <c r="A953" s="136">
        <v>909</v>
      </c>
      <c r="B953" s="165" t="str">
        <f>IF($A953&gt;MIN($A$10,$A$2),"",INDEX(DemoHistory[Date],$A953))</f>
        <v/>
      </c>
      <c r="C953" s="166" t="str">
        <f>IF(OR($A953&gt;MIN($A$10,$A$2),$A$5=""),"",INDEX(DemoHistory[],$A953,MATCH($A$5,DemoHistory[#Headers],0)))</f>
        <v/>
      </c>
      <c r="D953" s="166" t="str">
        <f>IF($A953&gt;MIN($A$10,$A$2),"",IF(AND($A$12,$A$6=1,B953&lt;$A$7,$A$7&lt;=MAX(DemoHistory[Date])),$A$8,1))</f>
        <v/>
      </c>
      <c r="E953" s="166" t="str">
        <f t="shared" si="42"/>
        <v/>
      </c>
      <c r="F953" s="166" t="str">
        <f>IF($A953&gt;MIN($A$10,$A$2),"",IF($A953&lt;50,"n.a.",IF(COUNT(INDEX(StockDaily[Adjusted close],MAX(1,$A953-50+1)):E953)=50,AVERAGE(INDEX(StockDaily[Adjusted close],MAX(1,$A953-50+1)):E953),"n.a.")))</f>
        <v/>
      </c>
      <c r="G953" s="166" t="str">
        <f>IF($A953&gt;MIN($A$10,$A$2),"",IF($A953&lt;200,"n.a.",IF(COUNT(INDEX(StockDaily[Adjusted close],MAX(1,$A953-200+1)):E953)=200,AVERAGE(INDEX(StockDaily[Adjusted close],MAX(1,$A953-200+1)):E953),"n.a.")))</f>
        <v/>
      </c>
      <c r="H953" s="136" t="str">
        <f>IF($A953&gt;MIN($A$10,$A$2),"",IF($A$5="","Choose stock",IF(NOT($A$12),"Check split rule",IF(NOT(ISNUMBER(B953)),"Invalid date",IF(OR(B953&lt;=0,B953&lt;&gt;INT(B953)),"Invalid date",IF(COUNTIFS(DemoHistory[Date],B953)&lt;&gt;1,"Duplicate date",IF(AND($A953&gt;1,B953&lt;=B952),"Dates out of order",IF(NOT(ISNUMBER(C953)),"Missing price",IF(C953&lt;=0,"Nonpositive price","OK")))))))))</f>
        <v/>
      </c>
      <c r="I953" s="136"/>
      <c r="J953" s="136"/>
      <c r="K953" s="136"/>
      <c r="L953" s="136"/>
      <c r="M953" s="136"/>
      <c r="N953" s="136" t="e">
        <f t="shared" si="43"/>
        <v>#N/A</v>
      </c>
      <c r="O953" s="136" t="e">
        <f t="shared" si="44"/>
        <v>#N/A</v>
      </c>
    </row>
    <row r="954" spans="1:15" ht="22" customHeight="1" x14ac:dyDescent="0.35">
      <c r="A954" s="136">
        <v>910</v>
      </c>
      <c r="B954" s="165" t="str">
        <f>IF($A954&gt;MIN($A$10,$A$2),"",INDEX(DemoHistory[Date],$A954))</f>
        <v/>
      </c>
      <c r="C954" s="166" t="str">
        <f>IF(OR($A954&gt;MIN($A$10,$A$2),$A$5=""),"",INDEX(DemoHistory[],$A954,MATCH($A$5,DemoHistory[#Headers],0)))</f>
        <v/>
      </c>
      <c r="D954" s="166" t="str">
        <f>IF($A954&gt;MIN($A$10,$A$2),"",IF(AND($A$12,$A$6=1,B954&lt;$A$7,$A$7&lt;=MAX(DemoHistory[Date])),$A$8,1))</f>
        <v/>
      </c>
      <c r="E954" s="166" t="str">
        <f t="shared" si="42"/>
        <v/>
      </c>
      <c r="F954" s="166" t="str">
        <f>IF($A954&gt;MIN($A$10,$A$2),"",IF($A954&lt;50,"n.a.",IF(COUNT(INDEX(StockDaily[Adjusted close],MAX(1,$A954-50+1)):E954)=50,AVERAGE(INDEX(StockDaily[Adjusted close],MAX(1,$A954-50+1)):E954),"n.a.")))</f>
        <v/>
      </c>
      <c r="G954" s="166" t="str">
        <f>IF($A954&gt;MIN($A$10,$A$2),"",IF($A954&lt;200,"n.a.",IF(COUNT(INDEX(StockDaily[Adjusted close],MAX(1,$A954-200+1)):E954)=200,AVERAGE(INDEX(StockDaily[Adjusted close],MAX(1,$A954-200+1)):E954),"n.a.")))</f>
        <v/>
      </c>
      <c r="H954" s="136" t="str">
        <f>IF($A954&gt;MIN($A$10,$A$2),"",IF($A$5="","Choose stock",IF(NOT($A$12),"Check split rule",IF(NOT(ISNUMBER(B954)),"Invalid date",IF(OR(B954&lt;=0,B954&lt;&gt;INT(B954)),"Invalid date",IF(COUNTIFS(DemoHistory[Date],B954)&lt;&gt;1,"Duplicate date",IF(AND($A954&gt;1,B954&lt;=B953),"Dates out of order",IF(NOT(ISNUMBER(C954)),"Missing price",IF(C954&lt;=0,"Nonpositive price","OK")))))))))</f>
        <v/>
      </c>
      <c r="I954" s="136"/>
      <c r="J954" s="136"/>
      <c r="K954" s="136"/>
      <c r="L954" s="136"/>
      <c r="M954" s="136"/>
      <c r="N954" s="136" t="e">
        <f t="shared" si="43"/>
        <v>#N/A</v>
      </c>
      <c r="O954" s="136" t="e">
        <f t="shared" si="44"/>
        <v>#N/A</v>
      </c>
    </row>
    <row r="955" spans="1:15" ht="22" customHeight="1" x14ac:dyDescent="0.35">
      <c r="A955" s="136">
        <v>911</v>
      </c>
      <c r="B955" s="165" t="str">
        <f>IF($A955&gt;MIN($A$10,$A$2),"",INDEX(DemoHistory[Date],$A955))</f>
        <v/>
      </c>
      <c r="C955" s="166" t="str">
        <f>IF(OR($A955&gt;MIN($A$10,$A$2),$A$5=""),"",INDEX(DemoHistory[],$A955,MATCH($A$5,DemoHistory[#Headers],0)))</f>
        <v/>
      </c>
      <c r="D955" s="166" t="str">
        <f>IF($A955&gt;MIN($A$10,$A$2),"",IF(AND($A$12,$A$6=1,B955&lt;$A$7,$A$7&lt;=MAX(DemoHistory[Date])),$A$8,1))</f>
        <v/>
      </c>
      <c r="E955" s="166" t="str">
        <f t="shared" si="42"/>
        <v/>
      </c>
      <c r="F955" s="166" t="str">
        <f>IF($A955&gt;MIN($A$10,$A$2),"",IF($A955&lt;50,"n.a.",IF(COUNT(INDEX(StockDaily[Adjusted close],MAX(1,$A955-50+1)):E955)=50,AVERAGE(INDEX(StockDaily[Adjusted close],MAX(1,$A955-50+1)):E955),"n.a.")))</f>
        <v/>
      </c>
      <c r="G955" s="166" t="str">
        <f>IF($A955&gt;MIN($A$10,$A$2),"",IF($A955&lt;200,"n.a.",IF(COUNT(INDEX(StockDaily[Adjusted close],MAX(1,$A955-200+1)):E955)=200,AVERAGE(INDEX(StockDaily[Adjusted close],MAX(1,$A955-200+1)):E955),"n.a.")))</f>
        <v/>
      </c>
      <c r="H955" s="136" t="str">
        <f>IF($A955&gt;MIN($A$10,$A$2),"",IF($A$5="","Choose stock",IF(NOT($A$12),"Check split rule",IF(NOT(ISNUMBER(B955)),"Invalid date",IF(OR(B955&lt;=0,B955&lt;&gt;INT(B955)),"Invalid date",IF(COUNTIFS(DemoHistory[Date],B955)&lt;&gt;1,"Duplicate date",IF(AND($A955&gt;1,B955&lt;=B954),"Dates out of order",IF(NOT(ISNUMBER(C955)),"Missing price",IF(C955&lt;=0,"Nonpositive price","OK")))))))))</f>
        <v/>
      </c>
      <c r="I955" s="136"/>
      <c r="J955" s="136"/>
      <c r="K955" s="136"/>
      <c r="L955" s="136"/>
      <c r="M955" s="136"/>
      <c r="N955" s="136" t="e">
        <f t="shared" si="43"/>
        <v>#N/A</v>
      </c>
      <c r="O955" s="136" t="e">
        <f t="shared" si="44"/>
        <v>#N/A</v>
      </c>
    </row>
    <row r="956" spans="1:15" ht="22" customHeight="1" x14ac:dyDescent="0.35">
      <c r="A956" s="136">
        <v>912</v>
      </c>
      <c r="B956" s="165" t="str">
        <f>IF($A956&gt;MIN($A$10,$A$2),"",INDEX(DemoHistory[Date],$A956))</f>
        <v/>
      </c>
      <c r="C956" s="166" t="str">
        <f>IF(OR($A956&gt;MIN($A$10,$A$2),$A$5=""),"",INDEX(DemoHistory[],$A956,MATCH($A$5,DemoHistory[#Headers],0)))</f>
        <v/>
      </c>
      <c r="D956" s="166" t="str">
        <f>IF($A956&gt;MIN($A$10,$A$2),"",IF(AND($A$12,$A$6=1,B956&lt;$A$7,$A$7&lt;=MAX(DemoHistory[Date])),$A$8,1))</f>
        <v/>
      </c>
      <c r="E956" s="166" t="str">
        <f t="shared" si="42"/>
        <v/>
      </c>
      <c r="F956" s="166" t="str">
        <f>IF($A956&gt;MIN($A$10,$A$2),"",IF($A956&lt;50,"n.a.",IF(COUNT(INDEX(StockDaily[Adjusted close],MAX(1,$A956-50+1)):E956)=50,AVERAGE(INDEX(StockDaily[Adjusted close],MAX(1,$A956-50+1)):E956),"n.a.")))</f>
        <v/>
      </c>
      <c r="G956" s="166" t="str">
        <f>IF($A956&gt;MIN($A$10,$A$2),"",IF($A956&lt;200,"n.a.",IF(COUNT(INDEX(StockDaily[Adjusted close],MAX(1,$A956-200+1)):E956)=200,AVERAGE(INDEX(StockDaily[Adjusted close],MAX(1,$A956-200+1)):E956),"n.a.")))</f>
        <v/>
      </c>
      <c r="H956" s="136" t="str">
        <f>IF($A956&gt;MIN($A$10,$A$2),"",IF($A$5="","Choose stock",IF(NOT($A$12),"Check split rule",IF(NOT(ISNUMBER(B956)),"Invalid date",IF(OR(B956&lt;=0,B956&lt;&gt;INT(B956)),"Invalid date",IF(COUNTIFS(DemoHistory[Date],B956)&lt;&gt;1,"Duplicate date",IF(AND($A956&gt;1,B956&lt;=B955),"Dates out of order",IF(NOT(ISNUMBER(C956)),"Missing price",IF(C956&lt;=0,"Nonpositive price","OK")))))))))</f>
        <v/>
      </c>
      <c r="I956" s="136"/>
      <c r="J956" s="136"/>
      <c r="K956" s="136"/>
      <c r="L956" s="136"/>
      <c r="M956" s="136"/>
      <c r="N956" s="136" t="e">
        <f t="shared" si="43"/>
        <v>#N/A</v>
      </c>
      <c r="O956" s="136" t="e">
        <f t="shared" si="44"/>
        <v>#N/A</v>
      </c>
    </row>
    <row r="957" spans="1:15" ht="22" customHeight="1" x14ac:dyDescent="0.35">
      <c r="A957" s="136">
        <v>913</v>
      </c>
      <c r="B957" s="165" t="str">
        <f>IF($A957&gt;MIN($A$10,$A$2),"",INDEX(DemoHistory[Date],$A957))</f>
        <v/>
      </c>
      <c r="C957" s="166" t="str">
        <f>IF(OR($A957&gt;MIN($A$10,$A$2),$A$5=""),"",INDEX(DemoHistory[],$A957,MATCH($A$5,DemoHistory[#Headers],0)))</f>
        <v/>
      </c>
      <c r="D957" s="166" t="str">
        <f>IF($A957&gt;MIN($A$10,$A$2),"",IF(AND($A$12,$A$6=1,B957&lt;$A$7,$A$7&lt;=MAX(DemoHistory[Date])),$A$8,1))</f>
        <v/>
      </c>
      <c r="E957" s="166" t="str">
        <f t="shared" si="42"/>
        <v/>
      </c>
      <c r="F957" s="166" t="str">
        <f>IF($A957&gt;MIN($A$10,$A$2),"",IF($A957&lt;50,"n.a.",IF(COUNT(INDEX(StockDaily[Adjusted close],MAX(1,$A957-50+1)):E957)=50,AVERAGE(INDEX(StockDaily[Adjusted close],MAX(1,$A957-50+1)):E957),"n.a.")))</f>
        <v/>
      </c>
      <c r="G957" s="166" t="str">
        <f>IF($A957&gt;MIN($A$10,$A$2),"",IF($A957&lt;200,"n.a.",IF(COUNT(INDEX(StockDaily[Adjusted close],MAX(1,$A957-200+1)):E957)=200,AVERAGE(INDEX(StockDaily[Adjusted close],MAX(1,$A957-200+1)):E957),"n.a.")))</f>
        <v/>
      </c>
      <c r="H957" s="136" t="str">
        <f>IF($A957&gt;MIN($A$10,$A$2),"",IF($A$5="","Choose stock",IF(NOT($A$12),"Check split rule",IF(NOT(ISNUMBER(B957)),"Invalid date",IF(OR(B957&lt;=0,B957&lt;&gt;INT(B957)),"Invalid date",IF(COUNTIFS(DemoHistory[Date],B957)&lt;&gt;1,"Duplicate date",IF(AND($A957&gt;1,B957&lt;=B956),"Dates out of order",IF(NOT(ISNUMBER(C957)),"Missing price",IF(C957&lt;=0,"Nonpositive price","OK")))))))))</f>
        <v/>
      </c>
      <c r="I957" s="136"/>
      <c r="J957" s="136"/>
      <c r="K957" s="136"/>
      <c r="L957" s="136"/>
      <c r="M957" s="136"/>
      <c r="N957" s="136" t="e">
        <f t="shared" si="43"/>
        <v>#N/A</v>
      </c>
      <c r="O957" s="136" t="e">
        <f t="shared" si="44"/>
        <v>#N/A</v>
      </c>
    </row>
    <row r="958" spans="1:15" ht="22" customHeight="1" x14ac:dyDescent="0.35">
      <c r="A958" s="136">
        <v>914</v>
      </c>
      <c r="B958" s="165" t="str">
        <f>IF($A958&gt;MIN($A$10,$A$2),"",INDEX(DemoHistory[Date],$A958))</f>
        <v/>
      </c>
      <c r="C958" s="166" t="str">
        <f>IF(OR($A958&gt;MIN($A$10,$A$2),$A$5=""),"",INDEX(DemoHistory[],$A958,MATCH($A$5,DemoHistory[#Headers],0)))</f>
        <v/>
      </c>
      <c r="D958" s="166" t="str">
        <f>IF($A958&gt;MIN($A$10,$A$2),"",IF(AND($A$12,$A$6=1,B958&lt;$A$7,$A$7&lt;=MAX(DemoHistory[Date])),$A$8,1))</f>
        <v/>
      </c>
      <c r="E958" s="166" t="str">
        <f t="shared" si="42"/>
        <v/>
      </c>
      <c r="F958" s="166" t="str">
        <f>IF($A958&gt;MIN($A$10,$A$2),"",IF($A958&lt;50,"n.a.",IF(COUNT(INDEX(StockDaily[Adjusted close],MAX(1,$A958-50+1)):E958)=50,AVERAGE(INDEX(StockDaily[Adjusted close],MAX(1,$A958-50+1)):E958),"n.a.")))</f>
        <v/>
      </c>
      <c r="G958" s="166" t="str">
        <f>IF($A958&gt;MIN($A$10,$A$2),"",IF($A958&lt;200,"n.a.",IF(COUNT(INDEX(StockDaily[Adjusted close],MAX(1,$A958-200+1)):E958)=200,AVERAGE(INDEX(StockDaily[Adjusted close],MAX(1,$A958-200+1)):E958),"n.a.")))</f>
        <v/>
      </c>
      <c r="H958" s="136" t="str">
        <f>IF($A958&gt;MIN($A$10,$A$2),"",IF($A$5="","Choose stock",IF(NOT($A$12),"Check split rule",IF(NOT(ISNUMBER(B958)),"Invalid date",IF(OR(B958&lt;=0,B958&lt;&gt;INT(B958)),"Invalid date",IF(COUNTIFS(DemoHistory[Date],B958)&lt;&gt;1,"Duplicate date",IF(AND($A958&gt;1,B958&lt;=B957),"Dates out of order",IF(NOT(ISNUMBER(C958)),"Missing price",IF(C958&lt;=0,"Nonpositive price","OK")))))))))</f>
        <v/>
      </c>
      <c r="I958" s="136"/>
      <c r="J958" s="136"/>
      <c r="K958" s="136"/>
      <c r="L958" s="136"/>
      <c r="M958" s="136"/>
      <c r="N958" s="136" t="e">
        <f t="shared" si="43"/>
        <v>#N/A</v>
      </c>
      <c r="O958" s="136" t="e">
        <f t="shared" si="44"/>
        <v>#N/A</v>
      </c>
    </row>
    <row r="959" spans="1:15" ht="22" customHeight="1" x14ac:dyDescent="0.35">
      <c r="A959" s="136">
        <v>915</v>
      </c>
      <c r="B959" s="165" t="str">
        <f>IF($A959&gt;MIN($A$10,$A$2),"",INDEX(DemoHistory[Date],$A959))</f>
        <v/>
      </c>
      <c r="C959" s="166" t="str">
        <f>IF(OR($A959&gt;MIN($A$10,$A$2),$A$5=""),"",INDEX(DemoHistory[],$A959,MATCH($A$5,DemoHistory[#Headers],0)))</f>
        <v/>
      </c>
      <c r="D959" s="166" t="str">
        <f>IF($A959&gt;MIN($A$10,$A$2),"",IF(AND($A$12,$A$6=1,B959&lt;$A$7,$A$7&lt;=MAX(DemoHistory[Date])),$A$8,1))</f>
        <v/>
      </c>
      <c r="E959" s="166" t="str">
        <f t="shared" si="42"/>
        <v/>
      </c>
      <c r="F959" s="166" t="str">
        <f>IF($A959&gt;MIN($A$10,$A$2),"",IF($A959&lt;50,"n.a.",IF(COUNT(INDEX(StockDaily[Adjusted close],MAX(1,$A959-50+1)):E959)=50,AVERAGE(INDEX(StockDaily[Adjusted close],MAX(1,$A959-50+1)):E959),"n.a.")))</f>
        <v/>
      </c>
      <c r="G959" s="166" t="str">
        <f>IF($A959&gt;MIN($A$10,$A$2),"",IF($A959&lt;200,"n.a.",IF(COUNT(INDEX(StockDaily[Adjusted close],MAX(1,$A959-200+1)):E959)=200,AVERAGE(INDEX(StockDaily[Adjusted close],MAX(1,$A959-200+1)):E959),"n.a.")))</f>
        <v/>
      </c>
      <c r="H959" s="136" t="str">
        <f>IF($A959&gt;MIN($A$10,$A$2),"",IF($A$5="","Choose stock",IF(NOT($A$12),"Check split rule",IF(NOT(ISNUMBER(B959)),"Invalid date",IF(OR(B959&lt;=0,B959&lt;&gt;INT(B959)),"Invalid date",IF(COUNTIFS(DemoHistory[Date],B959)&lt;&gt;1,"Duplicate date",IF(AND($A959&gt;1,B959&lt;=B958),"Dates out of order",IF(NOT(ISNUMBER(C959)),"Missing price",IF(C959&lt;=0,"Nonpositive price","OK")))))))))</f>
        <v/>
      </c>
      <c r="I959" s="136"/>
      <c r="J959" s="136"/>
      <c r="K959" s="136"/>
      <c r="L959" s="136"/>
      <c r="M959" s="136"/>
      <c r="N959" s="136" t="e">
        <f t="shared" si="43"/>
        <v>#N/A</v>
      </c>
      <c r="O959" s="136" t="e">
        <f t="shared" si="44"/>
        <v>#N/A</v>
      </c>
    </row>
    <row r="960" spans="1:15" ht="22" customHeight="1" x14ac:dyDescent="0.35">
      <c r="A960" s="136">
        <v>916</v>
      </c>
      <c r="B960" s="165" t="str">
        <f>IF($A960&gt;MIN($A$10,$A$2),"",INDEX(DemoHistory[Date],$A960))</f>
        <v/>
      </c>
      <c r="C960" s="166" t="str">
        <f>IF(OR($A960&gt;MIN($A$10,$A$2),$A$5=""),"",INDEX(DemoHistory[],$A960,MATCH($A$5,DemoHistory[#Headers],0)))</f>
        <v/>
      </c>
      <c r="D960" s="166" t="str">
        <f>IF($A960&gt;MIN($A$10,$A$2),"",IF(AND($A$12,$A$6=1,B960&lt;$A$7,$A$7&lt;=MAX(DemoHistory[Date])),$A$8,1))</f>
        <v/>
      </c>
      <c r="E960" s="166" t="str">
        <f t="shared" si="42"/>
        <v/>
      </c>
      <c r="F960" s="166" t="str">
        <f>IF($A960&gt;MIN($A$10,$A$2),"",IF($A960&lt;50,"n.a.",IF(COUNT(INDEX(StockDaily[Adjusted close],MAX(1,$A960-50+1)):E960)=50,AVERAGE(INDEX(StockDaily[Adjusted close],MAX(1,$A960-50+1)):E960),"n.a.")))</f>
        <v/>
      </c>
      <c r="G960" s="166" t="str">
        <f>IF($A960&gt;MIN($A$10,$A$2),"",IF($A960&lt;200,"n.a.",IF(COUNT(INDEX(StockDaily[Adjusted close],MAX(1,$A960-200+1)):E960)=200,AVERAGE(INDEX(StockDaily[Adjusted close],MAX(1,$A960-200+1)):E960),"n.a.")))</f>
        <v/>
      </c>
      <c r="H960" s="136" t="str">
        <f>IF($A960&gt;MIN($A$10,$A$2),"",IF($A$5="","Choose stock",IF(NOT($A$12),"Check split rule",IF(NOT(ISNUMBER(B960)),"Invalid date",IF(OR(B960&lt;=0,B960&lt;&gt;INT(B960)),"Invalid date",IF(COUNTIFS(DemoHistory[Date],B960)&lt;&gt;1,"Duplicate date",IF(AND($A960&gt;1,B960&lt;=B959),"Dates out of order",IF(NOT(ISNUMBER(C960)),"Missing price",IF(C960&lt;=0,"Nonpositive price","OK")))))))))</f>
        <v/>
      </c>
      <c r="I960" s="136"/>
      <c r="J960" s="136"/>
      <c r="K960" s="136"/>
      <c r="L960" s="136"/>
      <c r="M960" s="136"/>
      <c r="N960" s="136" t="e">
        <f t="shared" si="43"/>
        <v>#N/A</v>
      </c>
      <c r="O960" s="136" t="e">
        <f t="shared" si="44"/>
        <v>#N/A</v>
      </c>
    </row>
    <row r="961" spans="1:15" ht="22" customHeight="1" x14ac:dyDescent="0.35">
      <c r="A961" s="136">
        <v>917</v>
      </c>
      <c r="B961" s="165" t="str">
        <f>IF($A961&gt;MIN($A$10,$A$2),"",INDEX(DemoHistory[Date],$A961))</f>
        <v/>
      </c>
      <c r="C961" s="166" t="str">
        <f>IF(OR($A961&gt;MIN($A$10,$A$2),$A$5=""),"",INDEX(DemoHistory[],$A961,MATCH($A$5,DemoHistory[#Headers],0)))</f>
        <v/>
      </c>
      <c r="D961" s="166" t="str">
        <f>IF($A961&gt;MIN($A$10,$A$2),"",IF(AND($A$12,$A$6=1,B961&lt;$A$7,$A$7&lt;=MAX(DemoHistory[Date])),$A$8,1))</f>
        <v/>
      </c>
      <c r="E961" s="166" t="str">
        <f t="shared" si="42"/>
        <v/>
      </c>
      <c r="F961" s="166" t="str">
        <f>IF($A961&gt;MIN($A$10,$A$2),"",IF($A961&lt;50,"n.a.",IF(COUNT(INDEX(StockDaily[Adjusted close],MAX(1,$A961-50+1)):E961)=50,AVERAGE(INDEX(StockDaily[Adjusted close],MAX(1,$A961-50+1)):E961),"n.a.")))</f>
        <v/>
      </c>
      <c r="G961" s="166" t="str">
        <f>IF($A961&gt;MIN($A$10,$A$2),"",IF($A961&lt;200,"n.a.",IF(COUNT(INDEX(StockDaily[Adjusted close],MAX(1,$A961-200+1)):E961)=200,AVERAGE(INDEX(StockDaily[Adjusted close],MAX(1,$A961-200+1)):E961),"n.a.")))</f>
        <v/>
      </c>
      <c r="H961" s="136" t="str">
        <f>IF($A961&gt;MIN($A$10,$A$2),"",IF($A$5="","Choose stock",IF(NOT($A$12),"Check split rule",IF(NOT(ISNUMBER(B961)),"Invalid date",IF(OR(B961&lt;=0,B961&lt;&gt;INT(B961)),"Invalid date",IF(COUNTIFS(DemoHistory[Date],B961)&lt;&gt;1,"Duplicate date",IF(AND($A961&gt;1,B961&lt;=B960),"Dates out of order",IF(NOT(ISNUMBER(C961)),"Missing price",IF(C961&lt;=0,"Nonpositive price","OK")))))))))</f>
        <v/>
      </c>
      <c r="I961" s="136"/>
      <c r="J961" s="136"/>
      <c r="K961" s="136"/>
      <c r="L961" s="136"/>
      <c r="M961" s="136"/>
      <c r="N961" s="136" t="e">
        <f t="shared" si="43"/>
        <v>#N/A</v>
      </c>
      <c r="O961" s="136" t="e">
        <f t="shared" si="44"/>
        <v>#N/A</v>
      </c>
    </row>
    <row r="962" spans="1:15" ht="22" customHeight="1" x14ac:dyDescent="0.35">
      <c r="A962" s="136">
        <v>918</v>
      </c>
      <c r="B962" s="165" t="str">
        <f>IF($A962&gt;MIN($A$10,$A$2),"",INDEX(DemoHistory[Date],$A962))</f>
        <v/>
      </c>
      <c r="C962" s="166" t="str">
        <f>IF(OR($A962&gt;MIN($A$10,$A$2),$A$5=""),"",INDEX(DemoHistory[],$A962,MATCH($A$5,DemoHistory[#Headers],0)))</f>
        <v/>
      </c>
      <c r="D962" s="166" t="str">
        <f>IF($A962&gt;MIN($A$10,$A$2),"",IF(AND($A$12,$A$6=1,B962&lt;$A$7,$A$7&lt;=MAX(DemoHistory[Date])),$A$8,1))</f>
        <v/>
      </c>
      <c r="E962" s="166" t="str">
        <f t="shared" si="42"/>
        <v/>
      </c>
      <c r="F962" s="166" t="str">
        <f>IF($A962&gt;MIN($A$10,$A$2),"",IF($A962&lt;50,"n.a.",IF(COUNT(INDEX(StockDaily[Adjusted close],MAX(1,$A962-50+1)):E962)=50,AVERAGE(INDEX(StockDaily[Adjusted close],MAX(1,$A962-50+1)):E962),"n.a.")))</f>
        <v/>
      </c>
      <c r="G962" s="166" t="str">
        <f>IF($A962&gt;MIN($A$10,$A$2),"",IF($A962&lt;200,"n.a.",IF(COUNT(INDEX(StockDaily[Adjusted close],MAX(1,$A962-200+1)):E962)=200,AVERAGE(INDEX(StockDaily[Adjusted close],MAX(1,$A962-200+1)):E962),"n.a.")))</f>
        <v/>
      </c>
      <c r="H962" s="136" t="str">
        <f>IF($A962&gt;MIN($A$10,$A$2),"",IF($A$5="","Choose stock",IF(NOT($A$12),"Check split rule",IF(NOT(ISNUMBER(B962)),"Invalid date",IF(OR(B962&lt;=0,B962&lt;&gt;INT(B962)),"Invalid date",IF(COUNTIFS(DemoHistory[Date],B962)&lt;&gt;1,"Duplicate date",IF(AND($A962&gt;1,B962&lt;=B961),"Dates out of order",IF(NOT(ISNUMBER(C962)),"Missing price",IF(C962&lt;=0,"Nonpositive price","OK")))))))))</f>
        <v/>
      </c>
      <c r="I962" s="136"/>
      <c r="J962" s="136"/>
      <c r="K962" s="136"/>
      <c r="L962" s="136"/>
      <c r="M962" s="136"/>
      <c r="N962" s="136" t="e">
        <f t="shared" si="43"/>
        <v>#N/A</v>
      </c>
      <c r="O962" s="136" t="e">
        <f t="shared" si="44"/>
        <v>#N/A</v>
      </c>
    </row>
    <row r="963" spans="1:15" ht="22" customHeight="1" x14ac:dyDescent="0.35">
      <c r="A963" s="136">
        <v>919</v>
      </c>
      <c r="B963" s="165" t="str">
        <f>IF($A963&gt;MIN($A$10,$A$2),"",INDEX(DemoHistory[Date],$A963))</f>
        <v/>
      </c>
      <c r="C963" s="166" t="str">
        <f>IF(OR($A963&gt;MIN($A$10,$A$2),$A$5=""),"",INDEX(DemoHistory[],$A963,MATCH($A$5,DemoHistory[#Headers],0)))</f>
        <v/>
      </c>
      <c r="D963" s="166" t="str">
        <f>IF($A963&gt;MIN($A$10,$A$2),"",IF(AND($A$12,$A$6=1,B963&lt;$A$7,$A$7&lt;=MAX(DemoHistory[Date])),$A$8,1))</f>
        <v/>
      </c>
      <c r="E963" s="166" t="str">
        <f t="shared" si="42"/>
        <v/>
      </c>
      <c r="F963" s="166" t="str">
        <f>IF($A963&gt;MIN($A$10,$A$2),"",IF($A963&lt;50,"n.a.",IF(COUNT(INDEX(StockDaily[Adjusted close],MAX(1,$A963-50+1)):E963)=50,AVERAGE(INDEX(StockDaily[Adjusted close],MAX(1,$A963-50+1)):E963),"n.a.")))</f>
        <v/>
      </c>
      <c r="G963" s="166" t="str">
        <f>IF($A963&gt;MIN($A$10,$A$2),"",IF($A963&lt;200,"n.a.",IF(COUNT(INDEX(StockDaily[Adjusted close],MAX(1,$A963-200+1)):E963)=200,AVERAGE(INDEX(StockDaily[Adjusted close],MAX(1,$A963-200+1)):E963),"n.a.")))</f>
        <v/>
      </c>
      <c r="H963" s="136" t="str">
        <f>IF($A963&gt;MIN($A$10,$A$2),"",IF($A$5="","Choose stock",IF(NOT($A$12),"Check split rule",IF(NOT(ISNUMBER(B963)),"Invalid date",IF(OR(B963&lt;=0,B963&lt;&gt;INT(B963)),"Invalid date",IF(COUNTIFS(DemoHistory[Date],B963)&lt;&gt;1,"Duplicate date",IF(AND($A963&gt;1,B963&lt;=B962),"Dates out of order",IF(NOT(ISNUMBER(C963)),"Missing price",IF(C963&lt;=0,"Nonpositive price","OK")))))))))</f>
        <v/>
      </c>
      <c r="I963" s="136"/>
      <c r="J963" s="136"/>
      <c r="K963" s="136"/>
      <c r="L963" s="136"/>
      <c r="M963" s="136"/>
      <c r="N963" s="136" t="e">
        <f t="shared" si="43"/>
        <v>#N/A</v>
      </c>
      <c r="O963" s="136" t="e">
        <f t="shared" si="44"/>
        <v>#N/A</v>
      </c>
    </row>
    <row r="964" spans="1:15" ht="22" customHeight="1" x14ac:dyDescent="0.35">
      <c r="A964" s="136">
        <v>920</v>
      </c>
      <c r="B964" s="165" t="str">
        <f>IF($A964&gt;MIN($A$10,$A$2),"",INDEX(DemoHistory[Date],$A964))</f>
        <v/>
      </c>
      <c r="C964" s="166" t="str">
        <f>IF(OR($A964&gt;MIN($A$10,$A$2),$A$5=""),"",INDEX(DemoHistory[],$A964,MATCH($A$5,DemoHistory[#Headers],0)))</f>
        <v/>
      </c>
      <c r="D964" s="166" t="str">
        <f>IF($A964&gt;MIN($A$10,$A$2),"",IF(AND($A$12,$A$6=1,B964&lt;$A$7,$A$7&lt;=MAX(DemoHistory[Date])),$A$8,1))</f>
        <v/>
      </c>
      <c r="E964" s="166" t="str">
        <f t="shared" si="42"/>
        <v/>
      </c>
      <c r="F964" s="166" t="str">
        <f>IF($A964&gt;MIN($A$10,$A$2),"",IF($A964&lt;50,"n.a.",IF(COUNT(INDEX(StockDaily[Adjusted close],MAX(1,$A964-50+1)):E964)=50,AVERAGE(INDEX(StockDaily[Adjusted close],MAX(1,$A964-50+1)):E964),"n.a.")))</f>
        <v/>
      </c>
      <c r="G964" s="166" t="str">
        <f>IF($A964&gt;MIN($A$10,$A$2),"",IF($A964&lt;200,"n.a.",IF(COUNT(INDEX(StockDaily[Adjusted close],MAX(1,$A964-200+1)):E964)=200,AVERAGE(INDEX(StockDaily[Adjusted close],MAX(1,$A964-200+1)):E964),"n.a.")))</f>
        <v/>
      </c>
      <c r="H964" s="136" t="str">
        <f>IF($A964&gt;MIN($A$10,$A$2),"",IF($A$5="","Choose stock",IF(NOT($A$12),"Check split rule",IF(NOT(ISNUMBER(B964)),"Invalid date",IF(OR(B964&lt;=0,B964&lt;&gt;INT(B964)),"Invalid date",IF(COUNTIFS(DemoHistory[Date],B964)&lt;&gt;1,"Duplicate date",IF(AND($A964&gt;1,B964&lt;=B963),"Dates out of order",IF(NOT(ISNUMBER(C964)),"Missing price",IF(C964&lt;=0,"Nonpositive price","OK")))))))))</f>
        <v/>
      </c>
      <c r="I964" s="136"/>
      <c r="J964" s="136"/>
      <c r="K964" s="136"/>
      <c r="L964" s="136"/>
      <c r="M964" s="136"/>
      <c r="N964" s="136" t="e">
        <f t="shared" si="43"/>
        <v>#N/A</v>
      </c>
      <c r="O964" s="136" t="e">
        <f t="shared" si="44"/>
        <v>#N/A</v>
      </c>
    </row>
    <row r="965" spans="1:15" ht="22" customHeight="1" x14ac:dyDescent="0.35">
      <c r="A965" s="136">
        <v>921</v>
      </c>
      <c r="B965" s="165" t="str">
        <f>IF($A965&gt;MIN($A$10,$A$2),"",INDEX(DemoHistory[Date],$A965))</f>
        <v/>
      </c>
      <c r="C965" s="166" t="str">
        <f>IF(OR($A965&gt;MIN($A$10,$A$2),$A$5=""),"",INDEX(DemoHistory[],$A965,MATCH($A$5,DemoHistory[#Headers],0)))</f>
        <v/>
      </c>
      <c r="D965" s="166" t="str">
        <f>IF($A965&gt;MIN($A$10,$A$2),"",IF(AND($A$12,$A$6=1,B965&lt;$A$7,$A$7&lt;=MAX(DemoHistory[Date])),$A$8,1))</f>
        <v/>
      </c>
      <c r="E965" s="166" t="str">
        <f t="shared" si="42"/>
        <v/>
      </c>
      <c r="F965" s="166" t="str">
        <f>IF($A965&gt;MIN($A$10,$A$2),"",IF($A965&lt;50,"n.a.",IF(COUNT(INDEX(StockDaily[Adjusted close],MAX(1,$A965-50+1)):E965)=50,AVERAGE(INDEX(StockDaily[Adjusted close],MAX(1,$A965-50+1)):E965),"n.a.")))</f>
        <v/>
      </c>
      <c r="G965" s="166" t="str">
        <f>IF($A965&gt;MIN($A$10,$A$2),"",IF($A965&lt;200,"n.a.",IF(COUNT(INDEX(StockDaily[Adjusted close],MAX(1,$A965-200+1)):E965)=200,AVERAGE(INDEX(StockDaily[Adjusted close],MAX(1,$A965-200+1)):E965),"n.a.")))</f>
        <v/>
      </c>
      <c r="H965" s="136" t="str">
        <f>IF($A965&gt;MIN($A$10,$A$2),"",IF($A$5="","Choose stock",IF(NOT($A$12),"Check split rule",IF(NOT(ISNUMBER(B965)),"Invalid date",IF(OR(B965&lt;=0,B965&lt;&gt;INT(B965)),"Invalid date",IF(COUNTIFS(DemoHistory[Date],B965)&lt;&gt;1,"Duplicate date",IF(AND($A965&gt;1,B965&lt;=B964),"Dates out of order",IF(NOT(ISNUMBER(C965)),"Missing price",IF(C965&lt;=0,"Nonpositive price","OK")))))))))</f>
        <v/>
      </c>
      <c r="I965" s="136"/>
      <c r="J965" s="136"/>
      <c r="K965" s="136"/>
      <c r="L965" s="136"/>
      <c r="M965" s="136"/>
      <c r="N965" s="136" t="e">
        <f t="shared" si="43"/>
        <v>#N/A</v>
      </c>
      <c r="O965" s="136" t="e">
        <f t="shared" si="44"/>
        <v>#N/A</v>
      </c>
    </row>
    <row r="966" spans="1:15" ht="22" customHeight="1" x14ac:dyDescent="0.35">
      <c r="A966" s="136">
        <v>922</v>
      </c>
      <c r="B966" s="165" t="str">
        <f>IF($A966&gt;MIN($A$10,$A$2),"",INDEX(DemoHistory[Date],$A966))</f>
        <v/>
      </c>
      <c r="C966" s="166" t="str">
        <f>IF(OR($A966&gt;MIN($A$10,$A$2),$A$5=""),"",INDEX(DemoHistory[],$A966,MATCH($A$5,DemoHistory[#Headers],0)))</f>
        <v/>
      </c>
      <c r="D966" s="166" t="str">
        <f>IF($A966&gt;MIN($A$10,$A$2),"",IF(AND($A$12,$A$6=1,B966&lt;$A$7,$A$7&lt;=MAX(DemoHistory[Date])),$A$8,1))</f>
        <v/>
      </c>
      <c r="E966" s="166" t="str">
        <f t="shared" si="42"/>
        <v/>
      </c>
      <c r="F966" s="166" t="str">
        <f>IF($A966&gt;MIN($A$10,$A$2),"",IF($A966&lt;50,"n.a.",IF(COUNT(INDEX(StockDaily[Adjusted close],MAX(1,$A966-50+1)):E966)=50,AVERAGE(INDEX(StockDaily[Adjusted close],MAX(1,$A966-50+1)):E966),"n.a.")))</f>
        <v/>
      </c>
      <c r="G966" s="166" t="str">
        <f>IF($A966&gt;MIN($A$10,$A$2),"",IF($A966&lt;200,"n.a.",IF(COUNT(INDEX(StockDaily[Adjusted close],MAX(1,$A966-200+1)):E966)=200,AVERAGE(INDEX(StockDaily[Adjusted close],MAX(1,$A966-200+1)):E966),"n.a.")))</f>
        <v/>
      </c>
      <c r="H966" s="136" t="str">
        <f>IF($A966&gt;MIN($A$10,$A$2),"",IF($A$5="","Choose stock",IF(NOT($A$12),"Check split rule",IF(NOT(ISNUMBER(B966)),"Invalid date",IF(OR(B966&lt;=0,B966&lt;&gt;INT(B966)),"Invalid date",IF(COUNTIFS(DemoHistory[Date],B966)&lt;&gt;1,"Duplicate date",IF(AND($A966&gt;1,B966&lt;=B965),"Dates out of order",IF(NOT(ISNUMBER(C966)),"Missing price",IF(C966&lt;=0,"Nonpositive price","OK")))))))))</f>
        <v/>
      </c>
      <c r="I966" s="136"/>
      <c r="J966" s="136"/>
      <c r="K966" s="136"/>
      <c r="L966" s="136"/>
      <c r="M966" s="136"/>
      <c r="N966" s="136" t="e">
        <f t="shared" si="43"/>
        <v>#N/A</v>
      </c>
      <c r="O966" s="136" t="e">
        <f t="shared" si="44"/>
        <v>#N/A</v>
      </c>
    </row>
    <row r="967" spans="1:15" ht="22" customHeight="1" x14ac:dyDescent="0.35">
      <c r="A967" s="136">
        <v>923</v>
      </c>
      <c r="B967" s="165" t="str">
        <f>IF($A967&gt;MIN($A$10,$A$2),"",INDEX(DemoHistory[Date],$A967))</f>
        <v/>
      </c>
      <c r="C967" s="166" t="str">
        <f>IF(OR($A967&gt;MIN($A$10,$A$2),$A$5=""),"",INDEX(DemoHistory[],$A967,MATCH($A$5,DemoHistory[#Headers],0)))</f>
        <v/>
      </c>
      <c r="D967" s="166" t="str">
        <f>IF($A967&gt;MIN($A$10,$A$2),"",IF(AND($A$12,$A$6=1,B967&lt;$A$7,$A$7&lt;=MAX(DemoHistory[Date])),$A$8,1))</f>
        <v/>
      </c>
      <c r="E967" s="166" t="str">
        <f t="shared" si="42"/>
        <v/>
      </c>
      <c r="F967" s="166" t="str">
        <f>IF($A967&gt;MIN($A$10,$A$2),"",IF($A967&lt;50,"n.a.",IF(COUNT(INDEX(StockDaily[Adjusted close],MAX(1,$A967-50+1)):E967)=50,AVERAGE(INDEX(StockDaily[Adjusted close],MAX(1,$A967-50+1)):E967),"n.a.")))</f>
        <v/>
      </c>
      <c r="G967" s="166" t="str">
        <f>IF($A967&gt;MIN($A$10,$A$2),"",IF($A967&lt;200,"n.a.",IF(COUNT(INDEX(StockDaily[Adjusted close],MAX(1,$A967-200+1)):E967)=200,AVERAGE(INDEX(StockDaily[Adjusted close],MAX(1,$A967-200+1)):E967),"n.a.")))</f>
        <v/>
      </c>
      <c r="H967" s="136" t="str">
        <f>IF($A967&gt;MIN($A$10,$A$2),"",IF($A$5="","Choose stock",IF(NOT($A$12),"Check split rule",IF(NOT(ISNUMBER(B967)),"Invalid date",IF(OR(B967&lt;=0,B967&lt;&gt;INT(B967)),"Invalid date",IF(COUNTIFS(DemoHistory[Date],B967)&lt;&gt;1,"Duplicate date",IF(AND($A967&gt;1,B967&lt;=B966),"Dates out of order",IF(NOT(ISNUMBER(C967)),"Missing price",IF(C967&lt;=0,"Nonpositive price","OK")))))))))</f>
        <v/>
      </c>
      <c r="I967" s="136"/>
      <c r="J967" s="136"/>
      <c r="K967" s="136"/>
      <c r="L967" s="136"/>
      <c r="M967" s="136"/>
      <c r="N967" s="136" t="e">
        <f t="shared" si="43"/>
        <v>#N/A</v>
      </c>
      <c r="O967" s="136" t="e">
        <f t="shared" si="44"/>
        <v>#N/A</v>
      </c>
    </row>
    <row r="968" spans="1:15" ht="22" customHeight="1" x14ac:dyDescent="0.35">
      <c r="A968" s="136">
        <v>924</v>
      </c>
      <c r="B968" s="165" t="str">
        <f>IF($A968&gt;MIN($A$10,$A$2),"",INDEX(DemoHistory[Date],$A968))</f>
        <v/>
      </c>
      <c r="C968" s="166" t="str">
        <f>IF(OR($A968&gt;MIN($A$10,$A$2),$A$5=""),"",INDEX(DemoHistory[],$A968,MATCH($A$5,DemoHistory[#Headers],0)))</f>
        <v/>
      </c>
      <c r="D968" s="166" t="str">
        <f>IF($A968&gt;MIN($A$10,$A$2),"",IF(AND($A$12,$A$6=1,B968&lt;$A$7,$A$7&lt;=MAX(DemoHistory[Date])),$A$8,1))</f>
        <v/>
      </c>
      <c r="E968" s="166" t="str">
        <f t="shared" si="42"/>
        <v/>
      </c>
      <c r="F968" s="166" t="str">
        <f>IF($A968&gt;MIN($A$10,$A$2),"",IF($A968&lt;50,"n.a.",IF(COUNT(INDEX(StockDaily[Adjusted close],MAX(1,$A968-50+1)):E968)=50,AVERAGE(INDEX(StockDaily[Adjusted close],MAX(1,$A968-50+1)):E968),"n.a.")))</f>
        <v/>
      </c>
      <c r="G968" s="166" t="str">
        <f>IF($A968&gt;MIN($A$10,$A$2),"",IF($A968&lt;200,"n.a.",IF(COUNT(INDEX(StockDaily[Adjusted close],MAX(1,$A968-200+1)):E968)=200,AVERAGE(INDEX(StockDaily[Adjusted close],MAX(1,$A968-200+1)):E968),"n.a.")))</f>
        <v/>
      </c>
      <c r="H968" s="136" t="str">
        <f>IF($A968&gt;MIN($A$10,$A$2),"",IF($A$5="","Choose stock",IF(NOT($A$12),"Check split rule",IF(NOT(ISNUMBER(B968)),"Invalid date",IF(OR(B968&lt;=0,B968&lt;&gt;INT(B968)),"Invalid date",IF(COUNTIFS(DemoHistory[Date],B968)&lt;&gt;1,"Duplicate date",IF(AND($A968&gt;1,B968&lt;=B967),"Dates out of order",IF(NOT(ISNUMBER(C968)),"Missing price",IF(C968&lt;=0,"Nonpositive price","OK")))))))))</f>
        <v/>
      </c>
      <c r="I968" s="136"/>
      <c r="J968" s="136"/>
      <c r="K968" s="136"/>
      <c r="L968" s="136"/>
      <c r="M968" s="136"/>
      <c r="N968" s="136" t="e">
        <f t="shared" si="43"/>
        <v>#N/A</v>
      </c>
      <c r="O968" s="136" t="e">
        <f t="shared" si="44"/>
        <v>#N/A</v>
      </c>
    </row>
    <row r="969" spans="1:15" ht="22" customHeight="1" x14ac:dyDescent="0.35">
      <c r="A969" s="136">
        <v>925</v>
      </c>
      <c r="B969" s="165" t="str">
        <f>IF($A969&gt;MIN($A$10,$A$2),"",INDEX(DemoHistory[Date],$A969))</f>
        <v/>
      </c>
      <c r="C969" s="166" t="str">
        <f>IF(OR($A969&gt;MIN($A$10,$A$2),$A$5=""),"",INDEX(DemoHistory[],$A969,MATCH($A$5,DemoHistory[#Headers],0)))</f>
        <v/>
      </c>
      <c r="D969" s="166" t="str">
        <f>IF($A969&gt;MIN($A$10,$A$2),"",IF(AND($A$12,$A$6=1,B969&lt;$A$7,$A$7&lt;=MAX(DemoHistory[Date])),$A$8,1))</f>
        <v/>
      </c>
      <c r="E969" s="166" t="str">
        <f t="shared" si="42"/>
        <v/>
      </c>
      <c r="F969" s="166" t="str">
        <f>IF($A969&gt;MIN($A$10,$A$2),"",IF($A969&lt;50,"n.a.",IF(COUNT(INDEX(StockDaily[Adjusted close],MAX(1,$A969-50+1)):E969)=50,AVERAGE(INDEX(StockDaily[Adjusted close],MAX(1,$A969-50+1)):E969),"n.a.")))</f>
        <v/>
      </c>
      <c r="G969" s="166" t="str">
        <f>IF($A969&gt;MIN($A$10,$A$2),"",IF($A969&lt;200,"n.a.",IF(COUNT(INDEX(StockDaily[Adjusted close],MAX(1,$A969-200+1)):E969)=200,AVERAGE(INDEX(StockDaily[Adjusted close],MAX(1,$A969-200+1)):E969),"n.a.")))</f>
        <v/>
      </c>
      <c r="H969" s="136" t="str">
        <f>IF($A969&gt;MIN($A$10,$A$2),"",IF($A$5="","Choose stock",IF(NOT($A$12),"Check split rule",IF(NOT(ISNUMBER(B969)),"Invalid date",IF(OR(B969&lt;=0,B969&lt;&gt;INT(B969)),"Invalid date",IF(COUNTIFS(DemoHistory[Date],B969)&lt;&gt;1,"Duplicate date",IF(AND($A969&gt;1,B969&lt;=B968),"Dates out of order",IF(NOT(ISNUMBER(C969)),"Missing price",IF(C969&lt;=0,"Nonpositive price","OK")))))))))</f>
        <v/>
      </c>
      <c r="I969" s="136"/>
      <c r="J969" s="136"/>
      <c r="K969" s="136"/>
      <c r="L969" s="136"/>
      <c r="M969" s="136"/>
      <c r="N969" s="136" t="e">
        <f t="shared" si="43"/>
        <v>#N/A</v>
      </c>
      <c r="O969" s="136" t="e">
        <f t="shared" si="44"/>
        <v>#N/A</v>
      </c>
    </row>
    <row r="970" spans="1:15" ht="22" customHeight="1" x14ac:dyDescent="0.35">
      <c r="A970" s="136">
        <v>926</v>
      </c>
      <c r="B970" s="165" t="str">
        <f>IF($A970&gt;MIN($A$10,$A$2),"",INDEX(DemoHistory[Date],$A970))</f>
        <v/>
      </c>
      <c r="C970" s="166" t="str">
        <f>IF(OR($A970&gt;MIN($A$10,$A$2),$A$5=""),"",INDEX(DemoHistory[],$A970,MATCH($A$5,DemoHistory[#Headers],0)))</f>
        <v/>
      </c>
      <c r="D970" s="166" t="str">
        <f>IF($A970&gt;MIN($A$10,$A$2),"",IF(AND($A$12,$A$6=1,B970&lt;$A$7,$A$7&lt;=MAX(DemoHistory[Date])),$A$8,1))</f>
        <v/>
      </c>
      <c r="E970" s="166" t="str">
        <f t="shared" si="42"/>
        <v/>
      </c>
      <c r="F970" s="166" t="str">
        <f>IF($A970&gt;MIN($A$10,$A$2),"",IF($A970&lt;50,"n.a.",IF(COUNT(INDEX(StockDaily[Adjusted close],MAX(1,$A970-50+1)):E970)=50,AVERAGE(INDEX(StockDaily[Adjusted close],MAX(1,$A970-50+1)):E970),"n.a.")))</f>
        <v/>
      </c>
      <c r="G970" s="166" t="str">
        <f>IF($A970&gt;MIN($A$10,$A$2),"",IF($A970&lt;200,"n.a.",IF(COUNT(INDEX(StockDaily[Adjusted close],MAX(1,$A970-200+1)):E970)=200,AVERAGE(INDEX(StockDaily[Adjusted close],MAX(1,$A970-200+1)):E970),"n.a.")))</f>
        <v/>
      </c>
      <c r="H970" s="136" t="str">
        <f>IF($A970&gt;MIN($A$10,$A$2),"",IF($A$5="","Choose stock",IF(NOT($A$12),"Check split rule",IF(NOT(ISNUMBER(B970)),"Invalid date",IF(OR(B970&lt;=0,B970&lt;&gt;INT(B970)),"Invalid date",IF(COUNTIFS(DemoHistory[Date],B970)&lt;&gt;1,"Duplicate date",IF(AND($A970&gt;1,B970&lt;=B969),"Dates out of order",IF(NOT(ISNUMBER(C970)),"Missing price",IF(C970&lt;=0,"Nonpositive price","OK")))))))))</f>
        <v/>
      </c>
      <c r="I970" s="136"/>
      <c r="J970" s="136"/>
      <c r="K970" s="136"/>
      <c r="L970" s="136"/>
      <c r="M970" s="136"/>
      <c r="N970" s="136" t="e">
        <f t="shared" si="43"/>
        <v>#N/A</v>
      </c>
      <c r="O970" s="136" t="e">
        <f t="shared" si="44"/>
        <v>#N/A</v>
      </c>
    </row>
    <row r="971" spans="1:15" ht="22" customHeight="1" x14ac:dyDescent="0.35">
      <c r="A971" s="136">
        <v>927</v>
      </c>
      <c r="B971" s="165" t="str">
        <f>IF($A971&gt;MIN($A$10,$A$2),"",INDEX(DemoHistory[Date],$A971))</f>
        <v/>
      </c>
      <c r="C971" s="166" t="str">
        <f>IF(OR($A971&gt;MIN($A$10,$A$2),$A$5=""),"",INDEX(DemoHistory[],$A971,MATCH($A$5,DemoHistory[#Headers],0)))</f>
        <v/>
      </c>
      <c r="D971" s="166" t="str">
        <f>IF($A971&gt;MIN($A$10,$A$2),"",IF(AND($A$12,$A$6=1,B971&lt;$A$7,$A$7&lt;=MAX(DemoHistory[Date])),$A$8,1))</f>
        <v/>
      </c>
      <c r="E971" s="166" t="str">
        <f t="shared" si="42"/>
        <v/>
      </c>
      <c r="F971" s="166" t="str">
        <f>IF($A971&gt;MIN($A$10,$A$2),"",IF($A971&lt;50,"n.a.",IF(COUNT(INDEX(StockDaily[Adjusted close],MAX(1,$A971-50+1)):E971)=50,AVERAGE(INDEX(StockDaily[Adjusted close],MAX(1,$A971-50+1)):E971),"n.a.")))</f>
        <v/>
      </c>
      <c r="G971" s="166" t="str">
        <f>IF($A971&gt;MIN($A$10,$A$2),"",IF($A971&lt;200,"n.a.",IF(COUNT(INDEX(StockDaily[Adjusted close],MAX(1,$A971-200+1)):E971)=200,AVERAGE(INDEX(StockDaily[Adjusted close],MAX(1,$A971-200+1)):E971),"n.a.")))</f>
        <v/>
      </c>
      <c r="H971" s="136" t="str">
        <f>IF($A971&gt;MIN($A$10,$A$2),"",IF($A$5="","Choose stock",IF(NOT($A$12),"Check split rule",IF(NOT(ISNUMBER(B971)),"Invalid date",IF(OR(B971&lt;=0,B971&lt;&gt;INT(B971)),"Invalid date",IF(COUNTIFS(DemoHistory[Date],B971)&lt;&gt;1,"Duplicate date",IF(AND($A971&gt;1,B971&lt;=B970),"Dates out of order",IF(NOT(ISNUMBER(C971)),"Missing price",IF(C971&lt;=0,"Nonpositive price","OK")))))))))</f>
        <v/>
      </c>
      <c r="I971" s="136"/>
      <c r="J971" s="136"/>
      <c r="K971" s="136"/>
      <c r="L971" s="136"/>
      <c r="M971" s="136"/>
      <c r="N971" s="136" t="e">
        <f t="shared" si="43"/>
        <v>#N/A</v>
      </c>
      <c r="O971" s="136" t="e">
        <f t="shared" si="44"/>
        <v>#N/A</v>
      </c>
    </row>
    <row r="972" spans="1:15" ht="22" customHeight="1" x14ac:dyDescent="0.35">
      <c r="A972" s="136">
        <v>928</v>
      </c>
      <c r="B972" s="165" t="str">
        <f>IF($A972&gt;MIN($A$10,$A$2),"",INDEX(DemoHistory[Date],$A972))</f>
        <v/>
      </c>
      <c r="C972" s="166" t="str">
        <f>IF(OR($A972&gt;MIN($A$10,$A$2),$A$5=""),"",INDEX(DemoHistory[],$A972,MATCH($A$5,DemoHistory[#Headers],0)))</f>
        <v/>
      </c>
      <c r="D972" s="166" t="str">
        <f>IF($A972&gt;MIN($A$10,$A$2),"",IF(AND($A$12,$A$6=1,B972&lt;$A$7,$A$7&lt;=MAX(DemoHistory[Date])),$A$8,1))</f>
        <v/>
      </c>
      <c r="E972" s="166" t="str">
        <f t="shared" si="42"/>
        <v/>
      </c>
      <c r="F972" s="166" t="str">
        <f>IF($A972&gt;MIN($A$10,$A$2),"",IF($A972&lt;50,"n.a.",IF(COUNT(INDEX(StockDaily[Adjusted close],MAX(1,$A972-50+1)):E972)=50,AVERAGE(INDEX(StockDaily[Adjusted close],MAX(1,$A972-50+1)):E972),"n.a.")))</f>
        <v/>
      </c>
      <c r="G972" s="166" t="str">
        <f>IF($A972&gt;MIN($A$10,$A$2),"",IF($A972&lt;200,"n.a.",IF(COUNT(INDEX(StockDaily[Adjusted close],MAX(1,$A972-200+1)):E972)=200,AVERAGE(INDEX(StockDaily[Adjusted close],MAX(1,$A972-200+1)):E972),"n.a.")))</f>
        <v/>
      </c>
      <c r="H972" s="136" t="str">
        <f>IF($A972&gt;MIN($A$10,$A$2),"",IF($A$5="","Choose stock",IF(NOT($A$12),"Check split rule",IF(NOT(ISNUMBER(B972)),"Invalid date",IF(OR(B972&lt;=0,B972&lt;&gt;INT(B972)),"Invalid date",IF(COUNTIFS(DemoHistory[Date],B972)&lt;&gt;1,"Duplicate date",IF(AND($A972&gt;1,B972&lt;=B971),"Dates out of order",IF(NOT(ISNUMBER(C972)),"Missing price",IF(C972&lt;=0,"Nonpositive price","OK")))))))))</f>
        <v/>
      </c>
      <c r="I972" s="136"/>
      <c r="J972" s="136"/>
      <c r="K972" s="136"/>
      <c r="L972" s="136"/>
      <c r="M972" s="136"/>
      <c r="N972" s="136" t="e">
        <f t="shared" si="43"/>
        <v>#N/A</v>
      </c>
      <c r="O972" s="136" t="e">
        <f t="shared" si="44"/>
        <v>#N/A</v>
      </c>
    </row>
    <row r="973" spans="1:15" ht="22" customHeight="1" x14ac:dyDescent="0.35">
      <c r="A973" s="136">
        <v>929</v>
      </c>
      <c r="B973" s="165" t="str">
        <f>IF($A973&gt;MIN($A$10,$A$2),"",INDEX(DemoHistory[Date],$A973))</f>
        <v/>
      </c>
      <c r="C973" s="166" t="str">
        <f>IF(OR($A973&gt;MIN($A$10,$A$2),$A$5=""),"",INDEX(DemoHistory[],$A973,MATCH($A$5,DemoHistory[#Headers],0)))</f>
        <v/>
      </c>
      <c r="D973" s="166" t="str">
        <f>IF($A973&gt;MIN($A$10,$A$2),"",IF(AND($A$12,$A$6=1,B973&lt;$A$7,$A$7&lt;=MAX(DemoHistory[Date])),$A$8,1))</f>
        <v/>
      </c>
      <c r="E973" s="166" t="str">
        <f t="shared" si="42"/>
        <v/>
      </c>
      <c r="F973" s="166" t="str">
        <f>IF($A973&gt;MIN($A$10,$A$2),"",IF($A973&lt;50,"n.a.",IF(COUNT(INDEX(StockDaily[Adjusted close],MAX(1,$A973-50+1)):E973)=50,AVERAGE(INDEX(StockDaily[Adjusted close],MAX(1,$A973-50+1)):E973),"n.a.")))</f>
        <v/>
      </c>
      <c r="G973" s="166" t="str">
        <f>IF($A973&gt;MIN($A$10,$A$2),"",IF($A973&lt;200,"n.a.",IF(COUNT(INDEX(StockDaily[Adjusted close],MAX(1,$A973-200+1)):E973)=200,AVERAGE(INDEX(StockDaily[Adjusted close],MAX(1,$A973-200+1)):E973),"n.a.")))</f>
        <v/>
      </c>
      <c r="H973" s="136" t="str">
        <f>IF($A973&gt;MIN($A$10,$A$2),"",IF($A$5="","Choose stock",IF(NOT($A$12),"Check split rule",IF(NOT(ISNUMBER(B973)),"Invalid date",IF(OR(B973&lt;=0,B973&lt;&gt;INT(B973)),"Invalid date",IF(COUNTIFS(DemoHistory[Date],B973)&lt;&gt;1,"Duplicate date",IF(AND($A973&gt;1,B973&lt;=B972),"Dates out of order",IF(NOT(ISNUMBER(C973)),"Missing price",IF(C973&lt;=0,"Nonpositive price","OK")))))))))</f>
        <v/>
      </c>
      <c r="I973" s="136"/>
      <c r="J973" s="136"/>
      <c r="K973" s="136"/>
      <c r="L973" s="136"/>
      <c r="M973" s="136"/>
      <c r="N973" s="136" t="e">
        <f t="shared" si="43"/>
        <v>#N/A</v>
      </c>
      <c r="O973" s="136" t="e">
        <f t="shared" si="44"/>
        <v>#N/A</v>
      </c>
    </row>
    <row r="974" spans="1:15" ht="22" customHeight="1" x14ac:dyDescent="0.35">
      <c r="A974" s="136">
        <v>930</v>
      </c>
      <c r="B974" s="165" t="str">
        <f>IF($A974&gt;MIN($A$10,$A$2),"",INDEX(DemoHistory[Date],$A974))</f>
        <v/>
      </c>
      <c r="C974" s="166" t="str">
        <f>IF(OR($A974&gt;MIN($A$10,$A$2),$A$5=""),"",INDEX(DemoHistory[],$A974,MATCH($A$5,DemoHistory[#Headers],0)))</f>
        <v/>
      </c>
      <c r="D974" s="166" t="str">
        <f>IF($A974&gt;MIN($A$10,$A$2),"",IF(AND($A$12,$A$6=1,B974&lt;$A$7,$A$7&lt;=MAX(DemoHistory[Date])),$A$8,1))</f>
        <v/>
      </c>
      <c r="E974" s="166" t="str">
        <f t="shared" si="42"/>
        <v/>
      </c>
      <c r="F974" s="166" t="str">
        <f>IF($A974&gt;MIN($A$10,$A$2),"",IF($A974&lt;50,"n.a.",IF(COUNT(INDEX(StockDaily[Adjusted close],MAX(1,$A974-50+1)):E974)=50,AVERAGE(INDEX(StockDaily[Adjusted close],MAX(1,$A974-50+1)):E974),"n.a.")))</f>
        <v/>
      </c>
      <c r="G974" s="166" t="str">
        <f>IF($A974&gt;MIN($A$10,$A$2),"",IF($A974&lt;200,"n.a.",IF(COUNT(INDEX(StockDaily[Adjusted close],MAX(1,$A974-200+1)):E974)=200,AVERAGE(INDEX(StockDaily[Adjusted close],MAX(1,$A974-200+1)):E974),"n.a.")))</f>
        <v/>
      </c>
      <c r="H974" s="136" t="str">
        <f>IF($A974&gt;MIN($A$10,$A$2),"",IF($A$5="","Choose stock",IF(NOT($A$12),"Check split rule",IF(NOT(ISNUMBER(B974)),"Invalid date",IF(OR(B974&lt;=0,B974&lt;&gt;INT(B974)),"Invalid date",IF(COUNTIFS(DemoHistory[Date],B974)&lt;&gt;1,"Duplicate date",IF(AND($A974&gt;1,B974&lt;=B973),"Dates out of order",IF(NOT(ISNUMBER(C974)),"Missing price",IF(C974&lt;=0,"Nonpositive price","OK")))))))))</f>
        <v/>
      </c>
      <c r="I974" s="136"/>
      <c r="J974" s="136"/>
      <c r="K974" s="136"/>
      <c r="L974" s="136"/>
      <c r="M974" s="136"/>
      <c r="N974" s="136" t="e">
        <f t="shared" si="43"/>
        <v>#N/A</v>
      </c>
      <c r="O974" s="136" t="e">
        <f t="shared" si="44"/>
        <v>#N/A</v>
      </c>
    </row>
    <row r="975" spans="1:15" ht="22" customHeight="1" x14ac:dyDescent="0.35">
      <c r="A975" s="136">
        <v>931</v>
      </c>
      <c r="B975" s="165" t="str">
        <f>IF($A975&gt;MIN($A$10,$A$2),"",INDEX(DemoHistory[Date],$A975))</f>
        <v/>
      </c>
      <c r="C975" s="166" t="str">
        <f>IF(OR($A975&gt;MIN($A$10,$A$2),$A$5=""),"",INDEX(DemoHistory[],$A975,MATCH($A$5,DemoHistory[#Headers],0)))</f>
        <v/>
      </c>
      <c r="D975" s="166" t="str">
        <f>IF($A975&gt;MIN($A$10,$A$2),"",IF(AND($A$12,$A$6=1,B975&lt;$A$7,$A$7&lt;=MAX(DemoHistory[Date])),$A$8,1))</f>
        <v/>
      </c>
      <c r="E975" s="166" t="str">
        <f t="shared" si="42"/>
        <v/>
      </c>
      <c r="F975" s="166" t="str">
        <f>IF($A975&gt;MIN($A$10,$A$2),"",IF($A975&lt;50,"n.a.",IF(COUNT(INDEX(StockDaily[Adjusted close],MAX(1,$A975-50+1)):E975)=50,AVERAGE(INDEX(StockDaily[Adjusted close],MAX(1,$A975-50+1)):E975),"n.a.")))</f>
        <v/>
      </c>
      <c r="G975" s="166" t="str">
        <f>IF($A975&gt;MIN($A$10,$A$2),"",IF($A975&lt;200,"n.a.",IF(COUNT(INDEX(StockDaily[Adjusted close],MAX(1,$A975-200+1)):E975)=200,AVERAGE(INDEX(StockDaily[Adjusted close],MAX(1,$A975-200+1)):E975),"n.a.")))</f>
        <v/>
      </c>
      <c r="H975" s="136" t="str">
        <f>IF($A975&gt;MIN($A$10,$A$2),"",IF($A$5="","Choose stock",IF(NOT($A$12),"Check split rule",IF(NOT(ISNUMBER(B975)),"Invalid date",IF(OR(B975&lt;=0,B975&lt;&gt;INT(B975)),"Invalid date",IF(COUNTIFS(DemoHistory[Date],B975)&lt;&gt;1,"Duplicate date",IF(AND($A975&gt;1,B975&lt;=B974),"Dates out of order",IF(NOT(ISNUMBER(C975)),"Missing price",IF(C975&lt;=0,"Nonpositive price","OK")))))))))</f>
        <v/>
      </c>
      <c r="I975" s="136"/>
      <c r="J975" s="136"/>
      <c r="K975" s="136"/>
      <c r="L975" s="136"/>
      <c r="M975" s="136"/>
      <c r="N975" s="136" t="e">
        <f t="shared" si="43"/>
        <v>#N/A</v>
      </c>
      <c r="O975" s="136" t="e">
        <f t="shared" si="44"/>
        <v>#N/A</v>
      </c>
    </row>
    <row r="976" spans="1:15" ht="22" customHeight="1" x14ac:dyDescent="0.35">
      <c r="A976" s="136">
        <v>932</v>
      </c>
      <c r="B976" s="165" t="str">
        <f>IF($A976&gt;MIN($A$10,$A$2),"",INDEX(DemoHistory[Date],$A976))</f>
        <v/>
      </c>
      <c r="C976" s="166" t="str">
        <f>IF(OR($A976&gt;MIN($A$10,$A$2),$A$5=""),"",INDEX(DemoHistory[],$A976,MATCH($A$5,DemoHistory[#Headers],0)))</f>
        <v/>
      </c>
      <c r="D976" s="166" t="str">
        <f>IF($A976&gt;MIN($A$10,$A$2),"",IF(AND($A$12,$A$6=1,B976&lt;$A$7,$A$7&lt;=MAX(DemoHistory[Date])),$A$8,1))</f>
        <v/>
      </c>
      <c r="E976" s="166" t="str">
        <f t="shared" si="42"/>
        <v/>
      </c>
      <c r="F976" s="166" t="str">
        <f>IF($A976&gt;MIN($A$10,$A$2),"",IF($A976&lt;50,"n.a.",IF(COUNT(INDEX(StockDaily[Adjusted close],MAX(1,$A976-50+1)):E976)=50,AVERAGE(INDEX(StockDaily[Adjusted close],MAX(1,$A976-50+1)):E976),"n.a.")))</f>
        <v/>
      </c>
      <c r="G976" s="166" t="str">
        <f>IF($A976&gt;MIN($A$10,$A$2),"",IF($A976&lt;200,"n.a.",IF(COUNT(INDEX(StockDaily[Adjusted close],MAX(1,$A976-200+1)):E976)=200,AVERAGE(INDEX(StockDaily[Adjusted close],MAX(1,$A976-200+1)):E976),"n.a.")))</f>
        <v/>
      </c>
      <c r="H976" s="136" t="str">
        <f>IF($A976&gt;MIN($A$10,$A$2),"",IF($A$5="","Choose stock",IF(NOT($A$12),"Check split rule",IF(NOT(ISNUMBER(B976)),"Invalid date",IF(OR(B976&lt;=0,B976&lt;&gt;INT(B976)),"Invalid date",IF(COUNTIFS(DemoHistory[Date],B976)&lt;&gt;1,"Duplicate date",IF(AND($A976&gt;1,B976&lt;=B975),"Dates out of order",IF(NOT(ISNUMBER(C976)),"Missing price",IF(C976&lt;=0,"Nonpositive price","OK")))))))))</f>
        <v/>
      </c>
      <c r="I976" s="136"/>
      <c r="J976" s="136"/>
      <c r="K976" s="136"/>
      <c r="L976" s="136"/>
      <c r="M976" s="136"/>
      <c r="N976" s="136" t="e">
        <f t="shared" si="43"/>
        <v>#N/A</v>
      </c>
      <c r="O976" s="136" t="e">
        <f t="shared" si="44"/>
        <v>#N/A</v>
      </c>
    </row>
    <row r="977" spans="1:15" ht="22" customHeight="1" x14ac:dyDescent="0.35">
      <c r="A977" s="136">
        <v>933</v>
      </c>
      <c r="B977" s="165" t="str">
        <f>IF($A977&gt;MIN($A$10,$A$2),"",INDEX(DemoHistory[Date],$A977))</f>
        <v/>
      </c>
      <c r="C977" s="166" t="str">
        <f>IF(OR($A977&gt;MIN($A$10,$A$2),$A$5=""),"",INDEX(DemoHistory[],$A977,MATCH($A$5,DemoHistory[#Headers],0)))</f>
        <v/>
      </c>
      <c r="D977" s="166" t="str">
        <f>IF($A977&gt;MIN($A$10,$A$2),"",IF(AND($A$12,$A$6=1,B977&lt;$A$7,$A$7&lt;=MAX(DemoHistory[Date])),$A$8,1))</f>
        <v/>
      </c>
      <c r="E977" s="166" t="str">
        <f t="shared" si="42"/>
        <v/>
      </c>
      <c r="F977" s="166" t="str">
        <f>IF($A977&gt;MIN($A$10,$A$2),"",IF($A977&lt;50,"n.a.",IF(COUNT(INDEX(StockDaily[Adjusted close],MAX(1,$A977-50+1)):E977)=50,AVERAGE(INDEX(StockDaily[Adjusted close],MAX(1,$A977-50+1)):E977),"n.a.")))</f>
        <v/>
      </c>
      <c r="G977" s="166" t="str">
        <f>IF($A977&gt;MIN($A$10,$A$2),"",IF($A977&lt;200,"n.a.",IF(COUNT(INDEX(StockDaily[Adjusted close],MAX(1,$A977-200+1)):E977)=200,AVERAGE(INDEX(StockDaily[Adjusted close],MAX(1,$A977-200+1)):E977),"n.a.")))</f>
        <v/>
      </c>
      <c r="H977" s="136" t="str">
        <f>IF($A977&gt;MIN($A$10,$A$2),"",IF($A$5="","Choose stock",IF(NOT($A$12),"Check split rule",IF(NOT(ISNUMBER(B977)),"Invalid date",IF(OR(B977&lt;=0,B977&lt;&gt;INT(B977)),"Invalid date",IF(COUNTIFS(DemoHistory[Date],B977)&lt;&gt;1,"Duplicate date",IF(AND($A977&gt;1,B977&lt;=B976),"Dates out of order",IF(NOT(ISNUMBER(C977)),"Missing price",IF(C977&lt;=0,"Nonpositive price","OK")))))))))</f>
        <v/>
      </c>
      <c r="I977" s="136"/>
      <c r="J977" s="136"/>
      <c r="K977" s="136"/>
      <c r="L977" s="136"/>
      <c r="M977" s="136"/>
      <c r="N977" s="136" t="e">
        <f t="shared" si="43"/>
        <v>#N/A</v>
      </c>
      <c r="O977" s="136" t="e">
        <f t="shared" si="44"/>
        <v>#N/A</v>
      </c>
    </row>
    <row r="978" spans="1:15" ht="22" customHeight="1" x14ac:dyDescent="0.35">
      <c r="A978" s="136">
        <v>934</v>
      </c>
      <c r="B978" s="165" t="str">
        <f>IF($A978&gt;MIN($A$10,$A$2),"",INDEX(DemoHistory[Date],$A978))</f>
        <v/>
      </c>
      <c r="C978" s="166" t="str">
        <f>IF(OR($A978&gt;MIN($A$10,$A$2),$A$5=""),"",INDEX(DemoHistory[],$A978,MATCH($A$5,DemoHistory[#Headers],0)))</f>
        <v/>
      </c>
      <c r="D978" s="166" t="str">
        <f>IF($A978&gt;MIN($A$10,$A$2),"",IF(AND($A$12,$A$6=1,B978&lt;$A$7,$A$7&lt;=MAX(DemoHistory[Date])),$A$8,1))</f>
        <v/>
      </c>
      <c r="E978" s="166" t="str">
        <f t="shared" si="42"/>
        <v/>
      </c>
      <c r="F978" s="166" t="str">
        <f>IF($A978&gt;MIN($A$10,$A$2),"",IF($A978&lt;50,"n.a.",IF(COUNT(INDEX(StockDaily[Adjusted close],MAX(1,$A978-50+1)):E978)=50,AVERAGE(INDEX(StockDaily[Adjusted close],MAX(1,$A978-50+1)):E978),"n.a.")))</f>
        <v/>
      </c>
      <c r="G978" s="166" t="str">
        <f>IF($A978&gt;MIN($A$10,$A$2),"",IF($A978&lt;200,"n.a.",IF(COUNT(INDEX(StockDaily[Adjusted close],MAX(1,$A978-200+1)):E978)=200,AVERAGE(INDEX(StockDaily[Adjusted close],MAX(1,$A978-200+1)):E978),"n.a.")))</f>
        <v/>
      </c>
      <c r="H978" s="136" t="str">
        <f>IF($A978&gt;MIN($A$10,$A$2),"",IF($A$5="","Choose stock",IF(NOT($A$12),"Check split rule",IF(NOT(ISNUMBER(B978)),"Invalid date",IF(OR(B978&lt;=0,B978&lt;&gt;INT(B978)),"Invalid date",IF(COUNTIFS(DemoHistory[Date],B978)&lt;&gt;1,"Duplicate date",IF(AND($A978&gt;1,B978&lt;=B977),"Dates out of order",IF(NOT(ISNUMBER(C978)),"Missing price",IF(C978&lt;=0,"Nonpositive price","OK")))))))))</f>
        <v/>
      </c>
      <c r="I978" s="136"/>
      <c r="J978" s="136"/>
      <c r="K978" s="136"/>
      <c r="L978" s="136"/>
      <c r="M978" s="136"/>
      <c r="N978" s="136" t="e">
        <f t="shared" si="43"/>
        <v>#N/A</v>
      </c>
      <c r="O978" s="136" t="e">
        <f t="shared" si="44"/>
        <v>#N/A</v>
      </c>
    </row>
    <row r="979" spans="1:15" ht="22" customHeight="1" x14ac:dyDescent="0.35">
      <c r="A979" s="136">
        <v>935</v>
      </c>
      <c r="B979" s="165" t="str">
        <f>IF($A979&gt;MIN($A$10,$A$2),"",INDEX(DemoHistory[Date],$A979))</f>
        <v/>
      </c>
      <c r="C979" s="166" t="str">
        <f>IF(OR($A979&gt;MIN($A$10,$A$2),$A$5=""),"",INDEX(DemoHistory[],$A979,MATCH($A$5,DemoHistory[#Headers],0)))</f>
        <v/>
      </c>
      <c r="D979" s="166" t="str">
        <f>IF($A979&gt;MIN($A$10,$A$2),"",IF(AND($A$12,$A$6=1,B979&lt;$A$7,$A$7&lt;=MAX(DemoHistory[Date])),$A$8,1))</f>
        <v/>
      </c>
      <c r="E979" s="166" t="str">
        <f t="shared" si="42"/>
        <v/>
      </c>
      <c r="F979" s="166" t="str">
        <f>IF($A979&gt;MIN($A$10,$A$2),"",IF($A979&lt;50,"n.a.",IF(COUNT(INDEX(StockDaily[Adjusted close],MAX(1,$A979-50+1)):E979)=50,AVERAGE(INDEX(StockDaily[Adjusted close],MAX(1,$A979-50+1)):E979),"n.a.")))</f>
        <v/>
      </c>
      <c r="G979" s="166" t="str">
        <f>IF($A979&gt;MIN($A$10,$A$2),"",IF($A979&lt;200,"n.a.",IF(COUNT(INDEX(StockDaily[Adjusted close],MAX(1,$A979-200+1)):E979)=200,AVERAGE(INDEX(StockDaily[Adjusted close],MAX(1,$A979-200+1)):E979),"n.a.")))</f>
        <v/>
      </c>
      <c r="H979" s="136" t="str">
        <f>IF($A979&gt;MIN($A$10,$A$2),"",IF($A$5="","Choose stock",IF(NOT($A$12),"Check split rule",IF(NOT(ISNUMBER(B979)),"Invalid date",IF(OR(B979&lt;=0,B979&lt;&gt;INT(B979)),"Invalid date",IF(COUNTIFS(DemoHistory[Date],B979)&lt;&gt;1,"Duplicate date",IF(AND($A979&gt;1,B979&lt;=B978),"Dates out of order",IF(NOT(ISNUMBER(C979)),"Missing price",IF(C979&lt;=0,"Nonpositive price","OK")))))))))</f>
        <v/>
      </c>
      <c r="I979" s="136"/>
      <c r="J979" s="136"/>
      <c r="K979" s="136"/>
      <c r="L979" s="136"/>
      <c r="M979" s="136"/>
      <c r="N979" s="136" t="e">
        <f t="shared" si="43"/>
        <v>#N/A</v>
      </c>
      <c r="O979" s="136" t="e">
        <f t="shared" si="44"/>
        <v>#N/A</v>
      </c>
    </row>
    <row r="980" spans="1:15" ht="22" customHeight="1" x14ac:dyDescent="0.35">
      <c r="A980" s="136">
        <v>936</v>
      </c>
      <c r="B980" s="165" t="str">
        <f>IF($A980&gt;MIN($A$10,$A$2),"",INDEX(DemoHistory[Date],$A980))</f>
        <v/>
      </c>
      <c r="C980" s="166" t="str">
        <f>IF(OR($A980&gt;MIN($A$10,$A$2),$A$5=""),"",INDEX(DemoHistory[],$A980,MATCH($A$5,DemoHistory[#Headers],0)))</f>
        <v/>
      </c>
      <c r="D980" s="166" t="str">
        <f>IF($A980&gt;MIN($A$10,$A$2),"",IF(AND($A$12,$A$6=1,B980&lt;$A$7,$A$7&lt;=MAX(DemoHistory[Date])),$A$8,1))</f>
        <v/>
      </c>
      <c r="E980" s="166" t="str">
        <f t="shared" si="42"/>
        <v/>
      </c>
      <c r="F980" s="166" t="str">
        <f>IF($A980&gt;MIN($A$10,$A$2),"",IF($A980&lt;50,"n.a.",IF(COUNT(INDEX(StockDaily[Adjusted close],MAX(1,$A980-50+1)):E980)=50,AVERAGE(INDEX(StockDaily[Adjusted close],MAX(1,$A980-50+1)):E980),"n.a.")))</f>
        <v/>
      </c>
      <c r="G980" s="166" t="str">
        <f>IF($A980&gt;MIN($A$10,$A$2),"",IF($A980&lt;200,"n.a.",IF(COUNT(INDEX(StockDaily[Adjusted close],MAX(1,$A980-200+1)):E980)=200,AVERAGE(INDEX(StockDaily[Adjusted close],MAX(1,$A980-200+1)):E980),"n.a.")))</f>
        <v/>
      </c>
      <c r="H980" s="136" t="str">
        <f>IF($A980&gt;MIN($A$10,$A$2),"",IF($A$5="","Choose stock",IF(NOT($A$12),"Check split rule",IF(NOT(ISNUMBER(B980)),"Invalid date",IF(OR(B980&lt;=0,B980&lt;&gt;INT(B980)),"Invalid date",IF(COUNTIFS(DemoHistory[Date],B980)&lt;&gt;1,"Duplicate date",IF(AND($A980&gt;1,B980&lt;=B979),"Dates out of order",IF(NOT(ISNUMBER(C980)),"Missing price",IF(C980&lt;=0,"Nonpositive price","OK")))))))))</f>
        <v/>
      </c>
      <c r="I980" s="136"/>
      <c r="J980" s="136"/>
      <c r="K980" s="136"/>
      <c r="L980" s="136"/>
      <c r="M980" s="136"/>
      <c r="N980" s="136" t="e">
        <f t="shared" si="43"/>
        <v>#N/A</v>
      </c>
      <c r="O980" s="136" t="e">
        <f t="shared" si="44"/>
        <v>#N/A</v>
      </c>
    </row>
    <row r="981" spans="1:15" ht="22" customHeight="1" x14ac:dyDescent="0.35">
      <c r="A981" s="136">
        <v>937</v>
      </c>
      <c r="B981" s="165" t="str">
        <f>IF($A981&gt;MIN($A$10,$A$2),"",INDEX(DemoHistory[Date],$A981))</f>
        <v/>
      </c>
      <c r="C981" s="166" t="str">
        <f>IF(OR($A981&gt;MIN($A$10,$A$2),$A$5=""),"",INDEX(DemoHistory[],$A981,MATCH($A$5,DemoHistory[#Headers],0)))</f>
        <v/>
      </c>
      <c r="D981" s="166" t="str">
        <f>IF($A981&gt;MIN($A$10,$A$2),"",IF(AND($A$12,$A$6=1,B981&lt;$A$7,$A$7&lt;=MAX(DemoHistory[Date])),$A$8,1))</f>
        <v/>
      </c>
      <c r="E981" s="166" t="str">
        <f t="shared" si="42"/>
        <v/>
      </c>
      <c r="F981" s="166" t="str">
        <f>IF($A981&gt;MIN($A$10,$A$2),"",IF($A981&lt;50,"n.a.",IF(COUNT(INDEX(StockDaily[Adjusted close],MAX(1,$A981-50+1)):E981)=50,AVERAGE(INDEX(StockDaily[Adjusted close],MAX(1,$A981-50+1)):E981),"n.a.")))</f>
        <v/>
      </c>
      <c r="G981" s="166" t="str">
        <f>IF($A981&gt;MIN($A$10,$A$2),"",IF($A981&lt;200,"n.a.",IF(COUNT(INDEX(StockDaily[Adjusted close],MAX(1,$A981-200+1)):E981)=200,AVERAGE(INDEX(StockDaily[Adjusted close],MAX(1,$A981-200+1)):E981),"n.a.")))</f>
        <v/>
      </c>
      <c r="H981" s="136" t="str">
        <f>IF($A981&gt;MIN($A$10,$A$2),"",IF($A$5="","Choose stock",IF(NOT($A$12),"Check split rule",IF(NOT(ISNUMBER(B981)),"Invalid date",IF(OR(B981&lt;=0,B981&lt;&gt;INT(B981)),"Invalid date",IF(COUNTIFS(DemoHistory[Date],B981)&lt;&gt;1,"Duplicate date",IF(AND($A981&gt;1,B981&lt;=B980),"Dates out of order",IF(NOT(ISNUMBER(C981)),"Missing price",IF(C981&lt;=0,"Nonpositive price","OK")))))))))</f>
        <v/>
      </c>
      <c r="I981" s="136"/>
      <c r="J981" s="136"/>
      <c r="K981" s="136"/>
      <c r="L981" s="136"/>
      <c r="M981" s="136"/>
      <c r="N981" s="136" t="e">
        <f t="shared" si="43"/>
        <v>#N/A</v>
      </c>
      <c r="O981" s="136" t="e">
        <f t="shared" si="44"/>
        <v>#N/A</v>
      </c>
    </row>
    <row r="982" spans="1:15" ht="22" customHeight="1" x14ac:dyDescent="0.35">
      <c r="A982" s="136">
        <v>938</v>
      </c>
      <c r="B982" s="165" t="str">
        <f>IF($A982&gt;MIN($A$10,$A$2),"",INDEX(DemoHistory[Date],$A982))</f>
        <v/>
      </c>
      <c r="C982" s="166" t="str">
        <f>IF(OR($A982&gt;MIN($A$10,$A$2),$A$5=""),"",INDEX(DemoHistory[],$A982,MATCH($A$5,DemoHistory[#Headers],0)))</f>
        <v/>
      </c>
      <c r="D982" s="166" t="str">
        <f>IF($A982&gt;MIN($A$10,$A$2),"",IF(AND($A$12,$A$6=1,B982&lt;$A$7,$A$7&lt;=MAX(DemoHistory[Date])),$A$8,1))</f>
        <v/>
      </c>
      <c r="E982" s="166" t="str">
        <f t="shared" si="42"/>
        <v/>
      </c>
      <c r="F982" s="166" t="str">
        <f>IF($A982&gt;MIN($A$10,$A$2),"",IF($A982&lt;50,"n.a.",IF(COUNT(INDEX(StockDaily[Adjusted close],MAX(1,$A982-50+1)):E982)=50,AVERAGE(INDEX(StockDaily[Adjusted close],MAX(1,$A982-50+1)):E982),"n.a.")))</f>
        <v/>
      </c>
      <c r="G982" s="166" t="str">
        <f>IF($A982&gt;MIN($A$10,$A$2),"",IF($A982&lt;200,"n.a.",IF(COUNT(INDEX(StockDaily[Adjusted close],MAX(1,$A982-200+1)):E982)=200,AVERAGE(INDEX(StockDaily[Adjusted close],MAX(1,$A982-200+1)):E982),"n.a.")))</f>
        <v/>
      </c>
      <c r="H982" s="136" t="str">
        <f>IF($A982&gt;MIN($A$10,$A$2),"",IF($A$5="","Choose stock",IF(NOT($A$12),"Check split rule",IF(NOT(ISNUMBER(B982)),"Invalid date",IF(OR(B982&lt;=0,B982&lt;&gt;INT(B982)),"Invalid date",IF(COUNTIFS(DemoHistory[Date],B982)&lt;&gt;1,"Duplicate date",IF(AND($A982&gt;1,B982&lt;=B981),"Dates out of order",IF(NOT(ISNUMBER(C982)),"Missing price",IF(C982&lt;=0,"Nonpositive price","OK")))))))))</f>
        <v/>
      </c>
      <c r="I982" s="136"/>
      <c r="J982" s="136"/>
      <c r="K982" s="136"/>
      <c r="L982" s="136"/>
      <c r="M982" s="136"/>
      <c r="N982" s="136" t="e">
        <f t="shared" si="43"/>
        <v>#N/A</v>
      </c>
      <c r="O982" s="136" t="e">
        <f t="shared" si="44"/>
        <v>#N/A</v>
      </c>
    </row>
    <row r="983" spans="1:15" ht="22" customHeight="1" x14ac:dyDescent="0.35">
      <c r="A983" s="136">
        <v>939</v>
      </c>
      <c r="B983" s="165" t="str">
        <f>IF($A983&gt;MIN($A$10,$A$2),"",INDEX(DemoHistory[Date],$A983))</f>
        <v/>
      </c>
      <c r="C983" s="166" t="str">
        <f>IF(OR($A983&gt;MIN($A$10,$A$2),$A$5=""),"",INDEX(DemoHistory[],$A983,MATCH($A$5,DemoHistory[#Headers],0)))</f>
        <v/>
      </c>
      <c r="D983" s="166" t="str">
        <f>IF($A983&gt;MIN($A$10,$A$2),"",IF(AND($A$12,$A$6=1,B983&lt;$A$7,$A$7&lt;=MAX(DemoHistory[Date])),$A$8,1))</f>
        <v/>
      </c>
      <c r="E983" s="166" t="str">
        <f t="shared" si="42"/>
        <v/>
      </c>
      <c r="F983" s="166" t="str">
        <f>IF($A983&gt;MIN($A$10,$A$2),"",IF($A983&lt;50,"n.a.",IF(COUNT(INDEX(StockDaily[Adjusted close],MAX(1,$A983-50+1)):E983)=50,AVERAGE(INDEX(StockDaily[Adjusted close],MAX(1,$A983-50+1)):E983),"n.a.")))</f>
        <v/>
      </c>
      <c r="G983" s="166" t="str">
        <f>IF($A983&gt;MIN($A$10,$A$2),"",IF($A983&lt;200,"n.a.",IF(COUNT(INDEX(StockDaily[Adjusted close],MAX(1,$A983-200+1)):E983)=200,AVERAGE(INDEX(StockDaily[Adjusted close],MAX(1,$A983-200+1)):E983),"n.a.")))</f>
        <v/>
      </c>
      <c r="H983" s="136" t="str">
        <f>IF($A983&gt;MIN($A$10,$A$2),"",IF($A$5="","Choose stock",IF(NOT($A$12),"Check split rule",IF(NOT(ISNUMBER(B983)),"Invalid date",IF(OR(B983&lt;=0,B983&lt;&gt;INT(B983)),"Invalid date",IF(COUNTIFS(DemoHistory[Date],B983)&lt;&gt;1,"Duplicate date",IF(AND($A983&gt;1,B983&lt;=B982),"Dates out of order",IF(NOT(ISNUMBER(C983)),"Missing price",IF(C983&lt;=0,"Nonpositive price","OK")))))))))</f>
        <v/>
      </c>
      <c r="I983" s="136"/>
      <c r="J983" s="136"/>
      <c r="K983" s="136"/>
      <c r="L983" s="136"/>
      <c r="M983" s="136"/>
      <c r="N983" s="136" t="e">
        <f t="shared" si="43"/>
        <v>#N/A</v>
      </c>
      <c r="O983" s="136" t="e">
        <f t="shared" si="44"/>
        <v>#N/A</v>
      </c>
    </row>
    <row r="984" spans="1:15" ht="22" customHeight="1" x14ac:dyDescent="0.35">
      <c r="A984" s="136">
        <v>940</v>
      </c>
      <c r="B984" s="165" t="str">
        <f>IF($A984&gt;MIN($A$10,$A$2),"",INDEX(DemoHistory[Date],$A984))</f>
        <v/>
      </c>
      <c r="C984" s="166" t="str">
        <f>IF(OR($A984&gt;MIN($A$10,$A$2),$A$5=""),"",INDEX(DemoHistory[],$A984,MATCH($A$5,DemoHistory[#Headers],0)))</f>
        <v/>
      </c>
      <c r="D984" s="166" t="str">
        <f>IF($A984&gt;MIN($A$10,$A$2),"",IF(AND($A$12,$A$6=1,B984&lt;$A$7,$A$7&lt;=MAX(DemoHistory[Date])),$A$8,1))</f>
        <v/>
      </c>
      <c r="E984" s="166" t="str">
        <f t="shared" si="42"/>
        <v/>
      </c>
      <c r="F984" s="166" t="str">
        <f>IF($A984&gt;MIN($A$10,$A$2),"",IF($A984&lt;50,"n.a.",IF(COUNT(INDEX(StockDaily[Adjusted close],MAX(1,$A984-50+1)):E984)=50,AVERAGE(INDEX(StockDaily[Adjusted close],MAX(1,$A984-50+1)):E984),"n.a.")))</f>
        <v/>
      </c>
      <c r="G984" s="166" t="str">
        <f>IF($A984&gt;MIN($A$10,$A$2),"",IF($A984&lt;200,"n.a.",IF(COUNT(INDEX(StockDaily[Adjusted close],MAX(1,$A984-200+1)):E984)=200,AVERAGE(INDEX(StockDaily[Adjusted close],MAX(1,$A984-200+1)):E984),"n.a.")))</f>
        <v/>
      </c>
      <c r="H984" s="136" t="str">
        <f>IF($A984&gt;MIN($A$10,$A$2),"",IF($A$5="","Choose stock",IF(NOT($A$12),"Check split rule",IF(NOT(ISNUMBER(B984)),"Invalid date",IF(OR(B984&lt;=0,B984&lt;&gt;INT(B984)),"Invalid date",IF(COUNTIFS(DemoHistory[Date],B984)&lt;&gt;1,"Duplicate date",IF(AND($A984&gt;1,B984&lt;=B983),"Dates out of order",IF(NOT(ISNUMBER(C984)),"Missing price",IF(C984&lt;=0,"Nonpositive price","OK")))))))))</f>
        <v/>
      </c>
      <c r="I984" s="136"/>
      <c r="J984" s="136"/>
      <c r="K984" s="136"/>
      <c r="L984" s="136"/>
      <c r="M984" s="136"/>
      <c r="N984" s="136" t="e">
        <f t="shared" si="43"/>
        <v>#N/A</v>
      </c>
      <c r="O984" s="136" t="e">
        <f t="shared" si="44"/>
        <v>#N/A</v>
      </c>
    </row>
    <row r="985" spans="1:15" ht="22" customHeight="1" x14ac:dyDescent="0.35">
      <c r="A985" s="136">
        <v>941</v>
      </c>
      <c r="B985" s="165" t="str">
        <f>IF($A985&gt;MIN($A$10,$A$2),"",INDEX(DemoHistory[Date],$A985))</f>
        <v/>
      </c>
      <c r="C985" s="166" t="str">
        <f>IF(OR($A985&gt;MIN($A$10,$A$2),$A$5=""),"",INDEX(DemoHistory[],$A985,MATCH($A$5,DemoHistory[#Headers],0)))</f>
        <v/>
      </c>
      <c r="D985" s="166" t="str">
        <f>IF($A985&gt;MIN($A$10,$A$2),"",IF(AND($A$12,$A$6=1,B985&lt;$A$7,$A$7&lt;=MAX(DemoHistory[Date])),$A$8,1))</f>
        <v/>
      </c>
      <c r="E985" s="166" t="str">
        <f t="shared" si="42"/>
        <v/>
      </c>
      <c r="F985" s="166" t="str">
        <f>IF($A985&gt;MIN($A$10,$A$2),"",IF($A985&lt;50,"n.a.",IF(COUNT(INDEX(StockDaily[Adjusted close],MAX(1,$A985-50+1)):E985)=50,AVERAGE(INDEX(StockDaily[Adjusted close],MAX(1,$A985-50+1)):E985),"n.a.")))</f>
        <v/>
      </c>
      <c r="G985" s="166" t="str">
        <f>IF($A985&gt;MIN($A$10,$A$2),"",IF($A985&lt;200,"n.a.",IF(COUNT(INDEX(StockDaily[Adjusted close],MAX(1,$A985-200+1)):E985)=200,AVERAGE(INDEX(StockDaily[Adjusted close],MAX(1,$A985-200+1)):E985),"n.a.")))</f>
        <v/>
      </c>
      <c r="H985" s="136" t="str">
        <f>IF($A985&gt;MIN($A$10,$A$2),"",IF($A$5="","Choose stock",IF(NOT($A$12),"Check split rule",IF(NOT(ISNUMBER(B985)),"Invalid date",IF(OR(B985&lt;=0,B985&lt;&gt;INT(B985)),"Invalid date",IF(COUNTIFS(DemoHistory[Date],B985)&lt;&gt;1,"Duplicate date",IF(AND($A985&gt;1,B985&lt;=B984),"Dates out of order",IF(NOT(ISNUMBER(C985)),"Missing price",IF(C985&lt;=0,"Nonpositive price","OK")))))))))</f>
        <v/>
      </c>
      <c r="I985" s="136"/>
      <c r="J985" s="136"/>
      <c r="K985" s="136"/>
      <c r="L985" s="136"/>
      <c r="M985" s="136"/>
      <c r="N985" s="136" t="e">
        <f t="shared" si="43"/>
        <v>#N/A</v>
      </c>
      <c r="O985" s="136" t="e">
        <f t="shared" si="44"/>
        <v>#N/A</v>
      </c>
    </row>
    <row r="986" spans="1:15" ht="22" customHeight="1" x14ac:dyDescent="0.35">
      <c r="A986" s="136">
        <v>942</v>
      </c>
      <c r="B986" s="165" t="str">
        <f>IF($A986&gt;MIN($A$10,$A$2),"",INDEX(DemoHistory[Date],$A986))</f>
        <v/>
      </c>
      <c r="C986" s="166" t="str">
        <f>IF(OR($A986&gt;MIN($A$10,$A$2),$A$5=""),"",INDEX(DemoHistory[],$A986,MATCH($A$5,DemoHistory[#Headers],0)))</f>
        <v/>
      </c>
      <c r="D986" s="166" t="str">
        <f>IF($A986&gt;MIN($A$10,$A$2),"",IF(AND($A$12,$A$6=1,B986&lt;$A$7,$A$7&lt;=MAX(DemoHistory[Date])),$A$8,1))</f>
        <v/>
      </c>
      <c r="E986" s="166" t="str">
        <f t="shared" si="42"/>
        <v/>
      </c>
      <c r="F986" s="166" t="str">
        <f>IF($A986&gt;MIN($A$10,$A$2),"",IF($A986&lt;50,"n.a.",IF(COUNT(INDEX(StockDaily[Adjusted close],MAX(1,$A986-50+1)):E986)=50,AVERAGE(INDEX(StockDaily[Adjusted close],MAX(1,$A986-50+1)):E986),"n.a.")))</f>
        <v/>
      </c>
      <c r="G986" s="166" t="str">
        <f>IF($A986&gt;MIN($A$10,$A$2),"",IF($A986&lt;200,"n.a.",IF(COUNT(INDEX(StockDaily[Adjusted close],MAX(1,$A986-200+1)):E986)=200,AVERAGE(INDEX(StockDaily[Adjusted close],MAX(1,$A986-200+1)):E986),"n.a.")))</f>
        <v/>
      </c>
      <c r="H986" s="136" t="str">
        <f>IF($A986&gt;MIN($A$10,$A$2),"",IF($A$5="","Choose stock",IF(NOT($A$12),"Check split rule",IF(NOT(ISNUMBER(B986)),"Invalid date",IF(OR(B986&lt;=0,B986&lt;&gt;INT(B986)),"Invalid date",IF(COUNTIFS(DemoHistory[Date],B986)&lt;&gt;1,"Duplicate date",IF(AND($A986&gt;1,B986&lt;=B985),"Dates out of order",IF(NOT(ISNUMBER(C986)),"Missing price",IF(C986&lt;=0,"Nonpositive price","OK")))))))))</f>
        <v/>
      </c>
      <c r="I986" s="136"/>
      <c r="J986" s="136"/>
      <c r="K986" s="136"/>
      <c r="L986" s="136"/>
      <c r="M986" s="136"/>
      <c r="N986" s="136" t="e">
        <f t="shared" si="43"/>
        <v>#N/A</v>
      </c>
      <c r="O986" s="136" t="e">
        <f t="shared" si="44"/>
        <v>#N/A</v>
      </c>
    </row>
    <row r="987" spans="1:15" ht="22" customHeight="1" x14ac:dyDescent="0.35">
      <c r="A987" s="136">
        <v>943</v>
      </c>
      <c r="B987" s="165" t="str">
        <f>IF($A987&gt;MIN($A$10,$A$2),"",INDEX(DemoHistory[Date],$A987))</f>
        <v/>
      </c>
      <c r="C987" s="166" t="str">
        <f>IF(OR($A987&gt;MIN($A$10,$A$2),$A$5=""),"",INDEX(DemoHistory[],$A987,MATCH($A$5,DemoHistory[#Headers],0)))</f>
        <v/>
      </c>
      <c r="D987" s="166" t="str">
        <f>IF($A987&gt;MIN($A$10,$A$2),"",IF(AND($A$12,$A$6=1,B987&lt;$A$7,$A$7&lt;=MAX(DemoHistory[Date])),$A$8,1))</f>
        <v/>
      </c>
      <c r="E987" s="166" t="str">
        <f t="shared" si="42"/>
        <v/>
      </c>
      <c r="F987" s="166" t="str">
        <f>IF($A987&gt;MIN($A$10,$A$2),"",IF($A987&lt;50,"n.a.",IF(COUNT(INDEX(StockDaily[Adjusted close],MAX(1,$A987-50+1)):E987)=50,AVERAGE(INDEX(StockDaily[Adjusted close],MAX(1,$A987-50+1)):E987),"n.a.")))</f>
        <v/>
      </c>
      <c r="G987" s="166" t="str">
        <f>IF($A987&gt;MIN($A$10,$A$2),"",IF($A987&lt;200,"n.a.",IF(COUNT(INDEX(StockDaily[Adjusted close],MAX(1,$A987-200+1)):E987)=200,AVERAGE(INDEX(StockDaily[Adjusted close],MAX(1,$A987-200+1)):E987),"n.a.")))</f>
        <v/>
      </c>
      <c r="H987" s="136" t="str">
        <f>IF($A987&gt;MIN($A$10,$A$2),"",IF($A$5="","Choose stock",IF(NOT($A$12),"Check split rule",IF(NOT(ISNUMBER(B987)),"Invalid date",IF(OR(B987&lt;=0,B987&lt;&gt;INT(B987)),"Invalid date",IF(COUNTIFS(DemoHistory[Date],B987)&lt;&gt;1,"Duplicate date",IF(AND($A987&gt;1,B987&lt;=B986),"Dates out of order",IF(NOT(ISNUMBER(C987)),"Missing price",IF(C987&lt;=0,"Nonpositive price","OK")))))))))</f>
        <v/>
      </c>
      <c r="I987" s="136"/>
      <c r="J987" s="136"/>
      <c r="K987" s="136"/>
      <c r="L987" s="136"/>
      <c r="M987" s="136"/>
      <c r="N987" s="136" t="e">
        <f t="shared" si="43"/>
        <v>#N/A</v>
      </c>
      <c r="O987" s="136" t="e">
        <f t="shared" si="44"/>
        <v>#N/A</v>
      </c>
    </row>
    <row r="988" spans="1:15" ht="22" customHeight="1" x14ac:dyDescent="0.35">
      <c r="A988" s="136">
        <v>944</v>
      </c>
      <c r="B988" s="165" t="str">
        <f>IF($A988&gt;MIN($A$10,$A$2),"",INDEX(DemoHistory[Date],$A988))</f>
        <v/>
      </c>
      <c r="C988" s="166" t="str">
        <f>IF(OR($A988&gt;MIN($A$10,$A$2),$A$5=""),"",INDEX(DemoHistory[],$A988,MATCH($A$5,DemoHistory[#Headers],0)))</f>
        <v/>
      </c>
      <c r="D988" s="166" t="str">
        <f>IF($A988&gt;MIN($A$10,$A$2),"",IF(AND($A$12,$A$6=1,B988&lt;$A$7,$A$7&lt;=MAX(DemoHistory[Date])),$A$8,1))</f>
        <v/>
      </c>
      <c r="E988" s="166" t="str">
        <f t="shared" si="42"/>
        <v/>
      </c>
      <c r="F988" s="166" t="str">
        <f>IF($A988&gt;MIN($A$10,$A$2),"",IF($A988&lt;50,"n.a.",IF(COUNT(INDEX(StockDaily[Adjusted close],MAX(1,$A988-50+1)):E988)=50,AVERAGE(INDEX(StockDaily[Adjusted close],MAX(1,$A988-50+1)):E988),"n.a.")))</f>
        <v/>
      </c>
      <c r="G988" s="166" t="str">
        <f>IF($A988&gt;MIN($A$10,$A$2),"",IF($A988&lt;200,"n.a.",IF(COUNT(INDEX(StockDaily[Adjusted close],MAX(1,$A988-200+1)):E988)=200,AVERAGE(INDEX(StockDaily[Adjusted close],MAX(1,$A988-200+1)):E988),"n.a.")))</f>
        <v/>
      </c>
      <c r="H988" s="136" t="str">
        <f>IF($A988&gt;MIN($A$10,$A$2),"",IF($A$5="","Choose stock",IF(NOT($A$12),"Check split rule",IF(NOT(ISNUMBER(B988)),"Invalid date",IF(OR(B988&lt;=0,B988&lt;&gt;INT(B988)),"Invalid date",IF(COUNTIFS(DemoHistory[Date],B988)&lt;&gt;1,"Duplicate date",IF(AND($A988&gt;1,B988&lt;=B987),"Dates out of order",IF(NOT(ISNUMBER(C988)),"Missing price",IF(C988&lt;=0,"Nonpositive price","OK")))))))))</f>
        <v/>
      </c>
      <c r="I988" s="136"/>
      <c r="J988" s="136"/>
      <c r="K988" s="136"/>
      <c r="L988" s="136"/>
      <c r="M988" s="136"/>
      <c r="N988" s="136" t="e">
        <f t="shared" si="43"/>
        <v>#N/A</v>
      </c>
      <c r="O988" s="136" t="e">
        <f t="shared" si="44"/>
        <v>#N/A</v>
      </c>
    </row>
    <row r="989" spans="1:15" ht="22" customHeight="1" x14ac:dyDescent="0.35">
      <c r="A989" s="136">
        <v>945</v>
      </c>
      <c r="B989" s="165" t="str">
        <f>IF($A989&gt;MIN($A$10,$A$2),"",INDEX(DemoHistory[Date],$A989))</f>
        <v/>
      </c>
      <c r="C989" s="166" t="str">
        <f>IF(OR($A989&gt;MIN($A$10,$A$2),$A$5=""),"",INDEX(DemoHistory[],$A989,MATCH($A$5,DemoHistory[#Headers],0)))</f>
        <v/>
      </c>
      <c r="D989" s="166" t="str">
        <f>IF($A989&gt;MIN($A$10,$A$2),"",IF(AND($A$12,$A$6=1,B989&lt;$A$7,$A$7&lt;=MAX(DemoHistory[Date])),$A$8,1))</f>
        <v/>
      </c>
      <c r="E989" s="166" t="str">
        <f t="shared" si="42"/>
        <v/>
      </c>
      <c r="F989" s="166" t="str">
        <f>IF($A989&gt;MIN($A$10,$A$2),"",IF($A989&lt;50,"n.a.",IF(COUNT(INDEX(StockDaily[Adjusted close],MAX(1,$A989-50+1)):E989)=50,AVERAGE(INDEX(StockDaily[Adjusted close],MAX(1,$A989-50+1)):E989),"n.a.")))</f>
        <v/>
      </c>
      <c r="G989" s="166" t="str">
        <f>IF($A989&gt;MIN($A$10,$A$2),"",IF($A989&lt;200,"n.a.",IF(COUNT(INDEX(StockDaily[Adjusted close],MAX(1,$A989-200+1)):E989)=200,AVERAGE(INDEX(StockDaily[Adjusted close],MAX(1,$A989-200+1)):E989),"n.a.")))</f>
        <v/>
      </c>
      <c r="H989" s="136" t="str">
        <f>IF($A989&gt;MIN($A$10,$A$2),"",IF($A$5="","Choose stock",IF(NOT($A$12),"Check split rule",IF(NOT(ISNUMBER(B989)),"Invalid date",IF(OR(B989&lt;=0,B989&lt;&gt;INT(B989)),"Invalid date",IF(COUNTIFS(DemoHistory[Date],B989)&lt;&gt;1,"Duplicate date",IF(AND($A989&gt;1,B989&lt;=B988),"Dates out of order",IF(NOT(ISNUMBER(C989)),"Missing price",IF(C989&lt;=0,"Nonpositive price","OK")))))))))</f>
        <v/>
      </c>
      <c r="I989" s="136"/>
      <c r="J989" s="136"/>
      <c r="K989" s="136"/>
      <c r="L989" s="136"/>
      <c r="M989" s="136"/>
      <c r="N989" s="136" t="e">
        <f t="shared" si="43"/>
        <v>#N/A</v>
      </c>
      <c r="O989" s="136" t="e">
        <f t="shared" si="44"/>
        <v>#N/A</v>
      </c>
    </row>
    <row r="990" spans="1:15" ht="22" customHeight="1" x14ac:dyDescent="0.35">
      <c r="A990" s="136">
        <v>946</v>
      </c>
      <c r="B990" s="165" t="str">
        <f>IF($A990&gt;MIN($A$10,$A$2),"",INDEX(DemoHistory[Date],$A990))</f>
        <v/>
      </c>
      <c r="C990" s="166" t="str">
        <f>IF(OR($A990&gt;MIN($A$10,$A$2),$A$5=""),"",INDEX(DemoHistory[],$A990,MATCH($A$5,DemoHistory[#Headers],0)))</f>
        <v/>
      </c>
      <c r="D990" s="166" t="str">
        <f>IF($A990&gt;MIN($A$10,$A$2),"",IF(AND($A$12,$A$6=1,B990&lt;$A$7,$A$7&lt;=MAX(DemoHistory[Date])),$A$8,1))</f>
        <v/>
      </c>
      <c r="E990" s="166" t="str">
        <f t="shared" si="42"/>
        <v/>
      </c>
      <c r="F990" s="166" t="str">
        <f>IF($A990&gt;MIN($A$10,$A$2),"",IF($A990&lt;50,"n.a.",IF(COUNT(INDEX(StockDaily[Adjusted close],MAX(1,$A990-50+1)):E990)=50,AVERAGE(INDEX(StockDaily[Adjusted close],MAX(1,$A990-50+1)):E990),"n.a.")))</f>
        <v/>
      </c>
      <c r="G990" s="166" t="str">
        <f>IF($A990&gt;MIN($A$10,$A$2),"",IF($A990&lt;200,"n.a.",IF(COUNT(INDEX(StockDaily[Adjusted close],MAX(1,$A990-200+1)):E990)=200,AVERAGE(INDEX(StockDaily[Adjusted close],MAX(1,$A990-200+1)):E990),"n.a.")))</f>
        <v/>
      </c>
      <c r="H990" s="136" t="str">
        <f>IF($A990&gt;MIN($A$10,$A$2),"",IF($A$5="","Choose stock",IF(NOT($A$12),"Check split rule",IF(NOT(ISNUMBER(B990)),"Invalid date",IF(OR(B990&lt;=0,B990&lt;&gt;INT(B990)),"Invalid date",IF(COUNTIFS(DemoHistory[Date],B990)&lt;&gt;1,"Duplicate date",IF(AND($A990&gt;1,B990&lt;=B989),"Dates out of order",IF(NOT(ISNUMBER(C990)),"Missing price",IF(C990&lt;=0,"Nonpositive price","OK")))))))))</f>
        <v/>
      </c>
      <c r="I990" s="136"/>
      <c r="J990" s="136"/>
      <c r="K990" s="136"/>
      <c r="L990" s="136"/>
      <c r="M990" s="136"/>
      <c r="N990" s="136" t="e">
        <f t="shared" si="43"/>
        <v>#N/A</v>
      </c>
      <c r="O990" s="136" t="e">
        <f t="shared" si="44"/>
        <v>#N/A</v>
      </c>
    </row>
    <row r="991" spans="1:15" ht="22" customHeight="1" x14ac:dyDescent="0.35">
      <c r="A991" s="136">
        <v>947</v>
      </c>
      <c r="B991" s="165" t="str">
        <f>IF($A991&gt;MIN($A$10,$A$2),"",INDEX(DemoHistory[Date],$A991))</f>
        <v/>
      </c>
      <c r="C991" s="166" t="str">
        <f>IF(OR($A991&gt;MIN($A$10,$A$2),$A$5=""),"",INDEX(DemoHistory[],$A991,MATCH($A$5,DemoHistory[#Headers],0)))</f>
        <v/>
      </c>
      <c r="D991" s="166" t="str">
        <f>IF($A991&gt;MIN($A$10,$A$2),"",IF(AND($A$12,$A$6=1,B991&lt;$A$7,$A$7&lt;=MAX(DemoHistory[Date])),$A$8,1))</f>
        <v/>
      </c>
      <c r="E991" s="166" t="str">
        <f t="shared" si="42"/>
        <v/>
      </c>
      <c r="F991" s="166" t="str">
        <f>IF($A991&gt;MIN($A$10,$A$2),"",IF($A991&lt;50,"n.a.",IF(COUNT(INDEX(StockDaily[Adjusted close],MAX(1,$A991-50+1)):E991)=50,AVERAGE(INDEX(StockDaily[Adjusted close],MAX(1,$A991-50+1)):E991),"n.a.")))</f>
        <v/>
      </c>
      <c r="G991" s="166" t="str">
        <f>IF($A991&gt;MIN($A$10,$A$2),"",IF($A991&lt;200,"n.a.",IF(COUNT(INDEX(StockDaily[Adjusted close],MAX(1,$A991-200+1)):E991)=200,AVERAGE(INDEX(StockDaily[Adjusted close],MAX(1,$A991-200+1)):E991),"n.a.")))</f>
        <v/>
      </c>
      <c r="H991" s="136" t="str">
        <f>IF($A991&gt;MIN($A$10,$A$2),"",IF($A$5="","Choose stock",IF(NOT($A$12),"Check split rule",IF(NOT(ISNUMBER(B991)),"Invalid date",IF(OR(B991&lt;=0,B991&lt;&gt;INT(B991)),"Invalid date",IF(COUNTIFS(DemoHistory[Date],B991)&lt;&gt;1,"Duplicate date",IF(AND($A991&gt;1,B991&lt;=B990),"Dates out of order",IF(NOT(ISNUMBER(C991)),"Missing price",IF(C991&lt;=0,"Nonpositive price","OK")))))))))</f>
        <v/>
      </c>
      <c r="I991" s="136"/>
      <c r="J991" s="136"/>
      <c r="K991" s="136"/>
      <c r="L991" s="136"/>
      <c r="M991" s="136"/>
      <c r="N991" s="136" t="e">
        <f t="shared" si="43"/>
        <v>#N/A</v>
      </c>
      <c r="O991" s="136" t="e">
        <f t="shared" si="44"/>
        <v>#N/A</v>
      </c>
    </row>
    <row r="992" spans="1:15" ht="22" customHeight="1" x14ac:dyDescent="0.35">
      <c r="A992" s="136">
        <v>948</v>
      </c>
      <c r="B992" s="165" t="str">
        <f>IF($A992&gt;MIN($A$10,$A$2),"",INDEX(DemoHistory[Date],$A992))</f>
        <v/>
      </c>
      <c r="C992" s="166" t="str">
        <f>IF(OR($A992&gt;MIN($A$10,$A$2),$A$5=""),"",INDEX(DemoHistory[],$A992,MATCH($A$5,DemoHistory[#Headers],0)))</f>
        <v/>
      </c>
      <c r="D992" s="166" t="str">
        <f>IF($A992&gt;MIN($A$10,$A$2),"",IF(AND($A$12,$A$6=1,B992&lt;$A$7,$A$7&lt;=MAX(DemoHistory[Date])),$A$8,1))</f>
        <v/>
      </c>
      <c r="E992" s="166" t="str">
        <f t="shared" si="42"/>
        <v/>
      </c>
      <c r="F992" s="166" t="str">
        <f>IF($A992&gt;MIN($A$10,$A$2),"",IF($A992&lt;50,"n.a.",IF(COUNT(INDEX(StockDaily[Adjusted close],MAX(1,$A992-50+1)):E992)=50,AVERAGE(INDEX(StockDaily[Adjusted close],MAX(1,$A992-50+1)):E992),"n.a.")))</f>
        <v/>
      </c>
      <c r="G992" s="166" t="str">
        <f>IF($A992&gt;MIN($A$10,$A$2),"",IF($A992&lt;200,"n.a.",IF(COUNT(INDEX(StockDaily[Adjusted close],MAX(1,$A992-200+1)):E992)=200,AVERAGE(INDEX(StockDaily[Adjusted close],MAX(1,$A992-200+1)):E992),"n.a.")))</f>
        <v/>
      </c>
      <c r="H992" s="136" t="str">
        <f>IF($A992&gt;MIN($A$10,$A$2),"",IF($A$5="","Choose stock",IF(NOT($A$12),"Check split rule",IF(NOT(ISNUMBER(B992)),"Invalid date",IF(OR(B992&lt;=0,B992&lt;&gt;INT(B992)),"Invalid date",IF(COUNTIFS(DemoHistory[Date],B992)&lt;&gt;1,"Duplicate date",IF(AND($A992&gt;1,B992&lt;=B991),"Dates out of order",IF(NOT(ISNUMBER(C992)),"Missing price",IF(C992&lt;=0,"Nonpositive price","OK")))))))))</f>
        <v/>
      </c>
      <c r="I992" s="136"/>
      <c r="J992" s="136"/>
      <c r="K992" s="136"/>
      <c r="L992" s="136"/>
      <c r="M992" s="136"/>
      <c r="N992" s="136" t="e">
        <f t="shared" si="43"/>
        <v>#N/A</v>
      </c>
      <c r="O992" s="136" t="e">
        <f t="shared" si="44"/>
        <v>#N/A</v>
      </c>
    </row>
    <row r="993" spans="1:15" ht="22" customHeight="1" x14ac:dyDescent="0.35">
      <c r="A993" s="136">
        <v>949</v>
      </c>
      <c r="B993" s="165" t="str">
        <f>IF($A993&gt;MIN($A$10,$A$2),"",INDEX(DemoHistory[Date],$A993))</f>
        <v/>
      </c>
      <c r="C993" s="166" t="str">
        <f>IF(OR($A993&gt;MIN($A$10,$A$2),$A$5=""),"",INDEX(DemoHistory[],$A993,MATCH($A$5,DemoHistory[#Headers],0)))</f>
        <v/>
      </c>
      <c r="D993" s="166" t="str">
        <f>IF($A993&gt;MIN($A$10,$A$2),"",IF(AND($A$12,$A$6=1,B993&lt;$A$7,$A$7&lt;=MAX(DemoHistory[Date])),$A$8,1))</f>
        <v/>
      </c>
      <c r="E993" s="166" t="str">
        <f t="shared" si="42"/>
        <v/>
      </c>
      <c r="F993" s="166" t="str">
        <f>IF($A993&gt;MIN($A$10,$A$2),"",IF($A993&lt;50,"n.a.",IF(COUNT(INDEX(StockDaily[Adjusted close],MAX(1,$A993-50+1)):E993)=50,AVERAGE(INDEX(StockDaily[Adjusted close],MAX(1,$A993-50+1)):E993),"n.a.")))</f>
        <v/>
      </c>
      <c r="G993" s="166" t="str">
        <f>IF($A993&gt;MIN($A$10,$A$2),"",IF($A993&lt;200,"n.a.",IF(COUNT(INDEX(StockDaily[Adjusted close],MAX(1,$A993-200+1)):E993)=200,AVERAGE(INDEX(StockDaily[Adjusted close],MAX(1,$A993-200+1)):E993),"n.a.")))</f>
        <v/>
      </c>
      <c r="H993" s="136" t="str">
        <f>IF($A993&gt;MIN($A$10,$A$2),"",IF($A$5="","Choose stock",IF(NOT($A$12),"Check split rule",IF(NOT(ISNUMBER(B993)),"Invalid date",IF(OR(B993&lt;=0,B993&lt;&gt;INT(B993)),"Invalid date",IF(COUNTIFS(DemoHistory[Date],B993)&lt;&gt;1,"Duplicate date",IF(AND($A993&gt;1,B993&lt;=B992),"Dates out of order",IF(NOT(ISNUMBER(C993)),"Missing price",IF(C993&lt;=0,"Nonpositive price","OK")))))))))</f>
        <v/>
      </c>
      <c r="I993" s="136"/>
      <c r="J993" s="136"/>
      <c r="K993" s="136"/>
      <c r="L993" s="136"/>
      <c r="M993" s="136"/>
      <c r="N993" s="136" t="e">
        <f t="shared" si="43"/>
        <v>#N/A</v>
      </c>
      <c r="O993" s="136" t="e">
        <f t="shared" si="44"/>
        <v>#N/A</v>
      </c>
    </row>
    <row r="994" spans="1:15" ht="22" customHeight="1" x14ac:dyDescent="0.35">
      <c r="A994" s="136">
        <v>950</v>
      </c>
      <c r="B994" s="165" t="str">
        <f>IF($A994&gt;MIN($A$10,$A$2),"",INDEX(DemoHistory[Date],$A994))</f>
        <v/>
      </c>
      <c r="C994" s="166" t="str">
        <f>IF(OR($A994&gt;MIN($A$10,$A$2),$A$5=""),"",INDEX(DemoHistory[],$A994,MATCH($A$5,DemoHistory[#Headers],0)))</f>
        <v/>
      </c>
      <c r="D994" s="166" t="str">
        <f>IF($A994&gt;MIN($A$10,$A$2),"",IF(AND($A$12,$A$6=1,B994&lt;$A$7,$A$7&lt;=MAX(DemoHistory[Date])),$A$8,1))</f>
        <v/>
      </c>
      <c r="E994" s="166" t="str">
        <f t="shared" si="42"/>
        <v/>
      </c>
      <c r="F994" s="166" t="str">
        <f>IF($A994&gt;MIN($A$10,$A$2),"",IF($A994&lt;50,"n.a.",IF(COUNT(INDEX(StockDaily[Adjusted close],MAX(1,$A994-50+1)):E994)=50,AVERAGE(INDEX(StockDaily[Adjusted close],MAX(1,$A994-50+1)):E994),"n.a.")))</f>
        <v/>
      </c>
      <c r="G994" s="166" t="str">
        <f>IF($A994&gt;MIN($A$10,$A$2),"",IF($A994&lt;200,"n.a.",IF(COUNT(INDEX(StockDaily[Adjusted close],MAX(1,$A994-200+1)):E994)=200,AVERAGE(INDEX(StockDaily[Adjusted close],MAX(1,$A994-200+1)):E994),"n.a.")))</f>
        <v/>
      </c>
      <c r="H994" s="136" t="str">
        <f>IF($A994&gt;MIN($A$10,$A$2),"",IF($A$5="","Choose stock",IF(NOT($A$12),"Check split rule",IF(NOT(ISNUMBER(B994)),"Invalid date",IF(OR(B994&lt;=0,B994&lt;&gt;INT(B994)),"Invalid date",IF(COUNTIFS(DemoHistory[Date],B994)&lt;&gt;1,"Duplicate date",IF(AND($A994&gt;1,B994&lt;=B993),"Dates out of order",IF(NOT(ISNUMBER(C994)),"Missing price",IF(C994&lt;=0,"Nonpositive price","OK")))))))))</f>
        <v/>
      </c>
      <c r="I994" s="136"/>
      <c r="J994" s="136"/>
      <c r="K994" s="136"/>
      <c r="L994" s="136"/>
      <c r="M994" s="136"/>
      <c r="N994" s="136" t="e">
        <f t="shared" si="43"/>
        <v>#N/A</v>
      </c>
      <c r="O994" s="136" t="e">
        <f t="shared" si="44"/>
        <v>#N/A</v>
      </c>
    </row>
    <row r="995" spans="1:15" ht="22" customHeight="1" x14ac:dyDescent="0.35">
      <c r="A995" s="136">
        <v>951</v>
      </c>
      <c r="B995" s="165" t="str">
        <f>IF($A995&gt;MIN($A$10,$A$2),"",INDEX(DemoHistory[Date],$A995))</f>
        <v/>
      </c>
      <c r="C995" s="166" t="str">
        <f>IF(OR($A995&gt;MIN($A$10,$A$2),$A$5=""),"",INDEX(DemoHistory[],$A995,MATCH($A$5,DemoHistory[#Headers],0)))</f>
        <v/>
      </c>
      <c r="D995" s="166" t="str">
        <f>IF($A995&gt;MIN($A$10,$A$2),"",IF(AND($A$12,$A$6=1,B995&lt;$A$7,$A$7&lt;=MAX(DemoHistory[Date])),$A$8,1))</f>
        <v/>
      </c>
      <c r="E995" s="166" t="str">
        <f t="shared" si="42"/>
        <v/>
      </c>
      <c r="F995" s="166" t="str">
        <f>IF($A995&gt;MIN($A$10,$A$2),"",IF($A995&lt;50,"n.a.",IF(COUNT(INDEX(StockDaily[Adjusted close],MAX(1,$A995-50+1)):E995)=50,AVERAGE(INDEX(StockDaily[Adjusted close],MAX(1,$A995-50+1)):E995),"n.a.")))</f>
        <v/>
      </c>
      <c r="G995" s="166" t="str">
        <f>IF($A995&gt;MIN($A$10,$A$2),"",IF($A995&lt;200,"n.a.",IF(COUNT(INDEX(StockDaily[Adjusted close],MAX(1,$A995-200+1)):E995)=200,AVERAGE(INDEX(StockDaily[Adjusted close],MAX(1,$A995-200+1)):E995),"n.a.")))</f>
        <v/>
      </c>
      <c r="H995" s="136" t="str">
        <f>IF($A995&gt;MIN($A$10,$A$2),"",IF($A$5="","Choose stock",IF(NOT($A$12),"Check split rule",IF(NOT(ISNUMBER(B995)),"Invalid date",IF(OR(B995&lt;=0,B995&lt;&gt;INT(B995)),"Invalid date",IF(COUNTIFS(DemoHistory[Date],B995)&lt;&gt;1,"Duplicate date",IF(AND($A995&gt;1,B995&lt;=B994),"Dates out of order",IF(NOT(ISNUMBER(C995)),"Missing price",IF(C995&lt;=0,"Nonpositive price","OK")))))))))</f>
        <v/>
      </c>
      <c r="I995" s="136"/>
      <c r="J995" s="136"/>
      <c r="K995" s="136"/>
      <c r="L995" s="136"/>
      <c r="M995" s="136"/>
      <c r="N995" s="136" t="e">
        <f t="shared" si="43"/>
        <v>#N/A</v>
      </c>
      <c r="O995" s="136" t="e">
        <f t="shared" si="44"/>
        <v>#N/A</v>
      </c>
    </row>
    <row r="996" spans="1:15" ht="22" customHeight="1" x14ac:dyDescent="0.35">
      <c r="A996" s="136">
        <v>952</v>
      </c>
      <c r="B996" s="165" t="str">
        <f>IF($A996&gt;MIN($A$10,$A$2),"",INDEX(DemoHistory[Date],$A996))</f>
        <v/>
      </c>
      <c r="C996" s="166" t="str">
        <f>IF(OR($A996&gt;MIN($A$10,$A$2),$A$5=""),"",INDEX(DemoHistory[],$A996,MATCH($A$5,DemoHistory[#Headers],0)))</f>
        <v/>
      </c>
      <c r="D996" s="166" t="str">
        <f>IF($A996&gt;MIN($A$10,$A$2),"",IF(AND($A$12,$A$6=1,B996&lt;$A$7,$A$7&lt;=MAX(DemoHistory[Date])),$A$8,1))</f>
        <v/>
      </c>
      <c r="E996" s="166" t="str">
        <f t="shared" si="42"/>
        <v/>
      </c>
      <c r="F996" s="166" t="str">
        <f>IF($A996&gt;MIN($A$10,$A$2),"",IF($A996&lt;50,"n.a.",IF(COUNT(INDEX(StockDaily[Adjusted close],MAX(1,$A996-50+1)):E996)=50,AVERAGE(INDEX(StockDaily[Adjusted close],MAX(1,$A996-50+1)):E996),"n.a.")))</f>
        <v/>
      </c>
      <c r="G996" s="166" t="str">
        <f>IF($A996&gt;MIN($A$10,$A$2),"",IF($A996&lt;200,"n.a.",IF(COUNT(INDEX(StockDaily[Adjusted close],MAX(1,$A996-200+1)):E996)=200,AVERAGE(INDEX(StockDaily[Adjusted close],MAX(1,$A996-200+1)):E996),"n.a.")))</f>
        <v/>
      </c>
      <c r="H996" s="136" t="str">
        <f>IF($A996&gt;MIN($A$10,$A$2),"",IF($A$5="","Choose stock",IF(NOT($A$12),"Check split rule",IF(NOT(ISNUMBER(B996)),"Invalid date",IF(OR(B996&lt;=0,B996&lt;&gt;INT(B996)),"Invalid date",IF(COUNTIFS(DemoHistory[Date],B996)&lt;&gt;1,"Duplicate date",IF(AND($A996&gt;1,B996&lt;=B995),"Dates out of order",IF(NOT(ISNUMBER(C996)),"Missing price",IF(C996&lt;=0,"Nonpositive price","OK")))))))))</f>
        <v/>
      </c>
      <c r="I996" s="136"/>
      <c r="J996" s="136"/>
      <c r="K996" s="136"/>
      <c r="L996" s="136"/>
      <c r="M996" s="136"/>
      <c r="N996" s="136" t="e">
        <f t="shared" si="43"/>
        <v>#N/A</v>
      </c>
      <c r="O996" s="136" t="e">
        <f t="shared" si="44"/>
        <v>#N/A</v>
      </c>
    </row>
    <row r="997" spans="1:15" ht="22" customHeight="1" x14ac:dyDescent="0.35">
      <c r="A997" s="136">
        <v>953</v>
      </c>
      <c r="B997" s="165" t="str">
        <f>IF($A997&gt;MIN($A$10,$A$2),"",INDEX(DemoHistory[Date],$A997))</f>
        <v/>
      </c>
      <c r="C997" s="166" t="str">
        <f>IF(OR($A997&gt;MIN($A$10,$A$2),$A$5=""),"",INDEX(DemoHistory[],$A997,MATCH($A$5,DemoHistory[#Headers],0)))</f>
        <v/>
      </c>
      <c r="D997" s="166" t="str">
        <f>IF($A997&gt;MIN($A$10,$A$2),"",IF(AND($A$12,$A$6=1,B997&lt;$A$7,$A$7&lt;=MAX(DemoHistory[Date])),$A$8,1))</f>
        <v/>
      </c>
      <c r="E997" s="166" t="str">
        <f t="shared" si="42"/>
        <v/>
      </c>
      <c r="F997" s="166" t="str">
        <f>IF($A997&gt;MIN($A$10,$A$2),"",IF($A997&lt;50,"n.a.",IF(COUNT(INDEX(StockDaily[Adjusted close],MAX(1,$A997-50+1)):E997)=50,AVERAGE(INDEX(StockDaily[Adjusted close],MAX(1,$A997-50+1)):E997),"n.a.")))</f>
        <v/>
      </c>
      <c r="G997" s="166" t="str">
        <f>IF($A997&gt;MIN($A$10,$A$2),"",IF($A997&lt;200,"n.a.",IF(COUNT(INDEX(StockDaily[Adjusted close],MAX(1,$A997-200+1)):E997)=200,AVERAGE(INDEX(StockDaily[Adjusted close],MAX(1,$A997-200+1)):E997),"n.a.")))</f>
        <v/>
      </c>
      <c r="H997" s="136" t="str">
        <f>IF($A997&gt;MIN($A$10,$A$2),"",IF($A$5="","Choose stock",IF(NOT($A$12),"Check split rule",IF(NOT(ISNUMBER(B997)),"Invalid date",IF(OR(B997&lt;=0,B997&lt;&gt;INT(B997)),"Invalid date",IF(COUNTIFS(DemoHistory[Date],B997)&lt;&gt;1,"Duplicate date",IF(AND($A997&gt;1,B997&lt;=B996),"Dates out of order",IF(NOT(ISNUMBER(C997)),"Missing price",IF(C997&lt;=0,"Nonpositive price","OK")))))))))</f>
        <v/>
      </c>
      <c r="I997" s="136"/>
      <c r="J997" s="136"/>
      <c r="K997" s="136"/>
      <c r="L997" s="136"/>
      <c r="M997" s="136"/>
      <c r="N997" s="136" t="e">
        <f t="shared" si="43"/>
        <v>#N/A</v>
      </c>
      <c r="O997" s="136" t="e">
        <f t="shared" si="44"/>
        <v>#N/A</v>
      </c>
    </row>
    <row r="998" spans="1:15" ht="22" customHeight="1" x14ac:dyDescent="0.35">
      <c r="A998" s="136">
        <v>954</v>
      </c>
      <c r="B998" s="165" t="str">
        <f>IF($A998&gt;MIN($A$10,$A$2),"",INDEX(DemoHistory[Date],$A998))</f>
        <v/>
      </c>
      <c r="C998" s="166" t="str">
        <f>IF(OR($A998&gt;MIN($A$10,$A$2),$A$5=""),"",INDEX(DemoHistory[],$A998,MATCH($A$5,DemoHistory[#Headers],0)))</f>
        <v/>
      </c>
      <c r="D998" s="166" t="str">
        <f>IF($A998&gt;MIN($A$10,$A$2),"",IF(AND($A$12,$A$6=1,B998&lt;$A$7,$A$7&lt;=MAX(DemoHistory[Date])),$A$8,1))</f>
        <v/>
      </c>
      <c r="E998" s="166" t="str">
        <f t="shared" si="42"/>
        <v/>
      </c>
      <c r="F998" s="166" t="str">
        <f>IF($A998&gt;MIN($A$10,$A$2),"",IF($A998&lt;50,"n.a.",IF(COUNT(INDEX(StockDaily[Adjusted close],MAX(1,$A998-50+1)):E998)=50,AVERAGE(INDEX(StockDaily[Adjusted close],MAX(1,$A998-50+1)):E998),"n.a.")))</f>
        <v/>
      </c>
      <c r="G998" s="166" t="str">
        <f>IF($A998&gt;MIN($A$10,$A$2),"",IF($A998&lt;200,"n.a.",IF(COUNT(INDEX(StockDaily[Adjusted close],MAX(1,$A998-200+1)):E998)=200,AVERAGE(INDEX(StockDaily[Adjusted close],MAX(1,$A998-200+1)):E998),"n.a.")))</f>
        <v/>
      </c>
      <c r="H998" s="136" t="str">
        <f>IF($A998&gt;MIN($A$10,$A$2),"",IF($A$5="","Choose stock",IF(NOT($A$12),"Check split rule",IF(NOT(ISNUMBER(B998)),"Invalid date",IF(OR(B998&lt;=0,B998&lt;&gt;INT(B998)),"Invalid date",IF(COUNTIFS(DemoHistory[Date],B998)&lt;&gt;1,"Duplicate date",IF(AND($A998&gt;1,B998&lt;=B997),"Dates out of order",IF(NOT(ISNUMBER(C998)),"Missing price",IF(C998&lt;=0,"Nonpositive price","OK")))))))))</f>
        <v/>
      </c>
      <c r="I998" s="136"/>
      <c r="J998" s="136"/>
      <c r="K998" s="136"/>
      <c r="L998" s="136"/>
      <c r="M998" s="136"/>
      <c r="N998" s="136" t="e">
        <f t="shared" si="43"/>
        <v>#N/A</v>
      </c>
      <c r="O998" s="136" t="e">
        <f t="shared" si="44"/>
        <v>#N/A</v>
      </c>
    </row>
    <row r="999" spans="1:15" ht="22" customHeight="1" x14ac:dyDescent="0.35">
      <c r="A999" s="136">
        <v>955</v>
      </c>
      <c r="B999" s="165" t="str">
        <f>IF($A999&gt;MIN($A$10,$A$2),"",INDEX(DemoHistory[Date],$A999))</f>
        <v/>
      </c>
      <c r="C999" s="166" t="str">
        <f>IF(OR($A999&gt;MIN($A$10,$A$2),$A$5=""),"",INDEX(DemoHistory[],$A999,MATCH($A$5,DemoHistory[#Headers],0)))</f>
        <v/>
      </c>
      <c r="D999" s="166" t="str">
        <f>IF($A999&gt;MIN($A$10,$A$2),"",IF(AND($A$12,$A$6=1,B999&lt;$A$7,$A$7&lt;=MAX(DemoHistory[Date])),$A$8,1))</f>
        <v/>
      </c>
      <c r="E999" s="166" t="str">
        <f t="shared" si="42"/>
        <v/>
      </c>
      <c r="F999" s="166" t="str">
        <f>IF($A999&gt;MIN($A$10,$A$2),"",IF($A999&lt;50,"n.a.",IF(COUNT(INDEX(StockDaily[Adjusted close],MAX(1,$A999-50+1)):E999)=50,AVERAGE(INDEX(StockDaily[Adjusted close],MAX(1,$A999-50+1)):E999),"n.a.")))</f>
        <v/>
      </c>
      <c r="G999" s="166" t="str">
        <f>IF($A999&gt;MIN($A$10,$A$2),"",IF($A999&lt;200,"n.a.",IF(COUNT(INDEX(StockDaily[Adjusted close],MAX(1,$A999-200+1)):E999)=200,AVERAGE(INDEX(StockDaily[Adjusted close],MAX(1,$A999-200+1)):E999),"n.a.")))</f>
        <v/>
      </c>
      <c r="H999" s="136" t="str">
        <f>IF($A999&gt;MIN($A$10,$A$2),"",IF($A$5="","Choose stock",IF(NOT($A$12),"Check split rule",IF(NOT(ISNUMBER(B999)),"Invalid date",IF(OR(B999&lt;=0,B999&lt;&gt;INT(B999)),"Invalid date",IF(COUNTIFS(DemoHistory[Date],B999)&lt;&gt;1,"Duplicate date",IF(AND($A999&gt;1,B999&lt;=B998),"Dates out of order",IF(NOT(ISNUMBER(C999)),"Missing price",IF(C999&lt;=0,"Nonpositive price","OK")))))))))</f>
        <v/>
      </c>
      <c r="I999" s="136"/>
      <c r="J999" s="136"/>
      <c r="K999" s="136"/>
      <c r="L999" s="136"/>
      <c r="M999" s="136"/>
      <c r="N999" s="136" t="e">
        <f t="shared" si="43"/>
        <v>#N/A</v>
      </c>
      <c r="O999" s="136" t="e">
        <f t="shared" si="44"/>
        <v>#N/A</v>
      </c>
    </row>
    <row r="1000" spans="1:15" ht="22" customHeight="1" x14ac:dyDescent="0.35">
      <c r="A1000" s="136">
        <v>956</v>
      </c>
      <c r="B1000" s="165" t="str">
        <f>IF($A1000&gt;MIN($A$10,$A$2),"",INDEX(DemoHistory[Date],$A1000))</f>
        <v/>
      </c>
      <c r="C1000" s="166" t="str">
        <f>IF(OR($A1000&gt;MIN($A$10,$A$2),$A$5=""),"",INDEX(DemoHistory[],$A1000,MATCH($A$5,DemoHistory[#Headers],0)))</f>
        <v/>
      </c>
      <c r="D1000" s="166" t="str">
        <f>IF($A1000&gt;MIN($A$10,$A$2),"",IF(AND($A$12,$A$6=1,B1000&lt;$A$7,$A$7&lt;=MAX(DemoHistory[Date])),$A$8,1))</f>
        <v/>
      </c>
      <c r="E1000" s="166" t="str">
        <f t="shared" si="42"/>
        <v/>
      </c>
      <c r="F1000" s="166" t="str">
        <f>IF($A1000&gt;MIN($A$10,$A$2),"",IF($A1000&lt;50,"n.a.",IF(COUNT(INDEX(StockDaily[Adjusted close],MAX(1,$A1000-50+1)):E1000)=50,AVERAGE(INDEX(StockDaily[Adjusted close],MAX(1,$A1000-50+1)):E1000),"n.a.")))</f>
        <v/>
      </c>
      <c r="G1000" s="166" t="str">
        <f>IF($A1000&gt;MIN($A$10,$A$2),"",IF($A1000&lt;200,"n.a.",IF(COUNT(INDEX(StockDaily[Adjusted close],MAX(1,$A1000-200+1)):E1000)=200,AVERAGE(INDEX(StockDaily[Adjusted close],MAX(1,$A1000-200+1)):E1000),"n.a.")))</f>
        <v/>
      </c>
      <c r="H1000" s="136" t="str">
        <f>IF($A1000&gt;MIN($A$10,$A$2),"",IF($A$5="","Choose stock",IF(NOT($A$12),"Check split rule",IF(NOT(ISNUMBER(B1000)),"Invalid date",IF(OR(B1000&lt;=0,B1000&lt;&gt;INT(B1000)),"Invalid date",IF(COUNTIFS(DemoHistory[Date],B1000)&lt;&gt;1,"Duplicate date",IF(AND($A1000&gt;1,B1000&lt;=B999),"Dates out of order",IF(NOT(ISNUMBER(C1000)),"Missing price",IF(C1000&lt;=0,"Nonpositive price","OK")))))))))</f>
        <v/>
      </c>
      <c r="I1000" s="136"/>
      <c r="J1000" s="136"/>
      <c r="K1000" s="136"/>
      <c r="L1000" s="136"/>
      <c r="M1000" s="136"/>
      <c r="N1000" s="136" t="e">
        <f t="shared" si="43"/>
        <v>#N/A</v>
      </c>
      <c r="O1000" s="136" t="e">
        <f t="shared" si="44"/>
        <v>#N/A</v>
      </c>
    </row>
    <row r="1001" spans="1:15" ht="22" customHeight="1" x14ac:dyDescent="0.35">
      <c r="A1001" s="136">
        <v>957</v>
      </c>
      <c r="B1001" s="165" t="str">
        <f>IF($A1001&gt;MIN($A$10,$A$2),"",INDEX(DemoHistory[Date],$A1001))</f>
        <v/>
      </c>
      <c r="C1001" s="166" t="str">
        <f>IF(OR($A1001&gt;MIN($A$10,$A$2),$A$5=""),"",INDEX(DemoHistory[],$A1001,MATCH($A$5,DemoHistory[#Headers],0)))</f>
        <v/>
      </c>
      <c r="D1001" s="166" t="str">
        <f>IF($A1001&gt;MIN($A$10,$A$2),"",IF(AND($A$12,$A$6=1,B1001&lt;$A$7,$A$7&lt;=MAX(DemoHistory[Date])),$A$8,1))</f>
        <v/>
      </c>
      <c r="E1001" s="166" t="str">
        <f t="shared" si="42"/>
        <v/>
      </c>
      <c r="F1001" s="166" t="str">
        <f>IF($A1001&gt;MIN($A$10,$A$2),"",IF($A1001&lt;50,"n.a.",IF(COUNT(INDEX(StockDaily[Adjusted close],MAX(1,$A1001-50+1)):E1001)=50,AVERAGE(INDEX(StockDaily[Adjusted close],MAX(1,$A1001-50+1)):E1001),"n.a.")))</f>
        <v/>
      </c>
      <c r="G1001" s="166" t="str">
        <f>IF($A1001&gt;MIN($A$10,$A$2),"",IF($A1001&lt;200,"n.a.",IF(COUNT(INDEX(StockDaily[Adjusted close],MAX(1,$A1001-200+1)):E1001)=200,AVERAGE(INDEX(StockDaily[Adjusted close],MAX(1,$A1001-200+1)):E1001),"n.a.")))</f>
        <v/>
      </c>
      <c r="H1001" s="136" t="str">
        <f>IF($A1001&gt;MIN($A$10,$A$2),"",IF($A$5="","Choose stock",IF(NOT($A$12),"Check split rule",IF(NOT(ISNUMBER(B1001)),"Invalid date",IF(OR(B1001&lt;=0,B1001&lt;&gt;INT(B1001)),"Invalid date",IF(COUNTIFS(DemoHistory[Date],B1001)&lt;&gt;1,"Duplicate date",IF(AND($A1001&gt;1,B1001&lt;=B1000),"Dates out of order",IF(NOT(ISNUMBER(C1001)),"Missing price",IF(C1001&lt;=0,"Nonpositive price","OK")))))))))</f>
        <v/>
      </c>
      <c r="I1001" s="136"/>
      <c r="J1001" s="136"/>
      <c r="K1001" s="136"/>
      <c r="L1001" s="136"/>
      <c r="M1001" s="136"/>
      <c r="N1001" s="136" t="e">
        <f t="shared" si="43"/>
        <v>#N/A</v>
      </c>
      <c r="O1001" s="136" t="e">
        <f t="shared" si="44"/>
        <v>#N/A</v>
      </c>
    </row>
    <row r="1002" spans="1:15" ht="22" customHeight="1" x14ac:dyDescent="0.35">
      <c r="A1002" s="136">
        <v>958</v>
      </c>
      <c r="B1002" s="165" t="str">
        <f>IF($A1002&gt;MIN($A$10,$A$2),"",INDEX(DemoHistory[Date],$A1002))</f>
        <v/>
      </c>
      <c r="C1002" s="166" t="str">
        <f>IF(OR($A1002&gt;MIN($A$10,$A$2),$A$5=""),"",INDEX(DemoHistory[],$A1002,MATCH($A$5,DemoHistory[#Headers],0)))</f>
        <v/>
      </c>
      <c r="D1002" s="166" t="str">
        <f>IF($A1002&gt;MIN($A$10,$A$2),"",IF(AND($A$12,$A$6=1,B1002&lt;$A$7,$A$7&lt;=MAX(DemoHistory[Date])),$A$8,1))</f>
        <v/>
      </c>
      <c r="E1002" s="166" t="str">
        <f t="shared" si="42"/>
        <v/>
      </c>
      <c r="F1002" s="166" t="str">
        <f>IF($A1002&gt;MIN($A$10,$A$2),"",IF($A1002&lt;50,"n.a.",IF(COUNT(INDEX(StockDaily[Adjusted close],MAX(1,$A1002-50+1)):E1002)=50,AVERAGE(INDEX(StockDaily[Adjusted close],MAX(1,$A1002-50+1)):E1002),"n.a.")))</f>
        <v/>
      </c>
      <c r="G1002" s="166" t="str">
        <f>IF($A1002&gt;MIN($A$10,$A$2),"",IF($A1002&lt;200,"n.a.",IF(COUNT(INDEX(StockDaily[Adjusted close],MAX(1,$A1002-200+1)):E1002)=200,AVERAGE(INDEX(StockDaily[Adjusted close],MAX(1,$A1002-200+1)):E1002),"n.a.")))</f>
        <v/>
      </c>
      <c r="H1002" s="136" t="str">
        <f>IF($A1002&gt;MIN($A$10,$A$2),"",IF($A$5="","Choose stock",IF(NOT($A$12),"Check split rule",IF(NOT(ISNUMBER(B1002)),"Invalid date",IF(OR(B1002&lt;=0,B1002&lt;&gt;INT(B1002)),"Invalid date",IF(COUNTIFS(DemoHistory[Date],B1002)&lt;&gt;1,"Duplicate date",IF(AND($A1002&gt;1,B1002&lt;=B1001),"Dates out of order",IF(NOT(ISNUMBER(C1002)),"Missing price",IF(C1002&lt;=0,"Nonpositive price","OK")))))))))</f>
        <v/>
      </c>
      <c r="I1002" s="136"/>
      <c r="J1002" s="136"/>
      <c r="K1002" s="136"/>
      <c r="L1002" s="136"/>
      <c r="M1002" s="136"/>
      <c r="N1002" s="136" t="e">
        <f t="shared" si="43"/>
        <v>#N/A</v>
      </c>
      <c r="O1002" s="136" t="e">
        <f t="shared" si="44"/>
        <v>#N/A</v>
      </c>
    </row>
    <row r="1003" spans="1:15" ht="22" customHeight="1" x14ac:dyDescent="0.35">
      <c r="A1003" s="136">
        <v>959</v>
      </c>
      <c r="B1003" s="165" t="str">
        <f>IF($A1003&gt;MIN($A$10,$A$2),"",INDEX(DemoHistory[Date],$A1003))</f>
        <v/>
      </c>
      <c r="C1003" s="166" t="str">
        <f>IF(OR($A1003&gt;MIN($A$10,$A$2),$A$5=""),"",INDEX(DemoHistory[],$A1003,MATCH($A$5,DemoHistory[#Headers],0)))</f>
        <v/>
      </c>
      <c r="D1003" s="166" t="str">
        <f>IF($A1003&gt;MIN($A$10,$A$2),"",IF(AND($A$12,$A$6=1,B1003&lt;$A$7,$A$7&lt;=MAX(DemoHistory[Date])),$A$8,1))</f>
        <v/>
      </c>
      <c r="E1003" s="166" t="str">
        <f t="shared" si="42"/>
        <v/>
      </c>
      <c r="F1003" s="166" t="str">
        <f>IF($A1003&gt;MIN($A$10,$A$2),"",IF($A1003&lt;50,"n.a.",IF(COUNT(INDEX(StockDaily[Adjusted close],MAX(1,$A1003-50+1)):E1003)=50,AVERAGE(INDEX(StockDaily[Adjusted close],MAX(1,$A1003-50+1)):E1003),"n.a.")))</f>
        <v/>
      </c>
      <c r="G1003" s="166" t="str">
        <f>IF($A1003&gt;MIN($A$10,$A$2),"",IF($A1003&lt;200,"n.a.",IF(COUNT(INDEX(StockDaily[Adjusted close],MAX(1,$A1003-200+1)):E1003)=200,AVERAGE(INDEX(StockDaily[Adjusted close],MAX(1,$A1003-200+1)):E1003),"n.a.")))</f>
        <v/>
      </c>
      <c r="H1003" s="136" t="str">
        <f>IF($A1003&gt;MIN($A$10,$A$2),"",IF($A$5="","Choose stock",IF(NOT($A$12),"Check split rule",IF(NOT(ISNUMBER(B1003)),"Invalid date",IF(OR(B1003&lt;=0,B1003&lt;&gt;INT(B1003)),"Invalid date",IF(COUNTIFS(DemoHistory[Date],B1003)&lt;&gt;1,"Duplicate date",IF(AND($A1003&gt;1,B1003&lt;=B1002),"Dates out of order",IF(NOT(ISNUMBER(C1003)),"Missing price",IF(C1003&lt;=0,"Nonpositive price","OK")))))))))</f>
        <v/>
      </c>
      <c r="I1003" s="136"/>
      <c r="J1003" s="136"/>
      <c r="K1003" s="136"/>
      <c r="L1003" s="136"/>
      <c r="M1003" s="136"/>
      <c r="N1003" s="136" t="e">
        <f t="shared" si="43"/>
        <v>#N/A</v>
      </c>
      <c r="O1003" s="136" t="e">
        <f t="shared" si="44"/>
        <v>#N/A</v>
      </c>
    </row>
    <row r="1004" spans="1:15" ht="22" customHeight="1" x14ac:dyDescent="0.35">
      <c r="A1004" s="136">
        <v>960</v>
      </c>
      <c r="B1004" s="165" t="str">
        <f>IF($A1004&gt;MIN($A$10,$A$2),"",INDEX(DemoHistory[Date],$A1004))</f>
        <v/>
      </c>
      <c r="C1004" s="166" t="str">
        <f>IF(OR($A1004&gt;MIN($A$10,$A$2),$A$5=""),"",INDEX(DemoHistory[],$A1004,MATCH($A$5,DemoHistory[#Headers],0)))</f>
        <v/>
      </c>
      <c r="D1004" s="166" t="str">
        <f>IF($A1004&gt;MIN($A$10,$A$2),"",IF(AND($A$12,$A$6=1,B1004&lt;$A$7,$A$7&lt;=MAX(DemoHistory[Date])),$A$8,1))</f>
        <v/>
      </c>
      <c r="E1004" s="166" t="str">
        <f t="shared" si="42"/>
        <v/>
      </c>
      <c r="F1004" s="166" t="str">
        <f>IF($A1004&gt;MIN($A$10,$A$2),"",IF($A1004&lt;50,"n.a.",IF(COUNT(INDEX(StockDaily[Adjusted close],MAX(1,$A1004-50+1)):E1004)=50,AVERAGE(INDEX(StockDaily[Adjusted close],MAX(1,$A1004-50+1)):E1004),"n.a.")))</f>
        <v/>
      </c>
      <c r="G1004" s="166" t="str">
        <f>IF($A1004&gt;MIN($A$10,$A$2),"",IF($A1004&lt;200,"n.a.",IF(COUNT(INDEX(StockDaily[Adjusted close],MAX(1,$A1004-200+1)):E1004)=200,AVERAGE(INDEX(StockDaily[Adjusted close],MAX(1,$A1004-200+1)):E1004),"n.a.")))</f>
        <v/>
      </c>
      <c r="H1004" s="136" t="str">
        <f>IF($A1004&gt;MIN($A$10,$A$2),"",IF($A$5="","Choose stock",IF(NOT($A$12),"Check split rule",IF(NOT(ISNUMBER(B1004)),"Invalid date",IF(OR(B1004&lt;=0,B1004&lt;&gt;INT(B1004)),"Invalid date",IF(COUNTIFS(DemoHistory[Date],B1004)&lt;&gt;1,"Duplicate date",IF(AND($A1004&gt;1,B1004&lt;=B1003),"Dates out of order",IF(NOT(ISNUMBER(C1004)),"Missing price",IF(C1004&lt;=0,"Nonpositive price","OK")))))))))</f>
        <v/>
      </c>
      <c r="I1004" s="136"/>
      <c r="J1004" s="136"/>
      <c r="K1004" s="136"/>
      <c r="L1004" s="136"/>
      <c r="M1004" s="136"/>
      <c r="N1004" s="136" t="e">
        <f t="shared" si="43"/>
        <v>#N/A</v>
      </c>
      <c r="O1004" s="136" t="e">
        <f t="shared" si="44"/>
        <v>#N/A</v>
      </c>
    </row>
    <row r="1005" spans="1:15" ht="22" customHeight="1" x14ac:dyDescent="0.35">
      <c r="A1005" s="136">
        <v>961</v>
      </c>
      <c r="B1005" s="165" t="str">
        <f>IF($A1005&gt;MIN($A$10,$A$2),"",INDEX(DemoHistory[Date],$A1005))</f>
        <v/>
      </c>
      <c r="C1005" s="166" t="str">
        <f>IF(OR($A1005&gt;MIN($A$10,$A$2),$A$5=""),"",INDEX(DemoHistory[],$A1005,MATCH($A$5,DemoHistory[#Headers],0)))</f>
        <v/>
      </c>
      <c r="D1005" s="166" t="str">
        <f>IF($A1005&gt;MIN($A$10,$A$2),"",IF(AND($A$12,$A$6=1,B1005&lt;$A$7,$A$7&lt;=MAX(DemoHistory[Date])),$A$8,1))</f>
        <v/>
      </c>
      <c r="E1005" s="166" t="str">
        <f t="shared" ref="E1005:E1044" si="45">IF($A1005&gt;MIN($A$10,$A$2),"",IF(H1005="OK",C1005/D1005,"n.a."))</f>
        <v/>
      </c>
      <c r="F1005" s="166" t="str">
        <f>IF($A1005&gt;MIN($A$10,$A$2),"",IF($A1005&lt;50,"n.a.",IF(COUNT(INDEX(StockDaily[Adjusted close],MAX(1,$A1005-50+1)):E1005)=50,AVERAGE(INDEX(StockDaily[Adjusted close],MAX(1,$A1005-50+1)):E1005),"n.a.")))</f>
        <v/>
      </c>
      <c r="G1005" s="166" t="str">
        <f>IF($A1005&gt;MIN($A$10,$A$2),"",IF($A1005&lt;200,"n.a.",IF(COUNT(INDEX(StockDaily[Adjusted close],MAX(1,$A1005-200+1)):E1005)=200,AVERAGE(INDEX(StockDaily[Adjusted close],MAX(1,$A1005-200+1)):E1005),"n.a.")))</f>
        <v/>
      </c>
      <c r="H1005" s="136" t="str">
        <f>IF($A1005&gt;MIN($A$10,$A$2),"",IF($A$5="","Choose stock",IF(NOT($A$12),"Check split rule",IF(NOT(ISNUMBER(B1005)),"Invalid date",IF(OR(B1005&lt;=0,B1005&lt;&gt;INT(B1005)),"Invalid date",IF(COUNTIFS(DemoHistory[Date],B1005)&lt;&gt;1,"Duplicate date",IF(AND($A1005&gt;1,B1005&lt;=B1004),"Dates out of order",IF(NOT(ISNUMBER(C1005)),"Missing price",IF(C1005&lt;=0,"Nonpositive price","OK")))))))))</f>
        <v/>
      </c>
      <c r="I1005" s="136"/>
      <c r="J1005" s="136"/>
      <c r="K1005" s="136"/>
      <c r="L1005" s="136"/>
      <c r="M1005" s="136"/>
      <c r="N1005" s="136" t="e">
        <f t="shared" ref="N1005:N1044" si="46">IF(AND($A$13="Ready",ISNUMBER(E1005)),E1005,NA())</f>
        <v>#N/A</v>
      </c>
      <c r="O1005" s="136" t="e">
        <f t="shared" ref="O1005:O1044" si="47">IF(AND($A$13="Ready",ISNUMBER(F1005)),F1005,NA())</f>
        <v>#N/A</v>
      </c>
    </row>
    <row r="1006" spans="1:15" ht="22" customHeight="1" x14ac:dyDescent="0.35">
      <c r="A1006" s="136">
        <v>962</v>
      </c>
      <c r="B1006" s="165" t="str">
        <f>IF($A1006&gt;MIN($A$10,$A$2),"",INDEX(DemoHistory[Date],$A1006))</f>
        <v/>
      </c>
      <c r="C1006" s="166" t="str">
        <f>IF(OR($A1006&gt;MIN($A$10,$A$2),$A$5=""),"",INDEX(DemoHistory[],$A1006,MATCH($A$5,DemoHistory[#Headers],0)))</f>
        <v/>
      </c>
      <c r="D1006" s="166" t="str">
        <f>IF($A1006&gt;MIN($A$10,$A$2),"",IF(AND($A$12,$A$6=1,B1006&lt;$A$7,$A$7&lt;=MAX(DemoHistory[Date])),$A$8,1))</f>
        <v/>
      </c>
      <c r="E1006" s="166" t="str">
        <f t="shared" si="45"/>
        <v/>
      </c>
      <c r="F1006" s="166" t="str">
        <f>IF($A1006&gt;MIN($A$10,$A$2),"",IF($A1006&lt;50,"n.a.",IF(COUNT(INDEX(StockDaily[Adjusted close],MAX(1,$A1006-50+1)):E1006)=50,AVERAGE(INDEX(StockDaily[Adjusted close],MAX(1,$A1006-50+1)):E1006),"n.a.")))</f>
        <v/>
      </c>
      <c r="G1006" s="166" t="str">
        <f>IF($A1006&gt;MIN($A$10,$A$2),"",IF($A1006&lt;200,"n.a.",IF(COUNT(INDEX(StockDaily[Adjusted close],MAX(1,$A1006-200+1)):E1006)=200,AVERAGE(INDEX(StockDaily[Adjusted close],MAX(1,$A1006-200+1)):E1006),"n.a.")))</f>
        <v/>
      </c>
      <c r="H1006" s="136" t="str">
        <f>IF($A1006&gt;MIN($A$10,$A$2),"",IF($A$5="","Choose stock",IF(NOT($A$12),"Check split rule",IF(NOT(ISNUMBER(B1006)),"Invalid date",IF(OR(B1006&lt;=0,B1006&lt;&gt;INT(B1006)),"Invalid date",IF(COUNTIFS(DemoHistory[Date],B1006)&lt;&gt;1,"Duplicate date",IF(AND($A1006&gt;1,B1006&lt;=B1005),"Dates out of order",IF(NOT(ISNUMBER(C1006)),"Missing price",IF(C1006&lt;=0,"Nonpositive price","OK")))))))))</f>
        <v/>
      </c>
      <c r="I1006" s="136"/>
      <c r="J1006" s="136"/>
      <c r="K1006" s="136"/>
      <c r="L1006" s="136"/>
      <c r="M1006" s="136"/>
      <c r="N1006" s="136" t="e">
        <f t="shared" si="46"/>
        <v>#N/A</v>
      </c>
      <c r="O1006" s="136" t="e">
        <f t="shared" si="47"/>
        <v>#N/A</v>
      </c>
    </row>
    <row r="1007" spans="1:15" ht="22" customHeight="1" x14ac:dyDescent="0.35">
      <c r="A1007" s="136">
        <v>963</v>
      </c>
      <c r="B1007" s="165" t="str">
        <f>IF($A1007&gt;MIN($A$10,$A$2),"",INDEX(DemoHistory[Date],$A1007))</f>
        <v/>
      </c>
      <c r="C1007" s="166" t="str">
        <f>IF(OR($A1007&gt;MIN($A$10,$A$2),$A$5=""),"",INDEX(DemoHistory[],$A1007,MATCH($A$5,DemoHistory[#Headers],0)))</f>
        <v/>
      </c>
      <c r="D1007" s="166" t="str">
        <f>IF($A1007&gt;MIN($A$10,$A$2),"",IF(AND($A$12,$A$6=1,B1007&lt;$A$7,$A$7&lt;=MAX(DemoHistory[Date])),$A$8,1))</f>
        <v/>
      </c>
      <c r="E1007" s="166" t="str">
        <f t="shared" si="45"/>
        <v/>
      </c>
      <c r="F1007" s="166" t="str">
        <f>IF($A1007&gt;MIN($A$10,$A$2),"",IF($A1007&lt;50,"n.a.",IF(COUNT(INDEX(StockDaily[Adjusted close],MAX(1,$A1007-50+1)):E1007)=50,AVERAGE(INDEX(StockDaily[Adjusted close],MAX(1,$A1007-50+1)):E1007),"n.a.")))</f>
        <v/>
      </c>
      <c r="G1007" s="166" t="str">
        <f>IF($A1007&gt;MIN($A$10,$A$2),"",IF($A1007&lt;200,"n.a.",IF(COUNT(INDEX(StockDaily[Adjusted close],MAX(1,$A1007-200+1)):E1007)=200,AVERAGE(INDEX(StockDaily[Adjusted close],MAX(1,$A1007-200+1)):E1007),"n.a.")))</f>
        <v/>
      </c>
      <c r="H1007" s="136" t="str">
        <f>IF($A1007&gt;MIN($A$10,$A$2),"",IF($A$5="","Choose stock",IF(NOT($A$12),"Check split rule",IF(NOT(ISNUMBER(B1007)),"Invalid date",IF(OR(B1007&lt;=0,B1007&lt;&gt;INT(B1007)),"Invalid date",IF(COUNTIFS(DemoHistory[Date],B1007)&lt;&gt;1,"Duplicate date",IF(AND($A1007&gt;1,B1007&lt;=B1006),"Dates out of order",IF(NOT(ISNUMBER(C1007)),"Missing price",IF(C1007&lt;=0,"Nonpositive price","OK")))))))))</f>
        <v/>
      </c>
      <c r="I1007" s="136"/>
      <c r="J1007" s="136"/>
      <c r="K1007" s="136"/>
      <c r="L1007" s="136"/>
      <c r="M1007" s="136"/>
      <c r="N1007" s="136" t="e">
        <f t="shared" si="46"/>
        <v>#N/A</v>
      </c>
      <c r="O1007" s="136" t="e">
        <f t="shared" si="47"/>
        <v>#N/A</v>
      </c>
    </row>
    <row r="1008" spans="1:15" ht="22" customHeight="1" x14ac:dyDescent="0.35">
      <c r="A1008" s="136">
        <v>964</v>
      </c>
      <c r="B1008" s="165" t="str">
        <f>IF($A1008&gt;MIN($A$10,$A$2),"",INDEX(DemoHistory[Date],$A1008))</f>
        <v/>
      </c>
      <c r="C1008" s="166" t="str">
        <f>IF(OR($A1008&gt;MIN($A$10,$A$2),$A$5=""),"",INDEX(DemoHistory[],$A1008,MATCH($A$5,DemoHistory[#Headers],0)))</f>
        <v/>
      </c>
      <c r="D1008" s="166" t="str">
        <f>IF($A1008&gt;MIN($A$10,$A$2),"",IF(AND($A$12,$A$6=1,B1008&lt;$A$7,$A$7&lt;=MAX(DemoHistory[Date])),$A$8,1))</f>
        <v/>
      </c>
      <c r="E1008" s="166" t="str">
        <f t="shared" si="45"/>
        <v/>
      </c>
      <c r="F1008" s="166" t="str">
        <f>IF($A1008&gt;MIN($A$10,$A$2),"",IF($A1008&lt;50,"n.a.",IF(COUNT(INDEX(StockDaily[Adjusted close],MAX(1,$A1008-50+1)):E1008)=50,AVERAGE(INDEX(StockDaily[Adjusted close],MAX(1,$A1008-50+1)):E1008),"n.a.")))</f>
        <v/>
      </c>
      <c r="G1008" s="166" t="str">
        <f>IF($A1008&gt;MIN($A$10,$A$2),"",IF($A1008&lt;200,"n.a.",IF(COUNT(INDEX(StockDaily[Adjusted close],MAX(1,$A1008-200+1)):E1008)=200,AVERAGE(INDEX(StockDaily[Adjusted close],MAX(1,$A1008-200+1)):E1008),"n.a.")))</f>
        <v/>
      </c>
      <c r="H1008" s="136" t="str">
        <f>IF($A1008&gt;MIN($A$10,$A$2),"",IF($A$5="","Choose stock",IF(NOT($A$12),"Check split rule",IF(NOT(ISNUMBER(B1008)),"Invalid date",IF(OR(B1008&lt;=0,B1008&lt;&gt;INT(B1008)),"Invalid date",IF(COUNTIFS(DemoHistory[Date],B1008)&lt;&gt;1,"Duplicate date",IF(AND($A1008&gt;1,B1008&lt;=B1007),"Dates out of order",IF(NOT(ISNUMBER(C1008)),"Missing price",IF(C1008&lt;=0,"Nonpositive price","OK")))))))))</f>
        <v/>
      </c>
      <c r="I1008" s="136"/>
      <c r="J1008" s="136"/>
      <c r="K1008" s="136"/>
      <c r="L1008" s="136"/>
      <c r="M1008" s="136"/>
      <c r="N1008" s="136" t="e">
        <f t="shared" si="46"/>
        <v>#N/A</v>
      </c>
      <c r="O1008" s="136" t="e">
        <f t="shared" si="47"/>
        <v>#N/A</v>
      </c>
    </row>
    <row r="1009" spans="1:15" ht="22" customHeight="1" x14ac:dyDescent="0.35">
      <c r="A1009" s="136">
        <v>965</v>
      </c>
      <c r="B1009" s="165" t="str">
        <f>IF($A1009&gt;MIN($A$10,$A$2),"",INDEX(DemoHistory[Date],$A1009))</f>
        <v/>
      </c>
      <c r="C1009" s="166" t="str">
        <f>IF(OR($A1009&gt;MIN($A$10,$A$2),$A$5=""),"",INDEX(DemoHistory[],$A1009,MATCH($A$5,DemoHistory[#Headers],0)))</f>
        <v/>
      </c>
      <c r="D1009" s="166" t="str">
        <f>IF($A1009&gt;MIN($A$10,$A$2),"",IF(AND($A$12,$A$6=1,B1009&lt;$A$7,$A$7&lt;=MAX(DemoHistory[Date])),$A$8,1))</f>
        <v/>
      </c>
      <c r="E1009" s="166" t="str">
        <f t="shared" si="45"/>
        <v/>
      </c>
      <c r="F1009" s="166" t="str">
        <f>IF($A1009&gt;MIN($A$10,$A$2),"",IF($A1009&lt;50,"n.a.",IF(COUNT(INDEX(StockDaily[Adjusted close],MAX(1,$A1009-50+1)):E1009)=50,AVERAGE(INDEX(StockDaily[Adjusted close],MAX(1,$A1009-50+1)):E1009),"n.a.")))</f>
        <v/>
      </c>
      <c r="G1009" s="166" t="str">
        <f>IF($A1009&gt;MIN($A$10,$A$2),"",IF($A1009&lt;200,"n.a.",IF(COUNT(INDEX(StockDaily[Adjusted close],MAX(1,$A1009-200+1)):E1009)=200,AVERAGE(INDEX(StockDaily[Adjusted close],MAX(1,$A1009-200+1)):E1009),"n.a.")))</f>
        <v/>
      </c>
      <c r="H1009" s="136" t="str">
        <f>IF($A1009&gt;MIN($A$10,$A$2),"",IF($A$5="","Choose stock",IF(NOT($A$12),"Check split rule",IF(NOT(ISNUMBER(B1009)),"Invalid date",IF(OR(B1009&lt;=0,B1009&lt;&gt;INT(B1009)),"Invalid date",IF(COUNTIFS(DemoHistory[Date],B1009)&lt;&gt;1,"Duplicate date",IF(AND($A1009&gt;1,B1009&lt;=B1008),"Dates out of order",IF(NOT(ISNUMBER(C1009)),"Missing price",IF(C1009&lt;=0,"Nonpositive price","OK")))))))))</f>
        <v/>
      </c>
      <c r="I1009" s="136"/>
      <c r="J1009" s="136"/>
      <c r="K1009" s="136"/>
      <c r="L1009" s="136"/>
      <c r="M1009" s="136"/>
      <c r="N1009" s="136" t="e">
        <f t="shared" si="46"/>
        <v>#N/A</v>
      </c>
      <c r="O1009" s="136" t="e">
        <f t="shared" si="47"/>
        <v>#N/A</v>
      </c>
    </row>
    <row r="1010" spans="1:15" ht="22" customHeight="1" x14ac:dyDescent="0.35">
      <c r="A1010" s="136">
        <v>966</v>
      </c>
      <c r="B1010" s="165" t="str">
        <f>IF($A1010&gt;MIN($A$10,$A$2),"",INDEX(DemoHistory[Date],$A1010))</f>
        <v/>
      </c>
      <c r="C1010" s="166" t="str">
        <f>IF(OR($A1010&gt;MIN($A$10,$A$2),$A$5=""),"",INDEX(DemoHistory[],$A1010,MATCH($A$5,DemoHistory[#Headers],0)))</f>
        <v/>
      </c>
      <c r="D1010" s="166" t="str">
        <f>IF($A1010&gt;MIN($A$10,$A$2),"",IF(AND($A$12,$A$6=1,B1010&lt;$A$7,$A$7&lt;=MAX(DemoHistory[Date])),$A$8,1))</f>
        <v/>
      </c>
      <c r="E1010" s="166" t="str">
        <f t="shared" si="45"/>
        <v/>
      </c>
      <c r="F1010" s="166" t="str">
        <f>IF($A1010&gt;MIN($A$10,$A$2),"",IF($A1010&lt;50,"n.a.",IF(COUNT(INDEX(StockDaily[Adjusted close],MAX(1,$A1010-50+1)):E1010)=50,AVERAGE(INDEX(StockDaily[Adjusted close],MAX(1,$A1010-50+1)):E1010),"n.a.")))</f>
        <v/>
      </c>
      <c r="G1010" s="166" t="str">
        <f>IF($A1010&gt;MIN($A$10,$A$2),"",IF($A1010&lt;200,"n.a.",IF(COUNT(INDEX(StockDaily[Adjusted close],MAX(1,$A1010-200+1)):E1010)=200,AVERAGE(INDEX(StockDaily[Adjusted close],MAX(1,$A1010-200+1)):E1010),"n.a.")))</f>
        <v/>
      </c>
      <c r="H1010" s="136" t="str">
        <f>IF($A1010&gt;MIN($A$10,$A$2),"",IF($A$5="","Choose stock",IF(NOT($A$12),"Check split rule",IF(NOT(ISNUMBER(B1010)),"Invalid date",IF(OR(B1010&lt;=0,B1010&lt;&gt;INT(B1010)),"Invalid date",IF(COUNTIFS(DemoHistory[Date],B1010)&lt;&gt;1,"Duplicate date",IF(AND($A1010&gt;1,B1010&lt;=B1009),"Dates out of order",IF(NOT(ISNUMBER(C1010)),"Missing price",IF(C1010&lt;=0,"Nonpositive price","OK")))))))))</f>
        <v/>
      </c>
      <c r="I1010" s="136"/>
      <c r="J1010" s="136"/>
      <c r="K1010" s="136"/>
      <c r="L1010" s="136"/>
      <c r="M1010" s="136"/>
      <c r="N1010" s="136" t="e">
        <f t="shared" si="46"/>
        <v>#N/A</v>
      </c>
      <c r="O1010" s="136" t="e">
        <f t="shared" si="47"/>
        <v>#N/A</v>
      </c>
    </row>
    <row r="1011" spans="1:15" ht="22" customHeight="1" x14ac:dyDescent="0.35">
      <c r="A1011" s="136">
        <v>967</v>
      </c>
      <c r="B1011" s="165" t="str">
        <f>IF($A1011&gt;MIN($A$10,$A$2),"",INDEX(DemoHistory[Date],$A1011))</f>
        <v/>
      </c>
      <c r="C1011" s="166" t="str">
        <f>IF(OR($A1011&gt;MIN($A$10,$A$2),$A$5=""),"",INDEX(DemoHistory[],$A1011,MATCH($A$5,DemoHistory[#Headers],0)))</f>
        <v/>
      </c>
      <c r="D1011" s="166" t="str">
        <f>IF($A1011&gt;MIN($A$10,$A$2),"",IF(AND($A$12,$A$6=1,B1011&lt;$A$7,$A$7&lt;=MAX(DemoHistory[Date])),$A$8,1))</f>
        <v/>
      </c>
      <c r="E1011" s="166" t="str">
        <f t="shared" si="45"/>
        <v/>
      </c>
      <c r="F1011" s="166" t="str">
        <f>IF($A1011&gt;MIN($A$10,$A$2),"",IF($A1011&lt;50,"n.a.",IF(COUNT(INDEX(StockDaily[Adjusted close],MAX(1,$A1011-50+1)):E1011)=50,AVERAGE(INDEX(StockDaily[Adjusted close],MAX(1,$A1011-50+1)):E1011),"n.a.")))</f>
        <v/>
      </c>
      <c r="G1011" s="166" t="str">
        <f>IF($A1011&gt;MIN($A$10,$A$2),"",IF($A1011&lt;200,"n.a.",IF(COUNT(INDEX(StockDaily[Adjusted close],MAX(1,$A1011-200+1)):E1011)=200,AVERAGE(INDEX(StockDaily[Adjusted close],MAX(1,$A1011-200+1)):E1011),"n.a.")))</f>
        <v/>
      </c>
      <c r="H1011" s="136" t="str">
        <f>IF($A1011&gt;MIN($A$10,$A$2),"",IF($A$5="","Choose stock",IF(NOT($A$12),"Check split rule",IF(NOT(ISNUMBER(B1011)),"Invalid date",IF(OR(B1011&lt;=0,B1011&lt;&gt;INT(B1011)),"Invalid date",IF(COUNTIFS(DemoHistory[Date],B1011)&lt;&gt;1,"Duplicate date",IF(AND($A1011&gt;1,B1011&lt;=B1010),"Dates out of order",IF(NOT(ISNUMBER(C1011)),"Missing price",IF(C1011&lt;=0,"Nonpositive price","OK")))))))))</f>
        <v/>
      </c>
      <c r="I1011" s="136"/>
      <c r="J1011" s="136"/>
      <c r="K1011" s="136"/>
      <c r="L1011" s="136"/>
      <c r="M1011" s="136"/>
      <c r="N1011" s="136" t="e">
        <f t="shared" si="46"/>
        <v>#N/A</v>
      </c>
      <c r="O1011" s="136" t="e">
        <f t="shared" si="47"/>
        <v>#N/A</v>
      </c>
    </row>
    <row r="1012" spans="1:15" ht="22" customHeight="1" x14ac:dyDescent="0.35">
      <c r="A1012" s="136">
        <v>968</v>
      </c>
      <c r="B1012" s="165" t="str">
        <f>IF($A1012&gt;MIN($A$10,$A$2),"",INDEX(DemoHistory[Date],$A1012))</f>
        <v/>
      </c>
      <c r="C1012" s="166" t="str">
        <f>IF(OR($A1012&gt;MIN($A$10,$A$2),$A$5=""),"",INDEX(DemoHistory[],$A1012,MATCH($A$5,DemoHistory[#Headers],0)))</f>
        <v/>
      </c>
      <c r="D1012" s="166" t="str">
        <f>IF($A1012&gt;MIN($A$10,$A$2),"",IF(AND($A$12,$A$6=1,B1012&lt;$A$7,$A$7&lt;=MAX(DemoHistory[Date])),$A$8,1))</f>
        <v/>
      </c>
      <c r="E1012" s="166" t="str">
        <f t="shared" si="45"/>
        <v/>
      </c>
      <c r="F1012" s="166" t="str">
        <f>IF($A1012&gt;MIN($A$10,$A$2),"",IF($A1012&lt;50,"n.a.",IF(COUNT(INDEX(StockDaily[Adjusted close],MAX(1,$A1012-50+1)):E1012)=50,AVERAGE(INDEX(StockDaily[Adjusted close],MAX(1,$A1012-50+1)):E1012),"n.a.")))</f>
        <v/>
      </c>
      <c r="G1012" s="166" t="str">
        <f>IF($A1012&gt;MIN($A$10,$A$2),"",IF($A1012&lt;200,"n.a.",IF(COUNT(INDEX(StockDaily[Adjusted close],MAX(1,$A1012-200+1)):E1012)=200,AVERAGE(INDEX(StockDaily[Adjusted close],MAX(1,$A1012-200+1)):E1012),"n.a.")))</f>
        <v/>
      </c>
      <c r="H1012" s="136" t="str">
        <f>IF($A1012&gt;MIN($A$10,$A$2),"",IF($A$5="","Choose stock",IF(NOT($A$12),"Check split rule",IF(NOT(ISNUMBER(B1012)),"Invalid date",IF(OR(B1012&lt;=0,B1012&lt;&gt;INT(B1012)),"Invalid date",IF(COUNTIFS(DemoHistory[Date],B1012)&lt;&gt;1,"Duplicate date",IF(AND($A1012&gt;1,B1012&lt;=B1011),"Dates out of order",IF(NOT(ISNUMBER(C1012)),"Missing price",IF(C1012&lt;=0,"Nonpositive price","OK")))))))))</f>
        <v/>
      </c>
      <c r="I1012" s="136"/>
      <c r="J1012" s="136"/>
      <c r="K1012" s="136"/>
      <c r="L1012" s="136"/>
      <c r="M1012" s="136"/>
      <c r="N1012" s="136" t="e">
        <f t="shared" si="46"/>
        <v>#N/A</v>
      </c>
      <c r="O1012" s="136" t="e">
        <f t="shared" si="47"/>
        <v>#N/A</v>
      </c>
    </row>
    <row r="1013" spans="1:15" ht="22" customHeight="1" x14ac:dyDescent="0.35">
      <c r="A1013" s="136">
        <v>969</v>
      </c>
      <c r="B1013" s="165" t="str">
        <f>IF($A1013&gt;MIN($A$10,$A$2),"",INDEX(DemoHistory[Date],$A1013))</f>
        <v/>
      </c>
      <c r="C1013" s="166" t="str">
        <f>IF(OR($A1013&gt;MIN($A$10,$A$2),$A$5=""),"",INDEX(DemoHistory[],$A1013,MATCH($A$5,DemoHistory[#Headers],0)))</f>
        <v/>
      </c>
      <c r="D1013" s="166" t="str">
        <f>IF($A1013&gt;MIN($A$10,$A$2),"",IF(AND($A$12,$A$6=1,B1013&lt;$A$7,$A$7&lt;=MAX(DemoHistory[Date])),$A$8,1))</f>
        <v/>
      </c>
      <c r="E1013" s="166" t="str">
        <f t="shared" si="45"/>
        <v/>
      </c>
      <c r="F1013" s="166" t="str">
        <f>IF($A1013&gt;MIN($A$10,$A$2),"",IF($A1013&lt;50,"n.a.",IF(COUNT(INDEX(StockDaily[Adjusted close],MAX(1,$A1013-50+1)):E1013)=50,AVERAGE(INDEX(StockDaily[Adjusted close],MAX(1,$A1013-50+1)):E1013),"n.a.")))</f>
        <v/>
      </c>
      <c r="G1013" s="166" t="str">
        <f>IF($A1013&gt;MIN($A$10,$A$2),"",IF($A1013&lt;200,"n.a.",IF(COUNT(INDEX(StockDaily[Adjusted close],MAX(1,$A1013-200+1)):E1013)=200,AVERAGE(INDEX(StockDaily[Adjusted close],MAX(1,$A1013-200+1)):E1013),"n.a.")))</f>
        <v/>
      </c>
      <c r="H1013" s="136" t="str">
        <f>IF($A1013&gt;MIN($A$10,$A$2),"",IF($A$5="","Choose stock",IF(NOT($A$12),"Check split rule",IF(NOT(ISNUMBER(B1013)),"Invalid date",IF(OR(B1013&lt;=0,B1013&lt;&gt;INT(B1013)),"Invalid date",IF(COUNTIFS(DemoHistory[Date],B1013)&lt;&gt;1,"Duplicate date",IF(AND($A1013&gt;1,B1013&lt;=B1012),"Dates out of order",IF(NOT(ISNUMBER(C1013)),"Missing price",IF(C1013&lt;=0,"Nonpositive price","OK")))))))))</f>
        <v/>
      </c>
      <c r="I1013" s="136"/>
      <c r="J1013" s="136"/>
      <c r="K1013" s="136"/>
      <c r="L1013" s="136"/>
      <c r="M1013" s="136"/>
      <c r="N1013" s="136" t="e">
        <f t="shared" si="46"/>
        <v>#N/A</v>
      </c>
      <c r="O1013" s="136" t="e">
        <f t="shared" si="47"/>
        <v>#N/A</v>
      </c>
    </row>
    <row r="1014" spans="1:15" ht="22" customHeight="1" x14ac:dyDescent="0.35">
      <c r="A1014" s="136">
        <v>970</v>
      </c>
      <c r="B1014" s="165" t="str">
        <f>IF($A1014&gt;MIN($A$10,$A$2),"",INDEX(DemoHistory[Date],$A1014))</f>
        <v/>
      </c>
      <c r="C1014" s="166" t="str">
        <f>IF(OR($A1014&gt;MIN($A$10,$A$2),$A$5=""),"",INDEX(DemoHistory[],$A1014,MATCH($A$5,DemoHistory[#Headers],0)))</f>
        <v/>
      </c>
      <c r="D1014" s="166" t="str">
        <f>IF($A1014&gt;MIN($A$10,$A$2),"",IF(AND($A$12,$A$6=1,B1014&lt;$A$7,$A$7&lt;=MAX(DemoHistory[Date])),$A$8,1))</f>
        <v/>
      </c>
      <c r="E1014" s="166" t="str">
        <f t="shared" si="45"/>
        <v/>
      </c>
      <c r="F1014" s="166" t="str">
        <f>IF($A1014&gt;MIN($A$10,$A$2),"",IF($A1014&lt;50,"n.a.",IF(COUNT(INDEX(StockDaily[Adjusted close],MAX(1,$A1014-50+1)):E1014)=50,AVERAGE(INDEX(StockDaily[Adjusted close],MAX(1,$A1014-50+1)):E1014),"n.a.")))</f>
        <v/>
      </c>
      <c r="G1014" s="166" t="str">
        <f>IF($A1014&gt;MIN($A$10,$A$2),"",IF($A1014&lt;200,"n.a.",IF(COUNT(INDEX(StockDaily[Adjusted close],MAX(1,$A1014-200+1)):E1014)=200,AVERAGE(INDEX(StockDaily[Adjusted close],MAX(1,$A1014-200+1)):E1014),"n.a.")))</f>
        <v/>
      </c>
      <c r="H1014" s="136" t="str">
        <f>IF($A1014&gt;MIN($A$10,$A$2),"",IF($A$5="","Choose stock",IF(NOT($A$12),"Check split rule",IF(NOT(ISNUMBER(B1014)),"Invalid date",IF(OR(B1014&lt;=0,B1014&lt;&gt;INT(B1014)),"Invalid date",IF(COUNTIFS(DemoHistory[Date],B1014)&lt;&gt;1,"Duplicate date",IF(AND($A1014&gt;1,B1014&lt;=B1013),"Dates out of order",IF(NOT(ISNUMBER(C1014)),"Missing price",IF(C1014&lt;=0,"Nonpositive price","OK")))))))))</f>
        <v/>
      </c>
      <c r="I1014" s="136"/>
      <c r="J1014" s="136"/>
      <c r="K1014" s="136"/>
      <c r="L1014" s="136"/>
      <c r="M1014" s="136"/>
      <c r="N1014" s="136" t="e">
        <f t="shared" si="46"/>
        <v>#N/A</v>
      </c>
      <c r="O1014" s="136" t="e">
        <f t="shared" si="47"/>
        <v>#N/A</v>
      </c>
    </row>
    <row r="1015" spans="1:15" ht="22" customHeight="1" x14ac:dyDescent="0.35">
      <c r="A1015" s="136">
        <v>971</v>
      </c>
      <c r="B1015" s="165" t="str">
        <f>IF($A1015&gt;MIN($A$10,$A$2),"",INDEX(DemoHistory[Date],$A1015))</f>
        <v/>
      </c>
      <c r="C1015" s="166" t="str">
        <f>IF(OR($A1015&gt;MIN($A$10,$A$2),$A$5=""),"",INDEX(DemoHistory[],$A1015,MATCH($A$5,DemoHistory[#Headers],0)))</f>
        <v/>
      </c>
      <c r="D1015" s="166" t="str">
        <f>IF($A1015&gt;MIN($A$10,$A$2),"",IF(AND($A$12,$A$6=1,B1015&lt;$A$7,$A$7&lt;=MAX(DemoHistory[Date])),$A$8,1))</f>
        <v/>
      </c>
      <c r="E1015" s="166" t="str">
        <f t="shared" si="45"/>
        <v/>
      </c>
      <c r="F1015" s="166" t="str">
        <f>IF($A1015&gt;MIN($A$10,$A$2),"",IF($A1015&lt;50,"n.a.",IF(COUNT(INDEX(StockDaily[Adjusted close],MAX(1,$A1015-50+1)):E1015)=50,AVERAGE(INDEX(StockDaily[Adjusted close],MAX(1,$A1015-50+1)):E1015),"n.a.")))</f>
        <v/>
      </c>
      <c r="G1015" s="166" t="str">
        <f>IF($A1015&gt;MIN($A$10,$A$2),"",IF($A1015&lt;200,"n.a.",IF(COUNT(INDEX(StockDaily[Adjusted close],MAX(1,$A1015-200+1)):E1015)=200,AVERAGE(INDEX(StockDaily[Adjusted close],MAX(1,$A1015-200+1)):E1015),"n.a.")))</f>
        <v/>
      </c>
      <c r="H1015" s="136" t="str">
        <f>IF($A1015&gt;MIN($A$10,$A$2),"",IF($A$5="","Choose stock",IF(NOT($A$12),"Check split rule",IF(NOT(ISNUMBER(B1015)),"Invalid date",IF(OR(B1015&lt;=0,B1015&lt;&gt;INT(B1015)),"Invalid date",IF(COUNTIFS(DemoHistory[Date],B1015)&lt;&gt;1,"Duplicate date",IF(AND($A1015&gt;1,B1015&lt;=B1014),"Dates out of order",IF(NOT(ISNUMBER(C1015)),"Missing price",IF(C1015&lt;=0,"Nonpositive price","OK")))))))))</f>
        <v/>
      </c>
      <c r="I1015" s="136"/>
      <c r="J1015" s="136"/>
      <c r="K1015" s="136"/>
      <c r="L1015" s="136"/>
      <c r="M1015" s="136"/>
      <c r="N1015" s="136" t="e">
        <f t="shared" si="46"/>
        <v>#N/A</v>
      </c>
      <c r="O1015" s="136" t="e">
        <f t="shared" si="47"/>
        <v>#N/A</v>
      </c>
    </row>
    <row r="1016" spans="1:15" ht="22" customHeight="1" x14ac:dyDescent="0.35">
      <c r="A1016" s="136">
        <v>972</v>
      </c>
      <c r="B1016" s="165" t="str">
        <f>IF($A1016&gt;MIN($A$10,$A$2),"",INDEX(DemoHistory[Date],$A1016))</f>
        <v/>
      </c>
      <c r="C1016" s="166" t="str">
        <f>IF(OR($A1016&gt;MIN($A$10,$A$2),$A$5=""),"",INDEX(DemoHistory[],$A1016,MATCH($A$5,DemoHistory[#Headers],0)))</f>
        <v/>
      </c>
      <c r="D1016" s="166" t="str">
        <f>IF($A1016&gt;MIN($A$10,$A$2),"",IF(AND($A$12,$A$6=1,B1016&lt;$A$7,$A$7&lt;=MAX(DemoHistory[Date])),$A$8,1))</f>
        <v/>
      </c>
      <c r="E1016" s="166" t="str">
        <f t="shared" si="45"/>
        <v/>
      </c>
      <c r="F1016" s="166" t="str">
        <f>IF($A1016&gt;MIN($A$10,$A$2),"",IF($A1016&lt;50,"n.a.",IF(COUNT(INDEX(StockDaily[Adjusted close],MAX(1,$A1016-50+1)):E1016)=50,AVERAGE(INDEX(StockDaily[Adjusted close],MAX(1,$A1016-50+1)):E1016),"n.a.")))</f>
        <v/>
      </c>
      <c r="G1016" s="166" t="str">
        <f>IF($A1016&gt;MIN($A$10,$A$2),"",IF($A1016&lt;200,"n.a.",IF(COUNT(INDEX(StockDaily[Adjusted close],MAX(1,$A1016-200+1)):E1016)=200,AVERAGE(INDEX(StockDaily[Adjusted close],MAX(1,$A1016-200+1)):E1016),"n.a.")))</f>
        <v/>
      </c>
      <c r="H1016" s="136" t="str">
        <f>IF($A1016&gt;MIN($A$10,$A$2),"",IF($A$5="","Choose stock",IF(NOT($A$12),"Check split rule",IF(NOT(ISNUMBER(B1016)),"Invalid date",IF(OR(B1016&lt;=0,B1016&lt;&gt;INT(B1016)),"Invalid date",IF(COUNTIFS(DemoHistory[Date],B1016)&lt;&gt;1,"Duplicate date",IF(AND($A1016&gt;1,B1016&lt;=B1015),"Dates out of order",IF(NOT(ISNUMBER(C1016)),"Missing price",IF(C1016&lt;=0,"Nonpositive price","OK")))))))))</f>
        <v/>
      </c>
      <c r="I1016" s="136"/>
      <c r="J1016" s="136"/>
      <c r="K1016" s="136"/>
      <c r="L1016" s="136"/>
      <c r="M1016" s="136"/>
      <c r="N1016" s="136" t="e">
        <f t="shared" si="46"/>
        <v>#N/A</v>
      </c>
      <c r="O1016" s="136" t="e">
        <f t="shared" si="47"/>
        <v>#N/A</v>
      </c>
    </row>
    <row r="1017" spans="1:15" ht="22" customHeight="1" x14ac:dyDescent="0.35">
      <c r="A1017" s="136">
        <v>973</v>
      </c>
      <c r="B1017" s="165" t="str">
        <f>IF($A1017&gt;MIN($A$10,$A$2),"",INDEX(DemoHistory[Date],$A1017))</f>
        <v/>
      </c>
      <c r="C1017" s="166" t="str">
        <f>IF(OR($A1017&gt;MIN($A$10,$A$2),$A$5=""),"",INDEX(DemoHistory[],$A1017,MATCH($A$5,DemoHistory[#Headers],0)))</f>
        <v/>
      </c>
      <c r="D1017" s="166" t="str">
        <f>IF($A1017&gt;MIN($A$10,$A$2),"",IF(AND($A$12,$A$6=1,B1017&lt;$A$7,$A$7&lt;=MAX(DemoHistory[Date])),$A$8,1))</f>
        <v/>
      </c>
      <c r="E1017" s="166" t="str">
        <f t="shared" si="45"/>
        <v/>
      </c>
      <c r="F1017" s="166" t="str">
        <f>IF($A1017&gt;MIN($A$10,$A$2),"",IF($A1017&lt;50,"n.a.",IF(COUNT(INDEX(StockDaily[Adjusted close],MAX(1,$A1017-50+1)):E1017)=50,AVERAGE(INDEX(StockDaily[Adjusted close],MAX(1,$A1017-50+1)):E1017),"n.a.")))</f>
        <v/>
      </c>
      <c r="G1017" s="166" t="str">
        <f>IF($A1017&gt;MIN($A$10,$A$2),"",IF($A1017&lt;200,"n.a.",IF(COUNT(INDEX(StockDaily[Adjusted close],MAX(1,$A1017-200+1)):E1017)=200,AVERAGE(INDEX(StockDaily[Adjusted close],MAX(1,$A1017-200+1)):E1017),"n.a.")))</f>
        <v/>
      </c>
      <c r="H1017" s="136" t="str">
        <f>IF($A1017&gt;MIN($A$10,$A$2),"",IF($A$5="","Choose stock",IF(NOT($A$12),"Check split rule",IF(NOT(ISNUMBER(B1017)),"Invalid date",IF(OR(B1017&lt;=0,B1017&lt;&gt;INT(B1017)),"Invalid date",IF(COUNTIFS(DemoHistory[Date],B1017)&lt;&gt;1,"Duplicate date",IF(AND($A1017&gt;1,B1017&lt;=B1016),"Dates out of order",IF(NOT(ISNUMBER(C1017)),"Missing price",IF(C1017&lt;=0,"Nonpositive price","OK")))))))))</f>
        <v/>
      </c>
      <c r="I1017" s="136"/>
      <c r="J1017" s="136"/>
      <c r="K1017" s="136"/>
      <c r="L1017" s="136"/>
      <c r="M1017" s="136"/>
      <c r="N1017" s="136" t="e">
        <f t="shared" si="46"/>
        <v>#N/A</v>
      </c>
      <c r="O1017" s="136" t="e">
        <f t="shared" si="47"/>
        <v>#N/A</v>
      </c>
    </row>
    <row r="1018" spans="1:15" ht="22" customHeight="1" x14ac:dyDescent="0.35">
      <c r="A1018" s="136">
        <v>974</v>
      </c>
      <c r="B1018" s="165" t="str">
        <f>IF($A1018&gt;MIN($A$10,$A$2),"",INDEX(DemoHistory[Date],$A1018))</f>
        <v/>
      </c>
      <c r="C1018" s="166" t="str">
        <f>IF(OR($A1018&gt;MIN($A$10,$A$2),$A$5=""),"",INDEX(DemoHistory[],$A1018,MATCH($A$5,DemoHistory[#Headers],0)))</f>
        <v/>
      </c>
      <c r="D1018" s="166" t="str">
        <f>IF($A1018&gt;MIN($A$10,$A$2),"",IF(AND($A$12,$A$6=1,B1018&lt;$A$7,$A$7&lt;=MAX(DemoHistory[Date])),$A$8,1))</f>
        <v/>
      </c>
      <c r="E1018" s="166" t="str">
        <f t="shared" si="45"/>
        <v/>
      </c>
      <c r="F1018" s="166" t="str">
        <f>IF($A1018&gt;MIN($A$10,$A$2),"",IF($A1018&lt;50,"n.a.",IF(COUNT(INDEX(StockDaily[Adjusted close],MAX(1,$A1018-50+1)):E1018)=50,AVERAGE(INDEX(StockDaily[Adjusted close],MAX(1,$A1018-50+1)):E1018),"n.a.")))</f>
        <v/>
      </c>
      <c r="G1018" s="166" t="str">
        <f>IF($A1018&gt;MIN($A$10,$A$2),"",IF($A1018&lt;200,"n.a.",IF(COUNT(INDEX(StockDaily[Adjusted close],MAX(1,$A1018-200+1)):E1018)=200,AVERAGE(INDEX(StockDaily[Adjusted close],MAX(1,$A1018-200+1)):E1018),"n.a.")))</f>
        <v/>
      </c>
      <c r="H1018" s="136" t="str">
        <f>IF($A1018&gt;MIN($A$10,$A$2),"",IF($A$5="","Choose stock",IF(NOT($A$12),"Check split rule",IF(NOT(ISNUMBER(B1018)),"Invalid date",IF(OR(B1018&lt;=0,B1018&lt;&gt;INT(B1018)),"Invalid date",IF(COUNTIFS(DemoHistory[Date],B1018)&lt;&gt;1,"Duplicate date",IF(AND($A1018&gt;1,B1018&lt;=B1017),"Dates out of order",IF(NOT(ISNUMBER(C1018)),"Missing price",IF(C1018&lt;=0,"Nonpositive price","OK")))))))))</f>
        <v/>
      </c>
      <c r="I1018" s="136"/>
      <c r="J1018" s="136"/>
      <c r="K1018" s="136"/>
      <c r="L1018" s="136"/>
      <c r="M1018" s="136"/>
      <c r="N1018" s="136" t="e">
        <f t="shared" si="46"/>
        <v>#N/A</v>
      </c>
      <c r="O1018" s="136" t="e">
        <f t="shared" si="47"/>
        <v>#N/A</v>
      </c>
    </row>
    <row r="1019" spans="1:15" ht="22" customHeight="1" x14ac:dyDescent="0.35">
      <c r="A1019" s="136">
        <v>975</v>
      </c>
      <c r="B1019" s="165" t="str">
        <f>IF($A1019&gt;MIN($A$10,$A$2),"",INDEX(DemoHistory[Date],$A1019))</f>
        <v/>
      </c>
      <c r="C1019" s="166" t="str">
        <f>IF(OR($A1019&gt;MIN($A$10,$A$2),$A$5=""),"",INDEX(DemoHistory[],$A1019,MATCH($A$5,DemoHistory[#Headers],0)))</f>
        <v/>
      </c>
      <c r="D1019" s="166" t="str">
        <f>IF($A1019&gt;MIN($A$10,$A$2),"",IF(AND($A$12,$A$6=1,B1019&lt;$A$7,$A$7&lt;=MAX(DemoHistory[Date])),$A$8,1))</f>
        <v/>
      </c>
      <c r="E1019" s="166" t="str">
        <f t="shared" si="45"/>
        <v/>
      </c>
      <c r="F1019" s="166" t="str">
        <f>IF($A1019&gt;MIN($A$10,$A$2),"",IF($A1019&lt;50,"n.a.",IF(COUNT(INDEX(StockDaily[Adjusted close],MAX(1,$A1019-50+1)):E1019)=50,AVERAGE(INDEX(StockDaily[Adjusted close],MAX(1,$A1019-50+1)):E1019),"n.a.")))</f>
        <v/>
      </c>
      <c r="G1019" s="166" t="str">
        <f>IF($A1019&gt;MIN($A$10,$A$2),"",IF($A1019&lt;200,"n.a.",IF(COUNT(INDEX(StockDaily[Adjusted close],MAX(1,$A1019-200+1)):E1019)=200,AVERAGE(INDEX(StockDaily[Adjusted close],MAX(1,$A1019-200+1)):E1019),"n.a.")))</f>
        <v/>
      </c>
      <c r="H1019" s="136" t="str">
        <f>IF($A1019&gt;MIN($A$10,$A$2),"",IF($A$5="","Choose stock",IF(NOT($A$12),"Check split rule",IF(NOT(ISNUMBER(B1019)),"Invalid date",IF(OR(B1019&lt;=0,B1019&lt;&gt;INT(B1019)),"Invalid date",IF(COUNTIFS(DemoHistory[Date],B1019)&lt;&gt;1,"Duplicate date",IF(AND($A1019&gt;1,B1019&lt;=B1018),"Dates out of order",IF(NOT(ISNUMBER(C1019)),"Missing price",IF(C1019&lt;=0,"Nonpositive price","OK")))))))))</f>
        <v/>
      </c>
      <c r="I1019" s="136"/>
      <c r="J1019" s="136"/>
      <c r="K1019" s="136"/>
      <c r="L1019" s="136"/>
      <c r="M1019" s="136"/>
      <c r="N1019" s="136" t="e">
        <f t="shared" si="46"/>
        <v>#N/A</v>
      </c>
      <c r="O1019" s="136" t="e">
        <f t="shared" si="47"/>
        <v>#N/A</v>
      </c>
    </row>
    <row r="1020" spans="1:15" ht="22" customHeight="1" x14ac:dyDescent="0.35">
      <c r="A1020" s="136">
        <v>976</v>
      </c>
      <c r="B1020" s="165" t="str">
        <f>IF($A1020&gt;MIN($A$10,$A$2),"",INDEX(DemoHistory[Date],$A1020))</f>
        <v/>
      </c>
      <c r="C1020" s="166" t="str">
        <f>IF(OR($A1020&gt;MIN($A$10,$A$2),$A$5=""),"",INDEX(DemoHistory[],$A1020,MATCH($A$5,DemoHistory[#Headers],0)))</f>
        <v/>
      </c>
      <c r="D1020" s="166" t="str">
        <f>IF($A1020&gt;MIN($A$10,$A$2),"",IF(AND($A$12,$A$6=1,B1020&lt;$A$7,$A$7&lt;=MAX(DemoHistory[Date])),$A$8,1))</f>
        <v/>
      </c>
      <c r="E1020" s="166" t="str">
        <f t="shared" si="45"/>
        <v/>
      </c>
      <c r="F1020" s="166" t="str">
        <f>IF($A1020&gt;MIN($A$10,$A$2),"",IF($A1020&lt;50,"n.a.",IF(COUNT(INDEX(StockDaily[Adjusted close],MAX(1,$A1020-50+1)):E1020)=50,AVERAGE(INDEX(StockDaily[Adjusted close],MAX(1,$A1020-50+1)):E1020),"n.a.")))</f>
        <v/>
      </c>
      <c r="G1020" s="166" t="str">
        <f>IF($A1020&gt;MIN($A$10,$A$2),"",IF($A1020&lt;200,"n.a.",IF(COUNT(INDEX(StockDaily[Adjusted close],MAX(1,$A1020-200+1)):E1020)=200,AVERAGE(INDEX(StockDaily[Adjusted close],MAX(1,$A1020-200+1)):E1020),"n.a.")))</f>
        <v/>
      </c>
      <c r="H1020" s="136" t="str">
        <f>IF($A1020&gt;MIN($A$10,$A$2),"",IF($A$5="","Choose stock",IF(NOT($A$12),"Check split rule",IF(NOT(ISNUMBER(B1020)),"Invalid date",IF(OR(B1020&lt;=0,B1020&lt;&gt;INT(B1020)),"Invalid date",IF(COUNTIFS(DemoHistory[Date],B1020)&lt;&gt;1,"Duplicate date",IF(AND($A1020&gt;1,B1020&lt;=B1019),"Dates out of order",IF(NOT(ISNUMBER(C1020)),"Missing price",IF(C1020&lt;=0,"Nonpositive price","OK")))))))))</f>
        <v/>
      </c>
      <c r="I1020" s="136"/>
      <c r="J1020" s="136"/>
      <c r="K1020" s="136"/>
      <c r="L1020" s="136"/>
      <c r="M1020" s="136"/>
      <c r="N1020" s="136" t="e">
        <f t="shared" si="46"/>
        <v>#N/A</v>
      </c>
      <c r="O1020" s="136" t="e">
        <f t="shared" si="47"/>
        <v>#N/A</v>
      </c>
    </row>
    <row r="1021" spans="1:15" ht="22" customHeight="1" x14ac:dyDescent="0.35">
      <c r="A1021" s="136">
        <v>977</v>
      </c>
      <c r="B1021" s="165" t="str">
        <f>IF($A1021&gt;MIN($A$10,$A$2),"",INDEX(DemoHistory[Date],$A1021))</f>
        <v/>
      </c>
      <c r="C1021" s="166" t="str">
        <f>IF(OR($A1021&gt;MIN($A$10,$A$2),$A$5=""),"",INDEX(DemoHistory[],$A1021,MATCH($A$5,DemoHistory[#Headers],0)))</f>
        <v/>
      </c>
      <c r="D1021" s="166" t="str">
        <f>IF($A1021&gt;MIN($A$10,$A$2),"",IF(AND($A$12,$A$6=1,B1021&lt;$A$7,$A$7&lt;=MAX(DemoHistory[Date])),$A$8,1))</f>
        <v/>
      </c>
      <c r="E1021" s="166" t="str">
        <f t="shared" si="45"/>
        <v/>
      </c>
      <c r="F1021" s="166" t="str">
        <f>IF($A1021&gt;MIN($A$10,$A$2),"",IF($A1021&lt;50,"n.a.",IF(COUNT(INDEX(StockDaily[Adjusted close],MAX(1,$A1021-50+1)):E1021)=50,AVERAGE(INDEX(StockDaily[Adjusted close],MAX(1,$A1021-50+1)):E1021),"n.a.")))</f>
        <v/>
      </c>
      <c r="G1021" s="166" t="str">
        <f>IF($A1021&gt;MIN($A$10,$A$2),"",IF($A1021&lt;200,"n.a.",IF(COUNT(INDEX(StockDaily[Adjusted close],MAX(1,$A1021-200+1)):E1021)=200,AVERAGE(INDEX(StockDaily[Adjusted close],MAX(1,$A1021-200+1)):E1021),"n.a.")))</f>
        <v/>
      </c>
      <c r="H1021" s="136" t="str">
        <f>IF($A1021&gt;MIN($A$10,$A$2),"",IF($A$5="","Choose stock",IF(NOT($A$12),"Check split rule",IF(NOT(ISNUMBER(B1021)),"Invalid date",IF(OR(B1021&lt;=0,B1021&lt;&gt;INT(B1021)),"Invalid date",IF(COUNTIFS(DemoHistory[Date],B1021)&lt;&gt;1,"Duplicate date",IF(AND($A1021&gt;1,B1021&lt;=B1020),"Dates out of order",IF(NOT(ISNUMBER(C1021)),"Missing price",IF(C1021&lt;=0,"Nonpositive price","OK")))))))))</f>
        <v/>
      </c>
      <c r="I1021" s="136"/>
      <c r="J1021" s="136"/>
      <c r="K1021" s="136"/>
      <c r="L1021" s="136"/>
      <c r="M1021" s="136"/>
      <c r="N1021" s="136" t="e">
        <f t="shared" si="46"/>
        <v>#N/A</v>
      </c>
      <c r="O1021" s="136" t="e">
        <f t="shared" si="47"/>
        <v>#N/A</v>
      </c>
    </row>
    <row r="1022" spans="1:15" ht="22" customHeight="1" x14ac:dyDescent="0.35">
      <c r="A1022" s="136">
        <v>978</v>
      </c>
      <c r="B1022" s="165" t="str">
        <f>IF($A1022&gt;MIN($A$10,$A$2),"",INDEX(DemoHistory[Date],$A1022))</f>
        <v/>
      </c>
      <c r="C1022" s="166" t="str">
        <f>IF(OR($A1022&gt;MIN($A$10,$A$2),$A$5=""),"",INDEX(DemoHistory[],$A1022,MATCH($A$5,DemoHistory[#Headers],0)))</f>
        <v/>
      </c>
      <c r="D1022" s="166" t="str">
        <f>IF($A1022&gt;MIN($A$10,$A$2),"",IF(AND($A$12,$A$6=1,B1022&lt;$A$7,$A$7&lt;=MAX(DemoHistory[Date])),$A$8,1))</f>
        <v/>
      </c>
      <c r="E1022" s="166" t="str">
        <f t="shared" si="45"/>
        <v/>
      </c>
      <c r="F1022" s="166" t="str">
        <f>IF($A1022&gt;MIN($A$10,$A$2),"",IF($A1022&lt;50,"n.a.",IF(COUNT(INDEX(StockDaily[Adjusted close],MAX(1,$A1022-50+1)):E1022)=50,AVERAGE(INDEX(StockDaily[Adjusted close],MAX(1,$A1022-50+1)):E1022),"n.a.")))</f>
        <v/>
      </c>
      <c r="G1022" s="166" t="str">
        <f>IF($A1022&gt;MIN($A$10,$A$2),"",IF($A1022&lt;200,"n.a.",IF(COUNT(INDEX(StockDaily[Adjusted close],MAX(1,$A1022-200+1)):E1022)=200,AVERAGE(INDEX(StockDaily[Adjusted close],MAX(1,$A1022-200+1)):E1022),"n.a.")))</f>
        <v/>
      </c>
      <c r="H1022" s="136" t="str">
        <f>IF($A1022&gt;MIN($A$10,$A$2),"",IF($A$5="","Choose stock",IF(NOT($A$12),"Check split rule",IF(NOT(ISNUMBER(B1022)),"Invalid date",IF(OR(B1022&lt;=0,B1022&lt;&gt;INT(B1022)),"Invalid date",IF(COUNTIFS(DemoHistory[Date],B1022)&lt;&gt;1,"Duplicate date",IF(AND($A1022&gt;1,B1022&lt;=B1021),"Dates out of order",IF(NOT(ISNUMBER(C1022)),"Missing price",IF(C1022&lt;=0,"Nonpositive price","OK")))))))))</f>
        <v/>
      </c>
      <c r="I1022" s="136"/>
      <c r="J1022" s="136"/>
      <c r="K1022" s="136"/>
      <c r="L1022" s="136"/>
      <c r="M1022" s="136"/>
      <c r="N1022" s="136" t="e">
        <f t="shared" si="46"/>
        <v>#N/A</v>
      </c>
      <c r="O1022" s="136" t="e">
        <f t="shared" si="47"/>
        <v>#N/A</v>
      </c>
    </row>
    <row r="1023" spans="1:15" ht="22" customHeight="1" x14ac:dyDescent="0.35">
      <c r="A1023" s="136">
        <v>979</v>
      </c>
      <c r="B1023" s="165" t="str">
        <f>IF($A1023&gt;MIN($A$10,$A$2),"",INDEX(DemoHistory[Date],$A1023))</f>
        <v/>
      </c>
      <c r="C1023" s="166" t="str">
        <f>IF(OR($A1023&gt;MIN($A$10,$A$2),$A$5=""),"",INDEX(DemoHistory[],$A1023,MATCH($A$5,DemoHistory[#Headers],0)))</f>
        <v/>
      </c>
      <c r="D1023" s="166" t="str">
        <f>IF($A1023&gt;MIN($A$10,$A$2),"",IF(AND($A$12,$A$6=1,B1023&lt;$A$7,$A$7&lt;=MAX(DemoHistory[Date])),$A$8,1))</f>
        <v/>
      </c>
      <c r="E1023" s="166" t="str">
        <f t="shared" si="45"/>
        <v/>
      </c>
      <c r="F1023" s="166" t="str">
        <f>IF($A1023&gt;MIN($A$10,$A$2),"",IF($A1023&lt;50,"n.a.",IF(COUNT(INDEX(StockDaily[Adjusted close],MAX(1,$A1023-50+1)):E1023)=50,AVERAGE(INDEX(StockDaily[Adjusted close],MAX(1,$A1023-50+1)):E1023),"n.a.")))</f>
        <v/>
      </c>
      <c r="G1023" s="166" t="str">
        <f>IF($A1023&gt;MIN($A$10,$A$2),"",IF($A1023&lt;200,"n.a.",IF(COUNT(INDEX(StockDaily[Adjusted close],MAX(1,$A1023-200+1)):E1023)=200,AVERAGE(INDEX(StockDaily[Adjusted close],MAX(1,$A1023-200+1)):E1023),"n.a.")))</f>
        <v/>
      </c>
      <c r="H1023" s="136" t="str">
        <f>IF($A1023&gt;MIN($A$10,$A$2),"",IF($A$5="","Choose stock",IF(NOT($A$12),"Check split rule",IF(NOT(ISNUMBER(B1023)),"Invalid date",IF(OR(B1023&lt;=0,B1023&lt;&gt;INT(B1023)),"Invalid date",IF(COUNTIFS(DemoHistory[Date],B1023)&lt;&gt;1,"Duplicate date",IF(AND($A1023&gt;1,B1023&lt;=B1022),"Dates out of order",IF(NOT(ISNUMBER(C1023)),"Missing price",IF(C1023&lt;=0,"Nonpositive price","OK")))))))))</f>
        <v/>
      </c>
      <c r="I1023" s="136"/>
      <c r="J1023" s="136"/>
      <c r="K1023" s="136"/>
      <c r="L1023" s="136"/>
      <c r="M1023" s="136"/>
      <c r="N1023" s="136" t="e">
        <f t="shared" si="46"/>
        <v>#N/A</v>
      </c>
      <c r="O1023" s="136" t="e">
        <f t="shared" si="47"/>
        <v>#N/A</v>
      </c>
    </row>
    <row r="1024" spans="1:15" ht="22" customHeight="1" x14ac:dyDescent="0.35">
      <c r="A1024" s="136">
        <v>980</v>
      </c>
      <c r="B1024" s="165" t="str">
        <f>IF($A1024&gt;MIN($A$10,$A$2),"",INDEX(DemoHistory[Date],$A1024))</f>
        <v/>
      </c>
      <c r="C1024" s="166" t="str">
        <f>IF(OR($A1024&gt;MIN($A$10,$A$2),$A$5=""),"",INDEX(DemoHistory[],$A1024,MATCH($A$5,DemoHistory[#Headers],0)))</f>
        <v/>
      </c>
      <c r="D1024" s="166" t="str">
        <f>IF($A1024&gt;MIN($A$10,$A$2),"",IF(AND($A$12,$A$6=1,B1024&lt;$A$7,$A$7&lt;=MAX(DemoHistory[Date])),$A$8,1))</f>
        <v/>
      </c>
      <c r="E1024" s="166" t="str">
        <f t="shared" si="45"/>
        <v/>
      </c>
      <c r="F1024" s="166" t="str">
        <f>IF($A1024&gt;MIN($A$10,$A$2),"",IF($A1024&lt;50,"n.a.",IF(COUNT(INDEX(StockDaily[Adjusted close],MAX(1,$A1024-50+1)):E1024)=50,AVERAGE(INDEX(StockDaily[Adjusted close],MAX(1,$A1024-50+1)):E1024),"n.a.")))</f>
        <v/>
      </c>
      <c r="G1024" s="166" t="str">
        <f>IF($A1024&gt;MIN($A$10,$A$2),"",IF($A1024&lt;200,"n.a.",IF(COUNT(INDEX(StockDaily[Adjusted close],MAX(1,$A1024-200+1)):E1024)=200,AVERAGE(INDEX(StockDaily[Adjusted close],MAX(1,$A1024-200+1)):E1024),"n.a.")))</f>
        <v/>
      </c>
      <c r="H1024" s="136" t="str">
        <f>IF($A1024&gt;MIN($A$10,$A$2),"",IF($A$5="","Choose stock",IF(NOT($A$12),"Check split rule",IF(NOT(ISNUMBER(B1024)),"Invalid date",IF(OR(B1024&lt;=0,B1024&lt;&gt;INT(B1024)),"Invalid date",IF(COUNTIFS(DemoHistory[Date],B1024)&lt;&gt;1,"Duplicate date",IF(AND($A1024&gt;1,B1024&lt;=B1023),"Dates out of order",IF(NOT(ISNUMBER(C1024)),"Missing price",IF(C1024&lt;=0,"Nonpositive price","OK")))))))))</f>
        <v/>
      </c>
      <c r="I1024" s="136"/>
      <c r="J1024" s="136"/>
      <c r="K1024" s="136"/>
      <c r="L1024" s="136"/>
      <c r="M1024" s="136"/>
      <c r="N1024" s="136" t="e">
        <f t="shared" si="46"/>
        <v>#N/A</v>
      </c>
      <c r="O1024" s="136" t="e">
        <f t="shared" si="47"/>
        <v>#N/A</v>
      </c>
    </row>
    <row r="1025" spans="1:15" ht="22" customHeight="1" x14ac:dyDescent="0.35">
      <c r="A1025" s="136">
        <v>981</v>
      </c>
      <c r="B1025" s="165" t="str">
        <f>IF($A1025&gt;MIN($A$10,$A$2),"",INDEX(DemoHistory[Date],$A1025))</f>
        <v/>
      </c>
      <c r="C1025" s="166" t="str">
        <f>IF(OR($A1025&gt;MIN($A$10,$A$2),$A$5=""),"",INDEX(DemoHistory[],$A1025,MATCH($A$5,DemoHistory[#Headers],0)))</f>
        <v/>
      </c>
      <c r="D1025" s="166" t="str">
        <f>IF($A1025&gt;MIN($A$10,$A$2),"",IF(AND($A$12,$A$6=1,B1025&lt;$A$7,$A$7&lt;=MAX(DemoHistory[Date])),$A$8,1))</f>
        <v/>
      </c>
      <c r="E1025" s="166" t="str">
        <f t="shared" si="45"/>
        <v/>
      </c>
      <c r="F1025" s="166" t="str">
        <f>IF($A1025&gt;MIN($A$10,$A$2),"",IF($A1025&lt;50,"n.a.",IF(COUNT(INDEX(StockDaily[Adjusted close],MAX(1,$A1025-50+1)):E1025)=50,AVERAGE(INDEX(StockDaily[Adjusted close],MAX(1,$A1025-50+1)):E1025),"n.a.")))</f>
        <v/>
      </c>
      <c r="G1025" s="166" t="str">
        <f>IF($A1025&gt;MIN($A$10,$A$2),"",IF($A1025&lt;200,"n.a.",IF(COUNT(INDEX(StockDaily[Adjusted close],MAX(1,$A1025-200+1)):E1025)=200,AVERAGE(INDEX(StockDaily[Adjusted close],MAX(1,$A1025-200+1)):E1025),"n.a.")))</f>
        <v/>
      </c>
      <c r="H1025" s="136" t="str">
        <f>IF($A1025&gt;MIN($A$10,$A$2),"",IF($A$5="","Choose stock",IF(NOT($A$12),"Check split rule",IF(NOT(ISNUMBER(B1025)),"Invalid date",IF(OR(B1025&lt;=0,B1025&lt;&gt;INT(B1025)),"Invalid date",IF(COUNTIFS(DemoHistory[Date],B1025)&lt;&gt;1,"Duplicate date",IF(AND($A1025&gt;1,B1025&lt;=B1024),"Dates out of order",IF(NOT(ISNUMBER(C1025)),"Missing price",IF(C1025&lt;=0,"Nonpositive price","OK")))))))))</f>
        <v/>
      </c>
      <c r="I1025" s="136"/>
      <c r="J1025" s="136"/>
      <c r="K1025" s="136"/>
      <c r="L1025" s="136"/>
      <c r="M1025" s="136"/>
      <c r="N1025" s="136" t="e">
        <f t="shared" si="46"/>
        <v>#N/A</v>
      </c>
      <c r="O1025" s="136" t="e">
        <f t="shared" si="47"/>
        <v>#N/A</v>
      </c>
    </row>
    <row r="1026" spans="1:15" ht="22" customHeight="1" x14ac:dyDescent="0.35">
      <c r="A1026" s="136">
        <v>982</v>
      </c>
      <c r="B1026" s="165" t="str">
        <f>IF($A1026&gt;MIN($A$10,$A$2),"",INDEX(DemoHistory[Date],$A1026))</f>
        <v/>
      </c>
      <c r="C1026" s="166" t="str">
        <f>IF(OR($A1026&gt;MIN($A$10,$A$2),$A$5=""),"",INDEX(DemoHistory[],$A1026,MATCH($A$5,DemoHistory[#Headers],0)))</f>
        <v/>
      </c>
      <c r="D1026" s="166" t="str">
        <f>IF($A1026&gt;MIN($A$10,$A$2),"",IF(AND($A$12,$A$6=1,B1026&lt;$A$7,$A$7&lt;=MAX(DemoHistory[Date])),$A$8,1))</f>
        <v/>
      </c>
      <c r="E1026" s="166" t="str">
        <f t="shared" si="45"/>
        <v/>
      </c>
      <c r="F1026" s="166" t="str">
        <f>IF($A1026&gt;MIN($A$10,$A$2),"",IF($A1026&lt;50,"n.a.",IF(COUNT(INDEX(StockDaily[Adjusted close],MAX(1,$A1026-50+1)):E1026)=50,AVERAGE(INDEX(StockDaily[Adjusted close],MAX(1,$A1026-50+1)):E1026),"n.a.")))</f>
        <v/>
      </c>
      <c r="G1026" s="166" t="str">
        <f>IF($A1026&gt;MIN($A$10,$A$2),"",IF($A1026&lt;200,"n.a.",IF(COUNT(INDEX(StockDaily[Adjusted close],MAX(1,$A1026-200+1)):E1026)=200,AVERAGE(INDEX(StockDaily[Adjusted close],MAX(1,$A1026-200+1)):E1026),"n.a.")))</f>
        <v/>
      </c>
      <c r="H1026" s="136" t="str">
        <f>IF($A1026&gt;MIN($A$10,$A$2),"",IF($A$5="","Choose stock",IF(NOT($A$12),"Check split rule",IF(NOT(ISNUMBER(B1026)),"Invalid date",IF(OR(B1026&lt;=0,B1026&lt;&gt;INT(B1026)),"Invalid date",IF(COUNTIFS(DemoHistory[Date],B1026)&lt;&gt;1,"Duplicate date",IF(AND($A1026&gt;1,B1026&lt;=B1025),"Dates out of order",IF(NOT(ISNUMBER(C1026)),"Missing price",IF(C1026&lt;=0,"Nonpositive price","OK")))))))))</f>
        <v/>
      </c>
      <c r="I1026" s="136"/>
      <c r="J1026" s="136"/>
      <c r="K1026" s="136"/>
      <c r="L1026" s="136"/>
      <c r="M1026" s="136"/>
      <c r="N1026" s="136" t="e">
        <f t="shared" si="46"/>
        <v>#N/A</v>
      </c>
      <c r="O1026" s="136" t="e">
        <f t="shared" si="47"/>
        <v>#N/A</v>
      </c>
    </row>
    <row r="1027" spans="1:15" ht="22" customHeight="1" x14ac:dyDescent="0.35">
      <c r="A1027" s="136">
        <v>983</v>
      </c>
      <c r="B1027" s="165" t="str">
        <f>IF($A1027&gt;MIN($A$10,$A$2),"",INDEX(DemoHistory[Date],$A1027))</f>
        <v/>
      </c>
      <c r="C1027" s="166" t="str">
        <f>IF(OR($A1027&gt;MIN($A$10,$A$2),$A$5=""),"",INDEX(DemoHistory[],$A1027,MATCH($A$5,DemoHistory[#Headers],0)))</f>
        <v/>
      </c>
      <c r="D1027" s="166" t="str">
        <f>IF($A1027&gt;MIN($A$10,$A$2),"",IF(AND($A$12,$A$6=1,B1027&lt;$A$7,$A$7&lt;=MAX(DemoHistory[Date])),$A$8,1))</f>
        <v/>
      </c>
      <c r="E1027" s="166" t="str">
        <f t="shared" si="45"/>
        <v/>
      </c>
      <c r="F1027" s="166" t="str">
        <f>IF($A1027&gt;MIN($A$10,$A$2),"",IF($A1027&lt;50,"n.a.",IF(COUNT(INDEX(StockDaily[Adjusted close],MAX(1,$A1027-50+1)):E1027)=50,AVERAGE(INDEX(StockDaily[Adjusted close],MAX(1,$A1027-50+1)):E1027),"n.a.")))</f>
        <v/>
      </c>
      <c r="G1027" s="166" t="str">
        <f>IF($A1027&gt;MIN($A$10,$A$2),"",IF($A1027&lt;200,"n.a.",IF(COUNT(INDEX(StockDaily[Adjusted close],MAX(1,$A1027-200+1)):E1027)=200,AVERAGE(INDEX(StockDaily[Adjusted close],MAX(1,$A1027-200+1)):E1027),"n.a.")))</f>
        <v/>
      </c>
      <c r="H1027" s="136" t="str">
        <f>IF($A1027&gt;MIN($A$10,$A$2),"",IF($A$5="","Choose stock",IF(NOT($A$12),"Check split rule",IF(NOT(ISNUMBER(B1027)),"Invalid date",IF(OR(B1027&lt;=0,B1027&lt;&gt;INT(B1027)),"Invalid date",IF(COUNTIFS(DemoHistory[Date],B1027)&lt;&gt;1,"Duplicate date",IF(AND($A1027&gt;1,B1027&lt;=B1026),"Dates out of order",IF(NOT(ISNUMBER(C1027)),"Missing price",IF(C1027&lt;=0,"Nonpositive price","OK")))))))))</f>
        <v/>
      </c>
      <c r="I1027" s="136"/>
      <c r="J1027" s="136"/>
      <c r="K1027" s="136"/>
      <c r="L1027" s="136"/>
      <c r="M1027" s="136"/>
      <c r="N1027" s="136" t="e">
        <f t="shared" si="46"/>
        <v>#N/A</v>
      </c>
      <c r="O1027" s="136" t="e">
        <f t="shared" si="47"/>
        <v>#N/A</v>
      </c>
    </row>
    <row r="1028" spans="1:15" ht="22" customHeight="1" x14ac:dyDescent="0.35">
      <c r="A1028" s="136">
        <v>984</v>
      </c>
      <c r="B1028" s="165" t="str">
        <f>IF($A1028&gt;MIN($A$10,$A$2),"",INDEX(DemoHistory[Date],$A1028))</f>
        <v/>
      </c>
      <c r="C1028" s="166" t="str">
        <f>IF(OR($A1028&gt;MIN($A$10,$A$2),$A$5=""),"",INDEX(DemoHistory[],$A1028,MATCH($A$5,DemoHistory[#Headers],0)))</f>
        <v/>
      </c>
      <c r="D1028" s="166" t="str">
        <f>IF($A1028&gt;MIN($A$10,$A$2),"",IF(AND($A$12,$A$6=1,B1028&lt;$A$7,$A$7&lt;=MAX(DemoHistory[Date])),$A$8,1))</f>
        <v/>
      </c>
      <c r="E1028" s="166" t="str">
        <f t="shared" si="45"/>
        <v/>
      </c>
      <c r="F1028" s="166" t="str">
        <f>IF($A1028&gt;MIN($A$10,$A$2),"",IF($A1028&lt;50,"n.a.",IF(COUNT(INDEX(StockDaily[Adjusted close],MAX(1,$A1028-50+1)):E1028)=50,AVERAGE(INDEX(StockDaily[Adjusted close],MAX(1,$A1028-50+1)):E1028),"n.a.")))</f>
        <v/>
      </c>
      <c r="G1028" s="166" t="str">
        <f>IF($A1028&gt;MIN($A$10,$A$2),"",IF($A1028&lt;200,"n.a.",IF(COUNT(INDEX(StockDaily[Adjusted close],MAX(1,$A1028-200+1)):E1028)=200,AVERAGE(INDEX(StockDaily[Adjusted close],MAX(1,$A1028-200+1)):E1028),"n.a.")))</f>
        <v/>
      </c>
      <c r="H1028" s="136" t="str">
        <f>IF($A1028&gt;MIN($A$10,$A$2),"",IF($A$5="","Choose stock",IF(NOT($A$12),"Check split rule",IF(NOT(ISNUMBER(B1028)),"Invalid date",IF(OR(B1028&lt;=0,B1028&lt;&gt;INT(B1028)),"Invalid date",IF(COUNTIFS(DemoHistory[Date],B1028)&lt;&gt;1,"Duplicate date",IF(AND($A1028&gt;1,B1028&lt;=B1027),"Dates out of order",IF(NOT(ISNUMBER(C1028)),"Missing price",IF(C1028&lt;=0,"Nonpositive price","OK")))))))))</f>
        <v/>
      </c>
      <c r="I1028" s="136"/>
      <c r="J1028" s="136"/>
      <c r="K1028" s="136"/>
      <c r="L1028" s="136"/>
      <c r="M1028" s="136"/>
      <c r="N1028" s="136" t="e">
        <f t="shared" si="46"/>
        <v>#N/A</v>
      </c>
      <c r="O1028" s="136" t="e">
        <f t="shared" si="47"/>
        <v>#N/A</v>
      </c>
    </row>
    <row r="1029" spans="1:15" ht="22" customHeight="1" x14ac:dyDescent="0.35">
      <c r="A1029" s="136">
        <v>985</v>
      </c>
      <c r="B1029" s="165" t="str">
        <f>IF($A1029&gt;MIN($A$10,$A$2),"",INDEX(DemoHistory[Date],$A1029))</f>
        <v/>
      </c>
      <c r="C1029" s="166" t="str">
        <f>IF(OR($A1029&gt;MIN($A$10,$A$2),$A$5=""),"",INDEX(DemoHistory[],$A1029,MATCH($A$5,DemoHistory[#Headers],0)))</f>
        <v/>
      </c>
      <c r="D1029" s="166" t="str">
        <f>IF($A1029&gt;MIN($A$10,$A$2),"",IF(AND($A$12,$A$6=1,B1029&lt;$A$7,$A$7&lt;=MAX(DemoHistory[Date])),$A$8,1))</f>
        <v/>
      </c>
      <c r="E1029" s="166" t="str">
        <f t="shared" si="45"/>
        <v/>
      </c>
      <c r="F1029" s="166" t="str">
        <f>IF($A1029&gt;MIN($A$10,$A$2),"",IF($A1029&lt;50,"n.a.",IF(COUNT(INDEX(StockDaily[Adjusted close],MAX(1,$A1029-50+1)):E1029)=50,AVERAGE(INDEX(StockDaily[Adjusted close],MAX(1,$A1029-50+1)):E1029),"n.a.")))</f>
        <v/>
      </c>
      <c r="G1029" s="166" t="str">
        <f>IF($A1029&gt;MIN($A$10,$A$2),"",IF($A1029&lt;200,"n.a.",IF(COUNT(INDEX(StockDaily[Adjusted close],MAX(1,$A1029-200+1)):E1029)=200,AVERAGE(INDEX(StockDaily[Adjusted close],MAX(1,$A1029-200+1)):E1029),"n.a.")))</f>
        <v/>
      </c>
      <c r="H1029" s="136" t="str">
        <f>IF($A1029&gt;MIN($A$10,$A$2),"",IF($A$5="","Choose stock",IF(NOT($A$12),"Check split rule",IF(NOT(ISNUMBER(B1029)),"Invalid date",IF(OR(B1029&lt;=0,B1029&lt;&gt;INT(B1029)),"Invalid date",IF(COUNTIFS(DemoHistory[Date],B1029)&lt;&gt;1,"Duplicate date",IF(AND($A1029&gt;1,B1029&lt;=B1028),"Dates out of order",IF(NOT(ISNUMBER(C1029)),"Missing price",IF(C1029&lt;=0,"Nonpositive price","OK")))))))))</f>
        <v/>
      </c>
      <c r="I1029" s="136"/>
      <c r="J1029" s="136"/>
      <c r="K1029" s="136"/>
      <c r="L1029" s="136"/>
      <c r="M1029" s="136"/>
      <c r="N1029" s="136" t="e">
        <f t="shared" si="46"/>
        <v>#N/A</v>
      </c>
      <c r="O1029" s="136" t="e">
        <f t="shared" si="47"/>
        <v>#N/A</v>
      </c>
    </row>
    <row r="1030" spans="1:15" ht="22" customHeight="1" x14ac:dyDescent="0.35">
      <c r="A1030" s="136">
        <v>986</v>
      </c>
      <c r="B1030" s="165" t="str">
        <f>IF($A1030&gt;MIN($A$10,$A$2),"",INDEX(DemoHistory[Date],$A1030))</f>
        <v/>
      </c>
      <c r="C1030" s="166" t="str">
        <f>IF(OR($A1030&gt;MIN($A$10,$A$2),$A$5=""),"",INDEX(DemoHistory[],$A1030,MATCH($A$5,DemoHistory[#Headers],0)))</f>
        <v/>
      </c>
      <c r="D1030" s="166" t="str">
        <f>IF($A1030&gt;MIN($A$10,$A$2),"",IF(AND($A$12,$A$6=1,B1030&lt;$A$7,$A$7&lt;=MAX(DemoHistory[Date])),$A$8,1))</f>
        <v/>
      </c>
      <c r="E1030" s="166" t="str">
        <f t="shared" si="45"/>
        <v/>
      </c>
      <c r="F1030" s="166" t="str">
        <f>IF($A1030&gt;MIN($A$10,$A$2),"",IF($A1030&lt;50,"n.a.",IF(COUNT(INDEX(StockDaily[Adjusted close],MAX(1,$A1030-50+1)):E1030)=50,AVERAGE(INDEX(StockDaily[Adjusted close],MAX(1,$A1030-50+1)):E1030),"n.a.")))</f>
        <v/>
      </c>
      <c r="G1030" s="166" t="str">
        <f>IF($A1030&gt;MIN($A$10,$A$2),"",IF($A1030&lt;200,"n.a.",IF(COUNT(INDEX(StockDaily[Adjusted close],MAX(1,$A1030-200+1)):E1030)=200,AVERAGE(INDEX(StockDaily[Adjusted close],MAX(1,$A1030-200+1)):E1030),"n.a.")))</f>
        <v/>
      </c>
      <c r="H1030" s="136" t="str">
        <f>IF($A1030&gt;MIN($A$10,$A$2),"",IF($A$5="","Choose stock",IF(NOT($A$12),"Check split rule",IF(NOT(ISNUMBER(B1030)),"Invalid date",IF(OR(B1030&lt;=0,B1030&lt;&gt;INT(B1030)),"Invalid date",IF(COUNTIFS(DemoHistory[Date],B1030)&lt;&gt;1,"Duplicate date",IF(AND($A1030&gt;1,B1030&lt;=B1029),"Dates out of order",IF(NOT(ISNUMBER(C1030)),"Missing price",IF(C1030&lt;=0,"Nonpositive price","OK")))))))))</f>
        <v/>
      </c>
      <c r="I1030" s="136"/>
      <c r="J1030" s="136"/>
      <c r="K1030" s="136"/>
      <c r="L1030" s="136"/>
      <c r="M1030" s="136"/>
      <c r="N1030" s="136" t="e">
        <f t="shared" si="46"/>
        <v>#N/A</v>
      </c>
      <c r="O1030" s="136" t="e">
        <f t="shared" si="47"/>
        <v>#N/A</v>
      </c>
    </row>
    <row r="1031" spans="1:15" ht="22" customHeight="1" x14ac:dyDescent="0.35">
      <c r="A1031" s="136">
        <v>987</v>
      </c>
      <c r="B1031" s="165" t="str">
        <f>IF($A1031&gt;MIN($A$10,$A$2),"",INDEX(DemoHistory[Date],$A1031))</f>
        <v/>
      </c>
      <c r="C1031" s="166" t="str">
        <f>IF(OR($A1031&gt;MIN($A$10,$A$2),$A$5=""),"",INDEX(DemoHistory[],$A1031,MATCH($A$5,DemoHistory[#Headers],0)))</f>
        <v/>
      </c>
      <c r="D1031" s="166" t="str">
        <f>IF($A1031&gt;MIN($A$10,$A$2),"",IF(AND($A$12,$A$6=1,B1031&lt;$A$7,$A$7&lt;=MAX(DemoHistory[Date])),$A$8,1))</f>
        <v/>
      </c>
      <c r="E1031" s="166" t="str">
        <f t="shared" si="45"/>
        <v/>
      </c>
      <c r="F1031" s="166" t="str">
        <f>IF($A1031&gt;MIN($A$10,$A$2),"",IF($A1031&lt;50,"n.a.",IF(COUNT(INDEX(StockDaily[Adjusted close],MAX(1,$A1031-50+1)):E1031)=50,AVERAGE(INDEX(StockDaily[Adjusted close],MAX(1,$A1031-50+1)):E1031),"n.a.")))</f>
        <v/>
      </c>
      <c r="G1031" s="166" t="str">
        <f>IF($A1031&gt;MIN($A$10,$A$2),"",IF($A1031&lt;200,"n.a.",IF(COUNT(INDEX(StockDaily[Adjusted close],MAX(1,$A1031-200+1)):E1031)=200,AVERAGE(INDEX(StockDaily[Adjusted close],MAX(1,$A1031-200+1)):E1031),"n.a.")))</f>
        <v/>
      </c>
      <c r="H1031" s="136" t="str">
        <f>IF($A1031&gt;MIN($A$10,$A$2),"",IF($A$5="","Choose stock",IF(NOT($A$12),"Check split rule",IF(NOT(ISNUMBER(B1031)),"Invalid date",IF(OR(B1031&lt;=0,B1031&lt;&gt;INT(B1031)),"Invalid date",IF(COUNTIFS(DemoHistory[Date],B1031)&lt;&gt;1,"Duplicate date",IF(AND($A1031&gt;1,B1031&lt;=B1030),"Dates out of order",IF(NOT(ISNUMBER(C1031)),"Missing price",IF(C1031&lt;=0,"Nonpositive price","OK")))))))))</f>
        <v/>
      </c>
      <c r="I1031" s="136"/>
      <c r="J1031" s="136"/>
      <c r="K1031" s="136"/>
      <c r="L1031" s="136"/>
      <c r="M1031" s="136"/>
      <c r="N1031" s="136" t="e">
        <f t="shared" si="46"/>
        <v>#N/A</v>
      </c>
      <c r="O1031" s="136" t="e">
        <f t="shared" si="47"/>
        <v>#N/A</v>
      </c>
    </row>
    <row r="1032" spans="1:15" ht="22" customHeight="1" x14ac:dyDescent="0.35">
      <c r="A1032" s="136">
        <v>988</v>
      </c>
      <c r="B1032" s="165" t="str">
        <f>IF($A1032&gt;MIN($A$10,$A$2),"",INDEX(DemoHistory[Date],$A1032))</f>
        <v/>
      </c>
      <c r="C1032" s="166" t="str">
        <f>IF(OR($A1032&gt;MIN($A$10,$A$2),$A$5=""),"",INDEX(DemoHistory[],$A1032,MATCH($A$5,DemoHistory[#Headers],0)))</f>
        <v/>
      </c>
      <c r="D1032" s="166" t="str">
        <f>IF($A1032&gt;MIN($A$10,$A$2),"",IF(AND($A$12,$A$6=1,B1032&lt;$A$7,$A$7&lt;=MAX(DemoHistory[Date])),$A$8,1))</f>
        <v/>
      </c>
      <c r="E1032" s="166" t="str">
        <f t="shared" si="45"/>
        <v/>
      </c>
      <c r="F1032" s="166" t="str">
        <f>IF($A1032&gt;MIN($A$10,$A$2),"",IF($A1032&lt;50,"n.a.",IF(COUNT(INDEX(StockDaily[Adjusted close],MAX(1,$A1032-50+1)):E1032)=50,AVERAGE(INDEX(StockDaily[Adjusted close],MAX(1,$A1032-50+1)):E1032),"n.a.")))</f>
        <v/>
      </c>
      <c r="G1032" s="166" t="str">
        <f>IF($A1032&gt;MIN($A$10,$A$2),"",IF($A1032&lt;200,"n.a.",IF(COUNT(INDEX(StockDaily[Adjusted close],MAX(1,$A1032-200+1)):E1032)=200,AVERAGE(INDEX(StockDaily[Adjusted close],MAX(1,$A1032-200+1)):E1032),"n.a.")))</f>
        <v/>
      </c>
      <c r="H1032" s="136" t="str">
        <f>IF($A1032&gt;MIN($A$10,$A$2),"",IF($A$5="","Choose stock",IF(NOT($A$12),"Check split rule",IF(NOT(ISNUMBER(B1032)),"Invalid date",IF(OR(B1032&lt;=0,B1032&lt;&gt;INT(B1032)),"Invalid date",IF(COUNTIFS(DemoHistory[Date],B1032)&lt;&gt;1,"Duplicate date",IF(AND($A1032&gt;1,B1032&lt;=B1031),"Dates out of order",IF(NOT(ISNUMBER(C1032)),"Missing price",IF(C1032&lt;=0,"Nonpositive price","OK")))))))))</f>
        <v/>
      </c>
      <c r="I1032" s="136"/>
      <c r="J1032" s="136"/>
      <c r="K1032" s="136"/>
      <c r="L1032" s="136"/>
      <c r="M1032" s="136"/>
      <c r="N1032" s="136" t="e">
        <f t="shared" si="46"/>
        <v>#N/A</v>
      </c>
      <c r="O1032" s="136" t="e">
        <f t="shared" si="47"/>
        <v>#N/A</v>
      </c>
    </row>
    <row r="1033" spans="1:15" ht="22" customHeight="1" x14ac:dyDescent="0.35">
      <c r="A1033" s="136">
        <v>989</v>
      </c>
      <c r="B1033" s="165" t="str">
        <f>IF($A1033&gt;MIN($A$10,$A$2),"",INDEX(DemoHistory[Date],$A1033))</f>
        <v/>
      </c>
      <c r="C1033" s="166" t="str">
        <f>IF(OR($A1033&gt;MIN($A$10,$A$2),$A$5=""),"",INDEX(DemoHistory[],$A1033,MATCH($A$5,DemoHistory[#Headers],0)))</f>
        <v/>
      </c>
      <c r="D1033" s="166" t="str">
        <f>IF($A1033&gt;MIN($A$10,$A$2),"",IF(AND($A$12,$A$6=1,B1033&lt;$A$7,$A$7&lt;=MAX(DemoHistory[Date])),$A$8,1))</f>
        <v/>
      </c>
      <c r="E1033" s="166" t="str">
        <f t="shared" si="45"/>
        <v/>
      </c>
      <c r="F1033" s="166" t="str">
        <f>IF($A1033&gt;MIN($A$10,$A$2),"",IF($A1033&lt;50,"n.a.",IF(COUNT(INDEX(StockDaily[Adjusted close],MAX(1,$A1033-50+1)):E1033)=50,AVERAGE(INDEX(StockDaily[Adjusted close],MAX(1,$A1033-50+1)):E1033),"n.a.")))</f>
        <v/>
      </c>
      <c r="G1033" s="166" t="str">
        <f>IF($A1033&gt;MIN($A$10,$A$2),"",IF($A1033&lt;200,"n.a.",IF(COUNT(INDEX(StockDaily[Adjusted close],MAX(1,$A1033-200+1)):E1033)=200,AVERAGE(INDEX(StockDaily[Adjusted close],MAX(1,$A1033-200+1)):E1033),"n.a.")))</f>
        <v/>
      </c>
      <c r="H1033" s="136" t="str">
        <f>IF($A1033&gt;MIN($A$10,$A$2),"",IF($A$5="","Choose stock",IF(NOT($A$12),"Check split rule",IF(NOT(ISNUMBER(B1033)),"Invalid date",IF(OR(B1033&lt;=0,B1033&lt;&gt;INT(B1033)),"Invalid date",IF(COUNTIFS(DemoHistory[Date],B1033)&lt;&gt;1,"Duplicate date",IF(AND($A1033&gt;1,B1033&lt;=B1032),"Dates out of order",IF(NOT(ISNUMBER(C1033)),"Missing price",IF(C1033&lt;=0,"Nonpositive price","OK")))))))))</f>
        <v/>
      </c>
      <c r="I1033" s="136"/>
      <c r="J1033" s="136"/>
      <c r="K1033" s="136"/>
      <c r="L1033" s="136"/>
      <c r="M1033" s="136"/>
      <c r="N1033" s="136" t="e">
        <f t="shared" si="46"/>
        <v>#N/A</v>
      </c>
      <c r="O1033" s="136" t="e">
        <f t="shared" si="47"/>
        <v>#N/A</v>
      </c>
    </row>
    <row r="1034" spans="1:15" ht="22" customHeight="1" x14ac:dyDescent="0.35">
      <c r="A1034" s="136">
        <v>990</v>
      </c>
      <c r="B1034" s="165" t="str">
        <f>IF($A1034&gt;MIN($A$10,$A$2),"",INDEX(DemoHistory[Date],$A1034))</f>
        <v/>
      </c>
      <c r="C1034" s="166" t="str">
        <f>IF(OR($A1034&gt;MIN($A$10,$A$2),$A$5=""),"",INDEX(DemoHistory[],$A1034,MATCH($A$5,DemoHistory[#Headers],0)))</f>
        <v/>
      </c>
      <c r="D1034" s="166" t="str">
        <f>IF($A1034&gt;MIN($A$10,$A$2),"",IF(AND($A$12,$A$6=1,B1034&lt;$A$7,$A$7&lt;=MAX(DemoHistory[Date])),$A$8,1))</f>
        <v/>
      </c>
      <c r="E1034" s="166" t="str">
        <f t="shared" si="45"/>
        <v/>
      </c>
      <c r="F1034" s="166" t="str">
        <f>IF($A1034&gt;MIN($A$10,$A$2),"",IF($A1034&lt;50,"n.a.",IF(COUNT(INDEX(StockDaily[Adjusted close],MAX(1,$A1034-50+1)):E1034)=50,AVERAGE(INDEX(StockDaily[Adjusted close],MAX(1,$A1034-50+1)):E1034),"n.a.")))</f>
        <v/>
      </c>
      <c r="G1034" s="166" t="str">
        <f>IF($A1034&gt;MIN($A$10,$A$2),"",IF($A1034&lt;200,"n.a.",IF(COUNT(INDEX(StockDaily[Adjusted close],MAX(1,$A1034-200+1)):E1034)=200,AVERAGE(INDEX(StockDaily[Adjusted close],MAX(1,$A1034-200+1)):E1034),"n.a.")))</f>
        <v/>
      </c>
      <c r="H1034" s="136" t="str">
        <f>IF($A1034&gt;MIN($A$10,$A$2),"",IF($A$5="","Choose stock",IF(NOT($A$12),"Check split rule",IF(NOT(ISNUMBER(B1034)),"Invalid date",IF(OR(B1034&lt;=0,B1034&lt;&gt;INT(B1034)),"Invalid date",IF(COUNTIFS(DemoHistory[Date],B1034)&lt;&gt;1,"Duplicate date",IF(AND($A1034&gt;1,B1034&lt;=B1033),"Dates out of order",IF(NOT(ISNUMBER(C1034)),"Missing price",IF(C1034&lt;=0,"Nonpositive price","OK")))))))))</f>
        <v/>
      </c>
      <c r="I1034" s="136"/>
      <c r="J1034" s="136"/>
      <c r="K1034" s="136"/>
      <c r="L1034" s="136"/>
      <c r="M1034" s="136"/>
      <c r="N1034" s="136" t="e">
        <f t="shared" si="46"/>
        <v>#N/A</v>
      </c>
      <c r="O1034" s="136" t="e">
        <f t="shared" si="47"/>
        <v>#N/A</v>
      </c>
    </row>
    <row r="1035" spans="1:15" ht="22" customHeight="1" x14ac:dyDescent="0.35">
      <c r="A1035" s="136">
        <v>991</v>
      </c>
      <c r="B1035" s="165" t="str">
        <f>IF($A1035&gt;MIN($A$10,$A$2),"",INDEX(DemoHistory[Date],$A1035))</f>
        <v/>
      </c>
      <c r="C1035" s="166" t="str">
        <f>IF(OR($A1035&gt;MIN($A$10,$A$2),$A$5=""),"",INDEX(DemoHistory[],$A1035,MATCH($A$5,DemoHistory[#Headers],0)))</f>
        <v/>
      </c>
      <c r="D1035" s="166" t="str">
        <f>IF($A1035&gt;MIN($A$10,$A$2),"",IF(AND($A$12,$A$6=1,B1035&lt;$A$7,$A$7&lt;=MAX(DemoHistory[Date])),$A$8,1))</f>
        <v/>
      </c>
      <c r="E1035" s="166" t="str">
        <f t="shared" si="45"/>
        <v/>
      </c>
      <c r="F1035" s="166" t="str">
        <f>IF($A1035&gt;MIN($A$10,$A$2),"",IF($A1035&lt;50,"n.a.",IF(COUNT(INDEX(StockDaily[Adjusted close],MAX(1,$A1035-50+1)):E1035)=50,AVERAGE(INDEX(StockDaily[Adjusted close],MAX(1,$A1035-50+1)):E1035),"n.a.")))</f>
        <v/>
      </c>
      <c r="G1035" s="166" t="str">
        <f>IF($A1035&gt;MIN($A$10,$A$2),"",IF($A1035&lt;200,"n.a.",IF(COUNT(INDEX(StockDaily[Adjusted close],MAX(1,$A1035-200+1)):E1035)=200,AVERAGE(INDEX(StockDaily[Adjusted close],MAX(1,$A1035-200+1)):E1035),"n.a.")))</f>
        <v/>
      </c>
      <c r="H1035" s="136" t="str">
        <f>IF($A1035&gt;MIN($A$10,$A$2),"",IF($A$5="","Choose stock",IF(NOT($A$12),"Check split rule",IF(NOT(ISNUMBER(B1035)),"Invalid date",IF(OR(B1035&lt;=0,B1035&lt;&gt;INT(B1035)),"Invalid date",IF(COUNTIFS(DemoHistory[Date],B1035)&lt;&gt;1,"Duplicate date",IF(AND($A1035&gt;1,B1035&lt;=B1034),"Dates out of order",IF(NOT(ISNUMBER(C1035)),"Missing price",IF(C1035&lt;=0,"Nonpositive price","OK")))))))))</f>
        <v/>
      </c>
      <c r="I1035" s="136"/>
      <c r="J1035" s="136"/>
      <c r="K1035" s="136"/>
      <c r="L1035" s="136"/>
      <c r="M1035" s="136"/>
      <c r="N1035" s="136" t="e">
        <f t="shared" si="46"/>
        <v>#N/A</v>
      </c>
      <c r="O1035" s="136" t="e">
        <f t="shared" si="47"/>
        <v>#N/A</v>
      </c>
    </row>
    <row r="1036" spans="1:15" ht="22" customHeight="1" x14ac:dyDescent="0.35">
      <c r="A1036" s="136">
        <v>992</v>
      </c>
      <c r="B1036" s="165" t="str">
        <f>IF($A1036&gt;MIN($A$10,$A$2),"",INDEX(DemoHistory[Date],$A1036))</f>
        <v/>
      </c>
      <c r="C1036" s="166" t="str">
        <f>IF(OR($A1036&gt;MIN($A$10,$A$2),$A$5=""),"",INDEX(DemoHistory[],$A1036,MATCH($A$5,DemoHistory[#Headers],0)))</f>
        <v/>
      </c>
      <c r="D1036" s="166" t="str">
        <f>IF($A1036&gt;MIN($A$10,$A$2),"",IF(AND($A$12,$A$6=1,B1036&lt;$A$7,$A$7&lt;=MAX(DemoHistory[Date])),$A$8,1))</f>
        <v/>
      </c>
      <c r="E1036" s="166" t="str">
        <f t="shared" si="45"/>
        <v/>
      </c>
      <c r="F1036" s="166" t="str">
        <f>IF($A1036&gt;MIN($A$10,$A$2),"",IF($A1036&lt;50,"n.a.",IF(COUNT(INDEX(StockDaily[Adjusted close],MAX(1,$A1036-50+1)):E1036)=50,AVERAGE(INDEX(StockDaily[Adjusted close],MAX(1,$A1036-50+1)):E1036),"n.a.")))</f>
        <v/>
      </c>
      <c r="G1036" s="166" t="str">
        <f>IF($A1036&gt;MIN($A$10,$A$2),"",IF($A1036&lt;200,"n.a.",IF(COUNT(INDEX(StockDaily[Adjusted close],MAX(1,$A1036-200+1)):E1036)=200,AVERAGE(INDEX(StockDaily[Adjusted close],MAX(1,$A1036-200+1)):E1036),"n.a.")))</f>
        <v/>
      </c>
      <c r="H1036" s="136" t="str">
        <f>IF($A1036&gt;MIN($A$10,$A$2),"",IF($A$5="","Choose stock",IF(NOT($A$12),"Check split rule",IF(NOT(ISNUMBER(B1036)),"Invalid date",IF(OR(B1036&lt;=0,B1036&lt;&gt;INT(B1036)),"Invalid date",IF(COUNTIFS(DemoHistory[Date],B1036)&lt;&gt;1,"Duplicate date",IF(AND($A1036&gt;1,B1036&lt;=B1035),"Dates out of order",IF(NOT(ISNUMBER(C1036)),"Missing price",IF(C1036&lt;=0,"Nonpositive price","OK")))))))))</f>
        <v/>
      </c>
      <c r="I1036" s="136"/>
      <c r="J1036" s="136"/>
      <c r="K1036" s="136"/>
      <c r="L1036" s="136"/>
      <c r="M1036" s="136"/>
      <c r="N1036" s="136" t="e">
        <f t="shared" si="46"/>
        <v>#N/A</v>
      </c>
      <c r="O1036" s="136" t="e">
        <f t="shared" si="47"/>
        <v>#N/A</v>
      </c>
    </row>
    <row r="1037" spans="1:15" ht="22" customHeight="1" x14ac:dyDescent="0.35">
      <c r="A1037" s="136">
        <v>993</v>
      </c>
      <c r="B1037" s="165" t="str">
        <f>IF($A1037&gt;MIN($A$10,$A$2),"",INDEX(DemoHistory[Date],$A1037))</f>
        <v/>
      </c>
      <c r="C1037" s="166" t="str">
        <f>IF(OR($A1037&gt;MIN($A$10,$A$2),$A$5=""),"",INDEX(DemoHistory[],$A1037,MATCH($A$5,DemoHistory[#Headers],0)))</f>
        <v/>
      </c>
      <c r="D1037" s="166" t="str">
        <f>IF($A1037&gt;MIN($A$10,$A$2),"",IF(AND($A$12,$A$6=1,B1037&lt;$A$7,$A$7&lt;=MAX(DemoHistory[Date])),$A$8,1))</f>
        <v/>
      </c>
      <c r="E1037" s="166" t="str">
        <f t="shared" si="45"/>
        <v/>
      </c>
      <c r="F1037" s="166" t="str">
        <f>IF($A1037&gt;MIN($A$10,$A$2),"",IF($A1037&lt;50,"n.a.",IF(COUNT(INDEX(StockDaily[Adjusted close],MAX(1,$A1037-50+1)):E1037)=50,AVERAGE(INDEX(StockDaily[Adjusted close],MAX(1,$A1037-50+1)):E1037),"n.a.")))</f>
        <v/>
      </c>
      <c r="G1037" s="166" t="str">
        <f>IF($A1037&gt;MIN($A$10,$A$2),"",IF($A1037&lt;200,"n.a.",IF(COUNT(INDEX(StockDaily[Adjusted close],MAX(1,$A1037-200+1)):E1037)=200,AVERAGE(INDEX(StockDaily[Adjusted close],MAX(1,$A1037-200+1)):E1037),"n.a.")))</f>
        <v/>
      </c>
      <c r="H1037" s="136" t="str">
        <f>IF($A1037&gt;MIN($A$10,$A$2),"",IF($A$5="","Choose stock",IF(NOT($A$12),"Check split rule",IF(NOT(ISNUMBER(B1037)),"Invalid date",IF(OR(B1037&lt;=0,B1037&lt;&gt;INT(B1037)),"Invalid date",IF(COUNTIFS(DemoHistory[Date],B1037)&lt;&gt;1,"Duplicate date",IF(AND($A1037&gt;1,B1037&lt;=B1036),"Dates out of order",IF(NOT(ISNUMBER(C1037)),"Missing price",IF(C1037&lt;=0,"Nonpositive price","OK")))))))))</f>
        <v/>
      </c>
      <c r="I1037" s="136"/>
      <c r="J1037" s="136"/>
      <c r="K1037" s="136"/>
      <c r="L1037" s="136"/>
      <c r="M1037" s="136"/>
      <c r="N1037" s="136" t="e">
        <f t="shared" si="46"/>
        <v>#N/A</v>
      </c>
      <c r="O1037" s="136" t="e">
        <f t="shared" si="47"/>
        <v>#N/A</v>
      </c>
    </row>
    <row r="1038" spans="1:15" ht="22" customHeight="1" x14ac:dyDescent="0.35">
      <c r="A1038" s="136">
        <v>994</v>
      </c>
      <c r="B1038" s="165" t="str">
        <f>IF($A1038&gt;MIN($A$10,$A$2),"",INDEX(DemoHistory[Date],$A1038))</f>
        <v/>
      </c>
      <c r="C1038" s="166" t="str">
        <f>IF(OR($A1038&gt;MIN($A$10,$A$2),$A$5=""),"",INDEX(DemoHistory[],$A1038,MATCH($A$5,DemoHistory[#Headers],0)))</f>
        <v/>
      </c>
      <c r="D1038" s="166" t="str">
        <f>IF($A1038&gt;MIN($A$10,$A$2),"",IF(AND($A$12,$A$6=1,B1038&lt;$A$7,$A$7&lt;=MAX(DemoHistory[Date])),$A$8,1))</f>
        <v/>
      </c>
      <c r="E1038" s="166" t="str">
        <f t="shared" si="45"/>
        <v/>
      </c>
      <c r="F1038" s="166" t="str">
        <f>IF($A1038&gt;MIN($A$10,$A$2),"",IF($A1038&lt;50,"n.a.",IF(COUNT(INDEX(StockDaily[Adjusted close],MAX(1,$A1038-50+1)):E1038)=50,AVERAGE(INDEX(StockDaily[Adjusted close],MAX(1,$A1038-50+1)):E1038),"n.a.")))</f>
        <v/>
      </c>
      <c r="G1038" s="166" t="str">
        <f>IF($A1038&gt;MIN($A$10,$A$2),"",IF($A1038&lt;200,"n.a.",IF(COUNT(INDEX(StockDaily[Adjusted close],MAX(1,$A1038-200+1)):E1038)=200,AVERAGE(INDEX(StockDaily[Adjusted close],MAX(1,$A1038-200+1)):E1038),"n.a.")))</f>
        <v/>
      </c>
      <c r="H1038" s="136" t="str">
        <f>IF($A1038&gt;MIN($A$10,$A$2),"",IF($A$5="","Choose stock",IF(NOT($A$12),"Check split rule",IF(NOT(ISNUMBER(B1038)),"Invalid date",IF(OR(B1038&lt;=0,B1038&lt;&gt;INT(B1038)),"Invalid date",IF(COUNTIFS(DemoHistory[Date],B1038)&lt;&gt;1,"Duplicate date",IF(AND($A1038&gt;1,B1038&lt;=B1037),"Dates out of order",IF(NOT(ISNUMBER(C1038)),"Missing price",IF(C1038&lt;=0,"Nonpositive price","OK")))))))))</f>
        <v/>
      </c>
      <c r="I1038" s="136"/>
      <c r="J1038" s="136"/>
      <c r="K1038" s="136"/>
      <c r="L1038" s="136"/>
      <c r="M1038" s="136"/>
      <c r="N1038" s="136" t="e">
        <f t="shared" si="46"/>
        <v>#N/A</v>
      </c>
      <c r="O1038" s="136" t="e">
        <f t="shared" si="47"/>
        <v>#N/A</v>
      </c>
    </row>
    <row r="1039" spans="1:15" ht="22" customHeight="1" x14ac:dyDescent="0.35">
      <c r="A1039" s="136">
        <v>995</v>
      </c>
      <c r="B1039" s="165" t="str">
        <f>IF($A1039&gt;MIN($A$10,$A$2),"",INDEX(DemoHistory[Date],$A1039))</f>
        <v/>
      </c>
      <c r="C1039" s="166" t="str">
        <f>IF(OR($A1039&gt;MIN($A$10,$A$2),$A$5=""),"",INDEX(DemoHistory[],$A1039,MATCH($A$5,DemoHistory[#Headers],0)))</f>
        <v/>
      </c>
      <c r="D1039" s="166" t="str">
        <f>IF($A1039&gt;MIN($A$10,$A$2),"",IF(AND($A$12,$A$6=1,B1039&lt;$A$7,$A$7&lt;=MAX(DemoHistory[Date])),$A$8,1))</f>
        <v/>
      </c>
      <c r="E1039" s="166" t="str">
        <f t="shared" si="45"/>
        <v/>
      </c>
      <c r="F1039" s="166" t="str">
        <f>IF($A1039&gt;MIN($A$10,$A$2),"",IF($A1039&lt;50,"n.a.",IF(COUNT(INDEX(StockDaily[Adjusted close],MAX(1,$A1039-50+1)):E1039)=50,AVERAGE(INDEX(StockDaily[Adjusted close],MAX(1,$A1039-50+1)):E1039),"n.a.")))</f>
        <v/>
      </c>
      <c r="G1039" s="166" t="str">
        <f>IF($A1039&gt;MIN($A$10,$A$2),"",IF($A1039&lt;200,"n.a.",IF(COUNT(INDEX(StockDaily[Adjusted close],MAX(1,$A1039-200+1)):E1039)=200,AVERAGE(INDEX(StockDaily[Adjusted close],MAX(1,$A1039-200+1)):E1039),"n.a.")))</f>
        <v/>
      </c>
      <c r="H1039" s="136" t="str">
        <f>IF($A1039&gt;MIN($A$10,$A$2),"",IF($A$5="","Choose stock",IF(NOT($A$12),"Check split rule",IF(NOT(ISNUMBER(B1039)),"Invalid date",IF(OR(B1039&lt;=0,B1039&lt;&gt;INT(B1039)),"Invalid date",IF(COUNTIFS(DemoHistory[Date],B1039)&lt;&gt;1,"Duplicate date",IF(AND($A1039&gt;1,B1039&lt;=B1038),"Dates out of order",IF(NOT(ISNUMBER(C1039)),"Missing price",IF(C1039&lt;=0,"Nonpositive price","OK")))))))))</f>
        <v/>
      </c>
      <c r="I1039" s="136"/>
      <c r="J1039" s="136"/>
      <c r="K1039" s="136"/>
      <c r="L1039" s="136"/>
      <c r="M1039" s="136"/>
      <c r="N1039" s="136" t="e">
        <f t="shared" si="46"/>
        <v>#N/A</v>
      </c>
      <c r="O1039" s="136" t="e">
        <f t="shared" si="47"/>
        <v>#N/A</v>
      </c>
    </row>
    <row r="1040" spans="1:15" ht="22" customHeight="1" x14ac:dyDescent="0.35">
      <c r="A1040" s="136">
        <v>996</v>
      </c>
      <c r="B1040" s="165" t="str">
        <f>IF($A1040&gt;MIN($A$10,$A$2),"",INDEX(DemoHistory[Date],$A1040))</f>
        <v/>
      </c>
      <c r="C1040" s="166" t="str">
        <f>IF(OR($A1040&gt;MIN($A$10,$A$2),$A$5=""),"",INDEX(DemoHistory[],$A1040,MATCH($A$5,DemoHistory[#Headers],0)))</f>
        <v/>
      </c>
      <c r="D1040" s="166" t="str">
        <f>IF($A1040&gt;MIN($A$10,$A$2),"",IF(AND($A$12,$A$6=1,B1040&lt;$A$7,$A$7&lt;=MAX(DemoHistory[Date])),$A$8,1))</f>
        <v/>
      </c>
      <c r="E1040" s="166" t="str">
        <f t="shared" si="45"/>
        <v/>
      </c>
      <c r="F1040" s="166" t="str">
        <f>IF($A1040&gt;MIN($A$10,$A$2),"",IF($A1040&lt;50,"n.a.",IF(COUNT(INDEX(StockDaily[Adjusted close],MAX(1,$A1040-50+1)):E1040)=50,AVERAGE(INDEX(StockDaily[Adjusted close],MAX(1,$A1040-50+1)):E1040),"n.a.")))</f>
        <v/>
      </c>
      <c r="G1040" s="166" t="str">
        <f>IF($A1040&gt;MIN($A$10,$A$2),"",IF($A1040&lt;200,"n.a.",IF(COUNT(INDEX(StockDaily[Adjusted close],MAX(1,$A1040-200+1)):E1040)=200,AVERAGE(INDEX(StockDaily[Adjusted close],MAX(1,$A1040-200+1)):E1040),"n.a.")))</f>
        <v/>
      </c>
      <c r="H1040" s="136" t="str">
        <f>IF($A1040&gt;MIN($A$10,$A$2),"",IF($A$5="","Choose stock",IF(NOT($A$12),"Check split rule",IF(NOT(ISNUMBER(B1040)),"Invalid date",IF(OR(B1040&lt;=0,B1040&lt;&gt;INT(B1040)),"Invalid date",IF(COUNTIFS(DemoHistory[Date],B1040)&lt;&gt;1,"Duplicate date",IF(AND($A1040&gt;1,B1040&lt;=B1039),"Dates out of order",IF(NOT(ISNUMBER(C1040)),"Missing price",IF(C1040&lt;=0,"Nonpositive price","OK")))))))))</f>
        <v/>
      </c>
      <c r="I1040" s="136"/>
      <c r="J1040" s="136"/>
      <c r="K1040" s="136"/>
      <c r="L1040" s="136"/>
      <c r="M1040" s="136"/>
      <c r="N1040" s="136" t="e">
        <f t="shared" si="46"/>
        <v>#N/A</v>
      </c>
      <c r="O1040" s="136" t="e">
        <f t="shared" si="47"/>
        <v>#N/A</v>
      </c>
    </row>
    <row r="1041" spans="1:15" ht="22" customHeight="1" x14ac:dyDescent="0.35">
      <c r="A1041" s="136">
        <v>997</v>
      </c>
      <c r="B1041" s="165" t="str">
        <f>IF($A1041&gt;MIN($A$10,$A$2),"",INDEX(DemoHistory[Date],$A1041))</f>
        <v/>
      </c>
      <c r="C1041" s="166" t="str">
        <f>IF(OR($A1041&gt;MIN($A$10,$A$2),$A$5=""),"",INDEX(DemoHistory[],$A1041,MATCH($A$5,DemoHistory[#Headers],0)))</f>
        <v/>
      </c>
      <c r="D1041" s="166" t="str">
        <f>IF($A1041&gt;MIN($A$10,$A$2),"",IF(AND($A$12,$A$6=1,B1041&lt;$A$7,$A$7&lt;=MAX(DemoHistory[Date])),$A$8,1))</f>
        <v/>
      </c>
      <c r="E1041" s="166" t="str">
        <f t="shared" si="45"/>
        <v/>
      </c>
      <c r="F1041" s="166" t="str">
        <f>IF($A1041&gt;MIN($A$10,$A$2),"",IF($A1041&lt;50,"n.a.",IF(COUNT(INDEX(StockDaily[Adjusted close],MAX(1,$A1041-50+1)):E1041)=50,AVERAGE(INDEX(StockDaily[Adjusted close],MAX(1,$A1041-50+1)):E1041),"n.a.")))</f>
        <v/>
      </c>
      <c r="G1041" s="166" t="str">
        <f>IF($A1041&gt;MIN($A$10,$A$2),"",IF($A1041&lt;200,"n.a.",IF(COUNT(INDEX(StockDaily[Adjusted close],MAX(1,$A1041-200+1)):E1041)=200,AVERAGE(INDEX(StockDaily[Adjusted close],MAX(1,$A1041-200+1)):E1041),"n.a.")))</f>
        <v/>
      </c>
      <c r="H1041" s="136" t="str">
        <f>IF($A1041&gt;MIN($A$10,$A$2),"",IF($A$5="","Choose stock",IF(NOT($A$12),"Check split rule",IF(NOT(ISNUMBER(B1041)),"Invalid date",IF(OR(B1041&lt;=0,B1041&lt;&gt;INT(B1041)),"Invalid date",IF(COUNTIFS(DemoHistory[Date],B1041)&lt;&gt;1,"Duplicate date",IF(AND($A1041&gt;1,B1041&lt;=B1040),"Dates out of order",IF(NOT(ISNUMBER(C1041)),"Missing price",IF(C1041&lt;=0,"Nonpositive price","OK")))))))))</f>
        <v/>
      </c>
      <c r="I1041" s="136"/>
      <c r="J1041" s="136"/>
      <c r="K1041" s="136"/>
      <c r="L1041" s="136"/>
      <c r="M1041" s="136"/>
      <c r="N1041" s="136" t="e">
        <f t="shared" si="46"/>
        <v>#N/A</v>
      </c>
      <c r="O1041" s="136" t="e">
        <f t="shared" si="47"/>
        <v>#N/A</v>
      </c>
    </row>
    <row r="1042" spans="1:15" ht="22" customHeight="1" x14ac:dyDescent="0.35">
      <c r="A1042" s="136">
        <v>998</v>
      </c>
      <c r="B1042" s="165" t="str">
        <f>IF($A1042&gt;MIN($A$10,$A$2),"",INDEX(DemoHistory[Date],$A1042))</f>
        <v/>
      </c>
      <c r="C1042" s="166" t="str">
        <f>IF(OR($A1042&gt;MIN($A$10,$A$2),$A$5=""),"",INDEX(DemoHistory[],$A1042,MATCH($A$5,DemoHistory[#Headers],0)))</f>
        <v/>
      </c>
      <c r="D1042" s="166" t="str">
        <f>IF($A1042&gt;MIN($A$10,$A$2),"",IF(AND($A$12,$A$6=1,B1042&lt;$A$7,$A$7&lt;=MAX(DemoHistory[Date])),$A$8,1))</f>
        <v/>
      </c>
      <c r="E1042" s="166" t="str">
        <f t="shared" si="45"/>
        <v/>
      </c>
      <c r="F1042" s="166" t="str">
        <f>IF($A1042&gt;MIN($A$10,$A$2),"",IF($A1042&lt;50,"n.a.",IF(COUNT(INDEX(StockDaily[Adjusted close],MAX(1,$A1042-50+1)):E1042)=50,AVERAGE(INDEX(StockDaily[Adjusted close],MAX(1,$A1042-50+1)):E1042),"n.a.")))</f>
        <v/>
      </c>
      <c r="G1042" s="166" t="str">
        <f>IF($A1042&gt;MIN($A$10,$A$2),"",IF($A1042&lt;200,"n.a.",IF(COUNT(INDEX(StockDaily[Adjusted close],MAX(1,$A1042-200+1)):E1042)=200,AVERAGE(INDEX(StockDaily[Adjusted close],MAX(1,$A1042-200+1)):E1042),"n.a.")))</f>
        <v/>
      </c>
      <c r="H1042" s="136" t="str">
        <f>IF($A1042&gt;MIN($A$10,$A$2),"",IF($A$5="","Choose stock",IF(NOT($A$12),"Check split rule",IF(NOT(ISNUMBER(B1042)),"Invalid date",IF(OR(B1042&lt;=0,B1042&lt;&gt;INT(B1042)),"Invalid date",IF(COUNTIFS(DemoHistory[Date],B1042)&lt;&gt;1,"Duplicate date",IF(AND($A1042&gt;1,B1042&lt;=B1041),"Dates out of order",IF(NOT(ISNUMBER(C1042)),"Missing price",IF(C1042&lt;=0,"Nonpositive price","OK")))))))))</f>
        <v/>
      </c>
      <c r="I1042" s="136"/>
      <c r="J1042" s="136"/>
      <c r="K1042" s="136"/>
      <c r="L1042" s="136"/>
      <c r="M1042" s="136"/>
      <c r="N1042" s="136" t="e">
        <f t="shared" si="46"/>
        <v>#N/A</v>
      </c>
      <c r="O1042" s="136" t="e">
        <f t="shared" si="47"/>
        <v>#N/A</v>
      </c>
    </row>
    <row r="1043" spans="1:15" ht="22" customHeight="1" x14ac:dyDescent="0.35">
      <c r="A1043" s="136">
        <v>999</v>
      </c>
      <c r="B1043" s="165" t="str">
        <f>IF($A1043&gt;MIN($A$10,$A$2),"",INDEX(DemoHistory[Date],$A1043))</f>
        <v/>
      </c>
      <c r="C1043" s="166" t="str">
        <f>IF(OR($A1043&gt;MIN($A$10,$A$2),$A$5=""),"",INDEX(DemoHistory[],$A1043,MATCH($A$5,DemoHistory[#Headers],0)))</f>
        <v/>
      </c>
      <c r="D1043" s="166" t="str">
        <f>IF($A1043&gt;MIN($A$10,$A$2),"",IF(AND($A$12,$A$6=1,B1043&lt;$A$7,$A$7&lt;=MAX(DemoHistory[Date])),$A$8,1))</f>
        <v/>
      </c>
      <c r="E1043" s="166" t="str">
        <f t="shared" si="45"/>
        <v/>
      </c>
      <c r="F1043" s="166" t="str">
        <f>IF($A1043&gt;MIN($A$10,$A$2),"",IF($A1043&lt;50,"n.a.",IF(COUNT(INDEX(StockDaily[Adjusted close],MAX(1,$A1043-50+1)):E1043)=50,AVERAGE(INDEX(StockDaily[Adjusted close],MAX(1,$A1043-50+1)):E1043),"n.a.")))</f>
        <v/>
      </c>
      <c r="G1043" s="166" t="str">
        <f>IF($A1043&gt;MIN($A$10,$A$2),"",IF($A1043&lt;200,"n.a.",IF(COUNT(INDEX(StockDaily[Adjusted close],MAX(1,$A1043-200+1)):E1043)=200,AVERAGE(INDEX(StockDaily[Adjusted close],MAX(1,$A1043-200+1)):E1043),"n.a.")))</f>
        <v/>
      </c>
      <c r="H1043" s="136" t="str">
        <f>IF($A1043&gt;MIN($A$10,$A$2),"",IF($A$5="","Choose stock",IF(NOT($A$12),"Check split rule",IF(NOT(ISNUMBER(B1043)),"Invalid date",IF(OR(B1043&lt;=0,B1043&lt;&gt;INT(B1043)),"Invalid date",IF(COUNTIFS(DemoHistory[Date],B1043)&lt;&gt;1,"Duplicate date",IF(AND($A1043&gt;1,B1043&lt;=B1042),"Dates out of order",IF(NOT(ISNUMBER(C1043)),"Missing price",IF(C1043&lt;=0,"Nonpositive price","OK")))))))))</f>
        <v/>
      </c>
      <c r="I1043" s="136"/>
      <c r="J1043" s="136"/>
      <c r="K1043" s="136"/>
      <c r="L1043" s="136"/>
      <c r="M1043" s="136"/>
      <c r="N1043" s="136" t="e">
        <f t="shared" si="46"/>
        <v>#N/A</v>
      </c>
      <c r="O1043" s="136" t="e">
        <f t="shared" si="47"/>
        <v>#N/A</v>
      </c>
    </row>
    <row r="1044" spans="1:15" ht="22" customHeight="1" x14ac:dyDescent="0.35">
      <c r="A1044" s="136">
        <v>1000</v>
      </c>
      <c r="B1044" s="165" t="str">
        <f>IF($A1044&gt;MIN($A$10,$A$2),"",INDEX(DemoHistory[Date],$A1044))</f>
        <v/>
      </c>
      <c r="C1044" s="166" t="str">
        <f>IF(OR($A1044&gt;MIN($A$10,$A$2),$A$5=""),"",INDEX(DemoHistory[],$A1044,MATCH($A$5,DemoHistory[#Headers],0)))</f>
        <v/>
      </c>
      <c r="D1044" s="166" t="str">
        <f>IF($A1044&gt;MIN($A$10,$A$2),"",IF(AND($A$12,$A$6=1,B1044&lt;$A$7,$A$7&lt;=MAX(DemoHistory[Date])),$A$8,1))</f>
        <v/>
      </c>
      <c r="E1044" s="166" t="str">
        <f t="shared" si="45"/>
        <v/>
      </c>
      <c r="F1044" s="166" t="str">
        <f>IF($A1044&gt;MIN($A$10,$A$2),"",IF($A1044&lt;50,"n.a.",IF(COUNT(INDEX(StockDaily[Adjusted close],MAX(1,$A1044-50+1)):E1044)=50,AVERAGE(INDEX(StockDaily[Adjusted close],MAX(1,$A1044-50+1)):E1044),"n.a.")))</f>
        <v/>
      </c>
      <c r="G1044" s="166" t="str">
        <f>IF($A1044&gt;MIN($A$10,$A$2),"",IF($A1044&lt;200,"n.a.",IF(COUNT(INDEX(StockDaily[Adjusted close],MAX(1,$A1044-200+1)):E1044)=200,AVERAGE(INDEX(StockDaily[Adjusted close],MAX(1,$A1044-200+1)):E1044),"n.a.")))</f>
        <v/>
      </c>
      <c r="H1044" s="136" t="str">
        <f>IF($A1044&gt;MIN($A$10,$A$2),"",IF($A$5="","Choose stock",IF(NOT($A$12),"Check split rule",IF(NOT(ISNUMBER(B1044)),"Invalid date",IF(OR(B1044&lt;=0,B1044&lt;&gt;INT(B1044)),"Invalid date",IF(COUNTIFS(DemoHistory[Date],B1044)&lt;&gt;1,"Duplicate date",IF(AND($A1044&gt;1,B1044&lt;=B1043),"Dates out of order",IF(NOT(ISNUMBER(C1044)),"Missing price",IF(C1044&lt;=0,"Nonpositive price","OK")))))))))</f>
        <v/>
      </c>
      <c r="I1044" s="136"/>
      <c r="J1044" s="136"/>
      <c r="K1044" s="136"/>
      <c r="L1044" s="136"/>
      <c r="M1044" s="136"/>
      <c r="N1044" s="136" t="e">
        <f t="shared" si="46"/>
        <v>#N/A</v>
      </c>
      <c r="O1044" s="136" t="e">
        <f t="shared" si="47"/>
        <v>#N/A</v>
      </c>
    </row>
  </sheetData>
  <mergeCells count="22">
    <mergeCell ref="B17:L17"/>
    <mergeCell ref="D5:H5"/>
    <mergeCell ref="K5:L5"/>
    <mergeCell ref="B6:L6"/>
    <mergeCell ref="B9:E9"/>
    <mergeCell ref="F9:I9"/>
    <mergeCell ref="J9:L9"/>
    <mergeCell ref="B11:L11"/>
    <mergeCell ref="B12:L12"/>
    <mergeCell ref="B15:E15"/>
    <mergeCell ref="F15:I15"/>
    <mergeCell ref="J15:L15"/>
    <mergeCell ref="B41:L41"/>
    <mergeCell ref="J48:L51"/>
    <mergeCell ref="J52:L55"/>
    <mergeCell ref="J56:L59"/>
    <mergeCell ref="D20:E20"/>
    <mergeCell ref="K20:L20"/>
    <mergeCell ref="D21:E21"/>
    <mergeCell ref="K21:L21"/>
    <mergeCell ref="B22:L22"/>
    <mergeCell ref="B23:L23"/>
  </mergeCells>
  <conditionalFormatting sqref="B17:L17">
    <cfRule type="expression" dxfId="64" priority="1" stopIfTrue="1">
      <formula>$A$13&lt;&gt;"Ready"</formula>
    </cfRule>
  </conditionalFormatting>
  <dataValidations count="2">
    <dataValidation type="list" allowBlank="1" showInputMessage="1" showErrorMessage="1" sqref="D5" xr:uid="{5CA37363-150A-4E80-8535-DB421EB8DB51}">
      <formula1>PlanStockNames</formula1>
    </dataValidation>
    <dataValidation type="list" allowBlank="1" showInputMessage="1" showErrorMessage="1" sqref="K5" xr:uid="{9FD86A11-3EEF-410A-879F-3899CA00C5AC}">
      <formula1>"All closes,63 closes,21 closes"</formula1>
    </dataValidation>
  </dataValidations>
  <hyperlinks>
    <hyperlink ref="B3" location="'Watchlist'!B2" tooltip="Watchlist" display="Watchlist" xr:uid="{600443EF-20B2-4F21-8C79-7B20DC725D63}"/>
    <hyperlink ref="E3" location="'Trade plan'!B2" tooltip="Trade plan" display="Trade plan" xr:uid="{18A85DD8-6EFE-48CF-BCEB-441E0BB16E5E}"/>
    <hyperlink ref="H3" location="'Holdings'!B2" tooltip="Holdings" display="Holdings" xr:uid="{062FE3ED-3F29-4D7E-BE72-6C7A4C3E17D0}"/>
    <hyperlink ref="K3" location="'Help'!B2" tooltip="Help" display="Help" xr:uid="{7A63D79C-4963-4510-891B-8600DAAF965D}"/>
    <hyperlink ref="J3" location="'Headlines'!B2" tooltip="Headlines" display="Headlines" xr:uid="{152B0E7C-83DC-4B67-9461-D23C58EE9045}"/>
  </hyperlinks>
  <pageMargins left="0.27777777777777779" right="0.27777777777777779" top="0.27777777777777779" bottom="0.27777777777777779" header="0.3" footer="0.3"/>
  <pageSetup paperSize="8" scale="84" orientation="landscape" r:id="rId1"/>
  <drawing r:id="rId2"/>
  <tableParts count="2">
    <tablePart r:id="rId3"/>
    <tablePart r:id="rId4"/>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01315-71A9-48A9-9C7B-A49DB2DC4D56}">
  <sheetPr>
    <tabColor rgb="FF6CCAD9"/>
    <pageSetUpPr fitToPage="1"/>
  </sheetPr>
  <dimension ref="A1:I51"/>
  <sheetViews>
    <sheetView showGridLines="0" topLeftCell="B1" zoomScale="85" zoomScaleNormal="85" workbookViewId="0">
      <pane ySplit="3" topLeftCell="A4" activePane="bottomLeft" state="frozenSplit"/>
      <selection activeCell="B1" sqref="B1"/>
      <selection pane="bottomLeft"/>
    </sheetView>
  </sheetViews>
  <sheetFormatPr defaultRowHeight="14.5" x14ac:dyDescent="0.35"/>
  <cols>
    <col min="1" max="1" width="3" hidden="1" customWidth="1"/>
    <col min="2" max="2" width="25" customWidth="1"/>
    <col min="3" max="3" width="12" customWidth="1"/>
    <col min="4" max="5" width="13" customWidth="1"/>
    <col min="6" max="7" width="15" customWidth="1"/>
    <col min="8" max="8" width="29" customWidth="1"/>
    <col min="9" max="9" width="25" customWidth="1"/>
  </cols>
  <sheetData>
    <row r="1" spans="1:9" ht="23" customHeight="1" x14ac:dyDescent="0.35">
      <c r="A1" s="136"/>
      <c r="B1" s="137"/>
      <c r="C1" s="137"/>
      <c r="D1" s="137"/>
      <c r="E1" s="137"/>
      <c r="F1" s="137"/>
      <c r="G1" s="137"/>
      <c r="H1" s="137"/>
      <c r="I1" s="137"/>
    </row>
    <row r="2" spans="1:9" ht="23" customHeight="1" x14ac:dyDescent="0.35">
      <c r="A2" s="136"/>
      <c r="B2" s="138" t="s">
        <v>323</v>
      </c>
      <c r="C2" s="137"/>
      <c r="D2" s="137"/>
      <c r="E2" s="137"/>
      <c r="F2" s="137"/>
      <c r="G2" s="137"/>
      <c r="H2" s="137"/>
      <c r="I2" s="137"/>
    </row>
    <row r="3" spans="1:9" ht="23" customHeight="1" x14ac:dyDescent="0.35">
      <c r="A3" s="136"/>
      <c r="B3" s="161" t="s">
        <v>320</v>
      </c>
      <c r="C3" s="137"/>
      <c r="D3" s="161" t="s">
        <v>317</v>
      </c>
      <c r="E3" s="137"/>
      <c r="F3" s="161" t="s">
        <v>318</v>
      </c>
      <c r="G3" s="137"/>
      <c r="H3" s="161" t="s">
        <v>319</v>
      </c>
      <c r="I3" s="161" t="s">
        <v>369</v>
      </c>
    </row>
    <row r="4" spans="1:9" ht="23" customHeight="1" x14ac:dyDescent="0.35">
      <c r="A4" s="136"/>
      <c r="B4" s="136"/>
      <c r="C4" s="136"/>
      <c r="D4" s="136"/>
      <c r="E4" s="136"/>
      <c r="F4" s="136"/>
      <c r="G4" s="136"/>
      <c r="H4" s="136"/>
      <c r="I4" s="136"/>
    </row>
    <row r="5" spans="1:9" ht="27" customHeight="1" x14ac:dyDescent="0.35">
      <c r="A5" s="136" t="str">
        <f>IF(COUNTIFS(PlanInputs[Stock / ETF],D5)&lt;&gt;1,"",INDEX(PlanInputs[PlanID],MATCH(D5,PlanInputs[Stock / ETF],0)))</f>
        <v>PLAN-SYN_BANK</v>
      </c>
      <c r="B5" s="136" t="s">
        <v>324</v>
      </c>
      <c r="C5" s="136"/>
      <c r="D5" s="238" t="s">
        <v>47</v>
      </c>
      <c r="E5" s="238"/>
      <c r="F5" s="238"/>
      <c r="G5" s="238"/>
      <c r="H5" s="136"/>
      <c r="I5" s="136"/>
    </row>
    <row r="6" spans="1:9" ht="23" customHeight="1" x14ac:dyDescent="0.35">
      <c r="A6" s="136">
        <f>IF(COUNTIFS(PlanResults[PlanID],A5)&lt;&gt;1,0,MATCH(A5,PlanResults[PlanID],0))</f>
        <v>1</v>
      </c>
      <c r="B6" s="239" t="s">
        <v>325</v>
      </c>
      <c r="C6" s="239"/>
      <c r="D6" s="239"/>
      <c r="E6" s="239"/>
      <c r="F6" s="239"/>
      <c r="G6" s="239"/>
      <c r="H6" s="239"/>
      <c r="I6" s="239"/>
    </row>
    <row r="7" spans="1:9" ht="23" customHeight="1" x14ac:dyDescent="0.35">
      <c r="A7" s="136"/>
      <c r="B7" s="136"/>
      <c r="C7" s="136"/>
      <c r="D7" s="136"/>
      <c r="E7" s="136"/>
      <c r="F7" s="136"/>
      <c r="G7" s="136"/>
      <c r="H7" s="136"/>
      <c r="I7" s="136"/>
    </row>
    <row r="8" spans="1:9" ht="23" customHeight="1" x14ac:dyDescent="0.35">
      <c r="A8" s="136"/>
      <c r="B8" s="139" t="s">
        <v>326</v>
      </c>
      <c r="C8" s="136"/>
      <c r="D8" s="136"/>
      <c r="E8" s="139" t="s">
        <v>327</v>
      </c>
      <c r="F8" s="136"/>
      <c r="G8" s="136"/>
      <c r="H8" s="139" t="s">
        <v>328</v>
      </c>
      <c r="I8" s="136"/>
    </row>
    <row r="9" spans="1:9" ht="35" customHeight="1" x14ac:dyDescent="0.35">
      <c r="A9" s="136"/>
      <c r="B9" s="246">
        <f>IF($A$6=0,"Choose a stock",INDEX(PlanResults[Quantity],$A$6))</f>
        <v>36</v>
      </c>
      <c r="C9" s="247"/>
      <c r="D9" s="247"/>
      <c r="E9" s="248">
        <f>IF($A$6=0,"Choose a stock",INDEX(PlanResults[Cash needed],$A$6))</f>
        <v>19820</v>
      </c>
      <c r="F9" s="248"/>
      <c r="G9" s="248"/>
      <c r="H9" s="249">
        <f>IF($A$6=0,"Choose a stock",INDEX(PlanResults[Reward / risk],$A$6))</f>
        <v>1.8518518518518519</v>
      </c>
      <c r="I9" s="247"/>
    </row>
    <row r="10" spans="1:9" ht="23" customHeight="1" x14ac:dyDescent="0.35">
      <c r="A10" s="136"/>
      <c r="B10" s="136"/>
      <c r="C10" s="136"/>
      <c r="D10" s="136"/>
      <c r="E10" s="136"/>
      <c r="F10" s="136"/>
      <c r="G10" s="136"/>
      <c r="H10" s="136"/>
      <c r="I10" s="136"/>
    </row>
    <row r="11" spans="1:9" ht="23" customHeight="1" x14ac:dyDescent="0.35">
      <c r="A11" s="136"/>
      <c r="B11" s="139" t="s">
        <v>329</v>
      </c>
      <c r="C11" s="136"/>
      <c r="D11" s="136"/>
      <c r="E11" s="139" t="s">
        <v>330</v>
      </c>
      <c r="F11" s="136"/>
      <c r="G11" s="136"/>
      <c r="H11" s="139" t="s">
        <v>331</v>
      </c>
      <c r="I11" s="136"/>
    </row>
    <row r="12" spans="1:9" ht="35" customHeight="1" x14ac:dyDescent="0.35">
      <c r="A12" s="136"/>
      <c r="B12" s="248">
        <f>IF($A$6=0,"Choose a stock",INDEX(PlanResults[Loss at stop],$A$6))</f>
        <v>945</v>
      </c>
      <c r="C12" s="248"/>
      <c r="D12" s="248"/>
      <c r="E12" s="248">
        <f>IF($A$6=0,"Choose a stock",INDEX(PlanResults[Net target gain],$A$6))</f>
        <v>1750</v>
      </c>
      <c r="F12" s="248"/>
      <c r="G12" s="248"/>
      <c r="H12" s="248">
        <f>IF(COUNTIFS(WatchSettings[Instrument],SUBSTITUTE($A$5,"PLAN-",""))&lt;&gt;1,"n.a.",INDEX(WatchSettings[Price (INR)],MATCH(SUBSTITUTE($A$5,"PLAN-",""),WatchSettings[Instrument],0)))</f>
        <v>547.4307</v>
      </c>
      <c r="I12" s="248"/>
    </row>
    <row r="13" spans="1:9" ht="23" customHeight="1" x14ac:dyDescent="0.35">
      <c r="A13" s="136"/>
      <c r="B13" s="136"/>
      <c r="C13" s="136"/>
      <c r="D13" s="136"/>
      <c r="E13" s="136"/>
      <c r="F13" s="136"/>
      <c r="G13" s="136"/>
      <c r="H13" s="136"/>
      <c r="I13" s="136"/>
    </row>
    <row r="14" spans="1:9" ht="28" customHeight="1" x14ac:dyDescent="0.35">
      <c r="A14" s="136"/>
      <c r="B14" s="250" t="str">
        <f>IF($A$6=0,"Choose a stock",INDEX(PlanResults[Plan status],$A$6))</f>
        <v>Calculated draft</v>
      </c>
      <c r="C14" s="250"/>
      <c r="D14" s="250"/>
      <c r="E14" s="250"/>
      <c r="F14" s="250"/>
      <c r="G14" s="250"/>
      <c r="H14" s="250"/>
      <c r="I14" s="250"/>
    </row>
    <row r="15" spans="1:9" ht="28" customHeight="1" x14ac:dyDescent="0.35">
      <c r="A15" s="136"/>
      <c r="B15" s="232" t="str">
        <f ca="1">IF(COUNTIFS(WatchSettings[Instrument],SUBSTITUTE($A$5,"PLAN-",""))&lt;&gt;1,"No unique Watchlist quote",INDEX(WatchSettings[Status],MATCH(SUBSTITUTE($A$5,"PLAN-",""),WatchSettings[Instrument],0))&amp;". Market time: "&amp;IF(ISNUMBER(INDEX(WatchSettings[Price observed],MATCH(SUBSTITUTE($A$5,"PLAN-",""),WatchSettings[Instrument],0))),TEXT(INDEX(WatchSettings[Price observed],MATCH(SUBSTITUTE($A$5,"PLAN-",""),WatchSettings[Instrument],0)),"dd mmm yyyy hh:mm")&amp;" IST","unavailable")&amp;". Planned entry is entered separately below.")</f>
        <v>Demo price. Market time: 18 Sep 2026 15:30 IST. Planned entry is entered separately below.</v>
      </c>
      <c r="C15" s="232"/>
      <c r="D15" s="232"/>
      <c r="E15" s="232"/>
      <c r="F15" s="232"/>
      <c r="G15" s="232"/>
      <c r="H15" s="232"/>
      <c r="I15" s="232"/>
    </row>
    <row r="16" spans="1:9" ht="23" customHeight="1" x14ac:dyDescent="0.35">
      <c r="A16" s="136"/>
      <c r="B16" s="136"/>
      <c r="C16" s="136"/>
      <c r="D16" s="136"/>
      <c r="E16" s="136"/>
      <c r="F16" s="136"/>
      <c r="G16" s="136"/>
      <c r="H16" s="136"/>
      <c r="I16" s="136"/>
    </row>
    <row r="17" spans="1:9" ht="23" customHeight="1" x14ac:dyDescent="0.35">
      <c r="A17" s="136"/>
      <c r="B17" s="235" t="s">
        <v>332</v>
      </c>
      <c r="C17" s="235"/>
      <c r="D17" s="235"/>
      <c r="E17" s="235"/>
      <c r="F17" s="235"/>
      <c r="G17" s="235"/>
      <c r="H17" s="235"/>
      <c r="I17" s="235"/>
    </row>
    <row r="18" spans="1:9" ht="23" customHeight="1" x14ac:dyDescent="0.35">
      <c r="A18" s="136"/>
      <c r="B18" s="140" t="s">
        <v>333</v>
      </c>
      <c r="C18" s="136"/>
      <c r="D18" s="136"/>
      <c r="E18" s="136"/>
      <c r="F18" s="136"/>
      <c r="G18" s="136"/>
      <c r="H18" s="136"/>
      <c r="I18" s="136"/>
    </row>
    <row r="19" spans="1:9" ht="36" customHeight="1" x14ac:dyDescent="0.35">
      <c r="A19" s="136" t="s">
        <v>334</v>
      </c>
      <c r="B19" s="141" t="s">
        <v>255</v>
      </c>
      <c r="C19" s="141" t="s">
        <v>335</v>
      </c>
      <c r="D19" s="141" t="s">
        <v>336</v>
      </c>
      <c r="E19" s="141" t="s">
        <v>337</v>
      </c>
      <c r="F19" s="141" t="s">
        <v>338</v>
      </c>
      <c r="G19" s="141" t="s">
        <v>339</v>
      </c>
      <c r="H19" s="141" t="s">
        <v>340</v>
      </c>
      <c r="I19" s="141" t="s">
        <v>341</v>
      </c>
    </row>
    <row r="20" spans="1:9" ht="38" customHeight="1" x14ac:dyDescent="0.35">
      <c r="A20" s="136" t="s">
        <v>342</v>
      </c>
      <c r="B20" s="136" t="s">
        <v>47</v>
      </c>
      <c r="C20" s="151">
        <v>550</v>
      </c>
      <c r="D20" s="151">
        <v>525</v>
      </c>
      <c r="E20" s="151">
        <v>600</v>
      </c>
      <c r="F20" s="151">
        <v>2000</v>
      </c>
      <c r="G20" s="151">
        <v>20000</v>
      </c>
      <c r="H20" s="143" t="s">
        <v>343</v>
      </c>
      <c r="I20" s="144"/>
    </row>
    <row r="21" spans="1:9" ht="38" customHeight="1" x14ac:dyDescent="0.35">
      <c r="A21" s="136" t="s">
        <v>344</v>
      </c>
      <c r="B21" s="136" t="s">
        <v>50</v>
      </c>
      <c r="C21" s="151"/>
      <c r="D21" s="151"/>
      <c r="E21" s="151"/>
      <c r="F21" s="151"/>
      <c r="G21" s="151"/>
      <c r="H21" s="143"/>
      <c r="I21" s="144"/>
    </row>
    <row r="22" spans="1:9" ht="38" customHeight="1" x14ac:dyDescent="0.35">
      <c r="A22" s="136" t="s">
        <v>345</v>
      </c>
      <c r="B22" s="136" t="s">
        <v>53</v>
      </c>
      <c r="C22" s="151"/>
      <c r="D22" s="151"/>
      <c r="E22" s="151"/>
      <c r="F22" s="151"/>
      <c r="G22" s="151"/>
      <c r="H22" s="143"/>
      <c r="I22" s="144"/>
    </row>
    <row r="23" spans="1:9" ht="38" customHeight="1" x14ac:dyDescent="0.35">
      <c r="A23" s="136" t="s">
        <v>346</v>
      </c>
      <c r="B23" s="136" t="s">
        <v>56</v>
      </c>
      <c r="C23" s="151"/>
      <c r="D23" s="151"/>
      <c r="E23" s="151"/>
      <c r="F23" s="151"/>
      <c r="G23" s="151"/>
      <c r="H23" s="143"/>
      <c r="I23" s="144"/>
    </row>
    <row r="24" spans="1:9" ht="38" customHeight="1" x14ac:dyDescent="0.35">
      <c r="A24" s="136" t="s">
        <v>347</v>
      </c>
      <c r="B24" s="136" t="s">
        <v>59</v>
      </c>
      <c r="C24" s="151"/>
      <c r="D24" s="151"/>
      <c r="E24" s="151"/>
      <c r="F24" s="151"/>
      <c r="G24" s="151"/>
      <c r="H24" s="143"/>
      <c r="I24" s="144"/>
    </row>
    <row r="25" spans="1:9" ht="38" customHeight="1" x14ac:dyDescent="0.35">
      <c r="A25" s="136" t="s">
        <v>348</v>
      </c>
      <c r="B25" s="145" t="s">
        <v>62</v>
      </c>
      <c r="C25" s="152"/>
      <c r="D25" s="152"/>
      <c r="E25" s="152"/>
      <c r="F25" s="152"/>
      <c r="G25" s="152"/>
      <c r="H25" s="147"/>
      <c r="I25" s="148"/>
    </row>
    <row r="26" spans="1:9" ht="23" customHeight="1" x14ac:dyDescent="0.35">
      <c r="A26" s="136"/>
      <c r="B26" s="244" t="s">
        <v>349</v>
      </c>
      <c r="C26" s="244"/>
      <c r="D26" s="244"/>
      <c r="E26" s="244"/>
      <c r="F26" s="244"/>
      <c r="G26" s="244"/>
      <c r="H26" s="244"/>
      <c r="I26" s="244"/>
    </row>
    <row r="27" spans="1:9" ht="23" customHeight="1" x14ac:dyDescent="0.35">
      <c r="A27" s="136"/>
      <c r="B27" s="245" t="s">
        <v>350</v>
      </c>
      <c r="C27" s="245"/>
      <c r="D27" s="245"/>
      <c r="E27" s="245"/>
      <c r="F27" s="245"/>
      <c r="G27" s="245"/>
      <c r="H27" s="245"/>
      <c r="I27" s="245"/>
    </row>
    <row r="28" spans="1:9" ht="23" customHeight="1" x14ac:dyDescent="0.35">
      <c r="A28" s="136"/>
      <c r="B28" s="136"/>
      <c r="C28" s="136"/>
      <c r="D28" s="136"/>
      <c r="E28" s="136"/>
      <c r="F28" s="136"/>
      <c r="G28" s="136"/>
      <c r="H28" s="136"/>
      <c r="I28" s="136"/>
    </row>
    <row r="29" spans="1:9" ht="23" customHeight="1" x14ac:dyDescent="0.35">
      <c r="A29" s="136"/>
      <c r="B29" s="140" t="s">
        <v>351</v>
      </c>
      <c r="C29" s="136"/>
      <c r="D29" s="136"/>
      <c r="E29" s="136"/>
      <c r="F29" s="136"/>
      <c r="G29" s="136"/>
      <c r="H29" s="136"/>
      <c r="I29" s="136"/>
    </row>
    <row r="30" spans="1:9" ht="36" customHeight="1" x14ac:dyDescent="0.35">
      <c r="A30" s="136" t="s">
        <v>334</v>
      </c>
      <c r="B30" s="141" t="s">
        <v>255</v>
      </c>
      <c r="C30" s="141" t="s">
        <v>352</v>
      </c>
      <c r="D30" s="141" t="s">
        <v>353</v>
      </c>
      <c r="E30" s="141" t="s">
        <v>354</v>
      </c>
      <c r="F30" s="141" t="s">
        <v>355</v>
      </c>
      <c r="G30" s="141" t="s">
        <v>356</v>
      </c>
      <c r="H30" s="141" t="s">
        <v>357</v>
      </c>
      <c r="I30" s="141" t="s">
        <v>358</v>
      </c>
    </row>
    <row r="31" spans="1:9" ht="31" customHeight="1" x14ac:dyDescent="0.35">
      <c r="A31" s="136" t="s">
        <v>342</v>
      </c>
      <c r="B31" s="149" t="s">
        <v>47</v>
      </c>
      <c r="C31" s="142">
        <v>20</v>
      </c>
      <c r="D31" s="142">
        <v>25</v>
      </c>
      <c r="E31" s="142">
        <v>30</v>
      </c>
      <c r="F31" s="153">
        <f>IF(I31&lt;&gt;"Valid","n.a.",INDEX(PlanInputs[Entry],MATCH($A31,PlanInputs[PlanID],0))-INDEX(PlanInputs[Stop],MATCH($A31,PlanInputs[PlanID],0)))</f>
        <v>25</v>
      </c>
      <c r="G31" s="153">
        <f>IF(I31&lt;&gt;"Valid","n.a.",INDEX(PlanInputs[Risk budget],MATCH($A31,PlanInputs[PlanID],0))-C31-D31)</f>
        <v>1955</v>
      </c>
      <c r="H31" s="153">
        <f>IF(I31&lt;&gt;"Valid","n.a.",INDEX(PlanInputs[Cash budget],MATCH($A31,PlanInputs[PlanID],0))-C31)</f>
        <v>19980</v>
      </c>
      <c r="I31" s="149" t="str">
        <f>IF(COUNTIFS(PlanInputs[PlanID],$A31)&lt;&gt;1,"Plan key missing or duplicate",IF(COUNTIFS(PlanCosts[PlanID],$A31)&lt;&gt;1,"Charges key duplicated",IF(OR(COUNT(INDEX(PlanInputs[[Entry]:[Cash budget]],MATCH($A31,PlanInputs[PlanID],0),0))&lt;&gt;5,COUNT(C31:E31)&lt;&gt;3),"Enter all prices, budgets and charges",IF(MIN(C31:E31)&lt;0,"Charges must be zero or positive",IF(OR(INDEX(PlanInputs[Entry],MATCH($A31,PlanInputs[PlanID],0))&lt;=0,INDEX(PlanInputs[Stop],MATCH($A31,PlanInputs[PlanID],0))&lt;=0,INDEX(PlanInputs[Target],MATCH($A31,PlanInputs[PlanID],0))&lt;=0,INDEX(PlanInputs[Risk budget],MATCH($A31,PlanInputs[PlanID],0))&lt;=0,INDEX(PlanInputs[Cash budget],MATCH($A31,PlanInputs[PlanID],0))&lt;=0),"Prices and budgets must be positive",IF(INDEX(PlanInputs[Stop],MATCH($A31,PlanInputs[PlanID],0))&gt;=INDEX(PlanInputs[Entry],MATCH($A31,PlanInputs[PlanID],0)),"Stop must be below entry",IF(INDEX(PlanInputs[Target],MATCH($A31,PlanInputs[PlanID],0))&lt;=INDEX(PlanInputs[Entry],MATCH($A31,PlanInputs[PlanID],0)),"Target must be above entry","Valid")))))))</f>
        <v>Valid</v>
      </c>
    </row>
    <row r="32" spans="1:9" ht="31" customHeight="1" x14ac:dyDescent="0.35">
      <c r="A32" s="136" t="s">
        <v>344</v>
      </c>
      <c r="B32" s="149" t="s">
        <v>50</v>
      </c>
      <c r="C32" s="142">
        <v>0</v>
      </c>
      <c r="D32" s="142">
        <v>0</v>
      </c>
      <c r="E32" s="142">
        <v>0</v>
      </c>
      <c r="F32" s="153" t="str">
        <f>IF(I32&lt;&gt;"Valid","n.a.",INDEX(PlanInputs[Entry],MATCH($A32,PlanInputs[PlanID],0))-INDEX(PlanInputs[Stop],MATCH($A32,PlanInputs[PlanID],0)))</f>
        <v>n.a.</v>
      </c>
      <c r="G32" s="153" t="str">
        <f>IF(I32&lt;&gt;"Valid","n.a.",INDEX(PlanInputs[Risk budget],MATCH($A32,PlanInputs[PlanID],0))-C32-D32)</f>
        <v>n.a.</v>
      </c>
      <c r="H32" s="153" t="str">
        <f>IF(I32&lt;&gt;"Valid","n.a.",INDEX(PlanInputs[Cash budget],MATCH($A32,PlanInputs[PlanID],0))-C32)</f>
        <v>n.a.</v>
      </c>
      <c r="I32" s="149" t="str">
        <f>IF(COUNTIFS(PlanInputs[PlanID],$A32)&lt;&gt;1,"Plan key missing or duplicate",IF(COUNTIFS(PlanCosts[PlanID],$A32)&lt;&gt;1,"Charges key duplicated",IF(OR(COUNT(INDEX(PlanInputs[[Entry]:[Cash budget]],MATCH($A32,PlanInputs[PlanID],0),0))&lt;&gt;5,COUNT(C32:E32)&lt;&gt;3),"Enter all prices, budgets and charges",IF(MIN(C32:E32)&lt;0,"Charges must be zero or positive",IF(OR(INDEX(PlanInputs[Entry],MATCH($A32,PlanInputs[PlanID],0))&lt;=0,INDEX(PlanInputs[Stop],MATCH($A32,PlanInputs[PlanID],0))&lt;=0,INDEX(PlanInputs[Target],MATCH($A32,PlanInputs[PlanID],0))&lt;=0,INDEX(PlanInputs[Risk budget],MATCH($A32,PlanInputs[PlanID],0))&lt;=0,INDEX(PlanInputs[Cash budget],MATCH($A32,PlanInputs[PlanID],0))&lt;=0),"Prices and budgets must be positive",IF(INDEX(PlanInputs[Stop],MATCH($A32,PlanInputs[PlanID],0))&gt;=INDEX(PlanInputs[Entry],MATCH($A32,PlanInputs[PlanID],0)),"Stop must be below entry",IF(INDEX(PlanInputs[Target],MATCH($A32,PlanInputs[PlanID],0))&lt;=INDEX(PlanInputs[Entry],MATCH($A32,PlanInputs[PlanID],0)),"Target must be above entry","Valid")))))))</f>
        <v>Enter all prices, budgets and charges</v>
      </c>
    </row>
    <row r="33" spans="1:9" ht="31" customHeight="1" x14ac:dyDescent="0.35">
      <c r="A33" s="136" t="s">
        <v>345</v>
      </c>
      <c r="B33" s="149" t="s">
        <v>53</v>
      </c>
      <c r="C33" s="142">
        <v>0</v>
      </c>
      <c r="D33" s="142">
        <v>0</v>
      </c>
      <c r="E33" s="142">
        <v>0</v>
      </c>
      <c r="F33" s="153" t="str">
        <f>IF(I33&lt;&gt;"Valid","n.a.",INDEX(PlanInputs[Entry],MATCH($A33,PlanInputs[PlanID],0))-INDEX(PlanInputs[Stop],MATCH($A33,PlanInputs[PlanID],0)))</f>
        <v>n.a.</v>
      </c>
      <c r="G33" s="153" t="str">
        <f>IF(I33&lt;&gt;"Valid","n.a.",INDEX(PlanInputs[Risk budget],MATCH($A33,PlanInputs[PlanID],0))-C33-D33)</f>
        <v>n.a.</v>
      </c>
      <c r="H33" s="153" t="str">
        <f>IF(I33&lt;&gt;"Valid","n.a.",INDEX(PlanInputs[Cash budget],MATCH($A33,PlanInputs[PlanID],0))-C33)</f>
        <v>n.a.</v>
      </c>
      <c r="I33" s="149" t="str">
        <f>IF(COUNTIFS(PlanInputs[PlanID],$A33)&lt;&gt;1,"Plan key missing or duplicate",IF(COUNTIFS(PlanCosts[PlanID],$A33)&lt;&gt;1,"Charges key duplicated",IF(OR(COUNT(INDEX(PlanInputs[[Entry]:[Cash budget]],MATCH($A33,PlanInputs[PlanID],0),0))&lt;&gt;5,COUNT(C33:E33)&lt;&gt;3),"Enter all prices, budgets and charges",IF(MIN(C33:E33)&lt;0,"Charges must be zero or positive",IF(OR(INDEX(PlanInputs[Entry],MATCH($A33,PlanInputs[PlanID],0))&lt;=0,INDEX(PlanInputs[Stop],MATCH($A33,PlanInputs[PlanID],0))&lt;=0,INDEX(PlanInputs[Target],MATCH($A33,PlanInputs[PlanID],0))&lt;=0,INDEX(PlanInputs[Risk budget],MATCH($A33,PlanInputs[PlanID],0))&lt;=0,INDEX(PlanInputs[Cash budget],MATCH($A33,PlanInputs[PlanID],0))&lt;=0),"Prices and budgets must be positive",IF(INDEX(PlanInputs[Stop],MATCH($A33,PlanInputs[PlanID],0))&gt;=INDEX(PlanInputs[Entry],MATCH($A33,PlanInputs[PlanID],0)),"Stop must be below entry",IF(INDEX(PlanInputs[Target],MATCH($A33,PlanInputs[PlanID],0))&lt;=INDEX(PlanInputs[Entry],MATCH($A33,PlanInputs[PlanID],0)),"Target must be above entry","Valid")))))))</f>
        <v>Enter all prices, budgets and charges</v>
      </c>
    </row>
    <row r="34" spans="1:9" ht="31" customHeight="1" x14ac:dyDescent="0.35">
      <c r="A34" s="136" t="s">
        <v>346</v>
      </c>
      <c r="B34" s="149" t="s">
        <v>56</v>
      </c>
      <c r="C34" s="142">
        <v>0</v>
      </c>
      <c r="D34" s="142">
        <v>0</v>
      </c>
      <c r="E34" s="142">
        <v>0</v>
      </c>
      <c r="F34" s="153" t="str">
        <f>IF(I34&lt;&gt;"Valid","n.a.",INDEX(PlanInputs[Entry],MATCH($A34,PlanInputs[PlanID],0))-INDEX(PlanInputs[Stop],MATCH($A34,PlanInputs[PlanID],0)))</f>
        <v>n.a.</v>
      </c>
      <c r="G34" s="153" t="str">
        <f>IF(I34&lt;&gt;"Valid","n.a.",INDEX(PlanInputs[Risk budget],MATCH($A34,PlanInputs[PlanID],0))-C34-D34)</f>
        <v>n.a.</v>
      </c>
      <c r="H34" s="153" t="str">
        <f>IF(I34&lt;&gt;"Valid","n.a.",INDEX(PlanInputs[Cash budget],MATCH($A34,PlanInputs[PlanID],0))-C34)</f>
        <v>n.a.</v>
      </c>
      <c r="I34" s="149" t="str">
        <f>IF(COUNTIFS(PlanInputs[PlanID],$A34)&lt;&gt;1,"Plan key missing or duplicate",IF(COUNTIFS(PlanCosts[PlanID],$A34)&lt;&gt;1,"Charges key duplicated",IF(OR(COUNT(INDEX(PlanInputs[[Entry]:[Cash budget]],MATCH($A34,PlanInputs[PlanID],0),0))&lt;&gt;5,COUNT(C34:E34)&lt;&gt;3),"Enter all prices, budgets and charges",IF(MIN(C34:E34)&lt;0,"Charges must be zero or positive",IF(OR(INDEX(PlanInputs[Entry],MATCH($A34,PlanInputs[PlanID],0))&lt;=0,INDEX(PlanInputs[Stop],MATCH($A34,PlanInputs[PlanID],0))&lt;=0,INDEX(PlanInputs[Target],MATCH($A34,PlanInputs[PlanID],0))&lt;=0,INDEX(PlanInputs[Risk budget],MATCH($A34,PlanInputs[PlanID],0))&lt;=0,INDEX(PlanInputs[Cash budget],MATCH($A34,PlanInputs[PlanID],0))&lt;=0),"Prices and budgets must be positive",IF(INDEX(PlanInputs[Stop],MATCH($A34,PlanInputs[PlanID],0))&gt;=INDEX(PlanInputs[Entry],MATCH($A34,PlanInputs[PlanID],0)),"Stop must be below entry",IF(INDEX(PlanInputs[Target],MATCH($A34,PlanInputs[PlanID],0))&lt;=INDEX(PlanInputs[Entry],MATCH($A34,PlanInputs[PlanID],0)),"Target must be above entry","Valid")))))))</f>
        <v>Enter all prices, budgets and charges</v>
      </c>
    </row>
    <row r="35" spans="1:9" ht="31" customHeight="1" x14ac:dyDescent="0.35">
      <c r="A35" s="136" t="s">
        <v>347</v>
      </c>
      <c r="B35" s="149" t="s">
        <v>59</v>
      </c>
      <c r="C35" s="142">
        <v>0</v>
      </c>
      <c r="D35" s="142">
        <v>0</v>
      </c>
      <c r="E35" s="142">
        <v>0</v>
      </c>
      <c r="F35" s="153" t="str">
        <f>IF(I35&lt;&gt;"Valid","n.a.",INDEX(PlanInputs[Entry],MATCH($A35,PlanInputs[PlanID],0))-INDEX(PlanInputs[Stop],MATCH($A35,PlanInputs[PlanID],0)))</f>
        <v>n.a.</v>
      </c>
      <c r="G35" s="153" t="str">
        <f>IF(I35&lt;&gt;"Valid","n.a.",INDEX(PlanInputs[Risk budget],MATCH($A35,PlanInputs[PlanID],0))-C35-D35)</f>
        <v>n.a.</v>
      </c>
      <c r="H35" s="153" t="str">
        <f>IF(I35&lt;&gt;"Valid","n.a.",INDEX(PlanInputs[Cash budget],MATCH($A35,PlanInputs[PlanID],0))-C35)</f>
        <v>n.a.</v>
      </c>
      <c r="I35" s="149" t="str">
        <f>IF(COUNTIFS(PlanInputs[PlanID],$A35)&lt;&gt;1,"Plan key missing or duplicate",IF(COUNTIFS(PlanCosts[PlanID],$A35)&lt;&gt;1,"Charges key duplicated",IF(OR(COUNT(INDEX(PlanInputs[[Entry]:[Cash budget]],MATCH($A35,PlanInputs[PlanID],0),0))&lt;&gt;5,COUNT(C35:E35)&lt;&gt;3),"Enter all prices, budgets and charges",IF(MIN(C35:E35)&lt;0,"Charges must be zero or positive",IF(OR(INDEX(PlanInputs[Entry],MATCH($A35,PlanInputs[PlanID],0))&lt;=0,INDEX(PlanInputs[Stop],MATCH($A35,PlanInputs[PlanID],0))&lt;=0,INDEX(PlanInputs[Target],MATCH($A35,PlanInputs[PlanID],0))&lt;=0,INDEX(PlanInputs[Risk budget],MATCH($A35,PlanInputs[PlanID],0))&lt;=0,INDEX(PlanInputs[Cash budget],MATCH($A35,PlanInputs[PlanID],0))&lt;=0),"Prices and budgets must be positive",IF(INDEX(PlanInputs[Stop],MATCH($A35,PlanInputs[PlanID],0))&gt;=INDEX(PlanInputs[Entry],MATCH($A35,PlanInputs[PlanID],0)),"Stop must be below entry",IF(INDEX(PlanInputs[Target],MATCH($A35,PlanInputs[PlanID],0))&lt;=INDEX(PlanInputs[Entry],MATCH($A35,PlanInputs[PlanID],0)),"Target must be above entry","Valid")))))))</f>
        <v>Enter all prices, budgets and charges</v>
      </c>
    </row>
    <row r="36" spans="1:9" ht="31" customHeight="1" x14ac:dyDescent="0.35">
      <c r="A36" s="136" t="s">
        <v>348</v>
      </c>
      <c r="B36" s="150" t="s">
        <v>62</v>
      </c>
      <c r="C36" s="146">
        <v>0</v>
      </c>
      <c r="D36" s="146">
        <v>0</v>
      </c>
      <c r="E36" s="146">
        <v>0</v>
      </c>
      <c r="F36" s="154" t="str">
        <f>IF(I36&lt;&gt;"Valid","n.a.",INDEX(PlanInputs[Entry],MATCH($A36,PlanInputs[PlanID],0))-INDEX(PlanInputs[Stop],MATCH($A36,PlanInputs[PlanID],0)))</f>
        <v>n.a.</v>
      </c>
      <c r="G36" s="154" t="str">
        <f>IF(I36&lt;&gt;"Valid","n.a.",INDEX(PlanInputs[Risk budget],MATCH($A36,PlanInputs[PlanID],0))-C36-D36)</f>
        <v>n.a.</v>
      </c>
      <c r="H36" s="154" t="str">
        <f>IF(I36&lt;&gt;"Valid","n.a.",INDEX(PlanInputs[Cash budget],MATCH($A36,PlanInputs[PlanID],0))-C36)</f>
        <v>n.a.</v>
      </c>
      <c r="I36" s="150" t="str">
        <f>IF(COUNTIFS(PlanInputs[PlanID],$A36)&lt;&gt;1,"Plan key missing or duplicate",IF(COUNTIFS(PlanCosts[PlanID],$A36)&lt;&gt;1,"Charges key duplicated",IF(OR(COUNT(INDEX(PlanInputs[[Entry]:[Cash budget]],MATCH($A36,PlanInputs[PlanID],0),0))&lt;&gt;5,COUNT(C36:E36)&lt;&gt;3),"Enter all prices, budgets and charges",IF(MIN(C36:E36)&lt;0,"Charges must be zero or positive",IF(OR(INDEX(PlanInputs[Entry],MATCH($A36,PlanInputs[PlanID],0))&lt;=0,INDEX(PlanInputs[Stop],MATCH($A36,PlanInputs[PlanID],0))&lt;=0,INDEX(PlanInputs[Target],MATCH($A36,PlanInputs[PlanID],0))&lt;=0,INDEX(PlanInputs[Risk budget],MATCH($A36,PlanInputs[PlanID],0))&lt;=0,INDEX(PlanInputs[Cash budget],MATCH($A36,PlanInputs[PlanID],0))&lt;=0),"Prices and budgets must be positive",IF(INDEX(PlanInputs[Stop],MATCH($A36,PlanInputs[PlanID],0))&gt;=INDEX(PlanInputs[Entry],MATCH($A36,PlanInputs[PlanID],0)),"Stop must be below entry",IF(INDEX(PlanInputs[Target],MATCH($A36,PlanInputs[PlanID],0))&lt;=INDEX(PlanInputs[Entry],MATCH($A36,PlanInputs[PlanID],0)),"Target must be above entry","Valid")))))))</f>
        <v>Enter all prices, budgets and charges</v>
      </c>
    </row>
    <row r="37" spans="1:9" ht="23" customHeight="1" x14ac:dyDescent="0.35">
      <c r="A37" s="136"/>
      <c r="B37" s="244" t="s">
        <v>359</v>
      </c>
      <c r="C37" s="244"/>
      <c r="D37" s="244"/>
      <c r="E37" s="244"/>
      <c r="F37" s="244"/>
      <c r="G37" s="244"/>
      <c r="H37" s="244"/>
      <c r="I37" s="244"/>
    </row>
    <row r="38" spans="1:9" ht="23" customHeight="1" x14ac:dyDescent="0.35">
      <c r="A38" s="136"/>
      <c r="B38" s="245" t="s">
        <v>360</v>
      </c>
      <c r="C38" s="245"/>
      <c r="D38" s="245"/>
      <c r="E38" s="245"/>
      <c r="F38" s="245"/>
      <c r="G38" s="245"/>
      <c r="H38" s="245"/>
      <c r="I38" s="245"/>
    </row>
    <row r="39" spans="1:9" ht="23" customHeight="1" x14ac:dyDescent="0.35">
      <c r="A39" s="136"/>
      <c r="B39" s="136"/>
      <c r="C39" s="136"/>
      <c r="D39" s="136"/>
      <c r="E39" s="136"/>
      <c r="F39" s="136"/>
      <c r="G39" s="136"/>
      <c r="H39" s="136"/>
      <c r="I39" s="136"/>
    </row>
    <row r="40" spans="1:9" ht="23" customHeight="1" x14ac:dyDescent="0.35">
      <c r="A40" s="136"/>
      <c r="B40" s="140" t="s">
        <v>361</v>
      </c>
      <c r="C40" s="136"/>
      <c r="D40" s="136"/>
      <c r="E40" s="136"/>
      <c r="F40" s="136"/>
      <c r="G40" s="136"/>
      <c r="H40" s="136"/>
      <c r="I40" s="136"/>
    </row>
    <row r="41" spans="1:9" ht="36" customHeight="1" x14ac:dyDescent="0.35">
      <c r="A41" s="136" t="s">
        <v>334</v>
      </c>
      <c r="B41" s="141" t="s">
        <v>255</v>
      </c>
      <c r="C41" s="141" t="s">
        <v>74</v>
      </c>
      <c r="D41" s="141" t="s">
        <v>327</v>
      </c>
      <c r="E41" s="141" t="s">
        <v>362</v>
      </c>
      <c r="F41" s="141" t="s">
        <v>363</v>
      </c>
      <c r="G41" s="141" t="s">
        <v>364</v>
      </c>
      <c r="H41" s="141" t="s">
        <v>365</v>
      </c>
      <c r="I41" s="141" t="s">
        <v>366</v>
      </c>
    </row>
    <row r="42" spans="1:9" ht="32" customHeight="1" x14ac:dyDescent="0.35">
      <c r="A42" s="136" t="s">
        <v>342</v>
      </c>
      <c r="B42" s="149" t="s">
        <v>47</v>
      </c>
      <c r="C42" s="155">
        <f>IF(COUNTIFS(PlanCosts[PlanID],$A42)&lt;&gt;1,"n.a.",IF(INDEX(PlanCosts[Input check],MATCH($A42,PlanCosts[PlanID],0))&lt;&gt;"Valid","n.a.",MAX(0,ROUNDDOWN(MIN(INDEX(PlanCosts[Risk after charges],MATCH($A42,PlanCosts[PlanID],0))/INDEX(PlanCosts[Loss / share],MATCH($A42,PlanCosts[PlanID],0)),INDEX(PlanCosts[Cash after entry fees],MATCH($A42,PlanCosts[PlanID],0))/INDEX(PlanInputs[Entry],MATCH($A42,PlanInputs[PlanID],0))),0))))</f>
        <v>36</v>
      </c>
      <c r="D42" s="153">
        <f>IF(NOT(ISNUMBER(C42)),"n.a.",IF(C42=0,"n.a.",C42*INDEX(PlanInputs[Entry],MATCH($A42,PlanInputs[PlanID],0))+INDEX(PlanCosts[Entry charges],MATCH($A42,PlanCosts[PlanID],0))))</f>
        <v>19820</v>
      </c>
      <c r="E42" s="153">
        <f>IF(NOT(ISNUMBER(C42)),"n.a.",IF(C42=0,"n.a.",C42*INDEX(PlanCosts[Loss / share],MATCH($A42,PlanCosts[PlanID],0))+INDEX(PlanCosts[Entry charges],MATCH($A42,PlanCosts[PlanID],0))+INDEX(PlanCosts[Stop exit charges],MATCH($A42,PlanCosts[PlanID],0))))</f>
        <v>945</v>
      </c>
      <c r="F42" s="153">
        <f>IF(NOT(ISNUMBER(C42)),"n.a.",IF(C42=0,"n.a.",C42*(INDEX(PlanInputs[Target],MATCH($A42,PlanInputs[PlanID],0))-INDEX(PlanInputs[Entry],MATCH($A42,PlanInputs[PlanID],0)))-INDEX(PlanCosts[Entry charges],MATCH($A42,PlanCosts[PlanID],0))-INDEX(PlanCosts[Target exit charges],MATCH($A42,PlanCosts[PlanID],0))))</f>
        <v>1750</v>
      </c>
      <c r="G42" s="156">
        <f t="shared" ref="G42" si="0">IF(NOT(ISNUMBER(E42)),"n.a.",IF(E42&lt;=0,"n.a.",F42/E42))</f>
        <v>1.8518518518518519</v>
      </c>
      <c r="H42" s="149" t="str">
        <f>IF(COUNTIFS(PlanCosts[PlanID],$A42)&lt;&gt;1,"Charges key missing or duplicate",IF(INDEX(PlanCosts[Input check],MATCH($A42,PlanCosts[PlanID],0))&lt;&gt;"Valid",INDEX(PlanCosts[Input check],MATCH($A42,PlanCosts[PlanID],0)),IF(C42=0,"Budget cannot fund one share",IF(F42&lt;=0,"Target gain consumed by charges","Calculated draft"))))</f>
        <v>Calculated draft</v>
      </c>
      <c r="I42" s="159">
        <f>IF(NOT(ISNUMBER(D42)),"n.a.",D42/INDEX(PlanInputs[Cash budget],MATCH($A42,PlanInputs[PlanID],0)))</f>
        <v>0.99099999999999999</v>
      </c>
    </row>
    <row r="43" spans="1:9" ht="32" customHeight="1" x14ac:dyDescent="0.35">
      <c r="A43" s="136" t="s">
        <v>344</v>
      </c>
      <c r="B43" s="149" t="s">
        <v>50</v>
      </c>
      <c r="C43" s="155" t="str">
        <f>IF(COUNTIFS(PlanCosts[PlanID],$A43)&lt;&gt;1,"n.a.",IF(INDEX(PlanCosts[Input check],MATCH($A43,PlanCosts[PlanID],0))&lt;&gt;"Valid","n.a.",MAX(0,ROUNDDOWN(MIN(INDEX(PlanCosts[Risk after charges],MATCH($A43,PlanCosts[PlanID],0))/INDEX(PlanCosts[Loss / share],MATCH($A43,PlanCosts[PlanID],0)),INDEX(PlanCosts[Cash after entry fees],MATCH($A43,PlanCosts[PlanID],0))/INDEX(PlanInputs[Entry],MATCH($A43,PlanInputs[PlanID],0))),0))))</f>
        <v>n.a.</v>
      </c>
      <c r="D43" s="153" t="str">
        <f>IF(NOT(ISNUMBER(C43)),"n.a.",IF(C43=0,"n.a.",C43*INDEX(PlanInputs[Entry],MATCH($A43,PlanInputs[PlanID],0))+INDEX(PlanCosts[Entry charges],MATCH($A43,PlanCosts[PlanID],0))))</f>
        <v>n.a.</v>
      </c>
      <c r="E43" s="153" t="str">
        <f>IF(NOT(ISNUMBER(C43)),"n.a.",IF(C43=0,"n.a.",C43*INDEX(PlanCosts[Loss / share],MATCH($A43,PlanCosts[PlanID],0))+INDEX(PlanCosts[Entry charges],MATCH($A43,PlanCosts[PlanID],0))+INDEX(PlanCosts[Stop exit charges],MATCH($A43,PlanCosts[PlanID],0))))</f>
        <v>n.a.</v>
      </c>
      <c r="F43" s="153" t="str">
        <f>IF(NOT(ISNUMBER(C43)),"n.a.",IF(C43=0,"n.a.",C43*(INDEX(PlanInputs[Target],MATCH($A43,PlanInputs[PlanID],0))-INDEX(PlanInputs[Entry],MATCH($A43,PlanInputs[PlanID],0)))-INDEX(PlanCosts[Entry charges],MATCH($A43,PlanCosts[PlanID],0))-INDEX(PlanCosts[Target exit charges],MATCH($A43,PlanCosts[PlanID],0))))</f>
        <v>n.a.</v>
      </c>
      <c r="G43" s="156" t="str">
        <f>IF(NOT(ISNUMBER(E43)),"n.a.",IF(E43&lt;=0,"n.a.",F43/E43))</f>
        <v>n.a.</v>
      </c>
      <c r="H43" s="149" t="str">
        <f>IF(COUNTIFS(PlanCosts[PlanID],$A43)&lt;&gt;1,"Charges key missing or duplicate",IF(INDEX(PlanCosts[Input check],MATCH($A43,PlanCosts[PlanID],0))&lt;&gt;"Valid",INDEX(PlanCosts[Input check],MATCH($A43,PlanCosts[PlanID],0)),IF(C43=0,"Budget cannot fund one share",IF(F43&lt;=0,"Target gain consumed by charges","Calculated draft"))))</f>
        <v>Enter all prices, budgets and charges</v>
      </c>
      <c r="I43" s="159" t="str">
        <f>IF(NOT(ISNUMBER(D43)),"n.a.",D43/INDEX(PlanInputs[Cash budget],MATCH($A43,PlanInputs[PlanID],0)))</f>
        <v>n.a.</v>
      </c>
    </row>
    <row r="44" spans="1:9" ht="32" customHeight="1" x14ac:dyDescent="0.35">
      <c r="A44" s="136" t="s">
        <v>345</v>
      </c>
      <c r="B44" s="149" t="s">
        <v>53</v>
      </c>
      <c r="C44" s="155" t="str">
        <f>IF(COUNTIFS(PlanCosts[PlanID],$A44)&lt;&gt;1,"n.a.",IF(INDEX(PlanCosts[Input check],MATCH($A44,PlanCosts[PlanID],0))&lt;&gt;"Valid","n.a.",MAX(0,ROUNDDOWN(MIN(INDEX(PlanCosts[Risk after charges],MATCH($A44,PlanCosts[PlanID],0))/INDEX(PlanCosts[Loss / share],MATCH($A44,PlanCosts[PlanID],0)),INDEX(PlanCosts[Cash after entry fees],MATCH($A44,PlanCosts[PlanID],0))/INDEX(PlanInputs[Entry],MATCH($A44,PlanInputs[PlanID],0))),0))))</f>
        <v>n.a.</v>
      </c>
      <c r="D44" s="153" t="str">
        <f>IF(NOT(ISNUMBER(C44)),"n.a.",IF(C44=0,"n.a.",C44*INDEX(PlanInputs[Entry],MATCH($A44,PlanInputs[PlanID],0))+INDEX(PlanCosts[Entry charges],MATCH($A44,PlanCosts[PlanID],0))))</f>
        <v>n.a.</v>
      </c>
      <c r="E44" s="153" t="str">
        <f>IF(NOT(ISNUMBER(C44)),"n.a.",IF(C44=0,"n.a.",C44*INDEX(PlanCosts[Loss / share],MATCH($A44,PlanCosts[PlanID],0))+INDEX(PlanCosts[Entry charges],MATCH($A44,PlanCosts[PlanID],0))+INDEX(PlanCosts[Stop exit charges],MATCH($A44,PlanCosts[PlanID],0))))</f>
        <v>n.a.</v>
      </c>
      <c r="F44" s="153" t="str">
        <f>IF(NOT(ISNUMBER(C44)),"n.a.",IF(C44=0,"n.a.",C44*(INDEX(PlanInputs[Target],MATCH($A44,PlanInputs[PlanID],0))-INDEX(PlanInputs[Entry],MATCH($A44,PlanInputs[PlanID],0)))-INDEX(PlanCosts[Entry charges],MATCH($A44,PlanCosts[PlanID],0))-INDEX(PlanCosts[Target exit charges],MATCH($A44,PlanCosts[PlanID],0))))</f>
        <v>n.a.</v>
      </c>
      <c r="G44" s="156" t="str">
        <f>IF(NOT(ISNUMBER(E44)),"n.a.",IF(E44&lt;=0,"n.a.",F44/E44))</f>
        <v>n.a.</v>
      </c>
      <c r="H44" s="149" t="str">
        <f>IF(COUNTIFS(PlanCosts[PlanID],$A44)&lt;&gt;1,"Charges key missing or duplicate",IF(INDEX(PlanCosts[Input check],MATCH($A44,PlanCosts[PlanID],0))&lt;&gt;"Valid",INDEX(PlanCosts[Input check],MATCH($A44,PlanCosts[PlanID],0)),IF(C44=0,"Budget cannot fund one share",IF(F44&lt;=0,"Target gain consumed by charges","Calculated draft"))))</f>
        <v>Enter all prices, budgets and charges</v>
      </c>
      <c r="I44" s="159" t="str">
        <f>IF(NOT(ISNUMBER(D44)),"n.a.",D44/INDEX(PlanInputs[Cash budget],MATCH($A44,PlanInputs[PlanID],0)))</f>
        <v>n.a.</v>
      </c>
    </row>
    <row r="45" spans="1:9" ht="32" customHeight="1" x14ac:dyDescent="0.35">
      <c r="A45" s="136" t="s">
        <v>346</v>
      </c>
      <c r="B45" s="149" t="s">
        <v>56</v>
      </c>
      <c r="C45" s="155" t="str">
        <f>IF(COUNTIFS(PlanCosts[PlanID],$A45)&lt;&gt;1,"n.a.",IF(INDEX(PlanCosts[Input check],MATCH($A45,PlanCosts[PlanID],0))&lt;&gt;"Valid","n.a.",MAX(0,ROUNDDOWN(MIN(INDEX(PlanCosts[Risk after charges],MATCH($A45,PlanCosts[PlanID],0))/INDEX(PlanCosts[Loss / share],MATCH($A45,PlanCosts[PlanID],0)),INDEX(PlanCosts[Cash after entry fees],MATCH($A45,PlanCosts[PlanID],0))/INDEX(PlanInputs[Entry],MATCH($A45,PlanInputs[PlanID],0))),0))))</f>
        <v>n.a.</v>
      </c>
      <c r="D45" s="153" t="str">
        <f>IF(NOT(ISNUMBER(C45)),"n.a.",IF(C45=0,"n.a.",C45*INDEX(PlanInputs[Entry],MATCH($A45,PlanInputs[PlanID],0))+INDEX(PlanCosts[Entry charges],MATCH($A45,PlanCosts[PlanID],0))))</f>
        <v>n.a.</v>
      </c>
      <c r="E45" s="153" t="str">
        <f>IF(NOT(ISNUMBER(C45)),"n.a.",IF(C45=0,"n.a.",C45*INDEX(PlanCosts[Loss / share],MATCH($A45,PlanCosts[PlanID],0))+INDEX(PlanCosts[Entry charges],MATCH($A45,PlanCosts[PlanID],0))+INDEX(PlanCosts[Stop exit charges],MATCH($A45,PlanCosts[PlanID],0))))</f>
        <v>n.a.</v>
      </c>
      <c r="F45" s="153" t="str">
        <f>IF(NOT(ISNUMBER(C45)),"n.a.",IF(C45=0,"n.a.",C45*(INDEX(PlanInputs[Target],MATCH($A45,PlanInputs[PlanID],0))-INDEX(PlanInputs[Entry],MATCH($A45,PlanInputs[PlanID],0)))-INDEX(PlanCosts[Entry charges],MATCH($A45,PlanCosts[PlanID],0))-INDEX(PlanCosts[Target exit charges],MATCH($A45,PlanCosts[PlanID],0))))</f>
        <v>n.a.</v>
      </c>
      <c r="G45" s="156" t="str">
        <f>IF(NOT(ISNUMBER(E45)),"n.a.",IF(E45&lt;=0,"n.a.",F45/E45))</f>
        <v>n.a.</v>
      </c>
      <c r="H45" s="149" t="str">
        <f>IF(COUNTIFS(PlanCosts[PlanID],$A45)&lt;&gt;1,"Charges key missing or duplicate",IF(INDEX(PlanCosts[Input check],MATCH($A45,PlanCosts[PlanID],0))&lt;&gt;"Valid",INDEX(PlanCosts[Input check],MATCH($A45,PlanCosts[PlanID],0)),IF(C45=0,"Budget cannot fund one share",IF(F45&lt;=0,"Target gain consumed by charges","Calculated draft"))))</f>
        <v>Enter all prices, budgets and charges</v>
      </c>
      <c r="I45" s="159" t="str">
        <f>IF(NOT(ISNUMBER(D45)),"n.a.",D45/INDEX(PlanInputs[Cash budget],MATCH($A45,PlanInputs[PlanID],0)))</f>
        <v>n.a.</v>
      </c>
    </row>
    <row r="46" spans="1:9" ht="32" customHeight="1" x14ac:dyDescent="0.35">
      <c r="A46" s="136" t="s">
        <v>347</v>
      </c>
      <c r="B46" s="149" t="s">
        <v>59</v>
      </c>
      <c r="C46" s="155" t="str">
        <f>IF(COUNTIFS(PlanCosts[PlanID],$A46)&lt;&gt;1,"n.a.",IF(INDEX(PlanCosts[Input check],MATCH($A46,PlanCosts[PlanID],0))&lt;&gt;"Valid","n.a.",MAX(0,ROUNDDOWN(MIN(INDEX(PlanCosts[Risk after charges],MATCH($A46,PlanCosts[PlanID],0))/INDEX(PlanCosts[Loss / share],MATCH($A46,PlanCosts[PlanID],0)),INDEX(PlanCosts[Cash after entry fees],MATCH($A46,PlanCosts[PlanID],0))/INDEX(PlanInputs[Entry],MATCH($A46,PlanInputs[PlanID],0))),0))))</f>
        <v>n.a.</v>
      </c>
      <c r="D46" s="153" t="str">
        <f>IF(NOT(ISNUMBER(C46)),"n.a.",IF(C46=0,"n.a.",C46*INDEX(PlanInputs[Entry],MATCH($A46,PlanInputs[PlanID],0))+INDEX(PlanCosts[Entry charges],MATCH($A46,PlanCosts[PlanID],0))))</f>
        <v>n.a.</v>
      </c>
      <c r="E46" s="153" t="str">
        <f>IF(NOT(ISNUMBER(C46)),"n.a.",IF(C46=0,"n.a.",C46*INDEX(PlanCosts[Loss / share],MATCH($A46,PlanCosts[PlanID],0))+INDEX(PlanCosts[Entry charges],MATCH($A46,PlanCosts[PlanID],0))+INDEX(PlanCosts[Stop exit charges],MATCH($A46,PlanCosts[PlanID],0))))</f>
        <v>n.a.</v>
      </c>
      <c r="F46" s="153" t="str">
        <f>IF(NOT(ISNUMBER(C46)),"n.a.",IF(C46=0,"n.a.",C46*(INDEX(PlanInputs[Target],MATCH($A46,PlanInputs[PlanID],0))-INDEX(PlanInputs[Entry],MATCH($A46,PlanInputs[PlanID],0)))-INDEX(PlanCosts[Entry charges],MATCH($A46,PlanCosts[PlanID],0))-INDEX(PlanCosts[Target exit charges],MATCH($A46,PlanCosts[PlanID],0))))</f>
        <v>n.a.</v>
      </c>
      <c r="G46" s="156" t="str">
        <f>IF(NOT(ISNUMBER(E46)),"n.a.",IF(E46&lt;=0,"n.a.",F46/E46))</f>
        <v>n.a.</v>
      </c>
      <c r="H46" s="149" t="str">
        <f>IF(COUNTIFS(PlanCosts[PlanID],$A46)&lt;&gt;1,"Charges key missing or duplicate",IF(INDEX(PlanCosts[Input check],MATCH($A46,PlanCosts[PlanID],0))&lt;&gt;"Valid",INDEX(PlanCosts[Input check],MATCH($A46,PlanCosts[PlanID],0)),IF(C46=0,"Budget cannot fund one share",IF(F46&lt;=0,"Target gain consumed by charges","Calculated draft"))))</f>
        <v>Enter all prices, budgets and charges</v>
      </c>
      <c r="I46" s="159" t="str">
        <f>IF(NOT(ISNUMBER(D46)),"n.a.",D46/INDEX(PlanInputs[Cash budget],MATCH($A46,PlanInputs[PlanID],0)))</f>
        <v>n.a.</v>
      </c>
    </row>
    <row r="47" spans="1:9" ht="32" customHeight="1" x14ac:dyDescent="0.35">
      <c r="A47" s="136" t="s">
        <v>348</v>
      </c>
      <c r="B47" s="150" t="s">
        <v>62</v>
      </c>
      <c r="C47" s="157" t="str">
        <f>IF(COUNTIFS(PlanCosts[PlanID],$A47)&lt;&gt;1,"n.a.",IF(INDEX(PlanCosts[Input check],MATCH($A47,PlanCosts[PlanID],0))&lt;&gt;"Valid","n.a.",MAX(0,ROUNDDOWN(MIN(INDEX(PlanCosts[Risk after charges],MATCH($A47,PlanCosts[PlanID],0))/INDEX(PlanCosts[Loss / share],MATCH($A47,PlanCosts[PlanID],0)),INDEX(PlanCosts[Cash after entry fees],MATCH($A47,PlanCosts[PlanID],0))/INDEX(PlanInputs[Entry],MATCH($A47,PlanInputs[PlanID],0))),0))))</f>
        <v>n.a.</v>
      </c>
      <c r="D47" s="154" t="str">
        <f>IF(NOT(ISNUMBER(C47)),"n.a.",IF(C47=0,"n.a.",C47*INDEX(PlanInputs[Entry],MATCH($A47,PlanInputs[PlanID],0))+INDEX(PlanCosts[Entry charges],MATCH($A47,PlanCosts[PlanID],0))))</f>
        <v>n.a.</v>
      </c>
      <c r="E47" s="154" t="str">
        <f>IF(NOT(ISNUMBER(C47)),"n.a.",IF(C47=0,"n.a.",C47*INDEX(PlanCosts[Loss / share],MATCH($A47,PlanCosts[PlanID],0))+INDEX(PlanCosts[Entry charges],MATCH($A47,PlanCosts[PlanID],0))+INDEX(PlanCosts[Stop exit charges],MATCH($A47,PlanCosts[PlanID],0))))</f>
        <v>n.a.</v>
      </c>
      <c r="F47" s="154" t="str">
        <f>IF(NOT(ISNUMBER(C47)),"n.a.",IF(C47=0,"n.a.",C47*(INDEX(PlanInputs[Target],MATCH($A47,PlanInputs[PlanID],0))-INDEX(PlanInputs[Entry],MATCH($A47,PlanInputs[PlanID],0)))-INDEX(PlanCosts[Entry charges],MATCH($A47,PlanCosts[PlanID],0))-INDEX(PlanCosts[Target exit charges],MATCH($A47,PlanCosts[PlanID],0))))</f>
        <v>n.a.</v>
      </c>
      <c r="G47" s="158" t="str">
        <f>IF(NOT(ISNUMBER(E47)),"n.a.",IF(E47&lt;=0,"n.a.",F47/E47))</f>
        <v>n.a.</v>
      </c>
      <c r="H47" s="150" t="str">
        <f>IF(COUNTIFS(PlanCosts[PlanID],$A47)&lt;&gt;1,"Charges key missing or duplicate",IF(INDEX(PlanCosts[Input check],MATCH($A47,PlanCosts[PlanID],0))&lt;&gt;"Valid",INDEX(PlanCosts[Input check],MATCH($A47,PlanCosts[PlanID],0)),IF(C47=0,"Budget cannot fund one share",IF(F47&lt;=0,"Target gain consumed by charges","Calculated draft"))))</f>
        <v>Enter all prices, budgets and charges</v>
      </c>
      <c r="I47" s="160" t="str">
        <f>IF(NOT(ISNUMBER(D47)),"n.a.",D47/INDEX(PlanInputs[Cash budget],MATCH($A47,PlanInputs[PlanID],0)))</f>
        <v>n.a.</v>
      </c>
    </row>
    <row r="48" spans="1:9" ht="23" customHeight="1" x14ac:dyDescent="0.35">
      <c r="A48" s="136"/>
      <c r="B48" s="136"/>
      <c r="C48" s="136"/>
      <c r="D48" s="136"/>
      <c r="E48" s="136"/>
      <c r="F48" s="136"/>
      <c r="G48" s="136"/>
      <c r="H48" s="136"/>
      <c r="I48" s="136"/>
    </row>
    <row r="49" spans="1:9" ht="23" customHeight="1" x14ac:dyDescent="0.35">
      <c r="A49" s="136"/>
      <c r="B49" s="245" t="s">
        <v>367</v>
      </c>
      <c r="C49" s="245"/>
      <c r="D49" s="245"/>
      <c r="E49" s="245"/>
      <c r="F49" s="245"/>
      <c r="G49" s="245"/>
      <c r="H49" s="245"/>
      <c r="I49" s="245"/>
    </row>
    <row r="50" spans="1:9" ht="23" customHeight="1" x14ac:dyDescent="0.35">
      <c r="A50" s="136"/>
      <c r="B50" s="245" t="s">
        <v>368</v>
      </c>
      <c r="C50" s="245"/>
      <c r="D50" s="245"/>
      <c r="E50" s="245"/>
      <c r="F50" s="245"/>
      <c r="G50" s="245"/>
      <c r="H50" s="245"/>
      <c r="I50" s="245"/>
    </row>
    <row r="51" spans="1:9" ht="23" customHeight="1" x14ac:dyDescent="0.35">
      <c r="A51" s="136"/>
      <c r="B51" s="136"/>
      <c r="C51" s="136"/>
      <c r="D51" s="136"/>
      <c r="E51" s="136"/>
      <c r="F51" s="136"/>
      <c r="G51" s="136"/>
      <c r="H51" s="136"/>
      <c r="I51" s="136"/>
    </row>
  </sheetData>
  <mergeCells count="17">
    <mergeCell ref="B37:I37"/>
    <mergeCell ref="B38:I38"/>
    <mergeCell ref="B49:I49"/>
    <mergeCell ref="B50:I50"/>
    <mergeCell ref="B14:I14"/>
    <mergeCell ref="B15:I15"/>
    <mergeCell ref="B6:I6"/>
    <mergeCell ref="B17:I17"/>
    <mergeCell ref="B26:I26"/>
    <mergeCell ref="B27:I27"/>
    <mergeCell ref="D5:G5"/>
    <mergeCell ref="B9:D9"/>
    <mergeCell ref="E9:G9"/>
    <mergeCell ref="H9:I9"/>
    <mergeCell ref="B12:D12"/>
    <mergeCell ref="E12:G12"/>
    <mergeCell ref="H12:I12"/>
  </mergeCells>
  <conditionalFormatting sqref="B14:I14">
    <cfRule type="expression" dxfId="63" priority="1" stopIfTrue="1">
      <formula>$B$14&lt;&gt;"Calculated draft"</formula>
    </cfRule>
  </conditionalFormatting>
  <conditionalFormatting sqref="H42:H47">
    <cfRule type="expression" dxfId="62" priority="2" stopIfTrue="1">
      <formula>$H42&lt;&gt;"Calculated draft"</formula>
    </cfRule>
  </conditionalFormatting>
  <dataValidations count="3">
    <dataValidation type="list" allowBlank="1" showInputMessage="1" showErrorMessage="1" error="Choose one of the six demo stocks." sqref="D5" xr:uid="{533BE03F-5534-4669-88D0-BB76955AFD32}">
      <formula1>PlanStockNames</formula1>
    </dataValidation>
    <dataValidation type="decimal" operator="greaterThanOrEqual" allowBlank="1" showInputMessage="1" showErrorMessage="1" error="Enter a number of zero or more. Prices and budgets must be positive." sqref="C20:G25 C31:E36" xr:uid="{3C5F5A5C-A333-44D5-8EA2-FBF7A14949E4}">
      <formula1>0</formula1>
    </dataValidation>
    <dataValidation type="date" allowBlank="1" showInputMessage="1" showErrorMessage="1" sqref="I20:I25" xr:uid="{A195F6BF-8146-4FC9-953D-CFE59119A08B}">
      <formula1>1</formula1>
      <formula2>2958465</formula2>
    </dataValidation>
  </dataValidations>
  <hyperlinks>
    <hyperlink ref="B3" location="'Watchlist'!B2" tooltip="Watchlist" display="Watchlist" xr:uid="{44768B1A-E371-452A-8B4C-73A983951AEC}"/>
    <hyperlink ref="D3" location="'Holdings'!B2" tooltip="Holdings" display="Holdings" xr:uid="{96C24B39-7C17-44F5-9ACF-9202F5CAB3A7}"/>
    <hyperlink ref="F3" location="'Transactions'!B2" tooltip="Transactions" display="Transactions" xr:uid="{4FF2EA0F-E791-46BD-99CA-AFF9E9022E05}"/>
    <hyperlink ref="H3" location="'Help'!B2" tooltip="Help" display="Help" xr:uid="{B425E642-9650-4B37-AC72-64E07C3CAD79}"/>
    <hyperlink ref="I3" location="'Stock view'!B2" tooltip="Stock view" display="Stock view" xr:uid="{AA596638-F9A1-4D06-8389-A2C5A6E6FDFD}"/>
  </hyperlinks>
  <pageMargins left="0.27777777777777779" right="0.27777777777777779" top="0.27777777777777779" bottom="0.27777777777777779" header="0.3" footer="0.3"/>
  <pageSetup paperSize="8" fitToHeight="0" orientation="landscape" r:id="rId1"/>
  <rowBreaks count="1" manualBreakCount="1">
    <brk id="28" min="1" max="8" man="1"/>
  </rowBreaks>
  <tableParts count="3">
    <tablePart r:id="rId2"/>
    <tablePart r:id="rId3"/>
    <tablePart r:id="rId4"/>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4499C-218C-45B9-A527-0351356197D9}">
  <sheetPr>
    <tabColor rgb="FF6CCAD9"/>
    <pageSetUpPr fitToPage="1"/>
  </sheetPr>
  <dimension ref="A1:J78"/>
  <sheetViews>
    <sheetView showGridLines="0" topLeftCell="B1" zoomScale="75" zoomScaleNormal="75" workbookViewId="0">
      <pane ySplit="12" topLeftCell="A13" activePane="bottomLeft" state="frozenSplit"/>
      <selection activeCell="B1" sqref="B1"/>
      <selection pane="bottomLeft" activeCell="B2" sqref="B2"/>
    </sheetView>
  </sheetViews>
  <sheetFormatPr defaultRowHeight="14.5" x14ac:dyDescent="0.35"/>
  <cols>
    <col min="1" max="1" width="3" hidden="1" customWidth="1"/>
    <col min="2" max="2" width="23" customWidth="1"/>
    <col min="3" max="3" width="21" customWidth="1"/>
    <col min="4" max="4" width="69" customWidth="1"/>
    <col min="5" max="5" width="23" customWidth="1"/>
    <col min="6" max="6" width="30" customWidth="1"/>
    <col min="7" max="7" width="11" customWidth="1"/>
    <col min="8" max="8" width="3" customWidth="1"/>
    <col min="9" max="10" width="15" hidden="1" customWidth="1"/>
  </cols>
  <sheetData>
    <row r="1" spans="1:10" ht="23" customHeight="1" x14ac:dyDescent="0.35">
      <c r="A1" s="136"/>
      <c r="B1" s="137"/>
      <c r="C1" s="137"/>
      <c r="D1" s="137"/>
      <c r="E1" s="137"/>
      <c r="F1" s="137"/>
      <c r="G1" s="137"/>
      <c r="H1" s="136"/>
      <c r="I1" s="136"/>
      <c r="J1" s="136"/>
    </row>
    <row r="2" spans="1:10" ht="23" customHeight="1" x14ac:dyDescent="0.35">
      <c r="A2" s="136"/>
      <c r="B2" s="169" t="s">
        <v>398</v>
      </c>
      <c r="C2" s="137"/>
      <c r="D2" s="137"/>
      <c r="E2" s="137"/>
      <c r="F2" s="137"/>
      <c r="G2" s="137"/>
      <c r="H2" s="136"/>
      <c r="I2" s="136"/>
      <c r="J2" s="136" t="str">
        <f>C7&amp;"||"&amp;_xlfn.TEXTJOIN("~",FALSE,NewsSources[SourceID])&amp;"||"&amp;_xlfn.TEXTJOIN("~",FALSE,NewsSources[Publisher])&amp;"||"&amp;_xlfn.TEXTJOIN("~",FALSE,NewsSources[Feed URL])&amp;"||"&amp;_xlfn.TEXTJOIN("~",FALSE,NewsSources[Enabled])&amp;"||"&amp;_xlfn.TEXTJOIN("~",FALSE,NewsRules[Industry])&amp;"||"&amp;_xlfn.TEXTJOIN("~",FALSE,NewsRules[Keyword])</f>
        <v>Demo||MINT_INDUSTRY~MINT_TECH~MINT_MARKETS~~~||Mint~Mint~Mint~~~||https://www.livemint.com/rss/industry~https://www.livemint.com/rss/technology~https://www.livemint.com/rss/markets~~~||Yes~Yes~Yes~No~No~No||Banking/Financials~Banking/Financials~Banking/Financials~Banking/Financials~Technology~Technology~Technology~Technology~Healthcare~Healthcare~Healthcare~Auto~Auto~Auto~Energy~Energy~Energy~Consumer~Consumer~Consumer~Industrials~Industrials~Markets~Markets~Markets||bank~banks~banking~insurance~technology~software~AI~semiconductor~pharma~healthcare~hospital~auto~automaker~electric vehicle~oil~gas~renewable~retail~consumer~FMCG~steel~manufacturing~Nifty~Sensex~ETF</v>
      </c>
    </row>
    <row r="3" spans="1:10" ht="23" customHeight="1" x14ac:dyDescent="0.35">
      <c r="A3" s="136"/>
      <c r="B3" s="161" t="s">
        <v>320</v>
      </c>
      <c r="C3" s="161" t="s">
        <v>369</v>
      </c>
      <c r="D3" s="161" t="s">
        <v>323</v>
      </c>
      <c r="E3" s="161" t="s">
        <v>538</v>
      </c>
      <c r="F3" s="161" t="s">
        <v>319</v>
      </c>
      <c r="G3" s="137"/>
      <c r="H3" s="136"/>
      <c r="I3" s="136"/>
      <c r="J3" s="136" t="str">
        <f>IFERROR(INDEX(NewsCache[SettingsKey],1),"")</f>
        <v>Demo||MINT_INDUSTRY~MINT_TECH~MINT_MARKETS~~~||Mint~Mint~Mint~~~||https://www.livemint.com/rss/industry~https://www.livemint.com/rss/technology~https://www.livemint.com/rss/markets~~~||Yes~Yes~Yes~No~No~No||Banking/Financials~Banking/Financials~Banking/Financials~Banking/Financials~Technology~Technology~Technology~Technology~Healthcare~Healthcare~Healthcare~Auto~Auto~Auto~Energy~Energy~Energy~Consumer~Consumer~Consumer~Industrials~Industrials~Markets~Markets~Markets||bank~banks~banking~insurance~technology~software~AI~semiconductor~pharma~healthcare~hospital~auto~automaker~electric vehicle~oil~gas~renewable~retail~consumer~FMCG~steel~manufacturing~Nifty~Sensex~ETF</v>
      </c>
    </row>
    <row r="4" spans="1:10" ht="23" customHeight="1" x14ac:dyDescent="0.35">
      <c r="A4" s="136"/>
      <c r="B4" s="136"/>
      <c r="C4" s="136"/>
      <c r="D4" s="136"/>
      <c r="E4" s="136"/>
      <c r="F4" s="136"/>
      <c r="G4" s="136"/>
      <c r="H4" s="136"/>
      <c r="I4" s="136"/>
      <c r="J4" s="136" t="str">
        <f>IFERROR(INDEX(NewsCache[Mode],1),"")</f>
        <v>Demo</v>
      </c>
    </row>
    <row r="5" spans="1:10" ht="30" customHeight="1" x14ac:dyDescent="0.35">
      <c r="A5" s="136"/>
      <c r="B5" s="136" t="s">
        <v>399</v>
      </c>
      <c r="C5" s="251" t="s">
        <v>400</v>
      </c>
      <c r="D5" s="251"/>
      <c r="E5" s="136" t="s">
        <v>401</v>
      </c>
      <c r="F5" s="251" t="s">
        <v>402</v>
      </c>
      <c r="G5" s="251"/>
      <c r="H5" s="136"/>
      <c r="I5" s="136"/>
      <c r="J5" s="136">
        <f>COUNT(NewsData!O2:O2001)</f>
        <v>10</v>
      </c>
    </row>
    <row r="6" spans="1:10" ht="23" customHeight="1" x14ac:dyDescent="0.35">
      <c r="A6" s="136"/>
      <c r="B6" s="136"/>
      <c r="C6" s="136"/>
      <c r="D6" s="136"/>
      <c r="E6" s="136"/>
      <c r="F6" s="136"/>
      <c r="G6" s="136"/>
      <c r="H6" s="136"/>
      <c r="I6" s="136"/>
      <c r="J6" s="136">
        <f>COUNTIFS(NewsCache[RowType],"Feed",NewsCache[State],"Failed:*")+COUNTIFS(NewsCache[RowType],"Feed",NewsCache[State],"No valid items")</f>
        <v>0</v>
      </c>
    </row>
    <row r="7" spans="1:10" ht="30" customHeight="1" x14ac:dyDescent="0.35">
      <c r="A7" s="136"/>
      <c r="B7" s="136" t="s">
        <v>403</v>
      </c>
      <c r="C7" s="164" t="s">
        <v>404</v>
      </c>
      <c r="D7" s="136" t="s">
        <v>405</v>
      </c>
      <c r="E7" s="136" t="s">
        <v>406</v>
      </c>
      <c r="F7" s="164">
        <v>1</v>
      </c>
      <c r="G7" s="136"/>
      <c r="H7" s="136"/>
      <c r="I7" s="136"/>
      <c r="J7" s="136">
        <f>COUNTIFS(NewsCache[RowType],"Feed")</f>
        <v>3</v>
      </c>
    </row>
    <row r="8" spans="1:10" ht="23" customHeight="1" x14ac:dyDescent="0.35">
      <c r="A8" s="136"/>
      <c r="B8" s="136"/>
      <c r="C8" s="136"/>
      <c r="D8" s="136"/>
      <c r="E8" s="136"/>
      <c r="F8" s="136"/>
      <c r="G8" s="136"/>
      <c r="H8" s="136"/>
      <c r="I8" s="136"/>
      <c r="J8" s="136">
        <f>MAX(NewsCache[RefreshedAt])</f>
        <v>46302.619056134259</v>
      </c>
    </row>
    <row r="9" spans="1:10" ht="30" customHeight="1" x14ac:dyDescent="0.35">
      <c r="A9" s="136"/>
      <c r="B9" s="237" t="str">
        <f ca="1">IF(C7="Demo","DEMO — Fictional headlines. ","LIVE RSS — Personal reading. ")&amp;IF(NOT(J11),"Choose a valid industry, publisher and mode.",IF(J2&lt;&gt;J3,"Settings changed. Refresh All to apply them.",IF(NOT(J12),"Cache exceeds 2,000 rows; extend and validate this view.",IF(OR(NOW()-J8&gt;45/1440,NOW()&lt;J8-1/1440),"Refresh overdue or clock changed. Refresh All.",IF(J6&gt;0,J6&amp;" feed(s) need attention. Check source status below.",IF(J7=0,"No sources enabled.",IF(NOT(J10),"Choose page 1 to "&amp;J9&amp;".",IF(J5=0,"No matching headlines in the current feeds.","Showing newest matches. Page "&amp;F7&amp;" of "&amp;J9&amp;"."))))))))</f>
        <v>DEMO — Fictional headlines. Showing newest matches. Page 1 of 1.</v>
      </c>
      <c r="C9" s="237"/>
      <c r="D9" s="237"/>
      <c r="E9" s="237"/>
      <c r="F9" s="237"/>
      <c r="G9" s="237"/>
      <c r="H9" s="136"/>
      <c r="I9" s="136"/>
      <c r="J9" s="136">
        <f>MAX(1,ROUNDUP(J5/15,0))</f>
        <v>1</v>
      </c>
    </row>
    <row r="10" spans="1:10" ht="30" customHeight="1" x14ac:dyDescent="0.35">
      <c r="A10" s="136"/>
      <c r="B10" s="237" t="str">
        <f>J5&amp;" matching headlines • "&amp;J7&amp;" enabled feeds • "&amp;SUM(NewsCache[Rejected])&amp;" invalid items skipped • Refreshed "&amp;TEXT(J8,"dd mmm yyyy hh:mm")&amp;" (computer time)."</f>
        <v>10 matching headlines • 3 enabled feeds • 0 invalid items skipped • Refreshed 07 Oct 2026 14:51 (computer time).</v>
      </c>
      <c r="C10" s="237"/>
      <c r="D10" s="237"/>
      <c r="E10" s="237"/>
      <c r="F10" s="237"/>
      <c r="G10" s="237"/>
      <c r="H10" s="136"/>
      <c r="I10" s="136"/>
      <c r="J10" s="136" t="b">
        <f>IF(ISNUMBER(F7),AND(F7=INT(F7),F7&gt;=1,F7&lt;=J9),FALSE)</f>
        <v>1</v>
      </c>
    </row>
    <row r="11" spans="1:10" ht="23" customHeight="1" x14ac:dyDescent="0.35">
      <c r="A11" s="136"/>
      <c r="B11" s="136"/>
      <c r="C11" s="136"/>
      <c r="D11" s="136"/>
      <c r="E11" s="136"/>
      <c r="F11" s="136"/>
      <c r="G11" s="136"/>
      <c r="H11" s="136"/>
      <c r="I11" s="136"/>
      <c r="J11" s="136" t="b">
        <f>AND(COUNTIF(NewsIndustryChoices,C5)=1,COUNTIF(NewsPublisherChoices,F5)&gt;=1,F5&lt;&gt;"",OR(C7="Demo",C7="Live RSS"))</f>
        <v>1</v>
      </c>
    </row>
    <row r="12" spans="1:10" ht="30" customHeight="1" x14ac:dyDescent="0.35">
      <c r="A12" s="136"/>
      <c r="B12" s="141" t="s">
        <v>407</v>
      </c>
      <c r="C12" s="141" t="s">
        <v>401</v>
      </c>
      <c r="D12" s="141" t="s">
        <v>408</v>
      </c>
      <c r="E12" s="141" t="s">
        <v>409</v>
      </c>
      <c r="F12" s="141" t="s">
        <v>410</v>
      </c>
      <c r="G12" s="141" t="s">
        <v>411</v>
      </c>
      <c r="H12" s="136"/>
      <c r="I12" s="136"/>
      <c r="J12" s="136" t="b">
        <f>ROWS(NewsCache[RowType])&lt;=2000</f>
        <v>1</v>
      </c>
    </row>
    <row r="13" spans="1:10" ht="49" customHeight="1" x14ac:dyDescent="0.35">
      <c r="A13" s="136"/>
      <c r="B13" s="179">
        <f>IF($I13="","",INDEX(NewsCache[PublishedAt],$I13))</f>
        <v>46283.638888888891</v>
      </c>
      <c r="C13" s="181" t="str">
        <f>IF($I13="","",INDEX(NewsCache[Publisher],$I13))</f>
        <v>Mint</v>
      </c>
      <c r="D13" s="174" t="str">
        <f>IF($I13="","",INDEX(NewsCache[Headline],$I13))</f>
        <v>DEMO: Banks review deposit growth before quarterly results</v>
      </c>
      <c r="E13" s="177" t="str">
        <f>IF($I13="","",SUBSTITUTE(MID(INDEX(NewsCache[Industries],$I13),2,LEN(INDEX(NewsCache[Industries],$I13))-2),"|",", "))</f>
        <v>Banking/Financials</v>
      </c>
      <c r="F13" s="177" t="str">
        <f>IF($I13="","",INDEX(NewsCache[MatchReason],$I13))</f>
        <v>Title: banks</v>
      </c>
      <c r="G13" s="175" t="str">
        <f>IF($I13="","",IF($C$7="Demo","Demo",IF(LEN(INDEX(NewsCache[URL],$I13))&gt;255,"Long URL",HYPERLINK(INDEX(NewsCache[URL],$I13),"Read"))))</f>
        <v>Demo</v>
      </c>
      <c r="H13" s="136"/>
      <c r="I13" s="136">
        <f>IF(AND($J$10,$J$11,$J$12),IFERROR(SMALL(NewsData!$O$2:$O$2001,($F$7-1)*15+ROW()-12),""),"")</f>
        <v>5</v>
      </c>
      <c r="J13" s="136"/>
    </row>
    <row r="14" spans="1:10" ht="49" customHeight="1" x14ac:dyDescent="0.35">
      <c r="A14" s="136"/>
      <c r="B14" s="180">
        <f>IF($I14="","",INDEX(NewsCache[PublishedAt],$I14))</f>
        <v>46283.618055555555</v>
      </c>
      <c r="C14" s="182" t="str">
        <f>IF($I14="","",INDEX(NewsCache[Publisher],$I14))</f>
        <v>Mint</v>
      </c>
      <c r="D14" s="149" t="str">
        <f>IF($I14="","",INDEX(NewsCache[Headline],$I14))</f>
        <v>DEMO: Software firm schedules results and product briefing</v>
      </c>
      <c r="E14" s="178" t="str">
        <f>IF($I14="","",SUBSTITUTE(MID(INDEX(NewsCache[Industries],$I14),2,LEN(INDEX(NewsCache[Industries],$I14))-2),"|",", "))</f>
        <v>Technology</v>
      </c>
      <c r="F14" s="178" t="str">
        <f>IF($I14="","",INDEX(NewsCache[MatchReason],$I14))</f>
        <v>Title: software</v>
      </c>
      <c r="G14" s="176" t="str">
        <f>IF($I14="","",IF($C$7="Demo","Demo",IF(LEN(INDEX(NewsCache[URL],$I14))&gt;255,"Long URL",HYPERLINK(INDEX(NewsCache[URL],$I14),"Read"))))</f>
        <v>Demo</v>
      </c>
      <c r="H14" s="136"/>
      <c r="I14" s="136">
        <f>IF(AND($J$10,$J$11,$J$12),IFERROR(SMALL(NewsData!$O$2:$O$2001,($F$7-1)*15+ROW()-12),""),"")</f>
        <v>6</v>
      </c>
      <c r="J14" s="136"/>
    </row>
    <row r="15" spans="1:10" ht="49" customHeight="1" x14ac:dyDescent="0.35">
      <c r="A15" s="136"/>
      <c r="B15" s="179">
        <f>IF($I15="","",INDEX(NewsCache[PublishedAt],$I15))</f>
        <v>46283.583333333336</v>
      </c>
      <c r="C15" s="181" t="str">
        <f>IF($I15="","",INDEX(NewsCache[Publisher],$I15))</f>
        <v>Mint</v>
      </c>
      <c r="D15" s="174" t="str">
        <f>IF($I15="","",INDEX(NewsCache[Headline],$I15))</f>
        <v>DEMO: Pharma manufacturer announces plant review</v>
      </c>
      <c r="E15" s="177" t="str">
        <f>IF($I15="","",SUBSTITUTE(MID(INDEX(NewsCache[Industries],$I15),2,LEN(INDEX(NewsCache[Industries],$I15))-2),"|",", "))</f>
        <v>Healthcare</v>
      </c>
      <c r="F15" s="177" t="str">
        <f>IF($I15="","",INDEX(NewsCache[MatchReason],$I15))</f>
        <v>Title: pharma</v>
      </c>
      <c r="G15" s="175" t="str">
        <f>IF($I15="","",IF($C$7="Demo","Demo",IF(LEN(INDEX(NewsCache[URL],$I15))&gt;255,"Long URL",HYPERLINK(INDEX(NewsCache[URL],$I15),"Read"))))</f>
        <v>Demo</v>
      </c>
      <c r="H15" s="136"/>
      <c r="I15" s="136">
        <f>IF(AND($J$10,$J$11,$J$12),IFERROR(SMALL(NewsData!$O$2:$O$2001,($F$7-1)*15+ROW()-12),""),"")</f>
        <v>7</v>
      </c>
      <c r="J15" s="136"/>
    </row>
    <row r="16" spans="1:10" ht="49" customHeight="1" x14ac:dyDescent="0.35">
      <c r="A16" s="136"/>
      <c r="B16" s="180">
        <f>IF($I16="","",INDEX(NewsCache[PublishedAt],$I16))</f>
        <v>46283.5625</v>
      </c>
      <c r="C16" s="182" t="str">
        <f>IF($I16="","",INDEX(NewsCache[Publisher],$I16))</f>
        <v>Mint</v>
      </c>
      <c r="D16" s="149" t="str">
        <f>IF($I16="","",INDEX(NewsCache[Headline],$I16))</f>
        <v>DEMO: Steel producers discuss manufacturing demand</v>
      </c>
      <c r="E16" s="178" t="str">
        <f>IF($I16="","",SUBSTITUTE(MID(INDEX(NewsCache[Industries],$I16),2,LEN(INDEX(NewsCache[Industries],$I16))-2),"|",", "))</f>
        <v>Industrials</v>
      </c>
      <c r="F16" s="178" t="str">
        <f>IF($I16="","",INDEX(NewsCache[MatchReason],$I16))</f>
        <v>Title: steel, manufacturing</v>
      </c>
      <c r="G16" s="176" t="str">
        <f>IF($I16="","",IF($C$7="Demo","Demo",IF(LEN(INDEX(NewsCache[URL],$I16))&gt;255,"Long URL",HYPERLINK(INDEX(NewsCache[URL],$I16),"Read"))))</f>
        <v>Demo</v>
      </c>
      <c r="H16" s="136"/>
      <c r="I16" s="136">
        <f>IF(AND($J$10,$J$11,$J$12),IFERROR(SMALL(NewsData!$O$2:$O$2001,($F$7-1)*15+ROW()-12),""),"")</f>
        <v>8</v>
      </c>
      <c r="J16" s="136"/>
    </row>
    <row r="17" spans="1:10" ht="49" customHeight="1" x14ac:dyDescent="0.35">
      <c r="A17" s="136"/>
      <c r="B17" s="179">
        <f>IF($I17="","",INDEX(NewsCache[PublishedAt],$I17))</f>
        <v>46283.541666666664</v>
      </c>
      <c r="C17" s="181" t="str">
        <f>IF($I17="","",INDEX(NewsCache[Publisher],$I17))</f>
        <v>Mint</v>
      </c>
      <c r="D17" s="174" t="str">
        <f>IF($I17="","",INDEX(NewsCache[Headline],$I17))</f>
        <v>DEMO: ETF volumes rise during the market session</v>
      </c>
      <c r="E17" s="177" t="str">
        <f>IF($I17="","",SUBSTITUTE(MID(INDEX(NewsCache[Industries],$I17),2,LEN(INDEX(NewsCache[Industries],$I17))-2),"|",", "))</f>
        <v>Markets</v>
      </c>
      <c r="F17" s="177" t="str">
        <f>IF($I17="","",INDEX(NewsCache[MatchReason],$I17))</f>
        <v>Title: ETF</v>
      </c>
      <c r="G17" s="175" t="str">
        <f>IF($I17="","",IF($C$7="Demo","Demo",IF(LEN(INDEX(NewsCache[URL],$I17))&gt;255,"Long URL",HYPERLINK(INDEX(NewsCache[URL],$I17),"Read"))))</f>
        <v>Demo</v>
      </c>
      <c r="H17" s="136"/>
      <c r="I17" s="136">
        <f>IF(AND($J$10,$J$11,$J$12),IFERROR(SMALL(NewsData!$O$2:$O$2001,($F$7-1)*15+ROW()-12),""),"")</f>
        <v>9</v>
      </c>
      <c r="J17" s="136"/>
    </row>
    <row r="18" spans="1:10" ht="49" customHeight="1" x14ac:dyDescent="0.35">
      <c r="A18" s="136"/>
      <c r="B18" s="180">
        <f>IF($I18="","",INDEX(NewsCache[PublishedAt],$I18))</f>
        <v>46283.520833333336</v>
      </c>
      <c r="C18" s="182" t="str">
        <f>IF($I18="","",INDEX(NewsCache[Publisher],$I18))</f>
        <v>Mint</v>
      </c>
      <c r="D18" s="149" t="str">
        <f>IF($I18="","",INDEX(NewsCache[Headline],$I18))</f>
        <v>DEMO: Automaker outlines electric vehicle launch calendar</v>
      </c>
      <c r="E18" s="178" t="str">
        <f>IF($I18="","",SUBSTITUTE(MID(INDEX(NewsCache[Industries],$I18),2,LEN(INDEX(NewsCache[Industries],$I18))-2),"|",", "))</f>
        <v>Auto</v>
      </c>
      <c r="F18" s="178" t="str">
        <f>IF($I18="","",INDEX(NewsCache[MatchReason],$I18))</f>
        <v>Title: automaker, electric vehicle</v>
      </c>
      <c r="G18" s="176" t="str">
        <f>IF($I18="","",IF($C$7="Demo","Demo",IF(LEN(INDEX(NewsCache[URL],$I18))&gt;255,"Long URL",HYPERLINK(INDEX(NewsCache[URL],$I18),"Read"))))</f>
        <v>Demo</v>
      </c>
      <c r="H18" s="136"/>
      <c r="I18" s="136">
        <f>IF(AND($J$10,$J$11,$J$12),IFERROR(SMALL(NewsData!$O$2:$O$2001,($F$7-1)*15+ROW()-12),""),"")</f>
        <v>10</v>
      </c>
      <c r="J18" s="136"/>
    </row>
    <row r="19" spans="1:10" ht="49" customHeight="1" x14ac:dyDescent="0.35">
      <c r="A19" s="136"/>
      <c r="B19" s="179">
        <f>IF($I19="","",INDEX(NewsCache[PublishedAt],$I19))</f>
        <v>46283.5</v>
      </c>
      <c r="C19" s="181" t="str">
        <f>IF($I19="","",INDEX(NewsCache[Publisher],$I19))</f>
        <v>Mint</v>
      </c>
      <c r="D19" s="174" t="str">
        <f>IF($I19="","",INDEX(NewsCache[Headline],$I19))</f>
        <v>DEMO: Oil suppliers review renewable investment plans</v>
      </c>
      <c r="E19" s="177" t="str">
        <f>IF($I19="","",SUBSTITUTE(MID(INDEX(NewsCache[Industries],$I19),2,LEN(INDEX(NewsCache[Industries],$I19))-2),"|",", "))</f>
        <v>Energy</v>
      </c>
      <c r="F19" s="177" t="str">
        <f>IF($I19="","",INDEX(NewsCache[MatchReason],$I19))</f>
        <v>Title: oil, renewable</v>
      </c>
      <c r="G19" s="175" t="str">
        <f>IF($I19="","",IF($C$7="Demo","Demo",IF(LEN(INDEX(NewsCache[URL],$I19))&gt;255,"Long URL",HYPERLINK(INDEX(NewsCache[URL],$I19),"Read"))))</f>
        <v>Demo</v>
      </c>
      <c r="H19" s="136"/>
      <c r="I19" s="136">
        <f>IF(AND($J$10,$J$11,$J$12),IFERROR(SMALL(NewsData!$O$2:$O$2001,($F$7-1)*15+ROW()-12),""),"")</f>
        <v>11</v>
      </c>
      <c r="J19" s="136"/>
    </row>
    <row r="20" spans="1:10" ht="49" customHeight="1" x14ac:dyDescent="0.35">
      <c r="A20" s="136"/>
      <c r="B20" s="180">
        <f>IF($I20="","",INDEX(NewsCache[PublishedAt],$I20))</f>
        <v>46283.479166666664</v>
      </c>
      <c r="C20" s="182" t="str">
        <f>IF($I20="","",INDEX(NewsCache[Publisher],$I20))</f>
        <v>Mint</v>
      </c>
      <c r="D20" s="149" t="str">
        <f>IF($I20="","",INDEX(NewsCache[Headline],$I20))</f>
        <v>DEMO: Retail chain describes consumer demand trends</v>
      </c>
      <c r="E20" s="178" t="str">
        <f>IF($I20="","",SUBSTITUTE(MID(INDEX(NewsCache[Industries],$I20),2,LEN(INDEX(NewsCache[Industries],$I20))-2),"|",", "))</f>
        <v>Consumer</v>
      </c>
      <c r="F20" s="178" t="str">
        <f>IF($I20="","",INDEX(NewsCache[MatchReason],$I20))</f>
        <v>Title: retail, consumer</v>
      </c>
      <c r="G20" s="176" t="str">
        <f>IF($I20="","",IF($C$7="Demo","Demo",IF(LEN(INDEX(NewsCache[URL],$I20))&gt;255,"Long URL",HYPERLINK(INDEX(NewsCache[URL],$I20),"Read"))))</f>
        <v>Demo</v>
      </c>
      <c r="H20" s="136"/>
      <c r="I20" s="136">
        <f>IF(AND($J$10,$J$11,$J$12),IFERROR(SMALL(NewsData!$O$2:$O$2001,($F$7-1)*15+ROW()-12),""),"")</f>
        <v>12</v>
      </c>
      <c r="J20" s="136" t="s">
        <v>400</v>
      </c>
    </row>
    <row r="21" spans="1:10" ht="49" customHeight="1" x14ac:dyDescent="0.35">
      <c r="A21" s="136"/>
      <c r="B21" s="179">
        <f>IF($I21="","",INDEX(NewsCache[PublishedAt],$I21))</f>
        <v>46283.458333333336</v>
      </c>
      <c r="C21" s="181" t="str">
        <f>IF($I21="","",INDEX(NewsCache[Publisher],$I21))</f>
        <v>Mint</v>
      </c>
      <c r="D21" s="174" t="str">
        <f>IF($I21="","",INDEX(NewsCache[Headline],$I21))</f>
        <v>DEMO: AI project links technology and healthcare teams</v>
      </c>
      <c r="E21" s="177" t="str">
        <f>IF($I21="","",SUBSTITUTE(MID(INDEX(NewsCache[Industries],$I21),2,LEN(INDEX(NewsCache[Industries],$I21))-2),"|",", "))</f>
        <v>Healthcare, Technology</v>
      </c>
      <c r="F21" s="177" t="str">
        <f>IF($I21="","",INDEX(NewsCache[MatchReason],$I21))</f>
        <v>Title: technology, AI, healthcare</v>
      </c>
      <c r="G21" s="175" t="str">
        <f>IF($I21="","",IF($C$7="Demo","Demo",IF(LEN(INDEX(NewsCache[URL],$I21))&gt;255,"Long URL",HYPERLINK(INDEX(NewsCache[URL],$I21),"Read"))))</f>
        <v>Demo</v>
      </c>
      <c r="H21" s="136"/>
      <c r="I21" s="136">
        <f>IF(AND($J$10,$J$11,$J$12),IFERROR(SMALL(NewsData!$O$2:$O$2001,($F$7-1)*15+ROW()-12),""),"")</f>
        <v>13</v>
      </c>
      <c r="J21" s="136" t="s">
        <v>435</v>
      </c>
    </row>
    <row r="22" spans="1:10" ht="49" customHeight="1" x14ac:dyDescent="0.35">
      <c r="A22" s="136"/>
      <c r="B22" s="180">
        <f>IF($I22="","",INDEX(NewsCache[PublishedAt],$I22))</f>
        <v>46283.416666666664</v>
      </c>
      <c r="C22" s="182" t="str">
        <f>IF($I22="","",INDEX(NewsCache[Publisher],$I22))</f>
        <v>Mint</v>
      </c>
      <c r="D22" s="149" t="str">
        <f>IF($I22="","",INDEX(NewsCache[Headline],$I22))</f>
        <v>DEMO: Board meeting scheduled for next month</v>
      </c>
      <c r="E22" s="178" t="str">
        <f>IF($I22="","",SUBSTITUTE(MID(INDEX(NewsCache[Industries],$I22),2,LEN(INDEX(NewsCache[Industries],$I22))-2),"|",", "))</f>
        <v>Unclassified</v>
      </c>
      <c r="F22" s="178" t="str">
        <f>IF($I22="","",INDEX(NewsCache[MatchReason],$I22))</f>
        <v>No keyword match</v>
      </c>
      <c r="G22" s="176" t="str">
        <f>IF($I22="","",IF($C$7="Demo","Demo",IF(LEN(INDEX(NewsCache[URL],$I22))&gt;255,"Long URL",HYPERLINK(INDEX(NewsCache[URL],$I22),"Read"))))</f>
        <v>Demo</v>
      </c>
      <c r="H22" s="136"/>
      <c r="I22" s="136">
        <f>IF(AND($J$10,$J$11,$J$12),IFERROR(SMALL(NewsData!$O$2:$O$2001,($F$7-1)*15+ROW()-12),""),"")</f>
        <v>14</v>
      </c>
      <c r="J22" s="136" t="s">
        <v>51</v>
      </c>
    </row>
    <row r="23" spans="1:10" ht="49" customHeight="1" x14ac:dyDescent="0.35">
      <c r="A23" s="136"/>
      <c r="B23" s="179" t="str">
        <f>IF($I23="","",INDEX(NewsCache[PublishedAt],$I23))</f>
        <v/>
      </c>
      <c r="C23" s="181" t="str">
        <f>IF($I23="","",INDEX(NewsCache[Publisher],$I23))</f>
        <v/>
      </c>
      <c r="D23" s="174" t="str">
        <f>IF($I23="","",INDEX(NewsCache[Headline],$I23))</f>
        <v/>
      </c>
      <c r="E23" s="177" t="str">
        <f>IF($I23="","",SUBSTITUTE(MID(INDEX(NewsCache[Industries],$I23),2,LEN(INDEX(NewsCache[Industries],$I23))-2),"|",", "))</f>
        <v/>
      </c>
      <c r="F23" s="177" t="str">
        <f>IF($I23="","",INDEX(NewsCache[MatchReason],$I23))</f>
        <v/>
      </c>
      <c r="G23" s="175" t="str">
        <f>IF($I23="","",IF($C$7="Demo","Demo",IF(LEN(INDEX(NewsCache[URL],$I23))&gt;255,"Long URL",HYPERLINK(INDEX(NewsCache[URL],$I23),"Read"))))</f>
        <v/>
      </c>
      <c r="H23" s="136"/>
      <c r="I23" s="136" t="str">
        <f>IF(AND($J$10,$J$11,$J$12),IFERROR(SMALL(NewsData!$O$2:$O$2001,($F$7-1)*15+ROW()-12),""),"")</f>
        <v/>
      </c>
      <c r="J23" s="136" t="s">
        <v>54</v>
      </c>
    </row>
    <row r="24" spans="1:10" ht="49" customHeight="1" x14ac:dyDescent="0.35">
      <c r="A24" s="136"/>
      <c r="B24" s="180" t="str">
        <f>IF($I24="","",INDEX(NewsCache[PublishedAt],$I24))</f>
        <v/>
      </c>
      <c r="C24" s="182" t="str">
        <f>IF($I24="","",INDEX(NewsCache[Publisher],$I24))</f>
        <v/>
      </c>
      <c r="D24" s="149" t="str">
        <f>IF($I24="","",INDEX(NewsCache[Headline],$I24))</f>
        <v/>
      </c>
      <c r="E24" s="178" t="str">
        <f>IF($I24="","",SUBSTITUTE(MID(INDEX(NewsCache[Industries],$I24),2,LEN(INDEX(NewsCache[Industries],$I24))-2),"|",", "))</f>
        <v/>
      </c>
      <c r="F24" s="178" t="str">
        <f>IF($I24="","",INDEX(NewsCache[MatchReason],$I24))</f>
        <v/>
      </c>
      <c r="G24" s="176" t="str">
        <f>IF($I24="","",IF($C$7="Demo","Demo",IF(LEN(INDEX(NewsCache[URL],$I24))&gt;255,"Long URL",HYPERLINK(INDEX(NewsCache[URL],$I24),"Read"))))</f>
        <v/>
      </c>
      <c r="H24" s="136"/>
      <c r="I24" s="136" t="str">
        <f>IF(AND($J$10,$J$11,$J$12),IFERROR(SMALL(NewsData!$O$2:$O$2001,($F$7-1)*15+ROW()-12),""),"")</f>
        <v/>
      </c>
      <c r="J24" s="136" t="s">
        <v>450</v>
      </c>
    </row>
    <row r="25" spans="1:10" ht="49" customHeight="1" x14ac:dyDescent="0.35">
      <c r="A25" s="136"/>
      <c r="B25" s="179" t="str">
        <f>IF($I25="","",INDEX(NewsCache[PublishedAt],$I25))</f>
        <v/>
      </c>
      <c r="C25" s="181" t="str">
        <f>IF($I25="","",INDEX(NewsCache[Publisher],$I25))</f>
        <v/>
      </c>
      <c r="D25" s="174" t="str">
        <f>IF($I25="","",INDEX(NewsCache[Headline],$I25))</f>
        <v/>
      </c>
      <c r="E25" s="177" t="str">
        <f>IF($I25="","",SUBSTITUTE(MID(INDEX(NewsCache[Industries],$I25),2,LEN(INDEX(NewsCache[Industries],$I25))-2),"|",", "))</f>
        <v/>
      </c>
      <c r="F25" s="177" t="str">
        <f>IF($I25="","",INDEX(NewsCache[MatchReason],$I25))</f>
        <v/>
      </c>
      <c r="G25" s="175" t="str">
        <f>IF($I25="","",IF($C$7="Demo","Demo",IF(LEN(INDEX(NewsCache[URL],$I25))&gt;255,"Long URL",HYPERLINK(INDEX(NewsCache[URL],$I25),"Read"))))</f>
        <v/>
      </c>
      <c r="H25" s="136"/>
      <c r="I25" s="136" t="str">
        <f>IF(AND($J$10,$J$11,$J$12),IFERROR(SMALL(NewsData!$O$2:$O$2001,($F$7-1)*15+ROW()-12),""),"")</f>
        <v/>
      </c>
      <c r="J25" s="136" t="s">
        <v>455</v>
      </c>
    </row>
    <row r="26" spans="1:10" ht="49" customHeight="1" x14ac:dyDescent="0.35">
      <c r="A26" s="136"/>
      <c r="B26" s="180" t="str">
        <f>IF($I26="","",INDEX(NewsCache[PublishedAt],$I26))</f>
        <v/>
      </c>
      <c r="C26" s="182" t="str">
        <f>IF($I26="","",INDEX(NewsCache[Publisher],$I26))</f>
        <v/>
      </c>
      <c r="D26" s="149" t="str">
        <f>IF($I26="","",INDEX(NewsCache[Headline],$I26))</f>
        <v/>
      </c>
      <c r="E26" s="178" t="str">
        <f>IF($I26="","",SUBSTITUTE(MID(INDEX(NewsCache[Industries],$I26),2,LEN(INDEX(NewsCache[Industries],$I26))-2),"|",", "))</f>
        <v/>
      </c>
      <c r="F26" s="178" t="str">
        <f>IF($I26="","",INDEX(NewsCache[MatchReason],$I26))</f>
        <v/>
      </c>
      <c r="G26" s="176" t="str">
        <f>IF($I26="","",IF($C$7="Demo","Demo",IF(LEN(INDEX(NewsCache[URL],$I26))&gt;255,"Long URL",HYPERLINK(INDEX(NewsCache[URL],$I26),"Read"))))</f>
        <v/>
      </c>
      <c r="H26" s="136"/>
      <c r="I26" s="136" t="str">
        <f>IF(AND($J$10,$J$11,$J$12),IFERROR(SMALL(NewsData!$O$2:$O$2001,($F$7-1)*15+ROW()-12),""),"")</f>
        <v/>
      </c>
      <c r="J26" s="136" t="s">
        <v>460</v>
      </c>
    </row>
    <row r="27" spans="1:10" ht="49" customHeight="1" x14ac:dyDescent="0.35">
      <c r="A27" s="136"/>
      <c r="B27" s="179" t="str">
        <f>IF($I27="","",INDEX(NewsCache[PublishedAt],$I27))</f>
        <v/>
      </c>
      <c r="C27" s="181" t="str">
        <f>IF($I27="","",INDEX(NewsCache[Publisher],$I27))</f>
        <v/>
      </c>
      <c r="D27" s="174" t="str">
        <f>IF($I27="","",INDEX(NewsCache[Headline],$I27))</f>
        <v/>
      </c>
      <c r="E27" s="177" t="str">
        <f>IF($I27="","",SUBSTITUTE(MID(INDEX(NewsCache[Industries],$I27),2,LEN(INDEX(NewsCache[Industries],$I27))-2),"|",", "))</f>
        <v/>
      </c>
      <c r="F27" s="177" t="str">
        <f>IF($I27="","",INDEX(NewsCache[MatchReason],$I27))</f>
        <v/>
      </c>
      <c r="G27" s="175" t="str">
        <f>IF($I27="","",IF($C$7="Demo","Demo",IF(LEN(INDEX(NewsCache[URL],$I27))&gt;255,"Long URL",HYPERLINK(INDEX(NewsCache[URL],$I27),"Read"))))</f>
        <v/>
      </c>
      <c r="H27" s="136"/>
      <c r="I27" s="136" t="str">
        <f>IF(AND($J$10,$J$11,$J$12),IFERROR(SMALL(NewsData!$O$2:$O$2001,($F$7-1)*15+ROW()-12),""),"")</f>
        <v/>
      </c>
      <c r="J27" s="136" t="s">
        <v>57</v>
      </c>
    </row>
    <row r="28" spans="1:10" ht="23" customHeight="1" x14ac:dyDescent="0.35">
      <c r="A28" s="136"/>
      <c r="B28" s="136"/>
      <c r="C28" s="136"/>
      <c r="D28" s="136"/>
      <c r="E28" s="136"/>
      <c r="F28" s="136"/>
      <c r="G28" s="136"/>
      <c r="H28" s="136"/>
      <c r="I28" s="136"/>
      <c r="J28" s="136" t="s">
        <v>467</v>
      </c>
    </row>
    <row r="29" spans="1:10" ht="25" customHeight="1" x14ac:dyDescent="0.35">
      <c r="A29" s="136"/>
      <c r="B29" s="232" t="s">
        <v>412</v>
      </c>
      <c r="C29" s="232"/>
      <c r="D29" s="232"/>
      <c r="E29" s="232"/>
      <c r="F29" s="232"/>
      <c r="G29" s="232"/>
      <c r="H29" s="136"/>
      <c r="I29" s="136"/>
      <c r="J29" s="136" t="s">
        <v>503</v>
      </c>
    </row>
    <row r="30" spans="1:10" ht="25" customHeight="1" x14ac:dyDescent="0.35">
      <c r="A30" s="136"/>
      <c r="B30" s="232" t="s">
        <v>413</v>
      </c>
      <c r="C30" s="232"/>
      <c r="D30" s="232"/>
      <c r="E30" s="232"/>
      <c r="F30" s="232"/>
      <c r="G30" s="232"/>
      <c r="H30" s="136"/>
      <c r="I30" s="136"/>
      <c r="J30" s="136"/>
    </row>
    <row r="31" spans="1:10" ht="23" customHeight="1" x14ac:dyDescent="0.35">
      <c r="A31" s="136"/>
      <c r="B31" s="136"/>
      <c r="C31" s="136"/>
      <c r="D31" s="136"/>
      <c r="E31" s="136"/>
      <c r="F31" s="136"/>
      <c r="G31" s="136"/>
      <c r="H31" s="136"/>
      <c r="I31" s="136"/>
      <c r="J31" s="136"/>
    </row>
    <row r="32" spans="1:10" ht="23" customHeight="1" x14ac:dyDescent="0.35">
      <c r="A32" s="136"/>
      <c r="B32" s="170" t="s">
        <v>414</v>
      </c>
      <c r="C32" s="136"/>
      <c r="D32" s="136" t="s">
        <v>415</v>
      </c>
      <c r="E32" s="136"/>
      <c r="F32" s="136"/>
      <c r="G32" s="136"/>
      <c r="H32" s="136"/>
      <c r="I32" s="136"/>
      <c r="J32" s="136" t="s">
        <v>402</v>
      </c>
    </row>
    <row r="33" spans="1:10" ht="23" customHeight="1" x14ac:dyDescent="0.35">
      <c r="A33" s="136"/>
      <c r="B33" s="136"/>
      <c r="C33" s="136"/>
      <c r="D33" s="183" t="s">
        <v>539</v>
      </c>
      <c r="E33" s="136"/>
      <c r="F33" s="136"/>
      <c r="G33" s="136"/>
      <c r="H33" s="136"/>
      <c r="I33" s="136"/>
      <c r="J33" s="136" t="str">
        <f>IF(INDEX(NewsSources[Publisher],1)="","",INDEX(NewsSources[Publisher],1))</f>
        <v>Mint</v>
      </c>
    </row>
    <row r="34" spans="1:10" ht="30" customHeight="1" x14ac:dyDescent="0.35">
      <c r="A34" s="136"/>
      <c r="B34" s="141" t="s">
        <v>416</v>
      </c>
      <c r="C34" s="141" t="s">
        <v>401</v>
      </c>
      <c r="D34" s="141" t="s">
        <v>417</v>
      </c>
      <c r="E34" s="141" t="s">
        <v>418</v>
      </c>
      <c r="F34" s="141" t="s">
        <v>419</v>
      </c>
      <c r="G34" s="141" t="s">
        <v>420</v>
      </c>
      <c r="H34" s="136"/>
      <c r="I34" s="136"/>
      <c r="J34" s="136" t="str">
        <f>IF(INDEX(NewsSources[Publisher],2)="","",INDEX(NewsSources[Publisher],2))</f>
        <v>Mint</v>
      </c>
    </row>
    <row r="35" spans="1:10" ht="34" customHeight="1" x14ac:dyDescent="0.35">
      <c r="A35" s="136"/>
      <c r="B35" s="143" t="s">
        <v>421</v>
      </c>
      <c r="C35" s="143" t="s">
        <v>422</v>
      </c>
      <c r="D35" s="143" t="s">
        <v>423</v>
      </c>
      <c r="E35" s="143" t="s">
        <v>230</v>
      </c>
      <c r="F35" s="178" t="str">
        <f>IF(B35="","",IF(E35&lt;&gt;"Yes","Not followed",IFERROR(INDEX(NewsCache[State],MATCH(1,INDEX((NewsCache[RowType]="Feed")*(NewsCache[SourceID]=B35),0),0)),"Refresh required")))</f>
        <v>Ready</v>
      </c>
      <c r="G35" s="178">
        <f>IF(OR(B35="",E35&lt;&gt;"Yes"),"",IFERROR(INDEX(NewsCache[ItemCount],MATCH(1,INDEX((NewsCache[RowType]="Feed")*(NewsCache[SourceID]=B35),0),0)),"—"))</f>
        <v>6</v>
      </c>
      <c r="H35" s="136"/>
      <c r="I35" s="136"/>
      <c r="J35" s="136" t="str">
        <f>IF(INDEX(NewsSources[Publisher],3)="","",INDEX(NewsSources[Publisher],3))</f>
        <v>Mint</v>
      </c>
    </row>
    <row r="36" spans="1:10" ht="34" customHeight="1" x14ac:dyDescent="0.35">
      <c r="A36" s="136"/>
      <c r="B36" s="143" t="s">
        <v>424</v>
      </c>
      <c r="C36" s="143" t="s">
        <v>422</v>
      </c>
      <c r="D36" s="143" t="s">
        <v>425</v>
      </c>
      <c r="E36" s="143" t="s">
        <v>230</v>
      </c>
      <c r="F36" s="178" t="str">
        <f>IF(B36="","",IF(E36&lt;&gt;"Yes","Not followed",IFERROR(INDEX(NewsCache[State],MATCH(1,INDEX((NewsCache[RowType]="Feed")*(NewsCache[SourceID]=B36),0),0)),"Refresh required")))</f>
        <v>Ready</v>
      </c>
      <c r="G36" s="178">
        <f>IF(OR(B36="",E36&lt;&gt;"Yes"),"",IFERROR(INDEX(NewsCache[ItemCount],MATCH(1,INDEX((NewsCache[RowType]="Feed")*(NewsCache[SourceID]=B36),0),0)),"—"))</f>
        <v>2</v>
      </c>
      <c r="H36" s="136"/>
      <c r="I36" s="136"/>
      <c r="J36" s="136" t="str">
        <f>IF(INDEX(NewsSources[Publisher],4)="","",INDEX(NewsSources[Publisher],4))</f>
        <v/>
      </c>
    </row>
    <row r="37" spans="1:10" ht="34" customHeight="1" x14ac:dyDescent="0.35">
      <c r="A37" s="136"/>
      <c r="B37" s="143" t="s">
        <v>426</v>
      </c>
      <c r="C37" s="143" t="s">
        <v>422</v>
      </c>
      <c r="D37" s="143" t="s">
        <v>427</v>
      </c>
      <c r="E37" s="143" t="s">
        <v>230</v>
      </c>
      <c r="F37" s="178" t="str">
        <f>IF(B37="","",IF(E37&lt;&gt;"Yes","Not followed",IFERROR(INDEX(NewsCache[State],MATCH(1,INDEX((NewsCache[RowType]="Feed")*(NewsCache[SourceID]=B37),0),0)),"Refresh required")))</f>
        <v>Ready</v>
      </c>
      <c r="G37" s="178">
        <f>IF(OR(B37="",E37&lt;&gt;"Yes"),"",IFERROR(INDEX(NewsCache[ItemCount],MATCH(1,INDEX((NewsCache[RowType]="Feed")*(NewsCache[SourceID]=B37),0),0)),"—"))</f>
        <v>3</v>
      </c>
      <c r="H37" s="136"/>
      <c r="I37" s="136"/>
      <c r="J37" s="136" t="str">
        <f>IF(INDEX(NewsSources[Publisher],5)="","",INDEX(NewsSources[Publisher],5))</f>
        <v/>
      </c>
    </row>
    <row r="38" spans="1:10" ht="34" customHeight="1" x14ac:dyDescent="0.35">
      <c r="A38" s="136"/>
      <c r="B38" s="143"/>
      <c r="C38" s="143"/>
      <c r="D38" s="143"/>
      <c r="E38" s="143" t="s">
        <v>232</v>
      </c>
      <c r="F38" s="178" t="str">
        <f>IF(B38="","",IF(E38&lt;&gt;"Yes","Not followed",IFERROR(INDEX(NewsCache[State],MATCH(1,INDEX((NewsCache[RowType]="Feed")*(NewsCache[SourceID]=B38),0),0)),"Refresh required")))</f>
        <v/>
      </c>
      <c r="G38" s="178" t="str">
        <f>IF(OR(B38="",E38&lt;&gt;"Yes"),"",IFERROR(INDEX(NewsCache[ItemCount],MATCH(1,INDEX((NewsCache[RowType]="Feed")*(NewsCache[SourceID]=B38),0),0)),"—"))</f>
        <v/>
      </c>
      <c r="H38" s="136"/>
      <c r="I38" s="136"/>
      <c r="J38" s="136" t="str">
        <f>IF(INDEX(NewsSources[Publisher],6)="","",INDEX(NewsSources[Publisher],6))</f>
        <v/>
      </c>
    </row>
    <row r="39" spans="1:10" ht="34" customHeight="1" x14ac:dyDescent="0.35">
      <c r="A39" s="136"/>
      <c r="B39" s="143"/>
      <c r="C39" s="143"/>
      <c r="D39" s="143"/>
      <c r="E39" s="143" t="s">
        <v>232</v>
      </c>
      <c r="F39" s="178" t="str">
        <f>IF(B39="","",IF(E39&lt;&gt;"Yes","Not followed",IFERROR(INDEX(NewsCache[State],MATCH(1,INDEX((NewsCache[RowType]="Feed")*(NewsCache[SourceID]=B39),0),0)),"Refresh required")))</f>
        <v/>
      </c>
      <c r="G39" s="178" t="str">
        <f>IF(OR(B39="",E39&lt;&gt;"Yes"),"",IFERROR(INDEX(NewsCache[ItemCount],MATCH(1,INDEX((NewsCache[RowType]="Feed")*(NewsCache[SourceID]=B39),0),0)),"—"))</f>
        <v/>
      </c>
      <c r="H39" s="136"/>
      <c r="I39" s="136"/>
      <c r="J39" s="136"/>
    </row>
    <row r="40" spans="1:10" ht="34" customHeight="1" x14ac:dyDescent="0.35">
      <c r="A40" s="136"/>
      <c r="B40" s="143"/>
      <c r="C40" s="143"/>
      <c r="D40" s="143"/>
      <c r="E40" s="143" t="s">
        <v>232</v>
      </c>
      <c r="F40" s="178" t="str">
        <f>IF(B40="","",IF(E40&lt;&gt;"Yes","Not followed",IFERROR(INDEX(NewsCache[State],MATCH(1,INDEX((NewsCache[RowType]="Feed")*(NewsCache[SourceID]=B40),0),0)),"Refresh required")))</f>
        <v/>
      </c>
      <c r="G40" s="178" t="str">
        <f>IF(OR(B40="",E40&lt;&gt;"Yes"),"",IFERROR(INDEX(NewsCache[ItemCount],MATCH(1,INDEX((NewsCache[RowType]="Feed")*(NewsCache[SourceID]=B40),0),0)),"—"))</f>
        <v/>
      </c>
      <c r="H40" s="136"/>
      <c r="I40" s="136"/>
      <c r="J40" s="136"/>
    </row>
    <row r="41" spans="1:10" ht="23" customHeight="1" x14ac:dyDescent="0.35">
      <c r="A41" s="136"/>
      <c r="B41" s="136"/>
      <c r="C41" s="136"/>
      <c r="D41" s="136"/>
      <c r="E41" s="136"/>
      <c r="F41" s="136"/>
      <c r="G41" s="136"/>
      <c r="H41" s="136"/>
      <c r="I41" s="136"/>
      <c r="J41" s="136"/>
    </row>
    <row r="42" spans="1:10" ht="23" customHeight="1" x14ac:dyDescent="0.35">
      <c r="A42" s="136"/>
      <c r="B42" s="136" t="s">
        <v>428</v>
      </c>
      <c r="C42" s="253" t="s">
        <v>429</v>
      </c>
      <c r="D42" s="253"/>
      <c r="E42" s="253"/>
      <c r="F42" s="253"/>
      <c r="G42" s="253"/>
      <c r="H42" s="136"/>
      <c r="I42" s="136"/>
      <c r="J42" s="136"/>
    </row>
    <row r="43" spans="1:10" ht="23" customHeight="1" x14ac:dyDescent="0.35">
      <c r="A43" s="136"/>
      <c r="B43" s="136"/>
      <c r="C43" s="253"/>
      <c r="D43" s="253"/>
      <c r="E43" s="253"/>
      <c r="F43" s="253"/>
      <c r="G43" s="253"/>
      <c r="H43" s="136"/>
      <c r="I43" s="136"/>
      <c r="J43" s="136"/>
    </row>
    <row r="44" spans="1:10" ht="23" customHeight="1" x14ac:dyDescent="0.35">
      <c r="A44" s="136"/>
      <c r="B44" s="136" t="s">
        <v>430</v>
      </c>
      <c r="C44" s="253" t="s">
        <v>431</v>
      </c>
      <c r="D44" s="253"/>
      <c r="E44" s="253"/>
      <c r="F44" s="253"/>
      <c r="G44" s="253"/>
      <c r="H44" s="136"/>
      <c r="I44" s="136"/>
      <c r="J44" s="136"/>
    </row>
    <row r="45" spans="1:10" ht="23" customHeight="1" x14ac:dyDescent="0.35">
      <c r="A45" s="136"/>
      <c r="B45" s="136"/>
      <c r="C45" s="253"/>
      <c r="D45" s="253"/>
      <c r="E45" s="253"/>
      <c r="F45" s="253"/>
      <c r="G45" s="253"/>
      <c r="H45" s="136"/>
      <c r="I45" s="136"/>
      <c r="J45" s="136"/>
    </row>
    <row r="46" spans="1:10" ht="23" customHeight="1" x14ac:dyDescent="0.35">
      <c r="A46" s="136"/>
      <c r="B46" s="170" t="s">
        <v>432</v>
      </c>
      <c r="C46" s="136"/>
      <c r="D46" s="136" t="s">
        <v>433</v>
      </c>
      <c r="E46" s="136"/>
      <c r="F46" s="136"/>
      <c r="G46" s="136"/>
      <c r="H46" s="136"/>
      <c r="I46" s="136"/>
      <c r="J46" s="136"/>
    </row>
    <row r="47" spans="1:10" ht="23" customHeight="1" x14ac:dyDescent="0.35">
      <c r="A47" s="136"/>
      <c r="B47" s="136"/>
      <c r="C47" s="136"/>
      <c r="D47" s="136"/>
      <c r="E47" s="136"/>
      <c r="F47" s="136"/>
      <c r="G47" s="136"/>
      <c r="H47" s="136"/>
      <c r="I47" s="136"/>
      <c r="J47" s="136"/>
    </row>
    <row r="48" spans="1:10" ht="30" customHeight="1" x14ac:dyDescent="0.35">
      <c r="A48" s="136"/>
      <c r="B48" s="141" t="s">
        <v>399</v>
      </c>
      <c r="C48" s="141" t="s">
        <v>434</v>
      </c>
      <c r="D48" s="136"/>
      <c r="E48" s="136"/>
      <c r="F48" s="136"/>
      <c r="G48" s="136"/>
      <c r="H48" s="136"/>
      <c r="I48" s="136"/>
      <c r="J48" s="136"/>
    </row>
    <row r="49" spans="1:10" ht="23" customHeight="1" x14ac:dyDescent="0.35">
      <c r="A49" s="136"/>
      <c r="B49" s="164" t="s">
        <v>435</v>
      </c>
      <c r="C49" s="164" t="s">
        <v>436</v>
      </c>
      <c r="D49" s="252" t="s">
        <v>437</v>
      </c>
      <c r="E49" s="252"/>
      <c r="F49" s="252"/>
      <c r="G49" s="252"/>
      <c r="H49" s="136"/>
      <c r="I49" s="136"/>
      <c r="J49" s="136"/>
    </row>
    <row r="50" spans="1:10" ht="23" customHeight="1" x14ac:dyDescent="0.35">
      <c r="A50" s="136"/>
      <c r="B50" s="164" t="s">
        <v>435</v>
      </c>
      <c r="C50" s="164" t="s">
        <v>438</v>
      </c>
      <c r="D50" s="252"/>
      <c r="E50" s="252"/>
      <c r="F50" s="252"/>
      <c r="G50" s="252"/>
      <c r="H50" s="136"/>
      <c r="I50" s="136"/>
      <c r="J50" s="136"/>
    </row>
    <row r="51" spans="1:10" ht="23" customHeight="1" x14ac:dyDescent="0.35">
      <c r="A51" s="136"/>
      <c r="B51" s="164" t="s">
        <v>435</v>
      </c>
      <c r="C51" s="164" t="s">
        <v>439</v>
      </c>
      <c r="D51" s="252"/>
      <c r="E51" s="252"/>
      <c r="F51" s="252"/>
      <c r="G51" s="252"/>
      <c r="H51" s="136"/>
      <c r="I51" s="136"/>
      <c r="J51" s="136"/>
    </row>
    <row r="52" spans="1:10" ht="23" customHeight="1" x14ac:dyDescent="0.35">
      <c r="A52" s="136"/>
      <c r="B52" s="164" t="s">
        <v>435</v>
      </c>
      <c r="C52" s="164" t="s">
        <v>440</v>
      </c>
      <c r="D52" s="171"/>
      <c r="E52" s="171"/>
      <c r="F52" s="171"/>
      <c r="G52" s="171"/>
      <c r="H52" s="136"/>
      <c r="I52" s="136"/>
      <c r="J52" s="136"/>
    </row>
    <row r="53" spans="1:10" ht="23" customHeight="1" x14ac:dyDescent="0.35">
      <c r="A53" s="136"/>
      <c r="B53" s="164" t="s">
        <v>51</v>
      </c>
      <c r="C53" s="164" t="s">
        <v>441</v>
      </c>
      <c r="D53" s="252" t="s">
        <v>442</v>
      </c>
      <c r="E53" s="252"/>
      <c r="F53" s="252"/>
      <c r="G53" s="252"/>
      <c r="H53" s="136"/>
      <c r="I53" s="136"/>
      <c r="J53" s="136"/>
    </row>
    <row r="54" spans="1:10" ht="23" customHeight="1" x14ac:dyDescent="0.35">
      <c r="A54" s="136"/>
      <c r="B54" s="164" t="s">
        <v>51</v>
      </c>
      <c r="C54" s="164" t="s">
        <v>443</v>
      </c>
      <c r="D54" s="252"/>
      <c r="E54" s="252"/>
      <c r="F54" s="252"/>
      <c r="G54" s="252"/>
      <c r="H54" s="136"/>
      <c r="I54" s="136"/>
      <c r="J54" s="136"/>
    </row>
    <row r="55" spans="1:10" ht="23" customHeight="1" x14ac:dyDescent="0.35">
      <c r="A55" s="136"/>
      <c r="B55" s="164" t="s">
        <v>51</v>
      </c>
      <c r="C55" s="164" t="s">
        <v>444</v>
      </c>
      <c r="D55" s="252"/>
      <c r="E55" s="252"/>
      <c r="F55" s="252"/>
      <c r="G55" s="252"/>
      <c r="H55" s="136"/>
      <c r="I55" s="136"/>
      <c r="J55" s="136"/>
    </row>
    <row r="56" spans="1:10" ht="23" customHeight="1" x14ac:dyDescent="0.35">
      <c r="A56" s="136"/>
      <c r="B56" s="164" t="s">
        <v>51</v>
      </c>
      <c r="C56" s="164" t="s">
        <v>445</v>
      </c>
      <c r="D56" s="171"/>
      <c r="E56" s="171"/>
      <c r="F56" s="171"/>
      <c r="G56" s="171"/>
      <c r="H56" s="136"/>
      <c r="I56" s="136"/>
      <c r="J56" s="136"/>
    </row>
    <row r="57" spans="1:10" ht="23" customHeight="1" x14ac:dyDescent="0.35">
      <c r="A57" s="136"/>
      <c r="B57" s="164" t="s">
        <v>54</v>
      </c>
      <c r="C57" s="164" t="s">
        <v>446</v>
      </c>
      <c r="D57" s="252" t="s">
        <v>447</v>
      </c>
      <c r="E57" s="252"/>
      <c r="F57" s="252"/>
      <c r="G57" s="252"/>
      <c r="H57" s="136"/>
      <c r="I57" s="136"/>
      <c r="J57" s="136"/>
    </row>
    <row r="58" spans="1:10" ht="23" customHeight="1" x14ac:dyDescent="0.35">
      <c r="A58" s="136"/>
      <c r="B58" s="164" t="s">
        <v>54</v>
      </c>
      <c r="C58" s="164" t="s">
        <v>448</v>
      </c>
      <c r="D58" s="252"/>
      <c r="E58" s="252"/>
      <c r="F58" s="252"/>
      <c r="G58" s="252"/>
      <c r="H58" s="136"/>
      <c r="I58" s="136"/>
      <c r="J58" s="136"/>
    </row>
    <row r="59" spans="1:10" ht="23" customHeight="1" x14ac:dyDescent="0.35">
      <c r="A59" s="136"/>
      <c r="B59" s="164" t="s">
        <v>54</v>
      </c>
      <c r="C59" s="164" t="s">
        <v>449</v>
      </c>
      <c r="D59" s="252"/>
      <c r="E59" s="252"/>
      <c r="F59" s="252"/>
      <c r="G59" s="252"/>
      <c r="H59" s="136"/>
      <c r="I59" s="136"/>
      <c r="J59" s="136"/>
    </row>
    <row r="60" spans="1:10" ht="23" customHeight="1" x14ac:dyDescent="0.35">
      <c r="A60" s="136"/>
      <c r="B60" s="164" t="s">
        <v>450</v>
      </c>
      <c r="C60" s="164" t="s">
        <v>451</v>
      </c>
      <c r="D60" s="171"/>
      <c r="E60" s="171"/>
      <c r="F60" s="171"/>
      <c r="G60" s="171"/>
      <c r="H60" s="136"/>
      <c r="I60" s="136"/>
      <c r="J60" s="136"/>
    </row>
    <row r="61" spans="1:10" ht="23" customHeight="1" x14ac:dyDescent="0.35">
      <c r="A61" s="136"/>
      <c r="B61" s="164" t="s">
        <v>450</v>
      </c>
      <c r="C61" s="164" t="s">
        <v>452</v>
      </c>
      <c r="D61" s="252" t="s">
        <v>453</v>
      </c>
      <c r="E61" s="252"/>
      <c r="F61" s="252"/>
      <c r="G61" s="252"/>
      <c r="H61" s="136"/>
      <c r="I61" s="136"/>
      <c r="J61" s="136"/>
    </row>
    <row r="62" spans="1:10" ht="23" customHeight="1" x14ac:dyDescent="0.35">
      <c r="A62" s="136"/>
      <c r="B62" s="164" t="s">
        <v>450</v>
      </c>
      <c r="C62" s="164" t="s">
        <v>454</v>
      </c>
      <c r="D62" s="252"/>
      <c r="E62" s="252"/>
      <c r="F62" s="252"/>
      <c r="G62" s="252"/>
      <c r="H62" s="136"/>
      <c r="I62" s="136"/>
      <c r="J62" s="136"/>
    </row>
    <row r="63" spans="1:10" ht="23" customHeight="1" x14ac:dyDescent="0.35">
      <c r="A63" s="136"/>
      <c r="B63" s="164" t="s">
        <v>455</v>
      </c>
      <c r="C63" s="164" t="s">
        <v>456</v>
      </c>
      <c r="D63" s="252"/>
      <c r="E63" s="252"/>
      <c r="F63" s="252"/>
      <c r="G63" s="252"/>
      <c r="H63" s="136"/>
      <c r="I63" s="136"/>
      <c r="J63" s="136"/>
    </row>
    <row r="64" spans="1:10" ht="23" customHeight="1" x14ac:dyDescent="0.35">
      <c r="A64" s="136"/>
      <c r="B64" s="164" t="s">
        <v>455</v>
      </c>
      <c r="C64" s="164" t="s">
        <v>457</v>
      </c>
      <c r="D64" s="171"/>
      <c r="E64" s="171"/>
      <c r="F64" s="171"/>
      <c r="G64" s="171"/>
      <c r="H64" s="136"/>
      <c r="I64" s="136"/>
      <c r="J64" s="136"/>
    </row>
    <row r="65" spans="1:10" ht="23" customHeight="1" x14ac:dyDescent="0.35">
      <c r="A65" s="136"/>
      <c r="B65" s="164" t="s">
        <v>455</v>
      </c>
      <c r="C65" s="164" t="s">
        <v>458</v>
      </c>
      <c r="D65" s="252" t="s">
        <v>459</v>
      </c>
      <c r="E65" s="252"/>
      <c r="F65" s="252"/>
      <c r="G65" s="252"/>
      <c r="H65" s="136"/>
      <c r="I65" s="136"/>
      <c r="J65" s="136"/>
    </row>
    <row r="66" spans="1:10" ht="23" customHeight="1" x14ac:dyDescent="0.35">
      <c r="A66" s="136"/>
      <c r="B66" s="164" t="s">
        <v>460</v>
      </c>
      <c r="C66" s="164" t="s">
        <v>461</v>
      </c>
      <c r="D66" s="252"/>
      <c r="E66" s="252"/>
      <c r="F66" s="252"/>
      <c r="G66" s="252"/>
      <c r="H66" s="136"/>
      <c r="I66" s="136"/>
      <c r="J66" s="136"/>
    </row>
    <row r="67" spans="1:10" ht="23" customHeight="1" x14ac:dyDescent="0.35">
      <c r="A67" s="136"/>
      <c r="B67" s="164" t="s">
        <v>460</v>
      </c>
      <c r="C67" s="164" t="s">
        <v>462</v>
      </c>
      <c r="D67" s="252"/>
      <c r="E67" s="252"/>
      <c r="F67" s="252"/>
      <c r="G67" s="252"/>
      <c r="H67" s="136"/>
      <c r="I67" s="136"/>
      <c r="J67" s="136"/>
    </row>
    <row r="68" spans="1:10" ht="23" customHeight="1" x14ac:dyDescent="0.35">
      <c r="A68" s="136"/>
      <c r="B68" s="164" t="s">
        <v>460</v>
      </c>
      <c r="C68" s="164" t="s">
        <v>463</v>
      </c>
      <c r="D68" s="171"/>
      <c r="E68" s="171"/>
      <c r="F68" s="171"/>
      <c r="G68" s="171"/>
      <c r="H68" s="136"/>
      <c r="I68" s="136"/>
      <c r="J68" s="136"/>
    </row>
    <row r="69" spans="1:10" ht="23" customHeight="1" x14ac:dyDescent="0.35">
      <c r="A69" s="136"/>
      <c r="B69" s="164" t="s">
        <v>57</v>
      </c>
      <c r="C69" s="164" t="s">
        <v>464</v>
      </c>
      <c r="D69" s="252" t="s">
        <v>465</v>
      </c>
      <c r="E69" s="252"/>
      <c r="F69" s="252"/>
      <c r="G69" s="252"/>
      <c r="H69" s="136"/>
      <c r="I69" s="136"/>
      <c r="J69" s="136"/>
    </row>
    <row r="70" spans="1:10" ht="23" customHeight="1" x14ac:dyDescent="0.35">
      <c r="A70" s="136"/>
      <c r="B70" s="164" t="s">
        <v>57</v>
      </c>
      <c r="C70" s="164" t="s">
        <v>466</v>
      </c>
      <c r="D70" s="252"/>
      <c r="E70" s="252"/>
      <c r="F70" s="252"/>
      <c r="G70" s="252"/>
      <c r="H70" s="136"/>
      <c r="I70" s="136"/>
      <c r="J70" s="136"/>
    </row>
    <row r="71" spans="1:10" ht="23" customHeight="1" x14ac:dyDescent="0.35">
      <c r="A71" s="136"/>
      <c r="B71" s="164" t="s">
        <v>467</v>
      </c>
      <c r="C71" s="164" t="s">
        <v>468</v>
      </c>
      <c r="D71" s="252"/>
      <c r="E71" s="252"/>
      <c r="F71" s="252"/>
      <c r="G71" s="252"/>
      <c r="H71" s="136"/>
      <c r="I71" s="136"/>
      <c r="J71" s="136"/>
    </row>
    <row r="72" spans="1:10" ht="23" customHeight="1" x14ac:dyDescent="0.35">
      <c r="A72" s="136"/>
      <c r="B72" s="164" t="s">
        <v>467</v>
      </c>
      <c r="C72" s="164" t="s">
        <v>469</v>
      </c>
      <c r="D72" s="252"/>
      <c r="E72" s="252"/>
      <c r="F72" s="252"/>
      <c r="G72" s="252"/>
      <c r="H72" s="136"/>
      <c r="I72" s="136"/>
      <c r="J72" s="136"/>
    </row>
    <row r="73" spans="1:10" ht="23" customHeight="1" x14ac:dyDescent="0.35">
      <c r="A73" s="136"/>
      <c r="B73" s="164" t="s">
        <v>467</v>
      </c>
      <c r="C73" s="164" t="s">
        <v>159</v>
      </c>
      <c r="D73" s="136"/>
      <c r="E73" s="136"/>
      <c r="F73" s="136"/>
      <c r="G73" s="136"/>
      <c r="H73" s="136"/>
      <c r="I73" s="136"/>
      <c r="J73" s="136"/>
    </row>
    <row r="74" spans="1:10" ht="23" customHeight="1" x14ac:dyDescent="0.35">
      <c r="A74" s="136"/>
      <c r="B74" s="136"/>
      <c r="C74" s="136"/>
      <c r="D74" s="136"/>
      <c r="E74" s="136"/>
      <c r="F74" s="136"/>
      <c r="G74" s="136"/>
      <c r="H74" s="136"/>
      <c r="I74" s="136"/>
      <c r="J74" s="136"/>
    </row>
    <row r="75" spans="1:10" ht="23" customHeight="1" x14ac:dyDescent="0.35">
      <c r="A75" s="136"/>
      <c r="B75" s="136"/>
      <c r="C75" s="136"/>
      <c r="D75" s="136"/>
      <c r="E75" s="136"/>
      <c r="F75" s="136"/>
      <c r="G75" s="136"/>
      <c r="H75" s="136"/>
      <c r="I75" s="136"/>
      <c r="J75" s="136"/>
    </row>
    <row r="76" spans="1:10" ht="23" customHeight="1" x14ac:dyDescent="0.35">
      <c r="A76" s="136"/>
      <c r="B76" s="136"/>
      <c r="C76" s="136"/>
      <c r="D76" s="136"/>
      <c r="E76" s="136"/>
      <c r="F76" s="136"/>
      <c r="G76" s="136"/>
      <c r="H76" s="136"/>
      <c r="I76" s="136"/>
      <c r="J76" s="136"/>
    </row>
    <row r="77" spans="1:10" ht="23" customHeight="1" x14ac:dyDescent="0.35">
      <c r="A77" s="136"/>
      <c r="B77" s="136"/>
      <c r="C77" s="136"/>
      <c r="D77" s="136"/>
      <c r="E77" s="136"/>
      <c r="F77" s="136"/>
      <c r="G77" s="136"/>
      <c r="H77" s="136"/>
      <c r="I77" s="136"/>
      <c r="J77" s="136"/>
    </row>
    <row r="78" spans="1:10" ht="23" customHeight="1" x14ac:dyDescent="0.35">
      <c r="A78" s="136"/>
      <c r="B78" s="136"/>
      <c r="C78" s="136"/>
      <c r="D78" s="136"/>
      <c r="E78" s="136"/>
      <c r="F78" s="136"/>
      <c r="G78" s="136"/>
      <c r="H78" s="136"/>
      <c r="I78" s="136"/>
      <c r="J78" s="136"/>
    </row>
  </sheetData>
  <mergeCells count="14">
    <mergeCell ref="D65:G67"/>
    <mergeCell ref="D69:G72"/>
    <mergeCell ref="C42:G43"/>
    <mergeCell ref="C44:G45"/>
    <mergeCell ref="D49:G51"/>
    <mergeCell ref="D53:G55"/>
    <mergeCell ref="D57:G59"/>
    <mergeCell ref="D61:G63"/>
    <mergeCell ref="B30:G30"/>
    <mergeCell ref="C5:D5"/>
    <mergeCell ref="F5:G5"/>
    <mergeCell ref="B9:G9"/>
    <mergeCell ref="B10:G10"/>
    <mergeCell ref="B29:G29"/>
  </mergeCells>
  <dataValidations count="6">
    <dataValidation type="list" allowBlank="1" showInputMessage="1" showErrorMessage="1" sqref="C5" xr:uid="{93D32C2B-432A-46B9-9CD2-55D06D5A3F7F}">
      <formula1>NewsIndustryChoices</formula1>
    </dataValidation>
    <dataValidation type="list" allowBlank="1" showInputMessage="1" showErrorMessage="1" sqref="F5" xr:uid="{99523088-6E86-45F9-B0BB-BBC40C2EBB98}">
      <formula1>NewsPublisherChoices</formula1>
    </dataValidation>
    <dataValidation type="list" allowBlank="1" showInputMessage="1" showErrorMessage="1" sqref="C7" xr:uid="{FDB40186-A9C8-4AB7-9714-278D820811A9}">
      <formula1>"Demo,Live RSS"</formula1>
    </dataValidation>
    <dataValidation type="list" allowBlank="1" showInputMessage="1" showErrorMessage="1" sqref="E35:E40" xr:uid="{B589D701-F438-4E0A-BF48-38A78FC53755}">
      <formula1>"Yes,No"</formula1>
    </dataValidation>
    <dataValidation type="whole" allowBlank="1" showInputMessage="1" showErrorMessage="1" sqref="F7" xr:uid="{62047839-82FE-43CF-8BBB-35232DA3CEFE}">
      <formula1>1</formula1>
      <formula2>134</formula2>
    </dataValidation>
    <dataValidation type="list" allowBlank="1" showInputMessage="1" showErrorMessage="1" sqref="B49:B73" xr:uid="{25FCF1FA-7736-4624-8CEB-68C4968A1E7C}">
      <formula1>"Banking/Financials,Technology,Healthcare,Auto,Energy,Consumer,Industrials,Markets"</formula1>
    </dataValidation>
  </dataValidations>
  <hyperlinks>
    <hyperlink ref="B3" location="'Watchlist'!B2" tooltip="Watchlist" display="Watchlist" xr:uid="{63AB690A-2C8F-4EB7-A857-C9CB5A2E171D}"/>
    <hyperlink ref="C3" location="'Stock view'!B2" tooltip="Stock view" display="Stock view" xr:uid="{7A8ED9E4-698A-46CF-8B82-2D92A54581E4}"/>
    <hyperlink ref="D3" location="'Trade plan'!B2" tooltip="Trade plan" display="Trade plan" xr:uid="{DE6DD6B3-4AA8-4F5E-9F87-11985FC6EDF6}"/>
    <hyperlink ref="F3" location="'Help'!B2" tooltip="Help" display="Help" xr:uid="{51FEA13C-D2A3-4246-867B-1EDFCEC88A80}"/>
    <hyperlink ref="E3" location="'Headlines'!B32" tooltip="Edit feed settings and matching rules" display="Sources / rules" xr:uid="{FABFFF65-F2C0-4BF3-B52C-5DE31D0D8C91}"/>
    <hyperlink ref="D33" r:id="rId1" tooltip="Mint RSS directory and personal-use terms" xr:uid="{65087CE0-E25E-4AA5-8922-B0D2D916BDBB}"/>
  </hyperlinks>
  <pageMargins left="0.25" right="0.25" top="0.25" bottom="0.25" header="0.3" footer="0.3"/>
  <pageSetup paperSize="8" scale="80" fitToHeight="0" orientation="portrait" r:id="rId2"/>
  <rowBreaks count="1" manualBreakCount="1">
    <brk id="31" min="1" max="6" man="1"/>
  </rowBreaks>
  <tableParts count="2">
    <tablePart r:id="rId3"/>
    <tablePart r:id="rId4"/>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13C5A"/>
    <pageSetUpPr fitToPage="1"/>
  </sheetPr>
  <dimension ref="A1:T28"/>
  <sheetViews>
    <sheetView showGridLines="0" topLeftCell="B1" zoomScaleNormal="100" workbookViewId="0"/>
  </sheetViews>
  <sheetFormatPr defaultRowHeight="14.5" x14ac:dyDescent="0.35"/>
  <cols>
    <col min="1" max="1" width="22" hidden="1" customWidth="1"/>
    <col min="2" max="2" width="25.81640625" customWidth="1"/>
    <col min="3" max="3" width="22" hidden="1" customWidth="1"/>
    <col min="4" max="4" width="10.81640625" customWidth="1"/>
    <col min="5" max="5" width="13" hidden="1" customWidth="1"/>
    <col min="6" max="6" width="19.81640625" customWidth="1"/>
    <col min="7" max="7" width="18.81640625" customWidth="1"/>
    <col min="8" max="8" width="15.81640625" customWidth="1"/>
    <col min="9" max="9" width="13" hidden="1" customWidth="1"/>
    <col min="10" max="10" width="19.81640625" customWidth="1"/>
    <col min="11" max="12" width="13" hidden="1" customWidth="1"/>
    <col min="13" max="13" width="16.81640625" customWidth="1"/>
  </cols>
  <sheetData>
    <row r="1" spans="1:20" ht="20" customHeight="1" x14ac:dyDescent="0.35">
      <c r="A1" s="1"/>
      <c r="B1" s="71"/>
      <c r="C1" s="71"/>
      <c r="D1" s="71"/>
      <c r="E1" s="71"/>
      <c r="F1" s="71"/>
      <c r="G1" s="71"/>
      <c r="H1" s="71"/>
      <c r="I1" s="71"/>
      <c r="J1" s="71"/>
      <c r="K1" s="71"/>
      <c r="L1" s="71"/>
      <c r="M1" s="71"/>
    </row>
    <row r="2" spans="1:20" ht="36" customHeight="1" x14ac:dyDescent="0.35">
      <c r="A2" s="2"/>
      <c r="B2" s="254" t="s">
        <v>308</v>
      </c>
      <c r="C2" s="255"/>
      <c r="D2" s="255"/>
      <c r="E2" s="255"/>
      <c r="F2" s="255"/>
      <c r="G2" s="255"/>
      <c r="H2" s="255"/>
      <c r="I2" s="255"/>
      <c r="J2" s="255"/>
      <c r="K2" s="255"/>
      <c r="L2" s="255"/>
      <c r="M2" s="255"/>
    </row>
    <row r="3" spans="1:20" ht="28" customHeight="1" x14ac:dyDescent="0.35">
      <c r="A3" s="3"/>
      <c r="B3" s="72" t="s">
        <v>320</v>
      </c>
      <c r="C3" s="73"/>
      <c r="D3" s="73"/>
      <c r="E3" s="73"/>
      <c r="F3" s="72" t="s">
        <v>318</v>
      </c>
      <c r="G3" s="73"/>
      <c r="H3" s="73"/>
      <c r="I3" s="73"/>
      <c r="J3" s="72" t="s">
        <v>0</v>
      </c>
      <c r="K3" s="73"/>
      <c r="L3" s="73"/>
      <c r="M3" s="72" t="s">
        <v>319</v>
      </c>
      <c r="N3" s="4"/>
      <c r="O3" s="4"/>
      <c r="P3" s="4"/>
      <c r="Q3" s="4"/>
      <c r="R3" s="4"/>
      <c r="S3" s="4"/>
      <c r="T3" s="4"/>
    </row>
    <row r="4" spans="1:20" ht="20" customHeight="1" x14ac:dyDescent="0.35">
      <c r="A4" s="5"/>
      <c r="B4" s="71" t="str">
        <f>Portfolio!C5&amp;" portfolio | Valued "&amp;TEXT(Portfolio!J5,"dd mmm yyyy")&amp;" | INR. Change account/date on Portfolio."</f>
        <v>Model portfolio | Valued 18 Sep 2026 | INR. Change account/date on Portfolio.</v>
      </c>
      <c r="C4" s="71"/>
      <c r="D4" s="71"/>
      <c r="E4" s="71"/>
      <c r="F4" s="71"/>
      <c r="G4" s="71"/>
      <c r="H4" s="71"/>
      <c r="I4" s="71"/>
      <c r="J4" s="71"/>
      <c r="K4" s="71"/>
      <c r="L4" s="71"/>
      <c r="M4" s="71"/>
    </row>
    <row r="5" spans="1:20" ht="20" customHeight="1" x14ac:dyDescent="0.35">
      <c r="A5" s="1"/>
      <c r="B5" s="71"/>
      <c r="C5" s="71"/>
      <c r="D5" s="71"/>
      <c r="E5" s="71"/>
      <c r="F5" s="71"/>
      <c r="G5" s="71"/>
      <c r="H5" s="71"/>
      <c r="I5" s="71"/>
      <c r="J5" s="71"/>
      <c r="K5" s="71"/>
      <c r="L5" s="71"/>
      <c r="M5" s="71"/>
    </row>
    <row r="6" spans="1:20" ht="36" customHeight="1" x14ac:dyDescent="0.35">
      <c r="A6" s="6" t="s">
        <v>11</v>
      </c>
      <c r="B6" s="74" t="s">
        <v>255</v>
      </c>
      <c r="C6" s="74" t="s">
        <v>12</v>
      </c>
      <c r="D6" s="74" t="s">
        <v>309</v>
      </c>
      <c r="E6" s="74" t="s">
        <v>43</v>
      </c>
      <c r="F6" s="74" t="s">
        <v>14</v>
      </c>
      <c r="G6" s="74" t="s">
        <v>15</v>
      </c>
      <c r="H6" s="74" t="s">
        <v>310</v>
      </c>
      <c r="I6" s="74" t="s">
        <v>44</v>
      </c>
      <c r="J6" s="74" t="s">
        <v>311</v>
      </c>
      <c r="K6" s="74" t="s">
        <v>17</v>
      </c>
      <c r="L6" s="74" t="s">
        <v>45</v>
      </c>
      <c r="M6" s="74" t="s">
        <v>236</v>
      </c>
    </row>
    <row r="7" spans="1:20" ht="30" customHeight="1" x14ac:dyDescent="0.35">
      <c r="A7" s="1" t="s">
        <v>46</v>
      </c>
      <c r="B7" s="75" t="s">
        <v>47</v>
      </c>
      <c r="C7" s="75" t="s">
        <v>48</v>
      </c>
      <c r="D7" s="76">
        <f>SUMIFS(Ledger!$J$7:$J$1006,Ledger!$C$7:$C$1006,Portfolio!$C$5,Ledger!$E$7:$E$1006,$A7,Ledger!$B$7:$B$1006,"&lt;="&amp;Portfolio!$J$5)</f>
        <v>90</v>
      </c>
      <c r="E7" s="77">
        <f>Portfolio!$J$5</f>
        <v>46283</v>
      </c>
      <c r="F7" s="78">
        <f>IF(Portfolio!$J$5=MAX(History!$A$7:$A$136),IF(AND(COUNTIFS(Quotes!$A$7:$A$12,A7,Quotes!$B$7:$B$12,"&gt;0")=1,INDEX(History!$B$7:$G$136,MATCH(Portfolio!$J$5,History!$A$7:$A$136,0),MATCH(A7,History!$B$6:$G$6,0))&gt;0),INDEX(Quotes!$B$7:$B$12,MATCH(A7,Quotes!$A$7:$A$12,0)),NA()),IF(INDEX(History!$B$7:$G$136,MATCH(Portfolio!$J$5,History!$A$7:$A$136,0),MATCH(A7,History!$B$6:$G$6,0))&gt;0,INDEX(History!$B$7:$G$136,MATCH(Portfolio!$J$5,History!$A$7:$A$136,0),MATCH(A7,History!$B$6:$G$6,0)),NA()))</f>
        <v>547.4307</v>
      </c>
      <c r="G7" s="78">
        <f t="shared" ref="G7:G12" si="0">D7*F7</f>
        <v>49268.762999999999</v>
      </c>
      <c r="H7" s="79">
        <f t="shared" ref="H7:H12" si="1">IF($G$16=0,"n.a.",G7/$G$16)</f>
        <v>9.3504373517351705E-2</v>
      </c>
      <c r="I7" s="78">
        <f>SUMIFS(Ledger!$O$7:$O$1006,Ledger!$C$7:$C$1006,Portfolio!$C$5,Ledger!$E$7:$E$1006,$A7,Ledger!$B$7:$B$1006,"&lt;="&amp;Portfolio!$J$5)</f>
        <v>48978.631800000003</v>
      </c>
      <c r="J7" s="78">
        <f t="shared" ref="J7:J12" si="2">G7-I7</f>
        <v>290.13119999999617</v>
      </c>
      <c r="K7" s="78">
        <f>SUMIFS(Ledger!$P$7:$P$1006,Ledger!$C$7:$C$1006,Portfolio!$C$5,Ledger!$E$7:$E$1006,$A7,Ledger!$B$7:$B$1006,"&lt;="&amp;Portfolio!$J$5)</f>
        <v>88.746799999998984</v>
      </c>
      <c r="L7" s="78">
        <f>SUMIFS(Ledger!$H$7:$H$1006,Ledger!$C$7:$C$1006,Portfolio!$C$5,Ledger!$E$7:$E$1006,$A7,Ledger!$D$7:$D$1006,"DIVIDEND",Ledger!$B$7:$B$1006,"&lt;="&amp;Portfolio!$J$5)</f>
        <v>0</v>
      </c>
      <c r="M7" s="80" t="str">
        <f t="shared" ref="M7:M12" si="3">IF(OR(NOT(ISNUMBER(F7)),F7&lt;=0),"Review price",IF(D7&lt;-0.000001,"Review units","OK"))</f>
        <v>OK</v>
      </c>
    </row>
    <row r="8" spans="1:20" ht="30" customHeight="1" x14ac:dyDescent="0.35">
      <c r="A8" s="1" t="s">
        <v>49</v>
      </c>
      <c r="B8" s="81" t="s">
        <v>50</v>
      </c>
      <c r="C8" s="81" t="s">
        <v>51</v>
      </c>
      <c r="D8" s="82">
        <f>SUMIFS(Ledger!$J$7:$J$1006,Ledger!$C$7:$C$1006,Portfolio!$C$5,Ledger!$E$7:$E$1006,$A8,Ledger!$B$7:$B$1006,"&lt;="&amp;Portfolio!$J$5)</f>
        <v>220</v>
      </c>
      <c r="E8" s="83">
        <f>Portfolio!$J$5</f>
        <v>46283</v>
      </c>
      <c r="F8" s="84">
        <f>IF(Portfolio!$J$5=MAX(History!$A$7:$A$136),IF(AND(COUNTIFS(Quotes!$A$7:$A$12,A8,Quotes!$B$7:$B$12,"&gt;0")=1,INDEX(History!$B$7:$G$136,MATCH(Portfolio!$J$5,History!$A$7:$A$136,0),MATCH(A8,History!$B$6:$G$6,0))&gt;0),INDEX(Quotes!$B$7:$B$12,MATCH(A8,Quotes!$A$7:$A$12,0)),NA()),IF(INDEX(History!$B$7:$G$136,MATCH(Portfolio!$J$5,History!$A$7:$A$136,0),MATCH(A8,History!$B$6:$G$6,0))&gt;0,INDEX(History!$B$7:$G$136,MATCH(Portfolio!$J$5,History!$A$7:$A$136,0),MATCH(A8,History!$B$6:$G$6,0)),NA()))</f>
        <v>522.94749999999999</v>
      </c>
      <c r="G8" s="84">
        <f t="shared" si="0"/>
        <v>115048.45</v>
      </c>
      <c r="H8" s="85">
        <f t="shared" si="1"/>
        <v>0.21834388741183458</v>
      </c>
      <c r="I8" s="84">
        <f>SUMIFS(Ledger!$O$7:$O$1006,Ledger!$C$7:$C$1006,Portfolio!$C$5,Ledger!$E$7:$E$1006,$A8,Ledger!$B$7:$B$1006,"&lt;="&amp;Portfolio!$J$5)</f>
        <v>131512.90400000001</v>
      </c>
      <c r="J8" s="84">
        <f t="shared" si="2"/>
        <v>-16464.454000000012</v>
      </c>
      <c r="K8" s="84">
        <f>SUMIFS(Ledger!$P$7:$P$1006,Ledger!$C$7:$C$1006,Portfolio!$C$5,Ledger!$E$7:$E$1006,$A8,Ledger!$B$7:$B$1006,"&lt;="&amp;Portfolio!$J$5)</f>
        <v>0</v>
      </c>
      <c r="L8" s="84">
        <f>SUMIFS(Ledger!$H$7:$H$1006,Ledger!$C$7:$C$1006,Portfolio!$C$5,Ledger!$E$7:$E$1006,$A8,Ledger!$D$7:$D$1006,"DIVIDEND",Ledger!$B$7:$B$1006,"&lt;="&amp;Portfolio!$J$5)</f>
        <v>0</v>
      </c>
      <c r="M8" s="86" t="str">
        <f t="shared" si="3"/>
        <v>OK</v>
      </c>
    </row>
    <row r="9" spans="1:20" ht="30" customHeight="1" x14ac:dyDescent="0.35">
      <c r="A9" s="1" t="s">
        <v>52</v>
      </c>
      <c r="B9" s="87" t="s">
        <v>53</v>
      </c>
      <c r="C9" s="87" t="s">
        <v>54</v>
      </c>
      <c r="D9" s="88">
        <f>SUMIFS(Ledger!$J$7:$J$1006,Ledger!$C$7:$C$1006,Portfolio!$C$5,Ledger!$E$7:$E$1006,$A9,Ledger!$B$7:$B$1006,"&lt;="&amp;Portfolio!$J$5)</f>
        <v>80</v>
      </c>
      <c r="E9" s="89">
        <f>Portfolio!$J$5</f>
        <v>46283</v>
      </c>
      <c r="F9" s="90">
        <f>IF(Portfolio!$J$5=MAX(History!$A$7:$A$136),IF(AND(COUNTIFS(Quotes!$A$7:$A$12,A9,Quotes!$B$7:$B$12,"&gt;0")=1,INDEX(History!$B$7:$G$136,MATCH(Portfolio!$J$5,History!$A$7:$A$136,0),MATCH(A9,History!$B$6:$G$6,0))&gt;0),INDEX(Quotes!$B$7:$B$12,MATCH(A9,Quotes!$A$7:$A$12,0)),NA()),IF(INDEX(History!$B$7:$G$136,MATCH(Portfolio!$J$5,History!$A$7:$A$136,0),MATCH(A9,History!$B$6:$G$6,0))&gt;0,INDEX(History!$B$7:$G$136,MATCH(Portfolio!$J$5,History!$A$7:$A$136,0),MATCH(A9,History!$B$6:$G$6,0)),NA()))</f>
        <v>859.55989999999997</v>
      </c>
      <c r="G9" s="90">
        <f t="shared" si="0"/>
        <v>68764.792000000001</v>
      </c>
      <c r="H9" s="91">
        <f t="shared" si="1"/>
        <v>0.13050477431331081</v>
      </c>
      <c r="I9" s="90">
        <f>SUMIFS(Ledger!$O$7:$O$1006,Ledger!$C$7:$C$1006,Portfolio!$C$5,Ledger!$E$7:$E$1006,$A9,Ledger!$B$7:$B$1006,"&lt;="&amp;Portfolio!$J$5)</f>
        <v>68302.160999999993</v>
      </c>
      <c r="J9" s="90">
        <f t="shared" si="2"/>
        <v>462.6310000000085</v>
      </c>
      <c r="K9" s="90">
        <f>SUMIFS(Ledger!$P$7:$P$1006,Ledger!$C$7:$C$1006,Portfolio!$C$5,Ledger!$E$7:$E$1006,$A9,Ledger!$B$7:$B$1006,"&lt;="&amp;Portfolio!$J$5)</f>
        <v>0</v>
      </c>
      <c r="L9" s="90">
        <f>SUMIFS(Ledger!$H$7:$H$1006,Ledger!$C$7:$C$1006,Portfolio!$C$5,Ledger!$E$7:$E$1006,$A9,Ledger!$D$7:$D$1006,"DIVIDEND",Ledger!$B$7:$B$1006,"&lt;="&amp;Portfolio!$J$5)</f>
        <v>100</v>
      </c>
      <c r="M9" s="92" t="str">
        <f t="shared" si="3"/>
        <v>OK</v>
      </c>
    </row>
    <row r="10" spans="1:20" ht="30" customHeight="1" x14ac:dyDescent="0.35">
      <c r="A10" s="1" t="s">
        <v>55</v>
      </c>
      <c r="B10" s="81" t="s">
        <v>56</v>
      </c>
      <c r="C10" s="81" t="s">
        <v>57</v>
      </c>
      <c r="D10" s="82">
        <f>SUMIFS(Ledger!$J$7:$J$1006,Ledger!$C$7:$C$1006,Portfolio!$C$5,Ledger!$E$7:$E$1006,$A10,Ledger!$B$7:$B$1006,"&lt;="&amp;Portfolio!$J$5)</f>
        <v>130</v>
      </c>
      <c r="E10" s="83">
        <f>Portfolio!$J$5</f>
        <v>46283</v>
      </c>
      <c r="F10" s="84">
        <f>IF(Portfolio!$J$5=MAX(History!$A$7:$A$136),IF(AND(COUNTIFS(Quotes!$A$7:$A$12,A10,Quotes!$B$7:$B$12,"&gt;0")=1,INDEX(History!$B$7:$G$136,MATCH(Portfolio!$J$5,History!$A$7:$A$136,0),MATCH(A10,History!$B$6:$G$6,0))&gt;0),INDEX(Quotes!$B$7:$B$12,MATCH(A10,Quotes!$A$7:$A$12,0)),NA()),IF(INDEX(History!$B$7:$G$136,MATCH(Portfolio!$J$5,History!$A$7:$A$136,0),MATCH(A10,History!$B$6:$G$6,0))&gt;0,INDEX(History!$B$7:$G$136,MATCH(Portfolio!$J$5,History!$A$7:$A$136,0),MATCH(A10,History!$B$6:$G$6,0)),NA()))</f>
        <v>453.3229</v>
      </c>
      <c r="G10" s="84">
        <f t="shared" si="0"/>
        <v>58931.976999999999</v>
      </c>
      <c r="H10" s="85">
        <f t="shared" si="1"/>
        <v>0.11184363588596652</v>
      </c>
      <c r="I10" s="84">
        <f>SUMIFS(Ledger!$O$7:$O$1006,Ledger!$C$7:$C$1006,Portfolio!$C$5,Ledger!$E$7:$E$1006,$A10,Ledger!$B$7:$B$1006,"&lt;="&amp;Portfolio!$J$5)</f>
        <v>55921.666666666672</v>
      </c>
      <c r="J10" s="84">
        <f t="shared" si="2"/>
        <v>3010.3103333333274</v>
      </c>
      <c r="K10" s="84">
        <f>SUMIFS(Ledger!$P$7:$P$1006,Ledger!$C$7:$C$1006,Portfolio!$C$5,Ledger!$E$7:$E$1006,$A10,Ledger!$B$7:$B$1006,"&lt;="&amp;Portfolio!$J$5)</f>
        <v>-1029.9583333333321</v>
      </c>
      <c r="L10" s="84">
        <f>SUMIFS(Ledger!$H$7:$H$1006,Ledger!$C$7:$C$1006,Portfolio!$C$5,Ledger!$E$7:$E$1006,$A10,Ledger!$D$7:$D$1006,"DIVIDEND",Ledger!$B$7:$B$1006,"&lt;="&amp;Portfolio!$J$5)</f>
        <v>0</v>
      </c>
      <c r="M10" s="86" t="str">
        <f t="shared" si="3"/>
        <v>OK</v>
      </c>
    </row>
    <row r="11" spans="1:20" ht="30" customHeight="1" x14ac:dyDescent="0.35">
      <c r="A11" s="1" t="s">
        <v>58</v>
      </c>
      <c r="B11" s="87" t="s">
        <v>59</v>
      </c>
      <c r="C11" s="87" t="s">
        <v>60</v>
      </c>
      <c r="D11" s="88">
        <f>SUMIFS(Ledger!$J$7:$J$1006,Ledger!$C$7:$C$1006,Portfolio!$C$5,Ledger!$E$7:$E$1006,$A11,Ledger!$B$7:$B$1006,"&lt;="&amp;Portfolio!$J$5)</f>
        <v>480</v>
      </c>
      <c r="E11" s="89">
        <f>Portfolio!$J$5</f>
        <v>46283</v>
      </c>
      <c r="F11" s="90">
        <f>IF(Portfolio!$J$5=MAX(History!$A$7:$A$136),IF(AND(COUNTIFS(Quotes!$A$7:$A$12,A11,Quotes!$B$7:$B$12,"&gt;0")=1,INDEX(History!$B$7:$G$136,MATCH(Portfolio!$J$5,History!$A$7:$A$136,0),MATCH(A11,History!$B$6:$G$6,0))&gt;0),INDEX(Quotes!$B$7:$B$12,MATCH(A11,Quotes!$A$7:$A$12,0)),NA()),IF(INDEX(History!$B$7:$G$136,MATCH(Portfolio!$J$5,History!$A$7:$A$136,0),MATCH(A11,History!$B$6:$G$6,0))&gt;0,INDEX(History!$B$7:$G$136,MATCH(Portfolio!$J$5,History!$A$7:$A$136,0),MATCH(A11,History!$B$6:$G$6,0)),NA()))</f>
        <v>256.74239999999998</v>
      </c>
      <c r="G11" s="90">
        <f t="shared" si="0"/>
        <v>123236.35199999998</v>
      </c>
      <c r="H11" s="91">
        <f t="shared" si="1"/>
        <v>0.23388323933206587</v>
      </c>
      <c r="I11" s="90">
        <f>SUMIFS(Ledger!$O$7:$O$1006,Ledger!$C$7:$C$1006,Portfolio!$C$5,Ledger!$E$7:$E$1006,$A11,Ledger!$B$7:$B$1006,"&lt;="&amp;Portfolio!$J$5)</f>
        <v>119899.024</v>
      </c>
      <c r="J11" s="90">
        <f t="shared" si="2"/>
        <v>3337.3279999999795</v>
      </c>
      <c r="K11" s="90">
        <f>SUMIFS(Ledger!$P$7:$P$1006,Ledger!$C$7:$C$1006,Portfolio!$C$5,Ledger!$E$7:$E$1006,$A11,Ledger!$B$7:$B$1006,"&lt;="&amp;Portfolio!$J$5)</f>
        <v>0</v>
      </c>
      <c r="L11" s="90">
        <f>SUMIFS(Ledger!$H$7:$H$1006,Ledger!$C$7:$C$1006,Portfolio!$C$5,Ledger!$E$7:$E$1006,$A11,Ledger!$D$7:$D$1006,"DIVIDEND",Ledger!$B$7:$B$1006,"&lt;="&amp;Portfolio!$J$5)</f>
        <v>0</v>
      </c>
      <c r="M11" s="92" t="str">
        <f t="shared" si="3"/>
        <v>OK</v>
      </c>
    </row>
    <row r="12" spans="1:20" ht="30" customHeight="1" x14ac:dyDescent="0.35">
      <c r="A12" s="1" t="s">
        <v>61</v>
      </c>
      <c r="B12" s="93" t="s">
        <v>62</v>
      </c>
      <c r="C12" s="93" t="s">
        <v>63</v>
      </c>
      <c r="D12" s="94">
        <f>SUMIFS(Ledger!$J$7:$J$1006,Ledger!$C$7:$C$1006,Portfolio!$C$5,Ledger!$E$7:$E$1006,$A12,Ledger!$B$7:$B$1006,"&lt;="&amp;Portfolio!$J$5)</f>
        <v>600</v>
      </c>
      <c r="E12" s="95">
        <f>Portfolio!$J$5</f>
        <v>46283</v>
      </c>
      <c r="F12" s="96">
        <f>IF(Portfolio!$J$5=MAX(History!$A$7:$A$136),IF(AND(COUNTIFS(Quotes!$A$7:$A$12,A12,Quotes!$B$7:$B$12,"&gt;0")=1,INDEX(History!$B$7:$G$136,MATCH(Portfolio!$J$5,History!$A$7:$A$136,0),MATCH(A12,History!$B$6:$G$6,0))&gt;0),INDEX(Quotes!$B$7:$B$12,MATCH(A12,Quotes!$A$7:$A$12,0)),NA()),IF(INDEX(History!$B$7:$G$136,MATCH(Portfolio!$J$5,History!$A$7:$A$136,0),MATCH(A12,History!$B$6:$G$6,0))&gt;0,INDEX(History!$B$7:$G$136,MATCH(Portfolio!$J$5,History!$A$7:$A$136,0),MATCH(A12,History!$B$6:$G$6,0)),NA()))</f>
        <v>103.68210000000001</v>
      </c>
      <c r="G12" s="96">
        <f t="shared" si="0"/>
        <v>62209.26</v>
      </c>
      <c r="H12" s="97">
        <f t="shared" si="1"/>
        <v>0.11806340425632458</v>
      </c>
      <c r="I12" s="96">
        <f>SUMIFS(Ledger!$O$7:$O$1006,Ledger!$C$7:$C$1006,Portfolio!$C$5,Ledger!$E$7:$E$1006,$A12,Ledger!$B$7:$B$1006,"&lt;="&amp;Portfolio!$J$5)</f>
        <v>60030</v>
      </c>
      <c r="J12" s="96">
        <f t="shared" si="2"/>
        <v>2179.260000000002</v>
      </c>
      <c r="K12" s="96">
        <f>SUMIFS(Ledger!$P$7:$P$1006,Ledger!$C$7:$C$1006,Portfolio!$C$5,Ledger!$E$7:$E$1006,$A12,Ledger!$B$7:$B$1006,"&lt;="&amp;Portfolio!$J$5)</f>
        <v>0</v>
      </c>
      <c r="L12" s="96">
        <f>SUMIFS(Ledger!$H$7:$H$1006,Ledger!$C$7:$C$1006,Portfolio!$C$5,Ledger!$E$7:$E$1006,$A12,Ledger!$D$7:$D$1006,"DIVIDEND",Ledger!$B$7:$B$1006,"&lt;="&amp;Portfolio!$J$5)</f>
        <v>0</v>
      </c>
      <c r="M12" s="98" t="str">
        <f t="shared" si="3"/>
        <v>OK</v>
      </c>
    </row>
    <row r="13" spans="1:20" ht="20" customHeight="1" x14ac:dyDescent="0.35">
      <c r="A13" s="1"/>
      <c r="B13" s="71"/>
      <c r="C13" s="71"/>
      <c r="D13" s="71"/>
      <c r="E13" s="71"/>
      <c r="F13" s="99"/>
      <c r="G13" s="99"/>
      <c r="H13" s="99"/>
      <c r="I13" s="99"/>
      <c r="J13" s="99"/>
      <c r="K13" s="99"/>
      <c r="L13" s="99"/>
      <c r="M13" s="71"/>
    </row>
    <row r="14" spans="1:20" ht="20" customHeight="1" x14ac:dyDescent="0.35">
      <c r="A14" s="1"/>
      <c r="B14" s="71"/>
      <c r="C14" s="71"/>
      <c r="D14" s="71"/>
      <c r="E14" s="71"/>
      <c r="F14" s="99" t="s">
        <v>64</v>
      </c>
      <c r="G14" s="99">
        <f>SUM(G7:G12)</f>
        <v>477459.59400000004</v>
      </c>
      <c r="H14" s="99"/>
      <c r="I14" s="99"/>
      <c r="J14" s="99"/>
      <c r="K14" s="99"/>
      <c r="L14" s="99"/>
      <c r="M14" s="71"/>
    </row>
    <row r="15" spans="1:20" ht="20" customHeight="1" x14ac:dyDescent="0.35">
      <c r="A15" s="1"/>
      <c r="B15" s="71"/>
      <c r="C15" s="71"/>
      <c r="D15" s="71"/>
      <c r="E15" s="71"/>
      <c r="F15" s="99" t="s">
        <v>10</v>
      </c>
      <c r="G15" s="99">
        <f>SUMIFS(Ledger!$K$7:$K$1006,Ledger!$C$7:$C$1006,Portfolio!$C$5,Ledger!$B$7:$B$1006,"&lt;="&amp;Portfolio!$J$5)</f>
        <v>49454.401000000013</v>
      </c>
      <c r="H15" s="99"/>
      <c r="I15" s="99"/>
      <c r="J15" s="99"/>
      <c r="K15" s="99"/>
      <c r="L15" s="99"/>
      <c r="M15" s="71"/>
    </row>
    <row r="16" spans="1:20" ht="20" customHeight="1" x14ac:dyDescent="0.35">
      <c r="A16" s="1"/>
      <c r="B16" s="71"/>
      <c r="C16" s="71"/>
      <c r="D16" s="71"/>
      <c r="E16" s="71"/>
      <c r="F16" s="99" t="s">
        <v>65</v>
      </c>
      <c r="G16" s="99">
        <f>SUM(G14:G15)</f>
        <v>526913.99500000011</v>
      </c>
      <c r="H16" s="99"/>
      <c r="I16" s="99"/>
      <c r="J16" s="99"/>
      <c r="K16" s="99"/>
      <c r="L16" s="99"/>
      <c r="M16" s="71"/>
    </row>
    <row r="17" spans="1:13" ht="20" customHeight="1" x14ac:dyDescent="0.35">
      <c r="A17" s="1"/>
      <c r="B17" s="71"/>
      <c r="C17" s="71"/>
      <c r="D17" s="71"/>
      <c r="E17" s="71"/>
      <c r="F17" s="99"/>
      <c r="G17" s="99"/>
      <c r="H17" s="99"/>
      <c r="I17" s="99"/>
      <c r="J17" s="99"/>
      <c r="K17" s="99"/>
      <c r="L17" s="99"/>
      <c r="M17" s="71"/>
    </row>
    <row r="18" spans="1:13" ht="20" customHeight="1" x14ac:dyDescent="0.35">
      <c r="A18" s="1"/>
      <c r="B18" s="71"/>
      <c r="C18" s="71"/>
      <c r="D18" s="71"/>
      <c r="E18" s="71"/>
      <c r="F18" s="99" t="s">
        <v>312</v>
      </c>
      <c r="G18" s="99">
        <f>SUMIFS(Ledger!$L$7:$L$1006,Ledger!$C$7:$C$1006,Portfolio!$C$5,Ledger!$B$7:$B$1006,"&lt;="&amp;Portfolio!$J$5)</f>
        <v>535000</v>
      </c>
      <c r="H18" s="99"/>
      <c r="I18" s="99"/>
      <c r="J18" s="99"/>
      <c r="K18" s="99"/>
      <c r="L18" s="99"/>
      <c r="M18" s="71"/>
    </row>
    <row r="19" spans="1:13" ht="20" customHeight="1" x14ac:dyDescent="0.35">
      <c r="A19" s="1"/>
      <c r="B19" s="71"/>
      <c r="C19" s="71"/>
      <c r="D19" s="71"/>
      <c r="E19" s="71"/>
      <c r="F19" s="99" t="s">
        <v>66</v>
      </c>
      <c r="G19" s="99">
        <f>G16-G18</f>
        <v>-8086.0049999998882</v>
      </c>
      <c r="H19" s="99"/>
      <c r="I19" s="99"/>
      <c r="J19" s="99"/>
      <c r="K19" s="99"/>
      <c r="L19" s="99"/>
      <c r="M19" s="71"/>
    </row>
    <row r="20" spans="1:13" ht="20" customHeight="1" x14ac:dyDescent="0.35">
      <c r="A20" s="1"/>
      <c r="B20" s="71"/>
      <c r="C20" s="71"/>
      <c r="D20" s="71"/>
      <c r="E20" s="71"/>
      <c r="F20" s="99"/>
      <c r="G20" s="99"/>
      <c r="H20" s="99"/>
      <c r="I20" s="99"/>
      <c r="J20" s="99"/>
      <c r="K20" s="99"/>
      <c r="L20" s="99"/>
      <c r="M20" s="71"/>
    </row>
    <row r="21" spans="1:13" ht="20" customHeight="1" x14ac:dyDescent="0.35">
      <c r="A21" s="1"/>
      <c r="B21" s="71"/>
      <c r="C21" s="71"/>
      <c r="D21" s="71"/>
      <c r="E21" s="71"/>
      <c r="F21" s="71" t="s">
        <v>67</v>
      </c>
      <c r="G21" s="99">
        <f>SUMIFS(Ledger!$I$7:$I$1006,Ledger!$C$7:$C$1006,Portfolio!$C$5,Ledger!$B$7:$B$1006,"&lt;="&amp;Portfolio!$J$5)+SUMIFS(Ledger!$H$7:$H$1006,Ledger!$C$7:$C$1006,Portfolio!$C$5,Ledger!$D$7:$D$1006,"FEE",Ledger!$B$7:$B$1006,"&lt;="&amp;Portfolio!$J$5)</f>
        <v>370</v>
      </c>
      <c r="H21" s="71"/>
      <c r="I21" s="71"/>
      <c r="J21" s="71"/>
      <c r="K21" s="71"/>
      <c r="L21" s="71"/>
      <c r="M21" s="71"/>
    </row>
    <row r="22" spans="1:13" ht="20" customHeight="1" x14ac:dyDescent="0.35">
      <c r="A22" s="1"/>
      <c r="B22" s="71"/>
      <c r="C22" s="71"/>
      <c r="D22" s="71"/>
      <c r="E22" s="71"/>
      <c r="F22" s="71"/>
      <c r="G22" s="71"/>
      <c r="H22" s="71"/>
      <c r="I22" s="71"/>
      <c r="J22" s="71"/>
      <c r="K22" s="71"/>
      <c r="L22" s="71"/>
      <c r="M22" s="71"/>
    </row>
    <row r="23" spans="1:13" ht="20" customHeight="1" x14ac:dyDescent="0.35">
      <c r="A23" s="1"/>
      <c r="B23" s="71"/>
      <c r="C23" s="71"/>
      <c r="D23" s="71"/>
      <c r="E23" s="71"/>
      <c r="F23" s="71"/>
      <c r="G23" s="71"/>
      <c r="H23" s="71"/>
      <c r="I23" s="71"/>
      <c r="J23" s="71"/>
      <c r="K23" s="71"/>
      <c r="L23" s="71"/>
      <c r="M23" s="71"/>
    </row>
    <row r="24" spans="1:13" ht="20" customHeight="1" x14ac:dyDescent="0.35">
      <c r="A24" s="1"/>
      <c r="B24" s="71"/>
      <c r="C24" s="71"/>
      <c r="D24" s="71"/>
      <c r="E24" s="71"/>
      <c r="F24" s="71" t="s">
        <v>68</v>
      </c>
      <c r="G24" s="100">
        <f>IF(COUNTIFS(Ledger!$C$7:$C$1006,Portfolio!$C$5,Ledger!$D$7:$D$1006,"DEPOSIT")&gt;0,_xlfn.MINIFS(Ledger!$B$7:$B$1006,Ledger!$C$7:$C$1006,Portfolio!$C$5,Ledger!$D$7:$D$1006,"DEPOSIT"),NA())</f>
        <v>46104</v>
      </c>
      <c r="H24" s="71"/>
      <c r="I24" s="71"/>
      <c r="J24" s="71"/>
      <c r="K24" s="71"/>
      <c r="L24" s="71"/>
      <c r="M24" s="71"/>
    </row>
    <row r="25" spans="1:13" ht="20" customHeight="1" x14ac:dyDescent="0.35">
      <c r="A25" s="1"/>
      <c r="B25" s="71"/>
      <c r="C25" s="71"/>
      <c r="D25" s="71"/>
      <c r="E25" s="71"/>
      <c r="F25" s="71"/>
      <c r="G25" s="71"/>
      <c r="H25" s="71"/>
      <c r="I25" s="71"/>
      <c r="J25" s="71"/>
      <c r="K25" s="71"/>
      <c r="L25" s="71"/>
      <c r="M25" s="71"/>
    </row>
    <row r="26" spans="1:13" ht="20" customHeight="1" x14ac:dyDescent="0.35">
      <c r="A26" s="1"/>
      <c r="B26" s="71" t="s">
        <v>313</v>
      </c>
      <c r="C26" s="71"/>
      <c r="D26" s="71"/>
      <c r="E26" s="71"/>
      <c r="F26" s="71"/>
      <c r="G26" s="71"/>
      <c r="H26" s="71"/>
      <c r="I26" s="71"/>
      <c r="J26" s="71"/>
      <c r="K26" s="71"/>
      <c r="L26" s="71"/>
      <c r="M26" s="71"/>
    </row>
    <row r="27" spans="1:13" ht="20" customHeight="1" x14ac:dyDescent="0.35">
      <c r="A27" s="1"/>
      <c r="B27" s="71"/>
      <c r="C27" s="71"/>
      <c r="D27" s="71"/>
      <c r="E27" s="71"/>
      <c r="F27" s="71"/>
      <c r="G27" s="71"/>
      <c r="H27" s="71"/>
      <c r="I27" s="71"/>
      <c r="J27" s="71"/>
      <c r="K27" s="71"/>
      <c r="L27" s="71"/>
      <c r="M27" s="71"/>
    </row>
    <row r="28" spans="1:13" ht="20" customHeight="1" x14ac:dyDescent="0.35">
      <c r="A28" s="1"/>
      <c r="B28" s="71"/>
      <c r="C28" s="71"/>
      <c r="D28" s="71"/>
      <c r="E28" s="71"/>
      <c r="F28" s="71"/>
      <c r="G28" s="71"/>
      <c r="H28" s="71"/>
      <c r="I28" s="71"/>
      <c r="J28" s="71"/>
      <c r="K28" s="71"/>
      <c r="L28" s="71"/>
      <c r="M28" s="71"/>
    </row>
  </sheetData>
  <mergeCells count="1">
    <mergeCell ref="B2:M2"/>
  </mergeCells>
  <conditionalFormatting sqref="M7:M12">
    <cfRule type="containsText" dxfId="61" priority="1" operator="containsText" text="Review"/>
  </conditionalFormatting>
  <hyperlinks>
    <hyperlink ref="B3" location="'Watchlist'!A1" tooltip="Watchlist" display="Watchlist" xr:uid="{7C8B404C-EE61-4AFE-94E6-D184AC13143E}"/>
    <hyperlink ref="F3" location="'Transactions'!A1" tooltip="Transactions" display="Transactions" xr:uid="{C5F55A5C-4802-4732-AB6E-4571EB8DDD48}"/>
    <hyperlink ref="J3" location="'Portfolio'!A1" tooltip="Portfolio" display="Portfolio" xr:uid="{86CBEB49-699B-4935-84B6-216419E33D40}"/>
    <hyperlink ref="M3" location="'Help'!A1" tooltip="Help" display="Help" xr:uid="{580CC886-ADC6-4A10-83E7-005EEC508563}"/>
  </hyperlinks>
  <pageMargins left="0.27777777777777779" right="0.27777777777777779" top="0.27777777777777779" bottom="0.27777777777777779" header="0.3" footer="0.3"/>
  <pageSetup paperSize="8"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13C5A"/>
    <pageSetUpPr fitToPage="1"/>
  </sheetPr>
  <dimension ref="A1:T46"/>
  <sheetViews>
    <sheetView showGridLines="0" zoomScaleNormal="100" workbookViewId="0">
      <pane ySplit="6" topLeftCell="A7" activePane="bottomLeft" state="frozenSplit"/>
      <selection pane="bottomLeft"/>
    </sheetView>
  </sheetViews>
  <sheetFormatPr defaultRowHeight="14.5" x14ac:dyDescent="0.35"/>
  <cols>
    <col min="1" max="1" width="16.81640625" customWidth="1"/>
    <col min="2" max="2" width="14.81640625" customWidth="1"/>
    <col min="3" max="3" width="12.81640625" customWidth="1"/>
    <col min="4" max="4" width="13.81640625" customWidth="1"/>
    <col min="5" max="5" width="21.81640625" customWidth="1"/>
    <col min="6" max="6" width="11.81640625" customWidth="1"/>
    <col min="7" max="7" width="12.81640625" customWidth="1"/>
    <col min="8" max="8" width="14.81640625" customWidth="1"/>
    <col min="9" max="9" width="10.81640625" customWidth="1"/>
    <col min="10" max="10" width="13" hidden="1" customWidth="1"/>
    <col min="11" max="11" width="19.81640625" customWidth="1"/>
  </cols>
  <sheetData>
    <row r="1" spans="1:20" ht="20" customHeight="1" x14ac:dyDescent="0.35">
      <c r="A1" s="71"/>
      <c r="B1" s="71"/>
      <c r="C1" s="71"/>
      <c r="D1" s="71"/>
      <c r="E1" s="71"/>
      <c r="F1" s="71"/>
      <c r="G1" s="71"/>
      <c r="H1" s="71"/>
      <c r="I1" s="71"/>
      <c r="J1" s="71"/>
    </row>
    <row r="2" spans="1:20" ht="36" customHeight="1" x14ac:dyDescent="0.65">
      <c r="A2" s="256" t="s">
        <v>314</v>
      </c>
      <c r="B2" s="255"/>
      <c r="C2" s="255"/>
      <c r="D2" s="255"/>
      <c r="E2" s="255"/>
      <c r="F2" s="255"/>
      <c r="G2" s="255"/>
      <c r="H2" s="255"/>
      <c r="I2" s="255"/>
      <c r="J2" s="255"/>
      <c r="K2" s="257"/>
    </row>
    <row r="3" spans="1:20" ht="28" customHeight="1" x14ac:dyDescent="0.35">
      <c r="A3" s="72" t="s">
        <v>320</v>
      </c>
      <c r="B3" s="73"/>
      <c r="C3" s="73"/>
      <c r="D3" s="72" t="s">
        <v>317</v>
      </c>
      <c r="E3" s="73"/>
      <c r="F3" s="72" t="s">
        <v>0</v>
      </c>
      <c r="G3" s="73"/>
      <c r="H3" s="73"/>
      <c r="I3" s="72" t="s">
        <v>319</v>
      </c>
      <c r="J3" s="73"/>
      <c r="K3" s="101"/>
      <c r="L3" s="4"/>
      <c r="M3" s="4"/>
      <c r="N3" s="4"/>
      <c r="O3" s="4"/>
      <c r="P3" s="4"/>
      <c r="Q3" s="4"/>
      <c r="R3" s="4"/>
      <c r="S3" s="4"/>
      <c r="T3" s="4"/>
    </row>
    <row r="4" spans="1:20" ht="20" customHeight="1" x14ac:dyDescent="0.35">
      <c r="A4" s="102" t="s">
        <v>315</v>
      </c>
      <c r="B4" s="71"/>
      <c r="C4" s="71"/>
      <c r="D4" s="71"/>
      <c r="E4" s="71"/>
      <c r="F4" s="71"/>
      <c r="G4" s="71"/>
      <c r="H4" s="71"/>
      <c r="I4" s="71"/>
      <c r="J4" s="71"/>
    </row>
    <row r="5" spans="1:20" ht="20" customHeight="1" x14ac:dyDescent="0.35">
      <c r="A5" s="103" t="s">
        <v>316</v>
      </c>
      <c r="B5" s="71"/>
      <c r="C5" s="71"/>
      <c r="D5" s="71"/>
      <c r="E5" s="71"/>
      <c r="F5" s="71"/>
      <c r="G5" s="71"/>
      <c r="H5" s="71"/>
      <c r="I5" s="71"/>
      <c r="J5" s="71"/>
    </row>
    <row r="6" spans="1:20" ht="34" customHeight="1" x14ac:dyDescent="0.35">
      <c r="A6" s="104" t="s">
        <v>71</v>
      </c>
      <c r="B6" s="104" t="s">
        <v>72</v>
      </c>
      <c r="C6" s="104" t="s">
        <v>0</v>
      </c>
      <c r="D6" s="104" t="s">
        <v>73</v>
      </c>
      <c r="E6" s="104" t="s">
        <v>11</v>
      </c>
      <c r="F6" s="104" t="s">
        <v>74</v>
      </c>
      <c r="G6" s="104" t="s">
        <v>75</v>
      </c>
      <c r="H6" s="104" t="s">
        <v>76</v>
      </c>
      <c r="I6" s="104" t="s">
        <v>67</v>
      </c>
      <c r="J6" s="104" t="s">
        <v>87</v>
      </c>
      <c r="K6" s="105" t="s">
        <v>154</v>
      </c>
    </row>
    <row r="7" spans="1:20" ht="25" customHeight="1" x14ac:dyDescent="0.35">
      <c r="A7" s="106" t="s">
        <v>89</v>
      </c>
      <c r="B7" s="107">
        <v>46104</v>
      </c>
      <c r="C7" s="108" t="s">
        <v>1</v>
      </c>
      <c r="D7" s="106" t="s">
        <v>90</v>
      </c>
      <c r="E7" s="106" t="s">
        <v>91</v>
      </c>
      <c r="F7" s="109">
        <v>0</v>
      </c>
      <c r="G7" s="109">
        <v>0</v>
      </c>
      <c r="H7" s="109">
        <v>500000</v>
      </c>
      <c r="I7" s="109">
        <v>0</v>
      </c>
      <c r="J7" s="71" t="str">
        <f t="shared" ref="J7:J42" si="0">A7&amp;"|"&amp;TEXT(B7,"yyyy-mm-dd")&amp;"|"&amp;C7&amp;"|"&amp;D7&amp;"|"&amp;E7&amp;"|"&amp;TEXT(F7,"0.##############")&amp;"|"&amp;TEXT(G7,"0.##############")&amp;"|"&amp;TEXT(H7,"0.##############")&amp;"|"&amp;TEXT(I7,"0.##############")</f>
        <v>EVT-0001|2026-03-23|Model|DEPOSIT|CASH|0.|0.|500000.|0.</v>
      </c>
      <c r="K7" s="110" t="str">
        <f>IF(COUNTIFS(Ledger!$A$7:$A$1006,A7,Ledger!$T$7:$T$1006,J7)=1,"Loaded","Refresh required")</f>
        <v>Loaded</v>
      </c>
    </row>
    <row r="8" spans="1:20" ht="25" customHeight="1" x14ac:dyDescent="0.35">
      <c r="A8" s="106" t="s">
        <v>92</v>
      </c>
      <c r="B8" s="107">
        <v>46104</v>
      </c>
      <c r="C8" s="108" t="s">
        <v>1</v>
      </c>
      <c r="D8" s="106" t="s">
        <v>93</v>
      </c>
      <c r="E8" s="106" t="s">
        <v>46</v>
      </c>
      <c r="F8" s="109">
        <v>80</v>
      </c>
      <c r="G8" s="109">
        <v>550</v>
      </c>
      <c r="H8" s="109">
        <v>0</v>
      </c>
      <c r="I8" s="109">
        <v>30</v>
      </c>
      <c r="J8" s="111" t="str">
        <f t="shared" si="0"/>
        <v>EVT-0002|2026-03-23|Model|BUY|SYN_BANK|80.|550.|0.|30.</v>
      </c>
      <c r="K8" s="112" t="str">
        <f>IF(COUNTIFS(Ledger!$A$7:$A$1006,A8,Ledger!$T$7:$T$1006,J8)=1,"Loaded","Refresh required")</f>
        <v>Loaded</v>
      </c>
    </row>
    <row r="9" spans="1:20" ht="25" customHeight="1" x14ac:dyDescent="0.35">
      <c r="A9" s="106" t="s">
        <v>94</v>
      </c>
      <c r="B9" s="107">
        <v>46104</v>
      </c>
      <c r="C9" s="108" t="s">
        <v>1</v>
      </c>
      <c r="D9" s="106" t="s">
        <v>93</v>
      </c>
      <c r="E9" s="106" t="s">
        <v>49</v>
      </c>
      <c r="F9" s="109">
        <v>100</v>
      </c>
      <c r="G9" s="109">
        <v>1200</v>
      </c>
      <c r="H9" s="109">
        <v>0</v>
      </c>
      <c r="I9" s="109">
        <v>30</v>
      </c>
      <c r="J9" s="71" t="str">
        <f t="shared" si="0"/>
        <v>EVT-0003|2026-03-23|Model|BUY|SYN_TECH|100.|1200.|0.|30.</v>
      </c>
      <c r="K9" s="110" t="str">
        <f>IF(COUNTIFS(Ledger!$A$7:$A$1006,A9,Ledger!$T$7:$T$1006,J9)=1,"Loaded","Refresh required")</f>
        <v>Loaded</v>
      </c>
    </row>
    <row r="10" spans="1:20" ht="25" customHeight="1" x14ac:dyDescent="0.35">
      <c r="A10" s="106" t="s">
        <v>95</v>
      </c>
      <c r="B10" s="107">
        <v>46104</v>
      </c>
      <c r="C10" s="108" t="s">
        <v>1</v>
      </c>
      <c r="D10" s="106" t="s">
        <v>93</v>
      </c>
      <c r="E10" s="106" t="s">
        <v>52</v>
      </c>
      <c r="F10" s="109">
        <v>70</v>
      </c>
      <c r="G10" s="109">
        <v>850</v>
      </c>
      <c r="H10" s="109">
        <v>0</v>
      </c>
      <c r="I10" s="109">
        <v>30</v>
      </c>
      <c r="J10" s="111" t="str">
        <f t="shared" si="0"/>
        <v>EVT-0004|2026-03-23|Model|BUY|SYN_HEALTH|70.|850.|0.|30.</v>
      </c>
      <c r="K10" s="112" t="str">
        <f>IF(COUNTIFS(Ledger!$A$7:$A$1006,A10,Ledger!$T$7:$T$1006,J10)=1,"Loaded","Refresh required")</f>
        <v>Loaded</v>
      </c>
    </row>
    <row r="11" spans="1:20" ht="25" customHeight="1" x14ac:dyDescent="0.35">
      <c r="A11" s="106" t="s">
        <v>96</v>
      </c>
      <c r="B11" s="107">
        <v>46104</v>
      </c>
      <c r="C11" s="108" t="s">
        <v>1</v>
      </c>
      <c r="D11" s="106" t="s">
        <v>93</v>
      </c>
      <c r="E11" s="106" t="s">
        <v>55</v>
      </c>
      <c r="F11" s="109">
        <v>180</v>
      </c>
      <c r="G11" s="109">
        <v>430</v>
      </c>
      <c r="H11" s="109">
        <v>0</v>
      </c>
      <c r="I11" s="109">
        <v>30</v>
      </c>
      <c r="J11" s="71" t="str">
        <f t="shared" si="0"/>
        <v>EVT-0005|2026-03-23|Model|BUY|SYN_INDUSTRY|180.|430.|0.|30.</v>
      </c>
      <c r="K11" s="110" t="str">
        <f>IF(COUNTIFS(Ledger!$A$7:$A$1006,A11,Ledger!$T$7:$T$1006,J11)=1,"Loaded","Refresh required")</f>
        <v>Loaded</v>
      </c>
    </row>
    <row r="12" spans="1:20" ht="25" customHeight="1" x14ac:dyDescent="0.35">
      <c r="A12" s="106" t="s">
        <v>97</v>
      </c>
      <c r="B12" s="107">
        <v>46104</v>
      </c>
      <c r="C12" s="108" t="s">
        <v>1</v>
      </c>
      <c r="D12" s="106" t="s">
        <v>93</v>
      </c>
      <c r="E12" s="106" t="s">
        <v>58</v>
      </c>
      <c r="F12" s="109">
        <v>400</v>
      </c>
      <c r="G12" s="109">
        <v>250</v>
      </c>
      <c r="H12" s="109">
        <v>0</v>
      </c>
      <c r="I12" s="109">
        <v>30</v>
      </c>
      <c r="J12" s="111" t="str">
        <f t="shared" si="0"/>
        <v>EVT-0006|2026-03-23|Model|BUY|SYN_BROAD_ETF|400.|250.|0.|30.</v>
      </c>
      <c r="K12" s="112" t="str">
        <f>IF(COUNTIFS(Ledger!$A$7:$A$1006,A12,Ledger!$T$7:$T$1006,J12)=1,"Loaded","Refresh required")</f>
        <v>Loaded</v>
      </c>
    </row>
    <row r="13" spans="1:20" ht="25" customHeight="1" x14ac:dyDescent="0.35">
      <c r="A13" s="106" t="s">
        <v>98</v>
      </c>
      <c r="B13" s="107">
        <v>46104</v>
      </c>
      <c r="C13" s="108" t="s">
        <v>1</v>
      </c>
      <c r="D13" s="106" t="s">
        <v>93</v>
      </c>
      <c r="E13" s="106" t="s">
        <v>61</v>
      </c>
      <c r="F13" s="109">
        <v>600</v>
      </c>
      <c r="G13" s="109">
        <v>100</v>
      </c>
      <c r="H13" s="109">
        <v>0</v>
      </c>
      <c r="I13" s="109">
        <v>30</v>
      </c>
      <c r="J13" s="71" t="str">
        <f t="shared" si="0"/>
        <v>EVT-0007|2026-03-23|Model|BUY|SYN_BOND_ETF|600.|100.|0.|30.</v>
      </c>
      <c r="K13" s="110" t="str">
        <f>IF(COUNTIFS(Ledger!$A$7:$A$1006,A13,Ledger!$T$7:$T$1006,J13)=1,"Loaded","Refresh required")</f>
        <v>Loaded</v>
      </c>
    </row>
    <row r="14" spans="1:20" ht="25" customHeight="1" x14ac:dyDescent="0.35">
      <c r="A14" s="106" t="s">
        <v>99</v>
      </c>
      <c r="B14" s="107">
        <v>46104</v>
      </c>
      <c r="C14" s="108" t="s">
        <v>100</v>
      </c>
      <c r="D14" s="106" t="s">
        <v>90</v>
      </c>
      <c r="E14" s="106" t="s">
        <v>91</v>
      </c>
      <c r="F14" s="109">
        <v>0</v>
      </c>
      <c r="G14" s="109">
        <v>0</v>
      </c>
      <c r="H14" s="109">
        <v>250000</v>
      </c>
      <c r="I14" s="109">
        <v>0</v>
      </c>
      <c r="J14" s="111" t="str">
        <f t="shared" si="0"/>
        <v>EVT-0008|2026-03-23|Practice|DEPOSIT|CASH|0.|0.|250000.|0.</v>
      </c>
      <c r="K14" s="112" t="str">
        <f>IF(COUNTIFS(Ledger!$A$7:$A$1006,A14,Ledger!$T$7:$T$1006,J14)=1,"Loaded","Refresh required")</f>
        <v>Loaded</v>
      </c>
    </row>
    <row r="15" spans="1:20" ht="25" customHeight="1" x14ac:dyDescent="0.35">
      <c r="A15" s="106" t="s">
        <v>101</v>
      </c>
      <c r="B15" s="107">
        <v>46104</v>
      </c>
      <c r="C15" s="108" t="s">
        <v>100</v>
      </c>
      <c r="D15" s="106" t="s">
        <v>93</v>
      </c>
      <c r="E15" s="106" t="s">
        <v>46</v>
      </c>
      <c r="F15" s="109">
        <v>40</v>
      </c>
      <c r="G15" s="109">
        <v>550</v>
      </c>
      <c r="H15" s="109">
        <v>0</v>
      </c>
      <c r="I15" s="109">
        <v>15</v>
      </c>
      <c r="J15" s="71" t="str">
        <f t="shared" si="0"/>
        <v>EVT-0009|2026-03-23|Practice|BUY|SYN_BANK|40.|550.|0.|15.</v>
      </c>
      <c r="K15" s="110" t="str">
        <f>IF(COUNTIFS(Ledger!$A$7:$A$1006,A15,Ledger!$T$7:$T$1006,J15)=1,"Loaded","Refresh required")</f>
        <v>Loaded</v>
      </c>
    </row>
    <row r="16" spans="1:20" ht="25" customHeight="1" x14ac:dyDescent="0.35">
      <c r="A16" s="106" t="s">
        <v>102</v>
      </c>
      <c r="B16" s="107">
        <v>46104</v>
      </c>
      <c r="C16" s="108" t="s">
        <v>100</v>
      </c>
      <c r="D16" s="106" t="s">
        <v>93</v>
      </c>
      <c r="E16" s="106" t="s">
        <v>49</v>
      </c>
      <c r="F16" s="109">
        <v>50</v>
      </c>
      <c r="G16" s="109">
        <v>1200</v>
      </c>
      <c r="H16" s="109">
        <v>0</v>
      </c>
      <c r="I16" s="109">
        <v>15</v>
      </c>
      <c r="J16" s="111" t="str">
        <f t="shared" si="0"/>
        <v>EVT-0010|2026-03-23|Practice|BUY|SYN_TECH|50.|1200.|0.|15.</v>
      </c>
      <c r="K16" s="112" t="str">
        <f>IF(COUNTIFS(Ledger!$A$7:$A$1006,A16,Ledger!$T$7:$T$1006,J16)=1,"Loaded","Refresh required")</f>
        <v>Loaded</v>
      </c>
    </row>
    <row r="17" spans="1:11" ht="25" customHeight="1" x14ac:dyDescent="0.35">
      <c r="A17" s="106" t="s">
        <v>103</v>
      </c>
      <c r="B17" s="107">
        <v>46104</v>
      </c>
      <c r="C17" s="108" t="s">
        <v>100</v>
      </c>
      <c r="D17" s="106" t="s">
        <v>93</v>
      </c>
      <c r="E17" s="106" t="s">
        <v>52</v>
      </c>
      <c r="F17" s="109">
        <v>35</v>
      </c>
      <c r="G17" s="109">
        <v>850</v>
      </c>
      <c r="H17" s="109">
        <v>0</v>
      </c>
      <c r="I17" s="109">
        <v>15</v>
      </c>
      <c r="J17" s="71" t="str">
        <f t="shared" si="0"/>
        <v>EVT-0011|2026-03-23|Practice|BUY|SYN_HEALTH|35.|850.|0.|15.</v>
      </c>
      <c r="K17" s="110" t="str">
        <f>IF(COUNTIFS(Ledger!$A$7:$A$1006,A17,Ledger!$T$7:$T$1006,J17)=1,"Loaded","Refresh required")</f>
        <v>Loaded</v>
      </c>
    </row>
    <row r="18" spans="1:11" ht="25" customHeight="1" x14ac:dyDescent="0.35">
      <c r="A18" s="106" t="s">
        <v>104</v>
      </c>
      <c r="B18" s="107">
        <v>46104</v>
      </c>
      <c r="C18" s="108" t="s">
        <v>100</v>
      </c>
      <c r="D18" s="106" t="s">
        <v>93</v>
      </c>
      <c r="E18" s="106" t="s">
        <v>55</v>
      </c>
      <c r="F18" s="109">
        <v>90</v>
      </c>
      <c r="G18" s="109">
        <v>430</v>
      </c>
      <c r="H18" s="109">
        <v>0</v>
      </c>
      <c r="I18" s="109">
        <v>15</v>
      </c>
      <c r="J18" s="111" t="str">
        <f t="shared" si="0"/>
        <v>EVT-0012|2026-03-23|Practice|BUY|SYN_INDUSTRY|90.|430.|0.|15.</v>
      </c>
      <c r="K18" s="112" t="str">
        <f>IF(COUNTIFS(Ledger!$A$7:$A$1006,A18,Ledger!$T$7:$T$1006,J18)=1,"Loaded","Refresh required")</f>
        <v>Loaded</v>
      </c>
    </row>
    <row r="19" spans="1:11" ht="25" customHeight="1" x14ac:dyDescent="0.35">
      <c r="A19" s="106" t="s">
        <v>105</v>
      </c>
      <c r="B19" s="107">
        <v>46104</v>
      </c>
      <c r="C19" s="108" t="s">
        <v>100</v>
      </c>
      <c r="D19" s="106" t="s">
        <v>93</v>
      </c>
      <c r="E19" s="106" t="s">
        <v>58</v>
      </c>
      <c r="F19" s="109">
        <v>200</v>
      </c>
      <c r="G19" s="109">
        <v>250</v>
      </c>
      <c r="H19" s="109">
        <v>0</v>
      </c>
      <c r="I19" s="109">
        <v>15</v>
      </c>
      <c r="J19" s="71" t="str">
        <f t="shared" si="0"/>
        <v>EVT-0013|2026-03-23|Practice|BUY|SYN_BROAD_ETF|200.|250.|0.|15.</v>
      </c>
      <c r="K19" s="110" t="str">
        <f>IF(COUNTIFS(Ledger!$A$7:$A$1006,A19,Ledger!$T$7:$T$1006,J19)=1,"Loaded","Refresh required")</f>
        <v>Loaded</v>
      </c>
    </row>
    <row r="20" spans="1:11" ht="25" customHeight="1" x14ac:dyDescent="0.35">
      <c r="A20" s="106" t="s">
        <v>106</v>
      </c>
      <c r="B20" s="107">
        <v>46104</v>
      </c>
      <c r="C20" s="108" t="s">
        <v>100</v>
      </c>
      <c r="D20" s="106" t="s">
        <v>93</v>
      </c>
      <c r="E20" s="106" t="s">
        <v>61</v>
      </c>
      <c r="F20" s="109">
        <v>300</v>
      </c>
      <c r="G20" s="109">
        <v>100</v>
      </c>
      <c r="H20" s="109">
        <v>0</v>
      </c>
      <c r="I20" s="109">
        <v>15</v>
      </c>
      <c r="J20" s="111" t="str">
        <f t="shared" si="0"/>
        <v>EVT-0014|2026-03-23|Practice|BUY|SYN_BOND_ETF|300.|100.|0.|15.</v>
      </c>
      <c r="K20" s="112" t="str">
        <f>IF(COUNTIFS(Ledger!$A$7:$A$1006,A20,Ledger!$T$7:$T$1006,J20)=1,"Loaded","Refresh required")</f>
        <v>Loaded</v>
      </c>
    </row>
    <row r="21" spans="1:11" ht="25" customHeight="1" x14ac:dyDescent="0.35">
      <c r="A21" s="106" t="s">
        <v>107</v>
      </c>
      <c r="B21" s="107">
        <v>46139</v>
      </c>
      <c r="C21" s="108" t="s">
        <v>1</v>
      </c>
      <c r="D21" s="106" t="s">
        <v>90</v>
      </c>
      <c r="E21" s="106" t="s">
        <v>91</v>
      </c>
      <c r="F21" s="109">
        <v>0</v>
      </c>
      <c r="G21" s="109">
        <v>0</v>
      </c>
      <c r="H21" s="109">
        <v>50000</v>
      </c>
      <c r="I21" s="109">
        <v>0</v>
      </c>
      <c r="J21" s="71" t="str">
        <f t="shared" si="0"/>
        <v>EVT-0015|2026-04-27|Model|DEPOSIT|CASH|0.|0.|50000.|0.</v>
      </c>
      <c r="K21" s="110" t="str">
        <f>IF(COUNTIFS(Ledger!$A$7:$A$1006,A21,Ledger!$T$7:$T$1006,J21)=1,"Loaded","Refresh required")</f>
        <v>Loaded</v>
      </c>
    </row>
    <row r="22" spans="1:11" ht="25" customHeight="1" x14ac:dyDescent="0.35">
      <c r="A22" s="106" t="s">
        <v>108</v>
      </c>
      <c r="B22" s="107">
        <v>46141</v>
      </c>
      <c r="C22" s="108" t="s">
        <v>1</v>
      </c>
      <c r="D22" s="106" t="s">
        <v>93</v>
      </c>
      <c r="E22" s="106" t="s">
        <v>46</v>
      </c>
      <c r="F22" s="109">
        <v>20</v>
      </c>
      <c r="G22" s="109">
        <v>518.53510000000006</v>
      </c>
      <c r="H22" s="109">
        <v>0</v>
      </c>
      <c r="I22" s="109">
        <v>20</v>
      </c>
      <c r="J22" s="111" t="str">
        <f t="shared" si="0"/>
        <v>EVT-0016|2026-04-29|Model|BUY|SYN_BANK|20.|518.5351|0.|20.</v>
      </c>
      <c r="K22" s="112" t="str">
        <f>IF(COUNTIFS(Ledger!$A$7:$A$1006,A22,Ledger!$T$7:$T$1006,J22)=1,"Loaded","Refresh required")</f>
        <v>Loaded</v>
      </c>
    </row>
    <row r="23" spans="1:11" ht="25" customHeight="1" x14ac:dyDescent="0.35">
      <c r="A23" s="106" t="s">
        <v>109</v>
      </c>
      <c r="B23" s="107">
        <v>46147</v>
      </c>
      <c r="C23" s="108" t="s">
        <v>100</v>
      </c>
      <c r="D23" s="106" t="s">
        <v>90</v>
      </c>
      <c r="E23" s="106" t="s">
        <v>91</v>
      </c>
      <c r="F23" s="109">
        <v>0</v>
      </c>
      <c r="G23" s="109">
        <v>0</v>
      </c>
      <c r="H23" s="109">
        <v>25000</v>
      </c>
      <c r="I23" s="109">
        <v>0</v>
      </c>
      <c r="J23" s="71" t="str">
        <f t="shared" si="0"/>
        <v>EVT-0017|2026-05-05|Practice|DEPOSIT|CASH|0.|0.|25000.|0.</v>
      </c>
      <c r="K23" s="110" t="str">
        <f>IF(COUNTIFS(Ledger!$A$7:$A$1006,A23,Ledger!$T$7:$T$1006,J23)=1,"Loaded","Refresh required")</f>
        <v>Loaded</v>
      </c>
    </row>
    <row r="24" spans="1:11" ht="25" customHeight="1" x14ac:dyDescent="0.35">
      <c r="A24" s="106" t="s">
        <v>110</v>
      </c>
      <c r="B24" s="107">
        <v>46150</v>
      </c>
      <c r="C24" s="108" t="s">
        <v>100</v>
      </c>
      <c r="D24" s="106" t="s">
        <v>93</v>
      </c>
      <c r="E24" s="106" t="s">
        <v>46</v>
      </c>
      <c r="F24" s="109">
        <v>10</v>
      </c>
      <c r="G24" s="109">
        <v>508.28710000000001</v>
      </c>
      <c r="H24" s="109">
        <v>0</v>
      </c>
      <c r="I24" s="109">
        <v>15</v>
      </c>
      <c r="J24" s="111" t="str">
        <f t="shared" si="0"/>
        <v>EVT-0018|2026-05-08|Practice|BUY|SYN_BANK|10.|508.2871|0.|15.</v>
      </c>
      <c r="K24" s="112" t="str">
        <f>IF(COUNTIFS(Ledger!$A$7:$A$1006,A24,Ledger!$T$7:$T$1006,J24)=1,"Loaded","Refresh required")</f>
        <v>Loaded</v>
      </c>
    </row>
    <row r="25" spans="1:11" ht="25" customHeight="1" x14ac:dyDescent="0.35">
      <c r="A25" s="106" t="s">
        <v>111</v>
      </c>
      <c r="B25" s="107">
        <v>46160</v>
      </c>
      <c r="C25" s="108" t="s">
        <v>1</v>
      </c>
      <c r="D25" s="106" t="s">
        <v>93</v>
      </c>
      <c r="E25" s="106" t="s">
        <v>58</v>
      </c>
      <c r="F25" s="109">
        <v>80</v>
      </c>
      <c r="G25" s="109">
        <v>248.11279999999999</v>
      </c>
      <c r="H25" s="109">
        <v>0</v>
      </c>
      <c r="I25" s="109">
        <v>20</v>
      </c>
      <c r="J25" s="71" t="str">
        <f t="shared" si="0"/>
        <v>EVT-0019|2026-05-18|Model|BUY|SYN_BROAD_ETF|80.|248.1128|0.|20.</v>
      </c>
      <c r="K25" s="110" t="str">
        <f>IF(COUNTIFS(Ledger!$A$7:$A$1006,A25,Ledger!$T$7:$T$1006,J25)=1,"Loaded","Refresh required")</f>
        <v>Loaded</v>
      </c>
    </row>
    <row r="26" spans="1:11" ht="25" customHeight="1" x14ac:dyDescent="0.35">
      <c r="A26" s="106" t="s">
        <v>112</v>
      </c>
      <c r="B26" s="107">
        <v>46162</v>
      </c>
      <c r="C26" s="108" t="s">
        <v>100</v>
      </c>
      <c r="D26" s="106" t="s">
        <v>93</v>
      </c>
      <c r="E26" s="106" t="s">
        <v>58</v>
      </c>
      <c r="F26" s="109">
        <v>40</v>
      </c>
      <c r="G26" s="109">
        <v>247.93969999999999</v>
      </c>
      <c r="H26" s="109">
        <v>0</v>
      </c>
      <c r="I26" s="109">
        <v>15</v>
      </c>
      <c r="J26" s="111" t="str">
        <f t="shared" si="0"/>
        <v>EVT-0020|2026-05-20|Practice|BUY|SYN_BROAD_ETF|40.|247.9397|0.|15.</v>
      </c>
      <c r="K26" s="112" t="str">
        <f>IF(COUNTIFS(Ledger!$A$7:$A$1006,A26,Ledger!$T$7:$T$1006,J26)=1,"Loaded","Refresh required")</f>
        <v>Loaded</v>
      </c>
    </row>
    <row r="27" spans="1:11" ht="25" customHeight="1" x14ac:dyDescent="0.35">
      <c r="A27" s="106" t="s">
        <v>113</v>
      </c>
      <c r="B27" s="107">
        <v>46177</v>
      </c>
      <c r="C27" s="108" t="s">
        <v>1</v>
      </c>
      <c r="D27" s="106" t="s">
        <v>114</v>
      </c>
      <c r="E27" s="106" t="s">
        <v>55</v>
      </c>
      <c r="F27" s="109">
        <v>50</v>
      </c>
      <c r="G27" s="109">
        <v>410.0675</v>
      </c>
      <c r="H27" s="109">
        <v>0</v>
      </c>
      <c r="I27" s="109">
        <v>25</v>
      </c>
      <c r="J27" s="71" t="str">
        <f t="shared" si="0"/>
        <v>EVT-0021|2026-06-04|Model|SELL|SYN_INDUSTRY|50.|410.0675|0.|25.</v>
      </c>
      <c r="K27" s="110" t="str">
        <f>IF(COUNTIFS(Ledger!$A$7:$A$1006,A27,Ledger!$T$7:$T$1006,J27)=1,"Loaded","Refresh required")</f>
        <v>Loaded</v>
      </c>
    </row>
    <row r="28" spans="1:11" ht="25" customHeight="1" x14ac:dyDescent="0.35">
      <c r="A28" s="106" t="s">
        <v>115</v>
      </c>
      <c r="B28" s="107">
        <v>46188</v>
      </c>
      <c r="C28" s="108" t="s">
        <v>100</v>
      </c>
      <c r="D28" s="106" t="s">
        <v>114</v>
      </c>
      <c r="E28" s="106" t="s">
        <v>55</v>
      </c>
      <c r="F28" s="109">
        <v>20</v>
      </c>
      <c r="G28" s="109">
        <v>417.55799999999999</v>
      </c>
      <c r="H28" s="109">
        <v>0</v>
      </c>
      <c r="I28" s="109">
        <v>15</v>
      </c>
      <c r="J28" s="111" t="str">
        <f t="shared" si="0"/>
        <v>EVT-0022|2026-06-15|Practice|SELL|SYN_INDUSTRY|20.|417.558|0.|15.</v>
      </c>
      <c r="K28" s="112" t="str">
        <f>IF(COUNTIFS(Ledger!$A$7:$A$1006,A28,Ledger!$T$7:$T$1006,J28)=1,"Loaded","Refresh required")</f>
        <v>Loaded</v>
      </c>
    </row>
    <row r="29" spans="1:11" ht="25" customHeight="1" x14ac:dyDescent="0.35">
      <c r="A29" s="106" t="s">
        <v>116</v>
      </c>
      <c r="B29" s="107">
        <v>46195</v>
      </c>
      <c r="C29" s="108" t="s">
        <v>1</v>
      </c>
      <c r="D29" s="106" t="s">
        <v>117</v>
      </c>
      <c r="E29" s="106" t="s">
        <v>49</v>
      </c>
      <c r="F29" s="109">
        <v>100</v>
      </c>
      <c r="G29" s="109">
        <v>0</v>
      </c>
      <c r="H29" s="109">
        <v>0</v>
      </c>
      <c r="I29" s="109">
        <v>0</v>
      </c>
      <c r="J29" s="71" t="str">
        <f t="shared" si="0"/>
        <v>EVT-0023|2026-06-22|Model|SPLIT|SYN_TECH|100.|0.|0.|0.</v>
      </c>
      <c r="K29" s="110" t="str">
        <f>IF(COUNTIFS(Ledger!$A$7:$A$1006,A29,Ledger!$T$7:$T$1006,J29)=1,"Loaded","Refresh required")</f>
        <v>Loaded</v>
      </c>
    </row>
    <row r="30" spans="1:11" ht="25" customHeight="1" x14ac:dyDescent="0.35">
      <c r="A30" s="106" t="s">
        <v>118</v>
      </c>
      <c r="B30" s="107">
        <v>46195</v>
      </c>
      <c r="C30" s="108" t="s">
        <v>100</v>
      </c>
      <c r="D30" s="106" t="s">
        <v>117</v>
      </c>
      <c r="E30" s="106" t="s">
        <v>49</v>
      </c>
      <c r="F30" s="109">
        <v>50</v>
      </c>
      <c r="G30" s="109">
        <v>0</v>
      </c>
      <c r="H30" s="109">
        <v>0</v>
      </c>
      <c r="I30" s="109">
        <v>0</v>
      </c>
      <c r="J30" s="111" t="str">
        <f t="shared" si="0"/>
        <v>EVT-0024|2026-06-22|Practice|SPLIT|SYN_TECH|50.|0.|0.|0.</v>
      </c>
      <c r="K30" s="112" t="str">
        <f>IF(COUNTIFS(Ledger!$A$7:$A$1006,A30,Ledger!$T$7:$T$1006,J30)=1,"Loaded","Refresh required")</f>
        <v>Loaded</v>
      </c>
    </row>
    <row r="31" spans="1:11" ht="25" customHeight="1" x14ac:dyDescent="0.35">
      <c r="A31" s="106" t="s">
        <v>119</v>
      </c>
      <c r="B31" s="107">
        <v>46210</v>
      </c>
      <c r="C31" s="108" t="s">
        <v>1</v>
      </c>
      <c r="D31" s="106" t="s">
        <v>93</v>
      </c>
      <c r="E31" s="106" t="s">
        <v>52</v>
      </c>
      <c r="F31" s="109">
        <v>10</v>
      </c>
      <c r="G31" s="109">
        <v>875.21609999999998</v>
      </c>
      <c r="H31" s="109">
        <v>0</v>
      </c>
      <c r="I31" s="109">
        <v>20</v>
      </c>
      <c r="J31" s="71" t="str">
        <f t="shared" si="0"/>
        <v>EVT-0025|2026-07-07|Model|BUY|SYN_HEALTH|10.|875.2161|0.|20.</v>
      </c>
      <c r="K31" s="110" t="str">
        <f>IF(COUNTIFS(Ledger!$A$7:$A$1006,A31,Ledger!$T$7:$T$1006,J31)=1,"Loaded","Refresh required")</f>
        <v>Loaded</v>
      </c>
    </row>
    <row r="32" spans="1:11" ht="25" customHeight="1" x14ac:dyDescent="0.35">
      <c r="A32" s="106" t="s">
        <v>120</v>
      </c>
      <c r="B32" s="107">
        <v>46213</v>
      </c>
      <c r="C32" s="108" t="s">
        <v>100</v>
      </c>
      <c r="D32" s="106" t="s">
        <v>93</v>
      </c>
      <c r="E32" s="106" t="s">
        <v>52</v>
      </c>
      <c r="F32" s="109">
        <v>5</v>
      </c>
      <c r="G32" s="109">
        <v>892.71820000000002</v>
      </c>
      <c r="H32" s="109">
        <v>0</v>
      </c>
      <c r="I32" s="109">
        <v>15</v>
      </c>
      <c r="J32" s="111" t="str">
        <f t="shared" si="0"/>
        <v>EVT-0026|2026-07-10|Practice|BUY|SYN_HEALTH|5.|892.7182|0.|15.</v>
      </c>
      <c r="K32" s="112" t="str">
        <f>IF(COUNTIFS(Ledger!$A$7:$A$1006,A32,Ledger!$T$7:$T$1006,J32)=1,"Loaded","Refresh required")</f>
        <v>Loaded</v>
      </c>
    </row>
    <row r="33" spans="1:11" ht="25" customHeight="1" x14ac:dyDescent="0.35">
      <c r="A33" s="106" t="s">
        <v>121</v>
      </c>
      <c r="B33" s="107">
        <v>46227</v>
      </c>
      <c r="C33" s="108" t="s">
        <v>1</v>
      </c>
      <c r="D33" s="106" t="s">
        <v>122</v>
      </c>
      <c r="E33" s="106" t="s">
        <v>52</v>
      </c>
      <c r="F33" s="109">
        <v>0</v>
      </c>
      <c r="G33" s="109">
        <v>0</v>
      </c>
      <c r="H33" s="109">
        <v>100</v>
      </c>
      <c r="I33" s="109">
        <v>0</v>
      </c>
      <c r="J33" s="71" t="str">
        <f t="shared" si="0"/>
        <v>EVT-0027|2026-07-24|Model|DIVIDEND|SYN_HEALTH|0.|0.|100.|0.</v>
      </c>
      <c r="K33" s="110" t="str">
        <f>IF(COUNTIFS(Ledger!$A$7:$A$1006,A33,Ledger!$T$7:$T$1006,J33)=1,"Loaded","Refresh required")</f>
        <v>Loaded</v>
      </c>
    </row>
    <row r="34" spans="1:11" ht="25" customHeight="1" x14ac:dyDescent="0.35">
      <c r="A34" s="106" t="s">
        <v>123</v>
      </c>
      <c r="B34" s="107">
        <v>46227</v>
      </c>
      <c r="C34" s="108" t="s">
        <v>100</v>
      </c>
      <c r="D34" s="106" t="s">
        <v>122</v>
      </c>
      <c r="E34" s="106" t="s">
        <v>52</v>
      </c>
      <c r="F34" s="109">
        <v>0</v>
      </c>
      <c r="G34" s="109">
        <v>0</v>
      </c>
      <c r="H34" s="109">
        <v>50</v>
      </c>
      <c r="I34" s="109">
        <v>0</v>
      </c>
      <c r="J34" s="111" t="str">
        <f t="shared" si="0"/>
        <v>EVT-0028|2026-07-24|Practice|DIVIDEND|SYN_HEALTH|0.|0.|50.|0.</v>
      </c>
      <c r="K34" s="112" t="str">
        <f>IF(COUNTIFS(Ledger!$A$7:$A$1006,A34,Ledger!$T$7:$T$1006,J34)=1,"Loaded","Refresh required")</f>
        <v>Loaded</v>
      </c>
    </row>
    <row r="35" spans="1:11" ht="25" customHeight="1" x14ac:dyDescent="0.35">
      <c r="A35" s="106" t="s">
        <v>124</v>
      </c>
      <c r="B35" s="107">
        <v>46231</v>
      </c>
      <c r="C35" s="108" t="s">
        <v>1</v>
      </c>
      <c r="D35" s="106" t="s">
        <v>125</v>
      </c>
      <c r="E35" s="106" t="s">
        <v>91</v>
      </c>
      <c r="F35" s="109">
        <v>0</v>
      </c>
      <c r="G35" s="109">
        <v>0</v>
      </c>
      <c r="H35" s="109">
        <v>60</v>
      </c>
      <c r="I35" s="109">
        <v>0</v>
      </c>
      <c r="J35" s="71" t="str">
        <f t="shared" si="0"/>
        <v>EVT-0029|2026-07-28|Model|FEE|CASH|0.|0.|60.|0.</v>
      </c>
      <c r="K35" s="110" t="str">
        <f>IF(COUNTIFS(Ledger!$A$7:$A$1006,A35,Ledger!$T$7:$T$1006,J35)=1,"Loaded","Refresh required")</f>
        <v>Loaded</v>
      </c>
    </row>
    <row r="36" spans="1:11" ht="25" customHeight="1" x14ac:dyDescent="0.35">
      <c r="A36" s="106" t="s">
        <v>126</v>
      </c>
      <c r="B36" s="107">
        <v>46231</v>
      </c>
      <c r="C36" s="108" t="s">
        <v>100</v>
      </c>
      <c r="D36" s="106" t="s">
        <v>125</v>
      </c>
      <c r="E36" s="106" t="s">
        <v>91</v>
      </c>
      <c r="F36" s="109">
        <v>0</v>
      </c>
      <c r="G36" s="109">
        <v>0</v>
      </c>
      <c r="H36" s="109">
        <v>40</v>
      </c>
      <c r="I36" s="109">
        <v>0</v>
      </c>
      <c r="J36" s="111" t="str">
        <f t="shared" si="0"/>
        <v>EVT-0030|2026-07-28|Practice|FEE|CASH|0.|0.|40.|0.</v>
      </c>
      <c r="K36" s="112" t="str">
        <f>IF(COUNTIFS(Ledger!$A$7:$A$1006,A36,Ledger!$T$7:$T$1006,J36)=1,"Loaded","Refresh required")</f>
        <v>Loaded</v>
      </c>
    </row>
    <row r="37" spans="1:11" ht="25" customHeight="1" x14ac:dyDescent="0.35">
      <c r="A37" s="106" t="s">
        <v>127</v>
      </c>
      <c r="B37" s="107">
        <v>46234</v>
      </c>
      <c r="C37" s="108" t="s">
        <v>1</v>
      </c>
      <c r="D37" s="106" t="s">
        <v>128</v>
      </c>
      <c r="E37" s="106" t="s">
        <v>91</v>
      </c>
      <c r="F37" s="109">
        <v>0</v>
      </c>
      <c r="G37" s="109">
        <v>0</v>
      </c>
      <c r="H37" s="109">
        <v>15000</v>
      </c>
      <c r="I37" s="109">
        <v>0</v>
      </c>
      <c r="J37" s="71" t="str">
        <f t="shared" si="0"/>
        <v>EVT-0031|2026-07-31|Model|WITHDRAW|CASH|0.|0.|15000.|0.</v>
      </c>
      <c r="K37" s="110" t="str">
        <f>IF(COUNTIFS(Ledger!$A$7:$A$1006,A37,Ledger!$T$7:$T$1006,J37)=1,"Loaded","Refresh required")</f>
        <v>Loaded</v>
      </c>
    </row>
    <row r="38" spans="1:11" ht="25" customHeight="1" x14ac:dyDescent="0.35">
      <c r="A38" s="106" t="s">
        <v>129</v>
      </c>
      <c r="B38" s="107">
        <v>46239</v>
      </c>
      <c r="C38" s="108" t="s">
        <v>100</v>
      </c>
      <c r="D38" s="106" t="s">
        <v>128</v>
      </c>
      <c r="E38" s="106" t="s">
        <v>91</v>
      </c>
      <c r="F38" s="109">
        <v>0</v>
      </c>
      <c r="G38" s="109">
        <v>0</v>
      </c>
      <c r="H38" s="109">
        <v>7000</v>
      </c>
      <c r="I38" s="109">
        <v>0</v>
      </c>
      <c r="J38" s="111" t="str">
        <f t="shared" si="0"/>
        <v>EVT-0032|2026-08-05|Practice|WITHDRAW|CASH|0.|0.|7000.|0.</v>
      </c>
      <c r="K38" s="112" t="str">
        <f>IF(COUNTIFS(Ledger!$A$7:$A$1006,A38,Ledger!$T$7:$T$1006,J38)=1,"Loaded","Refresh required")</f>
        <v>Loaded</v>
      </c>
    </row>
    <row r="39" spans="1:11" ht="25" customHeight="1" x14ac:dyDescent="0.35">
      <c r="A39" s="106" t="s">
        <v>130</v>
      </c>
      <c r="B39" s="107">
        <v>46248</v>
      </c>
      <c r="C39" s="108" t="s">
        <v>1</v>
      </c>
      <c r="D39" s="106" t="s">
        <v>93</v>
      </c>
      <c r="E39" s="106" t="s">
        <v>49</v>
      </c>
      <c r="F39" s="109">
        <v>20</v>
      </c>
      <c r="G39" s="109">
        <v>573.14520000000005</v>
      </c>
      <c r="H39" s="109">
        <v>0</v>
      </c>
      <c r="I39" s="109">
        <v>20</v>
      </c>
      <c r="J39" s="71" t="str">
        <f t="shared" si="0"/>
        <v>EVT-0033|2026-08-14|Model|BUY|SYN_TECH|20.|573.1452|0.|20.</v>
      </c>
      <c r="K39" s="110" t="str">
        <f>IF(COUNTIFS(Ledger!$A$7:$A$1006,A39,Ledger!$T$7:$T$1006,J39)=1,"Loaded","Refresh required")</f>
        <v>Loaded</v>
      </c>
    </row>
    <row r="40" spans="1:11" ht="25" customHeight="1" x14ac:dyDescent="0.35">
      <c r="A40" s="106" t="s">
        <v>131</v>
      </c>
      <c r="B40" s="107">
        <v>46252</v>
      </c>
      <c r="C40" s="108" t="s">
        <v>100</v>
      </c>
      <c r="D40" s="106" t="s">
        <v>93</v>
      </c>
      <c r="E40" s="106" t="s">
        <v>49</v>
      </c>
      <c r="F40" s="109">
        <v>10</v>
      </c>
      <c r="G40" s="109">
        <v>560.47969999999998</v>
      </c>
      <c r="H40" s="109">
        <v>0</v>
      </c>
      <c r="I40" s="109">
        <v>15</v>
      </c>
      <c r="J40" s="111" t="str">
        <f t="shared" si="0"/>
        <v>EVT-0034|2026-08-18|Practice|BUY|SYN_TECH|10.|560.4797|0.|15.</v>
      </c>
      <c r="K40" s="112" t="str">
        <f>IF(COUNTIFS(Ledger!$A$7:$A$1006,A40,Ledger!$T$7:$T$1006,J40)=1,"Loaded","Refresh required")</f>
        <v>Loaded</v>
      </c>
    </row>
    <row r="41" spans="1:11" ht="25" customHeight="1" x14ac:dyDescent="0.35">
      <c r="A41" s="106" t="s">
        <v>132</v>
      </c>
      <c r="B41" s="107">
        <v>46265</v>
      </c>
      <c r="C41" s="108" t="s">
        <v>1</v>
      </c>
      <c r="D41" s="106" t="s">
        <v>114</v>
      </c>
      <c r="E41" s="106" t="s">
        <v>46</v>
      </c>
      <c r="F41" s="109">
        <v>10</v>
      </c>
      <c r="G41" s="109">
        <v>555.58169999999996</v>
      </c>
      <c r="H41" s="109">
        <v>0</v>
      </c>
      <c r="I41" s="109">
        <v>25</v>
      </c>
      <c r="J41" s="71" t="str">
        <f t="shared" si="0"/>
        <v>EVT-0035|2026-08-31|Model|SELL|SYN_BANK|10.|555.5817|0.|25.</v>
      </c>
      <c r="K41" s="110" t="str">
        <f>IF(COUNTIFS(Ledger!$A$7:$A$1006,A41,Ledger!$T$7:$T$1006,J41)=1,"Loaded","Refresh required")</f>
        <v>Loaded</v>
      </c>
    </row>
    <row r="42" spans="1:11" ht="25" customHeight="1" x14ac:dyDescent="0.35">
      <c r="A42" s="106" t="s">
        <v>133</v>
      </c>
      <c r="B42" s="107">
        <v>46268</v>
      </c>
      <c r="C42" s="108" t="s">
        <v>100</v>
      </c>
      <c r="D42" s="106" t="s">
        <v>114</v>
      </c>
      <c r="E42" s="106" t="s">
        <v>46</v>
      </c>
      <c r="F42" s="109">
        <v>5</v>
      </c>
      <c r="G42" s="109">
        <v>569.04150000000004</v>
      </c>
      <c r="H42" s="109">
        <v>0</v>
      </c>
      <c r="I42" s="109">
        <v>15</v>
      </c>
      <c r="J42" s="111" t="str">
        <f t="shared" si="0"/>
        <v>EVT-0036|2026-09-03|Practice|SELL|SYN_BANK|5.|569.0415|0.|15.</v>
      </c>
      <c r="K42" s="112" t="str">
        <f>IF(COUNTIFS(Ledger!$A$7:$A$1006,A42,Ledger!$T$7:$T$1006,J42)=1,"Loaded","Refresh required")</f>
        <v>Loaded</v>
      </c>
    </row>
    <row r="43" spans="1:11" ht="20" customHeight="1" x14ac:dyDescent="0.35">
      <c r="A43" s="71"/>
      <c r="B43" s="71"/>
      <c r="C43" s="71"/>
      <c r="D43" s="71"/>
      <c r="E43" s="71"/>
      <c r="F43" s="71"/>
      <c r="G43" s="71"/>
      <c r="H43" s="71"/>
      <c r="I43" s="71"/>
      <c r="J43" s="71"/>
    </row>
    <row r="44" spans="1:11" ht="20" customHeight="1" x14ac:dyDescent="0.35">
      <c r="A44" s="71"/>
      <c r="B44" s="71"/>
      <c r="C44" s="71"/>
      <c r="D44" s="71"/>
      <c r="E44" s="71"/>
      <c r="F44" s="71"/>
      <c r="G44" s="71"/>
      <c r="H44" s="71"/>
      <c r="I44" s="71"/>
      <c r="J44" s="71"/>
    </row>
    <row r="45" spans="1:11" ht="20" customHeight="1" x14ac:dyDescent="0.35">
      <c r="A45" s="71"/>
      <c r="B45" s="71"/>
      <c r="C45" s="71"/>
      <c r="D45" s="71"/>
      <c r="E45" s="71"/>
      <c r="F45" s="71"/>
      <c r="G45" s="71"/>
      <c r="H45" s="71"/>
      <c r="I45" s="71"/>
      <c r="J45" s="71"/>
    </row>
    <row r="46" spans="1:11" ht="20" customHeight="1" x14ac:dyDescent="0.35">
      <c r="A46" s="71"/>
      <c r="B46" s="71"/>
      <c r="C46" s="71"/>
      <c r="D46" s="71"/>
      <c r="E46" s="71"/>
      <c r="F46" s="71"/>
      <c r="G46" s="71"/>
      <c r="H46" s="71"/>
      <c r="I46" s="71"/>
      <c r="J46" s="71"/>
    </row>
  </sheetData>
  <mergeCells count="1">
    <mergeCell ref="A2:K2"/>
  </mergeCells>
  <dataValidations count="3">
    <dataValidation type="list" sqref="C7:C1006" xr:uid="{00000000-0002-0000-0500-000000000000}">
      <formula1>"Model,Practice"</formula1>
    </dataValidation>
    <dataValidation type="list" sqref="D7:D1006" xr:uid="{00000000-0002-0000-0500-000001000000}">
      <formula1>"DEPOSIT,WITHDRAW,BUY,SELL,DIVIDEND,FEE,SPLIT,BONUS"</formula1>
    </dataValidation>
    <dataValidation type="list" sqref="E7:E1006" xr:uid="{00000000-0002-0000-0500-000002000000}">
      <formula1>"SYN_BANK,SYN_TECH,SYN_HEALTH,SYN_INDUSTRY,SYN_BROAD_ETF,SYN_BOND_ETF,CASH"</formula1>
    </dataValidation>
  </dataValidations>
  <hyperlinks>
    <hyperlink ref="A3" location="'Watchlist'!A1" tooltip="Watchlist" display="Watchlist" xr:uid="{39CE7C9F-B453-44D0-A221-F7AF7060E415}"/>
    <hyperlink ref="D3" location="'Holdings'!A1" tooltip="Holdings" display="Holdings" xr:uid="{EAA6AF95-9469-4BD2-9B39-CBC9D831FECA}"/>
    <hyperlink ref="F3" location="'Portfolio'!A1" tooltip="Portfolio" display="Portfolio" xr:uid="{50F59D0C-40B6-4F0D-81E3-155F28FCA0DE}"/>
    <hyperlink ref="I3" location="'Help'!A1" tooltip="Help" display="Help" xr:uid="{1374CEAA-4982-4A9B-80EB-9BF079786467}"/>
  </hyperlinks>
  <pageMargins left="0.27777777777777779" right="0.27777777777777779" top="0.27777777777777779" bottom="0.27777777777777779" header="0.3" footer="0.3"/>
  <pageSetup paperSize="8" orientation="landscape"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13C5A"/>
    <pageSetUpPr fitToPage="1"/>
  </sheetPr>
  <dimension ref="A1:W65"/>
  <sheetViews>
    <sheetView showGridLines="0" zoomScaleNormal="100" workbookViewId="0"/>
  </sheetViews>
  <sheetFormatPr defaultRowHeight="14.5" x14ac:dyDescent="0.35"/>
  <cols>
    <col min="1" max="2" width="21" customWidth="1"/>
    <col min="3" max="5" width="13" customWidth="1"/>
    <col min="6" max="6" width="26" customWidth="1"/>
    <col min="7" max="8" width="18" customWidth="1"/>
    <col min="9" max="10" width="13" customWidth="1"/>
    <col min="11" max="11" width="23" customWidth="1"/>
    <col min="12" max="16" width="13" customWidth="1"/>
    <col min="18" max="26" width="0" hidden="1" customWidth="1"/>
  </cols>
  <sheetData>
    <row r="1" spans="1:23" ht="20" customHeight="1" x14ac:dyDescent="0.35">
      <c r="A1" s="71"/>
      <c r="B1" s="71"/>
      <c r="C1" s="71"/>
      <c r="D1" s="71"/>
      <c r="E1" s="71"/>
      <c r="F1" s="71"/>
      <c r="G1" s="71"/>
      <c r="H1" s="71"/>
      <c r="I1" s="71"/>
      <c r="J1" s="71"/>
      <c r="K1" s="71"/>
      <c r="L1" s="71"/>
      <c r="M1" s="71"/>
      <c r="N1" s="71"/>
      <c r="O1" s="71"/>
      <c r="P1" s="71"/>
      <c r="R1" s="15"/>
      <c r="S1" s="15"/>
      <c r="T1" s="15"/>
      <c r="U1" s="15"/>
      <c r="V1" s="15"/>
      <c r="W1" s="15"/>
    </row>
    <row r="2" spans="1:23" ht="36" customHeight="1" x14ac:dyDescent="0.35">
      <c r="A2" s="256" t="s">
        <v>296</v>
      </c>
      <c r="B2" s="255"/>
      <c r="C2" s="255"/>
      <c r="D2" s="255"/>
      <c r="E2" s="255"/>
      <c r="F2" s="255"/>
      <c r="G2" s="255"/>
      <c r="H2" s="255"/>
      <c r="I2" s="255"/>
      <c r="J2" s="255"/>
      <c r="K2" s="255"/>
      <c r="L2" s="255"/>
      <c r="M2" s="255"/>
      <c r="N2" s="255"/>
      <c r="O2" s="255"/>
      <c r="P2" s="255"/>
      <c r="R2" s="15"/>
      <c r="S2" s="15"/>
      <c r="T2" s="15"/>
      <c r="U2" s="15"/>
      <c r="V2" s="15"/>
      <c r="W2" s="15"/>
    </row>
    <row r="3" spans="1:23" ht="28" customHeight="1" x14ac:dyDescent="0.35">
      <c r="A3" s="72" t="s">
        <v>320</v>
      </c>
      <c r="B3" s="73"/>
      <c r="C3" s="73"/>
      <c r="D3" s="73"/>
      <c r="E3" s="73"/>
      <c r="F3" s="72" t="s">
        <v>317</v>
      </c>
      <c r="G3" s="73"/>
      <c r="H3" s="73"/>
      <c r="I3" s="73"/>
      <c r="J3" s="72" t="s">
        <v>318</v>
      </c>
      <c r="K3" s="73"/>
      <c r="L3" s="73"/>
      <c r="M3" s="73"/>
      <c r="N3" s="72" t="s">
        <v>319</v>
      </c>
      <c r="O3" s="73"/>
      <c r="P3" s="73"/>
      <c r="Q3" s="4"/>
      <c r="R3" s="16"/>
      <c r="S3" s="16"/>
      <c r="T3" s="16"/>
      <c r="U3" s="15"/>
      <c r="V3" s="15"/>
      <c r="W3" s="15"/>
    </row>
    <row r="4" spans="1:23" ht="20" customHeight="1" x14ac:dyDescent="0.35">
      <c r="A4" s="102" t="s">
        <v>297</v>
      </c>
      <c r="B4" s="71"/>
      <c r="C4" s="71"/>
      <c r="D4" s="71"/>
      <c r="E4" s="71"/>
      <c r="F4" s="71"/>
      <c r="G4" s="71"/>
      <c r="H4" s="71"/>
      <c r="I4" s="71"/>
      <c r="J4" s="71"/>
      <c r="K4" s="71"/>
      <c r="L4" s="71"/>
      <c r="M4" s="71"/>
      <c r="N4" s="71"/>
      <c r="O4" s="71"/>
      <c r="P4" s="71"/>
      <c r="R4" s="15"/>
      <c r="S4" s="15"/>
      <c r="T4" s="15"/>
      <c r="U4" s="15"/>
      <c r="V4" s="15"/>
      <c r="W4" s="15"/>
    </row>
    <row r="5" spans="1:23" ht="20" customHeight="1" x14ac:dyDescent="0.35">
      <c r="A5" s="71" t="s">
        <v>0</v>
      </c>
      <c r="B5" s="71"/>
      <c r="C5" s="113" t="s">
        <v>1</v>
      </c>
      <c r="D5" s="71"/>
      <c r="E5" s="71"/>
      <c r="F5" s="71"/>
      <c r="G5" s="71" t="s">
        <v>2</v>
      </c>
      <c r="H5" s="71"/>
      <c r="I5" s="71"/>
      <c r="J5" s="114">
        <v>46283</v>
      </c>
      <c r="K5" s="71"/>
      <c r="L5" s="71"/>
      <c r="M5" s="71"/>
      <c r="N5" s="71"/>
      <c r="O5" s="71"/>
      <c r="P5" s="71"/>
      <c r="R5" s="15"/>
      <c r="S5" s="15"/>
      <c r="T5" s="15"/>
      <c r="U5" s="15"/>
      <c r="V5" s="15"/>
      <c r="W5" s="15"/>
    </row>
    <row r="6" spans="1:23" ht="29" customHeight="1" x14ac:dyDescent="0.35">
      <c r="A6" s="71"/>
      <c r="B6" s="71"/>
      <c r="C6" s="71"/>
      <c r="D6" s="71"/>
      <c r="E6" s="71"/>
      <c r="F6" s="71"/>
      <c r="G6" s="71"/>
      <c r="H6" s="71"/>
      <c r="I6" s="71"/>
      <c r="J6" s="71"/>
      <c r="K6" s="71"/>
      <c r="L6" s="71"/>
      <c r="M6" s="71"/>
      <c r="N6" s="71"/>
      <c r="O6" s="71"/>
      <c r="P6" s="71"/>
      <c r="R6" s="17" t="s">
        <v>3</v>
      </c>
      <c r="S6" s="17" t="s">
        <v>0</v>
      </c>
      <c r="T6" s="17" t="s">
        <v>4</v>
      </c>
      <c r="U6" s="15"/>
      <c r="V6" s="17" t="s">
        <v>5</v>
      </c>
      <c r="W6" s="17" t="s">
        <v>6</v>
      </c>
    </row>
    <row r="7" spans="1:23" ht="32" customHeight="1" x14ac:dyDescent="0.35">
      <c r="A7" s="115" t="s">
        <v>7</v>
      </c>
      <c r="B7" s="71"/>
      <c r="C7" s="71"/>
      <c r="D7" s="71"/>
      <c r="E7" s="71"/>
      <c r="F7" s="115" t="s">
        <v>298</v>
      </c>
      <c r="G7" s="71"/>
      <c r="H7" s="71"/>
      <c r="I7" s="71"/>
      <c r="J7" s="71"/>
      <c r="K7" s="115" t="s">
        <v>299</v>
      </c>
      <c r="L7" s="71"/>
      <c r="M7" s="71"/>
      <c r="N7" s="71"/>
      <c r="O7" s="71"/>
      <c r="P7" s="71"/>
      <c r="R7" s="15" t="str">
        <f>Performance!A36</f>
        <v>27-Mar</v>
      </c>
      <c r="S7" s="15">
        <f>Performance!B36</f>
        <v>101.2429504</v>
      </c>
      <c r="T7" s="15">
        <f>Performance!C36</f>
        <v>101.39547570000001</v>
      </c>
      <c r="U7" s="15"/>
      <c r="V7" s="15" t="str">
        <f>Holdings!B7</f>
        <v>Demo Bank</v>
      </c>
      <c r="W7" s="15">
        <f>Holdings!H7</f>
        <v>9.3504373517351705E-2</v>
      </c>
    </row>
    <row r="8" spans="1:23" ht="20" customHeight="1" x14ac:dyDescent="0.35">
      <c r="A8" s="116">
        <f>Holdings!G16</f>
        <v>526913.99500000011</v>
      </c>
      <c r="B8" s="71"/>
      <c r="C8" s="71"/>
      <c r="D8" s="71"/>
      <c r="E8" s="71"/>
      <c r="F8" s="116">
        <f>Holdings!G18</f>
        <v>535000</v>
      </c>
      <c r="G8" s="71"/>
      <c r="H8" s="71"/>
      <c r="I8" s="71"/>
      <c r="J8" s="71"/>
      <c r="K8" s="116">
        <f>Holdings!G19</f>
        <v>-8086.0049999998882</v>
      </c>
      <c r="L8" s="71"/>
      <c r="M8" s="71"/>
      <c r="N8" s="71"/>
      <c r="O8" s="71"/>
      <c r="P8" s="71"/>
      <c r="R8" s="15" t="str">
        <f>Performance!A37</f>
        <v>03-Apr</v>
      </c>
      <c r="S8" s="15">
        <f>Performance!B37</f>
        <v>100.03672560000001</v>
      </c>
      <c r="T8" s="15">
        <f>Performance!C37</f>
        <v>99.58256639999999</v>
      </c>
      <c r="U8" s="15"/>
      <c r="V8" s="15" t="str">
        <f>Holdings!B8</f>
        <v>Demo Technology</v>
      </c>
      <c r="W8" s="15">
        <f>Holdings!H8</f>
        <v>0.21834388741183458</v>
      </c>
    </row>
    <row r="9" spans="1:23" ht="20" customHeight="1" x14ac:dyDescent="0.35">
      <c r="A9" s="71"/>
      <c r="B9" s="71"/>
      <c r="C9" s="71"/>
      <c r="D9" s="71"/>
      <c r="E9" s="71"/>
      <c r="F9" s="71"/>
      <c r="G9" s="71"/>
      <c r="H9" s="71"/>
      <c r="I9" s="71"/>
      <c r="J9" s="71"/>
      <c r="K9" s="71"/>
      <c r="L9" s="71"/>
      <c r="M9" s="71"/>
      <c r="N9" s="71"/>
      <c r="O9" s="71"/>
      <c r="P9" s="71"/>
      <c r="R9" s="15" t="str">
        <f>Performance!A38</f>
        <v>10-Apr</v>
      </c>
      <c r="S9" s="15">
        <f>Performance!B38</f>
        <v>99.515026400000011</v>
      </c>
      <c r="T9" s="15">
        <f>Performance!C38</f>
        <v>98.5995116</v>
      </c>
      <c r="U9" s="15"/>
      <c r="V9" s="15" t="str">
        <f>Holdings!B9</f>
        <v>Demo Healthcare</v>
      </c>
      <c r="W9" s="15">
        <f>Holdings!H9</f>
        <v>0.13050477431331081</v>
      </c>
    </row>
    <row r="10" spans="1:23" ht="32" customHeight="1" x14ac:dyDescent="0.35">
      <c r="A10" s="115" t="s">
        <v>300</v>
      </c>
      <c r="B10" s="71"/>
      <c r="C10" s="71"/>
      <c r="D10" s="71"/>
      <c r="E10" s="71"/>
      <c r="F10" s="115" t="s">
        <v>301</v>
      </c>
      <c r="G10" s="71"/>
      <c r="H10" s="71"/>
      <c r="I10" s="71"/>
      <c r="J10" s="71"/>
      <c r="K10" s="115" t="s">
        <v>302</v>
      </c>
      <c r="L10" s="71"/>
      <c r="M10" s="71"/>
      <c r="N10" s="71"/>
      <c r="O10" s="71"/>
      <c r="P10" s="71"/>
      <c r="R10" s="15" t="str">
        <f>Performance!A39</f>
        <v>17-Apr</v>
      </c>
      <c r="S10" s="15">
        <f>Performance!B39</f>
        <v>99.757746799999993</v>
      </c>
      <c r="T10" s="15">
        <f>Performance!C39</f>
        <v>98.854471999999987</v>
      </c>
      <c r="U10" s="15"/>
      <c r="V10" s="15" t="str">
        <f>Holdings!B10</f>
        <v>Demo Industry</v>
      </c>
      <c r="W10" s="15">
        <f>Holdings!H10</f>
        <v>0.11184363588596652</v>
      </c>
    </row>
    <row r="11" spans="1:23" ht="20" customHeight="1" x14ac:dyDescent="0.35">
      <c r="A11" s="117">
        <f>IF($J$5&lt;Holdings!$G$24,"n.a.",INDEX(Daily!$M$7:$M$136,MATCH($J$5,Daily!$A$7:$A$136,0))/100-1)</f>
        <v>-1.7176242533562869E-2</v>
      </c>
      <c r="B11" s="71"/>
      <c r="C11" s="71"/>
      <c r="D11" s="71"/>
      <c r="E11" s="71"/>
      <c r="F11" s="117">
        <f>IF(OR(COUNTIFS(Daily!$R$7:$R$136,"&lt;0")=0,COUNTIFS(Daily!$R$7:$R$136,"&gt;0")=0),"n.a.",XIRR(Daily!$R$7:$R$136,Daily!$A$7:$A$136))</f>
        <v>-3.0511835217475889E-2</v>
      </c>
      <c r="G11" s="71"/>
      <c r="H11" s="71"/>
      <c r="I11" s="71"/>
      <c r="J11" s="71"/>
      <c r="K11" s="117">
        <f>MIN(Daily!$U$7:$U$136)</f>
        <v>-5.750948684762236E-2</v>
      </c>
      <c r="L11" s="71"/>
      <c r="M11" s="71"/>
      <c r="N11" s="71"/>
      <c r="O11" s="71"/>
      <c r="P11" s="71"/>
      <c r="R11" s="15" t="str">
        <f>Performance!A40</f>
        <v>24-Apr</v>
      </c>
      <c r="S11" s="15">
        <f>Performance!B40</f>
        <v>99.390875599999987</v>
      </c>
      <c r="T11" s="15">
        <f>Performance!C40</f>
        <v>97.328268899999998</v>
      </c>
      <c r="U11" s="15"/>
      <c r="V11" s="15" t="str">
        <f>Holdings!B11</f>
        <v>Demo Broad ETF</v>
      </c>
      <c r="W11" s="15">
        <f>Holdings!H11</f>
        <v>0.23388323933206587</v>
      </c>
    </row>
    <row r="12" spans="1:23" ht="20" customHeight="1" x14ac:dyDescent="0.35">
      <c r="A12" s="71"/>
      <c r="B12" s="71"/>
      <c r="C12" s="71"/>
      <c r="D12" s="71"/>
      <c r="E12" s="71"/>
      <c r="F12" s="71"/>
      <c r="G12" s="71"/>
      <c r="H12" s="71"/>
      <c r="I12" s="71"/>
      <c r="J12" s="71"/>
      <c r="K12" s="71"/>
      <c r="L12" s="71"/>
      <c r="M12" s="71"/>
      <c r="N12" s="71"/>
      <c r="O12" s="71"/>
      <c r="P12" s="71"/>
      <c r="R12" s="15" t="str">
        <f>Performance!A41</f>
        <v>01-May</v>
      </c>
      <c r="S12" s="15">
        <f>Performance!B41</f>
        <v>98.714225090064147</v>
      </c>
      <c r="T12" s="15">
        <f>Performance!C41</f>
        <v>96.809650199999993</v>
      </c>
      <c r="U12" s="15"/>
      <c r="V12" s="15" t="str">
        <f>Holdings!B12</f>
        <v>Demo Bond ETF</v>
      </c>
      <c r="W12" s="15">
        <f>Holdings!H12</f>
        <v>0.11806340425632458</v>
      </c>
    </row>
    <row r="13" spans="1:23" ht="34" customHeight="1" x14ac:dyDescent="0.35">
      <c r="A13" s="71" t="str">
        <f>IF(COUNTIFS(Transactions!$K$7:$K$1006,"Refresh required")+COUNTIFS(Ledger!$U$7:$U$1006,"Refresh required")&gt;0,"Transaction edits not loaded. Refresh required.",IF(COUNTIFS(Ledger!$S$7:$S$1006,"Review*")&gt;0,"Review transaction errors on Ledger",IF(COUNTIFS(Daily!$S$7:$S$136,"&lt;6",Daily!$A$7:$A$136,"&lt;="&amp;$J$5)&gt;0,"Review missing or nonpositive prices",IF(COUNTIFS(History!$H$7:$H$136,"&gt;0",History!$A$7:$A$136,"&lt;="&amp;$J$5)&lt;COUNTIFS(History!$A$7:$A$136,"&lt;="&amp;$J$5),"Review missing benchmark prices","Synthetic prices; no live exchange connection"))))</f>
        <v>Synthetic prices; no live exchange connection</v>
      </c>
      <c r="B13" s="71"/>
      <c r="C13" s="71"/>
      <c r="D13" s="71"/>
      <c r="E13" s="71"/>
      <c r="F13" s="71"/>
      <c r="G13" s="71"/>
      <c r="H13" s="71"/>
      <c r="I13" s="71"/>
      <c r="J13" s="115" t="s">
        <v>9</v>
      </c>
      <c r="K13" s="71"/>
      <c r="L13" s="71"/>
      <c r="M13" s="71"/>
      <c r="N13" s="71"/>
      <c r="O13" s="71"/>
      <c r="P13" s="71"/>
      <c r="R13" s="15" t="str">
        <f>Performance!A42</f>
        <v>08-May</v>
      </c>
      <c r="S13" s="15">
        <f>Performance!B42</f>
        <v>98.217545810087017</v>
      </c>
      <c r="T13" s="15">
        <f>Performance!C42</f>
        <v>95.382601300000005</v>
      </c>
      <c r="U13" s="15"/>
      <c r="V13" s="15" t="s">
        <v>10</v>
      </c>
      <c r="W13" s="15">
        <f>Holdings!G15/Holdings!G16</f>
        <v>9.3856685283145697E-2</v>
      </c>
    </row>
    <row r="14" spans="1:23" ht="20" customHeight="1" x14ac:dyDescent="0.35">
      <c r="A14" s="71"/>
      <c r="B14" s="71"/>
      <c r="C14" s="71"/>
      <c r="D14" s="71"/>
      <c r="E14" s="71"/>
      <c r="F14" s="71"/>
      <c r="G14" s="71"/>
      <c r="H14" s="71"/>
      <c r="I14" s="71"/>
      <c r="J14" s="71"/>
      <c r="K14" s="71"/>
      <c r="L14" s="71"/>
      <c r="M14" s="71"/>
      <c r="N14" s="71"/>
      <c r="O14" s="71"/>
      <c r="P14" s="71"/>
      <c r="R14" s="15" t="str">
        <f>Performance!A43</f>
        <v>15-May</v>
      </c>
      <c r="S14" s="15">
        <f>Performance!B43</f>
        <v>98.661626156553595</v>
      </c>
      <c r="T14" s="15">
        <f>Performance!C43</f>
        <v>94.821611200000007</v>
      </c>
      <c r="U14" s="15"/>
      <c r="V14" s="15"/>
      <c r="W14" s="15"/>
    </row>
    <row r="15" spans="1:23" ht="20" customHeight="1" x14ac:dyDescent="0.35">
      <c r="A15" s="71"/>
      <c r="B15" s="71"/>
      <c r="C15" s="71"/>
      <c r="D15" s="71"/>
      <c r="E15" s="71"/>
      <c r="F15" s="71"/>
      <c r="G15" s="71"/>
      <c r="H15" s="71"/>
      <c r="I15" s="71"/>
      <c r="J15" s="71"/>
      <c r="K15" s="71"/>
      <c r="L15" s="71"/>
      <c r="M15" s="71"/>
      <c r="N15" s="71"/>
      <c r="O15" s="71"/>
      <c r="P15" s="71"/>
      <c r="R15" s="15" t="str">
        <f>Performance!A44</f>
        <v>22-May</v>
      </c>
      <c r="S15" s="15">
        <f>Performance!B44</f>
        <v>97.536683763660562</v>
      </c>
      <c r="T15" s="15">
        <f>Performance!C44</f>
        <v>93.794179999999997</v>
      </c>
      <c r="U15" s="15"/>
      <c r="V15" s="15"/>
      <c r="W15" s="15"/>
    </row>
    <row r="16" spans="1:23" ht="20" customHeight="1" x14ac:dyDescent="0.35">
      <c r="A16" s="71"/>
      <c r="B16" s="71"/>
      <c r="C16" s="71"/>
      <c r="D16" s="71"/>
      <c r="E16" s="71"/>
      <c r="F16" s="71"/>
      <c r="G16" s="71"/>
      <c r="H16" s="71"/>
      <c r="I16" s="71"/>
      <c r="J16" s="71"/>
      <c r="K16" s="71"/>
      <c r="L16" s="71"/>
      <c r="M16" s="71"/>
      <c r="N16" s="71"/>
      <c r="O16" s="71"/>
      <c r="P16" s="71"/>
      <c r="R16" s="15" t="str">
        <f>Performance!A45</f>
        <v>29-May</v>
      </c>
      <c r="S16" s="15">
        <f>Performance!B45</f>
        <v>97.902007757279236</v>
      </c>
      <c r="T16" s="15">
        <f>Performance!C45</f>
        <v>94.293305799999999</v>
      </c>
      <c r="U16" s="15"/>
      <c r="V16" s="15"/>
      <c r="W16" s="15"/>
    </row>
    <row r="17" spans="1:23" ht="20" customHeight="1" x14ac:dyDescent="0.35">
      <c r="A17" s="71"/>
      <c r="B17" s="71"/>
      <c r="C17" s="71"/>
      <c r="D17" s="71"/>
      <c r="E17" s="71"/>
      <c r="F17" s="71"/>
      <c r="G17" s="71"/>
      <c r="H17" s="71"/>
      <c r="I17" s="71"/>
      <c r="J17" s="71"/>
      <c r="K17" s="71"/>
      <c r="L17" s="71"/>
      <c r="M17" s="71"/>
      <c r="N17" s="71"/>
      <c r="O17" s="71"/>
      <c r="P17" s="71"/>
      <c r="R17" s="15" t="str">
        <f>Performance!A46</f>
        <v>05-Jun</v>
      </c>
      <c r="S17" s="15">
        <f>Performance!B46</f>
        <v>96.849714132091094</v>
      </c>
      <c r="T17" s="15">
        <f>Performance!C46</f>
        <v>92.373102100000011</v>
      </c>
      <c r="U17" s="15"/>
      <c r="V17" s="15"/>
      <c r="W17" s="15"/>
    </row>
    <row r="18" spans="1:23" ht="20" customHeight="1" x14ac:dyDescent="0.35">
      <c r="A18" s="71"/>
      <c r="B18" s="71"/>
      <c r="C18" s="71"/>
      <c r="D18" s="71"/>
      <c r="E18" s="71"/>
      <c r="F18" s="71"/>
      <c r="G18" s="71"/>
      <c r="H18" s="71"/>
      <c r="I18" s="71"/>
      <c r="J18" s="71"/>
      <c r="K18" s="71"/>
      <c r="L18" s="71"/>
      <c r="M18" s="71"/>
      <c r="N18" s="71"/>
      <c r="O18" s="71"/>
      <c r="P18" s="71"/>
      <c r="R18" s="15" t="str">
        <f>Performance!A47</f>
        <v>12-Jun</v>
      </c>
      <c r="S18" s="15">
        <f>Performance!B47</f>
        <v>95.74796749256403</v>
      </c>
      <c r="T18" s="15">
        <f>Performance!C47</f>
        <v>92.297650999999988</v>
      </c>
      <c r="U18" s="15"/>
      <c r="V18" s="15"/>
      <c r="W18" s="15"/>
    </row>
    <row r="19" spans="1:23" ht="20" customHeight="1" x14ac:dyDescent="0.35">
      <c r="A19" s="71"/>
      <c r="B19" s="71"/>
      <c r="C19" s="71"/>
      <c r="D19" s="71"/>
      <c r="E19" s="71"/>
      <c r="F19" s="71"/>
      <c r="G19" s="71"/>
      <c r="H19" s="71"/>
      <c r="I19" s="71"/>
      <c r="J19" s="71"/>
      <c r="K19" s="71"/>
      <c r="L19" s="71"/>
      <c r="M19" s="71"/>
      <c r="N19" s="71"/>
      <c r="O19" s="71"/>
      <c r="P19" s="71"/>
      <c r="R19" s="15" t="str">
        <f>Performance!A48</f>
        <v>19-Jun</v>
      </c>
      <c r="S19" s="15">
        <f>Performance!B48</f>
        <v>97.292863772983949</v>
      </c>
      <c r="T19" s="15">
        <f>Performance!C48</f>
        <v>94.067238000000003</v>
      </c>
      <c r="U19" s="15"/>
      <c r="V19" s="15"/>
      <c r="W19" s="15"/>
    </row>
    <row r="20" spans="1:23" ht="20" customHeight="1" x14ac:dyDescent="0.35">
      <c r="A20" s="71"/>
      <c r="B20" s="71"/>
      <c r="C20" s="71"/>
      <c r="D20" s="71"/>
      <c r="E20" s="71"/>
      <c r="F20" s="71"/>
      <c r="G20" s="71"/>
      <c r="H20" s="71"/>
      <c r="I20" s="71"/>
      <c r="J20" s="71"/>
      <c r="K20" s="71"/>
      <c r="L20" s="71"/>
      <c r="M20" s="71"/>
      <c r="N20" s="71"/>
      <c r="O20" s="71"/>
      <c r="P20" s="71"/>
      <c r="R20" s="15" t="str">
        <f>Performance!A49</f>
        <v>26-Jun</v>
      </c>
      <c r="S20" s="15">
        <f>Performance!B49</f>
        <v>99.15156612612985</v>
      </c>
      <c r="T20" s="15">
        <f>Performance!C49</f>
        <v>97.057310399999992</v>
      </c>
      <c r="U20" s="15"/>
      <c r="V20" s="15"/>
      <c r="W20" s="15"/>
    </row>
    <row r="21" spans="1:23" ht="20" customHeight="1" x14ac:dyDescent="0.35">
      <c r="A21" s="71"/>
      <c r="B21" s="71"/>
      <c r="C21" s="71"/>
      <c r="D21" s="71"/>
      <c r="E21" s="71"/>
      <c r="F21" s="71"/>
      <c r="G21" s="71"/>
      <c r="H21" s="71"/>
      <c r="I21" s="71"/>
      <c r="J21" s="71"/>
      <c r="K21" s="71"/>
      <c r="L21" s="71"/>
      <c r="M21" s="71"/>
      <c r="N21" s="71"/>
      <c r="O21" s="71"/>
      <c r="P21" s="71"/>
      <c r="R21" s="15" t="str">
        <f>Performance!A50</f>
        <v>03-Jul</v>
      </c>
      <c r="S21" s="15">
        <f>Performance!B50</f>
        <v>99.731054603237965</v>
      </c>
      <c r="T21" s="15">
        <f>Performance!C50</f>
        <v>97.147943299999994</v>
      </c>
      <c r="U21" s="15"/>
      <c r="V21" s="15"/>
      <c r="W21" s="15"/>
    </row>
    <row r="22" spans="1:23" ht="20" customHeight="1" x14ac:dyDescent="0.35">
      <c r="A22" s="71"/>
      <c r="B22" s="71"/>
      <c r="C22" s="71"/>
      <c r="D22" s="71"/>
      <c r="E22" s="71"/>
      <c r="F22" s="71"/>
      <c r="G22" s="71"/>
      <c r="H22" s="71"/>
      <c r="I22" s="71"/>
      <c r="J22" s="71"/>
      <c r="K22" s="71"/>
      <c r="L22" s="71"/>
      <c r="M22" s="71"/>
      <c r="N22" s="71"/>
      <c r="O22" s="71"/>
      <c r="P22" s="71"/>
      <c r="R22" s="15" t="str">
        <f>Performance!A51</f>
        <v>10-Jul</v>
      </c>
      <c r="S22" s="15">
        <f>Performance!B51</f>
        <v>100.54808611815967</v>
      </c>
      <c r="T22" s="15">
        <f>Performance!C51</f>
        <v>97.803045400000002</v>
      </c>
      <c r="U22" s="15"/>
      <c r="V22" s="15"/>
      <c r="W22" s="15"/>
    </row>
    <row r="23" spans="1:23" ht="20" customHeight="1" x14ac:dyDescent="0.35">
      <c r="A23" s="71"/>
      <c r="B23" s="71"/>
      <c r="C23" s="71"/>
      <c r="D23" s="71"/>
      <c r="E23" s="71"/>
      <c r="F23" s="71"/>
      <c r="G23" s="71"/>
      <c r="H23" s="71"/>
      <c r="I23" s="71"/>
      <c r="J23" s="71"/>
      <c r="K23" s="71"/>
      <c r="L23" s="71"/>
      <c r="M23" s="71"/>
      <c r="N23" s="71"/>
      <c r="O23" s="71"/>
      <c r="P23" s="71"/>
      <c r="R23" s="15" t="str">
        <f>Performance!A52</f>
        <v>17-Jul</v>
      </c>
      <c r="S23" s="15">
        <f>Performance!B52</f>
        <v>101.68400019915038</v>
      </c>
      <c r="T23" s="15">
        <f>Performance!C52</f>
        <v>97.566513400000005</v>
      </c>
      <c r="U23" s="15"/>
      <c r="V23" s="15"/>
      <c r="W23" s="15"/>
    </row>
    <row r="24" spans="1:23" ht="20" customHeight="1" x14ac:dyDescent="0.35">
      <c r="A24" s="71"/>
      <c r="B24" s="71"/>
      <c r="C24" s="71"/>
      <c r="D24" s="71"/>
      <c r="E24" s="71"/>
      <c r="F24" s="71"/>
      <c r="G24" s="71"/>
      <c r="H24" s="71"/>
      <c r="I24" s="71"/>
      <c r="J24" s="71"/>
      <c r="K24" s="71"/>
      <c r="L24" s="71"/>
      <c r="M24" s="71"/>
      <c r="N24" s="71"/>
      <c r="O24" s="71"/>
      <c r="P24" s="71"/>
      <c r="R24" s="15" t="str">
        <f>Performance!A53</f>
        <v>24-Jul</v>
      </c>
      <c r="S24" s="15">
        <f>Performance!B53</f>
        <v>100.55460269094806</v>
      </c>
      <c r="T24" s="15">
        <f>Performance!C53</f>
        <v>96.276389600000002</v>
      </c>
      <c r="U24" s="15"/>
      <c r="V24" s="15"/>
      <c r="W24" s="15"/>
    </row>
    <row r="25" spans="1:23" ht="20" customHeight="1" x14ac:dyDescent="0.35">
      <c r="A25" s="71"/>
      <c r="B25" s="71"/>
      <c r="C25" s="71"/>
      <c r="D25" s="71"/>
      <c r="E25" s="71"/>
      <c r="F25" s="71"/>
      <c r="G25" s="71"/>
      <c r="H25" s="71"/>
      <c r="I25" s="71"/>
      <c r="J25" s="71"/>
      <c r="K25" s="71"/>
      <c r="L25" s="71"/>
      <c r="M25" s="71"/>
      <c r="N25" s="71"/>
      <c r="O25" s="71"/>
      <c r="P25" s="71"/>
      <c r="R25" s="15" t="str">
        <f>Performance!A54</f>
        <v>31-Jul</v>
      </c>
      <c r="S25" s="15">
        <f>Performance!B54</f>
        <v>101.69615836893909</v>
      </c>
      <c r="T25" s="15">
        <f>Performance!C54</f>
        <v>97.485243300000008</v>
      </c>
      <c r="U25" s="15"/>
      <c r="V25" s="15"/>
      <c r="W25" s="15"/>
    </row>
    <row r="26" spans="1:23" ht="20" customHeight="1" x14ac:dyDescent="0.35">
      <c r="A26" s="71"/>
      <c r="B26" s="71"/>
      <c r="C26" s="71"/>
      <c r="D26" s="71"/>
      <c r="E26" s="71"/>
      <c r="F26" s="71"/>
      <c r="G26" s="71"/>
      <c r="H26" s="71"/>
      <c r="I26" s="71"/>
      <c r="J26" s="71"/>
      <c r="K26" s="71"/>
      <c r="L26" s="71"/>
      <c r="M26" s="71"/>
      <c r="N26" s="71"/>
      <c r="O26" s="71"/>
      <c r="P26" s="71"/>
      <c r="R26" s="15" t="str">
        <f>Performance!A55</f>
        <v>07-Aug</v>
      </c>
      <c r="S26" s="15">
        <f>Performance!B55</f>
        <v>102.84219127019533</v>
      </c>
      <c r="T26" s="15">
        <f>Performance!C55</f>
        <v>98.759670500000013</v>
      </c>
      <c r="U26" s="15"/>
      <c r="V26" s="15"/>
      <c r="W26" s="15"/>
    </row>
    <row r="27" spans="1:23" ht="20" customHeight="1" x14ac:dyDescent="0.35">
      <c r="A27" s="71"/>
      <c r="B27" s="71"/>
      <c r="C27" s="71"/>
      <c r="D27" s="71"/>
      <c r="E27" s="71"/>
      <c r="F27" s="71"/>
      <c r="G27" s="71"/>
      <c r="H27" s="71"/>
      <c r="I27" s="71"/>
      <c r="J27" s="71"/>
      <c r="K27" s="71"/>
      <c r="L27" s="71"/>
      <c r="M27" s="71"/>
      <c r="N27" s="71"/>
      <c r="O27" s="71"/>
      <c r="P27" s="71"/>
      <c r="R27" s="15" t="str">
        <f>Performance!A56</f>
        <v>14-Aug</v>
      </c>
      <c r="S27" s="15">
        <f>Performance!B56</f>
        <v>102.76906414876852</v>
      </c>
      <c r="T27" s="15">
        <f>Performance!C56</f>
        <v>98.554955800000002</v>
      </c>
      <c r="U27" s="15"/>
      <c r="V27" s="15"/>
      <c r="W27" s="15"/>
    </row>
    <row r="28" spans="1:23" ht="20" customHeight="1" x14ac:dyDescent="0.35">
      <c r="A28" s="71"/>
      <c r="B28" s="71"/>
      <c r="C28" s="71"/>
      <c r="D28" s="71"/>
      <c r="E28" s="71"/>
      <c r="F28" s="71"/>
      <c r="G28" s="71"/>
      <c r="H28" s="71"/>
      <c r="I28" s="71"/>
      <c r="J28" s="71"/>
      <c r="K28" s="71"/>
      <c r="L28" s="71"/>
      <c r="M28" s="71"/>
      <c r="N28" s="71"/>
      <c r="O28" s="71"/>
      <c r="P28" s="71"/>
      <c r="R28" s="15" t="str">
        <f>Performance!A57</f>
        <v>21-Aug</v>
      </c>
      <c r="S28" s="15">
        <f>Performance!B57</f>
        <v>100.94956528516305</v>
      </c>
      <c r="T28" s="15">
        <f>Performance!C57</f>
        <v>97.847237500000006</v>
      </c>
      <c r="U28" s="15"/>
      <c r="V28" s="15"/>
      <c r="W28" s="15"/>
    </row>
    <row r="29" spans="1:23" ht="20" customHeight="1" x14ac:dyDescent="0.35">
      <c r="A29" s="71"/>
      <c r="B29" s="71"/>
      <c r="C29" s="71"/>
      <c r="D29" s="71"/>
      <c r="E29" s="71"/>
      <c r="F29" s="71"/>
      <c r="G29" s="71"/>
      <c r="H29" s="71"/>
      <c r="I29" s="71"/>
      <c r="J29" s="71"/>
      <c r="K29" s="71"/>
      <c r="L29" s="71"/>
      <c r="M29" s="71"/>
      <c r="N29" s="71"/>
      <c r="O29" s="71"/>
      <c r="P29" s="71"/>
      <c r="R29" s="15" t="str">
        <f>Performance!A58</f>
        <v>28-Aug</v>
      </c>
      <c r="S29" s="15">
        <f>Performance!B58</f>
        <v>99.090048706669975</v>
      </c>
      <c r="T29" s="15">
        <f>Performance!C58</f>
        <v>97.370688800000011</v>
      </c>
      <c r="U29" s="15"/>
      <c r="V29" s="15"/>
      <c r="W29" s="15"/>
    </row>
    <row r="30" spans="1:23" ht="20" customHeight="1" x14ac:dyDescent="0.35">
      <c r="A30" s="71"/>
      <c r="B30" s="71"/>
      <c r="C30" s="71"/>
      <c r="D30" s="71"/>
      <c r="E30" s="71"/>
      <c r="F30" s="71"/>
      <c r="G30" s="71"/>
      <c r="H30" s="71"/>
      <c r="I30" s="71"/>
      <c r="J30" s="71"/>
      <c r="K30" s="71"/>
      <c r="L30" s="71"/>
      <c r="M30" s="71"/>
      <c r="N30" s="71"/>
      <c r="O30" s="71"/>
      <c r="P30" s="71"/>
      <c r="R30" s="15" t="str">
        <f>Performance!A59</f>
        <v>04-Sep</v>
      </c>
      <c r="S30" s="15">
        <f>Performance!B59</f>
        <v>100.69837048665232</v>
      </c>
      <c r="T30" s="15">
        <f>Performance!C59</f>
        <v>98.773055299999996</v>
      </c>
      <c r="U30" s="15"/>
      <c r="V30" s="15"/>
      <c r="W30" s="15"/>
    </row>
    <row r="31" spans="1:23" ht="20" customHeight="1" x14ac:dyDescent="0.35">
      <c r="A31" s="71"/>
      <c r="B31" s="71"/>
      <c r="C31" s="71"/>
      <c r="D31" s="71"/>
      <c r="E31" s="71"/>
      <c r="F31" s="71"/>
      <c r="G31" s="71"/>
      <c r="H31" s="71"/>
      <c r="I31" s="71"/>
      <c r="J31" s="71"/>
      <c r="K31" s="71"/>
      <c r="L31" s="71"/>
      <c r="M31" s="71"/>
      <c r="N31" s="71"/>
      <c r="O31" s="71"/>
      <c r="P31" s="71"/>
      <c r="R31" s="15" t="str">
        <f>Performance!A60</f>
        <v>11-Sep</v>
      </c>
      <c r="S31" s="15">
        <f>Performance!B60</f>
        <v>101.70966311665187</v>
      </c>
      <c r="T31" s="15">
        <f>Performance!C60</f>
        <v>100.32490510000001</v>
      </c>
      <c r="U31" s="15"/>
      <c r="V31" s="15"/>
      <c r="W31" s="15"/>
    </row>
    <row r="32" spans="1:23" ht="29" customHeight="1" x14ac:dyDescent="0.35">
      <c r="A32" s="118" t="s">
        <v>11</v>
      </c>
      <c r="B32" s="118" t="s">
        <v>12</v>
      </c>
      <c r="C32" s="118" t="s">
        <v>13</v>
      </c>
      <c r="D32" s="118" t="s">
        <v>14</v>
      </c>
      <c r="E32" s="118" t="s">
        <v>15</v>
      </c>
      <c r="F32" s="118" t="s">
        <v>6</v>
      </c>
      <c r="G32" s="118" t="s">
        <v>16</v>
      </c>
      <c r="H32" s="118" t="s">
        <v>17</v>
      </c>
      <c r="I32" s="119"/>
      <c r="J32" s="119" t="s">
        <v>18</v>
      </c>
      <c r="K32" s="119"/>
      <c r="L32" s="119"/>
      <c r="M32" s="120">
        <f>MAX(Quotes!C7:C12)</f>
        <v>46283.645833333336</v>
      </c>
      <c r="N32" s="119"/>
      <c r="O32" s="119"/>
      <c r="P32" s="119"/>
      <c r="R32" s="15" t="str">
        <f>Performance!A61</f>
        <v>18-Sep</v>
      </c>
      <c r="S32" s="15">
        <f>Performance!B61</f>
        <v>98.282375746643709</v>
      </c>
      <c r="T32" s="15">
        <f>Performance!C61</f>
        <v>96.624133900000004</v>
      </c>
      <c r="U32" s="15"/>
      <c r="V32" s="15"/>
      <c r="W32" s="15"/>
    </row>
    <row r="33" spans="1:23" ht="20" customHeight="1" x14ac:dyDescent="0.35">
      <c r="A33" s="71" t="str">
        <f>Holdings!B7</f>
        <v>Demo Bank</v>
      </c>
      <c r="B33" s="71" t="str">
        <f>Holdings!C7</f>
        <v>Banking</v>
      </c>
      <c r="C33" s="121">
        <f>Holdings!D7</f>
        <v>90</v>
      </c>
      <c r="D33" s="99">
        <f>Holdings!F7</f>
        <v>547.4307</v>
      </c>
      <c r="E33" s="121">
        <f>Holdings!G7</f>
        <v>49268.762999999999</v>
      </c>
      <c r="F33" s="122">
        <f>Holdings!H7</f>
        <v>9.3504373517351705E-2</v>
      </c>
      <c r="G33" s="121">
        <f>Holdings!J7</f>
        <v>290.13119999999617</v>
      </c>
      <c r="H33" s="121">
        <f>Holdings!K7</f>
        <v>88.746799999998984</v>
      </c>
      <c r="I33" s="71"/>
      <c r="J33" s="71"/>
      <c r="K33" s="71"/>
      <c r="L33" s="71"/>
      <c r="M33" s="123"/>
      <c r="N33" s="71"/>
      <c r="O33" s="71"/>
      <c r="P33" s="71"/>
      <c r="R33" s="15"/>
      <c r="S33" s="15"/>
      <c r="T33" s="15"/>
      <c r="U33" s="15"/>
      <c r="V33" s="15"/>
      <c r="W33" s="15"/>
    </row>
    <row r="34" spans="1:23" ht="20" customHeight="1" x14ac:dyDescent="0.35">
      <c r="A34" s="111" t="str">
        <f>Holdings!B8</f>
        <v>Demo Technology</v>
      </c>
      <c r="B34" s="111" t="str">
        <f>Holdings!C8</f>
        <v>Technology</v>
      </c>
      <c r="C34" s="124">
        <f>Holdings!D8</f>
        <v>220</v>
      </c>
      <c r="D34" s="125">
        <f>Holdings!F8</f>
        <v>522.94749999999999</v>
      </c>
      <c r="E34" s="124">
        <f>Holdings!G8</f>
        <v>115048.45</v>
      </c>
      <c r="F34" s="126">
        <f>Holdings!H8</f>
        <v>0.21834388741183458</v>
      </c>
      <c r="G34" s="124">
        <f>Holdings!J8</f>
        <v>-16464.454000000012</v>
      </c>
      <c r="H34" s="124">
        <f>Holdings!K8</f>
        <v>0</v>
      </c>
      <c r="I34" s="111"/>
      <c r="J34" s="111" t="s">
        <v>19</v>
      </c>
      <c r="K34" s="111"/>
      <c r="L34" s="111"/>
      <c r="M34" s="127">
        <f>IF(COUNT(Quotes!D7:D12)=0,"Not refreshed",MAX(Quotes!D7:D12))</f>
        <v>46302.618997916667</v>
      </c>
      <c r="N34" s="111"/>
      <c r="O34" s="111"/>
      <c r="P34" s="111"/>
      <c r="R34" s="15"/>
      <c r="S34" s="15"/>
      <c r="T34" s="15"/>
      <c r="U34" s="15"/>
      <c r="V34" s="15"/>
      <c r="W34" s="15"/>
    </row>
    <row r="35" spans="1:23" ht="20" customHeight="1" x14ac:dyDescent="0.35">
      <c r="A35" s="71" t="str">
        <f>Holdings!B9</f>
        <v>Demo Healthcare</v>
      </c>
      <c r="B35" s="71" t="str">
        <f>Holdings!C9</f>
        <v>Healthcare</v>
      </c>
      <c r="C35" s="121">
        <f>Holdings!D9</f>
        <v>80</v>
      </c>
      <c r="D35" s="99">
        <f>Holdings!F9</f>
        <v>859.55989999999997</v>
      </c>
      <c r="E35" s="121">
        <f>Holdings!G9</f>
        <v>68764.792000000001</v>
      </c>
      <c r="F35" s="122">
        <f>Holdings!H9</f>
        <v>0.13050477431331081</v>
      </c>
      <c r="G35" s="121">
        <f>Holdings!J9</f>
        <v>462.6310000000085</v>
      </c>
      <c r="H35" s="121">
        <f>Holdings!K9</f>
        <v>0</v>
      </c>
      <c r="I35" s="71"/>
      <c r="J35" s="71"/>
      <c r="K35" s="71"/>
      <c r="L35" s="71"/>
      <c r="M35" s="71"/>
      <c r="N35" s="71"/>
      <c r="O35" s="71"/>
      <c r="P35" s="71"/>
      <c r="R35" s="15"/>
      <c r="S35" s="15"/>
      <c r="T35" s="15"/>
      <c r="U35" s="15"/>
      <c r="V35" s="15"/>
      <c r="W35" s="15"/>
    </row>
    <row r="36" spans="1:23" ht="20" customHeight="1" x14ac:dyDescent="0.35">
      <c r="A36" s="111" t="str">
        <f>Holdings!B10</f>
        <v>Demo Industry</v>
      </c>
      <c r="B36" s="111" t="str">
        <f>Holdings!C10</f>
        <v>Industrials</v>
      </c>
      <c r="C36" s="124">
        <f>Holdings!D10</f>
        <v>130</v>
      </c>
      <c r="D36" s="125">
        <f>Holdings!F10</f>
        <v>453.3229</v>
      </c>
      <c r="E36" s="124">
        <f>Holdings!G10</f>
        <v>58931.976999999999</v>
      </c>
      <c r="F36" s="126">
        <f>Holdings!H10</f>
        <v>0.11184363588596652</v>
      </c>
      <c r="G36" s="124">
        <f>Holdings!J10</f>
        <v>3010.3103333333274</v>
      </c>
      <c r="H36" s="124">
        <f>Holdings!K10</f>
        <v>-1029.9583333333321</v>
      </c>
      <c r="I36" s="111"/>
      <c r="J36" s="111"/>
      <c r="K36" s="111"/>
      <c r="L36" s="111"/>
      <c r="M36" s="111"/>
      <c r="N36" s="111"/>
      <c r="O36" s="111"/>
      <c r="P36" s="111"/>
      <c r="R36" s="15"/>
      <c r="S36" s="15"/>
      <c r="T36" s="15"/>
      <c r="U36" s="15"/>
      <c r="V36" s="15"/>
      <c r="W36" s="15"/>
    </row>
    <row r="37" spans="1:23" ht="20" customHeight="1" x14ac:dyDescent="0.35">
      <c r="A37" s="71" t="str">
        <f>Holdings!B11</f>
        <v>Demo Broad ETF</v>
      </c>
      <c r="B37" s="71" t="str">
        <f>Holdings!C11</f>
        <v>Diversified equity</v>
      </c>
      <c r="C37" s="121">
        <f>Holdings!D11</f>
        <v>480</v>
      </c>
      <c r="D37" s="99">
        <f>Holdings!F11</f>
        <v>256.74239999999998</v>
      </c>
      <c r="E37" s="121">
        <f>Holdings!G11</f>
        <v>123236.35199999998</v>
      </c>
      <c r="F37" s="122">
        <f>Holdings!H11</f>
        <v>0.23388323933206587</v>
      </c>
      <c r="G37" s="121">
        <f>Holdings!J11</f>
        <v>3337.3279999999795</v>
      </c>
      <c r="H37" s="121">
        <f>Holdings!K11</f>
        <v>0</v>
      </c>
      <c r="I37" s="71"/>
      <c r="J37" s="71" t="s">
        <v>20</v>
      </c>
      <c r="K37" s="71"/>
      <c r="L37" s="71"/>
      <c r="M37" s="71"/>
      <c r="N37" s="71"/>
      <c r="O37" s="71"/>
      <c r="P37" s="71"/>
      <c r="R37" s="15"/>
      <c r="S37" s="15"/>
      <c r="T37" s="15"/>
      <c r="U37" s="15"/>
      <c r="V37" s="15"/>
      <c r="W37" s="15"/>
    </row>
    <row r="38" spans="1:23" ht="20" customHeight="1" x14ac:dyDescent="0.35">
      <c r="A38" s="111" t="str">
        <f>Holdings!B12</f>
        <v>Demo Bond ETF</v>
      </c>
      <c r="B38" s="111" t="str">
        <f>Holdings!C12</f>
        <v>Fixed income</v>
      </c>
      <c r="C38" s="124">
        <f>Holdings!D12</f>
        <v>600</v>
      </c>
      <c r="D38" s="125">
        <f>Holdings!F12</f>
        <v>103.68210000000001</v>
      </c>
      <c r="E38" s="124">
        <f>Holdings!G12</f>
        <v>62209.26</v>
      </c>
      <c r="F38" s="126">
        <f>Holdings!H12</f>
        <v>0.11806340425632458</v>
      </c>
      <c r="G38" s="124">
        <f>Holdings!J12</f>
        <v>2179.260000000002</v>
      </c>
      <c r="H38" s="124">
        <f>Holdings!K12</f>
        <v>0</v>
      </c>
      <c r="I38" s="111"/>
      <c r="J38" s="111"/>
      <c r="K38" s="111"/>
      <c r="L38" s="111"/>
      <c r="M38" s="111"/>
      <c r="N38" s="111"/>
      <c r="O38" s="111"/>
      <c r="P38" s="111"/>
      <c r="R38" s="15"/>
      <c r="S38" s="15"/>
      <c r="T38" s="15"/>
      <c r="U38" s="15"/>
      <c r="V38" s="15"/>
      <c r="W38" s="15"/>
    </row>
    <row r="39" spans="1:23" ht="20" customHeight="1" x14ac:dyDescent="0.35">
      <c r="A39" s="71"/>
      <c r="B39" s="71"/>
      <c r="C39" s="71"/>
      <c r="D39" s="71"/>
      <c r="E39" s="71"/>
      <c r="F39" s="71"/>
      <c r="G39" s="71"/>
      <c r="H39" s="71"/>
      <c r="I39" s="71"/>
      <c r="J39" s="71"/>
      <c r="K39" s="71"/>
      <c r="L39" s="71"/>
      <c r="M39" s="71"/>
      <c r="N39" s="71"/>
      <c r="O39" s="71"/>
      <c r="P39" s="71"/>
      <c r="R39" s="15"/>
      <c r="S39" s="15"/>
      <c r="T39" s="15"/>
      <c r="U39" s="15"/>
      <c r="V39" s="15"/>
      <c r="W39" s="15"/>
    </row>
    <row r="40" spans="1:23" ht="20" customHeight="1" x14ac:dyDescent="0.35">
      <c r="A40" s="71" t="s">
        <v>21</v>
      </c>
      <c r="B40" s="71"/>
      <c r="C40" s="71"/>
      <c r="D40" s="71"/>
      <c r="E40" s="121">
        <f>Holdings!G15</f>
        <v>49454.401000000013</v>
      </c>
      <c r="F40" s="71"/>
      <c r="G40" s="71"/>
      <c r="H40" s="71"/>
      <c r="I40" s="71"/>
      <c r="J40" s="71"/>
      <c r="K40" s="71"/>
      <c r="L40" s="71"/>
      <c r="M40" s="71"/>
      <c r="N40" s="71"/>
      <c r="O40" s="71"/>
      <c r="P40" s="71"/>
      <c r="R40" s="15"/>
      <c r="S40" s="15"/>
      <c r="T40" s="15"/>
      <c r="U40" s="15"/>
      <c r="V40" s="15"/>
      <c r="W40" s="15"/>
    </row>
    <row r="41" spans="1:23" ht="20" customHeight="1" x14ac:dyDescent="0.35">
      <c r="A41" s="71"/>
      <c r="B41" s="71"/>
      <c r="C41" s="71"/>
      <c r="D41" s="71"/>
      <c r="E41" s="71"/>
      <c r="F41" s="71"/>
      <c r="G41" s="71"/>
      <c r="H41" s="71"/>
      <c r="I41" s="71"/>
      <c r="J41" s="71" t="s">
        <v>22</v>
      </c>
      <c r="K41" s="71"/>
      <c r="L41" s="71"/>
      <c r="M41" s="71" t="str">
        <f>IF(COUNTIFS(Transactions!$K$7:$K$1006,"Refresh required")+COUNTIFS(Ledger!$U$7:$U$1006,"Refresh required")&gt;0,"Refresh required","Matched")</f>
        <v>Matched</v>
      </c>
      <c r="N41" s="71"/>
      <c r="O41" s="71"/>
      <c r="P41" s="71"/>
    </row>
    <row r="42" spans="1:23" ht="20" customHeight="1" x14ac:dyDescent="0.35">
      <c r="A42" s="71" t="s">
        <v>303</v>
      </c>
      <c r="B42" s="71"/>
      <c r="C42" s="71"/>
      <c r="D42" s="71"/>
      <c r="E42" s="71"/>
      <c r="F42" s="71"/>
      <c r="G42" s="71"/>
      <c r="H42" s="71"/>
      <c r="I42" s="71"/>
      <c r="J42" s="71"/>
      <c r="K42" s="71"/>
      <c r="L42" s="71"/>
      <c r="M42" s="71"/>
      <c r="N42" s="71"/>
      <c r="O42" s="71"/>
      <c r="P42" s="71"/>
    </row>
    <row r="43" spans="1:23" ht="20" customHeight="1" x14ac:dyDescent="0.35">
      <c r="A43" s="71"/>
      <c r="B43" s="71"/>
      <c r="C43" s="71"/>
      <c r="D43" s="71"/>
      <c r="E43" s="71"/>
      <c r="F43" s="71"/>
      <c r="G43" s="71"/>
      <c r="H43" s="71"/>
      <c r="I43" s="71"/>
      <c r="J43" s="71"/>
      <c r="K43" s="71"/>
      <c r="L43" s="71"/>
      <c r="M43" s="71"/>
      <c r="N43" s="71"/>
      <c r="O43" s="71"/>
      <c r="P43" s="71"/>
    </row>
    <row r="44" spans="1:23" ht="20" customHeight="1" x14ac:dyDescent="0.35">
      <c r="A44" s="71" t="s">
        <v>304</v>
      </c>
      <c r="B44" s="71"/>
      <c r="C44" s="71"/>
      <c r="D44" s="71"/>
      <c r="E44" s="71"/>
      <c r="F44" s="71"/>
      <c r="G44" s="71"/>
      <c r="H44" s="71"/>
      <c r="I44" s="71"/>
      <c r="J44" s="71"/>
      <c r="K44" s="71"/>
      <c r="L44" s="71"/>
      <c r="M44" s="71"/>
      <c r="N44" s="71"/>
      <c r="O44" s="71"/>
      <c r="P44" s="71"/>
    </row>
    <row r="45" spans="1:23" ht="20" customHeight="1" x14ac:dyDescent="0.35">
      <c r="A45" s="71"/>
      <c r="B45" s="71"/>
      <c r="C45" s="71"/>
      <c r="D45" s="71"/>
      <c r="E45" s="71"/>
      <c r="F45" s="71"/>
      <c r="G45" s="71"/>
      <c r="H45" s="71"/>
      <c r="I45" s="71"/>
      <c r="J45" s="71"/>
      <c r="K45" s="71"/>
      <c r="L45" s="71"/>
      <c r="M45" s="71"/>
      <c r="N45" s="71"/>
      <c r="O45" s="71"/>
      <c r="P45" s="71"/>
    </row>
    <row r="46" spans="1:23" ht="20" customHeight="1" x14ac:dyDescent="0.35">
      <c r="A46" s="71"/>
      <c r="B46" s="71"/>
      <c r="C46" s="71"/>
      <c r="D46" s="71"/>
      <c r="E46" s="71"/>
      <c r="F46" s="71"/>
      <c r="G46" s="71"/>
      <c r="H46" s="71"/>
      <c r="I46" s="71"/>
      <c r="J46" s="71"/>
      <c r="K46" s="71"/>
      <c r="L46" s="71"/>
      <c r="M46" s="71"/>
      <c r="N46" s="71"/>
      <c r="O46" s="71"/>
      <c r="P46" s="71"/>
    </row>
    <row r="47" spans="1:23" ht="20" customHeight="1" x14ac:dyDescent="0.35">
      <c r="A47" s="71"/>
      <c r="B47" s="71"/>
      <c r="C47" s="71"/>
      <c r="D47" s="71"/>
      <c r="E47" s="71"/>
      <c r="F47" s="71"/>
      <c r="G47" s="71"/>
      <c r="H47" s="71"/>
      <c r="I47" s="71"/>
      <c r="J47" s="71"/>
      <c r="K47" s="71"/>
      <c r="L47" s="71"/>
      <c r="M47" s="71"/>
      <c r="N47" s="71"/>
      <c r="O47" s="71"/>
      <c r="P47" s="71"/>
    </row>
    <row r="48" spans="1:23" ht="20" customHeight="1" x14ac:dyDescent="0.35">
      <c r="A48" s="71"/>
      <c r="B48" s="71"/>
      <c r="C48" s="71"/>
      <c r="D48" s="71"/>
      <c r="E48" s="71"/>
      <c r="F48" s="71"/>
      <c r="G48" s="71"/>
      <c r="H48" s="71"/>
      <c r="I48" s="71"/>
      <c r="J48" s="71"/>
      <c r="K48" s="71"/>
      <c r="L48" s="71"/>
      <c r="M48" s="71"/>
      <c r="N48" s="71"/>
      <c r="O48" s="71"/>
      <c r="P48" s="71"/>
    </row>
    <row r="49" spans="1:16" ht="20" customHeight="1" x14ac:dyDescent="0.35">
      <c r="A49" s="71"/>
      <c r="B49" s="71"/>
      <c r="C49" s="71"/>
      <c r="D49" s="71"/>
      <c r="E49" s="71"/>
      <c r="F49" s="71"/>
      <c r="G49" s="71"/>
      <c r="H49" s="71"/>
      <c r="I49" s="71"/>
      <c r="J49" s="71"/>
      <c r="K49" s="71"/>
      <c r="L49" s="71"/>
      <c r="M49" s="71"/>
      <c r="N49" s="71"/>
      <c r="O49" s="71"/>
      <c r="P49" s="71"/>
    </row>
    <row r="50" spans="1:16" x14ac:dyDescent="0.35">
      <c r="A50" s="128"/>
      <c r="B50" s="128"/>
      <c r="C50" s="128"/>
      <c r="D50" s="128"/>
      <c r="E50" s="128"/>
      <c r="F50" s="128"/>
      <c r="G50" s="128"/>
      <c r="H50" s="128"/>
      <c r="I50" s="128"/>
      <c r="J50" s="128"/>
      <c r="K50" s="128"/>
      <c r="L50" s="128"/>
      <c r="M50" s="128"/>
      <c r="N50" s="128"/>
      <c r="O50" s="128"/>
      <c r="P50" s="128"/>
    </row>
    <row r="51" spans="1:16" x14ac:dyDescent="0.35">
      <c r="A51" s="128"/>
      <c r="B51" s="128"/>
      <c r="C51" s="128"/>
      <c r="D51" s="128"/>
      <c r="E51" s="128"/>
      <c r="F51" s="128"/>
      <c r="G51" s="128"/>
      <c r="H51" s="128"/>
      <c r="I51" s="128"/>
      <c r="J51" s="128"/>
      <c r="K51" s="128"/>
      <c r="L51" s="128"/>
      <c r="M51" s="128"/>
      <c r="N51" s="128"/>
      <c r="O51" s="128"/>
      <c r="P51" s="128"/>
    </row>
    <row r="52" spans="1:16" x14ac:dyDescent="0.35">
      <c r="A52" s="128"/>
      <c r="B52" s="128"/>
      <c r="C52" s="128"/>
      <c r="D52" s="128"/>
      <c r="E52" s="128"/>
      <c r="F52" s="128"/>
      <c r="G52" s="128"/>
      <c r="H52" s="128"/>
      <c r="I52" s="128"/>
      <c r="J52" s="128"/>
      <c r="K52" s="128"/>
      <c r="L52" s="128"/>
      <c r="M52" s="128"/>
      <c r="N52" s="128"/>
      <c r="O52" s="128"/>
      <c r="P52" s="128"/>
    </row>
    <row r="53" spans="1:16" x14ac:dyDescent="0.35">
      <c r="A53" s="128"/>
      <c r="B53" s="128"/>
      <c r="C53" s="128"/>
      <c r="D53" s="128"/>
      <c r="E53" s="128"/>
      <c r="F53" s="128"/>
      <c r="G53" s="128"/>
      <c r="H53" s="128"/>
      <c r="I53" s="128"/>
      <c r="J53" s="128"/>
      <c r="K53" s="128"/>
      <c r="L53" s="128"/>
      <c r="M53" s="128"/>
      <c r="N53" s="128"/>
      <c r="O53" s="128"/>
      <c r="P53" s="128"/>
    </row>
    <row r="54" spans="1:16" x14ac:dyDescent="0.35">
      <c r="A54" s="128"/>
      <c r="B54" s="128"/>
      <c r="C54" s="128"/>
      <c r="D54" s="128"/>
      <c r="E54" s="128"/>
      <c r="F54" s="128"/>
      <c r="G54" s="128"/>
      <c r="H54" s="128"/>
      <c r="I54" s="128"/>
      <c r="J54" s="128"/>
      <c r="K54" s="128"/>
      <c r="L54" s="128"/>
      <c r="M54" s="128"/>
      <c r="N54" s="128"/>
      <c r="O54" s="128"/>
      <c r="P54" s="128"/>
    </row>
    <row r="55" spans="1:16" x14ac:dyDescent="0.35">
      <c r="A55" s="128"/>
      <c r="B55" s="128"/>
      <c r="C55" s="128"/>
      <c r="D55" s="128"/>
      <c r="E55" s="128"/>
      <c r="F55" s="128"/>
      <c r="G55" s="128"/>
      <c r="H55" s="128"/>
      <c r="I55" s="128"/>
      <c r="J55" s="128"/>
      <c r="K55" s="128"/>
      <c r="L55" s="128"/>
      <c r="M55" s="128"/>
      <c r="N55" s="128"/>
      <c r="O55" s="128"/>
      <c r="P55" s="128"/>
    </row>
    <row r="56" spans="1:16" x14ac:dyDescent="0.35">
      <c r="A56" s="128"/>
      <c r="B56" s="128"/>
      <c r="C56" s="128"/>
      <c r="D56" s="128"/>
      <c r="E56" s="128"/>
      <c r="F56" s="128"/>
      <c r="G56" s="128"/>
      <c r="H56" s="128"/>
      <c r="I56" s="128"/>
      <c r="J56" s="128"/>
      <c r="K56" s="128"/>
      <c r="L56" s="128"/>
      <c r="M56" s="128"/>
      <c r="N56" s="128"/>
      <c r="O56" s="128"/>
      <c r="P56" s="128"/>
    </row>
    <row r="57" spans="1:16" x14ac:dyDescent="0.35">
      <c r="A57" s="128"/>
      <c r="B57" s="128"/>
      <c r="C57" s="128"/>
      <c r="D57" s="128"/>
      <c r="E57" s="128"/>
      <c r="F57" s="128"/>
      <c r="G57" s="128"/>
      <c r="H57" s="128"/>
      <c r="I57" s="128"/>
      <c r="J57" s="128"/>
      <c r="K57" s="128"/>
      <c r="L57" s="128"/>
      <c r="M57" s="128"/>
      <c r="N57" s="128"/>
      <c r="O57" s="128"/>
      <c r="P57" s="128"/>
    </row>
    <row r="58" spans="1:16" x14ac:dyDescent="0.35">
      <c r="A58" s="128"/>
      <c r="B58" s="128"/>
      <c r="C58" s="128"/>
      <c r="D58" s="128"/>
      <c r="E58" s="128"/>
      <c r="F58" s="128"/>
      <c r="G58" s="128"/>
      <c r="H58" s="128"/>
      <c r="I58" s="128"/>
      <c r="J58" s="128"/>
      <c r="K58" s="128"/>
      <c r="L58" s="128"/>
      <c r="M58" s="128"/>
      <c r="N58" s="128"/>
      <c r="O58" s="128"/>
      <c r="P58" s="128"/>
    </row>
    <row r="59" spans="1:16" x14ac:dyDescent="0.35">
      <c r="A59" s="128"/>
      <c r="B59" s="128"/>
      <c r="C59" s="128"/>
      <c r="D59" s="128"/>
      <c r="E59" s="128"/>
      <c r="F59" s="128"/>
      <c r="G59" s="128"/>
      <c r="H59" s="128"/>
      <c r="I59" s="128"/>
      <c r="J59" s="128"/>
      <c r="K59" s="128"/>
      <c r="L59" s="128"/>
      <c r="M59" s="128"/>
      <c r="N59" s="128"/>
      <c r="O59" s="128"/>
      <c r="P59" s="128"/>
    </row>
    <row r="60" spans="1:16" x14ac:dyDescent="0.35">
      <c r="A60" s="128"/>
      <c r="B60" s="128"/>
      <c r="C60" s="128"/>
      <c r="D60" s="128"/>
      <c r="E60" s="128"/>
      <c r="F60" s="128"/>
      <c r="G60" s="128"/>
      <c r="H60" s="128"/>
      <c r="I60" s="128"/>
      <c r="J60" s="128"/>
      <c r="K60" s="128"/>
      <c r="L60" s="128"/>
      <c r="M60" s="128"/>
      <c r="N60" s="128"/>
      <c r="O60" s="128"/>
      <c r="P60" s="128"/>
    </row>
    <row r="61" spans="1:16" x14ac:dyDescent="0.35">
      <c r="A61" s="128"/>
      <c r="B61" s="128"/>
      <c r="C61" s="128"/>
      <c r="D61" s="128"/>
      <c r="E61" s="128"/>
      <c r="F61" s="128"/>
      <c r="G61" s="128"/>
      <c r="H61" s="128"/>
      <c r="I61" s="128"/>
      <c r="J61" s="128"/>
      <c r="K61" s="128"/>
      <c r="L61" s="128"/>
      <c r="M61" s="128"/>
      <c r="N61" s="128"/>
      <c r="O61" s="128"/>
      <c r="P61" s="128"/>
    </row>
    <row r="62" spans="1:16" x14ac:dyDescent="0.35">
      <c r="A62" s="128"/>
      <c r="B62" s="128"/>
      <c r="C62" s="128"/>
      <c r="D62" s="128"/>
      <c r="E62" s="128"/>
      <c r="F62" s="128"/>
      <c r="G62" s="128"/>
      <c r="H62" s="128"/>
      <c r="I62" s="128"/>
      <c r="J62" s="128"/>
      <c r="K62" s="128"/>
      <c r="L62" s="128"/>
      <c r="M62" s="128"/>
      <c r="N62" s="128"/>
      <c r="O62" s="128"/>
      <c r="P62" s="128"/>
    </row>
    <row r="63" spans="1:16" x14ac:dyDescent="0.35">
      <c r="A63" s="128"/>
      <c r="B63" s="128"/>
      <c r="C63" s="128"/>
      <c r="D63" s="128"/>
      <c r="E63" s="128"/>
      <c r="F63" s="128"/>
      <c r="G63" s="128"/>
      <c r="H63" s="128"/>
      <c r="I63" s="128"/>
      <c r="J63" s="128"/>
      <c r="K63" s="128"/>
      <c r="L63" s="128"/>
      <c r="M63" s="128"/>
      <c r="N63" s="128"/>
      <c r="O63" s="128"/>
      <c r="P63" s="128"/>
    </row>
    <row r="64" spans="1:16" x14ac:dyDescent="0.35">
      <c r="A64" s="128"/>
      <c r="B64" s="128"/>
      <c r="C64" s="128"/>
      <c r="D64" s="128"/>
      <c r="E64" s="128"/>
      <c r="F64" s="128"/>
      <c r="G64" s="128"/>
      <c r="H64" s="128"/>
      <c r="I64" s="128"/>
      <c r="J64" s="128"/>
      <c r="K64" s="128"/>
      <c r="L64" s="128"/>
      <c r="M64" s="128"/>
      <c r="N64" s="128"/>
      <c r="O64" s="128"/>
      <c r="P64" s="128"/>
    </row>
    <row r="65" spans="1:16" x14ac:dyDescent="0.35">
      <c r="A65" s="128"/>
      <c r="B65" s="128"/>
      <c r="C65" s="128"/>
      <c r="D65" s="128"/>
      <c r="E65" s="128"/>
      <c r="F65" s="128"/>
      <c r="G65" s="128"/>
      <c r="H65" s="128"/>
      <c r="I65" s="128"/>
      <c r="J65" s="128"/>
      <c r="K65" s="128"/>
      <c r="L65" s="128"/>
      <c r="M65" s="128"/>
      <c r="N65" s="128"/>
      <c r="O65" s="128"/>
      <c r="P65" s="128"/>
    </row>
  </sheetData>
  <mergeCells count="1">
    <mergeCell ref="A2:P2"/>
  </mergeCells>
  <conditionalFormatting sqref="A13">
    <cfRule type="containsText" dxfId="60" priority="1" operator="containsText" text="Review"/>
  </conditionalFormatting>
  <dataValidations count="2">
    <dataValidation type="list" sqref="C5" xr:uid="{00000000-0002-0000-0000-000000000000}">
      <formula1>"Model,Practice"</formula1>
    </dataValidation>
    <dataValidation type="list" allowBlank="1" showInputMessage="1" showErrorMessage="1" sqref="J5" xr:uid="{C6A86D4C-062D-443D-9C1A-2668FEAF715F}">
      <formula1>AvailableDates</formula1>
    </dataValidation>
  </dataValidations>
  <hyperlinks>
    <hyperlink ref="A3" location="'Watchlist'!A1" tooltip="Watchlist" display="Watchlist" xr:uid="{807F871D-CB67-4F18-B9FA-ABB6F87FCC54}"/>
    <hyperlink ref="F3" location="'Holdings'!A1" tooltip="Holdings" display="Holdings" xr:uid="{321F8C75-421D-468C-A361-9141160FB9FF}"/>
    <hyperlink ref="J3" location="'Transactions'!A1" tooltip="Transactions" display="Transactions" xr:uid="{1A08E6DC-39F8-4A70-95D5-E13D6B7F6333}"/>
    <hyperlink ref="N3" location="'Help'!A1" tooltip="Help" display="Help" xr:uid="{75D31FEB-BAFB-4423-8EC2-9B7D9CA1A370}"/>
  </hyperlinks>
  <pageMargins left="0.27777777777777779" right="0.27777777777777779" top="0.27777777777777779" bottom="0.27777777777777779" header="0.3" footer="0.3"/>
  <pageSetup paperSize="8" scale="79"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D1AF3-B151-4657-8AD2-CCB0E80C674F}">
  <sheetPr>
    <tabColor rgb="FF718096"/>
    <pageSetUpPr fitToPage="1"/>
  </sheetPr>
  <dimension ref="A1:K42"/>
  <sheetViews>
    <sheetView showGridLines="0" zoomScaleNormal="100" workbookViewId="0"/>
  </sheetViews>
  <sheetFormatPr defaultRowHeight="14.5" x14ac:dyDescent="0.35"/>
  <cols>
    <col min="1" max="1" width="3" customWidth="1"/>
    <col min="2" max="2" width="25" customWidth="1"/>
    <col min="3" max="3" width="100" customWidth="1"/>
  </cols>
  <sheetData>
    <row r="1" spans="1:11" ht="24" customHeight="1" x14ac:dyDescent="0.35">
      <c r="A1" s="28"/>
      <c r="B1" s="33"/>
      <c r="C1" s="33"/>
      <c r="D1" s="28"/>
      <c r="E1" s="28"/>
      <c r="F1" s="28"/>
      <c r="G1" s="28"/>
      <c r="H1" s="28"/>
      <c r="I1" s="28"/>
      <c r="J1" s="28"/>
      <c r="K1" s="28"/>
    </row>
    <row r="2" spans="1:11" ht="36" customHeight="1" x14ac:dyDescent="0.35">
      <c r="A2" s="28"/>
      <c r="B2" s="230" t="s">
        <v>262</v>
      </c>
      <c r="C2" s="231"/>
      <c r="D2" s="28"/>
      <c r="E2" s="28"/>
      <c r="F2" s="28"/>
      <c r="G2" s="28"/>
      <c r="H2" s="28"/>
      <c r="I2" s="28"/>
      <c r="J2" s="28"/>
      <c r="K2" s="28"/>
    </row>
    <row r="3" spans="1:11" ht="28" customHeight="1" x14ac:dyDescent="0.35">
      <c r="A3" s="28"/>
      <c r="B3" s="34" t="s">
        <v>321</v>
      </c>
      <c r="C3" s="35"/>
      <c r="D3" s="28"/>
      <c r="E3" s="28"/>
      <c r="F3" s="28"/>
      <c r="G3" s="28"/>
      <c r="H3" s="28"/>
      <c r="I3" s="28"/>
      <c r="J3" s="28"/>
      <c r="K3" s="28"/>
    </row>
    <row r="4" spans="1:11" ht="24" customHeight="1" x14ac:dyDescent="0.35">
      <c r="A4" s="28"/>
      <c r="B4" s="33"/>
      <c r="C4" s="33"/>
      <c r="D4" s="28"/>
      <c r="E4" s="28"/>
      <c r="F4" s="28"/>
      <c r="G4" s="28"/>
      <c r="H4" s="28"/>
      <c r="I4" s="28"/>
      <c r="J4" s="28"/>
      <c r="K4" s="28"/>
    </row>
    <row r="5" spans="1:11" ht="24" customHeight="1" x14ac:dyDescent="0.35">
      <c r="A5" s="28"/>
      <c r="B5" s="37" t="s">
        <v>263</v>
      </c>
      <c r="C5" s="33"/>
      <c r="D5" s="28"/>
      <c r="E5" s="28"/>
      <c r="F5" s="28"/>
      <c r="G5" s="28"/>
      <c r="H5" s="28"/>
      <c r="I5" s="28"/>
      <c r="J5" s="28"/>
      <c r="K5" s="28"/>
    </row>
    <row r="6" spans="1:11" ht="24" customHeight="1" x14ac:dyDescent="0.35">
      <c r="A6" s="28"/>
      <c r="B6" s="33"/>
      <c r="C6" s="33"/>
      <c r="D6" s="28"/>
      <c r="E6" s="28"/>
      <c r="F6" s="28"/>
      <c r="G6" s="28"/>
      <c r="H6" s="28"/>
      <c r="I6" s="28"/>
      <c r="J6" s="28"/>
      <c r="K6" s="28"/>
    </row>
    <row r="7" spans="1:11" ht="30" customHeight="1" x14ac:dyDescent="0.35">
      <c r="A7" s="28"/>
      <c r="B7" s="129" t="s">
        <v>264</v>
      </c>
      <c r="C7" s="129" t="s">
        <v>265</v>
      </c>
      <c r="D7" s="28"/>
      <c r="E7" s="28"/>
      <c r="F7" s="28"/>
      <c r="G7" s="28"/>
      <c r="H7" s="28"/>
      <c r="I7" s="28"/>
      <c r="J7" s="28"/>
      <c r="K7" s="28"/>
    </row>
    <row r="8" spans="1:11" ht="46" customHeight="1" x14ac:dyDescent="0.35">
      <c r="A8" s="28"/>
      <c r="B8" s="130" t="s">
        <v>266</v>
      </c>
      <c r="C8" s="131" t="s">
        <v>267</v>
      </c>
      <c r="D8" s="28"/>
      <c r="E8" s="28"/>
      <c r="F8" s="28"/>
      <c r="G8" s="28"/>
      <c r="H8" s="28"/>
      <c r="I8" s="28"/>
      <c r="J8" s="28"/>
      <c r="K8" s="28"/>
    </row>
    <row r="9" spans="1:11" ht="46" customHeight="1" x14ac:dyDescent="0.35">
      <c r="A9" s="28"/>
      <c r="B9" s="132" t="s">
        <v>268</v>
      </c>
      <c r="C9" s="133" t="s">
        <v>269</v>
      </c>
      <c r="D9" s="28"/>
      <c r="E9" s="28"/>
      <c r="F9" s="28"/>
      <c r="G9" s="28"/>
      <c r="H9" s="28"/>
      <c r="I9" s="28"/>
      <c r="J9" s="28"/>
      <c r="K9" s="28"/>
    </row>
    <row r="10" spans="1:11" ht="46" customHeight="1" x14ac:dyDescent="0.35">
      <c r="A10" s="28"/>
      <c r="B10" s="130" t="s">
        <v>270</v>
      </c>
      <c r="C10" s="131" t="s">
        <v>271</v>
      </c>
      <c r="D10" s="28"/>
      <c r="E10" s="28"/>
      <c r="F10" s="28"/>
      <c r="G10" s="28"/>
      <c r="H10" s="28"/>
      <c r="I10" s="28"/>
      <c r="J10" s="28"/>
      <c r="K10" s="28"/>
    </row>
    <row r="11" spans="1:11" ht="46" customHeight="1" x14ac:dyDescent="0.35">
      <c r="A11" s="28"/>
      <c r="B11" s="132" t="s">
        <v>272</v>
      </c>
      <c r="C11" s="133" t="s">
        <v>273</v>
      </c>
      <c r="D11" s="28"/>
      <c r="E11" s="28"/>
      <c r="F11" s="28"/>
      <c r="G11" s="28"/>
      <c r="H11" s="28"/>
      <c r="I11" s="28"/>
      <c r="J11" s="28"/>
      <c r="K11" s="28"/>
    </row>
    <row r="12" spans="1:11" ht="46" customHeight="1" x14ac:dyDescent="0.35">
      <c r="A12" s="28"/>
      <c r="B12" s="130" t="s">
        <v>274</v>
      </c>
      <c r="C12" s="131" t="s">
        <v>275</v>
      </c>
      <c r="D12" s="28"/>
      <c r="E12" s="28"/>
      <c r="F12" s="28"/>
      <c r="G12" s="28"/>
      <c r="H12" s="28"/>
      <c r="I12" s="28"/>
      <c r="J12" s="28"/>
      <c r="K12" s="28"/>
    </row>
    <row r="13" spans="1:11" ht="46" customHeight="1" x14ac:dyDescent="0.35">
      <c r="A13" s="28"/>
      <c r="B13" s="132" t="s">
        <v>276</v>
      </c>
      <c r="C13" s="133" t="s">
        <v>277</v>
      </c>
      <c r="D13" s="28"/>
      <c r="E13" s="28"/>
      <c r="F13" s="28"/>
      <c r="G13" s="28"/>
      <c r="H13" s="28"/>
      <c r="I13" s="28"/>
      <c r="J13" s="28"/>
      <c r="K13" s="28"/>
    </row>
    <row r="14" spans="1:11" ht="46" customHeight="1" x14ac:dyDescent="0.35">
      <c r="A14" s="28"/>
      <c r="B14" s="130" t="s">
        <v>278</v>
      </c>
      <c r="C14" s="131" t="s">
        <v>279</v>
      </c>
      <c r="D14" s="28"/>
      <c r="E14" s="28"/>
      <c r="F14" s="28"/>
      <c r="G14" s="28"/>
      <c r="H14" s="28"/>
      <c r="I14" s="28"/>
      <c r="J14" s="28"/>
      <c r="K14" s="28"/>
    </row>
    <row r="15" spans="1:11" ht="46" customHeight="1" x14ac:dyDescent="0.35">
      <c r="A15" s="28"/>
      <c r="B15" s="132" t="s">
        <v>280</v>
      </c>
      <c r="C15" s="133" t="s">
        <v>281</v>
      </c>
      <c r="D15" s="28"/>
      <c r="E15" s="28"/>
      <c r="F15" s="28"/>
      <c r="G15" s="28"/>
      <c r="H15" s="28"/>
      <c r="I15" s="28"/>
      <c r="J15" s="28"/>
      <c r="K15" s="28"/>
    </row>
    <row r="16" spans="1:11" ht="46" customHeight="1" x14ac:dyDescent="0.35">
      <c r="A16" s="28"/>
      <c r="B16" s="134" t="s">
        <v>282</v>
      </c>
      <c r="C16" s="135" t="s">
        <v>283</v>
      </c>
      <c r="D16" s="28"/>
      <c r="E16" s="28"/>
      <c r="F16" s="28"/>
      <c r="G16" s="28"/>
      <c r="H16" s="28"/>
      <c r="I16" s="28"/>
      <c r="J16" s="28"/>
      <c r="K16" s="28"/>
    </row>
    <row r="17" spans="1:11" ht="42" customHeight="1" x14ac:dyDescent="0.35">
      <c r="A17" s="28"/>
      <c r="B17" s="162" t="s">
        <v>396</v>
      </c>
      <c r="C17" s="163" t="s">
        <v>397</v>
      </c>
      <c r="D17" s="28"/>
      <c r="E17" s="28"/>
      <c r="F17" s="28"/>
      <c r="G17" s="28"/>
      <c r="H17" s="28"/>
      <c r="I17" s="28"/>
      <c r="J17" s="28"/>
      <c r="K17" s="28"/>
    </row>
    <row r="18" spans="1:11" ht="46" customHeight="1" x14ac:dyDescent="0.35">
      <c r="A18" s="28"/>
      <c r="B18" s="162" t="s">
        <v>542</v>
      </c>
      <c r="C18" s="163" t="s">
        <v>543</v>
      </c>
      <c r="D18" s="28"/>
      <c r="E18" s="28"/>
      <c r="F18" s="28"/>
      <c r="G18" s="28"/>
      <c r="H18" s="28"/>
      <c r="I18" s="28"/>
      <c r="J18" s="28"/>
      <c r="K18" s="28"/>
    </row>
    <row r="19" spans="1:11" ht="42" customHeight="1" x14ac:dyDescent="0.35">
      <c r="A19" s="28"/>
      <c r="B19" s="133" t="s">
        <v>284</v>
      </c>
      <c r="C19" s="133" t="s">
        <v>285</v>
      </c>
      <c r="D19" s="28"/>
      <c r="E19" s="28"/>
      <c r="F19" s="28"/>
      <c r="G19" s="28"/>
      <c r="H19" s="28"/>
      <c r="I19" s="28"/>
      <c r="J19" s="28"/>
      <c r="K19" s="28"/>
    </row>
    <row r="20" spans="1:11" ht="42" customHeight="1" x14ac:dyDescent="0.35">
      <c r="A20" s="28"/>
      <c r="B20" s="133" t="s">
        <v>286</v>
      </c>
      <c r="C20" s="133" t="s">
        <v>287</v>
      </c>
      <c r="D20" s="28"/>
      <c r="E20" s="28"/>
      <c r="F20" s="28"/>
      <c r="G20" s="28"/>
      <c r="H20" s="28"/>
      <c r="I20" s="28"/>
      <c r="J20" s="28"/>
      <c r="K20" s="28"/>
    </row>
    <row r="21" spans="1:11" ht="24" customHeight="1" x14ac:dyDescent="0.35">
      <c r="A21" s="28"/>
      <c r="B21" s="33"/>
      <c r="C21" s="33"/>
      <c r="D21" s="28"/>
      <c r="E21" s="28"/>
      <c r="F21" s="28"/>
      <c r="G21" s="28"/>
      <c r="H21" s="28"/>
      <c r="I21" s="28"/>
      <c r="J21" s="28"/>
      <c r="K21" s="28"/>
    </row>
    <row r="22" spans="1:11" ht="30" customHeight="1" x14ac:dyDescent="0.35">
      <c r="A22" s="28"/>
      <c r="B22" s="129" t="s">
        <v>255</v>
      </c>
      <c r="C22" s="129" t="s">
        <v>288</v>
      </c>
      <c r="D22" s="28"/>
      <c r="E22" s="28"/>
      <c r="F22" s="28"/>
      <c r="G22" s="28"/>
      <c r="H22" s="28"/>
      <c r="I22" s="28"/>
      <c r="J22" s="28"/>
      <c r="K22" s="28"/>
    </row>
    <row r="23" spans="1:11" ht="24" customHeight="1" x14ac:dyDescent="0.35">
      <c r="A23" s="28"/>
      <c r="B23" s="33" t="s">
        <v>47</v>
      </c>
      <c r="C23" s="33" t="s">
        <v>46</v>
      </c>
      <c r="D23" s="28"/>
      <c r="E23" s="28"/>
      <c r="F23" s="28"/>
      <c r="G23" s="28"/>
      <c r="H23" s="28"/>
      <c r="I23" s="28"/>
      <c r="J23" s="28"/>
      <c r="K23" s="28"/>
    </row>
    <row r="24" spans="1:11" ht="24" customHeight="1" x14ac:dyDescent="0.35">
      <c r="A24" s="28"/>
      <c r="B24" s="33" t="s">
        <v>50</v>
      </c>
      <c r="C24" s="33" t="s">
        <v>49</v>
      </c>
      <c r="D24" s="28"/>
      <c r="E24" s="28"/>
      <c r="F24" s="28"/>
      <c r="G24" s="28"/>
      <c r="H24" s="28"/>
      <c r="I24" s="28"/>
      <c r="J24" s="28"/>
      <c r="K24" s="28"/>
    </row>
    <row r="25" spans="1:11" ht="24" customHeight="1" x14ac:dyDescent="0.35">
      <c r="A25" s="28"/>
      <c r="B25" s="33" t="s">
        <v>53</v>
      </c>
      <c r="C25" s="33" t="s">
        <v>52</v>
      </c>
      <c r="D25" s="28"/>
      <c r="E25" s="28"/>
      <c r="F25" s="28"/>
      <c r="G25" s="28"/>
      <c r="H25" s="28"/>
      <c r="I25" s="28"/>
      <c r="J25" s="28"/>
      <c r="K25" s="28"/>
    </row>
    <row r="26" spans="1:11" ht="24" customHeight="1" x14ac:dyDescent="0.35">
      <c r="A26" s="28"/>
      <c r="B26" s="33" t="s">
        <v>56</v>
      </c>
      <c r="C26" s="33" t="s">
        <v>55</v>
      </c>
      <c r="D26" s="28"/>
      <c r="E26" s="28"/>
      <c r="F26" s="28"/>
      <c r="G26" s="28"/>
      <c r="H26" s="28"/>
      <c r="I26" s="28"/>
      <c r="J26" s="28"/>
      <c r="K26" s="28"/>
    </row>
    <row r="27" spans="1:11" ht="24" customHeight="1" x14ac:dyDescent="0.35">
      <c r="A27" s="28"/>
      <c r="B27" s="33" t="s">
        <v>59</v>
      </c>
      <c r="C27" s="33" t="s">
        <v>58</v>
      </c>
      <c r="D27" s="28"/>
      <c r="E27" s="28"/>
      <c r="F27" s="28"/>
      <c r="G27" s="28"/>
      <c r="H27" s="28"/>
      <c r="I27" s="28"/>
      <c r="J27" s="28"/>
      <c r="K27" s="28"/>
    </row>
    <row r="28" spans="1:11" ht="24" customHeight="1" x14ac:dyDescent="0.35">
      <c r="A28" s="28"/>
      <c r="B28" s="33" t="s">
        <v>62</v>
      </c>
      <c r="C28" s="33" t="s">
        <v>61</v>
      </c>
      <c r="D28" s="28"/>
      <c r="E28" s="28"/>
      <c r="F28" s="28"/>
      <c r="G28" s="28"/>
      <c r="H28" s="28"/>
      <c r="I28" s="28"/>
      <c r="J28" s="28"/>
      <c r="K28" s="28"/>
    </row>
    <row r="29" spans="1:11" ht="24" customHeight="1" x14ac:dyDescent="0.35">
      <c r="A29" s="28"/>
      <c r="B29" s="33"/>
      <c r="C29" s="33"/>
      <c r="D29" s="28"/>
      <c r="E29" s="28"/>
      <c r="F29" s="28"/>
      <c r="G29" s="28"/>
      <c r="H29" s="28"/>
      <c r="I29" s="28"/>
      <c r="J29" s="28"/>
      <c r="K29" s="28"/>
    </row>
    <row r="30" spans="1:11" ht="48" customHeight="1" x14ac:dyDescent="0.35">
      <c r="A30" s="28"/>
      <c r="B30" s="133" t="s">
        <v>289</v>
      </c>
      <c r="C30" s="133" t="s">
        <v>290</v>
      </c>
      <c r="D30" s="28"/>
      <c r="E30" s="28"/>
      <c r="F30" s="28"/>
      <c r="G30" s="28"/>
      <c r="H30" s="28"/>
      <c r="I30" s="28"/>
      <c r="J30" s="28"/>
      <c r="K30" s="28"/>
    </row>
    <row r="31" spans="1:11" ht="48" customHeight="1" x14ac:dyDescent="0.35">
      <c r="A31" s="28"/>
      <c r="B31" s="133" t="s">
        <v>291</v>
      </c>
      <c r="C31" s="133" t="s">
        <v>322</v>
      </c>
      <c r="D31" s="28"/>
      <c r="E31" s="28"/>
      <c r="F31" s="28"/>
      <c r="G31" s="28"/>
      <c r="H31" s="28"/>
      <c r="I31" s="28"/>
      <c r="J31" s="28"/>
      <c r="K31" s="28"/>
    </row>
    <row r="32" spans="1:11" ht="48" customHeight="1" x14ac:dyDescent="0.35">
      <c r="A32" s="28"/>
      <c r="B32" s="133" t="s">
        <v>292</v>
      </c>
      <c r="C32" s="133" t="s">
        <v>293</v>
      </c>
      <c r="D32" s="28"/>
      <c r="E32" s="28"/>
      <c r="F32" s="28"/>
      <c r="G32" s="28"/>
      <c r="H32" s="28"/>
      <c r="I32" s="28"/>
      <c r="J32" s="28"/>
      <c r="K32" s="28"/>
    </row>
    <row r="33" spans="1:11" ht="48" customHeight="1" x14ac:dyDescent="0.35">
      <c r="A33" s="28"/>
      <c r="B33" s="133" t="s">
        <v>294</v>
      </c>
      <c r="C33" s="133" t="s">
        <v>544</v>
      </c>
      <c r="D33" s="28"/>
      <c r="E33" s="28"/>
      <c r="F33" s="28"/>
      <c r="G33" s="28"/>
      <c r="H33" s="28"/>
      <c r="I33" s="28"/>
      <c r="J33" s="28"/>
      <c r="K33" s="28"/>
    </row>
    <row r="34" spans="1:11" ht="24" customHeight="1" x14ac:dyDescent="0.35">
      <c r="A34" s="28"/>
      <c r="B34" s="33"/>
      <c r="C34" s="33"/>
      <c r="D34" s="28"/>
      <c r="E34" s="28"/>
      <c r="F34" s="28"/>
      <c r="G34" s="28"/>
      <c r="H34" s="28"/>
      <c r="I34" s="28"/>
      <c r="J34" s="28"/>
      <c r="K34" s="28"/>
    </row>
    <row r="35" spans="1:11" ht="24" customHeight="1" x14ac:dyDescent="0.35">
      <c r="A35" s="28"/>
      <c r="B35" s="33"/>
      <c r="C35" s="33"/>
      <c r="D35" s="28"/>
      <c r="E35" s="28"/>
      <c r="F35" s="28"/>
      <c r="G35" s="28"/>
      <c r="H35" s="28"/>
      <c r="I35" s="28"/>
      <c r="J35" s="28"/>
      <c r="K35" s="28"/>
    </row>
    <row r="36" spans="1:11" ht="24" customHeight="1" x14ac:dyDescent="0.35">
      <c r="A36" s="28"/>
      <c r="B36" s="33"/>
      <c r="C36" s="33"/>
      <c r="D36" s="28"/>
      <c r="E36" s="28"/>
      <c r="F36" s="28"/>
      <c r="G36" s="28"/>
      <c r="H36" s="28"/>
      <c r="I36" s="28"/>
      <c r="J36" s="28"/>
      <c r="K36" s="28"/>
    </row>
    <row r="37" spans="1:11" ht="24" customHeight="1" x14ac:dyDescent="0.35">
      <c r="A37" s="28"/>
      <c r="B37" s="33"/>
      <c r="C37" s="33"/>
      <c r="D37" s="28"/>
      <c r="E37" s="28"/>
      <c r="F37" s="28"/>
      <c r="G37" s="28"/>
      <c r="H37" s="28"/>
      <c r="I37" s="28"/>
      <c r="J37" s="28"/>
      <c r="K37" s="28"/>
    </row>
    <row r="38" spans="1:11" ht="24" customHeight="1" x14ac:dyDescent="0.35">
      <c r="A38" s="28"/>
      <c r="B38" s="33"/>
      <c r="C38" s="33"/>
      <c r="D38" s="28"/>
      <c r="E38" s="28"/>
      <c r="F38" s="28"/>
      <c r="G38" s="28"/>
      <c r="H38" s="28"/>
      <c r="I38" s="28"/>
      <c r="J38" s="28"/>
      <c r="K38" s="28"/>
    </row>
    <row r="39" spans="1:11" ht="24" customHeight="1" x14ac:dyDescent="0.35">
      <c r="A39" s="28"/>
      <c r="B39" s="33"/>
      <c r="C39" s="33"/>
      <c r="D39" s="28"/>
      <c r="E39" s="28"/>
      <c r="F39" s="28"/>
      <c r="G39" s="28"/>
      <c r="H39" s="28"/>
      <c r="I39" s="28"/>
      <c r="J39" s="28"/>
      <c r="K39" s="28"/>
    </row>
    <row r="40" spans="1:11" ht="24" customHeight="1" x14ac:dyDescent="0.35">
      <c r="A40" s="28"/>
      <c r="B40" s="33"/>
      <c r="C40" s="33"/>
      <c r="D40" s="28"/>
      <c r="E40" s="28"/>
      <c r="F40" s="28"/>
      <c r="G40" s="28"/>
      <c r="H40" s="28"/>
      <c r="I40" s="28"/>
      <c r="J40" s="28"/>
      <c r="K40" s="28"/>
    </row>
    <row r="41" spans="1:11" ht="24" customHeight="1" x14ac:dyDescent="0.35">
      <c r="A41" s="28"/>
      <c r="B41" s="33"/>
      <c r="C41" s="33"/>
      <c r="D41" s="28"/>
      <c r="E41" s="28"/>
      <c r="F41" s="28"/>
      <c r="G41" s="28"/>
      <c r="H41" s="28"/>
      <c r="I41" s="28"/>
      <c r="J41" s="28"/>
      <c r="K41" s="28"/>
    </row>
    <row r="42" spans="1:11" ht="24" customHeight="1" x14ac:dyDescent="0.35">
      <c r="A42" s="28"/>
      <c r="B42" s="33"/>
      <c r="C42" s="33"/>
      <c r="D42" s="28"/>
      <c r="E42" s="28"/>
      <c r="F42" s="28"/>
      <c r="G42" s="28"/>
      <c r="H42" s="28"/>
      <c r="I42" s="28"/>
      <c r="J42" s="28"/>
      <c r="K42" s="28"/>
    </row>
  </sheetData>
  <mergeCells count="1">
    <mergeCell ref="B2:C2"/>
  </mergeCells>
  <hyperlinks>
    <hyperlink ref="B3" location="'Watchlist'!A1" tooltip="Back to Watchlist" display="Back to Watchlist" xr:uid="{97FBC3A3-7D89-466B-8581-84EF423FE532}"/>
  </hyperlinks>
  <pageMargins left="0.27777777777777779" right="0.27777777777777779" top="0.27777777777777779" bottom="0.27777777777777779" header="0.3" footer="0.3"/>
  <pageSetup paperSize="8"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FADAD-6899-4249-ABBB-01A29CD8CE85}">
  <dimension ref="A1:D12"/>
  <sheetViews>
    <sheetView workbookViewId="0"/>
  </sheetViews>
  <sheetFormatPr defaultRowHeight="14.5" x14ac:dyDescent="0.35"/>
  <sheetData>
    <row r="1" spans="1:4" x14ac:dyDescent="0.35">
      <c r="A1" t="s">
        <v>416</v>
      </c>
      <c r="B1" t="s">
        <v>408</v>
      </c>
      <c r="C1" t="s">
        <v>470</v>
      </c>
      <c r="D1" t="s">
        <v>471</v>
      </c>
    </row>
    <row r="2" spans="1:4" x14ac:dyDescent="0.35">
      <c r="A2" t="s">
        <v>421</v>
      </c>
      <c r="B2" t="s">
        <v>472</v>
      </c>
      <c r="C2" t="s">
        <v>473</v>
      </c>
      <c r="D2" t="s">
        <v>474</v>
      </c>
    </row>
    <row r="3" spans="1:4" x14ac:dyDescent="0.35">
      <c r="A3" t="s">
        <v>424</v>
      </c>
      <c r="B3" t="s">
        <v>475</v>
      </c>
      <c r="C3" t="s">
        <v>476</v>
      </c>
      <c r="D3" t="s">
        <v>477</v>
      </c>
    </row>
    <row r="4" spans="1:4" x14ac:dyDescent="0.35">
      <c r="A4" t="s">
        <v>421</v>
      </c>
      <c r="B4" t="s">
        <v>478</v>
      </c>
      <c r="C4" t="s">
        <v>479</v>
      </c>
      <c r="D4" t="s">
        <v>480</v>
      </c>
    </row>
    <row r="5" spans="1:4" x14ac:dyDescent="0.35">
      <c r="A5" t="s">
        <v>421</v>
      </c>
      <c r="B5" t="s">
        <v>481</v>
      </c>
      <c r="C5" t="s">
        <v>482</v>
      </c>
      <c r="D5" t="s">
        <v>483</v>
      </c>
    </row>
    <row r="6" spans="1:4" x14ac:dyDescent="0.35">
      <c r="A6" t="s">
        <v>426</v>
      </c>
      <c r="B6" t="s">
        <v>484</v>
      </c>
      <c r="C6" t="s">
        <v>485</v>
      </c>
      <c r="D6" t="s">
        <v>486</v>
      </c>
    </row>
    <row r="7" spans="1:4" x14ac:dyDescent="0.35">
      <c r="A7" t="s">
        <v>421</v>
      </c>
      <c r="B7" t="s">
        <v>487</v>
      </c>
      <c r="C7" t="s">
        <v>488</v>
      </c>
      <c r="D7" t="s">
        <v>489</v>
      </c>
    </row>
    <row r="8" spans="1:4" x14ac:dyDescent="0.35">
      <c r="A8" t="s">
        <v>421</v>
      </c>
      <c r="B8" t="s">
        <v>490</v>
      </c>
      <c r="C8" t="s">
        <v>491</v>
      </c>
      <c r="D8" t="s">
        <v>492</v>
      </c>
    </row>
    <row r="9" spans="1:4" x14ac:dyDescent="0.35">
      <c r="A9" t="s">
        <v>421</v>
      </c>
      <c r="B9" t="s">
        <v>493</v>
      </c>
      <c r="C9" t="s">
        <v>494</v>
      </c>
      <c r="D9" t="s">
        <v>495</v>
      </c>
    </row>
    <row r="10" spans="1:4" x14ac:dyDescent="0.35">
      <c r="A10" t="s">
        <v>424</v>
      </c>
      <c r="B10" t="s">
        <v>496</v>
      </c>
      <c r="C10" t="s">
        <v>497</v>
      </c>
      <c r="D10" t="s">
        <v>498</v>
      </c>
    </row>
    <row r="11" spans="1:4" x14ac:dyDescent="0.35">
      <c r="A11" t="s">
        <v>426</v>
      </c>
      <c r="B11" t="s">
        <v>499</v>
      </c>
      <c r="C11" t="s">
        <v>500</v>
      </c>
      <c r="D11" t="s">
        <v>501</v>
      </c>
    </row>
    <row r="12" spans="1:4" x14ac:dyDescent="0.35">
      <c r="A12" t="s">
        <v>426</v>
      </c>
      <c r="B12" t="s">
        <v>472</v>
      </c>
      <c r="C12" t="s">
        <v>502</v>
      </c>
      <c r="D12" t="s">
        <v>474</v>
      </c>
    </row>
  </sheetData>
  <pageMargins left="0.7" right="0.7" top="0.75" bottom="0.75" header="0.3" footer="0.3"/>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0FF20-ED0D-4D86-846B-8665043F447C}">
  <dimension ref="A1:O2001"/>
  <sheetViews>
    <sheetView workbookViewId="0"/>
  </sheetViews>
  <sheetFormatPr defaultRowHeight="14.5" x14ac:dyDescent="0.35"/>
  <cols>
    <col min="1" max="1" width="29.90625" bestFit="1" customWidth="1"/>
    <col min="4" max="4" width="15.90625" style="172" bestFit="1" customWidth="1"/>
    <col min="12" max="12" width="18.54296875" style="173" bestFit="1" customWidth="1"/>
  </cols>
  <sheetData>
    <row r="1" spans="1:15" x14ac:dyDescent="0.35">
      <c r="A1" t="s">
        <v>504</v>
      </c>
      <c r="B1" t="s">
        <v>416</v>
      </c>
      <c r="C1" t="s">
        <v>401</v>
      </c>
      <c r="D1" s="172" t="s">
        <v>505</v>
      </c>
      <c r="E1" t="s">
        <v>408</v>
      </c>
      <c r="F1" t="s">
        <v>506</v>
      </c>
      <c r="G1" t="s">
        <v>507</v>
      </c>
      <c r="H1" t="s">
        <v>470</v>
      </c>
      <c r="I1" t="s">
        <v>508</v>
      </c>
      <c r="J1" t="s">
        <v>509</v>
      </c>
      <c r="K1" t="s">
        <v>510</v>
      </c>
      <c r="L1" s="173" t="s">
        <v>166</v>
      </c>
      <c r="M1" t="s">
        <v>511</v>
      </c>
      <c r="N1" t="s">
        <v>512</v>
      </c>
    </row>
    <row r="2" spans="1:15" x14ac:dyDescent="0.35">
      <c r="A2" t="s">
        <v>513</v>
      </c>
      <c r="B2" t="s">
        <v>514</v>
      </c>
      <c r="C2" t="s">
        <v>514</v>
      </c>
      <c r="E2" t="s">
        <v>514</v>
      </c>
      <c r="F2" t="s">
        <v>514</v>
      </c>
      <c r="G2" t="s">
        <v>514</v>
      </c>
      <c r="H2" t="s">
        <v>514</v>
      </c>
      <c r="I2" t="s">
        <v>515</v>
      </c>
      <c r="J2">
        <v>10</v>
      </c>
      <c r="K2">
        <v>0</v>
      </c>
      <c r="L2" s="173">
        <v>46302.619056134259</v>
      </c>
      <c r="M2" t="s">
        <v>404</v>
      </c>
      <c r="N2" t="s">
        <v>516</v>
      </c>
      <c r="O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 spans="1:15" x14ac:dyDescent="0.35">
      <c r="A3" t="s">
        <v>517</v>
      </c>
      <c r="B3" t="s">
        <v>421</v>
      </c>
      <c r="C3" t="s">
        <v>422</v>
      </c>
      <c r="E3" t="s">
        <v>514</v>
      </c>
      <c r="F3" t="s">
        <v>514</v>
      </c>
      <c r="G3" t="s">
        <v>514</v>
      </c>
      <c r="H3" t="s">
        <v>514</v>
      </c>
      <c r="I3" t="s">
        <v>515</v>
      </c>
      <c r="J3">
        <v>6</v>
      </c>
      <c r="K3">
        <v>0</v>
      </c>
      <c r="L3" s="173">
        <v>46302.619056134259</v>
      </c>
      <c r="M3" t="s">
        <v>404</v>
      </c>
      <c r="N3" t="s">
        <v>516</v>
      </c>
      <c r="O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 spans="1:15" x14ac:dyDescent="0.35">
      <c r="A4" t="s">
        <v>517</v>
      </c>
      <c r="B4" t="s">
        <v>424</v>
      </c>
      <c r="C4" t="s">
        <v>422</v>
      </c>
      <c r="E4" t="s">
        <v>514</v>
      </c>
      <c r="F4" t="s">
        <v>514</v>
      </c>
      <c r="G4" t="s">
        <v>514</v>
      </c>
      <c r="H4" t="s">
        <v>514</v>
      </c>
      <c r="I4" t="s">
        <v>515</v>
      </c>
      <c r="J4">
        <v>2</v>
      </c>
      <c r="K4">
        <v>0</v>
      </c>
      <c r="L4" s="173">
        <v>46302.619056134259</v>
      </c>
      <c r="M4" t="s">
        <v>404</v>
      </c>
      <c r="N4" t="s">
        <v>516</v>
      </c>
      <c r="O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 spans="1:15" x14ac:dyDescent="0.35">
      <c r="A5" t="s">
        <v>517</v>
      </c>
      <c r="B5" t="s">
        <v>426</v>
      </c>
      <c r="C5" t="s">
        <v>422</v>
      </c>
      <c r="E5" t="s">
        <v>514</v>
      </c>
      <c r="F5" t="s">
        <v>514</v>
      </c>
      <c r="G5" t="s">
        <v>514</v>
      </c>
      <c r="H5" t="s">
        <v>514</v>
      </c>
      <c r="I5" t="s">
        <v>515</v>
      </c>
      <c r="J5">
        <v>3</v>
      </c>
      <c r="K5">
        <v>0</v>
      </c>
      <c r="L5" s="173">
        <v>46302.619056134259</v>
      </c>
      <c r="M5" t="s">
        <v>404</v>
      </c>
      <c r="N5" t="s">
        <v>516</v>
      </c>
      <c r="O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 spans="1:15" x14ac:dyDescent="0.35">
      <c r="A6" t="s">
        <v>411</v>
      </c>
      <c r="B6" t="s">
        <v>421</v>
      </c>
      <c r="C6" t="s">
        <v>422</v>
      </c>
      <c r="D6" s="172">
        <v>46283.638888888891</v>
      </c>
      <c r="E6" t="s">
        <v>472</v>
      </c>
      <c r="F6" t="s">
        <v>518</v>
      </c>
      <c r="G6" t="s">
        <v>519</v>
      </c>
      <c r="H6" t="s">
        <v>473</v>
      </c>
      <c r="I6" t="s">
        <v>515</v>
      </c>
      <c r="J6">
        <v>0</v>
      </c>
      <c r="K6">
        <v>0</v>
      </c>
      <c r="L6" s="173">
        <v>46302.619056134259</v>
      </c>
      <c r="M6" t="s">
        <v>404</v>
      </c>
      <c r="N6" t="s">
        <v>516</v>
      </c>
      <c r="O6">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5</v>
      </c>
    </row>
    <row r="7" spans="1:15" x14ac:dyDescent="0.35">
      <c r="A7" t="s">
        <v>411</v>
      </c>
      <c r="B7" t="s">
        <v>424</v>
      </c>
      <c r="C7" t="s">
        <v>422</v>
      </c>
      <c r="D7" s="172">
        <v>46283.618055555555</v>
      </c>
      <c r="E7" t="s">
        <v>475</v>
      </c>
      <c r="F7" t="s">
        <v>520</v>
      </c>
      <c r="G7" t="s">
        <v>521</v>
      </c>
      <c r="H7" t="s">
        <v>476</v>
      </c>
      <c r="I7" t="s">
        <v>515</v>
      </c>
      <c r="J7">
        <v>0</v>
      </c>
      <c r="K7">
        <v>0</v>
      </c>
      <c r="L7" s="173">
        <v>46302.619056134259</v>
      </c>
      <c r="M7" t="s">
        <v>404</v>
      </c>
      <c r="N7" t="s">
        <v>516</v>
      </c>
      <c r="O7">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6</v>
      </c>
    </row>
    <row r="8" spans="1:15" x14ac:dyDescent="0.35">
      <c r="A8" t="s">
        <v>411</v>
      </c>
      <c r="B8" t="s">
        <v>421</v>
      </c>
      <c r="C8" t="s">
        <v>422</v>
      </c>
      <c r="D8" s="172">
        <v>46283.583333333336</v>
      </c>
      <c r="E8" t="s">
        <v>478</v>
      </c>
      <c r="F8" t="s">
        <v>522</v>
      </c>
      <c r="G8" t="s">
        <v>523</v>
      </c>
      <c r="H8" t="s">
        <v>479</v>
      </c>
      <c r="I8" t="s">
        <v>515</v>
      </c>
      <c r="J8">
        <v>0</v>
      </c>
      <c r="K8">
        <v>0</v>
      </c>
      <c r="L8" s="173">
        <v>46302.619056134259</v>
      </c>
      <c r="M8" t="s">
        <v>404</v>
      </c>
      <c r="N8" t="s">
        <v>516</v>
      </c>
      <c r="O8">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7</v>
      </c>
    </row>
    <row r="9" spans="1:15" x14ac:dyDescent="0.35">
      <c r="A9" t="s">
        <v>411</v>
      </c>
      <c r="B9" t="s">
        <v>421</v>
      </c>
      <c r="C9" t="s">
        <v>422</v>
      </c>
      <c r="D9" s="172">
        <v>46283.5625</v>
      </c>
      <c r="E9" t="s">
        <v>481</v>
      </c>
      <c r="F9" t="s">
        <v>524</v>
      </c>
      <c r="G9" t="s">
        <v>525</v>
      </c>
      <c r="H9" t="s">
        <v>482</v>
      </c>
      <c r="I9" t="s">
        <v>515</v>
      </c>
      <c r="J9">
        <v>0</v>
      </c>
      <c r="K9">
        <v>0</v>
      </c>
      <c r="L9" s="173">
        <v>46302.619056134259</v>
      </c>
      <c r="M9" t="s">
        <v>404</v>
      </c>
      <c r="N9" t="s">
        <v>516</v>
      </c>
      <c r="O9">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8</v>
      </c>
    </row>
    <row r="10" spans="1:15" x14ac:dyDescent="0.35">
      <c r="A10" t="s">
        <v>411</v>
      </c>
      <c r="B10" t="s">
        <v>426</v>
      </c>
      <c r="C10" t="s">
        <v>422</v>
      </c>
      <c r="D10" s="172">
        <v>46283.541666666664</v>
      </c>
      <c r="E10" t="s">
        <v>484</v>
      </c>
      <c r="F10" t="s">
        <v>526</v>
      </c>
      <c r="G10" t="s">
        <v>527</v>
      </c>
      <c r="H10" t="s">
        <v>485</v>
      </c>
      <c r="I10" t="s">
        <v>515</v>
      </c>
      <c r="J10">
        <v>0</v>
      </c>
      <c r="K10">
        <v>0</v>
      </c>
      <c r="L10" s="173">
        <v>46302.619056134259</v>
      </c>
      <c r="M10" t="s">
        <v>404</v>
      </c>
      <c r="N10" t="s">
        <v>516</v>
      </c>
      <c r="O10">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9</v>
      </c>
    </row>
    <row r="11" spans="1:15" x14ac:dyDescent="0.35">
      <c r="A11" t="s">
        <v>411</v>
      </c>
      <c r="B11" t="s">
        <v>421</v>
      </c>
      <c r="C11" t="s">
        <v>422</v>
      </c>
      <c r="D11" s="172">
        <v>46283.520833333336</v>
      </c>
      <c r="E11" t="s">
        <v>487</v>
      </c>
      <c r="F11" t="s">
        <v>528</v>
      </c>
      <c r="G11" t="s">
        <v>529</v>
      </c>
      <c r="H11" t="s">
        <v>488</v>
      </c>
      <c r="I11" t="s">
        <v>515</v>
      </c>
      <c r="J11">
        <v>0</v>
      </c>
      <c r="K11">
        <v>0</v>
      </c>
      <c r="L11" s="173">
        <v>46302.619056134259</v>
      </c>
      <c r="M11" t="s">
        <v>404</v>
      </c>
      <c r="N11" t="s">
        <v>516</v>
      </c>
      <c r="O11">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10</v>
      </c>
    </row>
    <row r="12" spans="1:15" x14ac:dyDescent="0.35">
      <c r="A12" t="s">
        <v>411</v>
      </c>
      <c r="B12" t="s">
        <v>421</v>
      </c>
      <c r="C12" t="s">
        <v>422</v>
      </c>
      <c r="D12" s="172">
        <v>46283.5</v>
      </c>
      <c r="E12" t="s">
        <v>490</v>
      </c>
      <c r="F12" t="s">
        <v>530</v>
      </c>
      <c r="G12" t="s">
        <v>531</v>
      </c>
      <c r="H12" t="s">
        <v>491</v>
      </c>
      <c r="I12" t="s">
        <v>515</v>
      </c>
      <c r="J12">
        <v>0</v>
      </c>
      <c r="K12">
        <v>0</v>
      </c>
      <c r="L12" s="173">
        <v>46302.619056134259</v>
      </c>
      <c r="M12" t="s">
        <v>404</v>
      </c>
      <c r="N12" t="s">
        <v>516</v>
      </c>
      <c r="O12">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11</v>
      </c>
    </row>
    <row r="13" spans="1:15" x14ac:dyDescent="0.35">
      <c r="A13" t="s">
        <v>411</v>
      </c>
      <c r="B13" t="s">
        <v>421</v>
      </c>
      <c r="C13" t="s">
        <v>422</v>
      </c>
      <c r="D13" s="172">
        <v>46283.479166666664</v>
      </c>
      <c r="E13" t="s">
        <v>493</v>
      </c>
      <c r="F13" t="s">
        <v>532</v>
      </c>
      <c r="G13" t="s">
        <v>533</v>
      </c>
      <c r="H13" t="s">
        <v>494</v>
      </c>
      <c r="I13" t="s">
        <v>515</v>
      </c>
      <c r="J13">
        <v>0</v>
      </c>
      <c r="K13">
        <v>0</v>
      </c>
      <c r="L13" s="173">
        <v>46302.619056134259</v>
      </c>
      <c r="M13" t="s">
        <v>404</v>
      </c>
      <c r="N13" t="s">
        <v>516</v>
      </c>
      <c r="O13">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12</v>
      </c>
    </row>
    <row r="14" spans="1:15" x14ac:dyDescent="0.35">
      <c r="A14" t="s">
        <v>411</v>
      </c>
      <c r="B14" t="s">
        <v>424</v>
      </c>
      <c r="C14" t="s">
        <v>422</v>
      </c>
      <c r="D14" s="172">
        <v>46283.458333333336</v>
      </c>
      <c r="E14" t="s">
        <v>496</v>
      </c>
      <c r="F14" t="s">
        <v>534</v>
      </c>
      <c r="G14" t="s">
        <v>535</v>
      </c>
      <c r="H14" t="s">
        <v>497</v>
      </c>
      <c r="I14" t="s">
        <v>515</v>
      </c>
      <c r="J14">
        <v>0</v>
      </c>
      <c r="K14">
        <v>0</v>
      </c>
      <c r="L14" s="173">
        <v>46302.619056134259</v>
      </c>
      <c r="M14" t="s">
        <v>404</v>
      </c>
      <c r="N14" t="s">
        <v>516</v>
      </c>
      <c r="O14">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13</v>
      </c>
    </row>
    <row r="15" spans="1:15" x14ac:dyDescent="0.35">
      <c r="A15" t="s">
        <v>411</v>
      </c>
      <c r="B15" t="s">
        <v>426</v>
      </c>
      <c r="C15" t="s">
        <v>422</v>
      </c>
      <c r="D15" s="172">
        <v>46283.416666666664</v>
      </c>
      <c r="E15" t="s">
        <v>499</v>
      </c>
      <c r="F15" t="s">
        <v>536</v>
      </c>
      <c r="G15" t="s">
        <v>537</v>
      </c>
      <c r="H15" t="s">
        <v>500</v>
      </c>
      <c r="I15" t="s">
        <v>515</v>
      </c>
      <c r="J15">
        <v>0</v>
      </c>
      <c r="K15">
        <v>0</v>
      </c>
      <c r="L15" s="173">
        <v>46302.619056134259</v>
      </c>
      <c r="M15" t="s">
        <v>404</v>
      </c>
      <c r="N15" t="s">
        <v>516</v>
      </c>
      <c r="O15">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14</v>
      </c>
    </row>
    <row r="16" spans="1:15" x14ac:dyDescent="0.35">
      <c r="O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 spans="15:15" x14ac:dyDescent="0.35">
      <c r="O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 spans="15:15" x14ac:dyDescent="0.35">
      <c r="O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 spans="15:15" x14ac:dyDescent="0.35">
      <c r="O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0" spans="15:15" x14ac:dyDescent="0.35">
      <c r="O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1" spans="15:15" x14ac:dyDescent="0.35">
      <c r="O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2" spans="15:15" x14ac:dyDescent="0.35">
      <c r="O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3" spans="15:15" x14ac:dyDescent="0.35">
      <c r="O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4" spans="15:15" x14ac:dyDescent="0.35">
      <c r="O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5" spans="15:15" x14ac:dyDescent="0.35">
      <c r="O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6" spans="15:15" x14ac:dyDescent="0.35">
      <c r="O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7" spans="15:15" x14ac:dyDescent="0.35">
      <c r="O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8" spans="15:15" x14ac:dyDescent="0.35">
      <c r="O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9" spans="15:15" x14ac:dyDescent="0.35">
      <c r="O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0" spans="15:15" x14ac:dyDescent="0.35">
      <c r="O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1" spans="15:15" x14ac:dyDescent="0.35">
      <c r="O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2" spans="15:15" x14ac:dyDescent="0.35">
      <c r="O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3" spans="15:15" x14ac:dyDescent="0.35">
      <c r="O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4" spans="15:15" x14ac:dyDescent="0.35">
      <c r="O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5" spans="15:15" x14ac:dyDescent="0.35">
      <c r="O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6" spans="15:15" x14ac:dyDescent="0.35">
      <c r="O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7" spans="15:15" x14ac:dyDescent="0.35">
      <c r="O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8" spans="15:15" x14ac:dyDescent="0.35">
      <c r="O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9" spans="15:15" x14ac:dyDescent="0.35">
      <c r="O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0" spans="15:15" x14ac:dyDescent="0.35">
      <c r="O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1" spans="15:15" x14ac:dyDescent="0.35">
      <c r="O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2" spans="15:15" x14ac:dyDescent="0.35">
      <c r="O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3" spans="15:15" x14ac:dyDescent="0.35">
      <c r="O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4" spans="15:15" x14ac:dyDescent="0.35">
      <c r="O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5" spans="15:15" x14ac:dyDescent="0.35">
      <c r="O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6" spans="15:15" x14ac:dyDescent="0.35">
      <c r="O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7" spans="15:15" x14ac:dyDescent="0.35">
      <c r="O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8" spans="15:15" x14ac:dyDescent="0.35">
      <c r="O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9" spans="15:15" x14ac:dyDescent="0.35">
      <c r="O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0" spans="15:15" x14ac:dyDescent="0.35">
      <c r="O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1" spans="15:15" x14ac:dyDescent="0.35">
      <c r="O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2" spans="15:15" x14ac:dyDescent="0.35">
      <c r="O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3" spans="15:15" x14ac:dyDescent="0.35">
      <c r="O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4" spans="15:15" x14ac:dyDescent="0.35">
      <c r="O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5" spans="15:15" x14ac:dyDescent="0.35">
      <c r="O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6" spans="15:15" x14ac:dyDescent="0.35">
      <c r="O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7" spans="15:15" x14ac:dyDescent="0.35">
      <c r="O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8" spans="15:15" x14ac:dyDescent="0.35">
      <c r="O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9" spans="15:15" x14ac:dyDescent="0.35">
      <c r="O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0" spans="15:15" x14ac:dyDescent="0.35">
      <c r="O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1" spans="15:15" x14ac:dyDescent="0.35">
      <c r="O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2" spans="15:15" x14ac:dyDescent="0.35">
      <c r="O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3" spans="15:15" x14ac:dyDescent="0.35">
      <c r="O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4" spans="15:15" x14ac:dyDescent="0.35">
      <c r="O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5" spans="15:15" x14ac:dyDescent="0.35">
      <c r="O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6" spans="15:15" x14ac:dyDescent="0.35">
      <c r="O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7" spans="15:15" x14ac:dyDescent="0.35">
      <c r="O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8" spans="15:15" x14ac:dyDescent="0.35">
      <c r="O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9" spans="15:15" x14ac:dyDescent="0.35">
      <c r="O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0" spans="15:15" x14ac:dyDescent="0.35">
      <c r="O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1" spans="15:15" x14ac:dyDescent="0.35">
      <c r="O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2" spans="15:15" x14ac:dyDescent="0.35">
      <c r="O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3" spans="15:15" x14ac:dyDescent="0.35">
      <c r="O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4" spans="15:15" x14ac:dyDescent="0.35">
      <c r="O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5" spans="15:15" x14ac:dyDescent="0.35">
      <c r="O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6" spans="15:15" x14ac:dyDescent="0.35">
      <c r="O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7" spans="15:15" x14ac:dyDescent="0.35">
      <c r="O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8" spans="15:15" x14ac:dyDescent="0.35">
      <c r="O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9" spans="15:15" x14ac:dyDescent="0.35">
      <c r="O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0" spans="15:15" x14ac:dyDescent="0.35">
      <c r="O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1" spans="15:15" x14ac:dyDescent="0.35">
      <c r="O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2" spans="15:15" x14ac:dyDescent="0.35">
      <c r="O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3" spans="15:15" x14ac:dyDescent="0.35">
      <c r="O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4" spans="15:15" x14ac:dyDescent="0.35">
      <c r="O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5" spans="15:15" x14ac:dyDescent="0.35">
      <c r="O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6" spans="15:15" x14ac:dyDescent="0.35">
      <c r="O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7" spans="15:15" x14ac:dyDescent="0.35">
      <c r="O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8" spans="15:15" x14ac:dyDescent="0.35">
      <c r="O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9" spans="15:15" x14ac:dyDescent="0.35">
      <c r="O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0" spans="15:15" x14ac:dyDescent="0.35">
      <c r="O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1" spans="15:15" x14ac:dyDescent="0.35">
      <c r="O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2" spans="15:15" x14ac:dyDescent="0.35">
      <c r="O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3" spans="15:15" x14ac:dyDescent="0.35">
      <c r="O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4" spans="15:15" x14ac:dyDescent="0.35">
      <c r="O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5" spans="15:15" x14ac:dyDescent="0.35">
      <c r="O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6" spans="15:15" x14ac:dyDescent="0.35">
      <c r="O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7" spans="15:15" x14ac:dyDescent="0.35">
      <c r="O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8" spans="15:15" x14ac:dyDescent="0.35">
      <c r="O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9" spans="15:15" x14ac:dyDescent="0.35">
      <c r="O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0" spans="15:15" x14ac:dyDescent="0.35">
      <c r="O1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1" spans="15:15" x14ac:dyDescent="0.35">
      <c r="O1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2" spans="15:15" x14ac:dyDescent="0.35">
      <c r="O1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3" spans="15:15" x14ac:dyDescent="0.35">
      <c r="O1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4" spans="15:15" x14ac:dyDescent="0.35">
      <c r="O1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5" spans="15:15" x14ac:dyDescent="0.35">
      <c r="O1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6" spans="15:15" x14ac:dyDescent="0.35">
      <c r="O1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7" spans="15:15" x14ac:dyDescent="0.35">
      <c r="O1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8" spans="15:15" x14ac:dyDescent="0.35">
      <c r="O1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9" spans="15:15" x14ac:dyDescent="0.35">
      <c r="O1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0" spans="15:15" x14ac:dyDescent="0.35">
      <c r="O1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1" spans="15:15" x14ac:dyDescent="0.35">
      <c r="O1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2" spans="15:15" x14ac:dyDescent="0.35">
      <c r="O1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3" spans="15:15" x14ac:dyDescent="0.35">
      <c r="O1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4" spans="15:15" x14ac:dyDescent="0.35">
      <c r="O1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5" spans="15:15" x14ac:dyDescent="0.35">
      <c r="O1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6" spans="15:15" x14ac:dyDescent="0.35">
      <c r="O1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7" spans="15:15" x14ac:dyDescent="0.35">
      <c r="O1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8" spans="15:15" x14ac:dyDescent="0.35">
      <c r="O1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9" spans="15:15" x14ac:dyDescent="0.35">
      <c r="O1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0" spans="15:15" x14ac:dyDescent="0.35">
      <c r="O1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1" spans="15:15" x14ac:dyDescent="0.35">
      <c r="O1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2" spans="15:15" x14ac:dyDescent="0.35">
      <c r="O1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3" spans="15:15" x14ac:dyDescent="0.35">
      <c r="O1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4" spans="15:15" x14ac:dyDescent="0.35">
      <c r="O1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5" spans="15:15" x14ac:dyDescent="0.35">
      <c r="O1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6" spans="15:15" x14ac:dyDescent="0.35">
      <c r="O1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7" spans="15:15" x14ac:dyDescent="0.35">
      <c r="O1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8" spans="15:15" x14ac:dyDescent="0.35">
      <c r="O1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9" spans="15:15" x14ac:dyDescent="0.35">
      <c r="O1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0" spans="15:15" x14ac:dyDescent="0.35">
      <c r="O1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1" spans="15:15" x14ac:dyDescent="0.35">
      <c r="O1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2" spans="15:15" x14ac:dyDescent="0.35">
      <c r="O1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3" spans="15:15" x14ac:dyDescent="0.35">
      <c r="O1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4" spans="15:15" x14ac:dyDescent="0.35">
      <c r="O1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5" spans="15:15" x14ac:dyDescent="0.35">
      <c r="O1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6" spans="15:15" x14ac:dyDescent="0.35">
      <c r="O1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7" spans="15:15" x14ac:dyDescent="0.35">
      <c r="O1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8" spans="15:15" x14ac:dyDescent="0.35">
      <c r="O1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9" spans="15:15" x14ac:dyDescent="0.35">
      <c r="O1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0" spans="15:15" x14ac:dyDescent="0.35">
      <c r="O1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1" spans="15:15" x14ac:dyDescent="0.35">
      <c r="O1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2" spans="15:15" x14ac:dyDescent="0.35">
      <c r="O1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3" spans="15:15" x14ac:dyDescent="0.35">
      <c r="O1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4" spans="15:15" x14ac:dyDescent="0.35">
      <c r="O1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5" spans="15:15" x14ac:dyDescent="0.35">
      <c r="O1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6" spans="15:15" x14ac:dyDescent="0.35">
      <c r="O1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7" spans="15:15" x14ac:dyDescent="0.35">
      <c r="O1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8" spans="15:15" x14ac:dyDescent="0.35">
      <c r="O1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9" spans="15:15" x14ac:dyDescent="0.35">
      <c r="O1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0" spans="15:15" x14ac:dyDescent="0.35">
      <c r="O1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1" spans="15:15" x14ac:dyDescent="0.35">
      <c r="O1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2" spans="15:15" x14ac:dyDescent="0.35">
      <c r="O1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3" spans="15:15" x14ac:dyDescent="0.35">
      <c r="O1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4" spans="15:15" x14ac:dyDescent="0.35">
      <c r="O1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5" spans="15:15" x14ac:dyDescent="0.35">
      <c r="O1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6" spans="15:15" x14ac:dyDescent="0.35">
      <c r="O1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7" spans="15:15" x14ac:dyDescent="0.35">
      <c r="O1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8" spans="15:15" x14ac:dyDescent="0.35">
      <c r="O1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9" spans="15:15" x14ac:dyDescent="0.35">
      <c r="O1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0" spans="15:15" x14ac:dyDescent="0.35">
      <c r="O1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1" spans="15:15" x14ac:dyDescent="0.35">
      <c r="O1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2" spans="15:15" x14ac:dyDescent="0.35">
      <c r="O1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3" spans="15:15" x14ac:dyDescent="0.35">
      <c r="O1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4" spans="15:15" x14ac:dyDescent="0.35">
      <c r="O1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5" spans="15:15" x14ac:dyDescent="0.35">
      <c r="O1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6" spans="15:15" x14ac:dyDescent="0.35">
      <c r="O1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7" spans="15:15" x14ac:dyDescent="0.35">
      <c r="O1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8" spans="15:15" x14ac:dyDescent="0.35">
      <c r="O1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9" spans="15:15" x14ac:dyDescent="0.35">
      <c r="O1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0" spans="15:15" x14ac:dyDescent="0.35">
      <c r="O1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1" spans="15:15" x14ac:dyDescent="0.35">
      <c r="O1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2" spans="15:15" x14ac:dyDescent="0.35">
      <c r="O1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3" spans="15:15" x14ac:dyDescent="0.35">
      <c r="O1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4" spans="15:15" x14ac:dyDescent="0.35">
      <c r="O1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5" spans="15:15" x14ac:dyDescent="0.35">
      <c r="O1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6" spans="15:15" x14ac:dyDescent="0.35">
      <c r="O1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7" spans="15:15" x14ac:dyDescent="0.35">
      <c r="O1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8" spans="15:15" x14ac:dyDescent="0.35">
      <c r="O1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9" spans="15:15" x14ac:dyDescent="0.35">
      <c r="O1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0" spans="15:15" x14ac:dyDescent="0.35">
      <c r="O1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1" spans="15:15" x14ac:dyDescent="0.35">
      <c r="O1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2" spans="15:15" x14ac:dyDescent="0.35">
      <c r="O1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3" spans="15:15" x14ac:dyDescent="0.35">
      <c r="O1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4" spans="15:15" x14ac:dyDescent="0.35">
      <c r="O1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5" spans="15:15" x14ac:dyDescent="0.35">
      <c r="O1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6" spans="15:15" x14ac:dyDescent="0.35">
      <c r="O1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7" spans="15:15" x14ac:dyDescent="0.35">
      <c r="O1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8" spans="15:15" x14ac:dyDescent="0.35">
      <c r="O1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9" spans="15:15" x14ac:dyDescent="0.35">
      <c r="O1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0" spans="15:15" x14ac:dyDescent="0.35">
      <c r="O1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1" spans="15:15" x14ac:dyDescent="0.35">
      <c r="O1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2" spans="15:15" x14ac:dyDescent="0.35">
      <c r="O1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3" spans="15:15" x14ac:dyDescent="0.35">
      <c r="O1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4" spans="15:15" x14ac:dyDescent="0.35">
      <c r="O1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5" spans="15:15" x14ac:dyDescent="0.35">
      <c r="O1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6" spans="15:15" x14ac:dyDescent="0.35">
      <c r="O1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7" spans="15:15" x14ac:dyDescent="0.35">
      <c r="O1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8" spans="15:15" x14ac:dyDescent="0.35">
      <c r="O1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9" spans="15:15" x14ac:dyDescent="0.35">
      <c r="O1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00" spans="15:15" x14ac:dyDescent="0.35">
      <c r="O2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01" spans="15:15" x14ac:dyDescent="0.35">
      <c r="O2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02" spans="15:15" x14ac:dyDescent="0.35">
      <c r="O2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03" spans="15:15" x14ac:dyDescent="0.35">
      <c r="O2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04" spans="15:15" x14ac:dyDescent="0.35">
      <c r="O2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05" spans="15:15" x14ac:dyDescent="0.35">
      <c r="O2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06" spans="15:15" x14ac:dyDescent="0.35">
      <c r="O2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07" spans="15:15" x14ac:dyDescent="0.35">
      <c r="O2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08" spans="15:15" x14ac:dyDescent="0.35">
      <c r="O2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09" spans="15:15" x14ac:dyDescent="0.35">
      <c r="O2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10" spans="15:15" x14ac:dyDescent="0.35">
      <c r="O2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11" spans="15:15" x14ac:dyDescent="0.35">
      <c r="O2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12" spans="15:15" x14ac:dyDescent="0.35">
      <c r="O2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13" spans="15:15" x14ac:dyDescent="0.35">
      <c r="O2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14" spans="15:15" x14ac:dyDescent="0.35">
      <c r="O2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15" spans="15:15" x14ac:dyDescent="0.35">
      <c r="O2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16" spans="15:15" x14ac:dyDescent="0.35">
      <c r="O2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17" spans="15:15" x14ac:dyDescent="0.35">
      <c r="O2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18" spans="15:15" x14ac:dyDescent="0.35">
      <c r="O2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19" spans="15:15" x14ac:dyDescent="0.35">
      <c r="O2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20" spans="15:15" x14ac:dyDescent="0.35">
      <c r="O2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21" spans="15:15" x14ac:dyDescent="0.35">
      <c r="O2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22" spans="15:15" x14ac:dyDescent="0.35">
      <c r="O2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23" spans="15:15" x14ac:dyDescent="0.35">
      <c r="O2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24" spans="15:15" x14ac:dyDescent="0.35">
      <c r="O2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25" spans="15:15" x14ac:dyDescent="0.35">
      <c r="O2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26" spans="15:15" x14ac:dyDescent="0.35">
      <c r="O2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27" spans="15:15" x14ac:dyDescent="0.35">
      <c r="O2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28" spans="15:15" x14ac:dyDescent="0.35">
      <c r="O2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29" spans="15:15" x14ac:dyDescent="0.35">
      <c r="O2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30" spans="15:15" x14ac:dyDescent="0.35">
      <c r="O2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31" spans="15:15" x14ac:dyDescent="0.35">
      <c r="O2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32" spans="15:15" x14ac:dyDescent="0.35">
      <c r="O2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33" spans="15:15" x14ac:dyDescent="0.35">
      <c r="O2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34" spans="15:15" x14ac:dyDescent="0.35">
      <c r="O2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35" spans="15:15" x14ac:dyDescent="0.35">
      <c r="O2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36" spans="15:15" x14ac:dyDescent="0.35">
      <c r="O2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37" spans="15:15" x14ac:dyDescent="0.35">
      <c r="O2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38" spans="15:15" x14ac:dyDescent="0.35">
      <c r="O2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39" spans="15:15" x14ac:dyDescent="0.35">
      <c r="O2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40" spans="15:15" x14ac:dyDescent="0.35">
      <c r="O2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41" spans="15:15" x14ac:dyDescent="0.35">
      <c r="O2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42" spans="15:15" x14ac:dyDescent="0.35">
      <c r="O2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43" spans="15:15" x14ac:dyDescent="0.35">
      <c r="O2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44" spans="15:15" x14ac:dyDescent="0.35">
      <c r="O2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45" spans="15:15" x14ac:dyDescent="0.35">
      <c r="O2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46" spans="15:15" x14ac:dyDescent="0.35">
      <c r="O2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47" spans="15:15" x14ac:dyDescent="0.35">
      <c r="O2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48" spans="15:15" x14ac:dyDescent="0.35">
      <c r="O2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49" spans="15:15" x14ac:dyDescent="0.35">
      <c r="O2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50" spans="15:15" x14ac:dyDescent="0.35">
      <c r="O2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51" spans="15:15" x14ac:dyDescent="0.35">
      <c r="O2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52" spans="15:15" x14ac:dyDescent="0.35">
      <c r="O2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53" spans="15:15" x14ac:dyDescent="0.35">
      <c r="O2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54" spans="15:15" x14ac:dyDescent="0.35">
      <c r="O2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55" spans="15:15" x14ac:dyDescent="0.35">
      <c r="O2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56" spans="15:15" x14ac:dyDescent="0.35">
      <c r="O2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57" spans="15:15" x14ac:dyDescent="0.35">
      <c r="O2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58" spans="15:15" x14ac:dyDescent="0.35">
      <c r="O2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59" spans="15:15" x14ac:dyDescent="0.35">
      <c r="O2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60" spans="15:15" x14ac:dyDescent="0.35">
      <c r="O2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61" spans="15:15" x14ac:dyDescent="0.35">
      <c r="O2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62" spans="15:15" x14ac:dyDescent="0.35">
      <c r="O2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63" spans="15:15" x14ac:dyDescent="0.35">
      <c r="O2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64" spans="15:15" x14ac:dyDescent="0.35">
      <c r="O2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65" spans="15:15" x14ac:dyDescent="0.35">
      <c r="O2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66" spans="15:15" x14ac:dyDescent="0.35">
      <c r="O2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67" spans="15:15" x14ac:dyDescent="0.35">
      <c r="O2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68" spans="15:15" x14ac:dyDescent="0.35">
      <c r="O2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69" spans="15:15" x14ac:dyDescent="0.35">
      <c r="O2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70" spans="15:15" x14ac:dyDescent="0.35">
      <c r="O2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71" spans="15:15" x14ac:dyDescent="0.35">
      <c r="O2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72" spans="15:15" x14ac:dyDescent="0.35">
      <c r="O2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73" spans="15:15" x14ac:dyDescent="0.35">
      <c r="O2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74" spans="15:15" x14ac:dyDescent="0.35">
      <c r="O2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75" spans="15:15" x14ac:dyDescent="0.35">
      <c r="O2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76" spans="15:15" x14ac:dyDescent="0.35">
      <c r="O2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77" spans="15:15" x14ac:dyDescent="0.35">
      <c r="O2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78" spans="15:15" x14ac:dyDescent="0.35">
      <c r="O2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79" spans="15:15" x14ac:dyDescent="0.35">
      <c r="O2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80" spans="15:15" x14ac:dyDescent="0.35">
      <c r="O2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81" spans="15:15" x14ac:dyDescent="0.35">
      <c r="O2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82" spans="15:15" x14ac:dyDescent="0.35">
      <c r="O2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83" spans="15:15" x14ac:dyDescent="0.35">
      <c r="O2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84" spans="15:15" x14ac:dyDescent="0.35">
      <c r="O2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85" spans="15:15" x14ac:dyDescent="0.35">
      <c r="O2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86" spans="15:15" x14ac:dyDescent="0.35">
      <c r="O2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87" spans="15:15" x14ac:dyDescent="0.35">
      <c r="O2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88" spans="15:15" x14ac:dyDescent="0.35">
      <c r="O2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89" spans="15:15" x14ac:dyDescent="0.35">
      <c r="O2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90" spans="15:15" x14ac:dyDescent="0.35">
      <c r="O2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91" spans="15:15" x14ac:dyDescent="0.35">
      <c r="O2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92" spans="15:15" x14ac:dyDescent="0.35">
      <c r="O2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93" spans="15:15" x14ac:dyDescent="0.35">
      <c r="O2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94" spans="15:15" x14ac:dyDescent="0.35">
      <c r="O2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95" spans="15:15" x14ac:dyDescent="0.35">
      <c r="O2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96" spans="15:15" x14ac:dyDescent="0.35">
      <c r="O2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97" spans="15:15" x14ac:dyDescent="0.35">
      <c r="O2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98" spans="15:15" x14ac:dyDescent="0.35">
      <c r="O2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99" spans="15:15" x14ac:dyDescent="0.35">
      <c r="O2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00" spans="15:15" x14ac:dyDescent="0.35">
      <c r="O3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01" spans="15:15" x14ac:dyDescent="0.35">
      <c r="O3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02" spans="15:15" x14ac:dyDescent="0.35">
      <c r="O3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03" spans="15:15" x14ac:dyDescent="0.35">
      <c r="O3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04" spans="15:15" x14ac:dyDescent="0.35">
      <c r="O3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05" spans="15:15" x14ac:dyDescent="0.35">
      <c r="O3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06" spans="15:15" x14ac:dyDescent="0.35">
      <c r="O3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07" spans="15:15" x14ac:dyDescent="0.35">
      <c r="O3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08" spans="15:15" x14ac:dyDescent="0.35">
      <c r="O3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09" spans="15:15" x14ac:dyDescent="0.35">
      <c r="O3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10" spans="15:15" x14ac:dyDescent="0.35">
      <c r="O3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11" spans="15:15" x14ac:dyDescent="0.35">
      <c r="O3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12" spans="15:15" x14ac:dyDescent="0.35">
      <c r="O3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13" spans="15:15" x14ac:dyDescent="0.35">
      <c r="O3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14" spans="15:15" x14ac:dyDescent="0.35">
      <c r="O3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15" spans="15:15" x14ac:dyDescent="0.35">
      <c r="O3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16" spans="15:15" x14ac:dyDescent="0.35">
      <c r="O3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17" spans="15:15" x14ac:dyDescent="0.35">
      <c r="O3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18" spans="15:15" x14ac:dyDescent="0.35">
      <c r="O3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19" spans="15:15" x14ac:dyDescent="0.35">
      <c r="O3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20" spans="15:15" x14ac:dyDescent="0.35">
      <c r="O3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21" spans="15:15" x14ac:dyDescent="0.35">
      <c r="O3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22" spans="15:15" x14ac:dyDescent="0.35">
      <c r="O3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23" spans="15:15" x14ac:dyDescent="0.35">
      <c r="O3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24" spans="15:15" x14ac:dyDescent="0.35">
      <c r="O3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25" spans="15:15" x14ac:dyDescent="0.35">
      <c r="O3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26" spans="15:15" x14ac:dyDescent="0.35">
      <c r="O3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27" spans="15:15" x14ac:dyDescent="0.35">
      <c r="O3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28" spans="15:15" x14ac:dyDescent="0.35">
      <c r="O3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29" spans="15:15" x14ac:dyDescent="0.35">
      <c r="O3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30" spans="15:15" x14ac:dyDescent="0.35">
      <c r="O3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31" spans="15:15" x14ac:dyDescent="0.35">
      <c r="O3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32" spans="15:15" x14ac:dyDescent="0.35">
      <c r="O3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33" spans="15:15" x14ac:dyDescent="0.35">
      <c r="O3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34" spans="15:15" x14ac:dyDescent="0.35">
      <c r="O3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35" spans="15:15" x14ac:dyDescent="0.35">
      <c r="O3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36" spans="15:15" x14ac:dyDescent="0.35">
      <c r="O3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37" spans="15:15" x14ac:dyDescent="0.35">
      <c r="O3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38" spans="15:15" x14ac:dyDescent="0.35">
      <c r="O3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39" spans="15:15" x14ac:dyDescent="0.35">
      <c r="O3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40" spans="15:15" x14ac:dyDescent="0.35">
      <c r="O3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41" spans="15:15" x14ac:dyDescent="0.35">
      <c r="O3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42" spans="15:15" x14ac:dyDescent="0.35">
      <c r="O3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43" spans="15:15" x14ac:dyDescent="0.35">
      <c r="O3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44" spans="15:15" x14ac:dyDescent="0.35">
      <c r="O3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45" spans="15:15" x14ac:dyDescent="0.35">
      <c r="O3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46" spans="15:15" x14ac:dyDescent="0.35">
      <c r="O3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47" spans="15:15" x14ac:dyDescent="0.35">
      <c r="O3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48" spans="15:15" x14ac:dyDescent="0.35">
      <c r="O3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49" spans="15:15" x14ac:dyDescent="0.35">
      <c r="O3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50" spans="15:15" x14ac:dyDescent="0.35">
      <c r="O3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51" spans="15:15" x14ac:dyDescent="0.35">
      <c r="O3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52" spans="15:15" x14ac:dyDescent="0.35">
      <c r="O3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53" spans="15:15" x14ac:dyDescent="0.35">
      <c r="O3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54" spans="15:15" x14ac:dyDescent="0.35">
      <c r="O3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55" spans="15:15" x14ac:dyDescent="0.35">
      <c r="O3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56" spans="15:15" x14ac:dyDescent="0.35">
      <c r="O3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57" spans="15:15" x14ac:dyDescent="0.35">
      <c r="O3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58" spans="15:15" x14ac:dyDescent="0.35">
      <c r="O3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59" spans="15:15" x14ac:dyDescent="0.35">
      <c r="O3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60" spans="15:15" x14ac:dyDescent="0.35">
      <c r="O3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61" spans="15:15" x14ac:dyDescent="0.35">
      <c r="O3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62" spans="15:15" x14ac:dyDescent="0.35">
      <c r="O3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63" spans="15:15" x14ac:dyDescent="0.35">
      <c r="O3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64" spans="15:15" x14ac:dyDescent="0.35">
      <c r="O3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65" spans="15:15" x14ac:dyDescent="0.35">
      <c r="O3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66" spans="15:15" x14ac:dyDescent="0.35">
      <c r="O3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67" spans="15:15" x14ac:dyDescent="0.35">
      <c r="O3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68" spans="15:15" x14ac:dyDescent="0.35">
      <c r="O3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69" spans="15:15" x14ac:dyDescent="0.35">
      <c r="O3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70" spans="15:15" x14ac:dyDescent="0.35">
      <c r="O3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71" spans="15:15" x14ac:dyDescent="0.35">
      <c r="O3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72" spans="15:15" x14ac:dyDescent="0.35">
      <c r="O3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73" spans="15:15" x14ac:dyDescent="0.35">
      <c r="O3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74" spans="15:15" x14ac:dyDescent="0.35">
      <c r="O3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75" spans="15:15" x14ac:dyDescent="0.35">
      <c r="O3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76" spans="15:15" x14ac:dyDescent="0.35">
      <c r="O3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77" spans="15:15" x14ac:dyDescent="0.35">
      <c r="O3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78" spans="15:15" x14ac:dyDescent="0.35">
      <c r="O3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79" spans="15:15" x14ac:dyDescent="0.35">
      <c r="O3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80" spans="15:15" x14ac:dyDescent="0.35">
      <c r="O3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81" spans="15:15" x14ac:dyDescent="0.35">
      <c r="O3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82" spans="15:15" x14ac:dyDescent="0.35">
      <c r="O3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83" spans="15:15" x14ac:dyDescent="0.35">
      <c r="O3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84" spans="15:15" x14ac:dyDescent="0.35">
      <c r="O3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85" spans="15:15" x14ac:dyDescent="0.35">
      <c r="O3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86" spans="15:15" x14ac:dyDescent="0.35">
      <c r="O3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87" spans="15:15" x14ac:dyDescent="0.35">
      <c r="O3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88" spans="15:15" x14ac:dyDescent="0.35">
      <c r="O3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89" spans="15:15" x14ac:dyDescent="0.35">
      <c r="O3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90" spans="15:15" x14ac:dyDescent="0.35">
      <c r="O3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91" spans="15:15" x14ac:dyDescent="0.35">
      <c r="O3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92" spans="15:15" x14ac:dyDescent="0.35">
      <c r="O3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93" spans="15:15" x14ac:dyDescent="0.35">
      <c r="O3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94" spans="15:15" x14ac:dyDescent="0.35">
      <c r="O3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95" spans="15:15" x14ac:dyDescent="0.35">
      <c r="O3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96" spans="15:15" x14ac:dyDescent="0.35">
      <c r="O3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97" spans="15:15" x14ac:dyDescent="0.35">
      <c r="O3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98" spans="15:15" x14ac:dyDescent="0.35">
      <c r="O3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399" spans="15:15" x14ac:dyDescent="0.35">
      <c r="O3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00" spans="15:15" x14ac:dyDescent="0.35">
      <c r="O4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01" spans="15:15" x14ac:dyDescent="0.35">
      <c r="O4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02" spans="15:15" x14ac:dyDescent="0.35">
      <c r="O4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03" spans="15:15" x14ac:dyDescent="0.35">
      <c r="O4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04" spans="15:15" x14ac:dyDescent="0.35">
      <c r="O4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05" spans="15:15" x14ac:dyDescent="0.35">
      <c r="O4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06" spans="15:15" x14ac:dyDescent="0.35">
      <c r="O4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07" spans="15:15" x14ac:dyDescent="0.35">
      <c r="O4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08" spans="15:15" x14ac:dyDescent="0.35">
      <c r="O4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09" spans="15:15" x14ac:dyDescent="0.35">
      <c r="O4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10" spans="15:15" x14ac:dyDescent="0.35">
      <c r="O4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11" spans="15:15" x14ac:dyDescent="0.35">
      <c r="O4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12" spans="15:15" x14ac:dyDescent="0.35">
      <c r="O4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13" spans="15:15" x14ac:dyDescent="0.35">
      <c r="O4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14" spans="15:15" x14ac:dyDescent="0.35">
      <c r="O4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15" spans="15:15" x14ac:dyDescent="0.35">
      <c r="O4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16" spans="15:15" x14ac:dyDescent="0.35">
      <c r="O4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17" spans="15:15" x14ac:dyDescent="0.35">
      <c r="O4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18" spans="15:15" x14ac:dyDescent="0.35">
      <c r="O4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19" spans="15:15" x14ac:dyDescent="0.35">
      <c r="O4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20" spans="15:15" x14ac:dyDescent="0.35">
      <c r="O4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21" spans="15:15" x14ac:dyDescent="0.35">
      <c r="O4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22" spans="15:15" x14ac:dyDescent="0.35">
      <c r="O4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23" spans="15:15" x14ac:dyDescent="0.35">
      <c r="O4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24" spans="15:15" x14ac:dyDescent="0.35">
      <c r="O4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25" spans="15:15" x14ac:dyDescent="0.35">
      <c r="O4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26" spans="15:15" x14ac:dyDescent="0.35">
      <c r="O4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27" spans="15:15" x14ac:dyDescent="0.35">
      <c r="O4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28" spans="15:15" x14ac:dyDescent="0.35">
      <c r="O4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29" spans="15:15" x14ac:dyDescent="0.35">
      <c r="O4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30" spans="15:15" x14ac:dyDescent="0.35">
      <c r="O4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31" spans="15:15" x14ac:dyDescent="0.35">
      <c r="O4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32" spans="15:15" x14ac:dyDescent="0.35">
      <c r="O4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33" spans="15:15" x14ac:dyDescent="0.35">
      <c r="O4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34" spans="15:15" x14ac:dyDescent="0.35">
      <c r="O4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35" spans="15:15" x14ac:dyDescent="0.35">
      <c r="O4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36" spans="15:15" x14ac:dyDescent="0.35">
      <c r="O4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37" spans="15:15" x14ac:dyDescent="0.35">
      <c r="O4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38" spans="15:15" x14ac:dyDescent="0.35">
      <c r="O4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39" spans="15:15" x14ac:dyDescent="0.35">
      <c r="O4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40" spans="15:15" x14ac:dyDescent="0.35">
      <c r="O4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41" spans="15:15" x14ac:dyDescent="0.35">
      <c r="O4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42" spans="15:15" x14ac:dyDescent="0.35">
      <c r="O4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43" spans="15:15" x14ac:dyDescent="0.35">
      <c r="O4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44" spans="15:15" x14ac:dyDescent="0.35">
      <c r="O4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45" spans="15:15" x14ac:dyDescent="0.35">
      <c r="O4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46" spans="15:15" x14ac:dyDescent="0.35">
      <c r="O4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47" spans="15:15" x14ac:dyDescent="0.35">
      <c r="O4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48" spans="15:15" x14ac:dyDescent="0.35">
      <c r="O4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49" spans="15:15" x14ac:dyDescent="0.35">
      <c r="O4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50" spans="15:15" x14ac:dyDescent="0.35">
      <c r="O4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51" spans="15:15" x14ac:dyDescent="0.35">
      <c r="O4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52" spans="15:15" x14ac:dyDescent="0.35">
      <c r="O4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53" spans="15:15" x14ac:dyDescent="0.35">
      <c r="O4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54" spans="15:15" x14ac:dyDescent="0.35">
      <c r="O4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55" spans="15:15" x14ac:dyDescent="0.35">
      <c r="O4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56" spans="15:15" x14ac:dyDescent="0.35">
      <c r="O4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57" spans="15:15" x14ac:dyDescent="0.35">
      <c r="O4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58" spans="15:15" x14ac:dyDescent="0.35">
      <c r="O4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59" spans="15:15" x14ac:dyDescent="0.35">
      <c r="O4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60" spans="15:15" x14ac:dyDescent="0.35">
      <c r="O4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61" spans="15:15" x14ac:dyDescent="0.35">
      <c r="O4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62" spans="15:15" x14ac:dyDescent="0.35">
      <c r="O4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63" spans="15:15" x14ac:dyDescent="0.35">
      <c r="O4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64" spans="15:15" x14ac:dyDescent="0.35">
      <c r="O4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65" spans="15:15" x14ac:dyDescent="0.35">
      <c r="O4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66" spans="15:15" x14ac:dyDescent="0.35">
      <c r="O4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67" spans="15:15" x14ac:dyDescent="0.35">
      <c r="O4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68" spans="15:15" x14ac:dyDescent="0.35">
      <c r="O4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69" spans="15:15" x14ac:dyDescent="0.35">
      <c r="O4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70" spans="15:15" x14ac:dyDescent="0.35">
      <c r="O4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71" spans="15:15" x14ac:dyDescent="0.35">
      <c r="O4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72" spans="15:15" x14ac:dyDescent="0.35">
      <c r="O4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73" spans="15:15" x14ac:dyDescent="0.35">
      <c r="O4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74" spans="15:15" x14ac:dyDescent="0.35">
      <c r="O4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75" spans="15:15" x14ac:dyDescent="0.35">
      <c r="O4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76" spans="15:15" x14ac:dyDescent="0.35">
      <c r="O4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77" spans="15:15" x14ac:dyDescent="0.35">
      <c r="O4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78" spans="15:15" x14ac:dyDescent="0.35">
      <c r="O4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79" spans="15:15" x14ac:dyDescent="0.35">
      <c r="O4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80" spans="15:15" x14ac:dyDescent="0.35">
      <c r="O4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81" spans="15:15" x14ac:dyDescent="0.35">
      <c r="O4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82" spans="15:15" x14ac:dyDescent="0.35">
      <c r="O4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83" spans="15:15" x14ac:dyDescent="0.35">
      <c r="O4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84" spans="15:15" x14ac:dyDescent="0.35">
      <c r="O4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85" spans="15:15" x14ac:dyDescent="0.35">
      <c r="O4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86" spans="15:15" x14ac:dyDescent="0.35">
      <c r="O4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87" spans="15:15" x14ac:dyDescent="0.35">
      <c r="O4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88" spans="15:15" x14ac:dyDescent="0.35">
      <c r="O4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89" spans="15:15" x14ac:dyDescent="0.35">
      <c r="O4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90" spans="15:15" x14ac:dyDescent="0.35">
      <c r="O4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91" spans="15:15" x14ac:dyDescent="0.35">
      <c r="O4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92" spans="15:15" x14ac:dyDescent="0.35">
      <c r="O4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93" spans="15:15" x14ac:dyDescent="0.35">
      <c r="O4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94" spans="15:15" x14ac:dyDescent="0.35">
      <c r="O4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95" spans="15:15" x14ac:dyDescent="0.35">
      <c r="O4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96" spans="15:15" x14ac:dyDescent="0.35">
      <c r="O4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97" spans="15:15" x14ac:dyDescent="0.35">
      <c r="O4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98" spans="15:15" x14ac:dyDescent="0.35">
      <c r="O4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499" spans="15:15" x14ac:dyDescent="0.35">
      <c r="O4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00" spans="15:15" x14ac:dyDescent="0.35">
      <c r="O5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01" spans="15:15" x14ac:dyDescent="0.35">
      <c r="O5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02" spans="15:15" x14ac:dyDescent="0.35">
      <c r="O5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03" spans="15:15" x14ac:dyDescent="0.35">
      <c r="O5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04" spans="15:15" x14ac:dyDescent="0.35">
      <c r="O5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05" spans="15:15" x14ac:dyDescent="0.35">
      <c r="O5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06" spans="15:15" x14ac:dyDescent="0.35">
      <c r="O5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07" spans="15:15" x14ac:dyDescent="0.35">
      <c r="O5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08" spans="15:15" x14ac:dyDescent="0.35">
      <c r="O5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09" spans="15:15" x14ac:dyDescent="0.35">
      <c r="O5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10" spans="15:15" x14ac:dyDescent="0.35">
      <c r="O5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11" spans="15:15" x14ac:dyDescent="0.35">
      <c r="O5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12" spans="15:15" x14ac:dyDescent="0.35">
      <c r="O5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13" spans="15:15" x14ac:dyDescent="0.35">
      <c r="O5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14" spans="15:15" x14ac:dyDescent="0.35">
      <c r="O5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15" spans="15:15" x14ac:dyDescent="0.35">
      <c r="O5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16" spans="15:15" x14ac:dyDescent="0.35">
      <c r="O5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17" spans="15:15" x14ac:dyDescent="0.35">
      <c r="O5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18" spans="15:15" x14ac:dyDescent="0.35">
      <c r="O5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19" spans="15:15" x14ac:dyDescent="0.35">
      <c r="O5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20" spans="15:15" x14ac:dyDescent="0.35">
      <c r="O5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21" spans="15:15" x14ac:dyDescent="0.35">
      <c r="O5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22" spans="15:15" x14ac:dyDescent="0.35">
      <c r="O5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23" spans="15:15" x14ac:dyDescent="0.35">
      <c r="O5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24" spans="15:15" x14ac:dyDescent="0.35">
      <c r="O5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25" spans="15:15" x14ac:dyDescent="0.35">
      <c r="O5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26" spans="15:15" x14ac:dyDescent="0.35">
      <c r="O5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27" spans="15:15" x14ac:dyDescent="0.35">
      <c r="O5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28" spans="15:15" x14ac:dyDescent="0.35">
      <c r="O5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29" spans="15:15" x14ac:dyDescent="0.35">
      <c r="O5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30" spans="15:15" x14ac:dyDescent="0.35">
      <c r="O5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31" spans="15:15" x14ac:dyDescent="0.35">
      <c r="O5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32" spans="15:15" x14ac:dyDescent="0.35">
      <c r="O5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33" spans="15:15" x14ac:dyDescent="0.35">
      <c r="O5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34" spans="15:15" x14ac:dyDescent="0.35">
      <c r="O5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35" spans="15:15" x14ac:dyDescent="0.35">
      <c r="O5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36" spans="15:15" x14ac:dyDescent="0.35">
      <c r="O5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37" spans="15:15" x14ac:dyDescent="0.35">
      <c r="O5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38" spans="15:15" x14ac:dyDescent="0.35">
      <c r="O5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39" spans="15:15" x14ac:dyDescent="0.35">
      <c r="O5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40" spans="15:15" x14ac:dyDescent="0.35">
      <c r="O5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41" spans="15:15" x14ac:dyDescent="0.35">
      <c r="O5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42" spans="15:15" x14ac:dyDescent="0.35">
      <c r="O5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43" spans="15:15" x14ac:dyDescent="0.35">
      <c r="O5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44" spans="15:15" x14ac:dyDescent="0.35">
      <c r="O5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45" spans="15:15" x14ac:dyDescent="0.35">
      <c r="O5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46" spans="15:15" x14ac:dyDescent="0.35">
      <c r="O5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47" spans="15:15" x14ac:dyDescent="0.35">
      <c r="O5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48" spans="15:15" x14ac:dyDescent="0.35">
      <c r="O5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49" spans="15:15" x14ac:dyDescent="0.35">
      <c r="O5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50" spans="15:15" x14ac:dyDescent="0.35">
      <c r="O5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51" spans="15:15" x14ac:dyDescent="0.35">
      <c r="O5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52" spans="15:15" x14ac:dyDescent="0.35">
      <c r="O5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53" spans="15:15" x14ac:dyDescent="0.35">
      <c r="O5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54" spans="15:15" x14ac:dyDescent="0.35">
      <c r="O5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55" spans="15:15" x14ac:dyDescent="0.35">
      <c r="O5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56" spans="15:15" x14ac:dyDescent="0.35">
      <c r="O5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57" spans="15:15" x14ac:dyDescent="0.35">
      <c r="O5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58" spans="15:15" x14ac:dyDescent="0.35">
      <c r="O5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59" spans="15:15" x14ac:dyDescent="0.35">
      <c r="O5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60" spans="15:15" x14ac:dyDescent="0.35">
      <c r="O5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61" spans="15:15" x14ac:dyDescent="0.35">
      <c r="O5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62" spans="15:15" x14ac:dyDescent="0.35">
      <c r="O5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63" spans="15:15" x14ac:dyDescent="0.35">
      <c r="O5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64" spans="15:15" x14ac:dyDescent="0.35">
      <c r="O5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65" spans="15:15" x14ac:dyDescent="0.35">
      <c r="O5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66" spans="15:15" x14ac:dyDescent="0.35">
      <c r="O5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67" spans="15:15" x14ac:dyDescent="0.35">
      <c r="O5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68" spans="15:15" x14ac:dyDescent="0.35">
      <c r="O5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69" spans="15:15" x14ac:dyDescent="0.35">
      <c r="O5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70" spans="15:15" x14ac:dyDescent="0.35">
      <c r="O5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71" spans="15:15" x14ac:dyDescent="0.35">
      <c r="O5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72" spans="15:15" x14ac:dyDescent="0.35">
      <c r="O5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73" spans="15:15" x14ac:dyDescent="0.35">
      <c r="O5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74" spans="15:15" x14ac:dyDescent="0.35">
      <c r="O5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75" spans="15:15" x14ac:dyDescent="0.35">
      <c r="O5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76" spans="15:15" x14ac:dyDescent="0.35">
      <c r="O5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77" spans="15:15" x14ac:dyDescent="0.35">
      <c r="O5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78" spans="15:15" x14ac:dyDescent="0.35">
      <c r="O5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79" spans="15:15" x14ac:dyDescent="0.35">
      <c r="O5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80" spans="15:15" x14ac:dyDescent="0.35">
      <c r="O5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81" spans="15:15" x14ac:dyDescent="0.35">
      <c r="O5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82" spans="15:15" x14ac:dyDescent="0.35">
      <c r="O5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83" spans="15:15" x14ac:dyDescent="0.35">
      <c r="O5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84" spans="15:15" x14ac:dyDescent="0.35">
      <c r="O5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85" spans="15:15" x14ac:dyDescent="0.35">
      <c r="O5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86" spans="15:15" x14ac:dyDescent="0.35">
      <c r="O5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87" spans="15:15" x14ac:dyDescent="0.35">
      <c r="O5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88" spans="15:15" x14ac:dyDescent="0.35">
      <c r="O5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89" spans="15:15" x14ac:dyDescent="0.35">
      <c r="O5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90" spans="15:15" x14ac:dyDescent="0.35">
      <c r="O5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91" spans="15:15" x14ac:dyDescent="0.35">
      <c r="O5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92" spans="15:15" x14ac:dyDescent="0.35">
      <c r="O5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93" spans="15:15" x14ac:dyDescent="0.35">
      <c r="O5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94" spans="15:15" x14ac:dyDescent="0.35">
      <c r="O5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95" spans="15:15" x14ac:dyDescent="0.35">
      <c r="O5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96" spans="15:15" x14ac:dyDescent="0.35">
      <c r="O5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97" spans="15:15" x14ac:dyDescent="0.35">
      <c r="O5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98" spans="15:15" x14ac:dyDescent="0.35">
      <c r="O5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599" spans="15:15" x14ac:dyDescent="0.35">
      <c r="O5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00" spans="15:15" x14ac:dyDescent="0.35">
      <c r="O6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01" spans="15:15" x14ac:dyDescent="0.35">
      <c r="O6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02" spans="15:15" x14ac:dyDescent="0.35">
      <c r="O6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03" spans="15:15" x14ac:dyDescent="0.35">
      <c r="O6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04" spans="15:15" x14ac:dyDescent="0.35">
      <c r="O6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05" spans="15:15" x14ac:dyDescent="0.35">
      <c r="O6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06" spans="15:15" x14ac:dyDescent="0.35">
      <c r="O6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07" spans="15:15" x14ac:dyDescent="0.35">
      <c r="O6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08" spans="15:15" x14ac:dyDescent="0.35">
      <c r="O6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09" spans="15:15" x14ac:dyDescent="0.35">
      <c r="O6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10" spans="15:15" x14ac:dyDescent="0.35">
      <c r="O6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11" spans="15:15" x14ac:dyDescent="0.35">
      <c r="O6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12" spans="15:15" x14ac:dyDescent="0.35">
      <c r="O6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13" spans="15:15" x14ac:dyDescent="0.35">
      <c r="O6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14" spans="15:15" x14ac:dyDescent="0.35">
      <c r="O6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15" spans="15:15" x14ac:dyDescent="0.35">
      <c r="O6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16" spans="15:15" x14ac:dyDescent="0.35">
      <c r="O6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17" spans="15:15" x14ac:dyDescent="0.35">
      <c r="O6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18" spans="15:15" x14ac:dyDescent="0.35">
      <c r="O6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19" spans="15:15" x14ac:dyDescent="0.35">
      <c r="O6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20" spans="15:15" x14ac:dyDescent="0.35">
      <c r="O6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21" spans="15:15" x14ac:dyDescent="0.35">
      <c r="O6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22" spans="15:15" x14ac:dyDescent="0.35">
      <c r="O6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23" spans="15:15" x14ac:dyDescent="0.35">
      <c r="O6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24" spans="15:15" x14ac:dyDescent="0.35">
      <c r="O6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25" spans="15:15" x14ac:dyDescent="0.35">
      <c r="O6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26" spans="15:15" x14ac:dyDescent="0.35">
      <c r="O6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27" spans="15:15" x14ac:dyDescent="0.35">
      <c r="O6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28" spans="15:15" x14ac:dyDescent="0.35">
      <c r="O6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29" spans="15:15" x14ac:dyDescent="0.35">
      <c r="O6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30" spans="15:15" x14ac:dyDescent="0.35">
      <c r="O6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31" spans="15:15" x14ac:dyDescent="0.35">
      <c r="O6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32" spans="15:15" x14ac:dyDescent="0.35">
      <c r="O6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33" spans="15:15" x14ac:dyDescent="0.35">
      <c r="O6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34" spans="15:15" x14ac:dyDescent="0.35">
      <c r="O6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35" spans="15:15" x14ac:dyDescent="0.35">
      <c r="O6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36" spans="15:15" x14ac:dyDescent="0.35">
      <c r="O6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37" spans="15:15" x14ac:dyDescent="0.35">
      <c r="O6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38" spans="15:15" x14ac:dyDescent="0.35">
      <c r="O6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39" spans="15:15" x14ac:dyDescent="0.35">
      <c r="O6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40" spans="15:15" x14ac:dyDescent="0.35">
      <c r="O6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41" spans="15:15" x14ac:dyDescent="0.35">
      <c r="O6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42" spans="15:15" x14ac:dyDescent="0.35">
      <c r="O6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43" spans="15:15" x14ac:dyDescent="0.35">
      <c r="O6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44" spans="15:15" x14ac:dyDescent="0.35">
      <c r="O6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45" spans="15:15" x14ac:dyDescent="0.35">
      <c r="O6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46" spans="15:15" x14ac:dyDescent="0.35">
      <c r="O6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47" spans="15:15" x14ac:dyDescent="0.35">
      <c r="O6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48" spans="15:15" x14ac:dyDescent="0.35">
      <c r="O6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49" spans="15:15" x14ac:dyDescent="0.35">
      <c r="O6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50" spans="15:15" x14ac:dyDescent="0.35">
      <c r="O6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51" spans="15:15" x14ac:dyDescent="0.35">
      <c r="O6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52" spans="15:15" x14ac:dyDescent="0.35">
      <c r="O6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53" spans="15:15" x14ac:dyDescent="0.35">
      <c r="O6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54" spans="15:15" x14ac:dyDescent="0.35">
      <c r="O6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55" spans="15:15" x14ac:dyDescent="0.35">
      <c r="O6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56" spans="15:15" x14ac:dyDescent="0.35">
      <c r="O6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57" spans="15:15" x14ac:dyDescent="0.35">
      <c r="O6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58" spans="15:15" x14ac:dyDescent="0.35">
      <c r="O6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59" spans="15:15" x14ac:dyDescent="0.35">
      <c r="O6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60" spans="15:15" x14ac:dyDescent="0.35">
      <c r="O6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61" spans="15:15" x14ac:dyDescent="0.35">
      <c r="O6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62" spans="15:15" x14ac:dyDescent="0.35">
      <c r="O6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63" spans="15:15" x14ac:dyDescent="0.35">
      <c r="O6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64" spans="15:15" x14ac:dyDescent="0.35">
      <c r="O6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65" spans="15:15" x14ac:dyDescent="0.35">
      <c r="O6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66" spans="15:15" x14ac:dyDescent="0.35">
      <c r="O6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67" spans="15:15" x14ac:dyDescent="0.35">
      <c r="O6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68" spans="15:15" x14ac:dyDescent="0.35">
      <c r="O6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69" spans="15:15" x14ac:dyDescent="0.35">
      <c r="O6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70" spans="15:15" x14ac:dyDescent="0.35">
      <c r="O6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71" spans="15:15" x14ac:dyDescent="0.35">
      <c r="O6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72" spans="15:15" x14ac:dyDescent="0.35">
      <c r="O6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73" spans="15:15" x14ac:dyDescent="0.35">
      <c r="O6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74" spans="15:15" x14ac:dyDescent="0.35">
      <c r="O6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75" spans="15:15" x14ac:dyDescent="0.35">
      <c r="O6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76" spans="15:15" x14ac:dyDescent="0.35">
      <c r="O6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77" spans="15:15" x14ac:dyDescent="0.35">
      <c r="O6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78" spans="15:15" x14ac:dyDescent="0.35">
      <c r="O6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79" spans="15:15" x14ac:dyDescent="0.35">
      <c r="O6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80" spans="15:15" x14ac:dyDescent="0.35">
      <c r="O6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81" spans="15:15" x14ac:dyDescent="0.35">
      <c r="O6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82" spans="15:15" x14ac:dyDescent="0.35">
      <c r="O6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83" spans="15:15" x14ac:dyDescent="0.35">
      <c r="O6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84" spans="15:15" x14ac:dyDescent="0.35">
      <c r="O6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85" spans="15:15" x14ac:dyDescent="0.35">
      <c r="O6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86" spans="15:15" x14ac:dyDescent="0.35">
      <c r="O6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87" spans="15:15" x14ac:dyDescent="0.35">
      <c r="O6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88" spans="15:15" x14ac:dyDescent="0.35">
      <c r="O6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89" spans="15:15" x14ac:dyDescent="0.35">
      <c r="O6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90" spans="15:15" x14ac:dyDescent="0.35">
      <c r="O6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91" spans="15:15" x14ac:dyDescent="0.35">
      <c r="O6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92" spans="15:15" x14ac:dyDescent="0.35">
      <c r="O6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93" spans="15:15" x14ac:dyDescent="0.35">
      <c r="O6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94" spans="15:15" x14ac:dyDescent="0.35">
      <c r="O6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95" spans="15:15" x14ac:dyDescent="0.35">
      <c r="O6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96" spans="15:15" x14ac:dyDescent="0.35">
      <c r="O6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97" spans="15:15" x14ac:dyDescent="0.35">
      <c r="O6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98" spans="15:15" x14ac:dyDescent="0.35">
      <c r="O6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699" spans="15:15" x14ac:dyDescent="0.35">
      <c r="O6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00" spans="15:15" x14ac:dyDescent="0.35">
      <c r="O7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01" spans="15:15" x14ac:dyDescent="0.35">
      <c r="O7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02" spans="15:15" x14ac:dyDescent="0.35">
      <c r="O7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03" spans="15:15" x14ac:dyDescent="0.35">
      <c r="O7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04" spans="15:15" x14ac:dyDescent="0.35">
      <c r="O7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05" spans="15:15" x14ac:dyDescent="0.35">
      <c r="O7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06" spans="15:15" x14ac:dyDescent="0.35">
      <c r="O7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07" spans="15:15" x14ac:dyDescent="0.35">
      <c r="O7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08" spans="15:15" x14ac:dyDescent="0.35">
      <c r="O7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09" spans="15:15" x14ac:dyDescent="0.35">
      <c r="O7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10" spans="15:15" x14ac:dyDescent="0.35">
      <c r="O7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11" spans="15:15" x14ac:dyDescent="0.35">
      <c r="O7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12" spans="15:15" x14ac:dyDescent="0.35">
      <c r="O7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13" spans="15:15" x14ac:dyDescent="0.35">
      <c r="O7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14" spans="15:15" x14ac:dyDescent="0.35">
      <c r="O7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15" spans="15:15" x14ac:dyDescent="0.35">
      <c r="O7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16" spans="15:15" x14ac:dyDescent="0.35">
      <c r="O7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17" spans="15:15" x14ac:dyDescent="0.35">
      <c r="O7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18" spans="15:15" x14ac:dyDescent="0.35">
      <c r="O7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19" spans="15:15" x14ac:dyDescent="0.35">
      <c r="O7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20" spans="15:15" x14ac:dyDescent="0.35">
      <c r="O7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21" spans="15:15" x14ac:dyDescent="0.35">
      <c r="O7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22" spans="15:15" x14ac:dyDescent="0.35">
      <c r="O7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23" spans="15:15" x14ac:dyDescent="0.35">
      <c r="O7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24" spans="15:15" x14ac:dyDescent="0.35">
      <c r="O7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25" spans="15:15" x14ac:dyDescent="0.35">
      <c r="O7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26" spans="15:15" x14ac:dyDescent="0.35">
      <c r="O7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27" spans="15:15" x14ac:dyDescent="0.35">
      <c r="O7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28" spans="15:15" x14ac:dyDescent="0.35">
      <c r="O7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29" spans="15:15" x14ac:dyDescent="0.35">
      <c r="O7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30" spans="15:15" x14ac:dyDescent="0.35">
      <c r="O7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31" spans="15:15" x14ac:dyDescent="0.35">
      <c r="O7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32" spans="15:15" x14ac:dyDescent="0.35">
      <c r="O7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33" spans="15:15" x14ac:dyDescent="0.35">
      <c r="O7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34" spans="15:15" x14ac:dyDescent="0.35">
      <c r="O7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35" spans="15:15" x14ac:dyDescent="0.35">
      <c r="O7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36" spans="15:15" x14ac:dyDescent="0.35">
      <c r="O7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37" spans="15:15" x14ac:dyDescent="0.35">
      <c r="O7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38" spans="15:15" x14ac:dyDescent="0.35">
      <c r="O7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39" spans="15:15" x14ac:dyDescent="0.35">
      <c r="O7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40" spans="15:15" x14ac:dyDescent="0.35">
      <c r="O7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41" spans="15:15" x14ac:dyDescent="0.35">
      <c r="O7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42" spans="15:15" x14ac:dyDescent="0.35">
      <c r="O7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43" spans="15:15" x14ac:dyDescent="0.35">
      <c r="O7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44" spans="15:15" x14ac:dyDescent="0.35">
      <c r="O7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45" spans="15:15" x14ac:dyDescent="0.35">
      <c r="O7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46" spans="15:15" x14ac:dyDescent="0.35">
      <c r="O7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47" spans="15:15" x14ac:dyDescent="0.35">
      <c r="O7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48" spans="15:15" x14ac:dyDescent="0.35">
      <c r="O7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49" spans="15:15" x14ac:dyDescent="0.35">
      <c r="O7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50" spans="15:15" x14ac:dyDescent="0.35">
      <c r="O7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51" spans="15:15" x14ac:dyDescent="0.35">
      <c r="O7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52" spans="15:15" x14ac:dyDescent="0.35">
      <c r="O7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53" spans="15:15" x14ac:dyDescent="0.35">
      <c r="O7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54" spans="15:15" x14ac:dyDescent="0.35">
      <c r="O7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55" spans="15:15" x14ac:dyDescent="0.35">
      <c r="O7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56" spans="15:15" x14ac:dyDescent="0.35">
      <c r="O7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57" spans="15:15" x14ac:dyDescent="0.35">
      <c r="O7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58" spans="15:15" x14ac:dyDescent="0.35">
      <c r="O7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59" spans="15:15" x14ac:dyDescent="0.35">
      <c r="O7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60" spans="15:15" x14ac:dyDescent="0.35">
      <c r="O7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61" spans="15:15" x14ac:dyDescent="0.35">
      <c r="O7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62" spans="15:15" x14ac:dyDescent="0.35">
      <c r="O7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63" spans="15:15" x14ac:dyDescent="0.35">
      <c r="O7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64" spans="15:15" x14ac:dyDescent="0.35">
      <c r="O7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65" spans="15:15" x14ac:dyDescent="0.35">
      <c r="O7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66" spans="15:15" x14ac:dyDescent="0.35">
      <c r="O7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67" spans="15:15" x14ac:dyDescent="0.35">
      <c r="O7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68" spans="15:15" x14ac:dyDescent="0.35">
      <c r="O7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69" spans="15:15" x14ac:dyDescent="0.35">
      <c r="O7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70" spans="15:15" x14ac:dyDescent="0.35">
      <c r="O7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71" spans="15:15" x14ac:dyDescent="0.35">
      <c r="O7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72" spans="15:15" x14ac:dyDescent="0.35">
      <c r="O7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73" spans="15:15" x14ac:dyDescent="0.35">
      <c r="O7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74" spans="15:15" x14ac:dyDescent="0.35">
      <c r="O7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75" spans="15:15" x14ac:dyDescent="0.35">
      <c r="O7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76" spans="15:15" x14ac:dyDescent="0.35">
      <c r="O7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77" spans="15:15" x14ac:dyDescent="0.35">
      <c r="O7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78" spans="15:15" x14ac:dyDescent="0.35">
      <c r="O7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79" spans="15:15" x14ac:dyDescent="0.35">
      <c r="O7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80" spans="15:15" x14ac:dyDescent="0.35">
      <c r="O7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81" spans="15:15" x14ac:dyDescent="0.35">
      <c r="O7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82" spans="15:15" x14ac:dyDescent="0.35">
      <c r="O7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83" spans="15:15" x14ac:dyDescent="0.35">
      <c r="O7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84" spans="15:15" x14ac:dyDescent="0.35">
      <c r="O7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85" spans="15:15" x14ac:dyDescent="0.35">
      <c r="O7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86" spans="15:15" x14ac:dyDescent="0.35">
      <c r="O7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87" spans="15:15" x14ac:dyDescent="0.35">
      <c r="O7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88" spans="15:15" x14ac:dyDescent="0.35">
      <c r="O7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89" spans="15:15" x14ac:dyDescent="0.35">
      <c r="O7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90" spans="15:15" x14ac:dyDescent="0.35">
      <c r="O7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91" spans="15:15" x14ac:dyDescent="0.35">
      <c r="O7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92" spans="15:15" x14ac:dyDescent="0.35">
      <c r="O7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93" spans="15:15" x14ac:dyDescent="0.35">
      <c r="O7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94" spans="15:15" x14ac:dyDescent="0.35">
      <c r="O7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95" spans="15:15" x14ac:dyDescent="0.35">
      <c r="O7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96" spans="15:15" x14ac:dyDescent="0.35">
      <c r="O7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97" spans="15:15" x14ac:dyDescent="0.35">
      <c r="O7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98" spans="15:15" x14ac:dyDescent="0.35">
      <c r="O7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799" spans="15:15" x14ac:dyDescent="0.35">
      <c r="O7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00" spans="15:15" x14ac:dyDescent="0.35">
      <c r="O8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01" spans="15:15" x14ac:dyDescent="0.35">
      <c r="O8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02" spans="15:15" x14ac:dyDescent="0.35">
      <c r="O8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03" spans="15:15" x14ac:dyDescent="0.35">
      <c r="O8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04" spans="15:15" x14ac:dyDescent="0.35">
      <c r="O8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05" spans="15:15" x14ac:dyDescent="0.35">
      <c r="O8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06" spans="15:15" x14ac:dyDescent="0.35">
      <c r="O8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07" spans="15:15" x14ac:dyDescent="0.35">
      <c r="O8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08" spans="15:15" x14ac:dyDescent="0.35">
      <c r="O8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09" spans="15:15" x14ac:dyDescent="0.35">
      <c r="O8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10" spans="15:15" x14ac:dyDescent="0.35">
      <c r="O8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11" spans="15:15" x14ac:dyDescent="0.35">
      <c r="O8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12" spans="15:15" x14ac:dyDescent="0.35">
      <c r="O8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13" spans="15:15" x14ac:dyDescent="0.35">
      <c r="O8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14" spans="15:15" x14ac:dyDescent="0.35">
      <c r="O8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15" spans="15:15" x14ac:dyDescent="0.35">
      <c r="O8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16" spans="15:15" x14ac:dyDescent="0.35">
      <c r="O8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17" spans="15:15" x14ac:dyDescent="0.35">
      <c r="O8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18" spans="15:15" x14ac:dyDescent="0.35">
      <c r="O8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19" spans="15:15" x14ac:dyDescent="0.35">
      <c r="O8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20" spans="15:15" x14ac:dyDescent="0.35">
      <c r="O8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21" spans="15:15" x14ac:dyDescent="0.35">
      <c r="O8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22" spans="15:15" x14ac:dyDescent="0.35">
      <c r="O8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23" spans="15:15" x14ac:dyDescent="0.35">
      <c r="O8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24" spans="15:15" x14ac:dyDescent="0.35">
      <c r="O8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25" spans="15:15" x14ac:dyDescent="0.35">
      <c r="O8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26" spans="15:15" x14ac:dyDescent="0.35">
      <c r="O8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27" spans="15:15" x14ac:dyDescent="0.35">
      <c r="O8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28" spans="15:15" x14ac:dyDescent="0.35">
      <c r="O8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29" spans="15:15" x14ac:dyDescent="0.35">
      <c r="O8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30" spans="15:15" x14ac:dyDescent="0.35">
      <c r="O8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31" spans="15:15" x14ac:dyDescent="0.35">
      <c r="O8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32" spans="15:15" x14ac:dyDescent="0.35">
      <c r="O8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33" spans="15:15" x14ac:dyDescent="0.35">
      <c r="O8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34" spans="15:15" x14ac:dyDescent="0.35">
      <c r="O8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35" spans="15:15" x14ac:dyDescent="0.35">
      <c r="O8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36" spans="15:15" x14ac:dyDescent="0.35">
      <c r="O8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37" spans="15:15" x14ac:dyDescent="0.35">
      <c r="O8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38" spans="15:15" x14ac:dyDescent="0.35">
      <c r="O8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39" spans="15:15" x14ac:dyDescent="0.35">
      <c r="O8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40" spans="15:15" x14ac:dyDescent="0.35">
      <c r="O8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41" spans="15:15" x14ac:dyDescent="0.35">
      <c r="O8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42" spans="15:15" x14ac:dyDescent="0.35">
      <c r="O8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43" spans="15:15" x14ac:dyDescent="0.35">
      <c r="O8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44" spans="15:15" x14ac:dyDescent="0.35">
      <c r="O8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45" spans="15:15" x14ac:dyDescent="0.35">
      <c r="O8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46" spans="15:15" x14ac:dyDescent="0.35">
      <c r="O8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47" spans="15:15" x14ac:dyDescent="0.35">
      <c r="O8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48" spans="15:15" x14ac:dyDescent="0.35">
      <c r="O8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49" spans="15:15" x14ac:dyDescent="0.35">
      <c r="O8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50" spans="15:15" x14ac:dyDescent="0.35">
      <c r="O8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51" spans="15:15" x14ac:dyDescent="0.35">
      <c r="O8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52" spans="15:15" x14ac:dyDescent="0.35">
      <c r="O8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53" spans="15:15" x14ac:dyDescent="0.35">
      <c r="O8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54" spans="15:15" x14ac:dyDescent="0.35">
      <c r="O8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55" spans="15:15" x14ac:dyDescent="0.35">
      <c r="O8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56" spans="15:15" x14ac:dyDescent="0.35">
      <c r="O8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57" spans="15:15" x14ac:dyDescent="0.35">
      <c r="O8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58" spans="15:15" x14ac:dyDescent="0.35">
      <c r="O8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59" spans="15:15" x14ac:dyDescent="0.35">
      <c r="O8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60" spans="15:15" x14ac:dyDescent="0.35">
      <c r="O8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61" spans="15:15" x14ac:dyDescent="0.35">
      <c r="O8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62" spans="15:15" x14ac:dyDescent="0.35">
      <c r="O8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63" spans="15:15" x14ac:dyDescent="0.35">
      <c r="O8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64" spans="15:15" x14ac:dyDescent="0.35">
      <c r="O8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65" spans="15:15" x14ac:dyDescent="0.35">
      <c r="O8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66" spans="15:15" x14ac:dyDescent="0.35">
      <c r="O8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67" spans="15:15" x14ac:dyDescent="0.35">
      <c r="O8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68" spans="15:15" x14ac:dyDescent="0.35">
      <c r="O8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69" spans="15:15" x14ac:dyDescent="0.35">
      <c r="O8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70" spans="15:15" x14ac:dyDescent="0.35">
      <c r="O8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71" spans="15:15" x14ac:dyDescent="0.35">
      <c r="O8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72" spans="15:15" x14ac:dyDescent="0.35">
      <c r="O8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73" spans="15:15" x14ac:dyDescent="0.35">
      <c r="O8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74" spans="15:15" x14ac:dyDescent="0.35">
      <c r="O8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75" spans="15:15" x14ac:dyDescent="0.35">
      <c r="O8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76" spans="15:15" x14ac:dyDescent="0.35">
      <c r="O8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77" spans="15:15" x14ac:dyDescent="0.35">
      <c r="O8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78" spans="15:15" x14ac:dyDescent="0.35">
      <c r="O8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79" spans="15:15" x14ac:dyDescent="0.35">
      <c r="O8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80" spans="15:15" x14ac:dyDescent="0.35">
      <c r="O8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81" spans="15:15" x14ac:dyDescent="0.35">
      <c r="O8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82" spans="15:15" x14ac:dyDescent="0.35">
      <c r="O8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83" spans="15:15" x14ac:dyDescent="0.35">
      <c r="O8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84" spans="15:15" x14ac:dyDescent="0.35">
      <c r="O8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85" spans="15:15" x14ac:dyDescent="0.35">
      <c r="O8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86" spans="15:15" x14ac:dyDescent="0.35">
      <c r="O8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87" spans="15:15" x14ac:dyDescent="0.35">
      <c r="O8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88" spans="15:15" x14ac:dyDescent="0.35">
      <c r="O8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89" spans="15:15" x14ac:dyDescent="0.35">
      <c r="O8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90" spans="15:15" x14ac:dyDescent="0.35">
      <c r="O8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91" spans="15:15" x14ac:dyDescent="0.35">
      <c r="O8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92" spans="15:15" x14ac:dyDescent="0.35">
      <c r="O8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93" spans="15:15" x14ac:dyDescent="0.35">
      <c r="O8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94" spans="15:15" x14ac:dyDescent="0.35">
      <c r="O8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95" spans="15:15" x14ac:dyDescent="0.35">
      <c r="O8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96" spans="15:15" x14ac:dyDescent="0.35">
      <c r="O8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97" spans="15:15" x14ac:dyDescent="0.35">
      <c r="O8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98" spans="15:15" x14ac:dyDescent="0.35">
      <c r="O8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899" spans="15:15" x14ac:dyDescent="0.35">
      <c r="O8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00" spans="15:15" x14ac:dyDescent="0.35">
      <c r="O9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01" spans="15:15" x14ac:dyDescent="0.35">
      <c r="O9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02" spans="15:15" x14ac:dyDescent="0.35">
      <c r="O9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03" spans="15:15" x14ac:dyDescent="0.35">
      <c r="O9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04" spans="15:15" x14ac:dyDescent="0.35">
      <c r="O9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05" spans="15:15" x14ac:dyDescent="0.35">
      <c r="O9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06" spans="15:15" x14ac:dyDescent="0.35">
      <c r="O9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07" spans="15:15" x14ac:dyDescent="0.35">
      <c r="O9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08" spans="15:15" x14ac:dyDescent="0.35">
      <c r="O9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09" spans="15:15" x14ac:dyDescent="0.35">
      <c r="O9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10" spans="15:15" x14ac:dyDescent="0.35">
      <c r="O9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11" spans="15:15" x14ac:dyDescent="0.35">
      <c r="O9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12" spans="15:15" x14ac:dyDescent="0.35">
      <c r="O9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13" spans="15:15" x14ac:dyDescent="0.35">
      <c r="O9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14" spans="15:15" x14ac:dyDescent="0.35">
      <c r="O9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15" spans="15:15" x14ac:dyDescent="0.35">
      <c r="O9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16" spans="15:15" x14ac:dyDescent="0.35">
      <c r="O9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17" spans="15:15" x14ac:dyDescent="0.35">
      <c r="O9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18" spans="15:15" x14ac:dyDescent="0.35">
      <c r="O9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19" spans="15:15" x14ac:dyDescent="0.35">
      <c r="O9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20" spans="15:15" x14ac:dyDescent="0.35">
      <c r="O9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21" spans="15:15" x14ac:dyDescent="0.35">
      <c r="O9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22" spans="15:15" x14ac:dyDescent="0.35">
      <c r="O9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23" spans="15:15" x14ac:dyDescent="0.35">
      <c r="O9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24" spans="15:15" x14ac:dyDescent="0.35">
      <c r="O9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25" spans="15:15" x14ac:dyDescent="0.35">
      <c r="O9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26" spans="15:15" x14ac:dyDescent="0.35">
      <c r="O9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27" spans="15:15" x14ac:dyDescent="0.35">
      <c r="O9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28" spans="15:15" x14ac:dyDescent="0.35">
      <c r="O9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29" spans="15:15" x14ac:dyDescent="0.35">
      <c r="O9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30" spans="15:15" x14ac:dyDescent="0.35">
      <c r="O9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31" spans="15:15" x14ac:dyDescent="0.35">
      <c r="O9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32" spans="15:15" x14ac:dyDescent="0.35">
      <c r="O9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33" spans="15:15" x14ac:dyDescent="0.35">
      <c r="O9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34" spans="15:15" x14ac:dyDescent="0.35">
      <c r="O9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35" spans="15:15" x14ac:dyDescent="0.35">
      <c r="O9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36" spans="15:15" x14ac:dyDescent="0.35">
      <c r="O9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37" spans="15:15" x14ac:dyDescent="0.35">
      <c r="O9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38" spans="15:15" x14ac:dyDescent="0.35">
      <c r="O9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39" spans="15:15" x14ac:dyDescent="0.35">
      <c r="O9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40" spans="15:15" x14ac:dyDescent="0.35">
      <c r="O9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41" spans="15:15" x14ac:dyDescent="0.35">
      <c r="O9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42" spans="15:15" x14ac:dyDescent="0.35">
      <c r="O9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43" spans="15:15" x14ac:dyDescent="0.35">
      <c r="O9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44" spans="15:15" x14ac:dyDescent="0.35">
      <c r="O9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45" spans="15:15" x14ac:dyDescent="0.35">
      <c r="O9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46" spans="15:15" x14ac:dyDescent="0.35">
      <c r="O9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47" spans="15:15" x14ac:dyDescent="0.35">
      <c r="O9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48" spans="15:15" x14ac:dyDescent="0.35">
      <c r="O9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49" spans="15:15" x14ac:dyDescent="0.35">
      <c r="O9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50" spans="15:15" x14ac:dyDescent="0.35">
      <c r="O9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51" spans="15:15" x14ac:dyDescent="0.35">
      <c r="O9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52" spans="15:15" x14ac:dyDescent="0.35">
      <c r="O9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53" spans="15:15" x14ac:dyDescent="0.35">
      <c r="O9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54" spans="15:15" x14ac:dyDescent="0.35">
      <c r="O9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55" spans="15:15" x14ac:dyDescent="0.35">
      <c r="O9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56" spans="15:15" x14ac:dyDescent="0.35">
      <c r="O9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57" spans="15:15" x14ac:dyDescent="0.35">
      <c r="O9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58" spans="15:15" x14ac:dyDescent="0.35">
      <c r="O9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59" spans="15:15" x14ac:dyDescent="0.35">
      <c r="O9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60" spans="15:15" x14ac:dyDescent="0.35">
      <c r="O9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61" spans="15:15" x14ac:dyDescent="0.35">
      <c r="O9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62" spans="15:15" x14ac:dyDescent="0.35">
      <c r="O9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63" spans="15:15" x14ac:dyDescent="0.35">
      <c r="O9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64" spans="15:15" x14ac:dyDescent="0.35">
      <c r="O9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65" spans="15:15" x14ac:dyDescent="0.35">
      <c r="O9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66" spans="15:15" x14ac:dyDescent="0.35">
      <c r="O9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67" spans="15:15" x14ac:dyDescent="0.35">
      <c r="O9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68" spans="15:15" x14ac:dyDescent="0.35">
      <c r="O9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69" spans="15:15" x14ac:dyDescent="0.35">
      <c r="O9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70" spans="15:15" x14ac:dyDescent="0.35">
      <c r="O9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71" spans="15:15" x14ac:dyDescent="0.35">
      <c r="O9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72" spans="15:15" x14ac:dyDescent="0.35">
      <c r="O9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73" spans="15:15" x14ac:dyDescent="0.35">
      <c r="O9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74" spans="15:15" x14ac:dyDescent="0.35">
      <c r="O9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75" spans="15:15" x14ac:dyDescent="0.35">
      <c r="O9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76" spans="15:15" x14ac:dyDescent="0.35">
      <c r="O9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77" spans="15:15" x14ac:dyDescent="0.35">
      <c r="O9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78" spans="15:15" x14ac:dyDescent="0.35">
      <c r="O9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79" spans="15:15" x14ac:dyDescent="0.35">
      <c r="O9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80" spans="15:15" x14ac:dyDescent="0.35">
      <c r="O9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81" spans="15:15" x14ac:dyDescent="0.35">
      <c r="O9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82" spans="15:15" x14ac:dyDescent="0.35">
      <c r="O9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83" spans="15:15" x14ac:dyDescent="0.35">
      <c r="O9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84" spans="15:15" x14ac:dyDescent="0.35">
      <c r="O9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85" spans="15:15" x14ac:dyDescent="0.35">
      <c r="O9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86" spans="15:15" x14ac:dyDescent="0.35">
      <c r="O9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87" spans="15:15" x14ac:dyDescent="0.35">
      <c r="O9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88" spans="15:15" x14ac:dyDescent="0.35">
      <c r="O9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89" spans="15:15" x14ac:dyDescent="0.35">
      <c r="O9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90" spans="15:15" x14ac:dyDescent="0.35">
      <c r="O9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91" spans="15:15" x14ac:dyDescent="0.35">
      <c r="O9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92" spans="15:15" x14ac:dyDescent="0.35">
      <c r="O9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93" spans="15:15" x14ac:dyDescent="0.35">
      <c r="O9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94" spans="15:15" x14ac:dyDescent="0.35">
      <c r="O9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95" spans="15:15" x14ac:dyDescent="0.35">
      <c r="O9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96" spans="15:15" x14ac:dyDescent="0.35">
      <c r="O9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97" spans="15:15" x14ac:dyDescent="0.35">
      <c r="O9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98" spans="15:15" x14ac:dyDescent="0.35">
      <c r="O9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999" spans="15:15" x14ac:dyDescent="0.35">
      <c r="O9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00" spans="15:15" x14ac:dyDescent="0.35">
      <c r="O10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01" spans="15:15" x14ac:dyDescent="0.35">
      <c r="O10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02" spans="15:15" x14ac:dyDescent="0.35">
      <c r="O10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03" spans="15:15" x14ac:dyDescent="0.35">
      <c r="O10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04" spans="15:15" x14ac:dyDescent="0.35">
      <c r="O10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05" spans="15:15" x14ac:dyDescent="0.35">
      <c r="O10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06" spans="15:15" x14ac:dyDescent="0.35">
      <c r="O10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07" spans="15:15" x14ac:dyDescent="0.35">
      <c r="O10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08" spans="15:15" x14ac:dyDescent="0.35">
      <c r="O10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09" spans="15:15" x14ac:dyDescent="0.35">
      <c r="O10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10" spans="15:15" x14ac:dyDescent="0.35">
      <c r="O10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11" spans="15:15" x14ac:dyDescent="0.35">
      <c r="O10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12" spans="15:15" x14ac:dyDescent="0.35">
      <c r="O10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13" spans="15:15" x14ac:dyDescent="0.35">
      <c r="O10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14" spans="15:15" x14ac:dyDescent="0.35">
      <c r="O10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15" spans="15:15" x14ac:dyDescent="0.35">
      <c r="O10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16" spans="15:15" x14ac:dyDescent="0.35">
      <c r="O10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17" spans="15:15" x14ac:dyDescent="0.35">
      <c r="O10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18" spans="15:15" x14ac:dyDescent="0.35">
      <c r="O10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19" spans="15:15" x14ac:dyDescent="0.35">
      <c r="O10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20" spans="15:15" x14ac:dyDescent="0.35">
      <c r="O10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21" spans="15:15" x14ac:dyDescent="0.35">
      <c r="O10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22" spans="15:15" x14ac:dyDescent="0.35">
      <c r="O10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23" spans="15:15" x14ac:dyDescent="0.35">
      <c r="O10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24" spans="15:15" x14ac:dyDescent="0.35">
      <c r="O10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25" spans="15:15" x14ac:dyDescent="0.35">
      <c r="O10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26" spans="15:15" x14ac:dyDescent="0.35">
      <c r="O10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27" spans="15:15" x14ac:dyDescent="0.35">
      <c r="O10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28" spans="15:15" x14ac:dyDescent="0.35">
      <c r="O10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29" spans="15:15" x14ac:dyDescent="0.35">
      <c r="O10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30" spans="15:15" x14ac:dyDescent="0.35">
      <c r="O10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31" spans="15:15" x14ac:dyDescent="0.35">
      <c r="O10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32" spans="15:15" x14ac:dyDescent="0.35">
      <c r="O10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33" spans="15:15" x14ac:dyDescent="0.35">
      <c r="O10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34" spans="15:15" x14ac:dyDescent="0.35">
      <c r="O10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35" spans="15:15" x14ac:dyDescent="0.35">
      <c r="O10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36" spans="15:15" x14ac:dyDescent="0.35">
      <c r="O10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37" spans="15:15" x14ac:dyDescent="0.35">
      <c r="O10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38" spans="15:15" x14ac:dyDescent="0.35">
      <c r="O10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39" spans="15:15" x14ac:dyDescent="0.35">
      <c r="O10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40" spans="15:15" x14ac:dyDescent="0.35">
      <c r="O10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41" spans="15:15" x14ac:dyDescent="0.35">
      <c r="O10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42" spans="15:15" x14ac:dyDescent="0.35">
      <c r="O10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43" spans="15:15" x14ac:dyDescent="0.35">
      <c r="O10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44" spans="15:15" x14ac:dyDescent="0.35">
      <c r="O10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45" spans="15:15" x14ac:dyDescent="0.35">
      <c r="O10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46" spans="15:15" x14ac:dyDescent="0.35">
      <c r="O10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47" spans="15:15" x14ac:dyDescent="0.35">
      <c r="O10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48" spans="15:15" x14ac:dyDescent="0.35">
      <c r="O10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49" spans="15:15" x14ac:dyDescent="0.35">
      <c r="O10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50" spans="15:15" x14ac:dyDescent="0.35">
      <c r="O10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51" spans="15:15" x14ac:dyDescent="0.35">
      <c r="O10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52" spans="15:15" x14ac:dyDescent="0.35">
      <c r="O10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53" spans="15:15" x14ac:dyDescent="0.35">
      <c r="O10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54" spans="15:15" x14ac:dyDescent="0.35">
      <c r="O10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55" spans="15:15" x14ac:dyDescent="0.35">
      <c r="O10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56" spans="15:15" x14ac:dyDescent="0.35">
      <c r="O10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57" spans="15:15" x14ac:dyDescent="0.35">
      <c r="O10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58" spans="15:15" x14ac:dyDescent="0.35">
      <c r="O10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59" spans="15:15" x14ac:dyDescent="0.35">
      <c r="O10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60" spans="15:15" x14ac:dyDescent="0.35">
      <c r="O10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61" spans="15:15" x14ac:dyDescent="0.35">
      <c r="O10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62" spans="15:15" x14ac:dyDescent="0.35">
      <c r="O10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63" spans="15:15" x14ac:dyDescent="0.35">
      <c r="O10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64" spans="15:15" x14ac:dyDescent="0.35">
      <c r="O10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65" spans="15:15" x14ac:dyDescent="0.35">
      <c r="O10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66" spans="15:15" x14ac:dyDescent="0.35">
      <c r="O10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67" spans="15:15" x14ac:dyDescent="0.35">
      <c r="O10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68" spans="15:15" x14ac:dyDescent="0.35">
      <c r="O10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69" spans="15:15" x14ac:dyDescent="0.35">
      <c r="O10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70" spans="15:15" x14ac:dyDescent="0.35">
      <c r="O10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71" spans="15:15" x14ac:dyDescent="0.35">
      <c r="O10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72" spans="15:15" x14ac:dyDescent="0.35">
      <c r="O10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73" spans="15:15" x14ac:dyDescent="0.35">
      <c r="O10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74" spans="15:15" x14ac:dyDescent="0.35">
      <c r="O10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75" spans="15:15" x14ac:dyDescent="0.35">
      <c r="O10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76" spans="15:15" x14ac:dyDescent="0.35">
      <c r="O10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77" spans="15:15" x14ac:dyDescent="0.35">
      <c r="O10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78" spans="15:15" x14ac:dyDescent="0.35">
      <c r="O10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79" spans="15:15" x14ac:dyDescent="0.35">
      <c r="O10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80" spans="15:15" x14ac:dyDescent="0.35">
      <c r="O10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81" spans="15:15" x14ac:dyDescent="0.35">
      <c r="O10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82" spans="15:15" x14ac:dyDescent="0.35">
      <c r="O10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83" spans="15:15" x14ac:dyDescent="0.35">
      <c r="O10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84" spans="15:15" x14ac:dyDescent="0.35">
      <c r="O10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85" spans="15:15" x14ac:dyDescent="0.35">
      <c r="O10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86" spans="15:15" x14ac:dyDescent="0.35">
      <c r="O10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87" spans="15:15" x14ac:dyDescent="0.35">
      <c r="O10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88" spans="15:15" x14ac:dyDescent="0.35">
      <c r="O10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89" spans="15:15" x14ac:dyDescent="0.35">
      <c r="O10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90" spans="15:15" x14ac:dyDescent="0.35">
      <c r="O10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91" spans="15:15" x14ac:dyDescent="0.35">
      <c r="O10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92" spans="15:15" x14ac:dyDescent="0.35">
      <c r="O10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93" spans="15:15" x14ac:dyDescent="0.35">
      <c r="O10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94" spans="15:15" x14ac:dyDescent="0.35">
      <c r="O10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95" spans="15:15" x14ac:dyDescent="0.35">
      <c r="O10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96" spans="15:15" x14ac:dyDescent="0.35">
      <c r="O10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97" spans="15:15" x14ac:dyDescent="0.35">
      <c r="O10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98" spans="15:15" x14ac:dyDescent="0.35">
      <c r="O10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099" spans="15:15" x14ac:dyDescent="0.35">
      <c r="O10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00" spans="15:15" x14ac:dyDescent="0.35">
      <c r="O11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01" spans="15:15" x14ac:dyDescent="0.35">
      <c r="O11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02" spans="15:15" x14ac:dyDescent="0.35">
      <c r="O11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03" spans="15:15" x14ac:dyDescent="0.35">
      <c r="O11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04" spans="15:15" x14ac:dyDescent="0.35">
      <c r="O11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05" spans="15:15" x14ac:dyDescent="0.35">
      <c r="O11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06" spans="15:15" x14ac:dyDescent="0.35">
      <c r="O11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07" spans="15:15" x14ac:dyDescent="0.35">
      <c r="O11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08" spans="15:15" x14ac:dyDescent="0.35">
      <c r="O11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09" spans="15:15" x14ac:dyDescent="0.35">
      <c r="O11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10" spans="15:15" x14ac:dyDescent="0.35">
      <c r="O11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11" spans="15:15" x14ac:dyDescent="0.35">
      <c r="O11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12" spans="15:15" x14ac:dyDescent="0.35">
      <c r="O11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13" spans="15:15" x14ac:dyDescent="0.35">
      <c r="O11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14" spans="15:15" x14ac:dyDescent="0.35">
      <c r="O11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15" spans="15:15" x14ac:dyDescent="0.35">
      <c r="O11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16" spans="15:15" x14ac:dyDescent="0.35">
      <c r="O11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17" spans="15:15" x14ac:dyDescent="0.35">
      <c r="O11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18" spans="15:15" x14ac:dyDescent="0.35">
      <c r="O11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19" spans="15:15" x14ac:dyDescent="0.35">
      <c r="O11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20" spans="15:15" x14ac:dyDescent="0.35">
      <c r="O11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21" spans="15:15" x14ac:dyDescent="0.35">
      <c r="O11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22" spans="15:15" x14ac:dyDescent="0.35">
      <c r="O11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23" spans="15:15" x14ac:dyDescent="0.35">
      <c r="O11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24" spans="15:15" x14ac:dyDescent="0.35">
      <c r="O11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25" spans="15:15" x14ac:dyDescent="0.35">
      <c r="O11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26" spans="15:15" x14ac:dyDescent="0.35">
      <c r="O11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27" spans="15:15" x14ac:dyDescent="0.35">
      <c r="O11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28" spans="15:15" x14ac:dyDescent="0.35">
      <c r="O11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29" spans="15:15" x14ac:dyDescent="0.35">
      <c r="O11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30" spans="15:15" x14ac:dyDescent="0.35">
      <c r="O11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31" spans="15:15" x14ac:dyDescent="0.35">
      <c r="O11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32" spans="15:15" x14ac:dyDescent="0.35">
      <c r="O11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33" spans="15:15" x14ac:dyDescent="0.35">
      <c r="O11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34" spans="15:15" x14ac:dyDescent="0.35">
      <c r="O11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35" spans="15:15" x14ac:dyDescent="0.35">
      <c r="O11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36" spans="15:15" x14ac:dyDescent="0.35">
      <c r="O11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37" spans="15:15" x14ac:dyDescent="0.35">
      <c r="O11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38" spans="15:15" x14ac:dyDescent="0.35">
      <c r="O11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39" spans="15:15" x14ac:dyDescent="0.35">
      <c r="O11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40" spans="15:15" x14ac:dyDescent="0.35">
      <c r="O11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41" spans="15:15" x14ac:dyDescent="0.35">
      <c r="O11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42" spans="15:15" x14ac:dyDescent="0.35">
      <c r="O11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43" spans="15:15" x14ac:dyDescent="0.35">
      <c r="O11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44" spans="15:15" x14ac:dyDescent="0.35">
      <c r="O11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45" spans="15:15" x14ac:dyDescent="0.35">
      <c r="O11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46" spans="15:15" x14ac:dyDescent="0.35">
      <c r="O11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47" spans="15:15" x14ac:dyDescent="0.35">
      <c r="O11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48" spans="15:15" x14ac:dyDescent="0.35">
      <c r="O11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49" spans="15:15" x14ac:dyDescent="0.35">
      <c r="O11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50" spans="15:15" x14ac:dyDescent="0.35">
      <c r="O11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51" spans="15:15" x14ac:dyDescent="0.35">
      <c r="O11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52" spans="15:15" x14ac:dyDescent="0.35">
      <c r="O11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53" spans="15:15" x14ac:dyDescent="0.35">
      <c r="O11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54" spans="15:15" x14ac:dyDescent="0.35">
      <c r="O11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55" spans="15:15" x14ac:dyDescent="0.35">
      <c r="O11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56" spans="15:15" x14ac:dyDescent="0.35">
      <c r="O11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57" spans="15:15" x14ac:dyDescent="0.35">
      <c r="O11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58" spans="15:15" x14ac:dyDescent="0.35">
      <c r="O11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59" spans="15:15" x14ac:dyDescent="0.35">
      <c r="O11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60" spans="15:15" x14ac:dyDescent="0.35">
      <c r="O11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61" spans="15:15" x14ac:dyDescent="0.35">
      <c r="O11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62" spans="15:15" x14ac:dyDescent="0.35">
      <c r="O11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63" spans="15:15" x14ac:dyDescent="0.35">
      <c r="O11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64" spans="15:15" x14ac:dyDescent="0.35">
      <c r="O11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65" spans="15:15" x14ac:dyDescent="0.35">
      <c r="O11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66" spans="15:15" x14ac:dyDescent="0.35">
      <c r="O11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67" spans="15:15" x14ac:dyDescent="0.35">
      <c r="O11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68" spans="15:15" x14ac:dyDescent="0.35">
      <c r="O11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69" spans="15:15" x14ac:dyDescent="0.35">
      <c r="O11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70" spans="15:15" x14ac:dyDescent="0.35">
      <c r="O11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71" spans="15:15" x14ac:dyDescent="0.35">
      <c r="O11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72" spans="15:15" x14ac:dyDescent="0.35">
      <c r="O11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73" spans="15:15" x14ac:dyDescent="0.35">
      <c r="O11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74" spans="15:15" x14ac:dyDescent="0.35">
      <c r="O11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75" spans="15:15" x14ac:dyDescent="0.35">
      <c r="O11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76" spans="15:15" x14ac:dyDescent="0.35">
      <c r="O11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77" spans="15:15" x14ac:dyDescent="0.35">
      <c r="O11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78" spans="15:15" x14ac:dyDescent="0.35">
      <c r="O11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79" spans="15:15" x14ac:dyDescent="0.35">
      <c r="O11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80" spans="15:15" x14ac:dyDescent="0.35">
      <c r="O11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81" spans="15:15" x14ac:dyDescent="0.35">
      <c r="O11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82" spans="15:15" x14ac:dyDescent="0.35">
      <c r="O11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83" spans="15:15" x14ac:dyDescent="0.35">
      <c r="O11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84" spans="15:15" x14ac:dyDescent="0.35">
      <c r="O11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85" spans="15:15" x14ac:dyDescent="0.35">
      <c r="O11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86" spans="15:15" x14ac:dyDescent="0.35">
      <c r="O11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87" spans="15:15" x14ac:dyDescent="0.35">
      <c r="O11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88" spans="15:15" x14ac:dyDescent="0.35">
      <c r="O11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89" spans="15:15" x14ac:dyDescent="0.35">
      <c r="O11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90" spans="15:15" x14ac:dyDescent="0.35">
      <c r="O11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91" spans="15:15" x14ac:dyDescent="0.35">
      <c r="O11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92" spans="15:15" x14ac:dyDescent="0.35">
      <c r="O11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93" spans="15:15" x14ac:dyDescent="0.35">
      <c r="O11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94" spans="15:15" x14ac:dyDescent="0.35">
      <c r="O11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95" spans="15:15" x14ac:dyDescent="0.35">
      <c r="O11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96" spans="15:15" x14ac:dyDescent="0.35">
      <c r="O11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97" spans="15:15" x14ac:dyDescent="0.35">
      <c r="O11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98" spans="15:15" x14ac:dyDescent="0.35">
      <c r="O11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199" spans="15:15" x14ac:dyDescent="0.35">
      <c r="O11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00" spans="15:15" x14ac:dyDescent="0.35">
      <c r="O12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01" spans="15:15" x14ac:dyDescent="0.35">
      <c r="O12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02" spans="15:15" x14ac:dyDescent="0.35">
      <c r="O12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03" spans="15:15" x14ac:dyDescent="0.35">
      <c r="O12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04" spans="15:15" x14ac:dyDescent="0.35">
      <c r="O12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05" spans="15:15" x14ac:dyDescent="0.35">
      <c r="O12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06" spans="15:15" x14ac:dyDescent="0.35">
      <c r="O12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07" spans="15:15" x14ac:dyDescent="0.35">
      <c r="O12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08" spans="15:15" x14ac:dyDescent="0.35">
      <c r="O12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09" spans="15:15" x14ac:dyDescent="0.35">
      <c r="O12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10" spans="15:15" x14ac:dyDescent="0.35">
      <c r="O12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11" spans="15:15" x14ac:dyDescent="0.35">
      <c r="O12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12" spans="15:15" x14ac:dyDescent="0.35">
      <c r="O12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13" spans="15:15" x14ac:dyDescent="0.35">
      <c r="O12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14" spans="15:15" x14ac:dyDescent="0.35">
      <c r="O12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15" spans="15:15" x14ac:dyDescent="0.35">
      <c r="O12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16" spans="15:15" x14ac:dyDescent="0.35">
      <c r="O12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17" spans="15:15" x14ac:dyDescent="0.35">
      <c r="O12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18" spans="15:15" x14ac:dyDescent="0.35">
      <c r="O12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19" spans="15:15" x14ac:dyDescent="0.35">
      <c r="O12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20" spans="15:15" x14ac:dyDescent="0.35">
      <c r="O12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21" spans="15:15" x14ac:dyDescent="0.35">
      <c r="O12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22" spans="15:15" x14ac:dyDescent="0.35">
      <c r="O12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23" spans="15:15" x14ac:dyDescent="0.35">
      <c r="O12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24" spans="15:15" x14ac:dyDescent="0.35">
      <c r="O12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25" spans="15:15" x14ac:dyDescent="0.35">
      <c r="O12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26" spans="15:15" x14ac:dyDescent="0.35">
      <c r="O12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27" spans="15:15" x14ac:dyDescent="0.35">
      <c r="O12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28" spans="15:15" x14ac:dyDescent="0.35">
      <c r="O12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29" spans="15:15" x14ac:dyDescent="0.35">
      <c r="O12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30" spans="15:15" x14ac:dyDescent="0.35">
      <c r="O12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31" spans="15:15" x14ac:dyDescent="0.35">
      <c r="O12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32" spans="15:15" x14ac:dyDescent="0.35">
      <c r="O12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33" spans="15:15" x14ac:dyDescent="0.35">
      <c r="O12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34" spans="15:15" x14ac:dyDescent="0.35">
      <c r="O12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35" spans="15:15" x14ac:dyDescent="0.35">
      <c r="O12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36" spans="15:15" x14ac:dyDescent="0.35">
      <c r="O12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37" spans="15:15" x14ac:dyDescent="0.35">
      <c r="O12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38" spans="15:15" x14ac:dyDescent="0.35">
      <c r="O12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39" spans="15:15" x14ac:dyDescent="0.35">
      <c r="O12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40" spans="15:15" x14ac:dyDescent="0.35">
      <c r="O12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41" spans="15:15" x14ac:dyDescent="0.35">
      <c r="O12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42" spans="15:15" x14ac:dyDescent="0.35">
      <c r="O12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43" spans="15:15" x14ac:dyDescent="0.35">
      <c r="O12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44" spans="15:15" x14ac:dyDescent="0.35">
      <c r="O12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45" spans="15:15" x14ac:dyDescent="0.35">
      <c r="O12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46" spans="15:15" x14ac:dyDescent="0.35">
      <c r="O12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47" spans="15:15" x14ac:dyDescent="0.35">
      <c r="O12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48" spans="15:15" x14ac:dyDescent="0.35">
      <c r="O12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49" spans="15:15" x14ac:dyDescent="0.35">
      <c r="O12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50" spans="15:15" x14ac:dyDescent="0.35">
      <c r="O12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51" spans="15:15" x14ac:dyDescent="0.35">
      <c r="O12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52" spans="15:15" x14ac:dyDescent="0.35">
      <c r="O12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53" spans="15:15" x14ac:dyDescent="0.35">
      <c r="O12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54" spans="15:15" x14ac:dyDescent="0.35">
      <c r="O12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55" spans="15:15" x14ac:dyDescent="0.35">
      <c r="O12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56" spans="15:15" x14ac:dyDescent="0.35">
      <c r="O12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57" spans="15:15" x14ac:dyDescent="0.35">
      <c r="O12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58" spans="15:15" x14ac:dyDescent="0.35">
      <c r="O12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59" spans="15:15" x14ac:dyDescent="0.35">
      <c r="O12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60" spans="15:15" x14ac:dyDescent="0.35">
      <c r="O12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61" spans="15:15" x14ac:dyDescent="0.35">
      <c r="O12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62" spans="15:15" x14ac:dyDescent="0.35">
      <c r="O12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63" spans="15:15" x14ac:dyDescent="0.35">
      <c r="O12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64" spans="15:15" x14ac:dyDescent="0.35">
      <c r="O12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65" spans="15:15" x14ac:dyDescent="0.35">
      <c r="O12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66" spans="15:15" x14ac:dyDescent="0.35">
      <c r="O12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67" spans="15:15" x14ac:dyDescent="0.35">
      <c r="O12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68" spans="15:15" x14ac:dyDescent="0.35">
      <c r="O12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69" spans="15:15" x14ac:dyDescent="0.35">
      <c r="O12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70" spans="15:15" x14ac:dyDescent="0.35">
      <c r="O12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71" spans="15:15" x14ac:dyDescent="0.35">
      <c r="O12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72" spans="15:15" x14ac:dyDescent="0.35">
      <c r="O12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73" spans="15:15" x14ac:dyDescent="0.35">
      <c r="O12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74" spans="15:15" x14ac:dyDescent="0.35">
      <c r="O12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75" spans="15:15" x14ac:dyDescent="0.35">
      <c r="O12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76" spans="15:15" x14ac:dyDescent="0.35">
      <c r="O12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77" spans="15:15" x14ac:dyDescent="0.35">
      <c r="O12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78" spans="15:15" x14ac:dyDescent="0.35">
      <c r="O12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79" spans="15:15" x14ac:dyDescent="0.35">
      <c r="O12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80" spans="15:15" x14ac:dyDescent="0.35">
      <c r="O12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81" spans="15:15" x14ac:dyDescent="0.35">
      <c r="O12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82" spans="15:15" x14ac:dyDescent="0.35">
      <c r="O12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83" spans="15:15" x14ac:dyDescent="0.35">
      <c r="O12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84" spans="15:15" x14ac:dyDescent="0.35">
      <c r="O12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85" spans="15:15" x14ac:dyDescent="0.35">
      <c r="O12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86" spans="15:15" x14ac:dyDescent="0.35">
      <c r="O12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87" spans="15:15" x14ac:dyDescent="0.35">
      <c r="O12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88" spans="15:15" x14ac:dyDescent="0.35">
      <c r="O12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89" spans="15:15" x14ac:dyDescent="0.35">
      <c r="O12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90" spans="15:15" x14ac:dyDescent="0.35">
      <c r="O12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91" spans="15:15" x14ac:dyDescent="0.35">
      <c r="O12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92" spans="15:15" x14ac:dyDescent="0.35">
      <c r="O12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93" spans="15:15" x14ac:dyDescent="0.35">
      <c r="O12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94" spans="15:15" x14ac:dyDescent="0.35">
      <c r="O12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95" spans="15:15" x14ac:dyDescent="0.35">
      <c r="O12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96" spans="15:15" x14ac:dyDescent="0.35">
      <c r="O12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97" spans="15:15" x14ac:dyDescent="0.35">
      <c r="O12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98" spans="15:15" x14ac:dyDescent="0.35">
      <c r="O12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299" spans="15:15" x14ac:dyDescent="0.35">
      <c r="O12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00" spans="15:15" x14ac:dyDescent="0.35">
      <c r="O13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01" spans="15:15" x14ac:dyDescent="0.35">
      <c r="O13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02" spans="15:15" x14ac:dyDescent="0.35">
      <c r="O13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03" spans="15:15" x14ac:dyDescent="0.35">
      <c r="O13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04" spans="15:15" x14ac:dyDescent="0.35">
      <c r="O13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05" spans="15:15" x14ac:dyDescent="0.35">
      <c r="O13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06" spans="15:15" x14ac:dyDescent="0.35">
      <c r="O13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07" spans="15:15" x14ac:dyDescent="0.35">
      <c r="O13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08" spans="15:15" x14ac:dyDescent="0.35">
      <c r="O13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09" spans="15:15" x14ac:dyDescent="0.35">
      <c r="O13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10" spans="15:15" x14ac:dyDescent="0.35">
      <c r="O13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11" spans="15:15" x14ac:dyDescent="0.35">
      <c r="O13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12" spans="15:15" x14ac:dyDescent="0.35">
      <c r="O13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13" spans="15:15" x14ac:dyDescent="0.35">
      <c r="O13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14" spans="15:15" x14ac:dyDescent="0.35">
      <c r="O13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15" spans="15:15" x14ac:dyDescent="0.35">
      <c r="O13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16" spans="15:15" x14ac:dyDescent="0.35">
      <c r="O13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17" spans="15:15" x14ac:dyDescent="0.35">
      <c r="O13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18" spans="15:15" x14ac:dyDescent="0.35">
      <c r="O13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19" spans="15:15" x14ac:dyDescent="0.35">
      <c r="O13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20" spans="15:15" x14ac:dyDescent="0.35">
      <c r="O13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21" spans="15:15" x14ac:dyDescent="0.35">
      <c r="O13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22" spans="15:15" x14ac:dyDescent="0.35">
      <c r="O13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23" spans="15:15" x14ac:dyDescent="0.35">
      <c r="O13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24" spans="15:15" x14ac:dyDescent="0.35">
      <c r="O13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25" spans="15:15" x14ac:dyDescent="0.35">
      <c r="O13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26" spans="15:15" x14ac:dyDescent="0.35">
      <c r="O13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27" spans="15:15" x14ac:dyDescent="0.35">
      <c r="O13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28" spans="15:15" x14ac:dyDescent="0.35">
      <c r="O13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29" spans="15:15" x14ac:dyDescent="0.35">
      <c r="O13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30" spans="15:15" x14ac:dyDescent="0.35">
      <c r="O13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31" spans="15:15" x14ac:dyDescent="0.35">
      <c r="O13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32" spans="15:15" x14ac:dyDescent="0.35">
      <c r="O13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33" spans="15:15" x14ac:dyDescent="0.35">
      <c r="O13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34" spans="15:15" x14ac:dyDescent="0.35">
      <c r="O13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35" spans="15:15" x14ac:dyDescent="0.35">
      <c r="O13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36" spans="15:15" x14ac:dyDescent="0.35">
      <c r="O13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37" spans="15:15" x14ac:dyDescent="0.35">
      <c r="O13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38" spans="15:15" x14ac:dyDescent="0.35">
      <c r="O13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39" spans="15:15" x14ac:dyDescent="0.35">
      <c r="O13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40" spans="15:15" x14ac:dyDescent="0.35">
      <c r="O13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41" spans="15:15" x14ac:dyDescent="0.35">
      <c r="O13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42" spans="15:15" x14ac:dyDescent="0.35">
      <c r="O13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43" spans="15:15" x14ac:dyDescent="0.35">
      <c r="O13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44" spans="15:15" x14ac:dyDescent="0.35">
      <c r="O13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45" spans="15:15" x14ac:dyDescent="0.35">
      <c r="O13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46" spans="15:15" x14ac:dyDescent="0.35">
      <c r="O13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47" spans="15:15" x14ac:dyDescent="0.35">
      <c r="O13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48" spans="15:15" x14ac:dyDescent="0.35">
      <c r="O13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49" spans="15:15" x14ac:dyDescent="0.35">
      <c r="O13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50" spans="15:15" x14ac:dyDescent="0.35">
      <c r="O13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51" spans="15:15" x14ac:dyDescent="0.35">
      <c r="O13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52" spans="15:15" x14ac:dyDescent="0.35">
      <c r="O13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53" spans="15:15" x14ac:dyDescent="0.35">
      <c r="O13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54" spans="15:15" x14ac:dyDescent="0.35">
      <c r="O13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55" spans="15:15" x14ac:dyDescent="0.35">
      <c r="O13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56" spans="15:15" x14ac:dyDescent="0.35">
      <c r="O13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57" spans="15:15" x14ac:dyDescent="0.35">
      <c r="O13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58" spans="15:15" x14ac:dyDescent="0.35">
      <c r="O13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59" spans="15:15" x14ac:dyDescent="0.35">
      <c r="O13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60" spans="15:15" x14ac:dyDescent="0.35">
      <c r="O13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61" spans="15:15" x14ac:dyDescent="0.35">
      <c r="O13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62" spans="15:15" x14ac:dyDescent="0.35">
      <c r="O13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63" spans="15:15" x14ac:dyDescent="0.35">
      <c r="O13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64" spans="15:15" x14ac:dyDescent="0.35">
      <c r="O13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65" spans="15:15" x14ac:dyDescent="0.35">
      <c r="O13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66" spans="15:15" x14ac:dyDescent="0.35">
      <c r="O13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67" spans="15:15" x14ac:dyDescent="0.35">
      <c r="O13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68" spans="15:15" x14ac:dyDescent="0.35">
      <c r="O13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69" spans="15:15" x14ac:dyDescent="0.35">
      <c r="O13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70" spans="15:15" x14ac:dyDescent="0.35">
      <c r="O13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71" spans="15:15" x14ac:dyDescent="0.35">
      <c r="O13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72" spans="15:15" x14ac:dyDescent="0.35">
      <c r="O13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73" spans="15:15" x14ac:dyDescent="0.35">
      <c r="O13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74" spans="15:15" x14ac:dyDescent="0.35">
      <c r="O13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75" spans="15:15" x14ac:dyDescent="0.35">
      <c r="O13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76" spans="15:15" x14ac:dyDescent="0.35">
      <c r="O13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77" spans="15:15" x14ac:dyDescent="0.35">
      <c r="O13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78" spans="15:15" x14ac:dyDescent="0.35">
      <c r="O13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79" spans="15:15" x14ac:dyDescent="0.35">
      <c r="O13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80" spans="15:15" x14ac:dyDescent="0.35">
      <c r="O13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81" spans="15:15" x14ac:dyDescent="0.35">
      <c r="O13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82" spans="15:15" x14ac:dyDescent="0.35">
      <c r="O13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83" spans="15:15" x14ac:dyDescent="0.35">
      <c r="O13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84" spans="15:15" x14ac:dyDescent="0.35">
      <c r="O13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85" spans="15:15" x14ac:dyDescent="0.35">
      <c r="O13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86" spans="15:15" x14ac:dyDescent="0.35">
      <c r="O13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87" spans="15:15" x14ac:dyDescent="0.35">
      <c r="O13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88" spans="15:15" x14ac:dyDescent="0.35">
      <c r="O13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89" spans="15:15" x14ac:dyDescent="0.35">
      <c r="O13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90" spans="15:15" x14ac:dyDescent="0.35">
      <c r="O13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91" spans="15:15" x14ac:dyDescent="0.35">
      <c r="O13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92" spans="15:15" x14ac:dyDescent="0.35">
      <c r="O13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93" spans="15:15" x14ac:dyDescent="0.35">
      <c r="O13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94" spans="15:15" x14ac:dyDescent="0.35">
      <c r="O13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95" spans="15:15" x14ac:dyDescent="0.35">
      <c r="O13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96" spans="15:15" x14ac:dyDescent="0.35">
      <c r="O13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97" spans="15:15" x14ac:dyDescent="0.35">
      <c r="O13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98" spans="15:15" x14ac:dyDescent="0.35">
      <c r="O13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399" spans="15:15" x14ac:dyDescent="0.35">
      <c r="O13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00" spans="15:15" x14ac:dyDescent="0.35">
      <c r="O14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01" spans="15:15" x14ac:dyDescent="0.35">
      <c r="O14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02" spans="15:15" x14ac:dyDescent="0.35">
      <c r="O14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03" spans="15:15" x14ac:dyDescent="0.35">
      <c r="O14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04" spans="15:15" x14ac:dyDescent="0.35">
      <c r="O14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05" spans="15:15" x14ac:dyDescent="0.35">
      <c r="O14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06" spans="15:15" x14ac:dyDescent="0.35">
      <c r="O14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07" spans="15:15" x14ac:dyDescent="0.35">
      <c r="O14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08" spans="15:15" x14ac:dyDescent="0.35">
      <c r="O14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09" spans="15:15" x14ac:dyDescent="0.35">
      <c r="O14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10" spans="15:15" x14ac:dyDescent="0.35">
      <c r="O14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11" spans="15:15" x14ac:dyDescent="0.35">
      <c r="O14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12" spans="15:15" x14ac:dyDescent="0.35">
      <c r="O14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13" spans="15:15" x14ac:dyDescent="0.35">
      <c r="O14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14" spans="15:15" x14ac:dyDescent="0.35">
      <c r="O14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15" spans="15:15" x14ac:dyDescent="0.35">
      <c r="O14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16" spans="15:15" x14ac:dyDescent="0.35">
      <c r="O14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17" spans="15:15" x14ac:dyDescent="0.35">
      <c r="O14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18" spans="15:15" x14ac:dyDescent="0.35">
      <c r="O14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19" spans="15:15" x14ac:dyDescent="0.35">
      <c r="O14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20" spans="15:15" x14ac:dyDescent="0.35">
      <c r="O14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21" spans="15:15" x14ac:dyDescent="0.35">
      <c r="O14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22" spans="15:15" x14ac:dyDescent="0.35">
      <c r="O14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23" spans="15:15" x14ac:dyDescent="0.35">
      <c r="O14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24" spans="15:15" x14ac:dyDescent="0.35">
      <c r="O14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25" spans="15:15" x14ac:dyDescent="0.35">
      <c r="O14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26" spans="15:15" x14ac:dyDescent="0.35">
      <c r="O14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27" spans="15:15" x14ac:dyDescent="0.35">
      <c r="O14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28" spans="15:15" x14ac:dyDescent="0.35">
      <c r="O14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29" spans="15:15" x14ac:dyDescent="0.35">
      <c r="O14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30" spans="15:15" x14ac:dyDescent="0.35">
      <c r="O14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31" spans="15:15" x14ac:dyDescent="0.35">
      <c r="O14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32" spans="15:15" x14ac:dyDescent="0.35">
      <c r="O14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33" spans="15:15" x14ac:dyDescent="0.35">
      <c r="O14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34" spans="15:15" x14ac:dyDescent="0.35">
      <c r="O14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35" spans="15:15" x14ac:dyDescent="0.35">
      <c r="O14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36" spans="15:15" x14ac:dyDescent="0.35">
      <c r="O14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37" spans="15:15" x14ac:dyDescent="0.35">
      <c r="O14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38" spans="15:15" x14ac:dyDescent="0.35">
      <c r="O14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39" spans="15:15" x14ac:dyDescent="0.35">
      <c r="O14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40" spans="15:15" x14ac:dyDescent="0.35">
      <c r="O14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41" spans="15:15" x14ac:dyDescent="0.35">
      <c r="O14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42" spans="15:15" x14ac:dyDescent="0.35">
      <c r="O14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43" spans="15:15" x14ac:dyDescent="0.35">
      <c r="O14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44" spans="15:15" x14ac:dyDescent="0.35">
      <c r="O14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45" spans="15:15" x14ac:dyDescent="0.35">
      <c r="O14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46" spans="15:15" x14ac:dyDescent="0.35">
      <c r="O14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47" spans="15:15" x14ac:dyDescent="0.35">
      <c r="O14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48" spans="15:15" x14ac:dyDescent="0.35">
      <c r="O14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49" spans="15:15" x14ac:dyDescent="0.35">
      <c r="O14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50" spans="15:15" x14ac:dyDescent="0.35">
      <c r="O14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51" spans="15:15" x14ac:dyDescent="0.35">
      <c r="O14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52" spans="15:15" x14ac:dyDescent="0.35">
      <c r="O14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53" spans="15:15" x14ac:dyDescent="0.35">
      <c r="O14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54" spans="15:15" x14ac:dyDescent="0.35">
      <c r="O14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55" spans="15:15" x14ac:dyDescent="0.35">
      <c r="O14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56" spans="15:15" x14ac:dyDescent="0.35">
      <c r="O14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57" spans="15:15" x14ac:dyDescent="0.35">
      <c r="O14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58" spans="15:15" x14ac:dyDescent="0.35">
      <c r="O14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59" spans="15:15" x14ac:dyDescent="0.35">
      <c r="O14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60" spans="15:15" x14ac:dyDescent="0.35">
      <c r="O14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61" spans="15:15" x14ac:dyDescent="0.35">
      <c r="O14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62" spans="15:15" x14ac:dyDescent="0.35">
      <c r="O14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63" spans="15:15" x14ac:dyDescent="0.35">
      <c r="O14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64" spans="15:15" x14ac:dyDescent="0.35">
      <c r="O14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65" spans="15:15" x14ac:dyDescent="0.35">
      <c r="O14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66" spans="15:15" x14ac:dyDescent="0.35">
      <c r="O14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67" spans="15:15" x14ac:dyDescent="0.35">
      <c r="O14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68" spans="15:15" x14ac:dyDescent="0.35">
      <c r="O14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69" spans="15:15" x14ac:dyDescent="0.35">
      <c r="O14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70" spans="15:15" x14ac:dyDescent="0.35">
      <c r="O14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71" spans="15:15" x14ac:dyDescent="0.35">
      <c r="O14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72" spans="15:15" x14ac:dyDescent="0.35">
      <c r="O14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73" spans="15:15" x14ac:dyDescent="0.35">
      <c r="O14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74" spans="15:15" x14ac:dyDescent="0.35">
      <c r="O14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75" spans="15:15" x14ac:dyDescent="0.35">
      <c r="O14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76" spans="15:15" x14ac:dyDescent="0.35">
      <c r="O14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77" spans="15:15" x14ac:dyDescent="0.35">
      <c r="O14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78" spans="15:15" x14ac:dyDescent="0.35">
      <c r="O14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79" spans="15:15" x14ac:dyDescent="0.35">
      <c r="O14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80" spans="15:15" x14ac:dyDescent="0.35">
      <c r="O14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81" spans="15:15" x14ac:dyDescent="0.35">
      <c r="O14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82" spans="15:15" x14ac:dyDescent="0.35">
      <c r="O14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83" spans="15:15" x14ac:dyDescent="0.35">
      <c r="O14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84" spans="15:15" x14ac:dyDescent="0.35">
      <c r="O14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85" spans="15:15" x14ac:dyDescent="0.35">
      <c r="O14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86" spans="15:15" x14ac:dyDescent="0.35">
      <c r="O14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87" spans="15:15" x14ac:dyDescent="0.35">
      <c r="O14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88" spans="15:15" x14ac:dyDescent="0.35">
      <c r="O14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89" spans="15:15" x14ac:dyDescent="0.35">
      <c r="O14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90" spans="15:15" x14ac:dyDescent="0.35">
      <c r="O14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91" spans="15:15" x14ac:dyDescent="0.35">
      <c r="O14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92" spans="15:15" x14ac:dyDescent="0.35">
      <c r="O14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93" spans="15:15" x14ac:dyDescent="0.35">
      <c r="O14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94" spans="15:15" x14ac:dyDescent="0.35">
      <c r="O14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95" spans="15:15" x14ac:dyDescent="0.35">
      <c r="O14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96" spans="15:15" x14ac:dyDescent="0.35">
      <c r="O14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97" spans="15:15" x14ac:dyDescent="0.35">
      <c r="O14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98" spans="15:15" x14ac:dyDescent="0.35">
      <c r="O14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499" spans="15:15" x14ac:dyDescent="0.35">
      <c r="O14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00" spans="15:15" x14ac:dyDescent="0.35">
      <c r="O15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01" spans="15:15" x14ac:dyDescent="0.35">
      <c r="O15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02" spans="15:15" x14ac:dyDescent="0.35">
      <c r="O15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03" spans="15:15" x14ac:dyDescent="0.35">
      <c r="O15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04" spans="15:15" x14ac:dyDescent="0.35">
      <c r="O15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05" spans="15:15" x14ac:dyDescent="0.35">
      <c r="O15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06" spans="15:15" x14ac:dyDescent="0.35">
      <c r="O15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07" spans="15:15" x14ac:dyDescent="0.35">
      <c r="O15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08" spans="15:15" x14ac:dyDescent="0.35">
      <c r="O15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09" spans="15:15" x14ac:dyDescent="0.35">
      <c r="O15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10" spans="15:15" x14ac:dyDescent="0.35">
      <c r="O15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11" spans="15:15" x14ac:dyDescent="0.35">
      <c r="O15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12" spans="15:15" x14ac:dyDescent="0.35">
      <c r="O15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13" spans="15:15" x14ac:dyDescent="0.35">
      <c r="O15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14" spans="15:15" x14ac:dyDescent="0.35">
      <c r="O15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15" spans="15:15" x14ac:dyDescent="0.35">
      <c r="O15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16" spans="15:15" x14ac:dyDescent="0.35">
      <c r="O15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17" spans="15:15" x14ac:dyDescent="0.35">
      <c r="O15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18" spans="15:15" x14ac:dyDescent="0.35">
      <c r="O15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19" spans="15:15" x14ac:dyDescent="0.35">
      <c r="O15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20" spans="15:15" x14ac:dyDescent="0.35">
      <c r="O15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21" spans="15:15" x14ac:dyDescent="0.35">
      <c r="O15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22" spans="15:15" x14ac:dyDescent="0.35">
      <c r="O15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23" spans="15:15" x14ac:dyDescent="0.35">
      <c r="O15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24" spans="15:15" x14ac:dyDescent="0.35">
      <c r="O15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25" spans="15:15" x14ac:dyDescent="0.35">
      <c r="O15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26" spans="15:15" x14ac:dyDescent="0.35">
      <c r="O15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27" spans="15:15" x14ac:dyDescent="0.35">
      <c r="O15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28" spans="15:15" x14ac:dyDescent="0.35">
      <c r="O15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29" spans="15:15" x14ac:dyDescent="0.35">
      <c r="O15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30" spans="15:15" x14ac:dyDescent="0.35">
      <c r="O15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31" spans="15:15" x14ac:dyDescent="0.35">
      <c r="O15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32" spans="15:15" x14ac:dyDescent="0.35">
      <c r="O15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33" spans="15:15" x14ac:dyDescent="0.35">
      <c r="O15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34" spans="15:15" x14ac:dyDescent="0.35">
      <c r="O15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35" spans="15:15" x14ac:dyDescent="0.35">
      <c r="O15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36" spans="15:15" x14ac:dyDescent="0.35">
      <c r="O15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37" spans="15:15" x14ac:dyDescent="0.35">
      <c r="O15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38" spans="15:15" x14ac:dyDescent="0.35">
      <c r="O15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39" spans="15:15" x14ac:dyDescent="0.35">
      <c r="O15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40" spans="15:15" x14ac:dyDescent="0.35">
      <c r="O15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41" spans="15:15" x14ac:dyDescent="0.35">
      <c r="O15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42" spans="15:15" x14ac:dyDescent="0.35">
      <c r="O15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43" spans="15:15" x14ac:dyDescent="0.35">
      <c r="O15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44" spans="15:15" x14ac:dyDescent="0.35">
      <c r="O15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45" spans="15:15" x14ac:dyDescent="0.35">
      <c r="O15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46" spans="15:15" x14ac:dyDescent="0.35">
      <c r="O15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47" spans="15:15" x14ac:dyDescent="0.35">
      <c r="O15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48" spans="15:15" x14ac:dyDescent="0.35">
      <c r="O15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49" spans="15:15" x14ac:dyDescent="0.35">
      <c r="O15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50" spans="15:15" x14ac:dyDescent="0.35">
      <c r="O15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51" spans="15:15" x14ac:dyDescent="0.35">
      <c r="O15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52" spans="15:15" x14ac:dyDescent="0.35">
      <c r="O15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53" spans="15:15" x14ac:dyDescent="0.35">
      <c r="O15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54" spans="15:15" x14ac:dyDescent="0.35">
      <c r="O15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55" spans="15:15" x14ac:dyDescent="0.35">
      <c r="O15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56" spans="15:15" x14ac:dyDescent="0.35">
      <c r="O15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57" spans="15:15" x14ac:dyDescent="0.35">
      <c r="O15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58" spans="15:15" x14ac:dyDescent="0.35">
      <c r="O15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59" spans="15:15" x14ac:dyDescent="0.35">
      <c r="O15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60" spans="15:15" x14ac:dyDescent="0.35">
      <c r="O15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61" spans="15:15" x14ac:dyDescent="0.35">
      <c r="O15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62" spans="15:15" x14ac:dyDescent="0.35">
      <c r="O15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63" spans="15:15" x14ac:dyDescent="0.35">
      <c r="O15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64" spans="15:15" x14ac:dyDescent="0.35">
      <c r="O15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65" spans="15:15" x14ac:dyDescent="0.35">
      <c r="O15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66" spans="15:15" x14ac:dyDescent="0.35">
      <c r="O15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67" spans="15:15" x14ac:dyDescent="0.35">
      <c r="O15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68" spans="15:15" x14ac:dyDescent="0.35">
      <c r="O15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69" spans="15:15" x14ac:dyDescent="0.35">
      <c r="O15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70" spans="15:15" x14ac:dyDescent="0.35">
      <c r="O15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71" spans="15:15" x14ac:dyDescent="0.35">
      <c r="O15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72" spans="15:15" x14ac:dyDescent="0.35">
      <c r="O15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73" spans="15:15" x14ac:dyDescent="0.35">
      <c r="O15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74" spans="15:15" x14ac:dyDescent="0.35">
      <c r="O15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75" spans="15:15" x14ac:dyDescent="0.35">
      <c r="O15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76" spans="15:15" x14ac:dyDescent="0.35">
      <c r="O15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77" spans="15:15" x14ac:dyDescent="0.35">
      <c r="O15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78" spans="15:15" x14ac:dyDescent="0.35">
      <c r="O15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79" spans="15:15" x14ac:dyDescent="0.35">
      <c r="O15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80" spans="15:15" x14ac:dyDescent="0.35">
      <c r="O15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81" spans="15:15" x14ac:dyDescent="0.35">
      <c r="O15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82" spans="15:15" x14ac:dyDescent="0.35">
      <c r="O15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83" spans="15:15" x14ac:dyDescent="0.35">
      <c r="O15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84" spans="15:15" x14ac:dyDescent="0.35">
      <c r="O15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85" spans="15:15" x14ac:dyDescent="0.35">
      <c r="O15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86" spans="15:15" x14ac:dyDescent="0.35">
      <c r="O15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87" spans="15:15" x14ac:dyDescent="0.35">
      <c r="O15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88" spans="15:15" x14ac:dyDescent="0.35">
      <c r="O15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89" spans="15:15" x14ac:dyDescent="0.35">
      <c r="O15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90" spans="15:15" x14ac:dyDescent="0.35">
      <c r="O15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91" spans="15:15" x14ac:dyDescent="0.35">
      <c r="O15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92" spans="15:15" x14ac:dyDescent="0.35">
      <c r="O15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93" spans="15:15" x14ac:dyDescent="0.35">
      <c r="O15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94" spans="15:15" x14ac:dyDescent="0.35">
      <c r="O15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95" spans="15:15" x14ac:dyDescent="0.35">
      <c r="O15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96" spans="15:15" x14ac:dyDescent="0.35">
      <c r="O15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97" spans="15:15" x14ac:dyDescent="0.35">
      <c r="O15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98" spans="15:15" x14ac:dyDescent="0.35">
      <c r="O15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599" spans="15:15" x14ac:dyDescent="0.35">
      <c r="O15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00" spans="15:15" x14ac:dyDescent="0.35">
      <c r="O16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01" spans="15:15" x14ac:dyDescent="0.35">
      <c r="O16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02" spans="15:15" x14ac:dyDescent="0.35">
      <c r="O16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03" spans="15:15" x14ac:dyDescent="0.35">
      <c r="O16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04" spans="15:15" x14ac:dyDescent="0.35">
      <c r="O16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05" spans="15:15" x14ac:dyDescent="0.35">
      <c r="O16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06" spans="15:15" x14ac:dyDescent="0.35">
      <c r="O16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07" spans="15:15" x14ac:dyDescent="0.35">
      <c r="O16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08" spans="15:15" x14ac:dyDescent="0.35">
      <c r="O16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09" spans="15:15" x14ac:dyDescent="0.35">
      <c r="O16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10" spans="15:15" x14ac:dyDescent="0.35">
      <c r="O16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11" spans="15:15" x14ac:dyDescent="0.35">
      <c r="O16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12" spans="15:15" x14ac:dyDescent="0.35">
      <c r="O16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13" spans="15:15" x14ac:dyDescent="0.35">
      <c r="O16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14" spans="15:15" x14ac:dyDescent="0.35">
      <c r="O16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15" spans="15:15" x14ac:dyDescent="0.35">
      <c r="O16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16" spans="15:15" x14ac:dyDescent="0.35">
      <c r="O16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17" spans="15:15" x14ac:dyDescent="0.35">
      <c r="O16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18" spans="15:15" x14ac:dyDescent="0.35">
      <c r="O16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19" spans="15:15" x14ac:dyDescent="0.35">
      <c r="O16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20" spans="15:15" x14ac:dyDescent="0.35">
      <c r="O16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21" spans="15:15" x14ac:dyDescent="0.35">
      <c r="O16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22" spans="15:15" x14ac:dyDescent="0.35">
      <c r="O16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23" spans="15:15" x14ac:dyDescent="0.35">
      <c r="O16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24" spans="15:15" x14ac:dyDescent="0.35">
      <c r="O16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25" spans="15:15" x14ac:dyDescent="0.35">
      <c r="O16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26" spans="15:15" x14ac:dyDescent="0.35">
      <c r="O16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27" spans="15:15" x14ac:dyDescent="0.35">
      <c r="O16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28" spans="15:15" x14ac:dyDescent="0.35">
      <c r="O16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29" spans="15:15" x14ac:dyDescent="0.35">
      <c r="O16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30" spans="15:15" x14ac:dyDescent="0.35">
      <c r="O16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31" spans="15:15" x14ac:dyDescent="0.35">
      <c r="O16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32" spans="15:15" x14ac:dyDescent="0.35">
      <c r="O16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33" spans="15:15" x14ac:dyDescent="0.35">
      <c r="O16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34" spans="15:15" x14ac:dyDescent="0.35">
      <c r="O16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35" spans="15:15" x14ac:dyDescent="0.35">
      <c r="O16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36" spans="15:15" x14ac:dyDescent="0.35">
      <c r="O16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37" spans="15:15" x14ac:dyDescent="0.35">
      <c r="O16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38" spans="15:15" x14ac:dyDescent="0.35">
      <c r="O16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39" spans="15:15" x14ac:dyDescent="0.35">
      <c r="O16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40" spans="15:15" x14ac:dyDescent="0.35">
      <c r="O16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41" spans="15:15" x14ac:dyDescent="0.35">
      <c r="O16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42" spans="15:15" x14ac:dyDescent="0.35">
      <c r="O16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43" spans="15:15" x14ac:dyDescent="0.35">
      <c r="O16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44" spans="15:15" x14ac:dyDescent="0.35">
      <c r="O16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45" spans="15:15" x14ac:dyDescent="0.35">
      <c r="O16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46" spans="15:15" x14ac:dyDescent="0.35">
      <c r="O16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47" spans="15:15" x14ac:dyDescent="0.35">
      <c r="O16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48" spans="15:15" x14ac:dyDescent="0.35">
      <c r="O16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49" spans="15:15" x14ac:dyDescent="0.35">
      <c r="O16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50" spans="15:15" x14ac:dyDescent="0.35">
      <c r="O16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51" spans="15:15" x14ac:dyDescent="0.35">
      <c r="O16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52" spans="15:15" x14ac:dyDescent="0.35">
      <c r="O16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53" spans="15:15" x14ac:dyDescent="0.35">
      <c r="O16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54" spans="15:15" x14ac:dyDescent="0.35">
      <c r="O16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55" spans="15:15" x14ac:dyDescent="0.35">
      <c r="O16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56" spans="15:15" x14ac:dyDescent="0.35">
      <c r="O16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57" spans="15:15" x14ac:dyDescent="0.35">
      <c r="O16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58" spans="15:15" x14ac:dyDescent="0.35">
      <c r="O16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59" spans="15:15" x14ac:dyDescent="0.35">
      <c r="O16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60" spans="15:15" x14ac:dyDescent="0.35">
      <c r="O16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61" spans="15:15" x14ac:dyDescent="0.35">
      <c r="O16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62" spans="15:15" x14ac:dyDescent="0.35">
      <c r="O16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63" spans="15:15" x14ac:dyDescent="0.35">
      <c r="O16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64" spans="15:15" x14ac:dyDescent="0.35">
      <c r="O16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65" spans="15:15" x14ac:dyDescent="0.35">
      <c r="O16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66" spans="15:15" x14ac:dyDescent="0.35">
      <c r="O16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67" spans="15:15" x14ac:dyDescent="0.35">
      <c r="O16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68" spans="15:15" x14ac:dyDescent="0.35">
      <c r="O16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69" spans="15:15" x14ac:dyDescent="0.35">
      <c r="O16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70" spans="15:15" x14ac:dyDescent="0.35">
      <c r="O16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71" spans="15:15" x14ac:dyDescent="0.35">
      <c r="O16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72" spans="15:15" x14ac:dyDescent="0.35">
      <c r="O16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73" spans="15:15" x14ac:dyDescent="0.35">
      <c r="O16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74" spans="15:15" x14ac:dyDescent="0.35">
      <c r="O16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75" spans="15:15" x14ac:dyDescent="0.35">
      <c r="O16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76" spans="15:15" x14ac:dyDescent="0.35">
      <c r="O16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77" spans="15:15" x14ac:dyDescent="0.35">
      <c r="O16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78" spans="15:15" x14ac:dyDescent="0.35">
      <c r="O16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79" spans="15:15" x14ac:dyDescent="0.35">
      <c r="O16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80" spans="15:15" x14ac:dyDescent="0.35">
      <c r="O16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81" spans="15:15" x14ac:dyDescent="0.35">
      <c r="O16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82" spans="15:15" x14ac:dyDescent="0.35">
      <c r="O16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83" spans="15:15" x14ac:dyDescent="0.35">
      <c r="O16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84" spans="15:15" x14ac:dyDescent="0.35">
      <c r="O16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85" spans="15:15" x14ac:dyDescent="0.35">
      <c r="O16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86" spans="15:15" x14ac:dyDescent="0.35">
      <c r="O16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87" spans="15:15" x14ac:dyDescent="0.35">
      <c r="O16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88" spans="15:15" x14ac:dyDescent="0.35">
      <c r="O16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89" spans="15:15" x14ac:dyDescent="0.35">
      <c r="O16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90" spans="15:15" x14ac:dyDescent="0.35">
      <c r="O16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91" spans="15:15" x14ac:dyDescent="0.35">
      <c r="O16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92" spans="15:15" x14ac:dyDescent="0.35">
      <c r="O16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93" spans="15:15" x14ac:dyDescent="0.35">
      <c r="O16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94" spans="15:15" x14ac:dyDescent="0.35">
      <c r="O16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95" spans="15:15" x14ac:dyDescent="0.35">
      <c r="O16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96" spans="15:15" x14ac:dyDescent="0.35">
      <c r="O16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97" spans="15:15" x14ac:dyDescent="0.35">
      <c r="O16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98" spans="15:15" x14ac:dyDescent="0.35">
      <c r="O16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699" spans="15:15" x14ac:dyDescent="0.35">
      <c r="O16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00" spans="15:15" x14ac:dyDescent="0.35">
      <c r="O17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01" spans="15:15" x14ac:dyDescent="0.35">
      <c r="O17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02" spans="15:15" x14ac:dyDescent="0.35">
      <c r="O17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03" spans="15:15" x14ac:dyDescent="0.35">
      <c r="O17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04" spans="15:15" x14ac:dyDescent="0.35">
      <c r="O17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05" spans="15:15" x14ac:dyDescent="0.35">
      <c r="O17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06" spans="15:15" x14ac:dyDescent="0.35">
      <c r="O17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07" spans="15:15" x14ac:dyDescent="0.35">
      <c r="O17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08" spans="15:15" x14ac:dyDescent="0.35">
      <c r="O17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09" spans="15:15" x14ac:dyDescent="0.35">
      <c r="O17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10" spans="15:15" x14ac:dyDescent="0.35">
      <c r="O17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11" spans="15:15" x14ac:dyDescent="0.35">
      <c r="O17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12" spans="15:15" x14ac:dyDescent="0.35">
      <c r="O17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13" spans="15:15" x14ac:dyDescent="0.35">
      <c r="O17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14" spans="15:15" x14ac:dyDescent="0.35">
      <c r="O17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15" spans="15:15" x14ac:dyDescent="0.35">
      <c r="O17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16" spans="15:15" x14ac:dyDescent="0.35">
      <c r="O17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17" spans="15:15" x14ac:dyDescent="0.35">
      <c r="O17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18" spans="15:15" x14ac:dyDescent="0.35">
      <c r="O17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19" spans="15:15" x14ac:dyDescent="0.35">
      <c r="O17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20" spans="15:15" x14ac:dyDescent="0.35">
      <c r="O17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21" spans="15:15" x14ac:dyDescent="0.35">
      <c r="O17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22" spans="15:15" x14ac:dyDescent="0.35">
      <c r="O17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23" spans="15:15" x14ac:dyDescent="0.35">
      <c r="O17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24" spans="15:15" x14ac:dyDescent="0.35">
      <c r="O17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25" spans="15:15" x14ac:dyDescent="0.35">
      <c r="O17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26" spans="15:15" x14ac:dyDescent="0.35">
      <c r="O17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27" spans="15:15" x14ac:dyDescent="0.35">
      <c r="O17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28" spans="15:15" x14ac:dyDescent="0.35">
      <c r="O17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29" spans="15:15" x14ac:dyDescent="0.35">
      <c r="O17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30" spans="15:15" x14ac:dyDescent="0.35">
      <c r="O17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31" spans="15:15" x14ac:dyDescent="0.35">
      <c r="O17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32" spans="15:15" x14ac:dyDescent="0.35">
      <c r="O17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33" spans="15:15" x14ac:dyDescent="0.35">
      <c r="O17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34" spans="15:15" x14ac:dyDescent="0.35">
      <c r="O17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35" spans="15:15" x14ac:dyDescent="0.35">
      <c r="O17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36" spans="15:15" x14ac:dyDescent="0.35">
      <c r="O17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37" spans="15:15" x14ac:dyDescent="0.35">
      <c r="O17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38" spans="15:15" x14ac:dyDescent="0.35">
      <c r="O17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39" spans="15:15" x14ac:dyDescent="0.35">
      <c r="O17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40" spans="15:15" x14ac:dyDescent="0.35">
      <c r="O17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41" spans="15:15" x14ac:dyDescent="0.35">
      <c r="O17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42" spans="15:15" x14ac:dyDescent="0.35">
      <c r="O17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43" spans="15:15" x14ac:dyDescent="0.35">
      <c r="O17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44" spans="15:15" x14ac:dyDescent="0.35">
      <c r="O17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45" spans="15:15" x14ac:dyDescent="0.35">
      <c r="O17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46" spans="15:15" x14ac:dyDescent="0.35">
      <c r="O17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47" spans="15:15" x14ac:dyDescent="0.35">
      <c r="O17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48" spans="15:15" x14ac:dyDescent="0.35">
      <c r="O17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49" spans="15:15" x14ac:dyDescent="0.35">
      <c r="O17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50" spans="15:15" x14ac:dyDescent="0.35">
      <c r="O17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51" spans="15:15" x14ac:dyDescent="0.35">
      <c r="O17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52" spans="15:15" x14ac:dyDescent="0.35">
      <c r="O17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53" spans="15:15" x14ac:dyDescent="0.35">
      <c r="O17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54" spans="15:15" x14ac:dyDescent="0.35">
      <c r="O17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55" spans="15:15" x14ac:dyDescent="0.35">
      <c r="O17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56" spans="15:15" x14ac:dyDescent="0.35">
      <c r="O17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57" spans="15:15" x14ac:dyDescent="0.35">
      <c r="O17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58" spans="15:15" x14ac:dyDescent="0.35">
      <c r="O17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59" spans="15:15" x14ac:dyDescent="0.35">
      <c r="O17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60" spans="15:15" x14ac:dyDescent="0.35">
      <c r="O17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61" spans="15:15" x14ac:dyDescent="0.35">
      <c r="O17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62" spans="15:15" x14ac:dyDescent="0.35">
      <c r="O17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63" spans="15:15" x14ac:dyDescent="0.35">
      <c r="O17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64" spans="15:15" x14ac:dyDescent="0.35">
      <c r="O17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65" spans="15:15" x14ac:dyDescent="0.35">
      <c r="O17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66" spans="15:15" x14ac:dyDescent="0.35">
      <c r="O17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67" spans="15:15" x14ac:dyDescent="0.35">
      <c r="O17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68" spans="15:15" x14ac:dyDescent="0.35">
      <c r="O17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69" spans="15:15" x14ac:dyDescent="0.35">
      <c r="O17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70" spans="15:15" x14ac:dyDescent="0.35">
      <c r="O17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71" spans="15:15" x14ac:dyDescent="0.35">
      <c r="O17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72" spans="15:15" x14ac:dyDescent="0.35">
      <c r="O17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73" spans="15:15" x14ac:dyDescent="0.35">
      <c r="O17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74" spans="15:15" x14ac:dyDescent="0.35">
      <c r="O17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75" spans="15:15" x14ac:dyDescent="0.35">
      <c r="O17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76" spans="15:15" x14ac:dyDescent="0.35">
      <c r="O17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77" spans="15:15" x14ac:dyDescent="0.35">
      <c r="O17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78" spans="15:15" x14ac:dyDescent="0.35">
      <c r="O17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79" spans="15:15" x14ac:dyDescent="0.35">
      <c r="O17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80" spans="15:15" x14ac:dyDescent="0.35">
      <c r="O17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81" spans="15:15" x14ac:dyDescent="0.35">
      <c r="O17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82" spans="15:15" x14ac:dyDescent="0.35">
      <c r="O17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83" spans="15:15" x14ac:dyDescent="0.35">
      <c r="O17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84" spans="15:15" x14ac:dyDescent="0.35">
      <c r="O17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85" spans="15:15" x14ac:dyDescent="0.35">
      <c r="O17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86" spans="15:15" x14ac:dyDescent="0.35">
      <c r="O17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87" spans="15:15" x14ac:dyDescent="0.35">
      <c r="O17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88" spans="15:15" x14ac:dyDescent="0.35">
      <c r="O17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89" spans="15:15" x14ac:dyDescent="0.35">
      <c r="O17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90" spans="15:15" x14ac:dyDescent="0.35">
      <c r="O17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91" spans="15:15" x14ac:dyDescent="0.35">
      <c r="O17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92" spans="15:15" x14ac:dyDescent="0.35">
      <c r="O17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93" spans="15:15" x14ac:dyDescent="0.35">
      <c r="O17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94" spans="15:15" x14ac:dyDescent="0.35">
      <c r="O17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95" spans="15:15" x14ac:dyDescent="0.35">
      <c r="O17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96" spans="15:15" x14ac:dyDescent="0.35">
      <c r="O17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97" spans="15:15" x14ac:dyDescent="0.35">
      <c r="O17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98" spans="15:15" x14ac:dyDescent="0.35">
      <c r="O17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799" spans="15:15" x14ac:dyDescent="0.35">
      <c r="O17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00" spans="15:15" x14ac:dyDescent="0.35">
      <c r="O18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01" spans="15:15" x14ac:dyDescent="0.35">
      <c r="O18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02" spans="15:15" x14ac:dyDescent="0.35">
      <c r="O18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03" spans="15:15" x14ac:dyDescent="0.35">
      <c r="O18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04" spans="15:15" x14ac:dyDescent="0.35">
      <c r="O18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05" spans="15:15" x14ac:dyDescent="0.35">
      <c r="O18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06" spans="15:15" x14ac:dyDescent="0.35">
      <c r="O18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07" spans="15:15" x14ac:dyDescent="0.35">
      <c r="O18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08" spans="15:15" x14ac:dyDescent="0.35">
      <c r="O18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09" spans="15:15" x14ac:dyDescent="0.35">
      <c r="O18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10" spans="15:15" x14ac:dyDescent="0.35">
      <c r="O18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11" spans="15:15" x14ac:dyDescent="0.35">
      <c r="O18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12" spans="15:15" x14ac:dyDescent="0.35">
      <c r="O18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13" spans="15:15" x14ac:dyDescent="0.35">
      <c r="O18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14" spans="15:15" x14ac:dyDescent="0.35">
      <c r="O18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15" spans="15:15" x14ac:dyDescent="0.35">
      <c r="O18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16" spans="15:15" x14ac:dyDescent="0.35">
      <c r="O18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17" spans="15:15" x14ac:dyDescent="0.35">
      <c r="O18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18" spans="15:15" x14ac:dyDescent="0.35">
      <c r="O18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19" spans="15:15" x14ac:dyDescent="0.35">
      <c r="O18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20" spans="15:15" x14ac:dyDescent="0.35">
      <c r="O18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21" spans="15:15" x14ac:dyDescent="0.35">
      <c r="O18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22" spans="15:15" x14ac:dyDescent="0.35">
      <c r="O18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23" spans="15:15" x14ac:dyDescent="0.35">
      <c r="O18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24" spans="15:15" x14ac:dyDescent="0.35">
      <c r="O18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25" spans="15:15" x14ac:dyDescent="0.35">
      <c r="O18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26" spans="15:15" x14ac:dyDescent="0.35">
      <c r="O18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27" spans="15:15" x14ac:dyDescent="0.35">
      <c r="O18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28" spans="15:15" x14ac:dyDescent="0.35">
      <c r="O18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29" spans="15:15" x14ac:dyDescent="0.35">
      <c r="O18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30" spans="15:15" x14ac:dyDescent="0.35">
      <c r="O18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31" spans="15:15" x14ac:dyDescent="0.35">
      <c r="O18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32" spans="15:15" x14ac:dyDescent="0.35">
      <c r="O18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33" spans="15:15" x14ac:dyDescent="0.35">
      <c r="O18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34" spans="15:15" x14ac:dyDescent="0.35">
      <c r="O18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35" spans="15:15" x14ac:dyDescent="0.35">
      <c r="O18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36" spans="15:15" x14ac:dyDescent="0.35">
      <c r="O18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37" spans="15:15" x14ac:dyDescent="0.35">
      <c r="O18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38" spans="15:15" x14ac:dyDescent="0.35">
      <c r="O18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39" spans="15:15" x14ac:dyDescent="0.35">
      <c r="O18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40" spans="15:15" x14ac:dyDescent="0.35">
      <c r="O18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41" spans="15:15" x14ac:dyDescent="0.35">
      <c r="O18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42" spans="15:15" x14ac:dyDescent="0.35">
      <c r="O18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43" spans="15:15" x14ac:dyDescent="0.35">
      <c r="O18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44" spans="15:15" x14ac:dyDescent="0.35">
      <c r="O18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45" spans="15:15" x14ac:dyDescent="0.35">
      <c r="O18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46" spans="15:15" x14ac:dyDescent="0.35">
      <c r="O18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47" spans="15:15" x14ac:dyDescent="0.35">
      <c r="O18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48" spans="15:15" x14ac:dyDescent="0.35">
      <c r="O18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49" spans="15:15" x14ac:dyDescent="0.35">
      <c r="O18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50" spans="15:15" x14ac:dyDescent="0.35">
      <c r="O18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51" spans="15:15" x14ac:dyDescent="0.35">
      <c r="O18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52" spans="15:15" x14ac:dyDescent="0.35">
      <c r="O18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53" spans="15:15" x14ac:dyDescent="0.35">
      <c r="O18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54" spans="15:15" x14ac:dyDescent="0.35">
      <c r="O18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55" spans="15:15" x14ac:dyDescent="0.35">
      <c r="O18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56" spans="15:15" x14ac:dyDescent="0.35">
      <c r="O18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57" spans="15:15" x14ac:dyDescent="0.35">
      <c r="O18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58" spans="15:15" x14ac:dyDescent="0.35">
      <c r="O18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59" spans="15:15" x14ac:dyDescent="0.35">
      <c r="O18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60" spans="15:15" x14ac:dyDescent="0.35">
      <c r="O18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61" spans="15:15" x14ac:dyDescent="0.35">
      <c r="O18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62" spans="15:15" x14ac:dyDescent="0.35">
      <c r="O18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63" spans="15:15" x14ac:dyDescent="0.35">
      <c r="O18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64" spans="15:15" x14ac:dyDescent="0.35">
      <c r="O18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65" spans="15:15" x14ac:dyDescent="0.35">
      <c r="O18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66" spans="15:15" x14ac:dyDescent="0.35">
      <c r="O18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67" spans="15:15" x14ac:dyDescent="0.35">
      <c r="O18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68" spans="15:15" x14ac:dyDescent="0.35">
      <c r="O18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69" spans="15:15" x14ac:dyDescent="0.35">
      <c r="O18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70" spans="15:15" x14ac:dyDescent="0.35">
      <c r="O18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71" spans="15:15" x14ac:dyDescent="0.35">
      <c r="O18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72" spans="15:15" x14ac:dyDescent="0.35">
      <c r="O18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73" spans="15:15" x14ac:dyDescent="0.35">
      <c r="O18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74" spans="15:15" x14ac:dyDescent="0.35">
      <c r="O18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75" spans="15:15" x14ac:dyDescent="0.35">
      <c r="O18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76" spans="15:15" x14ac:dyDescent="0.35">
      <c r="O18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77" spans="15:15" x14ac:dyDescent="0.35">
      <c r="O18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78" spans="15:15" x14ac:dyDescent="0.35">
      <c r="O18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79" spans="15:15" x14ac:dyDescent="0.35">
      <c r="O18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80" spans="15:15" x14ac:dyDescent="0.35">
      <c r="O18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81" spans="15:15" x14ac:dyDescent="0.35">
      <c r="O18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82" spans="15:15" x14ac:dyDescent="0.35">
      <c r="O18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83" spans="15:15" x14ac:dyDescent="0.35">
      <c r="O18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84" spans="15:15" x14ac:dyDescent="0.35">
      <c r="O18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85" spans="15:15" x14ac:dyDescent="0.35">
      <c r="O18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86" spans="15:15" x14ac:dyDescent="0.35">
      <c r="O18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87" spans="15:15" x14ac:dyDescent="0.35">
      <c r="O18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88" spans="15:15" x14ac:dyDescent="0.35">
      <c r="O18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89" spans="15:15" x14ac:dyDescent="0.35">
      <c r="O18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90" spans="15:15" x14ac:dyDescent="0.35">
      <c r="O18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91" spans="15:15" x14ac:dyDescent="0.35">
      <c r="O18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92" spans="15:15" x14ac:dyDescent="0.35">
      <c r="O18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93" spans="15:15" x14ac:dyDescent="0.35">
      <c r="O18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94" spans="15:15" x14ac:dyDescent="0.35">
      <c r="O18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95" spans="15:15" x14ac:dyDescent="0.35">
      <c r="O18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96" spans="15:15" x14ac:dyDescent="0.35">
      <c r="O18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97" spans="15:15" x14ac:dyDescent="0.35">
      <c r="O18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98" spans="15:15" x14ac:dyDescent="0.35">
      <c r="O18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899" spans="15:15" x14ac:dyDescent="0.35">
      <c r="O18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00" spans="15:15" x14ac:dyDescent="0.35">
      <c r="O19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01" spans="15:15" x14ac:dyDescent="0.35">
      <c r="O19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02" spans="15:15" x14ac:dyDescent="0.35">
      <c r="O190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03" spans="15:15" x14ac:dyDescent="0.35">
      <c r="O190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04" spans="15:15" x14ac:dyDescent="0.35">
      <c r="O190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05" spans="15:15" x14ac:dyDescent="0.35">
      <c r="O190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06" spans="15:15" x14ac:dyDescent="0.35">
      <c r="O190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07" spans="15:15" x14ac:dyDescent="0.35">
      <c r="O190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08" spans="15:15" x14ac:dyDescent="0.35">
      <c r="O190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09" spans="15:15" x14ac:dyDescent="0.35">
      <c r="O190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10" spans="15:15" x14ac:dyDescent="0.35">
      <c r="O191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11" spans="15:15" x14ac:dyDescent="0.35">
      <c r="O191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12" spans="15:15" x14ac:dyDescent="0.35">
      <c r="O191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13" spans="15:15" x14ac:dyDescent="0.35">
      <c r="O191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14" spans="15:15" x14ac:dyDescent="0.35">
      <c r="O191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15" spans="15:15" x14ac:dyDescent="0.35">
      <c r="O191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16" spans="15:15" x14ac:dyDescent="0.35">
      <c r="O191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17" spans="15:15" x14ac:dyDescent="0.35">
      <c r="O191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18" spans="15:15" x14ac:dyDescent="0.35">
      <c r="O191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19" spans="15:15" x14ac:dyDescent="0.35">
      <c r="O191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20" spans="15:15" x14ac:dyDescent="0.35">
      <c r="O192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21" spans="15:15" x14ac:dyDescent="0.35">
      <c r="O192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22" spans="15:15" x14ac:dyDescent="0.35">
      <c r="O192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23" spans="15:15" x14ac:dyDescent="0.35">
      <c r="O192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24" spans="15:15" x14ac:dyDescent="0.35">
      <c r="O192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25" spans="15:15" x14ac:dyDescent="0.35">
      <c r="O192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26" spans="15:15" x14ac:dyDescent="0.35">
      <c r="O192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27" spans="15:15" x14ac:dyDescent="0.35">
      <c r="O192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28" spans="15:15" x14ac:dyDescent="0.35">
      <c r="O192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29" spans="15:15" x14ac:dyDescent="0.35">
      <c r="O192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30" spans="15:15" x14ac:dyDescent="0.35">
      <c r="O193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31" spans="15:15" x14ac:dyDescent="0.35">
      <c r="O193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32" spans="15:15" x14ac:dyDescent="0.35">
      <c r="O193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33" spans="15:15" x14ac:dyDescent="0.35">
      <c r="O193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34" spans="15:15" x14ac:dyDescent="0.35">
      <c r="O193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35" spans="15:15" x14ac:dyDescent="0.35">
      <c r="O193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36" spans="15:15" x14ac:dyDescent="0.35">
      <c r="O193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37" spans="15:15" x14ac:dyDescent="0.35">
      <c r="O193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38" spans="15:15" x14ac:dyDescent="0.35">
      <c r="O193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39" spans="15:15" x14ac:dyDescent="0.35">
      <c r="O193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40" spans="15:15" x14ac:dyDescent="0.35">
      <c r="O194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41" spans="15:15" x14ac:dyDescent="0.35">
      <c r="O194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42" spans="15:15" x14ac:dyDescent="0.35">
      <c r="O194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43" spans="15:15" x14ac:dyDescent="0.35">
      <c r="O194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44" spans="15:15" x14ac:dyDescent="0.35">
      <c r="O194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45" spans="15:15" x14ac:dyDescent="0.35">
      <c r="O194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46" spans="15:15" x14ac:dyDescent="0.35">
      <c r="O194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47" spans="15:15" x14ac:dyDescent="0.35">
      <c r="O194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48" spans="15:15" x14ac:dyDescent="0.35">
      <c r="O194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49" spans="15:15" x14ac:dyDescent="0.35">
      <c r="O194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50" spans="15:15" x14ac:dyDescent="0.35">
      <c r="O195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51" spans="15:15" x14ac:dyDescent="0.35">
      <c r="O195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52" spans="15:15" x14ac:dyDescent="0.35">
      <c r="O195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53" spans="15:15" x14ac:dyDescent="0.35">
      <c r="O195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54" spans="15:15" x14ac:dyDescent="0.35">
      <c r="O195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55" spans="15:15" x14ac:dyDescent="0.35">
      <c r="O195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56" spans="15:15" x14ac:dyDescent="0.35">
      <c r="O195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57" spans="15:15" x14ac:dyDescent="0.35">
      <c r="O195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58" spans="15:15" x14ac:dyDescent="0.35">
      <c r="O195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59" spans="15:15" x14ac:dyDescent="0.35">
      <c r="O195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60" spans="15:15" x14ac:dyDescent="0.35">
      <c r="O196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61" spans="15:15" x14ac:dyDescent="0.35">
      <c r="O196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62" spans="15:15" x14ac:dyDescent="0.35">
      <c r="O196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63" spans="15:15" x14ac:dyDescent="0.35">
      <c r="O196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64" spans="15:15" x14ac:dyDescent="0.35">
      <c r="O196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65" spans="15:15" x14ac:dyDescent="0.35">
      <c r="O196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66" spans="15:15" x14ac:dyDescent="0.35">
      <c r="O196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67" spans="15:15" x14ac:dyDescent="0.35">
      <c r="O196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68" spans="15:15" x14ac:dyDescent="0.35">
      <c r="O196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69" spans="15:15" x14ac:dyDescent="0.35">
      <c r="O196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70" spans="15:15" x14ac:dyDescent="0.35">
      <c r="O197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71" spans="15:15" x14ac:dyDescent="0.35">
      <c r="O197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72" spans="15:15" x14ac:dyDescent="0.35">
      <c r="O197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73" spans="15:15" x14ac:dyDescent="0.35">
      <c r="O197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74" spans="15:15" x14ac:dyDescent="0.35">
      <c r="O197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75" spans="15:15" x14ac:dyDescent="0.35">
      <c r="O197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76" spans="15:15" x14ac:dyDescent="0.35">
      <c r="O197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77" spans="15:15" x14ac:dyDescent="0.35">
      <c r="O197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78" spans="15:15" x14ac:dyDescent="0.35">
      <c r="O197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79" spans="15:15" x14ac:dyDescent="0.35">
      <c r="O197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80" spans="15:15" x14ac:dyDescent="0.35">
      <c r="O198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81" spans="15:15" x14ac:dyDescent="0.35">
      <c r="O198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82" spans="15:15" x14ac:dyDescent="0.35">
      <c r="O198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83" spans="15:15" x14ac:dyDescent="0.35">
      <c r="O198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84" spans="15:15" x14ac:dyDescent="0.35">
      <c r="O198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85" spans="15:15" x14ac:dyDescent="0.35">
      <c r="O198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86" spans="15:15" x14ac:dyDescent="0.35">
      <c r="O198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87" spans="15:15" x14ac:dyDescent="0.35">
      <c r="O198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88" spans="15:15" x14ac:dyDescent="0.35">
      <c r="O198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89" spans="15:15" x14ac:dyDescent="0.35">
      <c r="O198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90" spans="15:15" x14ac:dyDescent="0.35">
      <c r="O199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91" spans="15:15" x14ac:dyDescent="0.35">
      <c r="O199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92" spans="15:15" x14ac:dyDescent="0.35">
      <c r="O1992"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93" spans="15:15" x14ac:dyDescent="0.35">
      <c r="O1993"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94" spans="15:15" x14ac:dyDescent="0.35">
      <c r="O1994"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95" spans="15:15" x14ac:dyDescent="0.35">
      <c r="O1995"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96" spans="15:15" x14ac:dyDescent="0.35">
      <c r="O1996"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97" spans="15:15" x14ac:dyDescent="0.35">
      <c r="O1997"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98" spans="15:15" x14ac:dyDescent="0.35">
      <c r="O1998"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1999" spans="15:15" x14ac:dyDescent="0.35">
      <c r="O1999"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000" spans="15:15" x14ac:dyDescent="0.35">
      <c r="O2000"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row r="2001" spans="15:15" x14ac:dyDescent="0.35">
      <c r="O2001" t="str">
        <f>IF(ROW()-1&gt;ROWS(NewsCache[RowType]),"",IF(AND(INDEX(NewsCache[RowType],ROW()-1)="Article",INDEX(NewsCache[Mode],ROW()-1)=Headlines!$C$7,COUNTIFS(NewsSources[SourceID],INDEX(NewsCache[SourceID],ROW()-1),NewsSources[Enabled],"Yes")=1,OR(Headlines!$C$5="All industries",ISNUMBER(FIND("|"&amp;Headlines!$C$5&amp;"|",INDEX(NewsCache[Industries],ROW()-1)))),OR(Headlines!$F$5="All publishers",INDEX(NewsCache[Publisher],ROW()-1)=Headlines!$F$5)),ROW()-1,""))</f>
        <v/>
      </c>
    </row>
  </sheetData>
  <phoneticPr fontId="13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C5A1CA7-0A9C-4C4E-A96E-77C7755F8E0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43</vt:i4>
      </vt:variant>
      <vt:variant>
        <vt:lpstr>Named Ranges</vt:lpstr>
      </vt:variant>
      <vt:variant>
        <vt:i4>41</vt:i4>
      </vt:variant>
    </vt:vector>
  </HeadingPairs>
  <TitlesOfParts>
    <vt:vector size="84" baseType="lpstr">
      <vt:lpstr>Performance</vt:lpstr>
      <vt:lpstr>AP_Provenance</vt:lpstr>
      <vt:lpstr>AP_AuditBundle</vt:lpstr>
      <vt:lpstr>Start</vt:lpstr>
      <vt:lpstr>Comparison</vt:lpstr>
      <vt:lpstr>Detail</vt:lpstr>
      <vt:lpstr>Review</vt:lpstr>
      <vt:lpstr>Data Checks</vt:lpstr>
      <vt:lpstr>Snapshot</vt:lpstr>
      <vt:lpstr>AP_RefreshInfo</vt:lpstr>
      <vt:lpstr>AP_LoadedInputs</vt:lpstr>
      <vt:lpstr>AP_AcceptedPrices</vt:lpstr>
      <vt:lpstr>AP_InvestorFlows</vt:lpstr>
      <vt:lpstr>AP_Exceptions</vt:lpstr>
      <vt:lpstr>AP_PortfolioDaily</vt:lpstr>
      <vt:lpstr>AP_HoldingsDaily</vt:lpstr>
      <vt:lpstr>AP_TransactionsClean</vt:lpstr>
      <vt:lpstr>AP_Notes</vt:lpstr>
      <vt:lpstr>AP_Settings</vt:lpstr>
      <vt:lpstr>AP_Calendar</vt:lpstr>
      <vt:lpstr>AP_Actions</vt:lpstr>
      <vt:lpstr>AP_Prices</vt:lpstr>
      <vt:lpstr>AP_Transactions</vt:lpstr>
      <vt:lpstr>AP_Instruments</vt:lpstr>
      <vt:lpstr>AP_Portfolios</vt:lpstr>
      <vt:lpstr>AP_ReturnCalc</vt:lpstr>
      <vt:lpstr>Ledger</vt:lpstr>
      <vt:lpstr>Daily</vt:lpstr>
      <vt:lpstr>History</vt:lpstr>
      <vt:lpstr>Quotes</vt:lpstr>
      <vt:lpstr>FastQuotes</vt:lpstr>
      <vt:lpstr>Checks</vt:lpstr>
      <vt:lpstr>Guide</vt:lpstr>
      <vt:lpstr>Watchlist</vt:lpstr>
      <vt:lpstr>Stock view</vt:lpstr>
      <vt:lpstr>Trade plan</vt:lpstr>
      <vt:lpstr>Headlines</vt:lpstr>
      <vt:lpstr>Holdings</vt:lpstr>
      <vt:lpstr>Transactions</vt:lpstr>
      <vt:lpstr>Portfolio</vt:lpstr>
      <vt:lpstr>Help</vt:lpstr>
      <vt:lpstr>News fixture</vt:lpstr>
      <vt:lpstr>NewsData</vt:lpstr>
      <vt:lpstr>AP_Bind_AcceptedPrices</vt:lpstr>
      <vt:lpstr>AP_Bind_AP_Actions</vt:lpstr>
      <vt:lpstr>AP_Bind_AP_Calendar</vt:lpstr>
      <vt:lpstr>AP_Bind_AP_Instruments</vt:lpstr>
      <vt:lpstr>AP_Bind_AP_Portfolios</vt:lpstr>
      <vt:lpstr>AP_Bind_AP_Prices</vt:lpstr>
      <vt:lpstr>AP_Bind_AP_Settings</vt:lpstr>
      <vt:lpstr>AP_Bind_AP_Transactions</vt:lpstr>
      <vt:lpstr>AP_Bind_Exceptions</vt:lpstr>
      <vt:lpstr>AP_Bind_HoldingsDaily</vt:lpstr>
      <vt:lpstr>AP_Bind_InvestorFlows</vt:lpstr>
      <vt:lpstr>AP_Bind_PortfolioDaily</vt:lpstr>
      <vt:lpstr>AP_Bind_TransactionsClean</vt:lpstr>
      <vt:lpstr>AP_PeriodEnd</vt:lpstr>
      <vt:lpstr>AP_PeriodStart</vt:lpstr>
      <vt:lpstr>AP_SelectedPortfolio</vt:lpstr>
      <vt:lpstr>AP_ValuationDate</vt:lpstr>
      <vt:lpstr>AvailableDates</vt:lpstr>
      <vt:lpstr>FollowSelection</vt:lpstr>
      <vt:lpstr>NewsIndustryChoices</vt:lpstr>
      <vt:lpstr>NewsMode</vt:lpstr>
      <vt:lpstr>NewsPublisherChoices</vt:lpstr>
      <vt:lpstr>PlanStockNames</vt:lpstr>
      <vt:lpstr>Checks!Print_Area</vt:lpstr>
      <vt:lpstr>Daily!Print_Area</vt:lpstr>
      <vt:lpstr>FastQuotes!Print_Area</vt:lpstr>
      <vt:lpstr>Guide!Print_Area</vt:lpstr>
      <vt:lpstr>Headlines!Print_Area</vt:lpstr>
      <vt:lpstr>Help!Print_Area</vt:lpstr>
      <vt:lpstr>History!Print_Area</vt:lpstr>
      <vt:lpstr>Holdings!Print_Area</vt:lpstr>
      <vt:lpstr>Ledger!Print_Area</vt:lpstr>
      <vt:lpstr>Performance!Print_Area</vt:lpstr>
      <vt:lpstr>Portfolio!Print_Area</vt:lpstr>
      <vt:lpstr>Quotes!Print_Area</vt:lpstr>
      <vt:lpstr>'Stock view'!Print_Area</vt:lpstr>
      <vt:lpstr>'Trade plan'!Print_Area</vt:lpstr>
      <vt:lpstr>Transactions!Print_Area</vt:lpstr>
      <vt:lpstr>Watchlist!Print_Area</vt:lpstr>
      <vt:lpstr>Help!Print_Titles</vt:lpstr>
      <vt:lpstr>'Trade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harkirat singh</cp:lastModifiedBy>
  <dcterms:created xsi:type="dcterms:W3CDTF">2026-09-20T09:29:52Z</dcterms:created>
  <dcterms:modified xsi:type="dcterms:W3CDTF">2026-10-07T09:22:11Z</dcterms:modified>
</cp:coreProperties>
</file>